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KULT11\plan\ПЛАНЫ ФХД на 2020\ПФХД на 01.01.2020\10. Высоцкий\"/>
    </mc:Choice>
  </mc:AlternateContent>
  <bookViews>
    <workbookView xWindow="0" yWindow="30" windowWidth="19200" windowHeight="13110" tabRatio="954" firstSheet="4" activeTab="5"/>
  </bookViews>
  <sheets>
    <sheet name="СВОД (2)" sheetId="111" state="hidden" r:id="rId1"/>
    <sheet name="СВОД" sheetId="42" state="hidden" r:id="rId2"/>
    <sheet name="музей 2020" sheetId="80" state="hidden" r:id="rId3"/>
    <sheet name="Родина 2020" sheetId="81" state="hidden" r:id="rId4"/>
    <sheet name="раздел 1" sheetId="207" r:id="rId5"/>
    <sheet name="раздел 2" sheetId="378" r:id="rId6"/>
    <sheet name="разбивка" sheetId="209" r:id="rId7"/>
    <sheet name="строка 1100 (120)+" sheetId="174" r:id="rId8"/>
    <sheet name="строка 1110 (121) аренда+" sheetId="211" r:id="rId9"/>
    <sheet name="строка 1200(130)" sheetId="176" r:id="rId10"/>
    <sheet name="субсидии стр1210(130)культ" sheetId="177" r:id="rId11"/>
    <sheet name="платные строка 1220 (132)" sheetId="342" r:id="rId12"/>
    <sheet name="возмещ ком услуг 1230 (135)" sheetId="293" r:id="rId13"/>
    <sheet name="штрафы строка 1300 (140)" sheetId="181" r:id="rId14"/>
    <sheet name="безвозм1400(150)" sheetId="182" r:id="rId15"/>
    <sheet name="безвозм1400(155)" sheetId="183" r:id="rId16"/>
    <sheet name="прочие строка 1500 (150)" sheetId="184" r:id="rId17"/>
    <sheet name="прочие поступ строка 1980 (510)" sheetId="185" r:id="rId18"/>
    <sheet name="иные стр1210(130)культ" sheetId="204" r:id="rId19"/>
    <sheet name="субс РК КВР 111 (01.01.20)" sheetId="136" r:id="rId20"/>
    <sheet name="субс РК КВР 119 (01.01.20)" sheetId="137" r:id="rId21"/>
    <sheet name="б-т 991,992,911(01.01.20)-2020" sheetId="343" r:id="rId22"/>
    <sheet name="б-т 991,992,911(01.01.20)-2021" sheetId="344" r:id="rId23"/>
    <sheet name="б-т 991,992,911(01.01.20)-2022" sheetId="345" r:id="rId24"/>
    <sheet name="субс РК КВР 112 (01.01.20)" sheetId="142" r:id="rId25"/>
    <sheet name="б-т 914 (01.01.20)" sheetId="138" r:id="rId26"/>
    <sheet name="б-т 921 (01.01.20)" sheetId="346" r:id="rId27"/>
    <sheet name="субс РК КВР 113(01.01.20)" sheetId="147" r:id="rId28"/>
    <sheet name="б-т 966 Стим-е (01.01.20)" sheetId="362" r:id="rId29"/>
    <sheet name="субс РК КВР 321(01.01.20)" sheetId="149" r:id="rId30"/>
    <sheet name="субс РК КВР 244 (01.01.20)" sheetId="151" r:id="rId31"/>
    <sheet name="б-т 922 ПГ (01.01.20) " sheetId="347" r:id="rId32"/>
    <sheet name="б-т 925 (01.01.20)" sheetId="348" r:id="rId33"/>
    <sheet name="б-т 927 (01.01.20)" sheetId="349" r:id="rId34"/>
    <sheet name="б-т 931,932,933 (01.01.20)" sheetId="350" r:id="rId35"/>
    <sheet name="б-т 934 (01.01.20)" sheetId="303" r:id="rId36"/>
    <sheet name="б-т 941 (01.01.20)" sheetId="352" r:id="rId37"/>
    <sheet name="б-т 947 (01.01.20)" sheetId="353" r:id="rId38"/>
    <sheet name="б-т 953 (01.01.20)" sheetId="354" r:id="rId39"/>
    <sheet name="б-т 954 (01.01.20)" sheetId="355" r:id="rId40"/>
    <sheet name="б-т 955 ПГ (01.01.20)" sheetId="356" r:id="rId41"/>
    <sheet name="б-т 955 наркомания (01.01.20)" sheetId="357" r:id="rId42"/>
    <sheet name="б-т 955 Стим-е (01.01.20)" sheetId="358" r:id="rId43"/>
    <sheet name="б-т 963 ПГ (01.01.20)" sheetId="359" r:id="rId44"/>
    <sheet name="б-т 963 Наркомания (01.01.20)" sheetId="360" r:id="rId45"/>
    <sheet name="б -т 963 Стим-е (01.01.20)" sheetId="361" r:id="rId46"/>
    <sheet name="б-т 971 ПГ (01.01.20)" sheetId="363" r:id="rId47"/>
    <sheet name="б-т 981 (01.01.20)" sheetId="364" r:id="rId48"/>
    <sheet name="б-т 981 ПГ (01.01.20)" sheetId="368" r:id="rId49"/>
    <sheet name="б-т 981 Стим-е (01.01.20)" sheetId="367" r:id="rId50"/>
    <sheet name="б-т накомания 981 (01.01.20)" sheetId="366" r:id="rId51"/>
    <sheet name="б-т 982 (01.01.20)" sheetId="369" r:id="rId52"/>
    <sheet name="б-т 985 (01.01.20)" sheetId="370" r:id="rId53"/>
    <sheet name="б-т 986 (01.01.20)" sheetId="371" r:id="rId54"/>
    <sheet name="б-т 995 (01.01.20)" sheetId="372" r:id="rId55"/>
    <sheet name="б-т 996 (01.01.20)" sheetId="373" r:id="rId56"/>
    <sheet name="субс РТ КВР 113(01.01.20)" sheetId="270" r:id="rId57"/>
    <sheet name="субс РТ КВР 244 (01.01.20)" sheetId="187" r:id="rId58"/>
    <sheet name="субс РТ (01.01.20)" sheetId="374" r:id="rId59"/>
    <sheet name="иные КВР 112 (01.01.20)" sheetId="191" r:id="rId60"/>
    <sheet name="иные КВР 321(01.01.20)" sheetId="192" r:id="rId61"/>
    <sheet name="СПЖ КВР 244 (01.01.20)" sheetId="197" r:id="rId62"/>
    <sheet name="(81600) КВР 244 (01.01.20)" sheetId="199" r:id="rId63"/>
    <sheet name="(81600) 971 (01.01.20)" sheetId="375" r:id="rId64"/>
    <sheet name="75 лет КВР 113(01.01.20)" sheetId="201" r:id="rId65"/>
    <sheet name="75 лет КВР 244 (01.01.20)" sheetId="202" r:id="rId66"/>
    <sheet name="75 лет (01.01.20)" sheetId="377" r:id="rId67"/>
    <sheet name="ЖКХ КВР 244 (01.01.20)" sheetId="273" r:id="rId68"/>
    <sheet name="внебКВР 111 (01.01.20)+" sheetId="129" r:id="rId69"/>
    <sheet name="внебКВР 119 (01.01.20)+" sheetId="130" r:id="rId70"/>
    <sheet name="внеб 991,992,911 (01.01.20)" sheetId="325" r:id="rId71"/>
    <sheet name="внеб КВР 112 (01.01.20)" sheetId="205" r:id="rId72"/>
    <sheet name="внеб 912,921,952 (01.01.20)" sheetId="326" r:id="rId73"/>
    <sheet name="внеб КВР 113(01.01.20)" sheetId="230" r:id="rId74"/>
    <sheet name="внеб 966 (01.01.20)" sheetId="327" r:id="rId75"/>
    <sheet name="внеб КВР 244" sheetId="132" r:id="rId76"/>
    <sheet name="внеб 922 (01.01.20)" sheetId="328" r:id="rId77"/>
    <sheet name="внеб 925 (01.01.20)" sheetId="329" r:id="rId78"/>
    <sheet name="внеб 931,932,933 (01.01.20)" sheetId="330" r:id="rId79"/>
    <sheet name="внеб 941 (01.01.20)" sheetId="331" r:id="rId80"/>
    <sheet name="внеб 942 (01.01.20)" sheetId="332" r:id="rId81"/>
    <sheet name="внеб 947 (01.01.20)" sheetId="333" r:id="rId82"/>
    <sheet name="внеб 954 (01.01.20)" sheetId="334" r:id="rId83"/>
    <sheet name="внеб 955 (01.01.20)" sheetId="335" r:id="rId84"/>
    <sheet name="внеб 956 (01.01.20)" sheetId="336" r:id="rId85"/>
    <sheet name="внеб 963 (01.01.20)" sheetId="337" r:id="rId86"/>
    <sheet name="внеб 971 (01.01.20)" sheetId="338" r:id="rId87"/>
    <sheet name="внеб 981 (01.01.20)" sheetId="339" r:id="rId88"/>
    <sheet name="внеб 985 (01.01.20)" sheetId="340" r:id="rId89"/>
    <sheet name="внеб 986 (01.01.20)" sheetId="341" r:id="rId90"/>
    <sheet name="КВР 850" sheetId="206" r:id="rId91"/>
    <sheet name="ГЦК+Энергия 2020" sheetId="84" state="hidden" r:id="rId92"/>
    <sheet name="Юбилейный 2020" sheetId="85" state="hidden" r:id="rId93"/>
    <sheet name="Высоцкий 2020" sheetId="86" state="hidden" r:id="rId94"/>
    <sheet name="музей 2021" sheetId="99" state="hidden" r:id="rId95"/>
    <sheet name="Родина 2021" sheetId="100" state="hidden" r:id="rId96"/>
    <sheet name="ЦБС 2021" sheetId="101" state="hidden" r:id="rId97"/>
    <sheet name="ГЦК+Энергия 2021" sheetId="102" state="hidden" r:id="rId98"/>
    <sheet name="Юбилейный 2021" sheetId="103" state="hidden" r:id="rId99"/>
    <sheet name="Высоцкий 2021" sheetId="104" state="hidden" r:id="rId100"/>
    <sheet name="музей 2022" sheetId="105" state="hidden" r:id="rId101"/>
    <sheet name="Родина 2022" sheetId="106" state="hidden" r:id="rId102"/>
    <sheet name="ЦБС 2022" sheetId="107" state="hidden" r:id="rId103"/>
    <sheet name="ГЦК+Энергия 2022" sheetId="108" state="hidden" r:id="rId104"/>
    <sheet name="Юбилейный 2022" sheetId="109" state="hidden" r:id="rId105"/>
    <sheet name="Высоцкий 2022" sheetId="110" state="hidden"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in2007" localSheetId="62">#REF!</definedName>
    <definedName name="_in2007" localSheetId="66">#REF!</definedName>
    <definedName name="_in2007" localSheetId="64">#REF!</definedName>
    <definedName name="_in2007" localSheetId="65">#REF!</definedName>
    <definedName name="_in2007" localSheetId="45">#REF!</definedName>
    <definedName name="_in2007" localSheetId="31">#REF!</definedName>
    <definedName name="_in2007" localSheetId="41">#REF!</definedName>
    <definedName name="_in2007" localSheetId="40">#REF!</definedName>
    <definedName name="_in2007" localSheetId="42">#REF!</definedName>
    <definedName name="_in2007" localSheetId="44">#REF!</definedName>
    <definedName name="_in2007" localSheetId="43">#REF!</definedName>
    <definedName name="_in2007" localSheetId="28">#REF!</definedName>
    <definedName name="_in2007" localSheetId="46">#REF!</definedName>
    <definedName name="_in2007" localSheetId="48">#REF!</definedName>
    <definedName name="_in2007" localSheetId="49">#REF!</definedName>
    <definedName name="_in2007" localSheetId="22">#REF!</definedName>
    <definedName name="_in2007" localSheetId="23">#REF!</definedName>
    <definedName name="_in2007" localSheetId="50">#REF!</definedName>
    <definedName name="_in2007" localSheetId="85">#REF!</definedName>
    <definedName name="_in2007" localSheetId="74">#REF!</definedName>
    <definedName name="_in2007" localSheetId="71">#REF!</definedName>
    <definedName name="_in2007" localSheetId="73">#REF!</definedName>
    <definedName name="_in2007" localSheetId="67">#REF!</definedName>
    <definedName name="_in2007" localSheetId="59">#REF!</definedName>
    <definedName name="_in2007" localSheetId="60">#REF!</definedName>
    <definedName name="_in2007" localSheetId="18">#REF!</definedName>
    <definedName name="_in2007" localSheetId="90">#REF!</definedName>
    <definedName name="_in2007" localSheetId="5">#REF!</definedName>
    <definedName name="_in2007" localSheetId="61">#REF!</definedName>
    <definedName name="_in2007" localSheetId="19">#REF!</definedName>
    <definedName name="_in2007" localSheetId="20">#REF!</definedName>
    <definedName name="_in2007" localSheetId="30">#REF!</definedName>
    <definedName name="_in2007" localSheetId="58">#REF!</definedName>
    <definedName name="_in2007" localSheetId="56">#REF!</definedName>
    <definedName name="_in2007" localSheetId="57">#REF!</definedName>
    <definedName name="_in2007">#REF!</definedName>
    <definedName name="_in2007_14" localSheetId="62">#REF!</definedName>
    <definedName name="_in2007_14" localSheetId="66">#REF!</definedName>
    <definedName name="_in2007_14" localSheetId="64">#REF!</definedName>
    <definedName name="_in2007_14" localSheetId="65">#REF!</definedName>
    <definedName name="_in2007_14" localSheetId="45">#REF!</definedName>
    <definedName name="_in2007_14" localSheetId="31">#REF!</definedName>
    <definedName name="_in2007_14" localSheetId="41">#REF!</definedName>
    <definedName name="_in2007_14" localSheetId="40">#REF!</definedName>
    <definedName name="_in2007_14" localSheetId="42">#REF!</definedName>
    <definedName name="_in2007_14" localSheetId="44">#REF!</definedName>
    <definedName name="_in2007_14" localSheetId="43">#REF!</definedName>
    <definedName name="_in2007_14" localSheetId="28">#REF!</definedName>
    <definedName name="_in2007_14" localSheetId="46">#REF!</definedName>
    <definedName name="_in2007_14" localSheetId="48">#REF!</definedName>
    <definedName name="_in2007_14" localSheetId="49">#REF!</definedName>
    <definedName name="_in2007_14" localSheetId="22">#REF!</definedName>
    <definedName name="_in2007_14" localSheetId="23">#REF!</definedName>
    <definedName name="_in2007_14" localSheetId="50">#REF!</definedName>
    <definedName name="_in2007_14" localSheetId="85">#REF!</definedName>
    <definedName name="_in2007_14" localSheetId="74">#REF!</definedName>
    <definedName name="_in2007_14" localSheetId="71">#REF!</definedName>
    <definedName name="_in2007_14" localSheetId="73">#REF!</definedName>
    <definedName name="_in2007_14" localSheetId="67">#REF!</definedName>
    <definedName name="_in2007_14" localSheetId="59">#REF!</definedName>
    <definedName name="_in2007_14" localSheetId="60">#REF!</definedName>
    <definedName name="_in2007_14" localSheetId="18">#REF!</definedName>
    <definedName name="_in2007_14" localSheetId="5">#REF!</definedName>
    <definedName name="_in2007_14" localSheetId="61">#REF!</definedName>
    <definedName name="_in2007_14" localSheetId="19">#REF!</definedName>
    <definedName name="_in2007_14" localSheetId="20">#REF!</definedName>
    <definedName name="_in2007_14" localSheetId="30">#REF!</definedName>
    <definedName name="_in2007_14" localSheetId="58">#REF!</definedName>
    <definedName name="_in2007_14" localSheetId="56">#REF!</definedName>
    <definedName name="_in2007_14" localSheetId="57">#REF!</definedName>
    <definedName name="_in2007_14">#REF!</definedName>
    <definedName name="_in2008" localSheetId="62">#REF!</definedName>
    <definedName name="_in2008" localSheetId="66">#REF!</definedName>
    <definedName name="_in2008" localSheetId="64">#REF!</definedName>
    <definedName name="_in2008" localSheetId="65">#REF!</definedName>
    <definedName name="_in2008" localSheetId="45">#REF!</definedName>
    <definedName name="_in2008" localSheetId="31">#REF!</definedName>
    <definedName name="_in2008" localSheetId="41">#REF!</definedName>
    <definedName name="_in2008" localSheetId="40">#REF!</definedName>
    <definedName name="_in2008" localSheetId="42">#REF!</definedName>
    <definedName name="_in2008" localSheetId="44">#REF!</definedName>
    <definedName name="_in2008" localSheetId="43">#REF!</definedName>
    <definedName name="_in2008" localSheetId="28">#REF!</definedName>
    <definedName name="_in2008" localSheetId="46">#REF!</definedName>
    <definedName name="_in2008" localSheetId="48">#REF!</definedName>
    <definedName name="_in2008" localSheetId="49">#REF!</definedName>
    <definedName name="_in2008" localSheetId="22">#REF!</definedName>
    <definedName name="_in2008" localSheetId="23">#REF!</definedName>
    <definedName name="_in2008" localSheetId="50">#REF!</definedName>
    <definedName name="_in2008" localSheetId="85">#REF!</definedName>
    <definedName name="_in2008" localSheetId="74">#REF!</definedName>
    <definedName name="_in2008" localSheetId="71">#REF!</definedName>
    <definedName name="_in2008" localSheetId="73">#REF!</definedName>
    <definedName name="_in2008" localSheetId="67">#REF!</definedName>
    <definedName name="_in2008" localSheetId="59">#REF!</definedName>
    <definedName name="_in2008" localSheetId="60">#REF!</definedName>
    <definedName name="_in2008" localSheetId="18">#REF!</definedName>
    <definedName name="_in2008" localSheetId="5">#REF!</definedName>
    <definedName name="_in2008" localSheetId="61">#REF!</definedName>
    <definedName name="_in2008" localSheetId="19">#REF!</definedName>
    <definedName name="_in2008" localSheetId="20">#REF!</definedName>
    <definedName name="_in2008" localSheetId="30">#REF!</definedName>
    <definedName name="_in2008" localSheetId="58">#REF!</definedName>
    <definedName name="_in2008" localSheetId="56">#REF!</definedName>
    <definedName name="_in2008" localSheetId="57">#REF!</definedName>
    <definedName name="_in2008">#REF!</definedName>
    <definedName name="_in2008_14" localSheetId="62">#REF!</definedName>
    <definedName name="_in2008_14" localSheetId="66">#REF!</definedName>
    <definedName name="_in2008_14" localSheetId="64">#REF!</definedName>
    <definedName name="_in2008_14" localSheetId="65">#REF!</definedName>
    <definedName name="_in2008_14" localSheetId="45">#REF!</definedName>
    <definedName name="_in2008_14" localSheetId="31">#REF!</definedName>
    <definedName name="_in2008_14" localSheetId="41">#REF!</definedName>
    <definedName name="_in2008_14" localSheetId="40">#REF!</definedName>
    <definedName name="_in2008_14" localSheetId="42">#REF!</definedName>
    <definedName name="_in2008_14" localSheetId="44">#REF!</definedName>
    <definedName name="_in2008_14" localSheetId="43">#REF!</definedName>
    <definedName name="_in2008_14" localSheetId="28">#REF!</definedName>
    <definedName name="_in2008_14" localSheetId="46">#REF!</definedName>
    <definedName name="_in2008_14" localSheetId="48">#REF!</definedName>
    <definedName name="_in2008_14" localSheetId="49">#REF!</definedName>
    <definedName name="_in2008_14" localSheetId="22">#REF!</definedName>
    <definedName name="_in2008_14" localSheetId="23">#REF!</definedName>
    <definedName name="_in2008_14" localSheetId="50">#REF!</definedName>
    <definedName name="_in2008_14" localSheetId="71">#REF!</definedName>
    <definedName name="_in2008_14" localSheetId="73">#REF!</definedName>
    <definedName name="_in2008_14" localSheetId="67">#REF!</definedName>
    <definedName name="_in2008_14" localSheetId="59">#REF!</definedName>
    <definedName name="_in2008_14" localSheetId="60">#REF!</definedName>
    <definedName name="_in2008_14" localSheetId="18">#REF!</definedName>
    <definedName name="_in2008_14" localSheetId="5">#REF!</definedName>
    <definedName name="_in2008_14" localSheetId="61">#REF!</definedName>
    <definedName name="_in2008_14" localSheetId="19">#REF!</definedName>
    <definedName name="_in2008_14" localSheetId="20">#REF!</definedName>
    <definedName name="_in2008_14" localSheetId="30">#REF!</definedName>
    <definedName name="_in2008_14" localSheetId="58">#REF!</definedName>
    <definedName name="_in2008_14" localSheetId="56">#REF!</definedName>
    <definedName name="_in2008_14" localSheetId="57">#REF!</definedName>
    <definedName name="_in2008_14">#REF!</definedName>
    <definedName name="_in2009" localSheetId="62">#REF!</definedName>
    <definedName name="_in2009" localSheetId="66">#REF!</definedName>
    <definedName name="_in2009" localSheetId="64">#REF!</definedName>
    <definedName name="_in2009" localSheetId="65">#REF!</definedName>
    <definedName name="_in2009" localSheetId="45">#REF!</definedName>
    <definedName name="_in2009" localSheetId="31">#REF!</definedName>
    <definedName name="_in2009" localSheetId="41">#REF!</definedName>
    <definedName name="_in2009" localSheetId="40">#REF!</definedName>
    <definedName name="_in2009" localSheetId="42">#REF!</definedName>
    <definedName name="_in2009" localSheetId="44">#REF!</definedName>
    <definedName name="_in2009" localSheetId="43">#REF!</definedName>
    <definedName name="_in2009" localSheetId="28">#REF!</definedName>
    <definedName name="_in2009" localSheetId="46">#REF!</definedName>
    <definedName name="_in2009" localSheetId="48">#REF!</definedName>
    <definedName name="_in2009" localSheetId="49">#REF!</definedName>
    <definedName name="_in2009" localSheetId="22">#REF!</definedName>
    <definedName name="_in2009" localSheetId="23">#REF!</definedName>
    <definedName name="_in2009" localSheetId="50">#REF!</definedName>
    <definedName name="_in2009" localSheetId="71">#REF!</definedName>
    <definedName name="_in2009" localSheetId="73">#REF!</definedName>
    <definedName name="_in2009" localSheetId="67">#REF!</definedName>
    <definedName name="_in2009" localSheetId="59">#REF!</definedName>
    <definedName name="_in2009" localSheetId="60">#REF!</definedName>
    <definedName name="_in2009" localSheetId="18">#REF!</definedName>
    <definedName name="_in2009" localSheetId="5">#REF!</definedName>
    <definedName name="_in2009" localSheetId="61">#REF!</definedName>
    <definedName name="_in2009" localSheetId="19">#REF!</definedName>
    <definedName name="_in2009" localSheetId="20">#REF!</definedName>
    <definedName name="_in2009" localSheetId="30">#REF!</definedName>
    <definedName name="_in2009" localSheetId="58">#REF!</definedName>
    <definedName name="_in2009" localSheetId="56">#REF!</definedName>
    <definedName name="_in2009" localSheetId="57">#REF!</definedName>
    <definedName name="_in2009">#REF!</definedName>
    <definedName name="_in2009_14" localSheetId="62">#REF!</definedName>
    <definedName name="_in2009_14" localSheetId="66">#REF!</definedName>
    <definedName name="_in2009_14" localSheetId="64">#REF!</definedName>
    <definedName name="_in2009_14" localSheetId="65">#REF!</definedName>
    <definedName name="_in2009_14" localSheetId="45">#REF!</definedName>
    <definedName name="_in2009_14" localSheetId="31">#REF!</definedName>
    <definedName name="_in2009_14" localSheetId="41">#REF!</definedName>
    <definedName name="_in2009_14" localSheetId="40">#REF!</definedName>
    <definedName name="_in2009_14" localSheetId="42">#REF!</definedName>
    <definedName name="_in2009_14" localSheetId="44">#REF!</definedName>
    <definedName name="_in2009_14" localSheetId="43">#REF!</definedName>
    <definedName name="_in2009_14" localSheetId="28">#REF!</definedName>
    <definedName name="_in2009_14" localSheetId="46">#REF!</definedName>
    <definedName name="_in2009_14" localSheetId="48">#REF!</definedName>
    <definedName name="_in2009_14" localSheetId="49">#REF!</definedName>
    <definedName name="_in2009_14" localSheetId="22">#REF!</definedName>
    <definedName name="_in2009_14" localSheetId="23">#REF!</definedName>
    <definedName name="_in2009_14" localSheetId="50">#REF!</definedName>
    <definedName name="_in2009_14" localSheetId="71">#REF!</definedName>
    <definedName name="_in2009_14" localSheetId="73">#REF!</definedName>
    <definedName name="_in2009_14" localSheetId="67">#REF!</definedName>
    <definedName name="_in2009_14" localSheetId="59">#REF!</definedName>
    <definedName name="_in2009_14" localSheetId="60">#REF!</definedName>
    <definedName name="_in2009_14" localSheetId="18">#REF!</definedName>
    <definedName name="_in2009_14" localSheetId="5">#REF!</definedName>
    <definedName name="_in2009_14" localSheetId="61">#REF!</definedName>
    <definedName name="_in2009_14" localSheetId="19">#REF!</definedName>
    <definedName name="_in2009_14" localSheetId="20">#REF!</definedName>
    <definedName name="_in2009_14" localSheetId="30">#REF!</definedName>
    <definedName name="_in2009_14" localSheetId="58">#REF!</definedName>
    <definedName name="_in2009_14" localSheetId="56">#REF!</definedName>
    <definedName name="_in2009_14" localSheetId="57">#REF!</definedName>
    <definedName name="_in2009_14">#REF!</definedName>
    <definedName name="_in2010" localSheetId="62">#REF!</definedName>
    <definedName name="_in2010" localSheetId="66">#REF!</definedName>
    <definedName name="_in2010" localSheetId="64">#REF!</definedName>
    <definedName name="_in2010" localSheetId="65">#REF!</definedName>
    <definedName name="_in2010" localSheetId="45">#REF!</definedName>
    <definedName name="_in2010" localSheetId="31">#REF!</definedName>
    <definedName name="_in2010" localSheetId="41">#REF!</definedName>
    <definedName name="_in2010" localSheetId="40">#REF!</definedName>
    <definedName name="_in2010" localSheetId="42">#REF!</definedName>
    <definedName name="_in2010" localSheetId="44">#REF!</definedName>
    <definedName name="_in2010" localSheetId="43">#REF!</definedName>
    <definedName name="_in2010" localSheetId="28">#REF!</definedName>
    <definedName name="_in2010" localSheetId="46">#REF!</definedName>
    <definedName name="_in2010" localSheetId="48">#REF!</definedName>
    <definedName name="_in2010" localSheetId="49">#REF!</definedName>
    <definedName name="_in2010" localSheetId="22">#REF!</definedName>
    <definedName name="_in2010" localSheetId="23">#REF!</definedName>
    <definedName name="_in2010" localSheetId="50">#REF!</definedName>
    <definedName name="_in2010" localSheetId="71">#REF!</definedName>
    <definedName name="_in2010" localSheetId="73">#REF!</definedName>
    <definedName name="_in2010" localSheetId="67">#REF!</definedName>
    <definedName name="_in2010" localSheetId="59">#REF!</definedName>
    <definedName name="_in2010" localSheetId="60">#REF!</definedName>
    <definedName name="_in2010" localSheetId="18">#REF!</definedName>
    <definedName name="_in2010" localSheetId="5">#REF!</definedName>
    <definedName name="_in2010" localSheetId="61">#REF!</definedName>
    <definedName name="_in2010" localSheetId="19">#REF!</definedName>
    <definedName name="_in2010" localSheetId="20">#REF!</definedName>
    <definedName name="_in2010" localSheetId="30">#REF!</definedName>
    <definedName name="_in2010" localSheetId="58">#REF!</definedName>
    <definedName name="_in2010" localSheetId="56">#REF!</definedName>
    <definedName name="_in2010" localSheetId="57">#REF!</definedName>
    <definedName name="_in2010">#REF!</definedName>
    <definedName name="_in2010_14" localSheetId="62">#REF!</definedName>
    <definedName name="_in2010_14" localSheetId="66">#REF!</definedName>
    <definedName name="_in2010_14" localSheetId="64">#REF!</definedName>
    <definedName name="_in2010_14" localSheetId="65">#REF!</definedName>
    <definedName name="_in2010_14" localSheetId="45">#REF!</definedName>
    <definedName name="_in2010_14" localSheetId="31">#REF!</definedName>
    <definedName name="_in2010_14" localSheetId="41">#REF!</definedName>
    <definedName name="_in2010_14" localSheetId="40">#REF!</definedName>
    <definedName name="_in2010_14" localSheetId="42">#REF!</definedName>
    <definedName name="_in2010_14" localSheetId="44">#REF!</definedName>
    <definedName name="_in2010_14" localSheetId="43">#REF!</definedName>
    <definedName name="_in2010_14" localSheetId="28">#REF!</definedName>
    <definedName name="_in2010_14" localSheetId="46">#REF!</definedName>
    <definedName name="_in2010_14" localSheetId="48">#REF!</definedName>
    <definedName name="_in2010_14" localSheetId="49">#REF!</definedName>
    <definedName name="_in2010_14" localSheetId="22">#REF!</definedName>
    <definedName name="_in2010_14" localSheetId="23">#REF!</definedName>
    <definedName name="_in2010_14" localSheetId="50">#REF!</definedName>
    <definedName name="_in2010_14" localSheetId="71">#REF!</definedName>
    <definedName name="_in2010_14" localSheetId="73">#REF!</definedName>
    <definedName name="_in2010_14" localSheetId="67">#REF!</definedName>
    <definedName name="_in2010_14" localSheetId="59">#REF!</definedName>
    <definedName name="_in2010_14" localSheetId="60">#REF!</definedName>
    <definedName name="_in2010_14" localSheetId="18">#REF!</definedName>
    <definedName name="_in2010_14" localSheetId="5">#REF!</definedName>
    <definedName name="_in2010_14" localSheetId="61">#REF!</definedName>
    <definedName name="_in2010_14" localSheetId="19">#REF!</definedName>
    <definedName name="_in2010_14" localSheetId="20">#REF!</definedName>
    <definedName name="_in2010_14" localSheetId="30">#REF!</definedName>
    <definedName name="_in2010_14" localSheetId="58">#REF!</definedName>
    <definedName name="_in2010_14" localSheetId="56">#REF!</definedName>
    <definedName name="_in2010_14" localSheetId="57">#REF!</definedName>
    <definedName name="_in2010_14">#REF!</definedName>
    <definedName name="_in2011" localSheetId="62">#REF!</definedName>
    <definedName name="_in2011" localSheetId="66">#REF!</definedName>
    <definedName name="_in2011" localSheetId="64">#REF!</definedName>
    <definedName name="_in2011" localSheetId="65">#REF!</definedName>
    <definedName name="_in2011" localSheetId="45">#REF!</definedName>
    <definedName name="_in2011" localSheetId="31">#REF!</definedName>
    <definedName name="_in2011" localSheetId="41">#REF!</definedName>
    <definedName name="_in2011" localSheetId="40">#REF!</definedName>
    <definedName name="_in2011" localSheetId="42">#REF!</definedName>
    <definedName name="_in2011" localSheetId="44">#REF!</definedName>
    <definedName name="_in2011" localSheetId="43">#REF!</definedName>
    <definedName name="_in2011" localSheetId="28">#REF!</definedName>
    <definedName name="_in2011" localSheetId="46">#REF!</definedName>
    <definedName name="_in2011" localSheetId="48">#REF!</definedName>
    <definedName name="_in2011" localSheetId="49">#REF!</definedName>
    <definedName name="_in2011" localSheetId="22">#REF!</definedName>
    <definedName name="_in2011" localSheetId="23">#REF!</definedName>
    <definedName name="_in2011" localSheetId="50">#REF!</definedName>
    <definedName name="_in2011" localSheetId="71">#REF!</definedName>
    <definedName name="_in2011" localSheetId="73">#REF!</definedName>
    <definedName name="_in2011" localSheetId="67">#REF!</definedName>
    <definedName name="_in2011" localSheetId="59">#REF!</definedName>
    <definedName name="_in2011" localSheetId="60">#REF!</definedName>
    <definedName name="_in2011" localSheetId="18">#REF!</definedName>
    <definedName name="_in2011" localSheetId="5">#REF!</definedName>
    <definedName name="_in2011" localSheetId="61">#REF!</definedName>
    <definedName name="_in2011" localSheetId="19">#REF!</definedName>
    <definedName name="_in2011" localSheetId="20">#REF!</definedName>
    <definedName name="_in2011" localSheetId="30">#REF!</definedName>
    <definedName name="_in2011" localSheetId="58">#REF!</definedName>
    <definedName name="_in2011" localSheetId="56">#REF!</definedName>
    <definedName name="_in2011" localSheetId="57">#REF!</definedName>
    <definedName name="_in2011">#REF!</definedName>
    <definedName name="_in2011_14" localSheetId="62">#REF!</definedName>
    <definedName name="_in2011_14" localSheetId="66">#REF!</definedName>
    <definedName name="_in2011_14" localSheetId="64">#REF!</definedName>
    <definedName name="_in2011_14" localSheetId="65">#REF!</definedName>
    <definedName name="_in2011_14" localSheetId="45">#REF!</definedName>
    <definedName name="_in2011_14" localSheetId="31">#REF!</definedName>
    <definedName name="_in2011_14" localSheetId="41">#REF!</definedName>
    <definedName name="_in2011_14" localSheetId="40">#REF!</definedName>
    <definedName name="_in2011_14" localSheetId="42">#REF!</definedName>
    <definedName name="_in2011_14" localSheetId="44">#REF!</definedName>
    <definedName name="_in2011_14" localSheetId="43">#REF!</definedName>
    <definedName name="_in2011_14" localSheetId="28">#REF!</definedName>
    <definedName name="_in2011_14" localSheetId="46">#REF!</definedName>
    <definedName name="_in2011_14" localSheetId="48">#REF!</definedName>
    <definedName name="_in2011_14" localSheetId="49">#REF!</definedName>
    <definedName name="_in2011_14" localSheetId="22">#REF!</definedName>
    <definedName name="_in2011_14" localSheetId="23">#REF!</definedName>
    <definedName name="_in2011_14" localSheetId="50">#REF!</definedName>
    <definedName name="_in2011_14" localSheetId="71">#REF!</definedName>
    <definedName name="_in2011_14" localSheetId="73">#REF!</definedName>
    <definedName name="_in2011_14" localSheetId="67">#REF!</definedName>
    <definedName name="_in2011_14" localSheetId="59">#REF!</definedName>
    <definedName name="_in2011_14" localSheetId="60">#REF!</definedName>
    <definedName name="_in2011_14" localSheetId="18">#REF!</definedName>
    <definedName name="_in2011_14" localSheetId="5">#REF!</definedName>
    <definedName name="_in2011_14" localSheetId="61">#REF!</definedName>
    <definedName name="_in2011_14" localSheetId="19">#REF!</definedName>
    <definedName name="_in2011_14" localSheetId="20">#REF!</definedName>
    <definedName name="_in2011_14" localSheetId="30">#REF!</definedName>
    <definedName name="_in2011_14" localSheetId="58">#REF!</definedName>
    <definedName name="_in2011_14" localSheetId="56">#REF!</definedName>
    <definedName name="_in2011_14" localSheetId="57">#REF!</definedName>
    <definedName name="_in2011_14">#REF!</definedName>
    <definedName name="_in2012" localSheetId="62">#REF!</definedName>
    <definedName name="_in2012" localSheetId="66">#REF!</definedName>
    <definedName name="_in2012" localSheetId="64">#REF!</definedName>
    <definedName name="_in2012" localSheetId="65">#REF!</definedName>
    <definedName name="_in2012" localSheetId="45">#REF!</definedName>
    <definedName name="_in2012" localSheetId="31">#REF!</definedName>
    <definedName name="_in2012" localSheetId="41">#REF!</definedName>
    <definedName name="_in2012" localSheetId="40">#REF!</definedName>
    <definedName name="_in2012" localSheetId="42">#REF!</definedName>
    <definedName name="_in2012" localSheetId="44">#REF!</definedName>
    <definedName name="_in2012" localSheetId="43">#REF!</definedName>
    <definedName name="_in2012" localSheetId="28">#REF!</definedName>
    <definedName name="_in2012" localSheetId="46">#REF!</definedName>
    <definedName name="_in2012" localSheetId="48">#REF!</definedName>
    <definedName name="_in2012" localSheetId="49">#REF!</definedName>
    <definedName name="_in2012" localSheetId="22">#REF!</definedName>
    <definedName name="_in2012" localSheetId="23">#REF!</definedName>
    <definedName name="_in2012" localSheetId="50">#REF!</definedName>
    <definedName name="_in2012" localSheetId="71">#REF!</definedName>
    <definedName name="_in2012" localSheetId="73">#REF!</definedName>
    <definedName name="_in2012" localSheetId="67">#REF!</definedName>
    <definedName name="_in2012" localSheetId="59">#REF!</definedName>
    <definedName name="_in2012" localSheetId="60">#REF!</definedName>
    <definedName name="_in2012" localSheetId="18">#REF!</definedName>
    <definedName name="_in2012" localSheetId="5">#REF!</definedName>
    <definedName name="_in2012" localSheetId="61">#REF!</definedName>
    <definedName name="_in2012" localSheetId="19">#REF!</definedName>
    <definedName name="_in2012" localSheetId="20">#REF!</definedName>
    <definedName name="_in2012" localSheetId="30">#REF!</definedName>
    <definedName name="_in2012" localSheetId="58">#REF!</definedName>
    <definedName name="_in2012" localSheetId="56">#REF!</definedName>
    <definedName name="_in2012" localSheetId="57">#REF!</definedName>
    <definedName name="_in2012">#REF!</definedName>
    <definedName name="_in2012_14" localSheetId="62">#REF!</definedName>
    <definedName name="_in2012_14" localSheetId="66">#REF!</definedName>
    <definedName name="_in2012_14" localSheetId="64">#REF!</definedName>
    <definedName name="_in2012_14" localSheetId="65">#REF!</definedName>
    <definedName name="_in2012_14" localSheetId="45">#REF!</definedName>
    <definedName name="_in2012_14" localSheetId="31">#REF!</definedName>
    <definedName name="_in2012_14" localSheetId="41">#REF!</definedName>
    <definedName name="_in2012_14" localSheetId="40">#REF!</definedName>
    <definedName name="_in2012_14" localSheetId="42">#REF!</definedName>
    <definedName name="_in2012_14" localSheetId="44">#REF!</definedName>
    <definedName name="_in2012_14" localSheetId="43">#REF!</definedName>
    <definedName name="_in2012_14" localSheetId="28">#REF!</definedName>
    <definedName name="_in2012_14" localSheetId="46">#REF!</definedName>
    <definedName name="_in2012_14" localSheetId="48">#REF!</definedName>
    <definedName name="_in2012_14" localSheetId="49">#REF!</definedName>
    <definedName name="_in2012_14" localSheetId="22">#REF!</definedName>
    <definedName name="_in2012_14" localSheetId="23">#REF!</definedName>
    <definedName name="_in2012_14" localSheetId="50">#REF!</definedName>
    <definedName name="_in2012_14" localSheetId="71">#REF!</definedName>
    <definedName name="_in2012_14" localSheetId="73">#REF!</definedName>
    <definedName name="_in2012_14" localSheetId="67">#REF!</definedName>
    <definedName name="_in2012_14" localSheetId="59">#REF!</definedName>
    <definedName name="_in2012_14" localSheetId="60">#REF!</definedName>
    <definedName name="_in2012_14" localSheetId="18">#REF!</definedName>
    <definedName name="_in2012_14" localSheetId="5">#REF!</definedName>
    <definedName name="_in2012_14" localSheetId="61">#REF!</definedName>
    <definedName name="_in2012_14" localSheetId="19">#REF!</definedName>
    <definedName name="_in2012_14" localSheetId="20">#REF!</definedName>
    <definedName name="_in2012_14" localSheetId="30">#REF!</definedName>
    <definedName name="_in2012_14" localSheetId="58">#REF!</definedName>
    <definedName name="_in2012_14" localSheetId="56">#REF!</definedName>
    <definedName name="_in2012_14" localSheetId="57">#REF!</definedName>
    <definedName name="_in2012_14">#REF!</definedName>
    <definedName name="_in2013" localSheetId="62">#REF!</definedName>
    <definedName name="_in2013" localSheetId="66">#REF!</definedName>
    <definedName name="_in2013" localSheetId="64">#REF!</definedName>
    <definedName name="_in2013" localSheetId="65">#REF!</definedName>
    <definedName name="_in2013" localSheetId="45">#REF!</definedName>
    <definedName name="_in2013" localSheetId="31">#REF!</definedName>
    <definedName name="_in2013" localSheetId="41">#REF!</definedName>
    <definedName name="_in2013" localSheetId="40">#REF!</definedName>
    <definedName name="_in2013" localSheetId="42">#REF!</definedName>
    <definedName name="_in2013" localSheetId="44">#REF!</definedName>
    <definedName name="_in2013" localSheetId="43">#REF!</definedName>
    <definedName name="_in2013" localSheetId="28">#REF!</definedName>
    <definedName name="_in2013" localSheetId="46">#REF!</definedName>
    <definedName name="_in2013" localSheetId="48">#REF!</definedName>
    <definedName name="_in2013" localSheetId="49">#REF!</definedName>
    <definedName name="_in2013" localSheetId="22">#REF!</definedName>
    <definedName name="_in2013" localSheetId="23">#REF!</definedName>
    <definedName name="_in2013" localSheetId="50">#REF!</definedName>
    <definedName name="_in2013" localSheetId="71">#REF!</definedName>
    <definedName name="_in2013" localSheetId="73">#REF!</definedName>
    <definedName name="_in2013" localSheetId="67">#REF!</definedName>
    <definedName name="_in2013" localSheetId="59">#REF!</definedName>
    <definedName name="_in2013" localSheetId="60">#REF!</definedName>
    <definedName name="_in2013" localSheetId="18">#REF!</definedName>
    <definedName name="_in2013" localSheetId="5">#REF!</definedName>
    <definedName name="_in2013" localSheetId="61">#REF!</definedName>
    <definedName name="_in2013" localSheetId="19">#REF!</definedName>
    <definedName name="_in2013" localSheetId="20">#REF!</definedName>
    <definedName name="_in2013" localSheetId="30">#REF!</definedName>
    <definedName name="_in2013" localSheetId="58">#REF!</definedName>
    <definedName name="_in2013" localSheetId="56">#REF!</definedName>
    <definedName name="_in2013" localSheetId="57">#REF!</definedName>
    <definedName name="_in2013">#REF!</definedName>
    <definedName name="_in2013_14" localSheetId="62">#REF!</definedName>
    <definedName name="_in2013_14" localSheetId="66">#REF!</definedName>
    <definedName name="_in2013_14" localSheetId="64">#REF!</definedName>
    <definedName name="_in2013_14" localSheetId="65">#REF!</definedName>
    <definedName name="_in2013_14" localSheetId="45">#REF!</definedName>
    <definedName name="_in2013_14" localSheetId="31">#REF!</definedName>
    <definedName name="_in2013_14" localSheetId="41">#REF!</definedName>
    <definedName name="_in2013_14" localSheetId="40">#REF!</definedName>
    <definedName name="_in2013_14" localSheetId="42">#REF!</definedName>
    <definedName name="_in2013_14" localSheetId="44">#REF!</definedName>
    <definedName name="_in2013_14" localSheetId="43">#REF!</definedName>
    <definedName name="_in2013_14" localSheetId="28">#REF!</definedName>
    <definedName name="_in2013_14" localSheetId="46">#REF!</definedName>
    <definedName name="_in2013_14" localSheetId="48">#REF!</definedName>
    <definedName name="_in2013_14" localSheetId="49">#REF!</definedName>
    <definedName name="_in2013_14" localSheetId="22">#REF!</definedName>
    <definedName name="_in2013_14" localSheetId="23">#REF!</definedName>
    <definedName name="_in2013_14" localSheetId="50">#REF!</definedName>
    <definedName name="_in2013_14" localSheetId="71">#REF!</definedName>
    <definedName name="_in2013_14" localSheetId="73">#REF!</definedName>
    <definedName name="_in2013_14" localSheetId="67">#REF!</definedName>
    <definedName name="_in2013_14" localSheetId="59">#REF!</definedName>
    <definedName name="_in2013_14" localSheetId="60">#REF!</definedName>
    <definedName name="_in2013_14" localSheetId="18">#REF!</definedName>
    <definedName name="_in2013_14" localSheetId="5">#REF!</definedName>
    <definedName name="_in2013_14" localSheetId="61">#REF!</definedName>
    <definedName name="_in2013_14" localSheetId="19">#REF!</definedName>
    <definedName name="_in2013_14" localSheetId="20">#REF!</definedName>
    <definedName name="_in2013_14" localSheetId="30">#REF!</definedName>
    <definedName name="_in2013_14" localSheetId="58">#REF!</definedName>
    <definedName name="_in2013_14" localSheetId="56">#REF!</definedName>
    <definedName name="_in2013_14" localSheetId="57">#REF!</definedName>
    <definedName name="_in2013_14">#REF!</definedName>
    <definedName name="_in2014" localSheetId="62">#REF!</definedName>
    <definedName name="_in2014" localSheetId="66">#REF!</definedName>
    <definedName name="_in2014" localSheetId="64">#REF!</definedName>
    <definedName name="_in2014" localSheetId="65">#REF!</definedName>
    <definedName name="_in2014" localSheetId="45">#REF!</definedName>
    <definedName name="_in2014" localSheetId="31">#REF!</definedName>
    <definedName name="_in2014" localSheetId="41">#REF!</definedName>
    <definedName name="_in2014" localSheetId="40">#REF!</definedName>
    <definedName name="_in2014" localSheetId="42">#REF!</definedName>
    <definedName name="_in2014" localSheetId="44">#REF!</definedName>
    <definedName name="_in2014" localSheetId="43">#REF!</definedName>
    <definedName name="_in2014" localSheetId="28">#REF!</definedName>
    <definedName name="_in2014" localSheetId="46">#REF!</definedName>
    <definedName name="_in2014" localSheetId="48">#REF!</definedName>
    <definedName name="_in2014" localSheetId="49">#REF!</definedName>
    <definedName name="_in2014" localSheetId="22">#REF!</definedName>
    <definedName name="_in2014" localSheetId="23">#REF!</definedName>
    <definedName name="_in2014" localSheetId="50">#REF!</definedName>
    <definedName name="_in2014" localSheetId="71">#REF!</definedName>
    <definedName name="_in2014" localSheetId="73">#REF!</definedName>
    <definedName name="_in2014" localSheetId="67">#REF!</definedName>
    <definedName name="_in2014" localSheetId="59">#REF!</definedName>
    <definedName name="_in2014" localSheetId="60">#REF!</definedName>
    <definedName name="_in2014" localSheetId="18">#REF!</definedName>
    <definedName name="_in2014" localSheetId="5">#REF!</definedName>
    <definedName name="_in2014" localSheetId="61">#REF!</definedName>
    <definedName name="_in2014" localSheetId="19">#REF!</definedName>
    <definedName name="_in2014" localSheetId="20">#REF!</definedName>
    <definedName name="_in2014" localSheetId="30">#REF!</definedName>
    <definedName name="_in2014" localSheetId="58">#REF!</definedName>
    <definedName name="_in2014" localSheetId="56">#REF!</definedName>
    <definedName name="_in2014" localSheetId="57">#REF!</definedName>
    <definedName name="_in2014">#REF!</definedName>
    <definedName name="_in2014_14" localSheetId="62">#REF!</definedName>
    <definedName name="_in2014_14" localSheetId="66">#REF!</definedName>
    <definedName name="_in2014_14" localSheetId="64">#REF!</definedName>
    <definedName name="_in2014_14" localSheetId="65">#REF!</definedName>
    <definedName name="_in2014_14" localSheetId="45">#REF!</definedName>
    <definedName name="_in2014_14" localSheetId="31">#REF!</definedName>
    <definedName name="_in2014_14" localSheetId="41">#REF!</definedName>
    <definedName name="_in2014_14" localSheetId="40">#REF!</definedName>
    <definedName name="_in2014_14" localSheetId="42">#REF!</definedName>
    <definedName name="_in2014_14" localSheetId="44">#REF!</definedName>
    <definedName name="_in2014_14" localSheetId="43">#REF!</definedName>
    <definedName name="_in2014_14" localSheetId="28">#REF!</definedName>
    <definedName name="_in2014_14" localSheetId="46">#REF!</definedName>
    <definedName name="_in2014_14" localSheetId="48">#REF!</definedName>
    <definedName name="_in2014_14" localSheetId="49">#REF!</definedName>
    <definedName name="_in2014_14" localSheetId="22">#REF!</definedName>
    <definedName name="_in2014_14" localSheetId="23">#REF!</definedName>
    <definedName name="_in2014_14" localSheetId="50">#REF!</definedName>
    <definedName name="_in2014_14" localSheetId="71">#REF!</definedName>
    <definedName name="_in2014_14" localSheetId="73">#REF!</definedName>
    <definedName name="_in2014_14" localSheetId="67">#REF!</definedName>
    <definedName name="_in2014_14" localSheetId="59">#REF!</definedName>
    <definedName name="_in2014_14" localSheetId="60">#REF!</definedName>
    <definedName name="_in2014_14" localSheetId="18">#REF!</definedName>
    <definedName name="_in2014_14" localSheetId="5">#REF!</definedName>
    <definedName name="_in2014_14" localSheetId="61">#REF!</definedName>
    <definedName name="_in2014_14" localSheetId="19">#REF!</definedName>
    <definedName name="_in2014_14" localSheetId="20">#REF!</definedName>
    <definedName name="_in2014_14" localSheetId="30">#REF!</definedName>
    <definedName name="_in2014_14" localSheetId="58">#REF!</definedName>
    <definedName name="_in2014_14" localSheetId="56">#REF!</definedName>
    <definedName name="_in2014_14" localSheetId="57">#REF!</definedName>
    <definedName name="_in2014_14">#REF!</definedName>
    <definedName name="_in2015" localSheetId="62">#REF!</definedName>
    <definedName name="_in2015" localSheetId="66">#REF!</definedName>
    <definedName name="_in2015" localSheetId="64">#REF!</definedName>
    <definedName name="_in2015" localSheetId="65">#REF!</definedName>
    <definedName name="_in2015" localSheetId="45">#REF!</definedName>
    <definedName name="_in2015" localSheetId="31">#REF!</definedName>
    <definedName name="_in2015" localSheetId="41">#REF!</definedName>
    <definedName name="_in2015" localSheetId="40">#REF!</definedName>
    <definedName name="_in2015" localSheetId="42">#REF!</definedName>
    <definedName name="_in2015" localSheetId="44">#REF!</definedName>
    <definedName name="_in2015" localSheetId="43">#REF!</definedName>
    <definedName name="_in2015" localSheetId="28">#REF!</definedName>
    <definedName name="_in2015" localSheetId="46">#REF!</definedName>
    <definedName name="_in2015" localSheetId="48">#REF!</definedName>
    <definedName name="_in2015" localSheetId="49">#REF!</definedName>
    <definedName name="_in2015" localSheetId="22">#REF!</definedName>
    <definedName name="_in2015" localSheetId="23">#REF!</definedName>
    <definedName name="_in2015" localSheetId="50">#REF!</definedName>
    <definedName name="_in2015" localSheetId="71">#REF!</definedName>
    <definedName name="_in2015" localSheetId="73">#REF!</definedName>
    <definedName name="_in2015" localSheetId="67">#REF!</definedName>
    <definedName name="_in2015" localSheetId="59">#REF!</definedName>
    <definedName name="_in2015" localSheetId="60">#REF!</definedName>
    <definedName name="_in2015" localSheetId="18">#REF!</definedName>
    <definedName name="_in2015" localSheetId="5">#REF!</definedName>
    <definedName name="_in2015" localSheetId="61">#REF!</definedName>
    <definedName name="_in2015" localSheetId="19">#REF!</definedName>
    <definedName name="_in2015" localSheetId="20">#REF!</definedName>
    <definedName name="_in2015" localSheetId="30">#REF!</definedName>
    <definedName name="_in2015" localSheetId="58">#REF!</definedName>
    <definedName name="_in2015" localSheetId="56">#REF!</definedName>
    <definedName name="_in2015" localSheetId="57">#REF!</definedName>
    <definedName name="_in2015">#REF!</definedName>
    <definedName name="_in2015_14" localSheetId="62">#REF!</definedName>
    <definedName name="_in2015_14" localSheetId="66">#REF!</definedName>
    <definedName name="_in2015_14" localSheetId="64">#REF!</definedName>
    <definedName name="_in2015_14" localSheetId="65">#REF!</definedName>
    <definedName name="_in2015_14" localSheetId="45">#REF!</definedName>
    <definedName name="_in2015_14" localSheetId="31">#REF!</definedName>
    <definedName name="_in2015_14" localSheetId="41">#REF!</definedName>
    <definedName name="_in2015_14" localSheetId="40">#REF!</definedName>
    <definedName name="_in2015_14" localSheetId="42">#REF!</definedName>
    <definedName name="_in2015_14" localSheetId="44">#REF!</definedName>
    <definedName name="_in2015_14" localSheetId="43">#REF!</definedName>
    <definedName name="_in2015_14" localSheetId="28">#REF!</definedName>
    <definedName name="_in2015_14" localSheetId="46">#REF!</definedName>
    <definedName name="_in2015_14" localSheetId="48">#REF!</definedName>
    <definedName name="_in2015_14" localSheetId="49">#REF!</definedName>
    <definedName name="_in2015_14" localSheetId="22">#REF!</definedName>
    <definedName name="_in2015_14" localSheetId="23">#REF!</definedName>
    <definedName name="_in2015_14" localSheetId="50">#REF!</definedName>
    <definedName name="_in2015_14" localSheetId="71">#REF!</definedName>
    <definedName name="_in2015_14" localSheetId="73">#REF!</definedName>
    <definedName name="_in2015_14" localSheetId="67">#REF!</definedName>
    <definedName name="_in2015_14" localSheetId="59">#REF!</definedName>
    <definedName name="_in2015_14" localSheetId="60">#REF!</definedName>
    <definedName name="_in2015_14" localSheetId="18">#REF!</definedName>
    <definedName name="_in2015_14" localSheetId="5">#REF!</definedName>
    <definedName name="_in2015_14" localSheetId="61">#REF!</definedName>
    <definedName name="_in2015_14" localSheetId="19">#REF!</definedName>
    <definedName name="_in2015_14" localSheetId="20">#REF!</definedName>
    <definedName name="_in2015_14" localSheetId="30">#REF!</definedName>
    <definedName name="_in2015_14" localSheetId="58">#REF!</definedName>
    <definedName name="_in2015_14" localSheetId="56">#REF!</definedName>
    <definedName name="_in2015_14" localSheetId="57">#REF!</definedName>
    <definedName name="_in2015_14">#REF!</definedName>
    <definedName name="_inf2007" localSheetId="62">#REF!</definedName>
    <definedName name="_inf2007" localSheetId="66">#REF!</definedName>
    <definedName name="_inf2007" localSheetId="64">#REF!</definedName>
    <definedName name="_inf2007" localSheetId="65">#REF!</definedName>
    <definedName name="_inf2007" localSheetId="45">#REF!</definedName>
    <definedName name="_inf2007" localSheetId="31">#REF!</definedName>
    <definedName name="_inf2007" localSheetId="41">#REF!</definedName>
    <definedName name="_inf2007" localSheetId="40">#REF!</definedName>
    <definedName name="_inf2007" localSheetId="42">#REF!</definedName>
    <definedName name="_inf2007" localSheetId="44">#REF!</definedName>
    <definedName name="_inf2007" localSheetId="43">#REF!</definedName>
    <definedName name="_inf2007" localSheetId="28">#REF!</definedName>
    <definedName name="_inf2007" localSheetId="46">#REF!</definedName>
    <definedName name="_inf2007" localSheetId="48">#REF!</definedName>
    <definedName name="_inf2007" localSheetId="49">#REF!</definedName>
    <definedName name="_inf2007" localSheetId="22">#REF!</definedName>
    <definedName name="_inf2007" localSheetId="23">#REF!</definedName>
    <definedName name="_inf2007" localSheetId="50">#REF!</definedName>
    <definedName name="_inf2007" localSheetId="71">#REF!</definedName>
    <definedName name="_inf2007" localSheetId="73">#REF!</definedName>
    <definedName name="_inf2007" localSheetId="67">#REF!</definedName>
    <definedName name="_inf2007" localSheetId="59">#REF!</definedName>
    <definedName name="_inf2007" localSheetId="60">#REF!</definedName>
    <definedName name="_inf2007" localSheetId="18">#REF!</definedName>
    <definedName name="_inf2007" localSheetId="5">#REF!</definedName>
    <definedName name="_inf2007" localSheetId="61">#REF!</definedName>
    <definedName name="_inf2007" localSheetId="19">#REF!</definedName>
    <definedName name="_inf2007" localSheetId="20">#REF!</definedName>
    <definedName name="_inf2007" localSheetId="30">#REF!</definedName>
    <definedName name="_inf2007" localSheetId="58">#REF!</definedName>
    <definedName name="_inf2007" localSheetId="56">#REF!</definedName>
    <definedName name="_inf2007" localSheetId="57">#REF!</definedName>
    <definedName name="_inf2007">#REF!</definedName>
    <definedName name="_inf2007_14" localSheetId="62">#REF!</definedName>
    <definedName name="_inf2007_14" localSheetId="66">#REF!</definedName>
    <definedName name="_inf2007_14" localSheetId="64">#REF!</definedName>
    <definedName name="_inf2007_14" localSheetId="65">#REF!</definedName>
    <definedName name="_inf2007_14" localSheetId="45">#REF!</definedName>
    <definedName name="_inf2007_14" localSheetId="31">#REF!</definedName>
    <definedName name="_inf2007_14" localSheetId="41">#REF!</definedName>
    <definedName name="_inf2007_14" localSheetId="40">#REF!</definedName>
    <definedName name="_inf2007_14" localSheetId="42">#REF!</definedName>
    <definedName name="_inf2007_14" localSheetId="44">#REF!</definedName>
    <definedName name="_inf2007_14" localSheetId="43">#REF!</definedName>
    <definedName name="_inf2007_14" localSheetId="28">#REF!</definedName>
    <definedName name="_inf2007_14" localSheetId="46">#REF!</definedName>
    <definedName name="_inf2007_14" localSheetId="48">#REF!</definedName>
    <definedName name="_inf2007_14" localSheetId="49">#REF!</definedName>
    <definedName name="_inf2007_14" localSheetId="22">#REF!</definedName>
    <definedName name="_inf2007_14" localSheetId="23">#REF!</definedName>
    <definedName name="_inf2007_14" localSheetId="50">#REF!</definedName>
    <definedName name="_inf2007_14" localSheetId="71">#REF!</definedName>
    <definedName name="_inf2007_14" localSheetId="73">#REF!</definedName>
    <definedName name="_inf2007_14" localSheetId="67">#REF!</definedName>
    <definedName name="_inf2007_14" localSheetId="59">#REF!</definedName>
    <definedName name="_inf2007_14" localSheetId="60">#REF!</definedName>
    <definedName name="_inf2007_14" localSheetId="18">#REF!</definedName>
    <definedName name="_inf2007_14" localSheetId="5">#REF!</definedName>
    <definedName name="_inf2007_14" localSheetId="61">#REF!</definedName>
    <definedName name="_inf2007_14" localSheetId="19">#REF!</definedName>
    <definedName name="_inf2007_14" localSheetId="20">#REF!</definedName>
    <definedName name="_inf2007_14" localSheetId="30">#REF!</definedName>
    <definedName name="_inf2007_14" localSheetId="58">#REF!</definedName>
    <definedName name="_inf2007_14" localSheetId="56">#REF!</definedName>
    <definedName name="_inf2007_14" localSheetId="57">#REF!</definedName>
    <definedName name="_inf2007_14">#REF!</definedName>
    <definedName name="_inf2008" localSheetId="62">#REF!</definedName>
    <definedName name="_inf2008" localSheetId="66">#REF!</definedName>
    <definedName name="_inf2008" localSheetId="64">#REF!</definedName>
    <definedName name="_inf2008" localSheetId="65">#REF!</definedName>
    <definedName name="_inf2008" localSheetId="45">#REF!</definedName>
    <definedName name="_inf2008" localSheetId="31">#REF!</definedName>
    <definedName name="_inf2008" localSheetId="41">#REF!</definedName>
    <definedName name="_inf2008" localSheetId="40">#REF!</definedName>
    <definedName name="_inf2008" localSheetId="42">#REF!</definedName>
    <definedName name="_inf2008" localSheetId="44">#REF!</definedName>
    <definedName name="_inf2008" localSheetId="43">#REF!</definedName>
    <definedName name="_inf2008" localSheetId="28">#REF!</definedName>
    <definedName name="_inf2008" localSheetId="46">#REF!</definedName>
    <definedName name="_inf2008" localSheetId="48">#REF!</definedName>
    <definedName name="_inf2008" localSheetId="49">#REF!</definedName>
    <definedName name="_inf2008" localSheetId="22">#REF!</definedName>
    <definedName name="_inf2008" localSheetId="23">#REF!</definedName>
    <definedName name="_inf2008" localSheetId="50">#REF!</definedName>
    <definedName name="_inf2008" localSheetId="71">#REF!</definedName>
    <definedName name="_inf2008" localSheetId="73">#REF!</definedName>
    <definedName name="_inf2008" localSheetId="67">#REF!</definedName>
    <definedName name="_inf2008" localSheetId="59">#REF!</definedName>
    <definedName name="_inf2008" localSheetId="60">#REF!</definedName>
    <definedName name="_inf2008" localSheetId="18">#REF!</definedName>
    <definedName name="_inf2008" localSheetId="5">#REF!</definedName>
    <definedName name="_inf2008" localSheetId="61">#REF!</definedName>
    <definedName name="_inf2008" localSheetId="19">#REF!</definedName>
    <definedName name="_inf2008" localSheetId="20">#REF!</definedName>
    <definedName name="_inf2008" localSheetId="30">#REF!</definedName>
    <definedName name="_inf2008" localSheetId="58">#REF!</definedName>
    <definedName name="_inf2008" localSheetId="56">#REF!</definedName>
    <definedName name="_inf2008" localSheetId="57">#REF!</definedName>
    <definedName name="_inf2008">#REF!</definedName>
    <definedName name="_inf2008_14" localSheetId="62">#REF!</definedName>
    <definedName name="_inf2008_14" localSheetId="66">#REF!</definedName>
    <definedName name="_inf2008_14" localSheetId="64">#REF!</definedName>
    <definedName name="_inf2008_14" localSheetId="65">#REF!</definedName>
    <definedName name="_inf2008_14" localSheetId="45">#REF!</definedName>
    <definedName name="_inf2008_14" localSheetId="31">#REF!</definedName>
    <definedName name="_inf2008_14" localSheetId="41">#REF!</definedName>
    <definedName name="_inf2008_14" localSheetId="40">#REF!</definedName>
    <definedName name="_inf2008_14" localSheetId="42">#REF!</definedName>
    <definedName name="_inf2008_14" localSheetId="44">#REF!</definedName>
    <definedName name="_inf2008_14" localSheetId="43">#REF!</definedName>
    <definedName name="_inf2008_14" localSheetId="28">#REF!</definedName>
    <definedName name="_inf2008_14" localSheetId="46">#REF!</definedName>
    <definedName name="_inf2008_14" localSheetId="48">#REF!</definedName>
    <definedName name="_inf2008_14" localSheetId="49">#REF!</definedName>
    <definedName name="_inf2008_14" localSheetId="22">#REF!</definedName>
    <definedName name="_inf2008_14" localSheetId="23">#REF!</definedName>
    <definedName name="_inf2008_14" localSheetId="50">#REF!</definedName>
    <definedName name="_inf2008_14" localSheetId="71">#REF!</definedName>
    <definedName name="_inf2008_14" localSheetId="73">#REF!</definedName>
    <definedName name="_inf2008_14" localSheetId="67">#REF!</definedName>
    <definedName name="_inf2008_14" localSheetId="59">#REF!</definedName>
    <definedName name="_inf2008_14" localSheetId="60">#REF!</definedName>
    <definedName name="_inf2008_14" localSheetId="18">#REF!</definedName>
    <definedName name="_inf2008_14" localSheetId="5">#REF!</definedName>
    <definedName name="_inf2008_14" localSheetId="61">#REF!</definedName>
    <definedName name="_inf2008_14" localSheetId="19">#REF!</definedName>
    <definedName name="_inf2008_14" localSheetId="20">#REF!</definedName>
    <definedName name="_inf2008_14" localSheetId="30">#REF!</definedName>
    <definedName name="_inf2008_14" localSheetId="58">#REF!</definedName>
    <definedName name="_inf2008_14" localSheetId="56">#REF!</definedName>
    <definedName name="_inf2008_14" localSheetId="57">#REF!</definedName>
    <definedName name="_inf2008_14">#REF!</definedName>
    <definedName name="_inf2009" localSheetId="62">#REF!</definedName>
    <definedName name="_inf2009" localSheetId="66">#REF!</definedName>
    <definedName name="_inf2009" localSheetId="64">#REF!</definedName>
    <definedName name="_inf2009" localSheetId="65">#REF!</definedName>
    <definedName name="_inf2009" localSheetId="45">#REF!</definedName>
    <definedName name="_inf2009" localSheetId="31">#REF!</definedName>
    <definedName name="_inf2009" localSheetId="41">#REF!</definedName>
    <definedName name="_inf2009" localSheetId="40">#REF!</definedName>
    <definedName name="_inf2009" localSheetId="42">#REF!</definedName>
    <definedName name="_inf2009" localSheetId="44">#REF!</definedName>
    <definedName name="_inf2009" localSheetId="43">#REF!</definedName>
    <definedName name="_inf2009" localSheetId="28">#REF!</definedName>
    <definedName name="_inf2009" localSheetId="46">#REF!</definedName>
    <definedName name="_inf2009" localSheetId="48">#REF!</definedName>
    <definedName name="_inf2009" localSheetId="49">#REF!</definedName>
    <definedName name="_inf2009" localSheetId="22">#REF!</definedName>
    <definedName name="_inf2009" localSheetId="23">#REF!</definedName>
    <definedName name="_inf2009" localSheetId="50">#REF!</definedName>
    <definedName name="_inf2009" localSheetId="71">#REF!</definedName>
    <definedName name="_inf2009" localSheetId="73">#REF!</definedName>
    <definedName name="_inf2009" localSheetId="67">#REF!</definedName>
    <definedName name="_inf2009" localSheetId="59">#REF!</definedName>
    <definedName name="_inf2009" localSheetId="60">#REF!</definedName>
    <definedName name="_inf2009" localSheetId="18">#REF!</definedName>
    <definedName name="_inf2009" localSheetId="5">#REF!</definedName>
    <definedName name="_inf2009" localSheetId="61">#REF!</definedName>
    <definedName name="_inf2009" localSheetId="19">#REF!</definedName>
    <definedName name="_inf2009" localSheetId="20">#REF!</definedName>
    <definedName name="_inf2009" localSheetId="30">#REF!</definedName>
    <definedName name="_inf2009" localSheetId="58">#REF!</definedName>
    <definedName name="_inf2009" localSheetId="56">#REF!</definedName>
    <definedName name="_inf2009" localSheetId="57">#REF!</definedName>
    <definedName name="_inf2009">#REF!</definedName>
    <definedName name="_inf2009_14" localSheetId="62">#REF!</definedName>
    <definedName name="_inf2009_14" localSheetId="66">#REF!</definedName>
    <definedName name="_inf2009_14" localSheetId="64">#REF!</definedName>
    <definedName name="_inf2009_14" localSheetId="65">#REF!</definedName>
    <definedName name="_inf2009_14" localSheetId="45">#REF!</definedName>
    <definedName name="_inf2009_14" localSheetId="31">#REF!</definedName>
    <definedName name="_inf2009_14" localSheetId="41">#REF!</definedName>
    <definedName name="_inf2009_14" localSheetId="40">#REF!</definedName>
    <definedName name="_inf2009_14" localSheetId="42">#REF!</definedName>
    <definedName name="_inf2009_14" localSheetId="44">#REF!</definedName>
    <definedName name="_inf2009_14" localSheetId="43">#REF!</definedName>
    <definedName name="_inf2009_14" localSheetId="28">#REF!</definedName>
    <definedName name="_inf2009_14" localSheetId="46">#REF!</definedName>
    <definedName name="_inf2009_14" localSheetId="48">#REF!</definedName>
    <definedName name="_inf2009_14" localSheetId="49">#REF!</definedName>
    <definedName name="_inf2009_14" localSheetId="22">#REF!</definedName>
    <definedName name="_inf2009_14" localSheetId="23">#REF!</definedName>
    <definedName name="_inf2009_14" localSheetId="50">#REF!</definedName>
    <definedName name="_inf2009_14" localSheetId="71">#REF!</definedName>
    <definedName name="_inf2009_14" localSheetId="73">#REF!</definedName>
    <definedName name="_inf2009_14" localSheetId="67">#REF!</definedName>
    <definedName name="_inf2009_14" localSheetId="59">#REF!</definedName>
    <definedName name="_inf2009_14" localSheetId="60">#REF!</definedName>
    <definedName name="_inf2009_14" localSheetId="18">#REF!</definedName>
    <definedName name="_inf2009_14" localSheetId="5">#REF!</definedName>
    <definedName name="_inf2009_14" localSheetId="61">#REF!</definedName>
    <definedName name="_inf2009_14" localSheetId="19">#REF!</definedName>
    <definedName name="_inf2009_14" localSheetId="20">#REF!</definedName>
    <definedName name="_inf2009_14" localSheetId="30">#REF!</definedName>
    <definedName name="_inf2009_14" localSheetId="58">#REF!</definedName>
    <definedName name="_inf2009_14" localSheetId="56">#REF!</definedName>
    <definedName name="_inf2009_14" localSheetId="57">#REF!</definedName>
    <definedName name="_inf2009_14">#REF!</definedName>
    <definedName name="_inf2010" localSheetId="62">#REF!</definedName>
    <definedName name="_inf2010" localSheetId="66">#REF!</definedName>
    <definedName name="_inf2010" localSheetId="64">#REF!</definedName>
    <definedName name="_inf2010" localSheetId="65">#REF!</definedName>
    <definedName name="_inf2010" localSheetId="45">#REF!</definedName>
    <definedName name="_inf2010" localSheetId="31">#REF!</definedName>
    <definedName name="_inf2010" localSheetId="41">#REF!</definedName>
    <definedName name="_inf2010" localSheetId="40">#REF!</definedName>
    <definedName name="_inf2010" localSheetId="42">#REF!</definedName>
    <definedName name="_inf2010" localSheetId="44">#REF!</definedName>
    <definedName name="_inf2010" localSheetId="43">#REF!</definedName>
    <definedName name="_inf2010" localSheetId="28">#REF!</definedName>
    <definedName name="_inf2010" localSheetId="46">#REF!</definedName>
    <definedName name="_inf2010" localSheetId="48">#REF!</definedName>
    <definedName name="_inf2010" localSheetId="49">#REF!</definedName>
    <definedName name="_inf2010" localSheetId="22">#REF!</definedName>
    <definedName name="_inf2010" localSheetId="23">#REF!</definedName>
    <definedName name="_inf2010" localSheetId="50">#REF!</definedName>
    <definedName name="_inf2010" localSheetId="71">#REF!</definedName>
    <definedName name="_inf2010" localSheetId="73">#REF!</definedName>
    <definedName name="_inf2010" localSheetId="67">#REF!</definedName>
    <definedName name="_inf2010" localSheetId="59">#REF!</definedName>
    <definedName name="_inf2010" localSheetId="60">#REF!</definedName>
    <definedName name="_inf2010" localSheetId="18">#REF!</definedName>
    <definedName name="_inf2010" localSheetId="5">#REF!</definedName>
    <definedName name="_inf2010" localSheetId="61">#REF!</definedName>
    <definedName name="_inf2010" localSheetId="19">#REF!</definedName>
    <definedName name="_inf2010" localSheetId="20">#REF!</definedName>
    <definedName name="_inf2010" localSheetId="30">#REF!</definedName>
    <definedName name="_inf2010" localSheetId="58">#REF!</definedName>
    <definedName name="_inf2010" localSheetId="56">#REF!</definedName>
    <definedName name="_inf2010" localSheetId="57">#REF!</definedName>
    <definedName name="_inf2010">#REF!</definedName>
    <definedName name="_inf2010_14" localSheetId="62">#REF!</definedName>
    <definedName name="_inf2010_14" localSheetId="66">#REF!</definedName>
    <definedName name="_inf2010_14" localSheetId="64">#REF!</definedName>
    <definedName name="_inf2010_14" localSheetId="65">#REF!</definedName>
    <definedName name="_inf2010_14" localSheetId="45">#REF!</definedName>
    <definedName name="_inf2010_14" localSheetId="31">#REF!</definedName>
    <definedName name="_inf2010_14" localSheetId="41">#REF!</definedName>
    <definedName name="_inf2010_14" localSheetId="40">#REF!</definedName>
    <definedName name="_inf2010_14" localSheetId="42">#REF!</definedName>
    <definedName name="_inf2010_14" localSheetId="44">#REF!</definedName>
    <definedName name="_inf2010_14" localSheetId="43">#REF!</definedName>
    <definedName name="_inf2010_14" localSheetId="28">#REF!</definedName>
    <definedName name="_inf2010_14" localSheetId="46">#REF!</definedName>
    <definedName name="_inf2010_14" localSheetId="48">#REF!</definedName>
    <definedName name="_inf2010_14" localSheetId="49">#REF!</definedName>
    <definedName name="_inf2010_14" localSheetId="22">#REF!</definedName>
    <definedName name="_inf2010_14" localSheetId="23">#REF!</definedName>
    <definedName name="_inf2010_14" localSheetId="50">#REF!</definedName>
    <definedName name="_inf2010_14" localSheetId="71">#REF!</definedName>
    <definedName name="_inf2010_14" localSheetId="73">#REF!</definedName>
    <definedName name="_inf2010_14" localSheetId="67">#REF!</definedName>
    <definedName name="_inf2010_14" localSheetId="59">#REF!</definedName>
    <definedName name="_inf2010_14" localSheetId="60">#REF!</definedName>
    <definedName name="_inf2010_14" localSheetId="18">#REF!</definedName>
    <definedName name="_inf2010_14" localSheetId="5">#REF!</definedName>
    <definedName name="_inf2010_14" localSheetId="61">#REF!</definedName>
    <definedName name="_inf2010_14" localSheetId="19">#REF!</definedName>
    <definedName name="_inf2010_14" localSheetId="20">#REF!</definedName>
    <definedName name="_inf2010_14" localSheetId="30">#REF!</definedName>
    <definedName name="_inf2010_14" localSheetId="58">#REF!</definedName>
    <definedName name="_inf2010_14" localSheetId="56">#REF!</definedName>
    <definedName name="_inf2010_14" localSheetId="57">#REF!</definedName>
    <definedName name="_inf2010_14">#REF!</definedName>
    <definedName name="_inf2011" localSheetId="62">#REF!</definedName>
    <definedName name="_inf2011" localSheetId="66">#REF!</definedName>
    <definedName name="_inf2011" localSheetId="64">#REF!</definedName>
    <definedName name="_inf2011" localSheetId="65">#REF!</definedName>
    <definedName name="_inf2011" localSheetId="45">#REF!</definedName>
    <definedName name="_inf2011" localSheetId="31">#REF!</definedName>
    <definedName name="_inf2011" localSheetId="41">#REF!</definedName>
    <definedName name="_inf2011" localSheetId="40">#REF!</definedName>
    <definedName name="_inf2011" localSheetId="42">#REF!</definedName>
    <definedName name="_inf2011" localSheetId="44">#REF!</definedName>
    <definedName name="_inf2011" localSheetId="43">#REF!</definedName>
    <definedName name="_inf2011" localSheetId="28">#REF!</definedName>
    <definedName name="_inf2011" localSheetId="46">#REF!</definedName>
    <definedName name="_inf2011" localSheetId="48">#REF!</definedName>
    <definedName name="_inf2011" localSheetId="49">#REF!</definedName>
    <definedName name="_inf2011" localSheetId="22">#REF!</definedName>
    <definedName name="_inf2011" localSheetId="23">#REF!</definedName>
    <definedName name="_inf2011" localSheetId="50">#REF!</definedName>
    <definedName name="_inf2011" localSheetId="71">#REF!</definedName>
    <definedName name="_inf2011" localSheetId="73">#REF!</definedName>
    <definedName name="_inf2011" localSheetId="67">#REF!</definedName>
    <definedName name="_inf2011" localSheetId="59">#REF!</definedName>
    <definedName name="_inf2011" localSheetId="60">#REF!</definedName>
    <definedName name="_inf2011" localSheetId="18">#REF!</definedName>
    <definedName name="_inf2011" localSheetId="5">#REF!</definedName>
    <definedName name="_inf2011" localSheetId="61">#REF!</definedName>
    <definedName name="_inf2011" localSheetId="19">#REF!</definedName>
    <definedName name="_inf2011" localSheetId="20">#REF!</definedName>
    <definedName name="_inf2011" localSheetId="30">#REF!</definedName>
    <definedName name="_inf2011" localSheetId="58">#REF!</definedName>
    <definedName name="_inf2011" localSheetId="56">#REF!</definedName>
    <definedName name="_inf2011" localSheetId="57">#REF!</definedName>
    <definedName name="_inf2011">#REF!</definedName>
    <definedName name="_inf2011_14" localSheetId="62">#REF!</definedName>
    <definedName name="_inf2011_14" localSheetId="66">#REF!</definedName>
    <definedName name="_inf2011_14" localSheetId="64">#REF!</definedName>
    <definedName name="_inf2011_14" localSheetId="65">#REF!</definedName>
    <definedName name="_inf2011_14" localSheetId="45">#REF!</definedName>
    <definedName name="_inf2011_14" localSheetId="31">#REF!</definedName>
    <definedName name="_inf2011_14" localSheetId="41">#REF!</definedName>
    <definedName name="_inf2011_14" localSheetId="40">#REF!</definedName>
    <definedName name="_inf2011_14" localSheetId="42">#REF!</definedName>
    <definedName name="_inf2011_14" localSheetId="44">#REF!</definedName>
    <definedName name="_inf2011_14" localSheetId="43">#REF!</definedName>
    <definedName name="_inf2011_14" localSheetId="28">#REF!</definedName>
    <definedName name="_inf2011_14" localSheetId="46">#REF!</definedName>
    <definedName name="_inf2011_14" localSheetId="48">#REF!</definedName>
    <definedName name="_inf2011_14" localSheetId="49">#REF!</definedName>
    <definedName name="_inf2011_14" localSheetId="22">#REF!</definedName>
    <definedName name="_inf2011_14" localSheetId="23">#REF!</definedName>
    <definedName name="_inf2011_14" localSheetId="50">#REF!</definedName>
    <definedName name="_inf2011_14" localSheetId="71">#REF!</definedName>
    <definedName name="_inf2011_14" localSheetId="73">#REF!</definedName>
    <definedName name="_inf2011_14" localSheetId="67">#REF!</definedName>
    <definedName name="_inf2011_14" localSheetId="59">#REF!</definedName>
    <definedName name="_inf2011_14" localSheetId="60">#REF!</definedName>
    <definedName name="_inf2011_14" localSheetId="18">#REF!</definedName>
    <definedName name="_inf2011_14" localSheetId="5">#REF!</definedName>
    <definedName name="_inf2011_14" localSheetId="61">#REF!</definedName>
    <definedName name="_inf2011_14" localSheetId="19">#REF!</definedName>
    <definedName name="_inf2011_14" localSheetId="20">#REF!</definedName>
    <definedName name="_inf2011_14" localSheetId="30">#REF!</definedName>
    <definedName name="_inf2011_14" localSheetId="58">#REF!</definedName>
    <definedName name="_inf2011_14" localSheetId="56">#REF!</definedName>
    <definedName name="_inf2011_14" localSheetId="57">#REF!</definedName>
    <definedName name="_inf2011_14">#REF!</definedName>
    <definedName name="_inf2012" localSheetId="62">#REF!</definedName>
    <definedName name="_inf2012" localSheetId="66">#REF!</definedName>
    <definedName name="_inf2012" localSheetId="64">#REF!</definedName>
    <definedName name="_inf2012" localSheetId="65">#REF!</definedName>
    <definedName name="_inf2012" localSheetId="45">#REF!</definedName>
    <definedName name="_inf2012" localSheetId="31">#REF!</definedName>
    <definedName name="_inf2012" localSheetId="41">#REF!</definedName>
    <definedName name="_inf2012" localSheetId="40">#REF!</definedName>
    <definedName name="_inf2012" localSheetId="42">#REF!</definedName>
    <definedName name="_inf2012" localSheetId="44">#REF!</definedName>
    <definedName name="_inf2012" localSheetId="43">#REF!</definedName>
    <definedName name="_inf2012" localSheetId="28">#REF!</definedName>
    <definedName name="_inf2012" localSheetId="46">#REF!</definedName>
    <definedName name="_inf2012" localSheetId="48">#REF!</definedName>
    <definedName name="_inf2012" localSheetId="49">#REF!</definedName>
    <definedName name="_inf2012" localSheetId="22">#REF!</definedName>
    <definedName name="_inf2012" localSheetId="23">#REF!</definedName>
    <definedName name="_inf2012" localSheetId="50">#REF!</definedName>
    <definedName name="_inf2012" localSheetId="71">#REF!</definedName>
    <definedName name="_inf2012" localSheetId="73">#REF!</definedName>
    <definedName name="_inf2012" localSheetId="67">#REF!</definedName>
    <definedName name="_inf2012" localSheetId="59">#REF!</definedName>
    <definedName name="_inf2012" localSheetId="60">#REF!</definedName>
    <definedName name="_inf2012" localSheetId="18">#REF!</definedName>
    <definedName name="_inf2012" localSheetId="5">#REF!</definedName>
    <definedName name="_inf2012" localSheetId="61">#REF!</definedName>
    <definedName name="_inf2012" localSheetId="19">#REF!</definedName>
    <definedName name="_inf2012" localSheetId="20">#REF!</definedName>
    <definedName name="_inf2012" localSheetId="30">#REF!</definedName>
    <definedName name="_inf2012" localSheetId="58">#REF!</definedName>
    <definedName name="_inf2012" localSheetId="56">#REF!</definedName>
    <definedName name="_inf2012" localSheetId="57">#REF!</definedName>
    <definedName name="_inf2012">#REF!</definedName>
    <definedName name="_inf2012_14" localSheetId="62">#REF!</definedName>
    <definedName name="_inf2012_14" localSheetId="66">#REF!</definedName>
    <definedName name="_inf2012_14" localSheetId="64">#REF!</definedName>
    <definedName name="_inf2012_14" localSheetId="65">#REF!</definedName>
    <definedName name="_inf2012_14" localSheetId="45">#REF!</definedName>
    <definedName name="_inf2012_14" localSheetId="31">#REF!</definedName>
    <definedName name="_inf2012_14" localSheetId="41">#REF!</definedName>
    <definedName name="_inf2012_14" localSheetId="40">#REF!</definedName>
    <definedName name="_inf2012_14" localSheetId="42">#REF!</definedName>
    <definedName name="_inf2012_14" localSheetId="44">#REF!</definedName>
    <definedName name="_inf2012_14" localSheetId="43">#REF!</definedName>
    <definedName name="_inf2012_14" localSheetId="28">#REF!</definedName>
    <definedName name="_inf2012_14" localSheetId="46">#REF!</definedName>
    <definedName name="_inf2012_14" localSheetId="48">#REF!</definedName>
    <definedName name="_inf2012_14" localSheetId="49">#REF!</definedName>
    <definedName name="_inf2012_14" localSheetId="22">#REF!</definedName>
    <definedName name="_inf2012_14" localSheetId="23">#REF!</definedName>
    <definedName name="_inf2012_14" localSheetId="50">#REF!</definedName>
    <definedName name="_inf2012_14" localSheetId="71">#REF!</definedName>
    <definedName name="_inf2012_14" localSheetId="73">#REF!</definedName>
    <definedName name="_inf2012_14" localSheetId="67">#REF!</definedName>
    <definedName name="_inf2012_14" localSheetId="59">#REF!</definedName>
    <definedName name="_inf2012_14" localSheetId="60">#REF!</definedName>
    <definedName name="_inf2012_14" localSheetId="18">#REF!</definedName>
    <definedName name="_inf2012_14" localSheetId="5">#REF!</definedName>
    <definedName name="_inf2012_14" localSheetId="61">#REF!</definedName>
    <definedName name="_inf2012_14" localSheetId="19">#REF!</definedName>
    <definedName name="_inf2012_14" localSheetId="20">#REF!</definedName>
    <definedName name="_inf2012_14" localSheetId="30">#REF!</definedName>
    <definedName name="_inf2012_14" localSheetId="58">#REF!</definedName>
    <definedName name="_inf2012_14" localSheetId="56">#REF!</definedName>
    <definedName name="_inf2012_14" localSheetId="57">#REF!</definedName>
    <definedName name="_inf2012_14">#REF!</definedName>
    <definedName name="_inf2013" localSheetId="62">#REF!</definedName>
    <definedName name="_inf2013" localSheetId="66">#REF!</definedName>
    <definedName name="_inf2013" localSheetId="64">#REF!</definedName>
    <definedName name="_inf2013" localSheetId="65">#REF!</definedName>
    <definedName name="_inf2013" localSheetId="45">#REF!</definedName>
    <definedName name="_inf2013" localSheetId="31">#REF!</definedName>
    <definedName name="_inf2013" localSheetId="41">#REF!</definedName>
    <definedName name="_inf2013" localSheetId="40">#REF!</definedName>
    <definedName name="_inf2013" localSheetId="42">#REF!</definedName>
    <definedName name="_inf2013" localSheetId="44">#REF!</definedName>
    <definedName name="_inf2013" localSheetId="43">#REF!</definedName>
    <definedName name="_inf2013" localSheetId="28">#REF!</definedName>
    <definedName name="_inf2013" localSheetId="46">#REF!</definedName>
    <definedName name="_inf2013" localSheetId="48">#REF!</definedName>
    <definedName name="_inf2013" localSheetId="49">#REF!</definedName>
    <definedName name="_inf2013" localSheetId="22">#REF!</definedName>
    <definedName name="_inf2013" localSheetId="23">#REF!</definedName>
    <definedName name="_inf2013" localSheetId="50">#REF!</definedName>
    <definedName name="_inf2013" localSheetId="71">#REF!</definedName>
    <definedName name="_inf2013" localSheetId="73">#REF!</definedName>
    <definedName name="_inf2013" localSheetId="67">#REF!</definedName>
    <definedName name="_inf2013" localSheetId="59">#REF!</definedName>
    <definedName name="_inf2013" localSheetId="60">#REF!</definedName>
    <definedName name="_inf2013" localSheetId="18">#REF!</definedName>
    <definedName name="_inf2013" localSheetId="5">#REF!</definedName>
    <definedName name="_inf2013" localSheetId="61">#REF!</definedName>
    <definedName name="_inf2013" localSheetId="19">#REF!</definedName>
    <definedName name="_inf2013" localSheetId="20">#REF!</definedName>
    <definedName name="_inf2013" localSheetId="30">#REF!</definedName>
    <definedName name="_inf2013" localSheetId="58">#REF!</definedName>
    <definedName name="_inf2013" localSheetId="56">#REF!</definedName>
    <definedName name="_inf2013" localSheetId="57">#REF!</definedName>
    <definedName name="_inf2013">#REF!</definedName>
    <definedName name="_inf2013_14" localSheetId="62">#REF!</definedName>
    <definedName name="_inf2013_14" localSheetId="66">#REF!</definedName>
    <definedName name="_inf2013_14" localSheetId="64">#REF!</definedName>
    <definedName name="_inf2013_14" localSheetId="65">#REF!</definedName>
    <definedName name="_inf2013_14" localSheetId="45">#REF!</definedName>
    <definedName name="_inf2013_14" localSheetId="31">#REF!</definedName>
    <definedName name="_inf2013_14" localSheetId="41">#REF!</definedName>
    <definedName name="_inf2013_14" localSheetId="40">#REF!</definedName>
    <definedName name="_inf2013_14" localSheetId="42">#REF!</definedName>
    <definedName name="_inf2013_14" localSheetId="44">#REF!</definedName>
    <definedName name="_inf2013_14" localSheetId="43">#REF!</definedName>
    <definedName name="_inf2013_14" localSheetId="28">#REF!</definedName>
    <definedName name="_inf2013_14" localSheetId="46">#REF!</definedName>
    <definedName name="_inf2013_14" localSheetId="48">#REF!</definedName>
    <definedName name="_inf2013_14" localSheetId="49">#REF!</definedName>
    <definedName name="_inf2013_14" localSheetId="22">#REF!</definedName>
    <definedName name="_inf2013_14" localSheetId="23">#REF!</definedName>
    <definedName name="_inf2013_14" localSheetId="50">#REF!</definedName>
    <definedName name="_inf2013_14" localSheetId="71">#REF!</definedName>
    <definedName name="_inf2013_14" localSheetId="73">#REF!</definedName>
    <definedName name="_inf2013_14" localSheetId="67">#REF!</definedName>
    <definedName name="_inf2013_14" localSheetId="59">#REF!</definedName>
    <definedName name="_inf2013_14" localSheetId="60">#REF!</definedName>
    <definedName name="_inf2013_14" localSheetId="18">#REF!</definedName>
    <definedName name="_inf2013_14" localSheetId="5">#REF!</definedName>
    <definedName name="_inf2013_14" localSheetId="61">#REF!</definedName>
    <definedName name="_inf2013_14" localSheetId="19">#REF!</definedName>
    <definedName name="_inf2013_14" localSheetId="20">#REF!</definedName>
    <definedName name="_inf2013_14" localSheetId="30">#REF!</definedName>
    <definedName name="_inf2013_14" localSheetId="58">#REF!</definedName>
    <definedName name="_inf2013_14" localSheetId="56">#REF!</definedName>
    <definedName name="_inf2013_14" localSheetId="57">#REF!</definedName>
    <definedName name="_inf2013_14">#REF!</definedName>
    <definedName name="_inf20131" localSheetId="62">#REF!</definedName>
    <definedName name="_inf20131" localSheetId="66">#REF!</definedName>
    <definedName name="_inf20131" localSheetId="64">#REF!</definedName>
    <definedName name="_inf20131" localSheetId="65">#REF!</definedName>
    <definedName name="_inf20131" localSheetId="45">#REF!</definedName>
    <definedName name="_inf20131" localSheetId="31">#REF!</definedName>
    <definedName name="_inf20131" localSheetId="41">#REF!</definedName>
    <definedName name="_inf20131" localSheetId="40">#REF!</definedName>
    <definedName name="_inf20131" localSheetId="42">#REF!</definedName>
    <definedName name="_inf20131" localSheetId="44">#REF!</definedName>
    <definedName name="_inf20131" localSheetId="43">#REF!</definedName>
    <definedName name="_inf20131" localSheetId="28">#REF!</definedName>
    <definedName name="_inf20131" localSheetId="46">#REF!</definedName>
    <definedName name="_inf20131" localSheetId="48">#REF!</definedName>
    <definedName name="_inf20131" localSheetId="49">#REF!</definedName>
    <definedName name="_inf20131" localSheetId="22">#REF!</definedName>
    <definedName name="_inf20131" localSheetId="23">#REF!</definedName>
    <definedName name="_inf20131" localSheetId="50">#REF!</definedName>
    <definedName name="_inf20131" localSheetId="71">#REF!</definedName>
    <definedName name="_inf20131" localSheetId="73">#REF!</definedName>
    <definedName name="_inf20131" localSheetId="67">#REF!</definedName>
    <definedName name="_inf20131" localSheetId="59">#REF!</definedName>
    <definedName name="_inf20131" localSheetId="60">#REF!</definedName>
    <definedName name="_inf20131" localSheetId="18">#REF!</definedName>
    <definedName name="_inf20131" localSheetId="5">#REF!</definedName>
    <definedName name="_inf20131" localSheetId="61">#REF!</definedName>
    <definedName name="_inf20131" localSheetId="19">#REF!</definedName>
    <definedName name="_inf20131" localSheetId="20">#REF!</definedName>
    <definedName name="_inf20131" localSheetId="30">#REF!</definedName>
    <definedName name="_inf20131" localSheetId="58">#REF!</definedName>
    <definedName name="_inf20131" localSheetId="56">#REF!</definedName>
    <definedName name="_inf20131" localSheetId="57">#REF!</definedName>
    <definedName name="_inf20131">#REF!</definedName>
    <definedName name="_inf2014" localSheetId="62">#REF!</definedName>
    <definedName name="_inf2014" localSheetId="66">#REF!</definedName>
    <definedName name="_inf2014" localSheetId="64">#REF!</definedName>
    <definedName name="_inf2014" localSheetId="65">#REF!</definedName>
    <definedName name="_inf2014" localSheetId="45">#REF!</definedName>
    <definedName name="_inf2014" localSheetId="31">#REF!</definedName>
    <definedName name="_inf2014" localSheetId="41">#REF!</definedName>
    <definedName name="_inf2014" localSheetId="40">#REF!</definedName>
    <definedName name="_inf2014" localSheetId="42">#REF!</definedName>
    <definedName name="_inf2014" localSheetId="44">#REF!</definedName>
    <definedName name="_inf2014" localSheetId="43">#REF!</definedName>
    <definedName name="_inf2014" localSheetId="28">#REF!</definedName>
    <definedName name="_inf2014" localSheetId="46">#REF!</definedName>
    <definedName name="_inf2014" localSheetId="48">#REF!</definedName>
    <definedName name="_inf2014" localSheetId="49">#REF!</definedName>
    <definedName name="_inf2014" localSheetId="22">#REF!</definedName>
    <definedName name="_inf2014" localSheetId="23">#REF!</definedName>
    <definedName name="_inf2014" localSheetId="50">#REF!</definedName>
    <definedName name="_inf2014" localSheetId="71">#REF!</definedName>
    <definedName name="_inf2014" localSheetId="73">#REF!</definedName>
    <definedName name="_inf2014" localSheetId="67">#REF!</definedName>
    <definedName name="_inf2014" localSheetId="59">#REF!</definedName>
    <definedName name="_inf2014" localSheetId="60">#REF!</definedName>
    <definedName name="_inf2014" localSheetId="18">#REF!</definedName>
    <definedName name="_inf2014" localSheetId="5">#REF!</definedName>
    <definedName name="_inf2014" localSheetId="61">#REF!</definedName>
    <definedName name="_inf2014" localSheetId="19">#REF!</definedName>
    <definedName name="_inf2014" localSheetId="20">#REF!</definedName>
    <definedName name="_inf2014" localSheetId="30">#REF!</definedName>
    <definedName name="_inf2014" localSheetId="58">#REF!</definedName>
    <definedName name="_inf2014" localSheetId="56">#REF!</definedName>
    <definedName name="_inf2014" localSheetId="57">#REF!</definedName>
    <definedName name="_inf2014">#REF!</definedName>
    <definedName name="_inf2014_14" localSheetId="62">#REF!</definedName>
    <definedName name="_inf2014_14" localSheetId="66">#REF!</definedName>
    <definedName name="_inf2014_14" localSheetId="64">#REF!</definedName>
    <definedName name="_inf2014_14" localSheetId="65">#REF!</definedName>
    <definedName name="_inf2014_14" localSheetId="45">#REF!</definedName>
    <definedName name="_inf2014_14" localSheetId="31">#REF!</definedName>
    <definedName name="_inf2014_14" localSheetId="41">#REF!</definedName>
    <definedName name="_inf2014_14" localSheetId="40">#REF!</definedName>
    <definedName name="_inf2014_14" localSheetId="42">#REF!</definedName>
    <definedName name="_inf2014_14" localSheetId="44">#REF!</definedName>
    <definedName name="_inf2014_14" localSheetId="43">#REF!</definedName>
    <definedName name="_inf2014_14" localSheetId="28">#REF!</definedName>
    <definedName name="_inf2014_14" localSheetId="46">#REF!</definedName>
    <definedName name="_inf2014_14" localSheetId="48">#REF!</definedName>
    <definedName name="_inf2014_14" localSheetId="49">#REF!</definedName>
    <definedName name="_inf2014_14" localSheetId="22">#REF!</definedName>
    <definedName name="_inf2014_14" localSheetId="23">#REF!</definedName>
    <definedName name="_inf2014_14" localSheetId="50">#REF!</definedName>
    <definedName name="_inf2014_14" localSheetId="71">#REF!</definedName>
    <definedName name="_inf2014_14" localSheetId="73">#REF!</definedName>
    <definedName name="_inf2014_14" localSheetId="67">#REF!</definedName>
    <definedName name="_inf2014_14" localSheetId="59">#REF!</definedName>
    <definedName name="_inf2014_14" localSheetId="60">#REF!</definedName>
    <definedName name="_inf2014_14" localSheetId="18">#REF!</definedName>
    <definedName name="_inf2014_14" localSheetId="5">#REF!</definedName>
    <definedName name="_inf2014_14" localSheetId="61">#REF!</definedName>
    <definedName name="_inf2014_14" localSheetId="19">#REF!</definedName>
    <definedName name="_inf2014_14" localSheetId="20">#REF!</definedName>
    <definedName name="_inf2014_14" localSheetId="30">#REF!</definedName>
    <definedName name="_inf2014_14" localSheetId="58">#REF!</definedName>
    <definedName name="_inf2014_14" localSheetId="56">#REF!</definedName>
    <definedName name="_inf2014_14" localSheetId="57">#REF!</definedName>
    <definedName name="_inf2014_14">#REF!</definedName>
    <definedName name="_inf2015" localSheetId="62">#REF!</definedName>
    <definedName name="_inf2015" localSheetId="66">#REF!</definedName>
    <definedName name="_inf2015" localSheetId="64">#REF!</definedName>
    <definedName name="_inf2015" localSheetId="65">#REF!</definedName>
    <definedName name="_inf2015" localSheetId="45">#REF!</definedName>
    <definedName name="_inf2015" localSheetId="31">#REF!</definedName>
    <definedName name="_inf2015" localSheetId="41">#REF!</definedName>
    <definedName name="_inf2015" localSheetId="40">#REF!</definedName>
    <definedName name="_inf2015" localSheetId="42">#REF!</definedName>
    <definedName name="_inf2015" localSheetId="44">#REF!</definedName>
    <definedName name="_inf2015" localSheetId="43">#REF!</definedName>
    <definedName name="_inf2015" localSheetId="28">#REF!</definedName>
    <definedName name="_inf2015" localSheetId="46">#REF!</definedName>
    <definedName name="_inf2015" localSheetId="48">#REF!</definedName>
    <definedName name="_inf2015" localSheetId="49">#REF!</definedName>
    <definedName name="_inf2015" localSheetId="22">#REF!</definedName>
    <definedName name="_inf2015" localSheetId="23">#REF!</definedName>
    <definedName name="_inf2015" localSheetId="50">#REF!</definedName>
    <definedName name="_inf2015" localSheetId="71">#REF!</definedName>
    <definedName name="_inf2015" localSheetId="73">#REF!</definedName>
    <definedName name="_inf2015" localSheetId="67">#REF!</definedName>
    <definedName name="_inf2015" localSheetId="59">#REF!</definedName>
    <definedName name="_inf2015" localSheetId="60">#REF!</definedName>
    <definedName name="_inf2015" localSheetId="18">#REF!</definedName>
    <definedName name="_inf2015" localSheetId="5">#REF!</definedName>
    <definedName name="_inf2015" localSheetId="61">#REF!</definedName>
    <definedName name="_inf2015" localSheetId="19">#REF!</definedName>
    <definedName name="_inf2015" localSheetId="20">#REF!</definedName>
    <definedName name="_inf2015" localSheetId="30">#REF!</definedName>
    <definedName name="_inf2015" localSheetId="58">#REF!</definedName>
    <definedName name="_inf2015" localSheetId="56">#REF!</definedName>
    <definedName name="_inf2015" localSheetId="57">#REF!</definedName>
    <definedName name="_inf2015">#REF!</definedName>
    <definedName name="_inf2015_" localSheetId="62">#REF!</definedName>
    <definedName name="_inf2015_" localSheetId="66">#REF!</definedName>
    <definedName name="_inf2015_" localSheetId="64">#REF!</definedName>
    <definedName name="_inf2015_" localSheetId="65">#REF!</definedName>
    <definedName name="_inf2015_" localSheetId="45">#REF!</definedName>
    <definedName name="_inf2015_" localSheetId="31">#REF!</definedName>
    <definedName name="_inf2015_" localSheetId="41">#REF!</definedName>
    <definedName name="_inf2015_" localSheetId="40">#REF!</definedName>
    <definedName name="_inf2015_" localSheetId="42">#REF!</definedName>
    <definedName name="_inf2015_" localSheetId="44">#REF!</definedName>
    <definedName name="_inf2015_" localSheetId="43">#REF!</definedName>
    <definedName name="_inf2015_" localSheetId="28">#REF!</definedName>
    <definedName name="_inf2015_" localSheetId="46">#REF!</definedName>
    <definedName name="_inf2015_" localSheetId="48">#REF!</definedName>
    <definedName name="_inf2015_" localSheetId="49">#REF!</definedName>
    <definedName name="_inf2015_" localSheetId="22">#REF!</definedName>
    <definedName name="_inf2015_" localSheetId="23">#REF!</definedName>
    <definedName name="_inf2015_" localSheetId="50">#REF!</definedName>
    <definedName name="_inf2015_" localSheetId="71">#REF!</definedName>
    <definedName name="_inf2015_" localSheetId="73">#REF!</definedName>
    <definedName name="_inf2015_" localSheetId="67">#REF!</definedName>
    <definedName name="_inf2015_" localSheetId="59">#REF!</definedName>
    <definedName name="_inf2015_" localSheetId="60">#REF!</definedName>
    <definedName name="_inf2015_" localSheetId="18">#REF!</definedName>
    <definedName name="_inf2015_" localSheetId="5">#REF!</definedName>
    <definedName name="_inf2015_" localSheetId="61">#REF!</definedName>
    <definedName name="_inf2015_" localSheetId="19">#REF!</definedName>
    <definedName name="_inf2015_" localSheetId="20">#REF!</definedName>
    <definedName name="_inf2015_" localSheetId="30">#REF!</definedName>
    <definedName name="_inf2015_" localSheetId="58">#REF!</definedName>
    <definedName name="_inf2015_" localSheetId="56">#REF!</definedName>
    <definedName name="_inf2015_" localSheetId="57">#REF!</definedName>
    <definedName name="_inf2015_">#REF!</definedName>
    <definedName name="_inf2015_14" localSheetId="62">#REF!</definedName>
    <definedName name="_inf2015_14" localSheetId="66">#REF!</definedName>
    <definedName name="_inf2015_14" localSheetId="64">#REF!</definedName>
    <definedName name="_inf2015_14" localSheetId="65">#REF!</definedName>
    <definedName name="_inf2015_14" localSheetId="45">#REF!</definedName>
    <definedName name="_inf2015_14" localSheetId="31">#REF!</definedName>
    <definedName name="_inf2015_14" localSheetId="41">#REF!</definedName>
    <definedName name="_inf2015_14" localSheetId="40">#REF!</definedName>
    <definedName name="_inf2015_14" localSheetId="42">#REF!</definedName>
    <definedName name="_inf2015_14" localSheetId="44">#REF!</definedName>
    <definedName name="_inf2015_14" localSheetId="43">#REF!</definedName>
    <definedName name="_inf2015_14" localSheetId="28">#REF!</definedName>
    <definedName name="_inf2015_14" localSheetId="46">#REF!</definedName>
    <definedName name="_inf2015_14" localSheetId="48">#REF!</definedName>
    <definedName name="_inf2015_14" localSheetId="49">#REF!</definedName>
    <definedName name="_inf2015_14" localSheetId="22">#REF!</definedName>
    <definedName name="_inf2015_14" localSheetId="23">#REF!</definedName>
    <definedName name="_inf2015_14" localSheetId="50">#REF!</definedName>
    <definedName name="_inf2015_14" localSheetId="71">#REF!</definedName>
    <definedName name="_inf2015_14" localSheetId="73">#REF!</definedName>
    <definedName name="_inf2015_14" localSheetId="67">#REF!</definedName>
    <definedName name="_inf2015_14" localSheetId="59">#REF!</definedName>
    <definedName name="_inf2015_14" localSheetId="60">#REF!</definedName>
    <definedName name="_inf2015_14" localSheetId="18">#REF!</definedName>
    <definedName name="_inf2015_14" localSheetId="5">#REF!</definedName>
    <definedName name="_inf2015_14" localSheetId="61">#REF!</definedName>
    <definedName name="_inf2015_14" localSheetId="19">#REF!</definedName>
    <definedName name="_inf2015_14" localSheetId="20">#REF!</definedName>
    <definedName name="_inf2015_14" localSheetId="30">#REF!</definedName>
    <definedName name="_inf2015_14" localSheetId="58">#REF!</definedName>
    <definedName name="_inf2015_14" localSheetId="56">#REF!</definedName>
    <definedName name="_inf2015_14" localSheetId="57">#REF!</definedName>
    <definedName name="_inf2015_14">#REF!</definedName>
    <definedName name="_inf2016" localSheetId="62">#REF!</definedName>
    <definedName name="_inf2016" localSheetId="66">#REF!</definedName>
    <definedName name="_inf2016" localSheetId="64">#REF!</definedName>
    <definedName name="_inf2016" localSheetId="65">#REF!</definedName>
    <definedName name="_inf2016" localSheetId="45">#REF!</definedName>
    <definedName name="_inf2016" localSheetId="31">#REF!</definedName>
    <definedName name="_inf2016" localSheetId="41">#REF!</definedName>
    <definedName name="_inf2016" localSheetId="40">#REF!</definedName>
    <definedName name="_inf2016" localSheetId="42">#REF!</definedName>
    <definedName name="_inf2016" localSheetId="44">#REF!</definedName>
    <definedName name="_inf2016" localSheetId="43">#REF!</definedName>
    <definedName name="_inf2016" localSheetId="28">#REF!</definedName>
    <definedName name="_inf2016" localSheetId="46">#REF!</definedName>
    <definedName name="_inf2016" localSheetId="48">#REF!</definedName>
    <definedName name="_inf2016" localSheetId="49">#REF!</definedName>
    <definedName name="_inf2016" localSheetId="22">#REF!</definedName>
    <definedName name="_inf2016" localSheetId="23">#REF!</definedName>
    <definedName name="_inf2016" localSheetId="50">#REF!</definedName>
    <definedName name="_inf2016" localSheetId="71">#REF!</definedName>
    <definedName name="_inf2016" localSheetId="73">#REF!</definedName>
    <definedName name="_inf2016" localSheetId="67">#REF!</definedName>
    <definedName name="_inf2016" localSheetId="59">#REF!</definedName>
    <definedName name="_inf2016" localSheetId="60">#REF!</definedName>
    <definedName name="_inf2016" localSheetId="18">#REF!</definedName>
    <definedName name="_inf2016" localSheetId="5">#REF!</definedName>
    <definedName name="_inf2016" localSheetId="61">#REF!</definedName>
    <definedName name="_inf2016" localSheetId="19">#REF!</definedName>
    <definedName name="_inf2016" localSheetId="20">#REF!</definedName>
    <definedName name="_inf2016" localSheetId="30">#REF!</definedName>
    <definedName name="_inf2016" localSheetId="58">#REF!</definedName>
    <definedName name="_inf2016" localSheetId="56">#REF!</definedName>
    <definedName name="_inf2016" localSheetId="57">#REF!</definedName>
    <definedName name="_inf2016">#REF!</definedName>
    <definedName name="_mm1" localSheetId="62">[1]ПРОГНОЗ_1!#REF!</definedName>
    <definedName name="_mm1" localSheetId="66">[1]ПРОГНОЗ_1!#REF!</definedName>
    <definedName name="_mm1" localSheetId="64">[1]ПРОГНОЗ_1!#REF!</definedName>
    <definedName name="_mm1" localSheetId="65">[1]ПРОГНОЗ_1!#REF!</definedName>
    <definedName name="_mm1" localSheetId="31">[1]ПРОГНОЗ_1!#REF!</definedName>
    <definedName name="_mm1" localSheetId="41">[1]ПРОГНОЗ_1!#REF!</definedName>
    <definedName name="_mm1" localSheetId="40">[1]ПРОГНОЗ_1!#REF!</definedName>
    <definedName name="_mm1" localSheetId="44">[1]ПРОГНОЗ_1!#REF!</definedName>
    <definedName name="_mm1" localSheetId="43">[1]ПРОГНОЗ_1!#REF!</definedName>
    <definedName name="_mm1" localSheetId="46">[1]ПРОГНОЗ_1!#REF!</definedName>
    <definedName name="_mm1" localSheetId="48">[1]ПРОГНОЗ_1!#REF!</definedName>
    <definedName name="_mm1" localSheetId="22">[1]ПРОГНОЗ_1!#REF!</definedName>
    <definedName name="_mm1" localSheetId="23">[1]ПРОГНОЗ_1!#REF!</definedName>
    <definedName name="_mm1" localSheetId="50">[1]ПРОГНОЗ_1!#REF!</definedName>
    <definedName name="_mm1" localSheetId="71">[1]ПРОГНОЗ_1!#REF!</definedName>
    <definedName name="_mm1" localSheetId="73">[1]ПРОГНОЗ_1!#REF!</definedName>
    <definedName name="_mm1" localSheetId="67">[1]ПРОГНОЗ_1!#REF!</definedName>
    <definedName name="_mm1" localSheetId="59">[1]ПРОГНОЗ_1!#REF!</definedName>
    <definedName name="_mm1" localSheetId="60">[1]ПРОГНОЗ_1!#REF!</definedName>
    <definedName name="_mm1" localSheetId="18">[1]ПРОГНОЗ_1!#REF!</definedName>
    <definedName name="_mm1" localSheetId="5">[1]ПРОГНОЗ_1!#REF!</definedName>
    <definedName name="_mm1" localSheetId="61">[1]ПРОГНОЗ_1!#REF!</definedName>
    <definedName name="_mm1" localSheetId="19">[1]ПРОГНОЗ_1!#REF!</definedName>
    <definedName name="_mm1" localSheetId="20">[1]ПРОГНОЗ_1!#REF!</definedName>
    <definedName name="_mm1" localSheetId="30">[1]ПРОГНОЗ_1!#REF!</definedName>
    <definedName name="_mm1" localSheetId="56">[1]ПРОГНОЗ_1!#REF!</definedName>
    <definedName name="_mm1" localSheetId="57">[1]ПРОГНОЗ_1!#REF!</definedName>
    <definedName name="_mm1">[1]ПРОГНОЗ_1!#REF!</definedName>
    <definedName name="_mm1_14" localSheetId="62">[1]ПРОГНОЗ_1!#REF!</definedName>
    <definedName name="_mm1_14" localSheetId="66">[1]ПРОГНОЗ_1!#REF!</definedName>
    <definedName name="_mm1_14" localSheetId="64">[1]ПРОГНОЗ_1!#REF!</definedName>
    <definedName name="_mm1_14" localSheetId="65">[1]ПРОГНОЗ_1!#REF!</definedName>
    <definedName name="_mm1_14" localSheetId="31">[1]ПРОГНОЗ_1!#REF!</definedName>
    <definedName name="_mm1_14" localSheetId="41">[1]ПРОГНОЗ_1!#REF!</definedName>
    <definedName name="_mm1_14" localSheetId="40">[1]ПРОГНОЗ_1!#REF!</definedName>
    <definedName name="_mm1_14" localSheetId="44">[1]ПРОГНОЗ_1!#REF!</definedName>
    <definedName name="_mm1_14" localSheetId="43">[1]ПРОГНОЗ_1!#REF!</definedName>
    <definedName name="_mm1_14" localSheetId="46">[1]ПРОГНОЗ_1!#REF!</definedName>
    <definedName name="_mm1_14" localSheetId="48">[1]ПРОГНОЗ_1!#REF!</definedName>
    <definedName name="_mm1_14" localSheetId="22">[1]ПРОГНОЗ_1!#REF!</definedName>
    <definedName name="_mm1_14" localSheetId="23">[1]ПРОГНОЗ_1!#REF!</definedName>
    <definedName name="_mm1_14" localSheetId="50">[1]ПРОГНОЗ_1!#REF!</definedName>
    <definedName name="_mm1_14" localSheetId="71">[1]ПРОГНОЗ_1!#REF!</definedName>
    <definedName name="_mm1_14" localSheetId="73">[1]ПРОГНОЗ_1!#REF!</definedName>
    <definedName name="_mm1_14" localSheetId="67">[1]ПРОГНОЗ_1!#REF!</definedName>
    <definedName name="_mm1_14" localSheetId="59">[1]ПРОГНОЗ_1!#REF!</definedName>
    <definedName name="_mm1_14" localSheetId="60">[1]ПРОГНОЗ_1!#REF!</definedName>
    <definedName name="_mm1_14" localSheetId="18">[1]ПРОГНОЗ_1!#REF!</definedName>
    <definedName name="_mm1_14" localSheetId="5">[1]ПРОГНОЗ_1!#REF!</definedName>
    <definedName name="_mm1_14" localSheetId="61">[1]ПРОГНОЗ_1!#REF!</definedName>
    <definedName name="_mm1_14" localSheetId="19">[1]ПРОГНОЗ_1!#REF!</definedName>
    <definedName name="_mm1_14" localSheetId="20">[1]ПРОГНОЗ_1!#REF!</definedName>
    <definedName name="_mm1_14" localSheetId="30">[1]ПРОГНОЗ_1!#REF!</definedName>
    <definedName name="_mm1_14" localSheetId="56">[1]ПРОГНОЗ_1!#REF!</definedName>
    <definedName name="_mm1_14" localSheetId="57">[1]ПРОГНОЗ_1!#REF!</definedName>
    <definedName name="_mm1_14">[1]ПРОГНОЗ_1!#REF!</definedName>
    <definedName name="_xlnm._FilterDatabase" localSheetId="63" hidden="1">'(81600) 971 (01.01.20)'!$10:$156</definedName>
    <definedName name="_xlnm._FilterDatabase" localSheetId="66" hidden="1">'75 лет (01.01.20)'!$A$8:$AN$81</definedName>
    <definedName name="_xlnm._FilterDatabase" localSheetId="45" hidden="1">'б -т 963 Стим-е (01.01.20)'!$A$10:$XEJ$207</definedName>
    <definedName name="_xlnm._FilterDatabase" localSheetId="31" hidden="1">'б-т 922 ПГ (01.01.20) '!$A$8:$AN$416</definedName>
    <definedName name="_xlnm._FilterDatabase" localSheetId="41" hidden="1">'б-т 955 наркомания (01.01.20)'!$A$10:$AF$44</definedName>
    <definedName name="_xlnm._FilterDatabase" localSheetId="40" hidden="1">'б-т 955 ПГ (01.01.20)'!$A$8:$AN$416</definedName>
    <definedName name="_xlnm._FilterDatabase" localSheetId="42" hidden="1">'б-т 955 Стим-е (01.01.20)'!$A$10:$XEJ$207</definedName>
    <definedName name="_xlnm._FilterDatabase" localSheetId="44" hidden="1">'б-т 963 Наркомания (01.01.20)'!$A$10:$AF$44</definedName>
    <definedName name="_xlnm._FilterDatabase" localSheetId="43" hidden="1">'б-т 963 ПГ (01.01.20)'!$A$8:$AN$416</definedName>
    <definedName name="_xlnm._FilterDatabase" localSheetId="28" hidden="1">'б-т 966 Стим-е (01.01.20)'!$A$10:$XEJ$207</definedName>
    <definedName name="_xlnm._FilterDatabase" localSheetId="46" hidden="1">'б-т 971 ПГ (01.01.20)'!$A$8:$AN$416</definedName>
    <definedName name="_xlnm._FilterDatabase" localSheetId="47" hidden="1">'б-т 981 (01.01.20)'!$A$8:$AD$577</definedName>
    <definedName name="_xlnm._FilterDatabase" localSheetId="48" hidden="1">'б-т 981 ПГ (01.01.20)'!$A$9:$AN$417</definedName>
    <definedName name="_xlnm._FilterDatabase" localSheetId="49" hidden="1">'б-т 981 Стим-е (01.01.20)'!$A$12:$XEJ$174</definedName>
    <definedName name="_xlnm._FilterDatabase" localSheetId="52" hidden="1">'б-т 985 (01.01.20)'!$A$6:$AB$26</definedName>
    <definedName name="_xlnm._FilterDatabase" localSheetId="53" hidden="1">'б-т 986 (01.01.20)'!$A$8:$AD$8</definedName>
    <definedName name="_xlnm._FilterDatabase" localSheetId="21" hidden="1">'б-т 991,992,911(01.01.20)-2020'!$A$8:$AS$32</definedName>
    <definedName name="_xlnm._FilterDatabase" localSheetId="22" hidden="1">'б-т 991,992,911(01.01.20)-2021'!$A$8:$AS$32</definedName>
    <definedName name="_xlnm._FilterDatabase" localSheetId="23" hidden="1">'б-т 991,992,911(01.01.20)-2022'!$A$8:$AS$32</definedName>
    <definedName name="_xlnm._FilterDatabase" localSheetId="50" hidden="1">'б-т накомания 981 (01.01.20)'!$A$10:$AF$44</definedName>
    <definedName name="_xlnm._FilterDatabase" localSheetId="76" hidden="1">'внеб 922 (01.01.20)'!$B$1:$B$217</definedName>
    <definedName name="_xlnm._FilterDatabase" localSheetId="81" hidden="1">'внеб 947 (01.01.20)'!#REF!</definedName>
    <definedName name="_xlnm._FilterDatabase" localSheetId="85" hidden="1">'внеб 963 (01.01.20)'!$A$9:$TS$10</definedName>
    <definedName name="_xlnm._FilterDatabase" localSheetId="74" hidden="1">'внеб 966 (01.01.20)'!$A$11:$TS$12</definedName>
    <definedName name="_xlnm._FilterDatabase" localSheetId="12" hidden="1">'возмещ ком услуг 1230 (135)'!$A$5:$Q$8</definedName>
    <definedName name="_xlnm._FilterDatabase" localSheetId="93" hidden="1">'Высоцкий 2020'!$A$8:$AS$28</definedName>
    <definedName name="_xlnm._FilterDatabase" localSheetId="99" hidden="1">'Высоцкий 2021'!$A$8:$AS$28</definedName>
    <definedName name="_xlnm._FilterDatabase" localSheetId="105" hidden="1">'Высоцкий 2022'!$A$8:$AS$28</definedName>
    <definedName name="_xlnm._FilterDatabase" localSheetId="91" hidden="1">'ГЦК+Энергия 2020'!$A$8:$AS$57</definedName>
    <definedName name="_xlnm._FilterDatabase" localSheetId="97" hidden="1">'ГЦК+Энергия 2021'!$A$8:$AS$57</definedName>
    <definedName name="_xlnm._FilterDatabase" localSheetId="103" hidden="1">'ГЦК+Энергия 2022'!$A$8:$AS$57</definedName>
    <definedName name="_xlnm._FilterDatabase" localSheetId="2" hidden="1">'музей 2020'!$A$8:$AP$30</definedName>
    <definedName name="_xlnm._FilterDatabase" localSheetId="94" hidden="1">'музей 2021'!$A$8:$AP$30</definedName>
    <definedName name="_xlnm._FilterDatabase" localSheetId="100" hidden="1">'музей 2022'!$A$8:$AP$30</definedName>
    <definedName name="_xlnm._FilterDatabase" localSheetId="11" hidden="1">'платные строка 1220 (132)'!$A$7:$O$22</definedName>
    <definedName name="_xlnm._FilterDatabase" localSheetId="3" hidden="1">'Родина 2020'!$A$8:$AS$8</definedName>
    <definedName name="_xlnm._FilterDatabase" localSheetId="95" hidden="1">'Родина 2021'!$A$8:$AS$8</definedName>
    <definedName name="_xlnm._FilterDatabase" localSheetId="101" hidden="1">'Родина 2022'!$A$8:$AS$8</definedName>
    <definedName name="_xlnm._FilterDatabase" localSheetId="58" hidden="1">'субс РТ (01.01.20)'!$A$10:$XEJ$45</definedName>
    <definedName name="_xlnm._FilterDatabase" localSheetId="96" hidden="1">'ЦБС 2021'!$A$8:$AS$24</definedName>
    <definedName name="_xlnm._FilterDatabase" localSheetId="102" hidden="1">'ЦБС 2022'!$A$8:$AS$24</definedName>
    <definedName name="_xlnm._FilterDatabase" localSheetId="92" hidden="1">'Юбилейный 2020'!$A$8:$AS$25</definedName>
    <definedName name="_xlnm._FilterDatabase" localSheetId="98" hidden="1">'Юбилейный 2021'!$A$8:$AS$25</definedName>
    <definedName name="_xlnm._FilterDatabase" localSheetId="104" hidden="1">'Юбилейный 2022'!$A$8:$AS$25</definedName>
    <definedName name="ddd" localSheetId="62">[2]ПРОГНОЗ_1!#REF!</definedName>
    <definedName name="ddd" localSheetId="66">[2]ПРОГНОЗ_1!#REF!</definedName>
    <definedName name="ddd" localSheetId="64">[2]ПРОГНОЗ_1!#REF!</definedName>
    <definedName name="ddd" localSheetId="65">[2]ПРОГНОЗ_1!#REF!</definedName>
    <definedName name="ddd" localSheetId="45">[2]ПРОГНОЗ_1!#REF!</definedName>
    <definedName name="ddd" localSheetId="31">[2]ПРОГНОЗ_1!#REF!</definedName>
    <definedName name="ddd" localSheetId="41">[2]ПРОГНОЗ_1!#REF!</definedName>
    <definedName name="ddd" localSheetId="40">[2]ПРОГНОЗ_1!#REF!</definedName>
    <definedName name="ddd" localSheetId="42">[2]ПРОГНОЗ_1!#REF!</definedName>
    <definedName name="ddd" localSheetId="44">[2]ПРОГНОЗ_1!#REF!</definedName>
    <definedName name="ddd" localSheetId="43">[2]ПРОГНОЗ_1!#REF!</definedName>
    <definedName name="ddd" localSheetId="28">[2]ПРОГНОЗ_1!#REF!</definedName>
    <definedName name="ddd" localSheetId="46">[2]ПРОГНОЗ_1!#REF!</definedName>
    <definedName name="ddd" localSheetId="48">[2]ПРОГНОЗ_1!#REF!</definedName>
    <definedName name="ddd" localSheetId="49">[2]ПРОГНОЗ_1!#REF!</definedName>
    <definedName name="ddd" localSheetId="22">[2]ПРОГНОЗ_1!#REF!</definedName>
    <definedName name="ddd" localSheetId="23">[2]ПРОГНОЗ_1!#REF!</definedName>
    <definedName name="ddd" localSheetId="50">[2]ПРОГНОЗ_1!#REF!</definedName>
    <definedName name="ddd" localSheetId="85">[2]ПРОГНОЗ_1!#REF!</definedName>
    <definedName name="ddd" localSheetId="74">[2]ПРОГНОЗ_1!#REF!</definedName>
    <definedName name="ddd" localSheetId="71">[2]ПРОГНОЗ_1!#REF!</definedName>
    <definedName name="ddd" localSheetId="73">[2]ПРОГНОЗ_1!#REF!</definedName>
    <definedName name="ddd" localSheetId="67">[2]ПРОГНОЗ_1!#REF!</definedName>
    <definedName name="ddd" localSheetId="59">[2]ПРОГНОЗ_1!#REF!</definedName>
    <definedName name="ddd" localSheetId="60">[2]ПРОГНОЗ_1!#REF!</definedName>
    <definedName name="ddd" localSheetId="18">[2]ПРОГНОЗ_1!#REF!</definedName>
    <definedName name="ddd" localSheetId="5">[2]ПРОГНОЗ_1!#REF!</definedName>
    <definedName name="ddd" localSheetId="61">[2]ПРОГНОЗ_1!#REF!</definedName>
    <definedName name="ddd" localSheetId="19">[2]ПРОГНОЗ_1!#REF!</definedName>
    <definedName name="ddd" localSheetId="20">[2]ПРОГНОЗ_1!#REF!</definedName>
    <definedName name="ddd" localSheetId="30">[2]ПРОГНОЗ_1!#REF!</definedName>
    <definedName name="ddd" localSheetId="58">[2]ПРОГНОЗ_1!#REF!</definedName>
    <definedName name="ddd" localSheetId="56">[2]ПРОГНОЗ_1!#REF!</definedName>
    <definedName name="ddd" localSheetId="57">[2]ПРОГНОЗ_1!#REF!</definedName>
    <definedName name="ddd">[2]ПРОГНОЗ_1!#REF!</definedName>
    <definedName name="ddd_14" localSheetId="62">[2]ПРОГНОЗ_1!#REF!</definedName>
    <definedName name="ddd_14" localSheetId="66">[2]ПРОГНОЗ_1!#REF!</definedName>
    <definedName name="ddd_14" localSheetId="64">[2]ПРОГНОЗ_1!#REF!</definedName>
    <definedName name="ddd_14" localSheetId="65">[2]ПРОГНОЗ_1!#REF!</definedName>
    <definedName name="ddd_14" localSheetId="45">[2]ПРОГНОЗ_1!#REF!</definedName>
    <definedName name="ddd_14" localSheetId="31">[2]ПРОГНОЗ_1!#REF!</definedName>
    <definedName name="ddd_14" localSheetId="41">[2]ПРОГНОЗ_1!#REF!</definedName>
    <definedName name="ddd_14" localSheetId="40">[2]ПРОГНОЗ_1!#REF!</definedName>
    <definedName name="ddd_14" localSheetId="42">[2]ПРОГНОЗ_1!#REF!</definedName>
    <definedName name="ddd_14" localSheetId="44">[2]ПРОГНОЗ_1!#REF!</definedName>
    <definedName name="ddd_14" localSheetId="43">[2]ПРОГНОЗ_1!#REF!</definedName>
    <definedName name="ddd_14" localSheetId="28">[2]ПРОГНОЗ_1!#REF!</definedName>
    <definedName name="ddd_14" localSheetId="46">[2]ПРОГНОЗ_1!#REF!</definedName>
    <definedName name="ddd_14" localSheetId="48">[2]ПРОГНОЗ_1!#REF!</definedName>
    <definedName name="ddd_14" localSheetId="49">[2]ПРОГНОЗ_1!#REF!</definedName>
    <definedName name="ddd_14" localSheetId="22">[2]ПРОГНОЗ_1!#REF!</definedName>
    <definedName name="ddd_14" localSheetId="23">[2]ПРОГНОЗ_1!#REF!</definedName>
    <definedName name="ddd_14" localSheetId="50">[2]ПРОГНОЗ_1!#REF!</definedName>
    <definedName name="ddd_14" localSheetId="85">[2]ПРОГНОЗ_1!#REF!</definedName>
    <definedName name="ddd_14" localSheetId="74">[2]ПРОГНОЗ_1!#REF!</definedName>
    <definedName name="ddd_14" localSheetId="71">[2]ПРОГНОЗ_1!#REF!</definedName>
    <definedName name="ddd_14" localSheetId="73">[2]ПРОГНОЗ_1!#REF!</definedName>
    <definedName name="ddd_14" localSheetId="67">[2]ПРОГНОЗ_1!#REF!</definedName>
    <definedName name="ddd_14" localSheetId="59">[2]ПРОГНОЗ_1!#REF!</definedName>
    <definedName name="ddd_14" localSheetId="60">[2]ПРОГНОЗ_1!#REF!</definedName>
    <definedName name="ddd_14" localSheetId="18">[2]ПРОГНОЗ_1!#REF!</definedName>
    <definedName name="ddd_14" localSheetId="5">[2]ПРОГНОЗ_1!#REF!</definedName>
    <definedName name="ddd_14" localSheetId="61">[2]ПРОГНОЗ_1!#REF!</definedName>
    <definedName name="ddd_14" localSheetId="19">[2]ПРОГНОЗ_1!#REF!</definedName>
    <definedName name="ddd_14" localSheetId="20">[2]ПРОГНОЗ_1!#REF!</definedName>
    <definedName name="ddd_14" localSheetId="30">[2]ПРОГНОЗ_1!#REF!</definedName>
    <definedName name="ddd_14" localSheetId="58">[2]ПРОГНОЗ_1!#REF!</definedName>
    <definedName name="ddd_14" localSheetId="56">[2]ПРОГНОЗ_1!#REF!</definedName>
    <definedName name="ddd_14" localSheetId="57">[2]ПРОГНОЗ_1!#REF!</definedName>
    <definedName name="ddd_14">[2]ПРОГНОЗ_1!#REF!</definedName>
    <definedName name="Excel_BuiltIn__FilterDatabase_15" localSheetId="62">#REF!</definedName>
    <definedName name="Excel_BuiltIn__FilterDatabase_15" localSheetId="66">#REF!</definedName>
    <definedName name="Excel_BuiltIn__FilterDatabase_15" localSheetId="64">#REF!</definedName>
    <definedName name="Excel_BuiltIn__FilterDatabase_15" localSheetId="65">#REF!</definedName>
    <definedName name="Excel_BuiltIn__FilterDatabase_15" localSheetId="45">#REF!</definedName>
    <definedName name="Excel_BuiltIn__FilterDatabase_15" localSheetId="31">#REF!</definedName>
    <definedName name="Excel_BuiltIn__FilterDatabase_15" localSheetId="41">#REF!</definedName>
    <definedName name="Excel_BuiltIn__FilterDatabase_15" localSheetId="40">#REF!</definedName>
    <definedName name="Excel_BuiltIn__FilterDatabase_15" localSheetId="42">#REF!</definedName>
    <definedName name="Excel_BuiltIn__FilterDatabase_15" localSheetId="44">#REF!</definedName>
    <definedName name="Excel_BuiltIn__FilterDatabase_15" localSheetId="43">#REF!</definedName>
    <definedName name="Excel_BuiltIn__FilterDatabase_15" localSheetId="28">#REF!</definedName>
    <definedName name="Excel_BuiltIn__FilterDatabase_15" localSheetId="46">#REF!</definedName>
    <definedName name="Excel_BuiltIn__FilterDatabase_15" localSheetId="48">#REF!</definedName>
    <definedName name="Excel_BuiltIn__FilterDatabase_15" localSheetId="49">#REF!</definedName>
    <definedName name="Excel_BuiltIn__FilterDatabase_15" localSheetId="22">#REF!</definedName>
    <definedName name="Excel_BuiltIn__FilterDatabase_15" localSheetId="23">#REF!</definedName>
    <definedName name="Excel_BuiltIn__FilterDatabase_15" localSheetId="50">#REF!</definedName>
    <definedName name="Excel_BuiltIn__FilterDatabase_15" localSheetId="85">#REF!</definedName>
    <definedName name="Excel_BuiltIn__FilterDatabase_15" localSheetId="74">#REF!</definedName>
    <definedName name="Excel_BuiltIn__FilterDatabase_15" localSheetId="71">#REF!</definedName>
    <definedName name="Excel_BuiltIn__FilterDatabase_15" localSheetId="73">#REF!</definedName>
    <definedName name="Excel_BuiltIn__FilterDatabase_15" localSheetId="67">#REF!</definedName>
    <definedName name="Excel_BuiltIn__FilterDatabase_15" localSheetId="59">#REF!</definedName>
    <definedName name="Excel_BuiltIn__FilterDatabase_15" localSheetId="60">#REF!</definedName>
    <definedName name="Excel_BuiltIn__FilterDatabase_15" localSheetId="18">#REF!</definedName>
    <definedName name="Excel_BuiltIn__FilterDatabase_15" localSheetId="90">#REF!</definedName>
    <definedName name="Excel_BuiltIn__FilterDatabase_15" localSheetId="5">#REF!</definedName>
    <definedName name="Excel_BuiltIn__FilterDatabase_15" localSheetId="61">#REF!</definedName>
    <definedName name="Excel_BuiltIn__FilterDatabase_15" localSheetId="19">#REF!</definedName>
    <definedName name="Excel_BuiltIn__FilterDatabase_15" localSheetId="20">#REF!</definedName>
    <definedName name="Excel_BuiltIn__FilterDatabase_15" localSheetId="30">#REF!</definedName>
    <definedName name="Excel_BuiltIn__FilterDatabase_15" localSheetId="58">#REF!</definedName>
    <definedName name="Excel_BuiltIn__FilterDatabase_15" localSheetId="56">#REF!</definedName>
    <definedName name="Excel_BuiltIn__FilterDatabase_15" localSheetId="57">#REF!</definedName>
    <definedName name="Excel_BuiltIn__FilterDatabase_15">#REF!</definedName>
    <definedName name="ff" localSheetId="62">#REF!</definedName>
    <definedName name="ff" localSheetId="66">#REF!</definedName>
    <definedName name="ff" localSheetId="64">#REF!</definedName>
    <definedName name="ff" localSheetId="65">#REF!</definedName>
    <definedName name="ff" localSheetId="45">#REF!</definedName>
    <definedName name="ff" localSheetId="31">#REF!</definedName>
    <definedName name="ff" localSheetId="41">#REF!</definedName>
    <definedName name="ff" localSheetId="40">#REF!</definedName>
    <definedName name="ff" localSheetId="42">#REF!</definedName>
    <definedName name="ff" localSheetId="44">#REF!</definedName>
    <definedName name="ff" localSheetId="43">#REF!</definedName>
    <definedName name="ff" localSheetId="28">#REF!</definedName>
    <definedName name="ff" localSheetId="46">#REF!</definedName>
    <definedName name="ff" localSheetId="48">#REF!</definedName>
    <definedName name="ff" localSheetId="49">#REF!</definedName>
    <definedName name="ff" localSheetId="22">#REF!</definedName>
    <definedName name="ff" localSheetId="23">#REF!</definedName>
    <definedName name="ff" localSheetId="50">#REF!</definedName>
    <definedName name="ff" localSheetId="85">#REF!</definedName>
    <definedName name="ff" localSheetId="74">#REF!</definedName>
    <definedName name="ff" localSheetId="71">#REF!</definedName>
    <definedName name="ff" localSheetId="73">#REF!</definedName>
    <definedName name="ff" localSheetId="67">#REF!</definedName>
    <definedName name="ff" localSheetId="59">#REF!</definedName>
    <definedName name="ff" localSheetId="60">#REF!</definedName>
    <definedName name="ff" localSheetId="18">#REF!</definedName>
    <definedName name="ff" localSheetId="5">#REF!</definedName>
    <definedName name="ff" localSheetId="61">#REF!</definedName>
    <definedName name="ff" localSheetId="19">#REF!</definedName>
    <definedName name="ff" localSheetId="20">#REF!</definedName>
    <definedName name="ff" localSheetId="30">#REF!</definedName>
    <definedName name="ff" localSheetId="58">#REF!</definedName>
    <definedName name="ff" localSheetId="56">#REF!</definedName>
    <definedName name="ff" localSheetId="57">#REF!</definedName>
    <definedName name="ff">#REF!</definedName>
    <definedName name="ff_14" localSheetId="62">#REF!</definedName>
    <definedName name="ff_14" localSheetId="66">#REF!</definedName>
    <definedName name="ff_14" localSheetId="64">#REF!</definedName>
    <definedName name="ff_14" localSheetId="65">#REF!</definedName>
    <definedName name="ff_14" localSheetId="45">#REF!</definedName>
    <definedName name="ff_14" localSheetId="31">#REF!</definedName>
    <definedName name="ff_14" localSheetId="41">#REF!</definedName>
    <definedName name="ff_14" localSheetId="40">#REF!</definedName>
    <definedName name="ff_14" localSheetId="42">#REF!</definedName>
    <definedName name="ff_14" localSheetId="44">#REF!</definedName>
    <definedName name="ff_14" localSheetId="43">#REF!</definedName>
    <definedName name="ff_14" localSheetId="28">#REF!</definedName>
    <definedName name="ff_14" localSheetId="46">#REF!</definedName>
    <definedName name="ff_14" localSheetId="48">#REF!</definedName>
    <definedName name="ff_14" localSheetId="49">#REF!</definedName>
    <definedName name="ff_14" localSheetId="22">#REF!</definedName>
    <definedName name="ff_14" localSheetId="23">#REF!</definedName>
    <definedName name="ff_14" localSheetId="50">#REF!</definedName>
    <definedName name="ff_14" localSheetId="71">#REF!</definedName>
    <definedName name="ff_14" localSheetId="73">#REF!</definedName>
    <definedName name="ff_14" localSheetId="67">#REF!</definedName>
    <definedName name="ff_14" localSheetId="59">#REF!</definedName>
    <definedName name="ff_14" localSheetId="60">#REF!</definedName>
    <definedName name="ff_14" localSheetId="18">#REF!</definedName>
    <definedName name="ff_14" localSheetId="5">#REF!</definedName>
    <definedName name="ff_14" localSheetId="61">#REF!</definedName>
    <definedName name="ff_14" localSheetId="19">#REF!</definedName>
    <definedName name="ff_14" localSheetId="20">#REF!</definedName>
    <definedName name="ff_14" localSheetId="30">#REF!</definedName>
    <definedName name="ff_14" localSheetId="58">#REF!</definedName>
    <definedName name="ff_14" localSheetId="56">#REF!</definedName>
    <definedName name="ff_14" localSheetId="57">#REF!</definedName>
    <definedName name="ff_14">#REF!</definedName>
    <definedName name="fffff" localSheetId="62">'[3]Гр5(о)'!#REF!</definedName>
    <definedName name="fffff" localSheetId="66">'[3]Гр5(о)'!#REF!</definedName>
    <definedName name="fffff" localSheetId="64">'[3]Гр5(о)'!#REF!</definedName>
    <definedName name="fffff" localSheetId="65">'[3]Гр5(о)'!#REF!</definedName>
    <definedName name="fffff" localSheetId="45">'[3]Гр5(о)'!#REF!</definedName>
    <definedName name="fffff" localSheetId="31">'[3]Гр5(о)'!#REF!</definedName>
    <definedName name="fffff" localSheetId="41">'[3]Гр5(о)'!#REF!</definedName>
    <definedName name="fffff" localSheetId="40">'[3]Гр5(о)'!#REF!</definedName>
    <definedName name="fffff" localSheetId="42">'[3]Гр5(о)'!#REF!</definedName>
    <definedName name="fffff" localSheetId="44">'[3]Гр5(о)'!#REF!</definedName>
    <definedName name="fffff" localSheetId="43">'[3]Гр5(о)'!#REF!</definedName>
    <definedName name="fffff" localSheetId="28">'[3]Гр5(о)'!#REF!</definedName>
    <definedName name="fffff" localSheetId="46">'[3]Гр5(о)'!#REF!</definedName>
    <definedName name="fffff" localSheetId="48">'[3]Гр5(о)'!#REF!</definedName>
    <definedName name="fffff" localSheetId="49">'[3]Гр5(о)'!#REF!</definedName>
    <definedName name="fffff" localSheetId="22">'[3]Гр5(о)'!#REF!</definedName>
    <definedName name="fffff" localSheetId="23">'[3]Гр5(о)'!#REF!</definedName>
    <definedName name="fffff" localSheetId="50">'[3]Гр5(о)'!#REF!</definedName>
    <definedName name="fffff" localSheetId="85">'[3]Гр5(о)'!#REF!</definedName>
    <definedName name="fffff" localSheetId="74">'[3]Гр5(о)'!#REF!</definedName>
    <definedName name="fffff" localSheetId="71">'[3]Гр5(о)'!#REF!</definedName>
    <definedName name="fffff" localSheetId="73">'[3]Гр5(о)'!#REF!</definedName>
    <definedName name="fffff" localSheetId="67">'[3]Гр5(о)'!#REF!</definedName>
    <definedName name="fffff" localSheetId="59">'[3]Гр5(о)'!#REF!</definedName>
    <definedName name="fffff" localSheetId="60">'[3]Гр5(о)'!#REF!</definedName>
    <definedName name="fffff" localSheetId="18">'[3]Гр5(о)'!#REF!</definedName>
    <definedName name="fffff" localSheetId="5">'[3]Гр5(о)'!#REF!</definedName>
    <definedName name="fffff" localSheetId="61">'[3]Гр5(о)'!#REF!</definedName>
    <definedName name="fffff" localSheetId="19">'[3]Гр5(о)'!#REF!</definedName>
    <definedName name="fffff" localSheetId="20">'[3]Гр5(о)'!#REF!</definedName>
    <definedName name="fffff" localSheetId="30">'[3]Гр5(о)'!#REF!</definedName>
    <definedName name="fffff" localSheetId="58">'[3]Гр5(о)'!#REF!</definedName>
    <definedName name="fffff" localSheetId="56">'[3]Гр5(о)'!#REF!</definedName>
    <definedName name="fffff" localSheetId="57">'[3]Гр5(о)'!#REF!</definedName>
    <definedName name="fffff">'[3]Гр5(о)'!#REF!</definedName>
    <definedName name="fffff_14" localSheetId="62">'[3]Гр5(о)'!#REF!</definedName>
    <definedName name="fffff_14" localSheetId="66">'[3]Гр5(о)'!#REF!</definedName>
    <definedName name="fffff_14" localSheetId="64">'[3]Гр5(о)'!#REF!</definedName>
    <definedName name="fffff_14" localSheetId="65">'[3]Гр5(о)'!#REF!</definedName>
    <definedName name="fffff_14" localSheetId="31">'[3]Гр5(о)'!#REF!</definedName>
    <definedName name="fffff_14" localSheetId="41">'[3]Гр5(о)'!#REF!</definedName>
    <definedName name="fffff_14" localSheetId="40">'[3]Гр5(о)'!#REF!</definedName>
    <definedName name="fffff_14" localSheetId="44">'[3]Гр5(о)'!#REF!</definedName>
    <definedName name="fffff_14" localSheetId="43">'[3]Гр5(о)'!#REF!</definedName>
    <definedName name="fffff_14" localSheetId="46">'[3]Гр5(о)'!#REF!</definedName>
    <definedName name="fffff_14" localSheetId="48">'[3]Гр5(о)'!#REF!</definedName>
    <definedName name="fffff_14" localSheetId="22">'[3]Гр5(о)'!#REF!</definedName>
    <definedName name="fffff_14" localSheetId="23">'[3]Гр5(о)'!#REF!</definedName>
    <definedName name="fffff_14" localSheetId="50">'[3]Гр5(о)'!#REF!</definedName>
    <definedName name="fffff_14" localSheetId="71">'[3]Гр5(о)'!#REF!</definedName>
    <definedName name="fffff_14" localSheetId="73">'[3]Гр5(о)'!#REF!</definedName>
    <definedName name="fffff_14" localSheetId="67">'[3]Гр5(о)'!#REF!</definedName>
    <definedName name="fffff_14" localSheetId="59">'[3]Гр5(о)'!#REF!</definedName>
    <definedName name="fffff_14" localSheetId="60">'[3]Гр5(о)'!#REF!</definedName>
    <definedName name="fffff_14" localSheetId="18">'[3]Гр5(о)'!#REF!</definedName>
    <definedName name="fffff_14" localSheetId="5">'[3]Гр5(о)'!#REF!</definedName>
    <definedName name="fffff_14" localSheetId="61">'[3]Гр5(о)'!#REF!</definedName>
    <definedName name="fffff_14" localSheetId="19">'[3]Гр5(о)'!#REF!</definedName>
    <definedName name="fffff_14" localSheetId="20">'[3]Гр5(о)'!#REF!</definedName>
    <definedName name="fffff_14" localSheetId="30">'[3]Гр5(о)'!#REF!</definedName>
    <definedName name="fffff_14" localSheetId="56">'[3]Гр5(о)'!#REF!</definedName>
    <definedName name="fffff_14" localSheetId="57">'[3]Гр5(о)'!#REF!</definedName>
    <definedName name="fffff_14">'[3]Гр5(о)'!#REF!</definedName>
    <definedName name="gggg" localSheetId="62">#REF!</definedName>
    <definedName name="gggg" localSheetId="66">#REF!</definedName>
    <definedName name="gggg" localSheetId="64">#REF!</definedName>
    <definedName name="gggg" localSheetId="65">#REF!</definedName>
    <definedName name="gggg" localSheetId="45">#REF!</definedName>
    <definedName name="gggg" localSheetId="31">#REF!</definedName>
    <definedName name="gggg" localSheetId="41">#REF!</definedName>
    <definedName name="gggg" localSheetId="40">#REF!</definedName>
    <definedName name="gggg" localSheetId="42">#REF!</definedName>
    <definedName name="gggg" localSheetId="44">#REF!</definedName>
    <definedName name="gggg" localSheetId="43">#REF!</definedName>
    <definedName name="gggg" localSheetId="28">#REF!</definedName>
    <definedName name="gggg" localSheetId="46">#REF!</definedName>
    <definedName name="gggg" localSheetId="48">#REF!</definedName>
    <definedName name="gggg" localSheetId="49">#REF!</definedName>
    <definedName name="gggg" localSheetId="22">#REF!</definedName>
    <definedName name="gggg" localSheetId="23">#REF!</definedName>
    <definedName name="gggg" localSheetId="50">#REF!</definedName>
    <definedName name="gggg" localSheetId="85">#REF!</definedName>
    <definedName name="gggg" localSheetId="74">#REF!</definedName>
    <definedName name="gggg" localSheetId="71">#REF!</definedName>
    <definedName name="gggg" localSheetId="73">#REF!</definedName>
    <definedName name="gggg" localSheetId="67">#REF!</definedName>
    <definedName name="gggg" localSheetId="59">#REF!</definedName>
    <definedName name="gggg" localSheetId="60">#REF!</definedName>
    <definedName name="gggg" localSheetId="18">#REF!</definedName>
    <definedName name="gggg" localSheetId="90">#REF!</definedName>
    <definedName name="gggg" localSheetId="5">#REF!</definedName>
    <definedName name="gggg" localSheetId="61">#REF!</definedName>
    <definedName name="gggg" localSheetId="19">#REF!</definedName>
    <definedName name="gggg" localSheetId="20">#REF!</definedName>
    <definedName name="gggg" localSheetId="30">#REF!</definedName>
    <definedName name="gggg" localSheetId="58">#REF!</definedName>
    <definedName name="gggg" localSheetId="56">#REF!</definedName>
    <definedName name="gggg" localSheetId="57">#REF!</definedName>
    <definedName name="gggg">#REF!</definedName>
    <definedName name="gggg_14" localSheetId="62">#REF!</definedName>
    <definedName name="gggg_14" localSheetId="66">#REF!</definedName>
    <definedName name="gggg_14" localSheetId="64">#REF!</definedName>
    <definedName name="gggg_14" localSheetId="65">#REF!</definedName>
    <definedName name="gggg_14" localSheetId="45">#REF!</definedName>
    <definedName name="gggg_14" localSheetId="31">#REF!</definedName>
    <definedName name="gggg_14" localSheetId="41">#REF!</definedName>
    <definedName name="gggg_14" localSheetId="40">#REF!</definedName>
    <definedName name="gggg_14" localSheetId="42">#REF!</definedName>
    <definedName name="gggg_14" localSheetId="44">#REF!</definedName>
    <definedName name="gggg_14" localSheetId="43">#REF!</definedName>
    <definedName name="gggg_14" localSheetId="28">#REF!</definedName>
    <definedName name="gggg_14" localSheetId="46">#REF!</definedName>
    <definedName name="gggg_14" localSheetId="48">#REF!</definedName>
    <definedName name="gggg_14" localSheetId="49">#REF!</definedName>
    <definedName name="gggg_14" localSheetId="22">#REF!</definedName>
    <definedName name="gggg_14" localSheetId="23">#REF!</definedName>
    <definedName name="gggg_14" localSheetId="50">#REF!</definedName>
    <definedName name="gggg_14" localSheetId="85">#REF!</definedName>
    <definedName name="gggg_14" localSheetId="74">#REF!</definedName>
    <definedName name="gggg_14" localSheetId="71">#REF!</definedName>
    <definedName name="gggg_14" localSheetId="73">#REF!</definedName>
    <definedName name="gggg_14" localSheetId="67">#REF!</definedName>
    <definedName name="gggg_14" localSheetId="59">#REF!</definedName>
    <definedName name="gggg_14" localSheetId="60">#REF!</definedName>
    <definedName name="gggg_14" localSheetId="18">#REF!</definedName>
    <definedName name="gggg_14" localSheetId="5">#REF!</definedName>
    <definedName name="gggg_14" localSheetId="61">#REF!</definedName>
    <definedName name="gggg_14" localSheetId="19">#REF!</definedName>
    <definedName name="gggg_14" localSheetId="20">#REF!</definedName>
    <definedName name="gggg_14" localSheetId="30">#REF!</definedName>
    <definedName name="gggg_14" localSheetId="58">#REF!</definedName>
    <definedName name="gggg_14" localSheetId="56">#REF!</definedName>
    <definedName name="gggg_14" localSheetId="57">#REF!</definedName>
    <definedName name="gggg_14">#REF!</definedName>
    <definedName name="jjjj" localSheetId="62">'[4]Гр5(о)'!#REF!</definedName>
    <definedName name="jjjj" localSheetId="66">'[4]Гр5(о)'!#REF!</definedName>
    <definedName name="jjjj" localSheetId="64">'[4]Гр5(о)'!#REF!</definedName>
    <definedName name="jjjj" localSheetId="65">'[4]Гр5(о)'!#REF!</definedName>
    <definedName name="jjjj" localSheetId="45">'[4]Гр5(о)'!#REF!</definedName>
    <definedName name="jjjj" localSheetId="31">'[4]Гр5(о)'!#REF!</definedName>
    <definedName name="jjjj" localSheetId="41">'[4]Гр5(о)'!#REF!</definedName>
    <definedName name="jjjj" localSheetId="40">'[4]Гр5(о)'!#REF!</definedName>
    <definedName name="jjjj" localSheetId="42">'[4]Гр5(о)'!#REF!</definedName>
    <definedName name="jjjj" localSheetId="44">'[4]Гр5(о)'!#REF!</definedName>
    <definedName name="jjjj" localSheetId="43">'[4]Гр5(о)'!#REF!</definedName>
    <definedName name="jjjj" localSheetId="28">'[4]Гр5(о)'!#REF!</definedName>
    <definedName name="jjjj" localSheetId="46">'[4]Гр5(о)'!#REF!</definedName>
    <definedName name="jjjj" localSheetId="48">'[4]Гр5(о)'!#REF!</definedName>
    <definedName name="jjjj" localSheetId="49">'[4]Гр5(о)'!#REF!</definedName>
    <definedName name="jjjj" localSheetId="22">'[4]Гр5(о)'!#REF!</definedName>
    <definedName name="jjjj" localSheetId="23">'[4]Гр5(о)'!#REF!</definedName>
    <definedName name="jjjj" localSheetId="50">'[4]Гр5(о)'!#REF!</definedName>
    <definedName name="jjjj" localSheetId="85">'[4]Гр5(о)'!#REF!</definedName>
    <definedName name="jjjj" localSheetId="74">'[4]Гр5(о)'!#REF!</definedName>
    <definedName name="jjjj" localSheetId="71">'[4]Гр5(о)'!#REF!</definedName>
    <definedName name="jjjj" localSheetId="73">'[4]Гр5(о)'!#REF!</definedName>
    <definedName name="jjjj" localSheetId="67">'[4]Гр5(о)'!#REF!</definedName>
    <definedName name="jjjj" localSheetId="59">'[4]Гр5(о)'!#REF!</definedName>
    <definedName name="jjjj" localSheetId="60">'[4]Гр5(о)'!#REF!</definedName>
    <definedName name="jjjj" localSheetId="18">'[4]Гр5(о)'!#REF!</definedName>
    <definedName name="jjjj" localSheetId="5">'[4]Гр5(о)'!#REF!</definedName>
    <definedName name="jjjj" localSheetId="61">'[4]Гр5(о)'!#REF!</definedName>
    <definedName name="jjjj" localSheetId="19">'[4]Гр5(о)'!#REF!</definedName>
    <definedName name="jjjj" localSheetId="20">'[4]Гр5(о)'!#REF!</definedName>
    <definedName name="jjjj" localSheetId="30">'[4]Гр5(о)'!#REF!</definedName>
    <definedName name="jjjj" localSheetId="58">'[4]Гр5(о)'!#REF!</definedName>
    <definedName name="jjjj" localSheetId="56">'[4]Гр5(о)'!#REF!</definedName>
    <definedName name="jjjj" localSheetId="57">'[4]Гр5(о)'!#REF!</definedName>
    <definedName name="jjjj">'[4]Гр5(о)'!#REF!</definedName>
    <definedName name="jjjj_14" localSheetId="62">'[4]Гр5(о)'!#REF!</definedName>
    <definedName name="jjjj_14" localSheetId="66">'[4]Гр5(о)'!#REF!</definedName>
    <definedName name="jjjj_14" localSheetId="64">'[4]Гр5(о)'!#REF!</definedName>
    <definedName name="jjjj_14" localSheetId="65">'[4]Гр5(о)'!#REF!</definedName>
    <definedName name="jjjj_14" localSheetId="45">'[4]Гр5(о)'!#REF!</definedName>
    <definedName name="jjjj_14" localSheetId="31">'[4]Гр5(о)'!#REF!</definedName>
    <definedName name="jjjj_14" localSheetId="41">'[4]Гр5(о)'!#REF!</definedName>
    <definedName name="jjjj_14" localSheetId="40">'[4]Гр5(о)'!#REF!</definedName>
    <definedName name="jjjj_14" localSheetId="42">'[4]Гр5(о)'!#REF!</definedName>
    <definedName name="jjjj_14" localSheetId="44">'[4]Гр5(о)'!#REF!</definedName>
    <definedName name="jjjj_14" localSheetId="43">'[4]Гр5(о)'!#REF!</definedName>
    <definedName name="jjjj_14" localSheetId="28">'[4]Гр5(о)'!#REF!</definedName>
    <definedName name="jjjj_14" localSheetId="46">'[4]Гр5(о)'!#REF!</definedName>
    <definedName name="jjjj_14" localSheetId="48">'[4]Гр5(о)'!#REF!</definedName>
    <definedName name="jjjj_14" localSheetId="49">'[4]Гр5(о)'!#REF!</definedName>
    <definedName name="jjjj_14" localSheetId="22">'[4]Гр5(о)'!#REF!</definedName>
    <definedName name="jjjj_14" localSheetId="23">'[4]Гр5(о)'!#REF!</definedName>
    <definedName name="jjjj_14" localSheetId="50">'[4]Гр5(о)'!#REF!</definedName>
    <definedName name="jjjj_14" localSheetId="85">'[4]Гр5(о)'!#REF!</definedName>
    <definedName name="jjjj_14" localSheetId="74">'[4]Гр5(о)'!#REF!</definedName>
    <definedName name="jjjj_14" localSheetId="71">'[4]Гр5(о)'!#REF!</definedName>
    <definedName name="jjjj_14" localSheetId="73">'[4]Гр5(о)'!#REF!</definedName>
    <definedName name="jjjj_14" localSheetId="67">'[4]Гр5(о)'!#REF!</definedName>
    <definedName name="jjjj_14" localSheetId="59">'[4]Гр5(о)'!#REF!</definedName>
    <definedName name="jjjj_14" localSheetId="60">'[4]Гр5(о)'!#REF!</definedName>
    <definedName name="jjjj_14" localSheetId="18">'[4]Гр5(о)'!#REF!</definedName>
    <definedName name="jjjj_14" localSheetId="5">'[4]Гр5(о)'!#REF!</definedName>
    <definedName name="jjjj_14" localSheetId="61">'[4]Гр5(о)'!#REF!</definedName>
    <definedName name="jjjj_14" localSheetId="19">'[4]Гр5(о)'!#REF!</definedName>
    <definedName name="jjjj_14" localSheetId="20">'[4]Гр5(о)'!#REF!</definedName>
    <definedName name="jjjj_14" localSheetId="30">'[4]Гр5(о)'!#REF!</definedName>
    <definedName name="jjjj_14" localSheetId="58">'[4]Гр5(о)'!#REF!</definedName>
    <definedName name="jjjj_14" localSheetId="56">'[4]Гр5(о)'!#REF!</definedName>
    <definedName name="jjjj_14" localSheetId="57">'[4]Гр5(о)'!#REF!</definedName>
    <definedName name="jjjj_14">'[4]Гр5(о)'!#REF!</definedName>
    <definedName name="TABLE" localSheetId="5">'раздел 2'!#REF!</definedName>
    <definedName name="TABLE_2" localSheetId="5">'раздел 2'!#REF!</definedName>
    <definedName name="XDO_?ACTDOMCODE?" localSheetId="62">#REF!</definedName>
    <definedName name="XDO_?ACTDOMCODE?" localSheetId="66">#REF!</definedName>
    <definedName name="XDO_?ACTDOMCODE?" localSheetId="64">#REF!</definedName>
    <definedName name="XDO_?ACTDOMCODE?" localSheetId="65">#REF!</definedName>
    <definedName name="XDO_?ACTDOMCODE?" localSheetId="45">#REF!</definedName>
    <definedName name="XDO_?ACTDOMCODE?" localSheetId="31">#REF!</definedName>
    <definedName name="XDO_?ACTDOMCODE?" localSheetId="41">#REF!</definedName>
    <definedName name="XDO_?ACTDOMCODE?" localSheetId="40">#REF!</definedName>
    <definedName name="XDO_?ACTDOMCODE?" localSheetId="42">#REF!</definedName>
    <definedName name="XDO_?ACTDOMCODE?" localSheetId="44">#REF!</definedName>
    <definedName name="XDO_?ACTDOMCODE?" localSheetId="43">#REF!</definedName>
    <definedName name="XDO_?ACTDOMCODE?" localSheetId="28">#REF!</definedName>
    <definedName name="XDO_?ACTDOMCODE?" localSheetId="46">#REF!</definedName>
    <definedName name="XDO_?ACTDOMCODE?" localSheetId="48">#REF!</definedName>
    <definedName name="XDO_?ACTDOMCODE?" localSheetId="49">#REF!</definedName>
    <definedName name="XDO_?ACTDOMCODE?" localSheetId="22">#REF!</definedName>
    <definedName name="XDO_?ACTDOMCODE?" localSheetId="23">#REF!</definedName>
    <definedName name="XDO_?ACTDOMCODE?" localSheetId="50">#REF!</definedName>
    <definedName name="XDO_?ACTDOMCODE?" localSheetId="85">#REF!</definedName>
    <definedName name="XDO_?ACTDOMCODE?" localSheetId="74">#REF!</definedName>
    <definedName name="XDO_?ACTDOMCODE?" localSheetId="71">#REF!</definedName>
    <definedName name="XDO_?ACTDOMCODE?" localSheetId="73">#REF!</definedName>
    <definedName name="XDO_?ACTDOMCODE?" localSheetId="67">#REF!</definedName>
    <definedName name="XDO_?ACTDOMCODE?" localSheetId="59">#REF!</definedName>
    <definedName name="XDO_?ACTDOMCODE?" localSheetId="60">#REF!</definedName>
    <definedName name="XDO_?ACTDOMCODE?" localSheetId="18">#REF!</definedName>
    <definedName name="XDO_?ACTDOMCODE?" localSheetId="90">#REF!</definedName>
    <definedName name="XDO_?ACTDOMCODE?" localSheetId="5">#REF!</definedName>
    <definedName name="XDO_?ACTDOMCODE?" localSheetId="61">#REF!</definedName>
    <definedName name="XDO_?ACTDOMCODE?" localSheetId="19">#REF!</definedName>
    <definedName name="XDO_?ACTDOMCODE?" localSheetId="20">#REF!</definedName>
    <definedName name="XDO_?ACTDOMCODE?" localSheetId="30">#REF!</definedName>
    <definedName name="XDO_?ACTDOMCODE?" localSheetId="58">#REF!</definedName>
    <definedName name="XDO_?ACTDOMCODE?" localSheetId="56">#REF!</definedName>
    <definedName name="XDO_?ACTDOMCODE?" localSheetId="57">#REF!</definedName>
    <definedName name="XDO_?ACTDOMCODE?">#REF!</definedName>
    <definedName name="XDO_?ACTDOMNAME?" localSheetId="62">#REF!</definedName>
    <definedName name="XDO_?ACTDOMNAME?" localSheetId="66">#REF!</definedName>
    <definedName name="XDO_?ACTDOMNAME?" localSheetId="64">#REF!</definedName>
    <definedName name="XDO_?ACTDOMNAME?" localSheetId="65">#REF!</definedName>
    <definedName name="XDO_?ACTDOMNAME?" localSheetId="45">#REF!</definedName>
    <definedName name="XDO_?ACTDOMNAME?" localSheetId="31">#REF!</definedName>
    <definedName name="XDO_?ACTDOMNAME?" localSheetId="41">#REF!</definedName>
    <definedName name="XDO_?ACTDOMNAME?" localSheetId="40">#REF!</definedName>
    <definedName name="XDO_?ACTDOMNAME?" localSheetId="42">#REF!</definedName>
    <definedName name="XDO_?ACTDOMNAME?" localSheetId="44">#REF!</definedName>
    <definedName name="XDO_?ACTDOMNAME?" localSheetId="43">#REF!</definedName>
    <definedName name="XDO_?ACTDOMNAME?" localSheetId="28">#REF!</definedName>
    <definedName name="XDO_?ACTDOMNAME?" localSheetId="46">#REF!</definedName>
    <definedName name="XDO_?ACTDOMNAME?" localSheetId="48">#REF!</definedName>
    <definedName name="XDO_?ACTDOMNAME?" localSheetId="49">#REF!</definedName>
    <definedName name="XDO_?ACTDOMNAME?" localSheetId="22">#REF!</definedName>
    <definedName name="XDO_?ACTDOMNAME?" localSheetId="23">#REF!</definedName>
    <definedName name="XDO_?ACTDOMNAME?" localSheetId="50">#REF!</definedName>
    <definedName name="XDO_?ACTDOMNAME?" localSheetId="85">#REF!</definedName>
    <definedName name="XDO_?ACTDOMNAME?" localSheetId="74">#REF!</definedName>
    <definedName name="XDO_?ACTDOMNAME?" localSheetId="71">#REF!</definedName>
    <definedName name="XDO_?ACTDOMNAME?" localSheetId="73">#REF!</definedName>
    <definedName name="XDO_?ACTDOMNAME?" localSheetId="67">#REF!</definedName>
    <definedName name="XDO_?ACTDOMNAME?" localSheetId="59">#REF!</definedName>
    <definedName name="XDO_?ACTDOMNAME?" localSheetId="60">#REF!</definedName>
    <definedName name="XDO_?ACTDOMNAME?" localSheetId="18">#REF!</definedName>
    <definedName name="XDO_?ACTDOMNAME?" localSheetId="5">#REF!</definedName>
    <definedName name="XDO_?ACTDOMNAME?" localSheetId="61">#REF!</definedName>
    <definedName name="XDO_?ACTDOMNAME?" localSheetId="19">#REF!</definedName>
    <definedName name="XDO_?ACTDOMNAME?" localSheetId="20">#REF!</definedName>
    <definedName name="XDO_?ACTDOMNAME?" localSheetId="30">#REF!</definedName>
    <definedName name="XDO_?ACTDOMNAME?" localSheetId="58">#REF!</definedName>
    <definedName name="XDO_?ACTDOMNAME?" localSheetId="56">#REF!</definedName>
    <definedName name="XDO_?ACTDOMNAME?" localSheetId="57">#REF!</definedName>
    <definedName name="XDO_?ACTDOMNAME?">#REF!</definedName>
    <definedName name="XDO_?BELONG210FL?" localSheetId="62">#REF!</definedName>
    <definedName name="XDO_?BELONG210FL?" localSheetId="66">#REF!</definedName>
    <definedName name="XDO_?BELONG210FL?" localSheetId="64">#REF!</definedName>
    <definedName name="XDO_?BELONG210FL?" localSheetId="65">#REF!</definedName>
    <definedName name="XDO_?BELONG210FL?" localSheetId="45">#REF!</definedName>
    <definedName name="XDO_?BELONG210FL?" localSheetId="31">#REF!</definedName>
    <definedName name="XDO_?BELONG210FL?" localSheetId="41">#REF!</definedName>
    <definedName name="XDO_?BELONG210FL?" localSheetId="40">#REF!</definedName>
    <definedName name="XDO_?BELONG210FL?" localSheetId="42">#REF!</definedName>
    <definedName name="XDO_?BELONG210FL?" localSheetId="44">#REF!</definedName>
    <definedName name="XDO_?BELONG210FL?" localSheetId="43">#REF!</definedName>
    <definedName name="XDO_?BELONG210FL?" localSheetId="28">#REF!</definedName>
    <definedName name="XDO_?BELONG210FL?" localSheetId="46">#REF!</definedName>
    <definedName name="XDO_?BELONG210FL?" localSheetId="48">#REF!</definedName>
    <definedName name="XDO_?BELONG210FL?" localSheetId="49">#REF!</definedName>
    <definedName name="XDO_?BELONG210FL?" localSheetId="22">#REF!</definedName>
    <definedName name="XDO_?BELONG210FL?" localSheetId="23">#REF!</definedName>
    <definedName name="XDO_?BELONG210FL?" localSheetId="50">#REF!</definedName>
    <definedName name="XDO_?BELONG210FL?" localSheetId="85">#REF!</definedName>
    <definedName name="XDO_?BELONG210FL?" localSheetId="74">#REF!</definedName>
    <definedName name="XDO_?BELONG210FL?" localSheetId="71">#REF!</definedName>
    <definedName name="XDO_?BELONG210FL?" localSheetId="73">#REF!</definedName>
    <definedName name="XDO_?BELONG210FL?" localSheetId="67">#REF!</definedName>
    <definedName name="XDO_?BELONG210FL?" localSheetId="59">#REF!</definedName>
    <definedName name="XDO_?BELONG210FL?" localSheetId="60">#REF!</definedName>
    <definedName name="XDO_?BELONG210FL?" localSheetId="18">#REF!</definedName>
    <definedName name="XDO_?BELONG210FL?" localSheetId="5">#REF!</definedName>
    <definedName name="XDO_?BELONG210FL?" localSheetId="61">#REF!</definedName>
    <definedName name="XDO_?BELONG210FL?" localSheetId="19">#REF!</definedName>
    <definedName name="XDO_?BELONG210FL?" localSheetId="20">#REF!</definedName>
    <definedName name="XDO_?BELONG210FL?" localSheetId="30">#REF!</definedName>
    <definedName name="XDO_?BELONG210FL?" localSheetId="58">#REF!</definedName>
    <definedName name="XDO_?BELONG210FL?" localSheetId="56">#REF!</definedName>
    <definedName name="XDO_?BELONG210FL?" localSheetId="57">#REF!</definedName>
    <definedName name="XDO_?BELONG210FL?">#REF!</definedName>
    <definedName name="XDO_?CSMCTGY_NAME?" localSheetId="62">#REF!</definedName>
    <definedName name="XDO_?CSMCTGY_NAME?" localSheetId="66">#REF!</definedName>
    <definedName name="XDO_?CSMCTGY_NAME?" localSheetId="64">#REF!</definedName>
    <definedName name="XDO_?CSMCTGY_NAME?" localSheetId="65">#REF!</definedName>
    <definedName name="XDO_?CSMCTGY_NAME?" localSheetId="45">#REF!</definedName>
    <definedName name="XDO_?CSMCTGY_NAME?" localSheetId="31">#REF!</definedName>
    <definedName name="XDO_?CSMCTGY_NAME?" localSheetId="41">#REF!</definedName>
    <definedName name="XDO_?CSMCTGY_NAME?" localSheetId="40">#REF!</definedName>
    <definedName name="XDO_?CSMCTGY_NAME?" localSheetId="42">#REF!</definedName>
    <definedName name="XDO_?CSMCTGY_NAME?" localSheetId="44">#REF!</definedName>
    <definedName name="XDO_?CSMCTGY_NAME?" localSheetId="43">#REF!</definedName>
    <definedName name="XDO_?CSMCTGY_NAME?" localSheetId="28">#REF!</definedName>
    <definedName name="XDO_?CSMCTGY_NAME?" localSheetId="46">#REF!</definedName>
    <definedName name="XDO_?CSMCTGY_NAME?" localSheetId="48">#REF!</definedName>
    <definedName name="XDO_?CSMCTGY_NAME?" localSheetId="49">#REF!</definedName>
    <definedName name="XDO_?CSMCTGY_NAME?" localSheetId="22">#REF!</definedName>
    <definedName name="XDO_?CSMCTGY_NAME?" localSheetId="23">#REF!</definedName>
    <definedName name="XDO_?CSMCTGY_NAME?" localSheetId="50">#REF!</definedName>
    <definedName name="XDO_?CSMCTGY_NAME?" localSheetId="71">#REF!</definedName>
    <definedName name="XDO_?CSMCTGY_NAME?" localSheetId="73">#REF!</definedName>
    <definedName name="XDO_?CSMCTGY_NAME?" localSheetId="67">#REF!</definedName>
    <definedName name="XDO_?CSMCTGY_NAME?" localSheetId="59">#REF!</definedName>
    <definedName name="XDO_?CSMCTGY_NAME?" localSheetId="60">#REF!</definedName>
    <definedName name="XDO_?CSMCTGY_NAME?" localSheetId="18">#REF!</definedName>
    <definedName name="XDO_?CSMCTGY_NAME?" localSheetId="5">#REF!</definedName>
    <definedName name="XDO_?CSMCTGY_NAME?" localSheetId="61">#REF!</definedName>
    <definedName name="XDO_?CSMCTGY_NAME?" localSheetId="19">#REF!</definedName>
    <definedName name="XDO_?CSMCTGY_NAME?" localSheetId="20">#REF!</definedName>
    <definedName name="XDO_?CSMCTGY_NAME?" localSheetId="30">#REF!</definedName>
    <definedName name="XDO_?CSMCTGY_NAME?" localSheetId="58">#REF!</definedName>
    <definedName name="XDO_?CSMCTGY_NAME?" localSheetId="56">#REF!</definedName>
    <definedName name="XDO_?CSMCTGY_NAME?" localSheetId="57">#REF!</definedName>
    <definedName name="XDO_?CSMCTGY_NAME?">#REF!</definedName>
    <definedName name="XDO_?INSTKND_NAME?" localSheetId="62">#REF!</definedName>
    <definedName name="XDO_?INSTKND_NAME?" localSheetId="66">#REF!</definedName>
    <definedName name="XDO_?INSTKND_NAME?" localSheetId="64">#REF!</definedName>
    <definedName name="XDO_?INSTKND_NAME?" localSheetId="65">#REF!</definedName>
    <definedName name="XDO_?INSTKND_NAME?" localSheetId="45">#REF!</definedName>
    <definedName name="XDO_?INSTKND_NAME?" localSheetId="31">#REF!</definedName>
    <definedName name="XDO_?INSTKND_NAME?" localSheetId="41">#REF!</definedName>
    <definedName name="XDO_?INSTKND_NAME?" localSheetId="40">#REF!</definedName>
    <definedName name="XDO_?INSTKND_NAME?" localSheetId="42">#REF!</definedName>
    <definedName name="XDO_?INSTKND_NAME?" localSheetId="44">#REF!</definedName>
    <definedName name="XDO_?INSTKND_NAME?" localSheetId="43">#REF!</definedName>
    <definedName name="XDO_?INSTKND_NAME?" localSheetId="28">#REF!</definedName>
    <definedName name="XDO_?INSTKND_NAME?" localSheetId="46">#REF!</definedName>
    <definedName name="XDO_?INSTKND_NAME?" localSheetId="48">#REF!</definedName>
    <definedName name="XDO_?INSTKND_NAME?" localSheetId="49">#REF!</definedName>
    <definedName name="XDO_?INSTKND_NAME?" localSheetId="22">#REF!</definedName>
    <definedName name="XDO_?INSTKND_NAME?" localSheetId="23">#REF!</definedName>
    <definedName name="XDO_?INSTKND_NAME?" localSheetId="50">#REF!</definedName>
    <definedName name="XDO_?INSTKND_NAME?" localSheetId="71">#REF!</definedName>
    <definedName name="XDO_?INSTKND_NAME?" localSheetId="73">#REF!</definedName>
    <definedName name="XDO_?INSTKND_NAME?" localSheetId="67">#REF!</definedName>
    <definedName name="XDO_?INSTKND_NAME?" localSheetId="59">#REF!</definedName>
    <definedName name="XDO_?INSTKND_NAME?" localSheetId="60">#REF!</definedName>
    <definedName name="XDO_?INSTKND_NAME?" localSheetId="18">#REF!</definedName>
    <definedName name="XDO_?INSTKND_NAME?" localSheetId="5">#REF!</definedName>
    <definedName name="XDO_?INSTKND_NAME?" localSheetId="61">#REF!</definedName>
    <definedName name="XDO_?INSTKND_NAME?" localSheetId="19">#REF!</definedName>
    <definedName name="XDO_?INSTKND_NAME?" localSheetId="20">#REF!</definedName>
    <definedName name="XDO_?INSTKND_NAME?" localSheetId="30">#REF!</definedName>
    <definedName name="XDO_?INSTKND_NAME?" localSheetId="58">#REF!</definedName>
    <definedName name="XDO_?INSTKND_NAME?" localSheetId="56">#REF!</definedName>
    <definedName name="XDO_?INSTKND_NAME?" localSheetId="57">#REF!</definedName>
    <definedName name="XDO_?INSTKND_NAME?">#REF!</definedName>
    <definedName name="XDO_?LGLACT_APPROVEDBY?" localSheetId="62">#REF!</definedName>
    <definedName name="XDO_?LGLACT_APPROVEDBY?" localSheetId="66">#REF!</definedName>
    <definedName name="XDO_?LGLACT_APPROVEDBY?" localSheetId="64">#REF!</definedName>
    <definedName name="XDO_?LGLACT_APPROVEDBY?" localSheetId="65">#REF!</definedName>
    <definedName name="XDO_?LGLACT_APPROVEDBY?" localSheetId="45">#REF!</definedName>
    <definedName name="XDO_?LGLACT_APPROVEDBY?" localSheetId="31">#REF!</definedName>
    <definedName name="XDO_?LGLACT_APPROVEDBY?" localSheetId="41">#REF!</definedName>
    <definedName name="XDO_?LGLACT_APPROVEDBY?" localSheetId="40">#REF!</definedName>
    <definedName name="XDO_?LGLACT_APPROVEDBY?" localSheetId="42">#REF!</definedName>
    <definedName name="XDO_?LGLACT_APPROVEDBY?" localSheetId="44">#REF!</definedName>
    <definedName name="XDO_?LGLACT_APPROVEDBY?" localSheetId="43">#REF!</definedName>
    <definedName name="XDO_?LGLACT_APPROVEDBY?" localSheetId="28">#REF!</definedName>
    <definedName name="XDO_?LGLACT_APPROVEDBY?" localSheetId="46">#REF!</definedName>
    <definedName name="XDO_?LGLACT_APPROVEDBY?" localSheetId="48">#REF!</definedName>
    <definedName name="XDO_?LGLACT_APPROVEDBY?" localSheetId="49">#REF!</definedName>
    <definedName name="XDO_?LGLACT_APPROVEDBY?" localSheetId="22">#REF!</definedName>
    <definedName name="XDO_?LGLACT_APPROVEDBY?" localSheetId="23">#REF!</definedName>
    <definedName name="XDO_?LGLACT_APPROVEDBY?" localSheetId="50">#REF!</definedName>
    <definedName name="XDO_?LGLACT_APPROVEDBY?" localSheetId="71">#REF!</definedName>
    <definedName name="XDO_?LGLACT_APPROVEDBY?" localSheetId="73">#REF!</definedName>
    <definedName name="XDO_?LGLACT_APPROVEDBY?" localSheetId="67">#REF!</definedName>
    <definedName name="XDO_?LGLACT_APPROVEDBY?" localSheetId="59">#REF!</definedName>
    <definedName name="XDO_?LGLACT_APPROVEDBY?" localSheetId="60">#REF!</definedName>
    <definedName name="XDO_?LGLACT_APPROVEDBY?" localSheetId="18">#REF!</definedName>
    <definedName name="XDO_?LGLACT_APPROVEDBY?" localSheetId="5">#REF!</definedName>
    <definedName name="XDO_?LGLACT_APPROVEDBY?" localSheetId="61">#REF!</definedName>
    <definedName name="XDO_?LGLACT_APPROVEDBY?" localSheetId="19">#REF!</definedName>
    <definedName name="XDO_?LGLACT_APPROVEDBY?" localSheetId="20">#REF!</definedName>
    <definedName name="XDO_?LGLACT_APPROVEDBY?" localSheetId="30">#REF!</definedName>
    <definedName name="XDO_?LGLACT_APPROVEDBY?" localSheetId="58">#REF!</definedName>
    <definedName name="XDO_?LGLACT_APPROVEDBY?" localSheetId="56">#REF!</definedName>
    <definedName name="XDO_?LGLACT_APPROVEDBY?" localSheetId="57">#REF!</definedName>
    <definedName name="XDO_?LGLACT_APPROVEDBY?">#REF!</definedName>
    <definedName name="XDO_?LGLACT_APPRVDAT?" localSheetId="62">#REF!</definedName>
    <definedName name="XDO_?LGLACT_APPRVDAT?" localSheetId="66">#REF!</definedName>
    <definedName name="XDO_?LGLACT_APPRVDAT?" localSheetId="64">#REF!</definedName>
    <definedName name="XDO_?LGLACT_APPRVDAT?" localSheetId="65">#REF!</definedName>
    <definedName name="XDO_?LGLACT_APPRVDAT?" localSheetId="45">#REF!</definedName>
    <definedName name="XDO_?LGLACT_APPRVDAT?" localSheetId="31">#REF!</definedName>
    <definedName name="XDO_?LGLACT_APPRVDAT?" localSheetId="41">#REF!</definedName>
    <definedName name="XDO_?LGLACT_APPRVDAT?" localSheetId="40">#REF!</definedName>
    <definedName name="XDO_?LGLACT_APPRVDAT?" localSheetId="42">#REF!</definedName>
    <definedName name="XDO_?LGLACT_APPRVDAT?" localSheetId="44">#REF!</definedName>
    <definedName name="XDO_?LGLACT_APPRVDAT?" localSheetId="43">#REF!</definedName>
    <definedName name="XDO_?LGLACT_APPRVDAT?" localSheetId="28">#REF!</definedName>
    <definedName name="XDO_?LGLACT_APPRVDAT?" localSheetId="46">#REF!</definedName>
    <definedName name="XDO_?LGLACT_APPRVDAT?" localSheetId="48">#REF!</definedName>
    <definedName name="XDO_?LGLACT_APPRVDAT?" localSheetId="49">#REF!</definedName>
    <definedName name="XDO_?LGLACT_APPRVDAT?" localSheetId="22">#REF!</definedName>
    <definedName name="XDO_?LGLACT_APPRVDAT?" localSheetId="23">#REF!</definedName>
    <definedName name="XDO_?LGLACT_APPRVDAT?" localSheetId="50">#REF!</definedName>
    <definedName name="XDO_?LGLACT_APPRVDAT?" localSheetId="71">#REF!</definedName>
    <definedName name="XDO_?LGLACT_APPRVDAT?" localSheetId="73">#REF!</definedName>
    <definedName name="XDO_?LGLACT_APPRVDAT?" localSheetId="67">#REF!</definedName>
    <definedName name="XDO_?LGLACT_APPRVDAT?" localSheetId="59">#REF!</definedName>
    <definedName name="XDO_?LGLACT_APPRVDAT?" localSheetId="60">#REF!</definedName>
    <definedName name="XDO_?LGLACT_APPRVDAT?" localSheetId="18">#REF!</definedName>
    <definedName name="XDO_?LGLACT_APPRVDAT?" localSheetId="5">#REF!</definedName>
    <definedName name="XDO_?LGLACT_APPRVDAT?" localSheetId="61">#REF!</definedName>
    <definedName name="XDO_?LGLACT_APPRVDAT?" localSheetId="19">#REF!</definedName>
    <definedName name="XDO_?LGLACT_APPRVDAT?" localSheetId="20">#REF!</definedName>
    <definedName name="XDO_?LGLACT_APPRVDAT?" localSheetId="30">#REF!</definedName>
    <definedName name="XDO_?LGLACT_APPRVDAT?" localSheetId="58">#REF!</definedName>
    <definedName name="XDO_?LGLACT_APPRVDAT?" localSheetId="56">#REF!</definedName>
    <definedName name="XDO_?LGLACT_APPRVDAT?" localSheetId="57">#REF!</definedName>
    <definedName name="XDO_?LGLACT_APPRVDAT?">#REF!</definedName>
    <definedName name="XDO_?LGLACT_NAME?" localSheetId="62">#REF!</definedName>
    <definedName name="XDO_?LGLACT_NAME?" localSheetId="66">#REF!</definedName>
    <definedName name="XDO_?LGLACT_NAME?" localSheetId="64">#REF!</definedName>
    <definedName name="XDO_?LGLACT_NAME?" localSheetId="65">#REF!</definedName>
    <definedName name="XDO_?LGLACT_NAME?" localSheetId="45">#REF!</definedName>
    <definedName name="XDO_?LGLACT_NAME?" localSheetId="31">#REF!</definedName>
    <definedName name="XDO_?LGLACT_NAME?" localSheetId="41">#REF!</definedName>
    <definedName name="XDO_?LGLACT_NAME?" localSheetId="40">#REF!</definedName>
    <definedName name="XDO_?LGLACT_NAME?" localSheetId="42">#REF!</definedName>
    <definedName name="XDO_?LGLACT_NAME?" localSheetId="44">#REF!</definedName>
    <definedName name="XDO_?LGLACT_NAME?" localSheetId="43">#REF!</definedName>
    <definedName name="XDO_?LGLACT_NAME?" localSheetId="28">#REF!</definedName>
    <definedName name="XDO_?LGLACT_NAME?" localSheetId="46">#REF!</definedName>
    <definedName name="XDO_?LGLACT_NAME?" localSheetId="48">#REF!</definedName>
    <definedName name="XDO_?LGLACT_NAME?" localSheetId="49">#REF!</definedName>
    <definedName name="XDO_?LGLACT_NAME?" localSheetId="22">#REF!</definedName>
    <definedName name="XDO_?LGLACT_NAME?" localSheetId="23">#REF!</definedName>
    <definedName name="XDO_?LGLACT_NAME?" localSheetId="50">#REF!</definedName>
    <definedName name="XDO_?LGLACT_NAME?" localSheetId="71">#REF!</definedName>
    <definedName name="XDO_?LGLACT_NAME?" localSheetId="73">#REF!</definedName>
    <definedName name="XDO_?LGLACT_NAME?" localSheetId="67">#REF!</definedName>
    <definedName name="XDO_?LGLACT_NAME?" localSheetId="59">#REF!</definedName>
    <definedName name="XDO_?LGLACT_NAME?" localSheetId="60">#REF!</definedName>
    <definedName name="XDO_?LGLACT_NAME?" localSheetId="18">#REF!</definedName>
    <definedName name="XDO_?LGLACT_NAME?" localSheetId="5">#REF!</definedName>
    <definedName name="XDO_?LGLACT_NAME?" localSheetId="61">#REF!</definedName>
    <definedName name="XDO_?LGLACT_NAME?" localSheetId="19">#REF!</definedName>
    <definedName name="XDO_?LGLACT_NAME?" localSheetId="20">#REF!</definedName>
    <definedName name="XDO_?LGLACT_NAME?" localSheetId="30">#REF!</definedName>
    <definedName name="XDO_?LGLACT_NAME?" localSheetId="58">#REF!</definedName>
    <definedName name="XDO_?LGLACT_NAME?" localSheetId="56">#REF!</definedName>
    <definedName name="XDO_?LGLACT_NAME?" localSheetId="57">#REF!</definedName>
    <definedName name="XDO_?LGLACT_NAME?">#REF!</definedName>
    <definedName name="XDO_?NAME_1?" localSheetId="62">#REF!</definedName>
    <definedName name="XDO_?NAME_1?" localSheetId="66">#REF!</definedName>
    <definedName name="XDO_?NAME_1?" localSheetId="64">#REF!</definedName>
    <definedName name="XDO_?NAME_1?" localSheetId="65">#REF!</definedName>
    <definedName name="XDO_?NAME_1?" localSheetId="45">#REF!</definedName>
    <definedName name="XDO_?NAME_1?" localSheetId="31">#REF!</definedName>
    <definedName name="XDO_?NAME_1?" localSheetId="41">#REF!</definedName>
    <definedName name="XDO_?NAME_1?" localSheetId="40">#REF!</definedName>
    <definedName name="XDO_?NAME_1?" localSheetId="42">#REF!</definedName>
    <definedName name="XDO_?NAME_1?" localSheetId="44">#REF!</definedName>
    <definedName name="XDO_?NAME_1?" localSheetId="43">#REF!</definedName>
    <definedName name="XDO_?NAME_1?" localSheetId="28">#REF!</definedName>
    <definedName name="XDO_?NAME_1?" localSheetId="46">#REF!</definedName>
    <definedName name="XDO_?NAME_1?" localSheetId="48">#REF!</definedName>
    <definedName name="XDO_?NAME_1?" localSheetId="49">#REF!</definedName>
    <definedName name="XDO_?NAME_1?" localSheetId="22">#REF!</definedName>
    <definedName name="XDO_?NAME_1?" localSheetId="23">#REF!</definedName>
    <definedName name="XDO_?NAME_1?" localSheetId="50">#REF!</definedName>
    <definedName name="XDO_?NAME_1?" localSheetId="71">#REF!</definedName>
    <definedName name="XDO_?NAME_1?" localSheetId="73">#REF!</definedName>
    <definedName name="XDO_?NAME_1?" localSheetId="67">#REF!</definedName>
    <definedName name="XDO_?NAME_1?" localSheetId="59">#REF!</definedName>
    <definedName name="XDO_?NAME_1?" localSheetId="60">#REF!</definedName>
    <definedName name="XDO_?NAME_1?" localSheetId="18">#REF!</definedName>
    <definedName name="XDO_?NAME_1?" localSheetId="5">#REF!</definedName>
    <definedName name="XDO_?NAME_1?" localSheetId="61">#REF!</definedName>
    <definedName name="XDO_?NAME_1?" localSheetId="19">#REF!</definedName>
    <definedName name="XDO_?NAME_1?" localSheetId="20">#REF!</definedName>
    <definedName name="XDO_?NAME_1?" localSheetId="30">#REF!</definedName>
    <definedName name="XDO_?NAME_1?" localSheetId="58">#REF!</definedName>
    <definedName name="XDO_?NAME_1?" localSheetId="56">#REF!</definedName>
    <definedName name="XDO_?NAME_1?" localSheetId="57">#REF!</definedName>
    <definedName name="XDO_?NAME_1?">#REF!</definedName>
    <definedName name="XDO_?NAME_2?" localSheetId="62">#REF!</definedName>
    <definedName name="XDO_?NAME_2?" localSheetId="66">#REF!</definedName>
    <definedName name="XDO_?NAME_2?" localSheetId="64">#REF!</definedName>
    <definedName name="XDO_?NAME_2?" localSheetId="65">#REF!</definedName>
    <definedName name="XDO_?NAME_2?" localSheetId="45">#REF!</definedName>
    <definedName name="XDO_?NAME_2?" localSheetId="31">#REF!</definedName>
    <definedName name="XDO_?NAME_2?" localSheetId="41">#REF!</definedName>
    <definedName name="XDO_?NAME_2?" localSheetId="40">#REF!</definedName>
    <definedName name="XDO_?NAME_2?" localSheetId="42">#REF!</definedName>
    <definedName name="XDO_?NAME_2?" localSheetId="44">#REF!</definedName>
    <definedName name="XDO_?NAME_2?" localSheetId="43">#REF!</definedName>
    <definedName name="XDO_?NAME_2?" localSheetId="28">#REF!</definedName>
    <definedName name="XDO_?NAME_2?" localSheetId="46">#REF!</definedName>
    <definedName name="XDO_?NAME_2?" localSheetId="48">#REF!</definedName>
    <definedName name="XDO_?NAME_2?" localSheetId="49">#REF!</definedName>
    <definedName name="XDO_?NAME_2?" localSheetId="22">#REF!</definedName>
    <definedName name="XDO_?NAME_2?" localSheetId="23">#REF!</definedName>
    <definedName name="XDO_?NAME_2?" localSheetId="50">#REF!</definedName>
    <definedName name="XDO_?NAME_2?" localSheetId="71">#REF!</definedName>
    <definedName name="XDO_?NAME_2?" localSheetId="73">#REF!</definedName>
    <definedName name="XDO_?NAME_2?" localSheetId="67">#REF!</definedName>
    <definedName name="XDO_?NAME_2?" localSheetId="59">#REF!</definedName>
    <definedName name="XDO_?NAME_2?" localSheetId="60">#REF!</definedName>
    <definedName name="XDO_?NAME_2?" localSheetId="18">#REF!</definedName>
    <definedName name="XDO_?NAME_2?" localSheetId="5">#REF!</definedName>
    <definedName name="XDO_?NAME_2?" localSheetId="61">#REF!</definedName>
    <definedName name="XDO_?NAME_2?" localSheetId="19">#REF!</definedName>
    <definedName name="XDO_?NAME_2?" localSheetId="20">#REF!</definedName>
    <definedName name="XDO_?NAME_2?" localSheetId="30">#REF!</definedName>
    <definedName name="XDO_?NAME_2?" localSheetId="58">#REF!</definedName>
    <definedName name="XDO_?NAME_2?" localSheetId="56">#REF!</definedName>
    <definedName name="XDO_?NAME_2?" localSheetId="57">#REF!</definedName>
    <definedName name="XDO_?NAME_2?">#REF!</definedName>
    <definedName name="XDO_?NAME_CODE?" localSheetId="62">#REF!</definedName>
    <definedName name="XDO_?NAME_CODE?" localSheetId="66">#REF!</definedName>
    <definedName name="XDO_?NAME_CODE?" localSheetId="64">#REF!</definedName>
    <definedName name="XDO_?NAME_CODE?" localSheetId="65">#REF!</definedName>
    <definedName name="XDO_?NAME_CODE?" localSheetId="45">#REF!</definedName>
    <definedName name="XDO_?NAME_CODE?" localSheetId="31">#REF!</definedName>
    <definedName name="XDO_?NAME_CODE?" localSheetId="41">#REF!</definedName>
    <definedName name="XDO_?NAME_CODE?" localSheetId="40">#REF!</definedName>
    <definedName name="XDO_?NAME_CODE?" localSheetId="42">#REF!</definedName>
    <definedName name="XDO_?NAME_CODE?" localSheetId="44">#REF!</definedName>
    <definedName name="XDO_?NAME_CODE?" localSheetId="43">#REF!</definedName>
    <definedName name="XDO_?NAME_CODE?" localSheetId="28">#REF!</definedName>
    <definedName name="XDO_?NAME_CODE?" localSheetId="46">#REF!</definedName>
    <definedName name="XDO_?NAME_CODE?" localSheetId="48">#REF!</definedName>
    <definedName name="XDO_?NAME_CODE?" localSheetId="49">#REF!</definedName>
    <definedName name="XDO_?NAME_CODE?" localSheetId="22">#REF!</definedName>
    <definedName name="XDO_?NAME_CODE?" localSheetId="23">#REF!</definedName>
    <definedName name="XDO_?NAME_CODE?" localSheetId="50">#REF!</definedName>
    <definedName name="XDO_?NAME_CODE?" localSheetId="71">#REF!</definedName>
    <definedName name="XDO_?NAME_CODE?" localSheetId="73">#REF!</definedName>
    <definedName name="XDO_?NAME_CODE?" localSheetId="67">#REF!</definedName>
    <definedName name="XDO_?NAME_CODE?" localSheetId="59">#REF!</definedName>
    <definedName name="XDO_?NAME_CODE?" localSheetId="60">#REF!</definedName>
    <definedName name="XDO_?NAME_CODE?" localSheetId="18">#REF!</definedName>
    <definedName name="XDO_?NAME_CODE?" localSheetId="5">#REF!</definedName>
    <definedName name="XDO_?NAME_CODE?" localSheetId="61">#REF!</definedName>
    <definedName name="XDO_?NAME_CODE?" localSheetId="19">#REF!</definedName>
    <definedName name="XDO_?NAME_CODE?" localSheetId="20">#REF!</definedName>
    <definedName name="XDO_?NAME_CODE?" localSheetId="30">#REF!</definedName>
    <definedName name="XDO_?NAME_CODE?" localSheetId="58">#REF!</definedName>
    <definedName name="XDO_?NAME_CODE?" localSheetId="56">#REF!</definedName>
    <definedName name="XDO_?NAME_CODE?" localSheetId="57">#REF!</definedName>
    <definedName name="XDO_?NAME_CODE?">#REF!</definedName>
    <definedName name="XDO_?NAME_NAME?" localSheetId="62">#REF!</definedName>
    <definedName name="XDO_?NAME_NAME?" localSheetId="66">#REF!</definedName>
    <definedName name="XDO_?NAME_NAME?" localSheetId="64">#REF!</definedName>
    <definedName name="XDO_?NAME_NAME?" localSheetId="65">#REF!</definedName>
    <definedName name="XDO_?NAME_NAME?" localSheetId="45">#REF!</definedName>
    <definedName name="XDO_?NAME_NAME?" localSheetId="31">#REF!</definedName>
    <definedName name="XDO_?NAME_NAME?" localSheetId="41">#REF!</definedName>
    <definedName name="XDO_?NAME_NAME?" localSheetId="40">#REF!</definedName>
    <definedName name="XDO_?NAME_NAME?" localSheetId="42">#REF!</definedName>
    <definedName name="XDO_?NAME_NAME?" localSheetId="44">#REF!</definedName>
    <definedName name="XDO_?NAME_NAME?" localSheetId="43">#REF!</definedName>
    <definedName name="XDO_?NAME_NAME?" localSheetId="28">#REF!</definedName>
    <definedName name="XDO_?NAME_NAME?" localSheetId="46">#REF!</definedName>
    <definedName name="XDO_?NAME_NAME?" localSheetId="48">#REF!</definedName>
    <definedName name="XDO_?NAME_NAME?" localSheetId="49">#REF!</definedName>
    <definedName name="XDO_?NAME_NAME?" localSheetId="22">#REF!</definedName>
    <definedName name="XDO_?NAME_NAME?" localSheetId="23">#REF!</definedName>
    <definedName name="XDO_?NAME_NAME?" localSheetId="50">#REF!</definedName>
    <definedName name="XDO_?NAME_NAME?" localSheetId="71">#REF!</definedName>
    <definedName name="XDO_?NAME_NAME?" localSheetId="73">#REF!</definedName>
    <definedName name="XDO_?NAME_NAME?" localSheetId="67">#REF!</definedName>
    <definedName name="XDO_?NAME_NAME?" localSheetId="59">#REF!</definedName>
    <definedName name="XDO_?NAME_NAME?" localSheetId="60">#REF!</definedName>
    <definedName name="XDO_?NAME_NAME?" localSheetId="18">#REF!</definedName>
    <definedName name="XDO_?NAME_NAME?" localSheetId="5">#REF!</definedName>
    <definedName name="XDO_?NAME_NAME?" localSheetId="61">#REF!</definedName>
    <definedName name="XDO_?NAME_NAME?" localSheetId="19">#REF!</definedName>
    <definedName name="XDO_?NAME_NAME?" localSheetId="20">#REF!</definedName>
    <definedName name="XDO_?NAME_NAME?" localSheetId="30">#REF!</definedName>
    <definedName name="XDO_?NAME_NAME?" localSheetId="58">#REF!</definedName>
    <definedName name="XDO_?NAME_NAME?" localSheetId="56">#REF!</definedName>
    <definedName name="XDO_?NAME_NAME?" localSheetId="57">#REF!</definedName>
    <definedName name="XDO_?NAME_NAME?">#REF!</definedName>
    <definedName name="XDO_?NCSRLYBELONG210FL?" localSheetId="62">#REF!</definedName>
    <definedName name="XDO_?NCSRLYBELONG210FL?" localSheetId="66">#REF!</definedName>
    <definedName name="XDO_?NCSRLYBELONG210FL?" localSheetId="64">#REF!</definedName>
    <definedName name="XDO_?NCSRLYBELONG210FL?" localSheetId="65">#REF!</definedName>
    <definedName name="XDO_?NCSRLYBELONG210FL?" localSheetId="45">#REF!</definedName>
    <definedName name="XDO_?NCSRLYBELONG210FL?" localSheetId="31">#REF!</definedName>
    <definedName name="XDO_?NCSRLYBELONG210FL?" localSheetId="41">#REF!</definedName>
    <definedName name="XDO_?NCSRLYBELONG210FL?" localSheetId="40">#REF!</definedName>
    <definedName name="XDO_?NCSRLYBELONG210FL?" localSheetId="42">#REF!</definedName>
    <definedName name="XDO_?NCSRLYBELONG210FL?" localSheetId="44">#REF!</definedName>
    <definedName name="XDO_?NCSRLYBELONG210FL?" localSheetId="43">#REF!</definedName>
    <definedName name="XDO_?NCSRLYBELONG210FL?" localSheetId="28">#REF!</definedName>
    <definedName name="XDO_?NCSRLYBELONG210FL?" localSheetId="46">#REF!</definedName>
    <definedName name="XDO_?NCSRLYBELONG210FL?" localSheetId="48">#REF!</definedName>
    <definedName name="XDO_?NCSRLYBELONG210FL?" localSheetId="49">#REF!</definedName>
    <definedName name="XDO_?NCSRLYBELONG210FL?" localSheetId="22">#REF!</definedName>
    <definedName name="XDO_?NCSRLYBELONG210FL?" localSheetId="23">#REF!</definedName>
    <definedName name="XDO_?NCSRLYBELONG210FL?" localSheetId="50">#REF!</definedName>
    <definedName name="XDO_?NCSRLYBELONG210FL?" localSheetId="71">#REF!</definedName>
    <definedName name="XDO_?NCSRLYBELONG210FL?" localSheetId="73">#REF!</definedName>
    <definedName name="XDO_?NCSRLYBELONG210FL?" localSheetId="67">#REF!</definedName>
    <definedName name="XDO_?NCSRLYBELONG210FL?" localSheetId="59">#REF!</definedName>
    <definedName name="XDO_?NCSRLYBELONG210FL?" localSheetId="60">#REF!</definedName>
    <definedName name="XDO_?NCSRLYBELONG210FL?" localSheetId="18">#REF!</definedName>
    <definedName name="XDO_?NCSRLYBELONG210FL?" localSheetId="5">#REF!</definedName>
    <definedName name="XDO_?NCSRLYBELONG210FL?" localSheetId="61">#REF!</definedName>
    <definedName name="XDO_?NCSRLYBELONG210FL?" localSheetId="19">#REF!</definedName>
    <definedName name="XDO_?NCSRLYBELONG210FL?" localSheetId="20">#REF!</definedName>
    <definedName name="XDO_?NCSRLYBELONG210FL?" localSheetId="30">#REF!</definedName>
    <definedName name="XDO_?NCSRLYBELONG210FL?" localSheetId="58">#REF!</definedName>
    <definedName name="XDO_?NCSRLYBELONG210FL?" localSheetId="56">#REF!</definedName>
    <definedName name="XDO_?NCSRLYBELONG210FL?" localSheetId="57">#REF!</definedName>
    <definedName name="XDO_?NCSRLYBELONG210FL?">#REF!</definedName>
    <definedName name="XDO_?NPA_DESCRIPTIONS?" localSheetId="62">#REF!</definedName>
    <definedName name="XDO_?NPA_DESCRIPTIONS?" localSheetId="66">#REF!</definedName>
    <definedName name="XDO_?NPA_DESCRIPTIONS?" localSheetId="64">#REF!</definedName>
    <definedName name="XDO_?NPA_DESCRIPTIONS?" localSheetId="65">#REF!</definedName>
    <definedName name="XDO_?NPA_DESCRIPTIONS?" localSheetId="45">#REF!</definedName>
    <definedName name="XDO_?NPA_DESCRIPTIONS?" localSheetId="31">#REF!</definedName>
    <definedName name="XDO_?NPA_DESCRIPTIONS?" localSheetId="41">#REF!</definedName>
    <definedName name="XDO_?NPA_DESCRIPTIONS?" localSheetId="40">#REF!</definedName>
    <definedName name="XDO_?NPA_DESCRIPTIONS?" localSheetId="42">#REF!</definedName>
    <definedName name="XDO_?NPA_DESCRIPTIONS?" localSheetId="44">#REF!</definedName>
    <definedName name="XDO_?NPA_DESCRIPTIONS?" localSheetId="43">#REF!</definedName>
    <definedName name="XDO_?NPA_DESCRIPTIONS?" localSheetId="28">#REF!</definedName>
    <definedName name="XDO_?NPA_DESCRIPTIONS?" localSheetId="46">#REF!</definedName>
    <definedName name="XDO_?NPA_DESCRIPTIONS?" localSheetId="48">#REF!</definedName>
    <definedName name="XDO_?NPA_DESCRIPTIONS?" localSheetId="49">#REF!</definedName>
    <definedName name="XDO_?NPA_DESCRIPTIONS?" localSheetId="22">#REF!</definedName>
    <definedName name="XDO_?NPA_DESCRIPTIONS?" localSheetId="23">#REF!</definedName>
    <definedName name="XDO_?NPA_DESCRIPTIONS?" localSheetId="50">#REF!</definedName>
    <definedName name="XDO_?NPA_DESCRIPTIONS?" localSheetId="71">#REF!</definedName>
    <definedName name="XDO_?NPA_DESCRIPTIONS?" localSheetId="73">#REF!</definedName>
    <definedName name="XDO_?NPA_DESCRIPTIONS?" localSheetId="67">#REF!</definedName>
    <definedName name="XDO_?NPA_DESCRIPTIONS?" localSheetId="59">#REF!</definedName>
    <definedName name="XDO_?NPA_DESCRIPTIONS?" localSheetId="60">#REF!</definedName>
    <definedName name="XDO_?NPA_DESCRIPTIONS?" localSheetId="18">#REF!</definedName>
    <definedName name="XDO_?NPA_DESCRIPTIONS?" localSheetId="5">#REF!</definedName>
    <definedName name="XDO_?NPA_DESCRIPTIONS?" localSheetId="61">#REF!</definedName>
    <definedName name="XDO_?NPA_DESCRIPTIONS?" localSheetId="19">#REF!</definedName>
    <definedName name="XDO_?NPA_DESCRIPTIONS?" localSheetId="20">#REF!</definedName>
    <definedName name="XDO_?NPA_DESCRIPTIONS?" localSheetId="30">#REF!</definedName>
    <definedName name="XDO_?NPA_DESCRIPTIONS?" localSheetId="58">#REF!</definedName>
    <definedName name="XDO_?NPA_DESCRIPTIONS?" localSheetId="56">#REF!</definedName>
    <definedName name="XDO_?NPA_DESCRIPTIONS?" localSheetId="57">#REF!</definedName>
    <definedName name="XDO_?NPA_DESCRIPTIONS?">#REF!</definedName>
    <definedName name="XDO_?PBL_NAMES?" localSheetId="62">#REF!</definedName>
    <definedName name="XDO_?PBL_NAMES?" localSheetId="66">#REF!</definedName>
    <definedName name="XDO_?PBL_NAMES?" localSheetId="64">#REF!</definedName>
    <definedName name="XDO_?PBL_NAMES?" localSheetId="65">#REF!</definedName>
    <definedName name="XDO_?PBL_NAMES?" localSheetId="45">#REF!</definedName>
    <definedName name="XDO_?PBL_NAMES?" localSheetId="31">#REF!</definedName>
    <definedName name="XDO_?PBL_NAMES?" localSheetId="41">#REF!</definedName>
    <definedName name="XDO_?PBL_NAMES?" localSheetId="40">#REF!</definedName>
    <definedName name="XDO_?PBL_NAMES?" localSheetId="42">#REF!</definedName>
    <definedName name="XDO_?PBL_NAMES?" localSheetId="44">#REF!</definedName>
    <definedName name="XDO_?PBL_NAMES?" localSheetId="43">#REF!</definedName>
    <definedName name="XDO_?PBL_NAMES?" localSheetId="28">#REF!</definedName>
    <definedName name="XDO_?PBL_NAMES?" localSheetId="46">#REF!</definedName>
    <definedName name="XDO_?PBL_NAMES?" localSheetId="48">#REF!</definedName>
    <definedName name="XDO_?PBL_NAMES?" localSheetId="49">#REF!</definedName>
    <definedName name="XDO_?PBL_NAMES?" localSheetId="22">#REF!</definedName>
    <definedName name="XDO_?PBL_NAMES?" localSheetId="23">#REF!</definedName>
    <definedName name="XDO_?PBL_NAMES?" localSheetId="50">#REF!</definedName>
    <definedName name="XDO_?PBL_NAMES?" localSheetId="71">#REF!</definedName>
    <definedName name="XDO_?PBL_NAMES?" localSheetId="73">#REF!</definedName>
    <definedName name="XDO_?PBL_NAMES?" localSheetId="67">#REF!</definedName>
    <definedName name="XDO_?PBL_NAMES?" localSheetId="59">#REF!</definedName>
    <definedName name="XDO_?PBL_NAMES?" localSheetId="60">#REF!</definedName>
    <definedName name="XDO_?PBL_NAMES?" localSheetId="18">#REF!</definedName>
    <definedName name="XDO_?PBL_NAMES?" localSheetId="5">#REF!</definedName>
    <definedName name="XDO_?PBL_NAMES?" localSheetId="61">#REF!</definedName>
    <definedName name="XDO_?PBL_NAMES?" localSheetId="19">#REF!</definedName>
    <definedName name="XDO_?PBL_NAMES?" localSheetId="20">#REF!</definedName>
    <definedName name="XDO_?PBL_NAMES?" localSheetId="30">#REF!</definedName>
    <definedName name="XDO_?PBL_NAMES?" localSheetId="58">#REF!</definedName>
    <definedName name="XDO_?PBL_NAMES?" localSheetId="56">#REF!</definedName>
    <definedName name="XDO_?PBL_NAMES?" localSheetId="57">#REF!</definedName>
    <definedName name="XDO_?PBL_NAMES?">#REF!</definedName>
    <definedName name="XDO_?QI_NAME?" localSheetId="62">#REF!</definedName>
    <definedName name="XDO_?QI_NAME?" localSheetId="66">#REF!</definedName>
    <definedName name="XDO_?QI_NAME?" localSheetId="64">#REF!</definedName>
    <definedName name="XDO_?QI_NAME?" localSheetId="65">#REF!</definedName>
    <definedName name="XDO_?QI_NAME?" localSheetId="45">#REF!</definedName>
    <definedName name="XDO_?QI_NAME?" localSheetId="31">#REF!</definedName>
    <definedName name="XDO_?QI_NAME?" localSheetId="41">#REF!</definedName>
    <definedName name="XDO_?QI_NAME?" localSheetId="40">#REF!</definedName>
    <definedName name="XDO_?QI_NAME?" localSheetId="42">#REF!</definedName>
    <definedName name="XDO_?QI_NAME?" localSheetId="44">#REF!</definedName>
    <definedName name="XDO_?QI_NAME?" localSheetId="43">#REF!</definedName>
    <definedName name="XDO_?QI_NAME?" localSheetId="28">#REF!</definedName>
    <definedName name="XDO_?QI_NAME?" localSheetId="46">#REF!</definedName>
    <definedName name="XDO_?QI_NAME?" localSheetId="48">#REF!</definedName>
    <definedName name="XDO_?QI_NAME?" localSheetId="49">#REF!</definedName>
    <definedName name="XDO_?QI_NAME?" localSheetId="22">#REF!</definedName>
    <definedName name="XDO_?QI_NAME?" localSheetId="23">#REF!</definedName>
    <definedName name="XDO_?QI_NAME?" localSheetId="50">#REF!</definedName>
    <definedName name="XDO_?QI_NAME?" localSheetId="71">#REF!</definedName>
    <definedName name="XDO_?QI_NAME?" localSheetId="73">#REF!</definedName>
    <definedName name="XDO_?QI_NAME?" localSheetId="67">#REF!</definedName>
    <definedName name="XDO_?QI_NAME?" localSheetId="59">#REF!</definedName>
    <definedName name="XDO_?QI_NAME?" localSheetId="60">#REF!</definedName>
    <definedName name="XDO_?QI_NAME?" localSheetId="18">#REF!</definedName>
    <definedName name="XDO_?QI_NAME?" localSheetId="5">#REF!</definedName>
    <definedName name="XDO_?QI_NAME?" localSheetId="61">#REF!</definedName>
    <definedName name="XDO_?QI_NAME?" localSheetId="19">#REF!</definedName>
    <definedName name="XDO_?QI_NAME?" localSheetId="20">#REF!</definedName>
    <definedName name="XDO_?QI_NAME?" localSheetId="30">#REF!</definedName>
    <definedName name="XDO_?QI_NAME?" localSheetId="58">#REF!</definedName>
    <definedName name="XDO_?QI_NAME?" localSheetId="56">#REF!</definedName>
    <definedName name="XDO_?QI_NAME?" localSheetId="57">#REF!</definedName>
    <definedName name="XDO_?QI_NAME?">#REF!</definedName>
    <definedName name="XDO_?RCA_CODE?" localSheetId="62">#REF!</definedName>
    <definedName name="XDO_?RCA_CODE?" localSheetId="66">#REF!</definedName>
    <definedName name="XDO_?RCA_CODE?" localSheetId="64">#REF!</definedName>
    <definedName name="XDO_?RCA_CODE?" localSheetId="65">#REF!</definedName>
    <definedName name="XDO_?RCA_CODE?" localSheetId="45">#REF!</definedName>
    <definedName name="XDO_?RCA_CODE?" localSheetId="31">#REF!</definedName>
    <definedName name="XDO_?RCA_CODE?" localSheetId="41">#REF!</definedName>
    <definedName name="XDO_?RCA_CODE?" localSheetId="40">#REF!</definedName>
    <definedName name="XDO_?RCA_CODE?" localSheetId="42">#REF!</definedName>
    <definedName name="XDO_?RCA_CODE?" localSheetId="44">#REF!</definedName>
    <definedName name="XDO_?RCA_CODE?" localSheetId="43">#REF!</definedName>
    <definedName name="XDO_?RCA_CODE?" localSheetId="28">#REF!</definedName>
    <definedName name="XDO_?RCA_CODE?" localSheetId="46">#REF!</definedName>
    <definedName name="XDO_?RCA_CODE?" localSheetId="48">#REF!</definedName>
    <definedName name="XDO_?RCA_CODE?" localSheetId="49">#REF!</definedName>
    <definedName name="XDO_?RCA_CODE?" localSheetId="22">#REF!</definedName>
    <definedName name="XDO_?RCA_CODE?" localSheetId="23">#REF!</definedName>
    <definedName name="XDO_?RCA_CODE?" localSheetId="50">#REF!</definedName>
    <definedName name="XDO_?RCA_CODE?" localSheetId="71">#REF!</definedName>
    <definedName name="XDO_?RCA_CODE?" localSheetId="73">#REF!</definedName>
    <definedName name="XDO_?RCA_CODE?" localSheetId="67">#REF!</definedName>
    <definedName name="XDO_?RCA_CODE?" localSheetId="59">#REF!</definedName>
    <definedName name="XDO_?RCA_CODE?" localSheetId="60">#REF!</definedName>
    <definedName name="XDO_?RCA_CODE?" localSheetId="18">#REF!</definedName>
    <definedName name="XDO_?RCA_CODE?" localSheetId="5">#REF!</definedName>
    <definedName name="XDO_?RCA_CODE?" localSheetId="61">#REF!</definedName>
    <definedName name="XDO_?RCA_CODE?" localSheetId="19">#REF!</definedName>
    <definedName name="XDO_?RCA_CODE?" localSheetId="20">#REF!</definedName>
    <definedName name="XDO_?RCA_CODE?" localSheetId="30">#REF!</definedName>
    <definedName name="XDO_?RCA_CODE?" localSheetId="58">#REF!</definedName>
    <definedName name="XDO_?RCA_CODE?" localSheetId="56">#REF!</definedName>
    <definedName name="XDO_?RCA_CODE?" localSheetId="57">#REF!</definedName>
    <definedName name="XDO_?RCA_CODE?">#REF!</definedName>
    <definedName name="XDO_?REGRNUMBER?" localSheetId="62">#REF!</definedName>
    <definedName name="XDO_?REGRNUMBER?" localSheetId="66">#REF!</definedName>
    <definedName name="XDO_?REGRNUMBER?" localSheetId="64">#REF!</definedName>
    <definedName name="XDO_?REGRNUMBER?" localSheetId="65">#REF!</definedName>
    <definedName name="XDO_?REGRNUMBER?" localSheetId="45">#REF!</definedName>
    <definedName name="XDO_?REGRNUMBER?" localSheetId="31">#REF!</definedName>
    <definedName name="XDO_?REGRNUMBER?" localSheetId="41">#REF!</definedName>
    <definedName name="XDO_?REGRNUMBER?" localSheetId="40">#REF!</definedName>
    <definedName name="XDO_?REGRNUMBER?" localSheetId="42">#REF!</definedName>
    <definedName name="XDO_?REGRNUMBER?" localSheetId="44">#REF!</definedName>
    <definedName name="XDO_?REGRNUMBER?" localSheetId="43">#REF!</definedName>
    <definedName name="XDO_?REGRNUMBER?" localSheetId="28">#REF!</definedName>
    <definedName name="XDO_?REGRNUMBER?" localSheetId="46">#REF!</definedName>
    <definedName name="XDO_?REGRNUMBER?" localSheetId="48">#REF!</definedName>
    <definedName name="XDO_?REGRNUMBER?" localSheetId="49">#REF!</definedName>
    <definedName name="XDO_?REGRNUMBER?" localSheetId="22">#REF!</definedName>
    <definedName name="XDO_?REGRNUMBER?" localSheetId="23">#REF!</definedName>
    <definedName name="XDO_?REGRNUMBER?" localSheetId="50">#REF!</definedName>
    <definedName name="XDO_?REGRNUMBER?" localSheetId="71">#REF!</definedName>
    <definedName name="XDO_?REGRNUMBER?" localSheetId="73">#REF!</definedName>
    <definedName name="XDO_?REGRNUMBER?" localSheetId="67">#REF!</definedName>
    <definedName name="XDO_?REGRNUMBER?" localSheetId="59">#REF!</definedName>
    <definedName name="XDO_?REGRNUMBER?" localSheetId="60">#REF!</definedName>
    <definedName name="XDO_?REGRNUMBER?" localSheetId="18">#REF!</definedName>
    <definedName name="XDO_?REGRNUMBER?" localSheetId="5">#REF!</definedName>
    <definedName name="XDO_?REGRNUMBER?" localSheetId="61">#REF!</definedName>
    <definedName name="XDO_?REGRNUMBER?" localSheetId="19">#REF!</definedName>
    <definedName name="XDO_?REGRNUMBER?" localSheetId="20">#REF!</definedName>
    <definedName name="XDO_?REGRNUMBER?" localSheetId="30">#REF!</definedName>
    <definedName name="XDO_?REGRNUMBER?" localSheetId="58">#REF!</definedName>
    <definedName name="XDO_?REGRNUMBER?" localSheetId="56">#REF!</definedName>
    <definedName name="XDO_?REGRNUMBER?" localSheetId="57">#REF!</definedName>
    <definedName name="XDO_?REGRNUMBER?">#REF!</definedName>
    <definedName name="XDO_?ROWNUMBER?" localSheetId="62">#REF!</definedName>
    <definedName name="XDO_?ROWNUMBER?" localSheetId="66">#REF!</definedName>
    <definedName name="XDO_?ROWNUMBER?" localSheetId="64">#REF!</definedName>
    <definedName name="XDO_?ROWNUMBER?" localSheetId="65">#REF!</definedName>
    <definedName name="XDO_?ROWNUMBER?" localSheetId="45">#REF!</definedName>
    <definedName name="XDO_?ROWNUMBER?" localSheetId="31">#REF!</definedName>
    <definedName name="XDO_?ROWNUMBER?" localSheetId="41">#REF!</definedName>
    <definedName name="XDO_?ROWNUMBER?" localSheetId="40">#REF!</definedName>
    <definedName name="XDO_?ROWNUMBER?" localSheetId="42">#REF!</definedName>
    <definedName name="XDO_?ROWNUMBER?" localSheetId="44">#REF!</definedName>
    <definedName name="XDO_?ROWNUMBER?" localSheetId="43">#REF!</definedName>
    <definedName name="XDO_?ROWNUMBER?" localSheetId="28">#REF!</definedName>
    <definedName name="XDO_?ROWNUMBER?" localSheetId="46">#REF!</definedName>
    <definedName name="XDO_?ROWNUMBER?" localSheetId="48">#REF!</definedName>
    <definedName name="XDO_?ROWNUMBER?" localSheetId="49">#REF!</definedName>
    <definedName name="XDO_?ROWNUMBER?" localSheetId="22">#REF!</definedName>
    <definedName name="XDO_?ROWNUMBER?" localSheetId="23">#REF!</definedName>
    <definedName name="XDO_?ROWNUMBER?" localSheetId="50">#REF!</definedName>
    <definedName name="XDO_?ROWNUMBER?" localSheetId="71">#REF!</definedName>
    <definedName name="XDO_?ROWNUMBER?" localSheetId="73">#REF!</definedName>
    <definedName name="XDO_?ROWNUMBER?" localSheetId="67">#REF!</definedName>
    <definedName name="XDO_?ROWNUMBER?" localSheetId="59">#REF!</definedName>
    <definedName name="XDO_?ROWNUMBER?" localSheetId="60">#REF!</definedName>
    <definedName name="XDO_?ROWNUMBER?" localSheetId="18">#REF!</definedName>
    <definedName name="XDO_?ROWNUMBER?" localSheetId="5">#REF!</definedName>
    <definedName name="XDO_?ROWNUMBER?" localSheetId="61">#REF!</definedName>
    <definedName name="XDO_?ROWNUMBER?" localSheetId="19">#REF!</definedName>
    <definedName name="XDO_?ROWNUMBER?" localSheetId="20">#REF!</definedName>
    <definedName name="XDO_?ROWNUMBER?" localSheetId="30">#REF!</definedName>
    <definedName name="XDO_?ROWNUMBER?" localSheetId="58">#REF!</definedName>
    <definedName name="XDO_?ROWNUMBER?" localSheetId="56">#REF!</definedName>
    <definedName name="XDO_?ROWNUMBER?" localSheetId="57">#REF!</definedName>
    <definedName name="XDO_?ROWNUMBER?">#REF!</definedName>
    <definedName name="XDO_?RUCLSPRECACS_CODE?" localSheetId="62">#REF!</definedName>
    <definedName name="XDO_?RUCLSPRECACS_CODE?" localSheetId="66">#REF!</definedName>
    <definedName name="XDO_?RUCLSPRECACS_CODE?" localSheetId="64">#REF!</definedName>
    <definedName name="XDO_?RUCLSPRECACS_CODE?" localSheetId="65">#REF!</definedName>
    <definedName name="XDO_?RUCLSPRECACS_CODE?" localSheetId="45">#REF!</definedName>
    <definedName name="XDO_?RUCLSPRECACS_CODE?" localSheetId="31">#REF!</definedName>
    <definedName name="XDO_?RUCLSPRECACS_CODE?" localSheetId="41">#REF!</definedName>
    <definedName name="XDO_?RUCLSPRECACS_CODE?" localSheetId="40">#REF!</definedName>
    <definedName name="XDO_?RUCLSPRECACS_CODE?" localSheetId="42">#REF!</definedName>
    <definedName name="XDO_?RUCLSPRECACS_CODE?" localSheetId="44">#REF!</definedName>
    <definedName name="XDO_?RUCLSPRECACS_CODE?" localSheetId="43">#REF!</definedName>
    <definedName name="XDO_?RUCLSPRECACS_CODE?" localSheetId="28">#REF!</definedName>
    <definedName name="XDO_?RUCLSPRECACS_CODE?" localSheetId="46">#REF!</definedName>
    <definedName name="XDO_?RUCLSPRECACS_CODE?" localSheetId="48">#REF!</definedName>
    <definedName name="XDO_?RUCLSPRECACS_CODE?" localSheetId="49">#REF!</definedName>
    <definedName name="XDO_?RUCLSPRECACS_CODE?" localSheetId="22">#REF!</definedName>
    <definedName name="XDO_?RUCLSPRECACS_CODE?" localSheetId="23">#REF!</definedName>
    <definedName name="XDO_?RUCLSPRECACS_CODE?" localSheetId="50">#REF!</definedName>
    <definedName name="XDO_?RUCLSPRECACS_CODE?" localSheetId="71">#REF!</definedName>
    <definedName name="XDO_?RUCLSPRECACS_CODE?" localSheetId="73">#REF!</definedName>
    <definedName name="XDO_?RUCLSPRECACS_CODE?" localSheetId="67">#REF!</definedName>
    <definedName name="XDO_?RUCLSPRECACS_CODE?" localSheetId="59">#REF!</definedName>
    <definedName name="XDO_?RUCLSPRECACS_CODE?" localSheetId="60">#REF!</definedName>
    <definedName name="XDO_?RUCLSPRECACS_CODE?" localSheetId="18">#REF!</definedName>
    <definedName name="XDO_?RUCLSPRECACS_CODE?" localSheetId="5">#REF!</definedName>
    <definedName name="XDO_?RUCLSPRECACS_CODE?" localSheetId="61">#REF!</definedName>
    <definedName name="XDO_?RUCLSPRECACS_CODE?" localSheetId="19">#REF!</definedName>
    <definedName name="XDO_?RUCLSPRECACS_CODE?" localSheetId="20">#REF!</definedName>
    <definedName name="XDO_?RUCLSPRECACS_CODE?" localSheetId="30">#REF!</definedName>
    <definedName name="XDO_?RUCLSPRECACS_CODE?" localSheetId="58">#REF!</definedName>
    <definedName name="XDO_?RUCLSPRECACS_CODE?" localSheetId="56">#REF!</definedName>
    <definedName name="XDO_?RUCLSPRECACS_CODE?" localSheetId="57">#REF!</definedName>
    <definedName name="XDO_?RUCLSPRECACS_CODE?">#REF!</definedName>
    <definedName name="XDO_?SC_NAME_1?" localSheetId="62">#REF!</definedName>
    <definedName name="XDO_?SC_NAME_1?" localSheetId="66">#REF!</definedName>
    <definedName name="XDO_?SC_NAME_1?" localSheetId="64">#REF!</definedName>
    <definedName name="XDO_?SC_NAME_1?" localSheetId="65">#REF!</definedName>
    <definedName name="XDO_?SC_NAME_1?" localSheetId="45">#REF!</definedName>
    <definedName name="XDO_?SC_NAME_1?" localSheetId="31">#REF!</definedName>
    <definedName name="XDO_?SC_NAME_1?" localSheetId="41">#REF!</definedName>
    <definedName name="XDO_?SC_NAME_1?" localSheetId="40">#REF!</definedName>
    <definedName name="XDO_?SC_NAME_1?" localSheetId="42">#REF!</definedName>
    <definedName name="XDO_?SC_NAME_1?" localSheetId="44">#REF!</definedName>
    <definedName name="XDO_?SC_NAME_1?" localSheetId="43">#REF!</definedName>
    <definedName name="XDO_?SC_NAME_1?" localSheetId="28">#REF!</definedName>
    <definedName name="XDO_?SC_NAME_1?" localSheetId="46">#REF!</definedName>
    <definedName name="XDO_?SC_NAME_1?" localSheetId="48">#REF!</definedName>
    <definedName name="XDO_?SC_NAME_1?" localSheetId="49">#REF!</definedName>
    <definedName name="XDO_?SC_NAME_1?" localSheetId="22">#REF!</definedName>
    <definedName name="XDO_?SC_NAME_1?" localSheetId="23">#REF!</definedName>
    <definedName name="XDO_?SC_NAME_1?" localSheetId="50">#REF!</definedName>
    <definedName name="XDO_?SC_NAME_1?" localSheetId="71">#REF!</definedName>
    <definedName name="XDO_?SC_NAME_1?" localSheetId="73">#REF!</definedName>
    <definedName name="XDO_?SC_NAME_1?" localSheetId="67">#REF!</definedName>
    <definedName name="XDO_?SC_NAME_1?" localSheetId="59">#REF!</definedName>
    <definedName name="XDO_?SC_NAME_1?" localSheetId="60">#REF!</definedName>
    <definedName name="XDO_?SC_NAME_1?" localSheetId="18">#REF!</definedName>
    <definedName name="XDO_?SC_NAME_1?" localSheetId="5">#REF!</definedName>
    <definedName name="XDO_?SC_NAME_1?" localSheetId="61">#REF!</definedName>
    <definedName name="XDO_?SC_NAME_1?" localSheetId="19">#REF!</definedName>
    <definedName name="XDO_?SC_NAME_1?" localSheetId="20">#REF!</definedName>
    <definedName name="XDO_?SC_NAME_1?" localSheetId="30">#REF!</definedName>
    <definedName name="XDO_?SC_NAME_1?" localSheetId="58">#REF!</definedName>
    <definedName name="XDO_?SC_NAME_1?" localSheetId="56">#REF!</definedName>
    <definedName name="XDO_?SC_NAME_1?" localSheetId="57">#REF!</definedName>
    <definedName name="XDO_?SC_NAME_1?">#REF!</definedName>
    <definedName name="XDO_?SC_NAME_2?" localSheetId="62">#REF!</definedName>
    <definedName name="XDO_?SC_NAME_2?" localSheetId="66">#REF!</definedName>
    <definedName name="XDO_?SC_NAME_2?" localSheetId="64">#REF!</definedName>
    <definedName name="XDO_?SC_NAME_2?" localSheetId="65">#REF!</definedName>
    <definedName name="XDO_?SC_NAME_2?" localSheetId="45">#REF!</definedName>
    <definedName name="XDO_?SC_NAME_2?" localSheetId="31">#REF!</definedName>
    <definedName name="XDO_?SC_NAME_2?" localSheetId="41">#REF!</definedName>
    <definedName name="XDO_?SC_NAME_2?" localSheetId="40">#REF!</definedName>
    <definedName name="XDO_?SC_NAME_2?" localSheetId="42">#REF!</definedName>
    <definedName name="XDO_?SC_NAME_2?" localSheetId="44">#REF!</definedName>
    <definedName name="XDO_?SC_NAME_2?" localSheetId="43">#REF!</definedName>
    <definedName name="XDO_?SC_NAME_2?" localSheetId="28">#REF!</definedName>
    <definedName name="XDO_?SC_NAME_2?" localSheetId="46">#REF!</definedName>
    <definedName name="XDO_?SC_NAME_2?" localSheetId="48">#REF!</definedName>
    <definedName name="XDO_?SC_NAME_2?" localSheetId="49">#REF!</definedName>
    <definedName name="XDO_?SC_NAME_2?" localSheetId="22">#REF!</definedName>
    <definedName name="XDO_?SC_NAME_2?" localSheetId="23">#REF!</definedName>
    <definedName name="XDO_?SC_NAME_2?" localSheetId="50">#REF!</definedName>
    <definedName name="XDO_?SC_NAME_2?" localSheetId="71">#REF!</definedName>
    <definedName name="XDO_?SC_NAME_2?" localSheetId="73">#REF!</definedName>
    <definedName name="XDO_?SC_NAME_2?" localSheetId="67">#REF!</definedName>
    <definedName name="XDO_?SC_NAME_2?" localSheetId="59">#REF!</definedName>
    <definedName name="XDO_?SC_NAME_2?" localSheetId="60">#REF!</definedName>
    <definedName name="XDO_?SC_NAME_2?" localSheetId="18">#REF!</definedName>
    <definedName name="XDO_?SC_NAME_2?" localSheetId="5">#REF!</definedName>
    <definedName name="XDO_?SC_NAME_2?" localSheetId="61">#REF!</definedName>
    <definedName name="XDO_?SC_NAME_2?" localSheetId="19">#REF!</definedName>
    <definedName name="XDO_?SC_NAME_2?" localSheetId="20">#REF!</definedName>
    <definedName name="XDO_?SC_NAME_2?" localSheetId="30">#REF!</definedName>
    <definedName name="XDO_?SC_NAME_2?" localSheetId="58">#REF!</definedName>
    <definedName name="XDO_?SC_NAME_2?" localSheetId="56">#REF!</definedName>
    <definedName name="XDO_?SC_NAME_2?" localSheetId="57">#REF!</definedName>
    <definedName name="XDO_?SC_NAME_2?">#REF!</definedName>
    <definedName name="XDO_?SC_NAME_3?" localSheetId="62">#REF!</definedName>
    <definedName name="XDO_?SC_NAME_3?" localSheetId="66">#REF!</definedName>
    <definedName name="XDO_?SC_NAME_3?" localSheetId="64">#REF!</definedName>
    <definedName name="XDO_?SC_NAME_3?" localSheetId="65">#REF!</definedName>
    <definedName name="XDO_?SC_NAME_3?" localSheetId="45">#REF!</definedName>
    <definedName name="XDO_?SC_NAME_3?" localSheetId="31">#REF!</definedName>
    <definedName name="XDO_?SC_NAME_3?" localSheetId="41">#REF!</definedName>
    <definedName name="XDO_?SC_NAME_3?" localSheetId="40">#REF!</definedName>
    <definedName name="XDO_?SC_NAME_3?" localSheetId="42">#REF!</definedName>
    <definedName name="XDO_?SC_NAME_3?" localSheetId="44">#REF!</definedName>
    <definedName name="XDO_?SC_NAME_3?" localSheetId="43">#REF!</definedName>
    <definedName name="XDO_?SC_NAME_3?" localSheetId="28">#REF!</definedName>
    <definedName name="XDO_?SC_NAME_3?" localSheetId="46">#REF!</definedName>
    <definedName name="XDO_?SC_NAME_3?" localSheetId="48">#REF!</definedName>
    <definedName name="XDO_?SC_NAME_3?" localSheetId="49">#REF!</definedName>
    <definedName name="XDO_?SC_NAME_3?" localSheetId="22">#REF!</definedName>
    <definedName name="XDO_?SC_NAME_3?" localSheetId="23">#REF!</definedName>
    <definedName name="XDO_?SC_NAME_3?" localSheetId="50">#REF!</definedName>
    <definedName name="XDO_?SC_NAME_3?" localSheetId="71">#REF!</definedName>
    <definedName name="XDO_?SC_NAME_3?" localSheetId="73">#REF!</definedName>
    <definedName name="XDO_?SC_NAME_3?" localSheetId="67">#REF!</definedName>
    <definedName name="XDO_?SC_NAME_3?" localSheetId="59">#REF!</definedName>
    <definedName name="XDO_?SC_NAME_3?" localSheetId="60">#REF!</definedName>
    <definedName name="XDO_?SC_NAME_3?" localSheetId="18">#REF!</definedName>
    <definedName name="XDO_?SC_NAME_3?" localSheetId="5">#REF!</definedName>
    <definedName name="XDO_?SC_NAME_3?" localSheetId="61">#REF!</definedName>
    <definedName name="XDO_?SC_NAME_3?" localSheetId="19">#REF!</definedName>
    <definedName name="XDO_?SC_NAME_3?" localSheetId="20">#REF!</definedName>
    <definedName name="XDO_?SC_NAME_3?" localSheetId="30">#REF!</definedName>
    <definedName name="XDO_?SC_NAME_3?" localSheetId="58">#REF!</definedName>
    <definedName name="XDO_?SC_NAME_3?" localSheetId="56">#REF!</definedName>
    <definedName name="XDO_?SC_NAME_3?" localSheetId="57">#REF!</definedName>
    <definedName name="XDO_?SC_NAME_3?">#REF!</definedName>
    <definedName name="XDO_?SVCKIND?" localSheetId="62">#REF!</definedName>
    <definedName name="XDO_?SVCKIND?" localSheetId="66">#REF!</definedName>
    <definedName name="XDO_?SVCKIND?" localSheetId="64">#REF!</definedName>
    <definedName name="XDO_?SVCKIND?" localSheetId="65">#REF!</definedName>
    <definedName name="XDO_?SVCKIND?" localSheetId="45">#REF!</definedName>
    <definedName name="XDO_?SVCKIND?" localSheetId="31">#REF!</definedName>
    <definedName name="XDO_?SVCKIND?" localSheetId="41">#REF!</definedName>
    <definedName name="XDO_?SVCKIND?" localSheetId="40">#REF!</definedName>
    <definedName name="XDO_?SVCKIND?" localSheetId="42">#REF!</definedName>
    <definedName name="XDO_?SVCKIND?" localSheetId="44">#REF!</definedName>
    <definedName name="XDO_?SVCKIND?" localSheetId="43">#REF!</definedName>
    <definedName name="XDO_?SVCKIND?" localSheetId="28">#REF!</definedName>
    <definedName name="XDO_?SVCKIND?" localSheetId="46">#REF!</definedName>
    <definedName name="XDO_?SVCKIND?" localSheetId="48">#REF!</definedName>
    <definedName name="XDO_?SVCKIND?" localSheetId="49">#REF!</definedName>
    <definedName name="XDO_?SVCKIND?" localSheetId="22">#REF!</definedName>
    <definedName name="XDO_?SVCKIND?" localSheetId="23">#REF!</definedName>
    <definedName name="XDO_?SVCKIND?" localSheetId="50">#REF!</definedName>
    <definedName name="XDO_?SVCKIND?" localSheetId="71">#REF!</definedName>
    <definedName name="XDO_?SVCKIND?" localSheetId="73">#REF!</definedName>
    <definedName name="XDO_?SVCKIND?" localSheetId="67">#REF!</definedName>
    <definedName name="XDO_?SVCKIND?" localSheetId="59">#REF!</definedName>
    <definedName name="XDO_?SVCKIND?" localSheetId="60">#REF!</definedName>
    <definedName name="XDO_?SVCKIND?" localSheetId="18">#REF!</definedName>
    <definedName name="XDO_?SVCKIND?" localSheetId="5">#REF!</definedName>
    <definedName name="XDO_?SVCKIND?" localSheetId="61">#REF!</definedName>
    <definedName name="XDO_?SVCKIND?" localSheetId="19">#REF!</definedName>
    <definedName name="XDO_?SVCKIND?" localSheetId="20">#REF!</definedName>
    <definedName name="XDO_?SVCKIND?" localSheetId="30">#REF!</definedName>
    <definedName name="XDO_?SVCKIND?" localSheetId="58">#REF!</definedName>
    <definedName name="XDO_?SVCKIND?" localSheetId="56">#REF!</definedName>
    <definedName name="XDO_?SVCKIND?" localSheetId="57">#REF!</definedName>
    <definedName name="XDO_?SVCKIND?">#REF!</definedName>
    <definedName name="XDO_?SVCPAID?" localSheetId="62">#REF!</definedName>
    <definedName name="XDO_?SVCPAID?" localSheetId="66">#REF!</definedName>
    <definedName name="XDO_?SVCPAID?" localSheetId="64">#REF!</definedName>
    <definedName name="XDO_?SVCPAID?" localSheetId="65">#REF!</definedName>
    <definedName name="XDO_?SVCPAID?" localSheetId="45">#REF!</definedName>
    <definedName name="XDO_?SVCPAID?" localSheetId="31">#REF!</definedName>
    <definedName name="XDO_?SVCPAID?" localSheetId="41">#REF!</definedName>
    <definedName name="XDO_?SVCPAID?" localSheetId="40">#REF!</definedName>
    <definedName name="XDO_?SVCPAID?" localSheetId="42">#REF!</definedName>
    <definedName name="XDO_?SVCPAID?" localSheetId="44">#REF!</definedName>
    <definedName name="XDO_?SVCPAID?" localSheetId="43">#REF!</definedName>
    <definedName name="XDO_?SVCPAID?" localSheetId="28">#REF!</definedName>
    <definedName name="XDO_?SVCPAID?" localSheetId="46">#REF!</definedName>
    <definedName name="XDO_?SVCPAID?" localSheetId="48">#REF!</definedName>
    <definedName name="XDO_?SVCPAID?" localSheetId="49">#REF!</definedName>
    <definedName name="XDO_?SVCPAID?" localSheetId="22">#REF!</definedName>
    <definedName name="XDO_?SVCPAID?" localSheetId="23">#REF!</definedName>
    <definedName name="XDO_?SVCPAID?" localSheetId="50">#REF!</definedName>
    <definedName name="XDO_?SVCPAID?" localSheetId="71">#REF!</definedName>
    <definedName name="XDO_?SVCPAID?" localSheetId="73">#REF!</definedName>
    <definedName name="XDO_?SVCPAID?" localSheetId="67">#REF!</definedName>
    <definedName name="XDO_?SVCPAID?" localSheetId="59">#REF!</definedName>
    <definedName name="XDO_?SVCPAID?" localSheetId="60">#REF!</definedName>
    <definedName name="XDO_?SVCPAID?" localSheetId="18">#REF!</definedName>
    <definedName name="XDO_?SVCPAID?" localSheetId="5">#REF!</definedName>
    <definedName name="XDO_?SVCPAID?" localSheetId="61">#REF!</definedName>
    <definedName name="XDO_?SVCPAID?" localSheetId="19">#REF!</definedName>
    <definedName name="XDO_?SVCPAID?" localSheetId="20">#REF!</definedName>
    <definedName name="XDO_?SVCPAID?" localSheetId="30">#REF!</definedName>
    <definedName name="XDO_?SVCPAID?" localSheetId="58">#REF!</definedName>
    <definedName name="XDO_?SVCPAID?" localSheetId="56">#REF!</definedName>
    <definedName name="XDO_?SVCPAID?" localSheetId="57">#REF!</definedName>
    <definedName name="XDO_?SVCPAID?">#REF!</definedName>
    <definedName name="XDO_?VOLIND_NAME?" localSheetId="62">#REF!</definedName>
    <definedName name="XDO_?VOLIND_NAME?" localSheetId="66">#REF!</definedName>
    <definedName name="XDO_?VOLIND_NAME?" localSheetId="64">#REF!</definedName>
    <definedName name="XDO_?VOLIND_NAME?" localSheetId="65">#REF!</definedName>
    <definedName name="XDO_?VOLIND_NAME?" localSheetId="45">#REF!</definedName>
    <definedName name="XDO_?VOLIND_NAME?" localSheetId="31">#REF!</definedName>
    <definedName name="XDO_?VOLIND_NAME?" localSheetId="41">#REF!</definedName>
    <definedName name="XDO_?VOLIND_NAME?" localSheetId="40">#REF!</definedName>
    <definedName name="XDO_?VOLIND_NAME?" localSheetId="42">#REF!</definedName>
    <definedName name="XDO_?VOLIND_NAME?" localSheetId="44">#REF!</definedName>
    <definedName name="XDO_?VOLIND_NAME?" localSheetId="43">#REF!</definedName>
    <definedName name="XDO_?VOLIND_NAME?" localSheetId="28">#REF!</definedName>
    <definedName name="XDO_?VOLIND_NAME?" localSheetId="46">#REF!</definedName>
    <definedName name="XDO_?VOLIND_NAME?" localSheetId="48">#REF!</definedName>
    <definedName name="XDO_?VOLIND_NAME?" localSheetId="49">#REF!</definedName>
    <definedName name="XDO_?VOLIND_NAME?" localSheetId="22">#REF!</definedName>
    <definedName name="XDO_?VOLIND_NAME?" localSheetId="23">#REF!</definedName>
    <definedName name="XDO_?VOLIND_NAME?" localSheetId="50">#REF!</definedName>
    <definedName name="XDO_?VOLIND_NAME?" localSheetId="71">#REF!</definedName>
    <definedName name="XDO_?VOLIND_NAME?" localSheetId="73">#REF!</definedName>
    <definedName name="XDO_?VOLIND_NAME?" localSheetId="67">#REF!</definedName>
    <definedName name="XDO_?VOLIND_NAME?" localSheetId="59">#REF!</definedName>
    <definedName name="XDO_?VOLIND_NAME?" localSheetId="60">#REF!</definedName>
    <definedName name="XDO_?VOLIND_NAME?" localSheetId="18">#REF!</definedName>
    <definedName name="XDO_?VOLIND_NAME?" localSheetId="5">#REF!</definedName>
    <definedName name="XDO_?VOLIND_NAME?" localSheetId="61">#REF!</definedName>
    <definedName name="XDO_?VOLIND_NAME?" localSheetId="19">#REF!</definedName>
    <definedName name="XDO_?VOLIND_NAME?" localSheetId="20">#REF!</definedName>
    <definedName name="XDO_?VOLIND_NAME?" localSheetId="30">#REF!</definedName>
    <definedName name="XDO_?VOLIND_NAME?" localSheetId="58">#REF!</definedName>
    <definedName name="XDO_?VOLIND_NAME?" localSheetId="56">#REF!</definedName>
    <definedName name="XDO_?VOLIND_NAME?" localSheetId="57">#REF!</definedName>
    <definedName name="XDO_?VOLIND_NAME?">#REF!</definedName>
    <definedName name="XDO_GROUP_?HEADER?" localSheetId="62">#REF!</definedName>
    <definedName name="XDO_GROUP_?HEADER?" localSheetId="66">#REF!</definedName>
    <definedName name="XDO_GROUP_?HEADER?" localSheetId="64">#REF!</definedName>
    <definedName name="XDO_GROUP_?HEADER?" localSheetId="65">#REF!</definedName>
    <definedName name="XDO_GROUP_?HEADER?" localSheetId="45">#REF!</definedName>
    <definedName name="XDO_GROUP_?HEADER?" localSheetId="31">#REF!</definedName>
    <definedName name="XDO_GROUP_?HEADER?" localSheetId="41">#REF!</definedName>
    <definedName name="XDO_GROUP_?HEADER?" localSheetId="40">#REF!</definedName>
    <definedName name="XDO_GROUP_?HEADER?" localSheetId="42">#REF!</definedName>
    <definedName name="XDO_GROUP_?HEADER?" localSheetId="44">#REF!</definedName>
    <definedName name="XDO_GROUP_?HEADER?" localSheetId="43">#REF!</definedName>
    <definedName name="XDO_GROUP_?HEADER?" localSheetId="28">#REF!</definedName>
    <definedName name="XDO_GROUP_?HEADER?" localSheetId="46">#REF!</definedName>
    <definedName name="XDO_GROUP_?HEADER?" localSheetId="48">#REF!</definedName>
    <definedName name="XDO_GROUP_?HEADER?" localSheetId="49">#REF!</definedName>
    <definedName name="XDO_GROUP_?HEADER?" localSheetId="22">#REF!</definedName>
    <definedName name="XDO_GROUP_?HEADER?" localSheetId="23">#REF!</definedName>
    <definedName name="XDO_GROUP_?HEADER?" localSheetId="50">#REF!</definedName>
    <definedName name="XDO_GROUP_?HEADER?" localSheetId="71">#REF!</definedName>
    <definedName name="XDO_GROUP_?HEADER?" localSheetId="73">#REF!</definedName>
    <definedName name="XDO_GROUP_?HEADER?" localSheetId="67">#REF!</definedName>
    <definedName name="XDO_GROUP_?HEADER?" localSheetId="59">#REF!</definedName>
    <definedName name="XDO_GROUP_?HEADER?" localSheetId="60">#REF!</definedName>
    <definedName name="XDO_GROUP_?HEADER?" localSheetId="18">#REF!</definedName>
    <definedName name="XDO_GROUP_?HEADER?" localSheetId="5">#REF!</definedName>
    <definedName name="XDO_GROUP_?HEADER?" localSheetId="61">#REF!</definedName>
    <definedName name="XDO_GROUP_?HEADER?" localSheetId="19">#REF!</definedName>
    <definedName name="XDO_GROUP_?HEADER?" localSheetId="20">#REF!</definedName>
    <definedName name="XDO_GROUP_?HEADER?" localSheetId="30">#REF!</definedName>
    <definedName name="XDO_GROUP_?HEADER?" localSheetId="58">#REF!</definedName>
    <definedName name="XDO_GROUP_?HEADER?" localSheetId="56">#REF!</definedName>
    <definedName name="XDO_GROUP_?HEADER?" localSheetId="57">#REF!</definedName>
    <definedName name="XDO_GROUP_?HEADER?">#REF!</definedName>
    <definedName name="XDO_GROUP_?SERVICE_LIST?" localSheetId="62">#REF!</definedName>
    <definedName name="XDO_GROUP_?SERVICE_LIST?" localSheetId="66">#REF!</definedName>
    <definedName name="XDO_GROUP_?SERVICE_LIST?" localSheetId="64">#REF!</definedName>
    <definedName name="XDO_GROUP_?SERVICE_LIST?" localSheetId="65">#REF!</definedName>
    <definedName name="XDO_GROUP_?SERVICE_LIST?" localSheetId="45">#REF!</definedName>
    <definedName name="XDO_GROUP_?SERVICE_LIST?" localSheetId="31">#REF!</definedName>
    <definedName name="XDO_GROUP_?SERVICE_LIST?" localSheetId="41">#REF!</definedName>
    <definedName name="XDO_GROUP_?SERVICE_LIST?" localSheetId="40">#REF!</definedName>
    <definedName name="XDO_GROUP_?SERVICE_LIST?" localSheetId="42">#REF!</definedName>
    <definedName name="XDO_GROUP_?SERVICE_LIST?" localSheetId="44">#REF!</definedName>
    <definedName name="XDO_GROUP_?SERVICE_LIST?" localSheetId="43">#REF!</definedName>
    <definedName name="XDO_GROUP_?SERVICE_LIST?" localSheetId="28">#REF!</definedName>
    <definedName name="XDO_GROUP_?SERVICE_LIST?" localSheetId="46">#REF!</definedName>
    <definedName name="XDO_GROUP_?SERVICE_LIST?" localSheetId="48">#REF!</definedName>
    <definedName name="XDO_GROUP_?SERVICE_LIST?" localSheetId="49">#REF!</definedName>
    <definedName name="XDO_GROUP_?SERVICE_LIST?" localSheetId="22">#REF!</definedName>
    <definedName name="XDO_GROUP_?SERVICE_LIST?" localSheetId="23">#REF!</definedName>
    <definedName name="XDO_GROUP_?SERVICE_LIST?" localSheetId="50">#REF!</definedName>
    <definedName name="XDO_GROUP_?SERVICE_LIST?" localSheetId="71">#REF!</definedName>
    <definedName name="XDO_GROUP_?SERVICE_LIST?" localSheetId="73">#REF!</definedName>
    <definedName name="XDO_GROUP_?SERVICE_LIST?" localSheetId="67">#REF!</definedName>
    <definedName name="XDO_GROUP_?SERVICE_LIST?" localSheetId="59">#REF!</definedName>
    <definedName name="XDO_GROUP_?SERVICE_LIST?" localSheetId="60">#REF!</definedName>
    <definedName name="XDO_GROUP_?SERVICE_LIST?" localSheetId="18">#REF!</definedName>
    <definedName name="XDO_GROUP_?SERVICE_LIST?" localSheetId="5">#REF!</definedName>
    <definedName name="XDO_GROUP_?SERVICE_LIST?" localSheetId="61">#REF!</definedName>
    <definedName name="XDO_GROUP_?SERVICE_LIST?" localSheetId="19">#REF!</definedName>
    <definedName name="XDO_GROUP_?SERVICE_LIST?" localSheetId="20">#REF!</definedName>
    <definedName name="XDO_GROUP_?SERVICE_LIST?" localSheetId="30">#REF!</definedName>
    <definedName name="XDO_GROUP_?SERVICE_LIST?" localSheetId="58">#REF!</definedName>
    <definedName name="XDO_GROUP_?SERVICE_LIST?" localSheetId="56">#REF!</definedName>
    <definedName name="XDO_GROUP_?SERVICE_LIST?" localSheetId="57">#REF!</definedName>
    <definedName name="XDO_GROUP_?SERVICE_LIST?">#REF!</definedName>
    <definedName name="Z_02EDD003_6B42_447D_93AB_5251CA7A3EF7_.wvu.FilterData" localSheetId="66" hidden="1">'75 лет (01.01.20)'!$A$5:$AN$81</definedName>
    <definedName name="Z_02EDD003_6B42_447D_93AB_5251CA7A3EF7_.wvu.FilterData" localSheetId="31" hidden="1">'б-т 922 ПГ (01.01.20) '!$A$5:$AN$145</definedName>
    <definedName name="Z_02EDD003_6B42_447D_93AB_5251CA7A3EF7_.wvu.FilterData" localSheetId="40" hidden="1">'б-т 955 ПГ (01.01.20)'!$A$5:$AN$145</definedName>
    <definedName name="Z_02EDD003_6B42_447D_93AB_5251CA7A3EF7_.wvu.FilterData" localSheetId="43" hidden="1">'б-т 963 ПГ (01.01.20)'!$A$5:$AN$145</definedName>
    <definedName name="Z_02EDD003_6B42_447D_93AB_5251CA7A3EF7_.wvu.FilterData" localSheetId="46" hidden="1">'б-т 971 ПГ (01.01.20)'!$A$5:$AN$145</definedName>
    <definedName name="Z_02EDD003_6B42_447D_93AB_5251CA7A3EF7_.wvu.FilterData" localSheetId="48" hidden="1">'б-т 981 ПГ (01.01.20)'!$A$6:$AN$146</definedName>
    <definedName name="Z_0681831A_2562_40DD_B5A2_5C0C9B121F6D_.wvu.FilterData" localSheetId="66" hidden="1">'75 лет (01.01.20)'!$A$5:$AN$81</definedName>
    <definedName name="Z_0681831A_2562_40DD_B5A2_5C0C9B121F6D_.wvu.FilterData" localSheetId="31" hidden="1">'б-т 922 ПГ (01.01.20) '!$A$5:$AN$416</definedName>
    <definedName name="Z_0681831A_2562_40DD_B5A2_5C0C9B121F6D_.wvu.FilterData" localSheetId="40" hidden="1">'б-т 955 ПГ (01.01.20)'!$A$5:$AN$416</definedName>
    <definedName name="Z_0681831A_2562_40DD_B5A2_5C0C9B121F6D_.wvu.FilterData" localSheetId="43" hidden="1">'б-т 963 ПГ (01.01.20)'!$A$5:$AN$416</definedName>
    <definedName name="Z_0681831A_2562_40DD_B5A2_5C0C9B121F6D_.wvu.FilterData" localSheetId="46" hidden="1">'б-т 971 ПГ (01.01.20)'!$A$5:$AN$416</definedName>
    <definedName name="Z_0681831A_2562_40DD_B5A2_5C0C9B121F6D_.wvu.FilterData" localSheetId="48" hidden="1">'б-т 981 ПГ (01.01.20)'!$A$6:$AN$417</definedName>
    <definedName name="Z_0A3B82BC_9419_4FA9_815B_815406EF0916_.wvu.FilterData" localSheetId="66" hidden="1">'75 лет (01.01.20)'!$A$5:$AN$81</definedName>
    <definedName name="Z_0A3B82BC_9419_4FA9_815B_815406EF0916_.wvu.FilterData" localSheetId="31" hidden="1">'б-т 922 ПГ (01.01.20) '!$A$5:$AN$145</definedName>
    <definedName name="Z_0A3B82BC_9419_4FA9_815B_815406EF0916_.wvu.FilterData" localSheetId="40" hidden="1">'б-т 955 ПГ (01.01.20)'!$A$5:$AN$145</definedName>
    <definedName name="Z_0A3B82BC_9419_4FA9_815B_815406EF0916_.wvu.FilterData" localSheetId="43" hidden="1">'б-т 963 ПГ (01.01.20)'!$A$5:$AN$145</definedName>
    <definedName name="Z_0A3B82BC_9419_4FA9_815B_815406EF0916_.wvu.FilterData" localSheetId="46" hidden="1">'б-т 971 ПГ (01.01.20)'!$A$5:$AN$145</definedName>
    <definedName name="Z_0A3B82BC_9419_4FA9_815B_815406EF0916_.wvu.FilterData" localSheetId="48" hidden="1">'б-т 981 ПГ (01.01.20)'!$A$6:$AN$146</definedName>
    <definedName name="Z_0D464A68_0AFC_4E36_9F6C_1192CC0F8CCE_.wvu.PrintArea" localSheetId="32" hidden="1">'б-т 925 (01.01.20)'!$A$1:$V$91</definedName>
    <definedName name="Z_0D464A68_0AFC_4E36_9F6C_1192CC0F8CCE_.wvu.PrintTitles" localSheetId="32" hidden="1">'б-т 925 (01.01.20)'!$5:$8</definedName>
    <definedName name="Z_0D464A68_0AFC_4E36_9F6C_1192CC0F8CCE_.wvu.Rows" localSheetId="32" hidden="1">'б-т 925 (01.01.20)'!$11:$14,'б-т 925 (01.01.20)'!$20:$57,'б-т 925 (01.01.20)'!$60:$63,'б-т 925 (01.01.20)'!$66:$66,'б-т 925 (01.01.20)'!$70:$82</definedName>
    <definedName name="Z_1154F31C_8BB3_44CC_971A_0C4F124C8A23_.wvu.FilterData" localSheetId="66" hidden="1">'75 лет (01.01.20)'!$A$5:$AN$81</definedName>
    <definedName name="Z_1154F31C_8BB3_44CC_971A_0C4F124C8A23_.wvu.FilterData" localSheetId="31" hidden="1">'б-т 922 ПГ (01.01.20) '!$A$5:$AN$145</definedName>
    <definedName name="Z_1154F31C_8BB3_44CC_971A_0C4F124C8A23_.wvu.FilterData" localSheetId="40" hidden="1">'б-т 955 ПГ (01.01.20)'!$A$5:$AN$145</definedName>
    <definedName name="Z_1154F31C_8BB3_44CC_971A_0C4F124C8A23_.wvu.FilterData" localSheetId="43" hidden="1">'б-т 963 ПГ (01.01.20)'!$A$5:$AN$145</definedName>
    <definedName name="Z_1154F31C_8BB3_44CC_971A_0C4F124C8A23_.wvu.FilterData" localSheetId="46" hidden="1">'б-т 971 ПГ (01.01.20)'!$A$5:$AN$145</definedName>
    <definedName name="Z_1154F31C_8BB3_44CC_971A_0C4F124C8A23_.wvu.FilterData" localSheetId="48" hidden="1">'б-т 981 ПГ (01.01.20)'!$A$6:$AN$146</definedName>
    <definedName name="Z_135921A5_A679_444B_8D96_E29E0A3CDA05_.wvu.FilterData" localSheetId="66" hidden="1">'75 лет (01.01.20)'!$A$5:$AN$81</definedName>
    <definedName name="Z_135921A5_A679_444B_8D96_E29E0A3CDA05_.wvu.FilterData" localSheetId="31" hidden="1">'б-т 922 ПГ (01.01.20) '!$A$5:$AN$145</definedName>
    <definedName name="Z_135921A5_A679_444B_8D96_E29E0A3CDA05_.wvu.FilterData" localSheetId="40" hidden="1">'б-т 955 ПГ (01.01.20)'!$A$5:$AN$145</definedName>
    <definedName name="Z_135921A5_A679_444B_8D96_E29E0A3CDA05_.wvu.FilterData" localSheetId="43" hidden="1">'б-т 963 ПГ (01.01.20)'!$A$5:$AN$145</definedName>
    <definedName name="Z_135921A5_A679_444B_8D96_E29E0A3CDA05_.wvu.FilterData" localSheetId="46" hidden="1">'б-т 971 ПГ (01.01.20)'!$A$5:$AN$145</definedName>
    <definedName name="Z_135921A5_A679_444B_8D96_E29E0A3CDA05_.wvu.FilterData" localSheetId="48" hidden="1">'б-т 981 ПГ (01.01.20)'!$A$6:$AN$146</definedName>
    <definedName name="Z_1C433CA0_0090_4EEC_9B5B_138961F9FEE3_.wvu.FilterData" localSheetId="66" hidden="1">'75 лет (01.01.20)'!$A$5:$AN$81</definedName>
    <definedName name="Z_1C433CA0_0090_4EEC_9B5B_138961F9FEE3_.wvu.FilterData" localSheetId="31" hidden="1">'б-т 922 ПГ (01.01.20) '!$A$5:$AN$145</definedName>
    <definedName name="Z_1C433CA0_0090_4EEC_9B5B_138961F9FEE3_.wvu.FilterData" localSheetId="40" hidden="1">'б-т 955 ПГ (01.01.20)'!$A$5:$AN$145</definedName>
    <definedName name="Z_1C433CA0_0090_4EEC_9B5B_138961F9FEE3_.wvu.FilterData" localSheetId="43" hidden="1">'б-т 963 ПГ (01.01.20)'!$A$5:$AN$145</definedName>
    <definedName name="Z_1C433CA0_0090_4EEC_9B5B_138961F9FEE3_.wvu.FilterData" localSheetId="46" hidden="1">'б-т 971 ПГ (01.01.20)'!$A$5:$AN$145</definedName>
    <definedName name="Z_1C433CA0_0090_4EEC_9B5B_138961F9FEE3_.wvu.FilterData" localSheetId="48" hidden="1">'б-т 981 ПГ (01.01.20)'!$A$6:$AN$146</definedName>
    <definedName name="Z_1D94D947_87C4_48B3_8C95_0F0F6C809A68_.wvu.FilterData" localSheetId="66" hidden="1">'75 лет (01.01.20)'!$A$5:$AN$81</definedName>
    <definedName name="Z_1D94D947_87C4_48B3_8C95_0F0F6C809A68_.wvu.FilterData" localSheetId="31" hidden="1">'б-т 922 ПГ (01.01.20) '!$A$5:$AN$416</definedName>
    <definedName name="Z_1D94D947_87C4_48B3_8C95_0F0F6C809A68_.wvu.FilterData" localSheetId="40" hidden="1">'б-т 955 ПГ (01.01.20)'!$A$5:$AN$416</definedName>
    <definedName name="Z_1D94D947_87C4_48B3_8C95_0F0F6C809A68_.wvu.FilterData" localSheetId="43" hidden="1">'б-т 963 ПГ (01.01.20)'!$A$5:$AN$416</definedName>
    <definedName name="Z_1D94D947_87C4_48B3_8C95_0F0F6C809A68_.wvu.FilterData" localSheetId="46" hidden="1">'б-т 971 ПГ (01.01.20)'!$A$5:$AN$416</definedName>
    <definedName name="Z_1D94D947_87C4_48B3_8C95_0F0F6C809A68_.wvu.FilterData" localSheetId="48" hidden="1">'б-т 981 ПГ (01.01.20)'!$A$6:$AN$417</definedName>
    <definedName name="Z_21BBA5EF_F02E_4013_AE56_FBC3F161A0E1_.wvu.FilterData" localSheetId="66" hidden="1">'75 лет (01.01.20)'!$A$5:$AN$81</definedName>
    <definedName name="Z_21BBA5EF_F02E_4013_AE56_FBC3F161A0E1_.wvu.FilterData" localSheetId="31" hidden="1">'б-т 922 ПГ (01.01.20) '!$A$5:$AN$416</definedName>
    <definedName name="Z_21BBA5EF_F02E_4013_AE56_FBC3F161A0E1_.wvu.FilterData" localSheetId="40" hidden="1">'б-т 955 ПГ (01.01.20)'!$A$5:$AN$416</definedName>
    <definedName name="Z_21BBA5EF_F02E_4013_AE56_FBC3F161A0E1_.wvu.FilterData" localSheetId="43" hidden="1">'б-т 963 ПГ (01.01.20)'!$A$5:$AN$416</definedName>
    <definedName name="Z_21BBA5EF_F02E_4013_AE56_FBC3F161A0E1_.wvu.FilterData" localSheetId="46" hidden="1">'б-т 971 ПГ (01.01.20)'!$A$5:$AN$416</definedName>
    <definedName name="Z_21BBA5EF_F02E_4013_AE56_FBC3F161A0E1_.wvu.FilterData" localSheetId="48" hidden="1">'б-т 981 ПГ (01.01.20)'!$A$6:$AN$417</definedName>
    <definedName name="Z_226041ED_D450_401B_8C1D_07549622E3BE_.wvu.FilterData" localSheetId="66" hidden="1">'75 лет (01.01.20)'!$A$5:$AN$81</definedName>
    <definedName name="Z_226041ED_D450_401B_8C1D_07549622E3BE_.wvu.FilterData" localSheetId="45" hidden="1">'б -т 963 Стим-е (01.01.20)'!$A$7:$XEJ$207</definedName>
    <definedName name="Z_226041ED_D450_401B_8C1D_07549622E3BE_.wvu.FilterData" localSheetId="31" hidden="1">'б-т 922 ПГ (01.01.20) '!$A$5:$AN$416</definedName>
    <definedName name="Z_226041ED_D450_401B_8C1D_07549622E3BE_.wvu.FilterData" localSheetId="41" hidden="1">'б-т 955 наркомания (01.01.20)'!$A$10:$AF$44</definedName>
    <definedName name="Z_226041ED_D450_401B_8C1D_07549622E3BE_.wvu.FilterData" localSheetId="40" hidden="1">'б-т 955 ПГ (01.01.20)'!$A$5:$AN$416</definedName>
    <definedName name="Z_226041ED_D450_401B_8C1D_07549622E3BE_.wvu.FilterData" localSheetId="42" hidden="1">'б-т 955 Стим-е (01.01.20)'!$A$7:$XEJ$207</definedName>
    <definedName name="Z_226041ED_D450_401B_8C1D_07549622E3BE_.wvu.FilterData" localSheetId="44" hidden="1">'б-т 963 Наркомания (01.01.20)'!$A$10:$AF$44</definedName>
    <definedName name="Z_226041ED_D450_401B_8C1D_07549622E3BE_.wvu.FilterData" localSheetId="43" hidden="1">'б-т 963 ПГ (01.01.20)'!$A$5:$AN$416</definedName>
    <definedName name="Z_226041ED_D450_401B_8C1D_07549622E3BE_.wvu.FilterData" localSheetId="28" hidden="1">'б-т 966 Стим-е (01.01.20)'!$A$7:$XEJ$207</definedName>
    <definedName name="Z_226041ED_D450_401B_8C1D_07549622E3BE_.wvu.FilterData" localSheetId="46" hidden="1">'б-т 971 ПГ (01.01.20)'!$A$5:$AN$416</definedName>
    <definedName name="Z_226041ED_D450_401B_8C1D_07549622E3BE_.wvu.FilterData" localSheetId="48" hidden="1">'б-т 981 ПГ (01.01.20)'!$A$6:$AN$417</definedName>
    <definedName name="Z_226041ED_D450_401B_8C1D_07549622E3BE_.wvu.FilterData" localSheetId="49" hidden="1">'б-т 981 Стим-е (01.01.20)'!$A$9:$XEJ$174</definedName>
    <definedName name="Z_226041ED_D450_401B_8C1D_07549622E3BE_.wvu.FilterData" localSheetId="50" hidden="1">'б-т накомания 981 (01.01.20)'!$A$10:$AF$44</definedName>
    <definedName name="Z_226041ED_D450_401B_8C1D_07549622E3BE_.wvu.FilterData" localSheetId="58" hidden="1">'субс РТ (01.01.20)'!$A$7:$XEJ$45</definedName>
    <definedName name="Z_226041ED_D450_401B_8C1D_07549622E3BE_.wvu.PrintArea" localSheetId="45" hidden="1">'б -т 963 Стим-е (01.01.20)'!$A$1:$Z$245</definedName>
    <definedName name="Z_226041ED_D450_401B_8C1D_07549622E3BE_.wvu.PrintArea" localSheetId="41" hidden="1">'б-т 955 наркомания (01.01.20)'!$A$3:$Z$46</definedName>
    <definedName name="Z_226041ED_D450_401B_8C1D_07549622E3BE_.wvu.PrintArea" localSheetId="42" hidden="1">'б-т 955 Стим-е (01.01.20)'!$A$1:$Z$245</definedName>
    <definedName name="Z_226041ED_D450_401B_8C1D_07549622E3BE_.wvu.PrintArea" localSheetId="44" hidden="1">'б-т 963 Наркомания (01.01.20)'!$A$3:$Z$46</definedName>
    <definedName name="Z_226041ED_D450_401B_8C1D_07549622E3BE_.wvu.PrintArea" localSheetId="28" hidden="1">'б-т 966 Стим-е (01.01.20)'!$A$1:$Z$245</definedName>
    <definedName name="Z_226041ED_D450_401B_8C1D_07549622E3BE_.wvu.PrintArea" localSheetId="49" hidden="1">'б-т 981 Стим-е (01.01.20)'!$A$1:$Z$212</definedName>
    <definedName name="Z_226041ED_D450_401B_8C1D_07549622E3BE_.wvu.PrintArea" localSheetId="50" hidden="1">'б-т накомания 981 (01.01.20)'!$A$3:$Z$46</definedName>
    <definedName name="Z_226041ED_D450_401B_8C1D_07549622E3BE_.wvu.PrintArea" localSheetId="58" hidden="1">'субс РТ (01.01.20)'!$A$1:$Z$77</definedName>
    <definedName name="Z_226041ED_D450_401B_8C1D_07549622E3BE_.wvu.PrintTitles" localSheetId="45" hidden="1">'б -т 963 Стим-е (01.01.20)'!$5:$10</definedName>
    <definedName name="Z_226041ED_D450_401B_8C1D_07549622E3BE_.wvu.PrintTitles" localSheetId="41" hidden="1">'б-т 955 наркомания (01.01.20)'!$7:$9</definedName>
    <definedName name="Z_226041ED_D450_401B_8C1D_07549622E3BE_.wvu.PrintTitles" localSheetId="42" hidden="1">'б-т 955 Стим-е (01.01.20)'!$5:$10</definedName>
    <definedName name="Z_226041ED_D450_401B_8C1D_07549622E3BE_.wvu.PrintTitles" localSheetId="44" hidden="1">'б-т 963 Наркомания (01.01.20)'!$7:$9</definedName>
    <definedName name="Z_226041ED_D450_401B_8C1D_07549622E3BE_.wvu.PrintTitles" localSheetId="28" hidden="1">'б-т 966 Стим-е (01.01.20)'!$5:$10</definedName>
    <definedName name="Z_226041ED_D450_401B_8C1D_07549622E3BE_.wvu.PrintTitles" localSheetId="49" hidden="1">'б-т 981 Стим-е (01.01.20)'!$7:$12</definedName>
    <definedName name="Z_226041ED_D450_401B_8C1D_07549622E3BE_.wvu.PrintTitles" localSheetId="50" hidden="1">'б-т накомания 981 (01.01.20)'!$7:$9</definedName>
    <definedName name="Z_226041ED_D450_401B_8C1D_07549622E3BE_.wvu.PrintTitles" localSheetId="58" hidden="1">'субс РТ (01.01.20)'!$5:$10</definedName>
    <definedName name="Z_226041ED_D450_401B_8C1D_07549622E3BE_.wvu.Rows" localSheetId="41" hidden="1">'б-т 955 наркомания (01.01.20)'!$1:$2</definedName>
    <definedName name="Z_226041ED_D450_401B_8C1D_07549622E3BE_.wvu.Rows" localSheetId="44" hidden="1">'б-т 963 Наркомания (01.01.20)'!$1:$2</definedName>
    <definedName name="Z_226041ED_D450_401B_8C1D_07549622E3BE_.wvu.Rows" localSheetId="50" hidden="1">'б-т накомания 981 (01.01.20)'!$1:$2</definedName>
    <definedName name="Z_2586BFD0_6ECF_444B_B755_49F46C705761_.wvu.FilterData" localSheetId="66" hidden="1">'75 лет (01.01.20)'!$A$5:$AN$81</definedName>
    <definedName name="Z_2586BFD0_6ECF_444B_B755_49F46C705761_.wvu.FilterData" localSheetId="31" hidden="1">'б-т 922 ПГ (01.01.20) '!$A$5:$AN$416</definedName>
    <definedName name="Z_2586BFD0_6ECF_444B_B755_49F46C705761_.wvu.FilterData" localSheetId="40" hidden="1">'б-т 955 ПГ (01.01.20)'!$A$5:$AN$416</definedName>
    <definedName name="Z_2586BFD0_6ECF_444B_B755_49F46C705761_.wvu.FilterData" localSheetId="43" hidden="1">'б-т 963 ПГ (01.01.20)'!$A$5:$AN$416</definedName>
    <definedName name="Z_2586BFD0_6ECF_444B_B755_49F46C705761_.wvu.FilterData" localSheetId="46" hidden="1">'б-т 971 ПГ (01.01.20)'!$A$5:$AN$416</definedName>
    <definedName name="Z_2586BFD0_6ECF_444B_B755_49F46C705761_.wvu.FilterData" localSheetId="48" hidden="1">'б-т 981 ПГ (01.01.20)'!$A$6:$AN$417</definedName>
    <definedName name="Z_25CB08C3_60EC_4345_8AE6_E85DB2A8A372_.wvu.FilterData" localSheetId="66" hidden="1">'75 лет (01.01.20)'!$A$5:$AN$81</definedName>
    <definedName name="Z_25CB08C3_60EC_4345_8AE6_E85DB2A8A372_.wvu.FilterData" localSheetId="31" hidden="1">'б-т 922 ПГ (01.01.20) '!$A$5:$AN$416</definedName>
    <definedName name="Z_25CB08C3_60EC_4345_8AE6_E85DB2A8A372_.wvu.FilterData" localSheetId="40" hidden="1">'б-т 955 ПГ (01.01.20)'!$A$5:$AN$416</definedName>
    <definedName name="Z_25CB08C3_60EC_4345_8AE6_E85DB2A8A372_.wvu.FilterData" localSheetId="43" hidden="1">'б-т 963 ПГ (01.01.20)'!$A$5:$AN$416</definedName>
    <definedName name="Z_25CB08C3_60EC_4345_8AE6_E85DB2A8A372_.wvu.FilterData" localSheetId="46" hidden="1">'б-т 971 ПГ (01.01.20)'!$A$5:$AN$416</definedName>
    <definedName name="Z_25CB08C3_60EC_4345_8AE6_E85DB2A8A372_.wvu.FilterData" localSheetId="48" hidden="1">'б-т 981 ПГ (01.01.20)'!$A$6:$AN$417</definedName>
    <definedName name="Z_270E5523_482A_4D7F_B53F_4B64CE2BB0C6_.wvu.FilterData" localSheetId="45" hidden="1">'б -т 963 Стим-е (01.01.20)'!$A$10:$TZ$207</definedName>
    <definedName name="Z_270E5523_482A_4D7F_B53F_4B64CE2BB0C6_.wvu.FilterData" localSheetId="42" hidden="1">'б-т 955 Стим-е (01.01.20)'!$A$10:$TZ$207</definedName>
    <definedName name="Z_270E5523_482A_4D7F_B53F_4B64CE2BB0C6_.wvu.FilterData" localSheetId="28" hidden="1">'б-т 966 Стим-е (01.01.20)'!$A$10:$TZ$207</definedName>
    <definedName name="Z_270E5523_482A_4D7F_B53F_4B64CE2BB0C6_.wvu.FilterData" localSheetId="49" hidden="1">'б-т 981 Стим-е (01.01.20)'!$A$12:$TZ$174</definedName>
    <definedName name="Z_270E5523_482A_4D7F_B53F_4B64CE2BB0C6_.wvu.FilterData" localSheetId="58" hidden="1">'субс РТ (01.01.20)'!$A$10:$TZ$45</definedName>
    <definedName name="Z_29BF1136_C8D6_43A3_844A_3A88B042AEB3_.wvu.FilterData" localSheetId="66" hidden="1">'75 лет (01.01.20)'!$A$5:$AN$81</definedName>
    <definedName name="Z_29BF1136_C8D6_43A3_844A_3A88B042AEB3_.wvu.FilterData" localSheetId="31" hidden="1">'б-т 922 ПГ (01.01.20) '!$A$5:$AN$416</definedName>
    <definedName name="Z_29BF1136_C8D6_43A3_844A_3A88B042AEB3_.wvu.FilterData" localSheetId="40" hidden="1">'б-т 955 ПГ (01.01.20)'!$A$5:$AN$416</definedName>
    <definedName name="Z_29BF1136_C8D6_43A3_844A_3A88B042AEB3_.wvu.FilterData" localSheetId="43" hidden="1">'б-т 963 ПГ (01.01.20)'!$A$5:$AN$416</definedName>
    <definedName name="Z_29BF1136_C8D6_43A3_844A_3A88B042AEB3_.wvu.FilterData" localSheetId="46" hidden="1">'б-т 971 ПГ (01.01.20)'!$A$5:$AN$416</definedName>
    <definedName name="Z_29BF1136_C8D6_43A3_844A_3A88B042AEB3_.wvu.FilterData" localSheetId="48" hidden="1">'б-т 981 ПГ (01.01.20)'!$A$6:$AN$417</definedName>
    <definedName name="Z_2C422109_6452_4FCC_9911_A024F5AE39DF_.wvu.FilterData" localSheetId="66" hidden="1">'75 лет (01.01.20)'!$A$5:$AN$81</definedName>
    <definedName name="Z_2C422109_6452_4FCC_9911_A024F5AE39DF_.wvu.FilterData" localSheetId="31" hidden="1">'б-т 922 ПГ (01.01.20) '!$A$5:$AN$145</definedName>
    <definedName name="Z_2C422109_6452_4FCC_9911_A024F5AE39DF_.wvu.FilterData" localSheetId="40" hidden="1">'б-т 955 ПГ (01.01.20)'!$A$5:$AN$145</definedName>
    <definedName name="Z_2C422109_6452_4FCC_9911_A024F5AE39DF_.wvu.FilterData" localSheetId="43" hidden="1">'б-т 963 ПГ (01.01.20)'!$A$5:$AN$145</definedName>
    <definedName name="Z_2C422109_6452_4FCC_9911_A024F5AE39DF_.wvu.FilterData" localSheetId="46" hidden="1">'б-т 971 ПГ (01.01.20)'!$A$5:$AN$145</definedName>
    <definedName name="Z_2C422109_6452_4FCC_9911_A024F5AE39DF_.wvu.FilterData" localSheetId="48" hidden="1">'б-т 981 ПГ (01.01.20)'!$A$6:$AN$146</definedName>
    <definedName name="Z_2E32038B_9E51_405C_B14E_04596190B554_.wvu.FilterData" localSheetId="66" hidden="1">'75 лет (01.01.20)'!$A$5:$AN$81</definedName>
    <definedName name="Z_2E32038B_9E51_405C_B14E_04596190B554_.wvu.FilterData" localSheetId="31" hidden="1">'б-т 922 ПГ (01.01.20) '!$A$5:$AN$145</definedName>
    <definedName name="Z_2E32038B_9E51_405C_B14E_04596190B554_.wvu.FilterData" localSheetId="40" hidden="1">'б-т 955 ПГ (01.01.20)'!$A$5:$AN$145</definedName>
    <definedName name="Z_2E32038B_9E51_405C_B14E_04596190B554_.wvu.FilterData" localSheetId="43" hidden="1">'б-т 963 ПГ (01.01.20)'!$A$5:$AN$145</definedName>
    <definedName name="Z_2E32038B_9E51_405C_B14E_04596190B554_.wvu.FilterData" localSheetId="46" hidden="1">'б-т 971 ПГ (01.01.20)'!$A$5:$AN$145</definedName>
    <definedName name="Z_2E32038B_9E51_405C_B14E_04596190B554_.wvu.FilterData" localSheetId="48" hidden="1">'б-т 981 ПГ (01.01.20)'!$A$6:$AN$146</definedName>
    <definedName name="Z_2EE7E557_EEDC_4C89_9C5A_9196EE0CDBFE_.wvu.FilterData" localSheetId="66" hidden="1">'75 лет (01.01.20)'!$A$5:$AN$81</definedName>
    <definedName name="Z_2EE7E557_EEDC_4C89_9C5A_9196EE0CDBFE_.wvu.FilterData" localSheetId="31" hidden="1">'б-т 922 ПГ (01.01.20) '!$A$5:$AN$416</definedName>
    <definedName name="Z_2EE7E557_EEDC_4C89_9C5A_9196EE0CDBFE_.wvu.FilterData" localSheetId="40" hidden="1">'б-т 955 ПГ (01.01.20)'!$A$5:$AN$416</definedName>
    <definedName name="Z_2EE7E557_EEDC_4C89_9C5A_9196EE0CDBFE_.wvu.FilterData" localSheetId="43" hidden="1">'б-т 963 ПГ (01.01.20)'!$A$5:$AN$416</definedName>
    <definedName name="Z_2EE7E557_EEDC_4C89_9C5A_9196EE0CDBFE_.wvu.FilterData" localSheetId="46" hidden="1">'б-т 971 ПГ (01.01.20)'!$A$5:$AN$416</definedName>
    <definedName name="Z_2EE7E557_EEDC_4C89_9C5A_9196EE0CDBFE_.wvu.FilterData" localSheetId="48" hidden="1">'б-т 981 ПГ (01.01.20)'!$A$6:$AN$417</definedName>
    <definedName name="Z_2F7B3BDC_7276_4423_B1C7_E557CE3BD5AF_.wvu.FilterData" localSheetId="66" hidden="1">'75 лет (01.01.20)'!$A$5:$AN$81</definedName>
    <definedName name="Z_2F7B3BDC_7276_4423_B1C7_E557CE3BD5AF_.wvu.FilterData" localSheetId="31" hidden="1">'б-т 922 ПГ (01.01.20) '!$A$5:$AN$145</definedName>
    <definedName name="Z_2F7B3BDC_7276_4423_B1C7_E557CE3BD5AF_.wvu.FilterData" localSheetId="40" hidden="1">'б-т 955 ПГ (01.01.20)'!$A$5:$AN$145</definedName>
    <definedName name="Z_2F7B3BDC_7276_4423_B1C7_E557CE3BD5AF_.wvu.FilterData" localSheetId="43" hidden="1">'б-т 963 ПГ (01.01.20)'!$A$5:$AN$145</definedName>
    <definedName name="Z_2F7B3BDC_7276_4423_B1C7_E557CE3BD5AF_.wvu.FilterData" localSheetId="46" hidden="1">'б-т 971 ПГ (01.01.20)'!$A$5:$AN$145</definedName>
    <definedName name="Z_2F7B3BDC_7276_4423_B1C7_E557CE3BD5AF_.wvu.FilterData" localSheetId="48" hidden="1">'б-т 981 ПГ (01.01.20)'!$A$6:$AN$146</definedName>
    <definedName name="Z_30D88889_674E_4961_B481_620A68797E67_.wvu.FilterData" localSheetId="66" hidden="1">'75 лет (01.01.20)'!$A$5:$AN$81</definedName>
    <definedName name="Z_30D88889_674E_4961_B481_620A68797E67_.wvu.FilterData" localSheetId="31" hidden="1">'б-т 922 ПГ (01.01.20) '!$A$5:$AN$145</definedName>
    <definedName name="Z_30D88889_674E_4961_B481_620A68797E67_.wvu.FilterData" localSheetId="40" hidden="1">'б-т 955 ПГ (01.01.20)'!$A$5:$AN$145</definedName>
    <definedName name="Z_30D88889_674E_4961_B481_620A68797E67_.wvu.FilterData" localSheetId="43" hidden="1">'б-т 963 ПГ (01.01.20)'!$A$5:$AN$145</definedName>
    <definedName name="Z_30D88889_674E_4961_B481_620A68797E67_.wvu.FilterData" localSheetId="46" hidden="1">'б-т 971 ПГ (01.01.20)'!$A$5:$AN$145</definedName>
    <definedName name="Z_30D88889_674E_4961_B481_620A68797E67_.wvu.FilterData" localSheetId="48" hidden="1">'б-т 981 ПГ (01.01.20)'!$A$6:$AN$146</definedName>
    <definedName name="Z_315FD781_1D10_45CD_AEED_85C7BD9F72F9_.wvu.FilterData" localSheetId="66" hidden="1">'75 лет (01.01.20)'!$A$8:$AN$81</definedName>
    <definedName name="Z_315FD781_1D10_45CD_AEED_85C7BD9F72F9_.wvu.FilterData" localSheetId="45" hidden="1">'б -т 963 Стим-е (01.01.20)'!$A$10:$TZ$207</definedName>
    <definedName name="Z_315FD781_1D10_45CD_AEED_85C7BD9F72F9_.wvu.FilterData" localSheetId="31" hidden="1">'б-т 922 ПГ (01.01.20) '!$A$8:$AN$145</definedName>
    <definedName name="Z_315FD781_1D10_45CD_AEED_85C7BD9F72F9_.wvu.FilterData" localSheetId="41" hidden="1">'б-т 955 наркомания (01.01.20)'!$A$10:$AF$44</definedName>
    <definedName name="Z_315FD781_1D10_45CD_AEED_85C7BD9F72F9_.wvu.FilterData" localSheetId="40" hidden="1">'б-т 955 ПГ (01.01.20)'!$A$8:$AN$145</definedName>
    <definedName name="Z_315FD781_1D10_45CD_AEED_85C7BD9F72F9_.wvu.FilterData" localSheetId="42" hidden="1">'б-т 955 Стим-е (01.01.20)'!$A$10:$TZ$207</definedName>
    <definedName name="Z_315FD781_1D10_45CD_AEED_85C7BD9F72F9_.wvu.FilterData" localSheetId="44" hidden="1">'б-т 963 Наркомания (01.01.20)'!$A$10:$AF$44</definedName>
    <definedName name="Z_315FD781_1D10_45CD_AEED_85C7BD9F72F9_.wvu.FilterData" localSheetId="43" hidden="1">'б-т 963 ПГ (01.01.20)'!$A$8:$AN$145</definedName>
    <definedName name="Z_315FD781_1D10_45CD_AEED_85C7BD9F72F9_.wvu.FilterData" localSheetId="28" hidden="1">'б-т 966 Стим-е (01.01.20)'!$A$10:$TZ$207</definedName>
    <definedName name="Z_315FD781_1D10_45CD_AEED_85C7BD9F72F9_.wvu.FilterData" localSheetId="46" hidden="1">'б-т 971 ПГ (01.01.20)'!$A$8:$AN$145</definedName>
    <definedName name="Z_315FD781_1D10_45CD_AEED_85C7BD9F72F9_.wvu.FilterData" localSheetId="48" hidden="1">'б-т 981 ПГ (01.01.20)'!$A$9:$AN$146</definedName>
    <definedName name="Z_315FD781_1D10_45CD_AEED_85C7BD9F72F9_.wvu.FilterData" localSheetId="49" hidden="1">'б-т 981 Стим-е (01.01.20)'!$A$12:$TZ$174</definedName>
    <definedName name="Z_315FD781_1D10_45CD_AEED_85C7BD9F72F9_.wvu.FilterData" localSheetId="50" hidden="1">'б-т накомания 981 (01.01.20)'!$A$10:$AF$44</definedName>
    <definedName name="Z_315FD781_1D10_45CD_AEED_85C7BD9F72F9_.wvu.FilterData" localSheetId="58" hidden="1">'субс РТ (01.01.20)'!$A$10:$TZ$45</definedName>
    <definedName name="Z_315FD781_1D10_45CD_AEED_85C7BD9F72F9_.wvu.PrintArea" localSheetId="45" hidden="1">'б -т 963 Стим-е (01.01.20)'!$A$1:$Z$245</definedName>
    <definedName name="Z_315FD781_1D10_45CD_AEED_85C7BD9F72F9_.wvu.PrintArea" localSheetId="41" hidden="1">'б-т 955 наркомания (01.01.20)'!$A$3:$Z$44</definedName>
    <definedName name="Z_315FD781_1D10_45CD_AEED_85C7BD9F72F9_.wvu.PrintArea" localSheetId="42" hidden="1">'б-т 955 Стим-е (01.01.20)'!$A$1:$Z$245</definedName>
    <definedName name="Z_315FD781_1D10_45CD_AEED_85C7BD9F72F9_.wvu.PrintArea" localSheetId="44" hidden="1">'б-т 963 Наркомания (01.01.20)'!$A$3:$Z$44</definedName>
    <definedName name="Z_315FD781_1D10_45CD_AEED_85C7BD9F72F9_.wvu.PrintArea" localSheetId="28" hidden="1">'б-т 966 Стим-е (01.01.20)'!$A$1:$Z$245</definedName>
    <definedName name="Z_315FD781_1D10_45CD_AEED_85C7BD9F72F9_.wvu.PrintArea" localSheetId="49" hidden="1">'б-т 981 Стим-е (01.01.20)'!$A$1:$Z$212</definedName>
    <definedName name="Z_315FD781_1D10_45CD_AEED_85C7BD9F72F9_.wvu.PrintArea" localSheetId="50" hidden="1">'б-т накомания 981 (01.01.20)'!$A$3:$Z$44</definedName>
    <definedName name="Z_315FD781_1D10_45CD_AEED_85C7BD9F72F9_.wvu.PrintArea" localSheetId="58" hidden="1">'субс РТ (01.01.20)'!$A$1:$Z$77</definedName>
    <definedName name="Z_315FD781_1D10_45CD_AEED_85C7BD9F72F9_.wvu.PrintTitles" localSheetId="45" hidden="1">'б -т 963 Стим-е (01.01.20)'!$5:$10</definedName>
    <definedName name="Z_315FD781_1D10_45CD_AEED_85C7BD9F72F9_.wvu.PrintTitles" localSheetId="41" hidden="1">'б-т 955 наркомания (01.01.20)'!$7:$9</definedName>
    <definedName name="Z_315FD781_1D10_45CD_AEED_85C7BD9F72F9_.wvu.PrintTitles" localSheetId="42" hidden="1">'б-т 955 Стим-е (01.01.20)'!$5:$10</definedName>
    <definedName name="Z_315FD781_1D10_45CD_AEED_85C7BD9F72F9_.wvu.PrintTitles" localSheetId="44" hidden="1">'б-т 963 Наркомания (01.01.20)'!$7:$9</definedName>
    <definedName name="Z_315FD781_1D10_45CD_AEED_85C7BD9F72F9_.wvu.PrintTitles" localSheetId="28" hidden="1">'б-т 966 Стим-е (01.01.20)'!$5:$10</definedName>
    <definedName name="Z_315FD781_1D10_45CD_AEED_85C7BD9F72F9_.wvu.PrintTitles" localSheetId="49" hidden="1">'б-т 981 Стим-е (01.01.20)'!$7:$12</definedName>
    <definedName name="Z_315FD781_1D10_45CD_AEED_85C7BD9F72F9_.wvu.PrintTitles" localSheetId="50" hidden="1">'б-т накомания 981 (01.01.20)'!$7:$9</definedName>
    <definedName name="Z_315FD781_1D10_45CD_AEED_85C7BD9F72F9_.wvu.PrintTitles" localSheetId="58" hidden="1">'субс РТ (01.01.20)'!$5:$10</definedName>
    <definedName name="Z_315FD781_1D10_45CD_AEED_85C7BD9F72F9_.wvu.Rows" localSheetId="45" hidden="1">'б -т 963 Стим-е (01.01.20)'!#REF!</definedName>
    <definedName name="Z_315FD781_1D10_45CD_AEED_85C7BD9F72F9_.wvu.Rows" localSheetId="41" hidden="1">'б-т 955 наркомания (01.01.20)'!$1:$2</definedName>
    <definedName name="Z_315FD781_1D10_45CD_AEED_85C7BD9F72F9_.wvu.Rows" localSheetId="42" hidden="1">'б-т 955 Стим-е (01.01.20)'!#REF!</definedName>
    <definedName name="Z_315FD781_1D10_45CD_AEED_85C7BD9F72F9_.wvu.Rows" localSheetId="44" hidden="1">'б-т 963 Наркомания (01.01.20)'!$1:$2</definedName>
    <definedName name="Z_315FD781_1D10_45CD_AEED_85C7BD9F72F9_.wvu.Rows" localSheetId="28" hidden="1">'б-т 966 Стим-е (01.01.20)'!#REF!</definedName>
    <definedName name="Z_315FD781_1D10_45CD_AEED_85C7BD9F72F9_.wvu.Rows" localSheetId="49" hidden="1">'б-т 981 Стим-е (01.01.20)'!#REF!</definedName>
    <definedName name="Z_315FD781_1D10_45CD_AEED_85C7BD9F72F9_.wvu.Rows" localSheetId="50" hidden="1">'б-т накомания 981 (01.01.20)'!$1:$2</definedName>
    <definedName name="Z_315FD781_1D10_45CD_AEED_85C7BD9F72F9_.wvu.Rows" localSheetId="58" hidden="1">'субс РТ (01.01.20)'!#REF!</definedName>
    <definedName name="Z_31D5C044_0D94_4BAD_93B8_2855341C764B_.wvu.FilterData" localSheetId="66" hidden="1">'75 лет (01.01.20)'!$A$5:$AN$81</definedName>
    <definedName name="Z_31D5C044_0D94_4BAD_93B8_2855341C764B_.wvu.FilterData" localSheetId="31" hidden="1">'б-т 922 ПГ (01.01.20) '!$A$5:$AN$416</definedName>
    <definedName name="Z_31D5C044_0D94_4BAD_93B8_2855341C764B_.wvu.FilterData" localSheetId="40" hidden="1">'б-т 955 ПГ (01.01.20)'!$A$5:$AN$416</definedName>
    <definedName name="Z_31D5C044_0D94_4BAD_93B8_2855341C764B_.wvu.FilterData" localSheetId="43" hidden="1">'б-т 963 ПГ (01.01.20)'!$A$5:$AN$416</definedName>
    <definedName name="Z_31D5C044_0D94_4BAD_93B8_2855341C764B_.wvu.FilterData" localSheetId="46" hidden="1">'б-т 971 ПГ (01.01.20)'!$A$5:$AN$416</definedName>
    <definedName name="Z_31D5C044_0D94_4BAD_93B8_2855341C764B_.wvu.FilterData" localSheetId="48" hidden="1">'б-т 981 ПГ (01.01.20)'!$A$6:$AN$417</definedName>
    <definedName name="Z_3200A294_1174_45D5_B5B3_1E67D58F5A0C_.wvu.FilterData" localSheetId="66" hidden="1">'75 лет (01.01.20)'!$A$5:$AN$81</definedName>
    <definedName name="Z_3200A294_1174_45D5_B5B3_1E67D58F5A0C_.wvu.FilterData" localSheetId="31" hidden="1">'б-т 922 ПГ (01.01.20) '!$A$5:$AN$145</definedName>
    <definedName name="Z_3200A294_1174_45D5_B5B3_1E67D58F5A0C_.wvu.FilterData" localSheetId="40" hidden="1">'б-т 955 ПГ (01.01.20)'!$A$5:$AN$145</definedName>
    <definedName name="Z_3200A294_1174_45D5_B5B3_1E67D58F5A0C_.wvu.FilterData" localSheetId="43" hidden="1">'б-т 963 ПГ (01.01.20)'!$A$5:$AN$145</definedName>
    <definedName name="Z_3200A294_1174_45D5_B5B3_1E67D58F5A0C_.wvu.FilterData" localSheetId="46" hidden="1">'б-т 971 ПГ (01.01.20)'!$A$5:$AN$145</definedName>
    <definedName name="Z_3200A294_1174_45D5_B5B3_1E67D58F5A0C_.wvu.FilterData" localSheetId="48" hidden="1">'б-т 981 ПГ (01.01.20)'!$A$6:$AN$146</definedName>
    <definedName name="Z_327AB8CB_B7FC_44FF_802D_A1515DAABD37_.wvu.PrintArea" localSheetId="32" hidden="1">'б-т 925 (01.01.20)'!$A$1:$V$90</definedName>
    <definedName name="Z_327AB8CB_B7FC_44FF_802D_A1515DAABD37_.wvu.PrintTitles" localSheetId="32" hidden="1">'б-т 925 (01.01.20)'!$5:$8</definedName>
    <definedName name="Z_327AB8CB_B7FC_44FF_802D_A1515DAABD37_.wvu.Rows" localSheetId="32" hidden="1">'б-т 925 (01.01.20)'!$20:$57,'б-т 925 (01.01.20)'!$60:$63,'б-т 925 (01.01.20)'!$66:$66</definedName>
    <definedName name="Z_32C9DB6F_3FF6_443F_A97E_B7BFA1B79CE5_.wvu.Cols" localSheetId="45" hidden="1">'б -т 963 Стим-е (01.01.20)'!$AE:$AH,'б -т 963 Стим-е (01.01.20)'!$JN:$JO,'б -т 963 Стим-е (01.01.20)'!$JQ:$JS,'б -т 963 Стим-е (01.01.20)'!$KA:$KD,'б -т 963 Стим-е (01.01.20)'!$TJ:$TK,'б -т 963 Стим-е (01.01.20)'!$TM:$TO,'б -т 963 Стим-е (01.01.20)'!$TW:$TZ</definedName>
    <definedName name="Z_32C9DB6F_3FF6_443F_A97E_B7BFA1B79CE5_.wvu.Cols" localSheetId="41" hidden="1">'б-т 955 наркомания (01.01.20)'!$F:$H</definedName>
    <definedName name="Z_32C9DB6F_3FF6_443F_A97E_B7BFA1B79CE5_.wvu.Cols" localSheetId="42" hidden="1">'б-т 955 Стим-е (01.01.20)'!$AE:$AH,'б-т 955 Стим-е (01.01.20)'!$JN:$JO,'б-т 955 Стим-е (01.01.20)'!$JQ:$JS,'б-т 955 Стим-е (01.01.20)'!$KA:$KD,'б-т 955 Стим-е (01.01.20)'!$TJ:$TK,'б-т 955 Стим-е (01.01.20)'!$TM:$TO,'б-т 955 Стим-е (01.01.20)'!$TW:$TZ</definedName>
    <definedName name="Z_32C9DB6F_3FF6_443F_A97E_B7BFA1B79CE5_.wvu.Cols" localSheetId="44" hidden="1">'б-т 963 Наркомания (01.01.20)'!$F:$H</definedName>
    <definedName name="Z_32C9DB6F_3FF6_443F_A97E_B7BFA1B79CE5_.wvu.Cols" localSheetId="28" hidden="1">'б-т 966 Стим-е (01.01.20)'!$AE:$AH,'б-т 966 Стим-е (01.01.20)'!$JN:$JO,'б-т 966 Стим-е (01.01.20)'!$JQ:$JS,'б-т 966 Стим-е (01.01.20)'!$KA:$KD,'б-т 966 Стим-е (01.01.20)'!$TJ:$TK,'б-т 966 Стим-е (01.01.20)'!$TM:$TO,'б-т 966 Стим-е (01.01.20)'!$TW:$TZ</definedName>
    <definedName name="Z_32C9DB6F_3FF6_443F_A97E_B7BFA1B79CE5_.wvu.Cols" localSheetId="49" hidden="1">'б-т 981 Стим-е (01.01.20)'!$AE:$AH,'б-т 981 Стим-е (01.01.20)'!$JN:$JO,'б-т 981 Стим-е (01.01.20)'!$JQ:$JS,'б-т 981 Стим-е (01.01.20)'!$KA:$KD,'б-т 981 Стим-е (01.01.20)'!$TJ:$TK,'б-т 981 Стим-е (01.01.20)'!$TM:$TO,'б-т 981 Стим-е (01.01.20)'!$TW:$TZ</definedName>
    <definedName name="Z_32C9DB6F_3FF6_443F_A97E_B7BFA1B79CE5_.wvu.Cols" localSheetId="50" hidden="1">'б-т накомания 981 (01.01.20)'!$F:$H</definedName>
    <definedName name="Z_32C9DB6F_3FF6_443F_A97E_B7BFA1B79CE5_.wvu.Cols" localSheetId="85" hidden="1">'внеб 963 (01.01.20)'!$X:$AA,'внеб 963 (01.01.20)'!$JG:$JH,'внеб 963 (01.01.20)'!$JJ:$JL,'внеб 963 (01.01.20)'!$JT:$JW,'внеб 963 (01.01.20)'!$TC:$TD,'внеб 963 (01.01.20)'!$TF:$TH,'внеб 963 (01.01.20)'!$TP:$TS</definedName>
    <definedName name="Z_32C9DB6F_3FF6_443F_A97E_B7BFA1B79CE5_.wvu.Cols" localSheetId="74" hidden="1">'внеб 966 (01.01.20)'!$X:$AA,'внеб 966 (01.01.20)'!$JG:$JH,'внеб 966 (01.01.20)'!$JJ:$JL,'внеб 966 (01.01.20)'!$JT:$JW,'внеб 966 (01.01.20)'!$TC:$TD,'внеб 966 (01.01.20)'!$TF:$TH,'внеб 966 (01.01.20)'!$TP:$TS</definedName>
    <definedName name="Z_32C9DB6F_3FF6_443F_A97E_B7BFA1B79CE5_.wvu.Cols" localSheetId="58" hidden="1">'субс РТ (01.01.20)'!$AE:$AH,'субс РТ (01.01.20)'!$JN:$JO,'субс РТ (01.01.20)'!$JQ:$JS,'субс РТ (01.01.20)'!$KA:$KD,'субс РТ (01.01.20)'!$TJ:$TK,'субс РТ (01.01.20)'!$TM:$TO,'субс РТ (01.01.20)'!$TW:$TZ</definedName>
    <definedName name="Z_32C9DB6F_3FF6_443F_A97E_B7BFA1B79CE5_.wvu.FilterData" localSheetId="45" hidden="1">'б -т 963 Стим-е (01.01.20)'!$A$10:$TZ$207</definedName>
    <definedName name="Z_32C9DB6F_3FF6_443F_A97E_B7BFA1B79CE5_.wvu.FilterData" localSheetId="41" hidden="1">'б-т 955 наркомания (01.01.20)'!$A$10:$AF$44</definedName>
    <definedName name="Z_32C9DB6F_3FF6_443F_A97E_B7BFA1B79CE5_.wvu.FilterData" localSheetId="42" hidden="1">'б-т 955 Стим-е (01.01.20)'!$A$10:$TZ$207</definedName>
    <definedName name="Z_32C9DB6F_3FF6_443F_A97E_B7BFA1B79CE5_.wvu.FilterData" localSheetId="44" hidden="1">'б-т 963 Наркомания (01.01.20)'!$A$10:$AF$44</definedName>
    <definedName name="Z_32C9DB6F_3FF6_443F_A97E_B7BFA1B79CE5_.wvu.FilterData" localSheetId="28" hidden="1">'б-т 966 Стим-е (01.01.20)'!$A$10:$TZ$207</definedName>
    <definedName name="Z_32C9DB6F_3FF6_443F_A97E_B7BFA1B79CE5_.wvu.FilterData" localSheetId="49" hidden="1">'б-т 981 Стим-е (01.01.20)'!$A$12:$TZ$174</definedName>
    <definedName name="Z_32C9DB6F_3FF6_443F_A97E_B7BFA1B79CE5_.wvu.FilterData" localSheetId="50" hidden="1">'б-т накомания 981 (01.01.20)'!$A$10:$AF$44</definedName>
    <definedName name="Z_32C9DB6F_3FF6_443F_A97E_B7BFA1B79CE5_.wvu.FilterData" localSheetId="85" hidden="1">'внеб 963 (01.01.20)'!$A$9:$TS$10</definedName>
    <definedName name="Z_32C9DB6F_3FF6_443F_A97E_B7BFA1B79CE5_.wvu.FilterData" localSheetId="74" hidden="1">'внеб 966 (01.01.20)'!$A$11:$TS$12</definedName>
    <definedName name="Z_32C9DB6F_3FF6_443F_A97E_B7BFA1B79CE5_.wvu.FilterData" localSheetId="58" hidden="1">'субс РТ (01.01.20)'!$A$10:$TZ$45</definedName>
    <definedName name="Z_32C9DB6F_3FF6_443F_A97E_B7BFA1B79CE5_.wvu.PrintArea" localSheetId="45" hidden="1">'б -т 963 Стим-е (01.01.20)'!$A$1:$Z$221</definedName>
    <definedName name="Z_32C9DB6F_3FF6_443F_A97E_B7BFA1B79CE5_.wvu.PrintArea" localSheetId="41" hidden="1">'б-т 955 наркомания (01.01.20)'!$A$1:$Z$44</definedName>
    <definedName name="Z_32C9DB6F_3FF6_443F_A97E_B7BFA1B79CE5_.wvu.PrintArea" localSheetId="42" hidden="1">'б-т 955 Стим-е (01.01.20)'!$A$1:$Z$221</definedName>
    <definedName name="Z_32C9DB6F_3FF6_443F_A97E_B7BFA1B79CE5_.wvu.PrintArea" localSheetId="44" hidden="1">'б-т 963 Наркомания (01.01.20)'!$A$1:$Z$44</definedName>
    <definedName name="Z_32C9DB6F_3FF6_443F_A97E_B7BFA1B79CE5_.wvu.PrintArea" localSheetId="28" hidden="1">'б-т 966 Стим-е (01.01.20)'!$A$1:$Z$221</definedName>
    <definedName name="Z_32C9DB6F_3FF6_443F_A97E_B7BFA1B79CE5_.wvu.PrintArea" localSheetId="49" hidden="1">'б-т 981 Стим-е (01.01.20)'!$A$1:$Z$188</definedName>
    <definedName name="Z_32C9DB6F_3FF6_443F_A97E_B7BFA1B79CE5_.wvu.PrintArea" localSheetId="50" hidden="1">'б-т накомания 981 (01.01.20)'!$A$1:$Z$44</definedName>
    <definedName name="Z_32C9DB6F_3FF6_443F_A97E_B7BFA1B79CE5_.wvu.PrintArea" localSheetId="85" hidden="1">'внеб 963 (01.01.20)'!$A$1:$S$10</definedName>
    <definedName name="Z_32C9DB6F_3FF6_443F_A97E_B7BFA1B79CE5_.wvu.PrintArea" localSheetId="74" hidden="1">'внеб 966 (01.01.20)'!$A$1:$S$12</definedName>
    <definedName name="Z_32C9DB6F_3FF6_443F_A97E_B7BFA1B79CE5_.wvu.PrintArea" localSheetId="58" hidden="1">'субс РТ (01.01.20)'!$A$1:$Z$53</definedName>
    <definedName name="Z_32C9DB6F_3FF6_443F_A97E_B7BFA1B79CE5_.wvu.PrintTitles" localSheetId="45" hidden="1">'б -т 963 Стим-е (01.01.20)'!$5:$10</definedName>
    <definedName name="Z_32C9DB6F_3FF6_443F_A97E_B7BFA1B79CE5_.wvu.PrintTitles" localSheetId="41" hidden="1">'б-т 955 наркомания (01.01.20)'!$7:$9</definedName>
    <definedName name="Z_32C9DB6F_3FF6_443F_A97E_B7BFA1B79CE5_.wvu.PrintTitles" localSheetId="42" hidden="1">'б-т 955 Стим-е (01.01.20)'!$5:$10</definedName>
    <definedName name="Z_32C9DB6F_3FF6_443F_A97E_B7BFA1B79CE5_.wvu.PrintTitles" localSheetId="44" hidden="1">'б-т 963 Наркомания (01.01.20)'!$7:$9</definedName>
    <definedName name="Z_32C9DB6F_3FF6_443F_A97E_B7BFA1B79CE5_.wvu.PrintTitles" localSheetId="28" hidden="1">'б-т 966 Стим-е (01.01.20)'!$5:$10</definedName>
    <definedName name="Z_32C9DB6F_3FF6_443F_A97E_B7BFA1B79CE5_.wvu.PrintTitles" localSheetId="49" hidden="1">'б-т 981 Стим-е (01.01.20)'!$7:$12</definedName>
    <definedName name="Z_32C9DB6F_3FF6_443F_A97E_B7BFA1B79CE5_.wvu.PrintTitles" localSheetId="50" hidden="1">'б-т накомания 981 (01.01.20)'!$7:$9</definedName>
    <definedName name="Z_32C9DB6F_3FF6_443F_A97E_B7BFA1B79CE5_.wvu.PrintTitles" localSheetId="85" hidden="1">'внеб 963 (01.01.20)'!$5:$9</definedName>
    <definedName name="Z_32C9DB6F_3FF6_443F_A97E_B7BFA1B79CE5_.wvu.PrintTitles" localSheetId="74" hidden="1">'внеб 966 (01.01.20)'!$7:$11</definedName>
    <definedName name="Z_32C9DB6F_3FF6_443F_A97E_B7BFA1B79CE5_.wvu.PrintTitles" localSheetId="58" hidden="1">'субс РТ (01.01.20)'!$5:$10</definedName>
    <definedName name="Z_32C9DB6F_3FF6_443F_A97E_B7BFA1B79CE5_.wvu.Rows" localSheetId="41" hidden="1">'б-т 955 наркомания (01.01.20)'!$1:$2</definedName>
    <definedName name="Z_32C9DB6F_3FF6_443F_A97E_B7BFA1B79CE5_.wvu.Rows" localSheetId="44" hidden="1">'б-т 963 Наркомания (01.01.20)'!$1:$2</definedName>
    <definedName name="Z_32C9DB6F_3FF6_443F_A97E_B7BFA1B79CE5_.wvu.Rows" localSheetId="50" hidden="1">'б-т накомания 981 (01.01.20)'!$1:$2</definedName>
    <definedName name="Z_350A36D2_5E8D_4D4D_B730_4922C7EE805F_.wvu.FilterData" localSheetId="45" hidden="1">'б -т 963 Стим-е (01.01.20)'!$A$10:$TZ$207</definedName>
    <definedName name="Z_350A36D2_5E8D_4D4D_B730_4922C7EE805F_.wvu.FilterData" localSheetId="42" hidden="1">'б-т 955 Стим-е (01.01.20)'!$A$10:$TZ$207</definedName>
    <definedName name="Z_350A36D2_5E8D_4D4D_B730_4922C7EE805F_.wvu.FilterData" localSheetId="28" hidden="1">'б-т 966 Стим-е (01.01.20)'!$A$10:$TZ$207</definedName>
    <definedName name="Z_350A36D2_5E8D_4D4D_B730_4922C7EE805F_.wvu.FilterData" localSheetId="49" hidden="1">'б-т 981 Стим-е (01.01.20)'!$A$12:$TZ$174</definedName>
    <definedName name="Z_350A36D2_5E8D_4D4D_B730_4922C7EE805F_.wvu.FilterData" localSheetId="58" hidden="1">'субс РТ (01.01.20)'!$A$10:$TZ$45</definedName>
    <definedName name="Z_3A14CF0D_05AE_4ACD_AF61_87ACC994F40F_.wvu.FilterData" localSheetId="66" hidden="1">'75 лет (01.01.20)'!$A$5:$AN$81</definedName>
    <definedName name="Z_3A14CF0D_05AE_4ACD_AF61_87ACC994F40F_.wvu.FilterData" localSheetId="31" hidden="1">'б-т 922 ПГ (01.01.20) '!$A$5:$AN$416</definedName>
    <definedName name="Z_3A14CF0D_05AE_4ACD_AF61_87ACC994F40F_.wvu.FilterData" localSheetId="40" hidden="1">'б-т 955 ПГ (01.01.20)'!$A$5:$AN$416</definedName>
    <definedName name="Z_3A14CF0D_05AE_4ACD_AF61_87ACC994F40F_.wvu.FilterData" localSheetId="43" hidden="1">'б-т 963 ПГ (01.01.20)'!$A$5:$AN$416</definedName>
    <definedName name="Z_3A14CF0D_05AE_4ACD_AF61_87ACC994F40F_.wvu.FilterData" localSheetId="46" hidden="1">'б-т 971 ПГ (01.01.20)'!$A$5:$AN$416</definedName>
    <definedName name="Z_3A14CF0D_05AE_4ACD_AF61_87ACC994F40F_.wvu.FilterData" localSheetId="48" hidden="1">'б-т 981 ПГ (01.01.20)'!$A$6:$AN$417</definedName>
    <definedName name="Z_3CBA0A9F_7D7D_4323_B56D_204A951E9D4F_.wvu.FilterData" localSheetId="45" hidden="1">'б -т 963 Стим-е (01.01.20)'!$A$10:$TZ$207</definedName>
    <definedName name="Z_3CBA0A9F_7D7D_4323_B56D_204A951E9D4F_.wvu.FilterData" localSheetId="42" hidden="1">'б-т 955 Стим-е (01.01.20)'!$A$10:$TZ$207</definedName>
    <definedName name="Z_3CBA0A9F_7D7D_4323_B56D_204A951E9D4F_.wvu.FilterData" localSheetId="28" hidden="1">'б-т 966 Стим-е (01.01.20)'!$A$10:$TZ$207</definedName>
    <definedName name="Z_3CBA0A9F_7D7D_4323_B56D_204A951E9D4F_.wvu.FilterData" localSheetId="49" hidden="1">'б-т 981 Стим-е (01.01.20)'!$A$12:$TZ$174</definedName>
    <definedName name="Z_3CBA0A9F_7D7D_4323_B56D_204A951E9D4F_.wvu.FilterData" localSheetId="58" hidden="1">'субс РТ (01.01.20)'!$A$10:$TZ$45</definedName>
    <definedName name="Z_3D223BFC_393D_4081_BEEF_B65722F63E9E_.wvu.FilterData" localSheetId="66" hidden="1">'75 лет (01.01.20)'!$A$5:$AN$81</definedName>
    <definedName name="Z_3D223BFC_393D_4081_BEEF_B65722F63E9E_.wvu.FilterData" localSheetId="31" hidden="1">'б-т 922 ПГ (01.01.20) '!$A$5:$AN$145</definedName>
    <definedName name="Z_3D223BFC_393D_4081_BEEF_B65722F63E9E_.wvu.FilterData" localSheetId="40" hidden="1">'б-т 955 ПГ (01.01.20)'!$A$5:$AN$145</definedName>
    <definedName name="Z_3D223BFC_393D_4081_BEEF_B65722F63E9E_.wvu.FilterData" localSheetId="43" hidden="1">'б-т 963 ПГ (01.01.20)'!$A$5:$AN$145</definedName>
    <definedName name="Z_3D223BFC_393D_4081_BEEF_B65722F63E9E_.wvu.FilterData" localSheetId="46" hidden="1">'б-т 971 ПГ (01.01.20)'!$A$5:$AN$145</definedName>
    <definedName name="Z_3D223BFC_393D_4081_BEEF_B65722F63E9E_.wvu.FilterData" localSheetId="48" hidden="1">'б-т 981 ПГ (01.01.20)'!$A$6:$AN$146</definedName>
    <definedName name="Z_3F191FAD_1C77_4DE4_8B96_733FA31DB27F_.wvu.FilterData" localSheetId="66" hidden="1">'75 лет (01.01.20)'!$A$5:$AN$81</definedName>
    <definedName name="Z_3F191FAD_1C77_4DE4_8B96_733FA31DB27F_.wvu.FilterData" localSheetId="31" hidden="1">'б-т 922 ПГ (01.01.20) '!$A$5:$AN$145</definedName>
    <definedName name="Z_3F191FAD_1C77_4DE4_8B96_733FA31DB27F_.wvu.FilterData" localSheetId="40" hidden="1">'б-т 955 ПГ (01.01.20)'!$A$5:$AN$145</definedName>
    <definedName name="Z_3F191FAD_1C77_4DE4_8B96_733FA31DB27F_.wvu.FilterData" localSheetId="43" hidden="1">'б-т 963 ПГ (01.01.20)'!$A$5:$AN$145</definedName>
    <definedName name="Z_3F191FAD_1C77_4DE4_8B96_733FA31DB27F_.wvu.FilterData" localSheetId="46" hidden="1">'б-т 971 ПГ (01.01.20)'!$A$5:$AN$145</definedName>
    <definedName name="Z_3F191FAD_1C77_4DE4_8B96_733FA31DB27F_.wvu.FilterData" localSheetId="48" hidden="1">'б-т 981 ПГ (01.01.20)'!$A$6:$AN$146</definedName>
    <definedName name="Z_3F4EB8B1_EC3F_4153_800F_660B3AE91CDB_.wvu.PrintArea" localSheetId="32" hidden="1">'б-т 925 (01.01.20)'!$A$1:$V$90</definedName>
    <definedName name="Z_3F4EB8B1_EC3F_4153_800F_660B3AE91CDB_.wvu.PrintTitles" localSheetId="32" hidden="1">'б-т 925 (01.01.20)'!$5:$8</definedName>
    <definedName name="Z_3F4EB8B1_EC3F_4153_800F_660B3AE91CDB_.wvu.Rows" localSheetId="32" hidden="1">'б-т 925 (01.01.20)'!$20:$57,'б-т 925 (01.01.20)'!$60:$63,'б-т 925 (01.01.20)'!$66:$66</definedName>
    <definedName name="Z_4078F8CE_7AD9_4FCB_97CD_9489E14574CD_.wvu.FilterData" localSheetId="66" hidden="1">'75 лет (01.01.20)'!$A$5:$AN$81</definedName>
    <definedName name="Z_4078F8CE_7AD9_4FCB_97CD_9489E14574CD_.wvu.FilterData" localSheetId="31" hidden="1">'б-т 922 ПГ (01.01.20) '!$A$5:$AN$145</definedName>
    <definedName name="Z_4078F8CE_7AD9_4FCB_97CD_9489E14574CD_.wvu.FilterData" localSheetId="40" hidden="1">'б-т 955 ПГ (01.01.20)'!$A$5:$AN$145</definedName>
    <definedName name="Z_4078F8CE_7AD9_4FCB_97CD_9489E14574CD_.wvu.FilterData" localSheetId="43" hidden="1">'б-т 963 ПГ (01.01.20)'!$A$5:$AN$145</definedName>
    <definedName name="Z_4078F8CE_7AD9_4FCB_97CD_9489E14574CD_.wvu.FilterData" localSheetId="46" hidden="1">'б-т 971 ПГ (01.01.20)'!$A$5:$AN$145</definedName>
    <definedName name="Z_4078F8CE_7AD9_4FCB_97CD_9489E14574CD_.wvu.FilterData" localSheetId="48" hidden="1">'б-т 981 ПГ (01.01.20)'!$A$6:$AN$146</definedName>
    <definedName name="Z_470BA085_17FA_4110_A3C3_EA4EA1C60C4D_.wvu.FilterData" localSheetId="66" hidden="1">'75 лет (01.01.20)'!$A$5:$AN$81</definedName>
    <definedName name="Z_470BA085_17FA_4110_A3C3_EA4EA1C60C4D_.wvu.FilterData" localSheetId="31" hidden="1">'б-т 922 ПГ (01.01.20) '!$A$5:$AN$416</definedName>
    <definedName name="Z_470BA085_17FA_4110_A3C3_EA4EA1C60C4D_.wvu.FilterData" localSheetId="40" hidden="1">'б-т 955 ПГ (01.01.20)'!$A$5:$AN$416</definedName>
    <definedName name="Z_470BA085_17FA_4110_A3C3_EA4EA1C60C4D_.wvu.FilterData" localSheetId="43" hidden="1">'б-т 963 ПГ (01.01.20)'!$A$5:$AN$416</definedName>
    <definedName name="Z_470BA085_17FA_4110_A3C3_EA4EA1C60C4D_.wvu.FilterData" localSheetId="46" hidden="1">'б-т 971 ПГ (01.01.20)'!$A$5:$AN$416</definedName>
    <definedName name="Z_470BA085_17FA_4110_A3C3_EA4EA1C60C4D_.wvu.FilterData" localSheetId="48" hidden="1">'б-т 981 ПГ (01.01.20)'!$A$6:$AN$417</definedName>
    <definedName name="Z_48BF95DE_B844_4183_8A3D_9C8DD0F4CA16_.wvu.FilterData" localSheetId="66" hidden="1">'75 лет (01.01.20)'!$A$5:$AN$81</definedName>
    <definedName name="Z_48BF95DE_B844_4183_8A3D_9C8DD0F4CA16_.wvu.FilterData" localSheetId="31" hidden="1">'б-т 922 ПГ (01.01.20) '!$A$5:$AN$145</definedName>
    <definedName name="Z_48BF95DE_B844_4183_8A3D_9C8DD0F4CA16_.wvu.FilterData" localSheetId="40" hidden="1">'б-т 955 ПГ (01.01.20)'!$A$5:$AN$145</definedName>
    <definedName name="Z_48BF95DE_B844_4183_8A3D_9C8DD0F4CA16_.wvu.FilterData" localSheetId="43" hidden="1">'б-т 963 ПГ (01.01.20)'!$A$5:$AN$145</definedName>
    <definedName name="Z_48BF95DE_B844_4183_8A3D_9C8DD0F4CA16_.wvu.FilterData" localSheetId="46" hidden="1">'б-т 971 ПГ (01.01.20)'!$A$5:$AN$145</definedName>
    <definedName name="Z_48BF95DE_B844_4183_8A3D_9C8DD0F4CA16_.wvu.FilterData" localSheetId="48" hidden="1">'б-т 981 ПГ (01.01.20)'!$A$6:$AN$146</definedName>
    <definedName name="Z_48C2E349_CD7F_4B96_856C_6375C1F571BA_.wvu.FilterData" localSheetId="45" hidden="1">'б -т 963 Стим-е (01.01.20)'!$A$10:$TZ$207</definedName>
    <definedName name="Z_48C2E349_CD7F_4B96_856C_6375C1F571BA_.wvu.FilterData" localSheetId="42" hidden="1">'б-т 955 Стим-е (01.01.20)'!$A$10:$TZ$207</definedName>
    <definedName name="Z_48C2E349_CD7F_4B96_856C_6375C1F571BA_.wvu.FilterData" localSheetId="28" hidden="1">'б-т 966 Стим-е (01.01.20)'!$A$10:$TZ$207</definedName>
    <definedName name="Z_48C2E349_CD7F_4B96_856C_6375C1F571BA_.wvu.FilterData" localSheetId="49" hidden="1">'б-т 981 Стим-е (01.01.20)'!$A$12:$TZ$174</definedName>
    <definedName name="Z_48C2E349_CD7F_4B96_856C_6375C1F571BA_.wvu.FilterData" localSheetId="58" hidden="1">'субс РТ (01.01.20)'!$A$10:$TZ$45</definedName>
    <definedName name="Z_4A3ACF61_E4A3_4826_B490_08741E618D62_.wvu.FilterData" localSheetId="66" hidden="1">'75 лет (01.01.20)'!$A$5:$AN$7</definedName>
    <definedName name="Z_4A3ACF61_E4A3_4826_B490_08741E618D62_.wvu.FilterData" localSheetId="31" hidden="1">'б-т 922 ПГ (01.01.20) '!$A$5:$AN$7</definedName>
    <definedName name="Z_4A3ACF61_E4A3_4826_B490_08741E618D62_.wvu.FilterData" localSheetId="40" hidden="1">'б-т 955 ПГ (01.01.20)'!$A$5:$AN$7</definedName>
    <definedName name="Z_4A3ACF61_E4A3_4826_B490_08741E618D62_.wvu.FilterData" localSheetId="43" hidden="1">'б-т 963 ПГ (01.01.20)'!$A$5:$AN$7</definedName>
    <definedName name="Z_4A3ACF61_E4A3_4826_B490_08741E618D62_.wvu.FilterData" localSheetId="46" hidden="1">'б-т 971 ПГ (01.01.20)'!$A$5:$AN$7</definedName>
    <definedName name="Z_4A3ACF61_E4A3_4826_B490_08741E618D62_.wvu.FilterData" localSheetId="48" hidden="1">'б-т 981 ПГ (01.01.20)'!$A$6:$AN$8</definedName>
    <definedName name="Z_4C3A186B_A49B_4ADF_B030_799C226EF052_.wvu.FilterData" localSheetId="66" hidden="1">'75 лет (01.01.20)'!$A$5:$AN$81</definedName>
    <definedName name="Z_4C3A186B_A49B_4ADF_B030_799C226EF052_.wvu.FilterData" localSheetId="31" hidden="1">'б-т 922 ПГ (01.01.20) '!$A$5:$AN$145</definedName>
    <definedName name="Z_4C3A186B_A49B_4ADF_B030_799C226EF052_.wvu.FilterData" localSheetId="40" hidden="1">'б-т 955 ПГ (01.01.20)'!$A$5:$AN$145</definedName>
    <definedName name="Z_4C3A186B_A49B_4ADF_B030_799C226EF052_.wvu.FilterData" localSheetId="43" hidden="1">'б-т 963 ПГ (01.01.20)'!$A$5:$AN$145</definedName>
    <definedName name="Z_4C3A186B_A49B_4ADF_B030_799C226EF052_.wvu.FilterData" localSheetId="46" hidden="1">'б-т 971 ПГ (01.01.20)'!$A$5:$AN$145</definedName>
    <definedName name="Z_4C3A186B_A49B_4ADF_B030_799C226EF052_.wvu.FilterData" localSheetId="48" hidden="1">'б-т 981 ПГ (01.01.20)'!$A$6:$AN$146</definedName>
    <definedName name="Z_4C652A6D_672F_4FFA_BBBA_6A97A7855C99_.wvu.FilterData" localSheetId="66" hidden="1">'75 лет (01.01.20)'!$A$5:$AN$81</definedName>
    <definedName name="Z_4C652A6D_672F_4FFA_BBBA_6A97A7855C99_.wvu.FilterData" localSheetId="31" hidden="1">'б-т 922 ПГ (01.01.20) '!$A$5:$AN$145</definedName>
    <definedName name="Z_4C652A6D_672F_4FFA_BBBA_6A97A7855C99_.wvu.FilterData" localSheetId="40" hidden="1">'б-т 955 ПГ (01.01.20)'!$A$5:$AN$145</definedName>
    <definedName name="Z_4C652A6D_672F_4FFA_BBBA_6A97A7855C99_.wvu.FilterData" localSheetId="43" hidden="1">'б-т 963 ПГ (01.01.20)'!$A$5:$AN$145</definedName>
    <definedName name="Z_4C652A6D_672F_4FFA_BBBA_6A97A7855C99_.wvu.FilterData" localSheetId="46" hidden="1">'б-т 971 ПГ (01.01.20)'!$A$5:$AN$145</definedName>
    <definedName name="Z_4C652A6D_672F_4FFA_BBBA_6A97A7855C99_.wvu.FilterData" localSheetId="48" hidden="1">'б-т 981 ПГ (01.01.20)'!$A$6:$AN$146</definedName>
    <definedName name="Z_4DA84C0E_2DC6_4AF7_A58B_26AF454D67FD_.wvu.FilterData" localSheetId="66" hidden="1">'75 лет (01.01.20)'!$A$5:$AN$81</definedName>
    <definedName name="Z_4DA84C0E_2DC6_4AF7_A58B_26AF454D67FD_.wvu.FilterData" localSheetId="31" hidden="1">'б-т 922 ПГ (01.01.20) '!$A$5:$AN$145</definedName>
    <definedName name="Z_4DA84C0E_2DC6_4AF7_A58B_26AF454D67FD_.wvu.FilterData" localSheetId="40" hidden="1">'б-т 955 ПГ (01.01.20)'!$A$5:$AN$145</definedName>
    <definedName name="Z_4DA84C0E_2DC6_4AF7_A58B_26AF454D67FD_.wvu.FilterData" localSheetId="43" hidden="1">'б-т 963 ПГ (01.01.20)'!$A$5:$AN$145</definedName>
    <definedName name="Z_4DA84C0E_2DC6_4AF7_A58B_26AF454D67FD_.wvu.FilterData" localSheetId="46" hidden="1">'б-т 971 ПГ (01.01.20)'!$A$5:$AN$145</definedName>
    <definedName name="Z_4DA84C0E_2DC6_4AF7_A58B_26AF454D67FD_.wvu.FilterData" localSheetId="48" hidden="1">'б-т 981 ПГ (01.01.20)'!$A$6:$AN$146</definedName>
    <definedName name="Z_4FB876CB_C66B_4BD5_971D_C45BB7C41271_.wvu.Cols" localSheetId="45" hidden="1">'б -т 963 Стим-е (01.01.20)'!$D:$G,'б -т 963 Стим-е (01.01.20)'!$AE:$AH,'б -т 963 Стим-е (01.01.20)'!$JN:$JO,'б -т 963 Стим-е (01.01.20)'!$JQ:$JS,'б -т 963 Стим-е (01.01.20)'!$KA:$KD,'б -т 963 Стим-е (01.01.20)'!$TJ:$TK,'б -т 963 Стим-е (01.01.20)'!$TM:$TO,'б -т 963 Стим-е (01.01.20)'!$TW:$TZ</definedName>
    <definedName name="Z_4FB876CB_C66B_4BD5_971D_C45BB7C41271_.wvu.Cols" localSheetId="42" hidden="1">'б-т 955 Стим-е (01.01.20)'!$D:$G,'б-т 955 Стим-е (01.01.20)'!$AE:$AH,'б-т 955 Стим-е (01.01.20)'!$JN:$JO,'б-т 955 Стим-е (01.01.20)'!$JQ:$JS,'б-т 955 Стим-е (01.01.20)'!$KA:$KD,'б-т 955 Стим-е (01.01.20)'!$TJ:$TK,'б-т 955 Стим-е (01.01.20)'!$TM:$TO,'б-т 955 Стим-е (01.01.20)'!$TW:$TZ</definedName>
    <definedName name="Z_4FB876CB_C66B_4BD5_971D_C45BB7C41271_.wvu.Cols" localSheetId="28" hidden="1">'б-т 966 Стим-е (01.01.20)'!$D:$G,'б-т 966 Стим-е (01.01.20)'!$AE:$AH,'б-т 966 Стим-е (01.01.20)'!$JN:$JO,'б-т 966 Стим-е (01.01.20)'!$JQ:$JS,'б-т 966 Стим-е (01.01.20)'!$KA:$KD,'б-т 966 Стим-е (01.01.20)'!$TJ:$TK,'б-т 966 Стим-е (01.01.20)'!$TM:$TO,'б-т 966 Стим-е (01.01.20)'!$TW:$TZ</definedName>
    <definedName name="Z_4FB876CB_C66B_4BD5_971D_C45BB7C41271_.wvu.Cols" localSheetId="49" hidden="1">'б-т 981 Стим-е (01.01.20)'!$D:$G,'б-т 981 Стим-е (01.01.20)'!$AE:$AH,'б-т 981 Стим-е (01.01.20)'!$JN:$JO,'б-т 981 Стим-е (01.01.20)'!$JQ:$JS,'б-т 981 Стим-е (01.01.20)'!$KA:$KD,'б-т 981 Стим-е (01.01.20)'!$TJ:$TK,'б-т 981 Стим-е (01.01.20)'!$TM:$TO,'б-т 981 Стим-е (01.01.20)'!$TW:$TZ</definedName>
    <definedName name="Z_4FB876CB_C66B_4BD5_971D_C45BB7C41271_.wvu.Cols" localSheetId="85" hidden="1">'внеб 963 (01.01.20)'!$C:$N,'внеб 963 (01.01.20)'!$X:$AA,'внеб 963 (01.01.20)'!$JG:$JH,'внеб 963 (01.01.20)'!$JJ:$JL,'внеб 963 (01.01.20)'!$JT:$JW,'внеб 963 (01.01.20)'!$TC:$TD,'внеб 963 (01.01.20)'!$TF:$TH,'внеб 963 (01.01.20)'!$TP:$TS</definedName>
    <definedName name="Z_4FB876CB_C66B_4BD5_971D_C45BB7C41271_.wvu.Cols" localSheetId="74" hidden="1">'внеб 966 (01.01.20)'!$C:$N,'внеб 966 (01.01.20)'!$X:$AA,'внеб 966 (01.01.20)'!$JG:$JH,'внеб 966 (01.01.20)'!$JJ:$JL,'внеб 966 (01.01.20)'!$JT:$JW,'внеб 966 (01.01.20)'!$TC:$TD,'внеб 966 (01.01.20)'!$TF:$TH,'внеб 966 (01.01.20)'!$TP:$TS</definedName>
    <definedName name="Z_4FB876CB_C66B_4BD5_971D_C45BB7C41271_.wvu.Cols" localSheetId="58" hidden="1">'субс РТ (01.01.20)'!$D:$G,'субс РТ (01.01.20)'!$AE:$AH,'субс РТ (01.01.20)'!$JN:$JO,'субс РТ (01.01.20)'!$JQ:$JS,'субс РТ (01.01.20)'!$KA:$KD,'субс РТ (01.01.20)'!$TJ:$TK,'субс РТ (01.01.20)'!$TM:$TO,'субс РТ (01.01.20)'!$TW:$TZ</definedName>
    <definedName name="Z_4FB876CB_C66B_4BD5_971D_C45BB7C41271_.wvu.FilterData" localSheetId="45" hidden="1">'б -т 963 Стим-е (01.01.20)'!$A$10:$TZ$207</definedName>
    <definedName name="Z_4FB876CB_C66B_4BD5_971D_C45BB7C41271_.wvu.FilterData" localSheetId="41" hidden="1">'б-т 955 наркомания (01.01.20)'!$A$10:$AF$44</definedName>
    <definedName name="Z_4FB876CB_C66B_4BD5_971D_C45BB7C41271_.wvu.FilterData" localSheetId="42" hidden="1">'б-т 955 Стим-е (01.01.20)'!$A$10:$TZ$207</definedName>
    <definedName name="Z_4FB876CB_C66B_4BD5_971D_C45BB7C41271_.wvu.FilterData" localSheetId="44" hidden="1">'б-т 963 Наркомания (01.01.20)'!$A$10:$AF$44</definedName>
    <definedName name="Z_4FB876CB_C66B_4BD5_971D_C45BB7C41271_.wvu.FilterData" localSheetId="28" hidden="1">'б-т 966 Стим-е (01.01.20)'!$A$10:$TZ$207</definedName>
    <definedName name="Z_4FB876CB_C66B_4BD5_971D_C45BB7C41271_.wvu.FilterData" localSheetId="49" hidden="1">'б-т 981 Стим-е (01.01.20)'!$A$12:$TZ$174</definedName>
    <definedName name="Z_4FB876CB_C66B_4BD5_971D_C45BB7C41271_.wvu.FilterData" localSheetId="50" hidden="1">'б-т накомания 981 (01.01.20)'!$A$10:$AF$44</definedName>
    <definedName name="Z_4FB876CB_C66B_4BD5_971D_C45BB7C41271_.wvu.FilterData" localSheetId="85" hidden="1">'внеб 963 (01.01.20)'!$A$9:$TS$10</definedName>
    <definedName name="Z_4FB876CB_C66B_4BD5_971D_C45BB7C41271_.wvu.FilterData" localSheetId="74" hidden="1">'внеб 966 (01.01.20)'!$A$11:$TS$12</definedName>
    <definedName name="Z_4FB876CB_C66B_4BD5_971D_C45BB7C41271_.wvu.FilterData" localSheetId="58" hidden="1">'субс РТ (01.01.20)'!$A$10:$TZ$45</definedName>
    <definedName name="Z_4FB876CB_C66B_4BD5_971D_C45BB7C41271_.wvu.PrintArea" localSheetId="45" hidden="1">'б -т 963 Стим-е (01.01.20)'!$A$1:$Z$221</definedName>
    <definedName name="Z_4FB876CB_C66B_4BD5_971D_C45BB7C41271_.wvu.PrintArea" localSheetId="41" hidden="1">'б-т 955 наркомания (01.01.20)'!$A$1:$Z$44</definedName>
    <definedName name="Z_4FB876CB_C66B_4BD5_971D_C45BB7C41271_.wvu.PrintArea" localSheetId="42" hidden="1">'б-т 955 Стим-е (01.01.20)'!$A$1:$Z$221</definedName>
    <definedName name="Z_4FB876CB_C66B_4BD5_971D_C45BB7C41271_.wvu.PrintArea" localSheetId="44" hidden="1">'б-т 963 Наркомания (01.01.20)'!$A$1:$Z$44</definedName>
    <definedName name="Z_4FB876CB_C66B_4BD5_971D_C45BB7C41271_.wvu.PrintArea" localSheetId="28" hidden="1">'б-т 966 Стим-е (01.01.20)'!$A$1:$Z$221</definedName>
    <definedName name="Z_4FB876CB_C66B_4BD5_971D_C45BB7C41271_.wvu.PrintArea" localSheetId="49" hidden="1">'б-т 981 Стим-е (01.01.20)'!$A$1:$Z$188</definedName>
    <definedName name="Z_4FB876CB_C66B_4BD5_971D_C45BB7C41271_.wvu.PrintArea" localSheetId="50" hidden="1">'б-т накомания 981 (01.01.20)'!$A$1:$Z$44</definedName>
    <definedName name="Z_4FB876CB_C66B_4BD5_971D_C45BB7C41271_.wvu.PrintArea" localSheetId="85" hidden="1">'внеб 963 (01.01.20)'!$A$1:$S$10</definedName>
    <definedName name="Z_4FB876CB_C66B_4BD5_971D_C45BB7C41271_.wvu.PrintArea" localSheetId="74" hidden="1">'внеб 966 (01.01.20)'!$A$1:$S$12</definedName>
    <definedName name="Z_4FB876CB_C66B_4BD5_971D_C45BB7C41271_.wvu.PrintArea" localSheetId="58" hidden="1">'субс РТ (01.01.20)'!$A$1:$Z$53</definedName>
    <definedName name="Z_4FB876CB_C66B_4BD5_971D_C45BB7C41271_.wvu.PrintTitles" localSheetId="45" hidden="1">'б -т 963 Стим-е (01.01.20)'!$5:$10</definedName>
    <definedName name="Z_4FB876CB_C66B_4BD5_971D_C45BB7C41271_.wvu.PrintTitles" localSheetId="41" hidden="1">'б-т 955 наркомания (01.01.20)'!$7:$9</definedName>
    <definedName name="Z_4FB876CB_C66B_4BD5_971D_C45BB7C41271_.wvu.PrintTitles" localSheetId="42" hidden="1">'б-т 955 Стим-е (01.01.20)'!$5:$10</definedName>
    <definedName name="Z_4FB876CB_C66B_4BD5_971D_C45BB7C41271_.wvu.PrintTitles" localSheetId="44" hidden="1">'б-т 963 Наркомания (01.01.20)'!$7:$9</definedName>
    <definedName name="Z_4FB876CB_C66B_4BD5_971D_C45BB7C41271_.wvu.PrintTitles" localSheetId="28" hidden="1">'б-т 966 Стим-е (01.01.20)'!$5:$10</definedName>
    <definedName name="Z_4FB876CB_C66B_4BD5_971D_C45BB7C41271_.wvu.PrintTitles" localSheetId="49" hidden="1">'б-т 981 Стим-е (01.01.20)'!$7:$12</definedName>
    <definedName name="Z_4FB876CB_C66B_4BD5_971D_C45BB7C41271_.wvu.PrintTitles" localSheetId="50" hidden="1">'б-т накомания 981 (01.01.20)'!$7:$9</definedName>
    <definedName name="Z_4FB876CB_C66B_4BD5_971D_C45BB7C41271_.wvu.PrintTitles" localSheetId="85" hidden="1">'внеб 963 (01.01.20)'!$5:$9</definedName>
    <definedName name="Z_4FB876CB_C66B_4BD5_971D_C45BB7C41271_.wvu.PrintTitles" localSheetId="74" hidden="1">'внеб 966 (01.01.20)'!$7:$11</definedName>
    <definedName name="Z_4FB876CB_C66B_4BD5_971D_C45BB7C41271_.wvu.PrintTitles" localSheetId="58" hidden="1">'субс РТ (01.01.20)'!$5:$10</definedName>
    <definedName name="Z_4FB876CB_C66B_4BD5_971D_C45BB7C41271_.wvu.Rows" localSheetId="45" hidden="1">'б -т 963 Стим-е (01.01.20)'!#REF!</definedName>
    <definedName name="Z_4FB876CB_C66B_4BD5_971D_C45BB7C41271_.wvu.Rows" localSheetId="41" hidden="1">'б-т 955 наркомания (01.01.20)'!$1:$6</definedName>
    <definedName name="Z_4FB876CB_C66B_4BD5_971D_C45BB7C41271_.wvu.Rows" localSheetId="42" hidden="1">'б-т 955 Стим-е (01.01.20)'!#REF!</definedName>
    <definedName name="Z_4FB876CB_C66B_4BD5_971D_C45BB7C41271_.wvu.Rows" localSheetId="44" hidden="1">'б-т 963 Наркомания (01.01.20)'!$1:$6</definedName>
    <definedName name="Z_4FB876CB_C66B_4BD5_971D_C45BB7C41271_.wvu.Rows" localSheetId="28" hidden="1">'б-т 966 Стим-е (01.01.20)'!#REF!</definedName>
    <definedName name="Z_4FB876CB_C66B_4BD5_971D_C45BB7C41271_.wvu.Rows" localSheetId="49" hidden="1">'б-т 981 Стим-е (01.01.20)'!#REF!</definedName>
    <definedName name="Z_4FB876CB_C66B_4BD5_971D_C45BB7C41271_.wvu.Rows" localSheetId="50" hidden="1">'б-т накомания 981 (01.01.20)'!$1:$6</definedName>
    <definedName name="Z_4FB876CB_C66B_4BD5_971D_C45BB7C41271_.wvu.Rows" localSheetId="85" hidden="1">'внеб 963 (01.01.20)'!#REF!</definedName>
    <definedName name="Z_4FB876CB_C66B_4BD5_971D_C45BB7C41271_.wvu.Rows" localSheetId="74" hidden="1">'внеб 966 (01.01.20)'!#REF!</definedName>
    <definedName name="Z_4FB876CB_C66B_4BD5_971D_C45BB7C41271_.wvu.Rows" localSheetId="58" hidden="1">'субс РТ (01.01.20)'!#REF!</definedName>
    <definedName name="Z_530856E5_7347_40B7_BE98_1E446B8E35E2_.wvu.Cols" localSheetId="45" hidden="1">'б -т 963 Стим-е (01.01.20)'!$D:$G,'б -т 963 Стим-е (01.01.20)'!$V:$Y,'б -т 963 Стим-е (01.01.20)'!$AE:$AH,'б -т 963 Стим-е (01.01.20)'!$JN:$JO,'б -т 963 Стим-е (01.01.20)'!$JQ:$JS,'б -т 963 Стим-е (01.01.20)'!$KA:$KD,'б -т 963 Стим-е (01.01.20)'!$TJ:$TK,'б -т 963 Стим-е (01.01.20)'!$TM:$TO,'б -т 963 Стим-е (01.01.20)'!$TW:$TZ</definedName>
    <definedName name="Z_530856E5_7347_40B7_BE98_1E446B8E35E2_.wvu.Cols" localSheetId="41" hidden="1">'б-т 955 наркомания (01.01.20)'!$E:$H</definedName>
    <definedName name="Z_530856E5_7347_40B7_BE98_1E446B8E35E2_.wvu.Cols" localSheetId="42" hidden="1">'б-т 955 Стим-е (01.01.20)'!$D:$G,'б-т 955 Стим-е (01.01.20)'!$V:$Y,'б-т 955 Стим-е (01.01.20)'!$AE:$AH,'б-т 955 Стим-е (01.01.20)'!$JN:$JO,'б-т 955 Стим-е (01.01.20)'!$JQ:$JS,'б-т 955 Стим-е (01.01.20)'!$KA:$KD,'б-т 955 Стим-е (01.01.20)'!$TJ:$TK,'б-т 955 Стим-е (01.01.20)'!$TM:$TO,'б-т 955 Стим-е (01.01.20)'!$TW:$TZ</definedName>
    <definedName name="Z_530856E5_7347_40B7_BE98_1E446B8E35E2_.wvu.Cols" localSheetId="44" hidden="1">'б-т 963 Наркомания (01.01.20)'!$E:$H</definedName>
    <definedName name="Z_530856E5_7347_40B7_BE98_1E446B8E35E2_.wvu.Cols" localSheetId="28" hidden="1">'б-т 966 Стим-е (01.01.20)'!$D:$G,'б-т 966 Стим-е (01.01.20)'!$V:$Y,'б-т 966 Стим-е (01.01.20)'!$AE:$AH,'б-т 966 Стим-е (01.01.20)'!$JN:$JO,'б-т 966 Стим-е (01.01.20)'!$JQ:$JS,'б-т 966 Стим-е (01.01.20)'!$KA:$KD,'б-т 966 Стим-е (01.01.20)'!$TJ:$TK,'б-т 966 Стим-е (01.01.20)'!$TM:$TO,'б-т 966 Стим-е (01.01.20)'!$TW:$TZ</definedName>
    <definedName name="Z_530856E5_7347_40B7_BE98_1E446B8E35E2_.wvu.Cols" localSheetId="49" hidden="1">'б-т 981 Стим-е (01.01.20)'!$D:$G,'б-т 981 Стим-е (01.01.20)'!$V:$Y,'б-т 981 Стим-е (01.01.20)'!$AE:$AH,'б-т 981 Стим-е (01.01.20)'!$JN:$JO,'б-т 981 Стим-е (01.01.20)'!$JQ:$JS,'б-т 981 Стим-е (01.01.20)'!$KA:$KD,'б-т 981 Стим-е (01.01.20)'!$TJ:$TK,'б-т 981 Стим-е (01.01.20)'!$TM:$TO,'б-т 981 Стим-е (01.01.20)'!$TW:$TZ</definedName>
    <definedName name="Z_530856E5_7347_40B7_BE98_1E446B8E35E2_.wvu.Cols" localSheetId="50" hidden="1">'б-т накомания 981 (01.01.20)'!$E:$H</definedName>
    <definedName name="Z_530856E5_7347_40B7_BE98_1E446B8E35E2_.wvu.Cols" localSheetId="85" hidden="1">'внеб 963 (01.01.20)'!$C:$N,'внеб 963 (01.01.20)'!$R:$S,'внеб 963 (01.01.20)'!$X:$AA,'внеб 963 (01.01.20)'!$JG:$JH,'внеб 963 (01.01.20)'!$JJ:$JL,'внеб 963 (01.01.20)'!$JT:$JW,'внеб 963 (01.01.20)'!$TC:$TD,'внеб 963 (01.01.20)'!$TF:$TH,'внеб 963 (01.01.20)'!$TP:$TS</definedName>
    <definedName name="Z_530856E5_7347_40B7_BE98_1E446B8E35E2_.wvu.Cols" localSheetId="74" hidden="1">'внеб 966 (01.01.20)'!$C:$N,'внеб 966 (01.01.20)'!$R:$S,'внеб 966 (01.01.20)'!$X:$AA,'внеб 966 (01.01.20)'!$JG:$JH,'внеб 966 (01.01.20)'!$JJ:$JL,'внеб 966 (01.01.20)'!$JT:$JW,'внеб 966 (01.01.20)'!$TC:$TD,'внеб 966 (01.01.20)'!$TF:$TH,'внеб 966 (01.01.20)'!$TP:$TS</definedName>
    <definedName name="Z_530856E5_7347_40B7_BE98_1E446B8E35E2_.wvu.Cols" localSheetId="58" hidden="1">'субс РТ (01.01.20)'!$D:$G,'субс РТ (01.01.20)'!$V:$Y,'субс РТ (01.01.20)'!$AE:$AH,'субс РТ (01.01.20)'!$JN:$JO,'субс РТ (01.01.20)'!$JQ:$JS,'субс РТ (01.01.20)'!$KA:$KD,'субс РТ (01.01.20)'!$TJ:$TK,'субс РТ (01.01.20)'!$TM:$TO,'субс РТ (01.01.20)'!$TW:$TZ</definedName>
    <definedName name="Z_530856E5_7347_40B7_BE98_1E446B8E35E2_.wvu.FilterData" localSheetId="45" hidden="1">'б -т 963 Стим-е (01.01.20)'!$A$10:$TZ$207</definedName>
    <definedName name="Z_530856E5_7347_40B7_BE98_1E446B8E35E2_.wvu.FilterData" localSheetId="41" hidden="1">'б-т 955 наркомания (01.01.20)'!$A$10:$AF$44</definedName>
    <definedName name="Z_530856E5_7347_40B7_BE98_1E446B8E35E2_.wvu.FilterData" localSheetId="42" hidden="1">'б-т 955 Стим-е (01.01.20)'!$A$10:$TZ$207</definedName>
    <definedName name="Z_530856E5_7347_40B7_BE98_1E446B8E35E2_.wvu.FilterData" localSheetId="44" hidden="1">'б-т 963 Наркомания (01.01.20)'!$A$10:$AF$44</definedName>
    <definedName name="Z_530856E5_7347_40B7_BE98_1E446B8E35E2_.wvu.FilterData" localSheetId="28" hidden="1">'б-т 966 Стим-е (01.01.20)'!$A$10:$TZ$207</definedName>
    <definedName name="Z_530856E5_7347_40B7_BE98_1E446B8E35E2_.wvu.FilterData" localSheetId="49" hidden="1">'б-т 981 Стим-е (01.01.20)'!$A$12:$TZ$174</definedName>
    <definedName name="Z_530856E5_7347_40B7_BE98_1E446B8E35E2_.wvu.FilterData" localSheetId="50" hidden="1">'б-т накомания 981 (01.01.20)'!$A$10:$AF$44</definedName>
    <definedName name="Z_530856E5_7347_40B7_BE98_1E446B8E35E2_.wvu.FilterData" localSheetId="85" hidden="1">'внеб 963 (01.01.20)'!$A$9:$TS$10</definedName>
    <definedName name="Z_530856E5_7347_40B7_BE98_1E446B8E35E2_.wvu.FilterData" localSheetId="74" hidden="1">'внеб 966 (01.01.20)'!$A$11:$TS$12</definedName>
    <definedName name="Z_530856E5_7347_40B7_BE98_1E446B8E35E2_.wvu.FilterData" localSheetId="58" hidden="1">'субс РТ (01.01.20)'!$A$10:$TZ$45</definedName>
    <definedName name="Z_530856E5_7347_40B7_BE98_1E446B8E35E2_.wvu.PrintArea" localSheetId="45" hidden="1">'б -т 963 Стим-е (01.01.20)'!$A$1:$Z$221</definedName>
    <definedName name="Z_530856E5_7347_40B7_BE98_1E446B8E35E2_.wvu.PrintArea" localSheetId="41" hidden="1">'б-т 955 наркомания (01.01.20)'!$A$1:$Z$44</definedName>
    <definedName name="Z_530856E5_7347_40B7_BE98_1E446B8E35E2_.wvu.PrintArea" localSheetId="42" hidden="1">'б-т 955 Стим-е (01.01.20)'!$A$1:$Z$221</definedName>
    <definedName name="Z_530856E5_7347_40B7_BE98_1E446B8E35E2_.wvu.PrintArea" localSheetId="44" hidden="1">'б-т 963 Наркомания (01.01.20)'!$A$1:$Z$44</definedName>
    <definedName name="Z_530856E5_7347_40B7_BE98_1E446B8E35E2_.wvu.PrintArea" localSheetId="28" hidden="1">'б-т 966 Стим-е (01.01.20)'!$A$1:$Z$221</definedName>
    <definedName name="Z_530856E5_7347_40B7_BE98_1E446B8E35E2_.wvu.PrintArea" localSheetId="49" hidden="1">'б-т 981 Стим-е (01.01.20)'!$A$1:$Z$188</definedName>
    <definedName name="Z_530856E5_7347_40B7_BE98_1E446B8E35E2_.wvu.PrintArea" localSheetId="50" hidden="1">'б-т накомания 981 (01.01.20)'!$A$1:$Z$44</definedName>
    <definedName name="Z_530856E5_7347_40B7_BE98_1E446B8E35E2_.wvu.PrintArea" localSheetId="85" hidden="1">'внеб 963 (01.01.20)'!$A$1:$S$10</definedName>
    <definedName name="Z_530856E5_7347_40B7_BE98_1E446B8E35E2_.wvu.PrintArea" localSheetId="74" hidden="1">'внеб 966 (01.01.20)'!$A$1:$S$12</definedName>
    <definedName name="Z_530856E5_7347_40B7_BE98_1E446B8E35E2_.wvu.PrintArea" localSheetId="58" hidden="1">'субс РТ (01.01.20)'!$A$1:$Z$53</definedName>
    <definedName name="Z_530856E5_7347_40B7_BE98_1E446B8E35E2_.wvu.PrintTitles" localSheetId="45" hidden="1">'б -т 963 Стим-е (01.01.20)'!$5:$10</definedName>
    <definedName name="Z_530856E5_7347_40B7_BE98_1E446B8E35E2_.wvu.PrintTitles" localSheetId="41" hidden="1">'б-т 955 наркомания (01.01.20)'!$7:$9</definedName>
    <definedName name="Z_530856E5_7347_40B7_BE98_1E446B8E35E2_.wvu.PrintTitles" localSheetId="42" hidden="1">'б-т 955 Стим-е (01.01.20)'!$5:$10</definedName>
    <definedName name="Z_530856E5_7347_40B7_BE98_1E446B8E35E2_.wvu.PrintTitles" localSheetId="44" hidden="1">'б-т 963 Наркомания (01.01.20)'!$7:$9</definedName>
    <definedName name="Z_530856E5_7347_40B7_BE98_1E446B8E35E2_.wvu.PrintTitles" localSheetId="28" hidden="1">'б-т 966 Стим-е (01.01.20)'!$5:$10</definedName>
    <definedName name="Z_530856E5_7347_40B7_BE98_1E446B8E35E2_.wvu.PrintTitles" localSheetId="49" hidden="1">'б-т 981 Стим-е (01.01.20)'!$7:$12</definedName>
    <definedName name="Z_530856E5_7347_40B7_BE98_1E446B8E35E2_.wvu.PrintTitles" localSheetId="50" hidden="1">'б-т накомания 981 (01.01.20)'!$7:$9</definedName>
    <definedName name="Z_530856E5_7347_40B7_BE98_1E446B8E35E2_.wvu.PrintTitles" localSheetId="85" hidden="1">'внеб 963 (01.01.20)'!$5:$9</definedName>
    <definedName name="Z_530856E5_7347_40B7_BE98_1E446B8E35E2_.wvu.PrintTitles" localSheetId="74" hidden="1">'внеб 966 (01.01.20)'!$7:$11</definedName>
    <definedName name="Z_530856E5_7347_40B7_BE98_1E446B8E35E2_.wvu.PrintTitles" localSheetId="58" hidden="1">'субс РТ (01.01.20)'!$5:$10</definedName>
    <definedName name="Z_530856E5_7347_40B7_BE98_1E446B8E35E2_.wvu.Rows" localSheetId="45" hidden="1">'б -т 963 Стим-е (01.01.20)'!$222:$250</definedName>
    <definedName name="Z_530856E5_7347_40B7_BE98_1E446B8E35E2_.wvu.Rows" localSheetId="41" hidden="1">'б-т 955 наркомания (01.01.20)'!$1:$2</definedName>
    <definedName name="Z_530856E5_7347_40B7_BE98_1E446B8E35E2_.wvu.Rows" localSheetId="42" hidden="1">'б-т 955 Стим-е (01.01.20)'!$222:$250</definedName>
    <definedName name="Z_530856E5_7347_40B7_BE98_1E446B8E35E2_.wvu.Rows" localSheetId="44" hidden="1">'б-т 963 Наркомания (01.01.20)'!$1:$2</definedName>
    <definedName name="Z_530856E5_7347_40B7_BE98_1E446B8E35E2_.wvu.Rows" localSheetId="28" hidden="1">'б-т 966 Стим-е (01.01.20)'!$222:$250</definedName>
    <definedName name="Z_530856E5_7347_40B7_BE98_1E446B8E35E2_.wvu.Rows" localSheetId="49" hidden="1">'б-т 981 Стим-е (01.01.20)'!$189:$217</definedName>
    <definedName name="Z_530856E5_7347_40B7_BE98_1E446B8E35E2_.wvu.Rows" localSheetId="50" hidden="1">'б-т накомания 981 (01.01.20)'!$1:$2</definedName>
    <definedName name="Z_530856E5_7347_40B7_BE98_1E446B8E35E2_.wvu.Rows" localSheetId="85" hidden="1">'внеб 963 (01.01.20)'!#REF!</definedName>
    <definedName name="Z_530856E5_7347_40B7_BE98_1E446B8E35E2_.wvu.Rows" localSheetId="74" hidden="1">'внеб 966 (01.01.20)'!#REF!</definedName>
    <definedName name="Z_530856E5_7347_40B7_BE98_1E446B8E35E2_.wvu.Rows" localSheetId="58" hidden="1">'субс РТ (01.01.20)'!$54:$82</definedName>
    <definedName name="Z_56D00E3B_FAF8_4ACE_891E_E66674335E83_.wvu.FilterData" localSheetId="66" hidden="1">'75 лет (01.01.20)'!$A$5:$AN$81</definedName>
    <definedName name="Z_56D00E3B_FAF8_4ACE_891E_E66674335E83_.wvu.FilterData" localSheetId="31" hidden="1">'б-т 922 ПГ (01.01.20) '!$A$5:$AN$145</definedName>
    <definedName name="Z_56D00E3B_FAF8_4ACE_891E_E66674335E83_.wvu.FilterData" localSheetId="40" hidden="1">'б-т 955 ПГ (01.01.20)'!$A$5:$AN$145</definedName>
    <definedName name="Z_56D00E3B_FAF8_4ACE_891E_E66674335E83_.wvu.FilterData" localSheetId="43" hidden="1">'б-т 963 ПГ (01.01.20)'!$A$5:$AN$145</definedName>
    <definedName name="Z_56D00E3B_FAF8_4ACE_891E_E66674335E83_.wvu.FilterData" localSheetId="46" hidden="1">'б-т 971 ПГ (01.01.20)'!$A$5:$AN$145</definedName>
    <definedName name="Z_56D00E3B_FAF8_4ACE_891E_E66674335E83_.wvu.FilterData" localSheetId="48" hidden="1">'б-т 981 ПГ (01.01.20)'!$A$6:$AN$146</definedName>
    <definedName name="Z_5A12272B_35CD_4AF1_9727_D4510AA76D90_.wvu.FilterData" localSheetId="66" hidden="1">'75 лет (01.01.20)'!$A$5:$AN$81</definedName>
    <definedName name="Z_5A12272B_35CD_4AF1_9727_D4510AA76D90_.wvu.FilterData" localSheetId="31" hidden="1">'б-т 922 ПГ (01.01.20) '!$A$5:$AN$145</definedName>
    <definedName name="Z_5A12272B_35CD_4AF1_9727_D4510AA76D90_.wvu.FilterData" localSheetId="40" hidden="1">'б-т 955 ПГ (01.01.20)'!$A$5:$AN$145</definedName>
    <definedName name="Z_5A12272B_35CD_4AF1_9727_D4510AA76D90_.wvu.FilterData" localSheetId="43" hidden="1">'б-т 963 ПГ (01.01.20)'!$A$5:$AN$145</definedName>
    <definedName name="Z_5A12272B_35CD_4AF1_9727_D4510AA76D90_.wvu.FilterData" localSheetId="46" hidden="1">'б-т 971 ПГ (01.01.20)'!$A$5:$AN$145</definedName>
    <definedName name="Z_5A12272B_35CD_4AF1_9727_D4510AA76D90_.wvu.FilterData" localSheetId="48" hidden="1">'б-т 981 ПГ (01.01.20)'!$A$6:$AN$146</definedName>
    <definedName name="Z_5BAB57E1_C098_4B9D_B010_BAD3AC5D8D4F_.wvu.FilterData" localSheetId="66" hidden="1">'75 лет (01.01.20)'!$A$5:$AN$81</definedName>
    <definedName name="Z_5BAB57E1_C098_4B9D_B010_BAD3AC5D8D4F_.wvu.FilterData" localSheetId="31" hidden="1">'б-т 922 ПГ (01.01.20) '!$A$5:$AN$145</definedName>
    <definedName name="Z_5BAB57E1_C098_4B9D_B010_BAD3AC5D8D4F_.wvu.FilterData" localSheetId="40" hidden="1">'б-т 955 ПГ (01.01.20)'!$A$5:$AN$145</definedName>
    <definedName name="Z_5BAB57E1_C098_4B9D_B010_BAD3AC5D8D4F_.wvu.FilterData" localSheetId="43" hidden="1">'б-т 963 ПГ (01.01.20)'!$A$5:$AN$145</definedName>
    <definedName name="Z_5BAB57E1_C098_4B9D_B010_BAD3AC5D8D4F_.wvu.FilterData" localSheetId="46" hidden="1">'б-т 971 ПГ (01.01.20)'!$A$5:$AN$145</definedName>
    <definedName name="Z_5BAB57E1_C098_4B9D_B010_BAD3AC5D8D4F_.wvu.FilterData" localSheetId="48" hidden="1">'б-т 981 ПГ (01.01.20)'!$A$6:$AN$146</definedName>
    <definedName name="Z_5D7E3D0F_5C4A_4756_9DB2_60515F9B239F_.wvu.FilterData" localSheetId="45" hidden="1">'б -т 963 Стим-е (01.01.20)'!$A$10:$TZ$207</definedName>
    <definedName name="Z_5D7E3D0F_5C4A_4756_9DB2_60515F9B239F_.wvu.FilterData" localSheetId="42" hidden="1">'б-т 955 Стим-е (01.01.20)'!$A$10:$TZ$207</definedName>
    <definedName name="Z_5D7E3D0F_5C4A_4756_9DB2_60515F9B239F_.wvu.FilterData" localSheetId="28" hidden="1">'б-т 966 Стим-е (01.01.20)'!$A$10:$TZ$207</definedName>
    <definedName name="Z_5D7E3D0F_5C4A_4756_9DB2_60515F9B239F_.wvu.FilterData" localSheetId="49" hidden="1">'б-т 981 Стим-е (01.01.20)'!$A$12:$TZ$174</definedName>
    <definedName name="Z_5D7E3D0F_5C4A_4756_9DB2_60515F9B239F_.wvu.FilterData" localSheetId="58" hidden="1">'субс РТ (01.01.20)'!$A$10:$TZ$45</definedName>
    <definedName name="Z_5EF2A5EC_A347_42E1_B4A8_EDD2BD88CFD3_.wvu.FilterData" localSheetId="66" hidden="1">'75 лет (01.01.20)'!$A$5:$AN$81</definedName>
    <definedName name="Z_5EF2A5EC_A347_42E1_B4A8_EDD2BD88CFD3_.wvu.FilterData" localSheetId="31" hidden="1">'б-т 922 ПГ (01.01.20) '!$A$5:$AN$416</definedName>
    <definedName name="Z_5EF2A5EC_A347_42E1_B4A8_EDD2BD88CFD3_.wvu.FilterData" localSheetId="40" hidden="1">'б-т 955 ПГ (01.01.20)'!$A$5:$AN$416</definedName>
    <definedName name="Z_5EF2A5EC_A347_42E1_B4A8_EDD2BD88CFD3_.wvu.FilterData" localSheetId="43" hidden="1">'б-т 963 ПГ (01.01.20)'!$A$5:$AN$416</definedName>
    <definedName name="Z_5EF2A5EC_A347_42E1_B4A8_EDD2BD88CFD3_.wvu.FilterData" localSheetId="46" hidden="1">'б-т 971 ПГ (01.01.20)'!$A$5:$AN$416</definedName>
    <definedName name="Z_5EF2A5EC_A347_42E1_B4A8_EDD2BD88CFD3_.wvu.FilterData" localSheetId="48" hidden="1">'б-т 981 ПГ (01.01.20)'!$A$6:$AN$417</definedName>
    <definedName name="Z_6326D2A0_C717_4212_A847_ED7B30D8C51B_.wvu.FilterData" localSheetId="45" hidden="1">'б -т 963 Стим-е (01.01.20)'!$A$10:$TZ$207</definedName>
    <definedName name="Z_6326D2A0_C717_4212_A847_ED7B30D8C51B_.wvu.FilterData" localSheetId="42" hidden="1">'б-т 955 Стим-е (01.01.20)'!$A$10:$TZ$207</definedName>
    <definedName name="Z_6326D2A0_C717_4212_A847_ED7B30D8C51B_.wvu.FilterData" localSheetId="28" hidden="1">'б-т 966 Стим-е (01.01.20)'!$A$10:$TZ$207</definedName>
    <definedName name="Z_6326D2A0_C717_4212_A847_ED7B30D8C51B_.wvu.FilterData" localSheetId="49" hidden="1">'б-т 981 Стим-е (01.01.20)'!$A$12:$TZ$174</definedName>
    <definedName name="Z_6326D2A0_C717_4212_A847_ED7B30D8C51B_.wvu.FilterData" localSheetId="58" hidden="1">'субс РТ (01.01.20)'!$A$10:$TZ$45</definedName>
    <definedName name="Z_65BEB20B_946C_498C_AA99_C006A0C01DBF_.wvu.FilterData" localSheetId="45" hidden="1">'б -т 963 Стим-е (01.01.20)'!$A$10:$TZ$207</definedName>
    <definedName name="Z_65BEB20B_946C_498C_AA99_C006A0C01DBF_.wvu.FilterData" localSheetId="42" hidden="1">'б-т 955 Стим-е (01.01.20)'!$A$10:$TZ$207</definedName>
    <definedName name="Z_65BEB20B_946C_498C_AA99_C006A0C01DBF_.wvu.FilterData" localSheetId="28" hidden="1">'б-т 966 Стим-е (01.01.20)'!$A$10:$TZ$207</definedName>
    <definedName name="Z_65BEB20B_946C_498C_AA99_C006A0C01DBF_.wvu.FilterData" localSheetId="49" hidden="1">'б-т 981 Стим-е (01.01.20)'!$A$12:$TZ$174</definedName>
    <definedName name="Z_65BEB20B_946C_498C_AA99_C006A0C01DBF_.wvu.FilterData" localSheetId="58" hidden="1">'субс РТ (01.01.20)'!$A$10:$TZ$45</definedName>
    <definedName name="Z_6A070411_F990_4280_A32B_4DFD3EC3001E_.wvu.FilterData" localSheetId="66" hidden="1">'75 лет (01.01.20)'!$A$5:$AN$81</definedName>
    <definedName name="Z_6A070411_F990_4280_A32B_4DFD3EC3001E_.wvu.FilterData" localSheetId="31" hidden="1">'б-т 922 ПГ (01.01.20) '!$A$5:$AN$145</definedName>
    <definedName name="Z_6A070411_F990_4280_A32B_4DFD3EC3001E_.wvu.FilterData" localSheetId="40" hidden="1">'б-т 955 ПГ (01.01.20)'!$A$5:$AN$145</definedName>
    <definedName name="Z_6A070411_F990_4280_A32B_4DFD3EC3001E_.wvu.FilterData" localSheetId="43" hidden="1">'б-т 963 ПГ (01.01.20)'!$A$5:$AN$145</definedName>
    <definedName name="Z_6A070411_F990_4280_A32B_4DFD3EC3001E_.wvu.FilterData" localSheetId="46" hidden="1">'б-т 971 ПГ (01.01.20)'!$A$5:$AN$145</definedName>
    <definedName name="Z_6A070411_F990_4280_A32B_4DFD3EC3001E_.wvu.FilterData" localSheetId="48" hidden="1">'б-т 981 ПГ (01.01.20)'!$A$6:$AN$146</definedName>
    <definedName name="Z_6D22DA92_DFF2_4603_B03F_4412D00B66BA_.wvu.PrintArea" localSheetId="32" hidden="1">'б-т 925 (01.01.20)'!$A$1:$V$91</definedName>
    <definedName name="Z_6D22DA92_DFF2_4603_B03F_4412D00B66BA_.wvu.PrintTitles" localSheetId="32" hidden="1">'б-т 925 (01.01.20)'!$5:$8</definedName>
    <definedName name="Z_6D54D791_474D_42E8_9DA1_CC4C3B658B07_.wvu.FilterData" localSheetId="66" hidden="1">'75 лет (01.01.20)'!$A$5:$AN$81</definedName>
    <definedName name="Z_6D54D791_474D_42E8_9DA1_CC4C3B658B07_.wvu.FilterData" localSheetId="31" hidden="1">'б-т 922 ПГ (01.01.20) '!$A$5:$AN$145</definedName>
    <definedName name="Z_6D54D791_474D_42E8_9DA1_CC4C3B658B07_.wvu.FilterData" localSheetId="40" hidden="1">'б-т 955 ПГ (01.01.20)'!$A$5:$AN$145</definedName>
    <definedName name="Z_6D54D791_474D_42E8_9DA1_CC4C3B658B07_.wvu.FilterData" localSheetId="43" hidden="1">'б-т 963 ПГ (01.01.20)'!$A$5:$AN$145</definedName>
    <definedName name="Z_6D54D791_474D_42E8_9DA1_CC4C3B658B07_.wvu.FilterData" localSheetId="46" hidden="1">'б-т 971 ПГ (01.01.20)'!$A$5:$AN$145</definedName>
    <definedName name="Z_6D54D791_474D_42E8_9DA1_CC4C3B658B07_.wvu.FilterData" localSheetId="48" hidden="1">'б-т 981 ПГ (01.01.20)'!$A$6:$AN$146</definedName>
    <definedName name="Z_79393A03_60D5_4831_8B56_2937C13B9AC8_.wvu.FilterData" localSheetId="66" hidden="1">'75 лет (01.01.20)'!$A$8:$AN$81</definedName>
    <definedName name="Z_79393A03_60D5_4831_8B56_2937C13B9AC8_.wvu.FilterData" localSheetId="45" hidden="1">'б -т 963 Стим-е (01.01.20)'!$A$7:$XEJ$207</definedName>
    <definedName name="Z_79393A03_60D5_4831_8B56_2937C13B9AC8_.wvu.FilterData" localSheetId="31" hidden="1">'б-т 922 ПГ (01.01.20) '!$A$8:$AN$416</definedName>
    <definedName name="Z_79393A03_60D5_4831_8B56_2937C13B9AC8_.wvu.FilterData" localSheetId="41" hidden="1">'б-т 955 наркомания (01.01.20)'!$A$10:$AF$44</definedName>
    <definedName name="Z_79393A03_60D5_4831_8B56_2937C13B9AC8_.wvu.FilterData" localSheetId="40" hidden="1">'б-т 955 ПГ (01.01.20)'!$A$8:$AN$416</definedName>
    <definedName name="Z_79393A03_60D5_4831_8B56_2937C13B9AC8_.wvu.FilterData" localSheetId="42" hidden="1">'б-т 955 Стим-е (01.01.20)'!$A$7:$XEJ$207</definedName>
    <definedName name="Z_79393A03_60D5_4831_8B56_2937C13B9AC8_.wvu.FilterData" localSheetId="44" hidden="1">'б-т 963 Наркомания (01.01.20)'!$A$10:$AF$44</definedName>
    <definedName name="Z_79393A03_60D5_4831_8B56_2937C13B9AC8_.wvu.FilterData" localSheetId="43" hidden="1">'б-т 963 ПГ (01.01.20)'!$A$8:$AN$416</definedName>
    <definedName name="Z_79393A03_60D5_4831_8B56_2937C13B9AC8_.wvu.FilterData" localSheetId="28" hidden="1">'б-т 966 Стим-е (01.01.20)'!$A$7:$XEJ$207</definedName>
    <definedName name="Z_79393A03_60D5_4831_8B56_2937C13B9AC8_.wvu.FilterData" localSheetId="46" hidden="1">'б-т 971 ПГ (01.01.20)'!$A$8:$AN$416</definedName>
    <definedName name="Z_79393A03_60D5_4831_8B56_2937C13B9AC8_.wvu.FilterData" localSheetId="48" hidden="1">'б-т 981 ПГ (01.01.20)'!$A$9:$AN$417</definedName>
    <definedName name="Z_79393A03_60D5_4831_8B56_2937C13B9AC8_.wvu.FilterData" localSheetId="49" hidden="1">'б-т 981 Стим-е (01.01.20)'!$A$9:$XEJ$174</definedName>
    <definedName name="Z_79393A03_60D5_4831_8B56_2937C13B9AC8_.wvu.FilterData" localSheetId="50" hidden="1">'б-т накомания 981 (01.01.20)'!$A$10:$AF$44</definedName>
    <definedName name="Z_79393A03_60D5_4831_8B56_2937C13B9AC8_.wvu.FilterData" localSheetId="58" hidden="1">'субс РТ (01.01.20)'!$A$7:$XEJ$45</definedName>
    <definedName name="Z_79393A03_60D5_4831_8B56_2937C13B9AC8_.wvu.PrintArea" localSheetId="45" hidden="1">'б -т 963 Стим-е (01.01.20)'!$A$1:$Z$245</definedName>
    <definedName name="Z_79393A03_60D5_4831_8B56_2937C13B9AC8_.wvu.PrintArea" localSheetId="41" hidden="1">'б-т 955 наркомания (01.01.20)'!$A$3:$Z$44</definedName>
    <definedName name="Z_79393A03_60D5_4831_8B56_2937C13B9AC8_.wvu.PrintArea" localSheetId="42" hidden="1">'б-т 955 Стим-е (01.01.20)'!$A$1:$Z$245</definedName>
    <definedName name="Z_79393A03_60D5_4831_8B56_2937C13B9AC8_.wvu.PrintArea" localSheetId="44" hidden="1">'б-т 963 Наркомания (01.01.20)'!$A$3:$Z$44</definedName>
    <definedName name="Z_79393A03_60D5_4831_8B56_2937C13B9AC8_.wvu.PrintArea" localSheetId="28" hidden="1">'б-т 966 Стим-е (01.01.20)'!$A$1:$Z$245</definedName>
    <definedName name="Z_79393A03_60D5_4831_8B56_2937C13B9AC8_.wvu.PrintArea" localSheetId="49" hidden="1">'б-т 981 Стим-е (01.01.20)'!$A$1:$Z$212</definedName>
    <definedName name="Z_79393A03_60D5_4831_8B56_2937C13B9AC8_.wvu.PrintArea" localSheetId="50" hidden="1">'б-т накомания 981 (01.01.20)'!$A$3:$Z$44</definedName>
    <definedName name="Z_79393A03_60D5_4831_8B56_2937C13B9AC8_.wvu.PrintArea" localSheetId="58" hidden="1">'субс РТ (01.01.20)'!$A$1:$Z$77</definedName>
    <definedName name="Z_79393A03_60D5_4831_8B56_2937C13B9AC8_.wvu.PrintTitles" localSheetId="45" hidden="1">'б -т 963 Стим-е (01.01.20)'!$5:$10</definedName>
    <definedName name="Z_79393A03_60D5_4831_8B56_2937C13B9AC8_.wvu.PrintTitles" localSheetId="41" hidden="1">'б-т 955 наркомания (01.01.20)'!$7:$9</definedName>
    <definedName name="Z_79393A03_60D5_4831_8B56_2937C13B9AC8_.wvu.PrintTitles" localSheetId="42" hidden="1">'б-т 955 Стим-е (01.01.20)'!$5:$10</definedName>
    <definedName name="Z_79393A03_60D5_4831_8B56_2937C13B9AC8_.wvu.PrintTitles" localSheetId="44" hidden="1">'б-т 963 Наркомания (01.01.20)'!$7:$9</definedName>
    <definedName name="Z_79393A03_60D5_4831_8B56_2937C13B9AC8_.wvu.PrintTitles" localSheetId="28" hidden="1">'б-т 966 Стим-е (01.01.20)'!$5:$10</definedName>
    <definedName name="Z_79393A03_60D5_4831_8B56_2937C13B9AC8_.wvu.PrintTitles" localSheetId="49" hidden="1">'б-т 981 Стим-е (01.01.20)'!$7:$12</definedName>
    <definedName name="Z_79393A03_60D5_4831_8B56_2937C13B9AC8_.wvu.PrintTitles" localSheetId="50" hidden="1">'б-т накомания 981 (01.01.20)'!$7:$9</definedName>
    <definedName name="Z_79393A03_60D5_4831_8B56_2937C13B9AC8_.wvu.PrintTitles" localSheetId="58" hidden="1">'субс РТ (01.01.20)'!$5:$10</definedName>
    <definedName name="Z_79393A03_60D5_4831_8B56_2937C13B9AC8_.wvu.Rows" localSheetId="45" hidden="1">'б -т 963 Стим-е (01.01.20)'!#REF!</definedName>
    <definedName name="Z_79393A03_60D5_4831_8B56_2937C13B9AC8_.wvu.Rows" localSheetId="41" hidden="1">'б-т 955 наркомания (01.01.20)'!$1:$2</definedName>
    <definedName name="Z_79393A03_60D5_4831_8B56_2937C13B9AC8_.wvu.Rows" localSheetId="42" hidden="1">'б-т 955 Стим-е (01.01.20)'!#REF!</definedName>
    <definedName name="Z_79393A03_60D5_4831_8B56_2937C13B9AC8_.wvu.Rows" localSheetId="44" hidden="1">'б-т 963 Наркомания (01.01.20)'!$1:$2</definedName>
    <definedName name="Z_79393A03_60D5_4831_8B56_2937C13B9AC8_.wvu.Rows" localSheetId="28" hidden="1">'б-т 966 Стим-е (01.01.20)'!#REF!</definedName>
    <definedName name="Z_79393A03_60D5_4831_8B56_2937C13B9AC8_.wvu.Rows" localSheetId="49" hidden="1">'б-т 981 Стим-е (01.01.20)'!#REF!</definedName>
    <definedName name="Z_79393A03_60D5_4831_8B56_2937C13B9AC8_.wvu.Rows" localSheetId="50" hidden="1">'б-т накомания 981 (01.01.20)'!$1:$2</definedName>
    <definedName name="Z_79393A03_60D5_4831_8B56_2937C13B9AC8_.wvu.Rows" localSheetId="58" hidden="1">'субс РТ (01.01.20)'!#REF!</definedName>
    <definedName name="Z_7B1E67F4_0B28_4F87_81F5_EB2716D0D2EB_.wvu.Cols" localSheetId="45" hidden="1">'б -т 963 Стим-е (01.01.20)'!$AE:$AH,'б -т 963 Стим-е (01.01.20)'!$JN:$JO,'б -т 963 Стим-е (01.01.20)'!$JQ:$JS,'б -т 963 Стим-е (01.01.20)'!$KA:$KD,'б -т 963 Стим-е (01.01.20)'!$TJ:$TK,'б -т 963 Стим-е (01.01.20)'!$TM:$TO,'б -т 963 Стим-е (01.01.20)'!$TW:$TZ</definedName>
    <definedName name="Z_7B1E67F4_0B28_4F87_81F5_EB2716D0D2EB_.wvu.Cols" localSheetId="42" hidden="1">'б-т 955 Стим-е (01.01.20)'!$AE:$AH,'б-т 955 Стим-е (01.01.20)'!$JN:$JO,'б-т 955 Стим-е (01.01.20)'!$JQ:$JS,'б-т 955 Стим-е (01.01.20)'!$KA:$KD,'б-т 955 Стим-е (01.01.20)'!$TJ:$TK,'б-т 955 Стим-е (01.01.20)'!$TM:$TO,'б-т 955 Стим-е (01.01.20)'!$TW:$TZ</definedName>
    <definedName name="Z_7B1E67F4_0B28_4F87_81F5_EB2716D0D2EB_.wvu.Cols" localSheetId="28" hidden="1">'б-т 966 Стим-е (01.01.20)'!$AE:$AH,'б-т 966 Стим-е (01.01.20)'!$JN:$JO,'б-т 966 Стим-е (01.01.20)'!$JQ:$JS,'б-т 966 Стим-е (01.01.20)'!$KA:$KD,'б-т 966 Стим-е (01.01.20)'!$TJ:$TK,'б-т 966 Стим-е (01.01.20)'!$TM:$TO,'б-т 966 Стим-е (01.01.20)'!$TW:$TZ</definedName>
    <definedName name="Z_7B1E67F4_0B28_4F87_81F5_EB2716D0D2EB_.wvu.Cols" localSheetId="49" hidden="1">'б-т 981 Стим-е (01.01.20)'!$AE:$AH,'б-т 981 Стим-е (01.01.20)'!$JN:$JO,'б-т 981 Стим-е (01.01.20)'!$JQ:$JS,'б-т 981 Стим-е (01.01.20)'!$KA:$KD,'б-т 981 Стим-е (01.01.20)'!$TJ:$TK,'б-т 981 Стим-е (01.01.20)'!$TM:$TO,'б-т 981 Стим-е (01.01.20)'!$TW:$TZ</definedName>
    <definedName name="Z_7B1E67F4_0B28_4F87_81F5_EB2716D0D2EB_.wvu.Cols" localSheetId="85" hidden="1">'внеб 963 (01.01.20)'!$X:$AA,'внеб 963 (01.01.20)'!$JG:$JH,'внеб 963 (01.01.20)'!$JJ:$JL,'внеб 963 (01.01.20)'!$JT:$JW,'внеб 963 (01.01.20)'!$TC:$TD,'внеб 963 (01.01.20)'!$TF:$TH,'внеб 963 (01.01.20)'!$TP:$TS</definedName>
    <definedName name="Z_7B1E67F4_0B28_4F87_81F5_EB2716D0D2EB_.wvu.Cols" localSheetId="74" hidden="1">'внеб 966 (01.01.20)'!$X:$AA,'внеб 966 (01.01.20)'!$JG:$JH,'внеб 966 (01.01.20)'!$JJ:$JL,'внеб 966 (01.01.20)'!$JT:$JW,'внеб 966 (01.01.20)'!$TC:$TD,'внеб 966 (01.01.20)'!$TF:$TH,'внеб 966 (01.01.20)'!$TP:$TS</definedName>
    <definedName name="Z_7B1E67F4_0B28_4F87_81F5_EB2716D0D2EB_.wvu.Cols" localSheetId="58" hidden="1">'субс РТ (01.01.20)'!$AE:$AH,'субс РТ (01.01.20)'!$JN:$JO,'субс РТ (01.01.20)'!$JQ:$JS,'субс РТ (01.01.20)'!$KA:$KD,'субс РТ (01.01.20)'!$TJ:$TK,'субс РТ (01.01.20)'!$TM:$TO,'субс РТ (01.01.20)'!$TW:$TZ</definedName>
    <definedName name="Z_7B1E67F4_0B28_4F87_81F5_EB2716D0D2EB_.wvu.FilterData" localSheetId="45" hidden="1">'б -т 963 Стим-е (01.01.20)'!$A$10:$TZ$207</definedName>
    <definedName name="Z_7B1E67F4_0B28_4F87_81F5_EB2716D0D2EB_.wvu.FilterData" localSheetId="41" hidden="1">'б-т 955 наркомания (01.01.20)'!$A$10:$AF$44</definedName>
    <definedName name="Z_7B1E67F4_0B28_4F87_81F5_EB2716D0D2EB_.wvu.FilterData" localSheetId="42" hidden="1">'б-т 955 Стим-е (01.01.20)'!$A$10:$TZ$207</definedName>
    <definedName name="Z_7B1E67F4_0B28_4F87_81F5_EB2716D0D2EB_.wvu.FilterData" localSheetId="44" hidden="1">'б-т 963 Наркомания (01.01.20)'!$A$10:$AF$44</definedName>
    <definedName name="Z_7B1E67F4_0B28_4F87_81F5_EB2716D0D2EB_.wvu.FilterData" localSheetId="28" hidden="1">'б-т 966 Стим-е (01.01.20)'!$A$10:$TZ$207</definedName>
    <definedName name="Z_7B1E67F4_0B28_4F87_81F5_EB2716D0D2EB_.wvu.FilterData" localSheetId="49" hidden="1">'б-т 981 Стим-е (01.01.20)'!$A$12:$TZ$174</definedName>
    <definedName name="Z_7B1E67F4_0B28_4F87_81F5_EB2716D0D2EB_.wvu.FilterData" localSheetId="50" hidden="1">'б-т накомания 981 (01.01.20)'!$A$10:$AF$44</definedName>
    <definedName name="Z_7B1E67F4_0B28_4F87_81F5_EB2716D0D2EB_.wvu.FilterData" localSheetId="85" hidden="1">'внеб 963 (01.01.20)'!$A$9:$TS$10</definedName>
    <definedName name="Z_7B1E67F4_0B28_4F87_81F5_EB2716D0D2EB_.wvu.FilterData" localSheetId="74" hidden="1">'внеб 966 (01.01.20)'!$A$11:$TS$12</definedName>
    <definedName name="Z_7B1E67F4_0B28_4F87_81F5_EB2716D0D2EB_.wvu.FilterData" localSheetId="58" hidden="1">'субс РТ (01.01.20)'!$A$10:$TZ$45</definedName>
    <definedName name="Z_7B1E67F4_0B28_4F87_81F5_EB2716D0D2EB_.wvu.PrintArea" localSheetId="45" hidden="1">'б -т 963 Стим-е (01.01.20)'!$A$5:$Z$221</definedName>
    <definedName name="Z_7B1E67F4_0B28_4F87_81F5_EB2716D0D2EB_.wvu.PrintArea" localSheetId="41" hidden="1">'б-т 955 наркомания (01.01.20)'!$A$1:$Z$44</definedName>
    <definedName name="Z_7B1E67F4_0B28_4F87_81F5_EB2716D0D2EB_.wvu.PrintArea" localSheetId="42" hidden="1">'б-т 955 Стим-е (01.01.20)'!$A$5:$Z$221</definedName>
    <definedName name="Z_7B1E67F4_0B28_4F87_81F5_EB2716D0D2EB_.wvu.PrintArea" localSheetId="44" hidden="1">'б-т 963 Наркомания (01.01.20)'!$A$1:$Z$44</definedName>
    <definedName name="Z_7B1E67F4_0B28_4F87_81F5_EB2716D0D2EB_.wvu.PrintArea" localSheetId="28" hidden="1">'б-т 966 Стим-е (01.01.20)'!$A$5:$Z$221</definedName>
    <definedName name="Z_7B1E67F4_0B28_4F87_81F5_EB2716D0D2EB_.wvu.PrintArea" localSheetId="49" hidden="1">'б-т 981 Стим-е (01.01.20)'!$A$7:$Z$188</definedName>
    <definedName name="Z_7B1E67F4_0B28_4F87_81F5_EB2716D0D2EB_.wvu.PrintArea" localSheetId="50" hidden="1">'б-т накомания 981 (01.01.20)'!$A$1:$Z$44</definedName>
    <definedName name="Z_7B1E67F4_0B28_4F87_81F5_EB2716D0D2EB_.wvu.PrintArea" localSheetId="85" hidden="1">'внеб 963 (01.01.20)'!$A$5:$S$10</definedName>
    <definedName name="Z_7B1E67F4_0B28_4F87_81F5_EB2716D0D2EB_.wvu.PrintArea" localSheetId="74" hidden="1">'внеб 966 (01.01.20)'!$A$7:$S$12</definedName>
    <definedName name="Z_7B1E67F4_0B28_4F87_81F5_EB2716D0D2EB_.wvu.PrintArea" localSheetId="58" hidden="1">'субс РТ (01.01.20)'!$A$5:$Z$53</definedName>
    <definedName name="Z_7B1E67F4_0B28_4F87_81F5_EB2716D0D2EB_.wvu.PrintTitles" localSheetId="45" hidden="1">'б -т 963 Стим-е (01.01.20)'!$5:$10</definedName>
    <definedName name="Z_7B1E67F4_0B28_4F87_81F5_EB2716D0D2EB_.wvu.PrintTitles" localSheetId="41" hidden="1">'б-т 955 наркомания (01.01.20)'!$7:$9</definedName>
    <definedName name="Z_7B1E67F4_0B28_4F87_81F5_EB2716D0D2EB_.wvu.PrintTitles" localSheetId="42" hidden="1">'б-т 955 Стим-е (01.01.20)'!$5:$10</definedName>
    <definedName name="Z_7B1E67F4_0B28_4F87_81F5_EB2716D0D2EB_.wvu.PrintTitles" localSheetId="44" hidden="1">'б-т 963 Наркомания (01.01.20)'!$7:$9</definedName>
    <definedName name="Z_7B1E67F4_0B28_4F87_81F5_EB2716D0D2EB_.wvu.PrintTitles" localSheetId="28" hidden="1">'б-т 966 Стим-е (01.01.20)'!$5:$10</definedName>
    <definedName name="Z_7B1E67F4_0B28_4F87_81F5_EB2716D0D2EB_.wvu.PrintTitles" localSheetId="49" hidden="1">'б-т 981 Стим-е (01.01.20)'!$7:$12</definedName>
    <definedName name="Z_7B1E67F4_0B28_4F87_81F5_EB2716D0D2EB_.wvu.PrintTitles" localSheetId="50" hidden="1">'б-т накомания 981 (01.01.20)'!$7:$9</definedName>
    <definedName name="Z_7B1E67F4_0B28_4F87_81F5_EB2716D0D2EB_.wvu.PrintTitles" localSheetId="85" hidden="1">'внеб 963 (01.01.20)'!$5:$9</definedName>
    <definedName name="Z_7B1E67F4_0B28_4F87_81F5_EB2716D0D2EB_.wvu.PrintTitles" localSheetId="74" hidden="1">'внеб 966 (01.01.20)'!$7:$11</definedName>
    <definedName name="Z_7B1E67F4_0B28_4F87_81F5_EB2716D0D2EB_.wvu.PrintTitles" localSheetId="58" hidden="1">'субс РТ (01.01.20)'!$5:$10</definedName>
    <definedName name="Z_7B1E67F4_0B28_4F87_81F5_EB2716D0D2EB_.wvu.Rows" localSheetId="45" hidden="1">'б -т 963 Стим-е (01.01.20)'!$1:$4</definedName>
    <definedName name="Z_7B1E67F4_0B28_4F87_81F5_EB2716D0D2EB_.wvu.Rows" localSheetId="41" hidden="1">'б-т 955 наркомания (01.01.20)'!$1:$6</definedName>
    <definedName name="Z_7B1E67F4_0B28_4F87_81F5_EB2716D0D2EB_.wvu.Rows" localSheetId="42" hidden="1">'б-т 955 Стим-е (01.01.20)'!$1:$4</definedName>
    <definedName name="Z_7B1E67F4_0B28_4F87_81F5_EB2716D0D2EB_.wvu.Rows" localSheetId="44" hidden="1">'б-т 963 Наркомания (01.01.20)'!$1:$6</definedName>
    <definedName name="Z_7B1E67F4_0B28_4F87_81F5_EB2716D0D2EB_.wvu.Rows" localSheetId="28" hidden="1">'б-т 966 Стим-е (01.01.20)'!$1:$4</definedName>
    <definedName name="Z_7B1E67F4_0B28_4F87_81F5_EB2716D0D2EB_.wvu.Rows" localSheetId="49" hidden="1">'б-т 981 Стим-е (01.01.20)'!$1:$6</definedName>
    <definedName name="Z_7B1E67F4_0B28_4F87_81F5_EB2716D0D2EB_.wvu.Rows" localSheetId="50" hidden="1">'б-т накомания 981 (01.01.20)'!$1:$6</definedName>
    <definedName name="Z_7B1E67F4_0B28_4F87_81F5_EB2716D0D2EB_.wvu.Rows" localSheetId="85" hidden="1">'внеб 963 (01.01.20)'!$1:$4</definedName>
    <definedName name="Z_7B1E67F4_0B28_4F87_81F5_EB2716D0D2EB_.wvu.Rows" localSheetId="74" hidden="1">'внеб 966 (01.01.20)'!$1:$6</definedName>
    <definedName name="Z_7B1E67F4_0B28_4F87_81F5_EB2716D0D2EB_.wvu.Rows" localSheetId="58" hidden="1">'субс РТ (01.01.20)'!$1:$4</definedName>
    <definedName name="Z_7B22EEBD_C73A_435A_BE9F_BA3274CF6A75_.wvu.FilterData" localSheetId="66" hidden="1">'75 лет (01.01.20)'!$A$8:$AN$81</definedName>
    <definedName name="Z_7B22EEBD_C73A_435A_BE9F_BA3274CF6A75_.wvu.FilterData" localSheetId="31" hidden="1">'б-т 922 ПГ (01.01.20) '!$A$8:$AN$145</definedName>
    <definedName name="Z_7B22EEBD_C73A_435A_BE9F_BA3274CF6A75_.wvu.FilterData" localSheetId="40" hidden="1">'б-т 955 ПГ (01.01.20)'!$A$8:$AN$145</definedName>
    <definedName name="Z_7B22EEBD_C73A_435A_BE9F_BA3274CF6A75_.wvu.FilterData" localSheetId="43" hidden="1">'б-т 963 ПГ (01.01.20)'!$A$8:$AN$145</definedName>
    <definedName name="Z_7B22EEBD_C73A_435A_BE9F_BA3274CF6A75_.wvu.FilterData" localSheetId="46" hidden="1">'б-т 971 ПГ (01.01.20)'!$A$8:$AN$145</definedName>
    <definedName name="Z_7B22EEBD_C73A_435A_BE9F_BA3274CF6A75_.wvu.FilterData" localSheetId="48" hidden="1">'б-т 981 ПГ (01.01.20)'!$A$9:$AN$146</definedName>
    <definedName name="Z_7EA02030_CC58_4256_BE81_65C117BCF683_.wvu.FilterData" localSheetId="45" hidden="1">'б -т 963 Стим-е (01.01.20)'!$A$10:$TZ$207</definedName>
    <definedName name="Z_7EA02030_CC58_4256_BE81_65C117BCF683_.wvu.FilterData" localSheetId="42" hidden="1">'б-т 955 Стим-е (01.01.20)'!$A$10:$TZ$207</definedName>
    <definedName name="Z_7EA02030_CC58_4256_BE81_65C117BCF683_.wvu.FilterData" localSheetId="28" hidden="1">'б-т 966 Стим-е (01.01.20)'!$A$10:$TZ$207</definedName>
    <definedName name="Z_7EA02030_CC58_4256_BE81_65C117BCF683_.wvu.FilterData" localSheetId="49" hidden="1">'б-т 981 Стим-е (01.01.20)'!$A$12:$TZ$174</definedName>
    <definedName name="Z_7EA02030_CC58_4256_BE81_65C117BCF683_.wvu.FilterData" localSheetId="58" hidden="1">'субс РТ (01.01.20)'!$A$10:$TZ$45</definedName>
    <definedName name="Z_81CEDFD7_4577_4C85_BA29_BBDDA06722E4_.wvu.FilterData" localSheetId="66" hidden="1">'75 лет (01.01.20)'!$A$5:$AN$81</definedName>
    <definedName name="Z_81CEDFD7_4577_4C85_BA29_BBDDA06722E4_.wvu.FilterData" localSheetId="31" hidden="1">'б-т 922 ПГ (01.01.20) '!$A$5:$AN$145</definedName>
    <definedName name="Z_81CEDFD7_4577_4C85_BA29_BBDDA06722E4_.wvu.FilterData" localSheetId="40" hidden="1">'б-т 955 ПГ (01.01.20)'!$A$5:$AN$145</definedName>
    <definedName name="Z_81CEDFD7_4577_4C85_BA29_BBDDA06722E4_.wvu.FilterData" localSheetId="43" hidden="1">'б-т 963 ПГ (01.01.20)'!$A$5:$AN$145</definedName>
    <definedName name="Z_81CEDFD7_4577_4C85_BA29_BBDDA06722E4_.wvu.FilterData" localSheetId="46" hidden="1">'б-т 971 ПГ (01.01.20)'!$A$5:$AN$145</definedName>
    <definedName name="Z_81CEDFD7_4577_4C85_BA29_BBDDA06722E4_.wvu.FilterData" localSheetId="48" hidden="1">'б-т 981 ПГ (01.01.20)'!$A$6:$AN$146</definedName>
    <definedName name="Z_841B1902_E8C0_43AE_A41A_54A91967F9F9_.wvu.FilterData" localSheetId="45" hidden="1">'б -т 963 Стим-е (01.01.20)'!$A$10:$TZ$207</definedName>
    <definedName name="Z_841B1902_E8C0_43AE_A41A_54A91967F9F9_.wvu.FilterData" localSheetId="42" hidden="1">'б-т 955 Стим-е (01.01.20)'!$A$10:$TZ$207</definedName>
    <definedName name="Z_841B1902_E8C0_43AE_A41A_54A91967F9F9_.wvu.FilterData" localSheetId="28" hidden="1">'б-т 966 Стим-е (01.01.20)'!$A$10:$TZ$207</definedName>
    <definedName name="Z_841B1902_E8C0_43AE_A41A_54A91967F9F9_.wvu.FilterData" localSheetId="49" hidden="1">'б-т 981 Стим-е (01.01.20)'!$A$12:$TZ$174</definedName>
    <definedName name="Z_841B1902_E8C0_43AE_A41A_54A91967F9F9_.wvu.FilterData" localSheetId="58" hidden="1">'субс РТ (01.01.20)'!$A$10:$TZ$45</definedName>
    <definedName name="Z_876A5D35_AA50_4BD1_8FC1_2E12522C1E3C_.wvu.FilterData" localSheetId="45" hidden="1">'б -т 963 Стим-е (01.01.20)'!$A$10:$TZ$207</definedName>
    <definedName name="Z_876A5D35_AA50_4BD1_8FC1_2E12522C1E3C_.wvu.FilterData" localSheetId="42" hidden="1">'б-т 955 Стим-е (01.01.20)'!$A$10:$TZ$207</definedName>
    <definedName name="Z_876A5D35_AA50_4BD1_8FC1_2E12522C1E3C_.wvu.FilterData" localSheetId="28" hidden="1">'б-т 966 Стим-е (01.01.20)'!$A$10:$TZ$207</definedName>
    <definedName name="Z_876A5D35_AA50_4BD1_8FC1_2E12522C1E3C_.wvu.FilterData" localSheetId="49" hidden="1">'б-т 981 Стим-е (01.01.20)'!$A$12:$TZ$174</definedName>
    <definedName name="Z_876A5D35_AA50_4BD1_8FC1_2E12522C1E3C_.wvu.FilterData" localSheetId="58" hidden="1">'субс РТ (01.01.20)'!$A$10:$TZ$45</definedName>
    <definedName name="Z_8D5F6E5C_665E_43AC_9E41_C35AC1FE9741_.wvu.FilterData" localSheetId="66" hidden="1">'75 лет (01.01.20)'!$A$5:$AN$81</definedName>
    <definedName name="Z_8D5F6E5C_665E_43AC_9E41_C35AC1FE9741_.wvu.FilterData" localSheetId="31" hidden="1">'б-т 922 ПГ (01.01.20) '!$A$5:$AN$145</definedName>
    <definedName name="Z_8D5F6E5C_665E_43AC_9E41_C35AC1FE9741_.wvu.FilterData" localSheetId="40" hidden="1">'б-т 955 ПГ (01.01.20)'!$A$5:$AN$145</definedName>
    <definedName name="Z_8D5F6E5C_665E_43AC_9E41_C35AC1FE9741_.wvu.FilterData" localSheetId="43" hidden="1">'б-т 963 ПГ (01.01.20)'!$A$5:$AN$145</definedName>
    <definedName name="Z_8D5F6E5C_665E_43AC_9E41_C35AC1FE9741_.wvu.FilterData" localSheetId="46" hidden="1">'б-т 971 ПГ (01.01.20)'!$A$5:$AN$145</definedName>
    <definedName name="Z_8D5F6E5C_665E_43AC_9E41_C35AC1FE9741_.wvu.FilterData" localSheetId="48" hidden="1">'б-т 981 ПГ (01.01.20)'!$A$6:$AN$146</definedName>
    <definedName name="Z_90161BC0_1A6F_44B2_8616_EE6A34B7DB03_.wvu.FilterData" localSheetId="66" hidden="1">'75 лет (01.01.20)'!$A$5:$AN$81</definedName>
    <definedName name="Z_90161BC0_1A6F_44B2_8616_EE6A34B7DB03_.wvu.FilterData" localSheetId="31" hidden="1">'б-т 922 ПГ (01.01.20) '!$A$5:$AN$416</definedName>
    <definedName name="Z_90161BC0_1A6F_44B2_8616_EE6A34B7DB03_.wvu.FilterData" localSheetId="40" hidden="1">'б-т 955 ПГ (01.01.20)'!$A$5:$AN$416</definedName>
    <definedName name="Z_90161BC0_1A6F_44B2_8616_EE6A34B7DB03_.wvu.FilterData" localSheetId="43" hidden="1">'б-т 963 ПГ (01.01.20)'!$A$5:$AN$416</definedName>
    <definedName name="Z_90161BC0_1A6F_44B2_8616_EE6A34B7DB03_.wvu.FilterData" localSheetId="46" hidden="1">'б-т 971 ПГ (01.01.20)'!$A$5:$AN$416</definedName>
    <definedName name="Z_90161BC0_1A6F_44B2_8616_EE6A34B7DB03_.wvu.FilterData" localSheetId="48" hidden="1">'б-т 981 ПГ (01.01.20)'!$A$6:$AN$417</definedName>
    <definedName name="Z_909B551B_C517_441B_8BE5_D5462D847A9D_.wvu.PrintArea" localSheetId="32" hidden="1">'б-т 925 (01.01.20)'!$A$1:$V$91</definedName>
    <definedName name="Z_909B551B_C517_441B_8BE5_D5462D847A9D_.wvu.PrintTitles" localSheetId="32" hidden="1">'б-т 925 (01.01.20)'!$5:$8</definedName>
    <definedName name="Z_909B551B_C517_441B_8BE5_D5462D847A9D_.wvu.Rows" localSheetId="32" hidden="1">'б-т 925 (01.01.20)'!$11:$14,'б-т 925 (01.01.20)'!$20:$57,'б-т 925 (01.01.20)'!$60:$63,'б-т 925 (01.01.20)'!$66:$66,'б-т 925 (01.01.20)'!$70:$82</definedName>
    <definedName name="Z_910D1107_E867_4193_8068_4AAA746BB518_.wvu.FilterData" localSheetId="66" hidden="1">'75 лет (01.01.20)'!$A$5:$AN$81</definedName>
    <definedName name="Z_910D1107_E867_4193_8068_4AAA746BB518_.wvu.FilterData" localSheetId="31" hidden="1">'б-т 922 ПГ (01.01.20) '!$A$5:$AN$145</definedName>
    <definedName name="Z_910D1107_E867_4193_8068_4AAA746BB518_.wvu.FilterData" localSheetId="40" hidden="1">'б-т 955 ПГ (01.01.20)'!$A$5:$AN$145</definedName>
    <definedName name="Z_910D1107_E867_4193_8068_4AAA746BB518_.wvu.FilterData" localSheetId="43" hidden="1">'б-т 963 ПГ (01.01.20)'!$A$5:$AN$145</definedName>
    <definedName name="Z_910D1107_E867_4193_8068_4AAA746BB518_.wvu.FilterData" localSheetId="46" hidden="1">'б-т 971 ПГ (01.01.20)'!$A$5:$AN$145</definedName>
    <definedName name="Z_910D1107_E867_4193_8068_4AAA746BB518_.wvu.FilterData" localSheetId="48" hidden="1">'б-т 981 ПГ (01.01.20)'!$A$6:$AN$146</definedName>
    <definedName name="Z_912C06F4_196A_4ACD_870E_072CDEA6D489_.wvu.FilterData" localSheetId="66" hidden="1">'75 лет (01.01.20)'!$A$5:$AN$81</definedName>
    <definedName name="Z_912C06F4_196A_4ACD_870E_072CDEA6D489_.wvu.FilterData" localSheetId="45" hidden="1">'б -т 963 Стим-е (01.01.20)'!$A$10:$TZ$207</definedName>
    <definedName name="Z_912C06F4_196A_4ACD_870E_072CDEA6D489_.wvu.FilterData" localSheetId="31" hidden="1">'б-т 922 ПГ (01.01.20) '!$A$5:$AN$416</definedName>
    <definedName name="Z_912C06F4_196A_4ACD_870E_072CDEA6D489_.wvu.FilterData" localSheetId="41" hidden="1">'б-т 955 наркомания (01.01.20)'!$A$10:$AF$44</definedName>
    <definedName name="Z_912C06F4_196A_4ACD_870E_072CDEA6D489_.wvu.FilterData" localSheetId="40" hidden="1">'б-т 955 ПГ (01.01.20)'!$A$5:$AN$416</definedName>
    <definedName name="Z_912C06F4_196A_4ACD_870E_072CDEA6D489_.wvu.FilterData" localSheetId="42" hidden="1">'б-т 955 Стим-е (01.01.20)'!$A$10:$TZ$207</definedName>
    <definedName name="Z_912C06F4_196A_4ACD_870E_072CDEA6D489_.wvu.FilterData" localSheetId="44" hidden="1">'б-т 963 Наркомания (01.01.20)'!$A$10:$AF$44</definedName>
    <definedName name="Z_912C06F4_196A_4ACD_870E_072CDEA6D489_.wvu.FilterData" localSheetId="43" hidden="1">'б-т 963 ПГ (01.01.20)'!$A$5:$AN$416</definedName>
    <definedName name="Z_912C06F4_196A_4ACD_870E_072CDEA6D489_.wvu.FilterData" localSheetId="28" hidden="1">'б-т 966 Стим-е (01.01.20)'!$A$10:$TZ$207</definedName>
    <definedName name="Z_912C06F4_196A_4ACD_870E_072CDEA6D489_.wvu.FilterData" localSheetId="46" hidden="1">'б-т 971 ПГ (01.01.20)'!$A$5:$AN$416</definedName>
    <definedName name="Z_912C06F4_196A_4ACD_870E_072CDEA6D489_.wvu.FilterData" localSheetId="48" hidden="1">'б-т 981 ПГ (01.01.20)'!$A$6:$AN$417</definedName>
    <definedName name="Z_912C06F4_196A_4ACD_870E_072CDEA6D489_.wvu.FilterData" localSheetId="49" hidden="1">'б-т 981 Стим-е (01.01.20)'!$A$12:$TZ$174</definedName>
    <definedName name="Z_912C06F4_196A_4ACD_870E_072CDEA6D489_.wvu.FilterData" localSheetId="50" hidden="1">'б-т накомания 981 (01.01.20)'!$A$10:$AF$44</definedName>
    <definedName name="Z_912C06F4_196A_4ACD_870E_072CDEA6D489_.wvu.FilterData" localSheetId="58" hidden="1">'субс РТ (01.01.20)'!$A$10:$TZ$45</definedName>
    <definedName name="Z_912C06F4_196A_4ACD_870E_072CDEA6D489_.wvu.PrintArea" localSheetId="45" hidden="1">'б -т 963 Стим-е (01.01.20)'!$A$1:$Z$245</definedName>
    <definedName name="Z_912C06F4_196A_4ACD_870E_072CDEA6D489_.wvu.PrintArea" localSheetId="41" hidden="1">'б-т 955 наркомания (01.01.20)'!$A$3:$Z$44</definedName>
    <definedName name="Z_912C06F4_196A_4ACD_870E_072CDEA6D489_.wvu.PrintArea" localSheetId="42" hidden="1">'б-т 955 Стим-е (01.01.20)'!$A$1:$Z$245</definedName>
    <definedName name="Z_912C06F4_196A_4ACD_870E_072CDEA6D489_.wvu.PrintArea" localSheetId="44" hidden="1">'б-т 963 Наркомания (01.01.20)'!$A$3:$Z$44</definedName>
    <definedName name="Z_912C06F4_196A_4ACD_870E_072CDEA6D489_.wvu.PrintArea" localSheetId="28" hidden="1">'б-т 966 Стим-е (01.01.20)'!$A$1:$Z$245</definedName>
    <definedName name="Z_912C06F4_196A_4ACD_870E_072CDEA6D489_.wvu.PrintArea" localSheetId="49" hidden="1">'б-т 981 Стим-е (01.01.20)'!$A$1:$Z$212</definedName>
    <definedName name="Z_912C06F4_196A_4ACD_870E_072CDEA6D489_.wvu.PrintArea" localSheetId="50" hidden="1">'б-т накомания 981 (01.01.20)'!$A$3:$Z$44</definedName>
    <definedName name="Z_912C06F4_196A_4ACD_870E_072CDEA6D489_.wvu.PrintArea" localSheetId="58" hidden="1">'субс РТ (01.01.20)'!$A$1:$Z$77</definedName>
    <definedName name="Z_912C06F4_196A_4ACD_870E_072CDEA6D489_.wvu.PrintTitles" localSheetId="45" hidden="1">'б -т 963 Стим-е (01.01.20)'!$5:$10</definedName>
    <definedName name="Z_912C06F4_196A_4ACD_870E_072CDEA6D489_.wvu.PrintTitles" localSheetId="41" hidden="1">'б-т 955 наркомания (01.01.20)'!$7:$9</definedName>
    <definedName name="Z_912C06F4_196A_4ACD_870E_072CDEA6D489_.wvu.PrintTitles" localSheetId="42" hidden="1">'б-т 955 Стим-е (01.01.20)'!$5:$10</definedName>
    <definedName name="Z_912C06F4_196A_4ACD_870E_072CDEA6D489_.wvu.PrintTitles" localSheetId="44" hidden="1">'б-т 963 Наркомания (01.01.20)'!$7:$9</definedName>
    <definedName name="Z_912C06F4_196A_4ACD_870E_072CDEA6D489_.wvu.PrintTitles" localSheetId="28" hidden="1">'б-т 966 Стим-е (01.01.20)'!$5:$10</definedName>
    <definedName name="Z_912C06F4_196A_4ACD_870E_072CDEA6D489_.wvu.PrintTitles" localSheetId="49" hidden="1">'б-т 981 Стим-е (01.01.20)'!$7:$12</definedName>
    <definedName name="Z_912C06F4_196A_4ACD_870E_072CDEA6D489_.wvu.PrintTitles" localSheetId="50" hidden="1">'б-т накомания 981 (01.01.20)'!$7:$9</definedName>
    <definedName name="Z_912C06F4_196A_4ACD_870E_072CDEA6D489_.wvu.PrintTitles" localSheetId="58" hidden="1">'субс РТ (01.01.20)'!$5:$10</definedName>
    <definedName name="Z_912C06F4_196A_4ACD_870E_072CDEA6D489_.wvu.Rows" localSheetId="45" hidden="1">'б -т 963 Стим-е (01.01.20)'!#REF!</definedName>
    <definedName name="Z_912C06F4_196A_4ACD_870E_072CDEA6D489_.wvu.Rows" localSheetId="41" hidden="1">'б-т 955 наркомания (01.01.20)'!$1:$2</definedName>
    <definedName name="Z_912C06F4_196A_4ACD_870E_072CDEA6D489_.wvu.Rows" localSheetId="42" hidden="1">'б-т 955 Стим-е (01.01.20)'!#REF!</definedName>
    <definedName name="Z_912C06F4_196A_4ACD_870E_072CDEA6D489_.wvu.Rows" localSheetId="44" hidden="1">'б-т 963 Наркомания (01.01.20)'!$1:$2</definedName>
    <definedName name="Z_912C06F4_196A_4ACD_870E_072CDEA6D489_.wvu.Rows" localSheetId="28" hidden="1">'б-т 966 Стим-е (01.01.20)'!#REF!</definedName>
    <definedName name="Z_912C06F4_196A_4ACD_870E_072CDEA6D489_.wvu.Rows" localSheetId="49" hidden="1">'б-т 981 Стим-е (01.01.20)'!#REF!</definedName>
    <definedName name="Z_912C06F4_196A_4ACD_870E_072CDEA6D489_.wvu.Rows" localSheetId="50" hidden="1">'б-т накомания 981 (01.01.20)'!$1:$2</definedName>
    <definedName name="Z_912C06F4_196A_4ACD_870E_072CDEA6D489_.wvu.Rows" localSheetId="58" hidden="1">'субс РТ (01.01.20)'!#REF!</definedName>
    <definedName name="Z_9157E921_F693_41A2_B9C7_9637BCD9C9DE_.wvu.FilterData" localSheetId="66" hidden="1">'75 лет (01.01.20)'!$A$8:$AN$81</definedName>
    <definedName name="Z_9157E921_F693_41A2_B9C7_9637BCD9C9DE_.wvu.FilterData" localSheetId="45" hidden="1">'б -т 963 Стим-е (01.01.20)'!$A$7:$XEJ$207</definedName>
    <definedName name="Z_9157E921_F693_41A2_B9C7_9637BCD9C9DE_.wvu.FilterData" localSheetId="31" hidden="1">'б-т 922 ПГ (01.01.20) '!$A$8:$AN$416</definedName>
    <definedName name="Z_9157E921_F693_41A2_B9C7_9637BCD9C9DE_.wvu.FilterData" localSheetId="41" hidden="1">'б-т 955 наркомания (01.01.20)'!$A$10:$AF$44</definedName>
    <definedName name="Z_9157E921_F693_41A2_B9C7_9637BCD9C9DE_.wvu.FilterData" localSheetId="40" hidden="1">'б-т 955 ПГ (01.01.20)'!$A$8:$AN$416</definedName>
    <definedName name="Z_9157E921_F693_41A2_B9C7_9637BCD9C9DE_.wvu.FilterData" localSheetId="42" hidden="1">'б-т 955 Стим-е (01.01.20)'!$A$7:$XEJ$207</definedName>
    <definedName name="Z_9157E921_F693_41A2_B9C7_9637BCD9C9DE_.wvu.FilterData" localSheetId="44" hidden="1">'б-т 963 Наркомания (01.01.20)'!$A$10:$AF$44</definedName>
    <definedName name="Z_9157E921_F693_41A2_B9C7_9637BCD9C9DE_.wvu.FilterData" localSheetId="43" hidden="1">'б-т 963 ПГ (01.01.20)'!$A$8:$AN$416</definedName>
    <definedName name="Z_9157E921_F693_41A2_B9C7_9637BCD9C9DE_.wvu.FilterData" localSheetId="28" hidden="1">'б-т 966 Стим-е (01.01.20)'!$A$7:$XEJ$207</definedName>
    <definedName name="Z_9157E921_F693_41A2_B9C7_9637BCD9C9DE_.wvu.FilterData" localSheetId="46" hidden="1">'б-т 971 ПГ (01.01.20)'!$A$8:$AN$416</definedName>
    <definedName name="Z_9157E921_F693_41A2_B9C7_9637BCD9C9DE_.wvu.FilterData" localSheetId="48" hidden="1">'б-т 981 ПГ (01.01.20)'!$A$9:$AN$417</definedName>
    <definedName name="Z_9157E921_F693_41A2_B9C7_9637BCD9C9DE_.wvu.FilterData" localSheetId="49" hidden="1">'б-т 981 Стим-е (01.01.20)'!$A$9:$XEJ$174</definedName>
    <definedName name="Z_9157E921_F693_41A2_B9C7_9637BCD9C9DE_.wvu.FilterData" localSheetId="50" hidden="1">'б-т накомания 981 (01.01.20)'!$A$10:$AF$44</definedName>
    <definedName name="Z_9157E921_F693_41A2_B9C7_9637BCD9C9DE_.wvu.FilterData" localSheetId="58" hidden="1">'субс РТ (01.01.20)'!$A$7:$XEJ$45</definedName>
    <definedName name="Z_9157E921_F693_41A2_B9C7_9637BCD9C9DE_.wvu.PrintArea" localSheetId="45" hidden="1">'б -т 963 Стим-е (01.01.20)'!$A$1:$Z$245</definedName>
    <definedName name="Z_9157E921_F693_41A2_B9C7_9637BCD9C9DE_.wvu.PrintArea" localSheetId="41" hidden="1">'б-т 955 наркомания (01.01.20)'!$A$3:$Z$45</definedName>
    <definedName name="Z_9157E921_F693_41A2_B9C7_9637BCD9C9DE_.wvu.PrintArea" localSheetId="42" hidden="1">'б-т 955 Стим-е (01.01.20)'!$A$1:$Z$245</definedName>
    <definedName name="Z_9157E921_F693_41A2_B9C7_9637BCD9C9DE_.wvu.PrintArea" localSheetId="44" hidden="1">'б-т 963 Наркомания (01.01.20)'!$A$3:$Z$45</definedName>
    <definedName name="Z_9157E921_F693_41A2_B9C7_9637BCD9C9DE_.wvu.PrintArea" localSheetId="28" hidden="1">'б-т 966 Стим-е (01.01.20)'!$A$1:$Z$245</definedName>
    <definedName name="Z_9157E921_F693_41A2_B9C7_9637BCD9C9DE_.wvu.PrintArea" localSheetId="49" hidden="1">'б-т 981 Стим-е (01.01.20)'!$A$1:$Z$212</definedName>
    <definedName name="Z_9157E921_F693_41A2_B9C7_9637BCD9C9DE_.wvu.PrintArea" localSheetId="50" hidden="1">'б-т накомания 981 (01.01.20)'!$A$3:$Z$45</definedName>
    <definedName name="Z_9157E921_F693_41A2_B9C7_9637BCD9C9DE_.wvu.PrintArea" localSheetId="58" hidden="1">'субс РТ (01.01.20)'!$A$1:$Z$77</definedName>
    <definedName name="Z_9157E921_F693_41A2_B9C7_9637BCD9C9DE_.wvu.PrintTitles" localSheetId="45" hidden="1">'б -т 963 Стим-е (01.01.20)'!$5:$10</definedName>
    <definedName name="Z_9157E921_F693_41A2_B9C7_9637BCD9C9DE_.wvu.PrintTitles" localSheetId="41" hidden="1">'б-т 955 наркомания (01.01.20)'!$7:$9</definedName>
    <definedName name="Z_9157E921_F693_41A2_B9C7_9637BCD9C9DE_.wvu.PrintTitles" localSheetId="42" hidden="1">'б-т 955 Стим-е (01.01.20)'!$5:$10</definedName>
    <definedName name="Z_9157E921_F693_41A2_B9C7_9637BCD9C9DE_.wvu.PrintTitles" localSheetId="44" hidden="1">'б-т 963 Наркомания (01.01.20)'!$7:$9</definedName>
    <definedName name="Z_9157E921_F693_41A2_B9C7_9637BCD9C9DE_.wvu.PrintTitles" localSheetId="28" hidden="1">'б-т 966 Стим-е (01.01.20)'!$5:$10</definedName>
    <definedName name="Z_9157E921_F693_41A2_B9C7_9637BCD9C9DE_.wvu.PrintTitles" localSheetId="49" hidden="1">'б-т 981 Стим-е (01.01.20)'!$7:$12</definedName>
    <definedName name="Z_9157E921_F693_41A2_B9C7_9637BCD9C9DE_.wvu.PrintTitles" localSheetId="50" hidden="1">'б-т накомания 981 (01.01.20)'!$7:$9</definedName>
    <definedName name="Z_9157E921_F693_41A2_B9C7_9637BCD9C9DE_.wvu.PrintTitles" localSheetId="58" hidden="1">'субс РТ (01.01.20)'!$5:$10</definedName>
    <definedName name="Z_9157E921_F693_41A2_B9C7_9637BCD9C9DE_.wvu.Rows" localSheetId="45" hidden="1">'б -т 963 Стим-е (01.01.20)'!#REF!</definedName>
    <definedName name="Z_9157E921_F693_41A2_B9C7_9637BCD9C9DE_.wvu.Rows" localSheetId="41" hidden="1">'б-т 955 наркомания (01.01.20)'!$1:$2</definedName>
    <definedName name="Z_9157E921_F693_41A2_B9C7_9637BCD9C9DE_.wvu.Rows" localSheetId="42" hidden="1">'б-т 955 Стим-е (01.01.20)'!#REF!</definedName>
    <definedName name="Z_9157E921_F693_41A2_B9C7_9637BCD9C9DE_.wvu.Rows" localSheetId="44" hidden="1">'б-т 963 Наркомания (01.01.20)'!$1:$2</definedName>
    <definedName name="Z_9157E921_F693_41A2_B9C7_9637BCD9C9DE_.wvu.Rows" localSheetId="28" hidden="1">'б-т 966 Стим-е (01.01.20)'!#REF!</definedName>
    <definedName name="Z_9157E921_F693_41A2_B9C7_9637BCD9C9DE_.wvu.Rows" localSheetId="49" hidden="1">'б-т 981 Стим-е (01.01.20)'!#REF!</definedName>
    <definedName name="Z_9157E921_F693_41A2_B9C7_9637BCD9C9DE_.wvu.Rows" localSheetId="50" hidden="1">'б-т накомания 981 (01.01.20)'!$1:$2</definedName>
    <definedName name="Z_9157E921_F693_41A2_B9C7_9637BCD9C9DE_.wvu.Rows" localSheetId="58" hidden="1">'субс РТ (01.01.20)'!#REF!</definedName>
    <definedName name="Z_91675FBF_119A_4EF5_A3B7_BBAB5CEC819B_.wvu.FilterData" localSheetId="45" hidden="1">'б -т 963 Стим-е (01.01.20)'!$A$10:$TZ$207</definedName>
    <definedName name="Z_91675FBF_119A_4EF5_A3B7_BBAB5CEC819B_.wvu.FilterData" localSheetId="42" hidden="1">'б-т 955 Стим-е (01.01.20)'!$A$10:$TZ$207</definedName>
    <definedName name="Z_91675FBF_119A_4EF5_A3B7_BBAB5CEC819B_.wvu.FilterData" localSheetId="28" hidden="1">'б-т 966 Стим-е (01.01.20)'!$A$10:$TZ$207</definedName>
    <definedName name="Z_91675FBF_119A_4EF5_A3B7_BBAB5CEC819B_.wvu.FilterData" localSheetId="49" hidden="1">'б-т 981 Стим-е (01.01.20)'!$A$12:$TZ$174</definedName>
    <definedName name="Z_91675FBF_119A_4EF5_A3B7_BBAB5CEC819B_.wvu.FilterData" localSheetId="58" hidden="1">'субс РТ (01.01.20)'!$A$10:$TZ$45</definedName>
    <definedName name="Z_91EB3589_F443_4365_AE23_9E3B5FA1F228_.wvu.Cols" localSheetId="45" hidden="1">'б -т 963 Стим-е (01.01.20)'!$AE:$AH,'б -т 963 Стим-е (01.01.20)'!$JN:$JO,'б -т 963 Стим-е (01.01.20)'!$JQ:$JS,'б -т 963 Стим-е (01.01.20)'!$KA:$KD,'б -т 963 Стим-е (01.01.20)'!$TJ:$TK,'б -т 963 Стим-е (01.01.20)'!$TM:$TO,'б -т 963 Стим-е (01.01.20)'!$TW:$TZ</definedName>
    <definedName name="Z_91EB3589_F443_4365_AE23_9E3B5FA1F228_.wvu.Cols" localSheetId="42" hidden="1">'б-т 955 Стим-е (01.01.20)'!$AE:$AH,'б-т 955 Стим-е (01.01.20)'!$JN:$JO,'б-т 955 Стим-е (01.01.20)'!$JQ:$JS,'б-т 955 Стим-е (01.01.20)'!$KA:$KD,'б-т 955 Стим-е (01.01.20)'!$TJ:$TK,'б-т 955 Стим-е (01.01.20)'!$TM:$TO,'б-т 955 Стим-е (01.01.20)'!$TW:$TZ</definedName>
    <definedName name="Z_91EB3589_F443_4365_AE23_9E3B5FA1F228_.wvu.Cols" localSheetId="28" hidden="1">'б-т 966 Стим-е (01.01.20)'!$AE:$AH,'б-т 966 Стим-е (01.01.20)'!$JN:$JO,'б-т 966 Стим-е (01.01.20)'!$JQ:$JS,'б-т 966 Стим-е (01.01.20)'!$KA:$KD,'б-т 966 Стим-е (01.01.20)'!$TJ:$TK,'б-т 966 Стим-е (01.01.20)'!$TM:$TO,'б-т 966 Стим-е (01.01.20)'!$TW:$TZ</definedName>
    <definedName name="Z_91EB3589_F443_4365_AE23_9E3B5FA1F228_.wvu.Cols" localSheetId="49" hidden="1">'б-т 981 Стим-е (01.01.20)'!$AE:$AH,'б-т 981 Стим-е (01.01.20)'!$JN:$JO,'б-т 981 Стим-е (01.01.20)'!$JQ:$JS,'б-т 981 Стим-е (01.01.20)'!$KA:$KD,'б-т 981 Стим-е (01.01.20)'!$TJ:$TK,'б-т 981 Стим-е (01.01.20)'!$TM:$TO,'б-т 981 Стим-е (01.01.20)'!$TW:$TZ</definedName>
    <definedName name="Z_91EB3589_F443_4365_AE23_9E3B5FA1F228_.wvu.Cols" localSheetId="85" hidden="1">'внеб 963 (01.01.20)'!$X:$AA,'внеб 963 (01.01.20)'!$JG:$JH,'внеб 963 (01.01.20)'!$JJ:$JL,'внеб 963 (01.01.20)'!$JT:$JW,'внеб 963 (01.01.20)'!$TC:$TD,'внеб 963 (01.01.20)'!$TF:$TH,'внеб 963 (01.01.20)'!$TP:$TS</definedName>
    <definedName name="Z_91EB3589_F443_4365_AE23_9E3B5FA1F228_.wvu.Cols" localSheetId="74" hidden="1">'внеб 966 (01.01.20)'!$X:$AA,'внеб 966 (01.01.20)'!$JG:$JH,'внеб 966 (01.01.20)'!$JJ:$JL,'внеб 966 (01.01.20)'!$JT:$JW,'внеб 966 (01.01.20)'!$TC:$TD,'внеб 966 (01.01.20)'!$TF:$TH,'внеб 966 (01.01.20)'!$TP:$TS</definedName>
    <definedName name="Z_91EB3589_F443_4365_AE23_9E3B5FA1F228_.wvu.Cols" localSheetId="58" hidden="1">'субс РТ (01.01.20)'!$AE:$AH,'субс РТ (01.01.20)'!$JN:$JO,'субс РТ (01.01.20)'!$JQ:$JS,'субс РТ (01.01.20)'!$KA:$KD,'субс РТ (01.01.20)'!$TJ:$TK,'субс РТ (01.01.20)'!$TM:$TO,'субс РТ (01.01.20)'!$TW:$TZ</definedName>
    <definedName name="Z_91EB3589_F443_4365_AE23_9E3B5FA1F228_.wvu.FilterData" localSheetId="45" hidden="1">'б -т 963 Стим-е (01.01.20)'!$A$10:$TZ$207</definedName>
    <definedName name="Z_91EB3589_F443_4365_AE23_9E3B5FA1F228_.wvu.FilterData" localSheetId="41" hidden="1">'б-т 955 наркомания (01.01.20)'!$A$10:$AF$44</definedName>
    <definedName name="Z_91EB3589_F443_4365_AE23_9E3B5FA1F228_.wvu.FilterData" localSheetId="42" hidden="1">'б-т 955 Стим-е (01.01.20)'!$A$10:$TZ$207</definedName>
    <definedName name="Z_91EB3589_F443_4365_AE23_9E3B5FA1F228_.wvu.FilterData" localSheetId="44" hidden="1">'б-т 963 Наркомания (01.01.20)'!$A$10:$AF$44</definedName>
    <definedName name="Z_91EB3589_F443_4365_AE23_9E3B5FA1F228_.wvu.FilterData" localSheetId="28" hidden="1">'б-т 966 Стим-е (01.01.20)'!$A$10:$TZ$207</definedName>
    <definedName name="Z_91EB3589_F443_4365_AE23_9E3B5FA1F228_.wvu.FilterData" localSheetId="49" hidden="1">'б-т 981 Стим-е (01.01.20)'!$A$12:$TZ$174</definedName>
    <definedName name="Z_91EB3589_F443_4365_AE23_9E3B5FA1F228_.wvu.FilterData" localSheetId="50" hidden="1">'б-т накомания 981 (01.01.20)'!$A$10:$AF$44</definedName>
    <definedName name="Z_91EB3589_F443_4365_AE23_9E3B5FA1F228_.wvu.FilterData" localSheetId="85" hidden="1">'внеб 963 (01.01.20)'!$A$9:$TS$10</definedName>
    <definedName name="Z_91EB3589_F443_4365_AE23_9E3B5FA1F228_.wvu.FilterData" localSheetId="74" hidden="1">'внеб 966 (01.01.20)'!$A$11:$TS$12</definedName>
    <definedName name="Z_91EB3589_F443_4365_AE23_9E3B5FA1F228_.wvu.FilterData" localSheetId="58" hidden="1">'субс РТ (01.01.20)'!$A$10:$TZ$45</definedName>
    <definedName name="Z_91EB3589_F443_4365_AE23_9E3B5FA1F228_.wvu.PrintArea" localSheetId="45" hidden="1">'б -т 963 Стим-е (01.01.20)'!$A$5:$Z$221</definedName>
    <definedName name="Z_91EB3589_F443_4365_AE23_9E3B5FA1F228_.wvu.PrintArea" localSheetId="41" hidden="1">'б-т 955 наркомания (01.01.20)'!$A$1:$Z$44</definedName>
    <definedName name="Z_91EB3589_F443_4365_AE23_9E3B5FA1F228_.wvu.PrintArea" localSheetId="42" hidden="1">'б-т 955 Стим-е (01.01.20)'!$A$5:$Z$221</definedName>
    <definedName name="Z_91EB3589_F443_4365_AE23_9E3B5FA1F228_.wvu.PrintArea" localSheetId="44" hidden="1">'б-т 963 Наркомания (01.01.20)'!$A$1:$Z$44</definedName>
    <definedName name="Z_91EB3589_F443_4365_AE23_9E3B5FA1F228_.wvu.PrintArea" localSheetId="28" hidden="1">'б-т 966 Стим-е (01.01.20)'!$A$5:$Z$221</definedName>
    <definedName name="Z_91EB3589_F443_4365_AE23_9E3B5FA1F228_.wvu.PrintArea" localSheetId="49" hidden="1">'б-т 981 Стим-е (01.01.20)'!$A$7:$Z$188</definedName>
    <definedName name="Z_91EB3589_F443_4365_AE23_9E3B5FA1F228_.wvu.PrintArea" localSheetId="50" hidden="1">'б-т накомания 981 (01.01.20)'!$A$1:$Z$44</definedName>
    <definedName name="Z_91EB3589_F443_4365_AE23_9E3B5FA1F228_.wvu.PrintArea" localSheetId="85" hidden="1">'внеб 963 (01.01.20)'!$A$5:$S$10</definedName>
    <definedName name="Z_91EB3589_F443_4365_AE23_9E3B5FA1F228_.wvu.PrintArea" localSheetId="74" hidden="1">'внеб 966 (01.01.20)'!$A$7:$S$12</definedName>
    <definedName name="Z_91EB3589_F443_4365_AE23_9E3B5FA1F228_.wvu.PrintArea" localSheetId="58" hidden="1">'субс РТ (01.01.20)'!$A$5:$Z$53</definedName>
    <definedName name="Z_91EB3589_F443_4365_AE23_9E3B5FA1F228_.wvu.PrintTitles" localSheetId="45" hidden="1">'б -т 963 Стим-е (01.01.20)'!$5:$10</definedName>
    <definedName name="Z_91EB3589_F443_4365_AE23_9E3B5FA1F228_.wvu.PrintTitles" localSheetId="41" hidden="1">'б-т 955 наркомания (01.01.20)'!$7:$9</definedName>
    <definedName name="Z_91EB3589_F443_4365_AE23_9E3B5FA1F228_.wvu.PrintTitles" localSheetId="42" hidden="1">'б-т 955 Стим-е (01.01.20)'!$5:$10</definedName>
    <definedName name="Z_91EB3589_F443_4365_AE23_9E3B5FA1F228_.wvu.PrintTitles" localSheetId="44" hidden="1">'б-т 963 Наркомания (01.01.20)'!$7:$9</definedName>
    <definedName name="Z_91EB3589_F443_4365_AE23_9E3B5FA1F228_.wvu.PrintTitles" localSheetId="28" hidden="1">'б-т 966 Стим-е (01.01.20)'!$5:$10</definedName>
    <definedName name="Z_91EB3589_F443_4365_AE23_9E3B5FA1F228_.wvu.PrintTitles" localSheetId="49" hidden="1">'б-т 981 Стим-е (01.01.20)'!$7:$12</definedName>
    <definedName name="Z_91EB3589_F443_4365_AE23_9E3B5FA1F228_.wvu.PrintTitles" localSheetId="50" hidden="1">'б-т накомания 981 (01.01.20)'!$7:$9</definedName>
    <definedName name="Z_91EB3589_F443_4365_AE23_9E3B5FA1F228_.wvu.PrintTitles" localSheetId="85" hidden="1">'внеб 963 (01.01.20)'!$5:$9</definedName>
    <definedName name="Z_91EB3589_F443_4365_AE23_9E3B5FA1F228_.wvu.PrintTitles" localSheetId="74" hidden="1">'внеб 966 (01.01.20)'!$7:$11</definedName>
    <definedName name="Z_91EB3589_F443_4365_AE23_9E3B5FA1F228_.wvu.PrintTitles" localSheetId="58" hidden="1">'субс РТ (01.01.20)'!$5:$10</definedName>
    <definedName name="Z_91EB3589_F443_4365_AE23_9E3B5FA1F228_.wvu.Rows" localSheetId="45" hidden="1">'б -т 963 Стим-е (01.01.20)'!$1:$4</definedName>
    <definedName name="Z_91EB3589_F443_4365_AE23_9E3B5FA1F228_.wvu.Rows" localSheetId="41" hidden="1">'б-т 955 наркомания (01.01.20)'!$1:$6</definedName>
    <definedName name="Z_91EB3589_F443_4365_AE23_9E3B5FA1F228_.wvu.Rows" localSheetId="42" hidden="1">'б-т 955 Стим-е (01.01.20)'!$1:$4</definedName>
    <definedName name="Z_91EB3589_F443_4365_AE23_9E3B5FA1F228_.wvu.Rows" localSheetId="44" hidden="1">'б-т 963 Наркомания (01.01.20)'!$1:$6</definedName>
    <definedName name="Z_91EB3589_F443_4365_AE23_9E3B5FA1F228_.wvu.Rows" localSheetId="28" hidden="1">'б-т 966 Стим-е (01.01.20)'!$1:$4</definedName>
    <definedName name="Z_91EB3589_F443_4365_AE23_9E3B5FA1F228_.wvu.Rows" localSheetId="49" hidden="1">'б-т 981 Стим-е (01.01.20)'!$1:$6</definedName>
    <definedName name="Z_91EB3589_F443_4365_AE23_9E3B5FA1F228_.wvu.Rows" localSheetId="50" hidden="1">'б-т накомания 981 (01.01.20)'!$1:$6</definedName>
    <definedName name="Z_91EB3589_F443_4365_AE23_9E3B5FA1F228_.wvu.Rows" localSheetId="85" hidden="1">'внеб 963 (01.01.20)'!$1:$4</definedName>
    <definedName name="Z_91EB3589_F443_4365_AE23_9E3B5FA1F228_.wvu.Rows" localSheetId="74" hidden="1">'внеб 966 (01.01.20)'!$1:$6</definedName>
    <definedName name="Z_91EB3589_F443_4365_AE23_9E3B5FA1F228_.wvu.Rows" localSheetId="58" hidden="1">'субс РТ (01.01.20)'!$1:$4</definedName>
    <definedName name="Z_9260E3CC_D216_45ED_819F_8BF958358880_.wvu.FilterData" localSheetId="66" hidden="1">'75 лет (01.01.20)'!$A$5:$AN$81</definedName>
    <definedName name="Z_9260E3CC_D216_45ED_819F_8BF958358880_.wvu.FilterData" localSheetId="31" hidden="1">'б-т 922 ПГ (01.01.20) '!$A$5:$AN$416</definedName>
    <definedName name="Z_9260E3CC_D216_45ED_819F_8BF958358880_.wvu.FilterData" localSheetId="40" hidden="1">'б-т 955 ПГ (01.01.20)'!$A$5:$AN$416</definedName>
    <definedName name="Z_9260E3CC_D216_45ED_819F_8BF958358880_.wvu.FilterData" localSheetId="43" hidden="1">'б-т 963 ПГ (01.01.20)'!$A$5:$AN$416</definedName>
    <definedName name="Z_9260E3CC_D216_45ED_819F_8BF958358880_.wvu.FilterData" localSheetId="46" hidden="1">'б-т 971 ПГ (01.01.20)'!$A$5:$AN$416</definedName>
    <definedName name="Z_9260E3CC_D216_45ED_819F_8BF958358880_.wvu.FilterData" localSheetId="48" hidden="1">'б-т 981 ПГ (01.01.20)'!$A$6:$AN$417</definedName>
    <definedName name="Z_92F9C216_692F_4814_B409_DCC92F219748_.wvu.FilterData" localSheetId="66" hidden="1">'75 лет (01.01.20)'!$A$5:$AN$81</definedName>
    <definedName name="Z_92F9C216_692F_4814_B409_DCC92F219748_.wvu.FilterData" localSheetId="31" hidden="1">'б-т 922 ПГ (01.01.20) '!$A$5:$AN$416</definedName>
    <definedName name="Z_92F9C216_692F_4814_B409_DCC92F219748_.wvu.FilterData" localSheetId="40" hidden="1">'б-т 955 ПГ (01.01.20)'!$A$5:$AN$416</definedName>
    <definedName name="Z_92F9C216_692F_4814_B409_DCC92F219748_.wvu.FilterData" localSheetId="43" hidden="1">'б-т 963 ПГ (01.01.20)'!$A$5:$AN$416</definedName>
    <definedName name="Z_92F9C216_692F_4814_B409_DCC92F219748_.wvu.FilterData" localSheetId="46" hidden="1">'б-т 971 ПГ (01.01.20)'!$A$5:$AN$416</definedName>
    <definedName name="Z_92F9C216_692F_4814_B409_DCC92F219748_.wvu.FilterData" localSheetId="48" hidden="1">'б-т 981 ПГ (01.01.20)'!$A$6:$AN$417</definedName>
    <definedName name="Z_98D88D0A_F2B8_4544_A096_C2C763CBC17B_.wvu.FilterData" localSheetId="66" hidden="1">'75 лет (01.01.20)'!$A$5:$AN$81</definedName>
    <definedName name="Z_98D88D0A_F2B8_4544_A096_C2C763CBC17B_.wvu.FilterData" localSheetId="31" hidden="1">'б-т 922 ПГ (01.01.20) '!$A$5:$AN$145</definedName>
    <definedName name="Z_98D88D0A_F2B8_4544_A096_C2C763CBC17B_.wvu.FilterData" localSheetId="40" hidden="1">'б-т 955 ПГ (01.01.20)'!$A$5:$AN$145</definedName>
    <definedName name="Z_98D88D0A_F2B8_4544_A096_C2C763CBC17B_.wvu.FilterData" localSheetId="43" hidden="1">'б-т 963 ПГ (01.01.20)'!$A$5:$AN$145</definedName>
    <definedName name="Z_98D88D0A_F2B8_4544_A096_C2C763CBC17B_.wvu.FilterData" localSheetId="46" hidden="1">'б-т 971 ПГ (01.01.20)'!$A$5:$AN$145</definedName>
    <definedName name="Z_98D88D0A_F2B8_4544_A096_C2C763CBC17B_.wvu.FilterData" localSheetId="48" hidden="1">'б-т 981 ПГ (01.01.20)'!$A$6:$AN$146</definedName>
    <definedName name="Z_A2412CB8_1CDE_4390_AD6D_532EEE2B1306_.wvu.Cols" localSheetId="45" hidden="1">'б -т 963 Стим-е (01.01.20)'!$D:$G,'б -т 963 Стим-е (01.01.20)'!$V:$Y,'б -т 963 Стим-е (01.01.20)'!$AE:$AH,'б -т 963 Стим-е (01.01.20)'!$JN:$JO,'б -т 963 Стим-е (01.01.20)'!$JQ:$JS,'б -т 963 Стим-е (01.01.20)'!$KA:$KD,'б -т 963 Стим-е (01.01.20)'!$TJ:$TK,'б -т 963 Стим-е (01.01.20)'!$TM:$TO,'б -т 963 Стим-е (01.01.20)'!$TW:$TZ</definedName>
    <definedName name="Z_A2412CB8_1CDE_4390_AD6D_532EEE2B1306_.wvu.Cols" localSheetId="41" hidden="1">'б-т 955 наркомания (01.01.20)'!$E:$H</definedName>
    <definedName name="Z_A2412CB8_1CDE_4390_AD6D_532EEE2B1306_.wvu.Cols" localSheetId="42" hidden="1">'б-т 955 Стим-е (01.01.20)'!$D:$G,'б-т 955 Стим-е (01.01.20)'!$V:$Y,'б-т 955 Стим-е (01.01.20)'!$AE:$AH,'б-т 955 Стим-е (01.01.20)'!$JN:$JO,'б-т 955 Стим-е (01.01.20)'!$JQ:$JS,'б-т 955 Стим-е (01.01.20)'!$KA:$KD,'б-т 955 Стим-е (01.01.20)'!$TJ:$TK,'б-т 955 Стим-е (01.01.20)'!$TM:$TO,'б-т 955 Стим-е (01.01.20)'!$TW:$TZ</definedName>
    <definedName name="Z_A2412CB8_1CDE_4390_AD6D_532EEE2B1306_.wvu.Cols" localSheetId="44" hidden="1">'б-т 963 Наркомания (01.01.20)'!$E:$H</definedName>
    <definedName name="Z_A2412CB8_1CDE_4390_AD6D_532EEE2B1306_.wvu.Cols" localSheetId="28" hidden="1">'б-т 966 Стим-е (01.01.20)'!$D:$G,'б-т 966 Стим-е (01.01.20)'!$V:$Y,'б-т 966 Стим-е (01.01.20)'!$AE:$AH,'б-т 966 Стим-е (01.01.20)'!$JN:$JO,'б-т 966 Стим-е (01.01.20)'!$JQ:$JS,'б-т 966 Стим-е (01.01.20)'!$KA:$KD,'б-т 966 Стим-е (01.01.20)'!$TJ:$TK,'б-т 966 Стим-е (01.01.20)'!$TM:$TO,'б-т 966 Стим-е (01.01.20)'!$TW:$TZ</definedName>
    <definedName name="Z_A2412CB8_1CDE_4390_AD6D_532EEE2B1306_.wvu.Cols" localSheetId="49" hidden="1">'б-т 981 Стим-е (01.01.20)'!$D:$G,'б-т 981 Стим-е (01.01.20)'!$V:$Y,'б-т 981 Стим-е (01.01.20)'!$AE:$AH,'б-т 981 Стим-е (01.01.20)'!$JN:$JO,'б-т 981 Стим-е (01.01.20)'!$JQ:$JS,'б-т 981 Стим-е (01.01.20)'!$KA:$KD,'б-т 981 Стим-е (01.01.20)'!$TJ:$TK,'б-т 981 Стим-е (01.01.20)'!$TM:$TO,'б-т 981 Стим-е (01.01.20)'!$TW:$TZ</definedName>
    <definedName name="Z_A2412CB8_1CDE_4390_AD6D_532EEE2B1306_.wvu.Cols" localSheetId="50" hidden="1">'б-т накомания 981 (01.01.20)'!$E:$H</definedName>
    <definedName name="Z_A2412CB8_1CDE_4390_AD6D_532EEE2B1306_.wvu.Cols" localSheetId="58" hidden="1">'субс РТ (01.01.20)'!$D:$G,'субс РТ (01.01.20)'!$V:$Y,'субс РТ (01.01.20)'!$AE:$AH,'субс РТ (01.01.20)'!$JN:$JO,'субс РТ (01.01.20)'!$JQ:$JS,'субс РТ (01.01.20)'!$KA:$KD,'субс РТ (01.01.20)'!$TJ:$TK,'субс РТ (01.01.20)'!$TM:$TO,'субс РТ (01.01.20)'!$TW:$TZ</definedName>
    <definedName name="Z_A2412CB8_1CDE_4390_AD6D_532EEE2B1306_.wvu.FilterData" localSheetId="45" hidden="1">'б -т 963 Стим-е (01.01.20)'!$A$10:$TZ$207</definedName>
    <definedName name="Z_A2412CB8_1CDE_4390_AD6D_532EEE2B1306_.wvu.FilterData" localSheetId="41" hidden="1">'б-т 955 наркомания (01.01.20)'!$A$10:$AF$44</definedName>
    <definedName name="Z_A2412CB8_1CDE_4390_AD6D_532EEE2B1306_.wvu.FilterData" localSheetId="42" hidden="1">'б-т 955 Стим-е (01.01.20)'!$A$10:$TZ$207</definedName>
    <definedName name="Z_A2412CB8_1CDE_4390_AD6D_532EEE2B1306_.wvu.FilterData" localSheetId="44" hidden="1">'б-т 963 Наркомания (01.01.20)'!$A$10:$AF$44</definedName>
    <definedName name="Z_A2412CB8_1CDE_4390_AD6D_532EEE2B1306_.wvu.FilterData" localSheetId="28" hidden="1">'б-т 966 Стим-е (01.01.20)'!$A$10:$TZ$207</definedName>
    <definedName name="Z_A2412CB8_1CDE_4390_AD6D_532EEE2B1306_.wvu.FilterData" localSheetId="49" hidden="1">'б-т 981 Стим-е (01.01.20)'!$A$12:$TZ$174</definedName>
    <definedName name="Z_A2412CB8_1CDE_4390_AD6D_532EEE2B1306_.wvu.FilterData" localSheetId="50" hidden="1">'б-т накомания 981 (01.01.20)'!$A$10:$AF$44</definedName>
    <definedName name="Z_A2412CB8_1CDE_4390_AD6D_532EEE2B1306_.wvu.FilterData" localSheetId="58" hidden="1">'субс РТ (01.01.20)'!$A$10:$TZ$45</definedName>
    <definedName name="Z_A2412CB8_1CDE_4390_AD6D_532EEE2B1306_.wvu.PrintArea" localSheetId="45" hidden="1">'б -т 963 Стим-е (01.01.20)'!$A$1:$Z$221</definedName>
    <definedName name="Z_A2412CB8_1CDE_4390_AD6D_532EEE2B1306_.wvu.PrintArea" localSheetId="41" hidden="1">'б-т 955 наркомания (01.01.20)'!$A$1:$Z$44</definedName>
    <definedName name="Z_A2412CB8_1CDE_4390_AD6D_532EEE2B1306_.wvu.PrintArea" localSheetId="42" hidden="1">'б-т 955 Стим-е (01.01.20)'!$A$1:$Z$221</definedName>
    <definedName name="Z_A2412CB8_1CDE_4390_AD6D_532EEE2B1306_.wvu.PrintArea" localSheetId="44" hidden="1">'б-т 963 Наркомания (01.01.20)'!$A$1:$Z$44</definedName>
    <definedName name="Z_A2412CB8_1CDE_4390_AD6D_532EEE2B1306_.wvu.PrintArea" localSheetId="28" hidden="1">'б-т 966 Стим-е (01.01.20)'!$A$1:$Z$221</definedName>
    <definedName name="Z_A2412CB8_1CDE_4390_AD6D_532EEE2B1306_.wvu.PrintArea" localSheetId="49" hidden="1">'б-т 981 Стим-е (01.01.20)'!$A$1:$Z$188</definedName>
    <definedName name="Z_A2412CB8_1CDE_4390_AD6D_532EEE2B1306_.wvu.PrintArea" localSheetId="50" hidden="1">'б-т накомания 981 (01.01.20)'!$A$1:$Z$44</definedName>
    <definedName name="Z_A2412CB8_1CDE_4390_AD6D_532EEE2B1306_.wvu.PrintArea" localSheetId="58" hidden="1">'субс РТ (01.01.20)'!$A$1:$Z$53</definedName>
    <definedName name="Z_A2412CB8_1CDE_4390_AD6D_532EEE2B1306_.wvu.PrintTitles" localSheetId="45" hidden="1">'б -т 963 Стим-е (01.01.20)'!$5:$10</definedName>
    <definedName name="Z_A2412CB8_1CDE_4390_AD6D_532EEE2B1306_.wvu.PrintTitles" localSheetId="41" hidden="1">'б-т 955 наркомания (01.01.20)'!$7:$9</definedName>
    <definedName name="Z_A2412CB8_1CDE_4390_AD6D_532EEE2B1306_.wvu.PrintTitles" localSheetId="42" hidden="1">'б-т 955 Стим-е (01.01.20)'!$5:$10</definedName>
    <definedName name="Z_A2412CB8_1CDE_4390_AD6D_532EEE2B1306_.wvu.PrintTitles" localSheetId="44" hidden="1">'б-т 963 Наркомания (01.01.20)'!$7:$9</definedName>
    <definedName name="Z_A2412CB8_1CDE_4390_AD6D_532EEE2B1306_.wvu.PrintTitles" localSheetId="28" hidden="1">'б-т 966 Стим-е (01.01.20)'!$5:$10</definedName>
    <definedName name="Z_A2412CB8_1CDE_4390_AD6D_532EEE2B1306_.wvu.PrintTitles" localSheetId="49" hidden="1">'б-т 981 Стим-е (01.01.20)'!$7:$12</definedName>
    <definedName name="Z_A2412CB8_1CDE_4390_AD6D_532EEE2B1306_.wvu.PrintTitles" localSheetId="50" hidden="1">'б-т накомания 981 (01.01.20)'!$7:$9</definedName>
    <definedName name="Z_A2412CB8_1CDE_4390_AD6D_532EEE2B1306_.wvu.PrintTitles" localSheetId="58" hidden="1">'субс РТ (01.01.20)'!$5:$10</definedName>
    <definedName name="Z_A2412CB8_1CDE_4390_AD6D_532EEE2B1306_.wvu.Rows" localSheetId="45" hidden="1">'б -т 963 Стим-е (01.01.20)'!$222:$250</definedName>
    <definedName name="Z_A2412CB8_1CDE_4390_AD6D_532EEE2B1306_.wvu.Rows" localSheetId="41" hidden="1">'б-т 955 наркомания (01.01.20)'!$1:$2</definedName>
    <definedName name="Z_A2412CB8_1CDE_4390_AD6D_532EEE2B1306_.wvu.Rows" localSheetId="42" hidden="1">'б-т 955 Стим-е (01.01.20)'!$222:$250</definedName>
    <definedName name="Z_A2412CB8_1CDE_4390_AD6D_532EEE2B1306_.wvu.Rows" localSheetId="44" hidden="1">'б-т 963 Наркомания (01.01.20)'!$1:$2</definedName>
    <definedName name="Z_A2412CB8_1CDE_4390_AD6D_532EEE2B1306_.wvu.Rows" localSheetId="28" hidden="1">'б-т 966 Стим-е (01.01.20)'!$222:$250</definedName>
    <definedName name="Z_A2412CB8_1CDE_4390_AD6D_532EEE2B1306_.wvu.Rows" localSheetId="49" hidden="1">'б-т 981 Стим-е (01.01.20)'!$189:$217</definedName>
    <definedName name="Z_A2412CB8_1CDE_4390_AD6D_532EEE2B1306_.wvu.Rows" localSheetId="50" hidden="1">'б-т накомания 981 (01.01.20)'!$1:$2</definedName>
    <definedName name="Z_A2412CB8_1CDE_4390_AD6D_532EEE2B1306_.wvu.Rows" localSheetId="58" hidden="1">'субс РТ (01.01.20)'!$54:$82</definedName>
    <definedName name="Z_A2D8D2C6_A162_496D_8F2C_F5C3F27761A7_.wvu.FilterData" localSheetId="45" hidden="1">'б -т 963 Стим-е (01.01.20)'!$A$10:$TZ$207</definedName>
    <definedName name="Z_A2D8D2C6_A162_496D_8F2C_F5C3F27761A7_.wvu.FilterData" localSheetId="42" hidden="1">'б-т 955 Стим-е (01.01.20)'!$A$10:$TZ$207</definedName>
    <definedName name="Z_A2D8D2C6_A162_496D_8F2C_F5C3F27761A7_.wvu.FilterData" localSheetId="28" hidden="1">'б-т 966 Стим-е (01.01.20)'!$A$10:$TZ$207</definedName>
    <definedName name="Z_A2D8D2C6_A162_496D_8F2C_F5C3F27761A7_.wvu.FilterData" localSheetId="49" hidden="1">'б-т 981 Стим-е (01.01.20)'!$A$12:$TZ$174</definedName>
    <definedName name="Z_A2D8D2C6_A162_496D_8F2C_F5C3F27761A7_.wvu.FilterData" localSheetId="58" hidden="1">'субс РТ (01.01.20)'!$A$10:$TZ$45</definedName>
    <definedName name="Z_A930B2E3_B864_4FC6_A0C2_88AB6C2A0A64_.wvu.FilterData" localSheetId="66" hidden="1">'75 лет (01.01.20)'!$A$5:$AN$81</definedName>
    <definedName name="Z_A930B2E3_B864_4FC6_A0C2_88AB6C2A0A64_.wvu.FilterData" localSheetId="31" hidden="1">'б-т 922 ПГ (01.01.20) '!$A$5:$AN$416</definedName>
    <definedName name="Z_A930B2E3_B864_4FC6_A0C2_88AB6C2A0A64_.wvu.FilterData" localSheetId="40" hidden="1">'б-т 955 ПГ (01.01.20)'!$A$5:$AN$416</definedName>
    <definedName name="Z_A930B2E3_B864_4FC6_A0C2_88AB6C2A0A64_.wvu.FilterData" localSheetId="43" hidden="1">'б-т 963 ПГ (01.01.20)'!$A$5:$AN$416</definedName>
    <definedName name="Z_A930B2E3_B864_4FC6_A0C2_88AB6C2A0A64_.wvu.FilterData" localSheetId="46" hidden="1">'б-т 971 ПГ (01.01.20)'!$A$5:$AN$416</definedName>
    <definedName name="Z_A930B2E3_B864_4FC6_A0C2_88AB6C2A0A64_.wvu.FilterData" localSheetId="48" hidden="1">'б-т 981 ПГ (01.01.20)'!$A$6:$AN$417</definedName>
    <definedName name="Z_AB4B5584_6AEA_4D85_878E_486477728477_.wvu.Cols" localSheetId="45" hidden="1">'б -т 963 Стим-е (01.01.20)'!$AE:$AH,'б -т 963 Стим-е (01.01.20)'!$JN:$JO,'б -т 963 Стим-е (01.01.20)'!$JQ:$JS,'б -т 963 Стим-е (01.01.20)'!$KA:$KD,'б -т 963 Стим-е (01.01.20)'!$TJ:$TK,'б -т 963 Стим-е (01.01.20)'!$TM:$TO,'б -т 963 Стим-е (01.01.20)'!$TW:$TZ</definedName>
    <definedName name="Z_AB4B5584_6AEA_4D85_878E_486477728477_.wvu.Cols" localSheetId="42" hidden="1">'б-т 955 Стим-е (01.01.20)'!$AE:$AH,'б-т 955 Стим-е (01.01.20)'!$JN:$JO,'б-т 955 Стим-е (01.01.20)'!$JQ:$JS,'б-т 955 Стим-е (01.01.20)'!$KA:$KD,'б-т 955 Стим-е (01.01.20)'!$TJ:$TK,'б-т 955 Стим-е (01.01.20)'!$TM:$TO,'б-т 955 Стим-е (01.01.20)'!$TW:$TZ</definedName>
    <definedName name="Z_AB4B5584_6AEA_4D85_878E_486477728477_.wvu.Cols" localSheetId="28" hidden="1">'б-т 966 Стим-е (01.01.20)'!$AE:$AH,'б-т 966 Стим-е (01.01.20)'!$JN:$JO,'б-т 966 Стим-е (01.01.20)'!$JQ:$JS,'б-т 966 Стим-е (01.01.20)'!$KA:$KD,'б-т 966 Стим-е (01.01.20)'!$TJ:$TK,'б-т 966 Стим-е (01.01.20)'!$TM:$TO,'б-т 966 Стим-е (01.01.20)'!$TW:$TZ</definedName>
    <definedName name="Z_AB4B5584_6AEA_4D85_878E_486477728477_.wvu.Cols" localSheetId="49" hidden="1">'б-т 981 Стим-е (01.01.20)'!$AE:$AH,'б-т 981 Стим-е (01.01.20)'!$JN:$JO,'б-т 981 Стим-е (01.01.20)'!$JQ:$JS,'б-т 981 Стим-е (01.01.20)'!$KA:$KD,'б-т 981 Стим-е (01.01.20)'!$TJ:$TK,'б-т 981 Стим-е (01.01.20)'!$TM:$TO,'б-т 981 Стим-е (01.01.20)'!$TW:$TZ</definedName>
    <definedName name="Z_AB4B5584_6AEA_4D85_878E_486477728477_.wvu.Cols" localSheetId="85" hidden="1">'внеб 963 (01.01.20)'!$X:$AA,'внеб 963 (01.01.20)'!$JG:$JH,'внеб 963 (01.01.20)'!$JJ:$JL,'внеб 963 (01.01.20)'!$JT:$JW,'внеб 963 (01.01.20)'!$TC:$TD,'внеб 963 (01.01.20)'!$TF:$TH,'внеб 963 (01.01.20)'!$TP:$TS</definedName>
    <definedName name="Z_AB4B5584_6AEA_4D85_878E_486477728477_.wvu.Cols" localSheetId="74" hidden="1">'внеб 966 (01.01.20)'!$X:$AA,'внеб 966 (01.01.20)'!$JG:$JH,'внеб 966 (01.01.20)'!$JJ:$JL,'внеб 966 (01.01.20)'!$JT:$JW,'внеб 966 (01.01.20)'!$TC:$TD,'внеб 966 (01.01.20)'!$TF:$TH,'внеб 966 (01.01.20)'!$TP:$TS</definedName>
    <definedName name="Z_AB4B5584_6AEA_4D85_878E_486477728477_.wvu.Cols" localSheetId="58" hidden="1">'субс РТ (01.01.20)'!$AE:$AH,'субс РТ (01.01.20)'!$JN:$JO,'субс РТ (01.01.20)'!$JQ:$JS,'субс РТ (01.01.20)'!$KA:$KD,'субс РТ (01.01.20)'!$TJ:$TK,'субс РТ (01.01.20)'!$TM:$TO,'субс РТ (01.01.20)'!$TW:$TZ</definedName>
    <definedName name="Z_AB4B5584_6AEA_4D85_878E_486477728477_.wvu.FilterData" localSheetId="45" hidden="1">'б -т 963 Стим-е (01.01.20)'!$A$10:$TZ$207</definedName>
    <definedName name="Z_AB4B5584_6AEA_4D85_878E_486477728477_.wvu.FilterData" localSheetId="41" hidden="1">'б-т 955 наркомания (01.01.20)'!$A$10:$AF$44</definedName>
    <definedName name="Z_AB4B5584_6AEA_4D85_878E_486477728477_.wvu.FilterData" localSheetId="42" hidden="1">'б-т 955 Стим-е (01.01.20)'!$A$10:$TZ$207</definedName>
    <definedName name="Z_AB4B5584_6AEA_4D85_878E_486477728477_.wvu.FilterData" localSheetId="44" hidden="1">'б-т 963 Наркомания (01.01.20)'!$A$10:$AF$44</definedName>
    <definedName name="Z_AB4B5584_6AEA_4D85_878E_486477728477_.wvu.FilterData" localSheetId="28" hidden="1">'б-т 966 Стим-е (01.01.20)'!$A$10:$TZ$207</definedName>
    <definedName name="Z_AB4B5584_6AEA_4D85_878E_486477728477_.wvu.FilterData" localSheetId="49" hidden="1">'б-т 981 Стим-е (01.01.20)'!$A$12:$TZ$174</definedName>
    <definedName name="Z_AB4B5584_6AEA_4D85_878E_486477728477_.wvu.FilterData" localSheetId="50" hidden="1">'б-т накомания 981 (01.01.20)'!$A$10:$AF$44</definedName>
    <definedName name="Z_AB4B5584_6AEA_4D85_878E_486477728477_.wvu.FilterData" localSheetId="85" hidden="1">'внеб 963 (01.01.20)'!$A$9:$TS$10</definedName>
    <definedName name="Z_AB4B5584_6AEA_4D85_878E_486477728477_.wvu.FilterData" localSheetId="74" hidden="1">'внеб 966 (01.01.20)'!$A$11:$TS$12</definedName>
    <definedName name="Z_AB4B5584_6AEA_4D85_878E_486477728477_.wvu.FilterData" localSheetId="58" hidden="1">'субс РТ (01.01.20)'!$A$10:$TZ$45</definedName>
    <definedName name="Z_AB4B5584_6AEA_4D85_878E_486477728477_.wvu.PrintArea" localSheetId="45" hidden="1">'б -т 963 Стим-е (01.01.20)'!$A$1:$Z$221</definedName>
    <definedName name="Z_AB4B5584_6AEA_4D85_878E_486477728477_.wvu.PrintArea" localSheetId="41" hidden="1">'б-т 955 наркомания (01.01.20)'!$A$1:$Z$44</definedName>
    <definedName name="Z_AB4B5584_6AEA_4D85_878E_486477728477_.wvu.PrintArea" localSheetId="42" hidden="1">'б-т 955 Стим-е (01.01.20)'!$A$1:$Z$221</definedName>
    <definedName name="Z_AB4B5584_6AEA_4D85_878E_486477728477_.wvu.PrintArea" localSheetId="44" hidden="1">'б-т 963 Наркомания (01.01.20)'!$A$1:$Z$44</definedName>
    <definedName name="Z_AB4B5584_6AEA_4D85_878E_486477728477_.wvu.PrintArea" localSheetId="28" hidden="1">'б-т 966 Стим-е (01.01.20)'!$A$1:$Z$221</definedName>
    <definedName name="Z_AB4B5584_6AEA_4D85_878E_486477728477_.wvu.PrintArea" localSheetId="49" hidden="1">'б-т 981 Стим-е (01.01.20)'!$A$1:$Z$188</definedName>
    <definedName name="Z_AB4B5584_6AEA_4D85_878E_486477728477_.wvu.PrintArea" localSheetId="50" hidden="1">'б-т накомания 981 (01.01.20)'!$A$1:$Z$44</definedName>
    <definedName name="Z_AB4B5584_6AEA_4D85_878E_486477728477_.wvu.PrintArea" localSheetId="85" hidden="1">'внеб 963 (01.01.20)'!$A$1:$S$10</definedName>
    <definedName name="Z_AB4B5584_6AEA_4D85_878E_486477728477_.wvu.PrintArea" localSheetId="74" hidden="1">'внеб 966 (01.01.20)'!$A$1:$S$12</definedName>
    <definedName name="Z_AB4B5584_6AEA_4D85_878E_486477728477_.wvu.PrintArea" localSheetId="58" hidden="1">'субс РТ (01.01.20)'!$A$1:$Z$53</definedName>
    <definedName name="Z_AB4B5584_6AEA_4D85_878E_486477728477_.wvu.PrintTitles" localSheetId="45" hidden="1">'б -т 963 Стим-е (01.01.20)'!$5:$10</definedName>
    <definedName name="Z_AB4B5584_6AEA_4D85_878E_486477728477_.wvu.PrintTitles" localSheetId="41" hidden="1">'б-т 955 наркомания (01.01.20)'!$7:$9</definedName>
    <definedName name="Z_AB4B5584_6AEA_4D85_878E_486477728477_.wvu.PrintTitles" localSheetId="42" hidden="1">'б-т 955 Стим-е (01.01.20)'!$5:$10</definedName>
    <definedName name="Z_AB4B5584_6AEA_4D85_878E_486477728477_.wvu.PrintTitles" localSheetId="44" hidden="1">'б-т 963 Наркомания (01.01.20)'!$7:$9</definedName>
    <definedName name="Z_AB4B5584_6AEA_4D85_878E_486477728477_.wvu.PrintTitles" localSheetId="28" hidden="1">'б-т 966 Стим-е (01.01.20)'!$5:$10</definedName>
    <definedName name="Z_AB4B5584_6AEA_4D85_878E_486477728477_.wvu.PrintTitles" localSheetId="49" hidden="1">'б-т 981 Стим-е (01.01.20)'!$7:$12</definedName>
    <definedName name="Z_AB4B5584_6AEA_4D85_878E_486477728477_.wvu.PrintTitles" localSheetId="50" hidden="1">'б-т накомания 981 (01.01.20)'!$7:$9</definedName>
    <definedName name="Z_AB4B5584_6AEA_4D85_878E_486477728477_.wvu.PrintTitles" localSheetId="85" hidden="1">'внеб 963 (01.01.20)'!$5:$9</definedName>
    <definedName name="Z_AB4B5584_6AEA_4D85_878E_486477728477_.wvu.PrintTitles" localSheetId="74" hidden="1">'внеб 966 (01.01.20)'!$7:$11</definedName>
    <definedName name="Z_AB4B5584_6AEA_4D85_878E_486477728477_.wvu.PrintTitles" localSheetId="58" hidden="1">'субс РТ (01.01.20)'!$5:$10</definedName>
    <definedName name="Z_AB4B5584_6AEA_4D85_878E_486477728477_.wvu.Rows" localSheetId="41" hidden="1">'б-т 955 наркомания (01.01.20)'!$1:$2</definedName>
    <definedName name="Z_AB4B5584_6AEA_4D85_878E_486477728477_.wvu.Rows" localSheetId="44" hidden="1">'б-т 963 Наркомания (01.01.20)'!$1:$2</definedName>
    <definedName name="Z_AB4B5584_6AEA_4D85_878E_486477728477_.wvu.Rows" localSheetId="50" hidden="1">'б-т накомания 981 (01.01.20)'!$1:$2</definedName>
    <definedName name="Z_ACBA2DD8_72B0_4DA1_990F_AD7FEDBD421F_.wvu.FilterData" localSheetId="66" hidden="1">'75 лет (01.01.20)'!$A$5:$AN$81</definedName>
    <definedName name="Z_ACBA2DD8_72B0_4DA1_990F_AD7FEDBD421F_.wvu.FilterData" localSheetId="31" hidden="1">'б-т 922 ПГ (01.01.20) '!$A$5:$AN$145</definedName>
    <definedName name="Z_ACBA2DD8_72B0_4DA1_990F_AD7FEDBD421F_.wvu.FilterData" localSheetId="40" hidden="1">'б-т 955 ПГ (01.01.20)'!$A$5:$AN$145</definedName>
    <definedName name="Z_ACBA2DD8_72B0_4DA1_990F_AD7FEDBD421F_.wvu.FilterData" localSheetId="43" hidden="1">'б-т 963 ПГ (01.01.20)'!$A$5:$AN$145</definedName>
    <definedName name="Z_ACBA2DD8_72B0_4DA1_990F_AD7FEDBD421F_.wvu.FilterData" localSheetId="46" hidden="1">'б-т 971 ПГ (01.01.20)'!$A$5:$AN$145</definedName>
    <definedName name="Z_ACBA2DD8_72B0_4DA1_990F_AD7FEDBD421F_.wvu.FilterData" localSheetId="48" hidden="1">'б-т 981 ПГ (01.01.20)'!$A$6:$AN$146</definedName>
    <definedName name="Z_ADB4C8A9_B118_4C3A_B6EA_5A970AFD7966_.wvu.PrintArea" localSheetId="32" hidden="1">'б-т 925 (01.01.20)'!$A$1:$V$91</definedName>
    <definedName name="Z_ADB4C8A9_B118_4C3A_B6EA_5A970AFD7966_.wvu.PrintTitles" localSheetId="32" hidden="1">'б-т 925 (01.01.20)'!$5:$8</definedName>
    <definedName name="Z_ADB4C8A9_B118_4C3A_B6EA_5A970AFD7966_.wvu.Rows" localSheetId="32" hidden="1">'б-т 925 (01.01.20)'!$9:$14,'б-т 925 (01.01.20)'!$18:$57,'б-т 925 (01.01.20)'!$59:$63,'б-т 925 (01.01.20)'!$66:$66,'б-т 925 (01.01.20)'!$70:$78,'б-т 925 (01.01.20)'!$80:$80</definedName>
    <definedName name="Z_B3251D31_86ED_48C6_8026_3B0B9FA89932_.wvu.FilterData" localSheetId="66" hidden="1">'75 лет (01.01.20)'!$A$5:$AN$81</definedName>
    <definedName name="Z_B3251D31_86ED_48C6_8026_3B0B9FA89932_.wvu.FilterData" localSheetId="31" hidden="1">'б-т 922 ПГ (01.01.20) '!$A$5:$AN$416</definedName>
    <definedName name="Z_B3251D31_86ED_48C6_8026_3B0B9FA89932_.wvu.FilterData" localSheetId="40" hidden="1">'б-т 955 ПГ (01.01.20)'!$A$5:$AN$416</definedName>
    <definedName name="Z_B3251D31_86ED_48C6_8026_3B0B9FA89932_.wvu.FilterData" localSheetId="43" hidden="1">'б-т 963 ПГ (01.01.20)'!$A$5:$AN$416</definedName>
    <definedName name="Z_B3251D31_86ED_48C6_8026_3B0B9FA89932_.wvu.FilterData" localSheetId="46" hidden="1">'б-т 971 ПГ (01.01.20)'!$A$5:$AN$416</definedName>
    <definedName name="Z_B3251D31_86ED_48C6_8026_3B0B9FA89932_.wvu.FilterData" localSheetId="48" hidden="1">'б-т 981 ПГ (01.01.20)'!$A$6:$AN$417</definedName>
    <definedName name="Z_B3361D00_EC21_4D7C_9BAD_12397EC07175_.wvu.FilterData" localSheetId="66" hidden="1">'75 лет (01.01.20)'!$A$5:$AN$81</definedName>
    <definedName name="Z_B3361D00_EC21_4D7C_9BAD_12397EC07175_.wvu.FilterData" localSheetId="31" hidden="1">'б-т 922 ПГ (01.01.20) '!$A$5:$AN$145</definedName>
    <definedName name="Z_B3361D00_EC21_4D7C_9BAD_12397EC07175_.wvu.FilterData" localSheetId="40" hidden="1">'б-т 955 ПГ (01.01.20)'!$A$5:$AN$145</definedName>
    <definedName name="Z_B3361D00_EC21_4D7C_9BAD_12397EC07175_.wvu.FilterData" localSheetId="43" hidden="1">'б-т 963 ПГ (01.01.20)'!$A$5:$AN$145</definedName>
    <definedName name="Z_B3361D00_EC21_4D7C_9BAD_12397EC07175_.wvu.FilterData" localSheetId="46" hidden="1">'б-т 971 ПГ (01.01.20)'!$A$5:$AN$145</definedName>
    <definedName name="Z_B3361D00_EC21_4D7C_9BAD_12397EC07175_.wvu.FilterData" localSheetId="48" hidden="1">'б-т 981 ПГ (01.01.20)'!$A$6:$AN$146</definedName>
    <definedName name="Z_B45EF6CD_C172_4F78_AFB1_5B27E1B83FFB_.wvu.FilterData" localSheetId="66" hidden="1">'75 лет (01.01.20)'!$A$5:$AN$81</definedName>
    <definedName name="Z_B45EF6CD_C172_4F78_AFB1_5B27E1B83FFB_.wvu.FilterData" localSheetId="31" hidden="1">'б-т 922 ПГ (01.01.20) '!$A$5:$AN$416</definedName>
    <definedName name="Z_B45EF6CD_C172_4F78_AFB1_5B27E1B83FFB_.wvu.FilterData" localSheetId="40" hidden="1">'б-т 955 ПГ (01.01.20)'!$A$5:$AN$416</definedName>
    <definedName name="Z_B45EF6CD_C172_4F78_AFB1_5B27E1B83FFB_.wvu.FilterData" localSheetId="43" hidden="1">'б-т 963 ПГ (01.01.20)'!$A$5:$AN$416</definedName>
    <definedName name="Z_B45EF6CD_C172_4F78_AFB1_5B27E1B83FFB_.wvu.FilterData" localSheetId="46" hidden="1">'б-т 971 ПГ (01.01.20)'!$A$5:$AN$416</definedName>
    <definedName name="Z_B45EF6CD_C172_4F78_AFB1_5B27E1B83FFB_.wvu.FilterData" localSheetId="48" hidden="1">'б-т 981 ПГ (01.01.20)'!$A$6:$AN$417</definedName>
    <definedName name="Z_B65D87E4_C539_4E42_98B3_572CAF9954D8_.wvu.FilterData" localSheetId="41" hidden="1">'б-т 955 наркомания (01.01.20)'!$A$10:$AF$44</definedName>
    <definedName name="Z_B65D87E4_C539_4E42_98B3_572CAF9954D8_.wvu.FilterData" localSheetId="44" hidden="1">'б-т 963 Наркомания (01.01.20)'!$A$10:$AF$44</definedName>
    <definedName name="Z_B65D87E4_C539_4E42_98B3_572CAF9954D8_.wvu.FilterData" localSheetId="50" hidden="1">'б-т накомания 981 (01.01.20)'!$A$10:$AF$44</definedName>
    <definedName name="Z_B9303702_B539_41E3_B399_C955A4003539_.wvu.FilterData" localSheetId="45" hidden="1">'б -т 963 Стим-е (01.01.20)'!$A$10:$TZ$207</definedName>
    <definedName name="Z_B9303702_B539_41E3_B399_C955A4003539_.wvu.FilterData" localSheetId="42" hidden="1">'б-т 955 Стим-е (01.01.20)'!$A$10:$TZ$207</definedName>
    <definedName name="Z_B9303702_B539_41E3_B399_C955A4003539_.wvu.FilterData" localSheetId="28" hidden="1">'б-т 966 Стим-е (01.01.20)'!$A$10:$TZ$207</definedName>
    <definedName name="Z_B9303702_B539_41E3_B399_C955A4003539_.wvu.FilterData" localSheetId="49" hidden="1">'б-т 981 Стим-е (01.01.20)'!$A$12:$TZ$174</definedName>
    <definedName name="Z_B9303702_B539_41E3_B399_C955A4003539_.wvu.FilterData" localSheetId="58" hidden="1">'субс РТ (01.01.20)'!$A$10:$TZ$45</definedName>
    <definedName name="Z_BCC2535A_4DF0_4ACC_A239_9EB662D29688_.wvu.FilterData" localSheetId="66" hidden="1">'75 лет (01.01.20)'!$A$5:$AN$81</definedName>
    <definedName name="Z_BCC2535A_4DF0_4ACC_A239_9EB662D29688_.wvu.FilterData" localSheetId="31" hidden="1">'б-т 922 ПГ (01.01.20) '!$A$5:$AN$145</definedName>
    <definedName name="Z_BCC2535A_4DF0_4ACC_A239_9EB662D29688_.wvu.FilterData" localSheetId="40" hidden="1">'б-т 955 ПГ (01.01.20)'!$A$5:$AN$145</definedName>
    <definedName name="Z_BCC2535A_4DF0_4ACC_A239_9EB662D29688_.wvu.FilterData" localSheetId="43" hidden="1">'б-т 963 ПГ (01.01.20)'!$A$5:$AN$145</definedName>
    <definedName name="Z_BCC2535A_4DF0_4ACC_A239_9EB662D29688_.wvu.FilterData" localSheetId="46" hidden="1">'б-т 971 ПГ (01.01.20)'!$A$5:$AN$145</definedName>
    <definedName name="Z_BCC2535A_4DF0_4ACC_A239_9EB662D29688_.wvu.FilterData" localSheetId="48" hidden="1">'б-т 981 ПГ (01.01.20)'!$A$6:$AN$146</definedName>
    <definedName name="Z_BCF3BD66_8D3C_4B55_86C6_64CA8BF69D1E_.wvu.FilterData" localSheetId="66" hidden="1">'75 лет (01.01.20)'!$A$5:$AN$81</definedName>
    <definedName name="Z_BCF3BD66_8D3C_4B55_86C6_64CA8BF69D1E_.wvu.FilterData" localSheetId="31" hidden="1">'б-т 922 ПГ (01.01.20) '!$A$5:$AN$145</definedName>
    <definedName name="Z_BCF3BD66_8D3C_4B55_86C6_64CA8BF69D1E_.wvu.FilterData" localSheetId="40" hidden="1">'б-т 955 ПГ (01.01.20)'!$A$5:$AN$145</definedName>
    <definedName name="Z_BCF3BD66_8D3C_4B55_86C6_64CA8BF69D1E_.wvu.FilterData" localSheetId="43" hidden="1">'б-т 963 ПГ (01.01.20)'!$A$5:$AN$145</definedName>
    <definedName name="Z_BCF3BD66_8D3C_4B55_86C6_64CA8BF69D1E_.wvu.FilterData" localSheetId="46" hidden="1">'б-т 971 ПГ (01.01.20)'!$A$5:$AN$145</definedName>
    <definedName name="Z_BCF3BD66_8D3C_4B55_86C6_64CA8BF69D1E_.wvu.FilterData" localSheetId="48" hidden="1">'б-т 981 ПГ (01.01.20)'!$A$6:$AN$146</definedName>
    <definedName name="Z_BD0A6D4D_102D_4413_A142_17C883E84C8C_.wvu.FilterData" localSheetId="45" hidden="1">'б -т 963 Стим-е (01.01.20)'!$A$10:$TZ$207</definedName>
    <definedName name="Z_BD0A6D4D_102D_4413_A142_17C883E84C8C_.wvu.FilterData" localSheetId="42" hidden="1">'б-т 955 Стим-е (01.01.20)'!$A$10:$TZ$207</definedName>
    <definedName name="Z_BD0A6D4D_102D_4413_A142_17C883E84C8C_.wvu.FilterData" localSheetId="28" hidden="1">'б-т 966 Стим-е (01.01.20)'!$A$10:$TZ$207</definedName>
    <definedName name="Z_BD0A6D4D_102D_4413_A142_17C883E84C8C_.wvu.FilterData" localSheetId="49" hidden="1">'б-т 981 Стим-е (01.01.20)'!$A$12:$TZ$174</definedName>
    <definedName name="Z_BD0A6D4D_102D_4413_A142_17C883E84C8C_.wvu.FilterData" localSheetId="58" hidden="1">'субс РТ (01.01.20)'!$A$10:$TZ$45</definedName>
    <definedName name="Z_C2AE02B0_71B0_41B3_B151_52BBF456F944_.wvu.FilterData" localSheetId="66" hidden="1">'75 лет (01.01.20)'!$A$8:$AN$81</definedName>
    <definedName name="Z_C2AE02B0_71B0_41B3_B151_52BBF456F944_.wvu.FilterData" localSheetId="31" hidden="1">'б-т 922 ПГ (01.01.20) '!$A$8:$AN$416</definedName>
    <definedName name="Z_C2AE02B0_71B0_41B3_B151_52BBF456F944_.wvu.FilterData" localSheetId="40" hidden="1">'б-т 955 ПГ (01.01.20)'!$A$8:$AN$416</definedName>
    <definedName name="Z_C2AE02B0_71B0_41B3_B151_52BBF456F944_.wvu.FilterData" localSheetId="43" hidden="1">'б-т 963 ПГ (01.01.20)'!$A$8:$AN$416</definedName>
    <definedName name="Z_C2AE02B0_71B0_41B3_B151_52BBF456F944_.wvu.FilterData" localSheetId="46" hidden="1">'б-т 971 ПГ (01.01.20)'!$A$8:$AN$416</definedName>
    <definedName name="Z_C2AE02B0_71B0_41B3_B151_52BBF456F944_.wvu.FilterData" localSheetId="48" hidden="1">'б-т 981 ПГ (01.01.20)'!$A$9:$AN$417</definedName>
    <definedName name="Z_C3AAFEAB_B3D2_4E74_B690_753DE8773281_.wvu.FilterData" localSheetId="66" hidden="1">'75 лет (01.01.20)'!$A$5:$AN$81</definedName>
    <definedName name="Z_C3AAFEAB_B3D2_4E74_B690_753DE8773281_.wvu.FilterData" localSheetId="31" hidden="1">'б-т 922 ПГ (01.01.20) '!$A$5:$AN$145</definedName>
    <definedName name="Z_C3AAFEAB_B3D2_4E74_B690_753DE8773281_.wvu.FilterData" localSheetId="40" hidden="1">'б-т 955 ПГ (01.01.20)'!$A$5:$AN$145</definedName>
    <definedName name="Z_C3AAFEAB_B3D2_4E74_B690_753DE8773281_.wvu.FilterData" localSheetId="43" hidden="1">'б-т 963 ПГ (01.01.20)'!$A$5:$AN$145</definedName>
    <definedName name="Z_C3AAFEAB_B3D2_4E74_B690_753DE8773281_.wvu.FilterData" localSheetId="46" hidden="1">'б-т 971 ПГ (01.01.20)'!$A$5:$AN$145</definedName>
    <definedName name="Z_C3AAFEAB_B3D2_4E74_B690_753DE8773281_.wvu.FilterData" localSheetId="48" hidden="1">'б-т 981 ПГ (01.01.20)'!$A$6:$AN$146</definedName>
    <definedName name="Z_C940DF22_E464_44BC_AB73_BDE2E36D52E7_.wvu.FilterData" localSheetId="66" hidden="1">'75 лет (01.01.20)'!$A$5:$AN$81</definedName>
    <definedName name="Z_C940DF22_E464_44BC_AB73_BDE2E36D52E7_.wvu.FilterData" localSheetId="31" hidden="1">'б-т 922 ПГ (01.01.20) '!$A$5:$AN$145</definedName>
    <definedName name="Z_C940DF22_E464_44BC_AB73_BDE2E36D52E7_.wvu.FilterData" localSheetId="40" hidden="1">'б-т 955 ПГ (01.01.20)'!$A$5:$AN$145</definedName>
    <definedName name="Z_C940DF22_E464_44BC_AB73_BDE2E36D52E7_.wvu.FilterData" localSheetId="43" hidden="1">'б-т 963 ПГ (01.01.20)'!$A$5:$AN$145</definedName>
    <definedName name="Z_C940DF22_E464_44BC_AB73_BDE2E36D52E7_.wvu.FilterData" localSheetId="46" hidden="1">'б-т 971 ПГ (01.01.20)'!$A$5:$AN$145</definedName>
    <definedName name="Z_C940DF22_E464_44BC_AB73_BDE2E36D52E7_.wvu.FilterData" localSheetId="48" hidden="1">'б-т 981 ПГ (01.01.20)'!$A$6:$AN$146</definedName>
    <definedName name="Z_C942E49C_196A_4F7C_A135_4442AE30ABAF_.wvu.FilterData" localSheetId="66" hidden="1">'75 лет (01.01.20)'!$A$5:$AN$81</definedName>
    <definedName name="Z_C942E49C_196A_4F7C_A135_4442AE30ABAF_.wvu.FilterData" localSheetId="31" hidden="1">'б-т 922 ПГ (01.01.20) '!$A$5:$AN$145</definedName>
    <definedName name="Z_C942E49C_196A_4F7C_A135_4442AE30ABAF_.wvu.FilterData" localSheetId="40" hidden="1">'б-т 955 ПГ (01.01.20)'!$A$5:$AN$145</definedName>
    <definedName name="Z_C942E49C_196A_4F7C_A135_4442AE30ABAF_.wvu.FilterData" localSheetId="43" hidden="1">'б-т 963 ПГ (01.01.20)'!$A$5:$AN$145</definedName>
    <definedName name="Z_C942E49C_196A_4F7C_A135_4442AE30ABAF_.wvu.FilterData" localSheetId="46" hidden="1">'б-т 971 ПГ (01.01.20)'!$A$5:$AN$145</definedName>
    <definedName name="Z_C942E49C_196A_4F7C_A135_4442AE30ABAF_.wvu.FilterData" localSheetId="48" hidden="1">'б-т 981 ПГ (01.01.20)'!$A$6:$AN$146</definedName>
    <definedName name="Z_CAA2BB5E_8410_4E43_8FCE_EAE5DF87FF37_.wvu.FilterData" localSheetId="66" hidden="1">'75 лет (01.01.20)'!$A$5:$AN$81</definedName>
    <definedName name="Z_CAA2BB5E_8410_4E43_8FCE_EAE5DF87FF37_.wvu.FilterData" localSheetId="31" hidden="1">'б-т 922 ПГ (01.01.20) '!$A$5:$AN$145</definedName>
    <definedName name="Z_CAA2BB5E_8410_4E43_8FCE_EAE5DF87FF37_.wvu.FilterData" localSheetId="40" hidden="1">'б-т 955 ПГ (01.01.20)'!$A$5:$AN$145</definedName>
    <definedName name="Z_CAA2BB5E_8410_4E43_8FCE_EAE5DF87FF37_.wvu.FilterData" localSheetId="43" hidden="1">'б-т 963 ПГ (01.01.20)'!$A$5:$AN$145</definedName>
    <definedName name="Z_CAA2BB5E_8410_4E43_8FCE_EAE5DF87FF37_.wvu.FilterData" localSheetId="46" hidden="1">'б-т 971 ПГ (01.01.20)'!$A$5:$AN$145</definedName>
    <definedName name="Z_CAA2BB5E_8410_4E43_8FCE_EAE5DF87FF37_.wvu.FilterData" localSheetId="48" hidden="1">'б-т 981 ПГ (01.01.20)'!$A$6:$AN$146</definedName>
    <definedName name="Z_CB86477E_076F_462B_B424_37689B3FF50D_.wvu.FilterData" localSheetId="66" hidden="1">'75 лет (01.01.20)'!$A$8:$AN$81</definedName>
    <definedName name="Z_CB86477E_076F_462B_B424_37689B3FF50D_.wvu.FilterData" localSheetId="45" hidden="1">'б -т 963 Стим-е (01.01.20)'!$A$10:$TZ$207</definedName>
    <definedName name="Z_CB86477E_076F_462B_B424_37689B3FF50D_.wvu.FilterData" localSheetId="31" hidden="1">'б-т 922 ПГ (01.01.20) '!$A$8:$AN$416</definedName>
    <definedName name="Z_CB86477E_076F_462B_B424_37689B3FF50D_.wvu.FilterData" localSheetId="40" hidden="1">'б-т 955 ПГ (01.01.20)'!$A$8:$AN$416</definedName>
    <definedName name="Z_CB86477E_076F_462B_B424_37689B3FF50D_.wvu.FilterData" localSheetId="42" hidden="1">'б-т 955 Стим-е (01.01.20)'!$A$10:$TZ$207</definedName>
    <definedName name="Z_CB86477E_076F_462B_B424_37689B3FF50D_.wvu.FilterData" localSheetId="43" hidden="1">'б-т 963 ПГ (01.01.20)'!$A$8:$AN$416</definedName>
    <definedName name="Z_CB86477E_076F_462B_B424_37689B3FF50D_.wvu.FilterData" localSheetId="28" hidden="1">'б-т 966 Стим-е (01.01.20)'!$A$10:$TZ$207</definedName>
    <definedName name="Z_CB86477E_076F_462B_B424_37689B3FF50D_.wvu.FilterData" localSheetId="46" hidden="1">'б-т 971 ПГ (01.01.20)'!$A$8:$AN$416</definedName>
    <definedName name="Z_CB86477E_076F_462B_B424_37689B3FF50D_.wvu.FilterData" localSheetId="48" hidden="1">'б-т 981 ПГ (01.01.20)'!$A$9:$AN$417</definedName>
    <definedName name="Z_CB86477E_076F_462B_B424_37689B3FF50D_.wvu.FilterData" localSheetId="49" hidden="1">'б-т 981 Стим-е (01.01.20)'!$A$12:$TZ$174</definedName>
    <definedName name="Z_CB86477E_076F_462B_B424_37689B3FF50D_.wvu.FilterData" localSheetId="58" hidden="1">'субс РТ (01.01.20)'!$A$10:$TZ$45</definedName>
    <definedName name="Z_CB9A4BBA_5EBA_4657_8588_D87AF6A59ACE_.wvu.FilterData" localSheetId="66" hidden="1">'75 лет (01.01.20)'!$A$5:$AN$81</definedName>
    <definedName name="Z_CB9A4BBA_5EBA_4657_8588_D87AF6A59ACE_.wvu.FilterData" localSheetId="31" hidden="1">'б-т 922 ПГ (01.01.20) '!$A$5:$AN$145</definedName>
    <definedName name="Z_CB9A4BBA_5EBA_4657_8588_D87AF6A59ACE_.wvu.FilterData" localSheetId="40" hidden="1">'б-т 955 ПГ (01.01.20)'!$A$5:$AN$145</definedName>
    <definedName name="Z_CB9A4BBA_5EBA_4657_8588_D87AF6A59ACE_.wvu.FilterData" localSheetId="43" hidden="1">'б-т 963 ПГ (01.01.20)'!$A$5:$AN$145</definedName>
    <definedName name="Z_CB9A4BBA_5EBA_4657_8588_D87AF6A59ACE_.wvu.FilterData" localSheetId="46" hidden="1">'б-т 971 ПГ (01.01.20)'!$A$5:$AN$145</definedName>
    <definedName name="Z_CB9A4BBA_5EBA_4657_8588_D87AF6A59ACE_.wvu.FilterData" localSheetId="48" hidden="1">'б-т 981 ПГ (01.01.20)'!$A$6:$AN$146</definedName>
    <definedName name="Z_D3E752A2_42EC_4587_A0EE_5E12B9C8C114_.wvu.FilterData" localSheetId="66" hidden="1">'75 лет (01.01.20)'!$A$5:$AN$81</definedName>
    <definedName name="Z_D3E752A2_42EC_4587_A0EE_5E12B9C8C114_.wvu.FilterData" localSheetId="31" hidden="1">'б-т 922 ПГ (01.01.20) '!$A$5:$AN$416</definedName>
    <definedName name="Z_D3E752A2_42EC_4587_A0EE_5E12B9C8C114_.wvu.FilterData" localSheetId="40" hidden="1">'б-т 955 ПГ (01.01.20)'!$A$5:$AN$416</definedName>
    <definedName name="Z_D3E752A2_42EC_4587_A0EE_5E12B9C8C114_.wvu.FilterData" localSheetId="43" hidden="1">'б-т 963 ПГ (01.01.20)'!$A$5:$AN$416</definedName>
    <definedName name="Z_D3E752A2_42EC_4587_A0EE_5E12B9C8C114_.wvu.FilterData" localSheetId="46" hidden="1">'б-т 971 ПГ (01.01.20)'!$A$5:$AN$416</definedName>
    <definedName name="Z_D3E752A2_42EC_4587_A0EE_5E12B9C8C114_.wvu.FilterData" localSheetId="48" hidden="1">'б-т 981 ПГ (01.01.20)'!$A$6:$AN$417</definedName>
    <definedName name="Z_D40E3A85_0A32_4020_B44B_8E392E23A90F_.wvu.FilterData" localSheetId="66" hidden="1">'75 лет (01.01.20)'!$A$5:$AN$81</definedName>
    <definedName name="Z_D40E3A85_0A32_4020_B44B_8E392E23A90F_.wvu.FilterData" localSheetId="31" hidden="1">'б-т 922 ПГ (01.01.20) '!$A$5:$AN$145</definedName>
    <definedName name="Z_D40E3A85_0A32_4020_B44B_8E392E23A90F_.wvu.FilterData" localSheetId="40" hidden="1">'б-т 955 ПГ (01.01.20)'!$A$5:$AN$145</definedName>
    <definedName name="Z_D40E3A85_0A32_4020_B44B_8E392E23A90F_.wvu.FilterData" localSheetId="43" hidden="1">'б-т 963 ПГ (01.01.20)'!$A$5:$AN$145</definedName>
    <definedName name="Z_D40E3A85_0A32_4020_B44B_8E392E23A90F_.wvu.FilterData" localSheetId="46" hidden="1">'б-т 971 ПГ (01.01.20)'!$A$5:$AN$145</definedName>
    <definedName name="Z_D40E3A85_0A32_4020_B44B_8E392E23A90F_.wvu.FilterData" localSheetId="48" hidden="1">'б-т 981 ПГ (01.01.20)'!$A$6:$AN$146</definedName>
    <definedName name="Z_D4D83618_FF7D_4E45_8CB9_063520BD0463_.wvu.FilterData" localSheetId="66" hidden="1">'75 лет (01.01.20)'!$A$5:$AN$81</definedName>
    <definedName name="Z_D4D83618_FF7D_4E45_8CB9_063520BD0463_.wvu.FilterData" localSheetId="31" hidden="1">'б-т 922 ПГ (01.01.20) '!$A$5:$AN$416</definedName>
    <definedName name="Z_D4D83618_FF7D_4E45_8CB9_063520BD0463_.wvu.FilterData" localSheetId="40" hidden="1">'б-т 955 ПГ (01.01.20)'!$A$5:$AN$416</definedName>
    <definedName name="Z_D4D83618_FF7D_4E45_8CB9_063520BD0463_.wvu.FilterData" localSheetId="43" hidden="1">'б-т 963 ПГ (01.01.20)'!$A$5:$AN$416</definedName>
    <definedName name="Z_D4D83618_FF7D_4E45_8CB9_063520BD0463_.wvu.FilterData" localSheetId="46" hidden="1">'б-т 971 ПГ (01.01.20)'!$A$5:$AN$416</definedName>
    <definedName name="Z_D4D83618_FF7D_4E45_8CB9_063520BD0463_.wvu.FilterData" localSheetId="48" hidden="1">'б-т 981 ПГ (01.01.20)'!$A$6:$AN$417</definedName>
    <definedName name="Z_D5236845_B12D_4D32_9E78_2081FBA495B5_.wvu.FilterData" localSheetId="66" hidden="1">'75 лет (01.01.20)'!$A$5:$AN$81</definedName>
    <definedName name="Z_D5236845_B12D_4D32_9E78_2081FBA495B5_.wvu.FilterData" localSheetId="31" hidden="1">'б-т 922 ПГ (01.01.20) '!$A$5:$AN$416</definedName>
    <definedName name="Z_D5236845_B12D_4D32_9E78_2081FBA495B5_.wvu.FilterData" localSheetId="40" hidden="1">'б-т 955 ПГ (01.01.20)'!$A$5:$AN$416</definedName>
    <definedName name="Z_D5236845_B12D_4D32_9E78_2081FBA495B5_.wvu.FilterData" localSheetId="43" hidden="1">'б-т 963 ПГ (01.01.20)'!$A$5:$AN$416</definedName>
    <definedName name="Z_D5236845_B12D_4D32_9E78_2081FBA495B5_.wvu.FilterData" localSheetId="46" hidden="1">'б-т 971 ПГ (01.01.20)'!$A$5:$AN$416</definedName>
    <definedName name="Z_D5236845_B12D_4D32_9E78_2081FBA495B5_.wvu.FilterData" localSheetId="48" hidden="1">'б-т 981 ПГ (01.01.20)'!$A$6:$AN$417</definedName>
    <definedName name="Z_D5EEEF5B_BA60_4C0A_8A39_AD4068635FB5_.wvu.FilterData" localSheetId="66" hidden="1">'75 лет (01.01.20)'!$A$5:$AN$81</definedName>
    <definedName name="Z_D5EEEF5B_BA60_4C0A_8A39_AD4068635FB5_.wvu.FilterData" localSheetId="45" hidden="1">'б -т 963 Стим-е (01.01.20)'!$A$10:$TZ$207</definedName>
    <definedName name="Z_D5EEEF5B_BA60_4C0A_8A39_AD4068635FB5_.wvu.FilterData" localSheetId="31" hidden="1">'б-т 922 ПГ (01.01.20) '!$A$5:$AN$145</definedName>
    <definedName name="Z_D5EEEF5B_BA60_4C0A_8A39_AD4068635FB5_.wvu.FilterData" localSheetId="41" hidden="1">'б-т 955 наркомания (01.01.20)'!$A$10:$AF$44</definedName>
    <definedName name="Z_D5EEEF5B_BA60_4C0A_8A39_AD4068635FB5_.wvu.FilterData" localSheetId="40" hidden="1">'б-т 955 ПГ (01.01.20)'!$A$5:$AN$145</definedName>
    <definedName name="Z_D5EEEF5B_BA60_4C0A_8A39_AD4068635FB5_.wvu.FilterData" localSheetId="42" hidden="1">'б-т 955 Стим-е (01.01.20)'!$A$10:$TZ$207</definedName>
    <definedName name="Z_D5EEEF5B_BA60_4C0A_8A39_AD4068635FB5_.wvu.FilterData" localSheetId="44" hidden="1">'б-т 963 Наркомания (01.01.20)'!$A$10:$AF$44</definedName>
    <definedName name="Z_D5EEEF5B_BA60_4C0A_8A39_AD4068635FB5_.wvu.FilterData" localSheetId="43" hidden="1">'б-т 963 ПГ (01.01.20)'!$A$5:$AN$145</definedName>
    <definedName name="Z_D5EEEF5B_BA60_4C0A_8A39_AD4068635FB5_.wvu.FilterData" localSheetId="28" hidden="1">'б-т 966 Стим-е (01.01.20)'!$A$10:$TZ$207</definedName>
    <definedName name="Z_D5EEEF5B_BA60_4C0A_8A39_AD4068635FB5_.wvu.FilterData" localSheetId="46" hidden="1">'б-т 971 ПГ (01.01.20)'!$A$5:$AN$145</definedName>
    <definedName name="Z_D5EEEF5B_BA60_4C0A_8A39_AD4068635FB5_.wvu.FilterData" localSheetId="48" hidden="1">'б-т 981 ПГ (01.01.20)'!$A$6:$AN$146</definedName>
    <definedName name="Z_D5EEEF5B_BA60_4C0A_8A39_AD4068635FB5_.wvu.FilterData" localSheetId="49" hidden="1">'б-т 981 Стим-е (01.01.20)'!$A$12:$TZ$174</definedName>
    <definedName name="Z_D5EEEF5B_BA60_4C0A_8A39_AD4068635FB5_.wvu.FilterData" localSheetId="50" hidden="1">'б-т накомания 981 (01.01.20)'!$A$10:$AF$44</definedName>
    <definedName name="Z_D5EEEF5B_BA60_4C0A_8A39_AD4068635FB5_.wvu.FilterData" localSheetId="58" hidden="1">'субс РТ (01.01.20)'!$A$10:$TZ$45</definedName>
    <definedName name="Z_D5EEEF5B_BA60_4C0A_8A39_AD4068635FB5_.wvu.PrintArea" localSheetId="45" hidden="1">'б -т 963 Стим-е (01.01.20)'!$A$1:$Z$245</definedName>
    <definedName name="Z_D5EEEF5B_BA60_4C0A_8A39_AD4068635FB5_.wvu.PrintArea" localSheetId="41" hidden="1">'б-т 955 наркомания (01.01.20)'!$A$3:$Z$44</definedName>
    <definedName name="Z_D5EEEF5B_BA60_4C0A_8A39_AD4068635FB5_.wvu.PrintArea" localSheetId="42" hidden="1">'б-т 955 Стим-е (01.01.20)'!$A$1:$Z$245</definedName>
    <definedName name="Z_D5EEEF5B_BA60_4C0A_8A39_AD4068635FB5_.wvu.PrintArea" localSheetId="44" hidden="1">'б-т 963 Наркомания (01.01.20)'!$A$3:$Z$44</definedName>
    <definedName name="Z_D5EEEF5B_BA60_4C0A_8A39_AD4068635FB5_.wvu.PrintArea" localSheetId="28" hidden="1">'б-т 966 Стим-е (01.01.20)'!$A$1:$Z$245</definedName>
    <definedName name="Z_D5EEEF5B_BA60_4C0A_8A39_AD4068635FB5_.wvu.PrintArea" localSheetId="49" hidden="1">'б-т 981 Стим-е (01.01.20)'!$A$1:$Z$212</definedName>
    <definedName name="Z_D5EEEF5B_BA60_4C0A_8A39_AD4068635FB5_.wvu.PrintArea" localSheetId="50" hidden="1">'б-т накомания 981 (01.01.20)'!$A$3:$Z$44</definedName>
    <definedName name="Z_D5EEEF5B_BA60_4C0A_8A39_AD4068635FB5_.wvu.PrintArea" localSheetId="58" hidden="1">'субс РТ (01.01.20)'!$A$1:$Z$77</definedName>
    <definedName name="Z_D5EEEF5B_BA60_4C0A_8A39_AD4068635FB5_.wvu.PrintTitles" localSheetId="45" hidden="1">'б -т 963 Стим-е (01.01.20)'!$5:$10</definedName>
    <definedName name="Z_D5EEEF5B_BA60_4C0A_8A39_AD4068635FB5_.wvu.PrintTitles" localSheetId="41" hidden="1">'б-т 955 наркомания (01.01.20)'!$7:$9</definedName>
    <definedName name="Z_D5EEEF5B_BA60_4C0A_8A39_AD4068635FB5_.wvu.PrintTitles" localSheetId="42" hidden="1">'б-т 955 Стим-е (01.01.20)'!$5:$10</definedName>
    <definedName name="Z_D5EEEF5B_BA60_4C0A_8A39_AD4068635FB5_.wvu.PrintTitles" localSheetId="44" hidden="1">'б-т 963 Наркомания (01.01.20)'!$7:$9</definedName>
    <definedName name="Z_D5EEEF5B_BA60_4C0A_8A39_AD4068635FB5_.wvu.PrintTitles" localSheetId="28" hidden="1">'б-т 966 Стим-е (01.01.20)'!$5:$10</definedName>
    <definedName name="Z_D5EEEF5B_BA60_4C0A_8A39_AD4068635FB5_.wvu.PrintTitles" localSheetId="49" hidden="1">'б-т 981 Стим-е (01.01.20)'!$7:$12</definedName>
    <definedName name="Z_D5EEEF5B_BA60_4C0A_8A39_AD4068635FB5_.wvu.PrintTitles" localSheetId="50" hidden="1">'б-т накомания 981 (01.01.20)'!$7:$9</definedName>
    <definedName name="Z_D5EEEF5B_BA60_4C0A_8A39_AD4068635FB5_.wvu.PrintTitles" localSheetId="58" hidden="1">'субс РТ (01.01.20)'!$5:$10</definedName>
    <definedName name="Z_D5EEEF5B_BA60_4C0A_8A39_AD4068635FB5_.wvu.Rows" localSheetId="45" hidden="1">'б -т 963 Стим-е (01.01.20)'!#REF!</definedName>
    <definedName name="Z_D5EEEF5B_BA60_4C0A_8A39_AD4068635FB5_.wvu.Rows" localSheetId="41" hidden="1">'б-т 955 наркомания (01.01.20)'!$1:$2</definedName>
    <definedName name="Z_D5EEEF5B_BA60_4C0A_8A39_AD4068635FB5_.wvu.Rows" localSheetId="42" hidden="1">'б-т 955 Стим-е (01.01.20)'!#REF!</definedName>
    <definedName name="Z_D5EEEF5B_BA60_4C0A_8A39_AD4068635FB5_.wvu.Rows" localSheetId="44" hidden="1">'б-т 963 Наркомания (01.01.20)'!$1:$2</definedName>
    <definedName name="Z_D5EEEF5B_BA60_4C0A_8A39_AD4068635FB5_.wvu.Rows" localSheetId="28" hidden="1">'б-т 966 Стим-е (01.01.20)'!#REF!</definedName>
    <definedName name="Z_D5EEEF5B_BA60_4C0A_8A39_AD4068635FB5_.wvu.Rows" localSheetId="49" hidden="1">'б-т 981 Стим-е (01.01.20)'!#REF!</definedName>
    <definedName name="Z_D5EEEF5B_BA60_4C0A_8A39_AD4068635FB5_.wvu.Rows" localSheetId="50" hidden="1">'б-т накомания 981 (01.01.20)'!$1:$2</definedName>
    <definedName name="Z_D5EEEF5B_BA60_4C0A_8A39_AD4068635FB5_.wvu.Rows" localSheetId="58" hidden="1">'субс РТ (01.01.20)'!#REF!</definedName>
    <definedName name="Z_D6A8F906_6735_47D2_BAC0_FCD9203FF408_.wvu.FilterData" localSheetId="66" hidden="1">'75 лет (01.01.20)'!$A$5:$AN$81</definedName>
    <definedName name="Z_D6A8F906_6735_47D2_BAC0_FCD9203FF408_.wvu.FilterData" localSheetId="31" hidden="1">'б-т 922 ПГ (01.01.20) '!$A$5:$AN$416</definedName>
    <definedName name="Z_D6A8F906_6735_47D2_BAC0_FCD9203FF408_.wvu.FilterData" localSheetId="40" hidden="1">'б-т 955 ПГ (01.01.20)'!$A$5:$AN$416</definedName>
    <definedName name="Z_D6A8F906_6735_47D2_BAC0_FCD9203FF408_.wvu.FilterData" localSheetId="43" hidden="1">'б-т 963 ПГ (01.01.20)'!$A$5:$AN$416</definedName>
    <definedName name="Z_D6A8F906_6735_47D2_BAC0_FCD9203FF408_.wvu.FilterData" localSheetId="46" hidden="1">'б-т 971 ПГ (01.01.20)'!$A$5:$AN$416</definedName>
    <definedName name="Z_D6A8F906_6735_47D2_BAC0_FCD9203FF408_.wvu.FilterData" localSheetId="48" hidden="1">'б-т 981 ПГ (01.01.20)'!$A$6:$AN$417</definedName>
    <definedName name="Z_D98B1E5B_4FCF_4F21_AAB9_6B405CC4E748_.wvu.FilterData" localSheetId="66" hidden="1">'75 лет (01.01.20)'!$A$5:$AN$81</definedName>
    <definedName name="Z_D98B1E5B_4FCF_4F21_AAB9_6B405CC4E748_.wvu.FilterData" localSheetId="31" hidden="1">'б-т 922 ПГ (01.01.20) '!$A$5:$AN$145</definedName>
    <definedName name="Z_D98B1E5B_4FCF_4F21_AAB9_6B405CC4E748_.wvu.FilterData" localSheetId="40" hidden="1">'б-т 955 ПГ (01.01.20)'!$A$5:$AN$145</definedName>
    <definedName name="Z_D98B1E5B_4FCF_4F21_AAB9_6B405CC4E748_.wvu.FilterData" localSheetId="43" hidden="1">'б-т 963 ПГ (01.01.20)'!$A$5:$AN$145</definedName>
    <definedName name="Z_D98B1E5B_4FCF_4F21_AAB9_6B405CC4E748_.wvu.FilterData" localSheetId="46" hidden="1">'б-т 971 ПГ (01.01.20)'!$A$5:$AN$145</definedName>
    <definedName name="Z_D98B1E5B_4FCF_4F21_AAB9_6B405CC4E748_.wvu.FilterData" localSheetId="48" hidden="1">'б-т 981 ПГ (01.01.20)'!$A$6:$AN$146</definedName>
    <definedName name="Z_D9B20B87_9D8D_4FFF_A5B6_1ED6687A420E_.wvu.FilterData" localSheetId="66" hidden="1">'75 лет (01.01.20)'!$A$5:$AN$81</definedName>
    <definedName name="Z_D9B20B87_9D8D_4FFF_A5B6_1ED6687A420E_.wvu.FilterData" localSheetId="31" hidden="1">'б-т 922 ПГ (01.01.20) '!$A$5:$AN$145</definedName>
    <definedName name="Z_D9B20B87_9D8D_4FFF_A5B6_1ED6687A420E_.wvu.FilterData" localSheetId="40" hidden="1">'б-т 955 ПГ (01.01.20)'!$A$5:$AN$145</definedName>
    <definedName name="Z_D9B20B87_9D8D_4FFF_A5B6_1ED6687A420E_.wvu.FilterData" localSheetId="43" hidden="1">'б-т 963 ПГ (01.01.20)'!$A$5:$AN$145</definedName>
    <definedName name="Z_D9B20B87_9D8D_4FFF_A5B6_1ED6687A420E_.wvu.FilterData" localSheetId="46" hidden="1">'б-т 971 ПГ (01.01.20)'!$A$5:$AN$145</definedName>
    <definedName name="Z_D9B20B87_9D8D_4FFF_A5B6_1ED6687A420E_.wvu.FilterData" localSheetId="48" hidden="1">'б-т 981 ПГ (01.01.20)'!$A$6:$AN$146</definedName>
    <definedName name="Z_DA091790_29F1_4B6F_B27F_7B975C2C432D_.wvu.FilterData" localSheetId="66" hidden="1">'75 лет (01.01.20)'!$A$5:$AN$81</definedName>
    <definedName name="Z_DA091790_29F1_4B6F_B27F_7B975C2C432D_.wvu.FilterData" localSheetId="31" hidden="1">'б-т 922 ПГ (01.01.20) '!$A$5:$AN$416</definedName>
    <definedName name="Z_DA091790_29F1_4B6F_B27F_7B975C2C432D_.wvu.FilterData" localSheetId="40" hidden="1">'б-т 955 ПГ (01.01.20)'!$A$5:$AN$416</definedName>
    <definedName name="Z_DA091790_29F1_4B6F_B27F_7B975C2C432D_.wvu.FilterData" localSheetId="43" hidden="1">'б-т 963 ПГ (01.01.20)'!$A$5:$AN$416</definedName>
    <definedName name="Z_DA091790_29F1_4B6F_B27F_7B975C2C432D_.wvu.FilterData" localSheetId="46" hidden="1">'б-т 971 ПГ (01.01.20)'!$A$5:$AN$416</definedName>
    <definedName name="Z_DA091790_29F1_4B6F_B27F_7B975C2C432D_.wvu.FilterData" localSheetId="48" hidden="1">'б-т 981 ПГ (01.01.20)'!$A$6:$AN$417</definedName>
    <definedName name="Z_DA17BC6B_0C58_45B4_89EC_5822E0779CA2_.wvu.Cols" localSheetId="45" hidden="1">'б -т 963 Стим-е (01.01.20)'!$AE:$AH,'б -т 963 Стим-е (01.01.20)'!$JN:$JO,'б -т 963 Стим-е (01.01.20)'!$JQ:$JS,'б -т 963 Стим-е (01.01.20)'!$KA:$KD,'б -т 963 Стим-е (01.01.20)'!$TJ:$TK,'б -т 963 Стим-е (01.01.20)'!$TM:$TO,'б -т 963 Стим-е (01.01.20)'!$TW:$TZ</definedName>
    <definedName name="Z_DA17BC6B_0C58_45B4_89EC_5822E0779CA2_.wvu.Cols" localSheetId="42" hidden="1">'б-т 955 Стим-е (01.01.20)'!$AE:$AH,'б-т 955 Стим-е (01.01.20)'!$JN:$JO,'б-т 955 Стим-е (01.01.20)'!$JQ:$JS,'б-т 955 Стим-е (01.01.20)'!$KA:$KD,'б-т 955 Стим-е (01.01.20)'!$TJ:$TK,'б-т 955 Стим-е (01.01.20)'!$TM:$TO,'б-т 955 Стим-е (01.01.20)'!$TW:$TZ</definedName>
    <definedName name="Z_DA17BC6B_0C58_45B4_89EC_5822E0779CA2_.wvu.Cols" localSheetId="28" hidden="1">'б-т 966 Стим-е (01.01.20)'!$AE:$AH,'б-т 966 Стим-е (01.01.20)'!$JN:$JO,'б-т 966 Стим-е (01.01.20)'!$JQ:$JS,'б-т 966 Стим-е (01.01.20)'!$KA:$KD,'б-т 966 Стим-е (01.01.20)'!$TJ:$TK,'б-т 966 Стим-е (01.01.20)'!$TM:$TO,'б-т 966 Стим-е (01.01.20)'!$TW:$TZ</definedName>
    <definedName name="Z_DA17BC6B_0C58_45B4_89EC_5822E0779CA2_.wvu.Cols" localSheetId="49" hidden="1">'б-т 981 Стим-е (01.01.20)'!$AE:$AH,'б-т 981 Стим-е (01.01.20)'!$JN:$JO,'б-т 981 Стим-е (01.01.20)'!$JQ:$JS,'б-т 981 Стим-е (01.01.20)'!$KA:$KD,'б-т 981 Стим-е (01.01.20)'!$TJ:$TK,'б-т 981 Стим-е (01.01.20)'!$TM:$TO,'б-т 981 Стим-е (01.01.20)'!$TW:$TZ</definedName>
    <definedName name="Z_DA17BC6B_0C58_45B4_89EC_5822E0779CA2_.wvu.Cols" localSheetId="85" hidden="1">'внеб 963 (01.01.20)'!$X:$AA,'внеб 963 (01.01.20)'!$JG:$JH,'внеб 963 (01.01.20)'!$JJ:$JL,'внеб 963 (01.01.20)'!$JT:$JW,'внеб 963 (01.01.20)'!$TC:$TD,'внеб 963 (01.01.20)'!$TF:$TH,'внеб 963 (01.01.20)'!$TP:$TS</definedName>
    <definedName name="Z_DA17BC6B_0C58_45B4_89EC_5822E0779CA2_.wvu.Cols" localSheetId="74" hidden="1">'внеб 966 (01.01.20)'!$X:$AA,'внеб 966 (01.01.20)'!$JG:$JH,'внеб 966 (01.01.20)'!$JJ:$JL,'внеб 966 (01.01.20)'!$JT:$JW,'внеб 966 (01.01.20)'!$TC:$TD,'внеб 966 (01.01.20)'!$TF:$TH,'внеб 966 (01.01.20)'!$TP:$TS</definedName>
    <definedName name="Z_DA17BC6B_0C58_45B4_89EC_5822E0779CA2_.wvu.Cols" localSheetId="58" hidden="1">'субс РТ (01.01.20)'!$AE:$AH,'субс РТ (01.01.20)'!$JN:$JO,'субс РТ (01.01.20)'!$JQ:$JS,'субс РТ (01.01.20)'!$KA:$KD,'субс РТ (01.01.20)'!$TJ:$TK,'субс РТ (01.01.20)'!$TM:$TO,'субс РТ (01.01.20)'!$TW:$TZ</definedName>
    <definedName name="Z_DA17BC6B_0C58_45B4_89EC_5822E0779CA2_.wvu.FilterData" localSheetId="45" hidden="1">'б -т 963 Стим-е (01.01.20)'!$A$10:$TZ$207</definedName>
    <definedName name="Z_DA17BC6B_0C58_45B4_89EC_5822E0779CA2_.wvu.FilterData" localSheetId="41" hidden="1">'б-т 955 наркомания (01.01.20)'!$A$10:$AF$44</definedName>
    <definedName name="Z_DA17BC6B_0C58_45B4_89EC_5822E0779CA2_.wvu.FilterData" localSheetId="42" hidden="1">'б-т 955 Стим-е (01.01.20)'!$A$10:$TZ$207</definedName>
    <definedName name="Z_DA17BC6B_0C58_45B4_89EC_5822E0779CA2_.wvu.FilterData" localSheetId="44" hidden="1">'б-т 963 Наркомания (01.01.20)'!$A$10:$AF$44</definedName>
    <definedName name="Z_DA17BC6B_0C58_45B4_89EC_5822E0779CA2_.wvu.FilterData" localSheetId="28" hidden="1">'б-т 966 Стим-е (01.01.20)'!$A$10:$TZ$207</definedName>
    <definedName name="Z_DA17BC6B_0C58_45B4_89EC_5822E0779CA2_.wvu.FilterData" localSheetId="49" hidden="1">'б-т 981 Стим-е (01.01.20)'!$A$12:$TZ$174</definedName>
    <definedName name="Z_DA17BC6B_0C58_45B4_89EC_5822E0779CA2_.wvu.FilterData" localSheetId="50" hidden="1">'б-т накомания 981 (01.01.20)'!$A$10:$AF$44</definedName>
    <definedName name="Z_DA17BC6B_0C58_45B4_89EC_5822E0779CA2_.wvu.FilterData" localSheetId="85" hidden="1">'внеб 963 (01.01.20)'!$A$9:$TS$10</definedName>
    <definedName name="Z_DA17BC6B_0C58_45B4_89EC_5822E0779CA2_.wvu.FilterData" localSheetId="74" hidden="1">'внеб 966 (01.01.20)'!$A$11:$TS$12</definedName>
    <definedName name="Z_DA17BC6B_0C58_45B4_89EC_5822E0779CA2_.wvu.FilterData" localSheetId="58" hidden="1">'субс РТ (01.01.20)'!$A$10:$TZ$45</definedName>
    <definedName name="Z_DA17BC6B_0C58_45B4_89EC_5822E0779CA2_.wvu.PrintArea" localSheetId="45" hidden="1">'б -т 963 Стим-е (01.01.20)'!$A$1:$Z$221</definedName>
    <definedName name="Z_DA17BC6B_0C58_45B4_89EC_5822E0779CA2_.wvu.PrintArea" localSheetId="41" hidden="1">'б-т 955 наркомания (01.01.20)'!$A$1:$Z$44</definedName>
    <definedName name="Z_DA17BC6B_0C58_45B4_89EC_5822E0779CA2_.wvu.PrintArea" localSheetId="42" hidden="1">'б-т 955 Стим-е (01.01.20)'!$A$1:$Z$221</definedName>
    <definedName name="Z_DA17BC6B_0C58_45B4_89EC_5822E0779CA2_.wvu.PrintArea" localSheetId="44" hidden="1">'б-т 963 Наркомания (01.01.20)'!$A$1:$Z$44</definedName>
    <definedName name="Z_DA17BC6B_0C58_45B4_89EC_5822E0779CA2_.wvu.PrintArea" localSheetId="28" hidden="1">'б-т 966 Стим-е (01.01.20)'!$A$1:$Z$221</definedName>
    <definedName name="Z_DA17BC6B_0C58_45B4_89EC_5822E0779CA2_.wvu.PrintArea" localSheetId="49" hidden="1">'б-т 981 Стим-е (01.01.20)'!$A$1:$Z$188</definedName>
    <definedName name="Z_DA17BC6B_0C58_45B4_89EC_5822E0779CA2_.wvu.PrintArea" localSheetId="50" hidden="1">'б-т накомания 981 (01.01.20)'!$A$1:$Z$44</definedName>
    <definedName name="Z_DA17BC6B_0C58_45B4_89EC_5822E0779CA2_.wvu.PrintArea" localSheetId="85" hidden="1">'внеб 963 (01.01.20)'!$A$1:$S$10</definedName>
    <definedName name="Z_DA17BC6B_0C58_45B4_89EC_5822E0779CA2_.wvu.PrintArea" localSheetId="74" hidden="1">'внеб 966 (01.01.20)'!$A$1:$S$12</definedName>
    <definedName name="Z_DA17BC6B_0C58_45B4_89EC_5822E0779CA2_.wvu.PrintArea" localSheetId="58" hidden="1">'субс РТ (01.01.20)'!$A$1:$Z$53</definedName>
    <definedName name="Z_DA17BC6B_0C58_45B4_89EC_5822E0779CA2_.wvu.PrintTitles" localSheetId="45" hidden="1">'б -т 963 Стим-е (01.01.20)'!$5:$10</definedName>
    <definedName name="Z_DA17BC6B_0C58_45B4_89EC_5822E0779CA2_.wvu.PrintTitles" localSheetId="41" hidden="1">'б-т 955 наркомания (01.01.20)'!$7:$9</definedName>
    <definedName name="Z_DA17BC6B_0C58_45B4_89EC_5822E0779CA2_.wvu.PrintTitles" localSheetId="42" hidden="1">'б-т 955 Стим-е (01.01.20)'!$5:$10</definedName>
    <definedName name="Z_DA17BC6B_0C58_45B4_89EC_5822E0779CA2_.wvu.PrintTitles" localSheetId="44" hidden="1">'б-т 963 Наркомания (01.01.20)'!$7:$9</definedName>
    <definedName name="Z_DA17BC6B_0C58_45B4_89EC_5822E0779CA2_.wvu.PrintTitles" localSheetId="28" hidden="1">'б-т 966 Стим-е (01.01.20)'!$5:$10</definedName>
    <definedName name="Z_DA17BC6B_0C58_45B4_89EC_5822E0779CA2_.wvu.PrintTitles" localSheetId="49" hidden="1">'б-т 981 Стим-е (01.01.20)'!$7:$12</definedName>
    <definedName name="Z_DA17BC6B_0C58_45B4_89EC_5822E0779CA2_.wvu.PrintTitles" localSheetId="50" hidden="1">'б-т накомания 981 (01.01.20)'!$7:$9</definedName>
    <definedName name="Z_DA17BC6B_0C58_45B4_89EC_5822E0779CA2_.wvu.PrintTitles" localSheetId="85" hidden="1">'внеб 963 (01.01.20)'!$5:$9</definedName>
    <definedName name="Z_DA17BC6B_0C58_45B4_89EC_5822E0779CA2_.wvu.PrintTitles" localSheetId="74" hidden="1">'внеб 966 (01.01.20)'!$7:$11</definedName>
    <definedName name="Z_DA17BC6B_0C58_45B4_89EC_5822E0779CA2_.wvu.PrintTitles" localSheetId="58" hidden="1">'субс РТ (01.01.20)'!$5:$10</definedName>
    <definedName name="Z_DA17BC6B_0C58_45B4_89EC_5822E0779CA2_.wvu.Rows" localSheetId="41" hidden="1">'б-т 955 наркомания (01.01.20)'!$1:$2</definedName>
    <definedName name="Z_DA17BC6B_0C58_45B4_89EC_5822E0779CA2_.wvu.Rows" localSheetId="44" hidden="1">'б-т 963 Наркомания (01.01.20)'!$1:$2</definedName>
    <definedName name="Z_DA17BC6B_0C58_45B4_89EC_5822E0779CA2_.wvu.Rows" localSheetId="50" hidden="1">'б-т накомания 981 (01.01.20)'!$1:$2</definedName>
    <definedName name="Z_E21FD8DF_3C0F_4B1A_BE3F_2644257CAE38_.wvu.FilterData" localSheetId="66" hidden="1">'75 лет (01.01.20)'!$A$5:$AN$81</definedName>
    <definedName name="Z_E21FD8DF_3C0F_4B1A_BE3F_2644257CAE38_.wvu.FilterData" localSheetId="31" hidden="1">'б-т 922 ПГ (01.01.20) '!$A$5:$AN$145</definedName>
    <definedName name="Z_E21FD8DF_3C0F_4B1A_BE3F_2644257CAE38_.wvu.FilterData" localSheetId="40" hidden="1">'б-т 955 ПГ (01.01.20)'!$A$5:$AN$145</definedName>
    <definedName name="Z_E21FD8DF_3C0F_4B1A_BE3F_2644257CAE38_.wvu.FilterData" localSheetId="43" hidden="1">'б-т 963 ПГ (01.01.20)'!$A$5:$AN$145</definedName>
    <definedName name="Z_E21FD8DF_3C0F_4B1A_BE3F_2644257CAE38_.wvu.FilterData" localSheetId="46" hidden="1">'б-т 971 ПГ (01.01.20)'!$A$5:$AN$145</definedName>
    <definedName name="Z_E21FD8DF_3C0F_4B1A_BE3F_2644257CAE38_.wvu.FilterData" localSheetId="48" hidden="1">'б-т 981 ПГ (01.01.20)'!$A$6:$AN$146</definedName>
    <definedName name="Z_E34FE669_81B6_4451_A1F9_8DAC3956A3EC_.wvu.FilterData" localSheetId="66" hidden="1">'75 лет (01.01.20)'!$A$5:$AN$81</definedName>
    <definedName name="Z_E34FE669_81B6_4451_A1F9_8DAC3956A3EC_.wvu.FilterData" localSheetId="31" hidden="1">'б-т 922 ПГ (01.01.20) '!$A$5:$AN$145</definedName>
    <definedName name="Z_E34FE669_81B6_4451_A1F9_8DAC3956A3EC_.wvu.FilterData" localSheetId="40" hidden="1">'б-т 955 ПГ (01.01.20)'!$A$5:$AN$145</definedName>
    <definedName name="Z_E34FE669_81B6_4451_A1F9_8DAC3956A3EC_.wvu.FilterData" localSheetId="43" hidden="1">'б-т 963 ПГ (01.01.20)'!$A$5:$AN$145</definedName>
    <definedName name="Z_E34FE669_81B6_4451_A1F9_8DAC3956A3EC_.wvu.FilterData" localSheetId="46" hidden="1">'б-т 971 ПГ (01.01.20)'!$A$5:$AN$145</definedName>
    <definedName name="Z_E34FE669_81B6_4451_A1F9_8DAC3956A3EC_.wvu.FilterData" localSheetId="48" hidden="1">'б-т 981 ПГ (01.01.20)'!$A$6:$AN$146</definedName>
    <definedName name="Z_E3FBD4EE_63C6_476D_98D2_4E005FB802ED_.wvu.FilterData" localSheetId="66" hidden="1">'75 лет (01.01.20)'!$A$5:$AN$81</definedName>
    <definedName name="Z_E3FBD4EE_63C6_476D_98D2_4E005FB802ED_.wvu.FilterData" localSheetId="31" hidden="1">'б-т 922 ПГ (01.01.20) '!$A$5:$AN$416</definedName>
    <definedName name="Z_E3FBD4EE_63C6_476D_98D2_4E005FB802ED_.wvu.FilterData" localSheetId="40" hidden="1">'б-т 955 ПГ (01.01.20)'!$A$5:$AN$416</definedName>
    <definedName name="Z_E3FBD4EE_63C6_476D_98D2_4E005FB802ED_.wvu.FilterData" localSheetId="43" hidden="1">'б-т 963 ПГ (01.01.20)'!$A$5:$AN$416</definedName>
    <definedName name="Z_E3FBD4EE_63C6_476D_98D2_4E005FB802ED_.wvu.FilterData" localSheetId="46" hidden="1">'б-т 971 ПГ (01.01.20)'!$A$5:$AN$416</definedName>
    <definedName name="Z_E3FBD4EE_63C6_476D_98D2_4E005FB802ED_.wvu.FilterData" localSheetId="48" hidden="1">'б-т 981 ПГ (01.01.20)'!$A$6:$AN$417</definedName>
    <definedName name="Z_FA3247DF_3CC7_451C_A43F_BEFCCF4AEB40_.wvu.Cols" localSheetId="45" hidden="1">'б -т 963 Стим-е (01.01.20)'!$AE:$AH,'б -т 963 Стим-е (01.01.20)'!$JN:$JO,'б -т 963 Стим-е (01.01.20)'!$JQ:$JS,'б -т 963 Стим-е (01.01.20)'!$KA:$KD,'б -т 963 Стим-е (01.01.20)'!$TJ:$TK,'б -т 963 Стим-е (01.01.20)'!$TM:$TO,'б -т 963 Стим-е (01.01.20)'!$TW:$TZ</definedName>
    <definedName name="Z_FA3247DF_3CC7_451C_A43F_BEFCCF4AEB40_.wvu.Cols" localSheetId="42" hidden="1">'б-т 955 Стим-е (01.01.20)'!$AE:$AH,'б-т 955 Стим-е (01.01.20)'!$JN:$JO,'б-т 955 Стим-е (01.01.20)'!$JQ:$JS,'б-т 955 Стим-е (01.01.20)'!$KA:$KD,'б-т 955 Стим-е (01.01.20)'!$TJ:$TK,'б-т 955 Стим-е (01.01.20)'!$TM:$TO,'б-т 955 Стим-е (01.01.20)'!$TW:$TZ</definedName>
    <definedName name="Z_FA3247DF_3CC7_451C_A43F_BEFCCF4AEB40_.wvu.Cols" localSheetId="28" hidden="1">'б-т 966 Стим-е (01.01.20)'!$AE:$AH,'б-т 966 Стим-е (01.01.20)'!$JN:$JO,'б-т 966 Стим-е (01.01.20)'!$JQ:$JS,'б-т 966 Стим-е (01.01.20)'!$KA:$KD,'б-т 966 Стим-е (01.01.20)'!$TJ:$TK,'б-т 966 Стим-е (01.01.20)'!$TM:$TO,'б-т 966 Стим-е (01.01.20)'!$TW:$TZ</definedName>
    <definedName name="Z_FA3247DF_3CC7_451C_A43F_BEFCCF4AEB40_.wvu.Cols" localSheetId="49" hidden="1">'б-т 981 Стим-е (01.01.20)'!$AE:$AH,'б-т 981 Стим-е (01.01.20)'!$JN:$JO,'б-т 981 Стим-е (01.01.20)'!$JQ:$JS,'б-т 981 Стим-е (01.01.20)'!$KA:$KD,'б-т 981 Стим-е (01.01.20)'!$TJ:$TK,'б-т 981 Стим-е (01.01.20)'!$TM:$TO,'б-т 981 Стим-е (01.01.20)'!$TW:$TZ</definedName>
    <definedName name="Z_FA3247DF_3CC7_451C_A43F_BEFCCF4AEB40_.wvu.Cols" localSheetId="85" hidden="1">'внеб 963 (01.01.20)'!$X:$AA,'внеб 963 (01.01.20)'!$JG:$JH,'внеб 963 (01.01.20)'!$JJ:$JL,'внеб 963 (01.01.20)'!$JT:$JW,'внеб 963 (01.01.20)'!$TC:$TD,'внеб 963 (01.01.20)'!$TF:$TH,'внеб 963 (01.01.20)'!$TP:$TS</definedName>
    <definedName name="Z_FA3247DF_3CC7_451C_A43F_BEFCCF4AEB40_.wvu.Cols" localSheetId="74" hidden="1">'внеб 966 (01.01.20)'!$X:$AA,'внеб 966 (01.01.20)'!$JG:$JH,'внеб 966 (01.01.20)'!$JJ:$JL,'внеб 966 (01.01.20)'!$JT:$JW,'внеб 966 (01.01.20)'!$TC:$TD,'внеб 966 (01.01.20)'!$TF:$TH,'внеб 966 (01.01.20)'!$TP:$TS</definedName>
    <definedName name="Z_FA3247DF_3CC7_451C_A43F_BEFCCF4AEB40_.wvu.Cols" localSheetId="58" hidden="1">'субс РТ (01.01.20)'!$AE:$AH,'субс РТ (01.01.20)'!$JN:$JO,'субс РТ (01.01.20)'!$JQ:$JS,'субс РТ (01.01.20)'!$KA:$KD,'субс РТ (01.01.20)'!$TJ:$TK,'субс РТ (01.01.20)'!$TM:$TO,'субс РТ (01.01.20)'!$TW:$TZ</definedName>
    <definedName name="Z_FA3247DF_3CC7_451C_A43F_BEFCCF4AEB40_.wvu.FilterData" localSheetId="45" hidden="1">'б -т 963 Стим-е (01.01.20)'!$A$10:$TZ$207</definedName>
    <definedName name="Z_FA3247DF_3CC7_451C_A43F_BEFCCF4AEB40_.wvu.FilterData" localSheetId="41" hidden="1">'б-т 955 наркомания (01.01.20)'!$A$10:$AF$44</definedName>
    <definedName name="Z_FA3247DF_3CC7_451C_A43F_BEFCCF4AEB40_.wvu.FilterData" localSheetId="42" hidden="1">'б-т 955 Стим-е (01.01.20)'!$A$10:$TZ$207</definedName>
    <definedName name="Z_FA3247DF_3CC7_451C_A43F_BEFCCF4AEB40_.wvu.FilterData" localSheetId="44" hidden="1">'б-т 963 Наркомания (01.01.20)'!$A$10:$AF$44</definedName>
    <definedName name="Z_FA3247DF_3CC7_451C_A43F_BEFCCF4AEB40_.wvu.FilterData" localSheetId="28" hidden="1">'б-т 966 Стим-е (01.01.20)'!$A$10:$TZ$207</definedName>
    <definedName name="Z_FA3247DF_3CC7_451C_A43F_BEFCCF4AEB40_.wvu.FilterData" localSheetId="49" hidden="1">'б-т 981 Стим-е (01.01.20)'!$A$12:$TZ$174</definedName>
    <definedName name="Z_FA3247DF_3CC7_451C_A43F_BEFCCF4AEB40_.wvu.FilterData" localSheetId="50" hidden="1">'б-т накомания 981 (01.01.20)'!$A$10:$AF$44</definedName>
    <definedName name="Z_FA3247DF_3CC7_451C_A43F_BEFCCF4AEB40_.wvu.FilterData" localSheetId="85" hidden="1">'внеб 963 (01.01.20)'!$A$9:$TS$10</definedName>
    <definedName name="Z_FA3247DF_3CC7_451C_A43F_BEFCCF4AEB40_.wvu.FilterData" localSheetId="74" hidden="1">'внеб 966 (01.01.20)'!$A$11:$TS$12</definedName>
    <definedName name="Z_FA3247DF_3CC7_451C_A43F_BEFCCF4AEB40_.wvu.FilterData" localSheetId="58" hidden="1">'субс РТ (01.01.20)'!$A$10:$TZ$45</definedName>
    <definedName name="Z_FA3247DF_3CC7_451C_A43F_BEFCCF4AEB40_.wvu.PrintArea" localSheetId="45" hidden="1">'б -т 963 Стим-е (01.01.20)'!$A$1:$Z$221</definedName>
    <definedName name="Z_FA3247DF_3CC7_451C_A43F_BEFCCF4AEB40_.wvu.PrintArea" localSheetId="41" hidden="1">'б-т 955 наркомания (01.01.20)'!$A$1:$Z$44</definedName>
    <definedName name="Z_FA3247DF_3CC7_451C_A43F_BEFCCF4AEB40_.wvu.PrintArea" localSheetId="42" hidden="1">'б-т 955 Стим-е (01.01.20)'!$A$1:$Z$221</definedName>
    <definedName name="Z_FA3247DF_3CC7_451C_A43F_BEFCCF4AEB40_.wvu.PrintArea" localSheetId="44" hidden="1">'б-т 963 Наркомания (01.01.20)'!$A$1:$Z$44</definedName>
    <definedName name="Z_FA3247DF_3CC7_451C_A43F_BEFCCF4AEB40_.wvu.PrintArea" localSheetId="28" hidden="1">'б-т 966 Стим-е (01.01.20)'!$A$1:$Z$221</definedName>
    <definedName name="Z_FA3247DF_3CC7_451C_A43F_BEFCCF4AEB40_.wvu.PrintArea" localSheetId="49" hidden="1">'б-т 981 Стим-е (01.01.20)'!$A$1:$Z$188</definedName>
    <definedName name="Z_FA3247DF_3CC7_451C_A43F_BEFCCF4AEB40_.wvu.PrintArea" localSheetId="50" hidden="1">'б-т накомания 981 (01.01.20)'!$A$1:$Z$44</definedName>
    <definedName name="Z_FA3247DF_3CC7_451C_A43F_BEFCCF4AEB40_.wvu.PrintArea" localSheetId="85" hidden="1">'внеб 963 (01.01.20)'!$A$1:$S$10</definedName>
    <definedName name="Z_FA3247DF_3CC7_451C_A43F_BEFCCF4AEB40_.wvu.PrintArea" localSheetId="74" hidden="1">'внеб 966 (01.01.20)'!$A$1:$S$12</definedName>
    <definedName name="Z_FA3247DF_3CC7_451C_A43F_BEFCCF4AEB40_.wvu.PrintArea" localSheetId="58" hidden="1">'субс РТ (01.01.20)'!$A$1:$Z$53</definedName>
    <definedName name="Z_FA3247DF_3CC7_451C_A43F_BEFCCF4AEB40_.wvu.PrintTitles" localSheetId="45" hidden="1">'б -т 963 Стим-е (01.01.20)'!$5:$10</definedName>
    <definedName name="Z_FA3247DF_3CC7_451C_A43F_BEFCCF4AEB40_.wvu.PrintTitles" localSheetId="41" hidden="1">'б-т 955 наркомания (01.01.20)'!$7:$9</definedName>
    <definedName name="Z_FA3247DF_3CC7_451C_A43F_BEFCCF4AEB40_.wvu.PrintTitles" localSheetId="42" hidden="1">'б-т 955 Стим-е (01.01.20)'!$5:$10</definedName>
    <definedName name="Z_FA3247DF_3CC7_451C_A43F_BEFCCF4AEB40_.wvu.PrintTitles" localSheetId="44" hidden="1">'б-т 963 Наркомания (01.01.20)'!$7:$9</definedName>
    <definedName name="Z_FA3247DF_3CC7_451C_A43F_BEFCCF4AEB40_.wvu.PrintTitles" localSheetId="28" hidden="1">'б-т 966 Стим-е (01.01.20)'!$5:$10</definedName>
    <definedName name="Z_FA3247DF_3CC7_451C_A43F_BEFCCF4AEB40_.wvu.PrintTitles" localSheetId="49" hidden="1">'б-т 981 Стим-е (01.01.20)'!$7:$12</definedName>
    <definedName name="Z_FA3247DF_3CC7_451C_A43F_BEFCCF4AEB40_.wvu.PrintTitles" localSheetId="50" hidden="1">'б-т накомания 981 (01.01.20)'!$7:$9</definedName>
    <definedName name="Z_FA3247DF_3CC7_451C_A43F_BEFCCF4AEB40_.wvu.PrintTitles" localSheetId="85" hidden="1">'внеб 963 (01.01.20)'!$5:$9</definedName>
    <definedName name="Z_FA3247DF_3CC7_451C_A43F_BEFCCF4AEB40_.wvu.PrintTitles" localSheetId="74" hidden="1">'внеб 966 (01.01.20)'!$7:$11</definedName>
    <definedName name="Z_FA3247DF_3CC7_451C_A43F_BEFCCF4AEB40_.wvu.PrintTitles" localSheetId="58" hidden="1">'субс РТ (01.01.20)'!$5:$10</definedName>
    <definedName name="Z_FA3247DF_3CC7_451C_A43F_BEFCCF4AEB40_.wvu.Rows" localSheetId="41" hidden="1">'б-т 955 наркомания (01.01.20)'!$1:$2</definedName>
    <definedName name="Z_FA3247DF_3CC7_451C_A43F_BEFCCF4AEB40_.wvu.Rows" localSheetId="44" hidden="1">'б-т 963 Наркомания (01.01.20)'!$1:$2</definedName>
    <definedName name="Z_FA3247DF_3CC7_451C_A43F_BEFCCF4AEB40_.wvu.Rows" localSheetId="50" hidden="1">'б-т накомания 981 (01.01.20)'!$1:$2</definedName>
    <definedName name="Z_FAD34071_9151_4493_A5C6_C65A2C3DF9D9_.wvu.FilterData" localSheetId="45" hidden="1">'б -т 963 Стим-е (01.01.20)'!$A$10:$TZ$207</definedName>
    <definedName name="Z_FAD34071_9151_4493_A5C6_C65A2C3DF9D9_.wvu.FilterData" localSheetId="42" hidden="1">'б-т 955 Стим-е (01.01.20)'!$A$10:$TZ$207</definedName>
    <definedName name="Z_FAD34071_9151_4493_A5C6_C65A2C3DF9D9_.wvu.FilterData" localSheetId="28" hidden="1">'б-т 966 Стим-е (01.01.20)'!$A$10:$TZ$207</definedName>
    <definedName name="Z_FAD34071_9151_4493_A5C6_C65A2C3DF9D9_.wvu.FilterData" localSheetId="49" hidden="1">'б-т 981 Стим-е (01.01.20)'!$A$12:$TZ$174</definedName>
    <definedName name="Z_FAD34071_9151_4493_A5C6_C65A2C3DF9D9_.wvu.FilterData" localSheetId="58" hidden="1">'субс РТ (01.01.20)'!$A$10:$TZ$45</definedName>
    <definedName name="Z_FB6A0B1B_5164_43C8_AFAF_317504840087_.wvu.FilterData" localSheetId="66" hidden="1">'75 лет (01.01.20)'!$A$5:$AN$81</definedName>
    <definedName name="Z_FB6A0B1B_5164_43C8_AFAF_317504840087_.wvu.FilterData" localSheetId="31" hidden="1">'б-т 922 ПГ (01.01.20) '!$A$5:$AN$145</definedName>
    <definedName name="Z_FB6A0B1B_5164_43C8_AFAF_317504840087_.wvu.FilterData" localSheetId="40" hidden="1">'б-т 955 ПГ (01.01.20)'!$A$5:$AN$145</definedName>
    <definedName name="Z_FB6A0B1B_5164_43C8_AFAF_317504840087_.wvu.FilterData" localSheetId="43" hidden="1">'б-т 963 ПГ (01.01.20)'!$A$5:$AN$145</definedName>
    <definedName name="Z_FB6A0B1B_5164_43C8_AFAF_317504840087_.wvu.FilterData" localSheetId="46" hidden="1">'б-т 971 ПГ (01.01.20)'!$A$5:$AN$145</definedName>
    <definedName name="Z_FB6A0B1B_5164_43C8_AFAF_317504840087_.wvu.FilterData" localSheetId="48" hidden="1">'б-т 981 ПГ (01.01.20)'!$A$6:$AN$146</definedName>
    <definedName name="Z_FBD5C031_AE0D_46C6_95AF_D480217FF19E_.wvu.FilterData" localSheetId="66" hidden="1">'75 лет (01.01.20)'!$A$5:$AN$81</definedName>
    <definedName name="Z_FBD5C031_AE0D_46C6_95AF_D480217FF19E_.wvu.FilterData" localSheetId="31" hidden="1">'б-т 922 ПГ (01.01.20) '!$A$5:$AN$145</definedName>
    <definedName name="Z_FBD5C031_AE0D_46C6_95AF_D480217FF19E_.wvu.FilterData" localSheetId="40" hidden="1">'б-т 955 ПГ (01.01.20)'!$A$5:$AN$145</definedName>
    <definedName name="Z_FBD5C031_AE0D_46C6_95AF_D480217FF19E_.wvu.FilterData" localSheetId="43" hidden="1">'б-т 963 ПГ (01.01.20)'!$A$5:$AN$145</definedName>
    <definedName name="Z_FBD5C031_AE0D_46C6_95AF_D480217FF19E_.wvu.FilterData" localSheetId="46" hidden="1">'б-т 971 ПГ (01.01.20)'!$A$5:$AN$145</definedName>
    <definedName name="Z_FBD5C031_AE0D_46C6_95AF_D480217FF19E_.wvu.FilterData" localSheetId="48" hidden="1">'б-т 981 ПГ (01.01.20)'!$A$6:$AN$146</definedName>
    <definedName name="а" localSheetId="62">#REF!</definedName>
    <definedName name="а" localSheetId="66">#REF!</definedName>
    <definedName name="а" localSheetId="64">#REF!</definedName>
    <definedName name="а" localSheetId="65">#REF!</definedName>
    <definedName name="а" localSheetId="31">#REF!</definedName>
    <definedName name="а" localSheetId="28">#REF!</definedName>
    <definedName name="а" localSheetId="46">#REF!</definedName>
    <definedName name="а" localSheetId="48">#REF!</definedName>
    <definedName name="а" localSheetId="22">#REF!</definedName>
    <definedName name="а" localSheetId="23">#REF!</definedName>
    <definedName name="а" localSheetId="71">#REF!</definedName>
    <definedName name="а" localSheetId="73">#REF!</definedName>
    <definedName name="а" localSheetId="67">#REF!</definedName>
    <definedName name="а" localSheetId="59">#REF!</definedName>
    <definedName name="а" localSheetId="60">#REF!</definedName>
    <definedName name="а" localSheetId="18">#REF!</definedName>
    <definedName name="а" localSheetId="5">#REF!</definedName>
    <definedName name="а" localSheetId="61">#REF!</definedName>
    <definedName name="а" localSheetId="30">#REF!</definedName>
    <definedName name="а" localSheetId="58">#REF!</definedName>
    <definedName name="а" localSheetId="56">#REF!</definedName>
    <definedName name="а" localSheetId="57">#REF!</definedName>
    <definedName name="а">#REF!</definedName>
    <definedName name="А1" localSheetId="62">#REF!</definedName>
    <definedName name="А1" localSheetId="64">#REF!</definedName>
    <definedName name="А1" localSheetId="65">#REF!</definedName>
    <definedName name="А1" localSheetId="46">#REF!</definedName>
    <definedName name="А1" localSheetId="21">#REF!</definedName>
    <definedName name="А1" localSheetId="22">#REF!</definedName>
    <definedName name="А1" localSheetId="23">#REF!</definedName>
    <definedName name="А1" localSheetId="70">#REF!</definedName>
    <definedName name="А1" localSheetId="71">#REF!</definedName>
    <definedName name="А1" localSheetId="73">#REF!</definedName>
    <definedName name="А1" localSheetId="93">#REF!</definedName>
    <definedName name="А1" localSheetId="99">#REF!</definedName>
    <definedName name="А1" localSheetId="105">#REF!</definedName>
    <definedName name="А1" localSheetId="91">#REF!</definedName>
    <definedName name="А1" localSheetId="97">#REF!</definedName>
    <definedName name="А1" localSheetId="103">#REF!</definedName>
    <definedName name="А1" localSheetId="67">#REF!</definedName>
    <definedName name="А1" localSheetId="59">#REF!</definedName>
    <definedName name="А1" localSheetId="60">#REF!</definedName>
    <definedName name="А1" localSheetId="18">#REF!</definedName>
    <definedName name="А1" localSheetId="2">#REF!</definedName>
    <definedName name="А1" localSheetId="94">#REF!</definedName>
    <definedName name="А1" localSheetId="100">#REF!</definedName>
    <definedName name="А1" localSheetId="5">#REF!</definedName>
    <definedName name="А1" localSheetId="3">#REF!</definedName>
    <definedName name="А1" localSheetId="95">#REF!</definedName>
    <definedName name="А1" localSheetId="101">#REF!</definedName>
    <definedName name="А1" localSheetId="1">#REF!</definedName>
    <definedName name="А1" localSheetId="0">#REF!</definedName>
    <definedName name="А1" localSheetId="61">#REF!</definedName>
    <definedName name="А1" localSheetId="19">#REF!</definedName>
    <definedName name="А1" localSheetId="20">#REF!</definedName>
    <definedName name="А1" localSheetId="30">#REF!</definedName>
    <definedName name="А1" localSheetId="56">#REF!</definedName>
    <definedName name="А1" localSheetId="57">#REF!</definedName>
    <definedName name="А1" localSheetId="96">#REF!</definedName>
    <definedName name="А1" localSheetId="102">#REF!</definedName>
    <definedName name="А1" localSheetId="92">#REF!</definedName>
    <definedName name="А1" localSheetId="98">#REF!</definedName>
    <definedName name="А1" localSheetId="104">#REF!</definedName>
    <definedName name="А1">#REF!</definedName>
    <definedName name="ааа" localSheetId="62">#REF!</definedName>
    <definedName name="ааа" localSheetId="66">#REF!</definedName>
    <definedName name="ааа" localSheetId="64">#REF!</definedName>
    <definedName name="ааа" localSheetId="65">#REF!</definedName>
    <definedName name="ааа" localSheetId="45">#REF!</definedName>
    <definedName name="ааа" localSheetId="31">#REF!</definedName>
    <definedName name="ааа" localSheetId="41">#REF!</definedName>
    <definedName name="ааа" localSheetId="40">#REF!</definedName>
    <definedName name="ааа" localSheetId="42">#REF!</definedName>
    <definedName name="ааа" localSheetId="44">#REF!</definedName>
    <definedName name="ааа" localSheetId="43">#REF!</definedName>
    <definedName name="ааа" localSheetId="28">#REF!</definedName>
    <definedName name="ааа" localSheetId="46">#REF!</definedName>
    <definedName name="ааа" localSheetId="48">#REF!</definedName>
    <definedName name="ааа" localSheetId="49">#REF!</definedName>
    <definedName name="ааа" localSheetId="22">#REF!</definedName>
    <definedName name="ааа" localSheetId="23">#REF!</definedName>
    <definedName name="ааа" localSheetId="50">#REF!</definedName>
    <definedName name="ааа" localSheetId="85">#REF!</definedName>
    <definedName name="ааа" localSheetId="74">#REF!</definedName>
    <definedName name="ааа" localSheetId="71">#REF!</definedName>
    <definedName name="ааа" localSheetId="73">#REF!</definedName>
    <definedName name="ааа" localSheetId="67">#REF!</definedName>
    <definedName name="ааа" localSheetId="59">#REF!</definedName>
    <definedName name="ааа" localSheetId="60">#REF!</definedName>
    <definedName name="ааа" localSheetId="18">#REF!</definedName>
    <definedName name="ааа" localSheetId="5">#REF!</definedName>
    <definedName name="ааа" localSheetId="61">#REF!</definedName>
    <definedName name="ааа" localSheetId="19">#REF!</definedName>
    <definedName name="ааа" localSheetId="20">#REF!</definedName>
    <definedName name="ааа" localSheetId="30">#REF!</definedName>
    <definedName name="ааа" localSheetId="58">#REF!</definedName>
    <definedName name="ааа" localSheetId="56">#REF!</definedName>
    <definedName name="ааа" localSheetId="57">#REF!</definedName>
    <definedName name="ааа">#REF!</definedName>
    <definedName name="ааа_14" localSheetId="62">#REF!</definedName>
    <definedName name="ааа_14" localSheetId="66">#REF!</definedName>
    <definedName name="ааа_14" localSheetId="64">#REF!</definedName>
    <definedName name="ааа_14" localSheetId="65">#REF!</definedName>
    <definedName name="ааа_14" localSheetId="45">#REF!</definedName>
    <definedName name="ааа_14" localSheetId="31">#REF!</definedName>
    <definedName name="ааа_14" localSheetId="41">#REF!</definedName>
    <definedName name="ааа_14" localSheetId="40">#REF!</definedName>
    <definedName name="ааа_14" localSheetId="42">#REF!</definedName>
    <definedName name="ааа_14" localSheetId="44">#REF!</definedName>
    <definedName name="ааа_14" localSheetId="43">#REF!</definedName>
    <definedName name="ааа_14" localSheetId="28">#REF!</definedName>
    <definedName name="ааа_14" localSheetId="46">#REF!</definedName>
    <definedName name="ааа_14" localSheetId="48">#REF!</definedName>
    <definedName name="ааа_14" localSheetId="49">#REF!</definedName>
    <definedName name="ааа_14" localSheetId="22">#REF!</definedName>
    <definedName name="ааа_14" localSheetId="23">#REF!</definedName>
    <definedName name="ааа_14" localSheetId="50">#REF!</definedName>
    <definedName name="ааа_14" localSheetId="85">#REF!</definedName>
    <definedName name="ааа_14" localSheetId="74">#REF!</definedName>
    <definedName name="ааа_14" localSheetId="71">#REF!</definedName>
    <definedName name="ааа_14" localSheetId="73">#REF!</definedName>
    <definedName name="ааа_14" localSheetId="67">#REF!</definedName>
    <definedName name="ааа_14" localSheetId="59">#REF!</definedName>
    <definedName name="ааа_14" localSheetId="60">#REF!</definedName>
    <definedName name="ааа_14" localSheetId="18">#REF!</definedName>
    <definedName name="ааа_14" localSheetId="5">#REF!</definedName>
    <definedName name="ааа_14" localSheetId="61">#REF!</definedName>
    <definedName name="ааа_14" localSheetId="19">#REF!</definedName>
    <definedName name="ааа_14" localSheetId="20">#REF!</definedName>
    <definedName name="ааа_14" localSheetId="30">#REF!</definedName>
    <definedName name="ааа_14" localSheetId="58">#REF!</definedName>
    <definedName name="ааа_14" localSheetId="56">#REF!</definedName>
    <definedName name="ааа_14" localSheetId="57">#REF!</definedName>
    <definedName name="ааа_14">#REF!</definedName>
    <definedName name="АнМ" localSheetId="62">'[5]Гр5(о)'!#REF!</definedName>
    <definedName name="АнМ" localSheetId="66">'[5]Гр5(о)'!#REF!</definedName>
    <definedName name="АнМ" localSheetId="64">'[5]Гр5(о)'!#REF!</definedName>
    <definedName name="АнМ" localSheetId="65">'[5]Гр5(о)'!#REF!</definedName>
    <definedName name="АнМ" localSheetId="45">'[5]Гр5(о)'!#REF!</definedName>
    <definedName name="АнМ" localSheetId="31">'[5]Гр5(о)'!#REF!</definedName>
    <definedName name="АнМ" localSheetId="41">'[5]Гр5(о)'!#REF!</definedName>
    <definedName name="АнМ" localSheetId="40">'[5]Гр5(о)'!#REF!</definedName>
    <definedName name="АнМ" localSheetId="42">'[5]Гр5(о)'!#REF!</definedName>
    <definedName name="АнМ" localSheetId="44">'[5]Гр5(о)'!#REF!</definedName>
    <definedName name="АнМ" localSheetId="43">'[5]Гр5(о)'!#REF!</definedName>
    <definedName name="АнМ" localSheetId="28">'[5]Гр5(о)'!#REF!</definedName>
    <definedName name="АнМ" localSheetId="46">'[5]Гр5(о)'!#REF!</definedName>
    <definedName name="АнМ" localSheetId="48">'[5]Гр5(о)'!#REF!</definedName>
    <definedName name="АнМ" localSheetId="49">'[5]Гр5(о)'!#REF!</definedName>
    <definedName name="АнМ" localSheetId="22">'[5]Гр5(о)'!#REF!</definedName>
    <definedName name="АнМ" localSheetId="23">'[5]Гр5(о)'!#REF!</definedName>
    <definedName name="АнМ" localSheetId="50">'[5]Гр5(о)'!#REF!</definedName>
    <definedName name="АнМ" localSheetId="85">'[5]Гр5(о)'!#REF!</definedName>
    <definedName name="АнМ" localSheetId="74">'[5]Гр5(о)'!#REF!</definedName>
    <definedName name="АнМ" localSheetId="71">'[5]Гр5(о)'!#REF!</definedName>
    <definedName name="АнМ" localSheetId="73">'[5]Гр5(о)'!#REF!</definedName>
    <definedName name="АнМ" localSheetId="67">'[5]Гр5(о)'!#REF!</definedName>
    <definedName name="АнМ" localSheetId="59">'[5]Гр5(о)'!#REF!</definedName>
    <definedName name="АнМ" localSheetId="60">'[5]Гр5(о)'!#REF!</definedName>
    <definedName name="АнМ" localSheetId="18">'[5]Гр5(о)'!#REF!</definedName>
    <definedName name="АнМ" localSheetId="5">'[5]Гр5(о)'!#REF!</definedName>
    <definedName name="АнМ" localSheetId="61">'[5]Гр5(о)'!#REF!</definedName>
    <definedName name="АнМ" localSheetId="19">'[5]Гр5(о)'!#REF!</definedName>
    <definedName name="АнМ" localSheetId="20">'[5]Гр5(о)'!#REF!</definedName>
    <definedName name="АнМ" localSheetId="30">'[5]Гр5(о)'!#REF!</definedName>
    <definedName name="АнМ" localSheetId="58">'[5]Гр5(о)'!#REF!</definedName>
    <definedName name="АнМ" localSheetId="56">'[5]Гр5(о)'!#REF!</definedName>
    <definedName name="АнМ" localSheetId="57">'[5]Гр5(о)'!#REF!</definedName>
    <definedName name="АнМ">'[5]Гр5(о)'!#REF!</definedName>
    <definedName name="АнМ_14" localSheetId="62">'[5]Гр5(о)'!#REF!</definedName>
    <definedName name="АнМ_14" localSheetId="66">'[5]Гр5(о)'!#REF!</definedName>
    <definedName name="АнМ_14" localSheetId="64">'[5]Гр5(о)'!#REF!</definedName>
    <definedName name="АнМ_14" localSheetId="65">'[5]Гр5(о)'!#REF!</definedName>
    <definedName name="АнМ_14" localSheetId="45">'[5]Гр5(о)'!#REF!</definedName>
    <definedName name="АнМ_14" localSheetId="31">'[5]Гр5(о)'!#REF!</definedName>
    <definedName name="АнМ_14" localSheetId="41">'[5]Гр5(о)'!#REF!</definedName>
    <definedName name="АнМ_14" localSheetId="40">'[5]Гр5(о)'!#REF!</definedName>
    <definedName name="АнМ_14" localSheetId="42">'[5]Гр5(о)'!#REF!</definedName>
    <definedName name="АнМ_14" localSheetId="44">'[5]Гр5(о)'!#REF!</definedName>
    <definedName name="АнМ_14" localSheetId="43">'[5]Гр5(о)'!#REF!</definedName>
    <definedName name="АнМ_14" localSheetId="28">'[5]Гр5(о)'!#REF!</definedName>
    <definedName name="АнМ_14" localSheetId="46">'[5]Гр5(о)'!#REF!</definedName>
    <definedName name="АнМ_14" localSheetId="48">'[5]Гр5(о)'!#REF!</definedName>
    <definedName name="АнМ_14" localSheetId="49">'[5]Гр5(о)'!#REF!</definedName>
    <definedName name="АнМ_14" localSheetId="22">'[5]Гр5(о)'!#REF!</definedName>
    <definedName name="АнМ_14" localSheetId="23">'[5]Гр5(о)'!#REF!</definedName>
    <definedName name="АнМ_14" localSheetId="50">'[5]Гр5(о)'!#REF!</definedName>
    <definedName name="АнМ_14" localSheetId="85">'[5]Гр5(о)'!#REF!</definedName>
    <definedName name="АнМ_14" localSheetId="74">'[5]Гр5(о)'!#REF!</definedName>
    <definedName name="АнМ_14" localSheetId="71">'[5]Гр5(о)'!#REF!</definedName>
    <definedName name="АнМ_14" localSheetId="73">'[5]Гр5(о)'!#REF!</definedName>
    <definedName name="АнМ_14" localSheetId="67">'[5]Гр5(о)'!#REF!</definedName>
    <definedName name="АнМ_14" localSheetId="59">'[5]Гр5(о)'!#REF!</definedName>
    <definedName name="АнМ_14" localSheetId="60">'[5]Гр5(о)'!#REF!</definedName>
    <definedName name="АнМ_14" localSheetId="18">'[5]Гр5(о)'!#REF!</definedName>
    <definedName name="АнМ_14" localSheetId="5">'[5]Гр5(о)'!#REF!</definedName>
    <definedName name="АнМ_14" localSheetId="61">'[5]Гр5(о)'!#REF!</definedName>
    <definedName name="АнМ_14" localSheetId="19">'[5]Гр5(о)'!#REF!</definedName>
    <definedName name="АнМ_14" localSheetId="20">'[5]Гр5(о)'!#REF!</definedName>
    <definedName name="АнМ_14" localSheetId="30">'[5]Гр5(о)'!#REF!</definedName>
    <definedName name="АнМ_14" localSheetId="58">'[5]Гр5(о)'!#REF!</definedName>
    <definedName name="АнМ_14" localSheetId="56">'[5]Гр5(о)'!#REF!</definedName>
    <definedName name="АнМ_14" localSheetId="57">'[5]Гр5(о)'!#REF!</definedName>
    <definedName name="АнМ_14">'[5]Гр5(о)'!#REF!</definedName>
    <definedName name="апоыпао" localSheetId="62">#REF!</definedName>
    <definedName name="апоыпао" localSheetId="66">#REF!</definedName>
    <definedName name="апоыпао" localSheetId="64">#REF!</definedName>
    <definedName name="апоыпао" localSheetId="65">#REF!</definedName>
    <definedName name="апоыпао" localSheetId="45">#REF!</definedName>
    <definedName name="апоыпао" localSheetId="31">#REF!</definedName>
    <definedName name="апоыпао" localSheetId="41">#REF!</definedName>
    <definedName name="апоыпао" localSheetId="40">#REF!</definedName>
    <definedName name="апоыпао" localSheetId="42">#REF!</definedName>
    <definedName name="апоыпао" localSheetId="44">#REF!</definedName>
    <definedName name="апоыпао" localSheetId="43">#REF!</definedName>
    <definedName name="апоыпао" localSheetId="28">#REF!</definedName>
    <definedName name="апоыпао" localSheetId="46">#REF!</definedName>
    <definedName name="апоыпао" localSheetId="48">#REF!</definedName>
    <definedName name="апоыпао" localSheetId="49">#REF!</definedName>
    <definedName name="апоыпао" localSheetId="22">#REF!</definedName>
    <definedName name="апоыпао" localSheetId="23">#REF!</definedName>
    <definedName name="апоыпао" localSheetId="50">#REF!</definedName>
    <definedName name="апоыпао" localSheetId="85">#REF!</definedName>
    <definedName name="апоыпао" localSheetId="74">#REF!</definedName>
    <definedName name="апоыпао" localSheetId="71">#REF!</definedName>
    <definedName name="апоыпао" localSheetId="73">#REF!</definedName>
    <definedName name="апоыпао" localSheetId="67">#REF!</definedName>
    <definedName name="апоыпао" localSheetId="59">#REF!</definedName>
    <definedName name="апоыпао" localSheetId="60">#REF!</definedName>
    <definedName name="апоыпао" localSheetId="18">#REF!</definedName>
    <definedName name="апоыпао" localSheetId="90">#REF!</definedName>
    <definedName name="апоыпао" localSheetId="5">#REF!</definedName>
    <definedName name="апоыпао" localSheetId="61">#REF!</definedName>
    <definedName name="апоыпао" localSheetId="19">#REF!</definedName>
    <definedName name="апоыпао" localSheetId="20">#REF!</definedName>
    <definedName name="апоыпао" localSheetId="30">#REF!</definedName>
    <definedName name="апоыпао" localSheetId="58">#REF!</definedName>
    <definedName name="апоыпао" localSheetId="56">#REF!</definedName>
    <definedName name="апоыпао" localSheetId="57">#REF!</definedName>
    <definedName name="апоыпао">#REF!</definedName>
    <definedName name="афраврр" localSheetId="62">'[4]Гр5(о)'!#REF!</definedName>
    <definedName name="афраврр" localSheetId="66">'[4]Гр5(о)'!#REF!</definedName>
    <definedName name="афраврр" localSheetId="64">'[4]Гр5(о)'!#REF!</definedName>
    <definedName name="афраврр" localSheetId="65">'[4]Гр5(о)'!#REF!</definedName>
    <definedName name="афраврр" localSheetId="45">'[4]Гр5(о)'!#REF!</definedName>
    <definedName name="афраврр" localSheetId="31">'[4]Гр5(о)'!#REF!</definedName>
    <definedName name="афраврр" localSheetId="41">'[4]Гр5(о)'!#REF!</definedName>
    <definedName name="афраврр" localSheetId="40">'[4]Гр5(о)'!#REF!</definedName>
    <definedName name="афраврр" localSheetId="42">'[4]Гр5(о)'!#REF!</definedName>
    <definedName name="афраврр" localSheetId="44">'[4]Гр5(о)'!#REF!</definedName>
    <definedName name="афраврр" localSheetId="43">'[4]Гр5(о)'!#REF!</definedName>
    <definedName name="афраврр" localSheetId="28">'[4]Гр5(о)'!#REF!</definedName>
    <definedName name="афраврр" localSheetId="46">'[4]Гр5(о)'!#REF!</definedName>
    <definedName name="афраврр" localSheetId="48">'[4]Гр5(о)'!#REF!</definedName>
    <definedName name="афраврр" localSheetId="49">'[4]Гр5(о)'!#REF!</definedName>
    <definedName name="афраврр" localSheetId="22">'[4]Гр5(о)'!#REF!</definedName>
    <definedName name="афраврр" localSheetId="23">'[4]Гр5(о)'!#REF!</definedName>
    <definedName name="афраврр" localSheetId="50">'[4]Гр5(о)'!#REF!</definedName>
    <definedName name="афраврр" localSheetId="85">'[4]Гр5(о)'!#REF!</definedName>
    <definedName name="афраврр" localSheetId="74">'[4]Гр5(о)'!#REF!</definedName>
    <definedName name="афраврр" localSheetId="71">'[4]Гр5(о)'!#REF!</definedName>
    <definedName name="афраврр" localSheetId="73">'[4]Гр5(о)'!#REF!</definedName>
    <definedName name="афраврр" localSheetId="67">'[4]Гр5(о)'!#REF!</definedName>
    <definedName name="афраврр" localSheetId="59">'[4]Гр5(о)'!#REF!</definedName>
    <definedName name="афраврр" localSheetId="60">'[4]Гр5(о)'!#REF!</definedName>
    <definedName name="афраврр" localSheetId="18">'[4]Гр5(о)'!#REF!</definedName>
    <definedName name="афраврр" localSheetId="90">'[4]Гр5(о)'!#REF!</definedName>
    <definedName name="афраврр" localSheetId="5">'[4]Гр5(о)'!#REF!</definedName>
    <definedName name="афраврр" localSheetId="61">'[4]Гр5(о)'!#REF!</definedName>
    <definedName name="афраврр" localSheetId="19">'[4]Гр5(о)'!#REF!</definedName>
    <definedName name="афраврр" localSheetId="20">'[4]Гр5(о)'!#REF!</definedName>
    <definedName name="афраврр" localSheetId="30">'[4]Гр5(о)'!#REF!</definedName>
    <definedName name="афраврр" localSheetId="58">'[4]Гр5(о)'!#REF!</definedName>
    <definedName name="афраврр" localSheetId="56">'[4]Гр5(о)'!#REF!</definedName>
    <definedName name="афраврр" localSheetId="57">'[4]Гр5(о)'!#REF!</definedName>
    <definedName name="афраврр">'[4]Гр5(о)'!#REF!</definedName>
    <definedName name="вв" localSheetId="62">[6]ПРОГНОЗ_1!#REF!</definedName>
    <definedName name="вв" localSheetId="66">[6]ПРОГНОЗ_1!#REF!</definedName>
    <definedName name="вв" localSheetId="64">[6]ПРОГНОЗ_1!#REF!</definedName>
    <definedName name="вв" localSheetId="65">[6]ПРОГНОЗ_1!#REF!</definedName>
    <definedName name="вв" localSheetId="45">[6]ПРОГНОЗ_1!#REF!</definedName>
    <definedName name="вв" localSheetId="31">[6]ПРОГНОЗ_1!#REF!</definedName>
    <definedName name="вв" localSheetId="41">[6]ПРОГНОЗ_1!#REF!</definedName>
    <definedName name="вв" localSheetId="40">[6]ПРОГНОЗ_1!#REF!</definedName>
    <definedName name="вв" localSheetId="42">[6]ПРОГНОЗ_1!#REF!</definedName>
    <definedName name="вв" localSheetId="44">[6]ПРОГНОЗ_1!#REF!</definedName>
    <definedName name="вв" localSheetId="43">[6]ПРОГНОЗ_1!#REF!</definedName>
    <definedName name="вв" localSheetId="28">[6]ПРОГНОЗ_1!#REF!</definedName>
    <definedName name="вв" localSheetId="46">[6]ПРОГНОЗ_1!#REF!</definedName>
    <definedName name="вв" localSheetId="48">[6]ПРОГНОЗ_1!#REF!</definedName>
    <definedName name="вв" localSheetId="49">[6]ПРОГНОЗ_1!#REF!</definedName>
    <definedName name="вв" localSheetId="22">[6]ПРОГНОЗ_1!#REF!</definedName>
    <definedName name="вв" localSheetId="23">[6]ПРОГНОЗ_1!#REF!</definedName>
    <definedName name="вв" localSheetId="50">[6]ПРОГНОЗ_1!#REF!</definedName>
    <definedName name="вв" localSheetId="85">[6]ПРОГНОЗ_1!#REF!</definedName>
    <definedName name="вв" localSheetId="74">[6]ПРОГНОЗ_1!#REF!</definedName>
    <definedName name="вв" localSheetId="71">[6]ПРОГНОЗ_1!#REF!</definedName>
    <definedName name="вв" localSheetId="73">[6]ПРОГНОЗ_1!#REF!</definedName>
    <definedName name="вв" localSheetId="67">[6]ПРОГНОЗ_1!#REF!</definedName>
    <definedName name="вв" localSheetId="59">[6]ПРОГНОЗ_1!#REF!</definedName>
    <definedName name="вв" localSheetId="60">[6]ПРОГНОЗ_1!#REF!</definedName>
    <definedName name="вв" localSheetId="18">[6]ПРОГНОЗ_1!#REF!</definedName>
    <definedName name="вв" localSheetId="5">[6]ПРОГНОЗ_1!#REF!</definedName>
    <definedName name="вв" localSheetId="61">[6]ПРОГНОЗ_1!#REF!</definedName>
    <definedName name="вв" localSheetId="19">[6]ПРОГНОЗ_1!#REF!</definedName>
    <definedName name="вв" localSheetId="20">[6]ПРОГНОЗ_1!#REF!</definedName>
    <definedName name="вв" localSheetId="30">[6]ПРОГНОЗ_1!#REF!</definedName>
    <definedName name="вв" localSheetId="58">[6]ПРОГНОЗ_1!#REF!</definedName>
    <definedName name="вв" localSheetId="56">[6]ПРОГНОЗ_1!#REF!</definedName>
    <definedName name="вв" localSheetId="57">[6]ПРОГНОЗ_1!#REF!</definedName>
    <definedName name="вв">[6]ПРОГНОЗ_1!#REF!</definedName>
    <definedName name="вв_14" localSheetId="62">[6]ПРОГНОЗ_1!#REF!</definedName>
    <definedName name="вв_14" localSheetId="66">[6]ПРОГНОЗ_1!#REF!</definedName>
    <definedName name="вв_14" localSheetId="64">[6]ПРОГНОЗ_1!#REF!</definedName>
    <definedName name="вв_14" localSheetId="65">[6]ПРОГНОЗ_1!#REF!</definedName>
    <definedName name="вв_14" localSheetId="45">[6]ПРОГНОЗ_1!#REF!</definedName>
    <definedName name="вв_14" localSheetId="31">[6]ПРОГНОЗ_1!#REF!</definedName>
    <definedName name="вв_14" localSheetId="41">[6]ПРОГНОЗ_1!#REF!</definedName>
    <definedName name="вв_14" localSheetId="40">[6]ПРОГНОЗ_1!#REF!</definedName>
    <definedName name="вв_14" localSheetId="42">[6]ПРОГНОЗ_1!#REF!</definedName>
    <definedName name="вв_14" localSheetId="44">[6]ПРОГНОЗ_1!#REF!</definedName>
    <definedName name="вв_14" localSheetId="43">[6]ПРОГНОЗ_1!#REF!</definedName>
    <definedName name="вв_14" localSheetId="28">[6]ПРОГНОЗ_1!#REF!</definedName>
    <definedName name="вв_14" localSheetId="46">[6]ПРОГНОЗ_1!#REF!</definedName>
    <definedName name="вв_14" localSheetId="48">[6]ПРОГНОЗ_1!#REF!</definedName>
    <definedName name="вв_14" localSheetId="49">[6]ПРОГНОЗ_1!#REF!</definedName>
    <definedName name="вв_14" localSheetId="22">[6]ПРОГНОЗ_1!#REF!</definedName>
    <definedName name="вв_14" localSheetId="23">[6]ПРОГНОЗ_1!#REF!</definedName>
    <definedName name="вв_14" localSheetId="50">[6]ПРОГНОЗ_1!#REF!</definedName>
    <definedName name="вв_14" localSheetId="85">[6]ПРОГНОЗ_1!#REF!</definedName>
    <definedName name="вв_14" localSheetId="74">[6]ПРОГНОЗ_1!#REF!</definedName>
    <definedName name="вв_14" localSheetId="71">[6]ПРОГНОЗ_1!#REF!</definedName>
    <definedName name="вв_14" localSheetId="73">[6]ПРОГНОЗ_1!#REF!</definedName>
    <definedName name="вв_14" localSheetId="67">[6]ПРОГНОЗ_1!#REF!</definedName>
    <definedName name="вв_14" localSheetId="59">[6]ПРОГНОЗ_1!#REF!</definedName>
    <definedName name="вв_14" localSheetId="60">[6]ПРОГНОЗ_1!#REF!</definedName>
    <definedName name="вв_14" localSheetId="18">[6]ПРОГНОЗ_1!#REF!</definedName>
    <definedName name="вв_14" localSheetId="5">[6]ПРОГНОЗ_1!#REF!</definedName>
    <definedName name="вв_14" localSheetId="61">[6]ПРОГНОЗ_1!#REF!</definedName>
    <definedName name="вв_14" localSheetId="19">[6]ПРОГНОЗ_1!#REF!</definedName>
    <definedName name="вв_14" localSheetId="20">[6]ПРОГНОЗ_1!#REF!</definedName>
    <definedName name="вв_14" localSheetId="30">[6]ПРОГНОЗ_1!#REF!</definedName>
    <definedName name="вв_14" localSheetId="58">[6]ПРОГНОЗ_1!#REF!</definedName>
    <definedName name="вв_14" localSheetId="56">[6]ПРОГНОЗ_1!#REF!</definedName>
    <definedName name="вв_14" localSheetId="57">[6]ПРОГНОЗ_1!#REF!</definedName>
    <definedName name="вв_14">[6]ПРОГНОЗ_1!#REF!</definedName>
    <definedName name="влол" localSheetId="62">#REF!</definedName>
    <definedName name="влол" localSheetId="66">#REF!</definedName>
    <definedName name="влол" localSheetId="64">#REF!</definedName>
    <definedName name="влол" localSheetId="65">#REF!</definedName>
    <definedName name="влол" localSheetId="45">#REF!</definedName>
    <definedName name="влол" localSheetId="31">#REF!</definedName>
    <definedName name="влол" localSheetId="41">#REF!</definedName>
    <definedName name="влол" localSheetId="40">#REF!</definedName>
    <definedName name="влол" localSheetId="42">#REF!</definedName>
    <definedName name="влол" localSheetId="44">#REF!</definedName>
    <definedName name="влол" localSheetId="43">#REF!</definedName>
    <definedName name="влол" localSheetId="28">#REF!</definedName>
    <definedName name="влол" localSheetId="46">#REF!</definedName>
    <definedName name="влол" localSheetId="48">#REF!</definedName>
    <definedName name="влол" localSheetId="49">#REF!</definedName>
    <definedName name="влол" localSheetId="22">#REF!</definedName>
    <definedName name="влол" localSheetId="23">#REF!</definedName>
    <definedName name="влол" localSheetId="50">#REF!</definedName>
    <definedName name="влол" localSheetId="85">#REF!</definedName>
    <definedName name="влол" localSheetId="74">#REF!</definedName>
    <definedName name="влол" localSheetId="71">#REF!</definedName>
    <definedName name="влол" localSheetId="73">#REF!</definedName>
    <definedName name="влол" localSheetId="67">#REF!</definedName>
    <definedName name="влол" localSheetId="59">#REF!</definedName>
    <definedName name="влол" localSheetId="60">#REF!</definedName>
    <definedName name="влол" localSheetId="18">#REF!</definedName>
    <definedName name="влол" localSheetId="90">#REF!</definedName>
    <definedName name="влол" localSheetId="5">#REF!</definedName>
    <definedName name="влол" localSheetId="61">#REF!</definedName>
    <definedName name="влол" localSheetId="19">#REF!</definedName>
    <definedName name="влол" localSheetId="20">#REF!</definedName>
    <definedName name="влол" localSheetId="30">#REF!</definedName>
    <definedName name="влол" localSheetId="58">#REF!</definedName>
    <definedName name="влол" localSheetId="56">#REF!</definedName>
    <definedName name="влол" localSheetId="57">#REF!</definedName>
    <definedName name="влол">#REF!</definedName>
    <definedName name="внг" localSheetId="62">#REF!</definedName>
    <definedName name="внг" localSheetId="64">#REF!</definedName>
    <definedName name="внг" localSheetId="65">#REF!</definedName>
    <definedName name="внг" localSheetId="46">#REF!</definedName>
    <definedName name="внг" localSheetId="22">#REF!</definedName>
    <definedName name="внг" localSheetId="23">#REF!</definedName>
    <definedName name="внг" localSheetId="71">#REF!</definedName>
    <definedName name="внг" localSheetId="73">#REF!</definedName>
    <definedName name="внг" localSheetId="67">#REF!</definedName>
    <definedName name="внг" localSheetId="59">#REF!</definedName>
    <definedName name="внг" localSheetId="60">#REF!</definedName>
    <definedName name="внг" localSheetId="18">#REF!</definedName>
    <definedName name="внг" localSheetId="5">#REF!</definedName>
    <definedName name="внг" localSheetId="61">#REF!</definedName>
    <definedName name="внг" localSheetId="30">#REF!</definedName>
    <definedName name="внг" localSheetId="56">#REF!</definedName>
    <definedName name="внг" localSheetId="57">#REF!</definedName>
    <definedName name="внг">#REF!</definedName>
    <definedName name="вр" localSheetId="62">#REF!</definedName>
    <definedName name="вр" localSheetId="66">#REF!</definedName>
    <definedName name="вр" localSheetId="64">#REF!</definedName>
    <definedName name="вр" localSheetId="65">#REF!</definedName>
    <definedName name="вр" localSheetId="45">#REF!</definedName>
    <definedName name="вр" localSheetId="31">#REF!</definedName>
    <definedName name="вр" localSheetId="41">#REF!</definedName>
    <definedName name="вр" localSheetId="40">#REF!</definedName>
    <definedName name="вр" localSheetId="42">#REF!</definedName>
    <definedName name="вр" localSheetId="44">#REF!</definedName>
    <definedName name="вр" localSheetId="43">#REF!</definedName>
    <definedName name="вр" localSheetId="28">#REF!</definedName>
    <definedName name="вр" localSheetId="46">#REF!</definedName>
    <definedName name="вр" localSheetId="48">#REF!</definedName>
    <definedName name="вр" localSheetId="49">#REF!</definedName>
    <definedName name="вр" localSheetId="22">#REF!</definedName>
    <definedName name="вр" localSheetId="23">#REF!</definedName>
    <definedName name="вр" localSheetId="50">#REF!</definedName>
    <definedName name="вр" localSheetId="85">#REF!</definedName>
    <definedName name="вр" localSheetId="74">#REF!</definedName>
    <definedName name="вр" localSheetId="71">#REF!</definedName>
    <definedName name="вр" localSheetId="73">#REF!</definedName>
    <definedName name="вр" localSheetId="67">#REF!</definedName>
    <definedName name="вр" localSheetId="59">#REF!</definedName>
    <definedName name="вр" localSheetId="60">#REF!</definedName>
    <definedName name="вр" localSheetId="18">#REF!</definedName>
    <definedName name="вр" localSheetId="5">#REF!</definedName>
    <definedName name="вр" localSheetId="61">#REF!</definedName>
    <definedName name="вр" localSheetId="19">#REF!</definedName>
    <definedName name="вр" localSheetId="20">#REF!</definedName>
    <definedName name="вр" localSheetId="30">#REF!</definedName>
    <definedName name="вр" localSheetId="58">#REF!</definedName>
    <definedName name="вр" localSheetId="56">#REF!</definedName>
    <definedName name="вр" localSheetId="57">#REF!</definedName>
    <definedName name="вр">#REF!</definedName>
    <definedName name="ВСХ" localSheetId="62">#REF!</definedName>
    <definedName name="ВСХ" localSheetId="64">#REF!</definedName>
    <definedName name="ВСХ" localSheetId="65">#REF!</definedName>
    <definedName name="ВСХ" localSheetId="46">#REF!</definedName>
    <definedName name="ВСХ" localSheetId="21">#REF!</definedName>
    <definedName name="ВСХ" localSheetId="22">#REF!</definedName>
    <definedName name="ВСХ" localSheetId="23">#REF!</definedName>
    <definedName name="ВСХ" localSheetId="70">#REF!</definedName>
    <definedName name="ВСХ" localSheetId="71">#REF!</definedName>
    <definedName name="ВСХ" localSheetId="73">#REF!</definedName>
    <definedName name="ВСХ" localSheetId="93">#REF!</definedName>
    <definedName name="ВСХ" localSheetId="99">#REF!</definedName>
    <definedName name="ВСХ" localSheetId="105">#REF!</definedName>
    <definedName name="ВСХ" localSheetId="91">#REF!</definedName>
    <definedName name="ВСХ" localSheetId="97">#REF!</definedName>
    <definedName name="ВСХ" localSheetId="103">#REF!</definedName>
    <definedName name="ВСХ" localSheetId="67">#REF!</definedName>
    <definedName name="ВСХ" localSheetId="59">#REF!</definedName>
    <definedName name="ВСХ" localSheetId="60">#REF!</definedName>
    <definedName name="ВСХ" localSheetId="18">#REF!</definedName>
    <definedName name="ВСХ" localSheetId="2">#REF!</definedName>
    <definedName name="ВСХ" localSheetId="94">#REF!</definedName>
    <definedName name="ВСХ" localSheetId="100">#REF!</definedName>
    <definedName name="ВСХ" localSheetId="5">#REF!</definedName>
    <definedName name="ВСХ" localSheetId="3">#REF!</definedName>
    <definedName name="ВСХ" localSheetId="95">#REF!</definedName>
    <definedName name="ВСХ" localSheetId="101">#REF!</definedName>
    <definedName name="ВСХ" localSheetId="1">#REF!</definedName>
    <definedName name="ВСХ" localSheetId="0">#REF!</definedName>
    <definedName name="ВСХ" localSheetId="61">#REF!</definedName>
    <definedName name="ВСХ" localSheetId="19">#REF!</definedName>
    <definedName name="ВСХ" localSheetId="20">#REF!</definedName>
    <definedName name="ВСХ" localSheetId="30">#REF!</definedName>
    <definedName name="ВСХ" localSheetId="56">#REF!</definedName>
    <definedName name="ВСХ" localSheetId="57">#REF!</definedName>
    <definedName name="ВСХ" localSheetId="96">#REF!</definedName>
    <definedName name="ВСХ" localSheetId="102">#REF!</definedName>
    <definedName name="ВСХ" localSheetId="92">#REF!</definedName>
    <definedName name="ВСХ" localSheetId="98">#REF!</definedName>
    <definedName name="ВСХ" localSheetId="104">#REF!</definedName>
    <definedName name="ВСХ">#REF!</definedName>
    <definedName name="График">"Диагр. 4"</definedName>
    <definedName name="_xlnm.Print_Titles" localSheetId="63">'(81600) 971 (01.01.20)'!$5:$10</definedName>
    <definedName name="_xlnm.Print_Titles" localSheetId="45">'б -т 963 Стим-е (01.01.20)'!$5:$10</definedName>
    <definedName name="_xlnm.Print_Titles" localSheetId="26">'б-т 921 (01.01.20)'!$8:$9</definedName>
    <definedName name="_xlnm.Print_Titles" localSheetId="32">'б-т 925 (01.01.20)'!$5:$8</definedName>
    <definedName name="_xlnm.Print_Titles" localSheetId="35">'б-т 934 (01.01.20)'!$14:$16</definedName>
    <definedName name="_xlnm.Print_Titles" localSheetId="37">'б-т 947 (01.01.20)'!$12:$14</definedName>
    <definedName name="_xlnm.Print_Titles" localSheetId="38">'б-т 953 (01.01.20)'!$14:$16</definedName>
    <definedName name="_xlnm.Print_Titles" localSheetId="39">'б-т 954 (01.01.20)'!$15:$17</definedName>
    <definedName name="_xlnm.Print_Titles" localSheetId="41">'б-т 955 наркомания (01.01.20)'!$7:$9</definedName>
    <definedName name="_xlnm.Print_Titles" localSheetId="42">'б-т 955 Стим-е (01.01.20)'!$5:$10</definedName>
    <definedName name="_xlnm.Print_Titles" localSheetId="44">'б-т 963 Наркомания (01.01.20)'!$7:$9</definedName>
    <definedName name="_xlnm.Print_Titles" localSheetId="28">'б-т 966 Стим-е (01.01.20)'!$5:$10</definedName>
    <definedName name="_xlnm.Print_Titles" localSheetId="47">'б-т 981 (01.01.20)'!$5:$8</definedName>
    <definedName name="_xlnm.Print_Titles" localSheetId="49">'б-т 981 Стим-е (01.01.20)'!$7:$12</definedName>
    <definedName name="_xlnm.Print_Titles" localSheetId="53">'б-т 986 (01.01.20)'!$4:$7</definedName>
    <definedName name="_xlnm.Print_Titles" localSheetId="54">'б-т 995 (01.01.20)'!$5:$8</definedName>
    <definedName name="_xlnm.Print_Titles" localSheetId="55">'б-т 996 (01.01.20)'!$6:$7</definedName>
    <definedName name="_xlnm.Print_Titles" localSheetId="50">'б-т накомания 981 (01.01.20)'!$7:$9</definedName>
    <definedName name="_xlnm.Print_Titles" localSheetId="76">'внеб 922 (01.01.20)'!$7:$10</definedName>
    <definedName name="_xlnm.Print_Titles" localSheetId="81">'внеб 947 (01.01.20)'!$12:$14</definedName>
    <definedName name="_xlnm.Print_Titles" localSheetId="84">'внеб 956 (01.01.20)'!$9:$12</definedName>
    <definedName name="_xlnm.Print_Titles" localSheetId="85">'внеб 963 (01.01.20)'!$5:$9</definedName>
    <definedName name="_xlnm.Print_Titles" localSheetId="74">'внеб 966 (01.01.20)'!$7:$11</definedName>
    <definedName name="_xlnm.Print_Titles" localSheetId="86">'внеб 971 (01.01.20)'!$6:$11</definedName>
    <definedName name="_xlnm.Print_Titles" localSheetId="87">'внеб 981 (01.01.20)'!$5:$8</definedName>
    <definedName name="_xlnm.Print_Titles" localSheetId="89">'внеб 986 (01.01.20)'!$6:$9</definedName>
    <definedName name="_xlnm.Print_Titles" localSheetId="91">'ГЦК+Энергия 2020'!$5:$7</definedName>
    <definedName name="_xlnm.Print_Titles" localSheetId="97">'ГЦК+Энергия 2021'!$5:$7</definedName>
    <definedName name="_xlnm.Print_Titles" localSheetId="103">'ГЦК+Энергия 2022'!$5:$7</definedName>
    <definedName name="_xlnm.Print_Titles" localSheetId="4">'раздел 1'!$A:$C,'раздел 1'!$26:$31</definedName>
    <definedName name="_xlnm.Print_Titles" localSheetId="5">'раздел 2'!$3:$6</definedName>
    <definedName name="_xlnm.Print_Titles" localSheetId="58">'субс РТ (01.01.20)'!$5:$10</definedName>
    <definedName name="кат" localSheetId="62">#REF!</definedName>
    <definedName name="кат" localSheetId="66">#REF!</definedName>
    <definedName name="кат" localSheetId="64">#REF!</definedName>
    <definedName name="кат" localSheetId="65">#REF!</definedName>
    <definedName name="кат" localSheetId="45">#REF!</definedName>
    <definedName name="кат" localSheetId="31">#REF!</definedName>
    <definedName name="кат" localSheetId="41">#REF!</definedName>
    <definedName name="кат" localSheetId="40">#REF!</definedName>
    <definedName name="кат" localSheetId="42">#REF!</definedName>
    <definedName name="кат" localSheetId="44">#REF!</definedName>
    <definedName name="кат" localSheetId="43">#REF!</definedName>
    <definedName name="кат" localSheetId="28">#REF!</definedName>
    <definedName name="кат" localSheetId="46">#REF!</definedName>
    <definedName name="кат" localSheetId="48">#REF!</definedName>
    <definedName name="кат" localSheetId="49">#REF!</definedName>
    <definedName name="кат" localSheetId="22">#REF!</definedName>
    <definedName name="кат" localSheetId="23">#REF!</definedName>
    <definedName name="кат" localSheetId="50">#REF!</definedName>
    <definedName name="кат" localSheetId="85">#REF!</definedName>
    <definedName name="кат" localSheetId="74">#REF!</definedName>
    <definedName name="кат" localSheetId="71">#REF!</definedName>
    <definedName name="кат" localSheetId="73">#REF!</definedName>
    <definedName name="кат" localSheetId="67">#REF!</definedName>
    <definedName name="кат" localSheetId="59">#REF!</definedName>
    <definedName name="кат" localSheetId="60">#REF!</definedName>
    <definedName name="кат" localSheetId="18">#REF!</definedName>
    <definedName name="кат" localSheetId="90">#REF!</definedName>
    <definedName name="кат" localSheetId="5">#REF!</definedName>
    <definedName name="кат" localSheetId="61">#REF!</definedName>
    <definedName name="кат" localSheetId="19">#REF!</definedName>
    <definedName name="кат" localSheetId="20">#REF!</definedName>
    <definedName name="кат" localSheetId="30">#REF!</definedName>
    <definedName name="кат" localSheetId="58">#REF!</definedName>
    <definedName name="кат" localSheetId="56">#REF!</definedName>
    <definedName name="кат" localSheetId="57">#REF!</definedName>
    <definedName name="кат">#REF!</definedName>
    <definedName name="кат_14" localSheetId="62">#REF!</definedName>
    <definedName name="кат_14" localSheetId="66">#REF!</definedName>
    <definedName name="кат_14" localSheetId="64">#REF!</definedName>
    <definedName name="кат_14" localSheetId="65">#REF!</definedName>
    <definedName name="кат_14" localSheetId="45">#REF!</definedName>
    <definedName name="кат_14" localSheetId="31">#REF!</definedName>
    <definedName name="кат_14" localSheetId="41">#REF!</definedName>
    <definedName name="кат_14" localSheetId="40">#REF!</definedName>
    <definedName name="кат_14" localSheetId="42">#REF!</definedName>
    <definedName name="кат_14" localSheetId="44">#REF!</definedName>
    <definedName name="кат_14" localSheetId="43">#REF!</definedName>
    <definedName name="кат_14" localSheetId="28">#REF!</definedName>
    <definedName name="кат_14" localSheetId="46">#REF!</definedName>
    <definedName name="кат_14" localSheetId="48">#REF!</definedName>
    <definedName name="кат_14" localSheetId="49">#REF!</definedName>
    <definedName name="кат_14" localSheetId="22">#REF!</definedName>
    <definedName name="кат_14" localSheetId="23">#REF!</definedName>
    <definedName name="кат_14" localSheetId="50">#REF!</definedName>
    <definedName name="кат_14" localSheetId="85">#REF!</definedName>
    <definedName name="кат_14" localSheetId="74">#REF!</definedName>
    <definedName name="кат_14" localSheetId="71">#REF!</definedName>
    <definedName name="кат_14" localSheetId="73">#REF!</definedName>
    <definedName name="кат_14" localSheetId="67">#REF!</definedName>
    <definedName name="кат_14" localSheetId="59">#REF!</definedName>
    <definedName name="кат_14" localSheetId="60">#REF!</definedName>
    <definedName name="кат_14" localSheetId="18">#REF!</definedName>
    <definedName name="кат_14" localSheetId="5">#REF!</definedName>
    <definedName name="кат_14" localSheetId="61">#REF!</definedName>
    <definedName name="кат_14" localSheetId="19">#REF!</definedName>
    <definedName name="кат_14" localSheetId="20">#REF!</definedName>
    <definedName name="кат_14" localSheetId="30">#REF!</definedName>
    <definedName name="кат_14" localSheetId="58">#REF!</definedName>
    <definedName name="кат_14" localSheetId="56">#REF!</definedName>
    <definedName name="кат_14" localSheetId="57">#REF!</definedName>
    <definedName name="кат_14">#REF!</definedName>
    <definedName name="КВ" localSheetId="62">#REF!</definedName>
    <definedName name="КВ" localSheetId="64">#REF!</definedName>
    <definedName name="КВ" localSheetId="65">#REF!</definedName>
    <definedName name="КВ" localSheetId="46">#REF!</definedName>
    <definedName name="КВ" localSheetId="21">#REF!</definedName>
    <definedName name="КВ" localSheetId="22">#REF!</definedName>
    <definedName name="КВ" localSheetId="23">#REF!</definedName>
    <definedName name="КВ" localSheetId="70">#REF!</definedName>
    <definedName name="КВ" localSheetId="71">#REF!</definedName>
    <definedName name="КВ" localSheetId="73">#REF!</definedName>
    <definedName name="КВ" localSheetId="93">#REF!</definedName>
    <definedName name="КВ" localSheetId="99">#REF!</definedName>
    <definedName name="КВ" localSheetId="105">#REF!</definedName>
    <definedName name="КВ" localSheetId="91">#REF!</definedName>
    <definedName name="КВ" localSheetId="97">#REF!</definedName>
    <definedName name="КВ" localSheetId="103">#REF!</definedName>
    <definedName name="КВ" localSheetId="67">#REF!</definedName>
    <definedName name="КВ" localSheetId="59">#REF!</definedName>
    <definedName name="КВ" localSheetId="60">#REF!</definedName>
    <definedName name="КВ" localSheetId="18">#REF!</definedName>
    <definedName name="КВ" localSheetId="2">#REF!</definedName>
    <definedName name="КВ" localSheetId="94">#REF!</definedName>
    <definedName name="КВ" localSheetId="100">#REF!</definedName>
    <definedName name="КВ" localSheetId="5">#REF!</definedName>
    <definedName name="КВ" localSheetId="3">#REF!</definedName>
    <definedName name="КВ" localSheetId="95">#REF!</definedName>
    <definedName name="КВ" localSheetId="101">#REF!</definedName>
    <definedName name="КВ" localSheetId="1">#REF!</definedName>
    <definedName name="КВ" localSheetId="0">#REF!</definedName>
    <definedName name="КВ" localSheetId="61">#REF!</definedName>
    <definedName name="КВ" localSheetId="19">#REF!</definedName>
    <definedName name="КВ" localSheetId="20">#REF!</definedName>
    <definedName name="КВ" localSheetId="30">#REF!</definedName>
    <definedName name="КВ" localSheetId="56">#REF!</definedName>
    <definedName name="КВ" localSheetId="57">#REF!</definedName>
    <definedName name="КВ" localSheetId="96">#REF!</definedName>
    <definedName name="КВ" localSheetId="102">#REF!</definedName>
    <definedName name="КВ" localSheetId="92">#REF!</definedName>
    <definedName name="КВ" localSheetId="98">#REF!</definedName>
    <definedName name="КВ" localSheetId="104">#REF!</definedName>
    <definedName name="КВ">#REF!</definedName>
    <definedName name="Код_110100" localSheetId="62">#REF!</definedName>
    <definedName name="Код_110100" localSheetId="64">#REF!</definedName>
    <definedName name="Код_110100" localSheetId="65">#REF!</definedName>
    <definedName name="Код_110100" localSheetId="46">#REF!</definedName>
    <definedName name="Код_110100" localSheetId="21">#REF!</definedName>
    <definedName name="Код_110100" localSheetId="22">#REF!</definedName>
    <definedName name="Код_110100" localSheetId="23">#REF!</definedName>
    <definedName name="Код_110100" localSheetId="70">#REF!</definedName>
    <definedName name="Код_110100" localSheetId="71">#REF!</definedName>
    <definedName name="Код_110100" localSheetId="73">#REF!</definedName>
    <definedName name="Код_110100" localSheetId="93">#REF!</definedName>
    <definedName name="Код_110100" localSheetId="99">#REF!</definedName>
    <definedName name="Код_110100" localSheetId="105">#REF!</definedName>
    <definedName name="Код_110100" localSheetId="91">#REF!</definedName>
    <definedName name="Код_110100" localSheetId="97">#REF!</definedName>
    <definedName name="Код_110100" localSheetId="103">#REF!</definedName>
    <definedName name="Код_110100" localSheetId="67">#REF!</definedName>
    <definedName name="Код_110100" localSheetId="59">#REF!</definedName>
    <definedName name="Код_110100" localSheetId="60">#REF!</definedName>
    <definedName name="Код_110100" localSheetId="18">#REF!</definedName>
    <definedName name="Код_110100" localSheetId="2">#REF!</definedName>
    <definedName name="Код_110100" localSheetId="94">#REF!</definedName>
    <definedName name="Код_110100" localSheetId="100">#REF!</definedName>
    <definedName name="Код_110100" localSheetId="5">#REF!</definedName>
    <definedName name="Код_110100" localSheetId="3">#REF!</definedName>
    <definedName name="Код_110100" localSheetId="95">#REF!</definedName>
    <definedName name="Код_110100" localSheetId="101">#REF!</definedName>
    <definedName name="Код_110100" localSheetId="1">#REF!</definedName>
    <definedName name="Код_110100" localSheetId="0">#REF!</definedName>
    <definedName name="Код_110100" localSheetId="61">#REF!</definedName>
    <definedName name="Код_110100" localSheetId="19">#REF!</definedName>
    <definedName name="Код_110100" localSheetId="20">#REF!</definedName>
    <definedName name="Код_110100" localSheetId="30">#REF!</definedName>
    <definedName name="Код_110100" localSheetId="56">#REF!</definedName>
    <definedName name="Код_110100" localSheetId="57">#REF!</definedName>
    <definedName name="Код_110100" localSheetId="96">#REF!</definedName>
    <definedName name="Код_110100" localSheetId="102">#REF!</definedName>
    <definedName name="Код_110100" localSheetId="92">#REF!</definedName>
    <definedName name="Код_110100" localSheetId="98">#REF!</definedName>
    <definedName name="Код_110100" localSheetId="104">#REF!</definedName>
    <definedName name="Код_110100">#REF!</definedName>
    <definedName name="Код_110200" localSheetId="62">#REF!</definedName>
    <definedName name="Код_110200" localSheetId="64">#REF!</definedName>
    <definedName name="Код_110200" localSheetId="65">#REF!</definedName>
    <definedName name="Код_110200" localSheetId="46">#REF!</definedName>
    <definedName name="Код_110200" localSheetId="21">#REF!</definedName>
    <definedName name="Код_110200" localSheetId="22">#REF!</definedName>
    <definedName name="Код_110200" localSheetId="23">#REF!</definedName>
    <definedName name="Код_110200" localSheetId="70">#REF!</definedName>
    <definedName name="Код_110200" localSheetId="71">#REF!</definedName>
    <definedName name="Код_110200" localSheetId="73">#REF!</definedName>
    <definedName name="Код_110200" localSheetId="93">#REF!</definedName>
    <definedName name="Код_110200" localSheetId="99">#REF!</definedName>
    <definedName name="Код_110200" localSheetId="105">#REF!</definedName>
    <definedName name="Код_110200" localSheetId="91">#REF!</definedName>
    <definedName name="Код_110200" localSheetId="97">#REF!</definedName>
    <definedName name="Код_110200" localSheetId="103">#REF!</definedName>
    <definedName name="Код_110200" localSheetId="67">#REF!</definedName>
    <definedName name="Код_110200" localSheetId="59">#REF!</definedName>
    <definedName name="Код_110200" localSheetId="60">#REF!</definedName>
    <definedName name="Код_110200" localSheetId="18">#REF!</definedName>
    <definedName name="Код_110200" localSheetId="2">#REF!</definedName>
    <definedName name="Код_110200" localSheetId="94">#REF!</definedName>
    <definedName name="Код_110200" localSheetId="100">#REF!</definedName>
    <definedName name="Код_110200" localSheetId="5">#REF!</definedName>
    <definedName name="Код_110200" localSheetId="3">#REF!</definedName>
    <definedName name="Код_110200" localSheetId="95">#REF!</definedName>
    <definedName name="Код_110200" localSheetId="101">#REF!</definedName>
    <definedName name="Код_110200" localSheetId="1">#REF!</definedName>
    <definedName name="Код_110200" localSheetId="0">#REF!</definedName>
    <definedName name="Код_110200" localSheetId="61">#REF!</definedName>
    <definedName name="Код_110200" localSheetId="19">#REF!</definedName>
    <definedName name="Код_110200" localSheetId="20">#REF!</definedName>
    <definedName name="Код_110200" localSheetId="30">#REF!</definedName>
    <definedName name="Код_110200" localSheetId="56">#REF!</definedName>
    <definedName name="Код_110200" localSheetId="57">#REF!</definedName>
    <definedName name="Код_110200" localSheetId="96">#REF!</definedName>
    <definedName name="Код_110200" localSheetId="102">#REF!</definedName>
    <definedName name="Код_110200" localSheetId="92">#REF!</definedName>
    <definedName name="Код_110200" localSheetId="98">#REF!</definedName>
    <definedName name="Код_110200" localSheetId="104">#REF!</definedName>
    <definedName name="Код_110200">#REF!</definedName>
    <definedName name="Код_110500" localSheetId="62">#REF!</definedName>
    <definedName name="Код_110500" localSheetId="64">#REF!</definedName>
    <definedName name="Код_110500" localSheetId="65">#REF!</definedName>
    <definedName name="Код_110500" localSheetId="46">#REF!</definedName>
    <definedName name="Код_110500" localSheetId="21">#REF!</definedName>
    <definedName name="Код_110500" localSheetId="22">#REF!</definedName>
    <definedName name="Код_110500" localSheetId="23">#REF!</definedName>
    <definedName name="Код_110500" localSheetId="70">#REF!</definedName>
    <definedName name="Код_110500" localSheetId="71">#REF!</definedName>
    <definedName name="Код_110500" localSheetId="73">#REF!</definedName>
    <definedName name="Код_110500" localSheetId="93">#REF!</definedName>
    <definedName name="Код_110500" localSheetId="99">#REF!</definedName>
    <definedName name="Код_110500" localSheetId="105">#REF!</definedName>
    <definedName name="Код_110500" localSheetId="91">#REF!</definedName>
    <definedName name="Код_110500" localSheetId="97">#REF!</definedName>
    <definedName name="Код_110500" localSheetId="103">#REF!</definedName>
    <definedName name="Код_110500" localSheetId="67">#REF!</definedName>
    <definedName name="Код_110500" localSheetId="59">#REF!</definedName>
    <definedName name="Код_110500" localSheetId="60">#REF!</definedName>
    <definedName name="Код_110500" localSheetId="18">#REF!</definedName>
    <definedName name="Код_110500" localSheetId="2">#REF!</definedName>
    <definedName name="Код_110500" localSheetId="94">#REF!</definedName>
    <definedName name="Код_110500" localSheetId="100">#REF!</definedName>
    <definedName name="Код_110500" localSheetId="5">#REF!</definedName>
    <definedName name="Код_110500" localSheetId="3">#REF!</definedName>
    <definedName name="Код_110500" localSheetId="95">#REF!</definedName>
    <definedName name="Код_110500" localSheetId="101">#REF!</definedName>
    <definedName name="Код_110500" localSheetId="1">#REF!</definedName>
    <definedName name="Код_110500" localSheetId="0">#REF!</definedName>
    <definedName name="Код_110500" localSheetId="61">#REF!</definedName>
    <definedName name="Код_110500" localSheetId="19">#REF!</definedName>
    <definedName name="Код_110500" localSheetId="20">#REF!</definedName>
    <definedName name="Код_110500" localSheetId="30">#REF!</definedName>
    <definedName name="Код_110500" localSheetId="56">#REF!</definedName>
    <definedName name="Код_110500" localSheetId="57">#REF!</definedName>
    <definedName name="Код_110500" localSheetId="96">#REF!</definedName>
    <definedName name="Код_110500" localSheetId="102">#REF!</definedName>
    <definedName name="Код_110500" localSheetId="92">#REF!</definedName>
    <definedName name="Код_110500" localSheetId="98">#REF!</definedName>
    <definedName name="Код_110500" localSheetId="104">#REF!</definedName>
    <definedName name="Код_110500">#REF!</definedName>
    <definedName name="М1" localSheetId="62">[7]ПРОГНОЗ_1!#REF!</definedName>
    <definedName name="М1" localSheetId="66">[7]ПРОГНОЗ_1!#REF!</definedName>
    <definedName name="М1" localSheetId="64">[7]ПРОГНОЗ_1!#REF!</definedName>
    <definedName name="М1" localSheetId="65">[7]ПРОГНОЗ_1!#REF!</definedName>
    <definedName name="М1" localSheetId="45">[7]ПРОГНОЗ_1!#REF!</definedName>
    <definedName name="М1" localSheetId="31">[7]ПРОГНОЗ_1!#REF!</definedName>
    <definedName name="М1" localSheetId="41">[7]ПРОГНОЗ_1!#REF!</definedName>
    <definedName name="М1" localSheetId="40">[7]ПРОГНОЗ_1!#REF!</definedName>
    <definedName name="М1" localSheetId="42">[7]ПРОГНОЗ_1!#REF!</definedName>
    <definedName name="М1" localSheetId="44">[7]ПРОГНОЗ_1!#REF!</definedName>
    <definedName name="М1" localSheetId="43">[7]ПРОГНОЗ_1!#REF!</definedName>
    <definedName name="М1" localSheetId="28">[7]ПРОГНОЗ_1!#REF!</definedName>
    <definedName name="М1" localSheetId="46">[7]ПРОГНОЗ_1!#REF!</definedName>
    <definedName name="М1" localSheetId="48">[7]ПРОГНОЗ_1!#REF!</definedName>
    <definedName name="М1" localSheetId="49">[7]ПРОГНОЗ_1!#REF!</definedName>
    <definedName name="М1" localSheetId="22">[7]ПРОГНОЗ_1!#REF!</definedName>
    <definedName name="М1" localSheetId="23">[7]ПРОГНОЗ_1!#REF!</definedName>
    <definedName name="М1" localSheetId="50">[7]ПРОГНОЗ_1!#REF!</definedName>
    <definedName name="М1" localSheetId="85">[7]ПРОГНОЗ_1!#REF!</definedName>
    <definedName name="М1" localSheetId="74">[7]ПРОГНОЗ_1!#REF!</definedName>
    <definedName name="М1" localSheetId="71">[7]ПРОГНОЗ_1!#REF!</definedName>
    <definedName name="М1" localSheetId="73">[7]ПРОГНОЗ_1!#REF!</definedName>
    <definedName name="М1" localSheetId="67">[7]ПРОГНОЗ_1!#REF!</definedName>
    <definedName name="М1" localSheetId="59">[7]ПРОГНОЗ_1!#REF!</definedName>
    <definedName name="М1" localSheetId="60">[7]ПРОГНОЗ_1!#REF!</definedName>
    <definedName name="М1" localSheetId="18">[7]ПРОГНОЗ_1!#REF!</definedName>
    <definedName name="М1" localSheetId="90">[7]ПРОГНОЗ_1!#REF!</definedName>
    <definedName name="М1" localSheetId="5">[7]ПРОГНОЗ_1!#REF!</definedName>
    <definedName name="М1" localSheetId="61">[7]ПРОГНОЗ_1!#REF!</definedName>
    <definedName name="М1" localSheetId="19">[7]ПРОГНОЗ_1!#REF!</definedName>
    <definedName name="М1" localSheetId="20">[7]ПРОГНОЗ_1!#REF!</definedName>
    <definedName name="М1" localSheetId="30">[7]ПРОГНОЗ_1!#REF!</definedName>
    <definedName name="М1" localSheetId="58">[7]ПРОГНОЗ_1!#REF!</definedName>
    <definedName name="М1" localSheetId="56">[7]ПРОГНОЗ_1!#REF!</definedName>
    <definedName name="М1" localSheetId="57">[7]ПРОГНОЗ_1!#REF!</definedName>
    <definedName name="М1">[7]ПРОГНОЗ_1!#REF!</definedName>
    <definedName name="М1_14" localSheetId="62">[7]ПРОГНОЗ_1!#REF!</definedName>
    <definedName name="М1_14" localSheetId="66">[7]ПРОГНОЗ_1!#REF!</definedName>
    <definedName name="М1_14" localSheetId="64">[7]ПРОГНОЗ_1!#REF!</definedName>
    <definedName name="М1_14" localSheetId="65">[7]ПРОГНОЗ_1!#REF!</definedName>
    <definedName name="М1_14" localSheetId="45">[7]ПРОГНОЗ_1!#REF!</definedName>
    <definedName name="М1_14" localSheetId="31">[7]ПРОГНОЗ_1!#REF!</definedName>
    <definedName name="М1_14" localSheetId="41">[7]ПРОГНОЗ_1!#REF!</definedName>
    <definedName name="М1_14" localSheetId="40">[7]ПРОГНОЗ_1!#REF!</definedName>
    <definedName name="М1_14" localSheetId="42">[7]ПРОГНОЗ_1!#REF!</definedName>
    <definedName name="М1_14" localSheetId="44">[7]ПРОГНОЗ_1!#REF!</definedName>
    <definedName name="М1_14" localSheetId="43">[7]ПРОГНОЗ_1!#REF!</definedName>
    <definedName name="М1_14" localSheetId="28">[7]ПРОГНОЗ_1!#REF!</definedName>
    <definedName name="М1_14" localSheetId="46">[7]ПРОГНОЗ_1!#REF!</definedName>
    <definedName name="М1_14" localSheetId="48">[7]ПРОГНОЗ_1!#REF!</definedName>
    <definedName name="М1_14" localSheetId="49">[7]ПРОГНОЗ_1!#REF!</definedName>
    <definedName name="М1_14" localSheetId="22">[7]ПРОГНОЗ_1!#REF!</definedName>
    <definedName name="М1_14" localSheetId="23">[7]ПРОГНОЗ_1!#REF!</definedName>
    <definedName name="М1_14" localSheetId="50">[7]ПРОГНОЗ_1!#REF!</definedName>
    <definedName name="М1_14" localSheetId="85">[7]ПРОГНОЗ_1!#REF!</definedName>
    <definedName name="М1_14" localSheetId="74">[7]ПРОГНОЗ_1!#REF!</definedName>
    <definedName name="М1_14" localSheetId="71">[7]ПРОГНОЗ_1!#REF!</definedName>
    <definedName name="М1_14" localSheetId="73">[7]ПРОГНОЗ_1!#REF!</definedName>
    <definedName name="М1_14" localSheetId="67">[7]ПРОГНОЗ_1!#REF!</definedName>
    <definedName name="М1_14" localSheetId="59">[7]ПРОГНОЗ_1!#REF!</definedName>
    <definedName name="М1_14" localSheetId="60">[7]ПРОГНОЗ_1!#REF!</definedName>
    <definedName name="М1_14" localSheetId="18">[7]ПРОГНОЗ_1!#REF!</definedName>
    <definedName name="М1_14" localSheetId="90">[7]ПРОГНОЗ_1!#REF!</definedName>
    <definedName name="М1_14" localSheetId="5">[7]ПРОГНОЗ_1!#REF!</definedName>
    <definedName name="М1_14" localSheetId="61">[7]ПРОГНОЗ_1!#REF!</definedName>
    <definedName name="М1_14" localSheetId="19">[7]ПРОГНОЗ_1!#REF!</definedName>
    <definedName name="М1_14" localSheetId="20">[7]ПРОГНОЗ_1!#REF!</definedName>
    <definedName name="М1_14" localSheetId="30">[7]ПРОГНОЗ_1!#REF!</definedName>
    <definedName name="М1_14" localSheetId="58">[7]ПРОГНОЗ_1!#REF!</definedName>
    <definedName name="М1_14" localSheetId="56">[7]ПРОГНОЗ_1!#REF!</definedName>
    <definedName name="М1_14" localSheetId="57">[7]ПРОГНОЗ_1!#REF!</definedName>
    <definedName name="М1_14">[7]ПРОГНОЗ_1!#REF!</definedName>
    <definedName name="Мониторинг1" localSheetId="62">'[8]Гр5(о)'!#REF!</definedName>
    <definedName name="Мониторинг1" localSheetId="66">'[8]Гр5(о)'!#REF!</definedName>
    <definedName name="Мониторинг1" localSheetId="64">'[8]Гр5(о)'!#REF!</definedName>
    <definedName name="Мониторинг1" localSheetId="65">'[8]Гр5(о)'!#REF!</definedName>
    <definedName name="Мониторинг1" localSheetId="45">'[8]Гр5(о)'!#REF!</definedName>
    <definedName name="Мониторинг1" localSheetId="31">'[8]Гр5(о)'!#REF!</definedName>
    <definedName name="Мониторинг1" localSheetId="41">'[8]Гр5(о)'!#REF!</definedName>
    <definedName name="Мониторинг1" localSheetId="40">'[8]Гр5(о)'!#REF!</definedName>
    <definedName name="Мониторинг1" localSheetId="42">'[8]Гр5(о)'!#REF!</definedName>
    <definedName name="Мониторинг1" localSheetId="44">'[8]Гр5(о)'!#REF!</definedName>
    <definedName name="Мониторинг1" localSheetId="43">'[8]Гр5(о)'!#REF!</definedName>
    <definedName name="Мониторинг1" localSheetId="28">'[8]Гр5(о)'!#REF!</definedName>
    <definedName name="Мониторинг1" localSheetId="46">'[8]Гр5(о)'!#REF!</definedName>
    <definedName name="Мониторинг1" localSheetId="48">'[8]Гр5(о)'!#REF!</definedName>
    <definedName name="Мониторинг1" localSheetId="49">'[8]Гр5(о)'!#REF!</definedName>
    <definedName name="Мониторинг1" localSheetId="22">'[8]Гр5(о)'!#REF!</definedName>
    <definedName name="Мониторинг1" localSheetId="23">'[8]Гр5(о)'!#REF!</definedName>
    <definedName name="Мониторинг1" localSheetId="50">'[8]Гр5(о)'!#REF!</definedName>
    <definedName name="Мониторинг1" localSheetId="85">'[8]Гр5(о)'!#REF!</definedName>
    <definedName name="Мониторинг1" localSheetId="74">'[8]Гр5(о)'!#REF!</definedName>
    <definedName name="Мониторинг1" localSheetId="71">'[8]Гр5(о)'!#REF!</definedName>
    <definedName name="Мониторинг1" localSheetId="73">'[8]Гр5(о)'!#REF!</definedName>
    <definedName name="Мониторинг1" localSheetId="67">'[8]Гр5(о)'!#REF!</definedName>
    <definedName name="Мониторинг1" localSheetId="59">'[8]Гр5(о)'!#REF!</definedName>
    <definedName name="Мониторинг1" localSheetId="60">'[8]Гр5(о)'!#REF!</definedName>
    <definedName name="Мониторинг1" localSheetId="18">'[8]Гр5(о)'!#REF!</definedName>
    <definedName name="Мониторинг1" localSheetId="90">'[8]Гр5(о)'!#REF!</definedName>
    <definedName name="Мониторинг1" localSheetId="5">'[8]Гр5(о)'!#REF!</definedName>
    <definedName name="Мониторинг1" localSheetId="61">'[8]Гр5(о)'!#REF!</definedName>
    <definedName name="Мониторинг1" localSheetId="19">'[8]Гр5(о)'!#REF!</definedName>
    <definedName name="Мониторинг1" localSheetId="20">'[8]Гр5(о)'!#REF!</definedName>
    <definedName name="Мониторинг1" localSheetId="30">'[8]Гр5(о)'!#REF!</definedName>
    <definedName name="Мониторинг1" localSheetId="58">'[8]Гр5(о)'!#REF!</definedName>
    <definedName name="Мониторинг1" localSheetId="56">'[8]Гр5(о)'!#REF!</definedName>
    <definedName name="Мониторинг1" localSheetId="57">'[8]Гр5(о)'!#REF!</definedName>
    <definedName name="Мониторинг1">'[8]Гр5(о)'!#REF!</definedName>
    <definedName name="Мониторинг1_14" localSheetId="62">'[8]Гр5(о)'!#REF!</definedName>
    <definedName name="Мониторинг1_14" localSheetId="66">'[8]Гр5(о)'!#REF!</definedName>
    <definedName name="Мониторинг1_14" localSheetId="64">'[8]Гр5(о)'!#REF!</definedName>
    <definedName name="Мониторинг1_14" localSheetId="65">'[8]Гр5(о)'!#REF!</definedName>
    <definedName name="Мониторинг1_14" localSheetId="31">'[8]Гр5(о)'!#REF!</definedName>
    <definedName name="Мониторинг1_14" localSheetId="41">'[8]Гр5(о)'!#REF!</definedName>
    <definedName name="Мониторинг1_14" localSheetId="40">'[8]Гр5(о)'!#REF!</definedName>
    <definedName name="Мониторинг1_14" localSheetId="44">'[8]Гр5(о)'!#REF!</definedName>
    <definedName name="Мониторинг1_14" localSheetId="43">'[8]Гр5(о)'!#REF!</definedName>
    <definedName name="Мониторинг1_14" localSheetId="46">'[8]Гр5(о)'!#REF!</definedName>
    <definedName name="Мониторинг1_14" localSheetId="48">'[8]Гр5(о)'!#REF!</definedName>
    <definedName name="Мониторинг1_14" localSheetId="22">'[8]Гр5(о)'!#REF!</definedName>
    <definedName name="Мониторинг1_14" localSheetId="23">'[8]Гр5(о)'!#REF!</definedName>
    <definedName name="Мониторинг1_14" localSheetId="50">'[8]Гр5(о)'!#REF!</definedName>
    <definedName name="Мониторинг1_14" localSheetId="71">'[8]Гр5(о)'!#REF!</definedName>
    <definedName name="Мониторинг1_14" localSheetId="73">'[8]Гр5(о)'!#REF!</definedName>
    <definedName name="Мониторинг1_14" localSheetId="67">'[8]Гр5(о)'!#REF!</definedName>
    <definedName name="Мониторинг1_14" localSheetId="59">'[8]Гр5(о)'!#REF!</definedName>
    <definedName name="Мониторинг1_14" localSheetId="60">'[8]Гр5(о)'!#REF!</definedName>
    <definedName name="Мониторинг1_14" localSheetId="18">'[8]Гр5(о)'!#REF!</definedName>
    <definedName name="Мониторинг1_14" localSheetId="90">'[8]Гр5(о)'!#REF!</definedName>
    <definedName name="Мониторинг1_14" localSheetId="5">'[8]Гр5(о)'!#REF!</definedName>
    <definedName name="Мониторинг1_14" localSheetId="61">'[8]Гр5(о)'!#REF!</definedName>
    <definedName name="Мониторинг1_14" localSheetId="19">'[8]Гр5(о)'!#REF!</definedName>
    <definedName name="Мониторинг1_14" localSheetId="20">'[8]Гр5(о)'!#REF!</definedName>
    <definedName name="Мониторинг1_14" localSheetId="30">'[8]Гр5(о)'!#REF!</definedName>
    <definedName name="Мониторинг1_14" localSheetId="56">'[8]Гр5(о)'!#REF!</definedName>
    <definedName name="Мониторинг1_14" localSheetId="57">'[8]Гр5(о)'!#REF!</definedName>
    <definedName name="Мониторинг1_14">'[8]Гр5(о)'!#REF!</definedName>
    <definedName name="нговеошл" localSheetId="62">#REF!</definedName>
    <definedName name="нговеошл" localSheetId="66">#REF!</definedName>
    <definedName name="нговеошл" localSheetId="64">#REF!</definedName>
    <definedName name="нговеошл" localSheetId="65">#REF!</definedName>
    <definedName name="нговеошл" localSheetId="31">#REF!</definedName>
    <definedName name="нговеошл" localSheetId="28">#REF!</definedName>
    <definedName name="нговеошл" localSheetId="46">#REF!</definedName>
    <definedName name="нговеошл" localSheetId="48">#REF!</definedName>
    <definedName name="нговеошл" localSheetId="22">#REF!</definedName>
    <definedName name="нговеошл" localSheetId="23">#REF!</definedName>
    <definedName name="нговеошл" localSheetId="71">#REF!</definedName>
    <definedName name="нговеошл" localSheetId="73">#REF!</definedName>
    <definedName name="нговеошл" localSheetId="67">#REF!</definedName>
    <definedName name="нговеошл" localSheetId="59">#REF!</definedName>
    <definedName name="нговеошл" localSheetId="60">#REF!</definedName>
    <definedName name="нговеошл" localSheetId="18">#REF!</definedName>
    <definedName name="нговеошл" localSheetId="90">#REF!</definedName>
    <definedName name="нговеошл" localSheetId="5">#REF!</definedName>
    <definedName name="нговеошл" localSheetId="61">#REF!</definedName>
    <definedName name="нговеошл" localSheetId="30">#REF!</definedName>
    <definedName name="нговеошл" localSheetId="58">#REF!</definedName>
    <definedName name="нговеошл" localSheetId="56">#REF!</definedName>
    <definedName name="нговеошл" localSheetId="57">#REF!</definedName>
    <definedName name="нговеошл">#REF!</definedName>
    <definedName name="нег" localSheetId="62">#REF!</definedName>
    <definedName name="нег" localSheetId="64">#REF!</definedName>
    <definedName name="нег" localSheetId="65">#REF!</definedName>
    <definedName name="нег" localSheetId="46">#REF!</definedName>
    <definedName name="нег" localSheetId="22">#REF!</definedName>
    <definedName name="нег" localSheetId="23">#REF!</definedName>
    <definedName name="нег" localSheetId="71">#REF!</definedName>
    <definedName name="нег" localSheetId="73">#REF!</definedName>
    <definedName name="нег" localSheetId="67">#REF!</definedName>
    <definedName name="нег" localSheetId="59">#REF!</definedName>
    <definedName name="нег" localSheetId="60">#REF!</definedName>
    <definedName name="нег" localSheetId="18">#REF!</definedName>
    <definedName name="нег" localSheetId="5">#REF!</definedName>
    <definedName name="нег" localSheetId="61">#REF!</definedName>
    <definedName name="нег" localSheetId="30">#REF!</definedName>
    <definedName name="нег" localSheetId="56">#REF!</definedName>
    <definedName name="нег" localSheetId="57">#REF!</definedName>
    <definedName name="нег">#REF!</definedName>
    <definedName name="нкшывк" localSheetId="62">#REF!</definedName>
    <definedName name="нкшывк" localSheetId="64">#REF!</definedName>
    <definedName name="нкшывк" localSheetId="65">#REF!</definedName>
    <definedName name="нкшывк" localSheetId="46">#REF!</definedName>
    <definedName name="нкшывк" localSheetId="22">#REF!</definedName>
    <definedName name="нкшывк" localSheetId="23">#REF!</definedName>
    <definedName name="нкшывк" localSheetId="71">#REF!</definedName>
    <definedName name="нкшывк" localSheetId="73">#REF!</definedName>
    <definedName name="нкшывк" localSheetId="67">#REF!</definedName>
    <definedName name="нкшывк" localSheetId="59">#REF!</definedName>
    <definedName name="нкшывк" localSheetId="60">#REF!</definedName>
    <definedName name="нкшывк" localSheetId="18">#REF!</definedName>
    <definedName name="нкшывк" localSheetId="5">#REF!</definedName>
    <definedName name="нкшывк" localSheetId="61">#REF!</definedName>
    <definedName name="нкшывк" localSheetId="30">#REF!</definedName>
    <definedName name="нкшывк" localSheetId="56">#REF!</definedName>
    <definedName name="нкшывк" localSheetId="57">#REF!</definedName>
    <definedName name="нкшывк">#REF!</definedName>
    <definedName name="_xlnm.Print_Area" localSheetId="63">'(81600) 971 (01.01.20)'!$A$1:$AF$156</definedName>
    <definedName name="_xlnm.Print_Area" localSheetId="62">'(81600) КВР 244 (01.01.20)'!$A$1:$E$33</definedName>
    <definedName name="_xlnm.Print_Area" localSheetId="66">'75 лет (01.01.20)'!$A$1:$AB$89</definedName>
    <definedName name="_xlnm.Print_Area" localSheetId="65">'75 лет КВР 244 (01.01.20)'!$A$1:$E$33</definedName>
    <definedName name="_xlnm.Print_Area" localSheetId="45">'б -т 963 Стим-е (01.01.20)'!$A$1:$Z$245</definedName>
    <definedName name="_xlnm.Print_Area" localSheetId="14">'безвозм1400(150)'!$A$1:$C$21</definedName>
    <definedName name="_xlnm.Print_Area" localSheetId="15">'безвозм1400(155)'!$A$1:$E$13</definedName>
    <definedName name="_xlnm.Print_Area" localSheetId="25">'б-т 914 (01.01.20)'!$A$1:$N$21</definedName>
    <definedName name="_xlnm.Print_Area" localSheetId="26">'б-т 921 (01.01.20)'!$A$1:$I$13</definedName>
    <definedName name="_xlnm.Print_Area" localSheetId="31">'б-т 922 ПГ (01.01.20) '!$A$1:$AB$429</definedName>
    <definedName name="_xlnm.Print_Area" localSheetId="32">'б-т 925 (01.01.20)'!$A$1:$V$84</definedName>
    <definedName name="_xlnm.Print_Area" localSheetId="33">'б-т 927 (01.01.20)'!$A$1:$W$41</definedName>
    <definedName name="_xlnm.Print_Area" localSheetId="34">'б-т 931,932,933 (01.01.20)'!$A$1:$U$41</definedName>
    <definedName name="_xlnm.Print_Area" localSheetId="35">'б-т 934 (01.01.20)'!$A$1:$M$23</definedName>
    <definedName name="_xlnm.Print_Area" localSheetId="36">'б-т 941 (01.01.20)'!$A$1:$W$36</definedName>
    <definedName name="_xlnm.Print_Area" localSheetId="37">'б-т 947 (01.01.20)'!$A$1:$X$50</definedName>
    <definedName name="_xlnm.Print_Area" localSheetId="38">'б-т 953 (01.01.20)'!$A$1:$X$48</definedName>
    <definedName name="_xlnm.Print_Area" localSheetId="39">'б-т 954 (01.01.20)'!$A$1:$X$34</definedName>
    <definedName name="_xlnm.Print_Area" localSheetId="41">'б-т 955 наркомания (01.01.20)'!$A$3:$Z$50</definedName>
    <definedName name="_xlnm.Print_Area" localSheetId="40">'б-т 955 ПГ (01.01.20)'!$A$1:$AB$436</definedName>
    <definedName name="_xlnm.Print_Area" localSheetId="42">'б-т 955 Стим-е (01.01.20)'!$A$1:$Z$245</definedName>
    <definedName name="_xlnm.Print_Area" localSheetId="44">'б-т 963 Наркомания (01.01.20)'!$A$3:$Z$50</definedName>
    <definedName name="_xlnm.Print_Area" localSheetId="43">'б-т 963 ПГ (01.01.20)'!$A$1:$AB$434</definedName>
    <definedName name="_xlnm.Print_Area" localSheetId="28">'б-т 966 Стим-е (01.01.20)'!$A$1:$Z$245</definedName>
    <definedName name="_xlnm.Print_Area" localSheetId="46">'б-т 971 ПГ (01.01.20)'!$A$1:$AB$429</definedName>
    <definedName name="_xlnm.Print_Area" localSheetId="47">'б-т 981 (01.01.20)'!$A$1:$AD$594</definedName>
    <definedName name="_xlnm.Print_Area" localSheetId="48">'б-т 981 ПГ (01.01.20)'!$A$1:$AB$427</definedName>
    <definedName name="_xlnm.Print_Area" localSheetId="49">'б-т 981 Стим-е (01.01.20)'!$A$1:$Z$212</definedName>
    <definedName name="_xlnm.Print_Area" localSheetId="51">'б-т 982 (01.01.20)'!$A$1:$S$19</definedName>
    <definedName name="_xlnm.Print_Area" localSheetId="52">'б-т 985 (01.01.20)'!$A$1:$AB$31</definedName>
    <definedName name="_xlnm.Print_Area" localSheetId="53">'б-т 986 (01.01.20)'!$A$1:$AD$22</definedName>
    <definedName name="_xlnm.Print_Area" localSheetId="21">'б-т 991,992,911(01.01.20)-2020'!$A$1:$AH$34</definedName>
    <definedName name="_xlnm.Print_Area" localSheetId="22">'б-т 991,992,911(01.01.20)-2021'!$A$1:$AH$34</definedName>
    <definedName name="_xlnm.Print_Area" localSheetId="23">'б-т 991,992,911(01.01.20)-2022'!$A$1:$AH$34</definedName>
    <definedName name="_xlnm.Print_Area" localSheetId="54">'б-т 995 (01.01.20)'!$G$1:$AK$38</definedName>
    <definedName name="_xlnm.Print_Area" localSheetId="55">'б-т 996 (01.01.20)'!$A$1:$AR$27</definedName>
    <definedName name="_xlnm.Print_Area" localSheetId="50">'б-т накомания 981 (01.01.20)'!$A$3:$Z$52</definedName>
    <definedName name="_xlnm.Print_Area" localSheetId="72">'внеб 912,921,952 (01.01.20)'!$A$1:$L$36</definedName>
    <definedName name="_xlnm.Print_Area" localSheetId="76">'внеб 922 (01.01.20)'!$A$1:$H$19</definedName>
    <definedName name="_xlnm.Print_Area" localSheetId="77">'внеб 925 (01.01.20)'!$A$1:$I$89</definedName>
    <definedName name="_xlnm.Print_Area" localSheetId="78">'внеб 931,932,933 (01.01.20)'!$A$1:$N$23</definedName>
    <definedName name="_xlnm.Print_Area" localSheetId="79">'внеб 941 (01.01.20)'!$A$1:$J$77</definedName>
    <definedName name="_xlnm.Print_Area" localSheetId="80">'внеб 942 (01.01.20)'!$A$1:$L$13</definedName>
    <definedName name="_xlnm.Print_Area" localSheetId="81">'внеб 947 (01.01.20)'!$A$1:$L$24</definedName>
    <definedName name="_xlnm.Print_Area" localSheetId="82">'внеб 954 (01.01.20)'!$A$1:$M$23</definedName>
    <definedName name="_xlnm.Print_Area" localSheetId="83">'внеб 955 (01.01.20)'!$A$1:$J$25</definedName>
    <definedName name="_xlnm.Print_Area" localSheetId="84">'внеб 956 (01.01.20)'!$A$1:$J$23</definedName>
    <definedName name="_xlnm.Print_Area" localSheetId="85">'внеб 963 (01.01.20)'!$A$1:$T$22</definedName>
    <definedName name="_xlnm.Print_Area" localSheetId="74">'внеб 966 (01.01.20)'!$A$1:$T$20</definedName>
    <definedName name="_xlnm.Print_Area" localSheetId="86">'внеб 971 (01.01.20)'!$A$1:$N$79</definedName>
    <definedName name="_xlnm.Print_Area" localSheetId="87">'внеб 981 (01.01.20)'!$A$1:$N$88</definedName>
    <definedName name="_xlnm.Print_Area" localSheetId="88">'внеб 985 (01.01.20)'!$A$1:$H$17</definedName>
    <definedName name="_xlnm.Print_Area" localSheetId="89">'внеб 986 (01.01.20)'!$A$1:$H$15</definedName>
    <definedName name="_xlnm.Print_Area" localSheetId="70">'внеб 991,992,911 (01.01.20)'!$A$1:$AH$17</definedName>
    <definedName name="_xlnm.Print_Area" localSheetId="71">'внеб КВР 112 (01.01.20)'!$A$1:$E$21</definedName>
    <definedName name="_xlnm.Print_Area" localSheetId="73">'внеб КВР 113(01.01.20)'!$A$1:$E$14</definedName>
    <definedName name="_xlnm.Print_Area" localSheetId="75">'внеб КВР 244'!$A$1:$E$30</definedName>
    <definedName name="_xlnm.Print_Area" localSheetId="68">'внебКВР 111 (01.01.20)+'!$A$1:$E$13</definedName>
    <definedName name="_xlnm.Print_Area" localSheetId="12">'возмещ ком услуг 1230 (135)'!$A$1:$Q$19</definedName>
    <definedName name="_xlnm.Print_Area" localSheetId="93">'Высоцкий 2020'!$A$1:$AH$42</definedName>
    <definedName name="_xlnm.Print_Area" localSheetId="99">'Высоцкий 2021'!$A$1:$AH$42</definedName>
    <definedName name="_xlnm.Print_Area" localSheetId="105">'Высоцкий 2022'!$A$1:$AH$42</definedName>
    <definedName name="_xlnm.Print_Area" localSheetId="91">'ГЦК+Энергия 2020'!$A$1:$AH$62</definedName>
    <definedName name="_xlnm.Print_Area" localSheetId="97">'ГЦК+Энергия 2021'!$A$1:$AH$62</definedName>
    <definedName name="_xlnm.Print_Area" localSheetId="103">'ГЦК+Энергия 2022'!$A$1:$AH$62</definedName>
    <definedName name="_xlnm.Print_Area" localSheetId="67">'ЖКХ КВР 244 (01.01.20)'!$A$1:$E$33</definedName>
    <definedName name="_xlnm.Print_Area" localSheetId="59">'иные КВР 112 (01.01.20)'!$A$1:$E$22</definedName>
    <definedName name="_xlnm.Print_Area" localSheetId="60">'иные КВР 321(01.01.20)'!$A$1:$E$17</definedName>
    <definedName name="_xlnm.Print_Area" localSheetId="18">'иные стр1210(130)культ'!$A$1:$D$13</definedName>
    <definedName name="_xlnm.Print_Area" localSheetId="2">'музей 2020'!$A$1:$AH$40</definedName>
    <definedName name="_xlnm.Print_Area" localSheetId="94">'музей 2021'!$A$1:$AH$40</definedName>
    <definedName name="_xlnm.Print_Area" localSheetId="100">'музей 2022'!$A$1:$AH$40</definedName>
    <definedName name="_xlnm.Print_Area" localSheetId="11">'платные строка 1220 (132)'!$A$1:$N$23</definedName>
    <definedName name="_xlnm.Print_Area" localSheetId="16">'прочие строка 1500 (150)'!$A$1:$E$22</definedName>
    <definedName name="_xlnm.Print_Area" localSheetId="4">'раздел 1'!$A$1:$AR$110</definedName>
    <definedName name="_xlnm.Print_Area" localSheetId="5">'раздел 2'!$A$1:$FE$59</definedName>
    <definedName name="_xlnm.Print_Area" localSheetId="3">'Родина 2020'!$A$1:$AH$35</definedName>
    <definedName name="_xlnm.Print_Area" localSheetId="95">'Родина 2021'!$A$1:$AH$35</definedName>
    <definedName name="_xlnm.Print_Area" localSheetId="101">'Родина 2022'!$A$1:$AH$35</definedName>
    <definedName name="_xlnm.Print_Area" localSheetId="1">СВОД!$A$1:$N$21</definedName>
    <definedName name="_xlnm.Print_Area" localSheetId="0">'СВОД (2)'!$A$1:$W$21</definedName>
    <definedName name="_xlnm.Print_Area" localSheetId="61">'СПЖ КВР 244 (01.01.20)'!$A$1:$E$33</definedName>
    <definedName name="_xlnm.Print_Area" localSheetId="7">'строка 1100 (120)+'!$A$1:$F$24</definedName>
    <definedName name="_xlnm.Print_Area" localSheetId="8">'строка 1110 (121) аренда+'!$A$1:$O$22</definedName>
    <definedName name="_xlnm.Print_Area" localSheetId="9">'строка 1200(130)'!$A$1:$F$19</definedName>
    <definedName name="_xlnm.Print_Area" localSheetId="24">'субс РК КВР 112 (01.01.20)'!$A$1:$E$22</definedName>
    <definedName name="_xlnm.Print_Area" localSheetId="27">'субс РК КВР 113(01.01.20)'!$A$1:$E$14</definedName>
    <definedName name="_xlnm.Print_Area" localSheetId="30">'субс РК КВР 244 (01.01.20)'!$A$1:$E$33</definedName>
    <definedName name="_xlnm.Print_Area" localSheetId="58">'субс РТ (01.01.20)'!$A$1:$Z$77</definedName>
    <definedName name="_xlnm.Print_Area" localSheetId="57">'субс РТ КВР 244 (01.01.20)'!$A$1:$E$33</definedName>
    <definedName name="_xlnm.Print_Area" localSheetId="10">'субсидии стр1210(130)культ'!$A$1:$D$10</definedName>
    <definedName name="_xlnm.Print_Area" localSheetId="96">'ЦБС 2021'!$A$1:$AH$38</definedName>
    <definedName name="_xlnm.Print_Area" localSheetId="102">'ЦБС 2022'!$A$1:$AH$38</definedName>
    <definedName name="_xlnm.Print_Area" localSheetId="13">'штрафы строка 1300 (140)'!$A$1:$E$16</definedName>
    <definedName name="_xlnm.Print_Area" localSheetId="92">'Юбилейный 2020'!$A$1:$AH$43</definedName>
    <definedName name="_xlnm.Print_Area" localSheetId="98">'Юбилейный 2021'!$A$1:$AH$43</definedName>
    <definedName name="_xlnm.Print_Area" localSheetId="104">'Юбилейный 2022'!$A$1:$AH$43</definedName>
    <definedName name="оь" localSheetId="62">#REF!</definedName>
    <definedName name="оь" localSheetId="64">#REF!</definedName>
    <definedName name="оь" localSheetId="65">#REF!</definedName>
    <definedName name="оь" localSheetId="46">#REF!</definedName>
    <definedName name="оь" localSheetId="22">#REF!</definedName>
    <definedName name="оь" localSheetId="23">#REF!</definedName>
    <definedName name="оь" localSheetId="71">#REF!</definedName>
    <definedName name="оь" localSheetId="73">#REF!</definedName>
    <definedName name="оь" localSheetId="67">#REF!</definedName>
    <definedName name="оь" localSheetId="59">#REF!</definedName>
    <definedName name="оь" localSheetId="60">#REF!</definedName>
    <definedName name="оь" localSheetId="18">#REF!</definedName>
    <definedName name="оь" localSheetId="90">#REF!</definedName>
    <definedName name="оь" localSheetId="5">#REF!</definedName>
    <definedName name="оь" localSheetId="61">#REF!</definedName>
    <definedName name="оь" localSheetId="30">#REF!</definedName>
    <definedName name="оь" localSheetId="56">#REF!</definedName>
    <definedName name="оь" localSheetId="57">#REF!</definedName>
    <definedName name="оь">#REF!</definedName>
    <definedName name="п" localSheetId="62">#REF!</definedName>
    <definedName name="п" localSheetId="66">#REF!</definedName>
    <definedName name="п" localSheetId="64">#REF!</definedName>
    <definedName name="п" localSheetId="65">#REF!</definedName>
    <definedName name="п" localSheetId="45">#REF!</definedName>
    <definedName name="п" localSheetId="31">#REF!</definedName>
    <definedName name="п" localSheetId="41">#REF!</definedName>
    <definedName name="п" localSheetId="40">#REF!</definedName>
    <definedName name="п" localSheetId="42">#REF!</definedName>
    <definedName name="п" localSheetId="44">#REF!</definedName>
    <definedName name="п" localSheetId="43">#REF!</definedName>
    <definedName name="п" localSheetId="28">#REF!</definedName>
    <definedName name="п" localSheetId="46">#REF!</definedName>
    <definedName name="п" localSheetId="48">#REF!</definedName>
    <definedName name="п" localSheetId="49">#REF!</definedName>
    <definedName name="п" localSheetId="22">#REF!</definedName>
    <definedName name="п" localSheetId="23">#REF!</definedName>
    <definedName name="п" localSheetId="50">#REF!</definedName>
    <definedName name="п" localSheetId="85">#REF!</definedName>
    <definedName name="п" localSheetId="74">#REF!</definedName>
    <definedName name="п" localSheetId="71">#REF!</definedName>
    <definedName name="п" localSheetId="73">#REF!</definedName>
    <definedName name="п" localSheetId="67">#REF!</definedName>
    <definedName name="п" localSheetId="59">#REF!</definedName>
    <definedName name="п" localSheetId="60">#REF!</definedName>
    <definedName name="п" localSheetId="18">#REF!</definedName>
    <definedName name="п" localSheetId="5">#REF!</definedName>
    <definedName name="п" localSheetId="61">#REF!</definedName>
    <definedName name="п" localSheetId="19">#REF!</definedName>
    <definedName name="п" localSheetId="20">#REF!</definedName>
    <definedName name="п" localSheetId="30">#REF!</definedName>
    <definedName name="п" localSheetId="58">#REF!</definedName>
    <definedName name="п" localSheetId="56">#REF!</definedName>
    <definedName name="п" localSheetId="57">#REF!</definedName>
    <definedName name="п">#REF!</definedName>
    <definedName name="панрти" localSheetId="62">[6]ПРОГНОЗ_1!#REF!</definedName>
    <definedName name="панрти" localSheetId="64">[6]ПРОГНОЗ_1!#REF!</definedName>
    <definedName name="панрти" localSheetId="65">[6]ПРОГНОЗ_1!#REF!</definedName>
    <definedName name="панрти" localSheetId="46">[6]ПРОГНОЗ_1!#REF!</definedName>
    <definedName name="панрти" localSheetId="22">[6]ПРОГНОЗ_1!#REF!</definedName>
    <definedName name="панрти" localSheetId="23">[6]ПРОГНОЗ_1!#REF!</definedName>
    <definedName name="панрти" localSheetId="71">[6]ПРОГНОЗ_1!#REF!</definedName>
    <definedName name="панрти" localSheetId="73">[6]ПРОГНОЗ_1!#REF!</definedName>
    <definedName name="панрти" localSheetId="67">[6]ПРОГНОЗ_1!#REF!</definedName>
    <definedName name="панрти" localSheetId="59">[6]ПРОГНОЗ_1!#REF!</definedName>
    <definedName name="панрти" localSheetId="60">[6]ПРОГНОЗ_1!#REF!</definedName>
    <definedName name="панрти" localSheetId="18">[6]ПРОГНОЗ_1!#REF!</definedName>
    <definedName name="панрти" localSheetId="5">[6]ПРОГНОЗ_1!#REF!</definedName>
    <definedName name="панрти" localSheetId="61">[6]ПРОГНОЗ_1!#REF!</definedName>
    <definedName name="панрти" localSheetId="30">[6]ПРОГНОЗ_1!#REF!</definedName>
    <definedName name="панрти" localSheetId="56">[6]ПРОГНОЗ_1!#REF!</definedName>
    <definedName name="панрти" localSheetId="57">[6]ПРОГНОЗ_1!#REF!</definedName>
    <definedName name="панрти">[6]ПРОГНОЗ_1!#REF!</definedName>
    <definedName name="паыоаыпо" localSheetId="62">#REF!</definedName>
    <definedName name="паыоаыпо" localSheetId="66">#REF!</definedName>
    <definedName name="паыоаыпо" localSheetId="64">#REF!</definedName>
    <definedName name="паыоаыпо" localSheetId="65">#REF!</definedName>
    <definedName name="паыоаыпо" localSheetId="45">#REF!</definedName>
    <definedName name="паыоаыпо" localSheetId="31">#REF!</definedName>
    <definedName name="паыоаыпо" localSheetId="41">#REF!</definedName>
    <definedName name="паыоаыпо" localSheetId="40">#REF!</definedName>
    <definedName name="паыоаыпо" localSheetId="42">#REF!</definedName>
    <definedName name="паыоаыпо" localSheetId="44">#REF!</definedName>
    <definedName name="паыоаыпо" localSheetId="43">#REF!</definedName>
    <definedName name="паыоаыпо" localSheetId="28">#REF!</definedName>
    <definedName name="паыоаыпо" localSheetId="46">#REF!</definedName>
    <definedName name="паыоаыпо" localSheetId="48">#REF!</definedName>
    <definedName name="паыоаыпо" localSheetId="49">#REF!</definedName>
    <definedName name="паыоаыпо" localSheetId="22">#REF!</definedName>
    <definedName name="паыоаыпо" localSheetId="23">#REF!</definedName>
    <definedName name="паыоаыпо" localSheetId="50">#REF!</definedName>
    <definedName name="паыоаыпо" localSheetId="85">#REF!</definedName>
    <definedName name="паыоаыпо" localSheetId="74">#REF!</definedName>
    <definedName name="паыоаыпо" localSheetId="71">#REF!</definedName>
    <definedName name="паыоаыпо" localSheetId="73">#REF!</definedName>
    <definedName name="паыоаыпо" localSheetId="67">#REF!</definedName>
    <definedName name="паыоаыпо" localSheetId="59">#REF!</definedName>
    <definedName name="паыоаыпо" localSheetId="60">#REF!</definedName>
    <definedName name="паыоаыпо" localSheetId="18">#REF!</definedName>
    <definedName name="паыоаыпо" localSheetId="90">#REF!</definedName>
    <definedName name="паыоаыпо" localSheetId="5">#REF!</definedName>
    <definedName name="паыоаыпо" localSheetId="61">#REF!</definedName>
    <definedName name="паыоаыпо" localSheetId="19">#REF!</definedName>
    <definedName name="паыоаыпо" localSheetId="20">#REF!</definedName>
    <definedName name="паыоаыпо" localSheetId="30">#REF!</definedName>
    <definedName name="паыоаыпо" localSheetId="58">#REF!</definedName>
    <definedName name="паыоаыпо" localSheetId="56">#REF!</definedName>
    <definedName name="паыоаыпо" localSheetId="57">#REF!</definedName>
    <definedName name="паыоаыпо">#REF!</definedName>
    <definedName name="Пгород" localSheetId="62">#REF!</definedName>
    <definedName name="Пгород" localSheetId="66">#REF!</definedName>
    <definedName name="Пгород" localSheetId="64">#REF!</definedName>
    <definedName name="Пгород" localSheetId="65">#REF!</definedName>
    <definedName name="Пгород" localSheetId="45">#REF!</definedName>
    <definedName name="Пгород" localSheetId="31">#REF!</definedName>
    <definedName name="Пгород" localSheetId="41">#REF!</definedName>
    <definedName name="Пгород" localSheetId="40">#REF!</definedName>
    <definedName name="Пгород" localSheetId="42">#REF!</definedName>
    <definedName name="Пгород" localSheetId="44">#REF!</definedName>
    <definedName name="Пгород" localSheetId="43">#REF!</definedName>
    <definedName name="Пгород" localSheetId="28">#REF!</definedName>
    <definedName name="Пгород" localSheetId="46">#REF!</definedName>
    <definedName name="Пгород" localSheetId="48">#REF!</definedName>
    <definedName name="Пгород" localSheetId="49">#REF!</definedName>
    <definedName name="Пгород" localSheetId="22">#REF!</definedName>
    <definedName name="Пгород" localSheetId="23">#REF!</definedName>
    <definedName name="Пгород" localSheetId="50">#REF!</definedName>
    <definedName name="Пгород" localSheetId="85">#REF!</definedName>
    <definedName name="Пгород" localSheetId="74">#REF!</definedName>
    <definedName name="Пгород" localSheetId="71">#REF!</definedName>
    <definedName name="Пгород" localSheetId="73">#REF!</definedName>
    <definedName name="Пгород" localSheetId="67">#REF!</definedName>
    <definedName name="Пгород" localSheetId="59">#REF!</definedName>
    <definedName name="Пгород" localSheetId="60">#REF!</definedName>
    <definedName name="Пгород" localSheetId="18">#REF!</definedName>
    <definedName name="Пгород" localSheetId="5">#REF!</definedName>
    <definedName name="Пгород" localSheetId="61">#REF!</definedName>
    <definedName name="Пгород" localSheetId="19">#REF!</definedName>
    <definedName name="Пгород" localSheetId="20">#REF!</definedName>
    <definedName name="Пгород" localSheetId="30">#REF!</definedName>
    <definedName name="Пгород" localSheetId="58">#REF!</definedName>
    <definedName name="Пгород" localSheetId="56">#REF!</definedName>
    <definedName name="Пгород" localSheetId="57">#REF!</definedName>
    <definedName name="Пгород">#REF!</definedName>
    <definedName name="ПОКАЗАТЕЛИ_ДОЛГОСР.ПРОГНОЗА" localSheetId="62">'[9]2002(v2)'!#REF!</definedName>
    <definedName name="ПОКАЗАТЕЛИ_ДОЛГОСР.ПРОГНОЗА" localSheetId="66">'[9]2002(v2)'!#REF!</definedName>
    <definedName name="ПОКАЗАТЕЛИ_ДОЛГОСР.ПРОГНОЗА" localSheetId="64">'[9]2002(v2)'!#REF!</definedName>
    <definedName name="ПОКАЗАТЕЛИ_ДОЛГОСР.ПРОГНОЗА" localSheetId="65">'[9]2002(v2)'!#REF!</definedName>
    <definedName name="ПОКАЗАТЕЛИ_ДОЛГОСР.ПРОГНОЗА" localSheetId="45">'[10]2002(v2)'!#REF!</definedName>
    <definedName name="ПОКАЗАТЕЛИ_ДОЛГОСР.ПРОГНОЗА" localSheetId="31">'[9]2002(v2)'!#REF!</definedName>
    <definedName name="ПОКАЗАТЕЛИ_ДОЛГОСР.ПРОГНОЗА" localSheetId="41">'[9]2002(v2)'!#REF!</definedName>
    <definedName name="ПОКАЗАТЕЛИ_ДОЛГОСР.ПРОГНОЗА" localSheetId="40">'[9]2002(v2)'!#REF!</definedName>
    <definedName name="ПОКАЗАТЕЛИ_ДОЛГОСР.ПРОГНОЗА" localSheetId="42">'[10]2002(v2)'!#REF!</definedName>
    <definedName name="ПОКАЗАТЕЛИ_ДОЛГОСР.ПРОГНОЗА" localSheetId="44">'[9]2002(v2)'!#REF!</definedName>
    <definedName name="ПОКАЗАТЕЛИ_ДОЛГОСР.ПРОГНОЗА" localSheetId="43">'[9]2002(v2)'!#REF!</definedName>
    <definedName name="ПОКАЗАТЕЛИ_ДОЛГОСР.ПРОГНОЗА" localSheetId="28">'[10]2002(v2)'!#REF!</definedName>
    <definedName name="ПОКАЗАТЕЛИ_ДОЛГОСР.ПРОГНОЗА" localSheetId="46">'[9]2002(v2)'!#REF!</definedName>
    <definedName name="ПОКАЗАТЕЛИ_ДОЛГОСР.ПРОГНОЗА" localSheetId="48">'[9]2002(v2)'!#REF!</definedName>
    <definedName name="ПОКАЗАТЕЛИ_ДОЛГОСР.ПРОГНОЗА" localSheetId="49">'[10]2002(v2)'!#REF!</definedName>
    <definedName name="ПОКАЗАТЕЛИ_ДОЛГОСР.ПРОГНОЗА" localSheetId="22">'[9]2002(v2)'!#REF!</definedName>
    <definedName name="ПОКАЗАТЕЛИ_ДОЛГОСР.ПРОГНОЗА" localSheetId="23">'[9]2002(v2)'!#REF!</definedName>
    <definedName name="ПОКАЗАТЕЛИ_ДОЛГОСР.ПРОГНОЗА" localSheetId="50">'[9]2002(v2)'!#REF!</definedName>
    <definedName name="ПОКАЗАТЕЛИ_ДОЛГОСР.ПРОГНОЗА" localSheetId="85">'[10]2002(v2)'!#REF!</definedName>
    <definedName name="ПОКАЗАТЕЛИ_ДОЛГОСР.ПРОГНОЗА" localSheetId="74">'[10]2002(v2)'!#REF!</definedName>
    <definedName name="ПОКАЗАТЕЛИ_ДОЛГОСР.ПРОГНОЗА" localSheetId="71">'[9]2002(v2)'!#REF!</definedName>
    <definedName name="ПОКАЗАТЕЛИ_ДОЛГОСР.ПРОГНОЗА" localSheetId="73">'[9]2002(v2)'!#REF!</definedName>
    <definedName name="ПОКАЗАТЕЛИ_ДОЛГОСР.ПРОГНОЗА" localSheetId="67">'[9]2002(v2)'!#REF!</definedName>
    <definedName name="ПОКАЗАТЕЛИ_ДОЛГОСР.ПРОГНОЗА" localSheetId="59">'[9]2002(v2)'!#REF!</definedName>
    <definedName name="ПОКАЗАТЕЛИ_ДОЛГОСР.ПРОГНОЗА" localSheetId="60">'[9]2002(v2)'!#REF!</definedName>
    <definedName name="ПОКАЗАТЕЛИ_ДОЛГОСР.ПРОГНОЗА" localSheetId="18">'[9]2002(v2)'!#REF!</definedName>
    <definedName name="ПОКАЗАТЕЛИ_ДОЛГОСР.ПРОГНОЗА" localSheetId="5">'[9]2002(v2)'!#REF!</definedName>
    <definedName name="ПОКАЗАТЕЛИ_ДОЛГОСР.ПРОГНОЗА" localSheetId="61">'[9]2002(v2)'!#REF!</definedName>
    <definedName name="ПОКАЗАТЕЛИ_ДОЛГОСР.ПРОГНОЗА" localSheetId="19">'[9]2002(v2)'!#REF!</definedName>
    <definedName name="ПОКАЗАТЕЛИ_ДОЛГОСР.ПРОГНОЗА" localSheetId="20">'[9]2002(v2)'!#REF!</definedName>
    <definedName name="ПОКАЗАТЕЛИ_ДОЛГОСР.ПРОГНОЗА" localSheetId="30">'[9]2002(v2)'!#REF!</definedName>
    <definedName name="ПОКАЗАТЕЛИ_ДОЛГОСР.ПРОГНОЗА" localSheetId="58">'[10]2002(v2)'!#REF!</definedName>
    <definedName name="ПОКАЗАТЕЛИ_ДОЛГОСР.ПРОГНОЗА" localSheetId="56">'[9]2002(v2)'!#REF!</definedName>
    <definedName name="ПОКАЗАТЕЛИ_ДОЛГОСР.ПРОГНОЗА" localSheetId="57">'[9]2002(v2)'!#REF!</definedName>
    <definedName name="ПОКАЗАТЕЛИ_ДОЛГОСР.ПРОГНОЗА">'[9]2002(v2)'!#REF!</definedName>
    <definedName name="ПОКАЗАТЕЛИ_ДОЛГОСР.ПРОГНОЗА_14" localSheetId="62">'[9]2002(v2)'!#REF!</definedName>
    <definedName name="ПОКАЗАТЕЛИ_ДОЛГОСР.ПРОГНОЗА_14" localSheetId="66">'[9]2002(v2)'!#REF!</definedName>
    <definedName name="ПОКАЗАТЕЛИ_ДОЛГОСР.ПРОГНОЗА_14" localSheetId="64">'[9]2002(v2)'!#REF!</definedName>
    <definedName name="ПОКАЗАТЕЛИ_ДОЛГОСР.ПРОГНОЗА_14" localSheetId="65">'[9]2002(v2)'!#REF!</definedName>
    <definedName name="ПОКАЗАТЕЛИ_ДОЛГОСР.ПРОГНОЗА_14" localSheetId="45">'[9]2002(v2)'!#REF!</definedName>
    <definedName name="ПОКАЗАТЕЛИ_ДОЛГОСР.ПРОГНОЗА_14" localSheetId="31">'[9]2002(v2)'!#REF!</definedName>
    <definedName name="ПОКАЗАТЕЛИ_ДОЛГОСР.ПРОГНОЗА_14" localSheetId="41">'[9]2002(v2)'!#REF!</definedName>
    <definedName name="ПОКАЗАТЕЛИ_ДОЛГОСР.ПРОГНОЗА_14" localSheetId="40">'[9]2002(v2)'!#REF!</definedName>
    <definedName name="ПОКАЗАТЕЛИ_ДОЛГОСР.ПРОГНОЗА_14" localSheetId="42">'[9]2002(v2)'!#REF!</definedName>
    <definedName name="ПОКАЗАТЕЛИ_ДОЛГОСР.ПРОГНОЗА_14" localSheetId="44">'[9]2002(v2)'!#REF!</definedName>
    <definedName name="ПОКАЗАТЕЛИ_ДОЛГОСР.ПРОГНОЗА_14" localSheetId="43">'[9]2002(v2)'!#REF!</definedName>
    <definedName name="ПОКАЗАТЕЛИ_ДОЛГОСР.ПРОГНОЗА_14" localSheetId="28">'[9]2002(v2)'!#REF!</definedName>
    <definedName name="ПОКАЗАТЕЛИ_ДОЛГОСР.ПРОГНОЗА_14" localSheetId="46">'[9]2002(v2)'!#REF!</definedName>
    <definedName name="ПОКАЗАТЕЛИ_ДОЛГОСР.ПРОГНОЗА_14" localSheetId="48">'[9]2002(v2)'!#REF!</definedName>
    <definedName name="ПОКАЗАТЕЛИ_ДОЛГОСР.ПРОГНОЗА_14" localSheetId="49">'[9]2002(v2)'!#REF!</definedName>
    <definedName name="ПОКАЗАТЕЛИ_ДОЛГОСР.ПРОГНОЗА_14" localSheetId="22">'[9]2002(v2)'!#REF!</definedName>
    <definedName name="ПОКАЗАТЕЛИ_ДОЛГОСР.ПРОГНОЗА_14" localSheetId="23">'[9]2002(v2)'!#REF!</definedName>
    <definedName name="ПОКАЗАТЕЛИ_ДОЛГОСР.ПРОГНОЗА_14" localSheetId="50">'[9]2002(v2)'!#REF!</definedName>
    <definedName name="ПОКАЗАТЕЛИ_ДОЛГОСР.ПРОГНОЗА_14" localSheetId="85">'[9]2002(v2)'!#REF!</definedName>
    <definedName name="ПОКАЗАТЕЛИ_ДОЛГОСР.ПРОГНОЗА_14" localSheetId="74">'[9]2002(v2)'!#REF!</definedName>
    <definedName name="ПОКАЗАТЕЛИ_ДОЛГОСР.ПРОГНОЗА_14" localSheetId="71">'[9]2002(v2)'!#REF!</definedName>
    <definedName name="ПОКАЗАТЕЛИ_ДОЛГОСР.ПРОГНОЗА_14" localSheetId="73">'[9]2002(v2)'!#REF!</definedName>
    <definedName name="ПОКАЗАТЕЛИ_ДОЛГОСР.ПРОГНОЗА_14" localSheetId="67">'[9]2002(v2)'!#REF!</definedName>
    <definedName name="ПОКАЗАТЕЛИ_ДОЛГОСР.ПРОГНОЗА_14" localSheetId="59">'[9]2002(v2)'!#REF!</definedName>
    <definedName name="ПОКАЗАТЕЛИ_ДОЛГОСР.ПРОГНОЗА_14" localSheetId="60">'[9]2002(v2)'!#REF!</definedName>
    <definedName name="ПОКАЗАТЕЛИ_ДОЛГОСР.ПРОГНОЗА_14" localSheetId="18">'[9]2002(v2)'!#REF!</definedName>
    <definedName name="ПОКАЗАТЕЛИ_ДОЛГОСР.ПРОГНОЗА_14" localSheetId="5">'[9]2002(v2)'!#REF!</definedName>
    <definedName name="ПОКАЗАТЕЛИ_ДОЛГОСР.ПРОГНОЗА_14" localSheetId="61">'[9]2002(v2)'!#REF!</definedName>
    <definedName name="ПОКАЗАТЕЛИ_ДОЛГОСР.ПРОГНОЗА_14" localSheetId="19">'[9]2002(v2)'!#REF!</definedName>
    <definedName name="ПОКАЗАТЕЛИ_ДОЛГОСР.ПРОГНОЗА_14" localSheetId="20">'[9]2002(v2)'!#REF!</definedName>
    <definedName name="ПОКАЗАТЕЛИ_ДОЛГОСР.ПРОГНОЗА_14" localSheetId="30">'[9]2002(v2)'!#REF!</definedName>
    <definedName name="ПОКАЗАТЕЛИ_ДОЛГОСР.ПРОГНОЗА_14" localSheetId="58">'[9]2002(v2)'!#REF!</definedName>
    <definedName name="ПОКАЗАТЕЛИ_ДОЛГОСР.ПРОГНОЗА_14" localSheetId="56">'[9]2002(v2)'!#REF!</definedName>
    <definedName name="ПОКАЗАТЕЛИ_ДОЛГОСР.ПРОГНОЗА_14" localSheetId="57">'[9]2002(v2)'!#REF!</definedName>
    <definedName name="ПОКАЗАТЕЛИ_ДОЛГОСР.ПРОГНОЗА_14">'[9]2002(v2)'!#REF!</definedName>
    <definedName name="пппп" localSheetId="62">'[11]2002(v1)'!#REF!</definedName>
    <definedName name="пппп" localSheetId="66">'[11]2002(v1)'!#REF!</definedName>
    <definedName name="пппп" localSheetId="64">'[11]2002(v1)'!#REF!</definedName>
    <definedName name="пппп" localSheetId="65">'[11]2002(v1)'!#REF!</definedName>
    <definedName name="пппп" localSheetId="45">'[11]2002(v1)'!#REF!</definedName>
    <definedName name="пппп" localSheetId="31">'[11]2002(v1)'!#REF!</definedName>
    <definedName name="пппп" localSheetId="41">'[11]2002(v1)'!#REF!</definedName>
    <definedName name="пппп" localSheetId="40">'[11]2002(v1)'!#REF!</definedName>
    <definedName name="пппп" localSheetId="42">'[11]2002(v1)'!#REF!</definedName>
    <definedName name="пппп" localSheetId="44">'[11]2002(v1)'!#REF!</definedName>
    <definedName name="пппп" localSheetId="43">'[11]2002(v1)'!#REF!</definedName>
    <definedName name="пппп" localSheetId="28">'[11]2002(v1)'!#REF!</definedName>
    <definedName name="пппп" localSheetId="46">'[11]2002(v1)'!#REF!</definedName>
    <definedName name="пппп" localSheetId="48">'[11]2002(v1)'!#REF!</definedName>
    <definedName name="пппп" localSheetId="49">'[11]2002(v1)'!#REF!</definedName>
    <definedName name="пппп" localSheetId="22">'[11]2002(v1)'!#REF!</definedName>
    <definedName name="пппп" localSheetId="23">'[11]2002(v1)'!#REF!</definedName>
    <definedName name="пппп" localSheetId="50">'[11]2002(v1)'!#REF!</definedName>
    <definedName name="пппп" localSheetId="85">'[11]2002(v1)'!#REF!</definedName>
    <definedName name="пппп" localSheetId="74">'[11]2002(v1)'!#REF!</definedName>
    <definedName name="пппп" localSheetId="71">'[11]2002(v1)'!#REF!</definedName>
    <definedName name="пппп" localSheetId="73">'[11]2002(v1)'!#REF!</definedName>
    <definedName name="пппп" localSheetId="67">'[11]2002(v1)'!#REF!</definedName>
    <definedName name="пппп" localSheetId="59">'[11]2002(v1)'!#REF!</definedName>
    <definedName name="пппп" localSheetId="60">'[11]2002(v1)'!#REF!</definedName>
    <definedName name="пппп" localSheetId="18">'[11]2002(v1)'!#REF!</definedName>
    <definedName name="пппп" localSheetId="5">'[11]2002(v1)'!#REF!</definedName>
    <definedName name="пппп" localSheetId="61">'[11]2002(v1)'!#REF!</definedName>
    <definedName name="пппп" localSheetId="19">'[11]2002(v1)'!#REF!</definedName>
    <definedName name="пппп" localSheetId="20">'[11]2002(v1)'!#REF!</definedName>
    <definedName name="пппп" localSheetId="30">'[11]2002(v1)'!#REF!</definedName>
    <definedName name="пппп" localSheetId="58">'[11]2002(v1)'!#REF!</definedName>
    <definedName name="пппп" localSheetId="56">'[11]2002(v1)'!#REF!</definedName>
    <definedName name="пппп" localSheetId="57">'[11]2002(v1)'!#REF!</definedName>
    <definedName name="пппп">'[11]2002(v1)'!#REF!</definedName>
    <definedName name="пппп_14" localSheetId="62">'[11]2002(v1)'!#REF!</definedName>
    <definedName name="пппп_14" localSheetId="66">'[11]2002(v1)'!#REF!</definedName>
    <definedName name="пппп_14" localSheetId="64">'[11]2002(v1)'!#REF!</definedName>
    <definedName name="пппп_14" localSheetId="65">'[11]2002(v1)'!#REF!</definedName>
    <definedName name="пппп_14" localSheetId="31">'[11]2002(v1)'!#REF!</definedName>
    <definedName name="пппп_14" localSheetId="41">'[11]2002(v1)'!#REF!</definedName>
    <definedName name="пппп_14" localSheetId="40">'[11]2002(v1)'!#REF!</definedName>
    <definedName name="пппп_14" localSheetId="44">'[11]2002(v1)'!#REF!</definedName>
    <definedName name="пппп_14" localSheetId="43">'[11]2002(v1)'!#REF!</definedName>
    <definedName name="пппп_14" localSheetId="46">'[11]2002(v1)'!#REF!</definedName>
    <definedName name="пппп_14" localSheetId="48">'[11]2002(v1)'!#REF!</definedName>
    <definedName name="пппп_14" localSheetId="22">'[11]2002(v1)'!#REF!</definedName>
    <definedName name="пппп_14" localSheetId="23">'[11]2002(v1)'!#REF!</definedName>
    <definedName name="пппп_14" localSheetId="50">'[11]2002(v1)'!#REF!</definedName>
    <definedName name="пппп_14" localSheetId="71">'[11]2002(v1)'!#REF!</definedName>
    <definedName name="пппп_14" localSheetId="73">'[11]2002(v1)'!#REF!</definedName>
    <definedName name="пппп_14" localSheetId="67">'[11]2002(v1)'!#REF!</definedName>
    <definedName name="пппп_14" localSheetId="59">'[11]2002(v1)'!#REF!</definedName>
    <definedName name="пппп_14" localSheetId="60">'[11]2002(v1)'!#REF!</definedName>
    <definedName name="пппп_14" localSheetId="18">'[11]2002(v1)'!#REF!</definedName>
    <definedName name="пппп_14" localSheetId="5">'[11]2002(v1)'!#REF!</definedName>
    <definedName name="пппп_14" localSheetId="61">'[11]2002(v1)'!#REF!</definedName>
    <definedName name="пппп_14" localSheetId="19">'[11]2002(v1)'!#REF!</definedName>
    <definedName name="пппп_14" localSheetId="20">'[11]2002(v1)'!#REF!</definedName>
    <definedName name="пппп_14" localSheetId="30">'[11]2002(v1)'!#REF!</definedName>
    <definedName name="пппп_14" localSheetId="56">'[11]2002(v1)'!#REF!</definedName>
    <definedName name="пппп_14" localSheetId="57">'[11]2002(v1)'!#REF!</definedName>
    <definedName name="пппп_14">'[11]2002(v1)'!#REF!</definedName>
    <definedName name="прво" localSheetId="62">#REF!</definedName>
    <definedName name="прво" localSheetId="66">#REF!</definedName>
    <definedName name="прво" localSheetId="64">#REF!</definedName>
    <definedName name="прво" localSheetId="65">#REF!</definedName>
    <definedName name="прво" localSheetId="45">#REF!</definedName>
    <definedName name="прво" localSheetId="31">#REF!</definedName>
    <definedName name="прво" localSheetId="41">#REF!</definedName>
    <definedName name="прво" localSheetId="40">#REF!</definedName>
    <definedName name="прво" localSheetId="42">#REF!</definedName>
    <definedName name="прво" localSheetId="44">#REF!</definedName>
    <definedName name="прво" localSheetId="43">#REF!</definedName>
    <definedName name="прво" localSheetId="28">#REF!</definedName>
    <definedName name="прво" localSheetId="46">#REF!</definedName>
    <definedName name="прво" localSheetId="48">#REF!</definedName>
    <definedName name="прво" localSheetId="49">#REF!</definedName>
    <definedName name="прво" localSheetId="22">#REF!</definedName>
    <definedName name="прво" localSheetId="23">#REF!</definedName>
    <definedName name="прво" localSheetId="50">#REF!</definedName>
    <definedName name="прво" localSheetId="85">#REF!</definedName>
    <definedName name="прво" localSheetId="74">#REF!</definedName>
    <definedName name="прво" localSheetId="71">#REF!</definedName>
    <definedName name="прво" localSheetId="73">#REF!</definedName>
    <definedName name="прво" localSheetId="67">#REF!</definedName>
    <definedName name="прво" localSheetId="59">#REF!</definedName>
    <definedName name="прво" localSheetId="60">#REF!</definedName>
    <definedName name="прво" localSheetId="18">#REF!</definedName>
    <definedName name="прво" localSheetId="90">#REF!</definedName>
    <definedName name="прво" localSheetId="5">#REF!</definedName>
    <definedName name="прво" localSheetId="61">#REF!</definedName>
    <definedName name="прво" localSheetId="19">#REF!</definedName>
    <definedName name="прво" localSheetId="20">#REF!</definedName>
    <definedName name="прво" localSheetId="30">#REF!</definedName>
    <definedName name="прво" localSheetId="58">#REF!</definedName>
    <definedName name="прво" localSheetId="56">#REF!</definedName>
    <definedName name="прво" localSheetId="57">#REF!</definedName>
    <definedName name="прво">#REF!</definedName>
    <definedName name="про" localSheetId="62">#REF!</definedName>
    <definedName name="про" localSheetId="66">#REF!</definedName>
    <definedName name="про" localSheetId="64">#REF!</definedName>
    <definedName name="про" localSheetId="65">#REF!</definedName>
    <definedName name="про" localSheetId="45">#REF!</definedName>
    <definedName name="про" localSheetId="31">#REF!</definedName>
    <definedName name="про" localSheetId="41">#REF!</definedName>
    <definedName name="про" localSheetId="40">#REF!</definedName>
    <definedName name="про" localSheetId="42">#REF!</definedName>
    <definedName name="про" localSheetId="44">#REF!</definedName>
    <definedName name="про" localSheetId="43">#REF!</definedName>
    <definedName name="про" localSheetId="28">#REF!</definedName>
    <definedName name="про" localSheetId="46">#REF!</definedName>
    <definedName name="про" localSheetId="48">#REF!</definedName>
    <definedName name="про" localSheetId="49">#REF!</definedName>
    <definedName name="про" localSheetId="22">#REF!</definedName>
    <definedName name="про" localSheetId="23">#REF!</definedName>
    <definedName name="про" localSheetId="50">#REF!</definedName>
    <definedName name="про" localSheetId="85">#REF!</definedName>
    <definedName name="про" localSheetId="74">#REF!</definedName>
    <definedName name="про" localSheetId="71">#REF!</definedName>
    <definedName name="про" localSheetId="73">#REF!</definedName>
    <definedName name="про" localSheetId="67">#REF!</definedName>
    <definedName name="про" localSheetId="59">#REF!</definedName>
    <definedName name="про" localSheetId="60">#REF!</definedName>
    <definedName name="про" localSheetId="18">#REF!</definedName>
    <definedName name="про" localSheetId="5">#REF!</definedName>
    <definedName name="про" localSheetId="61">#REF!</definedName>
    <definedName name="про" localSheetId="19">#REF!</definedName>
    <definedName name="про" localSheetId="20">#REF!</definedName>
    <definedName name="про" localSheetId="30">#REF!</definedName>
    <definedName name="про" localSheetId="58">#REF!</definedName>
    <definedName name="про" localSheetId="56">#REF!</definedName>
    <definedName name="про" localSheetId="57">#REF!</definedName>
    <definedName name="про">#REF!</definedName>
    <definedName name="Прогноз97" localSheetId="62">[12]ПРОГНОЗ_1!#REF!</definedName>
    <definedName name="Прогноз97" localSheetId="66">[12]ПРОГНОЗ_1!#REF!</definedName>
    <definedName name="Прогноз97" localSheetId="64">[12]ПРОГНОЗ_1!#REF!</definedName>
    <definedName name="Прогноз97" localSheetId="65">[12]ПРОГНОЗ_1!#REF!</definedName>
    <definedName name="Прогноз97" localSheetId="45">[12]ПРОГНОЗ_1!#REF!</definedName>
    <definedName name="Прогноз97" localSheetId="31">[12]ПРОГНОЗ_1!#REF!</definedName>
    <definedName name="Прогноз97" localSheetId="41">[12]ПРОГНОЗ_1!#REF!</definedName>
    <definedName name="Прогноз97" localSheetId="40">[12]ПРОГНОЗ_1!#REF!</definedName>
    <definedName name="Прогноз97" localSheetId="42">[12]ПРОГНОЗ_1!#REF!</definedName>
    <definedName name="Прогноз97" localSheetId="44">[12]ПРОГНОЗ_1!#REF!</definedName>
    <definedName name="Прогноз97" localSheetId="43">[12]ПРОГНОЗ_1!#REF!</definedName>
    <definedName name="Прогноз97" localSheetId="28">[12]ПРОГНОЗ_1!#REF!</definedName>
    <definedName name="Прогноз97" localSheetId="46">[12]ПРОГНОЗ_1!#REF!</definedName>
    <definedName name="Прогноз97" localSheetId="48">[12]ПРОГНОЗ_1!#REF!</definedName>
    <definedName name="Прогноз97" localSheetId="49">[12]ПРОГНОЗ_1!#REF!</definedName>
    <definedName name="Прогноз97" localSheetId="22">[12]ПРОГНОЗ_1!#REF!</definedName>
    <definedName name="Прогноз97" localSheetId="23">[12]ПРОГНОЗ_1!#REF!</definedName>
    <definedName name="Прогноз97" localSheetId="50">[12]ПРОГНОЗ_1!#REF!</definedName>
    <definedName name="Прогноз97" localSheetId="85">[12]ПРОГНОЗ_1!#REF!</definedName>
    <definedName name="Прогноз97" localSheetId="74">[12]ПРОГНОЗ_1!#REF!</definedName>
    <definedName name="Прогноз97" localSheetId="71">[12]ПРОГНОЗ_1!#REF!</definedName>
    <definedName name="Прогноз97" localSheetId="73">[12]ПРОГНОЗ_1!#REF!</definedName>
    <definedName name="Прогноз97" localSheetId="67">[12]ПРОГНОЗ_1!#REF!</definedName>
    <definedName name="Прогноз97" localSheetId="59">[12]ПРОГНОЗ_1!#REF!</definedName>
    <definedName name="Прогноз97" localSheetId="60">[12]ПРОГНОЗ_1!#REF!</definedName>
    <definedName name="Прогноз97" localSheetId="18">[12]ПРОГНОЗ_1!#REF!</definedName>
    <definedName name="Прогноз97" localSheetId="5">[12]ПРОГНОЗ_1!#REF!</definedName>
    <definedName name="Прогноз97" localSheetId="61">[12]ПРОГНОЗ_1!#REF!</definedName>
    <definedName name="Прогноз97" localSheetId="19">[12]ПРОГНОЗ_1!#REF!</definedName>
    <definedName name="Прогноз97" localSheetId="20">[12]ПРОГНОЗ_1!#REF!</definedName>
    <definedName name="Прогноз97" localSheetId="30">[12]ПРОГНОЗ_1!#REF!</definedName>
    <definedName name="Прогноз97" localSheetId="58">[12]ПРОГНОЗ_1!#REF!</definedName>
    <definedName name="Прогноз97" localSheetId="56">[12]ПРОГНОЗ_1!#REF!</definedName>
    <definedName name="Прогноз97" localSheetId="57">[12]ПРОГНОЗ_1!#REF!</definedName>
    <definedName name="Прогноз97">[12]ПРОГНОЗ_1!#REF!</definedName>
    <definedName name="Прогноз97_14" localSheetId="62">[12]ПРОГНОЗ_1!#REF!</definedName>
    <definedName name="Прогноз97_14" localSheetId="66">[12]ПРОГНОЗ_1!#REF!</definedName>
    <definedName name="Прогноз97_14" localSheetId="64">[12]ПРОГНОЗ_1!#REF!</definedName>
    <definedName name="Прогноз97_14" localSheetId="65">[12]ПРОГНОЗ_1!#REF!</definedName>
    <definedName name="Прогноз97_14" localSheetId="31">[12]ПРОГНОЗ_1!#REF!</definedName>
    <definedName name="Прогноз97_14" localSheetId="41">[12]ПРОГНОЗ_1!#REF!</definedName>
    <definedName name="Прогноз97_14" localSheetId="40">[12]ПРОГНОЗ_1!#REF!</definedName>
    <definedName name="Прогноз97_14" localSheetId="44">[12]ПРОГНОЗ_1!#REF!</definedName>
    <definedName name="Прогноз97_14" localSheetId="43">[12]ПРОГНОЗ_1!#REF!</definedName>
    <definedName name="Прогноз97_14" localSheetId="46">[12]ПРОГНОЗ_1!#REF!</definedName>
    <definedName name="Прогноз97_14" localSheetId="48">[12]ПРОГНОЗ_1!#REF!</definedName>
    <definedName name="Прогноз97_14" localSheetId="22">[12]ПРОГНОЗ_1!#REF!</definedName>
    <definedName name="Прогноз97_14" localSheetId="23">[12]ПРОГНОЗ_1!#REF!</definedName>
    <definedName name="Прогноз97_14" localSheetId="50">[12]ПРОГНОЗ_1!#REF!</definedName>
    <definedName name="Прогноз97_14" localSheetId="71">[12]ПРОГНОЗ_1!#REF!</definedName>
    <definedName name="Прогноз97_14" localSheetId="73">[12]ПРОГНОЗ_1!#REF!</definedName>
    <definedName name="Прогноз97_14" localSheetId="67">[12]ПРОГНОЗ_1!#REF!</definedName>
    <definedName name="Прогноз97_14" localSheetId="59">[12]ПРОГНОЗ_1!#REF!</definedName>
    <definedName name="Прогноз97_14" localSheetId="60">[12]ПРОГНОЗ_1!#REF!</definedName>
    <definedName name="Прогноз97_14" localSheetId="18">[12]ПРОГНОЗ_1!#REF!</definedName>
    <definedName name="Прогноз97_14" localSheetId="5">[12]ПРОГНОЗ_1!#REF!</definedName>
    <definedName name="Прогноз97_14" localSheetId="61">[12]ПРОГНОЗ_1!#REF!</definedName>
    <definedName name="Прогноз97_14" localSheetId="19">[12]ПРОГНОЗ_1!#REF!</definedName>
    <definedName name="Прогноз97_14" localSheetId="20">[12]ПРОГНОЗ_1!#REF!</definedName>
    <definedName name="Прогноз97_14" localSheetId="30">[12]ПРОГНОЗ_1!#REF!</definedName>
    <definedName name="Прогноз97_14" localSheetId="56">[12]ПРОГНОЗ_1!#REF!</definedName>
    <definedName name="Прогноз97_14" localSheetId="57">[12]ПРОГНОЗ_1!#REF!</definedName>
    <definedName name="Прогноз97_14">[12]ПРОГНОЗ_1!#REF!</definedName>
    <definedName name="раолдраод" localSheetId="62">#REF!</definedName>
    <definedName name="раолдраод" localSheetId="66">#REF!</definedName>
    <definedName name="раолдраод" localSheetId="64">#REF!</definedName>
    <definedName name="раолдраод" localSheetId="65">#REF!</definedName>
    <definedName name="раолдраод" localSheetId="45">#REF!</definedName>
    <definedName name="раолдраод" localSheetId="31">#REF!</definedName>
    <definedName name="раолдраод" localSheetId="41">#REF!</definedName>
    <definedName name="раолдраод" localSheetId="40">#REF!</definedName>
    <definedName name="раолдраод" localSheetId="42">#REF!</definedName>
    <definedName name="раолдраод" localSheetId="44">#REF!</definedName>
    <definedName name="раолдраод" localSheetId="43">#REF!</definedName>
    <definedName name="раолдраод" localSheetId="28">#REF!</definedName>
    <definedName name="раолдраод" localSheetId="46">#REF!</definedName>
    <definedName name="раолдраод" localSheetId="48">#REF!</definedName>
    <definedName name="раолдраод" localSheetId="49">#REF!</definedName>
    <definedName name="раолдраод" localSheetId="22">#REF!</definedName>
    <definedName name="раолдраод" localSheetId="23">#REF!</definedName>
    <definedName name="раолдраод" localSheetId="50">#REF!</definedName>
    <definedName name="раолдраод" localSheetId="85">#REF!</definedName>
    <definedName name="раолдраод" localSheetId="74">#REF!</definedName>
    <definedName name="раолдраод" localSheetId="71">#REF!</definedName>
    <definedName name="раолдраод" localSheetId="73">#REF!</definedName>
    <definedName name="раолдраод" localSheetId="67">#REF!</definedName>
    <definedName name="раолдраод" localSheetId="59">#REF!</definedName>
    <definedName name="раолдраод" localSheetId="60">#REF!</definedName>
    <definedName name="раолдраод" localSheetId="18">#REF!</definedName>
    <definedName name="раолдраод" localSheetId="90">#REF!</definedName>
    <definedName name="раолдраод" localSheetId="5">#REF!</definedName>
    <definedName name="раолдраод" localSheetId="61">#REF!</definedName>
    <definedName name="раолдраод" localSheetId="19">#REF!</definedName>
    <definedName name="раолдраод" localSheetId="20">#REF!</definedName>
    <definedName name="раолдраод" localSheetId="30">#REF!</definedName>
    <definedName name="раолдраод" localSheetId="58">#REF!</definedName>
    <definedName name="раолдраод" localSheetId="56">#REF!</definedName>
    <definedName name="раолдраод" localSheetId="57">#REF!</definedName>
    <definedName name="раолдраод">#REF!</definedName>
    <definedName name="уцкецукецк" localSheetId="62">'[11]2002(v1)'!#REF!</definedName>
    <definedName name="уцкецукецк" localSheetId="66">'[11]2002(v1)'!#REF!</definedName>
    <definedName name="уцкецукецк" localSheetId="64">'[11]2002(v1)'!#REF!</definedName>
    <definedName name="уцкецукецк" localSheetId="65">'[11]2002(v1)'!#REF!</definedName>
    <definedName name="уцкецукецк" localSheetId="45">'[11]2002(v1)'!#REF!</definedName>
    <definedName name="уцкецукецк" localSheetId="31">'[11]2002(v1)'!#REF!</definedName>
    <definedName name="уцкецукецк" localSheetId="41">'[11]2002(v1)'!#REF!</definedName>
    <definedName name="уцкецукецк" localSheetId="40">'[11]2002(v1)'!#REF!</definedName>
    <definedName name="уцкецукецк" localSheetId="42">'[11]2002(v1)'!#REF!</definedName>
    <definedName name="уцкецукецк" localSheetId="44">'[11]2002(v1)'!#REF!</definedName>
    <definedName name="уцкецукецк" localSheetId="43">'[11]2002(v1)'!#REF!</definedName>
    <definedName name="уцкецукецк" localSheetId="28">'[11]2002(v1)'!#REF!</definedName>
    <definedName name="уцкецукецк" localSheetId="46">'[11]2002(v1)'!#REF!</definedName>
    <definedName name="уцкецукецк" localSheetId="48">'[11]2002(v1)'!#REF!</definedName>
    <definedName name="уцкецукецк" localSheetId="49">'[11]2002(v1)'!#REF!</definedName>
    <definedName name="уцкецукецк" localSheetId="22">'[11]2002(v1)'!#REF!</definedName>
    <definedName name="уцкецукецк" localSheetId="23">'[11]2002(v1)'!#REF!</definedName>
    <definedName name="уцкецукецк" localSheetId="50">'[11]2002(v1)'!#REF!</definedName>
    <definedName name="уцкецукецк" localSheetId="71">'[11]2002(v1)'!#REF!</definedName>
    <definedName name="уцкецукецк" localSheetId="73">'[11]2002(v1)'!#REF!</definedName>
    <definedName name="уцкецукецк" localSheetId="67">'[11]2002(v1)'!#REF!</definedName>
    <definedName name="уцкецукецк" localSheetId="59">'[11]2002(v1)'!#REF!</definedName>
    <definedName name="уцкецукецк" localSheetId="60">'[11]2002(v1)'!#REF!</definedName>
    <definedName name="уцкецукецк" localSheetId="18">'[11]2002(v1)'!#REF!</definedName>
    <definedName name="уцкецукецк" localSheetId="90">'[11]2002(v1)'!#REF!</definedName>
    <definedName name="уцкецукецк" localSheetId="5">'[11]2002(v1)'!#REF!</definedName>
    <definedName name="уцкецукецк" localSheetId="61">'[11]2002(v1)'!#REF!</definedName>
    <definedName name="уцкецукецк" localSheetId="19">'[11]2002(v1)'!#REF!</definedName>
    <definedName name="уцкецукецк" localSheetId="20">'[11]2002(v1)'!#REF!</definedName>
    <definedName name="уцкецукецк" localSheetId="30">'[11]2002(v1)'!#REF!</definedName>
    <definedName name="уцкецукецк" localSheetId="58">'[11]2002(v1)'!#REF!</definedName>
    <definedName name="уцкецукецк" localSheetId="56">'[11]2002(v1)'!#REF!</definedName>
    <definedName name="уцкецукецк" localSheetId="57">'[11]2002(v1)'!#REF!</definedName>
    <definedName name="уцкецукецк">'[11]2002(v1)'!#REF!</definedName>
    <definedName name="Ф.И.О." localSheetId="46">#REF!</definedName>
    <definedName name="Ф.И.О." localSheetId="22">#REF!</definedName>
    <definedName name="Ф.И.О." localSheetId="23">#REF!</definedName>
    <definedName name="Ф.И.О." localSheetId="54">#REF!</definedName>
    <definedName name="Ф.И.О." localSheetId="67">#REF!</definedName>
    <definedName name="Ф.И.О." localSheetId="5">#REF!</definedName>
    <definedName name="Ф.И.О." localSheetId="56">#REF!</definedName>
    <definedName name="Ф.И.О.">#REF!</definedName>
    <definedName name="фварварффврвр" localSheetId="62">'[5]Гр5(о)'!#REF!</definedName>
    <definedName name="фварварффврвр" localSheetId="66">'[5]Гр5(о)'!#REF!</definedName>
    <definedName name="фварварффврвр" localSheetId="64">'[5]Гр5(о)'!#REF!</definedName>
    <definedName name="фварварффврвр" localSheetId="65">'[5]Гр5(о)'!#REF!</definedName>
    <definedName name="фварварффврвр" localSheetId="31">'[5]Гр5(о)'!#REF!</definedName>
    <definedName name="фварварффврвр" localSheetId="40">'[5]Гр5(о)'!#REF!</definedName>
    <definedName name="фварварффврвр" localSheetId="43">'[5]Гр5(о)'!#REF!</definedName>
    <definedName name="фварварффврвр" localSheetId="46">'[5]Гр5(о)'!#REF!</definedName>
    <definedName name="фварварффврвр" localSheetId="48">'[5]Гр5(о)'!#REF!</definedName>
    <definedName name="фварварффврвр" localSheetId="22">'[5]Гр5(о)'!#REF!</definedName>
    <definedName name="фварварффврвр" localSheetId="23">'[5]Гр5(о)'!#REF!</definedName>
    <definedName name="фварварффврвр" localSheetId="71">'[5]Гр5(о)'!#REF!</definedName>
    <definedName name="фварварффврвр" localSheetId="73">'[5]Гр5(о)'!#REF!</definedName>
    <definedName name="фварварффврвр" localSheetId="67">'[5]Гр5(о)'!#REF!</definedName>
    <definedName name="фварварффврвр" localSheetId="59">'[5]Гр5(о)'!#REF!</definedName>
    <definedName name="фварварффврвр" localSheetId="60">'[5]Гр5(о)'!#REF!</definedName>
    <definedName name="фварварффврвр" localSheetId="18">'[5]Гр5(о)'!#REF!</definedName>
    <definedName name="фварварффврвр" localSheetId="5">'[5]Гр5(о)'!#REF!</definedName>
    <definedName name="фварварффврвр" localSheetId="61">'[5]Гр5(о)'!#REF!</definedName>
    <definedName name="фварварффврвр" localSheetId="19">'[5]Гр5(о)'!#REF!</definedName>
    <definedName name="фварварффврвр" localSheetId="20">'[5]Гр5(о)'!#REF!</definedName>
    <definedName name="фварварффврвр" localSheetId="30">'[5]Гр5(о)'!#REF!</definedName>
    <definedName name="фварварффврвр" localSheetId="56">'[5]Гр5(о)'!#REF!</definedName>
    <definedName name="фварварффврвр" localSheetId="57">'[5]Гр5(о)'!#REF!</definedName>
    <definedName name="фварварффврвр">'[5]Гр5(о)'!#REF!</definedName>
    <definedName name="фварфварфр" localSheetId="62">#REF!</definedName>
    <definedName name="фварфварфр" localSheetId="66">#REF!</definedName>
    <definedName name="фварфварфр" localSheetId="64">#REF!</definedName>
    <definedName name="фварфварфр" localSheetId="65">#REF!</definedName>
    <definedName name="фварфварфр" localSheetId="45">#REF!</definedName>
    <definedName name="фварфварфр" localSheetId="31">#REF!</definedName>
    <definedName name="фварфварфр" localSheetId="41">#REF!</definedName>
    <definedName name="фварфварфр" localSheetId="40">#REF!</definedName>
    <definedName name="фварфварфр" localSheetId="42">#REF!</definedName>
    <definedName name="фварфварфр" localSheetId="44">#REF!</definedName>
    <definedName name="фварфварфр" localSheetId="43">#REF!</definedName>
    <definedName name="фварфварфр" localSheetId="28">#REF!</definedName>
    <definedName name="фварфварфр" localSheetId="46">#REF!</definedName>
    <definedName name="фварфварфр" localSheetId="48">#REF!</definedName>
    <definedName name="фварфварфр" localSheetId="49">#REF!</definedName>
    <definedName name="фварфварфр" localSheetId="22">#REF!</definedName>
    <definedName name="фварфварфр" localSheetId="23">#REF!</definedName>
    <definedName name="фварфварфр" localSheetId="50">#REF!</definedName>
    <definedName name="фварфварфр" localSheetId="85">#REF!</definedName>
    <definedName name="фварфварфр" localSheetId="74">#REF!</definedName>
    <definedName name="фварфварфр" localSheetId="71">#REF!</definedName>
    <definedName name="фварфварфр" localSheetId="73">#REF!</definedName>
    <definedName name="фварфварфр" localSheetId="67">#REF!</definedName>
    <definedName name="фварфварфр" localSheetId="59">#REF!</definedName>
    <definedName name="фварфварфр" localSheetId="60">#REF!</definedName>
    <definedName name="фварфварфр" localSheetId="18">#REF!</definedName>
    <definedName name="фварфварфр" localSheetId="90">#REF!</definedName>
    <definedName name="фварфварфр" localSheetId="5">#REF!</definedName>
    <definedName name="фварфварфр" localSheetId="61">#REF!</definedName>
    <definedName name="фварфварфр" localSheetId="19">#REF!</definedName>
    <definedName name="фварфварфр" localSheetId="20">#REF!</definedName>
    <definedName name="фварфварфр" localSheetId="30">#REF!</definedName>
    <definedName name="фварфварфр" localSheetId="58">#REF!</definedName>
    <definedName name="фварфварфр" localSheetId="56">#REF!</definedName>
    <definedName name="фварфварфр" localSheetId="57">#REF!</definedName>
    <definedName name="фварфварфр">#REF!</definedName>
    <definedName name="фврафврварфвра" localSheetId="62">[6]ПРОГНОЗ_1!#REF!</definedName>
    <definedName name="фврафврварфвра" localSheetId="66">[6]ПРОГНОЗ_1!#REF!</definedName>
    <definedName name="фврафврварфвра" localSheetId="64">[6]ПРОГНОЗ_1!#REF!</definedName>
    <definedName name="фврафврварфвра" localSheetId="65">[6]ПРОГНОЗ_1!#REF!</definedName>
    <definedName name="фврафврварфвра" localSheetId="45">[6]ПРОГНОЗ_1!#REF!</definedName>
    <definedName name="фврафврварфвра" localSheetId="31">[6]ПРОГНОЗ_1!#REF!</definedName>
    <definedName name="фврафврварфвра" localSheetId="41">[6]ПРОГНОЗ_1!#REF!</definedName>
    <definedName name="фврафврварфвра" localSheetId="40">[6]ПРОГНОЗ_1!#REF!</definedName>
    <definedName name="фврафврварфвра" localSheetId="42">[6]ПРОГНОЗ_1!#REF!</definedName>
    <definedName name="фврафврварфвра" localSheetId="44">[6]ПРОГНОЗ_1!#REF!</definedName>
    <definedName name="фврафврварфвра" localSheetId="43">[6]ПРОГНОЗ_1!#REF!</definedName>
    <definedName name="фврафврварфвра" localSheetId="28">[6]ПРОГНОЗ_1!#REF!</definedName>
    <definedName name="фврафврварфвра" localSheetId="46">[6]ПРОГНОЗ_1!#REF!</definedName>
    <definedName name="фврафврварфвра" localSheetId="48">[6]ПРОГНОЗ_1!#REF!</definedName>
    <definedName name="фврафврварфвра" localSheetId="49">[6]ПРОГНОЗ_1!#REF!</definedName>
    <definedName name="фврафврварфвра" localSheetId="22">[6]ПРОГНОЗ_1!#REF!</definedName>
    <definedName name="фврафврварфвра" localSheetId="23">[6]ПРОГНОЗ_1!#REF!</definedName>
    <definedName name="фврафврварфвра" localSheetId="50">[6]ПРОГНОЗ_1!#REF!</definedName>
    <definedName name="фврафврварфвра" localSheetId="71">[6]ПРОГНОЗ_1!#REF!</definedName>
    <definedName name="фврафврварфвра" localSheetId="73">[6]ПРОГНОЗ_1!#REF!</definedName>
    <definedName name="фврафврварфвра" localSheetId="67">[6]ПРОГНОЗ_1!#REF!</definedName>
    <definedName name="фврафврварфвра" localSheetId="59">[6]ПРОГНОЗ_1!#REF!</definedName>
    <definedName name="фврафврварфвра" localSheetId="60">[6]ПРОГНОЗ_1!#REF!</definedName>
    <definedName name="фврафврварфвра" localSheetId="18">[6]ПРОГНОЗ_1!#REF!</definedName>
    <definedName name="фврафврварфвра" localSheetId="90">[6]ПРОГНОЗ_1!#REF!</definedName>
    <definedName name="фврафврварфвра" localSheetId="5">[6]ПРОГНОЗ_1!#REF!</definedName>
    <definedName name="фврафврварфвра" localSheetId="61">[6]ПРОГНОЗ_1!#REF!</definedName>
    <definedName name="фврафврварфвра" localSheetId="19">[6]ПРОГНОЗ_1!#REF!</definedName>
    <definedName name="фврафврварфвра" localSheetId="20">[6]ПРОГНОЗ_1!#REF!</definedName>
    <definedName name="фврафврварфвра" localSheetId="30">[6]ПРОГНОЗ_1!#REF!</definedName>
    <definedName name="фврафврварфвра" localSheetId="58">[6]ПРОГНОЗ_1!#REF!</definedName>
    <definedName name="фврафврварфвра" localSheetId="56">[6]ПРОГНОЗ_1!#REF!</definedName>
    <definedName name="фврафврварфвра" localSheetId="57">[6]ПРОГНОЗ_1!#REF!</definedName>
    <definedName name="фврафврварфвра">[6]ПРОГНОЗ_1!#REF!</definedName>
    <definedName name="ФЗП" localSheetId="62">#REF!</definedName>
    <definedName name="ФЗП" localSheetId="64">#REF!</definedName>
    <definedName name="ФЗП" localSheetId="65">#REF!</definedName>
    <definedName name="ФЗП" localSheetId="46">#REF!</definedName>
    <definedName name="ФЗП" localSheetId="21">#REF!</definedName>
    <definedName name="ФЗП" localSheetId="22">#REF!</definedName>
    <definedName name="ФЗП" localSheetId="23">#REF!</definedName>
    <definedName name="ФЗП" localSheetId="70">#REF!</definedName>
    <definedName name="ФЗП" localSheetId="71">#REF!</definedName>
    <definedName name="ФЗП" localSheetId="73">#REF!</definedName>
    <definedName name="ФЗП" localSheetId="93">#REF!</definedName>
    <definedName name="ФЗП" localSheetId="99">#REF!</definedName>
    <definedName name="ФЗП" localSheetId="105">#REF!</definedName>
    <definedName name="ФЗП" localSheetId="91">#REF!</definedName>
    <definedName name="ФЗП" localSheetId="97">#REF!</definedName>
    <definedName name="ФЗП" localSheetId="103">#REF!</definedName>
    <definedName name="ФЗП" localSheetId="67">#REF!</definedName>
    <definedName name="ФЗП" localSheetId="59">#REF!</definedName>
    <definedName name="ФЗП" localSheetId="60">#REF!</definedName>
    <definedName name="ФЗП" localSheetId="18">#REF!</definedName>
    <definedName name="ФЗП" localSheetId="90">#REF!</definedName>
    <definedName name="ФЗП" localSheetId="2">#REF!</definedName>
    <definedName name="ФЗП" localSheetId="94">#REF!</definedName>
    <definedName name="ФЗП" localSheetId="100">#REF!</definedName>
    <definedName name="ФЗП" localSheetId="5">#REF!</definedName>
    <definedName name="ФЗП" localSheetId="3">#REF!</definedName>
    <definedName name="ФЗП" localSheetId="95">#REF!</definedName>
    <definedName name="ФЗП" localSheetId="101">#REF!</definedName>
    <definedName name="ФЗП" localSheetId="1">#REF!</definedName>
    <definedName name="ФЗП" localSheetId="0">#REF!</definedName>
    <definedName name="ФЗП" localSheetId="61">#REF!</definedName>
    <definedName name="ФЗП" localSheetId="19">#REF!</definedName>
    <definedName name="ФЗП" localSheetId="20">#REF!</definedName>
    <definedName name="ФЗП" localSheetId="30">#REF!</definedName>
    <definedName name="ФЗП" localSheetId="56">#REF!</definedName>
    <definedName name="ФЗП" localSheetId="57">#REF!</definedName>
    <definedName name="ФЗП" localSheetId="96">#REF!</definedName>
    <definedName name="ФЗП" localSheetId="102">#REF!</definedName>
    <definedName name="ФЗП" localSheetId="92">#REF!</definedName>
    <definedName name="ФЗП" localSheetId="98">#REF!</definedName>
    <definedName name="ФЗП" localSheetId="104">#REF!</definedName>
    <definedName name="ФЗП">#REF!</definedName>
    <definedName name="ФЗПсп" localSheetId="62">#REF!</definedName>
    <definedName name="ФЗПсп" localSheetId="64">#REF!</definedName>
    <definedName name="ФЗПсп" localSheetId="65">#REF!</definedName>
    <definedName name="ФЗПсп" localSheetId="46">#REF!</definedName>
    <definedName name="ФЗПсп" localSheetId="21">#REF!</definedName>
    <definedName name="ФЗПсп" localSheetId="22">#REF!</definedName>
    <definedName name="ФЗПсп" localSheetId="23">#REF!</definedName>
    <definedName name="ФЗПсп" localSheetId="70">#REF!</definedName>
    <definedName name="ФЗПсп" localSheetId="71">#REF!</definedName>
    <definedName name="ФЗПсп" localSheetId="73">#REF!</definedName>
    <definedName name="ФЗПсп" localSheetId="93">#REF!</definedName>
    <definedName name="ФЗПсп" localSheetId="99">#REF!</definedName>
    <definedName name="ФЗПсп" localSheetId="105">#REF!</definedName>
    <definedName name="ФЗПсп" localSheetId="91">#REF!</definedName>
    <definedName name="ФЗПсп" localSheetId="97">#REF!</definedName>
    <definedName name="ФЗПсп" localSheetId="103">#REF!</definedName>
    <definedName name="ФЗПсп" localSheetId="67">#REF!</definedName>
    <definedName name="ФЗПсп" localSheetId="59">#REF!</definedName>
    <definedName name="ФЗПсп" localSheetId="60">#REF!</definedName>
    <definedName name="ФЗПсп" localSheetId="18">#REF!</definedName>
    <definedName name="ФЗПсп" localSheetId="2">#REF!</definedName>
    <definedName name="ФЗПсп" localSheetId="94">#REF!</definedName>
    <definedName name="ФЗПсп" localSheetId="100">#REF!</definedName>
    <definedName name="ФЗПсп" localSheetId="5">#REF!</definedName>
    <definedName name="ФЗПсп" localSheetId="3">#REF!</definedName>
    <definedName name="ФЗПсп" localSheetId="95">#REF!</definedName>
    <definedName name="ФЗПсп" localSheetId="101">#REF!</definedName>
    <definedName name="ФЗПсп" localSheetId="1">#REF!</definedName>
    <definedName name="ФЗПсп" localSheetId="0">#REF!</definedName>
    <definedName name="ФЗПсп" localSheetId="61">#REF!</definedName>
    <definedName name="ФЗПсп" localSheetId="19">#REF!</definedName>
    <definedName name="ФЗПсп" localSheetId="20">#REF!</definedName>
    <definedName name="ФЗПсп" localSheetId="30">#REF!</definedName>
    <definedName name="ФЗПсп" localSheetId="56">#REF!</definedName>
    <definedName name="ФЗПсп" localSheetId="57">#REF!</definedName>
    <definedName name="ФЗПсп" localSheetId="96">#REF!</definedName>
    <definedName name="ФЗПсп" localSheetId="102">#REF!</definedName>
    <definedName name="ФЗПсп" localSheetId="92">#REF!</definedName>
    <definedName name="ФЗПсп" localSheetId="98">#REF!</definedName>
    <definedName name="ФЗПсп" localSheetId="104">#REF!</definedName>
    <definedName name="ФЗПсп">#REF!</definedName>
    <definedName name="ФКВ" localSheetId="62">#REF!</definedName>
    <definedName name="ФКВ" localSheetId="64">#REF!</definedName>
    <definedName name="ФКВ" localSheetId="65">#REF!</definedName>
    <definedName name="ФКВ" localSheetId="46">#REF!</definedName>
    <definedName name="ФКВ" localSheetId="21">#REF!</definedName>
    <definedName name="ФКВ" localSheetId="22">#REF!</definedName>
    <definedName name="ФКВ" localSheetId="23">#REF!</definedName>
    <definedName name="ФКВ" localSheetId="70">#REF!</definedName>
    <definedName name="ФКВ" localSheetId="71">#REF!</definedName>
    <definedName name="ФКВ" localSheetId="73">#REF!</definedName>
    <definedName name="ФКВ" localSheetId="93">#REF!</definedName>
    <definedName name="ФКВ" localSheetId="99">#REF!</definedName>
    <definedName name="ФКВ" localSheetId="105">#REF!</definedName>
    <definedName name="ФКВ" localSheetId="91">#REF!</definedName>
    <definedName name="ФКВ" localSheetId="97">#REF!</definedName>
    <definedName name="ФКВ" localSheetId="103">#REF!</definedName>
    <definedName name="ФКВ" localSheetId="67">#REF!</definedName>
    <definedName name="ФКВ" localSheetId="59">#REF!</definedName>
    <definedName name="ФКВ" localSheetId="60">#REF!</definedName>
    <definedName name="ФКВ" localSheetId="18">#REF!</definedName>
    <definedName name="ФКВ" localSheetId="2">#REF!</definedName>
    <definedName name="ФКВ" localSheetId="94">#REF!</definedName>
    <definedName name="ФКВ" localSheetId="100">#REF!</definedName>
    <definedName name="ФКВ" localSheetId="5">#REF!</definedName>
    <definedName name="ФКВ" localSheetId="3">#REF!</definedName>
    <definedName name="ФКВ" localSheetId="95">#REF!</definedName>
    <definedName name="ФКВ" localSheetId="101">#REF!</definedName>
    <definedName name="ФКВ" localSheetId="1">#REF!</definedName>
    <definedName name="ФКВ" localSheetId="0">#REF!</definedName>
    <definedName name="ФКВ" localSheetId="61">#REF!</definedName>
    <definedName name="ФКВ" localSheetId="19">#REF!</definedName>
    <definedName name="ФКВ" localSheetId="20">#REF!</definedName>
    <definedName name="ФКВ" localSheetId="30">#REF!</definedName>
    <definedName name="ФКВ" localSheetId="56">#REF!</definedName>
    <definedName name="ФКВ" localSheetId="57">#REF!</definedName>
    <definedName name="ФКВ" localSheetId="96">#REF!</definedName>
    <definedName name="ФКВ" localSheetId="102">#REF!</definedName>
    <definedName name="ФКВ" localSheetId="92">#REF!</definedName>
    <definedName name="ФКВ" localSheetId="98">#REF!</definedName>
    <definedName name="ФКВ" localSheetId="104">#REF!</definedName>
    <definedName name="ФКВ">#REF!</definedName>
    <definedName name="фф" localSheetId="62">'[13]Гр5(о)'!#REF!</definedName>
    <definedName name="фф" localSheetId="66">'[13]Гр5(о)'!#REF!</definedName>
    <definedName name="фф" localSheetId="64">'[13]Гр5(о)'!#REF!</definedName>
    <definedName name="фф" localSheetId="65">'[13]Гр5(о)'!#REF!</definedName>
    <definedName name="фф" localSheetId="45">'[13]Гр5(о)'!#REF!</definedName>
    <definedName name="фф" localSheetId="31">'[13]Гр5(о)'!#REF!</definedName>
    <definedName name="фф" localSheetId="41">'[13]Гр5(о)'!#REF!</definedName>
    <definedName name="фф" localSheetId="40">'[13]Гр5(о)'!#REF!</definedName>
    <definedName name="фф" localSheetId="42">'[13]Гр5(о)'!#REF!</definedName>
    <definedName name="фф" localSheetId="44">'[13]Гр5(о)'!#REF!</definedName>
    <definedName name="фф" localSheetId="43">'[13]Гр5(о)'!#REF!</definedName>
    <definedName name="фф" localSheetId="28">'[13]Гр5(о)'!#REF!</definedName>
    <definedName name="фф" localSheetId="46">'[13]Гр5(о)'!#REF!</definedName>
    <definedName name="фф" localSheetId="48">'[13]Гр5(о)'!#REF!</definedName>
    <definedName name="фф" localSheetId="49">'[13]Гр5(о)'!#REF!</definedName>
    <definedName name="фф" localSheetId="22">'[13]Гр5(о)'!#REF!</definedName>
    <definedName name="фф" localSheetId="23">'[13]Гр5(о)'!#REF!</definedName>
    <definedName name="фф" localSheetId="50">'[13]Гр5(о)'!#REF!</definedName>
    <definedName name="фф" localSheetId="85">'[13]Гр5(о)'!#REF!</definedName>
    <definedName name="фф" localSheetId="74">'[13]Гр5(о)'!#REF!</definedName>
    <definedName name="фф" localSheetId="71">'[13]Гр5(о)'!#REF!</definedName>
    <definedName name="фф" localSheetId="73">'[13]Гр5(о)'!#REF!</definedName>
    <definedName name="фф" localSheetId="67">'[13]Гр5(о)'!#REF!</definedName>
    <definedName name="фф" localSheetId="59">'[13]Гр5(о)'!#REF!</definedName>
    <definedName name="фф" localSheetId="60">'[13]Гр5(о)'!#REF!</definedName>
    <definedName name="фф" localSheetId="18">'[13]Гр5(о)'!#REF!</definedName>
    <definedName name="фф" localSheetId="5">'[13]Гр5(о)'!#REF!</definedName>
    <definedName name="фф" localSheetId="61">'[13]Гр5(о)'!#REF!</definedName>
    <definedName name="фф" localSheetId="19">'[13]Гр5(о)'!#REF!</definedName>
    <definedName name="фф" localSheetId="20">'[13]Гр5(о)'!#REF!</definedName>
    <definedName name="фф" localSheetId="30">'[13]Гр5(о)'!#REF!</definedName>
    <definedName name="фф" localSheetId="58">'[13]Гр5(о)'!#REF!</definedName>
    <definedName name="фф" localSheetId="56">'[13]Гр5(о)'!#REF!</definedName>
    <definedName name="фф" localSheetId="57">'[13]Гр5(о)'!#REF!</definedName>
    <definedName name="фф">'[13]Гр5(о)'!#REF!</definedName>
    <definedName name="фф_14" localSheetId="62">'[13]Гр5(о)'!#REF!</definedName>
    <definedName name="фф_14" localSheetId="66">'[13]Гр5(о)'!#REF!</definedName>
    <definedName name="фф_14" localSheetId="64">'[13]Гр5(о)'!#REF!</definedName>
    <definedName name="фф_14" localSheetId="65">'[13]Гр5(о)'!#REF!</definedName>
    <definedName name="фф_14" localSheetId="31">'[13]Гр5(о)'!#REF!</definedName>
    <definedName name="фф_14" localSheetId="41">'[13]Гр5(о)'!#REF!</definedName>
    <definedName name="фф_14" localSheetId="40">'[13]Гр5(о)'!#REF!</definedName>
    <definedName name="фф_14" localSheetId="44">'[13]Гр5(о)'!#REF!</definedName>
    <definedName name="фф_14" localSheetId="43">'[13]Гр5(о)'!#REF!</definedName>
    <definedName name="фф_14" localSheetId="46">'[13]Гр5(о)'!#REF!</definedName>
    <definedName name="фф_14" localSheetId="48">'[13]Гр5(о)'!#REF!</definedName>
    <definedName name="фф_14" localSheetId="22">'[13]Гр5(о)'!#REF!</definedName>
    <definedName name="фф_14" localSheetId="23">'[13]Гр5(о)'!#REF!</definedName>
    <definedName name="фф_14" localSheetId="50">'[13]Гр5(о)'!#REF!</definedName>
    <definedName name="фф_14" localSheetId="71">'[13]Гр5(о)'!#REF!</definedName>
    <definedName name="фф_14" localSheetId="73">'[13]Гр5(о)'!#REF!</definedName>
    <definedName name="фф_14" localSheetId="67">'[13]Гр5(о)'!#REF!</definedName>
    <definedName name="фф_14" localSheetId="59">'[13]Гр5(о)'!#REF!</definedName>
    <definedName name="фф_14" localSheetId="60">'[13]Гр5(о)'!#REF!</definedName>
    <definedName name="фф_14" localSheetId="18">'[13]Гр5(о)'!#REF!</definedName>
    <definedName name="фф_14" localSheetId="5">'[13]Гр5(о)'!#REF!</definedName>
    <definedName name="фф_14" localSheetId="61">'[13]Гр5(о)'!#REF!</definedName>
    <definedName name="фф_14" localSheetId="19">'[13]Гр5(о)'!#REF!</definedName>
    <definedName name="фф_14" localSheetId="20">'[13]Гр5(о)'!#REF!</definedName>
    <definedName name="фф_14" localSheetId="30">'[13]Гр5(о)'!#REF!</definedName>
    <definedName name="фф_14" localSheetId="56">'[13]Гр5(о)'!#REF!</definedName>
    <definedName name="фф_14" localSheetId="57">'[13]Гр5(о)'!#REF!</definedName>
    <definedName name="фф_14">'[13]Гр5(о)'!#REF!</definedName>
    <definedName name="ффккуеуцкеукеуеуцке" localSheetId="62">#REF!</definedName>
    <definedName name="ффккуеуцкеукеуеуцке" localSheetId="66">#REF!</definedName>
    <definedName name="ффккуеуцкеукеуеуцке" localSheetId="64">#REF!</definedName>
    <definedName name="ффккуеуцкеукеуеуцке" localSheetId="65">#REF!</definedName>
    <definedName name="ффккуеуцкеукеуеуцке" localSheetId="45">#REF!</definedName>
    <definedName name="ффккуеуцкеукеуеуцке" localSheetId="31">#REF!</definedName>
    <definedName name="ффккуеуцкеукеуеуцке" localSheetId="41">#REF!</definedName>
    <definedName name="ффккуеуцкеукеуеуцке" localSheetId="40">#REF!</definedName>
    <definedName name="ффккуеуцкеукеуеуцке" localSheetId="42">#REF!</definedName>
    <definedName name="ффккуеуцкеукеуеуцке" localSheetId="44">#REF!</definedName>
    <definedName name="ффккуеуцкеукеуеуцке" localSheetId="43">#REF!</definedName>
    <definedName name="ффккуеуцкеукеуеуцке" localSheetId="28">#REF!</definedName>
    <definedName name="ффккуеуцкеукеуеуцке" localSheetId="46">#REF!</definedName>
    <definedName name="ффккуеуцкеукеуеуцке" localSheetId="48">#REF!</definedName>
    <definedName name="ффккуеуцкеукеуеуцке" localSheetId="49">#REF!</definedName>
    <definedName name="ффккуеуцкеукеуеуцке" localSheetId="22">#REF!</definedName>
    <definedName name="ффккуеуцкеукеуеуцке" localSheetId="23">#REF!</definedName>
    <definedName name="ффккуеуцкеукеуеуцке" localSheetId="50">#REF!</definedName>
    <definedName name="ффккуеуцкеукеуеуцке" localSheetId="85">#REF!</definedName>
    <definedName name="ффккуеуцкеукеуеуцке" localSheetId="74">#REF!</definedName>
    <definedName name="ффккуеуцкеукеуеуцке" localSheetId="71">#REF!</definedName>
    <definedName name="ффккуеуцкеукеуеуцке" localSheetId="73">#REF!</definedName>
    <definedName name="ффккуеуцкеукеуеуцке" localSheetId="67">#REF!</definedName>
    <definedName name="ффккуеуцкеукеуеуцке" localSheetId="59">#REF!</definedName>
    <definedName name="ффккуеуцкеукеуеуцке" localSheetId="60">#REF!</definedName>
    <definedName name="ффккуеуцкеукеуеуцке" localSheetId="18">#REF!</definedName>
    <definedName name="ффккуеуцкеукеуеуцке" localSheetId="90">#REF!</definedName>
    <definedName name="ффккуеуцкеукеуеуцке" localSheetId="5">#REF!</definedName>
    <definedName name="ффккуеуцкеукеуеуцке" localSheetId="61">#REF!</definedName>
    <definedName name="ффккуеуцкеукеуеуцке" localSheetId="19">#REF!</definedName>
    <definedName name="ффккуеуцкеукеуеуцке" localSheetId="20">#REF!</definedName>
    <definedName name="ффккуеуцкеукеуеуцке" localSheetId="30">#REF!</definedName>
    <definedName name="ффккуеуцкеукеуеуцке" localSheetId="58">#REF!</definedName>
    <definedName name="ффккуеуцкеукеуеуцке" localSheetId="56">#REF!</definedName>
    <definedName name="ффккуеуцкеукеуеуцке" localSheetId="57">#REF!</definedName>
    <definedName name="ффккуеуцкеукеуеуцке">#REF!</definedName>
    <definedName name="ффф" localSheetId="62">#REF!</definedName>
    <definedName name="ффф" localSheetId="66">#REF!</definedName>
    <definedName name="ффф" localSheetId="64">#REF!</definedName>
    <definedName name="ффф" localSheetId="65">#REF!</definedName>
    <definedName name="ффф" localSheetId="45">#REF!</definedName>
    <definedName name="ффф" localSheetId="31">#REF!</definedName>
    <definedName name="ффф" localSheetId="41">#REF!</definedName>
    <definedName name="ффф" localSheetId="40">#REF!</definedName>
    <definedName name="ффф" localSheetId="42">#REF!</definedName>
    <definedName name="ффф" localSheetId="44">#REF!</definedName>
    <definedName name="ффф" localSheetId="43">#REF!</definedName>
    <definedName name="ффф" localSheetId="28">#REF!</definedName>
    <definedName name="ффф" localSheetId="46">#REF!</definedName>
    <definedName name="ффф" localSheetId="48">#REF!</definedName>
    <definedName name="ффф" localSheetId="49">#REF!</definedName>
    <definedName name="ффф" localSheetId="22">#REF!</definedName>
    <definedName name="ффф" localSheetId="23">#REF!</definedName>
    <definedName name="ффф" localSheetId="50">#REF!</definedName>
    <definedName name="ффф" localSheetId="85">#REF!</definedName>
    <definedName name="ффф" localSheetId="74">#REF!</definedName>
    <definedName name="ффф" localSheetId="71">#REF!</definedName>
    <definedName name="ффф" localSheetId="73">#REF!</definedName>
    <definedName name="ффф" localSheetId="67">#REF!</definedName>
    <definedName name="ффф" localSheetId="59">#REF!</definedName>
    <definedName name="ффф" localSheetId="60">#REF!</definedName>
    <definedName name="ффф" localSheetId="18">#REF!</definedName>
    <definedName name="ффф" localSheetId="5">#REF!</definedName>
    <definedName name="ффф" localSheetId="61">#REF!</definedName>
    <definedName name="ффф" localSheetId="19">#REF!</definedName>
    <definedName name="ффф" localSheetId="20">#REF!</definedName>
    <definedName name="ффф" localSheetId="30">#REF!</definedName>
    <definedName name="ффф" localSheetId="58">#REF!</definedName>
    <definedName name="ффф" localSheetId="56">#REF!</definedName>
    <definedName name="ффф" localSheetId="57">#REF!</definedName>
    <definedName name="ффф">#REF!</definedName>
    <definedName name="ффф_14" localSheetId="62">#REF!</definedName>
    <definedName name="ффф_14" localSheetId="66">#REF!</definedName>
    <definedName name="ффф_14" localSheetId="64">#REF!</definedName>
    <definedName name="ффф_14" localSheetId="65">#REF!</definedName>
    <definedName name="ффф_14" localSheetId="45">#REF!</definedName>
    <definedName name="ффф_14" localSheetId="31">#REF!</definedName>
    <definedName name="ффф_14" localSheetId="41">#REF!</definedName>
    <definedName name="ффф_14" localSheetId="40">#REF!</definedName>
    <definedName name="ффф_14" localSheetId="42">#REF!</definedName>
    <definedName name="ффф_14" localSheetId="44">#REF!</definedName>
    <definedName name="ффф_14" localSheetId="43">#REF!</definedName>
    <definedName name="ффф_14" localSheetId="28">#REF!</definedName>
    <definedName name="ффф_14" localSheetId="46">#REF!</definedName>
    <definedName name="ффф_14" localSheetId="48">#REF!</definedName>
    <definedName name="ффф_14" localSheetId="49">#REF!</definedName>
    <definedName name="ффф_14" localSheetId="22">#REF!</definedName>
    <definedName name="ффф_14" localSheetId="23">#REF!</definedName>
    <definedName name="ффф_14" localSheetId="50">#REF!</definedName>
    <definedName name="ффф_14" localSheetId="71">#REF!</definedName>
    <definedName name="ффф_14" localSheetId="73">#REF!</definedName>
    <definedName name="ффф_14" localSheetId="67">#REF!</definedName>
    <definedName name="ффф_14" localSheetId="59">#REF!</definedName>
    <definedName name="ффф_14" localSheetId="60">#REF!</definedName>
    <definedName name="ффф_14" localSheetId="18">#REF!</definedName>
    <definedName name="ффф_14" localSheetId="5">#REF!</definedName>
    <definedName name="ффф_14" localSheetId="61">#REF!</definedName>
    <definedName name="ффф_14" localSheetId="19">#REF!</definedName>
    <definedName name="ффф_14" localSheetId="20">#REF!</definedName>
    <definedName name="ффф_14" localSheetId="30">#REF!</definedName>
    <definedName name="ффф_14" localSheetId="58">#REF!</definedName>
    <definedName name="ффф_14" localSheetId="56">#REF!</definedName>
    <definedName name="ффф_14" localSheetId="57">#REF!</definedName>
    <definedName name="ффф_14">#REF!</definedName>
    <definedName name="фяыв" localSheetId="62">#REF!</definedName>
    <definedName name="фяыв" localSheetId="66">#REF!</definedName>
    <definedName name="фяыв" localSheetId="64">#REF!</definedName>
    <definedName name="фяыв" localSheetId="65">#REF!</definedName>
    <definedName name="фяыв" localSheetId="45">#REF!</definedName>
    <definedName name="фяыв" localSheetId="31">#REF!</definedName>
    <definedName name="фяыв" localSheetId="41">#REF!</definedName>
    <definedName name="фяыв" localSheetId="40">#REF!</definedName>
    <definedName name="фяыв" localSheetId="42">#REF!</definedName>
    <definedName name="фяыв" localSheetId="44">#REF!</definedName>
    <definedName name="фяыв" localSheetId="43">#REF!</definedName>
    <definedName name="фяыв" localSheetId="28">#REF!</definedName>
    <definedName name="фяыв" localSheetId="46">#REF!</definedName>
    <definedName name="фяыв" localSheetId="48">#REF!</definedName>
    <definedName name="фяыв" localSheetId="49">#REF!</definedName>
    <definedName name="фяыв" localSheetId="22">#REF!</definedName>
    <definedName name="фяыв" localSheetId="23">#REF!</definedName>
    <definedName name="фяыв" localSheetId="50">#REF!</definedName>
    <definedName name="фяыв" localSheetId="71">#REF!</definedName>
    <definedName name="фяыв" localSheetId="73">#REF!</definedName>
    <definedName name="фяыв" localSheetId="67">#REF!</definedName>
    <definedName name="фяыв" localSheetId="59">#REF!</definedName>
    <definedName name="фяыв" localSheetId="60">#REF!</definedName>
    <definedName name="фяыв" localSheetId="18">#REF!</definedName>
    <definedName name="фяыв" localSheetId="5">#REF!</definedName>
    <definedName name="фяыв" localSheetId="61">#REF!</definedName>
    <definedName name="фяыв" localSheetId="19">#REF!</definedName>
    <definedName name="фяыв" localSheetId="20">#REF!</definedName>
    <definedName name="фяыв" localSheetId="30">#REF!</definedName>
    <definedName name="фяыв" localSheetId="58">#REF!</definedName>
    <definedName name="фяыв" localSheetId="56">#REF!</definedName>
    <definedName name="фяыв" localSheetId="57">#REF!</definedName>
    <definedName name="фяыв">#REF!</definedName>
    <definedName name="цуецуецу" localSheetId="62">#REF!</definedName>
    <definedName name="цуецуецу" localSheetId="66">#REF!</definedName>
    <definedName name="цуецуецу" localSheetId="64">#REF!</definedName>
    <definedName name="цуецуецу" localSheetId="65">#REF!</definedName>
    <definedName name="цуецуецу" localSheetId="45">#REF!</definedName>
    <definedName name="цуецуецу" localSheetId="31">#REF!</definedName>
    <definedName name="цуецуецу" localSheetId="41">#REF!</definedName>
    <definedName name="цуецуецу" localSheetId="40">#REF!</definedName>
    <definedName name="цуецуецу" localSheetId="42">#REF!</definedName>
    <definedName name="цуецуецу" localSheetId="44">#REF!</definedName>
    <definedName name="цуецуецу" localSheetId="43">#REF!</definedName>
    <definedName name="цуецуецу" localSheetId="28">#REF!</definedName>
    <definedName name="цуецуецу" localSheetId="46">#REF!</definedName>
    <definedName name="цуецуецу" localSheetId="48">#REF!</definedName>
    <definedName name="цуецуецу" localSheetId="49">#REF!</definedName>
    <definedName name="цуецуецу" localSheetId="22">#REF!</definedName>
    <definedName name="цуецуецу" localSheetId="23">#REF!</definedName>
    <definedName name="цуецуецу" localSheetId="50">#REF!</definedName>
    <definedName name="цуецуецу" localSheetId="71">#REF!</definedName>
    <definedName name="цуецуецу" localSheetId="73">#REF!</definedName>
    <definedName name="цуецуецу" localSheetId="67">#REF!</definedName>
    <definedName name="цуецуецу" localSheetId="59">#REF!</definedName>
    <definedName name="цуецуецу" localSheetId="60">#REF!</definedName>
    <definedName name="цуецуецу" localSheetId="18">#REF!</definedName>
    <definedName name="цуецуецу" localSheetId="5">#REF!</definedName>
    <definedName name="цуецуецу" localSheetId="61">#REF!</definedName>
    <definedName name="цуецуецу" localSheetId="19">#REF!</definedName>
    <definedName name="цуецуецу" localSheetId="20">#REF!</definedName>
    <definedName name="цуецуецу" localSheetId="30">#REF!</definedName>
    <definedName name="цуецуецу" localSheetId="58">#REF!</definedName>
    <definedName name="цуецуецу" localSheetId="56">#REF!</definedName>
    <definedName name="цуецуецу" localSheetId="57">#REF!</definedName>
    <definedName name="цуецуецу">#REF!</definedName>
    <definedName name="цук" localSheetId="62">'[10]2002(v2)'!#REF!</definedName>
    <definedName name="цук" localSheetId="66">'[10]2002(v2)'!#REF!</definedName>
    <definedName name="цук" localSheetId="64">'[10]2002(v2)'!#REF!</definedName>
    <definedName name="цук" localSheetId="65">'[10]2002(v2)'!#REF!</definedName>
    <definedName name="цук" localSheetId="45">'[10]2002(v2)'!#REF!</definedName>
    <definedName name="цук" localSheetId="31">'[10]2002(v2)'!#REF!</definedName>
    <definedName name="цук" localSheetId="41">'[10]2002(v2)'!#REF!</definedName>
    <definedName name="цук" localSheetId="40">'[10]2002(v2)'!#REF!</definedName>
    <definedName name="цук" localSheetId="42">'[10]2002(v2)'!#REF!</definedName>
    <definedName name="цук" localSheetId="44">'[10]2002(v2)'!#REF!</definedName>
    <definedName name="цук" localSheetId="43">'[10]2002(v2)'!#REF!</definedName>
    <definedName name="цук" localSheetId="28">'[10]2002(v2)'!#REF!</definedName>
    <definedName name="цук" localSheetId="46">'[10]2002(v2)'!#REF!</definedName>
    <definedName name="цук" localSheetId="48">'[10]2002(v2)'!#REF!</definedName>
    <definedName name="цук" localSheetId="49">'[10]2002(v2)'!#REF!</definedName>
    <definedName name="цук" localSheetId="22">'[10]2002(v2)'!#REF!</definedName>
    <definedName name="цук" localSheetId="23">'[10]2002(v2)'!#REF!</definedName>
    <definedName name="цук" localSheetId="50">'[10]2002(v2)'!#REF!</definedName>
    <definedName name="цук" localSheetId="71">'[10]2002(v2)'!#REF!</definedName>
    <definedName name="цук" localSheetId="73">'[10]2002(v2)'!#REF!</definedName>
    <definedName name="цук" localSheetId="67">'[10]2002(v2)'!#REF!</definedName>
    <definedName name="цук" localSheetId="59">'[10]2002(v2)'!#REF!</definedName>
    <definedName name="цук" localSheetId="60">'[10]2002(v2)'!#REF!</definedName>
    <definedName name="цук" localSheetId="18">'[10]2002(v2)'!#REF!</definedName>
    <definedName name="цук" localSheetId="5">'[10]2002(v2)'!#REF!</definedName>
    <definedName name="цук" localSheetId="61">'[10]2002(v2)'!#REF!</definedName>
    <definedName name="цук" localSheetId="19">'[10]2002(v2)'!#REF!</definedName>
    <definedName name="цук" localSheetId="20">'[10]2002(v2)'!#REF!</definedName>
    <definedName name="цук" localSheetId="30">'[10]2002(v2)'!#REF!</definedName>
    <definedName name="цук" localSheetId="58">'[10]2002(v2)'!#REF!</definedName>
    <definedName name="цук" localSheetId="56">'[10]2002(v2)'!#REF!</definedName>
    <definedName name="цук" localSheetId="57">'[10]2002(v2)'!#REF!</definedName>
    <definedName name="цук">'[10]2002(v2)'!#REF!</definedName>
    <definedName name="цукеукеук" localSheetId="62">[7]ПРОГНОЗ_1!#REF!</definedName>
    <definedName name="цукеукеук" localSheetId="66">[7]ПРОГНОЗ_1!#REF!</definedName>
    <definedName name="цукеукеук" localSheetId="64">[7]ПРОГНОЗ_1!#REF!</definedName>
    <definedName name="цукеукеук" localSheetId="65">[7]ПРОГНОЗ_1!#REF!</definedName>
    <definedName name="цукеукеук" localSheetId="31">[7]ПРОГНОЗ_1!#REF!</definedName>
    <definedName name="цукеукеук" localSheetId="40">[7]ПРОГНОЗ_1!#REF!</definedName>
    <definedName name="цукеукеук" localSheetId="43">[7]ПРОГНОЗ_1!#REF!</definedName>
    <definedName name="цукеукеук" localSheetId="46">[7]ПРОГНОЗ_1!#REF!</definedName>
    <definedName name="цукеукеук" localSheetId="48">[7]ПРОГНОЗ_1!#REF!</definedName>
    <definedName name="цукеукеук" localSheetId="22">[7]ПРОГНОЗ_1!#REF!</definedName>
    <definedName name="цукеукеук" localSheetId="23">[7]ПРОГНОЗ_1!#REF!</definedName>
    <definedName name="цукеукеук" localSheetId="71">[7]ПРОГНОЗ_1!#REF!</definedName>
    <definedName name="цукеукеук" localSheetId="73">[7]ПРОГНОЗ_1!#REF!</definedName>
    <definedName name="цукеукеук" localSheetId="67">[7]ПРОГНОЗ_1!#REF!</definedName>
    <definedName name="цукеукеук" localSheetId="59">[7]ПРОГНОЗ_1!#REF!</definedName>
    <definedName name="цукеукеук" localSheetId="60">[7]ПРОГНОЗ_1!#REF!</definedName>
    <definedName name="цукеукеук" localSheetId="18">[7]ПРОГНОЗ_1!#REF!</definedName>
    <definedName name="цукеукеук" localSheetId="5">[7]ПРОГНОЗ_1!#REF!</definedName>
    <definedName name="цукеукеук" localSheetId="61">[7]ПРОГНОЗ_1!#REF!</definedName>
    <definedName name="цукеукеук" localSheetId="19">[7]ПРОГНОЗ_1!#REF!</definedName>
    <definedName name="цукеукеук" localSheetId="20">[7]ПРОГНОЗ_1!#REF!</definedName>
    <definedName name="цукеукеук" localSheetId="30">[7]ПРОГНОЗ_1!#REF!</definedName>
    <definedName name="цукеукеук" localSheetId="56">[7]ПРОГНОЗ_1!#REF!</definedName>
    <definedName name="цукеукеук" localSheetId="57">[7]ПРОГНОЗ_1!#REF!</definedName>
    <definedName name="цукеукеук">[7]ПРОГНОЗ_1!#REF!</definedName>
    <definedName name="цукецку" localSheetId="62">[12]ПРОГНОЗ_1!#REF!</definedName>
    <definedName name="цукецку" localSheetId="66">[12]ПРОГНОЗ_1!#REF!</definedName>
    <definedName name="цукецку" localSheetId="64">[12]ПРОГНОЗ_1!#REF!</definedName>
    <definedName name="цукецку" localSheetId="65">[12]ПРОГНОЗ_1!#REF!</definedName>
    <definedName name="цукецку" localSheetId="31">[12]ПРОГНОЗ_1!#REF!</definedName>
    <definedName name="цукецку" localSheetId="40">[12]ПРОГНОЗ_1!#REF!</definedName>
    <definedName name="цукецку" localSheetId="43">[12]ПРОГНОЗ_1!#REF!</definedName>
    <definedName name="цукецку" localSheetId="46">[12]ПРОГНОЗ_1!#REF!</definedName>
    <definedName name="цукецку" localSheetId="48">[12]ПРОГНОЗ_1!#REF!</definedName>
    <definedName name="цукецку" localSheetId="22">[12]ПРОГНОЗ_1!#REF!</definedName>
    <definedName name="цукецку" localSheetId="23">[12]ПРОГНОЗ_1!#REF!</definedName>
    <definedName name="цукецку" localSheetId="71">[12]ПРОГНОЗ_1!#REF!</definedName>
    <definedName name="цукецку" localSheetId="73">[12]ПРОГНОЗ_1!#REF!</definedName>
    <definedName name="цукецку" localSheetId="67">[12]ПРОГНОЗ_1!#REF!</definedName>
    <definedName name="цукецку" localSheetId="59">[12]ПРОГНОЗ_1!#REF!</definedName>
    <definedName name="цукецку" localSheetId="60">[12]ПРОГНОЗ_1!#REF!</definedName>
    <definedName name="цукецку" localSheetId="18">[12]ПРОГНОЗ_1!#REF!</definedName>
    <definedName name="цукецку" localSheetId="5">[12]ПРОГНОЗ_1!#REF!</definedName>
    <definedName name="цукецку" localSheetId="61">[12]ПРОГНОЗ_1!#REF!</definedName>
    <definedName name="цукецку" localSheetId="19">[12]ПРОГНОЗ_1!#REF!</definedName>
    <definedName name="цукецку" localSheetId="20">[12]ПРОГНОЗ_1!#REF!</definedName>
    <definedName name="цукецку" localSheetId="30">[12]ПРОГНОЗ_1!#REF!</definedName>
    <definedName name="цукецку" localSheetId="56">[12]ПРОГНОЗ_1!#REF!</definedName>
    <definedName name="цукецку" localSheetId="57">[12]ПРОГНОЗ_1!#REF!</definedName>
    <definedName name="цукецку">[12]ПРОГНОЗ_1!#REF!</definedName>
    <definedName name="цукецуке" localSheetId="62">#REF!</definedName>
    <definedName name="цукецуке" localSheetId="66">#REF!</definedName>
    <definedName name="цукецуке" localSheetId="64">#REF!</definedName>
    <definedName name="цукецуке" localSheetId="65">#REF!</definedName>
    <definedName name="цукецуке" localSheetId="45">#REF!</definedName>
    <definedName name="цукецуке" localSheetId="31">#REF!</definedName>
    <definedName name="цукецуке" localSheetId="41">#REF!</definedName>
    <definedName name="цукецуке" localSheetId="40">#REF!</definedName>
    <definedName name="цукецуке" localSheetId="42">#REF!</definedName>
    <definedName name="цукецуке" localSheetId="44">#REF!</definedName>
    <definedName name="цукецуке" localSheetId="43">#REF!</definedName>
    <definedName name="цукецуке" localSheetId="28">#REF!</definedName>
    <definedName name="цукецуке" localSheetId="46">#REF!</definedName>
    <definedName name="цукецуке" localSheetId="48">#REF!</definedName>
    <definedName name="цукецуке" localSheetId="49">#REF!</definedName>
    <definedName name="цукецуке" localSheetId="22">#REF!</definedName>
    <definedName name="цукецуке" localSheetId="23">#REF!</definedName>
    <definedName name="цукецуке" localSheetId="50">#REF!</definedName>
    <definedName name="цукецуке" localSheetId="85">#REF!</definedName>
    <definedName name="цукецуке" localSheetId="74">#REF!</definedName>
    <definedName name="цукецуке" localSheetId="71">#REF!</definedName>
    <definedName name="цукецуке" localSheetId="73">#REF!</definedName>
    <definedName name="цукецуке" localSheetId="67">#REF!</definedName>
    <definedName name="цукецуке" localSheetId="59">#REF!</definedName>
    <definedName name="цукецуке" localSheetId="60">#REF!</definedName>
    <definedName name="цукецуке" localSheetId="18">#REF!</definedName>
    <definedName name="цукецуке" localSheetId="90">#REF!</definedName>
    <definedName name="цукецуке" localSheetId="5">#REF!</definedName>
    <definedName name="цукецуке" localSheetId="61">#REF!</definedName>
    <definedName name="цукецуке" localSheetId="19">#REF!</definedName>
    <definedName name="цукецуке" localSheetId="20">#REF!</definedName>
    <definedName name="цукецуке" localSheetId="30">#REF!</definedName>
    <definedName name="цукецуке" localSheetId="58">#REF!</definedName>
    <definedName name="цукецуке" localSheetId="56">#REF!</definedName>
    <definedName name="цукецуке" localSheetId="57">#REF!</definedName>
    <definedName name="цукецуке">#REF!</definedName>
    <definedName name="цукецукеуце" localSheetId="62">'[8]Гр5(о)'!#REF!</definedName>
    <definedName name="цукецукеуце" localSheetId="66">'[8]Гр5(о)'!#REF!</definedName>
    <definedName name="цукецукеуце" localSheetId="64">'[8]Гр5(о)'!#REF!</definedName>
    <definedName name="цукецукеуце" localSheetId="65">'[8]Гр5(о)'!#REF!</definedName>
    <definedName name="цукецукеуце" localSheetId="45">'[8]Гр5(о)'!#REF!</definedName>
    <definedName name="цукецукеуце" localSheetId="31">'[8]Гр5(о)'!#REF!</definedName>
    <definedName name="цукецукеуце" localSheetId="41">'[8]Гр5(о)'!#REF!</definedName>
    <definedName name="цукецукеуце" localSheetId="40">'[8]Гр5(о)'!#REF!</definedName>
    <definedName name="цукецукеуце" localSheetId="42">'[8]Гр5(о)'!#REF!</definedName>
    <definedName name="цукецукеуце" localSheetId="44">'[8]Гр5(о)'!#REF!</definedName>
    <definedName name="цукецукеуце" localSheetId="43">'[8]Гр5(о)'!#REF!</definedName>
    <definedName name="цукецукеуце" localSheetId="28">'[8]Гр5(о)'!#REF!</definedName>
    <definedName name="цукецукеуце" localSheetId="46">'[8]Гр5(о)'!#REF!</definedName>
    <definedName name="цукецукеуце" localSheetId="48">'[8]Гр5(о)'!#REF!</definedName>
    <definedName name="цукецукеуце" localSheetId="49">'[8]Гр5(о)'!#REF!</definedName>
    <definedName name="цукецукеуце" localSheetId="22">'[8]Гр5(о)'!#REF!</definedName>
    <definedName name="цукецукеуце" localSheetId="23">'[8]Гр5(о)'!#REF!</definedName>
    <definedName name="цукецукеуце" localSheetId="50">'[8]Гр5(о)'!#REF!</definedName>
    <definedName name="цукецукеуце" localSheetId="71">'[8]Гр5(о)'!#REF!</definedName>
    <definedName name="цукецукеуце" localSheetId="73">'[8]Гр5(о)'!#REF!</definedName>
    <definedName name="цукецукеуце" localSheetId="67">'[8]Гр5(о)'!#REF!</definedName>
    <definedName name="цукецукеуце" localSheetId="59">'[8]Гр5(о)'!#REF!</definedName>
    <definedName name="цукецукеуце" localSheetId="60">'[8]Гр5(о)'!#REF!</definedName>
    <definedName name="цукецукеуце" localSheetId="18">'[8]Гр5(о)'!#REF!</definedName>
    <definedName name="цукецукеуце" localSheetId="90">'[8]Гр5(о)'!#REF!</definedName>
    <definedName name="цукецукеуце" localSheetId="5">'[8]Гр5(о)'!#REF!</definedName>
    <definedName name="цукецукеуце" localSheetId="61">'[8]Гр5(о)'!#REF!</definedName>
    <definedName name="цукецукеуце" localSheetId="19">'[8]Гр5(о)'!#REF!</definedName>
    <definedName name="цукецукеуце" localSheetId="20">'[8]Гр5(о)'!#REF!</definedName>
    <definedName name="цукецукеуце" localSheetId="30">'[8]Гр5(о)'!#REF!</definedName>
    <definedName name="цукецукеуце" localSheetId="58">'[8]Гр5(о)'!#REF!</definedName>
    <definedName name="цукецукеуце" localSheetId="56">'[8]Гр5(о)'!#REF!</definedName>
    <definedName name="цукецукеуце" localSheetId="57">'[8]Гр5(о)'!#REF!</definedName>
    <definedName name="цукецукеуце">'[8]Гр5(о)'!#REF!</definedName>
    <definedName name="цуцуе" localSheetId="62">'[3]Гр5(о)'!#REF!</definedName>
    <definedName name="цуцуе" localSheetId="66">'[3]Гр5(о)'!#REF!</definedName>
    <definedName name="цуцуе" localSheetId="64">'[3]Гр5(о)'!#REF!</definedName>
    <definedName name="цуцуе" localSheetId="65">'[3]Гр5(о)'!#REF!</definedName>
    <definedName name="цуцуе" localSheetId="31">'[3]Гр5(о)'!#REF!</definedName>
    <definedName name="цуцуе" localSheetId="40">'[3]Гр5(о)'!#REF!</definedName>
    <definedName name="цуцуе" localSheetId="43">'[3]Гр5(о)'!#REF!</definedName>
    <definedName name="цуцуе" localSheetId="46">'[3]Гр5(о)'!#REF!</definedName>
    <definedName name="цуцуе" localSheetId="48">'[3]Гр5(о)'!#REF!</definedName>
    <definedName name="цуцуе" localSheetId="22">'[3]Гр5(о)'!#REF!</definedName>
    <definedName name="цуцуе" localSheetId="23">'[3]Гр5(о)'!#REF!</definedName>
    <definedName name="цуцуе" localSheetId="71">'[3]Гр5(о)'!#REF!</definedName>
    <definedName name="цуцуе" localSheetId="73">'[3]Гр5(о)'!#REF!</definedName>
    <definedName name="цуцуе" localSheetId="67">'[3]Гр5(о)'!#REF!</definedName>
    <definedName name="цуцуе" localSheetId="59">'[3]Гр5(о)'!#REF!</definedName>
    <definedName name="цуцуе" localSheetId="60">'[3]Гр5(о)'!#REF!</definedName>
    <definedName name="цуцуе" localSheetId="18">'[3]Гр5(о)'!#REF!</definedName>
    <definedName name="цуцуе" localSheetId="5">'[3]Гр5(о)'!#REF!</definedName>
    <definedName name="цуцуе" localSheetId="61">'[3]Гр5(о)'!#REF!</definedName>
    <definedName name="цуцуе" localSheetId="19">'[3]Гр5(о)'!#REF!</definedName>
    <definedName name="цуцуе" localSheetId="20">'[3]Гр5(о)'!#REF!</definedName>
    <definedName name="цуцуе" localSheetId="30">'[3]Гр5(о)'!#REF!</definedName>
    <definedName name="цуцуе" localSheetId="56">'[3]Гр5(о)'!#REF!</definedName>
    <definedName name="цуцуе" localSheetId="57">'[3]Гр5(о)'!#REF!</definedName>
    <definedName name="цуцуе">'[3]Гр5(о)'!#REF!</definedName>
    <definedName name="чварьлврл" localSheetId="62">[2]ПРОГНОЗ_1!#REF!</definedName>
    <definedName name="чварьлврл" localSheetId="66">[2]ПРОГНОЗ_1!#REF!</definedName>
    <definedName name="чварьлврл" localSheetId="64">[2]ПРОГНОЗ_1!#REF!</definedName>
    <definedName name="чварьлврл" localSheetId="65">[2]ПРОГНОЗ_1!#REF!</definedName>
    <definedName name="чварьлврл" localSheetId="31">[2]ПРОГНОЗ_1!#REF!</definedName>
    <definedName name="чварьлврл" localSheetId="40">[2]ПРОГНОЗ_1!#REF!</definedName>
    <definedName name="чварьлврл" localSheetId="43">[2]ПРОГНОЗ_1!#REF!</definedName>
    <definedName name="чварьлврл" localSheetId="46">[2]ПРОГНОЗ_1!#REF!</definedName>
    <definedName name="чварьлврл" localSheetId="48">[2]ПРОГНОЗ_1!#REF!</definedName>
    <definedName name="чварьлврл" localSheetId="22">[2]ПРОГНОЗ_1!#REF!</definedName>
    <definedName name="чварьлврл" localSheetId="23">[2]ПРОГНОЗ_1!#REF!</definedName>
    <definedName name="чварьлврл" localSheetId="71">[2]ПРОГНОЗ_1!#REF!</definedName>
    <definedName name="чварьлврл" localSheetId="73">[2]ПРОГНОЗ_1!#REF!</definedName>
    <definedName name="чварьлврл" localSheetId="67">[2]ПРОГНОЗ_1!#REF!</definedName>
    <definedName name="чварьлврл" localSheetId="59">[2]ПРОГНОЗ_1!#REF!</definedName>
    <definedName name="чварьлврл" localSheetId="60">[2]ПРОГНОЗ_1!#REF!</definedName>
    <definedName name="чварьлврл" localSheetId="18">[2]ПРОГНОЗ_1!#REF!</definedName>
    <definedName name="чварьлврл" localSheetId="5">[2]ПРОГНОЗ_1!#REF!</definedName>
    <definedName name="чварьлврл" localSheetId="61">[2]ПРОГНОЗ_1!#REF!</definedName>
    <definedName name="чварьлврл" localSheetId="19">[2]ПРОГНОЗ_1!#REF!</definedName>
    <definedName name="чварьлврл" localSheetId="20">[2]ПРОГНОЗ_1!#REF!</definedName>
    <definedName name="чварьлврл" localSheetId="30">[2]ПРОГНОЗ_1!#REF!</definedName>
    <definedName name="чварьлврл" localSheetId="56">[2]ПРОГНОЗ_1!#REF!</definedName>
    <definedName name="чварьлврл" localSheetId="57">[2]ПРОГНОЗ_1!#REF!</definedName>
    <definedName name="чварьлврл">[2]ПРОГНОЗ_1!#REF!</definedName>
    <definedName name="Штат" localSheetId="62">#REF!</definedName>
    <definedName name="Штат" localSheetId="64">#REF!</definedName>
    <definedName name="Штат" localSheetId="65">#REF!</definedName>
    <definedName name="Штат" localSheetId="46">#REF!</definedName>
    <definedName name="Штат" localSheetId="21">#REF!</definedName>
    <definedName name="Штат" localSheetId="22">#REF!</definedName>
    <definedName name="Штат" localSheetId="23">#REF!</definedName>
    <definedName name="Штат" localSheetId="70">#REF!</definedName>
    <definedName name="Штат" localSheetId="71">#REF!</definedName>
    <definedName name="Штат" localSheetId="73">#REF!</definedName>
    <definedName name="Штат" localSheetId="93">#REF!</definedName>
    <definedName name="Штат" localSheetId="99">#REF!</definedName>
    <definedName name="Штат" localSheetId="105">#REF!</definedName>
    <definedName name="Штат" localSheetId="91">#REF!</definedName>
    <definedName name="Штат" localSheetId="97">#REF!</definedName>
    <definedName name="Штат" localSheetId="103">#REF!</definedName>
    <definedName name="Штат" localSheetId="67">#REF!</definedName>
    <definedName name="Штат" localSheetId="59">#REF!</definedName>
    <definedName name="Штат" localSheetId="60">#REF!</definedName>
    <definedName name="Штат" localSheetId="18">#REF!</definedName>
    <definedName name="Штат" localSheetId="90">#REF!</definedName>
    <definedName name="Штат" localSheetId="2">#REF!</definedName>
    <definedName name="Штат" localSheetId="94">#REF!</definedName>
    <definedName name="Штат" localSheetId="100">#REF!</definedName>
    <definedName name="Штат" localSheetId="5">#REF!</definedName>
    <definedName name="Штат" localSheetId="3">#REF!</definedName>
    <definedName name="Штат" localSheetId="95">#REF!</definedName>
    <definedName name="Штат" localSheetId="101">#REF!</definedName>
    <definedName name="Штат" localSheetId="1">#REF!</definedName>
    <definedName name="Штат" localSheetId="0">#REF!</definedName>
    <definedName name="Штат" localSheetId="61">#REF!</definedName>
    <definedName name="Штат" localSheetId="19">#REF!</definedName>
    <definedName name="Штат" localSheetId="20">#REF!</definedName>
    <definedName name="Штат" localSheetId="30">#REF!</definedName>
    <definedName name="Штат" localSheetId="56">#REF!</definedName>
    <definedName name="Штат" localSheetId="57">#REF!</definedName>
    <definedName name="Штат" localSheetId="96">#REF!</definedName>
    <definedName name="Штат" localSheetId="102">#REF!</definedName>
    <definedName name="Штат" localSheetId="92">#REF!</definedName>
    <definedName name="Штат" localSheetId="98">#REF!</definedName>
    <definedName name="Штат" localSheetId="104">#REF!</definedName>
    <definedName name="Штат">#REF!</definedName>
    <definedName name="ыаоапо" localSheetId="62">#REF!</definedName>
    <definedName name="ыаоапо" localSheetId="66">#REF!</definedName>
    <definedName name="ыаоапо" localSheetId="64">#REF!</definedName>
    <definedName name="ыаоапо" localSheetId="65">#REF!</definedName>
    <definedName name="ыаоапо" localSheetId="45">#REF!</definedName>
    <definedName name="ыаоапо" localSheetId="31">#REF!</definedName>
    <definedName name="ыаоапо" localSheetId="41">#REF!</definedName>
    <definedName name="ыаоапо" localSheetId="40">#REF!</definedName>
    <definedName name="ыаоапо" localSheetId="42">#REF!</definedName>
    <definedName name="ыаоапо" localSheetId="44">#REF!</definedName>
    <definedName name="ыаоапо" localSheetId="43">#REF!</definedName>
    <definedName name="ыаоапо" localSheetId="28">#REF!</definedName>
    <definedName name="ыаоапо" localSheetId="46">#REF!</definedName>
    <definedName name="ыаоапо" localSheetId="48">#REF!</definedName>
    <definedName name="ыаоапо" localSheetId="49">#REF!</definedName>
    <definedName name="ыаоапо" localSheetId="22">#REF!</definedName>
    <definedName name="ыаоапо" localSheetId="23">#REF!</definedName>
    <definedName name="ыаоапо" localSheetId="50">#REF!</definedName>
    <definedName name="ыаоапо" localSheetId="85">#REF!</definedName>
    <definedName name="ыаоапо" localSheetId="74">#REF!</definedName>
    <definedName name="ыаоапо" localSheetId="71">#REF!</definedName>
    <definedName name="ыаоапо" localSheetId="73">#REF!</definedName>
    <definedName name="ыаоапо" localSheetId="67">#REF!</definedName>
    <definedName name="ыаоапо" localSheetId="59">#REF!</definedName>
    <definedName name="ыаоапо" localSheetId="60">#REF!</definedName>
    <definedName name="ыаоапо" localSheetId="18">#REF!</definedName>
    <definedName name="ыаоапо" localSheetId="5">#REF!</definedName>
    <definedName name="ыаоапо" localSheetId="61">#REF!</definedName>
    <definedName name="ыаоапо" localSheetId="19">#REF!</definedName>
    <definedName name="ыаоапо" localSheetId="20">#REF!</definedName>
    <definedName name="ыаоапо" localSheetId="30">#REF!</definedName>
    <definedName name="ыаоапо" localSheetId="58">#REF!</definedName>
    <definedName name="ыаоапо" localSheetId="56">#REF!</definedName>
    <definedName name="ыаоапо" localSheetId="57">#REF!</definedName>
    <definedName name="ыаоапо">#REF!</definedName>
    <definedName name="ыапоапо" localSheetId="62">#REF!</definedName>
    <definedName name="ыапоапо" localSheetId="66">#REF!</definedName>
    <definedName name="ыапоапо" localSheetId="64">#REF!</definedName>
    <definedName name="ыапоапо" localSheetId="65">#REF!</definedName>
    <definedName name="ыапоапо" localSheetId="45">#REF!</definedName>
    <definedName name="ыапоапо" localSheetId="31">#REF!</definedName>
    <definedName name="ыапоапо" localSheetId="41">#REF!</definedName>
    <definedName name="ыапоапо" localSheetId="40">#REF!</definedName>
    <definedName name="ыапоапо" localSheetId="42">#REF!</definedName>
    <definedName name="ыапоапо" localSheetId="44">#REF!</definedName>
    <definedName name="ыапоапо" localSheetId="43">#REF!</definedName>
    <definedName name="ыапоапо" localSheetId="28">#REF!</definedName>
    <definedName name="ыапоапо" localSheetId="46">#REF!</definedName>
    <definedName name="ыапоапо" localSheetId="48">#REF!</definedName>
    <definedName name="ыапоапо" localSheetId="49">#REF!</definedName>
    <definedName name="ыапоапо" localSheetId="22">#REF!</definedName>
    <definedName name="ыапоапо" localSheetId="23">#REF!</definedName>
    <definedName name="ыапоапо" localSheetId="50">#REF!</definedName>
    <definedName name="ыапоапо" localSheetId="85">#REF!</definedName>
    <definedName name="ыапоапо" localSheetId="74">#REF!</definedName>
    <definedName name="ыапоапо" localSheetId="71">#REF!</definedName>
    <definedName name="ыапоапо" localSheetId="73">#REF!</definedName>
    <definedName name="ыапоапо" localSheetId="67">#REF!</definedName>
    <definedName name="ыапоапо" localSheetId="59">#REF!</definedName>
    <definedName name="ыапоапо" localSheetId="60">#REF!</definedName>
    <definedName name="ыапоапо" localSheetId="18">#REF!</definedName>
    <definedName name="ыапоапо" localSheetId="5">#REF!</definedName>
    <definedName name="ыапоапо" localSheetId="61">#REF!</definedName>
    <definedName name="ыапоапо" localSheetId="19">#REF!</definedName>
    <definedName name="ыапоапо" localSheetId="20">#REF!</definedName>
    <definedName name="ыапоапо" localSheetId="30">#REF!</definedName>
    <definedName name="ыапоапо" localSheetId="58">#REF!</definedName>
    <definedName name="ыапоапо" localSheetId="56">#REF!</definedName>
    <definedName name="ыапоапо" localSheetId="57">#REF!</definedName>
    <definedName name="ыапоапо">#REF!</definedName>
    <definedName name="ыапоыпао" localSheetId="62">#REF!</definedName>
    <definedName name="ыапоыпао" localSheetId="66">#REF!</definedName>
    <definedName name="ыапоыпао" localSheetId="64">#REF!</definedName>
    <definedName name="ыапоыпао" localSheetId="65">#REF!</definedName>
    <definedName name="ыапоыпао" localSheetId="45">#REF!</definedName>
    <definedName name="ыапоыпао" localSheetId="31">#REF!</definedName>
    <definedName name="ыапоыпао" localSheetId="41">#REF!</definedName>
    <definedName name="ыапоыпао" localSheetId="40">#REF!</definedName>
    <definedName name="ыапоыпао" localSheetId="42">#REF!</definedName>
    <definedName name="ыапоыпао" localSheetId="44">#REF!</definedName>
    <definedName name="ыапоыпао" localSheetId="43">#REF!</definedName>
    <definedName name="ыапоыпао" localSheetId="28">#REF!</definedName>
    <definedName name="ыапоыпао" localSheetId="46">#REF!</definedName>
    <definedName name="ыапоыпао" localSheetId="48">#REF!</definedName>
    <definedName name="ыапоыпао" localSheetId="49">#REF!</definedName>
    <definedName name="ыапоыпао" localSheetId="22">#REF!</definedName>
    <definedName name="ыапоыпао" localSheetId="23">#REF!</definedName>
    <definedName name="ыапоыпао" localSheetId="50">#REF!</definedName>
    <definedName name="ыапоыпао" localSheetId="85">#REF!</definedName>
    <definedName name="ыапоыпао" localSheetId="74">#REF!</definedName>
    <definedName name="ыапоыпао" localSheetId="71">#REF!</definedName>
    <definedName name="ыапоыпао" localSheetId="73">#REF!</definedName>
    <definedName name="ыапоыпао" localSheetId="67">#REF!</definedName>
    <definedName name="ыапоыпао" localSheetId="59">#REF!</definedName>
    <definedName name="ыапоыпао" localSheetId="60">#REF!</definedName>
    <definedName name="ыапоыпао" localSheetId="18">#REF!</definedName>
    <definedName name="ыапоыпао" localSheetId="5">#REF!</definedName>
    <definedName name="ыапоыпао" localSheetId="61">#REF!</definedName>
    <definedName name="ыапоыпао" localSheetId="19">#REF!</definedName>
    <definedName name="ыапоыпао" localSheetId="20">#REF!</definedName>
    <definedName name="ыапоыпао" localSheetId="30">#REF!</definedName>
    <definedName name="ыапоыпао" localSheetId="58">#REF!</definedName>
    <definedName name="ыапоыпао" localSheetId="56">#REF!</definedName>
    <definedName name="ыапоыпао" localSheetId="57">#REF!</definedName>
    <definedName name="ыапоыпао">#REF!</definedName>
    <definedName name="ыпаоапоы" localSheetId="62">#REF!</definedName>
    <definedName name="ыпаоапоы" localSheetId="66">#REF!</definedName>
    <definedName name="ыпаоапоы" localSheetId="64">#REF!</definedName>
    <definedName name="ыпаоапоы" localSheetId="65">#REF!</definedName>
    <definedName name="ыпаоапоы" localSheetId="45">#REF!</definedName>
    <definedName name="ыпаоапоы" localSheetId="31">#REF!</definedName>
    <definedName name="ыпаоапоы" localSheetId="41">#REF!</definedName>
    <definedName name="ыпаоапоы" localSheetId="40">#REF!</definedName>
    <definedName name="ыпаоапоы" localSheetId="42">#REF!</definedName>
    <definedName name="ыпаоапоы" localSheetId="44">#REF!</definedName>
    <definedName name="ыпаоапоы" localSheetId="43">#REF!</definedName>
    <definedName name="ыпаоапоы" localSheetId="28">#REF!</definedName>
    <definedName name="ыпаоапоы" localSheetId="46">#REF!</definedName>
    <definedName name="ыпаоапоы" localSheetId="48">#REF!</definedName>
    <definedName name="ыпаоапоы" localSheetId="49">#REF!</definedName>
    <definedName name="ыпаоапоы" localSheetId="22">#REF!</definedName>
    <definedName name="ыпаоапоы" localSheetId="23">#REF!</definedName>
    <definedName name="ыпаоапоы" localSheetId="50">#REF!</definedName>
    <definedName name="ыпаоапоы" localSheetId="71">#REF!</definedName>
    <definedName name="ыпаоапоы" localSheetId="73">#REF!</definedName>
    <definedName name="ыпаоапоы" localSheetId="67">#REF!</definedName>
    <definedName name="ыпаоапоы" localSheetId="59">#REF!</definedName>
    <definedName name="ыпаоапоы" localSheetId="60">#REF!</definedName>
    <definedName name="ыпаоапоы" localSheetId="18">#REF!</definedName>
    <definedName name="ыпаоапоы" localSheetId="5">#REF!</definedName>
    <definedName name="ыпаоапоы" localSheetId="61">#REF!</definedName>
    <definedName name="ыпаоапоы" localSheetId="19">#REF!</definedName>
    <definedName name="ыпаоапоы" localSheetId="20">#REF!</definedName>
    <definedName name="ыпаоапоы" localSheetId="30">#REF!</definedName>
    <definedName name="ыпаоапоы" localSheetId="58">#REF!</definedName>
    <definedName name="ыпаоапоы" localSheetId="56">#REF!</definedName>
    <definedName name="ыпаоапоы" localSheetId="57">#REF!</definedName>
    <definedName name="ыпаоапоы">#REF!</definedName>
    <definedName name="ыпаоыапо" localSheetId="62">[1]ПРОГНОЗ_1!#REF!</definedName>
    <definedName name="ыпаоыапо" localSheetId="66">[1]ПРОГНОЗ_1!#REF!</definedName>
    <definedName name="ыпаоыапо" localSheetId="64">[1]ПРОГНОЗ_1!#REF!</definedName>
    <definedName name="ыпаоыапо" localSheetId="65">[1]ПРОГНОЗ_1!#REF!</definedName>
    <definedName name="ыпаоыапо" localSheetId="31">[1]ПРОГНОЗ_1!#REF!</definedName>
    <definedName name="ыпаоыапо" localSheetId="40">[1]ПРОГНОЗ_1!#REF!</definedName>
    <definedName name="ыпаоыапо" localSheetId="43">[1]ПРОГНОЗ_1!#REF!</definedName>
    <definedName name="ыпаоыапо" localSheetId="46">[1]ПРОГНОЗ_1!#REF!</definedName>
    <definedName name="ыпаоыапо" localSheetId="48">[1]ПРОГНОЗ_1!#REF!</definedName>
    <definedName name="ыпаоыапо" localSheetId="22">[1]ПРОГНОЗ_1!#REF!</definedName>
    <definedName name="ыпаоыапо" localSheetId="23">[1]ПРОГНОЗ_1!#REF!</definedName>
    <definedName name="ыпаоыапо" localSheetId="71">[1]ПРОГНОЗ_1!#REF!</definedName>
    <definedName name="ыпаоыапо" localSheetId="73">[1]ПРОГНОЗ_1!#REF!</definedName>
    <definedName name="ыпаоыапо" localSheetId="67">[1]ПРОГНОЗ_1!#REF!</definedName>
    <definedName name="ыпаоыапо" localSheetId="59">[1]ПРОГНОЗ_1!#REF!</definedName>
    <definedName name="ыпаоыапо" localSheetId="60">[1]ПРОГНОЗ_1!#REF!</definedName>
    <definedName name="ыпаоыапо" localSheetId="18">[1]ПРОГНОЗ_1!#REF!</definedName>
    <definedName name="ыпаоыапо" localSheetId="5">[1]ПРОГНОЗ_1!#REF!</definedName>
    <definedName name="ыпаоыапо" localSheetId="61">[1]ПРОГНОЗ_1!#REF!</definedName>
    <definedName name="ыпаоыапо" localSheetId="19">[1]ПРОГНОЗ_1!#REF!</definedName>
    <definedName name="ыпаоыапо" localSheetId="20">[1]ПРОГНОЗ_1!#REF!</definedName>
    <definedName name="ыпаоыапо" localSheetId="30">[1]ПРОГНОЗ_1!#REF!</definedName>
    <definedName name="ыпаоыапо" localSheetId="56">[1]ПРОГНОЗ_1!#REF!</definedName>
    <definedName name="ыпаоыапо" localSheetId="57">[1]ПРОГНОЗ_1!#REF!</definedName>
    <definedName name="ыпаоыапо">[1]ПРОГНОЗ_1!#REF!</definedName>
  </definedNames>
  <calcPr calcId="152511" fullPrecision="0"/>
</workbook>
</file>

<file path=xl/calcChain.xml><?xml version="1.0" encoding="utf-8"?>
<calcChain xmlns="http://schemas.openxmlformats.org/spreadsheetml/2006/main">
  <c r="ES28" i="378" l="1"/>
  <c r="ES25" i="378"/>
  <c r="ES22" i="378"/>
  <c r="EF22" i="378"/>
  <c r="DS22" i="378"/>
  <c r="DF22" i="378"/>
  <c r="ES12" i="378"/>
  <c r="ES7" i="378"/>
  <c r="EF7" i="378"/>
  <c r="DS7" i="378"/>
  <c r="DF7" i="378"/>
  <c r="R16" i="377" l="1"/>
  <c r="H89" i="377" l="1"/>
  <c r="K89" i="377"/>
  <c r="N89" i="377"/>
  <c r="Q89" i="377"/>
  <c r="R89" i="377"/>
  <c r="V89" i="377"/>
  <c r="Y89" i="377"/>
  <c r="R87" i="377"/>
  <c r="Q32" i="377"/>
  <c r="Q54" i="377"/>
  <c r="N87" i="377"/>
  <c r="K87" i="377"/>
  <c r="Q81" i="377"/>
  <c r="AA79" i="377"/>
  <c r="Z79" i="377"/>
  <c r="S79" i="377"/>
  <c r="Q78" i="377"/>
  <c r="Q77" i="377"/>
  <c r="Q75" i="377"/>
  <c r="Q74" i="377"/>
  <c r="Z74" i="377" s="1"/>
  <c r="Q73" i="377"/>
  <c r="Q72" i="377"/>
  <c r="R70" i="377"/>
  <c r="Q69" i="377"/>
  <c r="Q68" i="377"/>
  <c r="Q67" i="377"/>
  <c r="S67" i="377" s="1"/>
  <c r="Q66" i="377"/>
  <c r="S66" i="377" s="1"/>
  <c r="Q65" i="377"/>
  <c r="Q64" i="377"/>
  <c r="Q63" i="377"/>
  <c r="S63" i="377" s="1"/>
  <c r="Y62" i="377"/>
  <c r="Y87" i="377" s="1"/>
  <c r="V62" i="377"/>
  <c r="V87" i="377" s="1"/>
  <c r="AA61" i="377"/>
  <c r="Z61" i="377"/>
  <c r="S61" i="377"/>
  <c r="S89" i="377" s="1"/>
  <c r="Y60" i="377"/>
  <c r="V60" i="377"/>
  <c r="Q60" i="377"/>
  <c r="Z60" i="377" s="1"/>
  <c r="Q59" i="377"/>
  <c r="Q58" i="377"/>
  <c r="N58" i="377"/>
  <c r="K58" i="377"/>
  <c r="Y57" i="377"/>
  <c r="V57" i="377"/>
  <c r="N57" i="377"/>
  <c r="N56" i="377" s="1"/>
  <c r="K57" i="377"/>
  <c r="AA57" i="377" s="1"/>
  <c r="H57" i="377"/>
  <c r="H56" i="377" s="1"/>
  <c r="Q55" i="377"/>
  <c r="S55" i="377" s="1"/>
  <c r="N55" i="377"/>
  <c r="K55" i="377"/>
  <c r="H55" i="377"/>
  <c r="N54" i="377"/>
  <c r="K54" i="377"/>
  <c r="H54" i="377"/>
  <c r="Y53" i="377"/>
  <c r="V53" i="377"/>
  <c r="Q53" i="377"/>
  <c r="S53" i="377" s="1"/>
  <c r="N53" i="377"/>
  <c r="K53" i="377"/>
  <c r="H53" i="377"/>
  <c r="Y52" i="377"/>
  <c r="V52" i="377"/>
  <c r="Q52" i="377"/>
  <c r="N52" i="377"/>
  <c r="K52" i="377"/>
  <c r="H52" i="377"/>
  <c r="R51" i="377"/>
  <c r="Y86" i="377"/>
  <c r="V86" i="377"/>
  <c r="Q50" i="377"/>
  <c r="N50" i="377"/>
  <c r="K50" i="377"/>
  <c r="H50" i="377"/>
  <c r="Y48" i="377"/>
  <c r="V48" i="377"/>
  <c r="S48" i="377"/>
  <c r="N48" i="377"/>
  <c r="K48" i="377"/>
  <c r="H48" i="377"/>
  <c r="Y47" i="377"/>
  <c r="V47" i="377"/>
  <c r="Q47" i="377"/>
  <c r="Z47" i="377" s="1"/>
  <c r="Y46" i="377"/>
  <c r="V46" i="377"/>
  <c r="Q46" i="377"/>
  <c r="AA46" i="377" s="1"/>
  <c r="Y45" i="377"/>
  <c r="V45" i="377"/>
  <c r="Q45" i="377"/>
  <c r="Z45" i="377" s="1"/>
  <c r="Y44" i="377"/>
  <c r="V44" i="377"/>
  <c r="Q44" i="377"/>
  <c r="Z44" i="377" s="1"/>
  <c r="Y43" i="377"/>
  <c r="V43" i="377"/>
  <c r="Q43" i="377"/>
  <c r="N43" i="377"/>
  <c r="K43" i="377"/>
  <c r="R43" i="377" s="1"/>
  <c r="H43" i="377"/>
  <c r="Y42" i="377"/>
  <c r="V42" i="377"/>
  <c r="Q42" i="377"/>
  <c r="N42" i="377"/>
  <c r="K42" i="377"/>
  <c r="H42" i="377"/>
  <c r="Y41" i="377"/>
  <c r="V41" i="377"/>
  <c r="Q41" i="377"/>
  <c r="N41" i="377"/>
  <c r="K41" i="377"/>
  <c r="R41" i="377" s="1"/>
  <c r="H41" i="377"/>
  <c r="Y38" i="377"/>
  <c r="V38" i="377"/>
  <c r="R38" i="377"/>
  <c r="Q38" i="377"/>
  <c r="K38" i="377"/>
  <c r="H38" i="377"/>
  <c r="Q37" i="377"/>
  <c r="Z37" i="377" s="1"/>
  <c r="Q36" i="377"/>
  <c r="Z36" i="377" s="1"/>
  <c r="N35" i="377"/>
  <c r="N34" i="377" s="1"/>
  <c r="K35" i="377"/>
  <c r="H35" i="377"/>
  <c r="Q33" i="377"/>
  <c r="N33" i="377"/>
  <c r="K33" i="377"/>
  <c r="H33" i="377"/>
  <c r="N32" i="377"/>
  <c r="K32" i="377"/>
  <c r="H32" i="377"/>
  <c r="N31" i="377"/>
  <c r="K31" i="377"/>
  <c r="H31" i="377"/>
  <c r="Y30" i="377"/>
  <c r="V30" i="377"/>
  <c r="Q30" i="377"/>
  <c r="N30" i="377"/>
  <c r="K30" i="377"/>
  <c r="H30" i="377"/>
  <c r="Y29" i="377"/>
  <c r="V29" i="377"/>
  <c r="Q29" i="377"/>
  <c r="Y28" i="377"/>
  <c r="V28" i="377"/>
  <c r="Q28" i="377"/>
  <c r="N28" i="377"/>
  <c r="K28" i="377"/>
  <c r="H28" i="377"/>
  <c r="R27" i="377"/>
  <c r="S26" i="377"/>
  <c r="S22" i="377" s="1"/>
  <c r="Y25" i="377"/>
  <c r="V25" i="377"/>
  <c r="Q25" i="377"/>
  <c r="N25" i="377"/>
  <c r="K25" i="377"/>
  <c r="H25" i="377"/>
  <c r="Y24" i="377"/>
  <c r="V24" i="377"/>
  <c r="Q24" i="377"/>
  <c r="Y23" i="377"/>
  <c r="V23" i="377"/>
  <c r="Q23" i="377"/>
  <c r="R23" i="377" s="1"/>
  <c r="N23" i="377"/>
  <c r="K23" i="377"/>
  <c r="H23" i="377"/>
  <c r="Y20" i="377"/>
  <c r="V20" i="377"/>
  <c r="Q20" i="377"/>
  <c r="Q19" i="377" s="1"/>
  <c r="R19" i="377" s="1"/>
  <c r="N20" i="377"/>
  <c r="N19" i="377" s="1"/>
  <c r="K20" i="377"/>
  <c r="K19" i="377" s="1"/>
  <c r="H20" i="377"/>
  <c r="H19" i="377" s="1"/>
  <c r="Y18" i="377"/>
  <c r="V18" i="377"/>
  <c r="Q18" i="377"/>
  <c r="Q17" i="377" s="1"/>
  <c r="N18" i="377"/>
  <c r="N17" i="377" s="1"/>
  <c r="K18" i="377"/>
  <c r="K17" i="377" s="1"/>
  <c r="H18" i="377"/>
  <c r="H17" i="377" s="1"/>
  <c r="Q16" i="377"/>
  <c r="N16" i="377"/>
  <c r="K16" i="377"/>
  <c r="H16" i="377"/>
  <c r="Q14" i="377"/>
  <c r="Y13" i="377"/>
  <c r="Y15" i="377" s="1"/>
  <c r="V13" i="377"/>
  <c r="Q13" i="377"/>
  <c r="AA13" i="377" s="1"/>
  <c r="S11" i="377"/>
  <c r="X130" i="375"/>
  <c r="AB154" i="375"/>
  <c r="AC153" i="375"/>
  <c r="AB153" i="375"/>
  <c r="D153" i="375"/>
  <c r="AC152" i="375"/>
  <c r="AB152" i="375"/>
  <c r="D152" i="375"/>
  <c r="AC151" i="375"/>
  <c r="AB151" i="375"/>
  <c r="D151" i="375"/>
  <c r="AC150" i="375"/>
  <c r="AB150" i="375"/>
  <c r="D150" i="375"/>
  <c r="AC149" i="375"/>
  <c r="AB149" i="375"/>
  <c r="D149" i="375"/>
  <c r="AC148" i="375"/>
  <c r="AB148" i="375"/>
  <c r="D148" i="375"/>
  <c r="AC147" i="375"/>
  <c r="AB147" i="375"/>
  <c r="D147" i="375"/>
  <c r="AC146" i="375"/>
  <c r="AB146" i="375"/>
  <c r="D146" i="375"/>
  <c r="AC145" i="375"/>
  <c r="AB145" i="375"/>
  <c r="D145" i="375"/>
  <c r="AC144" i="375"/>
  <c r="AB144" i="375"/>
  <c r="D144" i="375"/>
  <c r="AC143" i="375"/>
  <c r="AB143" i="375"/>
  <c r="AC142" i="375"/>
  <c r="AB142" i="375"/>
  <c r="AC141" i="375"/>
  <c r="AB141" i="375"/>
  <c r="AC140" i="375"/>
  <c r="AB140" i="375"/>
  <c r="AC139" i="375"/>
  <c r="AB139" i="375"/>
  <c r="H139" i="375"/>
  <c r="AC138" i="375"/>
  <c r="AB138" i="375"/>
  <c r="AC137" i="375"/>
  <c r="AB137" i="375"/>
  <c r="AC136" i="375"/>
  <c r="AB136" i="375"/>
  <c r="AC135" i="375"/>
  <c r="AB135" i="375"/>
  <c r="H135" i="375"/>
  <c r="AE134" i="375"/>
  <c r="AD134" i="375"/>
  <c r="AA134" i="375"/>
  <c r="Z134" i="375"/>
  <c r="Y134" i="375"/>
  <c r="X134" i="375"/>
  <c r="W134" i="375"/>
  <c r="V134" i="375"/>
  <c r="T134" i="375"/>
  <c r="R134" i="375"/>
  <c r="Q134" i="375"/>
  <c r="P134" i="375"/>
  <c r="O134" i="375"/>
  <c r="N134" i="375"/>
  <c r="M134" i="375"/>
  <c r="L134" i="375"/>
  <c r="K134" i="375"/>
  <c r="J134" i="375"/>
  <c r="I134" i="375"/>
  <c r="G134" i="375"/>
  <c r="F134" i="375"/>
  <c r="E134" i="375"/>
  <c r="C134" i="375"/>
  <c r="B134" i="375"/>
  <c r="AC133" i="375"/>
  <c r="AB133" i="375"/>
  <c r="AC132" i="375"/>
  <c r="AB132" i="375"/>
  <c r="AC131" i="375"/>
  <c r="AB131" i="375"/>
  <c r="X129" i="375"/>
  <c r="AE128" i="375"/>
  <c r="AD128" i="375"/>
  <c r="AA128" i="375"/>
  <c r="Z128" i="375"/>
  <c r="Y128" i="375"/>
  <c r="W128" i="375"/>
  <c r="V128" i="375"/>
  <c r="T128" i="375"/>
  <c r="R128" i="375"/>
  <c r="Q128" i="375"/>
  <c r="P128" i="375"/>
  <c r="O128" i="375"/>
  <c r="N128" i="375"/>
  <c r="M128" i="375"/>
  <c r="L128" i="375"/>
  <c r="K128" i="375"/>
  <c r="J128" i="375"/>
  <c r="I128" i="375"/>
  <c r="H128" i="375"/>
  <c r="G128" i="375"/>
  <c r="F128" i="375"/>
  <c r="E128" i="375"/>
  <c r="D128" i="375"/>
  <c r="C128" i="375"/>
  <c r="B128" i="375"/>
  <c r="AC127" i="375"/>
  <c r="AB127" i="375"/>
  <c r="AC126" i="375"/>
  <c r="AB126" i="375"/>
  <c r="AC125" i="375"/>
  <c r="AB125" i="375"/>
  <c r="AC124" i="375"/>
  <c r="AB124" i="375"/>
  <c r="AC123" i="375"/>
  <c r="AB123" i="375"/>
  <c r="AB121" i="375"/>
  <c r="AC119" i="375"/>
  <c r="AB119" i="375"/>
  <c r="AC118" i="375"/>
  <c r="AB118" i="375"/>
  <c r="AC117" i="375"/>
  <c r="AB117" i="375"/>
  <c r="D117" i="375"/>
  <c r="AC116" i="375"/>
  <c r="AB116" i="375"/>
  <c r="D116" i="375"/>
  <c r="AC115" i="375"/>
  <c r="AB115" i="375"/>
  <c r="D115" i="375"/>
  <c r="AC114" i="375"/>
  <c r="AB114" i="375"/>
  <c r="D114" i="375"/>
  <c r="AC113" i="375"/>
  <c r="AB113" i="375"/>
  <c r="D113" i="375"/>
  <c r="AC112" i="375"/>
  <c r="AB112" i="375"/>
  <c r="D112" i="375"/>
  <c r="AC111" i="375"/>
  <c r="AB111" i="375"/>
  <c r="D111" i="375"/>
  <c r="AC110" i="375"/>
  <c r="AB110" i="375"/>
  <c r="D110" i="375"/>
  <c r="AC109" i="375"/>
  <c r="AB109" i="375"/>
  <c r="D109" i="375"/>
  <c r="AC108" i="375"/>
  <c r="AB108" i="375"/>
  <c r="D108" i="375"/>
  <c r="AC107" i="375"/>
  <c r="AB107" i="375"/>
  <c r="D107" i="375"/>
  <c r="AC106" i="375"/>
  <c r="AB106" i="375"/>
  <c r="D106" i="375"/>
  <c r="AC105" i="375"/>
  <c r="AB105" i="375"/>
  <c r="D105" i="375"/>
  <c r="AC104" i="375"/>
  <c r="AB104" i="375"/>
  <c r="D104" i="375"/>
  <c r="AC103" i="375"/>
  <c r="AB103" i="375"/>
  <c r="D103" i="375"/>
  <c r="AC102" i="375"/>
  <c r="AB102" i="375"/>
  <c r="D102" i="375"/>
  <c r="AC101" i="375"/>
  <c r="AB101" i="375"/>
  <c r="D101" i="375"/>
  <c r="AC100" i="375"/>
  <c r="AB100" i="375"/>
  <c r="D100" i="375"/>
  <c r="AC99" i="375"/>
  <c r="AB99" i="375"/>
  <c r="D99" i="375"/>
  <c r="AC98" i="375"/>
  <c r="AB98" i="375"/>
  <c r="D98" i="375"/>
  <c r="AC97" i="375"/>
  <c r="AB97" i="375"/>
  <c r="D97" i="375"/>
  <c r="AC96" i="375"/>
  <c r="AB96" i="375"/>
  <c r="D96" i="375"/>
  <c r="AC95" i="375"/>
  <c r="AB95" i="375"/>
  <c r="D95" i="375"/>
  <c r="AC94" i="375"/>
  <c r="AB94" i="375"/>
  <c r="AC93" i="375"/>
  <c r="AB93" i="375"/>
  <c r="H93" i="375"/>
  <c r="AC92" i="375"/>
  <c r="AB92" i="375"/>
  <c r="H92" i="375"/>
  <c r="AC91" i="375"/>
  <c r="AB91" i="375"/>
  <c r="H91" i="375"/>
  <c r="AC90" i="375"/>
  <c r="AB90" i="375"/>
  <c r="H90" i="375"/>
  <c r="AC89" i="375"/>
  <c r="AB89" i="375"/>
  <c r="H89" i="375"/>
  <c r="AC88" i="375"/>
  <c r="AB88" i="375"/>
  <c r="H88" i="375"/>
  <c r="AC87" i="375"/>
  <c r="AB87" i="375"/>
  <c r="H87" i="375"/>
  <c r="AC86" i="375"/>
  <c r="AB86" i="375"/>
  <c r="AC85" i="375"/>
  <c r="AB85" i="375"/>
  <c r="AE84" i="375"/>
  <c r="AD84" i="375"/>
  <c r="AA84" i="375"/>
  <c r="Z84" i="375"/>
  <c r="Y84" i="375"/>
  <c r="W84" i="375"/>
  <c r="V84" i="375"/>
  <c r="T84" i="375"/>
  <c r="R84" i="375"/>
  <c r="Q84" i="375"/>
  <c r="P84" i="375"/>
  <c r="O84" i="375"/>
  <c r="N84" i="375"/>
  <c r="M84" i="375"/>
  <c r="L84" i="375"/>
  <c r="K84" i="375"/>
  <c r="J84" i="375"/>
  <c r="I84" i="375"/>
  <c r="G84" i="375"/>
  <c r="F84" i="375"/>
  <c r="E84" i="375"/>
  <c r="C84" i="375"/>
  <c r="B84" i="375"/>
  <c r="AC83" i="375"/>
  <c r="AB83" i="375"/>
  <c r="AC82" i="375"/>
  <c r="AB82" i="375"/>
  <c r="AC81" i="375"/>
  <c r="AB81" i="375"/>
  <c r="D81" i="375"/>
  <c r="AC80" i="375"/>
  <c r="AB80" i="375"/>
  <c r="D80" i="375"/>
  <c r="AC79" i="375"/>
  <c r="AB79" i="375"/>
  <c r="AC77" i="375"/>
  <c r="AB77" i="375"/>
  <c r="AC76" i="375"/>
  <c r="AB76" i="375"/>
  <c r="AC75" i="375"/>
  <c r="AB75" i="375"/>
  <c r="AC74" i="375"/>
  <c r="AB74" i="375"/>
  <c r="AC73" i="375"/>
  <c r="AB73" i="375"/>
  <c r="AC72" i="375"/>
  <c r="AB72" i="375"/>
  <c r="H72" i="375"/>
  <c r="AC71" i="375"/>
  <c r="AB71" i="375"/>
  <c r="H71" i="375"/>
  <c r="AC70" i="375"/>
  <c r="AB70" i="375"/>
  <c r="H70" i="375"/>
  <c r="AC69" i="375"/>
  <c r="AB69" i="375"/>
  <c r="AC68" i="375"/>
  <c r="AB68" i="375"/>
  <c r="AC67" i="375"/>
  <c r="AB67" i="375"/>
  <c r="H67" i="375"/>
  <c r="AC66" i="375"/>
  <c r="AB66" i="375"/>
  <c r="AC65" i="375"/>
  <c r="AB65" i="375"/>
  <c r="AE64" i="375"/>
  <c r="AD64" i="375"/>
  <c r="AA64" i="375"/>
  <c r="Z64" i="375"/>
  <c r="Y64" i="375"/>
  <c r="W64" i="375"/>
  <c r="V64" i="375"/>
  <c r="T64" i="375"/>
  <c r="R64" i="375"/>
  <c r="Q64" i="375"/>
  <c r="P64" i="375"/>
  <c r="O64" i="375"/>
  <c r="N64" i="375"/>
  <c r="M64" i="375"/>
  <c r="L64" i="375"/>
  <c r="K64" i="375"/>
  <c r="J64" i="375"/>
  <c r="I64" i="375"/>
  <c r="G64" i="375"/>
  <c r="F64" i="375"/>
  <c r="E64" i="375"/>
  <c r="C64" i="375"/>
  <c r="B64" i="375"/>
  <c r="AC63" i="375"/>
  <c r="AB63" i="375"/>
  <c r="AC62" i="375"/>
  <c r="AB62" i="375"/>
  <c r="AC61" i="375"/>
  <c r="AB61" i="375"/>
  <c r="AE60" i="375"/>
  <c r="AD60" i="375"/>
  <c r="AA60" i="375"/>
  <c r="Z60" i="375"/>
  <c r="Y60" i="375"/>
  <c r="X60" i="375"/>
  <c r="W60" i="375"/>
  <c r="V60" i="375"/>
  <c r="T60" i="375"/>
  <c r="R60" i="375"/>
  <c r="Q60" i="375"/>
  <c r="P60" i="375"/>
  <c r="O60" i="375"/>
  <c r="N60" i="375"/>
  <c r="M60" i="375"/>
  <c r="L60" i="375"/>
  <c r="K60" i="375"/>
  <c r="J60" i="375"/>
  <c r="I60" i="375"/>
  <c r="H60" i="375"/>
  <c r="G60" i="375"/>
  <c r="F60" i="375"/>
  <c r="E60" i="375"/>
  <c r="D60" i="375"/>
  <c r="C60" i="375"/>
  <c r="B60" i="375"/>
  <c r="AC59" i="375"/>
  <c r="AB59" i="375"/>
  <c r="AC58" i="375"/>
  <c r="AB58" i="375"/>
  <c r="AC57" i="375"/>
  <c r="AB57" i="375"/>
  <c r="AC56" i="375"/>
  <c r="AB56" i="375"/>
  <c r="AC55" i="375"/>
  <c r="AB55" i="375"/>
  <c r="D55" i="375"/>
  <c r="AC54" i="375"/>
  <c r="AB54" i="375"/>
  <c r="AC53" i="375"/>
  <c r="AB53" i="375"/>
  <c r="AE52" i="375"/>
  <c r="AD52" i="375"/>
  <c r="AA52" i="375"/>
  <c r="Z52" i="375"/>
  <c r="Y52" i="375"/>
  <c r="X52" i="375"/>
  <c r="W52" i="375"/>
  <c r="V52" i="375"/>
  <c r="T52" i="375"/>
  <c r="R52" i="375"/>
  <c r="Q52" i="375"/>
  <c r="P52" i="375"/>
  <c r="O52" i="375"/>
  <c r="N52" i="375"/>
  <c r="M52" i="375"/>
  <c r="L52" i="375"/>
  <c r="K52" i="375"/>
  <c r="J52" i="375"/>
  <c r="I52" i="375"/>
  <c r="H52" i="375"/>
  <c r="G52" i="375"/>
  <c r="F52" i="375"/>
  <c r="E52" i="375"/>
  <c r="D52" i="375"/>
  <c r="C52" i="375"/>
  <c r="B52" i="375"/>
  <c r="AC51" i="375"/>
  <c r="AB51" i="375"/>
  <c r="AC50" i="375"/>
  <c r="AB50" i="375"/>
  <c r="AC49" i="375"/>
  <c r="AB49" i="375"/>
  <c r="AC48" i="375"/>
  <c r="AB48" i="375"/>
  <c r="AC47" i="375"/>
  <c r="AB47" i="375"/>
  <c r="AC46" i="375"/>
  <c r="AB46" i="375"/>
  <c r="AC45" i="375"/>
  <c r="AB45" i="375"/>
  <c r="AC44" i="375"/>
  <c r="AB44" i="375"/>
  <c r="AE43" i="375"/>
  <c r="AD43" i="375"/>
  <c r="AA43" i="375"/>
  <c r="Z43" i="375"/>
  <c r="Y43" i="375"/>
  <c r="X43" i="375"/>
  <c r="W43" i="375"/>
  <c r="V43" i="375"/>
  <c r="T43" i="375"/>
  <c r="R43" i="375"/>
  <c r="Q43" i="375"/>
  <c r="P43" i="375"/>
  <c r="O43" i="375"/>
  <c r="N43" i="375"/>
  <c r="M43" i="375"/>
  <c r="L43" i="375"/>
  <c r="K43" i="375"/>
  <c r="J43" i="375"/>
  <c r="I43" i="375"/>
  <c r="H43" i="375"/>
  <c r="G43" i="375"/>
  <c r="F43" i="375"/>
  <c r="E43" i="375"/>
  <c r="D43" i="375"/>
  <c r="C43" i="375"/>
  <c r="B43" i="375"/>
  <c r="AB42" i="375"/>
  <c r="AC41" i="375"/>
  <c r="AB41" i="375"/>
  <c r="AC40" i="375"/>
  <c r="AB40" i="375"/>
  <c r="AC39" i="375"/>
  <c r="AB39" i="375"/>
  <c r="AC37" i="375"/>
  <c r="AB37" i="375"/>
  <c r="AC34" i="375"/>
  <c r="AB34" i="375"/>
  <c r="D34" i="375"/>
  <c r="AC33" i="375"/>
  <c r="AB33" i="375"/>
  <c r="D33" i="375"/>
  <c r="AC32" i="375"/>
  <c r="AB32" i="375"/>
  <c r="D32" i="375"/>
  <c r="AC31" i="375"/>
  <c r="AB31" i="375"/>
  <c r="D31" i="375"/>
  <c r="AC30" i="375"/>
  <c r="AB30" i="375"/>
  <c r="D30" i="375"/>
  <c r="AC29" i="375"/>
  <c r="AB29" i="375"/>
  <c r="D29" i="375"/>
  <c r="AC28" i="375"/>
  <c r="AB28" i="375"/>
  <c r="D28" i="375"/>
  <c r="AC27" i="375"/>
  <c r="AB27" i="375"/>
  <c r="D27" i="375"/>
  <c r="AC26" i="375"/>
  <c r="AB26" i="375"/>
  <c r="D26" i="375"/>
  <c r="AC25" i="375"/>
  <c r="AB25" i="375"/>
  <c r="D25" i="375"/>
  <c r="AC24" i="375"/>
  <c r="AB24" i="375"/>
  <c r="D24" i="375"/>
  <c r="AC23" i="375"/>
  <c r="AB23" i="375"/>
  <c r="D23" i="375"/>
  <c r="AC22" i="375"/>
  <c r="AB22" i="375"/>
  <c r="D22" i="375"/>
  <c r="AC21" i="375"/>
  <c r="AB21" i="375"/>
  <c r="D21" i="375"/>
  <c r="AC20" i="375"/>
  <c r="AB20" i="375"/>
  <c r="D20" i="375"/>
  <c r="AC19" i="375"/>
  <c r="AB19" i="375"/>
  <c r="D19" i="375"/>
  <c r="AC18" i="375"/>
  <c r="AB18" i="375"/>
  <c r="D18" i="375"/>
  <c r="AC17" i="375"/>
  <c r="AB17" i="375"/>
  <c r="D17" i="375"/>
  <c r="AC16" i="375"/>
  <c r="AB16" i="375"/>
  <c r="D16" i="375"/>
  <c r="AC15" i="375"/>
  <c r="AB15" i="375"/>
  <c r="D15" i="375"/>
  <c r="AC14" i="375"/>
  <c r="AB14" i="375"/>
  <c r="D14" i="375"/>
  <c r="AC13" i="375"/>
  <c r="AB13" i="375"/>
  <c r="AE12" i="375"/>
  <c r="AD12" i="375"/>
  <c r="AA12" i="375"/>
  <c r="Z12" i="375"/>
  <c r="Y12" i="375"/>
  <c r="W12" i="375"/>
  <c r="V12" i="375"/>
  <c r="T12" i="375"/>
  <c r="R12" i="375"/>
  <c r="Q12" i="375"/>
  <c r="P12" i="375"/>
  <c r="O12" i="375"/>
  <c r="N12" i="375"/>
  <c r="M12" i="375"/>
  <c r="L12" i="375"/>
  <c r="K12" i="375"/>
  <c r="J12" i="375"/>
  <c r="I12" i="375"/>
  <c r="H12" i="375"/>
  <c r="G12" i="375"/>
  <c r="F12" i="375"/>
  <c r="E12" i="375"/>
  <c r="B12" i="375"/>
  <c r="Q86" i="377" l="1"/>
  <c r="V84" i="377"/>
  <c r="Y84" i="377"/>
  <c r="Q84" i="377"/>
  <c r="H84" i="377"/>
  <c r="N84" i="377"/>
  <c r="Q51" i="377"/>
  <c r="K84" i="377"/>
  <c r="K11" i="377"/>
  <c r="AA50" i="377"/>
  <c r="Z19" i="377"/>
  <c r="N51" i="377"/>
  <c r="AA74" i="377"/>
  <c r="Z42" i="377"/>
  <c r="H27" i="377"/>
  <c r="S74" i="377"/>
  <c r="V26" i="377"/>
  <c r="Q34" i="377"/>
  <c r="AA67" i="377"/>
  <c r="AA30" i="377"/>
  <c r="S36" i="377"/>
  <c r="N49" i="377"/>
  <c r="N40" i="377" s="1"/>
  <c r="AA55" i="377"/>
  <c r="AA63" i="377"/>
  <c r="Z66" i="377"/>
  <c r="AA17" i="377"/>
  <c r="Z25" i="377"/>
  <c r="K27" i="377"/>
  <c r="AA36" i="377"/>
  <c r="H49" i="377"/>
  <c r="H40" i="377" s="1"/>
  <c r="K51" i="377"/>
  <c r="Z53" i="377"/>
  <c r="AA58" i="377"/>
  <c r="AA66" i="377"/>
  <c r="Z78" i="377"/>
  <c r="AA78" i="377"/>
  <c r="S78" i="377"/>
  <c r="S86" i="377" s="1"/>
  <c r="C25" i="202" s="1"/>
  <c r="H34" i="377"/>
  <c r="S64" i="377"/>
  <c r="AA64" i="377"/>
  <c r="Z64" i="377"/>
  <c r="S68" i="377"/>
  <c r="AA68" i="377"/>
  <c r="Z68" i="377"/>
  <c r="Z13" i="377"/>
  <c r="R13" i="377"/>
  <c r="Z24" i="377"/>
  <c r="R32" i="377"/>
  <c r="R84" i="377" s="1"/>
  <c r="AA38" i="377"/>
  <c r="K49" i="377"/>
  <c r="K40" i="377" s="1"/>
  <c r="R42" i="377"/>
  <c r="S42" i="377" s="1"/>
  <c r="S65" i="377"/>
  <c r="AA65" i="377"/>
  <c r="S69" i="377"/>
  <c r="AA69" i="377"/>
  <c r="AA73" i="377"/>
  <c r="Z73" i="377"/>
  <c r="S73" i="377"/>
  <c r="V49" i="377"/>
  <c r="AA53" i="377"/>
  <c r="Z65" i="377"/>
  <c r="Z69" i="377"/>
  <c r="N11" i="377"/>
  <c r="Z38" i="377"/>
  <c r="AA44" i="377"/>
  <c r="AA52" i="377"/>
  <c r="AA60" i="377"/>
  <c r="Q26" i="377"/>
  <c r="Q22" i="377" s="1"/>
  <c r="AA23" i="377"/>
  <c r="AA28" i="377"/>
  <c r="N27" i="377"/>
  <c r="AA32" i="377"/>
  <c r="AA37" i="377"/>
  <c r="R44" i="377"/>
  <c r="K56" i="377"/>
  <c r="S60" i="377"/>
  <c r="Z63" i="377"/>
  <c r="Z67" i="377"/>
  <c r="Z75" i="377"/>
  <c r="AA75" i="377"/>
  <c r="H86" i="377"/>
  <c r="AA29" i="377"/>
  <c r="S29" i="377"/>
  <c r="Z77" i="377"/>
  <c r="AA77" i="377"/>
  <c r="S77" i="377"/>
  <c r="Z35" i="377"/>
  <c r="K34" i="377"/>
  <c r="AA35" i="377"/>
  <c r="AA59" i="377"/>
  <c r="Z59" i="377"/>
  <c r="S59" i="377"/>
  <c r="N86" i="377"/>
  <c r="H11" i="377"/>
  <c r="Z14" i="377"/>
  <c r="AA14" i="377"/>
  <c r="R14" i="377"/>
  <c r="AA16" i="377"/>
  <c r="Z16" i="377"/>
  <c r="N26" i="377"/>
  <c r="N22" i="377" s="1"/>
  <c r="R34" i="377"/>
  <c r="S38" i="377"/>
  <c r="Q49" i="377"/>
  <c r="Q40" i="377" s="1"/>
  <c r="AA41" i="377"/>
  <c r="S41" i="377"/>
  <c r="Z41" i="377"/>
  <c r="AA54" i="377"/>
  <c r="S54" i="377"/>
  <c r="S84" i="377" s="1"/>
  <c r="C12" i="202" s="1"/>
  <c r="Z54" i="377"/>
  <c r="Q15" i="377"/>
  <c r="Q12" i="377" s="1"/>
  <c r="Z20" i="377"/>
  <c r="H26" i="377"/>
  <c r="H22" i="377" s="1"/>
  <c r="AA24" i="377"/>
  <c r="R24" i="377"/>
  <c r="Q27" i="377"/>
  <c r="Z29" i="377"/>
  <c r="AA31" i="377"/>
  <c r="Z31" i="377"/>
  <c r="AA33" i="377"/>
  <c r="AA48" i="377"/>
  <c r="Z48" i="377"/>
  <c r="AA72" i="377"/>
  <c r="Z72" i="377"/>
  <c r="Q76" i="377"/>
  <c r="S72" i="377"/>
  <c r="AA81" i="377"/>
  <c r="Z81" i="377"/>
  <c r="S81" i="377"/>
  <c r="Q80" i="377"/>
  <c r="Z30" i="377"/>
  <c r="AA45" i="377"/>
  <c r="R45" i="377"/>
  <c r="Z46" i="377"/>
  <c r="Z50" i="377"/>
  <c r="Z57" i="377"/>
  <c r="V15" i="377"/>
  <c r="Z17" i="377"/>
  <c r="Z18" i="377"/>
  <c r="AA19" i="377"/>
  <c r="AA20" i="377"/>
  <c r="R20" i="377"/>
  <c r="AA25" i="377"/>
  <c r="R25" i="377"/>
  <c r="S30" i="377"/>
  <c r="Z32" i="377"/>
  <c r="Z33" i="377"/>
  <c r="AA42" i="377"/>
  <c r="AA43" i="377"/>
  <c r="S43" i="377"/>
  <c r="Z43" i="377"/>
  <c r="S46" i="377"/>
  <c r="R50" i="377"/>
  <c r="R86" i="377" s="1"/>
  <c r="Z52" i="377"/>
  <c r="Q56" i="377"/>
  <c r="R58" i="377"/>
  <c r="R56" i="377" s="1"/>
  <c r="K86" i="377"/>
  <c r="R17" i="377"/>
  <c r="R18" i="377"/>
  <c r="AA18" i="377"/>
  <c r="Y26" i="377"/>
  <c r="K26" i="377"/>
  <c r="Z28" i="377"/>
  <c r="R33" i="377"/>
  <c r="S37" i="377"/>
  <c r="Y49" i="377"/>
  <c r="AA47" i="377"/>
  <c r="R47" i="377"/>
  <c r="H51" i="377"/>
  <c r="S52" i="377"/>
  <c r="S51" i="377" s="1"/>
  <c r="Z55" i="377"/>
  <c r="Z58" i="377"/>
  <c r="S75" i="377"/>
  <c r="Z23" i="377"/>
  <c r="X128" i="375"/>
  <c r="AB128" i="375" s="1"/>
  <c r="AC42" i="375"/>
  <c r="L11" i="375"/>
  <c r="T11" i="375"/>
  <c r="Z11" i="375"/>
  <c r="AC154" i="375"/>
  <c r="AC35" i="375"/>
  <c r="AB35" i="375"/>
  <c r="R11" i="375"/>
  <c r="AC128" i="375"/>
  <c r="AB78" i="375"/>
  <c r="AC78" i="375"/>
  <c r="AA11" i="375"/>
  <c r="AB36" i="375"/>
  <c r="AC36" i="375"/>
  <c r="X12" i="375"/>
  <c r="AB12" i="375" s="1"/>
  <c r="P11" i="375"/>
  <c r="AC120" i="375"/>
  <c r="AB120" i="375"/>
  <c r="AB130" i="375"/>
  <c r="AC130" i="375"/>
  <c r="V11" i="375"/>
  <c r="AB122" i="375"/>
  <c r="AC122" i="375"/>
  <c r="AB38" i="375"/>
  <c r="AC38" i="375"/>
  <c r="AB52" i="375"/>
  <c r="AC52" i="375"/>
  <c r="X64" i="375"/>
  <c r="D64" i="375"/>
  <c r="AE11" i="375"/>
  <c r="E28" i="199" s="1"/>
  <c r="D12" i="375"/>
  <c r="G11" i="375"/>
  <c r="B11" i="375"/>
  <c r="J11" i="375"/>
  <c r="AC134" i="375"/>
  <c r="O11" i="375"/>
  <c r="D84" i="375"/>
  <c r="N11" i="375"/>
  <c r="AC60" i="375"/>
  <c r="AB60" i="375"/>
  <c r="AD11" i="375"/>
  <c r="D28" i="199" s="1"/>
  <c r="AC129" i="375"/>
  <c r="AB129" i="375"/>
  <c r="AB134" i="375"/>
  <c r="F11" i="375"/>
  <c r="K11" i="375"/>
  <c r="AC43" i="375"/>
  <c r="Y11" i="375"/>
  <c r="AC121" i="375"/>
  <c r="X84" i="375"/>
  <c r="H134" i="375"/>
  <c r="D134" i="375"/>
  <c r="H64" i="375"/>
  <c r="E11" i="375"/>
  <c r="I11" i="375"/>
  <c r="M11" i="375"/>
  <c r="Q11" i="375"/>
  <c r="AB43" i="375"/>
  <c r="H84" i="375"/>
  <c r="N39" i="377" l="1"/>
  <c r="S34" i="377"/>
  <c r="Z51" i="377"/>
  <c r="Y88" i="377"/>
  <c r="Q88" i="377"/>
  <c r="V88" i="377"/>
  <c r="R88" i="377"/>
  <c r="Z62" i="377"/>
  <c r="Q87" i="377"/>
  <c r="N88" i="377"/>
  <c r="AA51" i="377"/>
  <c r="Y85" i="377"/>
  <c r="V11" i="377"/>
  <c r="V85" i="377"/>
  <c r="V83" i="377" s="1"/>
  <c r="Q85" i="377"/>
  <c r="Q83" i="377" s="1"/>
  <c r="Y11" i="377"/>
  <c r="V21" i="377"/>
  <c r="Y39" i="377"/>
  <c r="Z26" i="377"/>
  <c r="Z34" i="377"/>
  <c r="AA62" i="377"/>
  <c r="AA34" i="377"/>
  <c r="H39" i="377"/>
  <c r="H21" i="377"/>
  <c r="N21" i="377"/>
  <c r="N10" i="377" s="1"/>
  <c r="S62" i="377"/>
  <c r="S87" i="377" s="1"/>
  <c r="C28" i="202" s="1"/>
  <c r="K39" i="377"/>
  <c r="R49" i="377"/>
  <c r="R40" i="377" s="1"/>
  <c r="R39" i="377" s="1"/>
  <c r="Y21" i="377"/>
  <c r="R26" i="377"/>
  <c r="R22" i="377" s="1"/>
  <c r="R21" i="377" s="1"/>
  <c r="S56" i="377"/>
  <c r="Z76" i="377"/>
  <c r="AA76" i="377"/>
  <c r="S76" i="377"/>
  <c r="AA12" i="377"/>
  <c r="Z12" i="377"/>
  <c r="Q11" i="377"/>
  <c r="R12" i="377"/>
  <c r="K88" i="377"/>
  <c r="H87" i="377"/>
  <c r="V39" i="377"/>
  <c r="V10" i="377" s="1"/>
  <c r="Z15" i="377"/>
  <c r="AA15" i="377"/>
  <c r="R15" i="377"/>
  <c r="AA49" i="377"/>
  <c r="Z49" i="377"/>
  <c r="S27" i="377"/>
  <c r="S88" i="377" s="1"/>
  <c r="C29" i="202" s="1"/>
  <c r="AA26" i="377"/>
  <c r="AA56" i="377"/>
  <c r="Z56" i="377"/>
  <c r="AA80" i="377"/>
  <c r="Z80" i="377"/>
  <c r="S80" i="377"/>
  <c r="AA71" i="377"/>
  <c r="Q70" i="377"/>
  <c r="Z71" i="377"/>
  <c r="S71" i="377"/>
  <c r="S70" i="377" s="1"/>
  <c r="AA27" i="377"/>
  <c r="Z27" i="377"/>
  <c r="Z40" i="377"/>
  <c r="Q39" i="377"/>
  <c r="AA40" i="377"/>
  <c r="H88" i="377"/>
  <c r="N85" i="377"/>
  <c r="H85" i="377"/>
  <c r="K22" i="377"/>
  <c r="S49" i="377"/>
  <c r="S40" i="377" s="1"/>
  <c r="Q21" i="377"/>
  <c r="AC12" i="375"/>
  <c r="H11" i="375"/>
  <c r="AB64" i="375"/>
  <c r="AC64" i="375"/>
  <c r="D11" i="375"/>
  <c r="AB84" i="375"/>
  <c r="AC84" i="375"/>
  <c r="X11" i="375"/>
  <c r="C28" i="199" s="1"/>
  <c r="Y83" i="377" l="1"/>
  <c r="Y10" i="377"/>
  <c r="Y9" i="377" s="1"/>
  <c r="V9" i="377"/>
  <c r="N9" i="377"/>
  <c r="N83" i="377"/>
  <c r="H10" i="377"/>
  <c r="R11" i="377"/>
  <c r="R10" i="377" s="1"/>
  <c r="R85" i="377"/>
  <c r="R83" i="377" s="1"/>
  <c r="S85" i="377"/>
  <c r="H9" i="377"/>
  <c r="H83" i="377"/>
  <c r="S39" i="377"/>
  <c r="K21" i="377"/>
  <c r="K10" i="377" s="1"/>
  <c r="Z22" i="377"/>
  <c r="AA22" i="377"/>
  <c r="Z11" i="377"/>
  <c r="AA11" i="377"/>
  <c r="Q10" i="377"/>
  <c r="K85" i="377"/>
  <c r="K83" i="377" s="1"/>
  <c r="AA39" i="377"/>
  <c r="Z39" i="377"/>
  <c r="AA70" i="377"/>
  <c r="AG73" i="377"/>
  <c r="Z70" i="377"/>
  <c r="S21" i="377"/>
  <c r="AB11" i="375"/>
  <c r="AC11" i="375"/>
  <c r="S83" i="377" l="1"/>
  <c r="C23" i="202"/>
  <c r="K9" i="377"/>
  <c r="R9" i="377"/>
  <c r="S10" i="377"/>
  <c r="S9" i="377" s="1"/>
  <c r="AD6" i="377" s="1"/>
  <c r="AA21" i="377"/>
  <c r="Z21" i="377"/>
  <c r="AA10" i="377"/>
  <c r="Z10" i="377"/>
  <c r="Q9" i="377"/>
  <c r="Q49" i="374"/>
  <c r="P49" i="374"/>
  <c r="T52" i="374"/>
  <c r="U52" i="374"/>
  <c r="T50" i="374"/>
  <c r="U50" i="374"/>
  <c r="U49" i="374" s="1"/>
  <c r="Z75" i="374"/>
  <c r="Y72" i="374"/>
  <c r="X72" i="374"/>
  <c r="W72" i="374"/>
  <c r="V72" i="374"/>
  <c r="U72" i="374"/>
  <c r="R72" i="374"/>
  <c r="Q72" i="374"/>
  <c r="P72" i="374"/>
  <c r="O72" i="374"/>
  <c r="N72" i="374"/>
  <c r="M72" i="374"/>
  <c r="L72" i="374"/>
  <c r="K72" i="374"/>
  <c r="J72" i="374"/>
  <c r="I72" i="374"/>
  <c r="H72" i="374"/>
  <c r="G72" i="374"/>
  <c r="F72" i="374"/>
  <c r="Q71" i="374"/>
  <c r="P71" i="374"/>
  <c r="M71" i="374"/>
  <c r="L71" i="374"/>
  <c r="I71" i="374"/>
  <c r="H71" i="374"/>
  <c r="Y70" i="374"/>
  <c r="X70" i="374"/>
  <c r="W70" i="374"/>
  <c r="V70" i="374"/>
  <c r="U70" i="374"/>
  <c r="R70" i="374"/>
  <c r="Q70" i="374"/>
  <c r="P70" i="374"/>
  <c r="O70" i="374"/>
  <c r="N70" i="374"/>
  <c r="M70" i="374"/>
  <c r="L70" i="374"/>
  <c r="K70" i="374"/>
  <c r="J70" i="374"/>
  <c r="I70" i="374"/>
  <c r="H70" i="374"/>
  <c r="G70" i="374"/>
  <c r="F70" i="374"/>
  <c r="Y69" i="374"/>
  <c r="X69" i="374"/>
  <c r="W69" i="374"/>
  <c r="V69" i="374"/>
  <c r="U69" i="374"/>
  <c r="R69" i="374"/>
  <c r="Q69" i="374"/>
  <c r="P69" i="374"/>
  <c r="O69" i="374"/>
  <c r="N69" i="374"/>
  <c r="M69" i="374"/>
  <c r="L69" i="374"/>
  <c r="K69" i="374"/>
  <c r="J69" i="374"/>
  <c r="I69" i="374"/>
  <c r="H69" i="374"/>
  <c r="G69" i="374"/>
  <c r="F69" i="374"/>
  <c r="Q68" i="374"/>
  <c r="P68" i="374"/>
  <c r="M68" i="374"/>
  <c r="L68" i="374"/>
  <c r="I68" i="374"/>
  <c r="H68" i="374"/>
  <c r="Y67" i="374"/>
  <c r="X67" i="374"/>
  <c r="W67" i="374"/>
  <c r="V67" i="374"/>
  <c r="U67" i="374"/>
  <c r="R67" i="374"/>
  <c r="Q67" i="374"/>
  <c r="P67" i="374"/>
  <c r="O67" i="374"/>
  <c r="N67" i="374"/>
  <c r="M67" i="374"/>
  <c r="L67" i="374"/>
  <c r="K67" i="374"/>
  <c r="J67" i="374"/>
  <c r="I67" i="374"/>
  <c r="H67" i="374"/>
  <c r="G67" i="374"/>
  <c r="Q66" i="374"/>
  <c r="P66" i="374"/>
  <c r="M66" i="374"/>
  <c r="L66" i="374"/>
  <c r="I66" i="374"/>
  <c r="H66" i="374"/>
  <c r="Q65" i="374"/>
  <c r="P65" i="374"/>
  <c r="M65" i="374"/>
  <c r="L65" i="374"/>
  <c r="I65" i="374"/>
  <c r="H65" i="374"/>
  <c r="Y64" i="374"/>
  <c r="X64" i="374"/>
  <c r="W64" i="374"/>
  <c r="V64" i="374"/>
  <c r="U64" i="374"/>
  <c r="R64" i="374"/>
  <c r="Q64" i="374"/>
  <c r="P64" i="374"/>
  <c r="O64" i="374"/>
  <c r="N64" i="374"/>
  <c r="M64" i="374"/>
  <c r="L64" i="374"/>
  <c r="K64" i="374"/>
  <c r="J64" i="374"/>
  <c r="I64" i="374"/>
  <c r="H64" i="374"/>
  <c r="G64" i="374"/>
  <c r="F64" i="374"/>
  <c r="Q63" i="374"/>
  <c r="P63" i="374"/>
  <c r="M63" i="374"/>
  <c r="L63" i="374"/>
  <c r="I63" i="374"/>
  <c r="H63" i="374"/>
  <c r="Y62" i="374"/>
  <c r="X62" i="374"/>
  <c r="W62" i="374"/>
  <c r="V62" i="374"/>
  <c r="U62" i="374"/>
  <c r="R62" i="374"/>
  <c r="Q62" i="374"/>
  <c r="P62" i="374"/>
  <c r="O62" i="374"/>
  <c r="N62" i="374"/>
  <c r="M62" i="374"/>
  <c r="L62" i="374"/>
  <c r="K62" i="374"/>
  <c r="J62" i="374"/>
  <c r="I62" i="374"/>
  <c r="H62" i="374"/>
  <c r="G62" i="374"/>
  <c r="F62" i="374"/>
  <c r="Y61" i="374"/>
  <c r="X61" i="374"/>
  <c r="W61" i="374"/>
  <c r="V61" i="374"/>
  <c r="U61" i="374"/>
  <c r="R61" i="374"/>
  <c r="Q61" i="374"/>
  <c r="P61" i="374"/>
  <c r="O61" i="374"/>
  <c r="N61" i="374"/>
  <c r="M61" i="374"/>
  <c r="L61" i="374"/>
  <c r="K61" i="374"/>
  <c r="J61" i="374"/>
  <c r="I61" i="374"/>
  <c r="H61" i="374"/>
  <c r="G61" i="374"/>
  <c r="F61" i="374"/>
  <c r="Q60" i="374"/>
  <c r="P60" i="374"/>
  <c r="M60" i="374"/>
  <c r="L60" i="374"/>
  <c r="I60" i="374"/>
  <c r="H60" i="374"/>
  <c r="Y59" i="374"/>
  <c r="X59" i="374"/>
  <c r="W59" i="374"/>
  <c r="V59" i="374"/>
  <c r="U59" i="374"/>
  <c r="R59" i="374"/>
  <c r="Q59" i="374"/>
  <c r="P59" i="374"/>
  <c r="O59" i="374"/>
  <c r="N59" i="374"/>
  <c r="M59" i="374"/>
  <c r="L59" i="374"/>
  <c r="K59" i="374"/>
  <c r="J59" i="374"/>
  <c r="I59" i="374"/>
  <c r="H59" i="374"/>
  <c r="G59" i="374"/>
  <c r="F59" i="374"/>
  <c r="Y58" i="374"/>
  <c r="X58" i="374"/>
  <c r="W58" i="374"/>
  <c r="V58" i="374"/>
  <c r="U58" i="374"/>
  <c r="R58" i="374"/>
  <c r="Q58" i="374"/>
  <c r="P58" i="374"/>
  <c r="O58" i="374"/>
  <c r="N58" i="374"/>
  <c r="M58" i="374"/>
  <c r="L58" i="374"/>
  <c r="K58" i="374"/>
  <c r="J58" i="374"/>
  <c r="I58" i="374"/>
  <c r="H58" i="374"/>
  <c r="G58" i="374"/>
  <c r="F58" i="374"/>
  <c r="Y57" i="374"/>
  <c r="X57" i="374"/>
  <c r="W57" i="374"/>
  <c r="V57" i="374"/>
  <c r="U57" i="374"/>
  <c r="R57" i="374"/>
  <c r="Q57" i="374"/>
  <c r="P57" i="374"/>
  <c r="O57" i="374"/>
  <c r="N57" i="374"/>
  <c r="M57" i="374"/>
  <c r="L57" i="374"/>
  <c r="K57" i="374"/>
  <c r="J57" i="374"/>
  <c r="I57" i="374"/>
  <c r="H57" i="374"/>
  <c r="G57" i="374"/>
  <c r="F57" i="374"/>
  <c r="Q56" i="374"/>
  <c r="P56" i="374"/>
  <c r="M56" i="374"/>
  <c r="L56" i="374"/>
  <c r="I56" i="374"/>
  <c r="H56" i="374"/>
  <c r="Y55" i="374"/>
  <c r="Q55" i="374"/>
  <c r="P55" i="374"/>
  <c r="M55" i="374"/>
  <c r="L55" i="374"/>
  <c r="I55" i="374"/>
  <c r="H55" i="374"/>
  <c r="Q54" i="374"/>
  <c r="Q73" i="374" s="1"/>
  <c r="Q74" i="374" s="1"/>
  <c r="P54" i="374"/>
  <c r="P73" i="374" s="1"/>
  <c r="P74" i="374" s="1"/>
  <c r="M54" i="374"/>
  <c r="M73" i="374" s="1"/>
  <c r="M74" i="374" s="1"/>
  <c r="L54" i="374"/>
  <c r="L73" i="374" s="1"/>
  <c r="L74" i="374" s="1"/>
  <c r="I54" i="374"/>
  <c r="I73" i="374" s="1"/>
  <c r="I74" i="374" s="1"/>
  <c r="H54" i="374"/>
  <c r="H73" i="374" s="1"/>
  <c r="H74" i="374" s="1"/>
  <c r="U53" i="374"/>
  <c r="U71" i="374" s="1"/>
  <c r="T53" i="374"/>
  <c r="T49" i="374" s="1"/>
  <c r="O53" i="374"/>
  <c r="O71" i="374" s="1"/>
  <c r="K53" i="374"/>
  <c r="K71" i="374" s="1"/>
  <c r="G53" i="374"/>
  <c r="G71" i="374" s="1"/>
  <c r="Y66" i="374"/>
  <c r="X66" i="374"/>
  <c r="U66" i="374"/>
  <c r="O66" i="374"/>
  <c r="N66" i="374"/>
  <c r="K66" i="374"/>
  <c r="J66" i="374"/>
  <c r="G66" i="374"/>
  <c r="G50" i="374"/>
  <c r="G65" i="374" s="1"/>
  <c r="U63" i="374"/>
  <c r="G63" i="374"/>
  <c r="Y60" i="374"/>
  <c r="X60" i="374"/>
  <c r="W60" i="374"/>
  <c r="U60" i="374"/>
  <c r="R60" i="374"/>
  <c r="O60" i="374"/>
  <c r="N60" i="374"/>
  <c r="K60" i="374"/>
  <c r="J60" i="374"/>
  <c r="F60" i="374"/>
  <c r="Y56" i="374"/>
  <c r="X56" i="374"/>
  <c r="V56" i="374"/>
  <c r="U56" i="374"/>
  <c r="R56" i="374"/>
  <c r="O56" i="374"/>
  <c r="N56" i="374"/>
  <c r="K56" i="374"/>
  <c r="J56" i="374"/>
  <c r="G56" i="374"/>
  <c r="X55" i="374"/>
  <c r="W55" i="374"/>
  <c r="U55" i="374"/>
  <c r="R55" i="374"/>
  <c r="O55" i="374"/>
  <c r="N55" i="374"/>
  <c r="K55" i="374"/>
  <c r="J55" i="374"/>
  <c r="F55" i="374"/>
  <c r="Y54" i="374"/>
  <c r="Y73" i="374" s="1"/>
  <c r="Y74" i="374" s="1"/>
  <c r="X54" i="374"/>
  <c r="X73" i="374" s="1"/>
  <c r="X74" i="374" s="1"/>
  <c r="R54" i="374"/>
  <c r="R73" i="374" s="1"/>
  <c r="R74" i="374" s="1"/>
  <c r="O54" i="374"/>
  <c r="O73" i="374" s="1"/>
  <c r="O74" i="374" s="1"/>
  <c r="N54" i="374"/>
  <c r="N73" i="374" s="1"/>
  <c r="N74" i="374" s="1"/>
  <c r="K54" i="374"/>
  <c r="K73" i="374" s="1"/>
  <c r="K74" i="374" s="1"/>
  <c r="J54" i="374"/>
  <c r="J73" i="374" s="1"/>
  <c r="J74" i="374" s="1"/>
  <c r="G54" i="374"/>
  <c r="G73" i="374" s="1"/>
  <c r="G74" i="374" s="1"/>
  <c r="F54" i="374"/>
  <c r="F73" i="374" s="1"/>
  <c r="F74" i="374" s="1"/>
  <c r="F75" i="374" s="1"/>
  <c r="M49" i="374"/>
  <c r="L49" i="374"/>
  <c r="I49" i="374"/>
  <c r="H49" i="374"/>
  <c r="R45" i="374"/>
  <c r="X45" i="374" s="1"/>
  <c r="Y45" i="374" s="1"/>
  <c r="N45" i="374"/>
  <c r="J45" i="374"/>
  <c r="F45" i="374"/>
  <c r="R44" i="374"/>
  <c r="X44" i="374" s="1"/>
  <c r="Y44" i="374" s="1"/>
  <c r="N44" i="374"/>
  <c r="J44" i="374"/>
  <c r="F44" i="374"/>
  <c r="R43" i="374"/>
  <c r="N43" i="374"/>
  <c r="J43" i="374"/>
  <c r="F43" i="374"/>
  <c r="R42" i="374"/>
  <c r="S42" i="374" s="1"/>
  <c r="N42" i="374"/>
  <c r="J42" i="374"/>
  <c r="F42" i="374"/>
  <c r="R41" i="374"/>
  <c r="S41" i="374" s="1"/>
  <c r="N41" i="374"/>
  <c r="J41" i="374"/>
  <c r="F41" i="374"/>
  <c r="R40" i="374"/>
  <c r="N40" i="374"/>
  <c r="J40" i="374"/>
  <c r="F40" i="374"/>
  <c r="R39" i="374"/>
  <c r="X39" i="374" s="1"/>
  <c r="Y39" i="374" s="1"/>
  <c r="N39" i="374"/>
  <c r="J39" i="374"/>
  <c r="F39" i="374"/>
  <c r="R38" i="374"/>
  <c r="N38" i="374"/>
  <c r="J38" i="374"/>
  <c r="F38" i="374"/>
  <c r="R37" i="374"/>
  <c r="N37" i="374"/>
  <c r="J37" i="374"/>
  <c r="F37" i="374"/>
  <c r="R36" i="374"/>
  <c r="N36" i="374"/>
  <c r="J36" i="374"/>
  <c r="F36" i="374"/>
  <c r="R35" i="374"/>
  <c r="X35" i="374" s="1"/>
  <c r="Y35" i="374" s="1"/>
  <c r="N35" i="374"/>
  <c r="J35" i="374"/>
  <c r="F35" i="374"/>
  <c r="R34" i="374"/>
  <c r="S34" i="374" s="1"/>
  <c r="N34" i="374"/>
  <c r="J34" i="374"/>
  <c r="F34" i="374"/>
  <c r="R32" i="374"/>
  <c r="X32" i="374" s="1"/>
  <c r="Y32" i="374" s="1"/>
  <c r="N32" i="374"/>
  <c r="J32" i="374"/>
  <c r="F32" i="374"/>
  <c r="R31" i="374"/>
  <c r="X31" i="374" s="1"/>
  <c r="Y31" i="374" s="1"/>
  <c r="N31" i="374"/>
  <c r="J31" i="374"/>
  <c r="F31" i="374"/>
  <c r="R30" i="374"/>
  <c r="N30" i="374"/>
  <c r="J30" i="374"/>
  <c r="F30" i="374"/>
  <c r="R29" i="374"/>
  <c r="N29" i="374"/>
  <c r="J29" i="374"/>
  <c r="F29" i="374"/>
  <c r="R28" i="374"/>
  <c r="X28" i="374" s="1"/>
  <c r="N28" i="374"/>
  <c r="N53" i="374" s="1"/>
  <c r="N71" i="374" s="1"/>
  <c r="J28" i="374"/>
  <c r="J53" i="374" s="1"/>
  <c r="J71" i="374" s="1"/>
  <c r="F28" i="374"/>
  <c r="F53" i="374" s="1"/>
  <c r="F71" i="374" s="1"/>
  <c r="R27" i="374"/>
  <c r="X27" i="374" s="1"/>
  <c r="Y27" i="374" s="1"/>
  <c r="N27" i="374"/>
  <c r="J27" i="374"/>
  <c r="F27" i="374"/>
  <c r="R26" i="374"/>
  <c r="N26" i="374"/>
  <c r="J26" i="374"/>
  <c r="F26" i="374"/>
  <c r="R25" i="374"/>
  <c r="N25" i="374"/>
  <c r="J25" i="374"/>
  <c r="F25" i="374"/>
  <c r="R24" i="374"/>
  <c r="N24" i="374"/>
  <c r="J24" i="374"/>
  <c r="F24" i="374"/>
  <c r="R23" i="374"/>
  <c r="N23" i="374"/>
  <c r="J23" i="374"/>
  <c r="F23" i="374"/>
  <c r="R22" i="374"/>
  <c r="X22" i="374" s="1"/>
  <c r="Y22" i="374" s="1"/>
  <c r="N22" i="374"/>
  <c r="J22" i="374"/>
  <c r="F22" i="374"/>
  <c r="R20" i="374"/>
  <c r="R19" i="374"/>
  <c r="W19" i="374" s="1"/>
  <c r="S18" i="374"/>
  <c r="N18" i="374"/>
  <c r="N17" i="374" s="1"/>
  <c r="J18" i="374"/>
  <c r="W18" i="374" s="1"/>
  <c r="F18" i="374"/>
  <c r="F17" i="374" s="1"/>
  <c r="Y50" i="374"/>
  <c r="E25" i="187" s="1"/>
  <c r="X50" i="374"/>
  <c r="J17" i="374"/>
  <c r="R16" i="374"/>
  <c r="N16" i="374"/>
  <c r="J16" i="374"/>
  <c r="F16" i="374"/>
  <c r="R15" i="374"/>
  <c r="S15" i="374" s="1"/>
  <c r="R14" i="374"/>
  <c r="S14" i="374" s="1"/>
  <c r="N14" i="374"/>
  <c r="J14" i="374"/>
  <c r="F14" i="374"/>
  <c r="R13" i="374"/>
  <c r="S13" i="374" s="1"/>
  <c r="N13" i="374"/>
  <c r="J13" i="374"/>
  <c r="F13" i="374"/>
  <c r="Y12" i="374"/>
  <c r="X12" i="374"/>
  <c r="U12" i="374"/>
  <c r="U11" i="374" s="1"/>
  <c r="V60" i="374"/>
  <c r="G60" i="374"/>
  <c r="V55" i="374"/>
  <c r="G55" i="374"/>
  <c r="W54" i="374"/>
  <c r="W73" i="374" s="1"/>
  <c r="W74" i="374" s="1"/>
  <c r="F66" i="374"/>
  <c r="W56" i="374"/>
  <c r="F51" i="374"/>
  <c r="F67" i="374" s="1"/>
  <c r="O50" i="374"/>
  <c r="O65" i="374" s="1"/>
  <c r="K50" i="374"/>
  <c r="K65" i="374" s="1"/>
  <c r="G52" i="374"/>
  <c r="I9" i="373"/>
  <c r="P9" i="373"/>
  <c r="W9" i="373"/>
  <c r="AD9" i="373"/>
  <c r="AK9" i="373"/>
  <c r="AR9" i="373"/>
  <c r="I10" i="373"/>
  <c r="P10" i="373"/>
  <c r="W10" i="373"/>
  <c r="AD10" i="373"/>
  <c r="AK10" i="373"/>
  <c r="AR10" i="373"/>
  <c r="I11" i="373"/>
  <c r="P11" i="373"/>
  <c r="W11" i="373"/>
  <c r="AD11" i="373"/>
  <c r="AK11" i="373"/>
  <c r="AR11" i="373"/>
  <c r="I12" i="373"/>
  <c r="P12" i="373"/>
  <c r="W12" i="373"/>
  <c r="AD12" i="373"/>
  <c r="AK12" i="373"/>
  <c r="AR12" i="373"/>
  <c r="I13" i="373"/>
  <c r="I14" i="373"/>
  <c r="P14" i="373"/>
  <c r="W14" i="373"/>
  <c r="AD14" i="373"/>
  <c r="AK14" i="373"/>
  <c r="AR14" i="373"/>
  <c r="I15" i="373"/>
  <c r="P15" i="373"/>
  <c r="W15" i="373"/>
  <c r="AD15" i="373"/>
  <c r="AK15" i="373"/>
  <c r="AR15" i="373"/>
  <c r="I16" i="373"/>
  <c r="P16" i="373"/>
  <c r="W16" i="373"/>
  <c r="AD16" i="373"/>
  <c r="AK16" i="373"/>
  <c r="AR16" i="373"/>
  <c r="W17" i="373"/>
  <c r="AD17" i="373"/>
  <c r="AK17" i="373"/>
  <c r="AR17" i="373"/>
  <c r="I18" i="373"/>
  <c r="P18" i="373"/>
  <c r="W18" i="373"/>
  <c r="AD18" i="373"/>
  <c r="AK18" i="373"/>
  <c r="AR18" i="373"/>
  <c r="P19" i="373"/>
  <c r="W19" i="373"/>
  <c r="AD19" i="373"/>
  <c r="AK19" i="373"/>
  <c r="AR19" i="373"/>
  <c r="W20" i="373"/>
  <c r="I21" i="373"/>
  <c r="I22" i="373"/>
  <c r="AA9" i="377" l="1"/>
  <c r="Z9" i="377"/>
  <c r="AD9" i="377" s="1"/>
  <c r="D25" i="187"/>
  <c r="U68" i="374"/>
  <c r="V18" i="374"/>
  <c r="W35" i="374"/>
  <c r="W41" i="374"/>
  <c r="X41" i="374"/>
  <c r="Y41" i="374" s="1"/>
  <c r="N12" i="374"/>
  <c r="S28" i="374"/>
  <c r="S53" i="374" s="1"/>
  <c r="W27" i="374"/>
  <c r="X42" i="374"/>
  <c r="Y42" i="374" s="1"/>
  <c r="W16" i="374"/>
  <c r="V32" i="374"/>
  <c r="S35" i="374"/>
  <c r="W42" i="374"/>
  <c r="Y28" i="374"/>
  <c r="Y53" i="374" s="1"/>
  <c r="Y71" i="374" s="1"/>
  <c r="X53" i="374"/>
  <c r="X71" i="374" s="1"/>
  <c r="V29" i="374"/>
  <c r="W29" i="374"/>
  <c r="S29" i="374"/>
  <c r="R12" i="374"/>
  <c r="R52" i="374" s="1"/>
  <c r="W20" i="374"/>
  <c r="R17" i="374"/>
  <c r="X29" i="374"/>
  <c r="Y29" i="374" s="1"/>
  <c r="S30" i="374"/>
  <c r="X30" i="374"/>
  <c r="Y30" i="374" s="1"/>
  <c r="X23" i="374"/>
  <c r="Y23" i="374" s="1"/>
  <c r="S23" i="374"/>
  <c r="V30" i="374"/>
  <c r="S39" i="374"/>
  <c r="X40" i="374"/>
  <c r="Y40" i="374" s="1"/>
  <c r="S40" i="374"/>
  <c r="X43" i="374"/>
  <c r="Y43" i="374" s="1"/>
  <c r="S43" i="374"/>
  <c r="N50" i="374"/>
  <c r="N65" i="374" s="1"/>
  <c r="Y63" i="374"/>
  <c r="N33" i="374"/>
  <c r="V16" i="374"/>
  <c r="W30" i="374"/>
  <c r="W39" i="374"/>
  <c r="W43" i="374"/>
  <c r="V45" i="374"/>
  <c r="W14" i="374"/>
  <c r="S16" i="374"/>
  <c r="V19" i="374"/>
  <c r="N21" i="374"/>
  <c r="W23" i="374"/>
  <c r="F21" i="374"/>
  <c r="S27" i="374"/>
  <c r="S31" i="374"/>
  <c r="X34" i="374"/>
  <c r="Y34" i="374" s="1"/>
  <c r="V40" i="374"/>
  <c r="V41" i="374"/>
  <c r="V42" i="374"/>
  <c r="V44" i="374"/>
  <c r="W45" i="374"/>
  <c r="G68" i="374"/>
  <c r="G49" i="374"/>
  <c r="F56" i="374"/>
  <c r="W66" i="374"/>
  <c r="R66" i="374"/>
  <c r="V66" i="374"/>
  <c r="W17" i="374"/>
  <c r="W50" i="374" s="1"/>
  <c r="V25" i="374"/>
  <c r="X25" i="374"/>
  <c r="Y25" i="374" s="1"/>
  <c r="W25" i="374"/>
  <c r="S25" i="374"/>
  <c r="S38" i="374"/>
  <c r="X38" i="374"/>
  <c r="Y38" i="374" s="1"/>
  <c r="W38" i="374"/>
  <c r="V38" i="374"/>
  <c r="F50" i="374"/>
  <c r="F65" i="374" s="1"/>
  <c r="S26" i="374"/>
  <c r="X26" i="374"/>
  <c r="Y26" i="374" s="1"/>
  <c r="W26" i="374"/>
  <c r="V26" i="374"/>
  <c r="F33" i="374"/>
  <c r="K52" i="374"/>
  <c r="K68" i="374" s="1"/>
  <c r="F12" i="374"/>
  <c r="W36" i="374"/>
  <c r="X36" i="374"/>
  <c r="Y36" i="374" s="1"/>
  <c r="V36" i="374"/>
  <c r="S36" i="374"/>
  <c r="R33" i="374"/>
  <c r="V43" i="374"/>
  <c r="U65" i="374"/>
  <c r="V54" i="374"/>
  <c r="V73" i="374" s="1"/>
  <c r="V74" i="374" s="1"/>
  <c r="W24" i="374"/>
  <c r="X24" i="374"/>
  <c r="Y24" i="374" s="1"/>
  <c r="V24" i="374"/>
  <c r="S24" i="374"/>
  <c r="W31" i="374"/>
  <c r="J21" i="374"/>
  <c r="V31" i="374"/>
  <c r="V37" i="374"/>
  <c r="X37" i="374"/>
  <c r="Y37" i="374" s="1"/>
  <c r="W37" i="374"/>
  <c r="S37" i="374"/>
  <c r="J12" i="374"/>
  <c r="V13" i="374"/>
  <c r="S22" i="374"/>
  <c r="R21" i="374"/>
  <c r="V27" i="374"/>
  <c r="V28" i="374"/>
  <c r="V53" i="374" s="1"/>
  <c r="V71" i="374" s="1"/>
  <c r="V39" i="374"/>
  <c r="W13" i="374"/>
  <c r="V15" i="374"/>
  <c r="S20" i="374"/>
  <c r="V22" i="374"/>
  <c r="V23" i="374"/>
  <c r="W32" i="374"/>
  <c r="V34" i="374"/>
  <c r="V35" i="374"/>
  <c r="W44" i="374"/>
  <c r="J50" i="374"/>
  <c r="J65" i="374" s="1"/>
  <c r="O52" i="374"/>
  <c r="O68" i="374" s="1"/>
  <c r="V14" i="374"/>
  <c r="W15" i="374"/>
  <c r="S19" i="374"/>
  <c r="V20" i="374"/>
  <c r="W22" i="374"/>
  <c r="R53" i="374"/>
  <c r="R71" i="374" s="1"/>
  <c r="W28" i="374"/>
  <c r="W53" i="374" s="1"/>
  <c r="W71" i="374" s="1"/>
  <c r="S32" i="374"/>
  <c r="J33" i="374"/>
  <c r="W34" i="374"/>
  <c r="W40" i="374"/>
  <c r="S44" i="374"/>
  <c r="S45" i="374"/>
  <c r="U54" i="374"/>
  <c r="U73" i="374" s="1"/>
  <c r="U74" i="374" s="1"/>
  <c r="W23" i="373"/>
  <c r="I23" i="373"/>
  <c r="AK23" i="373"/>
  <c r="D30" i="151" s="1"/>
  <c r="AD23" i="373"/>
  <c r="C30" i="151" s="1"/>
  <c r="P23" i="373"/>
  <c r="AR23" i="373"/>
  <c r="E30" i="151" s="1"/>
  <c r="X52" i="374" l="1"/>
  <c r="AC6" i="377"/>
  <c r="S17" i="374"/>
  <c r="S50" i="374" s="1"/>
  <c r="R50" i="374"/>
  <c r="V17" i="374"/>
  <c r="V50" i="374" s="1"/>
  <c r="N52" i="374"/>
  <c r="N68" i="374" s="1"/>
  <c r="J52" i="374"/>
  <c r="J68" i="374" s="1"/>
  <c r="N11" i="374"/>
  <c r="F52" i="374"/>
  <c r="F68" i="374" s="1"/>
  <c r="R11" i="374"/>
  <c r="S11" i="374" s="1"/>
  <c r="R68" i="374"/>
  <c r="S12" i="374"/>
  <c r="Y33" i="374"/>
  <c r="Y11" i="374" s="1"/>
  <c r="V33" i="374"/>
  <c r="W33" i="374"/>
  <c r="S33" i="374"/>
  <c r="V12" i="374"/>
  <c r="J11" i="374"/>
  <c r="X33" i="374"/>
  <c r="X11" i="374" s="1"/>
  <c r="F11" i="374"/>
  <c r="X65" i="374"/>
  <c r="S21" i="374"/>
  <c r="W21" i="374"/>
  <c r="V21" i="374"/>
  <c r="W12" i="374"/>
  <c r="W52" i="374" s="1"/>
  <c r="W49" i="374" s="1"/>
  <c r="AF25" i="372"/>
  <c r="AF24" i="372"/>
  <c r="AF22" i="372"/>
  <c r="AF31" i="372"/>
  <c r="U31" i="372"/>
  <c r="AF30" i="372"/>
  <c r="U30" i="372"/>
  <c r="Z29" i="372"/>
  <c r="O29" i="372"/>
  <c r="P29" i="372" s="1"/>
  <c r="Z28" i="372"/>
  <c r="O28" i="372"/>
  <c r="P28" i="372" s="1"/>
  <c r="AK27" i="372"/>
  <c r="AI27" i="372"/>
  <c r="AH27" i="372"/>
  <c r="AG27" i="372"/>
  <c r="AF27" i="372"/>
  <c r="AD27" i="372"/>
  <c r="AC27" i="372"/>
  <c r="AB27" i="372"/>
  <c r="X27" i="372"/>
  <c r="W27" i="372"/>
  <c r="V27" i="372"/>
  <c r="S27" i="372"/>
  <c r="R27" i="372"/>
  <c r="Q27" i="372"/>
  <c r="O27" i="372"/>
  <c r="N27" i="372"/>
  <c r="M27" i="372"/>
  <c r="L27" i="372"/>
  <c r="AK25" i="372"/>
  <c r="AK16" i="372" s="1"/>
  <c r="AJ16" i="372" s="1"/>
  <c r="Z25" i="372"/>
  <c r="AK24" i="372"/>
  <c r="Z24" i="372"/>
  <c r="O24" i="372"/>
  <c r="P24" i="372" s="1"/>
  <c r="AK22" i="372"/>
  <c r="Z22" i="372"/>
  <c r="O22" i="372"/>
  <c r="P22" i="372" s="1"/>
  <c r="AI16" i="372"/>
  <c r="AH16" i="372"/>
  <c r="AG16" i="372"/>
  <c r="AD16" i="372"/>
  <c r="AC16" i="372"/>
  <c r="AB16" i="372"/>
  <c r="X16" i="372"/>
  <c r="W16" i="372"/>
  <c r="V16" i="372"/>
  <c r="U16" i="372"/>
  <c r="S16" i="372"/>
  <c r="R16" i="372"/>
  <c r="Q16" i="372"/>
  <c r="O16" i="372"/>
  <c r="N16" i="372"/>
  <c r="M16" i="372"/>
  <c r="L16" i="372"/>
  <c r="AK9" i="372"/>
  <c r="AI9" i="372"/>
  <c r="AH9" i="372"/>
  <c r="AG9" i="372"/>
  <c r="AF9" i="372"/>
  <c r="AD9" i="372"/>
  <c r="AC9" i="372"/>
  <c r="AB9" i="372"/>
  <c r="Z9" i="372"/>
  <c r="X9" i="372"/>
  <c r="X36" i="372" s="1"/>
  <c r="W9" i="372"/>
  <c r="W36" i="372" s="1"/>
  <c r="V9" i="372"/>
  <c r="U9" i="372"/>
  <c r="S9" i="372"/>
  <c r="R9" i="372"/>
  <c r="Q9" i="372"/>
  <c r="M9" i="372"/>
  <c r="L9" i="372"/>
  <c r="Q36" i="372" l="1"/>
  <c r="V36" i="372"/>
  <c r="AC36" i="372"/>
  <c r="V52" i="374"/>
  <c r="V49" i="374" s="1"/>
  <c r="D29" i="187"/>
  <c r="X49" i="374"/>
  <c r="AI36" i="372"/>
  <c r="AG36" i="372"/>
  <c r="Z16" i="372"/>
  <c r="Y16" i="372" s="1"/>
  <c r="AJ27" i="372"/>
  <c r="S52" i="374"/>
  <c r="C29" i="187" s="1"/>
  <c r="R65" i="374"/>
  <c r="R49" i="374"/>
  <c r="Y52" i="374"/>
  <c r="AH36" i="372"/>
  <c r="P27" i="372"/>
  <c r="U27" i="372"/>
  <c r="AF16" i="372"/>
  <c r="AE16" i="372" s="1"/>
  <c r="C25" i="187"/>
  <c r="Y68" i="374"/>
  <c r="W68" i="374"/>
  <c r="W11" i="374"/>
  <c r="X68" i="374"/>
  <c r="V11" i="374"/>
  <c r="V65" i="374"/>
  <c r="Y65" i="374"/>
  <c r="K63" i="374"/>
  <c r="K49" i="374"/>
  <c r="W65" i="374"/>
  <c r="J63" i="374"/>
  <c r="J49" i="374"/>
  <c r="F63" i="374"/>
  <c r="F49" i="374"/>
  <c r="N63" i="374"/>
  <c r="N49" i="374"/>
  <c r="O63" i="374"/>
  <c r="O49" i="374"/>
  <c r="AD36" i="372"/>
  <c r="P16" i="372"/>
  <c r="P36" i="372" s="1"/>
  <c r="L36" i="372"/>
  <c r="S36" i="372"/>
  <c r="R36" i="372"/>
  <c r="T27" i="372"/>
  <c r="M36" i="372"/>
  <c r="Y9" i="372"/>
  <c r="AF36" i="372"/>
  <c r="D27" i="151" s="1"/>
  <c r="AJ9" i="372"/>
  <c r="N36" i="372"/>
  <c r="Z27" i="372"/>
  <c r="Y27" i="372" s="1"/>
  <c r="AB36" i="372"/>
  <c r="T16" i="372"/>
  <c r="AE27" i="372"/>
  <c r="AK36" i="372"/>
  <c r="E27" i="151" s="1"/>
  <c r="U36" i="372"/>
  <c r="T9" i="372"/>
  <c r="AE9" i="372"/>
  <c r="T84" i="374" l="1"/>
  <c r="E29" i="187"/>
  <c r="Y49" i="374"/>
  <c r="S49" i="374"/>
  <c r="V68" i="374"/>
  <c r="Z36" i="372"/>
  <c r="C27" i="151" s="1"/>
  <c r="W63" i="374"/>
  <c r="V63" i="374"/>
  <c r="R63" i="374"/>
  <c r="X63" i="374"/>
  <c r="AA19" i="371"/>
  <c r="Z19" i="371"/>
  <c r="Y19" i="371"/>
  <c r="V19" i="371"/>
  <c r="AA18" i="371"/>
  <c r="Z18" i="371"/>
  <c r="Y18" i="371"/>
  <c r="V18" i="371"/>
  <c r="T18" i="371"/>
  <c r="P18" i="371"/>
  <c r="N18" i="371"/>
  <c r="J18" i="371"/>
  <c r="AA17" i="371"/>
  <c r="Z17" i="371"/>
  <c r="Y17" i="371"/>
  <c r="V17" i="371"/>
  <c r="T17" i="371"/>
  <c r="P17" i="371"/>
  <c r="N17" i="371"/>
  <c r="J17" i="371"/>
  <c r="AA16" i="371"/>
  <c r="Z16" i="371"/>
  <c r="Y16" i="371"/>
  <c r="V16" i="371"/>
  <c r="T16" i="371"/>
  <c r="P16" i="371"/>
  <c r="N16" i="371"/>
  <c r="J16" i="371"/>
  <c r="AA15" i="371"/>
  <c r="Z15" i="371"/>
  <c r="Y15" i="371"/>
  <c r="V15" i="371"/>
  <c r="T15" i="371"/>
  <c r="P15" i="371"/>
  <c r="N15" i="371"/>
  <c r="J15" i="371"/>
  <c r="AA14" i="371"/>
  <c r="Z14" i="371"/>
  <c r="Y14" i="371"/>
  <c r="V14" i="371"/>
  <c r="T14" i="371"/>
  <c r="P14" i="371"/>
  <c r="N14" i="371"/>
  <c r="J14" i="371"/>
  <c r="AA13" i="371"/>
  <c r="Z13" i="371"/>
  <c r="Y13" i="371"/>
  <c r="V13" i="371"/>
  <c r="T13" i="371"/>
  <c r="P13" i="371"/>
  <c r="N13" i="371"/>
  <c r="J13" i="371"/>
  <c r="AA12" i="371"/>
  <c r="Z12" i="371"/>
  <c r="Y12" i="371"/>
  <c r="V12" i="371"/>
  <c r="T12" i="371"/>
  <c r="P12" i="371"/>
  <c r="N12" i="371"/>
  <c r="J12" i="371"/>
  <c r="AA11" i="371"/>
  <c r="Z11" i="371"/>
  <c r="Y11" i="371"/>
  <c r="V11" i="371"/>
  <c r="V10" i="371" s="1"/>
  <c r="V20" i="371" s="1"/>
  <c r="T11" i="371"/>
  <c r="P11" i="371"/>
  <c r="P10" i="371" s="1"/>
  <c r="P20" i="371" s="1"/>
  <c r="N11" i="371"/>
  <c r="N10" i="371" s="1"/>
  <c r="N20" i="371" s="1"/>
  <c r="J11" i="371"/>
  <c r="J10" i="371" s="1"/>
  <c r="J20" i="371" s="1"/>
  <c r="AC10" i="371"/>
  <c r="AC20" i="371" s="1"/>
  <c r="AB10" i="371"/>
  <c r="AB20" i="371" s="1"/>
  <c r="X10" i="371"/>
  <c r="W10" i="371"/>
  <c r="U10" i="371"/>
  <c r="U20" i="371" s="1"/>
  <c r="S10" i="371"/>
  <c r="S20" i="371" s="1"/>
  <c r="R10" i="371"/>
  <c r="R20" i="371" s="1"/>
  <c r="Q10" i="371"/>
  <c r="Q20" i="371" s="1"/>
  <c r="O10" i="371"/>
  <c r="O20" i="371" s="1"/>
  <c r="M10" i="371"/>
  <c r="M20" i="371" s="1"/>
  <c r="L10" i="371"/>
  <c r="L20" i="371" s="1"/>
  <c r="K10" i="371"/>
  <c r="K20" i="371" s="1"/>
  <c r="I10" i="371"/>
  <c r="I20" i="371" s="1"/>
  <c r="H10" i="371"/>
  <c r="H20" i="371" s="1"/>
  <c r="G10" i="371"/>
  <c r="G20" i="371" s="1"/>
  <c r="F10" i="371"/>
  <c r="F20" i="371" s="1"/>
  <c r="E10" i="371"/>
  <c r="E20" i="371" s="1"/>
  <c r="D10" i="371"/>
  <c r="D20" i="371" s="1"/>
  <c r="C10" i="371"/>
  <c r="C20" i="371" s="1"/>
  <c r="T10" i="371" l="1"/>
  <c r="T20" i="371" s="1"/>
  <c r="Y10" i="371"/>
  <c r="AA10" i="371"/>
  <c r="X20" i="371"/>
  <c r="W20" i="371"/>
  <c r="Z10" i="371"/>
  <c r="AA20" i="371" l="1"/>
  <c r="Y20" i="371"/>
  <c r="Z20" i="371"/>
  <c r="Y26" i="370" l="1"/>
  <c r="X26" i="370"/>
  <c r="F26" i="370"/>
  <c r="G26" i="370" s="1"/>
  <c r="Y25" i="370"/>
  <c r="X25" i="370"/>
  <c r="F25" i="370"/>
  <c r="G25" i="370" s="1"/>
  <c r="Y24" i="370"/>
  <c r="X24" i="370"/>
  <c r="F24" i="370"/>
  <c r="G24" i="370" s="1"/>
  <c r="Y23" i="370"/>
  <c r="X23" i="370"/>
  <c r="F23" i="370"/>
  <c r="G23" i="370" s="1"/>
  <c r="Y22" i="370"/>
  <c r="X22" i="370"/>
  <c r="K22" i="370"/>
  <c r="F22" i="370"/>
  <c r="G22" i="370" s="1"/>
  <c r="AA21" i="370"/>
  <c r="Z21" i="370"/>
  <c r="W21" i="370"/>
  <c r="V21" i="370"/>
  <c r="U21" i="370"/>
  <c r="T21" i="370"/>
  <c r="S21" i="370"/>
  <c r="R21" i="370"/>
  <c r="Q21" i="370"/>
  <c r="P21" i="370"/>
  <c r="O21" i="370"/>
  <c r="N21" i="370"/>
  <c r="M21" i="370"/>
  <c r="J21" i="370"/>
  <c r="I21" i="370"/>
  <c r="H21" i="370"/>
  <c r="E21" i="370"/>
  <c r="D21" i="370"/>
  <c r="C21" i="370"/>
  <c r="Y20" i="370"/>
  <c r="X20" i="370"/>
  <c r="K20" i="370"/>
  <c r="L20" i="370" s="1"/>
  <c r="Y19" i="370"/>
  <c r="X19" i="370"/>
  <c r="K19" i="370"/>
  <c r="L19" i="370" s="1"/>
  <c r="Y18" i="370"/>
  <c r="X18" i="370"/>
  <c r="K18" i="370"/>
  <c r="L18" i="370" s="1"/>
  <c r="Y17" i="370"/>
  <c r="X17" i="370"/>
  <c r="K17" i="370"/>
  <c r="L17" i="370" s="1"/>
  <c r="Y16" i="370"/>
  <c r="X16" i="370"/>
  <c r="K16" i="370"/>
  <c r="U15" i="370"/>
  <c r="X14" i="370"/>
  <c r="U14" i="370"/>
  <c r="Z14" i="370" s="1"/>
  <c r="AA14" i="370" s="1"/>
  <c r="U13" i="370"/>
  <c r="U12" i="370"/>
  <c r="U11" i="370"/>
  <c r="V10" i="370"/>
  <c r="T10" i="370"/>
  <c r="S10" i="370"/>
  <c r="R10" i="370"/>
  <c r="Q10" i="370"/>
  <c r="P10" i="370"/>
  <c r="O10" i="370"/>
  <c r="N10" i="370"/>
  <c r="M10" i="370"/>
  <c r="J10" i="370"/>
  <c r="J8" i="370" s="1"/>
  <c r="I10" i="370"/>
  <c r="H10" i="370"/>
  <c r="G10" i="370"/>
  <c r="F10" i="370"/>
  <c r="E10" i="370"/>
  <c r="E8" i="370" s="1"/>
  <c r="D10" i="370"/>
  <c r="C10" i="370"/>
  <c r="Y9" i="370"/>
  <c r="X9" i="370"/>
  <c r="H8" i="370" l="1"/>
  <c r="R8" i="370"/>
  <c r="W14" i="370"/>
  <c r="K10" i="370"/>
  <c r="D8" i="370"/>
  <c r="P8" i="370"/>
  <c r="I8" i="370"/>
  <c r="O8" i="370"/>
  <c r="S8" i="370"/>
  <c r="L16" i="370"/>
  <c r="L10" i="370" s="1"/>
  <c r="X21" i="370"/>
  <c r="T8" i="370"/>
  <c r="C8" i="370"/>
  <c r="M8" i="370"/>
  <c r="Q8" i="370"/>
  <c r="N8" i="370"/>
  <c r="V8" i="370"/>
  <c r="X12" i="370"/>
  <c r="W12" i="370"/>
  <c r="X13" i="370"/>
  <c r="Z13" i="370"/>
  <c r="X15" i="370"/>
  <c r="W15" i="370"/>
  <c r="Z15" i="370"/>
  <c r="AA15" i="370" s="1"/>
  <c r="Y21" i="370"/>
  <c r="X11" i="370"/>
  <c r="W11" i="370"/>
  <c r="U10" i="370"/>
  <c r="U8" i="370" s="1"/>
  <c r="W13" i="370"/>
  <c r="F21" i="370"/>
  <c r="F8" i="370" s="1"/>
  <c r="L22" i="370"/>
  <c r="L21" i="370" s="1"/>
  <c r="K21" i="370"/>
  <c r="K8" i="370" s="1"/>
  <c r="G21" i="370"/>
  <c r="G8" i="370" s="1"/>
  <c r="L8" i="370" l="1"/>
  <c r="Z10" i="370"/>
  <c r="AA13" i="370"/>
  <c r="AA10" i="370" s="1"/>
  <c r="Y10" i="370"/>
  <c r="Y8" i="370" s="1"/>
  <c r="W10" i="370"/>
  <c r="W8" i="370" s="1"/>
  <c r="X10" i="370"/>
  <c r="X8" i="370" s="1"/>
  <c r="AA8" i="370" l="1"/>
  <c r="Z8" i="370"/>
  <c r="N18" i="369" l="1"/>
  <c r="M18" i="369"/>
  <c r="J18" i="369"/>
  <c r="I18" i="369"/>
  <c r="N17" i="369"/>
  <c r="M17" i="369"/>
  <c r="J17" i="369"/>
  <c r="I17" i="369"/>
  <c r="N16" i="369"/>
  <c r="M16" i="369"/>
  <c r="J16" i="369"/>
  <c r="I16" i="369"/>
  <c r="N15" i="369"/>
  <c r="M15" i="369"/>
  <c r="J15" i="369"/>
  <c r="I15" i="369"/>
  <c r="N14" i="369"/>
  <c r="M14" i="369"/>
  <c r="J14" i="369"/>
  <c r="I14" i="369"/>
  <c r="N13" i="369"/>
  <c r="M13" i="369"/>
  <c r="J13" i="369"/>
  <c r="I13" i="369"/>
  <c r="R12" i="369"/>
  <c r="R8" i="369" s="1"/>
  <c r="Q12" i="369"/>
  <c r="Q8" i="369" s="1"/>
  <c r="P12" i="369"/>
  <c r="P8" i="369" s="1"/>
  <c r="O12" i="369"/>
  <c r="O8" i="369" s="1"/>
  <c r="L12" i="369"/>
  <c r="L8" i="369" s="1"/>
  <c r="N8" i="369" s="1"/>
  <c r="K12" i="369"/>
  <c r="K8" i="369" s="1"/>
  <c r="H12" i="369"/>
  <c r="J12" i="369" s="1"/>
  <c r="G12" i="369"/>
  <c r="I12" i="369" s="1"/>
  <c r="F12" i="369"/>
  <c r="F8" i="369" s="1"/>
  <c r="E12" i="369"/>
  <c r="E8" i="369" s="1"/>
  <c r="D12" i="369"/>
  <c r="D8" i="369" s="1"/>
  <c r="C12" i="369"/>
  <c r="C8" i="369" s="1"/>
  <c r="N11" i="369"/>
  <c r="M11" i="369"/>
  <c r="J11" i="369"/>
  <c r="I11" i="369"/>
  <c r="N10" i="369"/>
  <c r="M10" i="369"/>
  <c r="J10" i="369"/>
  <c r="I10" i="369"/>
  <c r="N9" i="369"/>
  <c r="M9" i="369"/>
  <c r="J9" i="369"/>
  <c r="I9" i="369"/>
  <c r="J8" i="369"/>
  <c r="G8" i="369" l="1"/>
  <c r="I8" i="369" s="1"/>
  <c r="M12" i="369"/>
  <c r="M8" i="369"/>
  <c r="N12" i="369"/>
  <c r="R427" i="368" l="1"/>
  <c r="V116" i="368"/>
  <c r="V35" i="368"/>
  <c r="V330" i="368"/>
  <c r="Y394" i="368"/>
  <c r="V394" i="368"/>
  <c r="Y381" i="368"/>
  <c r="V381" i="368"/>
  <c r="R116" i="368"/>
  <c r="X429" i="368"/>
  <c r="W429" i="368"/>
  <c r="U429" i="368"/>
  <c r="T429" i="368"/>
  <c r="P429" i="368"/>
  <c r="O429" i="368"/>
  <c r="M429" i="368"/>
  <c r="L429" i="368"/>
  <c r="J429" i="368"/>
  <c r="I429" i="368"/>
  <c r="N427" i="368"/>
  <c r="K427" i="368"/>
  <c r="H427" i="368"/>
  <c r="S426" i="368"/>
  <c r="AA417" i="368"/>
  <c r="Z417" i="368"/>
  <c r="R417" i="368"/>
  <c r="H417" i="368"/>
  <c r="AA416" i="368"/>
  <c r="Z416" i="368"/>
  <c r="Y416" i="368"/>
  <c r="V416" i="368"/>
  <c r="V415" i="368" s="1"/>
  <c r="V414" i="368" s="1"/>
  <c r="R416" i="368"/>
  <c r="H416" i="368"/>
  <c r="Y415" i="368"/>
  <c r="Q415" i="368"/>
  <c r="N415" i="368"/>
  <c r="K415" i="368"/>
  <c r="K414" i="368" s="1"/>
  <c r="K413" i="368" s="1"/>
  <c r="Y414" i="368"/>
  <c r="Y413" i="368" s="1"/>
  <c r="V413" i="368"/>
  <c r="Q411" i="368"/>
  <c r="R411" i="368" s="1"/>
  <c r="Q410" i="368"/>
  <c r="R410" i="368" s="1"/>
  <c r="Q409" i="368"/>
  <c r="R409" i="368" s="1"/>
  <c r="Q408" i="368"/>
  <c r="R408" i="368" s="1"/>
  <c r="Q407" i="368"/>
  <c r="R407" i="368" s="1"/>
  <c r="R403" i="368"/>
  <c r="Q403" i="368"/>
  <c r="Q402" i="368"/>
  <c r="R402" i="368" s="1"/>
  <c r="Q401" i="368"/>
  <c r="R401" i="368" s="1"/>
  <c r="Q400" i="368"/>
  <c r="R400" i="368" s="1"/>
  <c r="Q399" i="368"/>
  <c r="R399" i="368" s="1"/>
  <c r="Y396" i="368"/>
  <c r="V396" i="368"/>
  <c r="Q396" i="368"/>
  <c r="N396" i="368"/>
  <c r="K396" i="368"/>
  <c r="H396" i="368"/>
  <c r="Y395" i="368"/>
  <c r="V395" i="368"/>
  <c r="Q395" i="368"/>
  <c r="Z395" i="368" s="1"/>
  <c r="H395" i="368"/>
  <c r="Q394" i="368"/>
  <c r="R394" i="368" s="1"/>
  <c r="N394" i="368"/>
  <c r="K394" i="368"/>
  <c r="H394" i="368"/>
  <c r="Z393" i="368"/>
  <c r="Y393" i="368"/>
  <c r="V393" i="368"/>
  <c r="Q393" i="368"/>
  <c r="N393" i="368"/>
  <c r="K393" i="368"/>
  <c r="H393" i="368"/>
  <c r="R392" i="368"/>
  <c r="N392" i="368"/>
  <c r="K392" i="368"/>
  <c r="AA392" i="368" s="1"/>
  <c r="H392" i="368"/>
  <c r="R391" i="368"/>
  <c r="N391" i="368"/>
  <c r="K391" i="368"/>
  <c r="H391" i="368"/>
  <c r="Y390" i="368"/>
  <c r="V390" i="368"/>
  <c r="Q390" i="368"/>
  <c r="AA390" i="368" s="1"/>
  <c r="N390" i="368"/>
  <c r="K390" i="368"/>
  <c r="H390" i="368"/>
  <c r="AA389" i="368"/>
  <c r="Z389" i="368"/>
  <c r="R389" i="368"/>
  <c r="H389" i="368"/>
  <c r="Y388" i="368"/>
  <c r="V388" i="368"/>
  <c r="Q388" i="368"/>
  <c r="N388" i="368"/>
  <c r="K388" i="368"/>
  <c r="H388" i="368"/>
  <c r="AA386" i="368"/>
  <c r="Z386" i="368"/>
  <c r="R386" i="368"/>
  <c r="R385" i="368"/>
  <c r="N385" i="368"/>
  <c r="K385" i="368"/>
  <c r="AA384" i="368"/>
  <c r="Z384" i="368"/>
  <c r="R384" i="368"/>
  <c r="H384" i="368"/>
  <c r="R383" i="368"/>
  <c r="N383" i="368"/>
  <c r="K383" i="368"/>
  <c r="H383" i="368"/>
  <c r="R382" i="368"/>
  <c r="N382" i="368"/>
  <c r="K382" i="368"/>
  <c r="AA382" i="368" s="1"/>
  <c r="H382" i="368"/>
  <c r="Q381" i="368"/>
  <c r="R381" i="368" s="1"/>
  <c r="AA379" i="368"/>
  <c r="Z379" i="368"/>
  <c r="Y379" i="368"/>
  <c r="V379" i="368"/>
  <c r="R379" i="368"/>
  <c r="Y378" i="368"/>
  <c r="V378" i="368"/>
  <c r="Q378" i="368"/>
  <c r="Y375" i="368"/>
  <c r="V375" i="368"/>
  <c r="Q375" i="368"/>
  <c r="R375" i="368" s="1"/>
  <c r="N375" i="368"/>
  <c r="K375" i="368"/>
  <c r="H375" i="368"/>
  <c r="Y374" i="368"/>
  <c r="V374" i="368"/>
  <c r="Q374" i="368"/>
  <c r="N374" i="368"/>
  <c r="K374" i="368"/>
  <c r="H374" i="368"/>
  <c r="Y373" i="368"/>
  <c r="V373" i="368"/>
  <c r="Q373" i="368"/>
  <c r="R373" i="368" s="1"/>
  <c r="N373" i="368"/>
  <c r="K373" i="368"/>
  <c r="H373" i="368"/>
  <c r="Y371" i="368"/>
  <c r="V371" i="368"/>
  <c r="Q371" i="368"/>
  <c r="N371" i="368"/>
  <c r="K371" i="368"/>
  <c r="H371" i="368"/>
  <c r="Y370" i="368"/>
  <c r="V370" i="368"/>
  <c r="Q370" i="368"/>
  <c r="N370" i="368"/>
  <c r="K370" i="368"/>
  <c r="H370" i="368"/>
  <c r="Y368" i="368"/>
  <c r="V368" i="368"/>
  <c r="Q368" i="368"/>
  <c r="Z368" i="368" s="1"/>
  <c r="Y367" i="368"/>
  <c r="V367" i="368"/>
  <c r="Q367" i="368"/>
  <c r="Z367" i="368" s="1"/>
  <c r="R366" i="368"/>
  <c r="N366" i="368"/>
  <c r="K366" i="368"/>
  <c r="Z366" i="368" s="1"/>
  <c r="Y365" i="368"/>
  <c r="V365" i="368"/>
  <c r="Q365" i="368"/>
  <c r="N365" i="368"/>
  <c r="K365" i="368"/>
  <c r="H365" i="368"/>
  <c r="Y364" i="368"/>
  <c r="V364" i="368"/>
  <c r="Q364" i="368"/>
  <c r="N364" i="368"/>
  <c r="K364" i="368"/>
  <c r="H364" i="368"/>
  <c r="Y363" i="368"/>
  <c r="V363" i="368"/>
  <c r="Q363" i="368"/>
  <c r="N363" i="368"/>
  <c r="K363" i="368"/>
  <c r="H363" i="368"/>
  <c r="Y361" i="368"/>
  <c r="V361" i="368"/>
  <c r="Q361" i="368"/>
  <c r="Z361" i="368" s="1"/>
  <c r="AA360" i="368"/>
  <c r="Z360" i="368"/>
  <c r="Y360" i="368"/>
  <c r="V360" i="368"/>
  <c r="R360" i="368"/>
  <c r="AA358" i="368"/>
  <c r="Z358" i="368"/>
  <c r="R358" i="368"/>
  <c r="H358" i="368"/>
  <c r="Y357" i="368"/>
  <c r="Y356" i="368" s="1"/>
  <c r="V357" i="368"/>
  <c r="V356" i="368" s="1"/>
  <c r="Q357" i="368"/>
  <c r="R357" i="368" s="1"/>
  <c r="N357" i="368"/>
  <c r="N356" i="368" s="1"/>
  <c r="K357" i="368"/>
  <c r="K356" i="368" s="1"/>
  <c r="H357" i="368"/>
  <c r="Q356" i="368"/>
  <c r="R356" i="368" s="1"/>
  <c r="R352" i="368"/>
  <c r="N352" i="368"/>
  <c r="K352" i="368"/>
  <c r="H352" i="368"/>
  <c r="Y351" i="368"/>
  <c r="Y350" i="368" s="1"/>
  <c r="V351" i="368"/>
  <c r="V350" i="368" s="1"/>
  <c r="Q351" i="368"/>
  <c r="N351" i="368"/>
  <c r="K351" i="368"/>
  <c r="H351" i="368"/>
  <c r="Q350" i="368"/>
  <c r="R350" i="368" s="1"/>
  <c r="Y349" i="368"/>
  <c r="V349" i="368"/>
  <c r="Q349" i="368"/>
  <c r="Z349" i="368" s="1"/>
  <c r="R348" i="368"/>
  <c r="N348" i="368"/>
  <c r="K348" i="368"/>
  <c r="AA348" i="368" s="1"/>
  <c r="H348" i="368"/>
  <c r="Y347" i="368"/>
  <c r="Y346" i="368" s="1"/>
  <c r="V347" i="368"/>
  <c r="Q347" i="368"/>
  <c r="N347" i="368"/>
  <c r="N346" i="368" s="1"/>
  <c r="K347" i="368"/>
  <c r="H347" i="368"/>
  <c r="Y345" i="368"/>
  <c r="V345" i="368"/>
  <c r="Q345" i="368"/>
  <c r="N345" i="368"/>
  <c r="K345" i="368"/>
  <c r="Y344" i="368"/>
  <c r="V344" i="368"/>
  <c r="Q344" i="368"/>
  <c r="R344" i="368" s="1"/>
  <c r="N344" i="368"/>
  <c r="K344" i="368"/>
  <c r="H344" i="368"/>
  <c r="R342" i="368"/>
  <c r="N342" i="368"/>
  <c r="K342" i="368"/>
  <c r="H342" i="368"/>
  <c r="Y341" i="368"/>
  <c r="V341" i="368"/>
  <c r="Q341" i="368"/>
  <c r="N341" i="368"/>
  <c r="K341" i="368"/>
  <c r="H341" i="368"/>
  <c r="Y340" i="368"/>
  <c r="V340" i="368"/>
  <c r="Q340" i="368"/>
  <c r="N340" i="368"/>
  <c r="K340" i="368"/>
  <c r="H340" i="368"/>
  <c r="Y336" i="368"/>
  <c r="V336" i="368"/>
  <c r="Q336" i="368"/>
  <c r="N336" i="368"/>
  <c r="K336" i="368"/>
  <c r="H336" i="368"/>
  <c r="Y335" i="368"/>
  <c r="V335" i="368"/>
  <c r="Q335" i="368"/>
  <c r="N335" i="368"/>
  <c r="K335" i="368"/>
  <c r="K334" i="368" s="1"/>
  <c r="H335" i="368"/>
  <c r="R333" i="368"/>
  <c r="N333" i="368"/>
  <c r="K333" i="368"/>
  <c r="Z333" i="368" s="1"/>
  <c r="H333" i="368"/>
  <c r="Y332" i="368"/>
  <c r="Y330" i="368" s="1"/>
  <c r="V332" i="368"/>
  <c r="Q332" i="368"/>
  <c r="N332" i="368"/>
  <c r="K332" i="368"/>
  <c r="R331" i="368"/>
  <c r="N331" i="368"/>
  <c r="K331" i="368"/>
  <c r="H331" i="368"/>
  <c r="R329" i="368"/>
  <c r="N329" i="368"/>
  <c r="K329" i="368"/>
  <c r="AA329" i="368" s="1"/>
  <c r="H329" i="368"/>
  <c r="R328" i="368"/>
  <c r="N328" i="368"/>
  <c r="K328" i="368"/>
  <c r="H328" i="368"/>
  <c r="Y327" i="368"/>
  <c r="Y325" i="368" s="1"/>
  <c r="V327" i="368"/>
  <c r="V325" i="368" s="1"/>
  <c r="Q327" i="368"/>
  <c r="N327" i="368"/>
  <c r="K327" i="368"/>
  <c r="H327" i="368"/>
  <c r="R326" i="368"/>
  <c r="N326" i="368"/>
  <c r="K326" i="368"/>
  <c r="H326" i="368"/>
  <c r="Y323" i="368"/>
  <c r="V323" i="368"/>
  <c r="Q323" i="368"/>
  <c r="N323" i="368"/>
  <c r="K323" i="368"/>
  <c r="H323" i="368"/>
  <c r="Y322" i="368"/>
  <c r="V322" i="368"/>
  <c r="Q322" i="368"/>
  <c r="Z322" i="368" s="1"/>
  <c r="R321" i="368"/>
  <c r="N321" i="368"/>
  <c r="K321" i="368"/>
  <c r="H321" i="368"/>
  <c r="Y320" i="368"/>
  <c r="V320" i="368"/>
  <c r="Q320" i="368"/>
  <c r="N320" i="368"/>
  <c r="K320" i="368"/>
  <c r="H320" i="368"/>
  <c r="Y316" i="368"/>
  <c r="V316" i="368"/>
  <c r="Q316" i="368"/>
  <c r="R316" i="368" s="1"/>
  <c r="N316" i="368"/>
  <c r="K316" i="368"/>
  <c r="H316" i="368"/>
  <c r="Y315" i="368"/>
  <c r="Y313" i="368" s="1"/>
  <c r="V315" i="368"/>
  <c r="V313" i="368" s="1"/>
  <c r="Q315" i="368"/>
  <c r="R314" i="368"/>
  <c r="N314" i="368"/>
  <c r="N313" i="368" s="1"/>
  <c r="K314" i="368"/>
  <c r="K313" i="368" s="1"/>
  <c r="H314" i="368"/>
  <c r="H313" i="368" s="1"/>
  <c r="AA312" i="368"/>
  <c r="Z312" i="368"/>
  <c r="R312" i="368"/>
  <c r="H312" i="368"/>
  <c r="Y311" i="368"/>
  <c r="Y310" i="368" s="1"/>
  <c r="V311" i="368"/>
  <c r="V310" i="368" s="1"/>
  <c r="Q311" i="368"/>
  <c r="N311" i="368"/>
  <c r="N310" i="368" s="1"/>
  <c r="K311" i="368"/>
  <c r="K310" i="368" s="1"/>
  <c r="H311" i="368"/>
  <c r="Y308" i="368"/>
  <c r="V308" i="368"/>
  <c r="Q308" i="368"/>
  <c r="Z308" i="368" s="1"/>
  <c r="Y307" i="368"/>
  <c r="V307" i="368"/>
  <c r="Q307" i="368"/>
  <c r="Z307" i="368" s="1"/>
  <c r="Y306" i="368"/>
  <c r="V306" i="368"/>
  <c r="Q306" i="368"/>
  <c r="N305" i="368"/>
  <c r="K305" i="368"/>
  <c r="H305" i="368"/>
  <c r="Y301" i="368"/>
  <c r="V301" i="368"/>
  <c r="Q301" i="368"/>
  <c r="Z301" i="368" s="1"/>
  <c r="R300" i="368"/>
  <c r="N300" i="368"/>
  <c r="K300" i="368"/>
  <c r="H300" i="368"/>
  <c r="R299" i="368"/>
  <c r="N299" i="368"/>
  <c r="K299" i="368"/>
  <c r="Z299" i="368" s="1"/>
  <c r="H299" i="368"/>
  <c r="Y298" i="368"/>
  <c r="V298" i="368"/>
  <c r="Q298" i="368"/>
  <c r="N298" i="368"/>
  <c r="K298" i="368"/>
  <c r="H298" i="368"/>
  <c r="Y297" i="368"/>
  <c r="V297" i="368"/>
  <c r="Q297" i="368"/>
  <c r="N297" i="368"/>
  <c r="K297" i="368"/>
  <c r="H297" i="368"/>
  <c r="Y295" i="368"/>
  <c r="V295" i="368"/>
  <c r="Q295" i="368"/>
  <c r="R295" i="368" s="1"/>
  <c r="N295" i="368"/>
  <c r="K295" i="368"/>
  <c r="H295" i="368"/>
  <c r="Y294" i="368"/>
  <c r="V294" i="368"/>
  <c r="Q294" i="368"/>
  <c r="AA293" i="368"/>
  <c r="Z293" i="368"/>
  <c r="R293" i="368"/>
  <c r="H293" i="368"/>
  <c r="AA292" i="368"/>
  <c r="Z292" i="368"/>
  <c r="R292" i="368"/>
  <c r="H292" i="368"/>
  <c r="AA291" i="368"/>
  <c r="Z291" i="368"/>
  <c r="R291" i="368"/>
  <c r="H291" i="368"/>
  <c r="Y290" i="368"/>
  <c r="Y289" i="368" s="1"/>
  <c r="V290" i="368"/>
  <c r="V289" i="368" s="1"/>
  <c r="Q290" i="368"/>
  <c r="N290" i="368"/>
  <c r="N289" i="368" s="1"/>
  <c r="K290" i="368"/>
  <c r="K289" i="368" s="1"/>
  <c r="H290" i="368"/>
  <c r="AA288" i="368"/>
  <c r="Z288" i="368"/>
  <c r="R288" i="368"/>
  <c r="Y287" i="368"/>
  <c r="V287" i="368"/>
  <c r="Q287" i="368"/>
  <c r="R287" i="368" s="1"/>
  <c r="N287" i="368"/>
  <c r="K287" i="368"/>
  <c r="H287" i="368"/>
  <c r="Y286" i="368"/>
  <c r="V286" i="368"/>
  <c r="Q286" i="368"/>
  <c r="Z286" i="368" s="1"/>
  <c r="Y285" i="368"/>
  <c r="Y284" i="368" s="1"/>
  <c r="V285" i="368"/>
  <c r="V284" i="368" s="1"/>
  <c r="Q285" i="368"/>
  <c r="R285" i="368" s="1"/>
  <c r="N285" i="368"/>
  <c r="K285" i="368"/>
  <c r="H285" i="368"/>
  <c r="Y281" i="368"/>
  <c r="V281" i="368"/>
  <c r="Q281" i="368"/>
  <c r="N281" i="368"/>
  <c r="K281" i="368"/>
  <c r="H281" i="368"/>
  <c r="Y280" i="368"/>
  <c r="V280" i="368"/>
  <c r="Q280" i="368"/>
  <c r="R280" i="368" s="1"/>
  <c r="N280" i="368"/>
  <c r="K280" i="368"/>
  <c r="H280" i="368"/>
  <c r="Q278" i="368"/>
  <c r="R278" i="368" s="1"/>
  <c r="Q277" i="368"/>
  <c r="Q276" i="368"/>
  <c r="Y275" i="368"/>
  <c r="V275" i="368"/>
  <c r="Q275" i="368"/>
  <c r="Z275" i="368" s="1"/>
  <c r="Y274" i="368"/>
  <c r="V274" i="368"/>
  <c r="Q274" i="368"/>
  <c r="Z274" i="368" s="1"/>
  <c r="Y273" i="368"/>
  <c r="V273" i="368"/>
  <c r="Q273" i="368"/>
  <c r="R273" i="368" s="1"/>
  <c r="N273" i="368"/>
  <c r="K273" i="368"/>
  <c r="H273" i="368"/>
  <c r="R272" i="368"/>
  <c r="N272" i="368"/>
  <c r="K272" i="368"/>
  <c r="H272" i="368"/>
  <c r="Y271" i="368"/>
  <c r="V271" i="368"/>
  <c r="Q271" i="368"/>
  <c r="N271" i="368"/>
  <c r="K271" i="368"/>
  <c r="H271" i="368"/>
  <c r="R270" i="368"/>
  <c r="N270" i="368"/>
  <c r="K270" i="368"/>
  <c r="H270" i="368"/>
  <c r="Y269" i="368"/>
  <c r="V269" i="368"/>
  <c r="Q269" i="368"/>
  <c r="R269" i="368" s="1"/>
  <c r="N269" i="368"/>
  <c r="K269" i="368"/>
  <c r="H269" i="368"/>
  <c r="Y268" i="368"/>
  <c r="V268" i="368"/>
  <c r="Q268" i="368"/>
  <c r="N268" i="368"/>
  <c r="K268" i="368"/>
  <c r="H268" i="368"/>
  <c r="Y266" i="368"/>
  <c r="V266" i="368"/>
  <c r="Q266" i="368"/>
  <c r="N266" i="368"/>
  <c r="K266" i="368"/>
  <c r="H266" i="368"/>
  <c r="AA265" i="368"/>
  <c r="Z265" i="368"/>
  <c r="R265" i="368"/>
  <c r="R264" i="368"/>
  <c r="N264" i="368"/>
  <c r="K264" i="368"/>
  <c r="AA264" i="368" s="1"/>
  <c r="H264" i="368"/>
  <c r="AA263" i="368"/>
  <c r="Z263" i="368"/>
  <c r="R263" i="368"/>
  <c r="H263" i="368"/>
  <c r="R262" i="368"/>
  <c r="N262" i="368"/>
  <c r="K262" i="368"/>
  <c r="H262" i="368"/>
  <c r="Y261" i="368"/>
  <c r="Y259" i="368" s="1"/>
  <c r="V261" i="368"/>
  <c r="V259" i="368" s="1"/>
  <c r="Q261" i="368"/>
  <c r="R261" i="368" s="1"/>
  <c r="N261" i="368"/>
  <c r="K261" i="368"/>
  <c r="R260" i="368"/>
  <c r="N260" i="368"/>
  <c r="K260" i="368"/>
  <c r="Z260" i="368" s="1"/>
  <c r="H260" i="368"/>
  <c r="Q259" i="368"/>
  <c r="AA258" i="368"/>
  <c r="Z258" i="368"/>
  <c r="R258" i="368"/>
  <c r="H258" i="368"/>
  <c r="R257" i="368"/>
  <c r="N257" i="368"/>
  <c r="K257" i="368"/>
  <c r="H257" i="368"/>
  <c r="Y256" i="368"/>
  <c r="Y255" i="368" s="1"/>
  <c r="V256" i="368"/>
  <c r="V255" i="368" s="1"/>
  <c r="Q256" i="368"/>
  <c r="N256" i="368"/>
  <c r="K256" i="368"/>
  <c r="H256" i="368"/>
  <c r="AA252" i="368"/>
  <c r="Z252" i="368"/>
  <c r="R252" i="368"/>
  <c r="AA251" i="368"/>
  <c r="Z251" i="368"/>
  <c r="R251" i="368"/>
  <c r="Y250" i="368"/>
  <c r="V250" i="368"/>
  <c r="Q250" i="368"/>
  <c r="R250" i="368" s="1"/>
  <c r="N250" i="368"/>
  <c r="K250" i="368"/>
  <c r="Y249" i="368"/>
  <c r="V249" i="368"/>
  <c r="Q249" i="368"/>
  <c r="R249" i="368" s="1"/>
  <c r="N249" i="368"/>
  <c r="K249" i="368"/>
  <c r="H249" i="368"/>
  <c r="AA248" i="368"/>
  <c r="Z248" i="368"/>
  <c r="R248" i="368"/>
  <c r="H248" i="368"/>
  <c r="Q247" i="368"/>
  <c r="Y246" i="368"/>
  <c r="Y245" i="368" s="1"/>
  <c r="V246" i="368"/>
  <c r="V245" i="368" s="1"/>
  <c r="Q246" i="368"/>
  <c r="Z246" i="368" s="1"/>
  <c r="G246" i="368"/>
  <c r="H245" i="368"/>
  <c r="Y244" i="368"/>
  <c r="Y243" i="368" s="1"/>
  <c r="V244" i="368"/>
  <c r="V243" i="368" s="1"/>
  <c r="Q244" i="368"/>
  <c r="N243" i="368"/>
  <c r="K243" i="368"/>
  <c r="H243" i="368"/>
  <c r="Y241" i="368"/>
  <c r="V241" i="368"/>
  <c r="Q241" i="368"/>
  <c r="Z241" i="368" s="1"/>
  <c r="Y240" i="368"/>
  <c r="V240" i="368"/>
  <c r="Q240" i="368"/>
  <c r="Z240" i="368" s="1"/>
  <c r="Y239" i="368"/>
  <c r="V239" i="368"/>
  <c r="Q239" i="368"/>
  <c r="Z239" i="368" s="1"/>
  <c r="Y238" i="368"/>
  <c r="V238" i="368"/>
  <c r="Q238" i="368"/>
  <c r="Z238" i="368" s="1"/>
  <c r="Y237" i="368"/>
  <c r="V237" i="368"/>
  <c r="Q237" i="368"/>
  <c r="N237" i="368"/>
  <c r="K237" i="368"/>
  <c r="H237" i="368"/>
  <c r="Y236" i="368"/>
  <c r="V236" i="368"/>
  <c r="Q236" i="368"/>
  <c r="AA236" i="368" s="1"/>
  <c r="R235" i="368"/>
  <c r="N235" i="368"/>
  <c r="K235" i="368"/>
  <c r="H235" i="368"/>
  <c r="AA234" i="368"/>
  <c r="Z234" i="368"/>
  <c r="R234" i="368"/>
  <c r="H234" i="368"/>
  <c r="Y233" i="368"/>
  <c r="V233" i="368"/>
  <c r="Q233" i="368"/>
  <c r="N233" i="368"/>
  <c r="K233" i="368"/>
  <c r="H233" i="368"/>
  <c r="Y232" i="368"/>
  <c r="V232" i="368"/>
  <c r="Q232" i="368"/>
  <c r="N232" i="368"/>
  <c r="K232" i="368"/>
  <c r="H232" i="368"/>
  <c r="AA230" i="368"/>
  <c r="Z230" i="368"/>
  <c r="R230" i="368"/>
  <c r="H230" i="368"/>
  <c r="AA229" i="368"/>
  <c r="Z229" i="368"/>
  <c r="R229" i="368"/>
  <c r="H229" i="368"/>
  <c r="H228" i="368" s="1"/>
  <c r="R228" i="368"/>
  <c r="N228" i="368"/>
  <c r="K228" i="368"/>
  <c r="AA228" i="368" s="1"/>
  <c r="AA227" i="368"/>
  <c r="Z227" i="368"/>
  <c r="R227" i="368"/>
  <c r="R226" i="368"/>
  <c r="N226" i="368"/>
  <c r="K226" i="368"/>
  <c r="AA226" i="368" s="1"/>
  <c r="H226" i="368"/>
  <c r="Y225" i="368"/>
  <c r="Y224" i="368" s="1"/>
  <c r="V225" i="368"/>
  <c r="V224" i="368" s="1"/>
  <c r="Q225" i="368"/>
  <c r="Q224" i="368" s="1"/>
  <c r="N225" i="368"/>
  <c r="K225" i="368"/>
  <c r="H225" i="368"/>
  <c r="N224" i="368"/>
  <c r="Y223" i="368"/>
  <c r="V223" i="368"/>
  <c r="Q223" i="368"/>
  <c r="N223" i="368"/>
  <c r="K223" i="368"/>
  <c r="Y222" i="368"/>
  <c r="V222" i="368"/>
  <c r="Q222" i="368"/>
  <c r="Z222" i="368" s="1"/>
  <c r="Y221" i="368"/>
  <c r="V221" i="368"/>
  <c r="V216" i="368" s="1"/>
  <c r="Q221" i="368"/>
  <c r="Z221" i="368" s="1"/>
  <c r="Y220" i="368"/>
  <c r="V220" i="368"/>
  <c r="Q220" i="368"/>
  <c r="R219" i="368"/>
  <c r="N219" i="368"/>
  <c r="K219" i="368"/>
  <c r="AA218" i="368"/>
  <c r="Z218" i="368"/>
  <c r="R218" i="368"/>
  <c r="R217" i="368"/>
  <c r="N217" i="368"/>
  <c r="K217" i="368"/>
  <c r="Z217" i="368" s="1"/>
  <c r="Y213" i="368"/>
  <c r="Y211" i="368" s="1"/>
  <c r="V213" i="368"/>
  <c r="V211" i="368" s="1"/>
  <c r="Q213" i="368"/>
  <c r="N213" i="368"/>
  <c r="N211" i="368" s="1"/>
  <c r="K213" i="368"/>
  <c r="K211" i="368" s="1"/>
  <c r="H213" i="368"/>
  <c r="AA212" i="368"/>
  <c r="Z212" i="368"/>
  <c r="R212" i="368"/>
  <c r="H212" i="368"/>
  <c r="H211" i="368" s="1"/>
  <c r="Q211" i="368"/>
  <c r="R211" i="368" s="1"/>
  <c r="Y210" i="368"/>
  <c r="V210" i="368"/>
  <c r="Q210" i="368"/>
  <c r="R210" i="368" s="1"/>
  <c r="N210" i="368"/>
  <c r="K210" i="368"/>
  <c r="H210" i="368"/>
  <c r="AA209" i="368"/>
  <c r="Z209" i="368"/>
  <c r="R209" i="368"/>
  <c r="AA208" i="368"/>
  <c r="Z208" i="368"/>
  <c r="R208" i="368"/>
  <c r="AA207" i="368"/>
  <c r="Z207" i="368"/>
  <c r="R207" i="368"/>
  <c r="Y206" i="368"/>
  <c r="Y204" i="368" s="1"/>
  <c r="V206" i="368"/>
  <c r="V204" i="368" s="1"/>
  <c r="Q206" i="368"/>
  <c r="Q204" i="368" s="1"/>
  <c r="R204" i="368" s="1"/>
  <c r="N206" i="368"/>
  <c r="K206" i="368"/>
  <c r="R205" i="368"/>
  <c r="N205" i="368"/>
  <c r="K205" i="368"/>
  <c r="H205" i="368"/>
  <c r="H204" i="368" s="1"/>
  <c r="Y203" i="368"/>
  <c r="Y202" i="368" s="1"/>
  <c r="V203" i="368"/>
  <c r="V202" i="368" s="1"/>
  <c r="Q203" i="368"/>
  <c r="N203" i="368"/>
  <c r="N202" i="368" s="1"/>
  <c r="K203" i="368"/>
  <c r="H203" i="368"/>
  <c r="H202" i="368" s="1"/>
  <c r="Q202" i="368"/>
  <c r="R202" i="368" s="1"/>
  <c r="Y200" i="368"/>
  <c r="V200" i="368"/>
  <c r="Q200" i="368"/>
  <c r="Z200" i="368" s="1"/>
  <c r="AA199" i="368"/>
  <c r="Z199" i="368"/>
  <c r="R199" i="368"/>
  <c r="H199" i="368"/>
  <c r="AA198" i="368"/>
  <c r="Z198" i="368"/>
  <c r="R198" i="368"/>
  <c r="Y197" i="368"/>
  <c r="V197" i="368"/>
  <c r="Q197" i="368"/>
  <c r="N197" i="368"/>
  <c r="K197" i="368"/>
  <c r="H197" i="368"/>
  <c r="Y196" i="368"/>
  <c r="V196" i="368"/>
  <c r="Q196" i="368"/>
  <c r="N196" i="368"/>
  <c r="K196" i="368"/>
  <c r="H196" i="368"/>
  <c r="R195" i="368"/>
  <c r="N195" i="368"/>
  <c r="K195" i="368"/>
  <c r="H195" i="368"/>
  <c r="Y194" i="368"/>
  <c r="V194" i="368"/>
  <c r="Q194" i="368"/>
  <c r="N194" i="368"/>
  <c r="K194" i="368"/>
  <c r="H194" i="368"/>
  <c r="Y190" i="368"/>
  <c r="Y189" i="368" s="1"/>
  <c r="V190" i="368"/>
  <c r="V189" i="368" s="1"/>
  <c r="Q190" i="368"/>
  <c r="Q189" i="368" s="1"/>
  <c r="N190" i="368"/>
  <c r="N189" i="368" s="1"/>
  <c r="K190" i="368"/>
  <c r="K189" i="368" s="1"/>
  <c r="H190" i="368"/>
  <c r="H189" i="368" s="1"/>
  <c r="Y188" i="368"/>
  <c r="Y186" i="368" s="1"/>
  <c r="V188" i="368"/>
  <c r="V186" i="368" s="1"/>
  <c r="Q188" i="368"/>
  <c r="AA188" i="368" s="1"/>
  <c r="R187" i="368"/>
  <c r="N187" i="368"/>
  <c r="N186" i="368" s="1"/>
  <c r="K187" i="368"/>
  <c r="K186" i="368" s="1"/>
  <c r="H187" i="368"/>
  <c r="H186" i="368" s="1"/>
  <c r="R185" i="368"/>
  <c r="N185" i="368"/>
  <c r="N184" i="368" s="1"/>
  <c r="K185" i="368"/>
  <c r="AA185" i="368" s="1"/>
  <c r="R184" i="368"/>
  <c r="Y181" i="368"/>
  <c r="V181" i="368"/>
  <c r="Q181" i="368"/>
  <c r="N181" i="368"/>
  <c r="K181" i="368"/>
  <c r="H181" i="368"/>
  <c r="Y180" i="368"/>
  <c r="V180" i="368"/>
  <c r="Q180" i="368"/>
  <c r="N180" i="368"/>
  <c r="K180" i="368"/>
  <c r="H180" i="368"/>
  <c r="Y178" i="368"/>
  <c r="V178" i="368"/>
  <c r="Q178" i="368"/>
  <c r="R178" i="368" s="1"/>
  <c r="Y177" i="368"/>
  <c r="V177" i="368"/>
  <c r="Q177" i="368"/>
  <c r="R177" i="368" s="1"/>
  <c r="Y176" i="368"/>
  <c r="V176" i="368"/>
  <c r="Q176" i="368"/>
  <c r="R176" i="368" s="1"/>
  <c r="Y175" i="368"/>
  <c r="V175" i="368"/>
  <c r="Q175" i="368"/>
  <c r="R175" i="368" s="1"/>
  <c r="AA174" i="368"/>
  <c r="Z174" i="368"/>
  <c r="R174" i="368"/>
  <c r="H174" i="368"/>
  <c r="Y173" i="368"/>
  <c r="V173" i="368"/>
  <c r="Q173" i="368"/>
  <c r="N173" i="368"/>
  <c r="K173" i="368"/>
  <c r="H173" i="368"/>
  <c r="Y172" i="368"/>
  <c r="V172" i="368"/>
  <c r="Q172" i="368"/>
  <c r="N172" i="368"/>
  <c r="K172" i="368"/>
  <c r="AA172" i="368" s="1"/>
  <c r="H172" i="368"/>
  <c r="Y171" i="368"/>
  <c r="V171" i="368"/>
  <c r="Q171" i="368"/>
  <c r="N171" i="368"/>
  <c r="K171" i="368"/>
  <c r="H171" i="368"/>
  <c r="Y169" i="368"/>
  <c r="V169" i="368"/>
  <c r="Q169" i="368"/>
  <c r="N169" i="368"/>
  <c r="K169" i="368"/>
  <c r="H169" i="368"/>
  <c r="Y168" i="368"/>
  <c r="V168" i="368"/>
  <c r="Q168" i="368"/>
  <c r="R168" i="368" s="1"/>
  <c r="N168" i="368"/>
  <c r="N167" i="368" s="1"/>
  <c r="K168" i="368"/>
  <c r="H168" i="368"/>
  <c r="R166" i="368"/>
  <c r="N166" i="368"/>
  <c r="K166" i="368"/>
  <c r="Z166" i="368" s="1"/>
  <c r="H166" i="368"/>
  <c r="Y165" i="368"/>
  <c r="Y164" i="368" s="1"/>
  <c r="V165" i="368"/>
  <c r="V164" i="368" s="1"/>
  <c r="Q165" i="368"/>
  <c r="N165" i="368"/>
  <c r="K165" i="368"/>
  <c r="H165" i="368"/>
  <c r="R163" i="368"/>
  <c r="N163" i="368"/>
  <c r="N160" i="368" s="1"/>
  <c r="K163" i="368"/>
  <c r="Z163" i="368" s="1"/>
  <c r="H163" i="368"/>
  <c r="H160" i="368" s="1"/>
  <c r="AA162" i="368"/>
  <c r="Z162" i="368"/>
  <c r="R162" i="368"/>
  <c r="Y161" i="368"/>
  <c r="Y160" i="368" s="1"/>
  <c r="V161" i="368"/>
  <c r="V160" i="368" s="1"/>
  <c r="Q161" i="368"/>
  <c r="AA161" i="368" s="1"/>
  <c r="Y157" i="368"/>
  <c r="V157" i="368"/>
  <c r="Q157" i="368"/>
  <c r="R157" i="368" s="1"/>
  <c r="N157" i="368"/>
  <c r="K157" i="368"/>
  <c r="H157" i="368"/>
  <c r="Y156" i="368"/>
  <c r="V156" i="368"/>
  <c r="Q156" i="368"/>
  <c r="N156" i="368"/>
  <c r="K156" i="368"/>
  <c r="Y155" i="368"/>
  <c r="V155" i="368"/>
  <c r="Q155" i="368"/>
  <c r="N155" i="368"/>
  <c r="K155" i="368"/>
  <c r="H155" i="368"/>
  <c r="Y153" i="368"/>
  <c r="Y154" i="368" s="1"/>
  <c r="V153" i="368"/>
  <c r="V154" i="368" s="1"/>
  <c r="Q153" i="368"/>
  <c r="Z153" i="368" s="1"/>
  <c r="Y152" i="368"/>
  <c r="V152" i="368"/>
  <c r="Q152" i="368"/>
  <c r="AA152" i="368" s="1"/>
  <c r="Y151" i="368"/>
  <c r="V151" i="368"/>
  <c r="Q151" i="368"/>
  <c r="Z151" i="368" s="1"/>
  <c r="Y150" i="368"/>
  <c r="V150" i="368"/>
  <c r="Q150" i="368"/>
  <c r="S147" i="368"/>
  <c r="Q146" i="368"/>
  <c r="AA144" i="368"/>
  <c r="Z144" i="368"/>
  <c r="S144" i="368"/>
  <c r="Q143" i="368"/>
  <c r="Q142" i="368"/>
  <c r="Q140" i="368"/>
  <c r="Z140" i="368" s="1"/>
  <c r="Q139" i="368"/>
  <c r="Q138" i="368"/>
  <c r="AA138" i="368" s="1"/>
  <c r="Q137" i="368"/>
  <c r="R135" i="368"/>
  <c r="Q134" i="368"/>
  <c r="Z134" i="368" s="1"/>
  <c r="Q133" i="368"/>
  <c r="Q132" i="368"/>
  <c r="Q131" i="368"/>
  <c r="Q130" i="368"/>
  <c r="Z130" i="368" s="1"/>
  <c r="Q129" i="368"/>
  <c r="Q128" i="368"/>
  <c r="Y127" i="368"/>
  <c r="V127" i="368"/>
  <c r="AA126" i="368"/>
  <c r="Z126" i="368"/>
  <c r="S126" i="368"/>
  <c r="S427" i="368" s="1"/>
  <c r="Y125" i="368"/>
  <c r="V125" i="368"/>
  <c r="Q125" i="368"/>
  <c r="Z125" i="368" s="1"/>
  <c r="Q124" i="368"/>
  <c r="Q123" i="368"/>
  <c r="N123" i="368"/>
  <c r="K123" i="368"/>
  <c r="Y122" i="368"/>
  <c r="V122" i="368"/>
  <c r="N122" i="368"/>
  <c r="N121" i="368" s="1"/>
  <c r="K122" i="368"/>
  <c r="H122" i="368"/>
  <c r="H121" i="368" s="1"/>
  <c r="Y120" i="368"/>
  <c r="V120" i="368"/>
  <c r="Q120" i="368"/>
  <c r="S120" i="368" s="1"/>
  <c r="N120" i="368"/>
  <c r="K120" i="368"/>
  <c r="H120" i="368"/>
  <c r="Y119" i="368"/>
  <c r="V119" i="368"/>
  <c r="Q119" i="368"/>
  <c r="N119" i="368"/>
  <c r="K119" i="368"/>
  <c r="H119" i="368"/>
  <c r="Y118" i="368"/>
  <c r="V118" i="368"/>
  <c r="Q118" i="368"/>
  <c r="S118" i="368" s="1"/>
  <c r="N118" i="368"/>
  <c r="K118" i="368"/>
  <c r="H118" i="368"/>
  <c r="Y117" i="368"/>
  <c r="Y116" i="368" s="1"/>
  <c r="V117" i="368"/>
  <c r="Q117" i="368"/>
  <c r="N117" i="368"/>
  <c r="K117" i="368"/>
  <c r="H117" i="368"/>
  <c r="Y115" i="368"/>
  <c r="V115" i="368"/>
  <c r="Q115" i="368"/>
  <c r="N115" i="368"/>
  <c r="K115" i="368"/>
  <c r="H115" i="368"/>
  <c r="Y113" i="368"/>
  <c r="V113" i="368"/>
  <c r="S113" i="368"/>
  <c r="N113" i="368"/>
  <c r="K113" i="368"/>
  <c r="H113" i="368"/>
  <c r="Y112" i="368"/>
  <c r="V112" i="368"/>
  <c r="Q112" i="368"/>
  <c r="Z112" i="368" s="1"/>
  <c r="Y111" i="368"/>
  <c r="V111" i="368"/>
  <c r="Q111" i="368"/>
  <c r="AA111" i="368" s="1"/>
  <c r="Y110" i="368"/>
  <c r="V110" i="368"/>
  <c r="Q110" i="368"/>
  <c r="Z110" i="368" s="1"/>
  <c r="Y109" i="368"/>
  <c r="V109" i="368"/>
  <c r="Q109" i="368"/>
  <c r="Y108" i="368"/>
  <c r="V108" i="368"/>
  <c r="R108" i="368"/>
  <c r="Q108" i="368"/>
  <c r="N108" i="368"/>
  <c r="K108" i="368"/>
  <c r="H108" i="368"/>
  <c r="Y107" i="368"/>
  <c r="V107" i="368"/>
  <c r="Q107" i="368"/>
  <c r="N107" i="368"/>
  <c r="K107" i="368"/>
  <c r="R107" i="368" s="1"/>
  <c r="H107" i="368"/>
  <c r="Y106" i="368"/>
  <c r="V106" i="368"/>
  <c r="Q106" i="368"/>
  <c r="N106" i="368"/>
  <c r="K106" i="368"/>
  <c r="R106" i="368" s="1"/>
  <c r="H106" i="368"/>
  <c r="Y103" i="368"/>
  <c r="V103" i="368"/>
  <c r="V99" i="368" s="1"/>
  <c r="R103" i="368"/>
  <c r="Q103" i="368"/>
  <c r="K103" i="368"/>
  <c r="H103" i="368"/>
  <c r="Q102" i="368"/>
  <c r="Z102" i="368" s="1"/>
  <c r="Q101" i="368"/>
  <c r="N100" i="368"/>
  <c r="K100" i="368"/>
  <c r="H100" i="368"/>
  <c r="Y99" i="368"/>
  <c r="N99" i="368"/>
  <c r="Y98" i="368"/>
  <c r="V98" i="368"/>
  <c r="Q98" i="368"/>
  <c r="N98" i="368"/>
  <c r="K98" i="368"/>
  <c r="H98" i="368"/>
  <c r="Y97" i="368"/>
  <c r="V97" i="368"/>
  <c r="Q97" i="368"/>
  <c r="N97" i="368"/>
  <c r="K97" i="368"/>
  <c r="H97" i="368"/>
  <c r="N96" i="368"/>
  <c r="K96" i="368"/>
  <c r="H96" i="368"/>
  <c r="Y95" i="368"/>
  <c r="V95" i="368"/>
  <c r="Q95" i="368"/>
  <c r="N95" i="368"/>
  <c r="K95" i="368"/>
  <c r="H95" i="368"/>
  <c r="Y94" i="368"/>
  <c r="V94" i="368"/>
  <c r="Q94" i="368"/>
  <c r="Y93" i="368"/>
  <c r="V93" i="368"/>
  <c r="Q93" i="368"/>
  <c r="N93" i="368"/>
  <c r="K93" i="368"/>
  <c r="H93" i="368"/>
  <c r="R92" i="368"/>
  <c r="S91" i="368"/>
  <c r="S87" i="368" s="1"/>
  <c r="Y90" i="368"/>
  <c r="V90" i="368"/>
  <c r="Q90" i="368"/>
  <c r="N90" i="368"/>
  <c r="K90" i="368"/>
  <c r="H90" i="368"/>
  <c r="Y89" i="368"/>
  <c r="V89" i="368"/>
  <c r="Q89" i="368"/>
  <c r="Z89" i="368" s="1"/>
  <c r="Y88" i="368"/>
  <c r="V88" i="368"/>
  <c r="Q88" i="368"/>
  <c r="R88" i="368" s="1"/>
  <c r="N88" i="368"/>
  <c r="K88" i="368"/>
  <c r="H88" i="368"/>
  <c r="Y85" i="368"/>
  <c r="Y84" i="368" s="1"/>
  <c r="V85" i="368"/>
  <c r="V84" i="368" s="1"/>
  <c r="Q85" i="368"/>
  <c r="Q84" i="368" s="1"/>
  <c r="N85" i="368"/>
  <c r="N84" i="368" s="1"/>
  <c r="K85" i="368"/>
  <c r="K84" i="368" s="1"/>
  <c r="H85" i="368"/>
  <c r="H84" i="368" s="1"/>
  <c r="Y83" i="368"/>
  <c r="Y82" i="368" s="1"/>
  <c r="V83" i="368"/>
  <c r="V82" i="368" s="1"/>
  <c r="Q83" i="368"/>
  <c r="Q82" i="368" s="1"/>
  <c r="N83" i="368"/>
  <c r="N82" i="368" s="1"/>
  <c r="K83" i="368"/>
  <c r="K82" i="368" s="1"/>
  <c r="AA82" i="368" s="1"/>
  <c r="H83" i="368"/>
  <c r="H82" i="368" s="1"/>
  <c r="Y81" i="368"/>
  <c r="V81" i="368"/>
  <c r="Q81" i="368"/>
  <c r="N81" i="368"/>
  <c r="K81" i="368"/>
  <c r="H81" i="368"/>
  <c r="H426" i="368" s="1"/>
  <c r="Q79" i="368"/>
  <c r="Y78" i="368"/>
  <c r="Y80" i="368" s="1"/>
  <c r="V78" i="368"/>
  <c r="Q78" i="368"/>
  <c r="Z78" i="368" s="1"/>
  <c r="S76" i="368"/>
  <c r="R73" i="368"/>
  <c r="N73" i="368"/>
  <c r="K73" i="368"/>
  <c r="Z73" i="368" s="1"/>
  <c r="H73" i="368"/>
  <c r="Y427" i="368"/>
  <c r="V427" i="368"/>
  <c r="Q72" i="368"/>
  <c r="Y71" i="368"/>
  <c r="V71" i="368"/>
  <c r="Q71" i="368"/>
  <c r="Y70" i="368"/>
  <c r="V70" i="368"/>
  <c r="Q70" i="368"/>
  <c r="N70" i="368"/>
  <c r="N69" i="368" s="1"/>
  <c r="K70" i="368"/>
  <c r="K69" i="368" s="1"/>
  <c r="H70" i="368"/>
  <c r="H69" i="368" s="1"/>
  <c r="R68" i="368"/>
  <c r="N68" i="368"/>
  <c r="K68" i="368"/>
  <c r="H68" i="368"/>
  <c r="R67" i="368"/>
  <c r="N67" i="368"/>
  <c r="N66" i="368" s="1"/>
  <c r="K67" i="368"/>
  <c r="AA67" i="368" s="1"/>
  <c r="H67" i="368"/>
  <c r="R66" i="368"/>
  <c r="AA65" i="368"/>
  <c r="Z65" i="368"/>
  <c r="R65" i="368"/>
  <c r="AA64" i="368"/>
  <c r="R64" i="368"/>
  <c r="N64" i="368"/>
  <c r="K64" i="368"/>
  <c r="Z64" i="368" s="1"/>
  <c r="H64" i="368"/>
  <c r="Y63" i="368"/>
  <c r="V63" i="368"/>
  <c r="Q63" i="368"/>
  <c r="R63" i="368" s="1"/>
  <c r="N63" i="368"/>
  <c r="K63" i="368"/>
  <c r="H63" i="368"/>
  <c r="Y62" i="368"/>
  <c r="V62" i="368"/>
  <c r="Q62" i="368"/>
  <c r="N62" i="368"/>
  <c r="K62" i="368"/>
  <c r="H62" i="368"/>
  <c r="Y59" i="368"/>
  <c r="V59" i="368"/>
  <c r="Q59" i="368"/>
  <c r="N59" i="368"/>
  <c r="K59" i="368"/>
  <c r="H59" i="368"/>
  <c r="R58" i="368"/>
  <c r="N58" i="368"/>
  <c r="K58" i="368"/>
  <c r="Z58" i="368" s="1"/>
  <c r="H58" i="368"/>
  <c r="R57" i="368"/>
  <c r="N57" i="368"/>
  <c r="K57" i="368"/>
  <c r="H57" i="368"/>
  <c r="Y56" i="368"/>
  <c r="V56" i="368"/>
  <c r="Q56" i="368"/>
  <c r="N56" i="368"/>
  <c r="K56" i="368"/>
  <c r="H56" i="368"/>
  <c r="Y55" i="368"/>
  <c r="V55" i="368"/>
  <c r="Q55" i="368"/>
  <c r="N55" i="368"/>
  <c r="K55" i="368"/>
  <c r="H55" i="368"/>
  <c r="Y50" i="368"/>
  <c r="V50" i="368"/>
  <c r="Q50" i="368"/>
  <c r="R50" i="368" s="1"/>
  <c r="K50" i="368"/>
  <c r="H50" i="368"/>
  <c r="R49" i="368"/>
  <c r="K49" i="368"/>
  <c r="H49" i="368"/>
  <c r="Y48" i="368"/>
  <c r="V48" i="368"/>
  <c r="Q48" i="368"/>
  <c r="K48" i="368"/>
  <c r="H48" i="368"/>
  <c r="R46" i="368"/>
  <c r="K46" i="368"/>
  <c r="H46" i="368"/>
  <c r="H45" i="368" s="1"/>
  <c r="R45" i="368"/>
  <c r="Y44" i="368"/>
  <c r="V44" i="368"/>
  <c r="Q44" i="368"/>
  <c r="K44" i="368"/>
  <c r="H44" i="368"/>
  <c r="AA43" i="368"/>
  <c r="Z43" i="368"/>
  <c r="R43" i="368"/>
  <c r="H43" i="368"/>
  <c r="AA42" i="368"/>
  <c r="Z42" i="368"/>
  <c r="R42" i="368"/>
  <c r="H42" i="368"/>
  <c r="Y41" i="368"/>
  <c r="Y39" i="368" s="1"/>
  <c r="V41" i="368"/>
  <c r="V39" i="368" s="1"/>
  <c r="Q41" i="368"/>
  <c r="Q39" i="368" s="1"/>
  <c r="K41" i="368"/>
  <c r="K39" i="368" s="1"/>
  <c r="H41" i="368"/>
  <c r="AA40" i="368"/>
  <c r="Z40" i="368"/>
  <c r="R40" i="368"/>
  <c r="H40" i="368"/>
  <c r="Y38" i="368"/>
  <c r="V38" i="368"/>
  <c r="Q38" i="368"/>
  <c r="K38" i="368"/>
  <c r="H38" i="368"/>
  <c r="R37" i="368"/>
  <c r="K37" i="368"/>
  <c r="H37" i="368"/>
  <c r="Y36" i="368"/>
  <c r="Y35" i="368" s="1"/>
  <c r="V36" i="368"/>
  <c r="Q36" i="368"/>
  <c r="K36" i="368"/>
  <c r="H36" i="368"/>
  <c r="N34" i="368"/>
  <c r="N33" i="368" s="1"/>
  <c r="Y31" i="368"/>
  <c r="V31" i="368"/>
  <c r="Q31" i="368"/>
  <c r="N31" i="368"/>
  <c r="K31" i="368"/>
  <c r="H31" i="368"/>
  <c r="Z30" i="368"/>
  <c r="Y30" i="368"/>
  <c r="V30" i="368"/>
  <c r="Q30" i="368"/>
  <c r="AA29" i="368"/>
  <c r="R29" i="368"/>
  <c r="N29" i="368"/>
  <c r="K29" i="368"/>
  <c r="H29" i="368"/>
  <c r="Y28" i="368"/>
  <c r="V28" i="368"/>
  <c r="Q28" i="368"/>
  <c r="N28" i="368"/>
  <c r="K28" i="368"/>
  <c r="H28" i="368"/>
  <c r="Y26" i="368"/>
  <c r="Y25" i="368" s="1"/>
  <c r="V26" i="368"/>
  <c r="V25" i="368" s="1"/>
  <c r="Q26" i="368"/>
  <c r="N25" i="368"/>
  <c r="K25" i="368"/>
  <c r="H25" i="368"/>
  <c r="R24" i="368"/>
  <c r="N24" i="368"/>
  <c r="K24" i="368"/>
  <c r="AA24" i="368" s="1"/>
  <c r="H24" i="368"/>
  <c r="AA23" i="368"/>
  <c r="Z23" i="368"/>
  <c r="R23" i="368"/>
  <c r="H23" i="368"/>
  <c r="Y22" i="368"/>
  <c r="V22" i="368"/>
  <c r="Q22" i="368"/>
  <c r="N22" i="368"/>
  <c r="K22" i="368"/>
  <c r="H22" i="368"/>
  <c r="Y21" i="368"/>
  <c r="V21" i="368"/>
  <c r="Q21" i="368"/>
  <c r="Z21" i="368" s="1"/>
  <c r="N21" i="368"/>
  <c r="K21" i="368"/>
  <c r="H21" i="368"/>
  <c r="R20" i="368"/>
  <c r="N20" i="368"/>
  <c r="K20" i="368"/>
  <c r="AA20" i="368" s="1"/>
  <c r="H20" i="368"/>
  <c r="R19" i="368"/>
  <c r="N19" i="368"/>
  <c r="K19" i="368"/>
  <c r="H19" i="368"/>
  <c r="T18" i="368"/>
  <c r="W18" i="368" s="1"/>
  <c r="Y18" i="368" s="1"/>
  <c r="Y17" i="368" s="1"/>
  <c r="Q18" i="368"/>
  <c r="R18" i="368" s="1"/>
  <c r="N18" i="368"/>
  <c r="K18" i="368"/>
  <c r="H18" i="368"/>
  <c r="Q17" i="368"/>
  <c r="R16" i="368"/>
  <c r="N16" i="368"/>
  <c r="K16" i="368"/>
  <c r="H16" i="368"/>
  <c r="Y15" i="368"/>
  <c r="Y13" i="368" s="1"/>
  <c r="V15" i="368"/>
  <c r="V13" i="368" s="1"/>
  <c r="Q15" i="368"/>
  <c r="N15" i="368"/>
  <c r="K15" i="368"/>
  <c r="AA14" i="368"/>
  <c r="Z14" i="368"/>
  <c r="R14" i="368"/>
  <c r="H14" i="368"/>
  <c r="Q13" i="368"/>
  <c r="T184" i="367"/>
  <c r="T187" i="367"/>
  <c r="Z210" i="367"/>
  <c r="I208" i="367"/>
  <c r="I209" i="367" s="1"/>
  <c r="H208" i="367"/>
  <c r="H209" i="367" s="1"/>
  <c r="Y207" i="367"/>
  <c r="X207" i="367"/>
  <c r="W207" i="367"/>
  <c r="V207" i="367"/>
  <c r="U207" i="367"/>
  <c r="R207" i="367"/>
  <c r="Q207" i="367"/>
  <c r="P207" i="367"/>
  <c r="O207" i="367"/>
  <c r="N207" i="367"/>
  <c r="M207" i="367"/>
  <c r="L207" i="367"/>
  <c r="K207" i="367"/>
  <c r="J207" i="367"/>
  <c r="I207" i="367"/>
  <c r="H207" i="367"/>
  <c r="G207" i="367"/>
  <c r="F207" i="367"/>
  <c r="Q206" i="367"/>
  <c r="P206" i="367"/>
  <c r="M206" i="367"/>
  <c r="L206" i="367"/>
  <c r="I206" i="367"/>
  <c r="H206" i="367"/>
  <c r="Y205" i="367"/>
  <c r="X205" i="367"/>
  <c r="W205" i="367"/>
  <c r="V205" i="367"/>
  <c r="U205" i="367"/>
  <c r="R205" i="367"/>
  <c r="Q205" i="367"/>
  <c r="P205" i="367"/>
  <c r="O205" i="367"/>
  <c r="N205" i="367"/>
  <c r="M205" i="367"/>
  <c r="L205" i="367"/>
  <c r="K205" i="367"/>
  <c r="J205" i="367"/>
  <c r="I205" i="367"/>
  <c r="H205" i="367"/>
  <c r="G205" i="367"/>
  <c r="F205" i="367"/>
  <c r="Y204" i="367"/>
  <c r="X204" i="367"/>
  <c r="W204" i="367"/>
  <c r="V204" i="367"/>
  <c r="U204" i="367"/>
  <c r="R204" i="367"/>
  <c r="Q204" i="367"/>
  <c r="P204" i="367"/>
  <c r="O204" i="367"/>
  <c r="N204" i="367"/>
  <c r="M204" i="367"/>
  <c r="L204" i="367"/>
  <c r="K204" i="367"/>
  <c r="J204" i="367"/>
  <c r="I204" i="367"/>
  <c r="H204" i="367"/>
  <c r="G204" i="367"/>
  <c r="F204" i="367"/>
  <c r="Q203" i="367"/>
  <c r="P203" i="367"/>
  <c r="M203" i="367"/>
  <c r="L203" i="367"/>
  <c r="I203" i="367"/>
  <c r="H203" i="367"/>
  <c r="Y202" i="367"/>
  <c r="X202" i="367"/>
  <c r="W202" i="367"/>
  <c r="V202" i="367"/>
  <c r="U202" i="367"/>
  <c r="R202" i="367"/>
  <c r="Q202" i="367"/>
  <c r="P202" i="367"/>
  <c r="O202" i="367"/>
  <c r="N202" i="367"/>
  <c r="M202" i="367"/>
  <c r="L202" i="367"/>
  <c r="K202" i="367"/>
  <c r="J202" i="367"/>
  <c r="I202" i="367"/>
  <c r="H202" i="367"/>
  <c r="G202" i="367"/>
  <c r="Q201" i="367"/>
  <c r="P201" i="367"/>
  <c r="M201" i="367"/>
  <c r="L201" i="367"/>
  <c r="I201" i="367"/>
  <c r="H201" i="367"/>
  <c r="Q200" i="367"/>
  <c r="P200" i="367"/>
  <c r="M200" i="367"/>
  <c r="L200" i="367"/>
  <c r="I200" i="367"/>
  <c r="H200" i="367"/>
  <c r="Y199" i="367"/>
  <c r="X199" i="367"/>
  <c r="W199" i="367"/>
  <c r="V199" i="367"/>
  <c r="U199" i="367"/>
  <c r="R199" i="367"/>
  <c r="Q199" i="367"/>
  <c r="P199" i="367"/>
  <c r="O199" i="367"/>
  <c r="N199" i="367"/>
  <c r="M199" i="367"/>
  <c r="L199" i="367"/>
  <c r="K199" i="367"/>
  <c r="J199" i="367"/>
  <c r="I199" i="367"/>
  <c r="H199" i="367"/>
  <c r="G199" i="367"/>
  <c r="F199" i="367"/>
  <c r="Q198" i="367"/>
  <c r="P198" i="367"/>
  <c r="M198" i="367"/>
  <c r="L198" i="367"/>
  <c r="I198" i="367"/>
  <c r="H198" i="367"/>
  <c r="Y197" i="367"/>
  <c r="X197" i="367"/>
  <c r="W197" i="367"/>
  <c r="V197" i="367"/>
  <c r="U197" i="367"/>
  <c r="R197" i="367"/>
  <c r="Q197" i="367"/>
  <c r="P197" i="367"/>
  <c r="O197" i="367"/>
  <c r="N197" i="367"/>
  <c r="M197" i="367"/>
  <c r="L197" i="367"/>
  <c r="K197" i="367"/>
  <c r="J197" i="367"/>
  <c r="I197" i="367"/>
  <c r="H197" i="367"/>
  <c r="G197" i="367"/>
  <c r="F197" i="367"/>
  <c r="Y196" i="367"/>
  <c r="X196" i="367"/>
  <c r="W196" i="367"/>
  <c r="V196" i="367"/>
  <c r="U196" i="367"/>
  <c r="R196" i="367"/>
  <c r="Q196" i="367"/>
  <c r="P196" i="367"/>
  <c r="O196" i="367"/>
  <c r="N196" i="367"/>
  <c r="M196" i="367"/>
  <c r="L196" i="367"/>
  <c r="K196" i="367"/>
  <c r="J196" i="367"/>
  <c r="I196" i="367"/>
  <c r="H196" i="367"/>
  <c r="G196" i="367"/>
  <c r="F196" i="367"/>
  <c r="Q195" i="367"/>
  <c r="P195" i="367"/>
  <c r="M195" i="367"/>
  <c r="L195" i="367"/>
  <c r="I195" i="367"/>
  <c r="H195" i="367"/>
  <c r="Y194" i="367"/>
  <c r="X194" i="367"/>
  <c r="W194" i="367"/>
  <c r="V194" i="367"/>
  <c r="U194" i="367"/>
  <c r="R194" i="367"/>
  <c r="Q194" i="367"/>
  <c r="P194" i="367"/>
  <c r="O194" i="367"/>
  <c r="N194" i="367"/>
  <c r="M194" i="367"/>
  <c r="L194" i="367"/>
  <c r="K194" i="367"/>
  <c r="J194" i="367"/>
  <c r="I194" i="367"/>
  <c r="H194" i="367"/>
  <c r="G194" i="367"/>
  <c r="F194" i="367"/>
  <c r="Y193" i="367"/>
  <c r="X193" i="367"/>
  <c r="W193" i="367"/>
  <c r="V193" i="367"/>
  <c r="U193" i="367"/>
  <c r="R193" i="367"/>
  <c r="Q193" i="367"/>
  <c r="P193" i="367"/>
  <c r="O193" i="367"/>
  <c r="N193" i="367"/>
  <c r="M193" i="367"/>
  <c r="L193" i="367"/>
  <c r="K193" i="367"/>
  <c r="J193" i="367"/>
  <c r="I193" i="367"/>
  <c r="H193" i="367"/>
  <c r="G193" i="367"/>
  <c r="F193" i="367"/>
  <c r="Y192" i="367"/>
  <c r="X192" i="367"/>
  <c r="W192" i="367"/>
  <c r="V192" i="367"/>
  <c r="U192" i="367"/>
  <c r="R192" i="367"/>
  <c r="Q192" i="367"/>
  <c r="P192" i="367"/>
  <c r="O192" i="367"/>
  <c r="N192" i="367"/>
  <c r="M192" i="367"/>
  <c r="L192" i="367"/>
  <c r="K192" i="367"/>
  <c r="J192" i="367"/>
  <c r="I192" i="367"/>
  <c r="H192" i="367"/>
  <c r="G192" i="367"/>
  <c r="F192" i="367"/>
  <c r="Q191" i="367"/>
  <c r="P191" i="367"/>
  <c r="M191" i="367"/>
  <c r="L191" i="367"/>
  <c r="I191" i="367"/>
  <c r="H191" i="367"/>
  <c r="Q190" i="367"/>
  <c r="P190" i="367"/>
  <c r="O190" i="367"/>
  <c r="M190" i="367"/>
  <c r="L190" i="367"/>
  <c r="I190" i="367"/>
  <c r="H190" i="367"/>
  <c r="Q189" i="367"/>
  <c r="Q208" i="367" s="1"/>
  <c r="Q209" i="367" s="1"/>
  <c r="P189" i="367"/>
  <c r="P208" i="367" s="1"/>
  <c r="P209" i="367" s="1"/>
  <c r="M189" i="367"/>
  <c r="M208" i="367" s="1"/>
  <c r="M209" i="367" s="1"/>
  <c r="L189" i="367"/>
  <c r="L208" i="367" s="1"/>
  <c r="L209" i="367" s="1"/>
  <c r="I189" i="367"/>
  <c r="H189" i="367"/>
  <c r="U206" i="367"/>
  <c r="O188" i="367"/>
  <c r="O206" i="367" s="1"/>
  <c r="K188" i="367"/>
  <c r="K206" i="367" s="1"/>
  <c r="G188" i="367"/>
  <c r="G206" i="367" s="1"/>
  <c r="Y185" i="367"/>
  <c r="Y201" i="367" s="1"/>
  <c r="X185" i="367"/>
  <c r="X201" i="367" s="1"/>
  <c r="U185" i="367"/>
  <c r="U201" i="367" s="1"/>
  <c r="T185" i="367"/>
  <c r="O185" i="367"/>
  <c r="O201" i="367" s="1"/>
  <c r="N185" i="367"/>
  <c r="N201" i="367" s="1"/>
  <c r="K185" i="367"/>
  <c r="K201" i="367" s="1"/>
  <c r="J185" i="367"/>
  <c r="J201" i="367" s="1"/>
  <c r="G184" i="367"/>
  <c r="G200" i="367" s="1"/>
  <c r="T183" i="367"/>
  <c r="G183" i="367"/>
  <c r="G198" i="367" s="1"/>
  <c r="Y182" i="367"/>
  <c r="Y195" i="367" s="1"/>
  <c r="X182" i="367"/>
  <c r="X195" i="367" s="1"/>
  <c r="U182" i="367"/>
  <c r="U195" i="367" s="1"/>
  <c r="T182" i="367"/>
  <c r="R182" i="367"/>
  <c r="O182" i="367"/>
  <c r="O195" i="367" s="1"/>
  <c r="N182" i="367"/>
  <c r="N195" i="367" s="1"/>
  <c r="K182" i="367"/>
  <c r="K195" i="367" s="1"/>
  <c r="J182" i="367"/>
  <c r="J195" i="367" s="1"/>
  <c r="F182" i="367"/>
  <c r="F195" i="367" s="1"/>
  <c r="Y181" i="367"/>
  <c r="Y191" i="367" s="1"/>
  <c r="X181" i="367"/>
  <c r="X191" i="367" s="1"/>
  <c r="U181" i="367"/>
  <c r="U191" i="367" s="1"/>
  <c r="T181" i="367"/>
  <c r="R181" i="367"/>
  <c r="R191" i="367" s="1"/>
  <c r="O181" i="367"/>
  <c r="O191" i="367" s="1"/>
  <c r="N181" i="367"/>
  <c r="N191" i="367" s="1"/>
  <c r="K181" i="367"/>
  <c r="K191" i="367" s="1"/>
  <c r="J181" i="367"/>
  <c r="J191" i="367" s="1"/>
  <c r="G181" i="367"/>
  <c r="G191" i="367" s="1"/>
  <c r="Y180" i="367"/>
  <c r="Y190" i="367" s="1"/>
  <c r="X180" i="367"/>
  <c r="X190" i="367" s="1"/>
  <c r="U180" i="367"/>
  <c r="U190" i="367" s="1"/>
  <c r="T180" i="367"/>
  <c r="R180" i="367"/>
  <c r="R190" i="367" s="1"/>
  <c r="O180" i="367"/>
  <c r="N180" i="367"/>
  <c r="N190" i="367" s="1"/>
  <c r="K180" i="367"/>
  <c r="K190" i="367" s="1"/>
  <c r="J180" i="367"/>
  <c r="J190" i="367" s="1"/>
  <c r="F180" i="367"/>
  <c r="F190" i="367" s="1"/>
  <c r="Y179" i="367"/>
  <c r="Y189" i="367" s="1"/>
  <c r="Y208" i="367" s="1"/>
  <c r="Y209" i="367" s="1"/>
  <c r="X179" i="367"/>
  <c r="X189" i="367" s="1"/>
  <c r="X208" i="367" s="1"/>
  <c r="X209" i="367" s="1"/>
  <c r="U179" i="367"/>
  <c r="U189" i="367" s="1"/>
  <c r="U208" i="367" s="1"/>
  <c r="U209" i="367" s="1"/>
  <c r="T179" i="367"/>
  <c r="R179" i="367"/>
  <c r="R189" i="367" s="1"/>
  <c r="R208" i="367" s="1"/>
  <c r="R209" i="367" s="1"/>
  <c r="O179" i="367"/>
  <c r="O189" i="367" s="1"/>
  <c r="O208" i="367" s="1"/>
  <c r="O209" i="367" s="1"/>
  <c r="N179" i="367"/>
  <c r="K179" i="367"/>
  <c r="K189" i="367" s="1"/>
  <c r="K208" i="367" s="1"/>
  <c r="K209" i="367" s="1"/>
  <c r="J179" i="367"/>
  <c r="J189" i="367" s="1"/>
  <c r="J208" i="367" s="1"/>
  <c r="J209" i="367" s="1"/>
  <c r="F179" i="367"/>
  <c r="F189" i="367" s="1"/>
  <c r="F208" i="367" s="1"/>
  <c r="F209" i="367" s="1"/>
  <c r="F210" i="367" s="1"/>
  <c r="Q178" i="367"/>
  <c r="P178" i="367"/>
  <c r="M178" i="367"/>
  <c r="L178" i="367"/>
  <c r="I178" i="367"/>
  <c r="H178" i="367"/>
  <c r="T174" i="367"/>
  <c r="X173" i="367"/>
  <c r="Y173" i="367" s="1"/>
  <c r="W173" i="367"/>
  <c r="V173" i="367"/>
  <c r="S173" i="367"/>
  <c r="X172" i="367"/>
  <c r="Y172" i="367" s="1"/>
  <c r="W172" i="367"/>
  <c r="V172" i="367"/>
  <c r="S172" i="367"/>
  <c r="Q172" i="367"/>
  <c r="R171" i="367"/>
  <c r="M169" i="367"/>
  <c r="M174" i="367" s="1"/>
  <c r="L169" i="367"/>
  <c r="L174" i="367" s="1"/>
  <c r="I169" i="367"/>
  <c r="I174" i="367" s="1"/>
  <c r="H169" i="367"/>
  <c r="H174" i="367" s="1"/>
  <c r="R168" i="367"/>
  <c r="R163" i="367" s="1"/>
  <c r="V163" i="367" s="1"/>
  <c r="W167" i="367"/>
  <c r="V167" i="367"/>
  <c r="S167" i="367"/>
  <c r="W166" i="367"/>
  <c r="V166" i="367"/>
  <c r="S166" i="367"/>
  <c r="W165" i="367"/>
  <c r="V165" i="367"/>
  <c r="S165" i="367"/>
  <c r="W164" i="367"/>
  <c r="V164" i="367"/>
  <c r="S164" i="367"/>
  <c r="Y162" i="367"/>
  <c r="X162" i="367"/>
  <c r="R162" i="367"/>
  <c r="V162" i="367" s="1"/>
  <c r="W161" i="367"/>
  <c r="V161" i="367"/>
  <c r="S161" i="367"/>
  <c r="W160" i="367"/>
  <c r="V160" i="367"/>
  <c r="S160" i="367"/>
  <c r="W159" i="367"/>
  <c r="V159" i="367"/>
  <c r="S159" i="367"/>
  <c r="W158" i="367"/>
  <c r="V158" i="367"/>
  <c r="S158" i="367"/>
  <c r="W157" i="367"/>
  <c r="V157" i="367"/>
  <c r="S157" i="367"/>
  <c r="Y155" i="367"/>
  <c r="Y150" i="367" s="1"/>
  <c r="X155" i="367"/>
  <c r="X150" i="367" s="1"/>
  <c r="R155" i="367"/>
  <c r="W155" i="367" s="1"/>
  <c r="W154" i="367"/>
  <c r="V154" i="367"/>
  <c r="S154" i="367"/>
  <c r="W153" i="367"/>
  <c r="V153" i="367"/>
  <c r="S153" i="367"/>
  <c r="W152" i="367"/>
  <c r="V152" i="367"/>
  <c r="S152" i="367"/>
  <c r="W151" i="367"/>
  <c r="V151" i="367"/>
  <c r="S151" i="367"/>
  <c r="R148" i="367"/>
  <c r="W148" i="367" s="1"/>
  <c r="R147" i="367"/>
  <c r="R146" i="367"/>
  <c r="W146" i="367" s="1"/>
  <c r="R145" i="367"/>
  <c r="R144" i="367"/>
  <c r="W144" i="367" s="1"/>
  <c r="W143" i="367"/>
  <c r="V143" i="367"/>
  <c r="S143" i="367"/>
  <c r="Y142" i="367"/>
  <c r="X142" i="367"/>
  <c r="U142" i="367"/>
  <c r="R141" i="367"/>
  <c r="S141" i="367" s="1"/>
  <c r="R140" i="367"/>
  <c r="S139" i="367"/>
  <c r="N139" i="367"/>
  <c r="J139" i="367"/>
  <c r="V139" i="367" s="1"/>
  <c r="R138" i="367"/>
  <c r="N138" i="367"/>
  <c r="J138" i="367"/>
  <c r="V137" i="367"/>
  <c r="S137" i="367"/>
  <c r="N137" i="367"/>
  <c r="J137" i="367"/>
  <c r="W137" i="367" s="1"/>
  <c r="U136" i="367"/>
  <c r="R135" i="367"/>
  <c r="N135" i="367"/>
  <c r="J135" i="367"/>
  <c r="S134" i="367"/>
  <c r="N134" i="367"/>
  <c r="J134" i="367"/>
  <c r="R133" i="367"/>
  <c r="N133" i="367"/>
  <c r="J133" i="367"/>
  <c r="W131" i="367"/>
  <c r="V131" i="367"/>
  <c r="S131" i="367"/>
  <c r="R130" i="367"/>
  <c r="R129" i="367" s="1"/>
  <c r="N130" i="367"/>
  <c r="N129" i="367" s="1"/>
  <c r="J130" i="367"/>
  <c r="J129" i="367" s="1"/>
  <c r="Y122" i="367"/>
  <c r="X122" i="367"/>
  <c r="U129" i="367"/>
  <c r="R127" i="367"/>
  <c r="S127" i="367" s="1"/>
  <c r="N127" i="367"/>
  <c r="J127" i="367"/>
  <c r="R126" i="367"/>
  <c r="S126" i="367" s="1"/>
  <c r="N126" i="367"/>
  <c r="J126" i="367"/>
  <c r="R125" i="367"/>
  <c r="S125" i="367" s="1"/>
  <c r="N125" i="367"/>
  <c r="J125" i="367"/>
  <c r="R124" i="367"/>
  <c r="S124" i="367" s="1"/>
  <c r="N124" i="367"/>
  <c r="J124" i="367"/>
  <c r="O122" i="367"/>
  <c r="K122" i="367"/>
  <c r="N188" i="367"/>
  <c r="N206" i="367" s="1"/>
  <c r="J188" i="367"/>
  <c r="J206" i="367" s="1"/>
  <c r="F188" i="367"/>
  <c r="F206" i="367" s="1"/>
  <c r="W121" i="367"/>
  <c r="W182" i="367" s="1"/>
  <c r="W195" i="367" s="1"/>
  <c r="V121" i="367"/>
  <c r="V182" i="367" s="1"/>
  <c r="V195" i="367" s="1"/>
  <c r="S121" i="367"/>
  <c r="S182" i="367" s="1"/>
  <c r="G121" i="367"/>
  <c r="G182" i="367" s="1"/>
  <c r="G195" i="367" s="1"/>
  <c r="W120" i="367"/>
  <c r="W180" i="367" s="1"/>
  <c r="W190" i="367" s="1"/>
  <c r="V120" i="367"/>
  <c r="V180" i="367" s="1"/>
  <c r="V190" i="367" s="1"/>
  <c r="S120" i="367"/>
  <c r="S180" i="367" s="1"/>
  <c r="G120" i="367"/>
  <c r="G180" i="367" s="1"/>
  <c r="G190" i="367" s="1"/>
  <c r="W119" i="367"/>
  <c r="W179" i="367" s="1"/>
  <c r="W189" i="367" s="1"/>
  <c r="W208" i="367" s="1"/>
  <c r="W209" i="367" s="1"/>
  <c r="V119" i="367"/>
  <c r="V179" i="367" s="1"/>
  <c r="V189" i="367" s="1"/>
  <c r="V208" i="367" s="1"/>
  <c r="V209" i="367" s="1"/>
  <c r="S119" i="367"/>
  <c r="S179" i="367" s="1"/>
  <c r="G119" i="367"/>
  <c r="G179" i="367" s="1"/>
  <c r="W118" i="367"/>
  <c r="V118" i="367"/>
  <c r="S118" i="367"/>
  <c r="G118" i="367"/>
  <c r="G185" i="367" s="1"/>
  <c r="G201" i="367" s="1"/>
  <c r="R117" i="367"/>
  <c r="M117" i="367"/>
  <c r="I117" i="367"/>
  <c r="F117" i="367"/>
  <c r="F185" i="367" s="1"/>
  <c r="F201" i="367" s="1"/>
  <c r="Y116" i="367"/>
  <c r="X116" i="367"/>
  <c r="U116" i="367"/>
  <c r="O116" i="367"/>
  <c r="N116" i="367"/>
  <c r="K116" i="367"/>
  <c r="J116" i="367"/>
  <c r="F116" i="367"/>
  <c r="W115" i="367"/>
  <c r="W181" i="367" s="1"/>
  <c r="W191" i="367" s="1"/>
  <c r="V115" i="367"/>
  <c r="V181" i="367" s="1"/>
  <c r="V191" i="367" s="1"/>
  <c r="S115" i="367"/>
  <c r="S181" i="367" s="1"/>
  <c r="F115" i="367"/>
  <c r="F181" i="367" s="1"/>
  <c r="F191" i="367" s="1"/>
  <c r="W114" i="367"/>
  <c r="V114" i="367"/>
  <c r="S114" i="367"/>
  <c r="F114" i="367"/>
  <c r="F113" i="367" s="1"/>
  <c r="W113" i="367"/>
  <c r="V113" i="367"/>
  <c r="S113" i="367"/>
  <c r="W112" i="367"/>
  <c r="V112" i="367"/>
  <c r="S112" i="367"/>
  <c r="F112" i="367"/>
  <c r="W111" i="367"/>
  <c r="V111" i="367"/>
  <c r="S111" i="367"/>
  <c r="F111" i="367"/>
  <c r="W110" i="367"/>
  <c r="V110" i="367"/>
  <c r="S110" i="367"/>
  <c r="F110" i="367"/>
  <c r="W109" i="367"/>
  <c r="V109" i="367"/>
  <c r="S109" i="367"/>
  <c r="F109" i="367"/>
  <c r="F108" i="367" s="1"/>
  <c r="W108" i="367"/>
  <c r="V108" i="367"/>
  <c r="S108" i="367"/>
  <c r="W107" i="367"/>
  <c r="V107" i="367"/>
  <c r="S107" i="367"/>
  <c r="F107" i="367"/>
  <c r="W106" i="367"/>
  <c r="V106" i="367"/>
  <c r="S106" i="367"/>
  <c r="F106" i="367"/>
  <c r="W105" i="367"/>
  <c r="V105" i="367"/>
  <c r="S105" i="367"/>
  <c r="F105" i="367"/>
  <c r="F104" i="367" s="1"/>
  <c r="W104" i="367"/>
  <c r="V104" i="367"/>
  <c r="S104" i="367"/>
  <c r="W103" i="367"/>
  <c r="V103" i="367"/>
  <c r="S103" i="367"/>
  <c r="W102" i="367"/>
  <c r="V102" i="367"/>
  <c r="S102" i="367"/>
  <c r="F102" i="367"/>
  <c r="W101" i="367"/>
  <c r="V101" i="367"/>
  <c r="S101" i="367"/>
  <c r="F101" i="367"/>
  <c r="W100" i="367"/>
  <c r="V100" i="367"/>
  <c r="S100" i="367"/>
  <c r="F100" i="367"/>
  <c r="W99" i="367"/>
  <c r="V99" i="367"/>
  <c r="S99" i="367"/>
  <c r="F99" i="367"/>
  <c r="F103" i="367" s="1"/>
  <c r="F98" i="367" s="1"/>
  <c r="W98" i="367"/>
  <c r="V98" i="367"/>
  <c r="S98" i="367"/>
  <c r="W97" i="367"/>
  <c r="V97" i="367"/>
  <c r="S97" i="367"/>
  <c r="F97" i="367"/>
  <c r="F96" i="367" s="1"/>
  <c r="F186" i="367" s="1"/>
  <c r="F202" i="367" s="1"/>
  <c r="W96" i="367"/>
  <c r="V96" i="367"/>
  <c r="S96" i="367"/>
  <c r="W95" i="367"/>
  <c r="V95" i="367"/>
  <c r="S95" i="367"/>
  <c r="W94" i="367"/>
  <c r="V94" i="367"/>
  <c r="U94" i="367"/>
  <c r="U93" i="367" s="1"/>
  <c r="S94" i="367"/>
  <c r="O94" i="367"/>
  <c r="O93" i="367" s="1"/>
  <c r="K94" i="367"/>
  <c r="K93" i="367" s="1"/>
  <c r="W93" i="367"/>
  <c r="V93" i="367"/>
  <c r="S93" i="367"/>
  <c r="W92" i="367"/>
  <c r="V92" i="367"/>
  <c r="U92" i="367"/>
  <c r="S92" i="367"/>
  <c r="O92" i="367"/>
  <c r="K92" i="367"/>
  <c r="W91" i="367"/>
  <c r="V91" i="367"/>
  <c r="U91" i="367"/>
  <c r="S91" i="367"/>
  <c r="O91" i="367"/>
  <c r="K91" i="367"/>
  <c r="W90" i="367"/>
  <c r="V90" i="367"/>
  <c r="U90" i="367"/>
  <c r="S90" i="367"/>
  <c r="O90" i="367"/>
  <c r="K90" i="367"/>
  <c r="W89" i="367"/>
  <c r="V89" i="367"/>
  <c r="U89" i="367"/>
  <c r="S89" i="367"/>
  <c r="O89" i="367"/>
  <c r="K89" i="367"/>
  <c r="W88" i="367"/>
  <c r="V88" i="367"/>
  <c r="S88" i="367"/>
  <c r="R87" i="367"/>
  <c r="N87" i="367"/>
  <c r="J87" i="367"/>
  <c r="G87" i="367"/>
  <c r="F87" i="367"/>
  <c r="W86" i="367"/>
  <c r="V86" i="367"/>
  <c r="U86" i="367"/>
  <c r="S86" i="367"/>
  <c r="O86" i="367"/>
  <c r="K86" i="367"/>
  <c r="W85" i="367"/>
  <c r="V85" i="367"/>
  <c r="U85" i="367"/>
  <c r="S85" i="367"/>
  <c r="O85" i="367"/>
  <c r="K85" i="367"/>
  <c r="W84" i="367"/>
  <c r="V84" i="367"/>
  <c r="S84" i="367"/>
  <c r="W83" i="367"/>
  <c r="V83" i="367"/>
  <c r="U83" i="367"/>
  <c r="U82" i="367" s="1"/>
  <c r="S83" i="367"/>
  <c r="O83" i="367"/>
  <c r="O82" i="367" s="1"/>
  <c r="K83" i="367"/>
  <c r="W82" i="367"/>
  <c r="V82" i="367"/>
  <c r="S82" i="367"/>
  <c r="K82" i="367"/>
  <c r="W81" i="367"/>
  <c r="V81" i="367"/>
  <c r="S81" i="367"/>
  <c r="O81" i="367"/>
  <c r="O80" i="367" s="1"/>
  <c r="K81" i="367"/>
  <c r="K80" i="367" s="1"/>
  <c r="G81" i="367"/>
  <c r="W80" i="367"/>
  <c r="V80" i="367"/>
  <c r="S80" i="367"/>
  <c r="G80" i="367"/>
  <c r="W79" i="367"/>
  <c r="V79" i="367"/>
  <c r="S79" i="367"/>
  <c r="O79" i="367"/>
  <c r="K79" i="367"/>
  <c r="G79" i="367"/>
  <c r="W78" i="367"/>
  <c r="V78" i="367"/>
  <c r="U78" i="367"/>
  <c r="U77" i="367" s="1"/>
  <c r="S78" i="367"/>
  <c r="O78" i="367"/>
  <c r="K78" i="367"/>
  <c r="G78" i="367"/>
  <c r="W77" i="367"/>
  <c r="V77" i="367"/>
  <c r="S77" i="367"/>
  <c r="W76" i="367"/>
  <c r="V76" i="367"/>
  <c r="S76" i="367"/>
  <c r="W75" i="367"/>
  <c r="V75" i="367"/>
  <c r="U75" i="367"/>
  <c r="S75" i="367"/>
  <c r="O75" i="367"/>
  <c r="K75" i="367"/>
  <c r="W74" i="367"/>
  <c r="V74" i="367"/>
  <c r="U74" i="367"/>
  <c r="S74" i="367"/>
  <c r="W73" i="367"/>
  <c r="V73" i="367"/>
  <c r="S73" i="367"/>
  <c r="W72" i="367"/>
  <c r="V72" i="367"/>
  <c r="S72" i="367"/>
  <c r="S71" i="367"/>
  <c r="N71" i="367"/>
  <c r="X71" i="367" s="1"/>
  <c r="J71" i="367"/>
  <c r="W71" i="367" s="1"/>
  <c r="R70" i="367"/>
  <c r="N70" i="367"/>
  <c r="X70" i="367" s="1"/>
  <c r="J70" i="367"/>
  <c r="S69" i="367"/>
  <c r="S68" i="367"/>
  <c r="N68" i="367"/>
  <c r="X68" i="367" s="1"/>
  <c r="J68" i="367"/>
  <c r="W68" i="367" s="1"/>
  <c r="S67" i="367"/>
  <c r="N67" i="367"/>
  <c r="J67" i="367"/>
  <c r="X66" i="367"/>
  <c r="W66" i="367"/>
  <c r="V66" i="367"/>
  <c r="S66" i="367"/>
  <c r="X65" i="367"/>
  <c r="W65" i="367"/>
  <c r="V65" i="367"/>
  <c r="S65" i="367"/>
  <c r="S64" i="367"/>
  <c r="S63" i="367"/>
  <c r="N63" i="367"/>
  <c r="X63" i="367" s="1"/>
  <c r="J63" i="367"/>
  <c r="V63" i="367" s="1"/>
  <c r="S62" i="367"/>
  <c r="N62" i="367"/>
  <c r="X62" i="367" s="1"/>
  <c r="J62" i="367"/>
  <c r="W62" i="367" s="1"/>
  <c r="S61" i="367"/>
  <c r="N61" i="367"/>
  <c r="X61" i="367" s="1"/>
  <c r="J61" i="367"/>
  <c r="S60" i="367"/>
  <c r="S59" i="367"/>
  <c r="N59" i="367"/>
  <c r="X59" i="367" s="1"/>
  <c r="J59" i="367"/>
  <c r="S58" i="367"/>
  <c r="N58" i="367"/>
  <c r="X58" i="367" s="1"/>
  <c r="J58" i="367"/>
  <c r="S57" i="367"/>
  <c r="N57" i="367"/>
  <c r="X57" i="367" s="1"/>
  <c r="J57" i="367"/>
  <c r="S56" i="367"/>
  <c r="S55" i="367"/>
  <c r="S54" i="367"/>
  <c r="N54" i="367"/>
  <c r="X54" i="367" s="1"/>
  <c r="J54" i="367"/>
  <c r="W54" i="367" s="1"/>
  <c r="S53" i="367"/>
  <c r="N53" i="367"/>
  <c r="X53" i="367" s="1"/>
  <c r="J53" i="367"/>
  <c r="S52" i="367"/>
  <c r="N52" i="367"/>
  <c r="X52" i="367" s="1"/>
  <c r="J52" i="367"/>
  <c r="W52" i="367" s="1"/>
  <c r="S51" i="367"/>
  <c r="Y50" i="367"/>
  <c r="U50" i="367"/>
  <c r="R50" i="367"/>
  <c r="O50" i="367"/>
  <c r="K50" i="367"/>
  <c r="W49" i="367"/>
  <c r="V49" i="367"/>
  <c r="S49" i="367"/>
  <c r="F49" i="367"/>
  <c r="R48" i="367"/>
  <c r="R47" i="367" s="1"/>
  <c r="F48" i="367"/>
  <c r="R46" i="367"/>
  <c r="W46" i="367" s="1"/>
  <c r="F46" i="367"/>
  <c r="R45" i="367"/>
  <c r="S45" i="367" s="1"/>
  <c r="F45" i="367"/>
  <c r="R44" i="367"/>
  <c r="F44" i="367"/>
  <c r="R42" i="367"/>
  <c r="R41" i="367"/>
  <c r="Y40" i="367"/>
  <c r="Y33" i="367" s="1"/>
  <c r="F40" i="367"/>
  <c r="R38" i="367"/>
  <c r="S38" i="367" s="1"/>
  <c r="F38" i="367"/>
  <c r="R37" i="367"/>
  <c r="W37" i="367" s="1"/>
  <c r="F37" i="367"/>
  <c r="R36" i="367"/>
  <c r="S36" i="367" s="1"/>
  <c r="F36" i="367"/>
  <c r="R35" i="367"/>
  <c r="F35" i="367"/>
  <c r="X33" i="367"/>
  <c r="X32" i="367"/>
  <c r="Y32" i="367" s="1"/>
  <c r="W32" i="367"/>
  <c r="V32" i="367"/>
  <c r="S32" i="367"/>
  <c r="X31" i="367"/>
  <c r="Y31" i="367" s="1"/>
  <c r="W31" i="367"/>
  <c r="V31" i="367"/>
  <c r="S31" i="367"/>
  <c r="F31" i="367"/>
  <c r="R30" i="367"/>
  <c r="S30" i="367" s="1"/>
  <c r="F30" i="367"/>
  <c r="R29" i="367"/>
  <c r="N29" i="367"/>
  <c r="N28" i="367" s="1"/>
  <c r="J29" i="367"/>
  <c r="J28" i="367" s="1"/>
  <c r="F29" i="367"/>
  <c r="X27" i="367"/>
  <c r="Y27" i="367" s="1"/>
  <c r="U27" i="367"/>
  <c r="S27" i="367"/>
  <c r="N27" i="367"/>
  <c r="N26" i="367" s="1"/>
  <c r="J27" i="367"/>
  <c r="F27" i="367"/>
  <c r="F26" i="367" s="1"/>
  <c r="R26" i="367"/>
  <c r="X25" i="367"/>
  <c r="Y25" i="367" s="1"/>
  <c r="W25" i="367"/>
  <c r="V25" i="367"/>
  <c r="U25" i="367"/>
  <c r="S25" i="367"/>
  <c r="R24" i="367"/>
  <c r="R23" i="367"/>
  <c r="R22" i="367"/>
  <c r="S21" i="367"/>
  <c r="N21" i="367"/>
  <c r="N19" i="367" s="1"/>
  <c r="J21" i="367"/>
  <c r="W21" i="367" s="1"/>
  <c r="F21" i="367"/>
  <c r="F19" i="367" s="1"/>
  <c r="R20" i="367"/>
  <c r="S20" i="367" s="1"/>
  <c r="Y19" i="367"/>
  <c r="X19" i="367"/>
  <c r="U19" i="367"/>
  <c r="W18" i="367"/>
  <c r="V18" i="367"/>
  <c r="S18" i="367"/>
  <c r="W17" i="367"/>
  <c r="V17" i="367"/>
  <c r="S17" i="367"/>
  <c r="W16" i="367"/>
  <c r="V16" i="367"/>
  <c r="S16" i="367"/>
  <c r="Q15" i="367"/>
  <c r="Q169" i="367" s="1"/>
  <c r="P15" i="367"/>
  <c r="P169" i="367" s="1"/>
  <c r="G15" i="367"/>
  <c r="V49" i="366"/>
  <c r="U49" i="366"/>
  <c r="S49" i="366"/>
  <c r="R49" i="366"/>
  <c r="P49" i="366"/>
  <c r="O49" i="366"/>
  <c r="M49" i="366"/>
  <c r="M46" i="366" s="1"/>
  <c r="L49" i="366"/>
  <c r="L46" i="366" s="1"/>
  <c r="J49" i="366"/>
  <c r="J46" i="366" s="1"/>
  <c r="I49" i="366"/>
  <c r="I46" i="366" s="1"/>
  <c r="V48" i="366"/>
  <c r="U48" i="366"/>
  <c r="S48" i="366"/>
  <c r="S46" i="366" s="1"/>
  <c r="R48" i="366"/>
  <c r="P48" i="366"/>
  <c r="O48" i="366"/>
  <c r="V47" i="366"/>
  <c r="V46" i="366" s="1"/>
  <c r="U47" i="366"/>
  <c r="S47" i="366"/>
  <c r="R47" i="366"/>
  <c r="P47" i="366"/>
  <c r="P46" i="366" s="1"/>
  <c r="O47" i="366"/>
  <c r="Y44" i="366"/>
  <c r="W44" i="366"/>
  <c r="T44" i="366"/>
  <c r="Q44" i="366"/>
  <c r="N44" i="366"/>
  <c r="K44" i="366"/>
  <c r="W43" i="366"/>
  <c r="W42" i="366" s="1"/>
  <c r="T43" i="366"/>
  <c r="Q43" i="366"/>
  <c r="Y43" i="366" s="1"/>
  <c r="N43" i="366"/>
  <c r="K43" i="366"/>
  <c r="H43" i="366"/>
  <c r="H42" i="366" s="1"/>
  <c r="T42" i="366"/>
  <c r="N41" i="366"/>
  <c r="K41" i="366"/>
  <c r="Y41" i="366" s="1"/>
  <c r="H41" i="366"/>
  <c r="Y40" i="366"/>
  <c r="X40" i="366"/>
  <c r="H40" i="366"/>
  <c r="X39" i="366"/>
  <c r="W39" i="366"/>
  <c r="T39" i="366"/>
  <c r="Q39" i="366"/>
  <c r="Y39" i="366" s="1"/>
  <c r="H39" i="366"/>
  <c r="N38" i="366"/>
  <c r="N37" i="366" s="1"/>
  <c r="K38" i="366"/>
  <c r="X38" i="366" s="1"/>
  <c r="H38" i="366"/>
  <c r="H37" i="366" s="1"/>
  <c r="W37" i="366"/>
  <c r="T37" i="366"/>
  <c r="Q37" i="366"/>
  <c r="K37" i="366"/>
  <c r="N36" i="366"/>
  <c r="K36" i="366"/>
  <c r="H36" i="366"/>
  <c r="W35" i="366"/>
  <c r="W34" i="366" s="1"/>
  <c r="T35" i="366"/>
  <c r="T34" i="366" s="1"/>
  <c r="Q35" i="366"/>
  <c r="N35" i="366"/>
  <c r="K35" i="366"/>
  <c r="H35" i="366"/>
  <c r="Q34" i="366"/>
  <c r="W32" i="366"/>
  <c r="T32" i="366"/>
  <c r="Q32" i="366"/>
  <c r="N32" i="366"/>
  <c r="K32" i="366"/>
  <c r="K33" i="366" s="1"/>
  <c r="H32" i="366"/>
  <c r="W31" i="366"/>
  <c r="W33" i="366" s="1"/>
  <c r="W30" i="366" s="1"/>
  <c r="T31" i="366"/>
  <c r="Q31" i="366"/>
  <c r="Y31" i="366" s="1"/>
  <c r="N31" i="366"/>
  <c r="K31" i="366"/>
  <c r="H31" i="366"/>
  <c r="W28" i="366"/>
  <c r="T28" i="366"/>
  <c r="Q28" i="366"/>
  <c r="N28" i="366"/>
  <c r="K28" i="366"/>
  <c r="H28" i="366"/>
  <c r="W27" i="366"/>
  <c r="T27" i="366"/>
  <c r="Q27" i="366"/>
  <c r="Y27" i="366" s="1"/>
  <c r="N27" i="366"/>
  <c r="K27" i="366"/>
  <c r="H26" i="366"/>
  <c r="N25" i="366"/>
  <c r="K25" i="366"/>
  <c r="Y25" i="366" s="1"/>
  <c r="H25" i="366"/>
  <c r="W24" i="366"/>
  <c r="W22" i="366" s="1"/>
  <c r="T24" i="366"/>
  <c r="T22" i="366" s="1"/>
  <c r="Q24" i="366"/>
  <c r="Q22" i="366" s="1"/>
  <c r="N24" i="366"/>
  <c r="N22" i="366" s="1"/>
  <c r="K24" i="366"/>
  <c r="H24" i="366"/>
  <c r="H22" i="366" s="1"/>
  <c r="N23" i="366"/>
  <c r="K23" i="366"/>
  <c r="H23" i="366"/>
  <c r="K22" i="366"/>
  <c r="N21" i="366"/>
  <c r="K21" i="366"/>
  <c r="Y21" i="366" s="1"/>
  <c r="H21" i="366"/>
  <c r="W20" i="366"/>
  <c r="W19" i="366" s="1"/>
  <c r="T20" i="366"/>
  <c r="T19" i="366" s="1"/>
  <c r="Q20" i="366"/>
  <c r="N20" i="366"/>
  <c r="K20" i="366"/>
  <c r="K19" i="366" s="1"/>
  <c r="H20" i="366"/>
  <c r="N19" i="366"/>
  <c r="W17" i="366"/>
  <c r="T17" i="366"/>
  <c r="Q17" i="366"/>
  <c r="X17" i="366" s="1"/>
  <c r="N16" i="366"/>
  <c r="K16" i="366"/>
  <c r="H16" i="366"/>
  <c r="W15" i="366"/>
  <c r="T15" i="366"/>
  <c r="Q15" i="366"/>
  <c r="N15" i="366"/>
  <c r="K15" i="366"/>
  <c r="H15" i="366"/>
  <c r="W14" i="366"/>
  <c r="T14" i="366"/>
  <c r="Q14" i="366"/>
  <c r="N14" i="366"/>
  <c r="N18" i="366" s="1"/>
  <c r="N13" i="366" s="1"/>
  <c r="K14" i="366"/>
  <c r="H14" i="366"/>
  <c r="U184" i="367" l="1"/>
  <c r="Q426" i="368"/>
  <c r="Q160" i="368"/>
  <c r="Z348" i="368"/>
  <c r="AA366" i="368"/>
  <c r="Q18" i="366"/>
  <c r="Q13" i="366" s="1"/>
  <c r="Y20" i="366"/>
  <c r="N334" i="368"/>
  <c r="V334" i="368"/>
  <c r="H350" i="368"/>
  <c r="Y372" i="368"/>
  <c r="H19" i="366"/>
  <c r="T49" i="366"/>
  <c r="S586" i="364" s="1"/>
  <c r="N26" i="366"/>
  <c r="N12" i="366" s="1"/>
  <c r="N33" i="366"/>
  <c r="N30" i="366" s="1"/>
  <c r="H34" i="366"/>
  <c r="N34" i="366"/>
  <c r="Y38" i="366"/>
  <c r="X41" i="366"/>
  <c r="U46" i="366"/>
  <c r="R151" i="368"/>
  <c r="H148" i="368"/>
  <c r="H147" i="368" s="1"/>
  <c r="K204" i="368"/>
  <c r="Z237" i="368"/>
  <c r="AA260" i="368"/>
  <c r="AA333" i="368"/>
  <c r="N381" i="368"/>
  <c r="H346" i="368"/>
  <c r="K369" i="368"/>
  <c r="Z364" i="368"/>
  <c r="N372" i="368"/>
  <c r="V387" i="368"/>
  <c r="AA396" i="368"/>
  <c r="Q427" i="368"/>
  <c r="Z24" i="368"/>
  <c r="H224" i="368"/>
  <c r="Z228" i="368"/>
  <c r="K424" i="368"/>
  <c r="Z392" i="368"/>
  <c r="V61" i="368"/>
  <c r="Q154" i="368"/>
  <c r="Q149" i="368" s="1"/>
  <c r="Z196" i="368"/>
  <c r="Z197" i="368"/>
  <c r="Q302" i="368"/>
  <c r="R302" i="368" s="1"/>
  <c r="Z298" i="368"/>
  <c r="N17" i="368"/>
  <c r="Z28" i="368"/>
  <c r="AA58" i="368"/>
  <c r="H66" i="368"/>
  <c r="H423" i="368" s="1"/>
  <c r="V69" i="368"/>
  <c r="S107" i="368"/>
  <c r="V167" i="368"/>
  <c r="Y51" i="368"/>
  <c r="Y47" i="368" s="1"/>
  <c r="Y34" i="368" s="1"/>
  <c r="Y33" i="368" s="1"/>
  <c r="AA134" i="368"/>
  <c r="S138" i="368"/>
  <c r="N13" i="368"/>
  <c r="Y61" i="368"/>
  <c r="Z138" i="368"/>
  <c r="Z211" i="368"/>
  <c r="R246" i="368"/>
  <c r="AA278" i="368"/>
  <c r="N324" i="368"/>
  <c r="N319" i="368" s="1"/>
  <c r="AA323" i="368"/>
  <c r="N330" i="368"/>
  <c r="Z351" i="368"/>
  <c r="H13" i="368"/>
  <c r="H39" i="368"/>
  <c r="Z67" i="368"/>
  <c r="K92" i="368"/>
  <c r="Q421" i="368"/>
  <c r="Y426" i="368"/>
  <c r="AA102" i="368"/>
  <c r="AA115" i="368"/>
  <c r="R153" i="368"/>
  <c r="AA163" i="368"/>
  <c r="AA181" i="368"/>
  <c r="R200" i="368"/>
  <c r="Z205" i="368"/>
  <c r="AA210" i="368"/>
  <c r="Z266" i="368"/>
  <c r="H284" i="368"/>
  <c r="N284" i="368"/>
  <c r="H289" i="368"/>
  <c r="AA299" i="368"/>
  <c r="Z329" i="368"/>
  <c r="K346" i="368"/>
  <c r="H17" i="368"/>
  <c r="R232" i="368"/>
  <c r="AA232" i="368"/>
  <c r="R256" i="368"/>
  <c r="Q255" i="368"/>
  <c r="Z315" i="368"/>
  <c r="Q313" i="368"/>
  <c r="R313" i="368" s="1"/>
  <c r="R315" i="368"/>
  <c r="AA342" i="368"/>
  <c r="Z342" i="368"/>
  <c r="AA57" i="368"/>
  <c r="Z57" i="368"/>
  <c r="Z129" i="368"/>
  <c r="AA129" i="368"/>
  <c r="S129" i="368"/>
  <c r="AA31" i="368"/>
  <c r="N114" i="368"/>
  <c r="N105" i="368" s="1"/>
  <c r="Z133" i="368"/>
  <c r="AA133" i="368"/>
  <c r="Z143" i="368"/>
  <c r="AA143" i="368"/>
  <c r="S143" i="368"/>
  <c r="S423" i="368" s="1"/>
  <c r="R275" i="368"/>
  <c r="R277" i="368"/>
  <c r="AA277" i="368"/>
  <c r="Z277" i="368"/>
  <c r="V309" i="368"/>
  <c r="V305" i="368" s="1"/>
  <c r="V304" i="368" s="1"/>
  <c r="V303" i="368" s="1"/>
  <c r="K32" i="368"/>
  <c r="K27" i="368" s="1"/>
  <c r="Q61" i="368"/>
  <c r="R61" i="368" s="1"/>
  <c r="Z109" i="368"/>
  <c r="R109" i="368"/>
  <c r="AA130" i="368"/>
  <c r="S133" i="368"/>
  <c r="H183" i="368"/>
  <c r="H182" i="368" s="1"/>
  <c r="R238" i="368"/>
  <c r="Z264" i="368"/>
  <c r="N279" i="368"/>
  <c r="N267" i="368" s="1"/>
  <c r="AA270" i="368"/>
  <c r="Z270" i="368"/>
  <c r="AA300" i="368"/>
  <c r="Z300" i="368"/>
  <c r="Z314" i="368"/>
  <c r="Y324" i="368"/>
  <c r="Y319" i="368" s="1"/>
  <c r="AA93" i="368"/>
  <c r="N92" i="368"/>
  <c r="AA97" i="368"/>
  <c r="Z107" i="368"/>
  <c r="AA173" i="368"/>
  <c r="Z180" i="368"/>
  <c r="AA189" i="368"/>
  <c r="K302" i="368"/>
  <c r="K296" i="368" s="1"/>
  <c r="H310" i="368"/>
  <c r="H304" i="368" s="1"/>
  <c r="H303" i="368" s="1"/>
  <c r="H387" i="368"/>
  <c r="AA50" i="368"/>
  <c r="V60" i="368"/>
  <c r="V54" i="368" s="1"/>
  <c r="N61" i="368"/>
  <c r="H92" i="368"/>
  <c r="V92" i="368"/>
  <c r="AA95" i="368"/>
  <c r="H99" i="368"/>
  <c r="Z103" i="368"/>
  <c r="AA103" i="368"/>
  <c r="N116" i="368"/>
  <c r="Y121" i="368"/>
  <c r="Y167" i="368"/>
  <c r="Y423" i="368" s="1"/>
  <c r="AA169" i="368"/>
  <c r="Y242" i="368"/>
  <c r="Y231" i="368" s="1"/>
  <c r="K259" i="368"/>
  <c r="Z259" i="368" s="1"/>
  <c r="AA295" i="368"/>
  <c r="H334" i="368"/>
  <c r="R349" i="368"/>
  <c r="H362" i="368"/>
  <c r="R368" i="368"/>
  <c r="R84" i="368"/>
  <c r="Z84" i="368"/>
  <c r="AA19" i="368"/>
  <c r="Z19" i="368"/>
  <c r="H51" i="368"/>
  <c r="H47" i="368"/>
  <c r="Z71" i="368"/>
  <c r="R71" i="368"/>
  <c r="Z101" i="368"/>
  <c r="AA101" i="368"/>
  <c r="Q99" i="368"/>
  <c r="Z128" i="368"/>
  <c r="AA128" i="368"/>
  <c r="Z132" i="368"/>
  <c r="AA132" i="368"/>
  <c r="Z335" i="368"/>
  <c r="R335" i="368"/>
  <c r="Z394" i="368"/>
  <c r="AA16" i="368"/>
  <c r="Z16" i="368"/>
  <c r="K13" i="368"/>
  <c r="Z13" i="368" s="1"/>
  <c r="Z26" i="368"/>
  <c r="Q25" i="368"/>
  <c r="R25" i="368" s="1"/>
  <c r="AA26" i="368"/>
  <c r="K66" i="368"/>
  <c r="AA66" i="368" s="1"/>
  <c r="Z68" i="368"/>
  <c r="K76" i="368"/>
  <c r="S101" i="368"/>
  <c r="AA122" i="368"/>
  <c r="K121" i="368"/>
  <c r="AA125" i="368"/>
  <c r="Q127" i="368"/>
  <c r="Z127" i="368" s="1"/>
  <c r="S128" i="368"/>
  <c r="S132" i="368"/>
  <c r="V149" i="368"/>
  <c r="V148" i="368" s="1"/>
  <c r="V147" i="368" s="1"/>
  <c r="Y183" i="368"/>
  <c r="Y182" i="368" s="1"/>
  <c r="AA240" i="368"/>
  <c r="R276" i="368"/>
  <c r="AA276" i="368"/>
  <c r="Z276" i="368"/>
  <c r="Q310" i="368"/>
  <c r="AA310" i="368" s="1"/>
  <c r="Z311" i="368"/>
  <c r="Z390" i="368"/>
  <c r="R390" i="368"/>
  <c r="R26" i="368"/>
  <c r="H32" i="368"/>
  <c r="H27" i="368" s="1"/>
  <c r="Y60" i="368"/>
  <c r="Y54" i="368" s="1"/>
  <c r="H61" i="368"/>
  <c r="Y77" i="368"/>
  <c r="Y76" i="368" s="1"/>
  <c r="S125" i="368"/>
  <c r="AA140" i="368"/>
  <c r="Q164" i="368"/>
  <c r="R164" i="368" s="1"/>
  <c r="R165" i="368"/>
  <c r="Z188" i="368"/>
  <c r="Q186" i="368"/>
  <c r="R186" i="368" s="1"/>
  <c r="R188" i="368"/>
  <c r="AA219" i="368"/>
  <c r="Z219" i="368"/>
  <c r="Y216" i="368"/>
  <c r="R240" i="368"/>
  <c r="AA262" i="368"/>
  <c r="Z262" i="368"/>
  <c r="N325" i="368"/>
  <c r="Z385" i="368"/>
  <c r="AA385" i="368"/>
  <c r="Z20" i="368"/>
  <c r="N60" i="368"/>
  <c r="N54" i="368" s="1"/>
  <c r="N53" i="368" s="1"/>
  <c r="N52" i="368" s="1"/>
  <c r="Y69" i="368"/>
  <c r="AA71" i="368"/>
  <c r="N76" i="368"/>
  <c r="Q91" i="368"/>
  <c r="AA88" i="368"/>
  <c r="H114" i="368"/>
  <c r="H105" i="368" s="1"/>
  <c r="K114" i="368"/>
  <c r="K105" i="368" s="1"/>
  <c r="Z131" i="368"/>
  <c r="AA131" i="368"/>
  <c r="S131" i="368"/>
  <c r="Z172" i="368"/>
  <c r="R172" i="368"/>
  <c r="R189" i="368"/>
  <c r="Z195" i="368"/>
  <c r="AA195" i="368"/>
  <c r="AA200" i="368"/>
  <c r="AA217" i="368"/>
  <c r="K216" i="368"/>
  <c r="Z326" i="368"/>
  <c r="AA326" i="368"/>
  <c r="K325" i="368"/>
  <c r="AA335" i="368"/>
  <c r="Q343" i="368"/>
  <c r="R343" i="368" s="1"/>
  <c r="R341" i="368"/>
  <c r="AA383" i="368"/>
  <c r="Z383" i="368"/>
  <c r="AA394" i="368"/>
  <c r="N414" i="368"/>
  <c r="N413" i="368" s="1"/>
  <c r="N424" i="368"/>
  <c r="V279" i="368"/>
  <c r="V267" i="368" s="1"/>
  <c r="V254" i="368" s="1"/>
  <c r="V253" i="368" s="1"/>
  <c r="AA307" i="368"/>
  <c r="AA322" i="368"/>
  <c r="Z396" i="368"/>
  <c r="R396" i="368"/>
  <c r="Z55" i="368"/>
  <c r="AA55" i="368"/>
  <c r="Q60" i="368"/>
  <c r="AA59" i="368"/>
  <c r="AA78" i="368"/>
  <c r="V91" i="368"/>
  <c r="V87" i="368" s="1"/>
  <c r="Z90" i="368"/>
  <c r="V114" i="368"/>
  <c r="V105" i="368" s="1"/>
  <c r="AA117" i="368"/>
  <c r="Q116" i="368"/>
  <c r="AA116" i="368" s="1"/>
  <c r="Z139" i="368"/>
  <c r="S139" i="368"/>
  <c r="H164" i="368"/>
  <c r="H179" i="368"/>
  <c r="H170" i="368" s="1"/>
  <c r="H159" i="368" s="1"/>
  <c r="H158" i="368" s="1"/>
  <c r="Z181" i="368"/>
  <c r="R181" i="368"/>
  <c r="AA187" i="368"/>
  <c r="Z187" i="368"/>
  <c r="Y201" i="368"/>
  <c r="Y193" i="368" s="1"/>
  <c r="Y192" i="368" s="1"/>
  <c r="Y191" i="368" s="1"/>
  <c r="N204" i="368"/>
  <c r="V242" i="368"/>
  <c r="H255" i="368"/>
  <c r="N259" i="368"/>
  <c r="AA274" i="368"/>
  <c r="N302" i="368"/>
  <c r="N296" i="368" s="1"/>
  <c r="Z297" i="368"/>
  <c r="R307" i="368"/>
  <c r="N304" i="368"/>
  <c r="N303" i="368" s="1"/>
  <c r="Q324" i="368"/>
  <c r="R324" i="368" s="1"/>
  <c r="AA321" i="368"/>
  <c r="Z321" i="368"/>
  <c r="R322" i="368"/>
  <c r="AA331" i="368"/>
  <c r="Z331" i="368"/>
  <c r="AA341" i="368"/>
  <c r="Z365" i="368"/>
  <c r="Z371" i="368"/>
  <c r="AA371" i="368"/>
  <c r="AA373" i="368"/>
  <c r="K17" i="368"/>
  <c r="Z17" i="368" s="1"/>
  <c r="AA22" i="368"/>
  <c r="H35" i="368"/>
  <c r="AA44" i="368"/>
  <c r="R55" i="368"/>
  <c r="K61" i="368"/>
  <c r="Z63" i="368"/>
  <c r="AA63" i="368"/>
  <c r="R78" i="368"/>
  <c r="N426" i="368"/>
  <c r="R97" i="368"/>
  <c r="AA109" i="368"/>
  <c r="S130" i="368"/>
  <c r="S134" i="368"/>
  <c r="AA139" i="368"/>
  <c r="AA151" i="368"/>
  <c r="AA153" i="368"/>
  <c r="Z156" i="368"/>
  <c r="Z157" i="368"/>
  <c r="AA157" i="368"/>
  <c r="H167" i="368"/>
  <c r="N183" i="368"/>
  <c r="N182" i="368" s="1"/>
  <c r="V183" i="368"/>
  <c r="V182" i="368" s="1"/>
  <c r="H201" i="368"/>
  <c r="H193" i="368" s="1"/>
  <c r="H192" i="368" s="1"/>
  <c r="H191" i="368" s="1"/>
  <c r="K224" i="368"/>
  <c r="AA224" i="368" s="1"/>
  <c r="K242" i="368"/>
  <c r="K231" i="368" s="1"/>
  <c r="Z249" i="368"/>
  <c r="AA249" i="368"/>
  <c r="Z269" i="368"/>
  <c r="AA269" i="368"/>
  <c r="R274" i="368"/>
  <c r="AA275" i="368"/>
  <c r="Z278" i="368"/>
  <c r="AA280" i="368"/>
  <c r="H302" i="368"/>
  <c r="H296" i="368" s="1"/>
  <c r="H283" i="368" s="1"/>
  <c r="H282" i="368" s="1"/>
  <c r="K304" i="368"/>
  <c r="K303" i="368" s="1"/>
  <c r="AA315" i="368"/>
  <c r="AA328" i="368"/>
  <c r="Z328" i="368"/>
  <c r="V346" i="368"/>
  <c r="N350" i="368"/>
  <c r="H356" i="368"/>
  <c r="V359" i="368"/>
  <c r="V424" i="368" s="1"/>
  <c r="AA368" i="368"/>
  <c r="R371" i="368"/>
  <c r="V372" i="368"/>
  <c r="N387" i="368"/>
  <c r="N376" i="368" s="1"/>
  <c r="Y387" i="368"/>
  <c r="K116" i="368"/>
  <c r="Z118" i="368"/>
  <c r="AA118" i="368"/>
  <c r="AA120" i="368"/>
  <c r="AA123" i="368"/>
  <c r="Y149" i="368"/>
  <c r="Y148" i="368" s="1"/>
  <c r="Y147" i="368" s="1"/>
  <c r="N148" i="368"/>
  <c r="N147" i="368" s="1"/>
  <c r="N164" i="368"/>
  <c r="Z189" i="368"/>
  <c r="AA204" i="368"/>
  <c r="AA213" i="368"/>
  <c r="AA238" i="368"/>
  <c r="AA246" i="368"/>
  <c r="Z250" i="368"/>
  <c r="AA250" i="368"/>
  <c r="N255" i="368"/>
  <c r="Z261" i="368"/>
  <c r="AA261" i="368"/>
  <c r="Z271" i="368"/>
  <c r="Z273" i="368"/>
  <c r="AA273" i="368"/>
  <c r="Z281" i="368"/>
  <c r="AA287" i="368"/>
  <c r="AA316" i="368"/>
  <c r="H325" i="368"/>
  <c r="H330" i="368"/>
  <c r="Y334" i="368"/>
  <c r="H343" i="368"/>
  <c r="H339" i="368" s="1"/>
  <c r="AA349" i="368"/>
  <c r="Z357" i="368"/>
  <c r="AA357" i="368"/>
  <c r="Y359" i="368"/>
  <c r="Y424" i="368" s="1"/>
  <c r="V369" i="368"/>
  <c r="V362" i="368" s="1"/>
  <c r="H372" i="368"/>
  <c r="Z375" i="368"/>
  <c r="AA375" i="368"/>
  <c r="N32" i="368"/>
  <c r="N27" i="368" s="1"/>
  <c r="AA36" i="368"/>
  <c r="R36" i="368"/>
  <c r="AA70" i="368"/>
  <c r="R70" i="368"/>
  <c r="Z70" i="368"/>
  <c r="AA94" i="368"/>
  <c r="S94" i="368"/>
  <c r="Z100" i="368"/>
  <c r="K99" i="368"/>
  <c r="AA100" i="368"/>
  <c r="AA124" i="368"/>
  <c r="Z124" i="368"/>
  <c r="S124" i="368"/>
  <c r="Z142" i="368"/>
  <c r="AA142" i="368"/>
  <c r="S142" i="368"/>
  <c r="AA220" i="368"/>
  <c r="R220" i="368"/>
  <c r="Q216" i="368"/>
  <c r="Z220" i="368"/>
  <c r="AA233" i="368"/>
  <c r="R233" i="368"/>
  <c r="V324" i="368"/>
  <c r="V319" i="368" s="1"/>
  <c r="V343" i="368"/>
  <c r="V339" i="368" s="1"/>
  <c r="AA345" i="368"/>
  <c r="R345" i="368"/>
  <c r="Z345" i="368"/>
  <c r="Q369" i="368"/>
  <c r="AA363" i="368"/>
  <c r="R363" i="368"/>
  <c r="R17" i="368"/>
  <c r="V18" i="368"/>
  <c r="V17" i="368" s="1"/>
  <c r="N423" i="368"/>
  <c r="AA25" i="368"/>
  <c r="Q32" i="368"/>
  <c r="AA28" i="368"/>
  <c r="R28" i="368"/>
  <c r="AA37" i="368"/>
  <c r="Z37" i="368"/>
  <c r="AA38" i="368"/>
  <c r="Z59" i="368"/>
  <c r="Q69" i="368"/>
  <c r="H76" i="368"/>
  <c r="AA165" i="368"/>
  <c r="K164" i="368"/>
  <c r="Z164" i="368" s="1"/>
  <c r="N179" i="368"/>
  <c r="N170" i="368" s="1"/>
  <c r="AA196" i="368"/>
  <c r="R196" i="368"/>
  <c r="AA223" i="368"/>
  <c r="R223" i="368"/>
  <c r="Z223" i="368"/>
  <c r="H242" i="368"/>
  <c r="H231" i="368" s="1"/>
  <c r="H215" i="368" s="1"/>
  <c r="H214" i="368" s="1"/>
  <c r="K324" i="368"/>
  <c r="K319" i="368" s="1"/>
  <c r="Y343" i="368"/>
  <c r="Y339" i="368" s="1"/>
  <c r="Y338" i="368" s="1"/>
  <c r="Y337" i="368" s="1"/>
  <c r="AA13" i="368"/>
  <c r="Z18" i="368"/>
  <c r="AA21" i="368"/>
  <c r="R21" i="368"/>
  <c r="Q27" i="368"/>
  <c r="Z29" i="368"/>
  <c r="AA30" i="368"/>
  <c r="R30" i="368"/>
  <c r="K35" i="368"/>
  <c r="AA39" i="368"/>
  <c r="AA46" i="368"/>
  <c r="K45" i="368"/>
  <c r="Z46" i="368"/>
  <c r="Q51" i="368"/>
  <c r="AA48" i="368"/>
  <c r="R48" i="368"/>
  <c r="Z48" i="368"/>
  <c r="Q47" i="368"/>
  <c r="Z49" i="368"/>
  <c r="AA49" i="368"/>
  <c r="K51" i="368"/>
  <c r="K47" i="368" s="1"/>
  <c r="Z56" i="368"/>
  <c r="R59" i="368"/>
  <c r="AA68" i="368"/>
  <c r="Z79" i="368"/>
  <c r="AA79" i="368"/>
  <c r="R79" i="368"/>
  <c r="AA81" i="368"/>
  <c r="R81" i="368"/>
  <c r="Z81" i="368"/>
  <c r="N91" i="368"/>
  <c r="N87" i="368" s="1"/>
  <c r="N86" i="368" s="1"/>
  <c r="V421" i="368"/>
  <c r="R99" i="368"/>
  <c r="S103" i="368"/>
  <c r="Q114" i="368"/>
  <c r="Q105" i="368" s="1"/>
  <c r="AA106" i="368"/>
  <c r="S106" i="368"/>
  <c r="Z106" i="368"/>
  <c r="AA119" i="368"/>
  <c r="S119" i="368"/>
  <c r="S421" i="368" s="1"/>
  <c r="Z119" i="368"/>
  <c r="R154" i="368"/>
  <c r="K160" i="368"/>
  <c r="K179" i="368"/>
  <c r="K170" i="368" s="1"/>
  <c r="Z171" i="368"/>
  <c r="Y179" i="368"/>
  <c r="Y170" i="368" s="1"/>
  <c r="K202" i="368"/>
  <c r="Z202" i="368" s="1"/>
  <c r="Z203" i="368"/>
  <c r="N216" i="368"/>
  <c r="R247" i="368"/>
  <c r="AA247" i="368"/>
  <c r="Z247" i="368"/>
  <c r="Q245" i="368"/>
  <c r="Z257" i="368"/>
  <c r="AA257" i="368"/>
  <c r="Y279" i="368"/>
  <c r="Y267" i="368" s="1"/>
  <c r="Y254" i="368" s="1"/>
  <c r="Y253" i="368" s="1"/>
  <c r="AA285" i="368"/>
  <c r="K284" i="368"/>
  <c r="Q346" i="368"/>
  <c r="AA347" i="368"/>
  <c r="R347" i="368"/>
  <c r="Z347" i="368"/>
  <c r="N369" i="368"/>
  <c r="N362" i="368" s="1"/>
  <c r="AA378" i="368"/>
  <c r="R378" i="368"/>
  <c r="Z378" i="368"/>
  <c r="Q380" i="368"/>
  <c r="AA15" i="368"/>
  <c r="AA18" i="368"/>
  <c r="Y32" i="368"/>
  <c r="Y27" i="368" s="1"/>
  <c r="V32" i="368"/>
  <c r="V27" i="368" s="1"/>
  <c r="Q35" i="368"/>
  <c r="R35" i="368" s="1"/>
  <c r="Z36" i="368"/>
  <c r="AA41" i="368"/>
  <c r="V51" i="368"/>
  <c r="V47" i="368" s="1"/>
  <c r="V34" i="368" s="1"/>
  <c r="V33" i="368" s="1"/>
  <c r="H60" i="368"/>
  <c r="H54" i="368" s="1"/>
  <c r="R56" i="368"/>
  <c r="AA56" i="368"/>
  <c r="N421" i="368"/>
  <c r="Q80" i="368"/>
  <c r="Q77" i="368" s="1"/>
  <c r="V426" i="368"/>
  <c r="Z85" i="368"/>
  <c r="H91" i="368"/>
  <c r="H87" i="368" s="1"/>
  <c r="H86" i="368" s="1"/>
  <c r="AA89" i="368"/>
  <c r="R89" i="368"/>
  <c r="Q92" i="368"/>
  <c r="Y92" i="368"/>
  <c r="Z94" i="368"/>
  <c r="AA96" i="368"/>
  <c r="Z96" i="368"/>
  <c r="AA98" i="368"/>
  <c r="AA113" i="368"/>
  <c r="Z113" i="368"/>
  <c r="AA137" i="368"/>
  <c r="Z137" i="368"/>
  <c r="Q141" i="368"/>
  <c r="S137" i="368"/>
  <c r="Q136" i="368"/>
  <c r="AA146" i="368"/>
  <c r="Z146" i="368"/>
  <c r="S146" i="368"/>
  <c r="Q145" i="368"/>
  <c r="AA154" i="368"/>
  <c r="AA155" i="368"/>
  <c r="R155" i="368"/>
  <c r="Z155" i="368"/>
  <c r="AA166" i="368"/>
  <c r="AA168" i="368"/>
  <c r="K167" i="368"/>
  <c r="V201" i="368"/>
  <c r="V193" i="368" s="1"/>
  <c r="V192" i="368" s="1"/>
  <c r="V191" i="368" s="1"/>
  <c r="AA221" i="368"/>
  <c r="R221" i="368"/>
  <c r="Z233" i="368"/>
  <c r="V231" i="368"/>
  <c r="V215" i="368" s="1"/>
  <c r="V214" i="368" s="1"/>
  <c r="AA256" i="368"/>
  <c r="K255" i="368"/>
  <c r="AA255" i="368" s="1"/>
  <c r="Z272" i="368"/>
  <c r="AA272" i="368"/>
  <c r="Y302" i="368"/>
  <c r="Y296" i="368" s="1"/>
  <c r="AA306" i="368"/>
  <c r="R306" i="368"/>
  <c r="Z306" i="368"/>
  <c r="Q309" i="368"/>
  <c r="Q330" i="368"/>
  <c r="R330" i="368" s="1"/>
  <c r="AA332" i="368"/>
  <c r="R332" i="368"/>
  <c r="Z332" i="368"/>
  <c r="Z363" i="368"/>
  <c r="AA370" i="368"/>
  <c r="R370" i="368"/>
  <c r="Z370" i="368"/>
  <c r="Z382" i="368"/>
  <c r="K381" i="368"/>
  <c r="Q387" i="368"/>
  <c r="AA388" i="368"/>
  <c r="R388" i="368"/>
  <c r="Z388" i="368"/>
  <c r="AA415" i="368"/>
  <c r="R415" i="368"/>
  <c r="Q414" i="368"/>
  <c r="Z415" i="368"/>
  <c r="Z95" i="368"/>
  <c r="Y421" i="368"/>
  <c r="AA110" i="368"/>
  <c r="R110" i="368"/>
  <c r="Z111" i="368"/>
  <c r="Z115" i="368"/>
  <c r="Z122" i="368"/>
  <c r="Z152" i="368"/>
  <c r="Z173" i="368"/>
  <c r="Q179" i="368"/>
  <c r="Q170" i="368" s="1"/>
  <c r="AA180" i="368"/>
  <c r="R180" i="368"/>
  <c r="AA197" i="368"/>
  <c r="R197" i="368"/>
  <c r="Z204" i="368"/>
  <c r="Z206" i="368"/>
  <c r="AA244" i="368"/>
  <c r="R244" i="368"/>
  <c r="Z244" i="368"/>
  <c r="Q243" i="368"/>
  <c r="AA308" i="368"/>
  <c r="R308" i="368"/>
  <c r="Z323" i="368"/>
  <c r="AA327" i="368"/>
  <c r="R327" i="368"/>
  <c r="Q325" i="368"/>
  <c r="Z327" i="368"/>
  <c r="AA336" i="368"/>
  <c r="R336" i="368"/>
  <c r="Z336" i="368"/>
  <c r="Q334" i="368"/>
  <c r="Z356" i="368"/>
  <c r="AA361" i="368"/>
  <c r="R361" i="368"/>
  <c r="Q359" i="368"/>
  <c r="AA364" i="368"/>
  <c r="R364" i="368"/>
  <c r="V380" i="368"/>
  <c r="V377" i="368" s="1"/>
  <c r="V376" i="368" s="1"/>
  <c r="Z391" i="368"/>
  <c r="AA391" i="368"/>
  <c r="AA393" i="368"/>
  <c r="R393" i="368"/>
  <c r="Z15" i="368"/>
  <c r="Z22" i="368"/>
  <c r="Z31" i="368"/>
  <c r="Z38" i="368"/>
  <c r="Z39" i="368"/>
  <c r="Z41" i="368"/>
  <c r="Z44" i="368"/>
  <c r="Z50" i="368"/>
  <c r="K60" i="368"/>
  <c r="Z62" i="368"/>
  <c r="AA72" i="368"/>
  <c r="H421" i="368"/>
  <c r="V80" i="368"/>
  <c r="V77" i="368" s="1"/>
  <c r="V76" i="368" s="1"/>
  <c r="K426" i="368"/>
  <c r="Z82" i="368"/>
  <c r="Z83" i="368"/>
  <c r="AA84" i="368"/>
  <c r="AA85" i="368"/>
  <c r="R85" i="368"/>
  <c r="AA90" i="368"/>
  <c r="R90" i="368"/>
  <c r="S95" i="368"/>
  <c r="Z97" i="368"/>
  <c r="Z98" i="368"/>
  <c r="AA107" i="368"/>
  <c r="AA108" i="368"/>
  <c r="S108" i="368"/>
  <c r="Z108" i="368"/>
  <c r="S111" i="368"/>
  <c r="R115" i="368"/>
  <c r="Z117" i="368"/>
  <c r="Q121" i="368"/>
  <c r="R123" i="368"/>
  <c r="R121" i="368" s="1"/>
  <c r="Z150" i="368"/>
  <c r="R152" i="368"/>
  <c r="K148" i="368"/>
  <c r="K147" i="368" s="1"/>
  <c r="AA156" i="368"/>
  <c r="R156" i="368"/>
  <c r="R160" i="368"/>
  <c r="Z161" i="368"/>
  <c r="Z165" i="368"/>
  <c r="Z168" i="368"/>
  <c r="Z169" i="368"/>
  <c r="AA171" i="368"/>
  <c r="R171" i="368"/>
  <c r="R173" i="368"/>
  <c r="Z185" i="368"/>
  <c r="K184" i="368"/>
  <c r="Z190" i="368"/>
  <c r="N201" i="368"/>
  <c r="N193" i="368" s="1"/>
  <c r="Z194" i="368"/>
  <c r="K201" i="368"/>
  <c r="K193" i="368" s="1"/>
  <c r="AA203" i="368"/>
  <c r="R203" i="368"/>
  <c r="AA205" i="368"/>
  <c r="R206" i="368"/>
  <c r="AA206" i="368"/>
  <c r="AA211" i="368"/>
  <c r="Z213" i="368"/>
  <c r="AA222" i="368"/>
  <c r="R222" i="368"/>
  <c r="Z224" i="368"/>
  <c r="Z225" i="368"/>
  <c r="N242" i="368"/>
  <c r="N231" i="368" s="1"/>
  <c r="Z236" i="368"/>
  <c r="AA241" i="368"/>
  <c r="R241" i="368"/>
  <c r="Z256" i="368"/>
  <c r="AA266" i="368"/>
  <c r="R266" i="368"/>
  <c r="Z268" i="368"/>
  <c r="Z287" i="368"/>
  <c r="Z290" i="368"/>
  <c r="AA297" i="368"/>
  <c r="R297" i="368"/>
  <c r="Y309" i="368"/>
  <c r="Y305" i="368" s="1"/>
  <c r="Y304" i="368" s="1"/>
  <c r="Y303" i="368" s="1"/>
  <c r="AA311" i="368"/>
  <c r="R311" i="368"/>
  <c r="AA314" i="368"/>
  <c r="Z320" i="368"/>
  <c r="R323" i="368"/>
  <c r="N343" i="368"/>
  <c r="N339" i="368" s="1"/>
  <c r="N338" i="368" s="1"/>
  <c r="N337" i="368" s="1"/>
  <c r="Z352" i="368"/>
  <c r="AA352" i="368"/>
  <c r="Y380" i="368"/>
  <c r="Y377" i="368" s="1"/>
  <c r="K387" i="368"/>
  <c r="H415" i="368"/>
  <c r="H414" i="368" s="1"/>
  <c r="H413" i="368" s="1"/>
  <c r="R13" i="368"/>
  <c r="R15" i="368"/>
  <c r="V423" i="368"/>
  <c r="R22" i="368"/>
  <c r="R31" i="368"/>
  <c r="R38" i="368"/>
  <c r="R39" i="368"/>
  <c r="R41" i="368"/>
  <c r="R44" i="368"/>
  <c r="R62" i="368"/>
  <c r="AA62" i="368"/>
  <c r="K421" i="368"/>
  <c r="AA73" i="368"/>
  <c r="R82" i="368"/>
  <c r="R83" i="368"/>
  <c r="AA83" i="368"/>
  <c r="Y91" i="368"/>
  <c r="Y87" i="368" s="1"/>
  <c r="K91" i="368"/>
  <c r="Z93" i="368"/>
  <c r="R98" i="368"/>
  <c r="S102" i="368"/>
  <c r="Y114" i="368"/>
  <c r="Y105" i="368" s="1"/>
  <c r="AA112" i="368"/>
  <c r="R112" i="368"/>
  <c r="H116" i="368"/>
  <c r="S117" i="368"/>
  <c r="S116" i="368" s="1"/>
  <c r="Z120" i="368"/>
  <c r="V121" i="368"/>
  <c r="Z123" i="368"/>
  <c r="S140" i="368"/>
  <c r="R150" i="368"/>
  <c r="AA150" i="368"/>
  <c r="R161" i="368"/>
  <c r="Q167" i="368"/>
  <c r="R169" i="368"/>
  <c r="V179" i="368"/>
  <c r="V170" i="368"/>
  <c r="V159" i="368" s="1"/>
  <c r="V158" i="368" s="1"/>
  <c r="AA190" i="368"/>
  <c r="R190" i="368"/>
  <c r="AA194" i="368"/>
  <c r="R194" i="368"/>
  <c r="Q201" i="368"/>
  <c r="Z210" i="368"/>
  <c r="R213" i="368"/>
  <c r="R224" i="368"/>
  <c r="R225" i="368"/>
  <c r="AA225" i="368"/>
  <c r="Q242" i="368"/>
  <c r="Z232" i="368"/>
  <c r="Z235" i="368"/>
  <c r="AA235" i="368"/>
  <c r="R236" i="368"/>
  <c r="AA237" i="368"/>
  <c r="R237" i="368"/>
  <c r="AA268" i="368"/>
  <c r="R268" i="368"/>
  <c r="Q279" i="368"/>
  <c r="K279" i="368"/>
  <c r="K267" i="368" s="1"/>
  <c r="Z280" i="368"/>
  <c r="AA281" i="368"/>
  <c r="R281" i="368"/>
  <c r="AA286" i="368"/>
  <c r="R286" i="368"/>
  <c r="Q289" i="368"/>
  <c r="AA290" i="368"/>
  <c r="R290" i="368"/>
  <c r="AA294" i="368"/>
  <c r="R294" i="368"/>
  <c r="Z294" i="368"/>
  <c r="V302" i="368"/>
  <c r="V296" i="368" s="1"/>
  <c r="AA301" i="368"/>
  <c r="R301" i="368"/>
  <c r="Z316" i="368"/>
  <c r="H324" i="368"/>
  <c r="H319" i="368" s="1"/>
  <c r="R320" i="368"/>
  <c r="AA320" i="368"/>
  <c r="K330" i="368"/>
  <c r="AA340" i="368"/>
  <c r="R340" i="368"/>
  <c r="Z340" i="368"/>
  <c r="K343" i="368"/>
  <c r="K350" i="368"/>
  <c r="Z350" i="368" s="1"/>
  <c r="Y369" i="368"/>
  <c r="Y362" i="368" s="1"/>
  <c r="K372" i="368"/>
  <c r="Z373" i="368"/>
  <c r="AA374" i="368"/>
  <c r="R374" i="368"/>
  <c r="Q372" i="368"/>
  <c r="Z374" i="368"/>
  <c r="H381" i="368"/>
  <c r="Q404" i="368"/>
  <c r="R404" i="368" s="1"/>
  <c r="Z88" i="368"/>
  <c r="AA239" i="368"/>
  <c r="R239" i="368"/>
  <c r="R255" i="368"/>
  <c r="R259" i="368"/>
  <c r="H259" i="368"/>
  <c r="H279" i="368"/>
  <c r="H267" i="368" s="1"/>
  <c r="AA271" i="368"/>
  <c r="R271" i="368"/>
  <c r="Q284" i="368"/>
  <c r="R284" i="368" s="1"/>
  <c r="Z285" i="368"/>
  <c r="Z295" i="368"/>
  <c r="AA298" i="368"/>
  <c r="R298" i="368"/>
  <c r="Z341" i="368"/>
  <c r="K362" i="368"/>
  <c r="AA365" i="368"/>
  <c r="R365" i="368"/>
  <c r="AA367" i="368"/>
  <c r="R367" i="368"/>
  <c r="AA395" i="368"/>
  <c r="R395" i="368"/>
  <c r="AA344" i="368"/>
  <c r="Z344" i="368"/>
  <c r="AA351" i="368"/>
  <c r="R351" i="368"/>
  <c r="AA356" i="368"/>
  <c r="Q412" i="368"/>
  <c r="R412" i="368" s="1"/>
  <c r="H48" i="366"/>
  <c r="O46" i="366"/>
  <c r="Q19" i="366"/>
  <c r="K18" i="366"/>
  <c r="Y15" i="366"/>
  <c r="Q26" i="366"/>
  <c r="T26" i="366"/>
  <c r="T48" i="366" s="1"/>
  <c r="H30" i="366"/>
  <c r="H29" i="366" s="1"/>
  <c r="X43" i="366"/>
  <c r="R46" i="366"/>
  <c r="X20" i="366"/>
  <c r="X21" i="366"/>
  <c r="W49" i="366"/>
  <c r="T586" i="364" s="1"/>
  <c r="K42" i="366"/>
  <c r="N42" i="366"/>
  <c r="R136" i="367"/>
  <c r="S136" i="367" s="1"/>
  <c r="J69" i="367"/>
  <c r="V69" i="367" s="1"/>
  <c r="V71" i="367"/>
  <c r="W139" i="367"/>
  <c r="W20" i="367"/>
  <c r="K84" i="367"/>
  <c r="K184" i="367" s="1"/>
  <c r="K200" i="367" s="1"/>
  <c r="V87" i="367"/>
  <c r="K88" i="367"/>
  <c r="K87" i="367" s="1"/>
  <c r="V127" i="367"/>
  <c r="J132" i="367"/>
  <c r="V54" i="367"/>
  <c r="V45" i="367"/>
  <c r="S46" i="367"/>
  <c r="W48" i="367"/>
  <c r="N69" i="367"/>
  <c r="V37" i="367"/>
  <c r="W45" i="367"/>
  <c r="V46" i="367"/>
  <c r="N64" i="367"/>
  <c r="X64" i="367" s="1"/>
  <c r="J19" i="367"/>
  <c r="W36" i="367"/>
  <c r="V52" i="367"/>
  <c r="V68" i="367"/>
  <c r="F95" i="367"/>
  <c r="G77" i="367"/>
  <c r="G187" i="367" s="1"/>
  <c r="G203" i="367" s="1"/>
  <c r="S155" i="367"/>
  <c r="F28" i="367"/>
  <c r="F15" i="367" s="1"/>
  <c r="X67" i="367"/>
  <c r="U76" i="367"/>
  <c r="U73" i="367" s="1"/>
  <c r="U183" i="367" s="1"/>
  <c r="U88" i="367"/>
  <c r="O88" i="367"/>
  <c r="O87" i="367" s="1"/>
  <c r="R150" i="367"/>
  <c r="V150" i="367" s="1"/>
  <c r="V155" i="367"/>
  <c r="V20" i="367"/>
  <c r="V36" i="367"/>
  <c r="S37" i="367"/>
  <c r="N55" i="367"/>
  <c r="X55" i="367" s="1"/>
  <c r="J128" i="367"/>
  <c r="J123" i="367" s="1"/>
  <c r="N132" i="367"/>
  <c r="V59" i="367"/>
  <c r="W59" i="367"/>
  <c r="R206" i="367"/>
  <c r="V206" i="367"/>
  <c r="R170" i="367"/>
  <c r="V170" i="367" s="1"/>
  <c r="X171" i="367"/>
  <c r="Y171" i="367" s="1"/>
  <c r="W41" i="367"/>
  <c r="S41" i="367"/>
  <c r="W58" i="367"/>
  <c r="V58" i="367"/>
  <c r="K77" i="367"/>
  <c r="S117" i="367"/>
  <c r="S185" i="367" s="1"/>
  <c r="R185" i="367"/>
  <c r="R201" i="367" s="1"/>
  <c r="W117" i="367"/>
  <c r="W185" i="367" s="1"/>
  <c r="W201" i="367" s="1"/>
  <c r="V145" i="367"/>
  <c r="S145" i="367"/>
  <c r="V147" i="367"/>
  <c r="S147" i="367"/>
  <c r="V171" i="367"/>
  <c r="R40" i="367"/>
  <c r="V41" i="367"/>
  <c r="W87" i="367"/>
  <c r="U87" i="367"/>
  <c r="R116" i="367"/>
  <c r="V116" i="367" s="1"/>
  <c r="V117" i="367"/>
  <c r="V185" i="367" s="1"/>
  <c r="V201" i="367" s="1"/>
  <c r="V129" i="367"/>
  <c r="V133" i="367"/>
  <c r="W133" i="367"/>
  <c r="S133" i="367"/>
  <c r="V140" i="367"/>
  <c r="W140" i="367"/>
  <c r="S140" i="367"/>
  <c r="W145" i="367"/>
  <c r="W147" i="367"/>
  <c r="W150" i="367"/>
  <c r="T178" i="367"/>
  <c r="X30" i="367"/>
  <c r="Y30" i="367" s="1"/>
  <c r="V30" i="367"/>
  <c r="W42" i="367"/>
  <c r="V42" i="367"/>
  <c r="S42" i="367"/>
  <c r="V62" i="367"/>
  <c r="W63" i="367"/>
  <c r="S87" i="367"/>
  <c r="W134" i="367"/>
  <c r="V134" i="367"/>
  <c r="V141" i="367"/>
  <c r="W141" i="367"/>
  <c r="R149" i="367"/>
  <c r="S149" i="367" s="1"/>
  <c r="V144" i="367"/>
  <c r="S144" i="367"/>
  <c r="V146" i="367"/>
  <c r="S146" i="367"/>
  <c r="V148" i="367"/>
  <c r="S148" i="367"/>
  <c r="U84" i="367"/>
  <c r="O84" i="367"/>
  <c r="O184" i="367" s="1"/>
  <c r="O200" i="367" s="1"/>
  <c r="N128" i="367"/>
  <c r="N123" i="367" s="1"/>
  <c r="F47" i="367"/>
  <c r="J136" i="367"/>
  <c r="N136" i="367"/>
  <c r="N184" i="367" s="1"/>
  <c r="N200" i="367" s="1"/>
  <c r="N49" i="366"/>
  <c r="X22" i="366"/>
  <c r="Y23" i="366"/>
  <c r="X23" i="366"/>
  <c r="J26" i="367"/>
  <c r="W26" i="367" s="1"/>
  <c r="W27" i="367"/>
  <c r="V27" i="367"/>
  <c r="S50" i="367"/>
  <c r="S170" i="367"/>
  <c r="W18" i="366"/>
  <c r="W13" i="366"/>
  <c r="X16" i="366"/>
  <c r="Y16" i="366"/>
  <c r="T33" i="366"/>
  <c r="T30" i="366"/>
  <c r="T29" i="366" s="1"/>
  <c r="X35" i="366"/>
  <c r="K34" i="366"/>
  <c r="X34" i="366" s="1"/>
  <c r="W22" i="367"/>
  <c r="V22" i="367"/>
  <c r="S22" i="367"/>
  <c r="W29" i="367"/>
  <c r="R28" i="367"/>
  <c r="V29" i="367"/>
  <c r="S29" i="367"/>
  <c r="X29" i="367"/>
  <c r="Y29" i="367" s="1"/>
  <c r="V44" i="367"/>
  <c r="S44" i="367"/>
  <c r="W44" i="367"/>
  <c r="R43" i="367"/>
  <c r="W138" i="367"/>
  <c r="S138" i="367"/>
  <c r="V138" i="367"/>
  <c r="W23" i="367"/>
  <c r="V23" i="367"/>
  <c r="S23" i="367"/>
  <c r="S26" i="367"/>
  <c r="X26" i="367"/>
  <c r="V61" i="367"/>
  <c r="J60" i="367"/>
  <c r="W61" i="367"/>
  <c r="V125" i="367"/>
  <c r="W125" i="367"/>
  <c r="K13" i="366"/>
  <c r="V67" i="367"/>
  <c r="J64" i="367"/>
  <c r="W67" i="367"/>
  <c r="Y14" i="366"/>
  <c r="Y22" i="366"/>
  <c r="W29" i="366"/>
  <c r="Q42" i="366"/>
  <c r="X44" i="366"/>
  <c r="U15" i="367"/>
  <c r="N15" i="367"/>
  <c r="W24" i="367"/>
  <c r="V24" i="367"/>
  <c r="S24" i="367"/>
  <c r="F39" i="367"/>
  <c r="F34" i="367" s="1"/>
  <c r="W47" i="367"/>
  <c r="V47" i="367"/>
  <c r="S47" i="367"/>
  <c r="O76" i="367"/>
  <c r="O73" i="367" s="1"/>
  <c r="W127" i="367"/>
  <c r="K30" i="366"/>
  <c r="K29" i="366" s="1"/>
  <c r="Y35" i="366"/>
  <c r="Y37" i="366"/>
  <c r="N47" i="366"/>
  <c r="V35" i="367"/>
  <c r="S35" i="367"/>
  <c r="W35" i="367"/>
  <c r="R39" i="367"/>
  <c r="V53" i="367"/>
  <c r="J55" i="367"/>
  <c r="J51" i="367" s="1"/>
  <c r="W53" i="367"/>
  <c r="V57" i="367"/>
  <c r="J56" i="367"/>
  <c r="W57" i="367"/>
  <c r="W70" i="367"/>
  <c r="V70" i="367"/>
  <c r="S70" i="367"/>
  <c r="H18" i="366"/>
  <c r="H13" i="366" s="1"/>
  <c r="T18" i="366"/>
  <c r="T13" i="366" s="1"/>
  <c r="Y17" i="366"/>
  <c r="Y19" i="366"/>
  <c r="Y24" i="366"/>
  <c r="X25" i="366"/>
  <c r="K26" i="366"/>
  <c r="Y26" i="366" s="1"/>
  <c r="W26" i="366"/>
  <c r="W48" i="366" s="1"/>
  <c r="Y28" i="366"/>
  <c r="Y32" i="366"/>
  <c r="N29" i="366"/>
  <c r="F43" i="367"/>
  <c r="O77" i="367"/>
  <c r="Y36" i="366"/>
  <c r="X36" i="366"/>
  <c r="F184" i="367"/>
  <c r="F200" i="367" s="1"/>
  <c r="W38" i="367"/>
  <c r="V38" i="367"/>
  <c r="V48" i="367"/>
  <c r="S48" i="367"/>
  <c r="N56" i="367"/>
  <c r="N60" i="367"/>
  <c r="K76" i="367"/>
  <c r="K73" i="367" s="1"/>
  <c r="N189" i="367"/>
  <c r="N208" i="367" s="1"/>
  <c r="N209" i="367" s="1"/>
  <c r="X14" i="366"/>
  <c r="X15" i="366"/>
  <c r="X24" i="366"/>
  <c r="X27" i="366"/>
  <c r="X28" i="366"/>
  <c r="X31" i="366"/>
  <c r="X32" i="366"/>
  <c r="Q33" i="366"/>
  <c r="X37" i="366"/>
  <c r="V21" i="367"/>
  <c r="W30" i="367"/>
  <c r="W206" i="367"/>
  <c r="W124" i="367"/>
  <c r="V124" i="367"/>
  <c r="R128" i="367"/>
  <c r="S135" i="367"/>
  <c r="W135" i="367"/>
  <c r="R132" i="367"/>
  <c r="V135" i="367"/>
  <c r="Y183" i="367"/>
  <c r="R19" i="367"/>
  <c r="W126" i="367"/>
  <c r="V126" i="367"/>
  <c r="U122" i="367"/>
  <c r="S162" i="367"/>
  <c r="R156" i="367"/>
  <c r="W162" i="367"/>
  <c r="W163" i="367"/>
  <c r="S163" i="367"/>
  <c r="R195" i="367"/>
  <c r="W129" i="367"/>
  <c r="W130" i="367"/>
  <c r="S130" i="367"/>
  <c r="W168" i="367"/>
  <c r="S168" i="367"/>
  <c r="G116" i="367"/>
  <c r="S129" i="367"/>
  <c r="V130" i="367"/>
  <c r="V168" i="367"/>
  <c r="S171" i="367"/>
  <c r="W171" i="367"/>
  <c r="G189" i="367"/>
  <c r="G208" i="367" s="1"/>
  <c r="G209" i="367" s="1"/>
  <c r="AA577" i="364"/>
  <c r="Z577" i="364"/>
  <c r="Y577" i="364"/>
  <c r="V577" i="364"/>
  <c r="T577" i="364"/>
  <c r="P577" i="364"/>
  <c r="N577" i="364"/>
  <c r="J577" i="364"/>
  <c r="AA576" i="364"/>
  <c r="Z576" i="364"/>
  <c r="Y576" i="364"/>
  <c r="V576" i="364"/>
  <c r="AA575" i="364"/>
  <c r="Z575" i="364"/>
  <c r="Y575" i="364"/>
  <c r="V575" i="364"/>
  <c r="AA574" i="364"/>
  <c r="Z574" i="364"/>
  <c r="Y574" i="364"/>
  <c r="V574" i="364"/>
  <c r="AA573" i="364"/>
  <c r="Z573" i="364"/>
  <c r="Y573" i="364"/>
  <c r="V573" i="364"/>
  <c r="AA572" i="364"/>
  <c r="Z572" i="364"/>
  <c r="Y572" i="364"/>
  <c r="V572" i="364"/>
  <c r="AA571" i="364"/>
  <c r="Z571" i="364"/>
  <c r="Y571" i="364"/>
  <c r="V571" i="364"/>
  <c r="AA570" i="364"/>
  <c r="Z570" i="364"/>
  <c r="Y570" i="364"/>
  <c r="V570" i="364"/>
  <c r="T570" i="364"/>
  <c r="P570" i="364"/>
  <c r="N570" i="364"/>
  <c r="J570" i="364"/>
  <c r="AA569" i="364"/>
  <c r="Z569" i="364"/>
  <c r="Y569" i="364"/>
  <c r="V569" i="364"/>
  <c r="T569" i="364"/>
  <c r="P569" i="364"/>
  <c r="N569" i="364"/>
  <c r="J569" i="364"/>
  <c r="AA568" i="364"/>
  <c r="Z568" i="364"/>
  <c r="Z237" i="364" s="1"/>
  <c r="Y568" i="364"/>
  <c r="Y237" i="364" s="1"/>
  <c r="V568" i="364"/>
  <c r="V237" i="364" s="1"/>
  <c r="T568" i="364"/>
  <c r="T237" i="364" s="1"/>
  <c r="P568" i="364"/>
  <c r="P237" i="364" s="1"/>
  <c r="N568" i="364"/>
  <c r="N237" i="364" s="1"/>
  <c r="J568" i="364"/>
  <c r="J237" i="364" s="1"/>
  <c r="AA567" i="364"/>
  <c r="Z567" i="364"/>
  <c r="H567" i="364"/>
  <c r="D567" i="364"/>
  <c r="AA566" i="364"/>
  <c r="Z566" i="364"/>
  <c r="H566" i="364"/>
  <c r="D566" i="364"/>
  <c r="AA565" i="364"/>
  <c r="Z565" i="364"/>
  <c r="H565" i="364"/>
  <c r="D565" i="364"/>
  <c r="AA564" i="364"/>
  <c r="Z564" i="364"/>
  <c r="H564" i="364"/>
  <c r="D564" i="364"/>
  <c r="AA563" i="364"/>
  <c r="Z563" i="364"/>
  <c r="H563" i="364"/>
  <c r="D563" i="364"/>
  <c r="AA562" i="364"/>
  <c r="Z562" i="364"/>
  <c r="H562" i="364"/>
  <c r="D562" i="364"/>
  <c r="AA561" i="364"/>
  <c r="Z561" i="364"/>
  <c r="H561" i="364"/>
  <c r="D561" i="364"/>
  <c r="AA560" i="364"/>
  <c r="Z560" i="364"/>
  <c r="H560" i="364"/>
  <c r="D560" i="364"/>
  <c r="AA559" i="364"/>
  <c r="Z559" i="364"/>
  <c r="H559" i="364"/>
  <c r="D559" i="364"/>
  <c r="AA558" i="364"/>
  <c r="Z558" i="364"/>
  <c r="H558" i="364"/>
  <c r="D558" i="364"/>
  <c r="AA557" i="364"/>
  <c r="Z557" i="364"/>
  <c r="H557" i="364"/>
  <c r="D557" i="364"/>
  <c r="AA556" i="364"/>
  <c r="Z556" i="364"/>
  <c r="H556" i="364"/>
  <c r="D556" i="364"/>
  <c r="AA555" i="364"/>
  <c r="Z555" i="364"/>
  <c r="H555" i="364"/>
  <c r="D555" i="364"/>
  <c r="AA554" i="364"/>
  <c r="Z554" i="364"/>
  <c r="H554" i="364"/>
  <c r="D554" i="364"/>
  <c r="AA553" i="364"/>
  <c r="Z553" i="364"/>
  <c r="H553" i="364"/>
  <c r="D553" i="364"/>
  <c r="AA552" i="364"/>
  <c r="Z552" i="364"/>
  <c r="H552" i="364"/>
  <c r="D552" i="364"/>
  <c r="AA551" i="364"/>
  <c r="Z551" i="364"/>
  <c r="H551" i="364"/>
  <c r="D551" i="364"/>
  <c r="AA550" i="364"/>
  <c r="Z550" i="364"/>
  <c r="H550" i="364"/>
  <c r="D550" i="364"/>
  <c r="AA549" i="364"/>
  <c r="Z549" i="364"/>
  <c r="H549" i="364"/>
  <c r="D549" i="364"/>
  <c r="AA548" i="364"/>
  <c r="Z548" i="364"/>
  <c r="H548" i="364"/>
  <c r="D548" i="364"/>
  <c r="AA547" i="364"/>
  <c r="Z547" i="364"/>
  <c r="H547" i="364"/>
  <c r="D547" i="364"/>
  <c r="AA546" i="364"/>
  <c r="Z546" i="364"/>
  <c r="H546" i="364"/>
  <c r="D546" i="364"/>
  <c r="AA545" i="364"/>
  <c r="Z545" i="364"/>
  <c r="H545" i="364"/>
  <c r="D545" i="364"/>
  <c r="AA544" i="364"/>
  <c r="Z544" i="364"/>
  <c r="H544" i="364"/>
  <c r="D544" i="364"/>
  <c r="AA543" i="364"/>
  <c r="Z543" i="364"/>
  <c r="H543" i="364"/>
  <c r="D543" i="364"/>
  <c r="AA542" i="364"/>
  <c r="Z542" i="364"/>
  <c r="H542" i="364"/>
  <c r="D542" i="364"/>
  <c r="AA541" i="364"/>
  <c r="Z541" i="364"/>
  <c r="H541" i="364"/>
  <c r="D541" i="364"/>
  <c r="AA540" i="364"/>
  <c r="Z540" i="364"/>
  <c r="H540" i="364"/>
  <c r="D540" i="364"/>
  <c r="AA539" i="364"/>
  <c r="Z539" i="364"/>
  <c r="H539" i="364"/>
  <c r="D539" i="364"/>
  <c r="AA538" i="364"/>
  <c r="Z538" i="364"/>
  <c r="H538" i="364"/>
  <c r="D538" i="364"/>
  <c r="AA537" i="364"/>
  <c r="Z537" i="364"/>
  <c r="H537" i="364"/>
  <c r="D537" i="364"/>
  <c r="AA536" i="364"/>
  <c r="Z536" i="364"/>
  <c r="H536" i="364"/>
  <c r="D536" i="364"/>
  <c r="AA535" i="364"/>
  <c r="Z535" i="364"/>
  <c r="H535" i="364"/>
  <c r="D535" i="364"/>
  <c r="AA534" i="364"/>
  <c r="Z534" i="364"/>
  <c r="H534" i="364"/>
  <c r="D534" i="364"/>
  <c r="AA533" i="364"/>
  <c r="Z533" i="364"/>
  <c r="H533" i="364"/>
  <c r="D533" i="364"/>
  <c r="AA532" i="364"/>
  <c r="Z532" i="364"/>
  <c r="H532" i="364"/>
  <c r="D532" i="364"/>
  <c r="AA531" i="364"/>
  <c r="Z531" i="364"/>
  <c r="H531" i="364"/>
  <c r="D531" i="364"/>
  <c r="AA530" i="364"/>
  <c r="Z530" i="364"/>
  <c r="H530" i="364"/>
  <c r="D530" i="364"/>
  <c r="AA529" i="364"/>
  <c r="Z529" i="364"/>
  <c r="H529" i="364"/>
  <c r="D529" i="364"/>
  <c r="AA528" i="364"/>
  <c r="Z528" i="364"/>
  <c r="H528" i="364"/>
  <c r="D528" i="364"/>
  <c r="AA527" i="364"/>
  <c r="Z527" i="364"/>
  <c r="H527" i="364"/>
  <c r="D527" i="364"/>
  <c r="AA526" i="364"/>
  <c r="Z526" i="364"/>
  <c r="H526" i="364"/>
  <c r="D526" i="364"/>
  <c r="AA525" i="364"/>
  <c r="Z525" i="364"/>
  <c r="H525" i="364"/>
  <c r="D525" i="364"/>
  <c r="AA524" i="364"/>
  <c r="Z524" i="364"/>
  <c r="H524" i="364"/>
  <c r="D524" i="364"/>
  <c r="AA523" i="364"/>
  <c r="Z523" i="364"/>
  <c r="H523" i="364"/>
  <c r="D523" i="364"/>
  <c r="AA522" i="364"/>
  <c r="Z522" i="364"/>
  <c r="H522" i="364"/>
  <c r="D522" i="364"/>
  <c r="AA521" i="364"/>
  <c r="Z521" i="364"/>
  <c r="H521" i="364"/>
  <c r="D521" i="364"/>
  <c r="AA520" i="364"/>
  <c r="Z520" i="364"/>
  <c r="H520" i="364"/>
  <c r="D520" i="364"/>
  <c r="AA519" i="364"/>
  <c r="Z519" i="364"/>
  <c r="H519" i="364"/>
  <c r="D519" i="364"/>
  <c r="AA518" i="364"/>
  <c r="Z518" i="364"/>
  <c r="H518" i="364"/>
  <c r="D518" i="364"/>
  <c r="AA517" i="364"/>
  <c r="Z517" i="364"/>
  <c r="H517" i="364"/>
  <c r="D517" i="364"/>
  <c r="AA516" i="364"/>
  <c r="Z516" i="364"/>
  <c r="H516" i="364"/>
  <c r="D516" i="364"/>
  <c r="AA515" i="364"/>
  <c r="Z515" i="364"/>
  <c r="H515" i="364"/>
  <c r="D515" i="364"/>
  <c r="AA514" i="364"/>
  <c r="Z514" i="364"/>
  <c r="H514" i="364"/>
  <c r="D514" i="364"/>
  <c r="AA513" i="364"/>
  <c r="Z513" i="364"/>
  <c r="H513" i="364"/>
  <c r="D513" i="364"/>
  <c r="AA512" i="364"/>
  <c r="Z512" i="364"/>
  <c r="H512" i="364"/>
  <c r="D512" i="364"/>
  <c r="AA511" i="364"/>
  <c r="Z511" i="364"/>
  <c r="H511" i="364"/>
  <c r="D511" i="364"/>
  <c r="AA510" i="364"/>
  <c r="Z510" i="364"/>
  <c r="H510" i="364"/>
  <c r="D510" i="364"/>
  <c r="AA509" i="364"/>
  <c r="Z509" i="364"/>
  <c r="H509" i="364"/>
  <c r="D509" i="364"/>
  <c r="AA508" i="364"/>
  <c r="Z508" i="364"/>
  <c r="H508" i="364"/>
  <c r="D508" i="364"/>
  <c r="AA507" i="364"/>
  <c r="Z507" i="364"/>
  <c r="H507" i="364"/>
  <c r="D507" i="364"/>
  <c r="AA506" i="364"/>
  <c r="Z506" i="364"/>
  <c r="H506" i="364"/>
  <c r="D506" i="364"/>
  <c r="AA505" i="364"/>
  <c r="Z505" i="364"/>
  <c r="H505" i="364"/>
  <c r="D505" i="364"/>
  <c r="AA504" i="364"/>
  <c r="Z504" i="364"/>
  <c r="H504" i="364"/>
  <c r="D504" i="364"/>
  <c r="AA503" i="364"/>
  <c r="Z503" i="364"/>
  <c r="H503" i="364"/>
  <c r="D503" i="364"/>
  <c r="AA502" i="364"/>
  <c r="Z502" i="364"/>
  <c r="H502" i="364"/>
  <c r="D502" i="364"/>
  <c r="AA501" i="364"/>
  <c r="Z501" i="364"/>
  <c r="H501" i="364"/>
  <c r="D501" i="364"/>
  <c r="AA500" i="364"/>
  <c r="Z500" i="364"/>
  <c r="H500" i="364"/>
  <c r="D500" i="364"/>
  <c r="AA499" i="364"/>
  <c r="Z499" i="364"/>
  <c r="H499" i="364"/>
  <c r="D499" i="364"/>
  <c r="AA498" i="364"/>
  <c r="Z498" i="364"/>
  <c r="H498" i="364"/>
  <c r="D498" i="364"/>
  <c r="AA497" i="364"/>
  <c r="Z497" i="364"/>
  <c r="H497" i="364"/>
  <c r="D497" i="364"/>
  <c r="AA496" i="364"/>
  <c r="Z496" i="364"/>
  <c r="H496" i="364"/>
  <c r="D496" i="364"/>
  <c r="AA495" i="364"/>
  <c r="Z495" i="364"/>
  <c r="H495" i="364"/>
  <c r="D495" i="364"/>
  <c r="AA494" i="364"/>
  <c r="Z494" i="364"/>
  <c r="H494" i="364"/>
  <c r="D494" i="364"/>
  <c r="AA493" i="364"/>
  <c r="Z493" i="364"/>
  <c r="H493" i="364"/>
  <c r="D493" i="364"/>
  <c r="AA492" i="364"/>
  <c r="Z492" i="364"/>
  <c r="H492" i="364"/>
  <c r="D492" i="364"/>
  <c r="AA491" i="364"/>
  <c r="Z491" i="364"/>
  <c r="H491" i="364"/>
  <c r="D491" i="364"/>
  <c r="AA490" i="364"/>
  <c r="Z490" i="364"/>
  <c r="H490" i="364"/>
  <c r="D490" i="364"/>
  <c r="AA489" i="364"/>
  <c r="Z489" i="364"/>
  <c r="H489" i="364"/>
  <c r="D489" i="364"/>
  <c r="AA488" i="364"/>
  <c r="Z488" i="364"/>
  <c r="H488" i="364"/>
  <c r="D488" i="364"/>
  <c r="AA487" i="364"/>
  <c r="Z487" i="364"/>
  <c r="H487" i="364"/>
  <c r="D487" i="364"/>
  <c r="AA486" i="364"/>
  <c r="Z486" i="364"/>
  <c r="H486" i="364"/>
  <c r="D486" i="364"/>
  <c r="AA485" i="364"/>
  <c r="Z485" i="364"/>
  <c r="H485" i="364"/>
  <c r="D485" i="364"/>
  <c r="AA484" i="364"/>
  <c r="Z484" i="364"/>
  <c r="H484" i="364"/>
  <c r="D484" i="364"/>
  <c r="AA483" i="364"/>
  <c r="Z483" i="364"/>
  <c r="H483" i="364"/>
  <c r="D483" i="364"/>
  <c r="AA482" i="364"/>
  <c r="Z482" i="364"/>
  <c r="H482" i="364"/>
  <c r="D482" i="364"/>
  <c r="AA481" i="364"/>
  <c r="Z481" i="364"/>
  <c r="H481" i="364"/>
  <c r="D481" i="364"/>
  <c r="AA480" i="364"/>
  <c r="Z480" i="364"/>
  <c r="H480" i="364"/>
  <c r="D480" i="364"/>
  <c r="AA479" i="364"/>
  <c r="Z479" i="364"/>
  <c r="H479" i="364"/>
  <c r="D479" i="364"/>
  <c r="AA478" i="364"/>
  <c r="Z478" i="364"/>
  <c r="H478" i="364"/>
  <c r="D478" i="364"/>
  <c r="AA477" i="364"/>
  <c r="Z477" i="364"/>
  <c r="H477" i="364"/>
  <c r="D477" i="364"/>
  <c r="AA476" i="364"/>
  <c r="Z476" i="364"/>
  <c r="H476" i="364"/>
  <c r="D476" i="364"/>
  <c r="AA475" i="364"/>
  <c r="Z475" i="364"/>
  <c r="H475" i="364"/>
  <c r="D475" i="364"/>
  <c r="AA474" i="364"/>
  <c r="Z474" i="364"/>
  <c r="H474" i="364"/>
  <c r="D474" i="364"/>
  <c r="AA473" i="364"/>
  <c r="Z473" i="364"/>
  <c r="H473" i="364"/>
  <c r="D473" i="364"/>
  <c r="AA472" i="364"/>
  <c r="Z472" i="364"/>
  <c r="H472" i="364"/>
  <c r="D472" i="364"/>
  <c r="AA471" i="364"/>
  <c r="Z471" i="364"/>
  <c r="H471" i="364"/>
  <c r="D471" i="364"/>
  <c r="AA470" i="364"/>
  <c r="Z470" i="364"/>
  <c r="H470" i="364"/>
  <c r="D470" i="364"/>
  <c r="AA469" i="364"/>
  <c r="Z469" i="364"/>
  <c r="H469" i="364"/>
  <c r="D469" i="364"/>
  <c r="AA468" i="364"/>
  <c r="Z468" i="364"/>
  <c r="H468" i="364"/>
  <c r="D468" i="364"/>
  <c r="AA467" i="364"/>
  <c r="Z467" i="364"/>
  <c r="H467" i="364"/>
  <c r="D467" i="364"/>
  <c r="AA466" i="364"/>
  <c r="Z466" i="364"/>
  <c r="H466" i="364"/>
  <c r="D466" i="364"/>
  <c r="AA465" i="364"/>
  <c r="Z465" i="364"/>
  <c r="H465" i="364"/>
  <c r="D465" i="364"/>
  <c r="AA464" i="364"/>
  <c r="Z464" i="364"/>
  <c r="H464" i="364"/>
  <c r="D464" i="364"/>
  <c r="AA463" i="364"/>
  <c r="Z463" i="364"/>
  <c r="H463" i="364"/>
  <c r="D463" i="364"/>
  <c r="AA462" i="364"/>
  <c r="Z462" i="364"/>
  <c r="H462" i="364"/>
  <c r="D462" i="364"/>
  <c r="AA461" i="364"/>
  <c r="Z461" i="364"/>
  <c r="H461" i="364"/>
  <c r="D461" i="364"/>
  <c r="AA460" i="364"/>
  <c r="Z460" i="364"/>
  <c r="H460" i="364"/>
  <c r="D460" i="364"/>
  <c r="AA459" i="364"/>
  <c r="Z459" i="364"/>
  <c r="H459" i="364"/>
  <c r="D459" i="364"/>
  <c r="AA458" i="364"/>
  <c r="Z458" i="364"/>
  <c r="H458" i="364"/>
  <c r="D458" i="364"/>
  <c r="AA457" i="364"/>
  <c r="Z457" i="364"/>
  <c r="H457" i="364"/>
  <c r="D457" i="364"/>
  <c r="AA456" i="364"/>
  <c r="Z456" i="364"/>
  <c r="H456" i="364"/>
  <c r="D456" i="364"/>
  <c r="AA455" i="364"/>
  <c r="Z455" i="364"/>
  <c r="H455" i="364"/>
  <c r="D455" i="364"/>
  <c r="AA454" i="364"/>
  <c r="Z454" i="364"/>
  <c r="H454" i="364"/>
  <c r="D454" i="364"/>
  <c r="AA453" i="364"/>
  <c r="Z453" i="364"/>
  <c r="H453" i="364"/>
  <c r="D453" i="364"/>
  <c r="AA452" i="364"/>
  <c r="Z452" i="364"/>
  <c r="H452" i="364"/>
  <c r="D452" i="364"/>
  <c r="AA451" i="364"/>
  <c r="Z451" i="364"/>
  <c r="H451" i="364"/>
  <c r="D451" i="364"/>
  <c r="AA450" i="364"/>
  <c r="Z450" i="364"/>
  <c r="H450" i="364"/>
  <c r="D450" i="364"/>
  <c r="AA449" i="364"/>
  <c r="Z449" i="364"/>
  <c r="H449" i="364"/>
  <c r="D449" i="364"/>
  <c r="AA448" i="364"/>
  <c r="Z448" i="364"/>
  <c r="H448" i="364"/>
  <c r="D448" i="364"/>
  <c r="AA447" i="364"/>
  <c r="Z447" i="364"/>
  <c r="H447" i="364"/>
  <c r="D447" i="364"/>
  <c r="AA446" i="364"/>
  <c r="Z446" i="364"/>
  <c r="H446" i="364"/>
  <c r="D446" i="364"/>
  <c r="AA445" i="364"/>
  <c r="Z445" i="364"/>
  <c r="H445" i="364"/>
  <c r="D445" i="364"/>
  <c r="AA444" i="364"/>
  <c r="Z444" i="364"/>
  <c r="H444" i="364"/>
  <c r="D444" i="364"/>
  <c r="AA443" i="364"/>
  <c r="Z443" i="364"/>
  <c r="H443" i="364"/>
  <c r="D443" i="364"/>
  <c r="AA442" i="364"/>
  <c r="Z442" i="364"/>
  <c r="H442" i="364"/>
  <c r="D442" i="364"/>
  <c r="AA441" i="364"/>
  <c r="Z441" i="364"/>
  <c r="H441" i="364"/>
  <c r="D441" i="364"/>
  <c r="AA440" i="364"/>
  <c r="Z440" i="364"/>
  <c r="H440" i="364"/>
  <c r="D440" i="364"/>
  <c r="AA439" i="364"/>
  <c r="Z439" i="364"/>
  <c r="H439" i="364"/>
  <c r="D439" i="364"/>
  <c r="AA438" i="364"/>
  <c r="Z438" i="364"/>
  <c r="H438" i="364"/>
  <c r="D438" i="364"/>
  <c r="AA437" i="364"/>
  <c r="Z437" i="364"/>
  <c r="H437" i="364"/>
  <c r="D437" i="364"/>
  <c r="AA436" i="364"/>
  <c r="Z436" i="364"/>
  <c r="H436" i="364"/>
  <c r="D436" i="364"/>
  <c r="AA435" i="364"/>
  <c r="Z435" i="364"/>
  <c r="H435" i="364"/>
  <c r="D435" i="364"/>
  <c r="AA434" i="364"/>
  <c r="Z434" i="364"/>
  <c r="H434" i="364"/>
  <c r="D434" i="364"/>
  <c r="AA433" i="364"/>
  <c r="Z433" i="364"/>
  <c r="H433" i="364"/>
  <c r="D433" i="364"/>
  <c r="AA432" i="364"/>
  <c r="Z432" i="364"/>
  <c r="H432" i="364"/>
  <c r="D432" i="364"/>
  <c r="AA431" i="364"/>
  <c r="Z431" i="364"/>
  <c r="H431" i="364"/>
  <c r="D431" i="364"/>
  <c r="AA430" i="364"/>
  <c r="Z430" i="364"/>
  <c r="H430" i="364"/>
  <c r="D430" i="364"/>
  <c r="AA429" i="364"/>
  <c r="Z429" i="364"/>
  <c r="H429" i="364"/>
  <c r="D429" i="364"/>
  <c r="AA428" i="364"/>
  <c r="Z428" i="364"/>
  <c r="H428" i="364"/>
  <c r="D428" i="364"/>
  <c r="AA427" i="364"/>
  <c r="Z427" i="364"/>
  <c r="H427" i="364"/>
  <c r="D427" i="364"/>
  <c r="AA426" i="364"/>
  <c r="Z426" i="364"/>
  <c r="H426" i="364"/>
  <c r="D426" i="364"/>
  <c r="AA425" i="364"/>
  <c r="Z425" i="364"/>
  <c r="H425" i="364"/>
  <c r="D425" i="364"/>
  <c r="AA424" i="364"/>
  <c r="Z424" i="364"/>
  <c r="H424" i="364"/>
  <c r="D424" i="364"/>
  <c r="AA423" i="364"/>
  <c r="Z423" i="364"/>
  <c r="H423" i="364"/>
  <c r="D423" i="364"/>
  <c r="AA422" i="364"/>
  <c r="Z422" i="364"/>
  <c r="H422" i="364"/>
  <c r="D422" i="364"/>
  <c r="AA421" i="364"/>
  <c r="Z421" i="364"/>
  <c r="H421" i="364"/>
  <c r="D421" i="364"/>
  <c r="AA420" i="364"/>
  <c r="Z420" i="364"/>
  <c r="H420" i="364"/>
  <c r="D420" i="364"/>
  <c r="AA419" i="364"/>
  <c r="Z419" i="364"/>
  <c r="H419" i="364"/>
  <c r="D419" i="364"/>
  <c r="AA418" i="364"/>
  <c r="Z418" i="364"/>
  <c r="H418" i="364"/>
  <c r="D418" i="364"/>
  <c r="AA417" i="364"/>
  <c r="Z417" i="364"/>
  <c r="H417" i="364"/>
  <c r="D417" i="364"/>
  <c r="AA416" i="364"/>
  <c r="Z416" i="364"/>
  <c r="H416" i="364"/>
  <c r="D416" i="364"/>
  <c r="AA415" i="364"/>
  <c r="Z415" i="364"/>
  <c r="H415" i="364"/>
  <c r="D415" i="364"/>
  <c r="AA414" i="364"/>
  <c r="Z414" i="364"/>
  <c r="H414" i="364"/>
  <c r="D414" i="364"/>
  <c r="AA413" i="364"/>
  <c r="Z413" i="364"/>
  <c r="H413" i="364"/>
  <c r="D413" i="364"/>
  <c r="AA412" i="364"/>
  <c r="Z412" i="364"/>
  <c r="H412" i="364"/>
  <c r="D412" i="364"/>
  <c r="AA411" i="364"/>
  <c r="Z411" i="364"/>
  <c r="H411" i="364"/>
  <c r="D411" i="364"/>
  <c r="AA410" i="364"/>
  <c r="Z410" i="364"/>
  <c r="H410" i="364"/>
  <c r="D410" i="364"/>
  <c r="AA409" i="364"/>
  <c r="Z409" i="364"/>
  <c r="H409" i="364"/>
  <c r="D409" i="364"/>
  <c r="AA408" i="364"/>
  <c r="Z408" i="364"/>
  <c r="H408" i="364"/>
  <c r="D408" i="364"/>
  <c r="AA407" i="364"/>
  <c r="Z407" i="364"/>
  <c r="H407" i="364"/>
  <c r="D407" i="364"/>
  <c r="AA406" i="364"/>
  <c r="Z406" i="364"/>
  <c r="H406" i="364"/>
  <c r="D406" i="364"/>
  <c r="AA405" i="364"/>
  <c r="Z405" i="364"/>
  <c r="H405" i="364"/>
  <c r="D405" i="364"/>
  <c r="AA404" i="364"/>
  <c r="Z404" i="364"/>
  <c r="H404" i="364"/>
  <c r="D404" i="364"/>
  <c r="AA403" i="364"/>
  <c r="Z403" i="364"/>
  <c r="H403" i="364"/>
  <c r="D403" i="364"/>
  <c r="AA402" i="364"/>
  <c r="Z402" i="364"/>
  <c r="H402" i="364"/>
  <c r="D402" i="364"/>
  <c r="AA401" i="364"/>
  <c r="Z401" i="364"/>
  <c r="H401" i="364"/>
  <c r="D401" i="364"/>
  <c r="AA400" i="364"/>
  <c r="Z400" i="364"/>
  <c r="H400" i="364"/>
  <c r="D400" i="364"/>
  <c r="AA399" i="364"/>
  <c r="Z399" i="364"/>
  <c r="H399" i="364"/>
  <c r="D399" i="364"/>
  <c r="AA398" i="364"/>
  <c r="Z398" i="364"/>
  <c r="H398" i="364"/>
  <c r="D398" i="364"/>
  <c r="AA397" i="364"/>
  <c r="Z397" i="364"/>
  <c r="H397" i="364"/>
  <c r="D397" i="364"/>
  <c r="AA396" i="364"/>
  <c r="Z396" i="364"/>
  <c r="H396" i="364"/>
  <c r="D396" i="364"/>
  <c r="AA395" i="364"/>
  <c r="Z395" i="364"/>
  <c r="H395" i="364"/>
  <c r="D395" i="364"/>
  <c r="AA394" i="364"/>
  <c r="Z394" i="364"/>
  <c r="H394" i="364"/>
  <c r="D394" i="364"/>
  <c r="AA393" i="364"/>
  <c r="Z393" i="364"/>
  <c r="H393" i="364"/>
  <c r="D393" i="364"/>
  <c r="AA392" i="364"/>
  <c r="Z392" i="364"/>
  <c r="H392" i="364"/>
  <c r="D392" i="364"/>
  <c r="AA391" i="364"/>
  <c r="Z391" i="364"/>
  <c r="H391" i="364"/>
  <c r="D391" i="364"/>
  <c r="AA390" i="364"/>
  <c r="Z390" i="364"/>
  <c r="H390" i="364"/>
  <c r="D390" i="364"/>
  <c r="AA389" i="364"/>
  <c r="Z389" i="364"/>
  <c r="H389" i="364"/>
  <c r="D389" i="364"/>
  <c r="AA388" i="364"/>
  <c r="Z388" i="364"/>
  <c r="H388" i="364"/>
  <c r="D388" i="364"/>
  <c r="AA387" i="364"/>
  <c r="Z387" i="364"/>
  <c r="H387" i="364"/>
  <c r="D387" i="364"/>
  <c r="AA386" i="364"/>
  <c r="Z386" i="364"/>
  <c r="H386" i="364"/>
  <c r="D386" i="364"/>
  <c r="AA385" i="364"/>
  <c r="Z385" i="364"/>
  <c r="H385" i="364"/>
  <c r="D385" i="364"/>
  <c r="AA384" i="364"/>
  <c r="Z384" i="364"/>
  <c r="H384" i="364"/>
  <c r="D384" i="364"/>
  <c r="AA383" i="364"/>
  <c r="Z383" i="364"/>
  <c r="H383" i="364"/>
  <c r="D383" i="364"/>
  <c r="AA382" i="364"/>
  <c r="Z382" i="364"/>
  <c r="H382" i="364"/>
  <c r="D382" i="364"/>
  <c r="AA381" i="364"/>
  <c r="Z381" i="364"/>
  <c r="H381" i="364"/>
  <c r="D381" i="364"/>
  <c r="AA380" i="364"/>
  <c r="Z380" i="364"/>
  <c r="H380" i="364"/>
  <c r="D380" i="364"/>
  <c r="AA379" i="364"/>
  <c r="Z379" i="364"/>
  <c r="H379" i="364"/>
  <c r="D379" i="364"/>
  <c r="AA378" i="364"/>
  <c r="Z378" i="364"/>
  <c r="H378" i="364"/>
  <c r="D378" i="364"/>
  <c r="AA377" i="364"/>
  <c r="Z377" i="364"/>
  <c r="H377" i="364"/>
  <c r="D377" i="364"/>
  <c r="AA376" i="364"/>
  <c r="Z376" i="364"/>
  <c r="H376" i="364"/>
  <c r="D376" i="364"/>
  <c r="AA375" i="364"/>
  <c r="Z375" i="364"/>
  <c r="H375" i="364"/>
  <c r="D375" i="364"/>
  <c r="AA374" i="364"/>
  <c r="Z374" i="364"/>
  <c r="H374" i="364"/>
  <c r="D374" i="364"/>
  <c r="AA373" i="364"/>
  <c r="Z373" i="364"/>
  <c r="H373" i="364"/>
  <c r="D373" i="364"/>
  <c r="AA372" i="364"/>
  <c r="Z372" i="364"/>
  <c r="H372" i="364"/>
  <c r="D372" i="364"/>
  <c r="AA371" i="364"/>
  <c r="Z371" i="364"/>
  <c r="H371" i="364"/>
  <c r="D371" i="364"/>
  <c r="AA370" i="364"/>
  <c r="Z370" i="364"/>
  <c r="H370" i="364"/>
  <c r="D370" i="364"/>
  <c r="AA369" i="364"/>
  <c r="Z369" i="364"/>
  <c r="H369" i="364"/>
  <c r="D369" i="364"/>
  <c r="AA368" i="364"/>
  <c r="Z368" i="364"/>
  <c r="H368" i="364"/>
  <c r="D368" i="364"/>
  <c r="AA367" i="364"/>
  <c r="Z367" i="364"/>
  <c r="H367" i="364"/>
  <c r="D367" i="364"/>
  <c r="AA366" i="364"/>
  <c r="Z366" i="364"/>
  <c r="H366" i="364"/>
  <c r="D366" i="364"/>
  <c r="AA365" i="364"/>
  <c r="Z365" i="364"/>
  <c r="H365" i="364"/>
  <c r="D365" i="364"/>
  <c r="AA364" i="364"/>
  <c r="Z364" i="364"/>
  <c r="H364" i="364"/>
  <c r="D364" i="364"/>
  <c r="AA363" i="364"/>
  <c r="Z363" i="364"/>
  <c r="H363" i="364"/>
  <c r="D363" i="364"/>
  <c r="AA362" i="364"/>
  <c r="Z362" i="364"/>
  <c r="H362" i="364"/>
  <c r="D362" i="364"/>
  <c r="AA361" i="364"/>
  <c r="Z361" i="364"/>
  <c r="H361" i="364"/>
  <c r="D361" i="364"/>
  <c r="AA360" i="364"/>
  <c r="Z360" i="364"/>
  <c r="H360" i="364"/>
  <c r="D360" i="364"/>
  <c r="AA359" i="364"/>
  <c r="Z359" i="364"/>
  <c r="H359" i="364"/>
  <c r="D359" i="364"/>
  <c r="AA358" i="364"/>
  <c r="Z358" i="364"/>
  <c r="H358" i="364"/>
  <c r="D358" i="364"/>
  <c r="AA357" i="364"/>
  <c r="Z357" i="364"/>
  <c r="H357" i="364"/>
  <c r="D357" i="364"/>
  <c r="AA356" i="364"/>
  <c r="Z356" i="364"/>
  <c r="H356" i="364"/>
  <c r="D356" i="364"/>
  <c r="AA355" i="364"/>
  <c r="Z355" i="364"/>
  <c r="H355" i="364"/>
  <c r="D355" i="364"/>
  <c r="AA354" i="364"/>
  <c r="Z354" i="364"/>
  <c r="H354" i="364"/>
  <c r="D354" i="364"/>
  <c r="AA353" i="364"/>
  <c r="Z353" i="364"/>
  <c r="H353" i="364"/>
  <c r="D353" i="364"/>
  <c r="AA352" i="364"/>
  <c r="Z352" i="364"/>
  <c r="H352" i="364"/>
  <c r="D352" i="364"/>
  <c r="AA351" i="364"/>
  <c r="Z351" i="364"/>
  <c r="H351" i="364"/>
  <c r="D351" i="364"/>
  <c r="AA350" i="364"/>
  <c r="Z350" i="364"/>
  <c r="H350" i="364"/>
  <c r="D350" i="364"/>
  <c r="AA349" i="364"/>
  <c r="Z349" i="364"/>
  <c r="H349" i="364"/>
  <c r="D349" i="364"/>
  <c r="AA348" i="364"/>
  <c r="Z348" i="364"/>
  <c r="H348" i="364"/>
  <c r="D348" i="364"/>
  <c r="AA347" i="364"/>
  <c r="Z347" i="364"/>
  <c r="H347" i="364"/>
  <c r="D347" i="364"/>
  <c r="AA346" i="364"/>
  <c r="Z346" i="364"/>
  <c r="H346" i="364"/>
  <c r="D346" i="364"/>
  <c r="AA345" i="364"/>
  <c r="Z345" i="364"/>
  <c r="H345" i="364"/>
  <c r="D345" i="364"/>
  <c r="AA344" i="364"/>
  <c r="Z344" i="364"/>
  <c r="H344" i="364"/>
  <c r="D344" i="364"/>
  <c r="AA343" i="364"/>
  <c r="Z343" i="364"/>
  <c r="H343" i="364"/>
  <c r="D343" i="364"/>
  <c r="AA342" i="364"/>
  <c r="Z342" i="364"/>
  <c r="H342" i="364"/>
  <c r="D342" i="364"/>
  <c r="AA341" i="364"/>
  <c r="Z341" i="364"/>
  <c r="H341" i="364"/>
  <c r="D341" i="364"/>
  <c r="AA340" i="364"/>
  <c r="Z340" i="364"/>
  <c r="H340" i="364"/>
  <c r="D340" i="364"/>
  <c r="AA339" i="364"/>
  <c r="Z339" i="364"/>
  <c r="H339" i="364"/>
  <c r="D339" i="364"/>
  <c r="AA338" i="364"/>
  <c r="Z338" i="364"/>
  <c r="H338" i="364"/>
  <c r="D338" i="364"/>
  <c r="AA337" i="364"/>
  <c r="Z337" i="364"/>
  <c r="H337" i="364"/>
  <c r="D337" i="364"/>
  <c r="AA336" i="364"/>
  <c r="Z336" i="364"/>
  <c r="H336" i="364"/>
  <c r="D336" i="364"/>
  <c r="AA335" i="364"/>
  <c r="Z335" i="364"/>
  <c r="H335" i="364"/>
  <c r="D335" i="364"/>
  <c r="AA334" i="364"/>
  <c r="Z334" i="364"/>
  <c r="H334" i="364"/>
  <c r="D334" i="364"/>
  <c r="AA333" i="364"/>
  <c r="Z333" i="364"/>
  <c r="H333" i="364"/>
  <c r="D333" i="364"/>
  <c r="AA332" i="364"/>
  <c r="Z332" i="364"/>
  <c r="H332" i="364"/>
  <c r="D332" i="364"/>
  <c r="AA331" i="364"/>
  <c r="Z331" i="364"/>
  <c r="H331" i="364"/>
  <c r="D331" i="364"/>
  <c r="AA330" i="364"/>
  <c r="Z330" i="364"/>
  <c r="H330" i="364"/>
  <c r="D330" i="364"/>
  <c r="AA329" i="364"/>
  <c r="Z329" i="364"/>
  <c r="H329" i="364"/>
  <c r="D329" i="364"/>
  <c r="AA328" i="364"/>
  <c r="Z328" i="364"/>
  <c r="H328" i="364"/>
  <c r="D328" i="364"/>
  <c r="AA327" i="364"/>
  <c r="Z327" i="364"/>
  <c r="H327" i="364"/>
  <c r="D327" i="364"/>
  <c r="AA326" i="364"/>
  <c r="Z326" i="364"/>
  <c r="H326" i="364"/>
  <c r="D326" i="364"/>
  <c r="AA325" i="364"/>
  <c r="Z325" i="364"/>
  <c r="H325" i="364"/>
  <c r="D325" i="364"/>
  <c r="AA324" i="364"/>
  <c r="Z324" i="364"/>
  <c r="H324" i="364"/>
  <c r="D324" i="364"/>
  <c r="AA323" i="364"/>
  <c r="Z323" i="364"/>
  <c r="H323" i="364"/>
  <c r="D323" i="364"/>
  <c r="AA322" i="364"/>
  <c r="Z322" i="364"/>
  <c r="H322" i="364"/>
  <c r="D322" i="364"/>
  <c r="AA321" i="364"/>
  <c r="Z321" i="364"/>
  <c r="H321" i="364"/>
  <c r="D321" i="364"/>
  <c r="AA320" i="364"/>
  <c r="Z320" i="364"/>
  <c r="H320" i="364"/>
  <c r="D320" i="364"/>
  <c r="AA319" i="364"/>
  <c r="Z319" i="364"/>
  <c r="H319" i="364"/>
  <c r="D319" i="364"/>
  <c r="AA318" i="364"/>
  <c r="Z318" i="364"/>
  <c r="H318" i="364"/>
  <c r="D318" i="364"/>
  <c r="AA317" i="364"/>
  <c r="Z317" i="364"/>
  <c r="H317" i="364"/>
  <c r="D317" i="364"/>
  <c r="AA316" i="364"/>
  <c r="Z316" i="364"/>
  <c r="H316" i="364"/>
  <c r="D316" i="364"/>
  <c r="AA315" i="364"/>
  <c r="Z315" i="364"/>
  <c r="H315" i="364"/>
  <c r="D315" i="364"/>
  <c r="AA314" i="364"/>
  <c r="Z314" i="364"/>
  <c r="H314" i="364"/>
  <c r="D314" i="364"/>
  <c r="AA313" i="364"/>
  <c r="Z313" i="364"/>
  <c r="H313" i="364"/>
  <c r="D313" i="364"/>
  <c r="AA312" i="364"/>
  <c r="Z312" i="364"/>
  <c r="H312" i="364"/>
  <c r="D312" i="364"/>
  <c r="AA311" i="364"/>
  <c r="Z311" i="364"/>
  <c r="H311" i="364"/>
  <c r="D311" i="364"/>
  <c r="AA310" i="364"/>
  <c r="Z310" i="364"/>
  <c r="H310" i="364"/>
  <c r="D310" i="364"/>
  <c r="AA309" i="364"/>
  <c r="Z309" i="364"/>
  <c r="H309" i="364"/>
  <c r="D309" i="364"/>
  <c r="AA308" i="364"/>
  <c r="Z308" i="364"/>
  <c r="H308" i="364"/>
  <c r="D308" i="364"/>
  <c r="AA307" i="364"/>
  <c r="Z307" i="364"/>
  <c r="H307" i="364"/>
  <c r="D307" i="364"/>
  <c r="AA306" i="364"/>
  <c r="Z306" i="364"/>
  <c r="H306" i="364"/>
  <c r="D306" i="364"/>
  <c r="AA305" i="364"/>
  <c r="Z305" i="364"/>
  <c r="H305" i="364"/>
  <c r="D305" i="364"/>
  <c r="AA304" i="364"/>
  <c r="Z304" i="364"/>
  <c r="H304" i="364"/>
  <c r="D304" i="364"/>
  <c r="AA303" i="364"/>
  <c r="Z303" i="364"/>
  <c r="H303" i="364"/>
  <c r="D303" i="364"/>
  <c r="AA302" i="364"/>
  <c r="Z302" i="364"/>
  <c r="H302" i="364"/>
  <c r="D302" i="364"/>
  <c r="AA301" i="364"/>
  <c r="Z301" i="364"/>
  <c r="H301" i="364"/>
  <c r="D301" i="364"/>
  <c r="AA300" i="364"/>
  <c r="Z300" i="364"/>
  <c r="H300" i="364"/>
  <c r="D300" i="364"/>
  <c r="AA299" i="364"/>
  <c r="Z299" i="364"/>
  <c r="H299" i="364"/>
  <c r="D299" i="364"/>
  <c r="AA298" i="364"/>
  <c r="Z298" i="364"/>
  <c r="H298" i="364"/>
  <c r="D298" i="364"/>
  <c r="AA297" i="364"/>
  <c r="Z297" i="364"/>
  <c r="H297" i="364"/>
  <c r="D297" i="364"/>
  <c r="AA296" i="364"/>
  <c r="Z296" i="364"/>
  <c r="H296" i="364"/>
  <c r="D296" i="364"/>
  <c r="AA295" i="364"/>
  <c r="Z295" i="364"/>
  <c r="H295" i="364"/>
  <c r="D295" i="364"/>
  <c r="AA294" i="364"/>
  <c r="Z294" i="364"/>
  <c r="H294" i="364"/>
  <c r="D294" i="364"/>
  <c r="AA293" i="364"/>
  <c r="Z293" i="364"/>
  <c r="H293" i="364"/>
  <c r="D293" i="364"/>
  <c r="AA292" i="364"/>
  <c r="Z292" i="364"/>
  <c r="H292" i="364"/>
  <c r="D292" i="364"/>
  <c r="AA291" i="364"/>
  <c r="Z291" i="364"/>
  <c r="H291" i="364"/>
  <c r="D291" i="364"/>
  <c r="AA290" i="364"/>
  <c r="Z290" i="364"/>
  <c r="H290" i="364"/>
  <c r="D290" i="364"/>
  <c r="AA289" i="364"/>
  <c r="Z289" i="364"/>
  <c r="H289" i="364"/>
  <c r="D289" i="364"/>
  <c r="AA288" i="364"/>
  <c r="Z288" i="364"/>
  <c r="H288" i="364"/>
  <c r="D288" i="364"/>
  <c r="AA287" i="364"/>
  <c r="Z287" i="364"/>
  <c r="H287" i="364"/>
  <c r="D287" i="364"/>
  <c r="AA286" i="364"/>
  <c r="Z286" i="364"/>
  <c r="H286" i="364"/>
  <c r="D286" i="364"/>
  <c r="AA285" i="364"/>
  <c r="Z285" i="364"/>
  <c r="H285" i="364"/>
  <c r="D285" i="364"/>
  <c r="AA284" i="364"/>
  <c r="Z284" i="364"/>
  <c r="H284" i="364"/>
  <c r="D284" i="364"/>
  <c r="AA283" i="364"/>
  <c r="Z283" i="364"/>
  <c r="H283" i="364"/>
  <c r="D283" i="364"/>
  <c r="AA282" i="364"/>
  <c r="Z282" i="364"/>
  <c r="H282" i="364"/>
  <c r="D282" i="364"/>
  <c r="AA281" i="364"/>
  <c r="Z281" i="364"/>
  <c r="H281" i="364"/>
  <c r="D281" i="364"/>
  <c r="AA280" i="364"/>
  <c r="Z280" i="364"/>
  <c r="H280" i="364"/>
  <c r="D280" i="364"/>
  <c r="AA279" i="364"/>
  <c r="Z279" i="364"/>
  <c r="H279" i="364"/>
  <c r="D279" i="364"/>
  <c r="AA278" i="364"/>
  <c r="Z278" i="364"/>
  <c r="H278" i="364"/>
  <c r="D278" i="364"/>
  <c r="AA277" i="364"/>
  <c r="Z277" i="364"/>
  <c r="H277" i="364"/>
  <c r="D277" i="364"/>
  <c r="AA276" i="364"/>
  <c r="Z276" i="364"/>
  <c r="H276" i="364"/>
  <c r="D276" i="364"/>
  <c r="AA275" i="364"/>
  <c r="Z275" i="364"/>
  <c r="H275" i="364"/>
  <c r="D275" i="364"/>
  <c r="AA274" i="364"/>
  <c r="Z274" i="364"/>
  <c r="H274" i="364"/>
  <c r="D274" i="364"/>
  <c r="AA273" i="364"/>
  <c r="Z273" i="364"/>
  <c r="H273" i="364"/>
  <c r="D273" i="364"/>
  <c r="AA272" i="364"/>
  <c r="Z272" i="364"/>
  <c r="H272" i="364"/>
  <c r="D272" i="364"/>
  <c r="AA271" i="364"/>
  <c r="Z271" i="364"/>
  <c r="H271" i="364"/>
  <c r="D271" i="364"/>
  <c r="AA270" i="364"/>
  <c r="Z270" i="364"/>
  <c r="H270" i="364"/>
  <c r="D270" i="364"/>
  <c r="AA269" i="364"/>
  <c r="Z269" i="364"/>
  <c r="H269" i="364"/>
  <c r="D269" i="364"/>
  <c r="AA268" i="364"/>
  <c r="Z268" i="364"/>
  <c r="H268" i="364"/>
  <c r="D268" i="364"/>
  <c r="AA267" i="364"/>
  <c r="Z267" i="364"/>
  <c r="H267" i="364"/>
  <c r="D267" i="364"/>
  <c r="AA266" i="364"/>
  <c r="Z266" i="364"/>
  <c r="H266" i="364"/>
  <c r="D266" i="364"/>
  <c r="AA265" i="364"/>
  <c r="Z265" i="364"/>
  <c r="H265" i="364"/>
  <c r="D265" i="364"/>
  <c r="AA264" i="364"/>
  <c r="Z264" i="364"/>
  <c r="H264" i="364"/>
  <c r="D264" i="364"/>
  <c r="AA263" i="364"/>
  <c r="Z263" i="364"/>
  <c r="H263" i="364"/>
  <c r="D263" i="364"/>
  <c r="AA262" i="364"/>
  <c r="Z262" i="364"/>
  <c r="H262" i="364"/>
  <c r="D262" i="364"/>
  <c r="AA261" i="364"/>
  <c r="Z261" i="364"/>
  <c r="H261" i="364"/>
  <c r="D261" i="364"/>
  <c r="AA260" i="364"/>
  <c r="Z260" i="364"/>
  <c r="H260" i="364"/>
  <c r="D260" i="364"/>
  <c r="AA259" i="364"/>
  <c r="Z259" i="364"/>
  <c r="H259" i="364"/>
  <c r="D259" i="364"/>
  <c r="AA258" i="364"/>
  <c r="Z258" i="364"/>
  <c r="H258" i="364"/>
  <c r="D258" i="364"/>
  <c r="AA257" i="364"/>
  <c r="Z257" i="364"/>
  <c r="H257" i="364"/>
  <c r="D257" i="364"/>
  <c r="AA256" i="364"/>
  <c r="Z256" i="364"/>
  <c r="H256" i="364"/>
  <c r="D256" i="364"/>
  <c r="AA255" i="364"/>
  <c r="Z255" i="364"/>
  <c r="H255" i="364"/>
  <c r="D255" i="364"/>
  <c r="AA254" i="364"/>
  <c r="Z254" i="364"/>
  <c r="H254" i="364"/>
  <c r="D254" i="364"/>
  <c r="AA253" i="364"/>
  <c r="Z253" i="364"/>
  <c r="H253" i="364"/>
  <c r="D253" i="364"/>
  <c r="AA252" i="364"/>
  <c r="Z252" i="364"/>
  <c r="H252" i="364"/>
  <c r="D252" i="364"/>
  <c r="AA251" i="364"/>
  <c r="Z251" i="364"/>
  <c r="H251" i="364"/>
  <c r="D251" i="364"/>
  <c r="AA250" i="364"/>
  <c r="Z250" i="364"/>
  <c r="H250" i="364"/>
  <c r="D250" i="364"/>
  <c r="AA249" i="364"/>
  <c r="Z249" i="364"/>
  <c r="H249" i="364"/>
  <c r="D249" i="364"/>
  <c r="AA248" i="364"/>
  <c r="Z248" i="364"/>
  <c r="H248" i="364"/>
  <c r="D248" i="364"/>
  <c r="AA247" i="364"/>
  <c r="Z247" i="364"/>
  <c r="H247" i="364"/>
  <c r="D247" i="364"/>
  <c r="AA246" i="364"/>
  <c r="Z246" i="364"/>
  <c r="H246" i="364"/>
  <c r="D246" i="364"/>
  <c r="AA245" i="364"/>
  <c r="Z245" i="364"/>
  <c r="H245" i="364"/>
  <c r="D245" i="364"/>
  <c r="AA244" i="364"/>
  <c r="Z244" i="364"/>
  <c r="H244" i="364"/>
  <c r="D244" i="364"/>
  <c r="AA243" i="364"/>
  <c r="Z243" i="364"/>
  <c r="H243" i="364"/>
  <c r="D243" i="364"/>
  <c r="AA242" i="364"/>
  <c r="Z242" i="364"/>
  <c r="H242" i="364"/>
  <c r="D242" i="364"/>
  <c r="AA241" i="364"/>
  <c r="Z241" i="364"/>
  <c r="H241" i="364"/>
  <c r="D241" i="364"/>
  <c r="AA240" i="364"/>
  <c r="Z240" i="364"/>
  <c r="H240" i="364"/>
  <c r="D240" i="364"/>
  <c r="AA239" i="364"/>
  <c r="Z239" i="364"/>
  <c r="H239" i="364"/>
  <c r="D239" i="364"/>
  <c r="AA238" i="364"/>
  <c r="Z238" i="364"/>
  <c r="H238" i="364"/>
  <c r="D238" i="364"/>
  <c r="AC237" i="364"/>
  <c r="AB237" i="364"/>
  <c r="X237" i="364"/>
  <c r="W237" i="364"/>
  <c r="U237" i="364"/>
  <c r="S237" i="364"/>
  <c r="R237" i="364"/>
  <c r="Q237" i="364"/>
  <c r="O237" i="364"/>
  <c r="M237" i="364"/>
  <c r="L237" i="364"/>
  <c r="K237" i="364"/>
  <c r="I237" i="364"/>
  <c r="G237" i="364"/>
  <c r="F237" i="364"/>
  <c r="E237" i="364"/>
  <c r="C237" i="364"/>
  <c r="AA236" i="364"/>
  <c r="Z236" i="364"/>
  <c r="Y236" i="364"/>
  <c r="AA235" i="364"/>
  <c r="Z235" i="364"/>
  <c r="Y235" i="364"/>
  <c r="T235" i="364"/>
  <c r="P235" i="364"/>
  <c r="N235" i="364"/>
  <c r="J235" i="364"/>
  <c r="AA234" i="364"/>
  <c r="Z234" i="364"/>
  <c r="Y234" i="364"/>
  <c r="T234" i="364"/>
  <c r="P234" i="364"/>
  <c r="N234" i="364"/>
  <c r="J234" i="364"/>
  <c r="AA233" i="364"/>
  <c r="Z233" i="364"/>
  <c r="Y233" i="364"/>
  <c r="T233" i="364"/>
  <c r="N233" i="364"/>
  <c r="J233" i="364"/>
  <c r="AA232" i="364"/>
  <c r="Z232" i="364"/>
  <c r="Y232" i="364"/>
  <c r="T232" i="364"/>
  <c r="N232" i="364"/>
  <c r="AA231" i="364"/>
  <c r="Z231" i="364"/>
  <c r="Y231" i="364"/>
  <c r="T231" i="364"/>
  <c r="P231" i="364"/>
  <c r="N231" i="364"/>
  <c r="J231" i="364"/>
  <c r="AA230" i="364"/>
  <c r="Z230" i="364"/>
  <c r="Y230" i="364"/>
  <c r="T230" i="364"/>
  <c r="P230" i="364"/>
  <c r="N230" i="364"/>
  <c r="J230" i="364"/>
  <c r="AA229" i="364"/>
  <c r="Z229" i="364"/>
  <c r="Y229" i="364"/>
  <c r="T229" i="364"/>
  <c r="P229" i="364"/>
  <c r="N229" i="364"/>
  <c r="J229" i="364"/>
  <c r="AC228" i="364"/>
  <c r="AB228" i="364"/>
  <c r="X228" i="364"/>
  <c r="W228" i="364"/>
  <c r="U228" i="364"/>
  <c r="S228" i="364"/>
  <c r="R228" i="364"/>
  <c r="Q228" i="364"/>
  <c r="O228" i="364"/>
  <c r="M228" i="364"/>
  <c r="L228" i="364"/>
  <c r="K228" i="364"/>
  <c r="I228" i="364"/>
  <c r="H228" i="364"/>
  <c r="G228" i="364"/>
  <c r="F228" i="364"/>
  <c r="E228" i="364"/>
  <c r="D228" i="364"/>
  <c r="C228" i="364"/>
  <c r="AA227" i="364"/>
  <c r="Z227" i="364"/>
  <c r="Y227" i="364"/>
  <c r="T227" i="364"/>
  <c r="P227" i="364"/>
  <c r="N227" i="364"/>
  <c r="J227" i="364"/>
  <c r="AA226" i="364"/>
  <c r="Z226" i="364"/>
  <c r="Y226" i="364"/>
  <c r="T226" i="364"/>
  <c r="P226" i="364"/>
  <c r="N226" i="364"/>
  <c r="J226" i="364"/>
  <c r="AA225" i="364"/>
  <c r="Z225" i="364"/>
  <c r="Y225" i="364"/>
  <c r="T225" i="364"/>
  <c r="P225" i="364"/>
  <c r="N225" i="364"/>
  <c r="J225" i="364"/>
  <c r="AA224" i="364"/>
  <c r="Z224" i="364"/>
  <c r="Y224" i="364"/>
  <c r="T224" i="364"/>
  <c r="P224" i="364"/>
  <c r="N224" i="364"/>
  <c r="J224" i="364"/>
  <c r="AA223" i="364"/>
  <c r="Z223" i="364"/>
  <c r="Y223" i="364"/>
  <c r="T223" i="364"/>
  <c r="P223" i="364"/>
  <c r="N223" i="364"/>
  <c r="J223" i="364"/>
  <c r="AA222" i="364"/>
  <c r="Z222" i="364"/>
  <c r="Y222" i="364"/>
  <c r="T222" i="364"/>
  <c r="P222" i="364"/>
  <c r="N222" i="364"/>
  <c r="J222" i="364"/>
  <c r="AA221" i="364"/>
  <c r="Z221" i="364"/>
  <c r="Y221" i="364"/>
  <c r="T221" i="364"/>
  <c r="P221" i="364"/>
  <c r="N221" i="364"/>
  <c r="J221" i="364"/>
  <c r="AA220" i="364"/>
  <c r="Z220" i="364"/>
  <c r="Y220" i="364"/>
  <c r="T220" i="364"/>
  <c r="P220" i="364"/>
  <c r="N220" i="364"/>
  <c r="J220" i="364"/>
  <c r="AA219" i="364"/>
  <c r="Z219" i="364"/>
  <c r="Y219" i="364"/>
  <c r="T219" i="364"/>
  <c r="P219" i="364"/>
  <c r="N219" i="364"/>
  <c r="J219" i="364"/>
  <c r="AA218" i="364"/>
  <c r="Z218" i="364"/>
  <c r="Y218" i="364"/>
  <c r="T218" i="364"/>
  <c r="P218" i="364"/>
  <c r="N218" i="364"/>
  <c r="J218" i="364"/>
  <c r="AA217" i="364"/>
  <c r="Z217" i="364"/>
  <c r="Y217" i="364"/>
  <c r="T217" i="364"/>
  <c r="P217" i="364"/>
  <c r="N217" i="364"/>
  <c r="J217" i="364"/>
  <c r="AA216" i="364"/>
  <c r="Z216" i="364"/>
  <c r="Y216" i="364"/>
  <c r="T216" i="364"/>
  <c r="P216" i="364"/>
  <c r="N216" i="364"/>
  <c r="J216" i="364"/>
  <c r="AA215" i="364"/>
  <c r="Z215" i="364"/>
  <c r="Y215" i="364"/>
  <c r="T215" i="364"/>
  <c r="P215" i="364"/>
  <c r="N215" i="364"/>
  <c r="J215" i="364"/>
  <c r="AA214" i="364"/>
  <c r="Z214" i="364"/>
  <c r="Y214" i="364"/>
  <c r="T214" i="364"/>
  <c r="P214" i="364"/>
  <c r="N214" i="364"/>
  <c r="J214" i="364"/>
  <c r="AA213" i="364"/>
  <c r="Z213" i="364"/>
  <c r="Y213" i="364"/>
  <c r="T213" i="364"/>
  <c r="P213" i="364"/>
  <c r="N213" i="364"/>
  <c r="J213" i="364"/>
  <c r="AA212" i="364"/>
  <c r="Z212" i="364"/>
  <c r="H212" i="364"/>
  <c r="D212" i="364"/>
  <c r="AA211" i="364"/>
  <c r="Z211" i="364"/>
  <c r="H211" i="364"/>
  <c r="D211" i="364"/>
  <c r="AA210" i="364"/>
  <c r="Z210" i="364"/>
  <c r="H210" i="364"/>
  <c r="D210" i="364"/>
  <c r="AA209" i="364"/>
  <c r="Z209" i="364"/>
  <c r="H209" i="364"/>
  <c r="D209" i="364"/>
  <c r="AA208" i="364"/>
  <c r="Z208" i="364"/>
  <c r="H208" i="364"/>
  <c r="D208" i="364"/>
  <c r="AA207" i="364"/>
  <c r="Z207" i="364"/>
  <c r="H207" i="364"/>
  <c r="D207" i="364"/>
  <c r="AA206" i="364"/>
  <c r="Z206" i="364"/>
  <c r="H206" i="364"/>
  <c r="D206" i="364"/>
  <c r="AA205" i="364"/>
  <c r="Z205" i="364"/>
  <c r="H205" i="364"/>
  <c r="D205" i="364"/>
  <c r="AA204" i="364"/>
  <c r="Z204" i="364"/>
  <c r="H204" i="364"/>
  <c r="D204" i="364"/>
  <c r="AA203" i="364"/>
  <c r="Z203" i="364"/>
  <c r="H203" i="364"/>
  <c r="D203" i="364"/>
  <c r="AA202" i="364"/>
  <c r="Z202" i="364"/>
  <c r="H202" i="364"/>
  <c r="D202" i="364"/>
  <c r="AA201" i="364"/>
  <c r="Z201" i="364"/>
  <c r="H201" i="364"/>
  <c r="D201" i="364"/>
  <c r="AA200" i="364"/>
  <c r="Z200" i="364"/>
  <c r="H200" i="364"/>
  <c r="D200" i="364"/>
  <c r="AA199" i="364"/>
  <c r="Z199" i="364"/>
  <c r="H199" i="364"/>
  <c r="D199" i="364"/>
  <c r="AA198" i="364"/>
  <c r="Z198" i="364"/>
  <c r="H198" i="364"/>
  <c r="D198" i="364"/>
  <c r="AA197" i="364"/>
  <c r="Z197" i="364"/>
  <c r="H197" i="364"/>
  <c r="D197" i="364"/>
  <c r="AA196" i="364"/>
  <c r="Z196" i="364"/>
  <c r="H196" i="364"/>
  <c r="D196" i="364"/>
  <c r="AA195" i="364"/>
  <c r="Z195" i="364"/>
  <c r="H195" i="364"/>
  <c r="D195" i="364"/>
  <c r="AA194" i="364"/>
  <c r="Z194" i="364"/>
  <c r="H194" i="364"/>
  <c r="D194" i="364"/>
  <c r="AA193" i="364"/>
  <c r="Z193" i="364"/>
  <c r="H193" i="364"/>
  <c r="D193" i="364"/>
  <c r="AA192" i="364"/>
  <c r="Z192" i="364"/>
  <c r="H192" i="364"/>
  <c r="D192" i="364"/>
  <c r="AA191" i="364"/>
  <c r="Z191" i="364"/>
  <c r="H191" i="364"/>
  <c r="D191" i="364"/>
  <c r="AA190" i="364"/>
  <c r="Z190" i="364"/>
  <c r="H190" i="364"/>
  <c r="D190" i="364"/>
  <c r="AA189" i="364"/>
  <c r="Z189" i="364"/>
  <c r="H189" i="364"/>
  <c r="D189" i="364"/>
  <c r="AA188" i="364"/>
  <c r="Z188" i="364"/>
  <c r="H188" i="364"/>
  <c r="D188" i="364"/>
  <c r="AA187" i="364"/>
  <c r="Z187" i="364"/>
  <c r="H187" i="364"/>
  <c r="D187" i="364"/>
  <c r="AC186" i="364"/>
  <c r="AB186" i="364"/>
  <c r="X186" i="364"/>
  <c r="W186" i="364"/>
  <c r="U186" i="364"/>
  <c r="R186" i="364"/>
  <c r="Q186" i="364"/>
  <c r="O186" i="364"/>
  <c r="L186" i="364"/>
  <c r="K186" i="364"/>
  <c r="I186" i="364"/>
  <c r="G186" i="364"/>
  <c r="F186" i="364"/>
  <c r="E186" i="364"/>
  <c r="C186" i="364"/>
  <c r="AA185" i="364"/>
  <c r="Z185" i="364"/>
  <c r="Y185" i="364"/>
  <c r="T185" i="364"/>
  <c r="P185" i="364"/>
  <c r="N185" i="364"/>
  <c r="J185" i="364"/>
  <c r="AA184" i="364"/>
  <c r="Z184" i="364"/>
  <c r="Y184" i="364"/>
  <c r="T184" i="364"/>
  <c r="P184" i="364"/>
  <c r="N184" i="364"/>
  <c r="J184" i="364"/>
  <c r="AA183" i="364"/>
  <c r="Z183" i="364"/>
  <c r="Y183" i="364"/>
  <c r="T183" i="364"/>
  <c r="P183" i="364"/>
  <c r="N183" i="364"/>
  <c r="J183" i="364"/>
  <c r="AA182" i="364"/>
  <c r="Z182" i="364"/>
  <c r="Y182" i="364"/>
  <c r="T182" i="364"/>
  <c r="P182" i="364"/>
  <c r="N182" i="364"/>
  <c r="J182" i="364"/>
  <c r="AA181" i="364"/>
  <c r="Z181" i="364"/>
  <c r="Y181" i="364"/>
  <c r="T181" i="364"/>
  <c r="P181" i="364"/>
  <c r="N181" i="364"/>
  <c r="J181" i="364"/>
  <c r="AA180" i="364"/>
  <c r="Z180" i="364"/>
  <c r="Y180" i="364"/>
  <c r="T180" i="364"/>
  <c r="P180" i="364"/>
  <c r="N180" i="364"/>
  <c r="J180" i="364"/>
  <c r="AA179" i="364"/>
  <c r="Z179" i="364"/>
  <c r="Y179" i="364"/>
  <c r="T179" i="364"/>
  <c r="P179" i="364"/>
  <c r="N179" i="364"/>
  <c r="J179" i="364"/>
  <c r="AA178" i="364"/>
  <c r="Z178" i="364"/>
  <c r="Y178" i="364"/>
  <c r="T178" i="364"/>
  <c r="P178" i="364"/>
  <c r="N178" i="364"/>
  <c r="J178" i="364"/>
  <c r="AA177" i="364"/>
  <c r="Z177" i="364"/>
  <c r="Y177" i="364"/>
  <c r="T177" i="364"/>
  <c r="P177" i="364"/>
  <c r="N177" i="364"/>
  <c r="J177" i="364"/>
  <c r="AA176" i="364"/>
  <c r="Z176" i="364"/>
  <c r="Y176" i="364"/>
  <c r="T176" i="364"/>
  <c r="P176" i="364"/>
  <c r="N176" i="364"/>
  <c r="J176" i="364"/>
  <c r="AA175" i="364"/>
  <c r="Z175" i="364"/>
  <c r="Y175" i="364"/>
  <c r="T175" i="364"/>
  <c r="P175" i="364"/>
  <c r="N175" i="364"/>
  <c r="J175" i="364"/>
  <c r="AA174" i="364"/>
  <c r="Z174" i="364"/>
  <c r="Y174" i="364"/>
  <c r="T174" i="364"/>
  <c r="P174" i="364"/>
  <c r="N174" i="364"/>
  <c r="J174" i="364"/>
  <c r="AA173" i="364"/>
  <c r="Z173" i="364"/>
  <c r="Y173" i="364"/>
  <c r="T173" i="364"/>
  <c r="P173" i="364"/>
  <c r="N173" i="364"/>
  <c r="J173" i="364"/>
  <c r="AA172" i="364"/>
  <c r="Z172" i="364"/>
  <c r="Y172" i="364"/>
  <c r="T172" i="364"/>
  <c r="P172" i="364"/>
  <c r="N172" i="364"/>
  <c r="AA171" i="364"/>
  <c r="Z171" i="364"/>
  <c r="Y171" i="364"/>
  <c r="T171" i="364"/>
  <c r="P171" i="364"/>
  <c r="N171" i="364"/>
  <c r="J171" i="364"/>
  <c r="AA170" i="364"/>
  <c r="Z170" i="364"/>
  <c r="Y170" i="364"/>
  <c r="T170" i="364"/>
  <c r="P170" i="364"/>
  <c r="N170" i="364"/>
  <c r="AA169" i="364"/>
  <c r="Z169" i="364"/>
  <c r="Y169" i="364"/>
  <c r="T169" i="364"/>
  <c r="P169" i="364"/>
  <c r="N169" i="364"/>
  <c r="J169" i="364"/>
  <c r="AA168" i="364"/>
  <c r="Z168" i="364"/>
  <c r="Y168" i="364"/>
  <c r="T168" i="364"/>
  <c r="P168" i="364"/>
  <c r="N168" i="364"/>
  <c r="J168" i="364"/>
  <c r="AA167" i="364"/>
  <c r="Z167" i="364"/>
  <c r="Y167" i="364"/>
  <c r="T167" i="364"/>
  <c r="P167" i="364"/>
  <c r="N167" i="364"/>
  <c r="J167" i="364"/>
  <c r="AA166" i="364"/>
  <c r="Z166" i="364"/>
  <c r="Y166" i="364"/>
  <c r="T166" i="364"/>
  <c r="P166" i="364"/>
  <c r="N166" i="364"/>
  <c r="J166" i="364"/>
  <c r="AA165" i="364"/>
  <c r="Z165" i="364"/>
  <c r="Y165" i="364"/>
  <c r="T165" i="364"/>
  <c r="P165" i="364"/>
  <c r="N165" i="364"/>
  <c r="J165" i="364"/>
  <c r="AA164" i="364"/>
  <c r="Z164" i="364"/>
  <c r="Y164" i="364"/>
  <c r="T164" i="364"/>
  <c r="P164" i="364"/>
  <c r="N164" i="364"/>
  <c r="J164" i="364"/>
  <c r="AA163" i="364"/>
  <c r="Z163" i="364"/>
  <c r="Y163" i="364"/>
  <c r="T163" i="364"/>
  <c r="P163" i="364"/>
  <c r="N163" i="364"/>
  <c r="J163" i="364"/>
  <c r="AA162" i="364"/>
  <c r="Z162" i="364"/>
  <c r="H162" i="364"/>
  <c r="D162" i="364"/>
  <c r="AA161" i="364"/>
  <c r="Z161" i="364"/>
  <c r="H161" i="364"/>
  <c r="D161" i="364"/>
  <c r="AA160" i="364"/>
  <c r="Z160" i="364"/>
  <c r="H160" i="364"/>
  <c r="D160" i="364"/>
  <c r="AA159" i="364"/>
  <c r="Z159" i="364"/>
  <c r="H159" i="364"/>
  <c r="D159" i="364"/>
  <c r="AA158" i="364"/>
  <c r="Z158" i="364"/>
  <c r="H158" i="364"/>
  <c r="D158" i="364"/>
  <c r="AA157" i="364"/>
  <c r="Z157" i="364"/>
  <c r="H157" i="364"/>
  <c r="D157" i="364"/>
  <c r="AA156" i="364"/>
  <c r="Z156" i="364"/>
  <c r="H156" i="364"/>
  <c r="D156" i="364"/>
  <c r="AA155" i="364"/>
  <c r="Z155" i="364"/>
  <c r="H155" i="364"/>
  <c r="D155" i="364"/>
  <c r="AA154" i="364"/>
  <c r="Z154" i="364"/>
  <c r="H154" i="364"/>
  <c r="D154" i="364"/>
  <c r="AA153" i="364"/>
  <c r="Z153" i="364"/>
  <c r="H153" i="364"/>
  <c r="D153" i="364"/>
  <c r="AA152" i="364"/>
  <c r="Z152" i="364"/>
  <c r="H152" i="364"/>
  <c r="D152" i="364"/>
  <c r="AA151" i="364"/>
  <c r="Z151" i="364"/>
  <c r="H151" i="364"/>
  <c r="D151" i="364"/>
  <c r="AA150" i="364"/>
  <c r="Z150" i="364"/>
  <c r="H150" i="364"/>
  <c r="D150" i="364"/>
  <c r="AA149" i="364"/>
  <c r="Z149" i="364"/>
  <c r="H149" i="364"/>
  <c r="D149" i="364"/>
  <c r="AA148" i="364"/>
  <c r="Z148" i="364"/>
  <c r="H148" i="364"/>
  <c r="D148" i="364"/>
  <c r="AA147" i="364"/>
  <c r="Z147" i="364"/>
  <c r="H147" i="364"/>
  <c r="D147" i="364"/>
  <c r="AA146" i="364"/>
  <c r="Z146" i="364"/>
  <c r="H146" i="364"/>
  <c r="D146" i="364"/>
  <c r="AA145" i="364"/>
  <c r="Z145" i="364"/>
  <c r="H145" i="364"/>
  <c r="D145" i="364"/>
  <c r="AA144" i="364"/>
  <c r="Z144" i="364"/>
  <c r="H144" i="364"/>
  <c r="D144" i="364"/>
  <c r="AA143" i="364"/>
  <c r="Z143" i="364"/>
  <c r="H143" i="364"/>
  <c r="D143" i="364"/>
  <c r="AA142" i="364"/>
  <c r="Z142" i="364"/>
  <c r="H142" i="364"/>
  <c r="D142" i="364"/>
  <c r="AC141" i="364"/>
  <c r="AB141" i="364"/>
  <c r="X141" i="364"/>
  <c r="W141" i="364"/>
  <c r="U141" i="364"/>
  <c r="S141" i="364"/>
  <c r="R141" i="364"/>
  <c r="Q141" i="364"/>
  <c r="O141" i="364"/>
  <c r="M141" i="364"/>
  <c r="L141" i="364"/>
  <c r="K141" i="364"/>
  <c r="AA141" i="364" s="1"/>
  <c r="I141" i="364"/>
  <c r="G141" i="364"/>
  <c r="F141" i="364"/>
  <c r="E141" i="364"/>
  <c r="C141" i="364"/>
  <c r="AA140" i="364"/>
  <c r="Z140" i="364"/>
  <c r="Y140" i="364"/>
  <c r="T140" i="364"/>
  <c r="P140" i="364"/>
  <c r="N140" i="364"/>
  <c r="J140" i="364"/>
  <c r="AA139" i="364"/>
  <c r="Z139" i="364"/>
  <c r="Y139" i="364"/>
  <c r="T139" i="364"/>
  <c r="P139" i="364"/>
  <c r="N139" i="364"/>
  <c r="J139" i="364"/>
  <c r="AA138" i="364"/>
  <c r="Z138" i="364"/>
  <c r="Y138" i="364"/>
  <c r="T138" i="364"/>
  <c r="P138" i="364"/>
  <c r="N138" i="364"/>
  <c r="J138" i="364"/>
  <c r="AA137" i="364"/>
  <c r="Z137" i="364"/>
  <c r="Y137" i="364"/>
  <c r="T137" i="364"/>
  <c r="P137" i="364"/>
  <c r="N137" i="364"/>
  <c r="J137" i="364"/>
  <c r="AA136" i="364"/>
  <c r="Z136" i="364"/>
  <c r="Y136" i="364"/>
  <c r="T136" i="364"/>
  <c r="P136" i="364"/>
  <c r="N136" i="364"/>
  <c r="J136" i="364"/>
  <c r="AA135" i="364"/>
  <c r="Z135" i="364"/>
  <c r="Y135" i="364"/>
  <c r="T135" i="364"/>
  <c r="P135" i="364"/>
  <c r="N135" i="364"/>
  <c r="J135" i="364"/>
  <c r="AA134" i="364"/>
  <c r="Z134" i="364"/>
  <c r="Y134" i="364"/>
  <c r="T134" i="364"/>
  <c r="P134" i="364"/>
  <c r="N134" i="364"/>
  <c r="J134" i="364"/>
  <c r="AA133" i="364"/>
  <c r="Z133" i="364"/>
  <c r="Y133" i="364"/>
  <c r="T133" i="364"/>
  <c r="P133" i="364"/>
  <c r="N133" i="364"/>
  <c r="J133" i="364"/>
  <c r="AA132" i="364"/>
  <c r="Z132" i="364"/>
  <c r="Y132" i="364"/>
  <c r="T132" i="364"/>
  <c r="P132" i="364"/>
  <c r="N132" i="364"/>
  <c r="J132" i="364"/>
  <c r="AA131" i="364"/>
  <c r="Z131" i="364"/>
  <c r="Y131" i="364"/>
  <c r="T131" i="364"/>
  <c r="P131" i="364"/>
  <c r="N131" i="364"/>
  <c r="J131" i="364"/>
  <c r="AA130" i="364"/>
  <c r="Z130" i="364"/>
  <c r="Y130" i="364"/>
  <c r="T130" i="364"/>
  <c r="P130" i="364"/>
  <c r="N130" i="364"/>
  <c r="J130" i="364"/>
  <c r="AA129" i="364"/>
  <c r="Z129" i="364"/>
  <c r="Y129" i="364"/>
  <c r="T129" i="364"/>
  <c r="P129" i="364"/>
  <c r="N129" i="364"/>
  <c r="J129" i="364"/>
  <c r="AA128" i="364"/>
  <c r="Z128" i="364"/>
  <c r="Y128" i="364"/>
  <c r="T128" i="364"/>
  <c r="P128" i="364"/>
  <c r="N128" i="364"/>
  <c r="J128" i="364"/>
  <c r="AA127" i="364"/>
  <c r="Z127" i="364"/>
  <c r="Y127" i="364"/>
  <c r="T127" i="364"/>
  <c r="P127" i="364"/>
  <c r="N127" i="364"/>
  <c r="J127" i="364"/>
  <c r="AA126" i="364"/>
  <c r="Z126" i="364"/>
  <c r="Y126" i="364"/>
  <c r="T126" i="364"/>
  <c r="P126" i="364"/>
  <c r="N126" i="364"/>
  <c r="J126" i="364"/>
  <c r="AA125" i="364"/>
  <c r="Z125" i="364"/>
  <c r="Y125" i="364"/>
  <c r="T125" i="364"/>
  <c r="P125" i="364"/>
  <c r="N125" i="364"/>
  <c r="J125" i="364"/>
  <c r="AA124" i="364"/>
  <c r="Z124" i="364"/>
  <c r="Y124" i="364"/>
  <c r="T124" i="364"/>
  <c r="P124" i="364"/>
  <c r="N124" i="364"/>
  <c r="J124" i="364"/>
  <c r="AA123" i="364"/>
  <c r="Z123" i="364"/>
  <c r="Y123" i="364"/>
  <c r="T123" i="364"/>
  <c r="P123" i="364"/>
  <c r="N123" i="364"/>
  <c r="J123" i="364"/>
  <c r="AA122" i="364"/>
  <c r="Z122" i="364"/>
  <c r="Y122" i="364"/>
  <c r="T122" i="364"/>
  <c r="P122" i="364"/>
  <c r="N122" i="364"/>
  <c r="J122" i="364"/>
  <c r="AA121" i="364"/>
  <c r="Z121" i="364"/>
  <c r="Y121" i="364"/>
  <c r="T121" i="364"/>
  <c r="P121" i="364"/>
  <c r="N121" i="364"/>
  <c r="J121" i="364"/>
  <c r="AA120" i="364"/>
  <c r="Z120" i="364"/>
  <c r="Y120" i="364"/>
  <c r="T120" i="364"/>
  <c r="P120" i="364"/>
  <c r="N120" i="364"/>
  <c r="J120" i="364"/>
  <c r="AA119" i="364"/>
  <c r="Z119" i="364"/>
  <c r="Y119" i="364"/>
  <c r="T119" i="364"/>
  <c r="P119" i="364"/>
  <c r="N119" i="364"/>
  <c r="J119" i="364"/>
  <c r="AA118" i="364"/>
  <c r="Z118" i="364"/>
  <c r="Y118" i="364"/>
  <c r="T118" i="364"/>
  <c r="P118" i="364"/>
  <c r="N118" i="364"/>
  <c r="J118" i="364"/>
  <c r="AA117" i="364"/>
  <c r="Z117" i="364"/>
  <c r="Y117" i="364"/>
  <c r="T117" i="364"/>
  <c r="P117" i="364"/>
  <c r="N117" i="364"/>
  <c r="J117" i="364"/>
  <c r="AA116" i="364"/>
  <c r="Z116" i="364"/>
  <c r="Y116" i="364"/>
  <c r="T116" i="364"/>
  <c r="P116" i="364"/>
  <c r="N116" i="364"/>
  <c r="J116" i="364"/>
  <c r="AA115" i="364"/>
  <c r="Z115" i="364"/>
  <c r="Y115" i="364"/>
  <c r="T115" i="364"/>
  <c r="P115" i="364"/>
  <c r="N115" i="364"/>
  <c r="J115" i="364"/>
  <c r="AA114" i="364"/>
  <c r="Z114" i="364"/>
  <c r="Y114" i="364"/>
  <c r="T114" i="364"/>
  <c r="P114" i="364"/>
  <c r="N114" i="364"/>
  <c r="J114" i="364"/>
  <c r="AA113" i="364"/>
  <c r="Z113" i="364"/>
  <c r="Y113" i="364"/>
  <c r="T113" i="364"/>
  <c r="P113" i="364"/>
  <c r="N113" i="364"/>
  <c r="J113" i="364"/>
  <c r="AA112" i="364"/>
  <c r="Z112" i="364"/>
  <c r="Y112" i="364"/>
  <c r="T112" i="364"/>
  <c r="P112" i="364"/>
  <c r="N112" i="364"/>
  <c r="J112" i="364"/>
  <c r="AA111" i="364"/>
  <c r="Z111" i="364"/>
  <c r="Y111" i="364"/>
  <c r="T111" i="364"/>
  <c r="P111" i="364"/>
  <c r="N111" i="364"/>
  <c r="J111" i="364"/>
  <c r="AA110" i="364"/>
  <c r="Z110" i="364"/>
  <c r="Y110" i="364"/>
  <c r="T110" i="364"/>
  <c r="P110" i="364"/>
  <c r="N110" i="364"/>
  <c r="J110" i="364"/>
  <c r="AA109" i="364"/>
  <c r="Z109" i="364"/>
  <c r="Y109" i="364"/>
  <c r="T109" i="364"/>
  <c r="P109" i="364"/>
  <c r="N109" i="364"/>
  <c r="J109" i="364"/>
  <c r="AA108" i="364"/>
  <c r="Z108" i="364"/>
  <c r="Y108" i="364"/>
  <c r="T108" i="364"/>
  <c r="P108" i="364"/>
  <c r="N108" i="364"/>
  <c r="J108" i="364"/>
  <c r="AA107" i="364"/>
  <c r="Z107" i="364"/>
  <c r="Y107" i="364"/>
  <c r="T107" i="364"/>
  <c r="P107" i="364"/>
  <c r="N107" i="364"/>
  <c r="J107" i="364"/>
  <c r="AA106" i="364"/>
  <c r="Z106" i="364"/>
  <c r="Y106" i="364"/>
  <c r="T106" i="364"/>
  <c r="P106" i="364"/>
  <c r="N106" i="364"/>
  <c r="J106" i="364"/>
  <c r="AA105" i="364"/>
  <c r="Z105" i="364"/>
  <c r="Y105" i="364"/>
  <c r="T105" i="364"/>
  <c r="P105" i="364"/>
  <c r="N105" i="364"/>
  <c r="J105" i="364"/>
  <c r="AA104" i="364"/>
  <c r="Z104" i="364"/>
  <c r="Y104" i="364"/>
  <c r="T104" i="364"/>
  <c r="P104" i="364"/>
  <c r="N104" i="364"/>
  <c r="J104" i="364"/>
  <c r="AA103" i="364"/>
  <c r="Z103" i="364"/>
  <c r="Y103" i="364"/>
  <c r="T103" i="364"/>
  <c r="P103" i="364"/>
  <c r="N103" i="364"/>
  <c r="J103" i="364"/>
  <c r="AA102" i="364"/>
  <c r="Z102" i="364"/>
  <c r="Y102" i="364"/>
  <c r="T102" i="364"/>
  <c r="P102" i="364"/>
  <c r="N102" i="364"/>
  <c r="J102" i="364"/>
  <c r="AA101" i="364"/>
  <c r="Z101" i="364"/>
  <c r="Y101" i="364"/>
  <c r="T101" i="364"/>
  <c r="P101" i="364"/>
  <c r="N101" i="364"/>
  <c r="J101" i="364"/>
  <c r="AA100" i="364"/>
  <c r="Z100" i="364"/>
  <c r="Y100" i="364"/>
  <c r="T100" i="364"/>
  <c r="P100" i="364"/>
  <c r="N100" i="364"/>
  <c r="J100" i="364"/>
  <c r="AA99" i="364"/>
  <c r="Z99" i="364"/>
  <c r="Y99" i="364"/>
  <c r="T99" i="364"/>
  <c r="P99" i="364"/>
  <c r="N99" i="364"/>
  <c r="J99" i="364"/>
  <c r="AA98" i="364"/>
  <c r="Z98" i="364"/>
  <c r="Y98" i="364"/>
  <c r="T98" i="364"/>
  <c r="P98" i="364"/>
  <c r="N98" i="364"/>
  <c r="J98" i="364"/>
  <c r="AA97" i="364"/>
  <c r="Z97" i="364"/>
  <c r="Y97" i="364"/>
  <c r="T97" i="364"/>
  <c r="P97" i="364"/>
  <c r="N97" i="364"/>
  <c r="J97" i="364"/>
  <c r="AA96" i="364"/>
  <c r="Z96" i="364"/>
  <c r="Y96" i="364"/>
  <c r="T96" i="364"/>
  <c r="P96" i="364"/>
  <c r="N96" i="364"/>
  <c r="J96" i="364"/>
  <c r="AA95" i="364"/>
  <c r="Z95" i="364"/>
  <c r="H95" i="364"/>
  <c r="D95" i="364"/>
  <c r="AA94" i="364"/>
  <c r="Z94" i="364"/>
  <c r="H94" i="364"/>
  <c r="D94" i="364"/>
  <c r="AA93" i="364"/>
  <c r="Z93" i="364"/>
  <c r="H93" i="364"/>
  <c r="D93" i="364"/>
  <c r="AA92" i="364"/>
  <c r="Z92" i="364"/>
  <c r="H92" i="364"/>
  <c r="D92" i="364"/>
  <c r="AA91" i="364"/>
  <c r="Z91" i="364"/>
  <c r="H91" i="364"/>
  <c r="D91" i="364"/>
  <c r="AA90" i="364"/>
  <c r="Z90" i="364"/>
  <c r="H90" i="364"/>
  <c r="D90" i="364"/>
  <c r="AA89" i="364"/>
  <c r="Z89" i="364"/>
  <c r="H89" i="364"/>
  <c r="D89" i="364"/>
  <c r="AA88" i="364"/>
  <c r="Z88" i="364"/>
  <c r="H88" i="364"/>
  <c r="D88" i="364"/>
  <c r="AA87" i="364"/>
  <c r="Z87" i="364"/>
  <c r="H87" i="364"/>
  <c r="D87" i="364"/>
  <c r="AA86" i="364"/>
  <c r="Z86" i="364"/>
  <c r="H86" i="364"/>
  <c r="D86" i="364"/>
  <c r="AA85" i="364"/>
  <c r="Z85" i="364"/>
  <c r="H85" i="364"/>
  <c r="D85" i="364"/>
  <c r="AA84" i="364"/>
  <c r="Z84" i="364"/>
  <c r="H84" i="364"/>
  <c r="D84" i="364"/>
  <c r="AA83" i="364"/>
  <c r="Z83" i="364"/>
  <c r="H83" i="364"/>
  <c r="D83" i="364"/>
  <c r="AA82" i="364"/>
  <c r="Z82" i="364"/>
  <c r="H82" i="364"/>
  <c r="D82" i="364"/>
  <c r="AA81" i="364"/>
  <c r="Z81" i="364"/>
  <c r="H81" i="364"/>
  <c r="D81" i="364"/>
  <c r="AA80" i="364"/>
  <c r="Z80" i="364"/>
  <c r="H80" i="364"/>
  <c r="D80" i="364"/>
  <c r="AA79" i="364"/>
  <c r="Z79" i="364"/>
  <c r="H79" i="364"/>
  <c r="D79" i="364"/>
  <c r="AA78" i="364"/>
  <c r="Z78" i="364"/>
  <c r="H78" i="364"/>
  <c r="D78" i="364"/>
  <c r="AA77" i="364"/>
  <c r="Z77" i="364"/>
  <c r="H77" i="364"/>
  <c r="D77" i="364"/>
  <c r="AA76" i="364"/>
  <c r="Z76" i="364"/>
  <c r="H76" i="364"/>
  <c r="D76" i="364"/>
  <c r="AA75" i="364"/>
  <c r="Z75" i="364"/>
  <c r="H75" i="364"/>
  <c r="D75" i="364"/>
  <c r="AA74" i="364"/>
  <c r="Z74" i="364"/>
  <c r="H74" i="364"/>
  <c r="D74" i="364"/>
  <c r="AA73" i="364"/>
  <c r="Z73" i="364"/>
  <c r="H73" i="364"/>
  <c r="D73" i="364"/>
  <c r="AA72" i="364"/>
  <c r="Z72" i="364"/>
  <c r="H72" i="364"/>
  <c r="D72" i="364"/>
  <c r="AA71" i="364"/>
  <c r="Z71" i="364"/>
  <c r="H71" i="364"/>
  <c r="D71" i="364"/>
  <c r="AA70" i="364"/>
  <c r="Z70" i="364"/>
  <c r="H70" i="364"/>
  <c r="D70" i="364"/>
  <c r="AA69" i="364"/>
  <c r="Z69" i="364"/>
  <c r="H69" i="364"/>
  <c r="D69" i="364"/>
  <c r="AA68" i="364"/>
  <c r="Z68" i="364"/>
  <c r="H68" i="364"/>
  <c r="D68" i="364"/>
  <c r="AA67" i="364"/>
  <c r="Z67" i="364"/>
  <c r="H67" i="364"/>
  <c r="D67" i="364"/>
  <c r="AA66" i="364"/>
  <c r="Z66" i="364"/>
  <c r="H66" i="364"/>
  <c r="D66" i="364"/>
  <c r="AA65" i="364"/>
  <c r="Z65" i="364"/>
  <c r="H65" i="364"/>
  <c r="D65" i="364"/>
  <c r="AA64" i="364"/>
  <c r="Z64" i="364"/>
  <c r="H64" i="364"/>
  <c r="D64" i="364"/>
  <c r="AA63" i="364"/>
  <c r="Z63" i="364"/>
  <c r="H63" i="364"/>
  <c r="D63" i="364"/>
  <c r="AA62" i="364"/>
  <c r="Z62" i="364"/>
  <c r="H62" i="364"/>
  <c r="D62" i="364"/>
  <c r="AA61" i="364"/>
  <c r="Z61" i="364"/>
  <c r="H61" i="364"/>
  <c r="D61" i="364"/>
  <c r="AA60" i="364"/>
  <c r="Z60" i="364"/>
  <c r="H60" i="364"/>
  <c r="D60" i="364"/>
  <c r="AA59" i="364"/>
  <c r="Z59" i="364"/>
  <c r="H59" i="364"/>
  <c r="D59" i="364"/>
  <c r="AA58" i="364"/>
  <c r="Z58" i="364"/>
  <c r="H58" i="364"/>
  <c r="D58" i="364"/>
  <c r="AC57" i="364"/>
  <c r="AB57" i="364"/>
  <c r="X57" i="364"/>
  <c r="W57" i="364"/>
  <c r="U57" i="364"/>
  <c r="R57" i="364"/>
  <c r="Q57" i="364"/>
  <c r="O57" i="364"/>
  <c r="L57" i="364"/>
  <c r="K57" i="364"/>
  <c r="I57" i="364"/>
  <c r="G57" i="364"/>
  <c r="F57" i="364"/>
  <c r="E57" i="364"/>
  <c r="C57" i="364"/>
  <c r="AA56" i="364"/>
  <c r="Z56" i="364"/>
  <c r="AA55" i="364"/>
  <c r="Z55" i="364"/>
  <c r="Y55" i="364"/>
  <c r="AA54" i="364"/>
  <c r="Z54" i="364"/>
  <c r="Y54" i="364"/>
  <c r="AA53" i="364"/>
  <c r="Z53" i="364"/>
  <c r="Y53" i="364"/>
  <c r="AA52" i="364"/>
  <c r="Z52" i="364"/>
  <c r="Y52" i="364"/>
  <c r="AA51" i="364"/>
  <c r="Z51" i="364"/>
  <c r="Y51" i="364"/>
  <c r="AA50" i="364"/>
  <c r="Z50" i="364"/>
  <c r="Y50" i="364"/>
  <c r="T50" i="364"/>
  <c r="T29" i="364" s="1"/>
  <c r="P50" i="364"/>
  <c r="P29" i="364" s="1"/>
  <c r="N50" i="364"/>
  <c r="N29" i="364" s="1"/>
  <c r="J50" i="364"/>
  <c r="J29" i="364" s="1"/>
  <c r="AA49" i="364"/>
  <c r="Z49" i="364"/>
  <c r="Y49" i="364"/>
  <c r="AA48" i="364"/>
  <c r="Z48" i="364"/>
  <c r="Y48" i="364"/>
  <c r="AA47" i="364"/>
  <c r="Z47" i="364"/>
  <c r="Y47" i="364"/>
  <c r="AA46" i="364"/>
  <c r="Z46" i="364"/>
  <c r="Y46" i="364"/>
  <c r="AA45" i="364"/>
  <c r="Z45" i="364"/>
  <c r="Y45" i="364"/>
  <c r="AA44" i="364"/>
  <c r="Z44" i="364"/>
  <c r="Y44" i="364"/>
  <c r="AA43" i="364"/>
  <c r="Z43" i="364"/>
  <c r="Y43" i="364"/>
  <c r="AA42" i="364"/>
  <c r="Z42" i="364"/>
  <c r="Y42" i="364"/>
  <c r="AA41" i="364"/>
  <c r="Z41" i="364"/>
  <c r="H41" i="364"/>
  <c r="D41" i="364"/>
  <c r="AA40" i="364"/>
  <c r="Z40" i="364"/>
  <c r="H40" i="364"/>
  <c r="D40" i="364"/>
  <c r="AA39" i="364"/>
  <c r="Z39" i="364"/>
  <c r="H39" i="364"/>
  <c r="D39" i="364"/>
  <c r="AA38" i="364"/>
  <c r="Z38" i="364"/>
  <c r="H38" i="364"/>
  <c r="D38" i="364"/>
  <c r="AA37" i="364"/>
  <c r="Z37" i="364"/>
  <c r="H37" i="364"/>
  <c r="D37" i="364"/>
  <c r="AA36" i="364"/>
  <c r="Z36" i="364"/>
  <c r="H36" i="364"/>
  <c r="D36" i="364"/>
  <c r="AA35" i="364"/>
  <c r="Z35" i="364"/>
  <c r="H35" i="364"/>
  <c r="D35" i="364"/>
  <c r="AA34" i="364"/>
  <c r="Z34" i="364"/>
  <c r="H34" i="364"/>
  <c r="D34" i="364"/>
  <c r="AA33" i="364"/>
  <c r="Z33" i="364"/>
  <c r="H33" i="364"/>
  <c r="D33" i="364"/>
  <c r="AA32" i="364"/>
  <c r="Z32" i="364"/>
  <c r="H32" i="364"/>
  <c r="D32" i="364"/>
  <c r="AA31" i="364"/>
  <c r="Z31" i="364"/>
  <c r="H31" i="364"/>
  <c r="D31" i="364"/>
  <c r="AA30" i="364"/>
  <c r="Z30" i="364"/>
  <c r="H30" i="364"/>
  <c r="D30" i="364"/>
  <c r="AC29" i="364"/>
  <c r="AB29" i="364"/>
  <c r="X29" i="364"/>
  <c r="W29" i="364"/>
  <c r="V29" i="364"/>
  <c r="U29" i="364"/>
  <c r="S29" i="364"/>
  <c r="R29" i="364"/>
  <c r="Q29" i="364"/>
  <c r="O29" i="364"/>
  <c r="M29" i="364"/>
  <c r="L29" i="364"/>
  <c r="K29" i="364"/>
  <c r="I29" i="364"/>
  <c r="H29" i="364"/>
  <c r="G29" i="364"/>
  <c r="F29" i="364"/>
  <c r="E29" i="364"/>
  <c r="C29" i="364"/>
  <c r="AA28" i="364"/>
  <c r="Z28" i="364"/>
  <c r="Y28" i="364"/>
  <c r="T28" i="364"/>
  <c r="N28" i="364"/>
  <c r="J28" i="364"/>
  <c r="AA27" i="364"/>
  <c r="Z27" i="364"/>
  <c r="Y27" i="364"/>
  <c r="T27" i="364"/>
  <c r="N27" i="364"/>
  <c r="J27" i="364"/>
  <c r="AA26" i="364"/>
  <c r="Z26" i="364"/>
  <c r="H26" i="364"/>
  <c r="H25" i="364" s="1"/>
  <c r="D26" i="364"/>
  <c r="D25" i="364" s="1"/>
  <c r="AC25" i="364"/>
  <c r="AB25" i="364"/>
  <c r="X25" i="364"/>
  <c r="W25" i="364"/>
  <c r="V25" i="364"/>
  <c r="U25" i="364"/>
  <c r="S25" i="364"/>
  <c r="R25" i="364"/>
  <c r="Q25" i="364"/>
  <c r="P25" i="364"/>
  <c r="O25" i="364"/>
  <c r="M25" i="364"/>
  <c r="L25" i="364"/>
  <c r="K25" i="364"/>
  <c r="I25" i="364"/>
  <c r="G25" i="364"/>
  <c r="F25" i="364"/>
  <c r="E25" i="364"/>
  <c r="C25" i="364"/>
  <c r="AA24" i="364"/>
  <c r="Z24" i="364"/>
  <c r="Y24" i="364"/>
  <c r="T24" i="364"/>
  <c r="P24" i="364"/>
  <c r="N24" i="364"/>
  <c r="J24" i="364"/>
  <c r="AA23" i="364"/>
  <c r="Z23" i="364"/>
  <c r="Y23" i="364"/>
  <c r="T23" i="364"/>
  <c r="P23" i="364"/>
  <c r="N23" i="364"/>
  <c r="J23" i="364"/>
  <c r="AA22" i="364"/>
  <c r="Z22" i="364"/>
  <c r="Y22" i="364"/>
  <c r="T22" i="364"/>
  <c r="P22" i="364"/>
  <c r="N22" i="364"/>
  <c r="J22" i="364"/>
  <c r="AA21" i="364"/>
  <c r="Z21" i="364"/>
  <c r="Y21" i="364"/>
  <c r="T21" i="364"/>
  <c r="P21" i="364"/>
  <c r="N21" i="364"/>
  <c r="J21" i="364"/>
  <c r="AA20" i="364"/>
  <c r="Z20" i="364"/>
  <c r="Y20" i="364"/>
  <c r="T20" i="364"/>
  <c r="P20" i="364"/>
  <c r="N20" i="364"/>
  <c r="J20" i="364"/>
  <c r="AA19" i="364"/>
  <c r="Z19" i="364"/>
  <c r="Y19" i="364"/>
  <c r="T19" i="364"/>
  <c r="P19" i="364"/>
  <c r="N19" i="364"/>
  <c r="J19" i="364"/>
  <c r="AA18" i="364"/>
  <c r="Z18" i="364"/>
  <c r="Y18" i="364"/>
  <c r="T18" i="364"/>
  <c r="P18" i="364"/>
  <c r="N18" i="364"/>
  <c r="J18" i="364"/>
  <c r="AA17" i="364"/>
  <c r="Z17" i="364"/>
  <c r="Y17" i="364"/>
  <c r="V11" i="364"/>
  <c r="T17" i="364"/>
  <c r="P17" i="364"/>
  <c r="N17" i="364"/>
  <c r="J17" i="364"/>
  <c r="AA16" i="364"/>
  <c r="Z16" i="364"/>
  <c r="H16" i="364"/>
  <c r="D16" i="364"/>
  <c r="AA15" i="364"/>
  <c r="Z15" i="364"/>
  <c r="H15" i="364"/>
  <c r="D15" i="364"/>
  <c r="AA14" i="364"/>
  <c r="Z14" i="364"/>
  <c r="H14" i="364"/>
  <c r="D14" i="364"/>
  <c r="AA13" i="364"/>
  <c r="Z13" i="364"/>
  <c r="H13" i="364"/>
  <c r="D13" i="364"/>
  <c r="AA12" i="364"/>
  <c r="Z12" i="364"/>
  <c r="H12" i="364"/>
  <c r="H11" i="364" s="1"/>
  <c r="D12" i="364"/>
  <c r="AC11" i="364"/>
  <c r="AB11" i="364"/>
  <c r="X11" i="364"/>
  <c r="W11" i="364"/>
  <c r="U11" i="364"/>
  <c r="S11" i="364"/>
  <c r="R11" i="364"/>
  <c r="Q11" i="364"/>
  <c r="O11" i="364"/>
  <c r="M11" i="364"/>
  <c r="L11" i="364"/>
  <c r="K11" i="364"/>
  <c r="I11" i="364"/>
  <c r="G11" i="364"/>
  <c r="F11" i="364"/>
  <c r="E11" i="364"/>
  <c r="C11" i="364"/>
  <c r="U203" i="367" l="1"/>
  <c r="X18" i="366"/>
  <c r="V53" i="368"/>
  <c r="V52" i="368" s="1"/>
  <c r="R184" i="367"/>
  <c r="R200" i="367" s="1"/>
  <c r="Q48" i="366"/>
  <c r="R187" i="367"/>
  <c r="N48" i="366"/>
  <c r="N46" i="366" s="1"/>
  <c r="Z154" i="368"/>
  <c r="H49" i="366"/>
  <c r="U187" i="367"/>
  <c r="N318" i="368"/>
  <c r="N317" i="368" s="1"/>
  <c r="K49" i="366"/>
  <c r="N51" i="367"/>
  <c r="N183" i="367" s="1"/>
  <c r="N198" i="367" s="1"/>
  <c r="U200" i="367"/>
  <c r="X184" i="367"/>
  <c r="V318" i="368"/>
  <c r="V317" i="368" s="1"/>
  <c r="H338" i="368"/>
  <c r="H337" i="368" s="1"/>
  <c r="Y184" i="367"/>
  <c r="Y200" i="367" s="1"/>
  <c r="J11" i="364"/>
  <c r="Y11" i="364"/>
  <c r="J186" i="364"/>
  <c r="N186" i="364"/>
  <c r="N11" i="364"/>
  <c r="Y186" i="364"/>
  <c r="H141" i="364"/>
  <c r="N355" i="368"/>
  <c r="N354" i="368" s="1"/>
  <c r="N353" i="368" s="1"/>
  <c r="Z60" i="368"/>
  <c r="H104" i="368"/>
  <c r="H75" i="368" s="1"/>
  <c r="H74" i="368" s="1"/>
  <c r="Y318" i="368"/>
  <c r="Y317" i="368" s="1"/>
  <c r="Z343" i="368"/>
  <c r="N192" i="368"/>
  <c r="N191" i="368" s="1"/>
  <c r="Z313" i="368"/>
  <c r="AA313" i="368"/>
  <c r="S121" i="368"/>
  <c r="K215" i="368"/>
  <c r="K214" i="368" s="1"/>
  <c r="V86" i="368"/>
  <c r="Z99" i="368"/>
  <c r="Q398" i="368"/>
  <c r="R398" i="368" s="1"/>
  <c r="Q296" i="368"/>
  <c r="AA186" i="368"/>
  <c r="N104" i="368"/>
  <c r="Z61" i="368"/>
  <c r="Y159" i="368"/>
  <c r="Y158" i="368" s="1"/>
  <c r="AA17" i="368"/>
  <c r="V338" i="368"/>
  <c r="V337" i="368" s="1"/>
  <c r="K104" i="368"/>
  <c r="Y355" i="368"/>
  <c r="R421" i="368"/>
  <c r="Y104" i="368"/>
  <c r="AA259" i="368"/>
  <c r="H376" i="368"/>
  <c r="H318" i="368"/>
  <c r="H317" i="368" s="1"/>
  <c r="Y376" i="368"/>
  <c r="Y354" i="368" s="1"/>
  <c r="Y353" i="368" s="1"/>
  <c r="N159" i="368"/>
  <c r="N158" i="368" s="1"/>
  <c r="Q54" i="368"/>
  <c r="Q53" i="368" s="1"/>
  <c r="AA61" i="368"/>
  <c r="N283" i="368"/>
  <c r="N282" i="368" s="1"/>
  <c r="H12" i="368"/>
  <c r="H11" i="368" s="1"/>
  <c r="AA91" i="368"/>
  <c r="Y86" i="368"/>
  <c r="R60" i="368"/>
  <c r="V355" i="368"/>
  <c r="V354" i="368" s="1"/>
  <c r="V353" i="368" s="1"/>
  <c r="AA164" i="368"/>
  <c r="AA302" i="368"/>
  <c r="AA99" i="368"/>
  <c r="S99" i="368"/>
  <c r="AA343" i="368"/>
  <c r="H34" i="368"/>
  <c r="H33" i="368" s="1"/>
  <c r="H425" i="368"/>
  <c r="K192" i="368"/>
  <c r="K191" i="368" s="1"/>
  <c r="Y283" i="368"/>
  <c r="Y282" i="368" s="1"/>
  <c r="R91" i="368"/>
  <c r="R87" i="368" s="1"/>
  <c r="R86" i="368" s="1"/>
  <c r="K283" i="368"/>
  <c r="K282" i="368" s="1"/>
  <c r="K355" i="368"/>
  <c r="Z302" i="368"/>
  <c r="AA60" i="368"/>
  <c r="Z116" i="368"/>
  <c r="Z25" i="368"/>
  <c r="AA324" i="368"/>
  <c r="Q424" i="368"/>
  <c r="K318" i="368"/>
  <c r="K317" i="368" s="1"/>
  <c r="S127" i="368"/>
  <c r="S424" i="368" s="1"/>
  <c r="N254" i="368"/>
  <c r="N253" i="368" s="1"/>
  <c r="Y425" i="368"/>
  <c r="Y215" i="368"/>
  <c r="Y214" i="368" s="1"/>
  <c r="H355" i="368"/>
  <c r="H354" i="368" s="1"/>
  <c r="H353" i="368" s="1"/>
  <c r="Z91" i="368"/>
  <c r="Z186" i="368"/>
  <c r="Q183" i="368"/>
  <c r="N75" i="368"/>
  <c r="N74" i="368" s="1"/>
  <c r="Q87" i="368"/>
  <c r="Y53" i="368"/>
  <c r="Y52" i="368" s="1"/>
  <c r="K423" i="368"/>
  <c r="Q339" i="368"/>
  <c r="Q338" i="368" s="1"/>
  <c r="H53" i="368"/>
  <c r="H52" i="368" s="1"/>
  <c r="Z324" i="368"/>
  <c r="K12" i="368"/>
  <c r="K11" i="368" s="1"/>
  <c r="V425" i="368"/>
  <c r="K54" i="368"/>
  <c r="K53" i="368" s="1"/>
  <c r="K52" i="368" s="1"/>
  <c r="Q423" i="368"/>
  <c r="Q319" i="368"/>
  <c r="Q318" i="368" s="1"/>
  <c r="AA202" i="368"/>
  <c r="K87" i="368"/>
  <c r="K86" i="368" s="1"/>
  <c r="Z66" i="368"/>
  <c r="AA127" i="368"/>
  <c r="R310" i="368"/>
  <c r="Z310" i="368"/>
  <c r="AA77" i="368"/>
  <c r="Z77" i="368"/>
  <c r="Q76" i="368"/>
  <c r="R77" i="368"/>
  <c r="R76" i="368" s="1"/>
  <c r="V422" i="368"/>
  <c r="Y422" i="368"/>
  <c r="Y12" i="368"/>
  <c r="K376" i="368"/>
  <c r="R309" i="368"/>
  <c r="Z309" i="368"/>
  <c r="AA309" i="368"/>
  <c r="K34" i="368"/>
  <c r="K33" i="368" s="1"/>
  <c r="Q406" i="368"/>
  <c r="AA350" i="368"/>
  <c r="AA279" i="368"/>
  <c r="R279" i="368"/>
  <c r="Z279" i="368"/>
  <c r="Q267" i="368"/>
  <c r="AA201" i="368"/>
  <c r="Z201" i="368"/>
  <c r="R201" i="368"/>
  <c r="K339" i="368"/>
  <c r="K338" i="368" s="1"/>
  <c r="K337" i="368" s="1"/>
  <c r="AA243" i="368"/>
  <c r="R243" i="368"/>
  <c r="Z243" i="368"/>
  <c r="R179" i="368"/>
  <c r="AA179" i="368"/>
  <c r="Z179" i="368"/>
  <c r="AA414" i="368"/>
  <c r="R414" i="368"/>
  <c r="Q413" i="368"/>
  <c r="Z414" i="368"/>
  <c r="Q305" i="368"/>
  <c r="Z141" i="368"/>
  <c r="AA141" i="368"/>
  <c r="S141" i="368"/>
  <c r="Z346" i="368"/>
  <c r="R346" i="368"/>
  <c r="AA346" i="368"/>
  <c r="R426" i="368"/>
  <c r="Z32" i="368"/>
  <c r="R32" i="368"/>
  <c r="AA32" i="368"/>
  <c r="V12" i="368"/>
  <c r="H254" i="368"/>
  <c r="H253" i="368" s="1"/>
  <c r="Z242" i="368"/>
  <c r="AA242" i="368"/>
  <c r="R242" i="368"/>
  <c r="AA184" i="368"/>
  <c r="Z184" i="368"/>
  <c r="AA121" i="368"/>
  <c r="Z121" i="368"/>
  <c r="Z359" i="368"/>
  <c r="AA359" i="368"/>
  <c r="R359" i="368"/>
  <c r="Z325" i="368"/>
  <c r="R325" i="368"/>
  <c r="AA325" i="368"/>
  <c r="Z387" i="368"/>
  <c r="R387" i="368"/>
  <c r="AA387" i="368"/>
  <c r="K254" i="368"/>
  <c r="K253" i="368" s="1"/>
  <c r="Z255" i="368"/>
  <c r="AA145" i="368"/>
  <c r="Z145" i="368"/>
  <c r="S145" i="368"/>
  <c r="AA136" i="368"/>
  <c r="Q135" i="368"/>
  <c r="Z136" i="368"/>
  <c r="S136" i="368"/>
  <c r="S135" i="368" s="1"/>
  <c r="R114" i="368"/>
  <c r="R105" i="368" s="1"/>
  <c r="R104" i="368" s="1"/>
  <c r="AA92" i="368"/>
  <c r="Z92" i="368"/>
  <c r="AA380" i="368"/>
  <c r="Z380" i="368"/>
  <c r="R380" i="368"/>
  <c r="V283" i="368"/>
  <c r="V282" i="368" s="1"/>
  <c r="N215" i="368"/>
  <c r="N214" i="368" s="1"/>
  <c r="Z105" i="368"/>
  <c r="Q104" i="368"/>
  <c r="AA105" i="368"/>
  <c r="Z369" i="368"/>
  <c r="R369" i="368"/>
  <c r="AA369" i="368"/>
  <c r="N422" i="368"/>
  <c r="N12" i="368"/>
  <c r="R54" i="368"/>
  <c r="AA372" i="368"/>
  <c r="R372" i="368"/>
  <c r="Z372" i="368"/>
  <c r="R296" i="368"/>
  <c r="AA296" i="368"/>
  <c r="Z296" i="368"/>
  <c r="R170" i="368"/>
  <c r="AA170" i="368"/>
  <c r="Z170" i="368"/>
  <c r="Z149" i="368"/>
  <c r="R149" i="368"/>
  <c r="AA149" i="368"/>
  <c r="Q148" i="368"/>
  <c r="AA381" i="368"/>
  <c r="Q377" i="368"/>
  <c r="K159" i="368"/>
  <c r="K158" i="368" s="1"/>
  <c r="Z160" i="368"/>
  <c r="S114" i="368"/>
  <c r="S105" i="368" s="1"/>
  <c r="AA45" i="368"/>
  <c r="Z45" i="368"/>
  <c r="V104" i="368"/>
  <c r="V75" i="368" s="1"/>
  <c r="V74" i="368" s="1"/>
  <c r="S92" i="368"/>
  <c r="Z284" i="368"/>
  <c r="AA284" i="368"/>
  <c r="Q283" i="368"/>
  <c r="Z289" i="368"/>
  <c r="R289" i="368"/>
  <c r="AA289" i="368"/>
  <c r="Q231" i="368"/>
  <c r="K183" i="368"/>
  <c r="K182" i="368" s="1"/>
  <c r="AA167" i="368"/>
  <c r="R167" i="368"/>
  <c r="R423" i="368" s="1"/>
  <c r="Z167" i="368"/>
  <c r="Q159" i="368"/>
  <c r="Q425" i="368"/>
  <c r="AA160" i="368"/>
  <c r="AA334" i="368"/>
  <c r="R334" i="368"/>
  <c r="Z334" i="368"/>
  <c r="Z381" i="368"/>
  <c r="Z330" i="368"/>
  <c r="AA330" i="368"/>
  <c r="Z80" i="368"/>
  <c r="AA80" i="368"/>
  <c r="R80" i="368"/>
  <c r="AA35" i="368"/>
  <c r="Q34" i="368"/>
  <c r="Z35" i="368"/>
  <c r="R245" i="368"/>
  <c r="AA245" i="368"/>
  <c r="Z245" i="368"/>
  <c r="AA114" i="368"/>
  <c r="Z114" i="368"/>
  <c r="AA47" i="368"/>
  <c r="R47" i="368"/>
  <c r="Z47" i="368"/>
  <c r="Z51" i="368"/>
  <c r="R51" i="368"/>
  <c r="AA51" i="368"/>
  <c r="R27" i="368"/>
  <c r="AA27" i="368"/>
  <c r="Q12" i="368"/>
  <c r="Z27" i="368"/>
  <c r="H424" i="368"/>
  <c r="Q193" i="368"/>
  <c r="Z69" i="368"/>
  <c r="R69" i="368"/>
  <c r="R425" i="368" s="1"/>
  <c r="AA69" i="368"/>
  <c r="N425" i="368"/>
  <c r="Q362" i="368"/>
  <c r="Q355" i="368" s="1"/>
  <c r="Z216" i="368"/>
  <c r="Q215" i="368"/>
  <c r="R216" i="368"/>
  <c r="AA216" i="368"/>
  <c r="Q86" i="368"/>
  <c r="K425" i="368"/>
  <c r="H422" i="368"/>
  <c r="P186" i="364"/>
  <c r="V186" i="364"/>
  <c r="X26" i="366"/>
  <c r="Y18" i="366"/>
  <c r="Q49" i="366"/>
  <c r="R586" i="364" s="1"/>
  <c r="X19" i="366"/>
  <c r="K48" i="366"/>
  <c r="N11" i="366"/>
  <c r="G72" i="367"/>
  <c r="G169" i="367" s="1"/>
  <c r="G174" i="367" s="1"/>
  <c r="W136" i="367"/>
  <c r="W69" i="367"/>
  <c r="V136" i="367"/>
  <c r="V184" i="367" s="1"/>
  <c r="J15" i="367"/>
  <c r="S150" i="367"/>
  <c r="K187" i="367"/>
  <c r="K203" i="367" s="1"/>
  <c r="W149" i="367"/>
  <c r="X170" i="367"/>
  <c r="Y170" i="367" s="1"/>
  <c r="U72" i="367"/>
  <c r="U169" i="367" s="1"/>
  <c r="U174" i="367" s="1"/>
  <c r="N122" i="367"/>
  <c r="R142" i="367"/>
  <c r="W142" i="367" s="1"/>
  <c r="R203" i="367"/>
  <c r="F187" i="367"/>
  <c r="F203" i="367" s="1"/>
  <c r="O187" i="367"/>
  <c r="O203" i="367" s="1"/>
  <c r="W170" i="367"/>
  <c r="S116" i="367"/>
  <c r="S40" i="367"/>
  <c r="V40" i="367"/>
  <c r="W40" i="367"/>
  <c r="V149" i="367"/>
  <c r="W116" i="367"/>
  <c r="X200" i="367"/>
  <c r="J122" i="367"/>
  <c r="J187" i="367"/>
  <c r="J203" i="367" s="1"/>
  <c r="H47" i="366"/>
  <c r="H46" i="366" s="1"/>
  <c r="H12" i="366"/>
  <c r="H11" i="366" s="1"/>
  <c r="Y26" i="367"/>
  <c r="Y187" i="367" s="1"/>
  <c r="T584" i="364" s="1"/>
  <c r="W47" i="366"/>
  <c r="W46" i="366" s="1"/>
  <c r="W12" i="366"/>
  <c r="W11" i="366" s="1"/>
  <c r="F183" i="367"/>
  <c r="F33" i="367"/>
  <c r="V39" i="367"/>
  <c r="S39" i="367"/>
  <c r="W39" i="367"/>
  <c r="K47" i="366"/>
  <c r="K12" i="366"/>
  <c r="K11" i="366" s="1"/>
  <c r="X206" i="367"/>
  <c r="Y206" i="367"/>
  <c r="W64" i="367"/>
  <c r="V64" i="367"/>
  <c r="W43" i="367"/>
  <c r="V43" i="367"/>
  <c r="S43" i="367"/>
  <c r="V156" i="367"/>
  <c r="S156" i="367"/>
  <c r="W156" i="367"/>
  <c r="Y198" i="367"/>
  <c r="K183" i="367"/>
  <c r="K72" i="367"/>
  <c r="K169" i="367" s="1"/>
  <c r="K174" i="367" s="1"/>
  <c r="Y13" i="366"/>
  <c r="Q12" i="366"/>
  <c r="X13" i="366"/>
  <c r="V51" i="367"/>
  <c r="J183" i="367"/>
  <c r="J50" i="367"/>
  <c r="W51" i="367"/>
  <c r="O183" i="367"/>
  <c r="O72" i="367"/>
  <c r="O169" i="367" s="1"/>
  <c r="O174" i="367" s="1"/>
  <c r="J184" i="367"/>
  <c r="J200" i="367" s="1"/>
  <c r="N187" i="367"/>
  <c r="N203" i="367" s="1"/>
  <c r="G178" i="367"/>
  <c r="W128" i="367"/>
  <c r="V128" i="367"/>
  <c r="S128" i="367"/>
  <c r="Q30" i="366"/>
  <c r="Y33" i="366"/>
  <c r="X33" i="366"/>
  <c r="T47" i="366"/>
  <c r="T46" i="366" s="1"/>
  <c r="T12" i="366"/>
  <c r="T11" i="366" s="1"/>
  <c r="R34" i="367"/>
  <c r="W60" i="367"/>
  <c r="V60" i="367"/>
  <c r="W19" i="367"/>
  <c r="V19" i="367"/>
  <c r="S19" i="367"/>
  <c r="S184" i="367" s="1"/>
  <c r="R15" i="367"/>
  <c r="V132" i="367"/>
  <c r="W132" i="367"/>
  <c r="S132" i="367"/>
  <c r="R123" i="367"/>
  <c r="Y34" i="366"/>
  <c r="W56" i="367"/>
  <c r="V56" i="367"/>
  <c r="V55" i="367"/>
  <c r="W55" i="367"/>
  <c r="Y42" i="366"/>
  <c r="X42" i="366"/>
  <c r="V26" i="367"/>
  <c r="U178" i="367"/>
  <c r="U198" i="367"/>
  <c r="X28" i="367"/>
  <c r="Y28" i="367" s="1"/>
  <c r="W28" i="367"/>
  <c r="V28" i="367"/>
  <c r="S28" i="367"/>
  <c r="P228" i="364"/>
  <c r="T57" i="364"/>
  <c r="T186" i="364"/>
  <c r="P57" i="364"/>
  <c r="H57" i="364"/>
  <c r="D57" i="364"/>
  <c r="D237" i="364"/>
  <c r="D29" i="364"/>
  <c r="D186" i="364"/>
  <c r="AA11" i="364"/>
  <c r="T11" i="364"/>
  <c r="AA25" i="364"/>
  <c r="H186" i="364"/>
  <c r="Y57" i="364"/>
  <c r="N25" i="364"/>
  <c r="Y25" i="364"/>
  <c r="Z57" i="364"/>
  <c r="N57" i="364"/>
  <c r="Z186" i="364"/>
  <c r="V57" i="364"/>
  <c r="J57" i="364"/>
  <c r="D141" i="364"/>
  <c r="J228" i="364"/>
  <c r="V228" i="364"/>
  <c r="H237" i="364"/>
  <c r="J141" i="364"/>
  <c r="V141" i="364"/>
  <c r="Z141" i="364"/>
  <c r="Z11" i="364"/>
  <c r="Z25" i="364"/>
  <c r="J25" i="364"/>
  <c r="AA29" i="364"/>
  <c r="AA237" i="364"/>
  <c r="L580" i="364"/>
  <c r="U580" i="364"/>
  <c r="D11" i="364"/>
  <c r="AA228" i="364"/>
  <c r="Q580" i="364"/>
  <c r="P11" i="364"/>
  <c r="I580" i="364"/>
  <c r="AA57" i="364"/>
  <c r="M580" i="364"/>
  <c r="R580" i="364"/>
  <c r="Z29" i="364"/>
  <c r="Z228" i="364"/>
  <c r="T25" i="364"/>
  <c r="AA186" i="364"/>
  <c r="N228" i="364"/>
  <c r="Y228" i="364"/>
  <c r="T228" i="364"/>
  <c r="AB580" i="364"/>
  <c r="E580" i="364"/>
  <c r="N141" i="364"/>
  <c r="Y141" i="364"/>
  <c r="F580" i="364"/>
  <c r="X580" i="364"/>
  <c r="AC580" i="364"/>
  <c r="P141" i="364"/>
  <c r="T141" i="364"/>
  <c r="Y29" i="364"/>
  <c r="C580" i="364"/>
  <c r="G580" i="364"/>
  <c r="K580" i="364"/>
  <c r="O580" i="364"/>
  <c r="S580" i="364"/>
  <c r="W580" i="364"/>
  <c r="R431" i="368" l="1"/>
  <c r="R585" i="364"/>
  <c r="V431" i="368"/>
  <c r="S585" i="364"/>
  <c r="Q397" i="368"/>
  <c r="R397" i="368" s="1"/>
  <c r="W184" i="367"/>
  <c r="R339" i="368"/>
  <c r="Y431" i="368"/>
  <c r="T585" i="364"/>
  <c r="T587" i="364" s="1"/>
  <c r="E29" i="151" s="1"/>
  <c r="S187" i="367"/>
  <c r="R584" i="364" s="1"/>
  <c r="R587" i="364" s="1"/>
  <c r="C29" i="151" s="1"/>
  <c r="W187" i="367"/>
  <c r="H420" i="368"/>
  <c r="V187" i="367"/>
  <c r="V203" i="367" s="1"/>
  <c r="X51" i="367"/>
  <c r="X183" i="367" s="1"/>
  <c r="N50" i="367"/>
  <c r="X187" i="367"/>
  <c r="S584" i="364" s="1"/>
  <c r="S587" i="364" s="1"/>
  <c r="D29" i="151" s="1"/>
  <c r="Y75" i="368"/>
  <c r="Y74" i="368" s="1"/>
  <c r="V420" i="368"/>
  <c r="K75" i="368"/>
  <c r="K74" i="368" s="1"/>
  <c r="AA339" i="368"/>
  <c r="N420" i="368"/>
  <c r="Z54" i="368"/>
  <c r="R424" i="368"/>
  <c r="Y420" i="368"/>
  <c r="AA183" i="368"/>
  <c r="Q182" i="368"/>
  <c r="R182" i="368" s="1"/>
  <c r="Z319" i="368"/>
  <c r="Q422" i="368"/>
  <c r="Q420" i="368" s="1"/>
  <c r="K354" i="368"/>
  <c r="K353" i="368" s="1"/>
  <c r="K422" i="368"/>
  <c r="K420" i="368" s="1"/>
  <c r="AA54" i="368"/>
  <c r="R183" i="368"/>
  <c r="R319" i="368"/>
  <c r="Z183" i="368"/>
  <c r="AA319" i="368"/>
  <c r="Z87" i="368"/>
  <c r="AA87" i="368"/>
  <c r="Z339" i="368"/>
  <c r="Z215" i="368"/>
  <c r="Q214" i="368"/>
  <c r="R215" i="368"/>
  <c r="AA215" i="368"/>
  <c r="Q337" i="368"/>
  <c r="AA338" i="368"/>
  <c r="Z338" i="368"/>
  <c r="R338" i="368"/>
  <c r="AA283" i="368"/>
  <c r="R283" i="368"/>
  <c r="Q282" i="368"/>
  <c r="Z283" i="368"/>
  <c r="S104" i="368"/>
  <c r="S422" i="368"/>
  <c r="AA377" i="368"/>
  <c r="Q376" i="368"/>
  <c r="Z377" i="368"/>
  <c r="R377" i="368"/>
  <c r="Z355" i="368"/>
  <c r="Q354" i="368"/>
  <c r="R355" i="368"/>
  <c r="AA355" i="368"/>
  <c r="AA104" i="368"/>
  <c r="Z104" i="368"/>
  <c r="Q304" i="368"/>
  <c r="AA305" i="368"/>
  <c r="Z305" i="368"/>
  <c r="R305" i="368"/>
  <c r="Y11" i="368"/>
  <c r="AA86" i="368"/>
  <c r="Z86" i="368"/>
  <c r="N428" i="368"/>
  <c r="N11" i="368"/>
  <c r="N10" i="368" s="1"/>
  <c r="V11" i="368"/>
  <c r="V10" i="368" s="1"/>
  <c r="V428" i="368"/>
  <c r="R267" i="368"/>
  <c r="AA267" i="368"/>
  <c r="Z267" i="368"/>
  <c r="Q254" i="368"/>
  <c r="R75" i="368"/>
  <c r="R74" i="368" s="1"/>
  <c r="Z362" i="368"/>
  <c r="R362" i="368"/>
  <c r="AA362" i="368"/>
  <c r="AA12" i="368"/>
  <c r="R12" i="368"/>
  <c r="Z12" i="368"/>
  <c r="Q11" i="368"/>
  <c r="AA34" i="368"/>
  <c r="R34" i="368"/>
  <c r="Q33" i="368"/>
  <c r="Z34" i="368"/>
  <c r="AA159" i="368"/>
  <c r="Z159" i="368"/>
  <c r="Q158" i="368"/>
  <c r="R159" i="368"/>
  <c r="Q147" i="368"/>
  <c r="R148" i="368"/>
  <c r="R147" i="368" s="1"/>
  <c r="AA148" i="368"/>
  <c r="Z148" i="368"/>
  <c r="R53" i="368"/>
  <c r="Q52" i="368"/>
  <c r="AA53" i="368"/>
  <c r="Z53" i="368"/>
  <c r="AA135" i="368"/>
  <c r="AG138" i="368"/>
  <c r="Z135" i="368"/>
  <c r="H10" i="368"/>
  <c r="Z182" i="368"/>
  <c r="Z413" i="368"/>
  <c r="R413" i="368"/>
  <c r="AA413" i="368"/>
  <c r="Q405" i="368"/>
  <c r="R405" i="368" s="1"/>
  <c r="R406" i="368"/>
  <c r="Z76" i="368"/>
  <c r="AA76" i="368"/>
  <c r="Q75" i="368"/>
  <c r="AA193" i="368"/>
  <c r="Z193" i="368"/>
  <c r="Q192" i="368"/>
  <c r="R193" i="368"/>
  <c r="Z231" i="368"/>
  <c r="AA231" i="368"/>
  <c r="R231" i="368"/>
  <c r="S425" i="368"/>
  <c r="S86" i="368"/>
  <c r="H428" i="368"/>
  <c r="H429" i="368" s="1"/>
  <c r="AA318" i="368"/>
  <c r="R318" i="368"/>
  <c r="Q317" i="368"/>
  <c r="Z318" i="368"/>
  <c r="K46" i="366"/>
  <c r="X50" i="367"/>
  <c r="V200" i="367"/>
  <c r="S142" i="367"/>
  <c r="V142" i="367"/>
  <c r="F169" i="367"/>
  <c r="F174" i="367" s="1"/>
  <c r="N169" i="367"/>
  <c r="N174" i="367" s="1"/>
  <c r="W203" i="367"/>
  <c r="W200" i="367"/>
  <c r="S123" i="367"/>
  <c r="W123" i="367"/>
  <c r="R122" i="367"/>
  <c r="V123" i="367"/>
  <c r="X198" i="367"/>
  <c r="W50" i="367"/>
  <c r="V50" i="367"/>
  <c r="Y12" i="366"/>
  <c r="X12" i="366"/>
  <c r="J169" i="367"/>
  <c r="J174" i="367" s="1"/>
  <c r="Y30" i="366"/>
  <c r="Q29" i="366"/>
  <c r="X30" i="366"/>
  <c r="N178" i="367"/>
  <c r="Q47" i="366"/>
  <c r="Q46" i="366" s="1"/>
  <c r="F198" i="367"/>
  <c r="F178" i="367"/>
  <c r="X203" i="367"/>
  <c r="O178" i="367"/>
  <c r="O198" i="367"/>
  <c r="K178" i="367"/>
  <c r="K198" i="367"/>
  <c r="J198" i="367"/>
  <c r="J178" i="367"/>
  <c r="V15" i="367"/>
  <c r="S15" i="367"/>
  <c r="X15" i="367"/>
  <c r="Y15" i="367" s="1"/>
  <c r="Y169" i="367" s="1"/>
  <c r="Y174" i="367" s="1"/>
  <c r="W15" i="367"/>
  <c r="R183" i="367"/>
  <c r="W34" i="367"/>
  <c r="V34" i="367"/>
  <c r="R33" i="367"/>
  <c r="S34" i="367"/>
  <c r="H580" i="364"/>
  <c r="D580" i="364"/>
  <c r="V580" i="364"/>
  <c r="N580" i="364"/>
  <c r="J580" i="364"/>
  <c r="Y580" i="364"/>
  <c r="Z580" i="364"/>
  <c r="T580" i="364"/>
  <c r="AA580" i="364"/>
  <c r="P580" i="364"/>
  <c r="N429" i="368" l="1"/>
  <c r="V429" i="368"/>
  <c r="Y10" i="368"/>
  <c r="Y428" i="368"/>
  <c r="Y429" i="368" s="1"/>
  <c r="K10" i="368"/>
  <c r="K428" i="368"/>
  <c r="K429" i="368" s="1"/>
  <c r="AA182" i="368"/>
  <c r="R422" i="368"/>
  <c r="R420" i="368" s="1"/>
  <c r="AA75" i="368"/>
  <c r="Z75" i="368"/>
  <c r="Q74" i="368"/>
  <c r="AA11" i="368"/>
  <c r="Z11" i="368"/>
  <c r="R11" i="368"/>
  <c r="Q428" i="368"/>
  <c r="Q429" i="368" s="1"/>
  <c r="S420" i="368"/>
  <c r="AA214" i="368"/>
  <c r="R214" i="368"/>
  <c r="Z214" i="368"/>
  <c r="Q191" i="368"/>
  <c r="Z192" i="368"/>
  <c r="R192" i="368"/>
  <c r="AA192" i="368"/>
  <c r="Z158" i="368"/>
  <c r="R158" i="368"/>
  <c r="AA158" i="368"/>
  <c r="R33" i="368"/>
  <c r="AA33" i="368"/>
  <c r="Z33" i="368"/>
  <c r="Z254" i="368"/>
  <c r="R254" i="368"/>
  <c r="AA254" i="368"/>
  <c r="Q253" i="368"/>
  <c r="Z304" i="368"/>
  <c r="AA304" i="368"/>
  <c r="R304" i="368"/>
  <c r="Q303" i="368"/>
  <c r="Z337" i="368"/>
  <c r="R337" i="368"/>
  <c r="AA337" i="368"/>
  <c r="AA52" i="368"/>
  <c r="Z52" i="368"/>
  <c r="R52" i="368"/>
  <c r="AA354" i="368"/>
  <c r="R354" i="368"/>
  <c r="Q353" i="368"/>
  <c r="Z354" i="368"/>
  <c r="AA376" i="368"/>
  <c r="R376" i="368"/>
  <c r="Z376" i="368"/>
  <c r="AA317" i="368"/>
  <c r="R317" i="368"/>
  <c r="Z317" i="368"/>
  <c r="S75" i="368"/>
  <c r="AA147" i="368"/>
  <c r="Z147" i="368"/>
  <c r="R282" i="368"/>
  <c r="Z282" i="368"/>
  <c r="AA282" i="368"/>
  <c r="W183" i="367"/>
  <c r="W178" i="367" s="1"/>
  <c r="S183" i="367"/>
  <c r="S178" i="367" s="1"/>
  <c r="R198" i="367"/>
  <c r="R178" i="367"/>
  <c r="Y203" i="367"/>
  <c r="Y178" i="367"/>
  <c r="S122" i="367"/>
  <c r="R169" i="367"/>
  <c r="W122" i="367"/>
  <c r="V122" i="367"/>
  <c r="V183" i="367"/>
  <c r="Y29" i="366"/>
  <c r="X29" i="366"/>
  <c r="X178" i="367"/>
  <c r="V33" i="367"/>
  <c r="S33" i="367"/>
  <c r="W33" i="367"/>
  <c r="X169" i="367"/>
  <c r="X174" i="367" s="1"/>
  <c r="Q11" i="366"/>
  <c r="X428" i="363"/>
  <c r="W428" i="363"/>
  <c r="U428" i="363"/>
  <c r="T428" i="363"/>
  <c r="P428" i="363"/>
  <c r="O428" i="363"/>
  <c r="M428" i="363"/>
  <c r="L428" i="363"/>
  <c r="J428" i="363"/>
  <c r="I428" i="363"/>
  <c r="N426" i="363"/>
  <c r="K426" i="363"/>
  <c r="H426" i="363"/>
  <c r="S425" i="363"/>
  <c r="AA416" i="363"/>
  <c r="Z416" i="363"/>
  <c r="R416" i="363"/>
  <c r="H416" i="363"/>
  <c r="AA415" i="363"/>
  <c r="Z415" i="363"/>
  <c r="Y415" i="363"/>
  <c r="V415" i="363"/>
  <c r="R415" i="363"/>
  <c r="H415" i="363"/>
  <c r="H414" i="363" s="1"/>
  <c r="H413" i="363" s="1"/>
  <c r="H412" i="363" s="1"/>
  <c r="V413" i="363"/>
  <c r="V412" i="363" s="1"/>
  <c r="Q414" i="363"/>
  <c r="N414" i="363"/>
  <c r="N413" i="363" s="1"/>
  <c r="N412" i="363" s="1"/>
  <c r="K414" i="363"/>
  <c r="K413" i="363" s="1"/>
  <c r="K412" i="363" s="1"/>
  <c r="Y413" i="363"/>
  <c r="Y412" i="363" s="1"/>
  <c r="R410" i="363"/>
  <c r="Q410" i="363"/>
  <c r="Q409" i="363"/>
  <c r="R409" i="363" s="1"/>
  <c r="Q408" i="363"/>
  <c r="R408" i="363" s="1"/>
  <c r="Q407" i="363"/>
  <c r="R407" i="363" s="1"/>
  <c r="R406" i="363"/>
  <c r="Q406" i="363"/>
  <c r="Q402" i="363"/>
  <c r="R402" i="363" s="1"/>
  <c r="Q401" i="363"/>
  <c r="R401" i="363" s="1"/>
  <c r="Q400" i="363"/>
  <c r="R400" i="363" s="1"/>
  <c r="Q399" i="363"/>
  <c r="R399" i="363" s="1"/>
  <c r="Q398" i="363"/>
  <c r="Y395" i="363"/>
  <c r="V395" i="363"/>
  <c r="Q395" i="363"/>
  <c r="N395" i="363"/>
  <c r="K395" i="363"/>
  <c r="H395" i="363"/>
  <c r="Q394" i="363"/>
  <c r="H394" i="363"/>
  <c r="Y393" i="363"/>
  <c r="V393" i="363"/>
  <c r="Q393" i="363"/>
  <c r="Z393" i="363" s="1"/>
  <c r="N393" i="363"/>
  <c r="K393" i="363"/>
  <c r="H393" i="363"/>
  <c r="Y392" i="363"/>
  <c r="V392" i="363"/>
  <c r="R392" i="363"/>
  <c r="N392" i="363"/>
  <c r="K392" i="363"/>
  <c r="AA392" i="363" s="1"/>
  <c r="H392" i="363"/>
  <c r="R391" i="363"/>
  <c r="N391" i="363"/>
  <c r="K391" i="363"/>
  <c r="AA391" i="363" s="1"/>
  <c r="H391" i="363"/>
  <c r="R390" i="363"/>
  <c r="N390" i="363"/>
  <c r="K390" i="363"/>
  <c r="H390" i="363"/>
  <c r="Y389" i="363"/>
  <c r="V389" i="363"/>
  <c r="Q389" i="363"/>
  <c r="N389" i="363"/>
  <c r="K389" i="363"/>
  <c r="H389" i="363"/>
  <c r="AA388" i="363"/>
  <c r="Z388" i="363"/>
  <c r="R388" i="363"/>
  <c r="H388" i="363"/>
  <c r="Y387" i="363"/>
  <c r="Y386" i="363" s="1"/>
  <c r="V387" i="363"/>
  <c r="Q387" i="363"/>
  <c r="N387" i="363"/>
  <c r="K387" i="363"/>
  <c r="H387" i="363"/>
  <c r="AA385" i="363"/>
  <c r="Z385" i="363"/>
  <c r="R385" i="363"/>
  <c r="R384" i="363"/>
  <c r="N384" i="363"/>
  <c r="N380" i="363" s="1"/>
  <c r="K384" i="363"/>
  <c r="AA383" i="363"/>
  <c r="Z383" i="363"/>
  <c r="R383" i="363"/>
  <c r="H383" i="363"/>
  <c r="R382" i="363"/>
  <c r="N382" i="363"/>
  <c r="K382" i="363"/>
  <c r="H382" i="363"/>
  <c r="R381" i="363"/>
  <c r="N381" i="363"/>
  <c r="K381" i="363"/>
  <c r="AA381" i="363" s="1"/>
  <c r="H381" i="363"/>
  <c r="H380" i="363" s="1"/>
  <c r="Y380" i="363"/>
  <c r="V380" i="363"/>
  <c r="Q380" i="363"/>
  <c r="R380" i="363" s="1"/>
  <c r="AA378" i="363"/>
  <c r="Z378" i="363"/>
  <c r="Y378" i="363"/>
  <c r="V378" i="363"/>
  <c r="R378" i="363"/>
  <c r="Y377" i="363"/>
  <c r="V377" i="363"/>
  <c r="Q377" i="363"/>
  <c r="Z377" i="363" s="1"/>
  <c r="Y374" i="363"/>
  <c r="V374" i="363"/>
  <c r="Q374" i="363"/>
  <c r="N374" i="363"/>
  <c r="K374" i="363"/>
  <c r="Z374" i="363" s="1"/>
  <c r="H374" i="363"/>
  <c r="Y373" i="363"/>
  <c r="V373" i="363"/>
  <c r="Q373" i="363"/>
  <c r="N373" i="363"/>
  <c r="K373" i="363"/>
  <c r="H373" i="363"/>
  <c r="Y372" i="363"/>
  <c r="V372" i="363"/>
  <c r="Q372" i="363"/>
  <c r="N372" i="363"/>
  <c r="N371" i="363" s="1"/>
  <c r="K372" i="363"/>
  <c r="H372" i="363"/>
  <c r="Y370" i="363"/>
  <c r="V370" i="363"/>
  <c r="Q370" i="363"/>
  <c r="N370" i="363"/>
  <c r="K370" i="363"/>
  <c r="H370" i="363"/>
  <c r="Q369" i="363"/>
  <c r="N369" i="363"/>
  <c r="N423" i="363" s="1"/>
  <c r="K369" i="363"/>
  <c r="H369" i="363"/>
  <c r="Y367" i="363"/>
  <c r="V367" i="363"/>
  <c r="Q367" i="363"/>
  <c r="Y366" i="363"/>
  <c r="V366" i="363"/>
  <c r="Q366" i="363"/>
  <c r="R365" i="363"/>
  <c r="N365" i="363"/>
  <c r="K365" i="363"/>
  <c r="AA365" i="363" s="1"/>
  <c r="Y364" i="363"/>
  <c r="V364" i="363"/>
  <c r="Q364" i="363"/>
  <c r="R364" i="363" s="1"/>
  <c r="N364" i="363"/>
  <c r="K364" i="363"/>
  <c r="H364" i="363"/>
  <c r="Y363" i="363"/>
  <c r="V363" i="363"/>
  <c r="Q363" i="363"/>
  <c r="N363" i="363"/>
  <c r="K363" i="363"/>
  <c r="H363" i="363"/>
  <c r="Y362" i="363"/>
  <c r="V362" i="363"/>
  <c r="R362" i="363"/>
  <c r="Q362" i="363"/>
  <c r="N362" i="363"/>
  <c r="K362" i="363"/>
  <c r="K368" i="363" s="1"/>
  <c r="K361" i="363" s="1"/>
  <c r="H362" i="363"/>
  <c r="Y360" i="363"/>
  <c r="V360" i="363"/>
  <c r="Q360" i="363"/>
  <c r="Z360" i="363" s="1"/>
  <c r="AA359" i="363"/>
  <c r="Z359" i="363"/>
  <c r="Y359" i="363"/>
  <c r="Y358" i="363" s="1"/>
  <c r="V359" i="363"/>
  <c r="V358" i="363" s="1"/>
  <c r="R359" i="363"/>
  <c r="AA357" i="363"/>
  <c r="Z357" i="363"/>
  <c r="R357" i="363"/>
  <c r="H357" i="363"/>
  <c r="Y356" i="363"/>
  <c r="Y355" i="363" s="1"/>
  <c r="V356" i="363"/>
  <c r="V355" i="363" s="1"/>
  <c r="Q356" i="363"/>
  <c r="N356" i="363"/>
  <c r="K356" i="363"/>
  <c r="K355" i="363" s="1"/>
  <c r="H356" i="363"/>
  <c r="N355" i="363"/>
  <c r="R351" i="363"/>
  <c r="N351" i="363"/>
  <c r="K351" i="363"/>
  <c r="H351" i="363"/>
  <c r="Y350" i="363"/>
  <c r="Y349" i="363" s="1"/>
  <c r="V350" i="363"/>
  <c r="Q350" i="363"/>
  <c r="Q349" i="363" s="1"/>
  <c r="N350" i="363"/>
  <c r="K350" i="363"/>
  <c r="H350" i="363"/>
  <c r="V349" i="363"/>
  <c r="Y348" i="363"/>
  <c r="V348" i="363"/>
  <c r="V345" i="363" s="1"/>
  <c r="Q348" i="363"/>
  <c r="Z348" i="363" s="1"/>
  <c r="R347" i="363"/>
  <c r="N347" i="363"/>
  <c r="K347" i="363"/>
  <c r="Z347" i="363" s="1"/>
  <c r="H347" i="363"/>
  <c r="Y346" i="363"/>
  <c r="V346" i="363"/>
  <c r="Q346" i="363"/>
  <c r="R346" i="363" s="1"/>
  <c r="N346" i="363"/>
  <c r="N345" i="363" s="1"/>
  <c r="K346" i="363"/>
  <c r="H346" i="363"/>
  <c r="Q345" i="363"/>
  <c r="Y344" i="363"/>
  <c r="V344" i="363"/>
  <c r="Q344" i="363"/>
  <c r="AA344" i="363" s="1"/>
  <c r="N344" i="363"/>
  <c r="K344" i="363"/>
  <c r="Q343" i="363"/>
  <c r="R343" i="363" s="1"/>
  <c r="N343" i="363"/>
  <c r="K343" i="363"/>
  <c r="H343" i="363"/>
  <c r="R341" i="363"/>
  <c r="N341" i="363"/>
  <c r="K341" i="363"/>
  <c r="H341" i="363"/>
  <c r="Y340" i="363"/>
  <c r="V340" i="363"/>
  <c r="V342" i="363" s="1"/>
  <c r="V338" i="363" s="1"/>
  <c r="Q340" i="363"/>
  <c r="N340" i="363"/>
  <c r="K340" i="363"/>
  <c r="H340" i="363"/>
  <c r="Y339" i="363"/>
  <c r="V339" i="363"/>
  <c r="Q339" i="363"/>
  <c r="N339" i="363"/>
  <c r="K339" i="363"/>
  <c r="H339" i="363"/>
  <c r="R335" i="363"/>
  <c r="N335" i="363"/>
  <c r="N333" i="363" s="1"/>
  <c r="K335" i="363"/>
  <c r="Z335" i="363" s="1"/>
  <c r="H335" i="363"/>
  <c r="Y334" i="363"/>
  <c r="Y333" i="363" s="1"/>
  <c r="V334" i="363"/>
  <c r="V333" i="363" s="1"/>
  <c r="Q334" i="363"/>
  <c r="N334" i="363"/>
  <c r="K334" i="363"/>
  <c r="H334" i="363"/>
  <c r="Q333" i="363"/>
  <c r="R332" i="363"/>
  <c r="N332" i="363"/>
  <c r="K332" i="363"/>
  <c r="Z332" i="363" s="1"/>
  <c r="H332" i="363"/>
  <c r="Y331" i="363"/>
  <c r="Y329" i="363" s="1"/>
  <c r="V331" i="363"/>
  <c r="V329" i="363" s="1"/>
  <c r="Q331" i="363"/>
  <c r="Q329" i="363" s="1"/>
  <c r="N331" i="363"/>
  <c r="K331" i="363"/>
  <c r="R330" i="363"/>
  <c r="N330" i="363"/>
  <c r="K330" i="363"/>
  <c r="H330" i="363"/>
  <c r="H329" i="363"/>
  <c r="R328" i="363"/>
  <c r="N328" i="363"/>
  <c r="K328" i="363"/>
  <c r="H328" i="363"/>
  <c r="R327" i="363"/>
  <c r="N327" i="363"/>
  <c r="K327" i="363"/>
  <c r="AA327" i="363" s="1"/>
  <c r="H327" i="363"/>
  <c r="Y326" i="363"/>
  <c r="Y324" i="363" s="1"/>
  <c r="V326" i="363"/>
  <c r="V324" i="363" s="1"/>
  <c r="Q326" i="363"/>
  <c r="R326" i="363" s="1"/>
  <c r="N326" i="363"/>
  <c r="K326" i="363"/>
  <c r="H326" i="363"/>
  <c r="R325" i="363"/>
  <c r="N325" i="363"/>
  <c r="K325" i="363"/>
  <c r="H325" i="363"/>
  <c r="Q324" i="363"/>
  <c r="Y322" i="363"/>
  <c r="V322" i="363"/>
  <c r="Q322" i="363"/>
  <c r="N322" i="363"/>
  <c r="K322" i="363"/>
  <c r="H322" i="363"/>
  <c r="Y321" i="363"/>
  <c r="V321" i="363"/>
  <c r="Q321" i="363"/>
  <c r="Z321" i="363" s="1"/>
  <c r="R320" i="363"/>
  <c r="N320" i="363"/>
  <c r="K320" i="363"/>
  <c r="H320" i="363"/>
  <c r="Y319" i="363"/>
  <c r="V319" i="363"/>
  <c r="Q319" i="363"/>
  <c r="N319" i="363"/>
  <c r="K319" i="363"/>
  <c r="H319" i="363"/>
  <c r="Y315" i="363"/>
  <c r="V315" i="363"/>
  <c r="Q315" i="363"/>
  <c r="N315" i="363"/>
  <c r="K315" i="363"/>
  <c r="H315" i="363"/>
  <c r="Y314" i="363"/>
  <c r="Y312" i="363" s="1"/>
  <c r="V314" i="363"/>
  <c r="Q314" i="363"/>
  <c r="AA314" i="363" s="1"/>
  <c r="R313" i="363"/>
  <c r="N313" i="363"/>
  <c r="N312" i="363" s="1"/>
  <c r="K313" i="363"/>
  <c r="AA313" i="363" s="1"/>
  <c r="H313" i="363"/>
  <c r="H312" i="363" s="1"/>
  <c r="V312" i="363"/>
  <c r="AA311" i="363"/>
  <c r="Z311" i="363"/>
  <c r="R311" i="363"/>
  <c r="H311" i="363"/>
  <c r="Y310" i="363"/>
  <c r="Y309" i="363" s="1"/>
  <c r="V310" i="363"/>
  <c r="V309" i="363" s="1"/>
  <c r="Q310" i="363"/>
  <c r="N310" i="363"/>
  <c r="K310" i="363"/>
  <c r="K309" i="363" s="1"/>
  <c r="H310" i="363"/>
  <c r="H309" i="363" s="1"/>
  <c r="N309" i="363"/>
  <c r="Y307" i="363"/>
  <c r="V307" i="363"/>
  <c r="Q307" i="363"/>
  <c r="AA307" i="363" s="1"/>
  <c r="Y306" i="363"/>
  <c r="V306" i="363"/>
  <c r="Q306" i="363"/>
  <c r="Y305" i="363"/>
  <c r="V305" i="363"/>
  <c r="Q305" i="363"/>
  <c r="AA305" i="363" s="1"/>
  <c r="N304" i="363"/>
  <c r="K304" i="363"/>
  <c r="H304" i="363"/>
  <c r="Y300" i="363"/>
  <c r="V300" i="363"/>
  <c r="Q300" i="363"/>
  <c r="Z300" i="363" s="1"/>
  <c r="R299" i="363"/>
  <c r="N299" i="363"/>
  <c r="K299" i="363"/>
  <c r="Z299" i="363" s="1"/>
  <c r="H299" i="363"/>
  <c r="R298" i="363"/>
  <c r="N298" i="363"/>
  <c r="K298" i="363"/>
  <c r="AA298" i="363" s="1"/>
  <c r="H298" i="363"/>
  <c r="Y297" i="363"/>
  <c r="V297" i="363"/>
  <c r="Q297" i="363"/>
  <c r="R297" i="363" s="1"/>
  <c r="N297" i="363"/>
  <c r="K297" i="363"/>
  <c r="H297" i="363"/>
  <c r="Y296" i="363"/>
  <c r="V296" i="363"/>
  <c r="V301" i="363" s="1"/>
  <c r="Q296" i="363"/>
  <c r="N296" i="363"/>
  <c r="K296" i="363"/>
  <c r="H296" i="363"/>
  <c r="Y294" i="363"/>
  <c r="V294" i="363"/>
  <c r="Q294" i="363"/>
  <c r="N294" i="363"/>
  <c r="K294" i="363"/>
  <c r="H294" i="363"/>
  <c r="Y293" i="363"/>
  <c r="V293" i="363"/>
  <c r="Q293" i="363"/>
  <c r="Z293" i="363" s="1"/>
  <c r="AA292" i="363"/>
  <c r="Z292" i="363"/>
  <c r="R292" i="363"/>
  <c r="H292" i="363"/>
  <c r="AA291" i="363"/>
  <c r="Z291" i="363"/>
  <c r="R291" i="363"/>
  <c r="H291" i="363"/>
  <c r="AA290" i="363"/>
  <c r="Z290" i="363"/>
  <c r="R290" i="363"/>
  <c r="H290" i="363"/>
  <c r="Y289" i="363"/>
  <c r="Y288" i="363" s="1"/>
  <c r="V289" i="363"/>
  <c r="V288" i="363" s="1"/>
  <c r="Q289" i="363"/>
  <c r="N289" i="363"/>
  <c r="N288" i="363" s="1"/>
  <c r="K289" i="363"/>
  <c r="K288" i="363" s="1"/>
  <c r="H289" i="363"/>
  <c r="H288" i="363" s="1"/>
  <c r="AA287" i="363"/>
  <c r="Z287" i="363"/>
  <c r="R287" i="363"/>
  <c r="Y286" i="363"/>
  <c r="V286" i="363"/>
  <c r="Q286" i="363"/>
  <c r="N286" i="363"/>
  <c r="K286" i="363"/>
  <c r="H286" i="363"/>
  <c r="Y285" i="363"/>
  <c r="V285" i="363"/>
  <c r="Q285" i="363"/>
  <c r="Z285" i="363" s="1"/>
  <c r="Y284" i="363"/>
  <c r="V284" i="363"/>
  <c r="Q284" i="363"/>
  <c r="N284" i="363"/>
  <c r="K284" i="363"/>
  <c r="H284" i="363"/>
  <c r="Y280" i="363"/>
  <c r="V280" i="363"/>
  <c r="Q280" i="363"/>
  <c r="N280" i="363"/>
  <c r="K280" i="363"/>
  <c r="H280" i="363"/>
  <c r="Y279" i="363"/>
  <c r="V279" i="363"/>
  <c r="Q279" i="363"/>
  <c r="N279" i="363"/>
  <c r="K279" i="363"/>
  <c r="H279" i="363"/>
  <c r="Q277" i="363"/>
  <c r="R277" i="363" s="1"/>
  <c r="Q276" i="363"/>
  <c r="R276" i="363" s="1"/>
  <c r="Q275" i="363"/>
  <c r="Y274" i="363"/>
  <c r="V274" i="363"/>
  <c r="R274" i="363"/>
  <c r="Q274" i="363"/>
  <c r="Z274" i="363" s="1"/>
  <c r="Y273" i="363"/>
  <c r="V273" i="363"/>
  <c r="Q273" i="363"/>
  <c r="AA273" i="363" s="1"/>
  <c r="Y272" i="363"/>
  <c r="V272" i="363"/>
  <c r="Q272" i="363"/>
  <c r="N272" i="363"/>
  <c r="K272" i="363"/>
  <c r="H272" i="363"/>
  <c r="R271" i="363"/>
  <c r="N271" i="363"/>
  <c r="K271" i="363"/>
  <c r="H271" i="363"/>
  <c r="Y270" i="363"/>
  <c r="V270" i="363"/>
  <c r="Q270" i="363"/>
  <c r="N270" i="363"/>
  <c r="K270" i="363"/>
  <c r="H270" i="363"/>
  <c r="R269" i="363"/>
  <c r="N269" i="363"/>
  <c r="K269" i="363"/>
  <c r="AA269" i="363" s="1"/>
  <c r="H269" i="363"/>
  <c r="Y268" i="363"/>
  <c r="V268" i="363"/>
  <c r="Q268" i="363"/>
  <c r="N268" i="363"/>
  <c r="K268" i="363"/>
  <c r="H268" i="363"/>
  <c r="Y267" i="363"/>
  <c r="V267" i="363"/>
  <c r="Q267" i="363"/>
  <c r="N267" i="363"/>
  <c r="K267" i="363"/>
  <c r="H267" i="363"/>
  <c r="Y265" i="363"/>
  <c r="V265" i="363"/>
  <c r="Q265" i="363"/>
  <c r="R265" i="363" s="1"/>
  <c r="N265" i="363"/>
  <c r="K265" i="363"/>
  <c r="H265" i="363"/>
  <c r="AA264" i="363"/>
  <c r="Z264" i="363"/>
  <c r="R264" i="363"/>
  <c r="R263" i="363"/>
  <c r="N263" i="363"/>
  <c r="K263" i="363"/>
  <c r="Z263" i="363" s="1"/>
  <c r="H263" i="363"/>
  <c r="AA262" i="363"/>
  <c r="Z262" i="363"/>
  <c r="R262" i="363"/>
  <c r="H262" i="363"/>
  <c r="R261" i="363"/>
  <c r="N261" i="363"/>
  <c r="K261" i="363"/>
  <c r="H261" i="363"/>
  <c r="Y260" i="363"/>
  <c r="V260" i="363"/>
  <c r="V258" i="363" s="1"/>
  <c r="Q260" i="363"/>
  <c r="R260" i="363" s="1"/>
  <c r="N260" i="363"/>
  <c r="K260" i="363"/>
  <c r="R259" i="363"/>
  <c r="N259" i="363"/>
  <c r="K259" i="363"/>
  <c r="H259" i="363"/>
  <c r="Y258" i="363"/>
  <c r="Q258" i="363"/>
  <c r="AA257" i="363"/>
  <c r="Z257" i="363"/>
  <c r="R257" i="363"/>
  <c r="H257" i="363"/>
  <c r="R256" i="363"/>
  <c r="N256" i="363"/>
  <c r="K256" i="363"/>
  <c r="AA256" i="363" s="1"/>
  <c r="H256" i="363"/>
  <c r="Y255" i="363"/>
  <c r="Y254" i="363" s="1"/>
  <c r="V255" i="363"/>
  <c r="V254" i="363" s="1"/>
  <c r="Q255" i="363"/>
  <c r="N255" i="363"/>
  <c r="K255" i="363"/>
  <c r="H255" i="363"/>
  <c r="Q254" i="363"/>
  <c r="AA251" i="363"/>
  <c r="Z251" i="363"/>
  <c r="R251" i="363"/>
  <c r="AA250" i="363"/>
  <c r="Z250" i="363"/>
  <c r="R250" i="363"/>
  <c r="Y249" i="363"/>
  <c r="V249" i="363"/>
  <c r="Q249" i="363"/>
  <c r="Z249" i="363" s="1"/>
  <c r="N249" i="363"/>
  <c r="K249" i="363"/>
  <c r="Y248" i="363"/>
  <c r="V248" i="363"/>
  <c r="Q248" i="363"/>
  <c r="N248" i="363"/>
  <c r="K248" i="363"/>
  <c r="H248" i="363"/>
  <c r="AA247" i="363"/>
  <c r="Z247" i="363"/>
  <c r="R247" i="363"/>
  <c r="H247" i="363"/>
  <c r="H244" i="363" s="1"/>
  <c r="Q246" i="363"/>
  <c r="Y245" i="363"/>
  <c r="V245" i="363"/>
  <c r="Q245" i="363"/>
  <c r="Z245" i="363" s="1"/>
  <c r="G245" i="363"/>
  <c r="Y243" i="363"/>
  <c r="Y242" i="363" s="1"/>
  <c r="V243" i="363"/>
  <c r="V242" i="363" s="1"/>
  <c r="Q243" i="363"/>
  <c r="Z243" i="363" s="1"/>
  <c r="N242" i="363"/>
  <c r="K242" i="363"/>
  <c r="H242" i="363"/>
  <c r="Y240" i="363"/>
  <c r="V240" i="363"/>
  <c r="Q240" i="363"/>
  <c r="Z240" i="363" s="1"/>
  <c r="Y239" i="363"/>
  <c r="V239" i="363"/>
  <c r="Q239" i="363"/>
  <c r="Z239" i="363" s="1"/>
  <c r="Y238" i="363"/>
  <c r="V238" i="363"/>
  <c r="Q238" i="363"/>
  <c r="Z238" i="363" s="1"/>
  <c r="Y237" i="363"/>
  <c r="V237" i="363"/>
  <c r="Q237" i="363"/>
  <c r="Z237" i="363" s="1"/>
  <c r="Y236" i="363"/>
  <c r="V236" i="363"/>
  <c r="Q236" i="363"/>
  <c r="N236" i="363"/>
  <c r="K236" i="363"/>
  <c r="H236" i="363"/>
  <c r="Y235" i="363"/>
  <c r="V235" i="363"/>
  <c r="Q235" i="363"/>
  <c r="R235" i="363" s="1"/>
  <c r="R234" i="363"/>
  <c r="N234" i="363"/>
  <c r="K234" i="363"/>
  <c r="AA234" i="363" s="1"/>
  <c r="H234" i="363"/>
  <c r="AA233" i="363"/>
  <c r="Z233" i="363"/>
  <c r="R233" i="363"/>
  <c r="H233" i="363"/>
  <c r="Y232" i="363"/>
  <c r="V232" i="363"/>
  <c r="Q232" i="363"/>
  <c r="R232" i="363" s="1"/>
  <c r="N232" i="363"/>
  <c r="K232" i="363"/>
  <c r="H232" i="363"/>
  <c r="Y231" i="363"/>
  <c r="V231" i="363"/>
  <c r="Q231" i="363"/>
  <c r="R231" i="363" s="1"/>
  <c r="N231" i="363"/>
  <c r="K231" i="363"/>
  <c r="H231" i="363"/>
  <c r="AA229" i="363"/>
  <c r="Z229" i="363"/>
  <c r="R229" i="363"/>
  <c r="H229" i="363"/>
  <c r="AA228" i="363"/>
  <c r="Z228" i="363"/>
  <c r="R228" i="363"/>
  <c r="H228" i="363"/>
  <c r="H227" i="363" s="1"/>
  <c r="R227" i="363"/>
  <c r="N227" i="363"/>
  <c r="K227" i="363"/>
  <c r="AA226" i="363"/>
  <c r="Z226" i="363"/>
  <c r="R226" i="363"/>
  <c r="R225" i="363"/>
  <c r="N225" i="363"/>
  <c r="N223" i="363" s="1"/>
  <c r="K225" i="363"/>
  <c r="AA225" i="363" s="1"/>
  <c r="H225" i="363"/>
  <c r="Y224" i="363"/>
  <c r="Y223" i="363" s="1"/>
  <c r="V224" i="363"/>
  <c r="V223" i="363" s="1"/>
  <c r="Q224" i="363"/>
  <c r="Q223" i="363" s="1"/>
  <c r="N224" i="363"/>
  <c r="K224" i="363"/>
  <c r="H224" i="363"/>
  <c r="Y222" i="363"/>
  <c r="V222" i="363"/>
  <c r="Q222" i="363"/>
  <c r="N222" i="363"/>
  <c r="K222" i="363"/>
  <c r="Y221" i="363"/>
  <c r="V221" i="363"/>
  <c r="Q221" i="363"/>
  <c r="Z221" i="363" s="1"/>
  <c r="Y220" i="363"/>
  <c r="V220" i="363"/>
  <c r="Q220" i="363"/>
  <c r="AA220" i="363" s="1"/>
  <c r="Y219" i="363"/>
  <c r="V219" i="363"/>
  <c r="Q219" i="363"/>
  <c r="Z219" i="363" s="1"/>
  <c r="R218" i="363"/>
  <c r="N218" i="363"/>
  <c r="K218" i="363"/>
  <c r="AA217" i="363"/>
  <c r="Z217" i="363"/>
  <c r="R217" i="363"/>
  <c r="R216" i="363"/>
  <c r="N216" i="363"/>
  <c r="N215" i="363" s="1"/>
  <c r="K216" i="363"/>
  <c r="Z216" i="363" s="1"/>
  <c r="Y212" i="363"/>
  <c r="Y210" i="363" s="1"/>
  <c r="V212" i="363"/>
  <c r="V210" i="363" s="1"/>
  <c r="Q212" i="363"/>
  <c r="N212" i="363"/>
  <c r="N210" i="363" s="1"/>
  <c r="K212" i="363"/>
  <c r="H212" i="363"/>
  <c r="AA211" i="363"/>
  <c r="Z211" i="363"/>
  <c r="R211" i="363"/>
  <c r="H211" i="363"/>
  <c r="H210" i="363" s="1"/>
  <c r="Y209" i="363"/>
  <c r="V209" i="363"/>
  <c r="R209" i="363"/>
  <c r="N209" i="363"/>
  <c r="K209" i="363"/>
  <c r="H209" i="363"/>
  <c r="AA208" i="363"/>
  <c r="Z208" i="363"/>
  <c r="R208" i="363"/>
  <c r="AA207" i="363"/>
  <c r="Z207" i="363"/>
  <c r="R207" i="363"/>
  <c r="AA206" i="363"/>
  <c r="Z206" i="363"/>
  <c r="R206" i="363"/>
  <c r="Y205" i="363"/>
  <c r="Y203" i="363" s="1"/>
  <c r="V205" i="363"/>
  <c r="V203" i="363" s="1"/>
  <c r="Q205" i="363"/>
  <c r="N205" i="363"/>
  <c r="K205" i="363"/>
  <c r="R204" i="363"/>
  <c r="N204" i="363"/>
  <c r="K204" i="363"/>
  <c r="AA204" i="363" s="1"/>
  <c r="H204" i="363"/>
  <c r="H203" i="363" s="1"/>
  <c r="K203" i="363"/>
  <c r="Y202" i="363"/>
  <c r="Y201" i="363" s="1"/>
  <c r="V202" i="363"/>
  <c r="V201" i="363" s="1"/>
  <c r="Q202" i="363"/>
  <c r="N202" i="363"/>
  <c r="N201" i="363" s="1"/>
  <c r="K202" i="363"/>
  <c r="K201" i="363" s="1"/>
  <c r="H202" i="363"/>
  <c r="H201" i="363" s="1"/>
  <c r="Y199" i="363"/>
  <c r="V199" i="363"/>
  <c r="Q199" i="363"/>
  <c r="Z199" i="363" s="1"/>
  <c r="AA198" i="363"/>
  <c r="Z198" i="363"/>
  <c r="R198" i="363"/>
  <c r="H198" i="363"/>
  <c r="AA197" i="363"/>
  <c r="Z197" i="363"/>
  <c r="R197" i="363"/>
  <c r="Y196" i="363"/>
  <c r="V196" i="363"/>
  <c r="Q196" i="363"/>
  <c r="N196" i="363"/>
  <c r="K196" i="363"/>
  <c r="H196" i="363"/>
  <c r="Y195" i="363"/>
  <c r="V195" i="363"/>
  <c r="Q195" i="363"/>
  <c r="N195" i="363"/>
  <c r="K195" i="363"/>
  <c r="H195" i="363"/>
  <c r="R194" i="363"/>
  <c r="N194" i="363"/>
  <c r="K194" i="363"/>
  <c r="H194" i="363"/>
  <c r="Y193" i="363"/>
  <c r="V193" i="363"/>
  <c r="Q193" i="363"/>
  <c r="N193" i="363"/>
  <c r="K193" i="363"/>
  <c r="H193" i="363"/>
  <c r="Y189" i="363"/>
  <c r="Y188" i="363" s="1"/>
  <c r="V189" i="363"/>
  <c r="V188" i="363" s="1"/>
  <c r="Q189" i="363"/>
  <c r="N189" i="363"/>
  <c r="N188" i="363" s="1"/>
  <c r="K189" i="363"/>
  <c r="K188" i="363" s="1"/>
  <c r="H189" i="363"/>
  <c r="H188" i="363" s="1"/>
  <c r="Q188" i="363"/>
  <c r="Y187" i="363"/>
  <c r="Y185" i="363" s="1"/>
  <c r="V187" i="363"/>
  <c r="V185" i="363" s="1"/>
  <c r="Q187" i="363"/>
  <c r="Q185" i="363" s="1"/>
  <c r="R186" i="363"/>
  <c r="N186" i="363"/>
  <c r="N185" i="363" s="1"/>
  <c r="K186" i="363"/>
  <c r="AA186" i="363" s="1"/>
  <c r="H186" i="363"/>
  <c r="H185" i="363" s="1"/>
  <c r="R184" i="363"/>
  <c r="N184" i="363"/>
  <c r="N183" i="363" s="1"/>
  <c r="K184" i="363"/>
  <c r="R183" i="363"/>
  <c r="Y180" i="363"/>
  <c r="V180" i="363"/>
  <c r="Q180" i="363"/>
  <c r="N180" i="363"/>
  <c r="K180" i="363"/>
  <c r="H180" i="363"/>
  <c r="Y179" i="363"/>
  <c r="V179" i="363"/>
  <c r="Q179" i="363"/>
  <c r="N179" i="363"/>
  <c r="K179" i="363"/>
  <c r="H179" i="363"/>
  <c r="Y177" i="363"/>
  <c r="V177" i="363"/>
  <c r="Q177" i="363"/>
  <c r="R177" i="363" s="1"/>
  <c r="Y176" i="363"/>
  <c r="V176" i="363"/>
  <c r="Q176" i="363"/>
  <c r="R176" i="363" s="1"/>
  <c r="Y175" i="363"/>
  <c r="V175" i="363"/>
  <c r="Q175" i="363"/>
  <c r="R175" i="363" s="1"/>
  <c r="Y174" i="363"/>
  <c r="V174" i="363"/>
  <c r="Q174" i="363"/>
  <c r="R174" i="363" s="1"/>
  <c r="AA173" i="363"/>
  <c r="Z173" i="363"/>
  <c r="R173" i="363"/>
  <c r="H173" i="363"/>
  <c r="Y172" i="363"/>
  <c r="V172" i="363"/>
  <c r="Q172" i="363"/>
  <c r="N172" i="363"/>
  <c r="K172" i="363"/>
  <c r="H172" i="363"/>
  <c r="Y171" i="363"/>
  <c r="V171" i="363"/>
  <c r="Q171" i="363"/>
  <c r="N171" i="363"/>
  <c r="K171" i="363"/>
  <c r="H171" i="363"/>
  <c r="Y170" i="363"/>
  <c r="V170" i="363"/>
  <c r="Q170" i="363"/>
  <c r="N170" i="363"/>
  <c r="K170" i="363"/>
  <c r="H170" i="363"/>
  <c r="Y168" i="363"/>
  <c r="V168" i="363"/>
  <c r="Q168" i="363"/>
  <c r="R168" i="363" s="1"/>
  <c r="N168" i="363"/>
  <c r="N166" i="363" s="1"/>
  <c r="K168" i="363"/>
  <c r="H168" i="363"/>
  <c r="Y167" i="363"/>
  <c r="V167" i="363"/>
  <c r="V166" i="363" s="1"/>
  <c r="Q167" i="363"/>
  <c r="R167" i="363" s="1"/>
  <c r="N167" i="363"/>
  <c r="K167" i="363"/>
  <c r="H167" i="363"/>
  <c r="H166" i="363" s="1"/>
  <c r="R166" i="363"/>
  <c r="R165" i="363"/>
  <c r="N165" i="363"/>
  <c r="N163" i="363" s="1"/>
  <c r="K165" i="363"/>
  <c r="AA165" i="363" s="1"/>
  <c r="H165" i="363"/>
  <c r="Y164" i="363"/>
  <c r="Y163" i="363" s="1"/>
  <c r="V164" i="363"/>
  <c r="V163" i="363" s="1"/>
  <c r="Q164" i="363"/>
  <c r="Q163" i="363" s="1"/>
  <c r="R163" i="363" s="1"/>
  <c r="N164" i="363"/>
  <c r="K164" i="363"/>
  <c r="H164" i="363"/>
  <c r="K163" i="363"/>
  <c r="AA163" i="363" s="1"/>
  <c r="R162" i="363"/>
  <c r="N162" i="363"/>
  <c r="N159" i="363" s="1"/>
  <c r="K162" i="363"/>
  <c r="AA162" i="363" s="1"/>
  <c r="H162" i="363"/>
  <c r="H159" i="363" s="1"/>
  <c r="AA161" i="363"/>
  <c r="Z161" i="363"/>
  <c r="R161" i="363"/>
  <c r="Y160" i="363"/>
  <c r="Y159" i="363" s="1"/>
  <c r="V160" i="363"/>
  <c r="V159" i="363" s="1"/>
  <c r="Q160" i="363"/>
  <c r="K159" i="363"/>
  <c r="Y156" i="363"/>
  <c r="V156" i="363"/>
  <c r="Q156" i="363"/>
  <c r="N156" i="363"/>
  <c r="K156" i="363"/>
  <c r="H156" i="363"/>
  <c r="Y155" i="363"/>
  <c r="V155" i="363"/>
  <c r="Q155" i="363"/>
  <c r="R155" i="363" s="1"/>
  <c r="N155" i="363"/>
  <c r="K155" i="363"/>
  <c r="Y154" i="363"/>
  <c r="V154" i="363"/>
  <c r="R154" i="363"/>
  <c r="N154" i="363"/>
  <c r="K154" i="363"/>
  <c r="AA154" i="363" s="1"/>
  <c r="H154" i="363"/>
  <c r="Y152" i="363"/>
  <c r="Y153" i="363" s="1"/>
  <c r="V152" i="363"/>
  <c r="V153" i="363" s="1"/>
  <c r="Q152" i="363"/>
  <c r="Z152" i="363" s="1"/>
  <c r="Y151" i="363"/>
  <c r="V151" i="363"/>
  <c r="R151" i="363"/>
  <c r="Q151" i="363"/>
  <c r="Z151" i="363" s="1"/>
  <c r="Y150" i="363"/>
  <c r="V150" i="363"/>
  <c r="Q150" i="363"/>
  <c r="Z150" i="363" s="1"/>
  <c r="Y149" i="363"/>
  <c r="V149" i="363"/>
  <c r="Q149" i="363"/>
  <c r="S146" i="363"/>
  <c r="Q145" i="363"/>
  <c r="AA145" i="363" s="1"/>
  <c r="Q144" i="363"/>
  <c r="AA144" i="363" s="1"/>
  <c r="AA143" i="363"/>
  <c r="Z143" i="363"/>
  <c r="S143" i="363"/>
  <c r="Q142" i="363"/>
  <c r="Q141" i="363"/>
  <c r="AA141" i="363" s="1"/>
  <c r="Q139" i="363"/>
  <c r="Q138" i="363"/>
  <c r="Z138" i="363" s="1"/>
  <c r="Q137" i="363"/>
  <c r="Z137" i="363" s="1"/>
  <c r="AA136" i="363"/>
  <c r="Q136" i="363"/>
  <c r="Z136" i="363" s="1"/>
  <c r="R134" i="363"/>
  <c r="Q133" i="363"/>
  <c r="AA133" i="363" s="1"/>
  <c r="Q132" i="363"/>
  <c r="Q131" i="363"/>
  <c r="AA131" i="363" s="1"/>
  <c r="Q130" i="363"/>
  <c r="AA130" i="363" s="1"/>
  <c r="Q129" i="363"/>
  <c r="AA129" i="363" s="1"/>
  <c r="Q128" i="363"/>
  <c r="Q127" i="363"/>
  <c r="AA127" i="363" s="1"/>
  <c r="Y126" i="363"/>
  <c r="Y423" i="363" s="1"/>
  <c r="V126" i="363"/>
  <c r="AA125" i="363"/>
  <c r="Z125" i="363"/>
  <c r="S125" i="363"/>
  <c r="S426" i="363" s="1"/>
  <c r="Y124" i="363"/>
  <c r="V124" i="363"/>
  <c r="Q124" i="363"/>
  <c r="Z124" i="363" s="1"/>
  <c r="Z123" i="363"/>
  <c r="Q123" i="363"/>
  <c r="S123" i="363" s="1"/>
  <c r="Q122" i="363"/>
  <c r="N122" i="363"/>
  <c r="K122" i="363"/>
  <c r="Y121" i="363"/>
  <c r="V121" i="363"/>
  <c r="N121" i="363"/>
  <c r="K121" i="363"/>
  <c r="Z121" i="363" s="1"/>
  <c r="H121" i="363"/>
  <c r="H120" i="363" s="1"/>
  <c r="V120" i="363"/>
  <c r="N120" i="363"/>
  <c r="Y119" i="363"/>
  <c r="V119" i="363"/>
  <c r="Q119" i="363"/>
  <c r="N119" i="363"/>
  <c r="K119" i="363"/>
  <c r="H119" i="363"/>
  <c r="Y118" i="363"/>
  <c r="V118" i="363"/>
  <c r="Q118" i="363"/>
  <c r="S118" i="363" s="1"/>
  <c r="S420" i="363" s="1"/>
  <c r="N118" i="363"/>
  <c r="K118" i="363"/>
  <c r="H118" i="363"/>
  <c r="Y117" i="363"/>
  <c r="V117" i="363"/>
  <c r="Q117" i="363"/>
  <c r="N117" i="363"/>
  <c r="K117" i="363"/>
  <c r="H117" i="363"/>
  <c r="Y116" i="363"/>
  <c r="V116" i="363"/>
  <c r="S116" i="363"/>
  <c r="Q116" i="363"/>
  <c r="N116" i="363"/>
  <c r="K116" i="363"/>
  <c r="H116" i="363"/>
  <c r="H115" i="363" s="1"/>
  <c r="R115" i="363"/>
  <c r="Y114" i="363"/>
  <c r="V114" i="363"/>
  <c r="R114" i="363"/>
  <c r="N114" i="363"/>
  <c r="K114" i="363"/>
  <c r="AA114" i="363" s="1"/>
  <c r="H114" i="363"/>
  <c r="Y112" i="363"/>
  <c r="V112" i="363"/>
  <c r="S112" i="363"/>
  <c r="N112" i="363"/>
  <c r="K112" i="363"/>
  <c r="AA112" i="363" s="1"/>
  <c r="H112" i="363"/>
  <c r="Y111" i="363"/>
  <c r="V111" i="363"/>
  <c r="Q111" i="363"/>
  <c r="Z111" i="363" s="1"/>
  <c r="Y110" i="363"/>
  <c r="V110" i="363"/>
  <c r="S110" i="363"/>
  <c r="Q110" i="363"/>
  <c r="Z110" i="363" s="1"/>
  <c r="Y109" i="363"/>
  <c r="V109" i="363"/>
  <c r="Q109" i="363"/>
  <c r="Z109" i="363" s="1"/>
  <c r="Y108" i="363"/>
  <c r="V108" i="363"/>
  <c r="Q108" i="363"/>
  <c r="Z108" i="363" s="1"/>
  <c r="Y107" i="363"/>
  <c r="V107" i="363"/>
  <c r="Q107" i="363"/>
  <c r="N107" i="363"/>
  <c r="K107" i="363"/>
  <c r="R107" i="363" s="1"/>
  <c r="H107" i="363"/>
  <c r="Y106" i="363"/>
  <c r="V106" i="363"/>
  <c r="Q106" i="363"/>
  <c r="N106" i="363"/>
  <c r="K106" i="363"/>
  <c r="H106" i="363"/>
  <c r="Y105" i="363"/>
  <c r="V105" i="363"/>
  <c r="Q105" i="363"/>
  <c r="N105" i="363"/>
  <c r="K105" i="363"/>
  <c r="R105" i="363" s="1"/>
  <c r="H105" i="363"/>
  <c r="Y102" i="363"/>
  <c r="Y98" i="363" s="1"/>
  <c r="V102" i="363"/>
  <c r="V98" i="363" s="1"/>
  <c r="R102" i="363"/>
  <c r="R98" i="363" s="1"/>
  <c r="Q102" i="363"/>
  <c r="K102" i="363"/>
  <c r="H102" i="363"/>
  <c r="Q101" i="363"/>
  <c r="S101" i="363" s="1"/>
  <c r="Q100" i="363"/>
  <c r="N99" i="363"/>
  <c r="N98" i="363" s="1"/>
  <c r="K99" i="363"/>
  <c r="H99" i="363"/>
  <c r="Y97" i="363"/>
  <c r="V97" i="363"/>
  <c r="Q97" i="363"/>
  <c r="R97" i="363" s="1"/>
  <c r="N97" i="363"/>
  <c r="K97" i="363"/>
  <c r="H97" i="363"/>
  <c r="Y96" i="363"/>
  <c r="V96" i="363"/>
  <c r="Q96" i="363"/>
  <c r="R96" i="363" s="1"/>
  <c r="N96" i="363"/>
  <c r="K96" i="363"/>
  <c r="H96" i="363"/>
  <c r="Z95" i="363"/>
  <c r="N95" i="363"/>
  <c r="K95" i="363"/>
  <c r="AA95" i="363" s="1"/>
  <c r="H95" i="363"/>
  <c r="Y94" i="363"/>
  <c r="V94" i="363"/>
  <c r="Q94" i="363"/>
  <c r="N94" i="363"/>
  <c r="K94" i="363"/>
  <c r="H94" i="363"/>
  <c r="Y93" i="363"/>
  <c r="V93" i="363"/>
  <c r="Q93" i="363"/>
  <c r="Z93" i="363" s="1"/>
  <c r="Y92" i="363"/>
  <c r="V92" i="363"/>
  <c r="Q92" i="363"/>
  <c r="N92" i="363"/>
  <c r="N91" i="363" s="1"/>
  <c r="K92" i="363"/>
  <c r="H92" i="363"/>
  <c r="R91" i="363"/>
  <c r="Q91" i="363"/>
  <c r="S90" i="363"/>
  <c r="S86" i="363" s="1"/>
  <c r="Y89" i="363"/>
  <c r="V89" i="363"/>
  <c r="Q89" i="363"/>
  <c r="Z89" i="363" s="1"/>
  <c r="N89" i="363"/>
  <c r="K89" i="363"/>
  <c r="H89" i="363"/>
  <c r="Y88" i="363"/>
  <c r="V88" i="363"/>
  <c r="Q88" i="363"/>
  <c r="AA88" i="363" s="1"/>
  <c r="Y87" i="363"/>
  <c r="V87" i="363"/>
  <c r="Q87" i="363"/>
  <c r="N87" i="363"/>
  <c r="K87" i="363"/>
  <c r="H87" i="363"/>
  <c r="Y84" i="363"/>
  <c r="Y83" i="363" s="1"/>
  <c r="V84" i="363"/>
  <c r="V83" i="363" s="1"/>
  <c r="Q84" i="363"/>
  <c r="R84" i="363" s="1"/>
  <c r="N84" i="363"/>
  <c r="K84" i="363"/>
  <c r="K83" i="363" s="1"/>
  <c r="H84" i="363"/>
  <c r="H83" i="363" s="1"/>
  <c r="N83" i="363"/>
  <c r="Y82" i="363"/>
  <c r="Y81" i="363" s="1"/>
  <c r="V82" i="363"/>
  <c r="V81" i="363" s="1"/>
  <c r="Q82" i="363"/>
  <c r="Q81" i="363" s="1"/>
  <c r="R81" i="363" s="1"/>
  <c r="N82" i="363"/>
  <c r="N81" i="363" s="1"/>
  <c r="K82" i="363"/>
  <c r="K81" i="363" s="1"/>
  <c r="H82" i="363"/>
  <c r="H81" i="363" s="1"/>
  <c r="Y80" i="363"/>
  <c r="V80" i="363"/>
  <c r="Q80" i="363"/>
  <c r="R80" i="363" s="1"/>
  <c r="N80" i="363"/>
  <c r="N425" i="363" s="1"/>
  <c r="K80" i="363"/>
  <c r="H80" i="363"/>
  <c r="Q78" i="363"/>
  <c r="R78" i="363" s="1"/>
  <c r="Y77" i="363"/>
  <c r="V77" i="363"/>
  <c r="V79" i="363" s="1"/>
  <c r="V76" i="363" s="1"/>
  <c r="Q77" i="363"/>
  <c r="AA77" i="363" s="1"/>
  <c r="S75" i="363"/>
  <c r="R72" i="363"/>
  <c r="N72" i="363"/>
  <c r="K72" i="363"/>
  <c r="Z72" i="363" s="1"/>
  <c r="H72" i="363"/>
  <c r="Y71" i="363"/>
  <c r="Y426" i="363" s="1"/>
  <c r="V71" i="363"/>
  <c r="V426" i="363" s="1"/>
  <c r="Q71" i="363"/>
  <c r="Q426" i="363" s="1"/>
  <c r="Y70" i="363"/>
  <c r="Y68" i="363" s="1"/>
  <c r="V70" i="363"/>
  <c r="Q70" i="363"/>
  <c r="Z70" i="363" s="1"/>
  <c r="Y69" i="363"/>
  <c r="V69" i="363"/>
  <c r="Q69" i="363"/>
  <c r="R69" i="363" s="1"/>
  <c r="N69" i="363"/>
  <c r="N68" i="363" s="1"/>
  <c r="K69" i="363"/>
  <c r="K68" i="363" s="1"/>
  <c r="H69" i="363"/>
  <c r="H68" i="363" s="1"/>
  <c r="R67" i="363"/>
  <c r="N67" i="363"/>
  <c r="K67" i="363"/>
  <c r="AA67" i="363" s="1"/>
  <c r="H67" i="363"/>
  <c r="R66" i="363"/>
  <c r="N66" i="363"/>
  <c r="N65" i="363" s="1"/>
  <c r="K66" i="363"/>
  <c r="Z66" i="363" s="1"/>
  <c r="H66" i="363"/>
  <c r="R65" i="363"/>
  <c r="H65" i="363"/>
  <c r="AA64" i="363"/>
  <c r="Z64" i="363"/>
  <c r="R64" i="363"/>
  <c r="R63" i="363"/>
  <c r="N63" i="363"/>
  <c r="K63" i="363"/>
  <c r="AA63" i="363" s="1"/>
  <c r="H63" i="363"/>
  <c r="Y62" i="363"/>
  <c r="V62" i="363"/>
  <c r="Q62" i="363"/>
  <c r="N62" i="363"/>
  <c r="K62" i="363"/>
  <c r="H62" i="363"/>
  <c r="Y61" i="363"/>
  <c r="V61" i="363"/>
  <c r="V60" i="363" s="1"/>
  <c r="Q61" i="363"/>
  <c r="N61" i="363"/>
  <c r="K61" i="363"/>
  <c r="H61" i="363"/>
  <c r="Y58" i="363"/>
  <c r="V58" i="363"/>
  <c r="Q58" i="363"/>
  <c r="R58" i="363" s="1"/>
  <c r="N58" i="363"/>
  <c r="K58" i="363"/>
  <c r="AA58" i="363" s="1"/>
  <c r="H58" i="363"/>
  <c r="Z57" i="363"/>
  <c r="R57" i="363"/>
  <c r="N57" i="363"/>
  <c r="K57" i="363"/>
  <c r="AA57" i="363" s="1"/>
  <c r="H57" i="363"/>
  <c r="R56" i="363"/>
  <c r="N56" i="363"/>
  <c r="K56" i="363"/>
  <c r="Z56" i="363" s="1"/>
  <c r="H56" i="363"/>
  <c r="Y55" i="363"/>
  <c r="V55" i="363"/>
  <c r="Q55" i="363"/>
  <c r="N55" i="363"/>
  <c r="K55" i="363"/>
  <c r="H55" i="363"/>
  <c r="Y54" i="363"/>
  <c r="V54" i="363"/>
  <c r="Q54" i="363"/>
  <c r="N54" i="363"/>
  <c r="K54" i="363"/>
  <c r="H54" i="363"/>
  <c r="Y49" i="363"/>
  <c r="V49" i="363"/>
  <c r="Q49" i="363"/>
  <c r="K49" i="363"/>
  <c r="H49" i="363"/>
  <c r="R48" i="363"/>
  <c r="K48" i="363"/>
  <c r="Z48" i="363" s="1"/>
  <c r="H48" i="363"/>
  <c r="Y47" i="363"/>
  <c r="V47" i="363"/>
  <c r="V50" i="363" s="1"/>
  <c r="V46" i="363" s="1"/>
  <c r="Q47" i="363"/>
  <c r="R47" i="363" s="1"/>
  <c r="K47" i="363"/>
  <c r="H47" i="363"/>
  <c r="R45" i="363"/>
  <c r="K45" i="363"/>
  <c r="Z45" i="363" s="1"/>
  <c r="H45" i="363"/>
  <c r="H44" i="363" s="1"/>
  <c r="R44" i="363"/>
  <c r="Y43" i="363"/>
  <c r="V43" i="363"/>
  <c r="R43" i="363"/>
  <c r="K43" i="363"/>
  <c r="Z43" i="363" s="1"/>
  <c r="H43" i="363"/>
  <c r="AA42" i="363"/>
  <c r="Z42" i="363"/>
  <c r="R42" i="363"/>
  <c r="H42" i="363"/>
  <c r="AA41" i="363"/>
  <c r="Z41" i="363"/>
  <c r="R41" i="363"/>
  <c r="H41" i="363"/>
  <c r="Y40" i="363"/>
  <c r="Y38" i="363" s="1"/>
  <c r="V40" i="363"/>
  <c r="Q40" i="363"/>
  <c r="K40" i="363"/>
  <c r="H40" i="363"/>
  <c r="AA39" i="363"/>
  <c r="Z39" i="363"/>
  <c r="R39" i="363"/>
  <c r="H39" i="363"/>
  <c r="V38" i="363"/>
  <c r="Y37" i="363"/>
  <c r="V37" i="363"/>
  <c r="Q37" i="363"/>
  <c r="K37" i="363"/>
  <c r="H37" i="363"/>
  <c r="R36" i="363"/>
  <c r="K36" i="363"/>
  <c r="AA36" i="363" s="1"/>
  <c r="H36" i="363"/>
  <c r="Y35" i="363"/>
  <c r="Y34" i="363" s="1"/>
  <c r="V35" i="363"/>
  <c r="Q35" i="363"/>
  <c r="K35" i="363"/>
  <c r="H35" i="363"/>
  <c r="N33" i="363"/>
  <c r="N32" i="363" s="1"/>
  <c r="Y30" i="363"/>
  <c r="V30" i="363"/>
  <c r="R30" i="363"/>
  <c r="Q30" i="363"/>
  <c r="N30" i="363"/>
  <c r="K30" i="363"/>
  <c r="H30" i="363"/>
  <c r="Y29" i="363"/>
  <c r="V29" i="363"/>
  <c r="Q29" i="363"/>
  <c r="Z29" i="363" s="1"/>
  <c r="R28" i="363"/>
  <c r="N28" i="363"/>
  <c r="K28" i="363"/>
  <c r="Z28" i="363" s="1"/>
  <c r="H28" i="363"/>
  <c r="Y27" i="363"/>
  <c r="V27" i="363"/>
  <c r="Q27" i="363"/>
  <c r="N27" i="363"/>
  <c r="K27" i="363"/>
  <c r="H27" i="363"/>
  <c r="Y25" i="363"/>
  <c r="Y24" i="363" s="1"/>
  <c r="V25" i="363"/>
  <c r="V24" i="363" s="1"/>
  <c r="Q25" i="363"/>
  <c r="Z25" i="363" s="1"/>
  <c r="R24" i="363"/>
  <c r="N24" i="363"/>
  <c r="K24" i="363"/>
  <c r="Z24" i="363" s="1"/>
  <c r="H24" i="363"/>
  <c r="R23" i="363"/>
  <c r="N23" i="363"/>
  <c r="K23" i="363"/>
  <c r="AA23" i="363" s="1"/>
  <c r="H23" i="363"/>
  <c r="AA22" i="363"/>
  <c r="Z22" i="363"/>
  <c r="R22" i="363"/>
  <c r="H22" i="363"/>
  <c r="Y21" i="363"/>
  <c r="V21" i="363"/>
  <c r="Q21" i="363"/>
  <c r="R21" i="363" s="1"/>
  <c r="N21" i="363"/>
  <c r="K21" i="363"/>
  <c r="H21" i="363"/>
  <c r="Y20" i="363"/>
  <c r="V20" i="363"/>
  <c r="R20" i="363"/>
  <c r="N20" i="363"/>
  <c r="K20" i="363"/>
  <c r="Z20" i="363" s="1"/>
  <c r="H20" i="363"/>
  <c r="R19" i="363"/>
  <c r="N19" i="363"/>
  <c r="K19" i="363"/>
  <c r="AA19" i="363" s="1"/>
  <c r="H19" i="363"/>
  <c r="R18" i="363"/>
  <c r="N18" i="363"/>
  <c r="K18" i="363"/>
  <c r="AA18" i="363" s="1"/>
  <c r="H18" i="363"/>
  <c r="T17" i="363"/>
  <c r="V17" i="363" s="1"/>
  <c r="V16" i="363" s="1"/>
  <c r="Q17" i="363"/>
  <c r="N17" i="363"/>
  <c r="K17" i="363"/>
  <c r="K16" i="363" s="1"/>
  <c r="H17" i="363"/>
  <c r="R15" i="363"/>
  <c r="N15" i="363"/>
  <c r="K15" i="363"/>
  <c r="AA15" i="363" s="1"/>
  <c r="H15" i="363"/>
  <c r="Y14" i="363"/>
  <c r="Y12" i="363" s="1"/>
  <c r="V14" i="363"/>
  <c r="Q14" i="363"/>
  <c r="N14" i="363"/>
  <c r="K14" i="363"/>
  <c r="AA13" i="363"/>
  <c r="Z13" i="363"/>
  <c r="R13" i="363"/>
  <c r="H13" i="363"/>
  <c r="V12" i="363"/>
  <c r="Z243" i="362"/>
  <c r="M241" i="362"/>
  <c r="M242" i="362" s="1"/>
  <c r="Y240" i="362"/>
  <c r="X240" i="362"/>
  <c r="W240" i="362"/>
  <c r="V240" i="362"/>
  <c r="U240" i="362"/>
  <c r="R240" i="362"/>
  <c r="Q240" i="362"/>
  <c r="P240" i="362"/>
  <c r="O240" i="362"/>
  <c r="N240" i="362"/>
  <c r="M240" i="362"/>
  <c r="L240" i="362"/>
  <c r="K240" i="362"/>
  <c r="J240" i="362"/>
  <c r="I240" i="362"/>
  <c r="H240" i="362"/>
  <c r="G240" i="362"/>
  <c r="F240" i="362"/>
  <c r="Q239" i="362"/>
  <c r="P239" i="362"/>
  <c r="M239" i="362"/>
  <c r="L239" i="362"/>
  <c r="I239" i="362"/>
  <c r="H239" i="362"/>
  <c r="Y238" i="362"/>
  <c r="X238" i="362"/>
  <c r="W238" i="362"/>
  <c r="V238" i="362"/>
  <c r="U238" i="362"/>
  <c r="R238" i="362"/>
  <c r="Q238" i="362"/>
  <c r="P238" i="362"/>
  <c r="O238" i="362"/>
  <c r="N238" i="362"/>
  <c r="M238" i="362"/>
  <c r="L238" i="362"/>
  <c r="K238" i="362"/>
  <c r="J238" i="362"/>
  <c r="I238" i="362"/>
  <c r="H238" i="362"/>
  <c r="G238" i="362"/>
  <c r="F238" i="362"/>
  <c r="Y237" i="362"/>
  <c r="X237" i="362"/>
  <c r="W237" i="362"/>
  <c r="V237" i="362"/>
  <c r="U237" i="362"/>
  <c r="R237" i="362"/>
  <c r="Q237" i="362"/>
  <c r="P237" i="362"/>
  <c r="O237" i="362"/>
  <c r="N237" i="362"/>
  <c r="M237" i="362"/>
  <c r="L237" i="362"/>
  <c r="K237" i="362"/>
  <c r="J237" i="362"/>
  <c r="I237" i="362"/>
  <c r="H237" i="362"/>
  <c r="G237" i="362"/>
  <c r="F237" i="362"/>
  <c r="Q236" i="362"/>
  <c r="P236" i="362"/>
  <c r="M236" i="362"/>
  <c r="L236" i="362"/>
  <c r="I236" i="362"/>
  <c r="H236" i="362"/>
  <c r="Y235" i="362"/>
  <c r="X235" i="362"/>
  <c r="W235" i="362"/>
  <c r="V235" i="362"/>
  <c r="U235" i="362"/>
  <c r="R235" i="362"/>
  <c r="Q235" i="362"/>
  <c r="P235" i="362"/>
  <c r="O235" i="362"/>
  <c r="N235" i="362"/>
  <c r="M235" i="362"/>
  <c r="L235" i="362"/>
  <c r="K235" i="362"/>
  <c r="J235" i="362"/>
  <c r="I235" i="362"/>
  <c r="H235" i="362"/>
  <c r="G235" i="362"/>
  <c r="Q234" i="362"/>
  <c r="P234" i="362"/>
  <c r="M234" i="362"/>
  <c r="L234" i="362"/>
  <c r="I234" i="362"/>
  <c r="H234" i="362"/>
  <c r="Q233" i="362"/>
  <c r="P233" i="362"/>
  <c r="M233" i="362"/>
  <c r="L233" i="362"/>
  <c r="I233" i="362"/>
  <c r="H233" i="362"/>
  <c r="Y232" i="362"/>
  <c r="X232" i="362"/>
  <c r="W232" i="362"/>
  <c r="V232" i="362"/>
  <c r="U232" i="362"/>
  <c r="R232" i="362"/>
  <c r="Q232" i="362"/>
  <c r="P232" i="362"/>
  <c r="O232" i="362"/>
  <c r="N232" i="362"/>
  <c r="M232" i="362"/>
  <c r="L232" i="362"/>
  <c r="K232" i="362"/>
  <c r="J232" i="362"/>
  <c r="I232" i="362"/>
  <c r="H232" i="362"/>
  <c r="G232" i="362"/>
  <c r="F232" i="362"/>
  <c r="Q231" i="362"/>
  <c r="P231" i="362"/>
  <c r="M231" i="362"/>
  <c r="L231" i="362"/>
  <c r="I231" i="362"/>
  <c r="H231" i="362"/>
  <c r="Y230" i="362"/>
  <c r="X230" i="362"/>
  <c r="W230" i="362"/>
  <c r="V230" i="362"/>
  <c r="U230" i="362"/>
  <c r="R230" i="362"/>
  <c r="Q230" i="362"/>
  <c r="P230" i="362"/>
  <c r="O230" i="362"/>
  <c r="N230" i="362"/>
  <c r="M230" i="362"/>
  <c r="L230" i="362"/>
  <c r="K230" i="362"/>
  <c r="J230" i="362"/>
  <c r="I230" i="362"/>
  <c r="H230" i="362"/>
  <c r="G230" i="362"/>
  <c r="F230" i="362"/>
  <c r="Y229" i="362"/>
  <c r="X229" i="362"/>
  <c r="W229" i="362"/>
  <c r="V229" i="362"/>
  <c r="U229" i="362"/>
  <c r="R229" i="362"/>
  <c r="Q229" i="362"/>
  <c r="P229" i="362"/>
  <c r="O229" i="362"/>
  <c r="N229" i="362"/>
  <c r="M229" i="362"/>
  <c r="L229" i="362"/>
  <c r="K229" i="362"/>
  <c r="J229" i="362"/>
  <c r="I229" i="362"/>
  <c r="H229" i="362"/>
  <c r="G229" i="362"/>
  <c r="F229" i="362"/>
  <c r="Y228" i="362"/>
  <c r="Q228" i="362"/>
  <c r="P228" i="362"/>
  <c r="M228" i="362"/>
  <c r="L228" i="362"/>
  <c r="I228" i="362"/>
  <c r="H228" i="362"/>
  <c r="Y227" i="362"/>
  <c r="X227" i="362"/>
  <c r="W227" i="362"/>
  <c r="V227" i="362"/>
  <c r="U227" i="362"/>
  <c r="R227" i="362"/>
  <c r="Q227" i="362"/>
  <c r="P227" i="362"/>
  <c r="O227" i="362"/>
  <c r="N227" i="362"/>
  <c r="M227" i="362"/>
  <c r="L227" i="362"/>
  <c r="K227" i="362"/>
  <c r="J227" i="362"/>
  <c r="I227" i="362"/>
  <c r="H227" i="362"/>
  <c r="G227" i="362"/>
  <c r="F227" i="362"/>
  <c r="Y226" i="362"/>
  <c r="X226" i="362"/>
  <c r="W226" i="362"/>
  <c r="V226" i="362"/>
  <c r="U226" i="362"/>
  <c r="R226" i="362"/>
  <c r="Q226" i="362"/>
  <c r="P226" i="362"/>
  <c r="O226" i="362"/>
  <c r="N226" i="362"/>
  <c r="M226" i="362"/>
  <c r="L226" i="362"/>
  <c r="K226" i="362"/>
  <c r="J226" i="362"/>
  <c r="I226" i="362"/>
  <c r="H226" i="362"/>
  <c r="G226" i="362"/>
  <c r="F226" i="362"/>
  <c r="Y225" i="362"/>
  <c r="X225" i="362"/>
  <c r="W225" i="362"/>
  <c r="V225" i="362"/>
  <c r="U225" i="362"/>
  <c r="R225" i="362"/>
  <c r="Q225" i="362"/>
  <c r="P225" i="362"/>
  <c r="O225" i="362"/>
  <c r="N225" i="362"/>
  <c r="M225" i="362"/>
  <c r="L225" i="362"/>
  <c r="K225" i="362"/>
  <c r="J225" i="362"/>
  <c r="I225" i="362"/>
  <c r="H225" i="362"/>
  <c r="G225" i="362"/>
  <c r="F225" i="362"/>
  <c r="Q224" i="362"/>
  <c r="P224" i="362"/>
  <c r="M224" i="362"/>
  <c r="L224" i="362"/>
  <c r="I224" i="362"/>
  <c r="H224" i="362"/>
  <c r="Q223" i="362"/>
  <c r="P223" i="362"/>
  <c r="O223" i="362"/>
  <c r="M223" i="362"/>
  <c r="L223" i="362"/>
  <c r="I223" i="362"/>
  <c r="H223" i="362"/>
  <c r="Q222" i="362"/>
  <c r="Q241" i="362" s="1"/>
  <c r="Q242" i="362" s="1"/>
  <c r="P222" i="362"/>
  <c r="P241" i="362" s="1"/>
  <c r="P242" i="362" s="1"/>
  <c r="M222" i="362"/>
  <c r="L222" i="362"/>
  <c r="L241" i="362" s="1"/>
  <c r="L242" i="362" s="1"/>
  <c r="I222" i="362"/>
  <c r="I241" i="362" s="1"/>
  <c r="I242" i="362" s="1"/>
  <c r="H222" i="362"/>
  <c r="H241" i="362" s="1"/>
  <c r="H242" i="362" s="1"/>
  <c r="U221" i="362"/>
  <c r="U239" i="362" s="1"/>
  <c r="T221" i="362"/>
  <c r="O221" i="362"/>
  <c r="O239" i="362" s="1"/>
  <c r="K221" i="362"/>
  <c r="K239" i="362" s="1"/>
  <c r="G221" i="362"/>
  <c r="G239" i="362" s="1"/>
  <c r="T220" i="362"/>
  <c r="Y218" i="362"/>
  <c r="Y234" i="362" s="1"/>
  <c r="X218" i="362"/>
  <c r="U218" i="362"/>
  <c r="U234" i="362" s="1"/>
  <c r="T218" i="362"/>
  <c r="O218" i="362"/>
  <c r="O234" i="362" s="1"/>
  <c r="N218" i="362"/>
  <c r="N234" i="362" s="1"/>
  <c r="K218" i="362"/>
  <c r="K234" i="362" s="1"/>
  <c r="J218" i="362"/>
  <c r="J234" i="362" s="1"/>
  <c r="T217" i="362"/>
  <c r="G217" i="362"/>
  <c r="G233" i="362" s="1"/>
  <c r="T216" i="362"/>
  <c r="G216" i="362"/>
  <c r="G231" i="362" s="1"/>
  <c r="Y215" i="362"/>
  <c r="X215" i="362"/>
  <c r="X228" i="362" s="1"/>
  <c r="U215" i="362"/>
  <c r="U228" i="362" s="1"/>
  <c r="T215" i="362"/>
  <c r="R215" i="362"/>
  <c r="R228" i="362" s="1"/>
  <c r="O215" i="362"/>
  <c r="O228" i="362" s="1"/>
  <c r="N215" i="362"/>
  <c r="N228" i="362" s="1"/>
  <c r="K215" i="362"/>
  <c r="K228" i="362" s="1"/>
  <c r="J215" i="362"/>
  <c r="J228" i="362" s="1"/>
  <c r="F215" i="362"/>
  <c r="F228" i="362" s="1"/>
  <c r="Y214" i="362"/>
  <c r="Y224" i="362" s="1"/>
  <c r="X214" i="362"/>
  <c r="X224" i="362" s="1"/>
  <c r="U214" i="362"/>
  <c r="U224" i="362" s="1"/>
  <c r="T214" i="362"/>
  <c r="R214" i="362"/>
  <c r="R224" i="362" s="1"/>
  <c r="O214" i="362"/>
  <c r="O224" i="362" s="1"/>
  <c r="N214" i="362"/>
  <c r="N224" i="362" s="1"/>
  <c r="K214" i="362"/>
  <c r="K224" i="362" s="1"/>
  <c r="J214" i="362"/>
  <c r="J224" i="362" s="1"/>
  <c r="G214" i="362"/>
  <c r="G224" i="362" s="1"/>
  <c r="Y213" i="362"/>
  <c r="Y223" i="362" s="1"/>
  <c r="X213" i="362"/>
  <c r="X223" i="362" s="1"/>
  <c r="U213" i="362"/>
  <c r="U223" i="362" s="1"/>
  <c r="T213" i="362"/>
  <c r="R213" i="362"/>
  <c r="R223" i="362" s="1"/>
  <c r="O213" i="362"/>
  <c r="N213" i="362"/>
  <c r="N223" i="362" s="1"/>
  <c r="K213" i="362"/>
  <c r="K223" i="362" s="1"/>
  <c r="J213" i="362"/>
  <c r="J223" i="362" s="1"/>
  <c r="F213" i="362"/>
  <c r="F223" i="362" s="1"/>
  <c r="Y212" i="362"/>
  <c r="Y222" i="362" s="1"/>
  <c r="Y241" i="362" s="1"/>
  <c r="Y242" i="362" s="1"/>
  <c r="X212" i="362"/>
  <c r="X222" i="362" s="1"/>
  <c r="X241" i="362" s="1"/>
  <c r="X242" i="362" s="1"/>
  <c r="U212" i="362"/>
  <c r="T212" i="362"/>
  <c r="R212" i="362"/>
  <c r="R222" i="362" s="1"/>
  <c r="R241" i="362" s="1"/>
  <c r="R242" i="362" s="1"/>
  <c r="O212" i="362"/>
  <c r="O222" i="362" s="1"/>
  <c r="O241" i="362" s="1"/>
  <c r="O242" i="362" s="1"/>
  <c r="N212" i="362"/>
  <c r="N222" i="362" s="1"/>
  <c r="N241" i="362" s="1"/>
  <c r="N242" i="362" s="1"/>
  <c r="K212" i="362"/>
  <c r="K222" i="362" s="1"/>
  <c r="K241" i="362" s="1"/>
  <c r="K242" i="362" s="1"/>
  <c r="J212" i="362"/>
  <c r="J222" i="362" s="1"/>
  <c r="J241" i="362" s="1"/>
  <c r="J242" i="362" s="1"/>
  <c r="F212" i="362"/>
  <c r="F222" i="362" s="1"/>
  <c r="F241" i="362" s="1"/>
  <c r="F242" i="362" s="1"/>
  <c r="F243" i="362" s="1"/>
  <c r="Q211" i="362"/>
  <c r="P211" i="362"/>
  <c r="M211" i="362"/>
  <c r="L211" i="362"/>
  <c r="I211" i="362"/>
  <c r="H211" i="362"/>
  <c r="T207" i="362"/>
  <c r="X206" i="362"/>
  <c r="Y206" i="362" s="1"/>
  <c r="W206" i="362"/>
  <c r="V206" i="362"/>
  <c r="S206" i="362"/>
  <c r="Y205" i="362"/>
  <c r="X205" i="362"/>
  <c r="W205" i="362"/>
  <c r="V205" i="362"/>
  <c r="S205" i="362"/>
  <c r="Q205" i="362"/>
  <c r="R204" i="362"/>
  <c r="M202" i="362"/>
  <c r="M207" i="362" s="1"/>
  <c r="L202" i="362"/>
  <c r="L207" i="362" s="1"/>
  <c r="I202" i="362"/>
  <c r="I207" i="362" s="1"/>
  <c r="H202" i="362"/>
  <c r="H207" i="362" s="1"/>
  <c r="R201" i="362"/>
  <c r="W201" i="362" s="1"/>
  <c r="W200" i="362"/>
  <c r="V200" i="362"/>
  <c r="S200" i="362"/>
  <c r="W199" i="362"/>
  <c r="V199" i="362"/>
  <c r="S199" i="362"/>
  <c r="W198" i="362"/>
  <c r="V198" i="362"/>
  <c r="S198" i="362"/>
  <c r="W197" i="362"/>
  <c r="V197" i="362"/>
  <c r="S197" i="362"/>
  <c r="Y195" i="362"/>
  <c r="X195" i="362"/>
  <c r="R195" i="362"/>
  <c r="W195" i="362" s="1"/>
  <c r="W194" i="362"/>
  <c r="V194" i="362"/>
  <c r="S194" i="362"/>
  <c r="W193" i="362"/>
  <c r="V193" i="362"/>
  <c r="S193" i="362"/>
  <c r="W192" i="362"/>
  <c r="V192" i="362"/>
  <c r="S192" i="362"/>
  <c r="W191" i="362"/>
  <c r="V191" i="362"/>
  <c r="S191" i="362"/>
  <c r="W190" i="362"/>
  <c r="V190" i="362"/>
  <c r="S190" i="362"/>
  <c r="Y188" i="362"/>
  <c r="Y183" i="362" s="1"/>
  <c r="X188" i="362"/>
  <c r="X183" i="362" s="1"/>
  <c r="R188" i="362"/>
  <c r="W187" i="362"/>
  <c r="V187" i="362"/>
  <c r="S187" i="362"/>
  <c r="W186" i="362"/>
  <c r="V186" i="362"/>
  <c r="S186" i="362"/>
  <c r="W185" i="362"/>
  <c r="V185" i="362"/>
  <c r="S185" i="362"/>
  <c r="W184" i="362"/>
  <c r="V184" i="362"/>
  <c r="S184" i="362"/>
  <c r="R181" i="362"/>
  <c r="V180" i="362"/>
  <c r="R180" i="362"/>
  <c r="W180" i="362" s="1"/>
  <c r="R179" i="362"/>
  <c r="V178" i="362"/>
  <c r="R178" i="362"/>
  <c r="W178" i="362" s="1"/>
  <c r="R177" i="362"/>
  <c r="W176" i="362"/>
  <c r="V176" i="362"/>
  <c r="S176" i="362"/>
  <c r="Y175" i="362"/>
  <c r="X175" i="362"/>
  <c r="U175" i="362"/>
  <c r="R174" i="362"/>
  <c r="W173" i="362"/>
  <c r="R173" i="362"/>
  <c r="S172" i="362"/>
  <c r="N172" i="362"/>
  <c r="J172" i="362"/>
  <c r="V172" i="362" s="1"/>
  <c r="R171" i="362"/>
  <c r="S171" i="362" s="1"/>
  <c r="N171" i="362"/>
  <c r="J171" i="362"/>
  <c r="S170" i="362"/>
  <c r="N170" i="362"/>
  <c r="J170" i="362"/>
  <c r="W170" i="362" s="1"/>
  <c r="U169" i="362"/>
  <c r="R168" i="362"/>
  <c r="S168" i="362" s="1"/>
  <c r="N168" i="362"/>
  <c r="J168" i="362"/>
  <c r="W168" i="362" s="1"/>
  <c r="S167" i="362"/>
  <c r="N167" i="362"/>
  <c r="J167" i="362"/>
  <c r="V167" i="362" s="1"/>
  <c r="R166" i="362"/>
  <c r="V166" i="362" s="1"/>
  <c r="N166" i="362"/>
  <c r="J166" i="362"/>
  <c r="N165" i="362"/>
  <c r="W164" i="362"/>
  <c r="V164" i="362"/>
  <c r="S164" i="362"/>
  <c r="R163" i="362"/>
  <c r="N163" i="362"/>
  <c r="N162" i="362" s="1"/>
  <c r="J163" i="362"/>
  <c r="J162" i="362" s="1"/>
  <c r="Y162" i="362"/>
  <c r="Y155" i="362" s="1"/>
  <c r="X162" i="362"/>
  <c r="X155" i="362" s="1"/>
  <c r="U162" i="362"/>
  <c r="R160" i="362"/>
  <c r="N160" i="362"/>
  <c r="J160" i="362"/>
  <c r="R159" i="362"/>
  <c r="S159" i="362" s="1"/>
  <c r="N159" i="362"/>
  <c r="J159" i="362"/>
  <c r="R158" i="362"/>
  <c r="V158" i="362" s="1"/>
  <c r="N158" i="362"/>
  <c r="J158" i="362"/>
  <c r="R157" i="362"/>
  <c r="S157" i="362" s="1"/>
  <c r="N157" i="362"/>
  <c r="N161" i="362" s="1"/>
  <c r="J157" i="362"/>
  <c r="O155" i="362"/>
  <c r="K155" i="362"/>
  <c r="R154" i="362"/>
  <c r="V154" i="362" s="1"/>
  <c r="N154" i="362"/>
  <c r="J154" i="362"/>
  <c r="F154" i="362"/>
  <c r="X153" i="362"/>
  <c r="Y153" i="362" s="1"/>
  <c r="R153" i="362"/>
  <c r="N153" i="362"/>
  <c r="J153" i="362"/>
  <c r="F153" i="362"/>
  <c r="R152" i="362"/>
  <c r="X152" i="362" s="1"/>
  <c r="Y152" i="362" s="1"/>
  <c r="N152" i="362"/>
  <c r="J152" i="362"/>
  <c r="W152" i="362" s="1"/>
  <c r="F152" i="362"/>
  <c r="R151" i="362"/>
  <c r="S151" i="362" s="1"/>
  <c r="N151" i="362"/>
  <c r="J151" i="362"/>
  <c r="F151" i="362"/>
  <c r="R150" i="362"/>
  <c r="N150" i="362"/>
  <c r="J150" i="362"/>
  <c r="F150" i="362"/>
  <c r="S149" i="362"/>
  <c r="R149" i="362"/>
  <c r="X149" i="362" s="1"/>
  <c r="Y149" i="362" s="1"/>
  <c r="N149" i="362"/>
  <c r="J149" i="362"/>
  <c r="F149" i="362"/>
  <c r="R148" i="362"/>
  <c r="X148" i="362" s="1"/>
  <c r="Y148" i="362" s="1"/>
  <c r="N148" i="362"/>
  <c r="J148" i="362"/>
  <c r="F148" i="362"/>
  <c r="R147" i="362"/>
  <c r="N147" i="362"/>
  <c r="J147" i="362"/>
  <c r="F147" i="362"/>
  <c r="R146" i="362"/>
  <c r="N146" i="362"/>
  <c r="J146" i="362"/>
  <c r="F146" i="362"/>
  <c r="R145" i="362"/>
  <c r="N145" i="362"/>
  <c r="J145" i="362"/>
  <c r="F145" i="362"/>
  <c r="S144" i="362"/>
  <c r="R144" i="362"/>
  <c r="X144" i="362" s="1"/>
  <c r="Y144" i="362" s="1"/>
  <c r="N144" i="362"/>
  <c r="J144" i="362"/>
  <c r="W144" i="362" s="1"/>
  <c r="F144" i="362"/>
  <c r="R143" i="362"/>
  <c r="S143" i="362" s="1"/>
  <c r="N143" i="362"/>
  <c r="N142" i="362" s="1"/>
  <c r="J143" i="362"/>
  <c r="F143" i="362"/>
  <c r="V141" i="362"/>
  <c r="R141" i="362"/>
  <c r="X141" i="362" s="1"/>
  <c r="Y141" i="362" s="1"/>
  <c r="N141" i="362"/>
  <c r="J141" i="362"/>
  <c r="F141" i="362"/>
  <c r="R140" i="362"/>
  <c r="X140" i="362" s="1"/>
  <c r="Y140" i="362" s="1"/>
  <c r="N140" i="362"/>
  <c r="J140" i="362"/>
  <c r="F140" i="362"/>
  <c r="X139" i="362"/>
  <c r="Y139" i="362" s="1"/>
  <c r="R139" i="362"/>
  <c r="S139" i="362" s="1"/>
  <c r="N139" i="362"/>
  <c r="J139" i="362"/>
  <c r="W139" i="362" s="1"/>
  <c r="F139" i="362"/>
  <c r="R138" i="362"/>
  <c r="N138" i="362"/>
  <c r="J138" i="362"/>
  <c r="F138" i="362"/>
  <c r="X137" i="362"/>
  <c r="Y137" i="362" s="1"/>
  <c r="Y221" i="362" s="1"/>
  <c r="Y239" i="362" s="1"/>
  <c r="S137" i="362"/>
  <c r="S221" i="362" s="1"/>
  <c r="R137" i="362"/>
  <c r="N137" i="362"/>
  <c r="N221" i="362" s="1"/>
  <c r="N239" i="362" s="1"/>
  <c r="J137" i="362"/>
  <c r="J221" i="362" s="1"/>
  <c r="J239" i="362" s="1"/>
  <c r="F137" i="362"/>
  <c r="F221" i="362" s="1"/>
  <c r="F239" i="362" s="1"/>
  <c r="R136" i="362"/>
  <c r="X136" i="362" s="1"/>
  <c r="Y136" i="362" s="1"/>
  <c r="N136" i="362"/>
  <c r="J136" i="362"/>
  <c r="F136" i="362"/>
  <c r="R135" i="362"/>
  <c r="N135" i="362"/>
  <c r="J135" i="362"/>
  <c r="F135" i="362"/>
  <c r="R134" i="362"/>
  <c r="N134" i="362"/>
  <c r="J134" i="362"/>
  <c r="F134" i="362"/>
  <c r="R133" i="362"/>
  <c r="N133" i="362"/>
  <c r="J133" i="362"/>
  <c r="F133" i="362"/>
  <c r="R132" i="362"/>
  <c r="X132" i="362" s="1"/>
  <c r="Y132" i="362" s="1"/>
  <c r="N132" i="362"/>
  <c r="J132" i="362"/>
  <c r="F132" i="362"/>
  <c r="R131" i="362"/>
  <c r="X131" i="362" s="1"/>
  <c r="Y131" i="362" s="1"/>
  <c r="N131" i="362"/>
  <c r="J131" i="362"/>
  <c r="F131" i="362"/>
  <c r="R129" i="362"/>
  <c r="W129" i="362" s="1"/>
  <c r="R128" i="362"/>
  <c r="S127" i="362"/>
  <c r="N127" i="362"/>
  <c r="N126" i="362" s="1"/>
  <c r="J127" i="362"/>
  <c r="W127" i="362" s="1"/>
  <c r="F127" i="362"/>
  <c r="F126" i="362" s="1"/>
  <c r="Y126" i="362"/>
  <c r="X126" i="362"/>
  <c r="R125" i="362"/>
  <c r="V125" i="362" s="1"/>
  <c r="N125" i="362"/>
  <c r="J125" i="362"/>
  <c r="F125" i="362"/>
  <c r="R124" i="362"/>
  <c r="S124" i="362" s="1"/>
  <c r="R123" i="362"/>
  <c r="S123" i="362" s="1"/>
  <c r="N123" i="362"/>
  <c r="J123" i="362"/>
  <c r="F123" i="362"/>
  <c r="R122" i="362"/>
  <c r="S122" i="362" s="1"/>
  <c r="N122" i="362"/>
  <c r="J122" i="362"/>
  <c r="F122" i="362"/>
  <c r="Y121" i="362"/>
  <c r="X121" i="362"/>
  <c r="U121" i="362"/>
  <c r="U120" i="362" s="1"/>
  <c r="N121" i="362"/>
  <c r="W119" i="362"/>
  <c r="W215" i="362" s="1"/>
  <c r="W228" i="362" s="1"/>
  <c r="V119" i="362"/>
  <c r="V215" i="362" s="1"/>
  <c r="V228" i="362" s="1"/>
  <c r="S119" i="362"/>
  <c r="S215" i="362" s="1"/>
  <c r="G119" i="362"/>
  <c r="G215" i="362" s="1"/>
  <c r="G228" i="362" s="1"/>
  <c r="W118" i="362"/>
  <c r="W213" i="362" s="1"/>
  <c r="W223" i="362" s="1"/>
  <c r="V118" i="362"/>
  <c r="V213" i="362" s="1"/>
  <c r="V223" i="362" s="1"/>
  <c r="S118" i="362"/>
  <c r="S213" i="362" s="1"/>
  <c r="G118" i="362"/>
  <c r="G213" i="362" s="1"/>
  <c r="G223" i="362" s="1"/>
  <c r="W117" i="362"/>
  <c r="W212" i="362" s="1"/>
  <c r="W222" i="362" s="1"/>
  <c r="W241" i="362" s="1"/>
  <c r="W242" i="362" s="1"/>
  <c r="V117" i="362"/>
  <c r="V212" i="362" s="1"/>
  <c r="S117" i="362"/>
  <c r="S212" i="362" s="1"/>
  <c r="G117" i="362"/>
  <c r="G212" i="362" s="1"/>
  <c r="G222" i="362" s="1"/>
  <c r="G241" i="362" s="1"/>
  <c r="G242" i="362" s="1"/>
  <c r="W116" i="362"/>
  <c r="V116" i="362"/>
  <c r="S116" i="362"/>
  <c r="G116" i="362"/>
  <c r="G218" i="362" s="1"/>
  <c r="G234" i="362" s="1"/>
  <c r="R115" i="362"/>
  <c r="M115" i="362"/>
  <c r="I115" i="362"/>
  <c r="F115" i="362"/>
  <c r="Y114" i="362"/>
  <c r="X114" i="362"/>
  <c r="U114" i="362"/>
  <c r="O114" i="362"/>
  <c r="N114" i="362"/>
  <c r="K114" i="362"/>
  <c r="J114" i="362"/>
  <c r="G114" i="362"/>
  <c r="W113" i="362"/>
  <c r="W214" i="362" s="1"/>
  <c r="W224" i="362" s="1"/>
  <c r="V113" i="362"/>
  <c r="V214" i="362" s="1"/>
  <c r="V224" i="362" s="1"/>
  <c r="S113" i="362"/>
  <c r="S214" i="362" s="1"/>
  <c r="F113" i="362"/>
  <c r="F214" i="362" s="1"/>
  <c r="W112" i="362"/>
  <c r="V112" i="362"/>
  <c r="S112" i="362"/>
  <c r="F112" i="362"/>
  <c r="F111" i="362" s="1"/>
  <c r="W111" i="362"/>
  <c r="V111" i="362"/>
  <c r="S111" i="362"/>
  <c r="W110" i="362"/>
  <c r="V110" i="362"/>
  <c r="S110" i="362"/>
  <c r="F110" i="362"/>
  <c r="W109" i="362"/>
  <c r="V109" i="362"/>
  <c r="S109" i="362"/>
  <c r="F109" i="362"/>
  <c r="W108" i="362"/>
  <c r="V108" i="362"/>
  <c r="S108" i="362"/>
  <c r="F108" i="362"/>
  <c r="W107" i="362"/>
  <c r="V107" i="362"/>
  <c r="S107" i="362"/>
  <c r="F107" i="362"/>
  <c r="F106" i="362" s="1"/>
  <c r="W106" i="362"/>
  <c r="V106" i="362"/>
  <c r="S106" i="362"/>
  <c r="W105" i="362"/>
  <c r="V105" i="362"/>
  <c r="S105" i="362"/>
  <c r="F105" i="362"/>
  <c r="W104" i="362"/>
  <c r="V104" i="362"/>
  <c r="S104" i="362"/>
  <c r="F104" i="362"/>
  <c r="W103" i="362"/>
  <c r="V103" i="362"/>
  <c r="S103" i="362"/>
  <c r="F103" i="362"/>
  <c r="F102" i="362" s="1"/>
  <c r="W102" i="362"/>
  <c r="V102" i="362"/>
  <c r="S102" i="362"/>
  <c r="W101" i="362"/>
  <c r="V101" i="362"/>
  <c r="S101" i="362"/>
  <c r="W100" i="362"/>
  <c r="V100" i="362"/>
  <c r="S100" i="362"/>
  <c r="F100" i="362"/>
  <c r="W99" i="362"/>
  <c r="V99" i="362"/>
  <c r="S99" i="362"/>
  <c r="F99" i="362"/>
  <c r="W98" i="362"/>
  <c r="V98" i="362"/>
  <c r="S98" i="362"/>
  <c r="F98" i="362"/>
  <c r="W97" i="362"/>
  <c r="V97" i="362"/>
  <c r="S97" i="362"/>
  <c r="F97" i="362"/>
  <c r="F101" i="362" s="1"/>
  <c r="F96" i="362" s="1"/>
  <c r="W96" i="362"/>
  <c r="V96" i="362"/>
  <c r="S96" i="362"/>
  <c r="W95" i="362"/>
  <c r="V95" i="362"/>
  <c r="S95" i="362"/>
  <c r="F95" i="362"/>
  <c r="F94" i="362" s="1"/>
  <c r="F219" i="362" s="1"/>
  <c r="F235" i="362" s="1"/>
  <c r="W94" i="362"/>
  <c r="V94" i="362"/>
  <c r="S94" i="362"/>
  <c r="W93" i="362"/>
  <c r="V93" i="362"/>
  <c r="S93" i="362"/>
  <c r="W92" i="362"/>
  <c r="V92" i="362"/>
  <c r="U92" i="362"/>
  <c r="U91" i="362" s="1"/>
  <c r="S92" i="362"/>
  <c r="O92" i="362"/>
  <c r="O91" i="362" s="1"/>
  <c r="K92" i="362"/>
  <c r="W91" i="362"/>
  <c r="V91" i="362"/>
  <c r="S91" i="362"/>
  <c r="K91" i="362"/>
  <c r="W90" i="362"/>
  <c r="V90" i="362"/>
  <c r="U90" i="362"/>
  <c r="S90" i="362"/>
  <c r="O90" i="362"/>
  <c r="K90" i="362"/>
  <c r="W89" i="362"/>
  <c r="V89" i="362"/>
  <c r="U89" i="362"/>
  <c r="S89" i="362"/>
  <c r="O89" i="362"/>
  <c r="K89" i="362"/>
  <c r="W88" i="362"/>
  <c r="V88" i="362"/>
  <c r="U88" i="362"/>
  <c r="S88" i="362"/>
  <c r="O88" i="362"/>
  <c r="K88" i="362"/>
  <c r="W87" i="362"/>
  <c r="V87" i="362"/>
  <c r="U87" i="362"/>
  <c r="S87" i="362"/>
  <c r="O87" i="362"/>
  <c r="O86" i="362" s="1"/>
  <c r="K87" i="362"/>
  <c r="W86" i="362"/>
  <c r="V86" i="362"/>
  <c r="U86" i="362"/>
  <c r="S86" i="362"/>
  <c r="R85" i="362"/>
  <c r="N85" i="362"/>
  <c r="J85" i="362"/>
  <c r="G85" i="362"/>
  <c r="F85" i="362"/>
  <c r="W84" i="362"/>
  <c r="V84" i="362"/>
  <c r="U84" i="362"/>
  <c r="S84" i="362"/>
  <c r="O84" i="362"/>
  <c r="K84" i="362"/>
  <c r="K82" i="362" s="1"/>
  <c r="K217" i="362" s="1"/>
  <c r="K233" i="362" s="1"/>
  <c r="W83" i="362"/>
  <c r="V83" i="362"/>
  <c r="U83" i="362"/>
  <c r="S83" i="362"/>
  <c r="O83" i="362"/>
  <c r="K83" i="362"/>
  <c r="W82" i="362"/>
  <c r="V82" i="362"/>
  <c r="S82" i="362"/>
  <c r="W81" i="362"/>
  <c r="V81" i="362"/>
  <c r="U81" i="362"/>
  <c r="U80" i="362" s="1"/>
  <c r="S81" i="362"/>
  <c r="O81" i="362"/>
  <c r="O80" i="362" s="1"/>
  <c r="K81" i="362"/>
  <c r="K80" i="362" s="1"/>
  <c r="W80" i="362"/>
  <c r="V80" i="362"/>
  <c r="S80" i="362"/>
  <c r="W79" i="362"/>
  <c r="V79" i="362"/>
  <c r="S79" i="362"/>
  <c r="O79" i="362"/>
  <c r="O78" i="362" s="1"/>
  <c r="K79" i="362"/>
  <c r="K78" i="362" s="1"/>
  <c r="G79" i="362"/>
  <c r="W78" i="362"/>
  <c r="V78" i="362"/>
  <c r="S78" i="362"/>
  <c r="G78" i="362"/>
  <c r="W77" i="362"/>
  <c r="V77" i="362"/>
  <c r="S77" i="362"/>
  <c r="O77" i="362"/>
  <c r="K77" i="362"/>
  <c r="G77" i="362"/>
  <c r="W76" i="362"/>
  <c r="V76" i="362"/>
  <c r="U76" i="362"/>
  <c r="U75" i="362" s="1"/>
  <c r="S76" i="362"/>
  <c r="O76" i="362"/>
  <c r="K76" i="362"/>
  <c r="K75" i="362" s="1"/>
  <c r="G76" i="362"/>
  <c r="W75" i="362"/>
  <c r="V75" i="362"/>
  <c r="S75" i="362"/>
  <c r="W74" i="362"/>
  <c r="V74" i="362"/>
  <c r="S74" i="362"/>
  <c r="W73" i="362"/>
  <c r="V73" i="362"/>
  <c r="U73" i="362"/>
  <c r="S73" i="362"/>
  <c r="O73" i="362"/>
  <c r="K73" i="362"/>
  <c r="W72" i="362"/>
  <c r="V72" i="362"/>
  <c r="U72" i="362"/>
  <c r="S72" i="362"/>
  <c r="W71" i="362"/>
  <c r="V71" i="362"/>
  <c r="S71" i="362"/>
  <c r="W70" i="362"/>
  <c r="V70" i="362"/>
  <c r="S70" i="362"/>
  <c r="S69" i="362"/>
  <c r="N69" i="362"/>
  <c r="X69" i="362" s="1"/>
  <c r="J69" i="362"/>
  <c r="W69" i="362" s="1"/>
  <c r="R68" i="362"/>
  <c r="N68" i="362"/>
  <c r="X68" i="362" s="1"/>
  <c r="J68" i="362"/>
  <c r="S67" i="362"/>
  <c r="V66" i="362"/>
  <c r="S66" i="362"/>
  <c r="N66" i="362"/>
  <c r="X66" i="362" s="1"/>
  <c r="J66" i="362"/>
  <c r="W66" i="362" s="1"/>
  <c r="W65" i="362"/>
  <c r="S65" i="362"/>
  <c r="N65" i="362"/>
  <c r="X65" i="362" s="1"/>
  <c r="J65" i="362"/>
  <c r="X64" i="362"/>
  <c r="W64" i="362"/>
  <c r="V64" i="362"/>
  <c r="S64" i="362"/>
  <c r="X63" i="362"/>
  <c r="W63" i="362"/>
  <c r="V63" i="362"/>
  <c r="S63" i="362"/>
  <c r="S62" i="362"/>
  <c r="V61" i="362"/>
  <c r="S61" i="362"/>
  <c r="N61" i="362"/>
  <c r="X61" i="362" s="1"/>
  <c r="J61" i="362"/>
  <c r="W61" i="362" s="1"/>
  <c r="X60" i="362"/>
  <c r="S60" i="362"/>
  <c r="N60" i="362"/>
  <c r="J60" i="362"/>
  <c r="W60" i="362" s="1"/>
  <c r="V59" i="362"/>
  <c r="S59" i="362"/>
  <c r="N59" i="362"/>
  <c r="J59" i="362"/>
  <c r="S58" i="362"/>
  <c r="S57" i="362"/>
  <c r="N57" i="362"/>
  <c r="X57" i="362" s="1"/>
  <c r="J57" i="362"/>
  <c r="W57" i="362" s="1"/>
  <c r="V56" i="362"/>
  <c r="S56" i="362"/>
  <c r="N56" i="362"/>
  <c r="X56" i="362" s="1"/>
  <c r="J56" i="362"/>
  <c r="W56" i="362" s="1"/>
  <c r="V55" i="362"/>
  <c r="S55" i="362"/>
  <c r="N55" i="362"/>
  <c r="X55" i="362" s="1"/>
  <c r="J55" i="362"/>
  <c r="S54" i="362"/>
  <c r="S53" i="362"/>
  <c r="S52" i="362"/>
  <c r="N52" i="362"/>
  <c r="X52" i="362" s="1"/>
  <c r="J52" i="362"/>
  <c r="W52" i="362" s="1"/>
  <c r="S51" i="362"/>
  <c r="N51" i="362"/>
  <c r="X51" i="362" s="1"/>
  <c r="J51" i="362"/>
  <c r="V51" i="362" s="1"/>
  <c r="S50" i="362"/>
  <c r="N50" i="362"/>
  <c r="X50" i="362" s="1"/>
  <c r="J50" i="362"/>
  <c r="W50" i="362" s="1"/>
  <c r="S49" i="362"/>
  <c r="Y48" i="362"/>
  <c r="U48" i="362"/>
  <c r="R48" i="362"/>
  <c r="S48" i="362" s="1"/>
  <c r="O48" i="362"/>
  <c r="K48" i="362"/>
  <c r="W47" i="362"/>
  <c r="V47" i="362"/>
  <c r="S47" i="362"/>
  <c r="F47" i="362"/>
  <c r="R46" i="362"/>
  <c r="S46" i="362" s="1"/>
  <c r="F46" i="362"/>
  <c r="R44" i="362"/>
  <c r="W44" i="362" s="1"/>
  <c r="F44" i="362"/>
  <c r="W43" i="362"/>
  <c r="S43" i="362"/>
  <c r="R43" i="362"/>
  <c r="V43" i="362" s="1"/>
  <c r="F43" i="362"/>
  <c r="R42" i="362"/>
  <c r="F42" i="362"/>
  <c r="F41" i="362" s="1"/>
  <c r="R40" i="362"/>
  <c r="W40" i="362" s="1"/>
  <c r="V39" i="362"/>
  <c r="R39" i="362"/>
  <c r="Y38" i="362"/>
  <c r="Y31" i="362" s="1"/>
  <c r="F38" i="362"/>
  <c r="W36" i="362"/>
  <c r="R36" i="362"/>
  <c r="V36" i="362" s="1"/>
  <c r="F36" i="362"/>
  <c r="R35" i="362"/>
  <c r="W35" i="362" s="1"/>
  <c r="F35" i="362"/>
  <c r="W34" i="362"/>
  <c r="R34" i="362"/>
  <c r="V34" i="362" s="1"/>
  <c r="F34" i="362"/>
  <c r="R33" i="362"/>
  <c r="S33" i="362" s="1"/>
  <c r="F33" i="362"/>
  <c r="X31" i="362"/>
  <c r="X30" i="362"/>
  <c r="Y30" i="362" s="1"/>
  <c r="W30" i="362"/>
  <c r="V30" i="362"/>
  <c r="S30" i="362"/>
  <c r="X29" i="362"/>
  <c r="Y29" i="362" s="1"/>
  <c r="W29" i="362"/>
  <c r="V29" i="362"/>
  <c r="S29" i="362"/>
  <c r="F29" i="362"/>
  <c r="R28" i="362"/>
  <c r="W28" i="362" s="1"/>
  <c r="F28" i="362"/>
  <c r="R27" i="362"/>
  <c r="X27" i="362" s="1"/>
  <c r="Y27" i="362" s="1"/>
  <c r="N27" i="362"/>
  <c r="N26" i="362" s="1"/>
  <c r="J27" i="362"/>
  <c r="F27" i="362"/>
  <c r="R26" i="362"/>
  <c r="X26" i="362" s="1"/>
  <c r="Y26" i="362" s="1"/>
  <c r="J26" i="362"/>
  <c r="X25" i="362"/>
  <c r="Y25" i="362" s="1"/>
  <c r="U25" i="362"/>
  <c r="S25" i="362"/>
  <c r="N25" i="362"/>
  <c r="N24" i="362" s="1"/>
  <c r="J25" i="362"/>
  <c r="V25" i="362" s="1"/>
  <c r="F25" i="362"/>
  <c r="F24" i="362" s="1"/>
  <c r="X24" i="362"/>
  <c r="R24" i="362"/>
  <c r="S24" i="362" s="1"/>
  <c r="X23" i="362"/>
  <c r="Y23" i="362" s="1"/>
  <c r="W23" i="362"/>
  <c r="V23" i="362"/>
  <c r="U23" i="362"/>
  <c r="S23" i="362"/>
  <c r="R22" i="362"/>
  <c r="V22" i="362" s="1"/>
  <c r="R21" i="362"/>
  <c r="R20" i="362"/>
  <c r="V20" i="362" s="1"/>
  <c r="S19" i="362"/>
  <c r="N19" i="362"/>
  <c r="N17" i="362" s="1"/>
  <c r="J19" i="362"/>
  <c r="V19" i="362" s="1"/>
  <c r="F19" i="362"/>
  <c r="W18" i="362"/>
  <c r="V18" i="362"/>
  <c r="S18" i="362"/>
  <c r="R18" i="362"/>
  <c r="Y17" i="362"/>
  <c r="X17" i="362"/>
  <c r="U17" i="362"/>
  <c r="F17" i="362"/>
  <c r="W16" i="362"/>
  <c r="V16" i="362"/>
  <c r="S16" i="362"/>
  <c r="W15" i="362"/>
  <c r="V15" i="362"/>
  <c r="S15" i="362"/>
  <c r="W14" i="362"/>
  <c r="V14" i="362"/>
  <c r="S14" i="362"/>
  <c r="Q13" i="362"/>
  <c r="Q202" i="362" s="1"/>
  <c r="P13" i="362"/>
  <c r="P202" i="362" s="1"/>
  <c r="G13" i="362"/>
  <c r="Q343" i="359"/>
  <c r="R343" i="359" s="1"/>
  <c r="Z243" i="361"/>
  <c r="Q241" i="361"/>
  <c r="Q242" i="361" s="1"/>
  <c r="I241" i="361"/>
  <c r="I242" i="361" s="1"/>
  <c r="Y240" i="361"/>
  <c r="X240" i="361"/>
  <c r="W240" i="361"/>
  <c r="V240" i="361"/>
  <c r="U240" i="361"/>
  <c r="R240" i="361"/>
  <c r="Q240" i="361"/>
  <c r="P240" i="361"/>
  <c r="O240" i="361"/>
  <c r="N240" i="361"/>
  <c r="M240" i="361"/>
  <c r="L240" i="361"/>
  <c r="K240" i="361"/>
  <c r="J240" i="361"/>
  <c r="I240" i="361"/>
  <c r="H240" i="361"/>
  <c r="G240" i="361"/>
  <c r="F240" i="361"/>
  <c r="Q239" i="361"/>
  <c r="P239" i="361"/>
  <c r="O239" i="361"/>
  <c r="M239" i="361"/>
  <c r="L239" i="361"/>
  <c r="I239" i="361"/>
  <c r="H239" i="361"/>
  <c r="Y238" i="361"/>
  <c r="X238" i="361"/>
  <c r="W238" i="361"/>
  <c r="V238" i="361"/>
  <c r="U238" i="361"/>
  <c r="R238" i="361"/>
  <c r="Q238" i="361"/>
  <c r="P238" i="361"/>
  <c r="O238" i="361"/>
  <c r="N238" i="361"/>
  <c r="M238" i="361"/>
  <c r="L238" i="361"/>
  <c r="K238" i="361"/>
  <c r="J238" i="361"/>
  <c r="I238" i="361"/>
  <c r="H238" i="361"/>
  <c r="G238" i="361"/>
  <c r="F238" i="361"/>
  <c r="Y237" i="361"/>
  <c r="X237" i="361"/>
  <c r="W237" i="361"/>
  <c r="V237" i="361"/>
  <c r="U237" i="361"/>
  <c r="R237" i="361"/>
  <c r="Q237" i="361"/>
  <c r="P237" i="361"/>
  <c r="O237" i="361"/>
  <c r="N237" i="361"/>
  <c r="M237" i="361"/>
  <c r="L237" i="361"/>
  <c r="K237" i="361"/>
  <c r="J237" i="361"/>
  <c r="I237" i="361"/>
  <c r="H237" i="361"/>
  <c r="G237" i="361"/>
  <c r="F237" i="361"/>
  <c r="Q236" i="361"/>
  <c r="P236" i="361"/>
  <c r="M236" i="361"/>
  <c r="L236" i="361"/>
  <c r="I236" i="361"/>
  <c r="H236" i="361"/>
  <c r="Y235" i="361"/>
  <c r="X235" i="361"/>
  <c r="W235" i="361"/>
  <c r="V235" i="361"/>
  <c r="U235" i="361"/>
  <c r="R235" i="361"/>
  <c r="Q235" i="361"/>
  <c r="P235" i="361"/>
  <c r="O235" i="361"/>
  <c r="N235" i="361"/>
  <c r="M235" i="361"/>
  <c r="L235" i="361"/>
  <c r="K235" i="361"/>
  <c r="J235" i="361"/>
  <c r="I235" i="361"/>
  <c r="H235" i="361"/>
  <c r="G235" i="361"/>
  <c r="U234" i="361"/>
  <c r="Q234" i="361"/>
  <c r="P234" i="361"/>
  <c r="M234" i="361"/>
  <c r="L234" i="361"/>
  <c r="I234" i="361"/>
  <c r="H234" i="361"/>
  <c r="Q233" i="361"/>
  <c r="P233" i="361"/>
  <c r="M233" i="361"/>
  <c r="L233" i="361"/>
  <c r="I233" i="361"/>
  <c r="H233" i="361"/>
  <c r="Y232" i="361"/>
  <c r="X232" i="361"/>
  <c r="W232" i="361"/>
  <c r="V232" i="361"/>
  <c r="U232" i="361"/>
  <c r="R232" i="361"/>
  <c r="Q232" i="361"/>
  <c r="P232" i="361"/>
  <c r="O232" i="361"/>
  <c r="N232" i="361"/>
  <c r="M232" i="361"/>
  <c r="L232" i="361"/>
  <c r="K232" i="361"/>
  <c r="J232" i="361"/>
  <c r="I232" i="361"/>
  <c r="H232" i="361"/>
  <c r="G232" i="361"/>
  <c r="F232" i="361"/>
  <c r="Q231" i="361"/>
  <c r="P231" i="361"/>
  <c r="M231" i="361"/>
  <c r="L231" i="361"/>
  <c r="I231" i="361"/>
  <c r="H231" i="361"/>
  <c r="Y230" i="361"/>
  <c r="X230" i="361"/>
  <c r="W230" i="361"/>
  <c r="V230" i="361"/>
  <c r="U230" i="361"/>
  <c r="R230" i="361"/>
  <c r="Q230" i="361"/>
  <c r="P230" i="361"/>
  <c r="O230" i="361"/>
  <c r="N230" i="361"/>
  <c r="M230" i="361"/>
  <c r="L230" i="361"/>
  <c r="K230" i="361"/>
  <c r="J230" i="361"/>
  <c r="I230" i="361"/>
  <c r="H230" i="361"/>
  <c r="G230" i="361"/>
  <c r="F230" i="361"/>
  <c r="Y229" i="361"/>
  <c r="X229" i="361"/>
  <c r="W229" i="361"/>
  <c r="V229" i="361"/>
  <c r="U229" i="361"/>
  <c r="R229" i="361"/>
  <c r="Q229" i="361"/>
  <c r="P229" i="361"/>
  <c r="O229" i="361"/>
  <c r="N229" i="361"/>
  <c r="M229" i="361"/>
  <c r="L229" i="361"/>
  <c r="K229" i="361"/>
  <c r="J229" i="361"/>
  <c r="I229" i="361"/>
  <c r="H229" i="361"/>
  <c r="G229" i="361"/>
  <c r="F229" i="361"/>
  <c r="Q228" i="361"/>
  <c r="P228" i="361"/>
  <c r="M228" i="361"/>
  <c r="L228" i="361"/>
  <c r="I228" i="361"/>
  <c r="H228" i="361"/>
  <c r="F228" i="361"/>
  <c r="Y227" i="361"/>
  <c r="X227" i="361"/>
  <c r="W227" i="361"/>
  <c r="V227" i="361"/>
  <c r="U227" i="361"/>
  <c r="R227" i="361"/>
  <c r="Q227" i="361"/>
  <c r="P227" i="361"/>
  <c r="O227" i="361"/>
  <c r="N227" i="361"/>
  <c r="M227" i="361"/>
  <c r="L227" i="361"/>
  <c r="K227" i="361"/>
  <c r="J227" i="361"/>
  <c r="I227" i="361"/>
  <c r="H227" i="361"/>
  <c r="G227" i="361"/>
  <c r="F227" i="361"/>
  <c r="Y226" i="361"/>
  <c r="X226" i="361"/>
  <c r="W226" i="361"/>
  <c r="V226" i="361"/>
  <c r="U226" i="361"/>
  <c r="R226" i="361"/>
  <c r="Q226" i="361"/>
  <c r="P226" i="361"/>
  <c r="O226" i="361"/>
  <c r="N226" i="361"/>
  <c r="M226" i="361"/>
  <c r="L226" i="361"/>
  <c r="K226" i="361"/>
  <c r="J226" i="361"/>
  <c r="I226" i="361"/>
  <c r="H226" i="361"/>
  <c r="G226" i="361"/>
  <c r="F226" i="361"/>
  <c r="Y225" i="361"/>
  <c r="X225" i="361"/>
  <c r="W225" i="361"/>
  <c r="V225" i="361"/>
  <c r="U225" i="361"/>
  <c r="R225" i="361"/>
  <c r="Q225" i="361"/>
  <c r="P225" i="361"/>
  <c r="O225" i="361"/>
  <c r="N225" i="361"/>
  <c r="M225" i="361"/>
  <c r="L225" i="361"/>
  <c r="K225" i="361"/>
  <c r="J225" i="361"/>
  <c r="I225" i="361"/>
  <c r="H225" i="361"/>
  <c r="G225" i="361"/>
  <c r="F225" i="361"/>
  <c r="X224" i="361"/>
  <c r="Q224" i="361"/>
  <c r="P224" i="361"/>
  <c r="M224" i="361"/>
  <c r="L224" i="361"/>
  <c r="I224" i="361"/>
  <c r="H224" i="361"/>
  <c r="Q223" i="361"/>
  <c r="P223" i="361"/>
  <c r="M223" i="361"/>
  <c r="L223" i="361"/>
  <c r="I223" i="361"/>
  <c r="H223" i="361"/>
  <c r="R222" i="361"/>
  <c r="R241" i="361" s="1"/>
  <c r="R242" i="361" s="1"/>
  <c r="Q222" i="361"/>
  <c r="P222" i="361"/>
  <c r="P241" i="361" s="1"/>
  <c r="P242" i="361" s="1"/>
  <c r="M222" i="361"/>
  <c r="M241" i="361" s="1"/>
  <c r="M242" i="361" s="1"/>
  <c r="L222" i="361"/>
  <c r="L241" i="361" s="1"/>
  <c r="L242" i="361" s="1"/>
  <c r="I222" i="361"/>
  <c r="H222" i="361"/>
  <c r="H241" i="361" s="1"/>
  <c r="H242" i="361" s="1"/>
  <c r="U221" i="361"/>
  <c r="U239" i="361" s="1"/>
  <c r="T221" i="361"/>
  <c r="O221" i="361"/>
  <c r="N221" i="361"/>
  <c r="N239" i="361" s="1"/>
  <c r="K221" i="361"/>
  <c r="K239" i="361" s="1"/>
  <c r="G221" i="361"/>
  <c r="G239" i="361" s="1"/>
  <c r="T220" i="361"/>
  <c r="Y218" i="361"/>
  <c r="Y234" i="361" s="1"/>
  <c r="X218" i="361"/>
  <c r="X234" i="361" s="1"/>
  <c r="U218" i="361"/>
  <c r="T218" i="361"/>
  <c r="O218" i="361"/>
  <c r="O234" i="361" s="1"/>
  <c r="N218" i="361"/>
  <c r="N234" i="361" s="1"/>
  <c r="K218" i="361"/>
  <c r="K234" i="361" s="1"/>
  <c r="J218" i="361"/>
  <c r="J234" i="361" s="1"/>
  <c r="G218" i="361"/>
  <c r="G234" i="361" s="1"/>
  <c r="T217" i="361"/>
  <c r="G217" i="361"/>
  <c r="G233" i="361" s="1"/>
  <c r="T216" i="361"/>
  <c r="G216" i="361"/>
  <c r="Y215" i="361"/>
  <c r="Y228" i="361" s="1"/>
  <c r="X215" i="361"/>
  <c r="X228" i="361" s="1"/>
  <c r="U215" i="361"/>
  <c r="U228" i="361" s="1"/>
  <c r="T215" i="361"/>
  <c r="R215" i="361"/>
  <c r="R228" i="361" s="1"/>
  <c r="O215" i="361"/>
  <c r="O228" i="361" s="1"/>
  <c r="N215" i="361"/>
  <c r="N228" i="361" s="1"/>
  <c r="K215" i="361"/>
  <c r="K228" i="361" s="1"/>
  <c r="J215" i="361"/>
  <c r="J228" i="361" s="1"/>
  <c r="F215" i="361"/>
  <c r="Y214" i="361"/>
  <c r="Y224" i="361" s="1"/>
  <c r="X214" i="361"/>
  <c r="U214" i="361"/>
  <c r="U224" i="361" s="1"/>
  <c r="T214" i="361"/>
  <c r="R214" i="361"/>
  <c r="R224" i="361" s="1"/>
  <c r="O214" i="361"/>
  <c r="O224" i="361" s="1"/>
  <c r="N214" i="361"/>
  <c r="N224" i="361" s="1"/>
  <c r="K214" i="361"/>
  <c r="K224" i="361" s="1"/>
  <c r="J214" i="361"/>
  <c r="J224" i="361" s="1"/>
  <c r="G214" i="361"/>
  <c r="G224" i="361" s="1"/>
  <c r="Y213" i="361"/>
  <c r="Y223" i="361" s="1"/>
  <c r="X213" i="361"/>
  <c r="X223" i="361" s="1"/>
  <c r="U213" i="361"/>
  <c r="U223" i="361" s="1"/>
  <c r="T213" i="361"/>
  <c r="S213" i="361"/>
  <c r="R213" i="361"/>
  <c r="R223" i="361" s="1"/>
  <c r="O213" i="361"/>
  <c r="O223" i="361" s="1"/>
  <c r="N213" i="361"/>
  <c r="N223" i="361" s="1"/>
  <c r="K213" i="361"/>
  <c r="J213" i="361"/>
  <c r="J223" i="361" s="1"/>
  <c r="F213" i="361"/>
  <c r="F223" i="361" s="1"/>
  <c r="Y212" i="361"/>
  <c r="X212" i="361"/>
  <c r="X222" i="361" s="1"/>
  <c r="X241" i="361" s="1"/>
  <c r="X242" i="361" s="1"/>
  <c r="U212" i="361"/>
  <c r="U222" i="361" s="1"/>
  <c r="U241" i="361" s="1"/>
  <c r="U242" i="361" s="1"/>
  <c r="T212" i="361"/>
  <c r="R212" i="361"/>
  <c r="O212" i="361"/>
  <c r="O222" i="361" s="1"/>
  <c r="O241" i="361" s="1"/>
  <c r="O242" i="361" s="1"/>
  <c r="N212" i="361"/>
  <c r="N222" i="361" s="1"/>
  <c r="N241" i="361" s="1"/>
  <c r="N242" i="361" s="1"/>
  <c r="K212" i="361"/>
  <c r="K222" i="361" s="1"/>
  <c r="K241" i="361" s="1"/>
  <c r="K242" i="361" s="1"/>
  <c r="J212" i="361"/>
  <c r="J222" i="361" s="1"/>
  <c r="J241" i="361" s="1"/>
  <c r="J242" i="361" s="1"/>
  <c r="F212" i="361"/>
  <c r="F222" i="361" s="1"/>
  <c r="F241" i="361" s="1"/>
  <c r="F242" i="361" s="1"/>
  <c r="F243" i="361" s="1"/>
  <c r="Q211" i="361"/>
  <c r="P211" i="361"/>
  <c r="M211" i="361"/>
  <c r="L211" i="361"/>
  <c r="I211" i="361"/>
  <c r="H211" i="361"/>
  <c r="T207" i="361"/>
  <c r="L207" i="361"/>
  <c r="X206" i="361"/>
  <c r="Y206" i="361" s="1"/>
  <c r="W206" i="361"/>
  <c r="V206" i="361"/>
  <c r="S206" i="361"/>
  <c r="X205" i="361"/>
  <c r="Y205" i="361" s="1"/>
  <c r="W205" i="361"/>
  <c r="V205" i="361"/>
  <c r="S205" i="361"/>
  <c r="Q205" i="361"/>
  <c r="W204" i="361"/>
  <c r="V204" i="361"/>
  <c r="S204" i="361"/>
  <c r="R204" i="361"/>
  <c r="X204" i="361" s="1"/>
  <c r="Y204" i="361" s="1"/>
  <c r="R203" i="361"/>
  <c r="S203" i="361" s="1"/>
  <c r="M202" i="361"/>
  <c r="M207" i="361" s="1"/>
  <c r="L202" i="361"/>
  <c r="I202" i="361"/>
  <c r="I207" i="361" s="1"/>
  <c r="H202" i="361"/>
  <c r="H207" i="361" s="1"/>
  <c r="R201" i="361"/>
  <c r="W200" i="361"/>
  <c r="V200" i="361"/>
  <c r="S200" i="361"/>
  <c r="W199" i="361"/>
  <c r="V199" i="361"/>
  <c r="S199" i="361"/>
  <c r="W198" i="361"/>
  <c r="V198" i="361"/>
  <c r="S198" i="361"/>
  <c r="W197" i="361"/>
  <c r="V197" i="361"/>
  <c r="S197" i="361"/>
  <c r="Y195" i="361"/>
  <c r="X195" i="361"/>
  <c r="R195" i="361"/>
  <c r="W194" i="361"/>
  <c r="V194" i="361"/>
  <c r="S194" i="361"/>
  <c r="W193" i="361"/>
  <c r="V193" i="361"/>
  <c r="S193" i="361"/>
  <c r="W192" i="361"/>
  <c r="V192" i="361"/>
  <c r="S192" i="361"/>
  <c r="W191" i="361"/>
  <c r="V191" i="361"/>
  <c r="S191" i="361"/>
  <c r="W190" i="361"/>
  <c r="V190" i="361"/>
  <c r="S190" i="361"/>
  <c r="R189" i="361"/>
  <c r="Y188" i="361"/>
  <c r="Y183" i="361" s="1"/>
  <c r="X188" i="361"/>
  <c r="X183" i="361" s="1"/>
  <c r="R188" i="361"/>
  <c r="R183" i="361" s="1"/>
  <c r="S183" i="361" s="1"/>
  <c r="W187" i="361"/>
  <c r="V187" i="361"/>
  <c r="S187" i="361"/>
  <c r="W186" i="361"/>
  <c r="V186" i="361"/>
  <c r="S186" i="361"/>
  <c r="W185" i="361"/>
  <c r="V185" i="361"/>
  <c r="S185" i="361"/>
  <c r="W184" i="361"/>
  <c r="V184" i="361"/>
  <c r="S184" i="361"/>
  <c r="R181" i="361"/>
  <c r="S181" i="361" s="1"/>
  <c r="R180" i="361"/>
  <c r="R179" i="361"/>
  <c r="S179" i="361" s="1"/>
  <c r="R178" i="361"/>
  <c r="S177" i="361"/>
  <c r="R177" i="361"/>
  <c r="W176" i="361"/>
  <c r="V176" i="361"/>
  <c r="S176" i="361"/>
  <c r="Y175" i="361"/>
  <c r="X175" i="361"/>
  <c r="U175" i="361"/>
  <c r="W174" i="361"/>
  <c r="R174" i="361"/>
  <c r="S174" i="361" s="1"/>
  <c r="R173" i="361"/>
  <c r="V172" i="361"/>
  <c r="S172" i="361"/>
  <c r="N172" i="361"/>
  <c r="J172" i="361"/>
  <c r="W172" i="361" s="1"/>
  <c r="R171" i="361"/>
  <c r="S171" i="361" s="1"/>
  <c r="N171" i="361"/>
  <c r="J171" i="361"/>
  <c r="S170" i="361"/>
  <c r="N170" i="361"/>
  <c r="J170" i="361"/>
  <c r="U169" i="361"/>
  <c r="R168" i="361"/>
  <c r="N168" i="361"/>
  <c r="J168" i="361"/>
  <c r="S167" i="361"/>
  <c r="N167" i="361"/>
  <c r="J167" i="361"/>
  <c r="V167" i="361" s="1"/>
  <c r="R166" i="361"/>
  <c r="S166" i="361" s="1"/>
  <c r="N166" i="361"/>
  <c r="J166" i="361"/>
  <c r="W164" i="361"/>
  <c r="V164" i="361"/>
  <c r="S164" i="361"/>
  <c r="R163" i="361"/>
  <c r="N163" i="361"/>
  <c r="N162" i="361" s="1"/>
  <c r="J163" i="361"/>
  <c r="Y162" i="361"/>
  <c r="Y155" i="361" s="1"/>
  <c r="X162" i="361"/>
  <c r="X155" i="361" s="1"/>
  <c r="U162" i="361"/>
  <c r="U155" i="361" s="1"/>
  <c r="J162" i="361"/>
  <c r="R160" i="361"/>
  <c r="S160" i="361" s="1"/>
  <c r="N160" i="361"/>
  <c r="J160" i="361"/>
  <c r="V160" i="361" s="1"/>
  <c r="R159" i="361"/>
  <c r="N159" i="361"/>
  <c r="J159" i="361"/>
  <c r="R158" i="361"/>
  <c r="S158" i="361" s="1"/>
  <c r="N158" i="361"/>
  <c r="J158" i="361"/>
  <c r="R157" i="361"/>
  <c r="S157" i="361" s="1"/>
  <c r="N157" i="361"/>
  <c r="J157" i="361"/>
  <c r="O155" i="361"/>
  <c r="K155" i="361"/>
  <c r="R154" i="361"/>
  <c r="N154" i="361"/>
  <c r="J154" i="361"/>
  <c r="F154" i="361"/>
  <c r="R153" i="361"/>
  <c r="X153" i="361" s="1"/>
  <c r="Y153" i="361" s="1"/>
  <c r="N153" i="361"/>
  <c r="J153" i="361"/>
  <c r="F153" i="361"/>
  <c r="R152" i="361"/>
  <c r="X152" i="361" s="1"/>
  <c r="Y152" i="361" s="1"/>
  <c r="N152" i="361"/>
  <c r="J152" i="361"/>
  <c r="F152" i="361"/>
  <c r="R151" i="361"/>
  <c r="N151" i="361"/>
  <c r="J151" i="361"/>
  <c r="F151" i="361"/>
  <c r="X150" i="361"/>
  <c r="Y150" i="361" s="1"/>
  <c r="R150" i="361"/>
  <c r="S150" i="361" s="1"/>
  <c r="N150" i="361"/>
  <c r="J150" i="361"/>
  <c r="F150" i="361"/>
  <c r="R149" i="361"/>
  <c r="N149" i="361"/>
  <c r="J149" i="361"/>
  <c r="F149" i="361"/>
  <c r="R148" i="361"/>
  <c r="X148" i="361" s="1"/>
  <c r="Y148" i="361" s="1"/>
  <c r="N148" i="361"/>
  <c r="J148" i="361"/>
  <c r="F148" i="361"/>
  <c r="R147" i="361"/>
  <c r="N147" i="361"/>
  <c r="J147" i="361"/>
  <c r="F147" i="361"/>
  <c r="R146" i="361"/>
  <c r="N146" i="361"/>
  <c r="J146" i="361"/>
  <c r="F146" i="361"/>
  <c r="R145" i="361"/>
  <c r="X145" i="361" s="1"/>
  <c r="Y145" i="361" s="1"/>
  <c r="N145" i="361"/>
  <c r="J145" i="361"/>
  <c r="F145" i="361"/>
  <c r="R144" i="361"/>
  <c r="S144" i="361" s="1"/>
  <c r="N144" i="361"/>
  <c r="J144" i="361"/>
  <c r="F144" i="361"/>
  <c r="R143" i="361"/>
  <c r="N143" i="361"/>
  <c r="J143" i="361"/>
  <c r="F143" i="361"/>
  <c r="R141" i="361"/>
  <c r="X141" i="361" s="1"/>
  <c r="Y141" i="361" s="1"/>
  <c r="N141" i="361"/>
  <c r="J141" i="361"/>
  <c r="F141" i="361"/>
  <c r="R140" i="361"/>
  <c r="S140" i="361" s="1"/>
  <c r="N140" i="361"/>
  <c r="J140" i="361"/>
  <c r="F140" i="361"/>
  <c r="W139" i="361"/>
  <c r="R139" i="361"/>
  <c r="N139" i="361"/>
  <c r="J139" i="361"/>
  <c r="F139" i="361"/>
  <c r="R138" i="361"/>
  <c r="N138" i="361"/>
  <c r="J138" i="361"/>
  <c r="F138" i="361"/>
  <c r="R137" i="361"/>
  <c r="N137" i="361"/>
  <c r="J137" i="361"/>
  <c r="F137" i="361"/>
  <c r="F221" i="361" s="1"/>
  <c r="F239" i="361" s="1"/>
  <c r="R136" i="361"/>
  <c r="N136" i="361"/>
  <c r="J136" i="361"/>
  <c r="F136" i="361"/>
  <c r="X135" i="361"/>
  <c r="Y135" i="361" s="1"/>
  <c r="R135" i="361"/>
  <c r="W135" i="361" s="1"/>
  <c r="N135" i="361"/>
  <c r="J135" i="361"/>
  <c r="F135" i="361"/>
  <c r="R134" i="361"/>
  <c r="X134" i="361" s="1"/>
  <c r="Y134" i="361" s="1"/>
  <c r="N134" i="361"/>
  <c r="J134" i="361"/>
  <c r="F134" i="361"/>
  <c r="S133" i="361"/>
  <c r="R133" i="361"/>
  <c r="X133" i="361" s="1"/>
  <c r="Y133" i="361" s="1"/>
  <c r="N133" i="361"/>
  <c r="J133" i="361"/>
  <c r="W133" i="361" s="1"/>
  <c r="F133" i="361"/>
  <c r="R132" i="361"/>
  <c r="S132" i="361" s="1"/>
  <c r="N132" i="361"/>
  <c r="J132" i="361"/>
  <c r="V132" i="361" s="1"/>
  <c r="F132" i="361"/>
  <c r="R131" i="361"/>
  <c r="N131" i="361"/>
  <c r="J131" i="361"/>
  <c r="F131" i="361"/>
  <c r="V129" i="361"/>
  <c r="S129" i="361"/>
  <c r="R129" i="361"/>
  <c r="W129" i="361" s="1"/>
  <c r="R128" i="361"/>
  <c r="W128" i="361" s="1"/>
  <c r="S127" i="361"/>
  <c r="N127" i="361"/>
  <c r="N126" i="361" s="1"/>
  <c r="J127" i="361"/>
  <c r="J126" i="361" s="1"/>
  <c r="F127" i="361"/>
  <c r="F126" i="361" s="1"/>
  <c r="S125" i="361"/>
  <c r="R125" i="361"/>
  <c r="N125" i="361"/>
  <c r="J125" i="361"/>
  <c r="F125" i="361"/>
  <c r="R124" i="361"/>
  <c r="R123" i="361"/>
  <c r="W123" i="361" s="1"/>
  <c r="N123" i="361"/>
  <c r="J123" i="361"/>
  <c r="F123" i="361"/>
  <c r="R122" i="361"/>
  <c r="S122" i="361" s="1"/>
  <c r="N122" i="361"/>
  <c r="N121" i="361" s="1"/>
  <c r="J122" i="361"/>
  <c r="F122" i="361"/>
  <c r="Y121" i="361"/>
  <c r="X121" i="361"/>
  <c r="U121" i="361"/>
  <c r="U120" i="361"/>
  <c r="W119" i="361"/>
  <c r="W215" i="361" s="1"/>
  <c r="W228" i="361" s="1"/>
  <c r="V119" i="361"/>
  <c r="V215" i="361" s="1"/>
  <c r="V228" i="361" s="1"/>
  <c r="S119" i="361"/>
  <c r="S215" i="361" s="1"/>
  <c r="G119" i="361"/>
  <c r="G215" i="361" s="1"/>
  <c r="G228" i="361" s="1"/>
  <c r="W118" i="361"/>
  <c r="W213" i="361" s="1"/>
  <c r="W223" i="361" s="1"/>
  <c r="V118" i="361"/>
  <c r="V213" i="361" s="1"/>
  <c r="V223" i="361" s="1"/>
  <c r="S118" i="361"/>
  <c r="G118" i="361"/>
  <c r="G213" i="361" s="1"/>
  <c r="G223" i="361" s="1"/>
  <c r="W117" i="361"/>
  <c r="W212" i="361" s="1"/>
  <c r="W222" i="361" s="1"/>
  <c r="W241" i="361" s="1"/>
  <c r="W242" i="361" s="1"/>
  <c r="V117" i="361"/>
  <c r="V212" i="361" s="1"/>
  <c r="S117" i="361"/>
  <c r="S212" i="361" s="1"/>
  <c r="G117" i="361"/>
  <c r="G212" i="361" s="1"/>
  <c r="G222" i="361" s="1"/>
  <c r="G241" i="361" s="1"/>
  <c r="G242" i="361" s="1"/>
  <c r="W116" i="361"/>
  <c r="V116" i="361"/>
  <c r="S116" i="361"/>
  <c r="G116" i="361"/>
  <c r="G114" i="361" s="1"/>
  <c r="W115" i="361"/>
  <c r="R115" i="361"/>
  <c r="M115" i="361"/>
  <c r="I115" i="361"/>
  <c r="F115" i="361"/>
  <c r="Y114" i="361"/>
  <c r="X114" i="361"/>
  <c r="W114" i="361"/>
  <c r="U114" i="361"/>
  <c r="R114" i="361"/>
  <c r="O114" i="361"/>
  <c r="N114" i="361"/>
  <c r="K114" i="361"/>
  <c r="J114" i="361"/>
  <c r="W113" i="361"/>
  <c r="W214" i="361" s="1"/>
  <c r="W224" i="361" s="1"/>
  <c r="V113" i="361"/>
  <c r="V214" i="361" s="1"/>
  <c r="V224" i="361" s="1"/>
  <c r="S113" i="361"/>
  <c r="S214" i="361" s="1"/>
  <c r="F113" i="361"/>
  <c r="F214" i="361" s="1"/>
  <c r="W112" i="361"/>
  <c r="V112" i="361"/>
  <c r="S112" i="361"/>
  <c r="F112" i="361"/>
  <c r="W111" i="361"/>
  <c r="V111" i="361"/>
  <c r="S111" i="361"/>
  <c r="F111" i="361"/>
  <c r="W110" i="361"/>
  <c r="V110" i="361"/>
  <c r="S110" i="361"/>
  <c r="F110" i="361"/>
  <c r="W109" i="361"/>
  <c r="V109" i="361"/>
  <c r="S109" i="361"/>
  <c r="F109" i="361"/>
  <c r="W108" i="361"/>
  <c r="V108" i="361"/>
  <c r="S108" i="361"/>
  <c r="F108" i="361"/>
  <c r="W107" i="361"/>
  <c r="V107" i="361"/>
  <c r="S107" i="361"/>
  <c r="F107" i="361"/>
  <c r="W106" i="361"/>
  <c r="V106" i="361"/>
  <c r="S106" i="361"/>
  <c r="F106" i="361"/>
  <c r="W105" i="361"/>
  <c r="V105" i="361"/>
  <c r="S105" i="361"/>
  <c r="F105" i="361"/>
  <c r="W104" i="361"/>
  <c r="V104" i="361"/>
  <c r="S104" i="361"/>
  <c r="F104" i="361"/>
  <c r="W103" i="361"/>
  <c r="V103" i="361"/>
  <c r="S103" i="361"/>
  <c r="F103" i="361"/>
  <c r="W102" i="361"/>
  <c r="V102" i="361"/>
  <c r="S102" i="361"/>
  <c r="F102" i="361"/>
  <c r="W101" i="361"/>
  <c r="V101" i="361"/>
  <c r="S101" i="361"/>
  <c r="W100" i="361"/>
  <c r="V100" i="361"/>
  <c r="S100" i="361"/>
  <c r="F100" i="361"/>
  <c r="W99" i="361"/>
  <c r="V99" i="361"/>
  <c r="S99" i="361"/>
  <c r="F99" i="361"/>
  <c r="W98" i="361"/>
  <c r="V98" i="361"/>
  <c r="S98" i="361"/>
  <c r="F98" i="361"/>
  <c r="W97" i="361"/>
  <c r="V97" i="361"/>
  <c r="S97" i="361"/>
  <c r="F97" i="361"/>
  <c r="F101" i="361" s="1"/>
  <c r="F96" i="361" s="1"/>
  <c r="W96" i="361"/>
  <c r="V96" i="361"/>
  <c r="S96" i="361"/>
  <c r="W95" i="361"/>
  <c r="V95" i="361"/>
  <c r="S95" i="361"/>
  <c r="F95" i="361"/>
  <c r="F94" i="361" s="1"/>
  <c r="F219" i="361" s="1"/>
  <c r="F235" i="361" s="1"/>
  <c r="W94" i="361"/>
  <c r="V94" i="361"/>
  <c r="S94" i="361"/>
  <c r="W93" i="361"/>
  <c r="V93" i="361"/>
  <c r="S93" i="361"/>
  <c r="W92" i="361"/>
  <c r="V92" i="361"/>
  <c r="U92" i="361"/>
  <c r="U91" i="361" s="1"/>
  <c r="S92" i="361"/>
  <c r="O92" i="361"/>
  <c r="O91" i="361" s="1"/>
  <c r="K92" i="361"/>
  <c r="K91" i="361" s="1"/>
  <c r="W91" i="361"/>
  <c r="V91" i="361"/>
  <c r="S91" i="361"/>
  <c r="W90" i="361"/>
  <c r="V90" i="361"/>
  <c r="U90" i="361"/>
  <c r="S90" i="361"/>
  <c r="O90" i="361"/>
  <c r="K90" i="361"/>
  <c r="W89" i="361"/>
  <c r="V89" i="361"/>
  <c r="U89" i="361"/>
  <c r="S89" i="361"/>
  <c r="O89" i="361"/>
  <c r="K89" i="361"/>
  <c r="W88" i="361"/>
  <c r="V88" i="361"/>
  <c r="U88" i="361"/>
  <c r="S88" i="361"/>
  <c r="O88" i="361"/>
  <c r="K88" i="361"/>
  <c r="W87" i="361"/>
  <c r="V87" i="361"/>
  <c r="U87" i="361"/>
  <c r="S87" i="361"/>
  <c r="O87" i="361"/>
  <c r="K87" i="361"/>
  <c r="W86" i="361"/>
  <c r="V86" i="361"/>
  <c r="S86" i="361"/>
  <c r="R85" i="361"/>
  <c r="W85" i="361" s="1"/>
  <c r="N85" i="361"/>
  <c r="J85" i="361"/>
  <c r="G85" i="361"/>
  <c r="F85" i="361"/>
  <c r="W84" i="361"/>
  <c r="V84" i="361"/>
  <c r="U84" i="361"/>
  <c r="S84" i="361"/>
  <c r="O84" i="361"/>
  <c r="K84" i="361"/>
  <c r="W83" i="361"/>
  <c r="V83" i="361"/>
  <c r="U83" i="361"/>
  <c r="S83" i="361"/>
  <c r="O83" i="361"/>
  <c r="K83" i="361"/>
  <c r="K82" i="361" s="1"/>
  <c r="K217" i="361" s="1"/>
  <c r="K233" i="361" s="1"/>
  <c r="W82" i="361"/>
  <c r="V82" i="361"/>
  <c r="S82" i="361"/>
  <c r="O82" i="361"/>
  <c r="O217" i="361" s="1"/>
  <c r="O233" i="361" s="1"/>
  <c r="W81" i="361"/>
  <c r="V81" i="361"/>
  <c r="U81" i="361"/>
  <c r="U80" i="361" s="1"/>
  <c r="S81" i="361"/>
  <c r="O81" i="361"/>
  <c r="K81" i="361"/>
  <c r="K80" i="361" s="1"/>
  <c r="W80" i="361"/>
  <c r="V80" i="361"/>
  <c r="S80" i="361"/>
  <c r="O80" i="361"/>
  <c r="W79" i="361"/>
  <c r="V79" i="361"/>
  <c r="S79" i="361"/>
  <c r="O79" i="361"/>
  <c r="K79" i="361"/>
  <c r="K78" i="361" s="1"/>
  <c r="G79" i="361"/>
  <c r="G78" i="361" s="1"/>
  <c r="W78" i="361"/>
  <c r="V78" i="361"/>
  <c r="S78" i="361"/>
  <c r="O78" i="361"/>
  <c r="W77" i="361"/>
  <c r="V77" i="361"/>
  <c r="S77" i="361"/>
  <c r="O77" i="361"/>
  <c r="K77" i="361"/>
  <c r="G77" i="361"/>
  <c r="W76" i="361"/>
  <c r="V76" i="361"/>
  <c r="U76" i="361"/>
  <c r="U75" i="361" s="1"/>
  <c r="S76" i="361"/>
  <c r="O76" i="361"/>
  <c r="K76" i="361"/>
  <c r="K75" i="361" s="1"/>
  <c r="G76" i="361"/>
  <c r="W75" i="361"/>
  <c r="V75" i="361"/>
  <c r="S75" i="361"/>
  <c r="W74" i="361"/>
  <c r="V74" i="361"/>
  <c r="S74" i="361"/>
  <c r="W73" i="361"/>
  <c r="V73" i="361"/>
  <c r="U73" i="361"/>
  <c r="U74" i="361" s="1"/>
  <c r="U71" i="361" s="1"/>
  <c r="S73" i="361"/>
  <c r="O73" i="361"/>
  <c r="K73" i="361"/>
  <c r="K74" i="361" s="1"/>
  <c r="K71" i="361" s="1"/>
  <c r="W72" i="361"/>
  <c r="V72" i="361"/>
  <c r="U72" i="361"/>
  <c r="S72" i="361"/>
  <c r="W71" i="361"/>
  <c r="V71" i="361"/>
  <c r="S71" i="361"/>
  <c r="W70" i="361"/>
  <c r="V70" i="361"/>
  <c r="S70" i="361"/>
  <c r="S69" i="361"/>
  <c r="N69" i="361"/>
  <c r="J69" i="361"/>
  <c r="R68" i="361"/>
  <c r="S68" i="361" s="1"/>
  <c r="N68" i="361"/>
  <c r="X68" i="361" s="1"/>
  <c r="J68" i="361"/>
  <c r="S67" i="361"/>
  <c r="S66" i="361"/>
  <c r="N66" i="361"/>
  <c r="X66" i="361" s="1"/>
  <c r="J66" i="361"/>
  <c r="S65" i="361"/>
  <c r="N65" i="361"/>
  <c r="J65" i="361"/>
  <c r="W65" i="361" s="1"/>
  <c r="X64" i="361"/>
  <c r="W64" i="361"/>
  <c r="V64" i="361"/>
  <c r="S64" i="361"/>
  <c r="X63" i="361"/>
  <c r="W63" i="361"/>
  <c r="V63" i="361"/>
  <c r="S63" i="361"/>
  <c r="S62" i="361"/>
  <c r="S61" i="361"/>
  <c r="N61" i="361"/>
  <c r="X61" i="361" s="1"/>
  <c r="J61" i="361"/>
  <c r="W61" i="361" s="1"/>
  <c r="S60" i="361"/>
  <c r="N60" i="361"/>
  <c r="X60" i="361" s="1"/>
  <c r="J60" i="361"/>
  <c r="S59" i="361"/>
  <c r="N59" i="361"/>
  <c r="J59" i="361"/>
  <c r="W59" i="361" s="1"/>
  <c r="S58" i="361"/>
  <c r="S57" i="361"/>
  <c r="N57" i="361"/>
  <c r="X57" i="361" s="1"/>
  <c r="J57" i="361"/>
  <c r="W57" i="361" s="1"/>
  <c r="S56" i="361"/>
  <c r="N56" i="361"/>
  <c r="X56" i="361" s="1"/>
  <c r="J56" i="361"/>
  <c r="S55" i="361"/>
  <c r="N55" i="361"/>
  <c r="J55" i="361"/>
  <c r="S54" i="361"/>
  <c r="S53" i="361"/>
  <c r="S52" i="361"/>
  <c r="N52" i="361"/>
  <c r="X52" i="361" s="1"/>
  <c r="J52" i="361"/>
  <c r="V52" i="361" s="1"/>
  <c r="S51" i="361"/>
  <c r="N51" i="361"/>
  <c r="J51" i="361"/>
  <c r="W51" i="361" s="1"/>
  <c r="S50" i="361"/>
  <c r="N50" i="361"/>
  <c r="X50" i="361" s="1"/>
  <c r="J50" i="361"/>
  <c r="V50" i="361" s="1"/>
  <c r="S49" i="361"/>
  <c r="Y48" i="361"/>
  <c r="U48" i="361"/>
  <c r="R48" i="361"/>
  <c r="O48" i="361"/>
  <c r="K48" i="361"/>
  <c r="W47" i="361"/>
  <c r="V47" i="361"/>
  <c r="S47" i="361"/>
  <c r="F47" i="361"/>
  <c r="R46" i="361"/>
  <c r="F46" i="361"/>
  <c r="R44" i="361"/>
  <c r="W44" i="361" s="1"/>
  <c r="F44" i="361"/>
  <c r="R43" i="361"/>
  <c r="W43" i="361" s="1"/>
  <c r="F43" i="361"/>
  <c r="R42" i="361"/>
  <c r="S42" i="361" s="1"/>
  <c r="F42" i="361"/>
  <c r="W40" i="361"/>
  <c r="S40" i="361"/>
  <c r="R40" i="361"/>
  <c r="V40" i="361" s="1"/>
  <c r="R39" i="361"/>
  <c r="Y38" i="361"/>
  <c r="Y31" i="361" s="1"/>
  <c r="F38" i="361"/>
  <c r="R36" i="361"/>
  <c r="F36" i="361"/>
  <c r="V35" i="361"/>
  <c r="R35" i="361"/>
  <c r="F35" i="361"/>
  <c r="R34" i="361"/>
  <c r="W34" i="361" s="1"/>
  <c r="F34" i="361"/>
  <c r="R33" i="361"/>
  <c r="F33" i="361"/>
  <c r="X31" i="361"/>
  <c r="X30" i="361"/>
  <c r="Y30" i="361" s="1"/>
  <c r="W30" i="361"/>
  <c r="V30" i="361"/>
  <c r="S30" i="361"/>
  <c r="X29" i="361"/>
  <c r="Y29" i="361" s="1"/>
  <c r="W29" i="361"/>
  <c r="V29" i="361"/>
  <c r="S29" i="361"/>
  <c r="F29" i="361"/>
  <c r="R28" i="361"/>
  <c r="F28" i="361"/>
  <c r="R27" i="361"/>
  <c r="N27" i="361"/>
  <c r="N26" i="361" s="1"/>
  <c r="N13" i="361" s="1"/>
  <c r="J27" i="361"/>
  <c r="J26" i="361" s="1"/>
  <c r="F27" i="361"/>
  <c r="X25" i="361"/>
  <c r="Y25" i="361" s="1"/>
  <c r="U25" i="361"/>
  <c r="S25" i="361"/>
  <c r="N25" i="361"/>
  <c r="N24" i="361" s="1"/>
  <c r="J25" i="361"/>
  <c r="V25" i="361" s="1"/>
  <c r="F25" i="361"/>
  <c r="F24" i="361" s="1"/>
  <c r="R24" i="361"/>
  <c r="X23" i="361"/>
  <c r="Y23" i="361" s="1"/>
  <c r="W23" i="361"/>
  <c r="V23" i="361"/>
  <c r="U23" i="361"/>
  <c r="S23" i="361"/>
  <c r="V22" i="361"/>
  <c r="R22" i="361"/>
  <c r="R21" i="361"/>
  <c r="V20" i="361"/>
  <c r="R20" i="361"/>
  <c r="V19" i="361"/>
  <c r="S19" i="361"/>
  <c r="N19" i="361"/>
  <c r="N17" i="361" s="1"/>
  <c r="J19" i="361"/>
  <c r="F19" i="361"/>
  <c r="F17" i="361" s="1"/>
  <c r="R18" i="361"/>
  <c r="U17" i="361"/>
  <c r="W16" i="361"/>
  <c r="V16" i="361"/>
  <c r="S16" i="361"/>
  <c r="W15" i="361"/>
  <c r="V15" i="361"/>
  <c r="S15" i="361"/>
  <c r="W14" i="361"/>
  <c r="V14" i="361"/>
  <c r="S14" i="361"/>
  <c r="Q13" i="361"/>
  <c r="Q202" i="361" s="1"/>
  <c r="P13" i="361"/>
  <c r="P202" i="361" s="1"/>
  <c r="G13" i="361"/>
  <c r="V49" i="360"/>
  <c r="U49" i="360"/>
  <c r="S49" i="360"/>
  <c r="R49" i="360"/>
  <c r="P49" i="360"/>
  <c r="O49" i="360"/>
  <c r="M49" i="360"/>
  <c r="M46" i="360" s="1"/>
  <c r="L49" i="360"/>
  <c r="L46" i="360" s="1"/>
  <c r="J49" i="360"/>
  <c r="J46" i="360" s="1"/>
  <c r="I49" i="360"/>
  <c r="V48" i="360"/>
  <c r="U48" i="360"/>
  <c r="S48" i="360"/>
  <c r="R48" i="360"/>
  <c r="R46" i="360" s="1"/>
  <c r="P48" i="360"/>
  <c r="O48" i="360"/>
  <c r="V47" i="360"/>
  <c r="V46" i="360" s="1"/>
  <c r="U47" i="360"/>
  <c r="S47" i="360"/>
  <c r="R47" i="360"/>
  <c r="P47" i="360"/>
  <c r="O47" i="360"/>
  <c r="U46" i="360"/>
  <c r="I46" i="360"/>
  <c r="W44" i="360"/>
  <c r="T44" i="360"/>
  <c r="Q44" i="360"/>
  <c r="N44" i="360"/>
  <c r="K44" i="360"/>
  <c r="W43" i="360"/>
  <c r="T43" i="360"/>
  <c r="Q43" i="360"/>
  <c r="N43" i="360"/>
  <c r="K43" i="360"/>
  <c r="H43" i="360"/>
  <c r="H42" i="360" s="1"/>
  <c r="Y41" i="360"/>
  <c r="N41" i="360"/>
  <c r="K41" i="360"/>
  <c r="X41" i="360" s="1"/>
  <c r="H41" i="360"/>
  <c r="Y40" i="360"/>
  <c r="X40" i="360"/>
  <c r="H40" i="360"/>
  <c r="W39" i="360"/>
  <c r="W37" i="360" s="1"/>
  <c r="T39" i="360"/>
  <c r="T37" i="360" s="1"/>
  <c r="Q39" i="360"/>
  <c r="H39" i="360"/>
  <c r="N38" i="360"/>
  <c r="K38" i="360"/>
  <c r="X38" i="360" s="1"/>
  <c r="H38" i="360"/>
  <c r="H37" i="360" s="1"/>
  <c r="N37" i="360"/>
  <c r="K37" i="360"/>
  <c r="N36" i="360"/>
  <c r="K36" i="360"/>
  <c r="H36" i="360"/>
  <c r="X35" i="360"/>
  <c r="W35" i="360"/>
  <c r="T35" i="360"/>
  <c r="Q35" i="360"/>
  <c r="Y35" i="360" s="1"/>
  <c r="N35" i="360"/>
  <c r="N34" i="360" s="1"/>
  <c r="K35" i="360"/>
  <c r="H35" i="360"/>
  <c r="W34" i="360"/>
  <c r="T34" i="360"/>
  <c r="W33" i="360"/>
  <c r="W32" i="360"/>
  <c r="T32" i="360"/>
  <c r="Q32" i="360"/>
  <c r="N32" i="360"/>
  <c r="K32" i="360"/>
  <c r="X32" i="360" s="1"/>
  <c r="H32" i="360"/>
  <c r="W31" i="360"/>
  <c r="T31" i="360"/>
  <c r="Q31" i="360"/>
  <c r="Q33" i="360" s="1"/>
  <c r="Q30" i="360" s="1"/>
  <c r="N31" i="360"/>
  <c r="K31" i="360"/>
  <c r="H31" i="360"/>
  <c r="W28" i="360"/>
  <c r="W26" i="360" s="1"/>
  <c r="T28" i="360"/>
  <c r="Q28" i="360"/>
  <c r="N28" i="360"/>
  <c r="K28" i="360"/>
  <c r="H28" i="360"/>
  <c r="H26" i="360" s="1"/>
  <c r="W27" i="360"/>
  <c r="T27" i="360"/>
  <c r="Q27" i="360"/>
  <c r="Y27" i="360" s="1"/>
  <c r="N27" i="360"/>
  <c r="K27" i="360"/>
  <c r="Q26" i="360"/>
  <c r="N25" i="360"/>
  <c r="K25" i="360"/>
  <c r="H25" i="360"/>
  <c r="W24" i="360"/>
  <c r="W22" i="360" s="1"/>
  <c r="T24" i="360"/>
  <c r="T22" i="360" s="1"/>
  <c r="Q24" i="360"/>
  <c r="Q22" i="360" s="1"/>
  <c r="N24" i="360"/>
  <c r="K24" i="360"/>
  <c r="X24" i="360" s="1"/>
  <c r="H24" i="360"/>
  <c r="N23" i="360"/>
  <c r="K23" i="360"/>
  <c r="Y23" i="360" s="1"/>
  <c r="H23" i="360"/>
  <c r="N22" i="360"/>
  <c r="N21" i="360"/>
  <c r="K21" i="360"/>
  <c r="Y21" i="360" s="1"/>
  <c r="H21" i="360"/>
  <c r="W20" i="360"/>
  <c r="T20" i="360"/>
  <c r="T19" i="360" s="1"/>
  <c r="Q20" i="360"/>
  <c r="Y20" i="360" s="1"/>
  <c r="N20" i="360"/>
  <c r="K20" i="360"/>
  <c r="H20" i="360"/>
  <c r="W19" i="360"/>
  <c r="N19" i="360"/>
  <c r="W17" i="360"/>
  <c r="T17" i="360"/>
  <c r="Q17" i="360"/>
  <c r="X17" i="360" s="1"/>
  <c r="N16" i="360"/>
  <c r="K16" i="360"/>
  <c r="H16" i="360"/>
  <c r="W15" i="360"/>
  <c r="T15" i="360"/>
  <c r="Q15" i="360"/>
  <c r="N15" i="360"/>
  <c r="K15" i="360"/>
  <c r="H15" i="360"/>
  <c r="W14" i="360"/>
  <c r="T14" i="360"/>
  <c r="Q14" i="360"/>
  <c r="N14" i="360"/>
  <c r="K14" i="360"/>
  <c r="H14" i="360"/>
  <c r="X428" i="359"/>
  <c r="W428" i="359"/>
  <c r="U428" i="359"/>
  <c r="T428" i="359"/>
  <c r="P428" i="359"/>
  <c r="O428" i="359"/>
  <c r="M428" i="359"/>
  <c r="L428" i="359"/>
  <c r="J428" i="359"/>
  <c r="I428" i="359"/>
  <c r="N426" i="359"/>
  <c r="K426" i="359"/>
  <c r="H426" i="359"/>
  <c r="S425" i="359"/>
  <c r="AA416" i="359"/>
  <c r="Z416" i="359"/>
  <c r="R416" i="359"/>
  <c r="H416" i="359"/>
  <c r="AA415" i="359"/>
  <c r="Z415" i="359"/>
  <c r="Y415" i="359"/>
  <c r="V415" i="359"/>
  <c r="V414" i="359" s="1"/>
  <c r="V413" i="359" s="1"/>
  <c r="V412" i="359" s="1"/>
  <c r="R415" i="359"/>
  <c r="H415" i="359"/>
  <c r="Y414" i="359"/>
  <c r="Q414" i="359"/>
  <c r="R414" i="359" s="1"/>
  <c r="N414" i="359"/>
  <c r="N413" i="359" s="1"/>
  <c r="N412" i="359" s="1"/>
  <c r="K414" i="359"/>
  <c r="K413" i="359" s="1"/>
  <c r="K412" i="359" s="1"/>
  <c r="Y413" i="359"/>
  <c r="Y412" i="359" s="1"/>
  <c r="Q413" i="359"/>
  <c r="Q410" i="359"/>
  <c r="R410" i="359" s="1"/>
  <c r="Q409" i="359"/>
  <c r="R409" i="359" s="1"/>
  <c r="Q408" i="359"/>
  <c r="R408" i="359" s="1"/>
  <c r="Q407" i="359"/>
  <c r="R407" i="359" s="1"/>
  <c r="Q406" i="359"/>
  <c r="Q402" i="359"/>
  <c r="R402" i="359" s="1"/>
  <c r="Q401" i="359"/>
  <c r="R401" i="359" s="1"/>
  <c r="Q400" i="359"/>
  <c r="R400" i="359" s="1"/>
  <c r="Q399" i="359"/>
  <c r="R399" i="359" s="1"/>
  <c r="Q398" i="359"/>
  <c r="Y395" i="359"/>
  <c r="V395" i="359"/>
  <c r="Q395" i="359"/>
  <c r="R395" i="359" s="1"/>
  <c r="N395" i="359"/>
  <c r="K395" i="359"/>
  <c r="H395" i="359"/>
  <c r="Y394" i="359"/>
  <c r="V394" i="359"/>
  <c r="Q394" i="359"/>
  <c r="AA394" i="359" s="1"/>
  <c r="H394" i="359"/>
  <c r="Y393" i="359"/>
  <c r="V393" i="359"/>
  <c r="R393" i="359"/>
  <c r="Q393" i="359"/>
  <c r="N393" i="359"/>
  <c r="K393" i="359"/>
  <c r="H393" i="359"/>
  <c r="Y392" i="359"/>
  <c r="V392" i="359"/>
  <c r="N392" i="359"/>
  <c r="K392" i="359"/>
  <c r="H392" i="359"/>
  <c r="Z391" i="359"/>
  <c r="R391" i="359"/>
  <c r="N391" i="359"/>
  <c r="K391" i="359"/>
  <c r="AA391" i="359" s="1"/>
  <c r="H391" i="359"/>
  <c r="R390" i="359"/>
  <c r="N390" i="359"/>
  <c r="K390" i="359"/>
  <c r="Z390" i="359" s="1"/>
  <c r="H390" i="359"/>
  <c r="Y389" i="359"/>
  <c r="V389" i="359"/>
  <c r="Q389" i="359"/>
  <c r="N389" i="359"/>
  <c r="K389" i="359"/>
  <c r="H389" i="359"/>
  <c r="AA388" i="359"/>
  <c r="Z388" i="359"/>
  <c r="R388" i="359"/>
  <c r="H388" i="359"/>
  <c r="Y387" i="359"/>
  <c r="V387" i="359"/>
  <c r="Q387" i="359"/>
  <c r="Z387" i="359" s="1"/>
  <c r="N387" i="359"/>
  <c r="K387" i="359"/>
  <c r="H387" i="359"/>
  <c r="V386" i="359"/>
  <c r="AA385" i="359"/>
  <c r="Z385" i="359"/>
  <c r="R385" i="359"/>
  <c r="AA384" i="359"/>
  <c r="R384" i="359"/>
  <c r="N384" i="359"/>
  <c r="K384" i="359"/>
  <c r="Z384" i="359" s="1"/>
  <c r="AA383" i="359"/>
  <c r="Z383" i="359"/>
  <c r="R383" i="359"/>
  <c r="H383" i="359"/>
  <c r="Z382" i="359"/>
  <c r="R382" i="359"/>
  <c r="N382" i="359"/>
  <c r="K382" i="359"/>
  <c r="AA382" i="359" s="1"/>
  <c r="H382" i="359"/>
  <c r="R381" i="359"/>
  <c r="N381" i="359"/>
  <c r="K381" i="359"/>
  <c r="H381" i="359"/>
  <c r="H380" i="359" s="1"/>
  <c r="Y380" i="359"/>
  <c r="V380" i="359"/>
  <c r="Q380" i="359"/>
  <c r="N380" i="359"/>
  <c r="AA378" i="359"/>
  <c r="Z378" i="359"/>
  <c r="Y378" i="359"/>
  <c r="V378" i="359"/>
  <c r="R378" i="359"/>
  <c r="Y377" i="359"/>
  <c r="V377" i="359"/>
  <c r="Q377" i="359"/>
  <c r="Y374" i="359"/>
  <c r="V374" i="359"/>
  <c r="Q374" i="359"/>
  <c r="AA374" i="359" s="1"/>
  <c r="N374" i="359"/>
  <c r="K374" i="359"/>
  <c r="H374" i="359"/>
  <c r="Y373" i="359"/>
  <c r="V373" i="359"/>
  <c r="Q373" i="359"/>
  <c r="N373" i="359"/>
  <c r="K373" i="359"/>
  <c r="H373" i="359"/>
  <c r="Y372" i="359"/>
  <c r="V372" i="359"/>
  <c r="Q372" i="359"/>
  <c r="R372" i="359" s="1"/>
  <c r="N372" i="359"/>
  <c r="N371" i="359" s="1"/>
  <c r="K372" i="359"/>
  <c r="H372" i="359"/>
  <c r="Q371" i="359"/>
  <c r="Y370" i="359"/>
  <c r="V370" i="359"/>
  <c r="Q370" i="359"/>
  <c r="N370" i="359"/>
  <c r="K370" i="359"/>
  <c r="H370" i="359"/>
  <c r="Y369" i="359"/>
  <c r="V369" i="359"/>
  <c r="Q369" i="359"/>
  <c r="N369" i="359"/>
  <c r="K369" i="359"/>
  <c r="H369" i="359"/>
  <c r="Y367" i="359"/>
  <c r="V367" i="359"/>
  <c r="Q367" i="359"/>
  <c r="Z367" i="359" s="1"/>
  <c r="Y366" i="359"/>
  <c r="V366" i="359"/>
  <c r="Q366" i="359"/>
  <c r="Z366" i="359" s="1"/>
  <c r="R365" i="359"/>
  <c r="N365" i="359"/>
  <c r="K365" i="359"/>
  <c r="Z365" i="359" s="1"/>
  <c r="Y364" i="359"/>
  <c r="V364" i="359"/>
  <c r="Q364" i="359"/>
  <c r="Z364" i="359" s="1"/>
  <c r="N364" i="359"/>
  <c r="K364" i="359"/>
  <c r="H364" i="359"/>
  <c r="Y363" i="359"/>
  <c r="V363" i="359"/>
  <c r="Q363" i="359"/>
  <c r="N363" i="359"/>
  <c r="K363" i="359"/>
  <c r="AA363" i="359" s="1"/>
  <c r="H363" i="359"/>
  <c r="Y362" i="359"/>
  <c r="V362" i="359"/>
  <c r="Q362" i="359"/>
  <c r="N362" i="359"/>
  <c r="K362" i="359"/>
  <c r="H362" i="359"/>
  <c r="Y360" i="359"/>
  <c r="V360" i="359"/>
  <c r="Q360" i="359"/>
  <c r="Z360" i="359" s="1"/>
  <c r="AA359" i="359"/>
  <c r="Z359" i="359"/>
  <c r="Y359" i="359"/>
  <c r="V359" i="359"/>
  <c r="R359" i="359"/>
  <c r="AA357" i="359"/>
  <c r="Z357" i="359"/>
  <c r="R357" i="359"/>
  <c r="H357" i="359"/>
  <c r="Y356" i="359"/>
  <c r="Y355" i="359" s="1"/>
  <c r="V356" i="359"/>
  <c r="V355" i="359" s="1"/>
  <c r="Q356" i="359"/>
  <c r="N356" i="359"/>
  <c r="N355" i="359" s="1"/>
  <c r="K356" i="359"/>
  <c r="K355" i="359" s="1"/>
  <c r="H356" i="359"/>
  <c r="R351" i="359"/>
  <c r="N351" i="359"/>
  <c r="N349" i="359" s="1"/>
  <c r="K351" i="359"/>
  <c r="H351" i="359"/>
  <c r="Y350" i="359"/>
  <c r="Y349" i="359" s="1"/>
  <c r="V350" i="359"/>
  <c r="V349" i="359" s="1"/>
  <c r="Q350" i="359"/>
  <c r="N350" i="359"/>
  <c r="K350" i="359"/>
  <c r="H350" i="359"/>
  <c r="Y348" i="359"/>
  <c r="V348" i="359"/>
  <c r="Q348" i="359"/>
  <c r="Z348" i="359" s="1"/>
  <c r="R347" i="359"/>
  <c r="N347" i="359"/>
  <c r="K347" i="359"/>
  <c r="H347" i="359"/>
  <c r="Y346" i="359"/>
  <c r="V346" i="359"/>
  <c r="V345" i="359" s="1"/>
  <c r="Q346" i="359"/>
  <c r="N346" i="359"/>
  <c r="K346" i="359"/>
  <c r="H346" i="359"/>
  <c r="Y344" i="359"/>
  <c r="V344" i="359"/>
  <c r="Q344" i="359"/>
  <c r="N344" i="359"/>
  <c r="K344" i="359"/>
  <c r="N343" i="359"/>
  <c r="K343" i="359"/>
  <c r="H343" i="359"/>
  <c r="R341" i="359"/>
  <c r="N341" i="359"/>
  <c r="K341" i="359"/>
  <c r="H341" i="359"/>
  <c r="Y340" i="359"/>
  <c r="V340" i="359"/>
  <c r="Q340" i="359"/>
  <c r="N340" i="359"/>
  <c r="K340" i="359"/>
  <c r="Z340" i="359" s="1"/>
  <c r="H340" i="359"/>
  <c r="Y339" i="359"/>
  <c r="V339" i="359"/>
  <c r="Q339" i="359"/>
  <c r="N339" i="359"/>
  <c r="K339" i="359"/>
  <c r="H339" i="359"/>
  <c r="N335" i="359"/>
  <c r="K335" i="359"/>
  <c r="AA335" i="359" s="1"/>
  <c r="H335" i="359"/>
  <c r="Y334" i="359"/>
  <c r="V334" i="359"/>
  <c r="R334" i="359"/>
  <c r="Q334" i="359"/>
  <c r="N334" i="359"/>
  <c r="K334" i="359"/>
  <c r="H334" i="359"/>
  <c r="H333" i="359" s="1"/>
  <c r="R332" i="359"/>
  <c r="N332" i="359"/>
  <c r="K332" i="359"/>
  <c r="H332" i="359"/>
  <c r="Y331" i="359"/>
  <c r="Y329" i="359" s="1"/>
  <c r="V331" i="359"/>
  <c r="V329" i="359" s="1"/>
  <c r="Q331" i="359"/>
  <c r="N331" i="359"/>
  <c r="K331" i="359"/>
  <c r="R330" i="359"/>
  <c r="N330" i="359"/>
  <c r="K330" i="359"/>
  <c r="AA330" i="359" s="1"/>
  <c r="H330" i="359"/>
  <c r="H329" i="359" s="1"/>
  <c r="R328" i="359"/>
  <c r="N328" i="359"/>
  <c r="K328" i="359"/>
  <c r="H328" i="359"/>
  <c r="R327" i="359"/>
  <c r="N327" i="359"/>
  <c r="K327" i="359"/>
  <c r="H327" i="359"/>
  <c r="Y326" i="359"/>
  <c r="Y324" i="359" s="1"/>
  <c r="V326" i="359"/>
  <c r="V324" i="359" s="1"/>
  <c r="Q326" i="359"/>
  <c r="N326" i="359"/>
  <c r="K326" i="359"/>
  <c r="AA326" i="359" s="1"/>
  <c r="H326" i="359"/>
  <c r="R325" i="359"/>
  <c r="N325" i="359"/>
  <c r="K325" i="359"/>
  <c r="H325" i="359"/>
  <c r="Y322" i="359"/>
  <c r="V322" i="359"/>
  <c r="Q322" i="359"/>
  <c r="Z322" i="359" s="1"/>
  <c r="N322" i="359"/>
  <c r="K322" i="359"/>
  <c r="H322" i="359"/>
  <c r="Z321" i="359"/>
  <c r="Y321" i="359"/>
  <c r="V321" i="359"/>
  <c r="Q321" i="359"/>
  <c r="AA320" i="359"/>
  <c r="R320" i="359"/>
  <c r="N320" i="359"/>
  <c r="K320" i="359"/>
  <c r="Z320" i="359" s="1"/>
  <c r="H320" i="359"/>
  <c r="Y319" i="359"/>
  <c r="V319" i="359"/>
  <c r="Q319" i="359"/>
  <c r="N319" i="359"/>
  <c r="K319" i="359"/>
  <c r="H319" i="359"/>
  <c r="Y315" i="359"/>
  <c r="V315" i="359"/>
  <c r="Q315" i="359"/>
  <c r="N315" i="359"/>
  <c r="K315" i="359"/>
  <c r="H315" i="359"/>
  <c r="Y314" i="359"/>
  <c r="Y312" i="359" s="1"/>
  <c r="V314" i="359"/>
  <c r="Q314" i="359"/>
  <c r="AA314" i="359" s="1"/>
  <c r="R313" i="359"/>
  <c r="N313" i="359"/>
  <c r="N312" i="359" s="1"/>
  <c r="K313" i="359"/>
  <c r="AA313" i="359" s="1"/>
  <c r="H313" i="359"/>
  <c r="H312" i="359" s="1"/>
  <c r="V312" i="359"/>
  <c r="AA311" i="359"/>
  <c r="Z311" i="359"/>
  <c r="R311" i="359"/>
  <c r="H311" i="359"/>
  <c r="Y310" i="359"/>
  <c r="Y309" i="359" s="1"/>
  <c r="V310" i="359"/>
  <c r="V309" i="359" s="1"/>
  <c r="Q310" i="359"/>
  <c r="R310" i="359" s="1"/>
  <c r="N310" i="359"/>
  <c r="K310" i="359"/>
  <c r="H310" i="359"/>
  <c r="N309" i="359"/>
  <c r="Y307" i="359"/>
  <c r="V307" i="359"/>
  <c r="Q307" i="359"/>
  <c r="Z307" i="359" s="1"/>
  <c r="Z306" i="359"/>
  <c r="Y306" i="359"/>
  <c r="V306" i="359"/>
  <c r="Q306" i="359"/>
  <c r="Y305" i="359"/>
  <c r="V305" i="359"/>
  <c r="Q305" i="359"/>
  <c r="N304" i="359"/>
  <c r="K304" i="359"/>
  <c r="H304" i="359"/>
  <c r="Y300" i="359"/>
  <c r="V300" i="359"/>
  <c r="Q300" i="359"/>
  <c r="Z300" i="359" s="1"/>
  <c r="R299" i="359"/>
  <c r="N299" i="359"/>
  <c r="K299" i="359"/>
  <c r="H299" i="359"/>
  <c r="R298" i="359"/>
  <c r="N298" i="359"/>
  <c r="K298" i="359"/>
  <c r="H298" i="359"/>
  <c r="Y297" i="359"/>
  <c r="V297" i="359"/>
  <c r="Q297" i="359"/>
  <c r="R297" i="359" s="1"/>
  <c r="N297" i="359"/>
  <c r="K297" i="359"/>
  <c r="H297" i="359"/>
  <c r="Y296" i="359"/>
  <c r="V296" i="359"/>
  <c r="Q296" i="359"/>
  <c r="N296" i="359"/>
  <c r="K296" i="359"/>
  <c r="H296" i="359"/>
  <c r="Y294" i="359"/>
  <c r="V294" i="359"/>
  <c r="Q294" i="359"/>
  <c r="N294" i="359"/>
  <c r="K294" i="359"/>
  <c r="H294" i="359"/>
  <c r="Y293" i="359"/>
  <c r="V293" i="359"/>
  <c r="Q293" i="359"/>
  <c r="Z293" i="359" s="1"/>
  <c r="AA292" i="359"/>
  <c r="Z292" i="359"/>
  <c r="R292" i="359"/>
  <c r="H292" i="359"/>
  <c r="AA291" i="359"/>
  <c r="Z291" i="359"/>
  <c r="R291" i="359"/>
  <c r="H291" i="359"/>
  <c r="AA290" i="359"/>
  <c r="Z290" i="359"/>
  <c r="R290" i="359"/>
  <c r="H290" i="359"/>
  <c r="Y289" i="359"/>
  <c r="Y288" i="359" s="1"/>
  <c r="V289" i="359"/>
  <c r="V288" i="359" s="1"/>
  <c r="Q289" i="359"/>
  <c r="N289" i="359"/>
  <c r="N288" i="359" s="1"/>
  <c r="K289" i="359"/>
  <c r="K288" i="359" s="1"/>
  <c r="H289" i="359"/>
  <c r="Q288" i="359"/>
  <c r="AA287" i="359"/>
  <c r="Z287" i="359"/>
  <c r="R287" i="359"/>
  <c r="Y286" i="359"/>
  <c r="V286" i="359"/>
  <c r="Q286" i="359"/>
  <c r="AA286" i="359" s="1"/>
  <c r="N286" i="359"/>
  <c r="K286" i="359"/>
  <c r="H286" i="359"/>
  <c r="AA285" i="359"/>
  <c r="Y285" i="359"/>
  <c r="V285" i="359"/>
  <c r="Q285" i="359"/>
  <c r="Y284" i="359"/>
  <c r="V284" i="359"/>
  <c r="Q284" i="359"/>
  <c r="N284" i="359"/>
  <c r="K284" i="359"/>
  <c r="K283" i="359" s="1"/>
  <c r="H284" i="359"/>
  <c r="Y280" i="359"/>
  <c r="V280" i="359"/>
  <c r="Q280" i="359"/>
  <c r="N280" i="359"/>
  <c r="K280" i="359"/>
  <c r="H280" i="359"/>
  <c r="Y279" i="359"/>
  <c r="V279" i="359"/>
  <c r="Q279" i="359"/>
  <c r="N279" i="359"/>
  <c r="K279" i="359"/>
  <c r="H279" i="359"/>
  <c r="Q277" i="359"/>
  <c r="Q276" i="359"/>
  <c r="Q275" i="359"/>
  <c r="AA274" i="359"/>
  <c r="Y274" i="359"/>
  <c r="V274" i="359"/>
  <c r="Q274" i="359"/>
  <c r="AA273" i="359"/>
  <c r="Y273" i="359"/>
  <c r="V273" i="359"/>
  <c r="Q273" i="359"/>
  <c r="Y272" i="359"/>
  <c r="V272" i="359"/>
  <c r="Q272" i="359"/>
  <c r="R272" i="359" s="1"/>
  <c r="N272" i="359"/>
  <c r="K272" i="359"/>
  <c r="H272" i="359"/>
  <c r="R271" i="359"/>
  <c r="N271" i="359"/>
  <c r="K271" i="359"/>
  <c r="H271" i="359"/>
  <c r="Y270" i="359"/>
  <c r="V270" i="359"/>
  <c r="Q270" i="359"/>
  <c r="R270" i="359" s="1"/>
  <c r="N270" i="359"/>
  <c r="K270" i="359"/>
  <c r="H270" i="359"/>
  <c r="R269" i="359"/>
  <c r="N269" i="359"/>
  <c r="K269" i="359"/>
  <c r="AA269" i="359" s="1"/>
  <c r="H269" i="359"/>
  <c r="Y268" i="359"/>
  <c r="V268" i="359"/>
  <c r="Q268" i="359"/>
  <c r="N268" i="359"/>
  <c r="K268" i="359"/>
  <c r="H268" i="359"/>
  <c r="Y267" i="359"/>
  <c r="V267" i="359"/>
  <c r="R267" i="359"/>
  <c r="Q267" i="359"/>
  <c r="N267" i="359"/>
  <c r="K267" i="359"/>
  <c r="H267" i="359"/>
  <c r="H278" i="359" s="1"/>
  <c r="Y265" i="359"/>
  <c r="V265" i="359"/>
  <c r="Q265" i="359"/>
  <c r="N265" i="359"/>
  <c r="K265" i="359"/>
  <c r="H265" i="359"/>
  <c r="AA264" i="359"/>
  <c r="Z264" i="359"/>
  <c r="R264" i="359"/>
  <c r="R263" i="359"/>
  <c r="N263" i="359"/>
  <c r="K263" i="359"/>
  <c r="H263" i="359"/>
  <c r="AA262" i="359"/>
  <c r="Z262" i="359"/>
  <c r="R262" i="359"/>
  <c r="H262" i="359"/>
  <c r="AA261" i="359"/>
  <c r="R261" i="359"/>
  <c r="N261" i="359"/>
  <c r="K261" i="359"/>
  <c r="Z261" i="359" s="1"/>
  <c r="H261" i="359"/>
  <c r="Y260" i="359"/>
  <c r="Y258" i="359" s="1"/>
  <c r="V260" i="359"/>
  <c r="V258" i="359" s="1"/>
  <c r="Q260" i="359"/>
  <c r="N260" i="359"/>
  <c r="K260" i="359"/>
  <c r="Z259" i="359"/>
  <c r="R259" i="359"/>
  <c r="N259" i="359"/>
  <c r="K259" i="359"/>
  <c r="H259" i="359"/>
  <c r="H258" i="359" s="1"/>
  <c r="AA257" i="359"/>
  <c r="Z257" i="359"/>
  <c r="R257" i="359"/>
  <c r="H257" i="359"/>
  <c r="R256" i="359"/>
  <c r="N256" i="359"/>
  <c r="K256" i="359"/>
  <c r="AA256" i="359" s="1"/>
  <c r="H256" i="359"/>
  <c r="Y255" i="359"/>
  <c r="Y254" i="359" s="1"/>
  <c r="V255" i="359"/>
  <c r="Q255" i="359"/>
  <c r="Z255" i="359" s="1"/>
  <c r="N255" i="359"/>
  <c r="K255" i="359"/>
  <c r="H255" i="359"/>
  <c r="V254" i="359"/>
  <c r="AA251" i="359"/>
  <c r="Z251" i="359"/>
  <c r="R251" i="359"/>
  <c r="AA250" i="359"/>
  <c r="Z250" i="359"/>
  <c r="R250" i="359"/>
  <c r="Y249" i="359"/>
  <c r="V249" i="359"/>
  <c r="Q249" i="359"/>
  <c r="R249" i="359" s="1"/>
  <c r="N249" i="359"/>
  <c r="K249" i="359"/>
  <c r="Y248" i="359"/>
  <c r="V248" i="359"/>
  <c r="Q248" i="359"/>
  <c r="N248" i="359"/>
  <c r="K248" i="359"/>
  <c r="H248" i="359"/>
  <c r="AA247" i="359"/>
  <c r="Z247" i="359"/>
  <c r="R247" i="359"/>
  <c r="H247" i="359"/>
  <c r="H244" i="359" s="1"/>
  <c r="Q246" i="359"/>
  <c r="Y245" i="359"/>
  <c r="Y244" i="359" s="1"/>
  <c r="V245" i="359"/>
  <c r="V244" i="359" s="1"/>
  <c r="Q245" i="359"/>
  <c r="Z245" i="359" s="1"/>
  <c r="G245" i="359"/>
  <c r="Y243" i="359"/>
  <c r="V243" i="359"/>
  <c r="V242" i="359" s="1"/>
  <c r="Q243" i="359"/>
  <c r="Y242" i="359"/>
  <c r="N242" i="359"/>
  <c r="K242" i="359"/>
  <c r="H242" i="359"/>
  <c r="Y240" i="359"/>
  <c r="V240" i="359"/>
  <c r="Q240" i="359"/>
  <c r="AA240" i="359" s="1"/>
  <c r="Y239" i="359"/>
  <c r="V239" i="359"/>
  <c r="Q239" i="359"/>
  <c r="Z239" i="359" s="1"/>
  <c r="Y238" i="359"/>
  <c r="V238" i="359"/>
  <c r="Q238" i="359"/>
  <c r="Z238" i="359" s="1"/>
  <c r="Y237" i="359"/>
  <c r="V237" i="359"/>
  <c r="Q237" i="359"/>
  <c r="Y236" i="359"/>
  <c r="V236" i="359"/>
  <c r="Q236" i="359"/>
  <c r="N236" i="359"/>
  <c r="K236" i="359"/>
  <c r="H236" i="359"/>
  <c r="Y235" i="359"/>
  <c r="V235" i="359"/>
  <c r="Q235" i="359"/>
  <c r="Z235" i="359" s="1"/>
  <c r="R234" i="359"/>
  <c r="N234" i="359"/>
  <c r="K234" i="359"/>
  <c r="H234" i="359"/>
  <c r="AA233" i="359"/>
  <c r="Z233" i="359"/>
  <c r="R233" i="359"/>
  <c r="H233" i="359"/>
  <c r="Y232" i="359"/>
  <c r="V232" i="359"/>
  <c r="Q232" i="359"/>
  <c r="R232" i="359" s="1"/>
  <c r="N232" i="359"/>
  <c r="K232" i="359"/>
  <c r="H232" i="359"/>
  <c r="Y231" i="359"/>
  <c r="V231" i="359"/>
  <c r="Q231" i="359"/>
  <c r="N231" i="359"/>
  <c r="K231" i="359"/>
  <c r="H231" i="359"/>
  <c r="AA229" i="359"/>
  <c r="Z229" i="359"/>
  <c r="R229" i="359"/>
  <c r="H229" i="359"/>
  <c r="AA228" i="359"/>
  <c r="Z228" i="359"/>
  <c r="R228" i="359"/>
  <c r="H228" i="359"/>
  <c r="H227" i="359" s="1"/>
  <c r="R227" i="359"/>
  <c r="N227" i="359"/>
  <c r="K227" i="359"/>
  <c r="AA227" i="359" s="1"/>
  <c r="AA226" i="359"/>
  <c r="Z226" i="359"/>
  <c r="R226" i="359"/>
  <c r="R225" i="359"/>
  <c r="N225" i="359"/>
  <c r="K225" i="359"/>
  <c r="AA225" i="359" s="1"/>
  <c r="H225" i="359"/>
  <c r="Y224" i="359"/>
  <c r="Y223" i="359" s="1"/>
  <c r="V224" i="359"/>
  <c r="V223" i="359" s="1"/>
  <c r="Q224" i="359"/>
  <c r="N224" i="359"/>
  <c r="K224" i="359"/>
  <c r="H224" i="359"/>
  <c r="Y222" i="359"/>
  <c r="V222" i="359"/>
  <c r="Q222" i="359"/>
  <c r="N222" i="359"/>
  <c r="K222" i="359"/>
  <c r="Y221" i="359"/>
  <c r="V221" i="359"/>
  <c r="Q221" i="359"/>
  <c r="Z221" i="359" s="1"/>
  <c r="Y220" i="359"/>
  <c r="V220" i="359"/>
  <c r="Q220" i="359"/>
  <c r="Y219" i="359"/>
  <c r="V219" i="359"/>
  <c r="Q219" i="359"/>
  <c r="AA219" i="359" s="1"/>
  <c r="R218" i="359"/>
  <c r="N218" i="359"/>
  <c r="K218" i="359"/>
  <c r="AA218" i="359" s="1"/>
  <c r="AA217" i="359"/>
  <c r="Z217" i="359"/>
  <c r="R217" i="359"/>
  <c r="R216" i="359"/>
  <c r="N216" i="359"/>
  <c r="K216" i="359"/>
  <c r="Y212" i="359"/>
  <c r="Y210" i="359" s="1"/>
  <c r="V212" i="359"/>
  <c r="V210" i="359" s="1"/>
  <c r="R212" i="359"/>
  <c r="Q212" i="359"/>
  <c r="N212" i="359"/>
  <c r="N210" i="359" s="1"/>
  <c r="K212" i="359"/>
  <c r="K210" i="359" s="1"/>
  <c r="H212" i="359"/>
  <c r="AA211" i="359"/>
  <c r="Z211" i="359"/>
  <c r="R211" i="359"/>
  <c r="H211" i="359"/>
  <c r="H210" i="359" s="1"/>
  <c r="Q210" i="359"/>
  <c r="Y209" i="359"/>
  <c r="V209" i="359"/>
  <c r="N209" i="359"/>
  <c r="K209" i="359"/>
  <c r="H209" i="359"/>
  <c r="AA208" i="359"/>
  <c r="Z208" i="359"/>
  <c r="R208" i="359"/>
  <c r="AA207" i="359"/>
  <c r="Z207" i="359"/>
  <c r="R207" i="359"/>
  <c r="AA206" i="359"/>
  <c r="Z206" i="359"/>
  <c r="R206" i="359"/>
  <c r="Y205" i="359"/>
  <c r="Y203" i="359" s="1"/>
  <c r="V205" i="359"/>
  <c r="V203" i="359" s="1"/>
  <c r="Q205" i="359"/>
  <c r="R205" i="359" s="1"/>
  <c r="N205" i="359"/>
  <c r="K205" i="359"/>
  <c r="R204" i="359"/>
  <c r="N204" i="359"/>
  <c r="K204" i="359"/>
  <c r="AA204" i="359" s="1"/>
  <c r="H204" i="359"/>
  <c r="H203" i="359" s="1"/>
  <c r="Y202" i="359"/>
  <c r="Y201" i="359" s="1"/>
  <c r="V202" i="359"/>
  <c r="V201" i="359" s="1"/>
  <c r="Q202" i="359"/>
  <c r="Q201" i="359" s="1"/>
  <c r="R201" i="359" s="1"/>
  <c r="N202" i="359"/>
  <c r="N201" i="359" s="1"/>
  <c r="K202" i="359"/>
  <c r="K201" i="359" s="1"/>
  <c r="H202" i="359"/>
  <c r="H201" i="359" s="1"/>
  <c r="AA199" i="359"/>
  <c r="Y199" i="359"/>
  <c r="V199" i="359"/>
  <c r="Q199" i="359"/>
  <c r="AA198" i="359"/>
  <c r="Z198" i="359"/>
  <c r="R198" i="359"/>
  <c r="H198" i="359"/>
  <c r="AA197" i="359"/>
  <c r="Z197" i="359"/>
  <c r="R197" i="359"/>
  <c r="Y196" i="359"/>
  <c r="V196" i="359"/>
  <c r="Q196" i="359"/>
  <c r="N196" i="359"/>
  <c r="K196" i="359"/>
  <c r="H196" i="359"/>
  <c r="Y195" i="359"/>
  <c r="V195" i="359"/>
  <c r="Q195" i="359"/>
  <c r="R195" i="359" s="1"/>
  <c r="N195" i="359"/>
  <c r="K195" i="359"/>
  <c r="H195" i="359"/>
  <c r="R194" i="359"/>
  <c r="N194" i="359"/>
  <c r="K194" i="359"/>
  <c r="H194" i="359"/>
  <c r="Y193" i="359"/>
  <c r="V193" i="359"/>
  <c r="Q193" i="359"/>
  <c r="N193" i="359"/>
  <c r="K193" i="359"/>
  <c r="H193" i="359"/>
  <c r="Y189" i="359"/>
  <c r="Y188" i="359" s="1"/>
  <c r="V189" i="359"/>
  <c r="V188" i="359" s="1"/>
  <c r="V182" i="359" s="1"/>
  <c r="V181" i="359" s="1"/>
  <c r="Q189" i="359"/>
  <c r="Q188" i="359" s="1"/>
  <c r="R188" i="359" s="1"/>
  <c r="N189" i="359"/>
  <c r="N188" i="359" s="1"/>
  <c r="K189" i="359"/>
  <c r="K188" i="359" s="1"/>
  <c r="H189" i="359"/>
  <c r="H188" i="359" s="1"/>
  <c r="Y187" i="359"/>
  <c r="Y185" i="359" s="1"/>
  <c r="V187" i="359"/>
  <c r="V185" i="359" s="1"/>
  <c r="Q187" i="359"/>
  <c r="Z187" i="359" s="1"/>
  <c r="R186" i="359"/>
  <c r="N186" i="359"/>
  <c r="N185" i="359" s="1"/>
  <c r="K186" i="359"/>
  <c r="AA186" i="359" s="1"/>
  <c r="H186" i="359"/>
  <c r="H185" i="359" s="1"/>
  <c r="R184" i="359"/>
  <c r="N184" i="359"/>
  <c r="N183" i="359" s="1"/>
  <c r="K184" i="359"/>
  <c r="R183" i="359"/>
  <c r="Y180" i="359"/>
  <c r="V180" i="359"/>
  <c r="Q180" i="359"/>
  <c r="N180" i="359"/>
  <c r="K180" i="359"/>
  <c r="Z180" i="359" s="1"/>
  <c r="H180" i="359"/>
  <c r="Y179" i="359"/>
  <c r="V179" i="359"/>
  <c r="Q179" i="359"/>
  <c r="R179" i="359" s="1"/>
  <c r="N179" i="359"/>
  <c r="K179" i="359"/>
  <c r="H179" i="359"/>
  <c r="Y177" i="359"/>
  <c r="V177" i="359"/>
  <c r="Q177" i="359"/>
  <c r="R177" i="359" s="1"/>
  <c r="Y176" i="359"/>
  <c r="V176" i="359"/>
  <c r="Q176" i="359"/>
  <c r="R176" i="359" s="1"/>
  <c r="Y175" i="359"/>
  <c r="V175" i="359"/>
  <c r="Q175" i="359"/>
  <c r="R175" i="359" s="1"/>
  <c r="Y174" i="359"/>
  <c r="V174" i="359"/>
  <c r="Q174" i="359"/>
  <c r="R174" i="359" s="1"/>
  <c r="AA173" i="359"/>
  <c r="Z173" i="359"/>
  <c r="R173" i="359"/>
  <c r="H173" i="359"/>
  <c r="Y172" i="359"/>
  <c r="V172" i="359"/>
  <c r="Q172" i="359"/>
  <c r="N172" i="359"/>
  <c r="K172" i="359"/>
  <c r="Z172" i="359" s="1"/>
  <c r="H172" i="359"/>
  <c r="Y171" i="359"/>
  <c r="V171" i="359"/>
  <c r="Q171" i="359"/>
  <c r="N171" i="359"/>
  <c r="K171" i="359"/>
  <c r="H171" i="359"/>
  <c r="Y170" i="359"/>
  <c r="V170" i="359"/>
  <c r="Q170" i="359"/>
  <c r="R170" i="359" s="1"/>
  <c r="N170" i="359"/>
  <c r="K170" i="359"/>
  <c r="K178" i="359" s="1"/>
  <c r="H170" i="359"/>
  <c r="Y168" i="359"/>
  <c r="V168" i="359"/>
  <c r="Q168" i="359"/>
  <c r="N168" i="359"/>
  <c r="K168" i="359"/>
  <c r="H168" i="359"/>
  <c r="Y167" i="359"/>
  <c r="V167" i="359"/>
  <c r="Q167" i="359"/>
  <c r="R167" i="359" s="1"/>
  <c r="N167" i="359"/>
  <c r="K167" i="359"/>
  <c r="H167" i="359"/>
  <c r="R165" i="359"/>
  <c r="N165" i="359"/>
  <c r="K165" i="359"/>
  <c r="H165" i="359"/>
  <c r="Y164" i="359"/>
  <c r="Y163" i="359" s="1"/>
  <c r="V164" i="359"/>
  <c r="Q164" i="359"/>
  <c r="N164" i="359"/>
  <c r="K164" i="359"/>
  <c r="K163" i="359" s="1"/>
  <c r="H164" i="359"/>
  <c r="V163" i="359"/>
  <c r="R162" i="359"/>
  <c r="N162" i="359"/>
  <c r="N159" i="359" s="1"/>
  <c r="K162" i="359"/>
  <c r="AA162" i="359" s="1"/>
  <c r="H162" i="359"/>
  <c r="AA161" i="359"/>
  <c r="Z161" i="359"/>
  <c r="R161" i="359"/>
  <c r="Y160" i="359"/>
  <c r="Y159" i="359" s="1"/>
  <c r="V160" i="359"/>
  <c r="V159" i="359" s="1"/>
  <c r="Q160" i="359"/>
  <c r="Z160" i="359" s="1"/>
  <c r="H159" i="359"/>
  <c r="Y156" i="359"/>
  <c r="V156" i="359"/>
  <c r="Q156" i="359"/>
  <c r="R156" i="359" s="1"/>
  <c r="N156" i="359"/>
  <c r="K156" i="359"/>
  <c r="H156" i="359"/>
  <c r="H147" i="359" s="1"/>
  <c r="H146" i="359" s="1"/>
  <c r="Y155" i="359"/>
  <c r="V155" i="359"/>
  <c r="Q155" i="359"/>
  <c r="N155" i="359"/>
  <c r="K155" i="359"/>
  <c r="Y154" i="359"/>
  <c r="V154" i="359"/>
  <c r="N154" i="359"/>
  <c r="K154" i="359"/>
  <c r="AA154" i="359" s="1"/>
  <c r="H154" i="359"/>
  <c r="Y152" i="359"/>
  <c r="Y153" i="359" s="1"/>
  <c r="V152" i="359"/>
  <c r="V153" i="359" s="1"/>
  <c r="Q152" i="359"/>
  <c r="Y151" i="359"/>
  <c r="V151" i="359"/>
  <c r="Q151" i="359"/>
  <c r="Z151" i="359" s="1"/>
  <c r="Y150" i="359"/>
  <c r="V150" i="359"/>
  <c r="Q150" i="359"/>
  <c r="AA150" i="359" s="1"/>
  <c r="Y149" i="359"/>
  <c r="V149" i="359"/>
  <c r="Q149" i="359"/>
  <c r="S146" i="359"/>
  <c r="Q145" i="359"/>
  <c r="AA143" i="359"/>
  <c r="Z143" i="359"/>
  <c r="S143" i="359"/>
  <c r="AA142" i="359"/>
  <c r="Q142" i="359"/>
  <c r="S142" i="359" s="1"/>
  <c r="S422" i="359" s="1"/>
  <c r="AA141" i="359"/>
  <c r="Z141" i="359"/>
  <c r="Q141" i="359"/>
  <c r="S141" i="359" s="1"/>
  <c r="Q139" i="359"/>
  <c r="S139" i="359" s="1"/>
  <c r="Q138" i="359"/>
  <c r="S138" i="359" s="1"/>
  <c r="Q137" i="359"/>
  <c r="Q136" i="359"/>
  <c r="AA136" i="359" s="1"/>
  <c r="R134" i="359"/>
  <c r="Q133" i="359"/>
  <c r="S133" i="359" s="1"/>
  <c r="Q132" i="359"/>
  <c r="Q131" i="359"/>
  <c r="Q130" i="359"/>
  <c r="Q129" i="359"/>
  <c r="S129" i="359" s="1"/>
  <c r="Q128" i="359"/>
  <c r="Q127" i="359"/>
  <c r="AA127" i="359" s="1"/>
  <c r="Y126" i="359"/>
  <c r="V126" i="359"/>
  <c r="AA125" i="359"/>
  <c r="Z125" i="359"/>
  <c r="S125" i="359"/>
  <c r="S426" i="359" s="1"/>
  <c r="Y124" i="359"/>
  <c r="V124" i="359"/>
  <c r="Q124" i="359"/>
  <c r="Z124" i="359" s="1"/>
  <c r="Q123" i="359"/>
  <c r="Q122" i="359"/>
  <c r="N122" i="359"/>
  <c r="K122" i="359"/>
  <c r="Y121" i="359"/>
  <c r="V121" i="359"/>
  <c r="N121" i="359"/>
  <c r="K121" i="359"/>
  <c r="H121" i="359"/>
  <c r="H120" i="359" s="1"/>
  <c r="Y119" i="359"/>
  <c r="V119" i="359"/>
  <c r="Q119" i="359"/>
  <c r="N119" i="359"/>
  <c r="K119" i="359"/>
  <c r="H119" i="359"/>
  <c r="Y118" i="359"/>
  <c r="V118" i="359"/>
  <c r="Q118" i="359"/>
  <c r="S118" i="359" s="1"/>
  <c r="S420" i="359" s="1"/>
  <c r="N118" i="359"/>
  <c r="K118" i="359"/>
  <c r="H118" i="359"/>
  <c r="Y117" i="359"/>
  <c r="Y115" i="359" s="1"/>
  <c r="V117" i="359"/>
  <c r="Q117" i="359"/>
  <c r="S117" i="359" s="1"/>
  <c r="N117" i="359"/>
  <c r="K117" i="359"/>
  <c r="H117" i="359"/>
  <c r="Y116" i="359"/>
  <c r="V116" i="359"/>
  <c r="Q116" i="359"/>
  <c r="N116" i="359"/>
  <c r="K116" i="359"/>
  <c r="H116" i="359"/>
  <c r="R115" i="359"/>
  <c r="Y114" i="359"/>
  <c r="V114" i="359"/>
  <c r="N114" i="359"/>
  <c r="K114" i="359"/>
  <c r="H114" i="359"/>
  <c r="Y112" i="359"/>
  <c r="V112" i="359"/>
  <c r="S112" i="359"/>
  <c r="N112" i="359"/>
  <c r="K112" i="359"/>
  <c r="Z112" i="359" s="1"/>
  <c r="H112" i="359"/>
  <c r="Y111" i="359"/>
  <c r="V111" i="359"/>
  <c r="Q111" i="359"/>
  <c r="AA111" i="359" s="1"/>
  <c r="Y110" i="359"/>
  <c r="V110" i="359"/>
  <c r="Q110" i="359"/>
  <c r="Y109" i="359"/>
  <c r="V109" i="359"/>
  <c r="Q109" i="359"/>
  <c r="AA109" i="359" s="1"/>
  <c r="Y108" i="359"/>
  <c r="V108" i="359"/>
  <c r="Q108" i="359"/>
  <c r="Z108" i="359" s="1"/>
  <c r="Y107" i="359"/>
  <c r="V107" i="359"/>
  <c r="Q107" i="359"/>
  <c r="N107" i="359"/>
  <c r="K107" i="359"/>
  <c r="H107" i="359"/>
  <c r="Y106" i="359"/>
  <c r="V106" i="359"/>
  <c r="R106" i="359"/>
  <c r="Q106" i="359"/>
  <c r="N106" i="359"/>
  <c r="K106" i="359"/>
  <c r="H106" i="359"/>
  <c r="Y105" i="359"/>
  <c r="V105" i="359"/>
  <c r="Q105" i="359"/>
  <c r="N105" i="359"/>
  <c r="K105" i="359"/>
  <c r="R105" i="359" s="1"/>
  <c r="S105" i="359" s="1"/>
  <c r="H105" i="359"/>
  <c r="Y102" i="359"/>
  <c r="Y98" i="359" s="1"/>
  <c r="V102" i="359"/>
  <c r="V98" i="359" s="1"/>
  <c r="R102" i="359"/>
  <c r="R98" i="359" s="1"/>
  <c r="Q102" i="359"/>
  <c r="K102" i="359"/>
  <c r="H102" i="359"/>
  <c r="Q101" i="359"/>
  <c r="AA101" i="359" s="1"/>
  <c r="Q100" i="359"/>
  <c r="N99" i="359"/>
  <c r="N98" i="359" s="1"/>
  <c r="K99" i="359"/>
  <c r="Z99" i="359" s="1"/>
  <c r="H99" i="359"/>
  <c r="Y97" i="359"/>
  <c r="V97" i="359"/>
  <c r="Q97" i="359"/>
  <c r="N97" i="359"/>
  <c r="K97" i="359"/>
  <c r="H97" i="359"/>
  <c r="Y96" i="359"/>
  <c r="V96" i="359"/>
  <c r="Q96" i="359"/>
  <c r="N96" i="359"/>
  <c r="K96" i="359"/>
  <c r="H96" i="359"/>
  <c r="AA95" i="359"/>
  <c r="Z95" i="359"/>
  <c r="N95" i="359"/>
  <c r="K95" i="359"/>
  <c r="H95" i="359"/>
  <c r="Y94" i="359"/>
  <c r="V94" i="359"/>
  <c r="Q94" i="359"/>
  <c r="N94" i="359"/>
  <c r="K94" i="359"/>
  <c r="AA94" i="359" s="1"/>
  <c r="H94" i="359"/>
  <c r="Z93" i="359"/>
  <c r="Y93" i="359"/>
  <c r="V93" i="359"/>
  <c r="Q93" i="359"/>
  <c r="Y92" i="359"/>
  <c r="V92" i="359"/>
  <c r="Q92" i="359"/>
  <c r="N92" i="359"/>
  <c r="K92" i="359"/>
  <c r="H92" i="359"/>
  <c r="H91" i="359" s="1"/>
  <c r="R91" i="359"/>
  <c r="S90" i="359"/>
  <c r="S86" i="359" s="1"/>
  <c r="Y89" i="359"/>
  <c r="V89" i="359"/>
  <c r="Q89" i="359"/>
  <c r="N89" i="359"/>
  <c r="K89" i="359"/>
  <c r="H89" i="359"/>
  <c r="AA88" i="359"/>
  <c r="Y88" i="359"/>
  <c r="V88" i="359"/>
  <c r="Q88" i="359"/>
  <c r="Y87" i="359"/>
  <c r="V87" i="359"/>
  <c r="Q87" i="359"/>
  <c r="N87" i="359"/>
  <c r="K87" i="359"/>
  <c r="H87" i="359"/>
  <c r="Y84" i="359"/>
  <c r="Y83" i="359" s="1"/>
  <c r="V84" i="359"/>
  <c r="V83" i="359" s="1"/>
  <c r="Q84" i="359"/>
  <c r="N84" i="359"/>
  <c r="K84" i="359"/>
  <c r="K83" i="359" s="1"/>
  <c r="H84" i="359"/>
  <c r="H83" i="359" s="1"/>
  <c r="N83" i="359"/>
  <c r="Y82" i="359"/>
  <c r="Y81" i="359" s="1"/>
  <c r="V82" i="359"/>
  <c r="V81" i="359" s="1"/>
  <c r="Q82" i="359"/>
  <c r="N82" i="359"/>
  <c r="N81" i="359" s="1"/>
  <c r="K82" i="359"/>
  <c r="H82" i="359"/>
  <c r="H81" i="359" s="1"/>
  <c r="K81" i="359"/>
  <c r="Y80" i="359"/>
  <c r="V80" i="359"/>
  <c r="Q80" i="359"/>
  <c r="N80" i="359"/>
  <c r="N425" i="359" s="1"/>
  <c r="K80" i="359"/>
  <c r="K425" i="359" s="1"/>
  <c r="H80" i="359"/>
  <c r="Q78" i="359"/>
  <c r="Y77" i="359"/>
  <c r="Y79" i="359" s="1"/>
  <c r="Y76" i="359" s="1"/>
  <c r="V77" i="359"/>
  <c r="V79" i="359" s="1"/>
  <c r="V76" i="359" s="1"/>
  <c r="Q77" i="359"/>
  <c r="Z77" i="359" s="1"/>
  <c r="S75" i="359"/>
  <c r="Z72" i="359"/>
  <c r="R72" i="359"/>
  <c r="N72" i="359"/>
  <c r="K72" i="359"/>
  <c r="AA72" i="359" s="1"/>
  <c r="H72" i="359"/>
  <c r="Y71" i="359"/>
  <c r="Y426" i="359" s="1"/>
  <c r="V71" i="359"/>
  <c r="V426" i="359" s="1"/>
  <c r="Q71" i="359"/>
  <c r="AA71" i="359" s="1"/>
  <c r="Y70" i="359"/>
  <c r="V70" i="359"/>
  <c r="Q70" i="359"/>
  <c r="Y69" i="359"/>
  <c r="V69" i="359"/>
  <c r="Q69" i="359"/>
  <c r="R69" i="359" s="1"/>
  <c r="N69" i="359"/>
  <c r="N68" i="359" s="1"/>
  <c r="K69" i="359"/>
  <c r="H69" i="359"/>
  <c r="H68" i="359" s="1"/>
  <c r="K68" i="359"/>
  <c r="R67" i="359"/>
  <c r="N67" i="359"/>
  <c r="K67" i="359"/>
  <c r="AA67" i="359" s="1"/>
  <c r="H67" i="359"/>
  <c r="R66" i="359"/>
  <c r="N66" i="359"/>
  <c r="N65" i="359" s="1"/>
  <c r="K66" i="359"/>
  <c r="AA66" i="359" s="1"/>
  <c r="H66" i="359"/>
  <c r="R65" i="359"/>
  <c r="AA64" i="359"/>
  <c r="Z64" i="359"/>
  <c r="R64" i="359"/>
  <c r="R63" i="359"/>
  <c r="N63" i="359"/>
  <c r="K63" i="359"/>
  <c r="H63" i="359"/>
  <c r="Y62" i="359"/>
  <c r="V62" i="359"/>
  <c r="Q62" i="359"/>
  <c r="N62" i="359"/>
  <c r="K62" i="359"/>
  <c r="H62" i="359"/>
  <c r="Y61" i="359"/>
  <c r="V61" i="359"/>
  <c r="Q61" i="359"/>
  <c r="N61" i="359"/>
  <c r="K61" i="359"/>
  <c r="H61" i="359"/>
  <c r="Y58" i="359"/>
  <c r="V58" i="359"/>
  <c r="Q58" i="359"/>
  <c r="N58" i="359"/>
  <c r="K58" i="359"/>
  <c r="H58" i="359"/>
  <c r="R57" i="359"/>
  <c r="N57" i="359"/>
  <c r="K57" i="359"/>
  <c r="AA57" i="359" s="1"/>
  <c r="H57" i="359"/>
  <c r="R56" i="359"/>
  <c r="N56" i="359"/>
  <c r="K56" i="359"/>
  <c r="Z56" i="359" s="1"/>
  <c r="H56" i="359"/>
  <c r="Y55" i="359"/>
  <c r="V55" i="359"/>
  <c r="Q55" i="359"/>
  <c r="N55" i="359"/>
  <c r="K55" i="359"/>
  <c r="H55" i="359"/>
  <c r="Y54" i="359"/>
  <c r="V54" i="359"/>
  <c r="Q54" i="359"/>
  <c r="N54" i="359"/>
  <c r="K54" i="359"/>
  <c r="H54" i="359"/>
  <c r="Y49" i="359"/>
  <c r="V49" i="359"/>
  <c r="Q49" i="359"/>
  <c r="K49" i="359"/>
  <c r="H49" i="359"/>
  <c r="Z48" i="359"/>
  <c r="R48" i="359"/>
  <c r="K48" i="359"/>
  <c r="AA48" i="359" s="1"/>
  <c r="H48" i="359"/>
  <c r="Y47" i="359"/>
  <c r="Y50" i="359" s="1"/>
  <c r="Y46" i="359" s="1"/>
  <c r="V47" i="359"/>
  <c r="Q47" i="359"/>
  <c r="K47" i="359"/>
  <c r="H47" i="359"/>
  <c r="R45" i="359"/>
  <c r="K45" i="359"/>
  <c r="H45" i="359"/>
  <c r="H44" i="359" s="1"/>
  <c r="R44" i="359"/>
  <c r="Y43" i="359"/>
  <c r="V43" i="359"/>
  <c r="K43" i="359"/>
  <c r="H43" i="359"/>
  <c r="AA42" i="359"/>
  <c r="Z42" i="359"/>
  <c r="R42" i="359"/>
  <c r="H42" i="359"/>
  <c r="AA41" i="359"/>
  <c r="Z41" i="359"/>
  <c r="R41" i="359"/>
  <c r="H41" i="359"/>
  <c r="Y40" i="359"/>
  <c r="Y38" i="359" s="1"/>
  <c r="V40" i="359"/>
  <c r="Q40" i="359"/>
  <c r="K40" i="359"/>
  <c r="K38" i="359" s="1"/>
  <c r="H40" i="359"/>
  <c r="AA39" i="359"/>
  <c r="Z39" i="359"/>
  <c r="R39" i="359"/>
  <c r="H39" i="359"/>
  <c r="V38" i="359"/>
  <c r="Q38" i="359"/>
  <c r="Y37" i="359"/>
  <c r="V37" i="359"/>
  <c r="V34" i="359" s="1"/>
  <c r="Q37" i="359"/>
  <c r="K37" i="359"/>
  <c r="H37" i="359"/>
  <c r="R36" i="359"/>
  <c r="K36" i="359"/>
  <c r="AA36" i="359" s="1"/>
  <c r="H36" i="359"/>
  <c r="Y35" i="359"/>
  <c r="V35" i="359"/>
  <c r="Q35" i="359"/>
  <c r="K35" i="359"/>
  <c r="H35" i="359"/>
  <c r="N33" i="359"/>
  <c r="N32" i="359"/>
  <c r="Y30" i="359"/>
  <c r="V30" i="359"/>
  <c r="Q30" i="359"/>
  <c r="N30" i="359"/>
  <c r="K30" i="359"/>
  <c r="Z30" i="359" s="1"/>
  <c r="H30" i="359"/>
  <c r="Y29" i="359"/>
  <c r="V29" i="359"/>
  <c r="Q29" i="359"/>
  <c r="AA29" i="359" s="1"/>
  <c r="R28" i="359"/>
  <c r="N28" i="359"/>
  <c r="K28" i="359"/>
  <c r="H28" i="359"/>
  <c r="Y27" i="359"/>
  <c r="Y31" i="359" s="1"/>
  <c r="V27" i="359"/>
  <c r="Q27" i="359"/>
  <c r="N27" i="359"/>
  <c r="K27" i="359"/>
  <c r="H27" i="359"/>
  <c r="Y25" i="359"/>
  <c r="Y24" i="359" s="1"/>
  <c r="V25" i="359"/>
  <c r="V24" i="359" s="1"/>
  <c r="Q25" i="359"/>
  <c r="AA25" i="359" s="1"/>
  <c r="N24" i="359"/>
  <c r="K24" i="359"/>
  <c r="Z24" i="359" s="1"/>
  <c r="H24" i="359"/>
  <c r="R23" i="359"/>
  <c r="N23" i="359"/>
  <c r="K23" i="359"/>
  <c r="Z23" i="359" s="1"/>
  <c r="H23" i="359"/>
  <c r="AA22" i="359"/>
  <c r="Z22" i="359"/>
  <c r="R22" i="359"/>
  <c r="H22" i="359"/>
  <c r="Y21" i="359"/>
  <c r="V21" i="359"/>
  <c r="Q21" i="359"/>
  <c r="N21" i="359"/>
  <c r="K21" i="359"/>
  <c r="H21" i="359"/>
  <c r="Y20" i="359"/>
  <c r="V20" i="359"/>
  <c r="N20" i="359"/>
  <c r="K20" i="359"/>
  <c r="H20" i="359"/>
  <c r="R19" i="359"/>
  <c r="N19" i="359"/>
  <c r="K19" i="359"/>
  <c r="AA19" i="359" s="1"/>
  <c r="H19" i="359"/>
  <c r="R18" i="359"/>
  <c r="N18" i="359"/>
  <c r="K18" i="359"/>
  <c r="AA18" i="359" s="1"/>
  <c r="H18" i="359"/>
  <c r="T17" i="359"/>
  <c r="Q17" i="359"/>
  <c r="N17" i="359"/>
  <c r="K17" i="359"/>
  <c r="H17" i="359"/>
  <c r="Q16" i="359"/>
  <c r="R15" i="359"/>
  <c r="N15" i="359"/>
  <c r="K15" i="359"/>
  <c r="AA15" i="359" s="1"/>
  <c r="H15" i="359"/>
  <c r="Y14" i="359"/>
  <c r="Y12" i="359" s="1"/>
  <c r="V14" i="359"/>
  <c r="Q14" i="359"/>
  <c r="N14" i="359"/>
  <c r="K14" i="359"/>
  <c r="AA13" i="359"/>
  <c r="Z13" i="359"/>
  <c r="R13" i="359"/>
  <c r="H13" i="359"/>
  <c r="H12" i="359" s="1"/>
  <c r="V12" i="359"/>
  <c r="Q12" i="359"/>
  <c r="Q405" i="356"/>
  <c r="C21" i="151"/>
  <c r="Y175" i="358"/>
  <c r="X175" i="358"/>
  <c r="U121" i="358"/>
  <c r="U120" i="358" s="1"/>
  <c r="X121" i="358"/>
  <c r="Y121" i="358"/>
  <c r="F122" i="358"/>
  <c r="J122" i="358"/>
  <c r="N122" i="358"/>
  <c r="R122" i="358"/>
  <c r="S122" i="358" s="1"/>
  <c r="F123" i="358"/>
  <c r="J123" i="358"/>
  <c r="N123" i="358"/>
  <c r="R123" i="358"/>
  <c r="S123" i="358" s="1"/>
  <c r="R124" i="358"/>
  <c r="V124" i="358" s="1"/>
  <c r="F125" i="358"/>
  <c r="J125" i="358"/>
  <c r="N125" i="358"/>
  <c r="R125" i="358"/>
  <c r="V125" i="358" s="1"/>
  <c r="S125" i="358"/>
  <c r="X126" i="358"/>
  <c r="Y126" i="358"/>
  <c r="F127" i="358"/>
  <c r="F126" i="358" s="1"/>
  <c r="J127" i="358"/>
  <c r="V127" i="358" s="1"/>
  <c r="N127" i="358"/>
  <c r="N126" i="358" s="1"/>
  <c r="S127" i="358"/>
  <c r="R128" i="358"/>
  <c r="W128" i="358" s="1"/>
  <c r="S128" i="358"/>
  <c r="V128" i="358"/>
  <c r="R129" i="358"/>
  <c r="W129" i="358" s="1"/>
  <c r="S129" i="358"/>
  <c r="V129" i="358"/>
  <c r="F131" i="358"/>
  <c r="J131" i="358"/>
  <c r="N131" i="358"/>
  <c r="N130" i="358" s="1"/>
  <c r="R131" i="358"/>
  <c r="S131" i="358"/>
  <c r="F132" i="358"/>
  <c r="J132" i="358"/>
  <c r="V132" i="358" s="1"/>
  <c r="N132" i="358"/>
  <c r="R132" i="358"/>
  <c r="S132" i="358" s="1"/>
  <c r="F133" i="358"/>
  <c r="J133" i="358"/>
  <c r="N133" i="358"/>
  <c r="R133" i="358"/>
  <c r="S133" i="358"/>
  <c r="F134" i="358"/>
  <c r="J134" i="358"/>
  <c r="N134" i="358"/>
  <c r="R134" i="358"/>
  <c r="W134" i="358" s="1"/>
  <c r="S134" i="358"/>
  <c r="F135" i="358"/>
  <c r="J135" i="358"/>
  <c r="N135" i="358"/>
  <c r="R135" i="358"/>
  <c r="V135" i="358" s="1"/>
  <c r="F136" i="358"/>
  <c r="J136" i="358"/>
  <c r="N136" i="358"/>
  <c r="R136" i="358"/>
  <c r="S136" i="358" s="1"/>
  <c r="F137" i="358"/>
  <c r="F221" i="358" s="1"/>
  <c r="F239" i="358" s="1"/>
  <c r="J137" i="358"/>
  <c r="J221" i="358" s="1"/>
  <c r="J239" i="358" s="1"/>
  <c r="N137" i="358"/>
  <c r="N221" i="358" s="1"/>
  <c r="N239" i="358" s="1"/>
  <c r="R137" i="358"/>
  <c r="X137" i="358" s="1"/>
  <c r="Y137" i="358" s="1"/>
  <c r="F138" i="358"/>
  <c r="J138" i="358"/>
  <c r="N138" i="358"/>
  <c r="R138" i="358"/>
  <c r="S138" i="358"/>
  <c r="F139" i="358"/>
  <c r="J139" i="358"/>
  <c r="N139" i="358"/>
  <c r="R139" i="358"/>
  <c r="V139" i="358" s="1"/>
  <c r="S139" i="358"/>
  <c r="F140" i="358"/>
  <c r="J140" i="358"/>
  <c r="N140" i="358"/>
  <c r="R140" i="358"/>
  <c r="S140" i="358" s="1"/>
  <c r="F141" i="358"/>
  <c r="J141" i="358"/>
  <c r="N141" i="358"/>
  <c r="R141" i="358"/>
  <c r="S141" i="358" s="1"/>
  <c r="F143" i="358"/>
  <c r="J143" i="358"/>
  <c r="N143" i="358"/>
  <c r="R143" i="358"/>
  <c r="W143" i="358" s="1"/>
  <c r="S143" i="358"/>
  <c r="F144" i="358"/>
  <c r="J144" i="358"/>
  <c r="N144" i="358"/>
  <c r="R144" i="358"/>
  <c r="S144" i="358" s="1"/>
  <c r="F145" i="358"/>
  <c r="J145" i="358"/>
  <c r="N145" i="358"/>
  <c r="R145" i="358"/>
  <c r="S145" i="358"/>
  <c r="V145" i="358"/>
  <c r="W145" i="358"/>
  <c r="X145" i="358"/>
  <c r="Y145" i="358"/>
  <c r="F146" i="358"/>
  <c r="J146" i="358"/>
  <c r="N146" i="358"/>
  <c r="R146" i="358"/>
  <c r="S146" i="358"/>
  <c r="V146" i="358"/>
  <c r="F147" i="358"/>
  <c r="J147" i="358"/>
  <c r="N147" i="358"/>
  <c r="R147" i="358"/>
  <c r="V147" i="358" s="1"/>
  <c r="F148" i="358"/>
  <c r="J148" i="358"/>
  <c r="N148" i="358"/>
  <c r="R148" i="358"/>
  <c r="S148" i="358" s="1"/>
  <c r="F149" i="358"/>
  <c r="J149" i="358"/>
  <c r="N149" i="358"/>
  <c r="R149" i="358"/>
  <c r="V149" i="358" s="1"/>
  <c r="F150" i="358"/>
  <c r="J150" i="358"/>
  <c r="N150" i="358"/>
  <c r="R150" i="358"/>
  <c r="S150" i="358" s="1"/>
  <c r="F151" i="358"/>
  <c r="J151" i="358"/>
  <c r="N151" i="358"/>
  <c r="R151" i="358"/>
  <c r="W151" i="358" s="1"/>
  <c r="S151" i="358"/>
  <c r="F152" i="358"/>
  <c r="J152" i="358"/>
  <c r="N152" i="358"/>
  <c r="R152" i="358"/>
  <c r="S152" i="358" s="1"/>
  <c r="F153" i="358"/>
  <c r="J153" i="358"/>
  <c r="V153" i="358" s="1"/>
  <c r="N153" i="358"/>
  <c r="R153" i="358"/>
  <c r="S153" i="358"/>
  <c r="W153" i="358"/>
  <c r="X153" i="358"/>
  <c r="Y153" i="358"/>
  <c r="F154" i="358"/>
  <c r="J154" i="358"/>
  <c r="V154" i="358" s="1"/>
  <c r="N154" i="358"/>
  <c r="R154" i="358"/>
  <c r="S154" i="358"/>
  <c r="K155" i="358"/>
  <c r="O155" i="358"/>
  <c r="J157" i="358"/>
  <c r="N157" i="358"/>
  <c r="R157" i="358"/>
  <c r="S157" i="358" s="1"/>
  <c r="J158" i="358"/>
  <c r="N158" i="358"/>
  <c r="N161" i="358" s="1"/>
  <c r="R158" i="358"/>
  <c r="S158" i="358" s="1"/>
  <c r="J159" i="358"/>
  <c r="N159" i="358"/>
  <c r="R159" i="358"/>
  <c r="S159" i="358" s="1"/>
  <c r="J160" i="358"/>
  <c r="N160" i="358"/>
  <c r="R160" i="358"/>
  <c r="S160" i="358"/>
  <c r="R161" i="358"/>
  <c r="U162" i="358"/>
  <c r="X162" i="358"/>
  <c r="X155" i="358" s="1"/>
  <c r="Y162" i="358"/>
  <c r="Y155" i="358" s="1"/>
  <c r="J163" i="358"/>
  <c r="J162" i="358" s="1"/>
  <c r="N163" i="358"/>
  <c r="N162" i="358" s="1"/>
  <c r="R163" i="358"/>
  <c r="S164" i="358"/>
  <c r="V164" i="358"/>
  <c r="W164" i="358"/>
  <c r="J166" i="358"/>
  <c r="N166" i="358"/>
  <c r="R166" i="358"/>
  <c r="W166" i="358" s="1"/>
  <c r="J167" i="358"/>
  <c r="V167" i="358" s="1"/>
  <c r="N167" i="358"/>
  <c r="S167" i="358"/>
  <c r="J168" i="358"/>
  <c r="V168" i="358" s="1"/>
  <c r="N168" i="358"/>
  <c r="R168" i="358"/>
  <c r="S168" i="358" s="1"/>
  <c r="U169" i="358"/>
  <c r="J170" i="358"/>
  <c r="N170" i="358"/>
  <c r="S170" i="358"/>
  <c r="J171" i="358"/>
  <c r="N171" i="358"/>
  <c r="R171" i="358"/>
  <c r="S171" i="358" s="1"/>
  <c r="J172" i="358"/>
  <c r="V172" i="358" s="1"/>
  <c r="N172" i="358"/>
  <c r="S172" i="358"/>
  <c r="R173" i="358"/>
  <c r="V173" i="358" s="1"/>
  <c r="R174" i="358"/>
  <c r="R175" i="358"/>
  <c r="V175" i="358" s="1"/>
  <c r="U175" i="358"/>
  <c r="S176" i="358"/>
  <c r="V176" i="358"/>
  <c r="W176" i="358"/>
  <c r="R177" i="358"/>
  <c r="S177" i="358"/>
  <c r="V177" i="358"/>
  <c r="W177" i="358"/>
  <c r="R178" i="358"/>
  <c r="S178" i="358"/>
  <c r="V178" i="358"/>
  <c r="W178" i="358"/>
  <c r="R179" i="358"/>
  <c r="S179" i="358"/>
  <c r="V179" i="358"/>
  <c r="W179" i="358"/>
  <c r="R180" i="358"/>
  <c r="S180" i="358"/>
  <c r="V180" i="358"/>
  <c r="W180" i="358"/>
  <c r="R181" i="358"/>
  <c r="S181" i="358"/>
  <c r="V181" i="358"/>
  <c r="W181" i="358"/>
  <c r="R182" i="358"/>
  <c r="S182" i="358"/>
  <c r="V182" i="358"/>
  <c r="W182" i="358"/>
  <c r="S184" i="358"/>
  <c r="V184" i="358"/>
  <c r="W184" i="358"/>
  <c r="S185" i="358"/>
  <c r="V185" i="358"/>
  <c r="W185" i="358"/>
  <c r="S186" i="358"/>
  <c r="V186" i="358"/>
  <c r="W186" i="358"/>
  <c r="S187" i="358"/>
  <c r="V187" i="358"/>
  <c r="W187" i="358"/>
  <c r="R188" i="358"/>
  <c r="S188" i="358"/>
  <c r="W188" i="358"/>
  <c r="X188" i="358"/>
  <c r="Y188" i="358"/>
  <c r="S190" i="358"/>
  <c r="V190" i="358"/>
  <c r="W190" i="358"/>
  <c r="S191" i="358"/>
  <c r="V191" i="358"/>
  <c r="W191" i="358"/>
  <c r="S192" i="358"/>
  <c r="V192" i="358"/>
  <c r="W192" i="358"/>
  <c r="S193" i="358"/>
  <c r="V193" i="358"/>
  <c r="W193" i="358"/>
  <c r="S194" i="358"/>
  <c r="V194" i="358"/>
  <c r="W194" i="358"/>
  <c r="R195" i="358"/>
  <c r="X195" i="358"/>
  <c r="Y195" i="358"/>
  <c r="S197" i="358"/>
  <c r="V197" i="358"/>
  <c r="W197" i="358"/>
  <c r="S198" i="358"/>
  <c r="V198" i="358"/>
  <c r="W198" i="358"/>
  <c r="S199" i="358"/>
  <c r="V199" i="358"/>
  <c r="W199" i="358"/>
  <c r="S200" i="358"/>
  <c r="V200" i="358"/>
  <c r="W200" i="358"/>
  <c r="R201" i="358"/>
  <c r="H202" i="358"/>
  <c r="I202" i="358"/>
  <c r="I207" i="358" s="1"/>
  <c r="L202" i="358"/>
  <c r="M202" i="358"/>
  <c r="M207" i="358" s="1"/>
  <c r="T216" i="358"/>
  <c r="S75" i="356"/>
  <c r="Q77" i="356"/>
  <c r="R77" i="356" s="1"/>
  <c r="V77" i="356"/>
  <c r="V79" i="356" s="1"/>
  <c r="Y77" i="356"/>
  <c r="Y79" i="356" s="1"/>
  <c r="Y76" i="356" s="1"/>
  <c r="Q78" i="356"/>
  <c r="R78" i="356" s="1"/>
  <c r="H80" i="356"/>
  <c r="K80" i="356"/>
  <c r="N80" i="356"/>
  <c r="Q80" i="356"/>
  <c r="R80" i="356" s="1"/>
  <c r="V80" i="356"/>
  <c r="Y80" i="356"/>
  <c r="H82" i="356"/>
  <c r="H81" i="356" s="1"/>
  <c r="K82" i="356"/>
  <c r="K81" i="356" s="1"/>
  <c r="N82" i="356"/>
  <c r="N81" i="356" s="1"/>
  <c r="Q82" i="356"/>
  <c r="Q81" i="356" s="1"/>
  <c r="V82" i="356"/>
  <c r="V81" i="356" s="1"/>
  <c r="Y82" i="356"/>
  <c r="Y81" i="356" s="1"/>
  <c r="H84" i="356"/>
  <c r="H83" i="356" s="1"/>
  <c r="K84" i="356"/>
  <c r="N84" i="356"/>
  <c r="N83" i="356" s="1"/>
  <c r="Q84" i="356"/>
  <c r="Q83" i="356" s="1"/>
  <c r="V84" i="356"/>
  <c r="V83" i="356" s="1"/>
  <c r="Y84" i="356"/>
  <c r="Y83" i="356" s="1"/>
  <c r="H87" i="356"/>
  <c r="H90" i="356" s="1"/>
  <c r="K87" i="356"/>
  <c r="N87" i="356"/>
  <c r="Q87" i="356"/>
  <c r="R87" i="356"/>
  <c r="V87" i="356"/>
  <c r="Y87" i="356"/>
  <c r="Q88" i="356"/>
  <c r="V88" i="356"/>
  <c r="Y88" i="356"/>
  <c r="H89" i="356"/>
  <c r="K89" i="356"/>
  <c r="N89" i="356"/>
  <c r="Q89" i="356"/>
  <c r="R89" i="356"/>
  <c r="V89" i="356"/>
  <c r="Y89" i="356"/>
  <c r="S90" i="356"/>
  <c r="S86" i="356" s="1"/>
  <c r="R91" i="356"/>
  <c r="H92" i="356"/>
  <c r="K92" i="356"/>
  <c r="N92" i="356"/>
  <c r="Q92" i="356"/>
  <c r="V92" i="356"/>
  <c r="Y92" i="356"/>
  <c r="Q93" i="356"/>
  <c r="S93" i="356" s="1"/>
  <c r="V93" i="356"/>
  <c r="Y93" i="356"/>
  <c r="Z93" i="356"/>
  <c r="H94" i="356"/>
  <c r="K94" i="356"/>
  <c r="N94" i="356"/>
  <c r="Q94" i="356"/>
  <c r="V94" i="356"/>
  <c r="Y94" i="356"/>
  <c r="H95" i="356"/>
  <c r="K95" i="356"/>
  <c r="N95" i="356"/>
  <c r="H96" i="356"/>
  <c r="K96" i="356"/>
  <c r="N96" i="356"/>
  <c r="Q96" i="356"/>
  <c r="R96" i="356" s="1"/>
  <c r="V96" i="356"/>
  <c r="Y96" i="356"/>
  <c r="H97" i="356"/>
  <c r="K97" i="356"/>
  <c r="N97" i="356"/>
  <c r="Q97" i="356"/>
  <c r="R97" i="356"/>
  <c r="V97" i="356"/>
  <c r="Y97" i="356"/>
  <c r="Z97" i="356"/>
  <c r="AA97" i="356"/>
  <c r="H99" i="356"/>
  <c r="K99" i="356"/>
  <c r="N99" i="356"/>
  <c r="N98" i="356" s="1"/>
  <c r="AA99" i="356"/>
  <c r="Q100" i="356"/>
  <c r="S100" i="356" s="1"/>
  <c r="Z100" i="356"/>
  <c r="Q101" i="356"/>
  <c r="H102" i="356"/>
  <c r="K102" i="356"/>
  <c r="Q102" i="356"/>
  <c r="R102" i="356"/>
  <c r="R98" i="356" s="1"/>
  <c r="S102" i="356"/>
  <c r="V102" i="356"/>
  <c r="V98" i="356" s="1"/>
  <c r="Y102" i="356"/>
  <c r="Y98" i="356" s="1"/>
  <c r="Z102" i="356"/>
  <c r="H105" i="356"/>
  <c r="H113" i="356" s="1"/>
  <c r="K105" i="356"/>
  <c r="N105" i="356"/>
  <c r="Q105" i="356"/>
  <c r="V105" i="356"/>
  <c r="Y105" i="356"/>
  <c r="H106" i="356"/>
  <c r="K106" i="356"/>
  <c r="N106" i="356"/>
  <c r="Q106" i="356"/>
  <c r="V106" i="356"/>
  <c r="Y106" i="356"/>
  <c r="AA106" i="356"/>
  <c r="H107" i="356"/>
  <c r="K107" i="356"/>
  <c r="R107" i="356" s="1"/>
  <c r="N107" i="356"/>
  <c r="Q107" i="356"/>
  <c r="V107" i="356"/>
  <c r="Y107" i="356"/>
  <c r="Q108" i="356"/>
  <c r="R108" i="356"/>
  <c r="V108" i="356"/>
  <c r="Y108" i="356"/>
  <c r="Z108" i="356"/>
  <c r="AA108" i="356"/>
  <c r="Q109" i="356"/>
  <c r="R109" i="356"/>
  <c r="V109" i="356"/>
  <c r="Y109" i="356"/>
  <c r="Z109" i="356"/>
  <c r="AA109" i="356"/>
  <c r="Q110" i="356"/>
  <c r="S110" i="356"/>
  <c r="V110" i="356"/>
  <c r="Y110" i="356"/>
  <c r="Z110" i="356"/>
  <c r="AA110" i="356"/>
  <c r="Q111" i="356"/>
  <c r="R111" i="356"/>
  <c r="V111" i="356"/>
  <c r="Y111" i="356"/>
  <c r="Z111" i="356"/>
  <c r="AA111" i="356"/>
  <c r="H112" i="356"/>
  <c r="K112" i="356"/>
  <c r="Z112" i="356" s="1"/>
  <c r="N112" i="356"/>
  <c r="S112" i="356"/>
  <c r="V112" i="356"/>
  <c r="Y112" i="356"/>
  <c r="H114" i="356"/>
  <c r="K114" i="356"/>
  <c r="N114" i="356"/>
  <c r="Q114" i="356"/>
  <c r="V114" i="356"/>
  <c r="Y114" i="356"/>
  <c r="R115" i="356"/>
  <c r="H116" i="356"/>
  <c r="K116" i="356"/>
  <c r="K115" i="356" s="1"/>
  <c r="N116" i="356"/>
  <c r="Q116" i="356"/>
  <c r="S116" i="356" s="1"/>
  <c r="V116" i="356"/>
  <c r="Y116" i="356"/>
  <c r="H117" i="356"/>
  <c r="K117" i="356"/>
  <c r="N117" i="356"/>
  <c r="Q117" i="356"/>
  <c r="V117" i="356"/>
  <c r="V115" i="356" s="1"/>
  <c r="Y117" i="356"/>
  <c r="H118" i="356"/>
  <c r="K118" i="356"/>
  <c r="N118" i="356"/>
  <c r="Q118" i="356"/>
  <c r="S118" i="356"/>
  <c r="V118" i="356"/>
  <c r="Y118" i="356"/>
  <c r="H119" i="356"/>
  <c r="K119" i="356"/>
  <c r="N119" i="356"/>
  <c r="Q119" i="356"/>
  <c r="S119" i="356" s="1"/>
  <c r="V119" i="356"/>
  <c r="Y119" i="356"/>
  <c r="H121" i="356"/>
  <c r="H120" i="356" s="1"/>
  <c r="K121" i="356"/>
  <c r="Z121" i="356" s="1"/>
  <c r="N121" i="356"/>
  <c r="V121" i="356"/>
  <c r="Y121" i="356"/>
  <c r="Y120" i="356" s="1"/>
  <c r="K122" i="356"/>
  <c r="N122" i="356"/>
  <c r="Q122" i="356"/>
  <c r="Q123" i="356"/>
  <c r="Z123" i="356" s="1"/>
  <c r="Q124" i="356"/>
  <c r="S124" i="356"/>
  <c r="V124" i="356"/>
  <c r="Y124" i="356"/>
  <c r="Z124" i="356"/>
  <c r="AA124" i="356"/>
  <c r="S125" i="356"/>
  <c r="S426" i="356" s="1"/>
  <c r="Z125" i="356"/>
  <c r="AA125" i="356"/>
  <c r="V126" i="356"/>
  <c r="Y126" i="356"/>
  <c r="Q127" i="356"/>
  <c r="AA127" i="356" s="1"/>
  <c r="Q128" i="356"/>
  <c r="AA128" i="356" s="1"/>
  <c r="Q129" i="356"/>
  <c r="AA129" i="356" s="1"/>
  <c r="S129" i="356"/>
  <c r="Q130" i="356"/>
  <c r="Q131" i="356"/>
  <c r="AA131" i="356" s="1"/>
  <c r="S131" i="356"/>
  <c r="Q132" i="356"/>
  <c r="AA132" i="356" s="1"/>
  <c r="Q133" i="356"/>
  <c r="AA133" i="356" s="1"/>
  <c r="R134" i="356"/>
  <c r="Q136" i="356"/>
  <c r="Z136" i="356" s="1"/>
  <c r="Q137" i="356"/>
  <c r="Z137" i="356" s="1"/>
  <c r="AA137" i="356"/>
  <c r="Q138" i="356"/>
  <c r="S138" i="356" s="1"/>
  <c r="Q139" i="356"/>
  <c r="S139" i="356" s="1"/>
  <c r="Q141" i="356"/>
  <c r="S141" i="356" s="1"/>
  <c r="Q142" i="356"/>
  <c r="S142" i="356" s="1"/>
  <c r="AA142" i="356"/>
  <c r="S143" i="356"/>
  <c r="Z143" i="356"/>
  <c r="AA143" i="356"/>
  <c r="Q145" i="356"/>
  <c r="Z145" i="356" s="1"/>
  <c r="S145" i="356"/>
  <c r="Z243" i="358"/>
  <c r="Y240" i="358"/>
  <c r="X240" i="358"/>
  <c r="W240" i="358"/>
  <c r="V240" i="358"/>
  <c r="U240" i="358"/>
  <c r="R240" i="358"/>
  <c r="Q240" i="358"/>
  <c r="P240" i="358"/>
  <c r="O240" i="358"/>
  <c r="N240" i="358"/>
  <c r="M240" i="358"/>
  <c r="L240" i="358"/>
  <c r="K240" i="358"/>
  <c r="J240" i="358"/>
  <c r="I240" i="358"/>
  <c r="H240" i="358"/>
  <c r="G240" i="358"/>
  <c r="F240" i="358"/>
  <c r="Q239" i="358"/>
  <c r="P239" i="358"/>
  <c r="M239" i="358"/>
  <c r="L239" i="358"/>
  <c r="I239" i="358"/>
  <c r="H239" i="358"/>
  <c r="Y238" i="358"/>
  <c r="X238" i="358"/>
  <c r="W238" i="358"/>
  <c r="V238" i="358"/>
  <c r="U238" i="358"/>
  <c r="R238" i="358"/>
  <c r="Q238" i="358"/>
  <c r="P238" i="358"/>
  <c r="O238" i="358"/>
  <c r="N238" i="358"/>
  <c r="M238" i="358"/>
  <c r="L238" i="358"/>
  <c r="K238" i="358"/>
  <c r="J238" i="358"/>
  <c r="I238" i="358"/>
  <c r="H238" i="358"/>
  <c r="G238" i="358"/>
  <c r="F238" i="358"/>
  <c r="Y237" i="358"/>
  <c r="X237" i="358"/>
  <c r="W237" i="358"/>
  <c r="V237" i="358"/>
  <c r="U237" i="358"/>
  <c r="R237" i="358"/>
  <c r="Q237" i="358"/>
  <c r="P237" i="358"/>
  <c r="O237" i="358"/>
  <c r="N237" i="358"/>
  <c r="M237" i="358"/>
  <c r="L237" i="358"/>
  <c r="K237" i="358"/>
  <c r="J237" i="358"/>
  <c r="I237" i="358"/>
  <c r="H237" i="358"/>
  <c r="G237" i="358"/>
  <c r="F237" i="358"/>
  <c r="Q236" i="358"/>
  <c r="P236" i="358"/>
  <c r="M236" i="358"/>
  <c r="L236" i="358"/>
  <c r="I236" i="358"/>
  <c r="H236" i="358"/>
  <c r="Y235" i="358"/>
  <c r="X235" i="358"/>
  <c r="W235" i="358"/>
  <c r="V235" i="358"/>
  <c r="U235" i="358"/>
  <c r="R235" i="358"/>
  <c r="Q235" i="358"/>
  <c r="P235" i="358"/>
  <c r="O235" i="358"/>
  <c r="N235" i="358"/>
  <c r="M235" i="358"/>
  <c r="L235" i="358"/>
  <c r="K235" i="358"/>
  <c r="J235" i="358"/>
  <c r="I235" i="358"/>
  <c r="H235" i="358"/>
  <c r="G235" i="358"/>
  <c r="Q234" i="358"/>
  <c r="P234" i="358"/>
  <c r="M234" i="358"/>
  <c r="L234" i="358"/>
  <c r="I234" i="358"/>
  <c r="H234" i="358"/>
  <c r="Q233" i="358"/>
  <c r="P233" i="358"/>
  <c r="M233" i="358"/>
  <c r="L233" i="358"/>
  <c r="I233" i="358"/>
  <c r="H233" i="358"/>
  <c r="Y232" i="358"/>
  <c r="X232" i="358"/>
  <c r="W232" i="358"/>
  <c r="V232" i="358"/>
  <c r="U232" i="358"/>
  <c r="R232" i="358"/>
  <c r="Q232" i="358"/>
  <c r="P232" i="358"/>
  <c r="O232" i="358"/>
  <c r="N232" i="358"/>
  <c r="M232" i="358"/>
  <c r="L232" i="358"/>
  <c r="K232" i="358"/>
  <c r="J232" i="358"/>
  <c r="I232" i="358"/>
  <c r="H232" i="358"/>
  <c r="G232" i="358"/>
  <c r="F232" i="358"/>
  <c r="Q231" i="358"/>
  <c r="P231" i="358"/>
  <c r="M231" i="358"/>
  <c r="L231" i="358"/>
  <c r="I231" i="358"/>
  <c r="H231" i="358"/>
  <c r="Y230" i="358"/>
  <c r="X230" i="358"/>
  <c r="W230" i="358"/>
  <c r="V230" i="358"/>
  <c r="U230" i="358"/>
  <c r="R230" i="358"/>
  <c r="Q230" i="358"/>
  <c r="P230" i="358"/>
  <c r="O230" i="358"/>
  <c r="N230" i="358"/>
  <c r="M230" i="358"/>
  <c r="L230" i="358"/>
  <c r="K230" i="358"/>
  <c r="J230" i="358"/>
  <c r="I230" i="358"/>
  <c r="H230" i="358"/>
  <c r="G230" i="358"/>
  <c r="F230" i="358"/>
  <c r="Y229" i="358"/>
  <c r="X229" i="358"/>
  <c r="W229" i="358"/>
  <c r="V229" i="358"/>
  <c r="U229" i="358"/>
  <c r="R229" i="358"/>
  <c r="Q229" i="358"/>
  <c r="P229" i="358"/>
  <c r="O229" i="358"/>
  <c r="N229" i="358"/>
  <c r="M229" i="358"/>
  <c r="L229" i="358"/>
  <c r="K229" i="358"/>
  <c r="J229" i="358"/>
  <c r="I229" i="358"/>
  <c r="H229" i="358"/>
  <c r="G229" i="358"/>
  <c r="F229" i="358"/>
  <c r="Q228" i="358"/>
  <c r="P228" i="358"/>
  <c r="M228" i="358"/>
  <c r="L228" i="358"/>
  <c r="I228" i="358"/>
  <c r="H228" i="358"/>
  <c r="Y227" i="358"/>
  <c r="X227" i="358"/>
  <c r="W227" i="358"/>
  <c r="V227" i="358"/>
  <c r="U227" i="358"/>
  <c r="R227" i="358"/>
  <c r="Q227" i="358"/>
  <c r="P227" i="358"/>
  <c r="O227" i="358"/>
  <c r="N227" i="358"/>
  <c r="M227" i="358"/>
  <c r="L227" i="358"/>
  <c r="K227" i="358"/>
  <c r="J227" i="358"/>
  <c r="I227" i="358"/>
  <c r="H227" i="358"/>
  <c r="G227" i="358"/>
  <c r="F227" i="358"/>
  <c r="Y226" i="358"/>
  <c r="X226" i="358"/>
  <c r="W226" i="358"/>
  <c r="V226" i="358"/>
  <c r="U226" i="358"/>
  <c r="R226" i="358"/>
  <c r="Q226" i="358"/>
  <c r="P226" i="358"/>
  <c r="O226" i="358"/>
  <c r="N226" i="358"/>
  <c r="M226" i="358"/>
  <c r="L226" i="358"/>
  <c r="K226" i="358"/>
  <c r="J226" i="358"/>
  <c r="I226" i="358"/>
  <c r="H226" i="358"/>
  <c r="G226" i="358"/>
  <c r="F226" i="358"/>
  <c r="Y225" i="358"/>
  <c r="X225" i="358"/>
  <c r="W225" i="358"/>
  <c r="V225" i="358"/>
  <c r="U225" i="358"/>
  <c r="R225" i="358"/>
  <c r="Q225" i="358"/>
  <c r="P225" i="358"/>
  <c r="O225" i="358"/>
  <c r="N225" i="358"/>
  <c r="M225" i="358"/>
  <c r="L225" i="358"/>
  <c r="K225" i="358"/>
  <c r="J225" i="358"/>
  <c r="I225" i="358"/>
  <c r="H225" i="358"/>
  <c r="G225" i="358"/>
  <c r="F225" i="358"/>
  <c r="Q224" i="358"/>
  <c r="P224" i="358"/>
  <c r="M224" i="358"/>
  <c r="L224" i="358"/>
  <c r="I224" i="358"/>
  <c r="H224" i="358"/>
  <c r="Q223" i="358"/>
  <c r="P223" i="358"/>
  <c r="M223" i="358"/>
  <c r="L223" i="358"/>
  <c r="I223" i="358"/>
  <c r="H223" i="358"/>
  <c r="Q222" i="358"/>
  <c r="Q241" i="358" s="1"/>
  <c r="Q242" i="358" s="1"/>
  <c r="P222" i="358"/>
  <c r="P241" i="358" s="1"/>
  <c r="P242" i="358" s="1"/>
  <c r="M222" i="358"/>
  <c r="M241" i="358" s="1"/>
  <c r="M242" i="358" s="1"/>
  <c r="L222" i="358"/>
  <c r="L241" i="358" s="1"/>
  <c r="L242" i="358" s="1"/>
  <c r="I222" i="358"/>
  <c r="I241" i="358" s="1"/>
  <c r="I242" i="358" s="1"/>
  <c r="H222" i="358"/>
  <c r="H241" i="358" s="1"/>
  <c r="H242" i="358" s="1"/>
  <c r="U221" i="358"/>
  <c r="U239" i="358" s="1"/>
  <c r="T221" i="358"/>
  <c r="O221" i="358"/>
  <c r="O239" i="358" s="1"/>
  <c r="K221" i="358"/>
  <c r="K239" i="358" s="1"/>
  <c r="G221" i="358"/>
  <c r="G239" i="358" s="1"/>
  <c r="T220" i="358"/>
  <c r="Y218" i="358"/>
  <c r="Y234" i="358" s="1"/>
  <c r="X218" i="358"/>
  <c r="X234" i="358" s="1"/>
  <c r="U218" i="358"/>
  <c r="U234" i="358" s="1"/>
  <c r="T218" i="358"/>
  <c r="O218" i="358"/>
  <c r="O234" i="358" s="1"/>
  <c r="N218" i="358"/>
  <c r="N234" i="358" s="1"/>
  <c r="K218" i="358"/>
  <c r="K234" i="358" s="1"/>
  <c r="J218" i="358"/>
  <c r="J234" i="358" s="1"/>
  <c r="T217" i="358"/>
  <c r="G217" i="358"/>
  <c r="G233" i="358" s="1"/>
  <c r="G216" i="358"/>
  <c r="G231" i="358" s="1"/>
  <c r="Y215" i="358"/>
  <c r="Y228" i="358" s="1"/>
  <c r="X215" i="358"/>
  <c r="X228" i="358" s="1"/>
  <c r="U215" i="358"/>
  <c r="U228" i="358" s="1"/>
  <c r="T215" i="358"/>
  <c r="R215" i="358"/>
  <c r="R228" i="358" s="1"/>
  <c r="O215" i="358"/>
  <c r="O228" i="358" s="1"/>
  <c r="N215" i="358"/>
  <c r="K215" i="358"/>
  <c r="K228" i="358" s="1"/>
  <c r="J215" i="358"/>
  <c r="J228" i="358" s="1"/>
  <c r="F215" i="358"/>
  <c r="F228" i="358" s="1"/>
  <c r="Y214" i="358"/>
  <c r="Y224" i="358" s="1"/>
  <c r="X214" i="358"/>
  <c r="X224" i="358" s="1"/>
  <c r="U214" i="358"/>
  <c r="U224" i="358" s="1"/>
  <c r="T214" i="358"/>
  <c r="R214" i="358"/>
  <c r="O214" i="358"/>
  <c r="O224" i="358" s="1"/>
  <c r="N214" i="358"/>
  <c r="N224" i="358" s="1"/>
  <c r="K214" i="358"/>
  <c r="K224" i="358" s="1"/>
  <c r="J214" i="358"/>
  <c r="J224" i="358" s="1"/>
  <c r="G214" i="358"/>
  <c r="G224" i="358" s="1"/>
  <c r="Y213" i="358"/>
  <c r="Y223" i="358" s="1"/>
  <c r="X213" i="358"/>
  <c r="X223" i="358" s="1"/>
  <c r="U213" i="358"/>
  <c r="U223" i="358" s="1"/>
  <c r="T213" i="358"/>
  <c r="R213" i="358"/>
  <c r="R223" i="358" s="1"/>
  <c r="O213" i="358"/>
  <c r="N213" i="358"/>
  <c r="N223" i="358" s="1"/>
  <c r="K213" i="358"/>
  <c r="K223" i="358" s="1"/>
  <c r="J213" i="358"/>
  <c r="J223" i="358" s="1"/>
  <c r="F213" i="358"/>
  <c r="F223" i="358" s="1"/>
  <c r="Y212" i="358"/>
  <c r="Y222" i="358" s="1"/>
  <c r="Y241" i="358" s="1"/>
  <c r="Y242" i="358" s="1"/>
  <c r="X212" i="358"/>
  <c r="X222" i="358" s="1"/>
  <c r="X241" i="358" s="1"/>
  <c r="X242" i="358" s="1"/>
  <c r="U212" i="358"/>
  <c r="U222" i="358" s="1"/>
  <c r="U241" i="358" s="1"/>
  <c r="U242" i="358" s="1"/>
  <c r="T212" i="358"/>
  <c r="R212" i="358"/>
  <c r="R222" i="358" s="1"/>
  <c r="R241" i="358" s="1"/>
  <c r="R242" i="358" s="1"/>
  <c r="O212" i="358"/>
  <c r="O222" i="358" s="1"/>
  <c r="O241" i="358" s="1"/>
  <c r="O242" i="358" s="1"/>
  <c r="N212" i="358"/>
  <c r="N222" i="358" s="1"/>
  <c r="N241" i="358" s="1"/>
  <c r="N242" i="358" s="1"/>
  <c r="K212" i="358"/>
  <c r="J212" i="358"/>
  <c r="J222" i="358" s="1"/>
  <c r="J241" i="358" s="1"/>
  <c r="J242" i="358" s="1"/>
  <c r="F212" i="358"/>
  <c r="F222" i="358" s="1"/>
  <c r="F241" i="358" s="1"/>
  <c r="F242" i="358" s="1"/>
  <c r="F243" i="358" s="1"/>
  <c r="Q211" i="358"/>
  <c r="P211" i="358"/>
  <c r="M211" i="358"/>
  <c r="L211" i="358"/>
  <c r="I211" i="358"/>
  <c r="H211" i="358"/>
  <c r="T207" i="358"/>
  <c r="X206" i="358"/>
  <c r="Y206" i="358" s="1"/>
  <c r="W206" i="358"/>
  <c r="V206" i="358"/>
  <c r="S206" i="358"/>
  <c r="X205" i="358"/>
  <c r="Y205" i="358" s="1"/>
  <c r="W205" i="358"/>
  <c r="V205" i="358"/>
  <c r="S205" i="358"/>
  <c r="Q205" i="358"/>
  <c r="R204" i="358"/>
  <c r="R203" i="358" s="1"/>
  <c r="L207" i="358"/>
  <c r="H207" i="358"/>
  <c r="W119" i="358"/>
  <c r="W215" i="358" s="1"/>
  <c r="W228" i="358" s="1"/>
  <c r="V119" i="358"/>
  <c r="V215" i="358" s="1"/>
  <c r="V228" i="358" s="1"/>
  <c r="S119" i="358"/>
  <c r="S215" i="358" s="1"/>
  <c r="G119" i="358"/>
  <c r="G215" i="358" s="1"/>
  <c r="G228" i="358" s="1"/>
  <c r="W118" i="358"/>
  <c r="W213" i="358" s="1"/>
  <c r="W223" i="358" s="1"/>
  <c r="V118" i="358"/>
  <c r="V213" i="358" s="1"/>
  <c r="S118" i="358"/>
  <c r="S213" i="358" s="1"/>
  <c r="G118" i="358"/>
  <c r="G213" i="358" s="1"/>
  <c r="G223" i="358" s="1"/>
  <c r="W117" i="358"/>
  <c r="W212" i="358" s="1"/>
  <c r="V117" i="358"/>
  <c r="V212" i="358" s="1"/>
  <c r="V222" i="358" s="1"/>
  <c r="V241" i="358" s="1"/>
  <c r="V242" i="358" s="1"/>
  <c r="S117" i="358"/>
  <c r="S212" i="358" s="1"/>
  <c r="G117" i="358"/>
  <c r="G212" i="358" s="1"/>
  <c r="G222" i="358" s="1"/>
  <c r="G241" i="358" s="1"/>
  <c r="G242" i="358" s="1"/>
  <c r="W116" i="358"/>
  <c r="V116" i="358"/>
  <c r="S116" i="358"/>
  <c r="G116" i="358"/>
  <c r="G218" i="358" s="1"/>
  <c r="G234" i="358" s="1"/>
  <c r="R115" i="358"/>
  <c r="W115" i="358" s="1"/>
  <c r="W218" i="358" s="1"/>
  <c r="W234" i="358" s="1"/>
  <c r="M115" i="358"/>
  <c r="I115" i="358"/>
  <c r="F115" i="358"/>
  <c r="F218" i="358" s="1"/>
  <c r="F234" i="358" s="1"/>
  <c r="Y114" i="358"/>
  <c r="X114" i="358"/>
  <c r="U114" i="358"/>
  <c r="O114" i="358"/>
  <c r="N114" i="358"/>
  <c r="K114" i="358"/>
  <c r="J114" i="358"/>
  <c r="G114" i="358"/>
  <c r="W113" i="358"/>
  <c r="W214" i="358" s="1"/>
  <c r="W224" i="358" s="1"/>
  <c r="V113" i="358"/>
  <c r="V214" i="358" s="1"/>
  <c r="V224" i="358" s="1"/>
  <c r="S113" i="358"/>
  <c r="S214" i="358" s="1"/>
  <c r="F113" i="358"/>
  <c r="F214" i="358" s="1"/>
  <c r="W112" i="358"/>
  <c r="V112" i="358"/>
  <c r="S112" i="358"/>
  <c r="F112" i="358"/>
  <c r="W111" i="358"/>
  <c r="V111" i="358"/>
  <c r="S111" i="358"/>
  <c r="F111" i="358"/>
  <c r="W110" i="358"/>
  <c r="V110" i="358"/>
  <c r="S110" i="358"/>
  <c r="F110" i="358"/>
  <c r="F109" i="358" s="1"/>
  <c r="W109" i="358"/>
  <c r="V109" i="358"/>
  <c r="S109" i="358"/>
  <c r="W108" i="358"/>
  <c r="V108" i="358"/>
  <c r="S108" i="358"/>
  <c r="F108" i="358"/>
  <c r="W107" i="358"/>
  <c r="V107" i="358"/>
  <c r="S107" i="358"/>
  <c r="F107" i="358"/>
  <c r="F106" i="358" s="1"/>
  <c r="W106" i="358"/>
  <c r="V106" i="358"/>
  <c r="S106" i="358"/>
  <c r="W105" i="358"/>
  <c r="V105" i="358"/>
  <c r="S105" i="358"/>
  <c r="F105" i="358"/>
  <c r="F104" i="358" s="1"/>
  <c r="W104" i="358"/>
  <c r="V104" i="358"/>
  <c r="S104" i="358"/>
  <c r="W103" i="358"/>
  <c r="V103" i="358"/>
  <c r="S103" i="358"/>
  <c r="F103" i="358"/>
  <c r="F102" i="358" s="1"/>
  <c r="W102" i="358"/>
  <c r="V102" i="358"/>
  <c r="S102" i="358"/>
  <c r="W101" i="358"/>
  <c r="V101" i="358"/>
  <c r="S101" i="358"/>
  <c r="W100" i="358"/>
  <c r="V100" i="358"/>
  <c r="S100" i="358"/>
  <c r="F100" i="358"/>
  <c r="W99" i="358"/>
  <c r="V99" i="358"/>
  <c r="S99" i="358"/>
  <c r="F99" i="358"/>
  <c r="W98" i="358"/>
  <c r="V98" i="358"/>
  <c r="S98" i="358"/>
  <c r="F98" i="358"/>
  <c r="W97" i="358"/>
  <c r="V97" i="358"/>
  <c r="S97" i="358"/>
  <c r="F97" i="358"/>
  <c r="F101" i="358" s="1"/>
  <c r="F96" i="358" s="1"/>
  <c r="W96" i="358"/>
  <c r="V96" i="358"/>
  <c r="S96" i="358"/>
  <c r="W95" i="358"/>
  <c r="V95" i="358"/>
  <c r="S95" i="358"/>
  <c r="F95" i="358"/>
  <c r="F94" i="358" s="1"/>
  <c r="F219" i="358" s="1"/>
  <c r="F235" i="358" s="1"/>
  <c r="W94" i="358"/>
  <c r="V94" i="358"/>
  <c r="S94" i="358"/>
  <c r="W93" i="358"/>
  <c r="V93" i="358"/>
  <c r="S93" i="358"/>
  <c r="W92" i="358"/>
  <c r="V92" i="358"/>
  <c r="U92" i="358"/>
  <c r="U91" i="358" s="1"/>
  <c r="S92" i="358"/>
  <c r="O92" i="358"/>
  <c r="O91" i="358" s="1"/>
  <c r="K92" i="358"/>
  <c r="W91" i="358"/>
  <c r="V91" i="358"/>
  <c r="S91" i="358"/>
  <c r="K91" i="358"/>
  <c r="W90" i="358"/>
  <c r="V90" i="358"/>
  <c r="U90" i="358"/>
  <c r="S90" i="358"/>
  <c r="O90" i="358"/>
  <c r="K90" i="358"/>
  <c r="W89" i="358"/>
  <c r="V89" i="358"/>
  <c r="U89" i="358"/>
  <c r="S89" i="358"/>
  <c r="O89" i="358"/>
  <c r="K89" i="358"/>
  <c r="W88" i="358"/>
  <c r="V88" i="358"/>
  <c r="U88" i="358"/>
  <c r="S88" i="358"/>
  <c r="O88" i="358"/>
  <c r="K88" i="358"/>
  <c r="W87" i="358"/>
  <c r="V87" i="358"/>
  <c r="U87" i="358"/>
  <c r="S87" i="358"/>
  <c r="O87" i="358"/>
  <c r="K87" i="358"/>
  <c r="W86" i="358"/>
  <c r="V86" i="358"/>
  <c r="S86" i="358"/>
  <c r="R85" i="358"/>
  <c r="W85" i="358" s="1"/>
  <c r="N85" i="358"/>
  <c r="J85" i="358"/>
  <c r="G85" i="358"/>
  <c r="F85" i="358"/>
  <c r="W84" i="358"/>
  <c r="V84" i="358"/>
  <c r="U84" i="358"/>
  <c r="S84" i="358"/>
  <c r="O84" i="358"/>
  <c r="K84" i="358"/>
  <c r="W83" i="358"/>
  <c r="V83" i="358"/>
  <c r="U83" i="358"/>
  <c r="U82" i="358" s="1"/>
  <c r="S83" i="358"/>
  <c r="O83" i="358"/>
  <c r="K83" i="358"/>
  <c r="W82" i="358"/>
  <c r="V82" i="358"/>
  <c r="S82" i="358"/>
  <c r="W81" i="358"/>
  <c r="V81" i="358"/>
  <c r="U81" i="358"/>
  <c r="U80" i="358" s="1"/>
  <c r="S81" i="358"/>
  <c r="O81" i="358"/>
  <c r="O80" i="358" s="1"/>
  <c r="K81" i="358"/>
  <c r="K80" i="358" s="1"/>
  <c r="W80" i="358"/>
  <c r="V80" i="358"/>
  <c r="S80" i="358"/>
  <c r="W79" i="358"/>
  <c r="V79" i="358"/>
  <c r="S79" i="358"/>
  <c r="O79" i="358"/>
  <c r="O78" i="358" s="1"/>
  <c r="K79" i="358"/>
  <c r="K78" i="358" s="1"/>
  <c r="G79" i="358"/>
  <c r="G78" i="358" s="1"/>
  <c r="W78" i="358"/>
  <c r="V78" i="358"/>
  <c r="S78" i="358"/>
  <c r="W77" i="358"/>
  <c r="V77" i="358"/>
  <c r="S77" i="358"/>
  <c r="O77" i="358"/>
  <c r="K77" i="358"/>
  <c r="G77" i="358"/>
  <c r="G75" i="358" s="1"/>
  <c r="W76" i="358"/>
  <c r="V76" i="358"/>
  <c r="U76" i="358"/>
  <c r="U75" i="358" s="1"/>
  <c r="S76" i="358"/>
  <c r="O76" i="358"/>
  <c r="K76" i="358"/>
  <c r="G76" i="358"/>
  <c r="W75" i="358"/>
  <c r="V75" i="358"/>
  <c r="S75" i="358"/>
  <c r="W74" i="358"/>
  <c r="V74" i="358"/>
  <c r="S74" i="358"/>
  <c r="W73" i="358"/>
  <c r="V73" i="358"/>
  <c r="U73" i="358"/>
  <c r="S73" i="358"/>
  <c r="O73" i="358"/>
  <c r="O74" i="358" s="1"/>
  <c r="O71" i="358" s="1"/>
  <c r="K73" i="358"/>
  <c r="K74" i="358" s="1"/>
  <c r="K71" i="358" s="1"/>
  <c r="W72" i="358"/>
  <c r="V72" i="358"/>
  <c r="U72" i="358"/>
  <c r="S72" i="358"/>
  <c r="W71" i="358"/>
  <c r="V71" i="358"/>
  <c r="S71" i="358"/>
  <c r="W70" i="358"/>
  <c r="V70" i="358"/>
  <c r="S70" i="358"/>
  <c r="S69" i="358"/>
  <c r="N69" i="358"/>
  <c r="X69" i="358" s="1"/>
  <c r="J69" i="358"/>
  <c r="W69" i="358" s="1"/>
  <c r="R68" i="358"/>
  <c r="S68" i="358" s="1"/>
  <c r="N68" i="358"/>
  <c r="J68" i="358"/>
  <c r="S67" i="358"/>
  <c r="S66" i="358"/>
  <c r="N66" i="358"/>
  <c r="J66" i="358"/>
  <c r="S65" i="358"/>
  <c r="N65" i="358"/>
  <c r="X65" i="358" s="1"/>
  <c r="J65" i="358"/>
  <c r="X64" i="358"/>
  <c r="W64" i="358"/>
  <c r="V64" i="358"/>
  <c r="S64" i="358"/>
  <c r="X63" i="358"/>
  <c r="W63" i="358"/>
  <c r="V63" i="358"/>
  <c r="S63" i="358"/>
  <c r="S62" i="358"/>
  <c r="S61" i="358"/>
  <c r="N61" i="358"/>
  <c r="X61" i="358" s="1"/>
  <c r="J61" i="358"/>
  <c r="W61" i="358" s="1"/>
  <c r="S60" i="358"/>
  <c r="N60" i="358"/>
  <c r="J60" i="358"/>
  <c r="S59" i="358"/>
  <c r="N59" i="358"/>
  <c r="X59" i="358" s="1"/>
  <c r="J59" i="358"/>
  <c r="W59" i="358" s="1"/>
  <c r="S58" i="358"/>
  <c r="S57" i="358"/>
  <c r="N57" i="358"/>
  <c r="X57" i="358" s="1"/>
  <c r="J57" i="358"/>
  <c r="S56" i="358"/>
  <c r="N56" i="358"/>
  <c r="X56" i="358" s="1"/>
  <c r="J56" i="358"/>
  <c r="S55" i="358"/>
  <c r="N55" i="358"/>
  <c r="X55" i="358" s="1"/>
  <c r="J55" i="358"/>
  <c r="S54" i="358"/>
  <c r="S53" i="358"/>
  <c r="S52" i="358"/>
  <c r="N52" i="358"/>
  <c r="X52" i="358" s="1"/>
  <c r="J52" i="358"/>
  <c r="V52" i="358" s="1"/>
  <c r="S51" i="358"/>
  <c r="N51" i="358"/>
  <c r="X51" i="358" s="1"/>
  <c r="J51" i="358"/>
  <c r="V51" i="358" s="1"/>
  <c r="S50" i="358"/>
  <c r="N50" i="358"/>
  <c r="J50" i="358"/>
  <c r="W50" i="358" s="1"/>
  <c r="S49" i="358"/>
  <c r="Y48" i="358"/>
  <c r="U48" i="358"/>
  <c r="R48" i="358"/>
  <c r="S48" i="358" s="1"/>
  <c r="O48" i="358"/>
  <c r="K48" i="358"/>
  <c r="W47" i="358"/>
  <c r="V47" i="358"/>
  <c r="S47" i="358"/>
  <c r="F47" i="358"/>
  <c r="R46" i="358"/>
  <c r="V46" i="358" s="1"/>
  <c r="F46" i="358"/>
  <c r="R44" i="358"/>
  <c r="W44" i="358" s="1"/>
  <c r="F44" i="358"/>
  <c r="R43" i="358"/>
  <c r="S43" i="358" s="1"/>
  <c r="F43" i="358"/>
  <c r="R42" i="358"/>
  <c r="V42" i="358" s="1"/>
  <c r="F42" i="358"/>
  <c r="R40" i="358"/>
  <c r="V40" i="358" s="1"/>
  <c r="R39" i="358"/>
  <c r="V39" i="358" s="1"/>
  <c r="Y38" i="358"/>
  <c r="Y31" i="358" s="1"/>
  <c r="F38" i="358"/>
  <c r="R36" i="358"/>
  <c r="W36" i="358" s="1"/>
  <c r="F36" i="358"/>
  <c r="R35" i="358"/>
  <c r="W35" i="358" s="1"/>
  <c r="F35" i="358"/>
  <c r="R34" i="358"/>
  <c r="F34" i="358"/>
  <c r="R33" i="358"/>
  <c r="F33" i="358"/>
  <c r="X31" i="358"/>
  <c r="X30" i="358"/>
  <c r="Y30" i="358" s="1"/>
  <c r="W30" i="358"/>
  <c r="V30" i="358"/>
  <c r="S30" i="358"/>
  <c r="X29" i="358"/>
  <c r="Y29" i="358" s="1"/>
  <c r="W29" i="358"/>
  <c r="V29" i="358"/>
  <c r="S29" i="358"/>
  <c r="F29" i="358"/>
  <c r="R28" i="358"/>
  <c r="X28" i="358" s="1"/>
  <c r="Y28" i="358" s="1"/>
  <c r="F28" i="358"/>
  <c r="R27" i="358"/>
  <c r="X27" i="358" s="1"/>
  <c r="Y27" i="358" s="1"/>
  <c r="N27" i="358"/>
  <c r="N26" i="358" s="1"/>
  <c r="J27" i="358"/>
  <c r="J26" i="358" s="1"/>
  <c r="F27" i="358"/>
  <c r="X25" i="358"/>
  <c r="Y25" i="358" s="1"/>
  <c r="U25" i="358"/>
  <c r="S25" i="358"/>
  <c r="N25" i="358"/>
  <c r="N24" i="358" s="1"/>
  <c r="J25" i="358"/>
  <c r="F25" i="358"/>
  <c r="F24" i="358" s="1"/>
  <c r="R24" i="358"/>
  <c r="X23" i="358"/>
  <c r="Y23" i="358" s="1"/>
  <c r="W23" i="358"/>
  <c r="V23" i="358"/>
  <c r="U23" i="358"/>
  <c r="S23" i="358"/>
  <c r="R22" i="358"/>
  <c r="R21" i="358"/>
  <c r="R20" i="358"/>
  <c r="W20" i="358" s="1"/>
  <c r="V19" i="358"/>
  <c r="S19" i="358"/>
  <c r="N19" i="358"/>
  <c r="J19" i="358"/>
  <c r="W19" i="358" s="1"/>
  <c r="F19" i="358"/>
  <c r="F17" i="358" s="1"/>
  <c r="W18" i="358"/>
  <c r="R18" i="358"/>
  <c r="Y17" i="358"/>
  <c r="X17" i="358"/>
  <c r="U17" i="358"/>
  <c r="N17" i="358"/>
  <c r="J17" i="358"/>
  <c r="W16" i="358"/>
  <c r="V16" i="358"/>
  <c r="S16" i="358"/>
  <c r="W15" i="358"/>
  <c r="V15" i="358"/>
  <c r="S15" i="358"/>
  <c r="W14" i="358"/>
  <c r="V14" i="358"/>
  <c r="S14" i="358"/>
  <c r="U13" i="358"/>
  <c r="Q13" i="358"/>
  <c r="Q202" i="358" s="1"/>
  <c r="P13" i="358"/>
  <c r="P202" i="358" s="1"/>
  <c r="G13" i="358"/>
  <c r="V49" i="357"/>
  <c r="U49" i="357"/>
  <c r="S49" i="357"/>
  <c r="R49" i="357"/>
  <c r="P49" i="357"/>
  <c r="O49" i="357"/>
  <c r="M49" i="357"/>
  <c r="L49" i="357"/>
  <c r="L46" i="357" s="1"/>
  <c r="J49" i="357"/>
  <c r="J46" i="357" s="1"/>
  <c r="I49" i="357"/>
  <c r="I46" i="357" s="1"/>
  <c r="V48" i="357"/>
  <c r="U48" i="357"/>
  <c r="S48" i="357"/>
  <c r="S46" i="357" s="1"/>
  <c r="R48" i="357"/>
  <c r="P48" i="357"/>
  <c r="O48" i="357"/>
  <c r="V47" i="357"/>
  <c r="U47" i="357"/>
  <c r="S47" i="357"/>
  <c r="R47" i="357"/>
  <c r="R46" i="357" s="1"/>
  <c r="P47" i="357"/>
  <c r="P46" i="357" s="1"/>
  <c r="O47" i="357"/>
  <c r="M46" i="357"/>
  <c r="W44" i="357"/>
  <c r="T44" i="357"/>
  <c r="Q44" i="357"/>
  <c r="Y44" i="357" s="1"/>
  <c r="N44" i="357"/>
  <c r="K44" i="357"/>
  <c r="W43" i="357"/>
  <c r="W42" i="357" s="1"/>
  <c r="T43" i="357"/>
  <c r="Q43" i="357"/>
  <c r="N43" i="357"/>
  <c r="K43" i="357"/>
  <c r="H43" i="357"/>
  <c r="H42" i="357" s="1"/>
  <c r="Y41" i="357"/>
  <c r="X41" i="357"/>
  <c r="N41" i="357"/>
  <c r="K41" i="357"/>
  <c r="H41" i="357"/>
  <c r="Y40" i="357"/>
  <c r="X40" i="357"/>
  <c r="H40" i="357"/>
  <c r="Y39" i="357"/>
  <c r="W39" i="357"/>
  <c r="W37" i="357" s="1"/>
  <c r="T39" i="357"/>
  <c r="T37" i="357" s="1"/>
  <c r="Q39" i="357"/>
  <c r="H39" i="357"/>
  <c r="N38" i="357"/>
  <c r="N37" i="357" s="1"/>
  <c r="K38" i="357"/>
  <c r="H38" i="357"/>
  <c r="H37" i="357"/>
  <c r="N36" i="357"/>
  <c r="N34" i="357" s="1"/>
  <c r="K36" i="357"/>
  <c r="Y36" i="357" s="1"/>
  <c r="H36" i="357"/>
  <c r="W35" i="357"/>
  <c r="T35" i="357"/>
  <c r="T34" i="357" s="1"/>
  <c r="Q35" i="357"/>
  <c r="X35" i="357" s="1"/>
  <c r="N35" i="357"/>
  <c r="K35" i="357"/>
  <c r="K34" i="357" s="1"/>
  <c r="H35" i="357"/>
  <c r="H34" i="357" s="1"/>
  <c r="W34" i="357"/>
  <c r="W32" i="357"/>
  <c r="T32" i="357"/>
  <c r="Q32" i="357"/>
  <c r="N32" i="357"/>
  <c r="K32" i="357"/>
  <c r="X32" i="357" s="1"/>
  <c r="H32" i="357"/>
  <c r="W31" i="357"/>
  <c r="T31" i="357"/>
  <c r="Q31" i="357"/>
  <c r="Y31" i="357" s="1"/>
  <c r="N31" i="357"/>
  <c r="K31" i="357"/>
  <c r="H31" i="357"/>
  <c r="W28" i="357"/>
  <c r="T28" i="357"/>
  <c r="Q28" i="357"/>
  <c r="N28" i="357"/>
  <c r="K28" i="357"/>
  <c r="X28" i="357" s="1"/>
  <c r="H28" i="357"/>
  <c r="W27" i="357"/>
  <c r="T27" i="357"/>
  <c r="Q27" i="357"/>
  <c r="Q26" i="357" s="1"/>
  <c r="N27" i="357"/>
  <c r="K27" i="357"/>
  <c r="T26" i="357"/>
  <c r="H26" i="357"/>
  <c r="N25" i="357"/>
  <c r="K25" i="357"/>
  <c r="Y25" i="357" s="1"/>
  <c r="H25" i="357"/>
  <c r="W24" i="357"/>
  <c r="W22" i="357" s="1"/>
  <c r="T24" i="357"/>
  <c r="T22" i="357" s="1"/>
  <c r="Q24" i="357"/>
  <c r="Q22" i="357" s="1"/>
  <c r="N24" i="357"/>
  <c r="K24" i="357"/>
  <c r="H24" i="357"/>
  <c r="H22" i="357" s="1"/>
  <c r="N23" i="357"/>
  <c r="K23" i="357"/>
  <c r="H23" i="357"/>
  <c r="Y21" i="357"/>
  <c r="X21" i="357"/>
  <c r="N21" i="357"/>
  <c r="K21" i="357"/>
  <c r="H21" i="357"/>
  <c r="W20" i="357"/>
  <c r="W19" i="357" s="1"/>
  <c r="T20" i="357"/>
  <c r="T19" i="357" s="1"/>
  <c r="Q20" i="357"/>
  <c r="N20" i="357"/>
  <c r="N19" i="357" s="1"/>
  <c r="K20" i="357"/>
  <c r="K19" i="357" s="1"/>
  <c r="H20" i="357"/>
  <c r="Q19" i="357"/>
  <c r="W17" i="357"/>
  <c r="T17" i="357"/>
  <c r="Q17" i="357"/>
  <c r="X17" i="357" s="1"/>
  <c r="N16" i="357"/>
  <c r="K16" i="357"/>
  <c r="X16" i="357" s="1"/>
  <c r="H16" i="357"/>
  <c r="W15" i="357"/>
  <c r="T15" i="357"/>
  <c r="Q15" i="357"/>
  <c r="Y15" i="357" s="1"/>
  <c r="N15" i="357"/>
  <c r="K15" i="357"/>
  <c r="H15" i="357"/>
  <c r="W14" i="357"/>
  <c r="W18" i="357" s="1"/>
  <c r="T14" i="357"/>
  <c r="Q14" i="357"/>
  <c r="N14" i="357"/>
  <c r="K14" i="357"/>
  <c r="H14" i="357"/>
  <c r="X428" i="356"/>
  <c r="W428" i="356"/>
  <c r="U428" i="356"/>
  <c r="T428" i="356"/>
  <c r="P428" i="356"/>
  <c r="O428" i="356"/>
  <c r="M428" i="356"/>
  <c r="L428" i="356"/>
  <c r="J428" i="356"/>
  <c r="I428" i="356"/>
  <c r="N426" i="356"/>
  <c r="K426" i="356"/>
  <c r="H426" i="356"/>
  <c r="S425" i="356"/>
  <c r="AA416" i="356"/>
  <c r="Z416" i="356"/>
  <c r="R416" i="356"/>
  <c r="H416" i="356"/>
  <c r="AA415" i="356"/>
  <c r="Z415" i="356"/>
  <c r="Y415" i="356"/>
  <c r="Y414" i="356" s="1"/>
  <c r="Y413" i="356" s="1"/>
  <c r="Y412" i="356" s="1"/>
  <c r="V415" i="356"/>
  <c r="V414" i="356" s="1"/>
  <c r="V413" i="356" s="1"/>
  <c r="V412" i="356" s="1"/>
  <c r="R415" i="356"/>
  <c r="H415" i="356"/>
  <c r="Q414" i="356"/>
  <c r="N414" i="356"/>
  <c r="N413" i="356" s="1"/>
  <c r="N412" i="356" s="1"/>
  <c r="K414" i="356"/>
  <c r="K413" i="356" s="1"/>
  <c r="K412" i="356"/>
  <c r="Q410" i="356"/>
  <c r="R410" i="356" s="1"/>
  <c r="Q409" i="356"/>
  <c r="R409" i="356" s="1"/>
  <c r="Q408" i="356"/>
  <c r="R408" i="356" s="1"/>
  <c r="Q407" i="356"/>
  <c r="R407" i="356" s="1"/>
  <c r="Q406" i="356"/>
  <c r="R406" i="356" s="1"/>
  <c r="Q402" i="356"/>
  <c r="R402" i="356" s="1"/>
  <c r="Q401" i="356"/>
  <c r="R401" i="356" s="1"/>
  <c r="Q400" i="356"/>
  <c r="R400" i="356" s="1"/>
  <c r="Q399" i="356"/>
  <c r="R399" i="356" s="1"/>
  <c r="Q398" i="356"/>
  <c r="R398" i="356" s="1"/>
  <c r="Y395" i="356"/>
  <c r="V395" i="356"/>
  <c r="Q395" i="356"/>
  <c r="N395" i="356"/>
  <c r="K395" i="356"/>
  <c r="H395" i="356"/>
  <c r="Y394" i="356"/>
  <c r="V394" i="356"/>
  <c r="Q394" i="356"/>
  <c r="AA394" i="356" s="1"/>
  <c r="H394" i="356"/>
  <c r="Y393" i="356"/>
  <c r="V393" i="356"/>
  <c r="Q393" i="356"/>
  <c r="N393" i="356"/>
  <c r="K393" i="356"/>
  <c r="H393" i="356"/>
  <c r="Y392" i="356"/>
  <c r="V392" i="356"/>
  <c r="Q392" i="356"/>
  <c r="N392" i="356"/>
  <c r="K392" i="356"/>
  <c r="H392" i="356"/>
  <c r="R391" i="356"/>
  <c r="N391" i="356"/>
  <c r="K391" i="356"/>
  <c r="Z391" i="356" s="1"/>
  <c r="H391" i="356"/>
  <c r="R390" i="356"/>
  <c r="N390" i="356"/>
  <c r="K390" i="356"/>
  <c r="H390" i="356"/>
  <c r="Y389" i="356"/>
  <c r="V389" i="356"/>
  <c r="Q389" i="356"/>
  <c r="N389" i="356"/>
  <c r="K389" i="356"/>
  <c r="H389" i="356"/>
  <c r="AA388" i="356"/>
  <c r="Z388" i="356"/>
  <c r="R388" i="356"/>
  <c r="H388" i="356"/>
  <c r="Y387" i="356"/>
  <c r="V387" i="356"/>
  <c r="Q387" i="356"/>
  <c r="N387" i="356"/>
  <c r="K387" i="356"/>
  <c r="H387" i="356"/>
  <c r="AA385" i="356"/>
  <c r="Z385" i="356"/>
  <c r="R385" i="356"/>
  <c r="R384" i="356"/>
  <c r="N384" i="356"/>
  <c r="K384" i="356"/>
  <c r="AA384" i="356" s="1"/>
  <c r="AA383" i="356"/>
  <c r="Z383" i="356"/>
  <c r="R383" i="356"/>
  <c r="H383" i="356"/>
  <c r="R382" i="356"/>
  <c r="N382" i="356"/>
  <c r="K382" i="356"/>
  <c r="AA382" i="356" s="1"/>
  <c r="H382" i="356"/>
  <c r="R381" i="356"/>
  <c r="N381" i="356"/>
  <c r="K381" i="356"/>
  <c r="AA381" i="356" s="1"/>
  <c r="H381" i="356"/>
  <c r="Y380" i="356"/>
  <c r="V380" i="356"/>
  <c r="Q380" i="356"/>
  <c r="R380" i="356" s="1"/>
  <c r="AA378" i="356"/>
  <c r="Z378" i="356"/>
  <c r="Y378" i="356"/>
  <c r="V378" i="356"/>
  <c r="R378" i="356"/>
  <c r="Y377" i="356"/>
  <c r="V377" i="356"/>
  <c r="Q377" i="356"/>
  <c r="Y374" i="356"/>
  <c r="V374" i="356"/>
  <c r="Q374" i="356"/>
  <c r="N374" i="356"/>
  <c r="K374" i="356"/>
  <c r="H374" i="356"/>
  <c r="Y373" i="356"/>
  <c r="V373" i="356"/>
  <c r="Q373" i="356"/>
  <c r="R373" i="356" s="1"/>
  <c r="N373" i="356"/>
  <c r="K373" i="356"/>
  <c r="H373" i="356"/>
  <c r="Y372" i="356"/>
  <c r="V372" i="356"/>
  <c r="Q372" i="356"/>
  <c r="N372" i="356"/>
  <c r="K372" i="356"/>
  <c r="H372" i="356"/>
  <c r="Y370" i="356"/>
  <c r="V370" i="356"/>
  <c r="Q370" i="356"/>
  <c r="N370" i="356"/>
  <c r="K370" i="356"/>
  <c r="H370" i="356"/>
  <c r="Y369" i="356"/>
  <c r="V369" i="356"/>
  <c r="Q369" i="356"/>
  <c r="N369" i="356"/>
  <c r="K369" i="356"/>
  <c r="H369" i="356"/>
  <c r="Y367" i="356"/>
  <c r="V367" i="356"/>
  <c r="Q367" i="356"/>
  <c r="Y366" i="356"/>
  <c r="V366" i="356"/>
  <c r="Q366" i="356"/>
  <c r="AA366" i="356" s="1"/>
  <c r="Z365" i="356"/>
  <c r="R365" i="356"/>
  <c r="N365" i="356"/>
  <c r="K365" i="356"/>
  <c r="AA365" i="356" s="1"/>
  <c r="Y364" i="356"/>
  <c r="V364" i="356"/>
  <c r="Q364" i="356"/>
  <c r="N364" i="356"/>
  <c r="K364" i="356"/>
  <c r="H364" i="356"/>
  <c r="Y363" i="356"/>
  <c r="V363" i="356"/>
  <c r="Q363" i="356"/>
  <c r="R363" i="356" s="1"/>
  <c r="N363" i="356"/>
  <c r="K363" i="356"/>
  <c r="H363" i="356"/>
  <c r="Y362" i="356"/>
  <c r="V362" i="356"/>
  <c r="Q362" i="356"/>
  <c r="R362" i="356" s="1"/>
  <c r="N362" i="356"/>
  <c r="K362" i="356"/>
  <c r="H362" i="356"/>
  <c r="Y360" i="356"/>
  <c r="V360" i="356"/>
  <c r="Q360" i="356"/>
  <c r="Q358" i="356" s="1"/>
  <c r="Z358" i="356" s="1"/>
  <c r="AA359" i="356"/>
  <c r="Z359" i="356"/>
  <c r="Y359" i="356"/>
  <c r="V359" i="356"/>
  <c r="R359" i="356"/>
  <c r="AA357" i="356"/>
  <c r="Z357" i="356"/>
  <c r="R357" i="356"/>
  <c r="H357" i="356"/>
  <c r="Y356" i="356"/>
  <c r="Y355" i="356" s="1"/>
  <c r="V356" i="356"/>
  <c r="V355" i="356" s="1"/>
  <c r="Q356" i="356"/>
  <c r="Q355" i="356" s="1"/>
  <c r="N356" i="356"/>
  <c r="N355" i="356" s="1"/>
  <c r="K356" i="356"/>
  <c r="K355" i="356" s="1"/>
  <c r="H356" i="356"/>
  <c r="R351" i="356"/>
  <c r="N351" i="356"/>
  <c r="K351" i="356"/>
  <c r="Z351" i="356" s="1"/>
  <c r="H351" i="356"/>
  <c r="Y350" i="356"/>
  <c r="Y349" i="356" s="1"/>
  <c r="V350" i="356"/>
  <c r="V349" i="356" s="1"/>
  <c r="Q350" i="356"/>
  <c r="N350" i="356"/>
  <c r="K350" i="356"/>
  <c r="H350" i="356"/>
  <c r="Y348" i="356"/>
  <c r="V348" i="356"/>
  <c r="Q348" i="356"/>
  <c r="AA348" i="356" s="1"/>
  <c r="R347" i="356"/>
  <c r="N347" i="356"/>
  <c r="K347" i="356"/>
  <c r="Z347" i="356" s="1"/>
  <c r="H347" i="356"/>
  <c r="Y346" i="356"/>
  <c r="V346" i="356"/>
  <c r="Q346" i="356"/>
  <c r="N346" i="356"/>
  <c r="K346" i="356"/>
  <c r="H346" i="356"/>
  <c r="Y344" i="356"/>
  <c r="V344" i="356"/>
  <c r="Q344" i="356"/>
  <c r="R344" i="356" s="1"/>
  <c r="N344" i="356"/>
  <c r="K344" i="356"/>
  <c r="Y343" i="356"/>
  <c r="V343" i="356"/>
  <c r="Q343" i="356"/>
  <c r="AA343" i="356" s="1"/>
  <c r="N343" i="356"/>
  <c r="K343" i="356"/>
  <c r="H343" i="356"/>
  <c r="R341" i="356"/>
  <c r="N341" i="356"/>
  <c r="K341" i="356"/>
  <c r="H341" i="356"/>
  <c r="Y340" i="356"/>
  <c r="V340" i="356"/>
  <c r="Q340" i="356"/>
  <c r="N340" i="356"/>
  <c r="K340" i="356"/>
  <c r="H340" i="356"/>
  <c r="Y339" i="356"/>
  <c r="V339" i="356"/>
  <c r="Q339" i="356"/>
  <c r="R339" i="356" s="1"/>
  <c r="N339" i="356"/>
  <c r="K339" i="356"/>
  <c r="H339" i="356"/>
  <c r="Y335" i="356"/>
  <c r="V335" i="356"/>
  <c r="Q335" i="356"/>
  <c r="R335" i="356" s="1"/>
  <c r="N335" i="356"/>
  <c r="K335" i="356"/>
  <c r="H335" i="356"/>
  <c r="Y334" i="356"/>
  <c r="V334" i="356"/>
  <c r="Q334" i="356"/>
  <c r="R334" i="356" s="1"/>
  <c r="N334" i="356"/>
  <c r="K334" i="356"/>
  <c r="H334" i="356"/>
  <c r="R332" i="356"/>
  <c r="N332" i="356"/>
  <c r="K332" i="356"/>
  <c r="AA332" i="356" s="1"/>
  <c r="H332" i="356"/>
  <c r="Y331" i="356"/>
  <c r="Y329" i="356" s="1"/>
  <c r="V331" i="356"/>
  <c r="V329" i="356" s="1"/>
  <c r="Q331" i="356"/>
  <c r="R331" i="356" s="1"/>
  <c r="N331" i="356"/>
  <c r="K331" i="356"/>
  <c r="R330" i="356"/>
  <c r="N330" i="356"/>
  <c r="K330" i="356"/>
  <c r="AA330" i="356" s="1"/>
  <c r="H330" i="356"/>
  <c r="R328" i="356"/>
  <c r="N328" i="356"/>
  <c r="K328" i="356"/>
  <c r="AA328" i="356" s="1"/>
  <c r="H328" i="356"/>
  <c r="R327" i="356"/>
  <c r="N327" i="356"/>
  <c r="K327" i="356"/>
  <c r="H327" i="356"/>
  <c r="Y326" i="356"/>
  <c r="Y324" i="356" s="1"/>
  <c r="V326" i="356"/>
  <c r="V324" i="356" s="1"/>
  <c r="Q326" i="356"/>
  <c r="N326" i="356"/>
  <c r="K326" i="356"/>
  <c r="H326" i="356"/>
  <c r="R325" i="356"/>
  <c r="N325" i="356"/>
  <c r="K325" i="356"/>
  <c r="AA325" i="356" s="1"/>
  <c r="H325" i="356"/>
  <c r="Q324" i="356"/>
  <c r="Y322" i="356"/>
  <c r="V322" i="356"/>
  <c r="Q322" i="356"/>
  <c r="R322" i="356" s="1"/>
  <c r="N322" i="356"/>
  <c r="K322" i="356"/>
  <c r="H322" i="356"/>
  <c r="Y321" i="356"/>
  <c r="V321" i="356"/>
  <c r="Q321" i="356"/>
  <c r="Z321" i="356" s="1"/>
  <c r="R320" i="356"/>
  <c r="N320" i="356"/>
  <c r="K320" i="356"/>
  <c r="H320" i="356"/>
  <c r="Y319" i="356"/>
  <c r="V319" i="356"/>
  <c r="Q319" i="356"/>
  <c r="N319" i="356"/>
  <c r="K319" i="356"/>
  <c r="H319" i="356"/>
  <c r="Y315" i="356"/>
  <c r="V315" i="356"/>
  <c r="Q315" i="356"/>
  <c r="N315" i="356"/>
  <c r="K315" i="356"/>
  <c r="H315" i="356"/>
  <c r="Y314" i="356"/>
  <c r="Y312" i="356" s="1"/>
  <c r="V314" i="356"/>
  <c r="V312" i="356" s="1"/>
  <c r="Q314" i="356"/>
  <c r="R313" i="356"/>
  <c r="N313" i="356"/>
  <c r="N312" i="356" s="1"/>
  <c r="K313" i="356"/>
  <c r="H313" i="356"/>
  <c r="H312" i="356" s="1"/>
  <c r="AA311" i="356"/>
  <c r="Z311" i="356"/>
  <c r="R311" i="356"/>
  <c r="H311" i="356"/>
  <c r="Y310" i="356"/>
  <c r="Y309" i="356" s="1"/>
  <c r="V310" i="356"/>
  <c r="V309" i="356" s="1"/>
  <c r="Q310" i="356"/>
  <c r="Q309" i="356" s="1"/>
  <c r="N310" i="356"/>
  <c r="N309" i="356" s="1"/>
  <c r="K310" i="356"/>
  <c r="K309" i="356" s="1"/>
  <c r="AA309" i="356" s="1"/>
  <c r="H310" i="356"/>
  <c r="Y307" i="356"/>
  <c r="V307" i="356"/>
  <c r="Q307" i="356"/>
  <c r="AA307" i="356" s="1"/>
  <c r="Y306" i="356"/>
  <c r="V306" i="356"/>
  <c r="Q306" i="356"/>
  <c r="Z306" i="356" s="1"/>
  <c r="Y305" i="356"/>
  <c r="V305" i="356"/>
  <c r="Q305" i="356"/>
  <c r="R305" i="356" s="1"/>
  <c r="N304" i="356"/>
  <c r="K304" i="356"/>
  <c r="H304" i="356"/>
  <c r="Y300" i="356"/>
  <c r="V300" i="356"/>
  <c r="Q300" i="356"/>
  <c r="Z300" i="356" s="1"/>
  <c r="R299" i="356"/>
  <c r="N299" i="356"/>
  <c r="K299" i="356"/>
  <c r="H299" i="356"/>
  <c r="R298" i="356"/>
  <c r="N298" i="356"/>
  <c r="K298" i="356"/>
  <c r="H298" i="356"/>
  <c r="Y297" i="356"/>
  <c r="V297" i="356"/>
  <c r="Q297" i="356"/>
  <c r="N297" i="356"/>
  <c r="K297" i="356"/>
  <c r="H297" i="356"/>
  <c r="Y296" i="356"/>
  <c r="V296" i="356"/>
  <c r="Q296" i="356"/>
  <c r="R296" i="356" s="1"/>
  <c r="N296" i="356"/>
  <c r="K296" i="356"/>
  <c r="H296" i="356"/>
  <c r="Y294" i="356"/>
  <c r="V294" i="356"/>
  <c r="Q294" i="356"/>
  <c r="R294" i="356" s="1"/>
  <c r="N294" i="356"/>
  <c r="K294" i="356"/>
  <c r="H294" i="356"/>
  <c r="Y293" i="356"/>
  <c r="V293" i="356"/>
  <c r="Q293" i="356"/>
  <c r="Z293" i="356" s="1"/>
  <c r="AA292" i="356"/>
  <c r="Z292" i="356"/>
  <c r="R292" i="356"/>
  <c r="H292" i="356"/>
  <c r="AA291" i="356"/>
  <c r="Z291" i="356"/>
  <c r="R291" i="356"/>
  <c r="H291" i="356"/>
  <c r="AA290" i="356"/>
  <c r="Z290" i="356"/>
  <c r="R290" i="356"/>
  <c r="H290" i="356"/>
  <c r="Y289" i="356"/>
  <c r="Y288" i="356" s="1"/>
  <c r="V289" i="356"/>
  <c r="V288" i="356" s="1"/>
  <c r="Q289" i="356"/>
  <c r="N289" i="356"/>
  <c r="N288" i="356" s="1"/>
  <c r="K289" i="356"/>
  <c r="K288" i="356" s="1"/>
  <c r="H289" i="356"/>
  <c r="AA287" i="356"/>
  <c r="Z287" i="356"/>
  <c r="R287" i="356"/>
  <c r="Y286" i="356"/>
  <c r="V286" i="356"/>
  <c r="Q286" i="356"/>
  <c r="R286" i="356" s="1"/>
  <c r="N286" i="356"/>
  <c r="K286" i="356"/>
  <c r="H286" i="356"/>
  <c r="Y285" i="356"/>
  <c r="V285" i="356"/>
  <c r="Q285" i="356"/>
  <c r="Z285" i="356" s="1"/>
  <c r="Y284" i="356"/>
  <c r="V284" i="356"/>
  <c r="Q284" i="356"/>
  <c r="N284" i="356"/>
  <c r="K284" i="356"/>
  <c r="H284" i="356"/>
  <c r="Y280" i="356"/>
  <c r="V280" i="356"/>
  <c r="Q280" i="356"/>
  <c r="N280" i="356"/>
  <c r="K280" i="356"/>
  <c r="H280" i="356"/>
  <c r="Y279" i="356"/>
  <c r="V279" i="356"/>
  <c r="Q279" i="356"/>
  <c r="N279" i="356"/>
  <c r="K279" i="356"/>
  <c r="H279" i="356"/>
  <c r="Q277" i="356"/>
  <c r="Q276" i="356"/>
  <c r="Z276" i="356" s="1"/>
  <c r="Q275" i="356"/>
  <c r="Z275" i="356" s="1"/>
  <c r="Y274" i="356"/>
  <c r="V274" i="356"/>
  <c r="Q274" i="356"/>
  <c r="AA274" i="356" s="1"/>
  <c r="Y273" i="356"/>
  <c r="V273" i="356"/>
  <c r="Q273" i="356"/>
  <c r="AA273" i="356" s="1"/>
  <c r="Y272" i="356"/>
  <c r="V272" i="356"/>
  <c r="Q272" i="356"/>
  <c r="N272" i="356"/>
  <c r="K272" i="356"/>
  <c r="H272" i="356"/>
  <c r="R271" i="356"/>
  <c r="N271" i="356"/>
  <c r="K271" i="356"/>
  <c r="AA271" i="356" s="1"/>
  <c r="H271" i="356"/>
  <c r="Y270" i="356"/>
  <c r="V270" i="356"/>
  <c r="Q270" i="356"/>
  <c r="R270" i="356" s="1"/>
  <c r="N270" i="356"/>
  <c r="K270" i="356"/>
  <c r="H270" i="356"/>
  <c r="R269" i="356"/>
  <c r="N269" i="356"/>
  <c r="K269" i="356"/>
  <c r="Z269" i="356" s="1"/>
  <c r="H269" i="356"/>
  <c r="Y268" i="356"/>
  <c r="V268" i="356"/>
  <c r="Q268" i="356"/>
  <c r="N268" i="356"/>
  <c r="K268" i="356"/>
  <c r="H268" i="356"/>
  <c r="Y267" i="356"/>
  <c r="V267" i="356"/>
  <c r="Q267" i="356"/>
  <c r="N267" i="356"/>
  <c r="K267" i="356"/>
  <c r="H267" i="356"/>
  <c r="Y265" i="356"/>
  <c r="V265" i="356"/>
  <c r="Q265" i="356"/>
  <c r="N265" i="356"/>
  <c r="K265" i="356"/>
  <c r="H265" i="356"/>
  <c r="AA264" i="356"/>
  <c r="Z264" i="356"/>
  <c r="R264" i="356"/>
  <c r="R263" i="356"/>
  <c r="N263" i="356"/>
  <c r="K263" i="356"/>
  <c r="AA263" i="356" s="1"/>
  <c r="H263" i="356"/>
  <c r="AA262" i="356"/>
  <c r="Z262" i="356"/>
  <c r="R262" i="356"/>
  <c r="H262" i="356"/>
  <c r="R261" i="356"/>
  <c r="N261" i="356"/>
  <c r="K261" i="356"/>
  <c r="H261" i="356"/>
  <c r="Y260" i="356"/>
  <c r="Y258" i="356" s="1"/>
  <c r="V260" i="356"/>
  <c r="V258" i="356" s="1"/>
  <c r="Q260" i="356"/>
  <c r="N260" i="356"/>
  <c r="K260" i="356"/>
  <c r="R259" i="356"/>
  <c r="N259" i="356"/>
  <c r="K259" i="356"/>
  <c r="AA259" i="356" s="1"/>
  <c r="H259" i="356"/>
  <c r="AA257" i="356"/>
  <c r="Z257" i="356"/>
  <c r="R257" i="356"/>
  <c r="H257" i="356"/>
  <c r="R256" i="356"/>
  <c r="N256" i="356"/>
  <c r="K256" i="356"/>
  <c r="Z256" i="356" s="1"/>
  <c r="H256" i="356"/>
  <c r="Y255" i="356"/>
  <c r="Y254" i="356" s="1"/>
  <c r="V255" i="356"/>
  <c r="V254" i="356" s="1"/>
  <c r="Q255" i="356"/>
  <c r="N255" i="356"/>
  <c r="K255" i="356"/>
  <c r="H255" i="356"/>
  <c r="Q254" i="356"/>
  <c r="AA251" i="356"/>
  <c r="Z251" i="356"/>
  <c r="R251" i="356"/>
  <c r="AA250" i="356"/>
  <c r="Z250" i="356"/>
  <c r="R250" i="356"/>
  <c r="Y249" i="356"/>
  <c r="V249" i="356"/>
  <c r="Q249" i="356"/>
  <c r="R249" i="356" s="1"/>
  <c r="N249" i="356"/>
  <c r="K249" i="356"/>
  <c r="Y248" i="356"/>
  <c r="V248" i="356"/>
  <c r="Q248" i="356"/>
  <c r="R248" i="356" s="1"/>
  <c r="N248" i="356"/>
  <c r="K248" i="356"/>
  <c r="H248" i="356"/>
  <c r="AA247" i="356"/>
  <c r="Z247" i="356"/>
  <c r="R247" i="356"/>
  <c r="H247" i="356"/>
  <c r="H244" i="356" s="1"/>
  <c r="Q246" i="356"/>
  <c r="AA246" i="356" s="1"/>
  <c r="Y245" i="356"/>
  <c r="V245" i="356"/>
  <c r="Q245" i="356"/>
  <c r="Z245" i="356" s="1"/>
  <c r="G245" i="356"/>
  <c r="Y244" i="356"/>
  <c r="V244" i="356"/>
  <c r="Y243" i="356"/>
  <c r="Y242" i="356" s="1"/>
  <c r="V243" i="356"/>
  <c r="V242" i="356" s="1"/>
  <c r="Q243" i="356"/>
  <c r="AA243" i="356" s="1"/>
  <c r="N242" i="356"/>
  <c r="K242" i="356"/>
  <c r="H242" i="356"/>
  <c r="Y240" i="356"/>
  <c r="V240" i="356"/>
  <c r="Q240" i="356"/>
  <c r="AA240" i="356" s="1"/>
  <c r="Y239" i="356"/>
  <c r="V239" i="356"/>
  <c r="Q239" i="356"/>
  <c r="Z239" i="356" s="1"/>
  <c r="Y238" i="356"/>
  <c r="V238" i="356"/>
  <c r="Q238" i="356"/>
  <c r="Z238" i="356" s="1"/>
  <c r="Y237" i="356"/>
  <c r="V237" i="356"/>
  <c r="Q237" i="356"/>
  <c r="Z237" i="356" s="1"/>
  <c r="Y236" i="356"/>
  <c r="V236" i="356"/>
  <c r="Q236" i="356"/>
  <c r="N236" i="356"/>
  <c r="K236" i="356"/>
  <c r="H236" i="356"/>
  <c r="Y235" i="356"/>
  <c r="V235" i="356"/>
  <c r="Q235" i="356"/>
  <c r="R234" i="356"/>
  <c r="N234" i="356"/>
  <c r="K234" i="356"/>
  <c r="Z234" i="356" s="1"/>
  <c r="H234" i="356"/>
  <c r="AA233" i="356"/>
  <c r="Z233" i="356"/>
  <c r="R233" i="356"/>
  <c r="H233" i="356"/>
  <c r="Y232" i="356"/>
  <c r="V232" i="356"/>
  <c r="Q232" i="356"/>
  <c r="R232" i="356" s="1"/>
  <c r="N232" i="356"/>
  <c r="K232" i="356"/>
  <c r="H232" i="356"/>
  <c r="Y231" i="356"/>
  <c r="V231" i="356"/>
  <c r="Q231" i="356"/>
  <c r="N231" i="356"/>
  <c r="K231" i="356"/>
  <c r="H231" i="356"/>
  <c r="AA229" i="356"/>
  <c r="Z229" i="356"/>
  <c r="R229" i="356"/>
  <c r="H229" i="356"/>
  <c r="AA228" i="356"/>
  <c r="Z228" i="356"/>
  <c r="R228" i="356"/>
  <c r="H228" i="356"/>
  <c r="H227" i="356" s="1"/>
  <c r="R227" i="356"/>
  <c r="N227" i="356"/>
  <c r="K227" i="356"/>
  <c r="Z227" i="356" s="1"/>
  <c r="AA226" i="356"/>
  <c r="Z226" i="356"/>
  <c r="R226" i="356"/>
  <c r="R225" i="356"/>
  <c r="N225" i="356"/>
  <c r="K225" i="356"/>
  <c r="AA225" i="356" s="1"/>
  <c r="H225" i="356"/>
  <c r="Y224" i="356"/>
  <c r="Y223" i="356" s="1"/>
  <c r="V224" i="356"/>
  <c r="V223" i="356" s="1"/>
  <c r="Q224" i="356"/>
  <c r="Q223" i="356" s="1"/>
  <c r="R223" i="356" s="1"/>
  <c r="N224" i="356"/>
  <c r="K224" i="356"/>
  <c r="H224" i="356"/>
  <c r="Y222" i="356"/>
  <c r="V222" i="356"/>
  <c r="Q222" i="356"/>
  <c r="N222" i="356"/>
  <c r="K222" i="356"/>
  <c r="Y221" i="356"/>
  <c r="V221" i="356"/>
  <c r="Q221" i="356"/>
  <c r="Y220" i="356"/>
  <c r="V220" i="356"/>
  <c r="Q220" i="356"/>
  <c r="Z220" i="356" s="1"/>
  <c r="Y219" i="356"/>
  <c r="V219" i="356"/>
  <c r="Q219" i="356"/>
  <c r="AA219" i="356" s="1"/>
  <c r="R218" i="356"/>
  <c r="N218" i="356"/>
  <c r="K218" i="356"/>
  <c r="AA218" i="356" s="1"/>
  <c r="AA217" i="356"/>
  <c r="Z217" i="356"/>
  <c r="R217" i="356"/>
  <c r="R216" i="356"/>
  <c r="N216" i="356"/>
  <c r="K216" i="356"/>
  <c r="Y212" i="356"/>
  <c r="Y210" i="356" s="1"/>
  <c r="V212" i="356"/>
  <c r="V210" i="356" s="1"/>
  <c r="Q212" i="356"/>
  <c r="Q210" i="356" s="1"/>
  <c r="N212" i="356"/>
  <c r="N210" i="356" s="1"/>
  <c r="K212" i="356"/>
  <c r="K210" i="356" s="1"/>
  <c r="H212" i="356"/>
  <c r="AA211" i="356"/>
  <c r="Z211" i="356"/>
  <c r="R211" i="356"/>
  <c r="H211" i="356"/>
  <c r="H210" i="356" s="1"/>
  <c r="Y209" i="356"/>
  <c r="V209" i="356"/>
  <c r="Q209" i="356"/>
  <c r="N209" i="356"/>
  <c r="K209" i="356"/>
  <c r="H209" i="356"/>
  <c r="AA208" i="356"/>
  <c r="Z208" i="356"/>
  <c r="R208" i="356"/>
  <c r="AA207" i="356"/>
  <c r="Z207" i="356"/>
  <c r="R207" i="356"/>
  <c r="AA206" i="356"/>
  <c r="Z206" i="356"/>
  <c r="R206" i="356"/>
  <c r="Y205" i="356"/>
  <c r="Y203" i="356" s="1"/>
  <c r="V205" i="356"/>
  <c r="V203" i="356" s="1"/>
  <c r="Q205" i="356"/>
  <c r="N205" i="356"/>
  <c r="K205" i="356"/>
  <c r="R204" i="356"/>
  <c r="N204" i="356"/>
  <c r="K204" i="356"/>
  <c r="AA204" i="356" s="1"/>
  <c r="H204" i="356"/>
  <c r="H203" i="356" s="1"/>
  <c r="Y202" i="356"/>
  <c r="Y201" i="356" s="1"/>
  <c r="V202" i="356"/>
  <c r="V201" i="356" s="1"/>
  <c r="Q202" i="356"/>
  <c r="Q201" i="356" s="1"/>
  <c r="N202" i="356"/>
  <c r="N201" i="356" s="1"/>
  <c r="K202" i="356"/>
  <c r="K201" i="356" s="1"/>
  <c r="H202" i="356"/>
  <c r="H201" i="356" s="1"/>
  <c r="Y199" i="356"/>
  <c r="V199" i="356"/>
  <c r="Q199" i="356"/>
  <c r="AA199" i="356" s="1"/>
  <c r="AA198" i="356"/>
  <c r="Z198" i="356"/>
  <c r="R198" i="356"/>
  <c r="H198" i="356"/>
  <c r="AA197" i="356"/>
  <c r="Z197" i="356"/>
  <c r="R197" i="356"/>
  <c r="Y196" i="356"/>
  <c r="V196" i="356"/>
  <c r="Q196" i="356"/>
  <c r="N196" i="356"/>
  <c r="K196" i="356"/>
  <c r="H196" i="356"/>
  <c r="Y195" i="356"/>
  <c r="V195" i="356"/>
  <c r="Q195" i="356"/>
  <c r="N195" i="356"/>
  <c r="K195" i="356"/>
  <c r="H195" i="356"/>
  <c r="R194" i="356"/>
  <c r="N194" i="356"/>
  <c r="K194" i="356"/>
  <c r="AA194" i="356" s="1"/>
  <c r="H194" i="356"/>
  <c r="Y193" i="356"/>
  <c r="V193" i="356"/>
  <c r="Q193" i="356"/>
  <c r="N193" i="356"/>
  <c r="K193" i="356"/>
  <c r="H193" i="356"/>
  <c r="Y189" i="356"/>
  <c r="Y188" i="356" s="1"/>
  <c r="V189" i="356"/>
  <c r="V188" i="356" s="1"/>
  <c r="Q189" i="356"/>
  <c r="Q188" i="356" s="1"/>
  <c r="N189" i="356"/>
  <c r="N188" i="356" s="1"/>
  <c r="K189" i="356"/>
  <c r="K188" i="356" s="1"/>
  <c r="H189" i="356"/>
  <c r="H188" i="356" s="1"/>
  <c r="Y187" i="356"/>
  <c r="Y185" i="356" s="1"/>
  <c r="V187" i="356"/>
  <c r="V185" i="356" s="1"/>
  <c r="Q187" i="356"/>
  <c r="R186" i="356"/>
  <c r="N186" i="356"/>
  <c r="N185" i="356" s="1"/>
  <c r="K186" i="356"/>
  <c r="AA186" i="356" s="1"/>
  <c r="H186" i="356"/>
  <c r="H185" i="356" s="1"/>
  <c r="R184" i="356"/>
  <c r="N184" i="356"/>
  <c r="N183" i="356" s="1"/>
  <c r="K184" i="356"/>
  <c r="K183" i="356" s="1"/>
  <c r="R183" i="356"/>
  <c r="Y180" i="356"/>
  <c r="V180" i="356"/>
  <c r="Q180" i="356"/>
  <c r="N180" i="356"/>
  <c r="K180" i="356"/>
  <c r="H180" i="356"/>
  <c r="Y179" i="356"/>
  <c r="V179" i="356"/>
  <c r="Q179" i="356"/>
  <c r="N179" i="356"/>
  <c r="K179" i="356"/>
  <c r="H179" i="356"/>
  <c r="Y177" i="356"/>
  <c r="V177" i="356"/>
  <c r="Q177" i="356"/>
  <c r="R177" i="356" s="1"/>
  <c r="Y176" i="356"/>
  <c r="V176" i="356"/>
  <c r="Q176" i="356"/>
  <c r="R176" i="356" s="1"/>
  <c r="Y175" i="356"/>
  <c r="V175" i="356"/>
  <c r="Q175" i="356"/>
  <c r="R175" i="356" s="1"/>
  <c r="Y174" i="356"/>
  <c r="V174" i="356"/>
  <c r="Q174" i="356"/>
  <c r="R174" i="356" s="1"/>
  <c r="AA173" i="356"/>
  <c r="Z173" i="356"/>
  <c r="R173" i="356"/>
  <c r="H173" i="356"/>
  <c r="Y172" i="356"/>
  <c r="V172" i="356"/>
  <c r="Q172" i="356"/>
  <c r="N172" i="356"/>
  <c r="K172" i="356"/>
  <c r="H172" i="356"/>
  <c r="Y171" i="356"/>
  <c r="V171" i="356"/>
  <c r="Q171" i="356"/>
  <c r="R171" i="356" s="1"/>
  <c r="N171" i="356"/>
  <c r="K171" i="356"/>
  <c r="H171" i="356"/>
  <c r="Y170" i="356"/>
  <c r="V170" i="356"/>
  <c r="Q170" i="356"/>
  <c r="N170" i="356"/>
  <c r="K170" i="356"/>
  <c r="H170" i="356"/>
  <c r="Y168" i="356"/>
  <c r="V168" i="356"/>
  <c r="Q168" i="356"/>
  <c r="N168" i="356"/>
  <c r="K168" i="356"/>
  <c r="H168" i="356"/>
  <c r="Y167" i="356"/>
  <c r="V167" i="356"/>
  <c r="Q167" i="356"/>
  <c r="N167" i="356"/>
  <c r="K167" i="356"/>
  <c r="H167" i="356"/>
  <c r="R165" i="356"/>
  <c r="N165" i="356"/>
  <c r="K165" i="356"/>
  <c r="Z165" i="356" s="1"/>
  <c r="H165" i="356"/>
  <c r="Y164" i="356"/>
  <c r="Y163" i="356" s="1"/>
  <c r="V164" i="356"/>
  <c r="V163" i="356" s="1"/>
  <c r="Q164" i="356"/>
  <c r="N164" i="356"/>
  <c r="K164" i="356"/>
  <c r="H164" i="356"/>
  <c r="Q163" i="356"/>
  <c r="R163" i="356" s="1"/>
  <c r="R162" i="356"/>
  <c r="N162" i="356"/>
  <c r="N159" i="356" s="1"/>
  <c r="K162" i="356"/>
  <c r="Z162" i="356" s="1"/>
  <c r="H162" i="356"/>
  <c r="H159" i="356" s="1"/>
  <c r="AA161" i="356"/>
  <c r="Z161" i="356"/>
  <c r="R161" i="356"/>
  <c r="Y160" i="356"/>
  <c r="Y159" i="356" s="1"/>
  <c r="V160" i="356"/>
  <c r="V159" i="356" s="1"/>
  <c r="Q160" i="356"/>
  <c r="Y156" i="356"/>
  <c r="V156" i="356"/>
  <c r="Q156" i="356"/>
  <c r="N156" i="356"/>
  <c r="K156" i="356"/>
  <c r="H156" i="356"/>
  <c r="Y155" i="356"/>
  <c r="V155" i="356"/>
  <c r="Q155" i="356"/>
  <c r="N155" i="356"/>
  <c r="K155" i="356"/>
  <c r="Y154" i="356"/>
  <c r="V154" i="356"/>
  <c r="Q154" i="356"/>
  <c r="N154" i="356"/>
  <c r="K154" i="356"/>
  <c r="H154" i="356"/>
  <c r="Y152" i="356"/>
  <c r="Y153" i="356" s="1"/>
  <c r="V152" i="356"/>
  <c r="V153" i="356" s="1"/>
  <c r="Q152" i="356"/>
  <c r="AA152" i="356" s="1"/>
  <c r="Y151" i="356"/>
  <c r="V151" i="356"/>
  <c r="Q151" i="356"/>
  <c r="Z151" i="356" s="1"/>
  <c r="Y150" i="356"/>
  <c r="V150" i="356"/>
  <c r="Q150" i="356"/>
  <c r="Y149" i="356"/>
  <c r="V149" i="356"/>
  <c r="Q149" i="356"/>
  <c r="R149" i="356" s="1"/>
  <c r="S146" i="356"/>
  <c r="R72" i="356"/>
  <c r="N72" i="356"/>
  <c r="K72" i="356"/>
  <c r="H72" i="356"/>
  <c r="Y71" i="356"/>
  <c r="Y426" i="356" s="1"/>
  <c r="V71" i="356"/>
  <c r="V426" i="356" s="1"/>
  <c r="Q71" i="356"/>
  <c r="R71" i="356" s="1"/>
  <c r="Y70" i="356"/>
  <c r="V70" i="356"/>
  <c r="Q70" i="356"/>
  <c r="Z70" i="356" s="1"/>
  <c r="Y69" i="356"/>
  <c r="V69" i="356"/>
  <c r="Q69" i="356"/>
  <c r="N69" i="356"/>
  <c r="N68" i="356" s="1"/>
  <c r="K69" i="356"/>
  <c r="K68" i="356" s="1"/>
  <c r="H69" i="356"/>
  <c r="H68" i="356" s="1"/>
  <c r="Z67" i="356"/>
  <c r="R67" i="356"/>
  <c r="N67" i="356"/>
  <c r="K67" i="356"/>
  <c r="AA67" i="356" s="1"/>
  <c r="H67" i="356"/>
  <c r="R66" i="356"/>
  <c r="N66" i="356"/>
  <c r="K66" i="356"/>
  <c r="H66" i="356"/>
  <c r="R65" i="356"/>
  <c r="AA64" i="356"/>
  <c r="Z64" i="356"/>
  <c r="R64" i="356"/>
  <c r="R63" i="356"/>
  <c r="N63" i="356"/>
  <c r="K63" i="356"/>
  <c r="Z63" i="356" s="1"/>
  <c r="H63" i="356"/>
  <c r="Y62" i="356"/>
  <c r="V62" i="356"/>
  <c r="Q62" i="356"/>
  <c r="R62" i="356" s="1"/>
  <c r="N62" i="356"/>
  <c r="K62" i="356"/>
  <c r="H62" i="356"/>
  <c r="Y61" i="356"/>
  <c r="V61" i="356"/>
  <c r="Q61" i="356"/>
  <c r="N61" i="356"/>
  <c r="K61" i="356"/>
  <c r="H61" i="356"/>
  <c r="Y58" i="356"/>
  <c r="V58" i="356"/>
  <c r="Q58" i="356"/>
  <c r="R58" i="356" s="1"/>
  <c r="N58" i="356"/>
  <c r="K58" i="356"/>
  <c r="H58" i="356"/>
  <c r="R57" i="356"/>
  <c r="N57" i="356"/>
  <c r="K57" i="356"/>
  <c r="H57" i="356"/>
  <c r="R56" i="356"/>
  <c r="N56" i="356"/>
  <c r="K56" i="356"/>
  <c r="Z56" i="356" s="1"/>
  <c r="H56" i="356"/>
  <c r="Y55" i="356"/>
  <c r="V55" i="356"/>
  <c r="Q55" i="356"/>
  <c r="N55" i="356"/>
  <c r="K55" i="356"/>
  <c r="H55" i="356"/>
  <c r="Y54" i="356"/>
  <c r="V54" i="356"/>
  <c r="Q54" i="356"/>
  <c r="N54" i="356"/>
  <c r="K54" i="356"/>
  <c r="H54" i="356"/>
  <c r="Y49" i="356"/>
  <c r="V49" i="356"/>
  <c r="Q49" i="356"/>
  <c r="K49" i="356"/>
  <c r="H49" i="356"/>
  <c r="R48" i="356"/>
  <c r="K48" i="356"/>
  <c r="Z48" i="356" s="1"/>
  <c r="H48" i="356"/>
  <c r="Y47" i="356"/>
  <c r="Y50" i="356" s="1"/>
  <c r="V47" i="356"/>
  <c r="Q47" i="356"/>
  <c r="K47" i="356"/>
  <c r="H47" i="356"/>
  <c r="R45" i="356"/>
  <c r="K45" i="356"/>
  <c r="K44" i="356" s="1"/>
  <c r="H45" i="356"/>
  <c r="H44" i="356" s="1"/>
  <c r="R44" i="356"/>
  <c r="Y43" i="356"/>
  <c r="V43" i="356"/>
  <c r="Q43" i="356"/>
  <c r="K43" i="356"/>
  <c r="H43" i="356"/>
  <c r="AA42" i="356"/>
  <c r="Z42" i="356"/>
  <c r="R42" i="356"/>
  <c r="H42" i="356"/>
  <c r="AA41" i="356"/>
  <c r="Z41" i="356"/>
  <c r="R41" i="356"/>
  <c r="H41" i="356"/>
  <c r="Y40" i="356"/>
  <c r="Y38" i="356" s="1"/>
  <c r="V40" i="356"/>
  <c r="V38" i="356" s="1"/>
  <c r="Q40" i="356"/>
  <c r="Q38" i="356" s="1"/>
  <c r="K40" i="356"/>
  <c r="K38" i="356" s="1"/>
  <c r="H40" i="356"/>
  <c r="AA39" i="356"/>
  <c r="Z39" i="356"/>
  <c r="R39" i="356"/>
  <c r="H39" i="356"/>
  <c r="Y37" i="356"/>
  <c r="V37" i="356"/>
  <c r="Q37" i="356"/>
  <c r="K37" i="356"/>
  <c r="H37" i="356"/>
  <c r="R36" i="356"/>
  <c r="K36" i="356"/>
  <c r="AA36" i="356" s="1"/>
  <c r="H36" i="356"/>
  <c r="Y35" i="356"/>
  <c r="V35" i="356"/>
  <c r="Q35" i="356"/>
  <c r="K35" i="356"/>
  <c r="H35" i="356"/>
  <c r="N33" i="356"/>
  <c r="N32" i="356" s="1"/>
  <c r="Y30" i="356"/>
  <c r="V30" i="356"/>
  <c r="Q30" i="356"/>
  <c r="N30" i="356"/>
  <c r="K30" i="356"/>
  <c r="H30" i="356"/>
  <c r="Y29" i="356"/>
  <c r="V29" i="356"/>
  <c r="Q29" i="356"/>
  <c r="AA29" i="356" s="1"/>
  <c r="R28" i="356"/>
  <c r="N28" i="356"/>
  <c r="K28" i="356"/>
  <c r="Z28" i="356" s="1"/>
  <c r="H28" i="356"/>
  <c r="Y27" i="356"/>
  <c r="V27" i="356"/>
  <c r="Q27" i="356"/>
  <c r="N27" i="356"/>
  <c r="K27" i="356"/>
  <c r="H27" i="356"/>
  <c r="Y25" i="356"/>
  <c r="Y24" i="356" s="1"/>
  <c r="V25" i="356"/>
  <c r="V24" i="356" s="1"/>
  <c r="Q25" i="356"/>
  <c r="Z25" i="356" s="1"/>
  <c r="N24" i="356"/>
  <c r="K24" i="356"/>
  <c r="H24" i="356"/>
  <c r="R23" i="356"/>
  <c r="N23" i="356"/>
  <c r="K23" i="356"/>
  <c r="Z23" i="356" s="1"/>
  <c r="H23" i="356"/>
  <c r="AA22" i="356"/>
  <c r="Z22" i="356"/>
  <c r="R22" i="356"/>
  <c r="H22" i="356"/>
  <c r="Y21" i="356"/>
  <c r="V21" i="356"/>
  <c r="Q21" i="356"/>
  <c r="N21" i="356"/>
  <c r="K21" i="356"/>
  <c r="H21" i="356"/>
  <c r="Y20" i="356"/>
  <c r="V20" i="356"/>
  <c r="Q20" i="356"/>
  <c r="N20" i="356"/>
  <c r="K20" i="356"/>
  <c r="H20" i="356"/>
  <c r="R19" i="356"/>
  <c r="N19" i="356"/>
  <c r="K19" i="356"/>
  <c r="Z19" i="356" s="1"/>
  <c r="H19" i="356"/>
  <c r="R18" i="356"/>
  <c r="N18" i="356"/>
  <c r="K18" i="356"/>
  <c r="AA18" i="356" s="1"/>
  <c r="H18" i="356"/>
  <c r="T17" i="356"/>
  <c r="W17" i="356" s="1"/>
  <c r="Y17" i="356" s="1"/>
  <c r="Y16" i="356" s="1"/>
  <c r="Q17" i="356"/>
  <c r="R17" i="356" s="1"/>
  <c r="N17" i="356"/>
  <c r="K17" i="356"/>
  <c r="H17" i="356"/>
  <c r="Q16" i="356"/>
  <c r="R15" i="356"/>
  <c r="N15" i="356"/>
  <c r="K15" i="356"/>
  <c r="AA15" i="356" s="1"/>
  <c r="H15" i="356"/>
  <c r="Y14" i="356"/>
  <c r="Y12" i="356" s="1"/>
  <c r="V14" i="356"/>
  <c r="V12" i="356" s="1"/>
  <c r="Q14" i="356"/>
  <c r="N14" i="356"/>
  <c r="K14" i="356"/>
  <c r="AA13" i="356"/>
  <c r="Z13" i="356"/>
  <c r="R13" i="356"/>
  <c r="H13" i="356"/>
  <c r="V23" i="355"/>
  <c r="T23" i="355"/>
  <c r="T22" i="355"/>
  <c r="M28" i="355"/>
  <c r="J28" i="355"/>
  <c r="H28" i="355"/>
  <c r="W27" i="355"/>
  <c r="F27" i="355"/>
  <c r="M26" i="355"/>
  <c r="F25" i="355"/>
  <c r="M24" i="355"/>
  <c r="J24" i="355"/>
  <c r="K24" i="355" s="1"/>
  <c r="H24" i="355" s="1"/>
  <c r="P23" i="355"/>
  <c r="P22" i="355"/>
  <c r="G22" i="355"/>
  <c r="K21" i="355"/>
  <c r="H21" i="355"/>
  <c r="K20" i="355"/>
  <c r="H20" i="355" s="1"/>
  <c r="G20" i="355"/>
  <c r="D20" i="355"/>
  <c r="W18" i="355"/>
  <c r="X18" i="355" s="1"/>
  <c r="X30" i="355" s="1"/>
  <c r="T18" i="355"/>
  <c r="U18" i="355" s="1"/>
  <c r="Q18" i="355"/>
  <c r="Q30" i="355" s="1"/>
  <c r="Q40" i="355" s="1"/>
  <c r="N18" i="355"/>
  <c r="N30" i="355" s="1"/>
  <c r="K18" i="355"/>
  <c r="H18" i="355" s="1"/>
  <c r="G18" i="355"/>
  <c r="D18" i="355"/>
  <c r="D30" i="355" s="1"/>
  <c r="X40" i="355" l="1"/>
  <c r="E21" i="151"/>
  <c r="Y169" i="356"/>
  <c r="S136" i="361"/>
  <c r="V136" i="361"/>
  <c r="AA194" i="363"/>
  <c r="Z194" i="363"/>
  <c r="AA246" i="359"/>
  <c r="Z246" i="359"/>
  <c r="N67" i="361"/>
  <c r="X67" i="361" s="1"/>
  <c r="X69" i="361"/>
  <c r="X234" i="362"/>
  <c r="D11" i="147"/>
  <c r="W40" i="358"/>
  <c r="Z116" i="356"/>
  <c r="Z139" i="359"/>
  <c r="Q203" i="359"/>
  <c r="AA332" i="359"/>
  <c r="Z332" i="359"/>
  <c r="U13" i="361"/>
  <c r="W218" i="361"/>
  <c r="W234" i="361" s="1"/>
  <c r="S128" i="361"/>
  <c r="S153" i="361"/>
  <c r="S173" i="361"/>
  <c r="V173" i="361"/>
  <c r="V138" i="362"/>
  <c r="X138" i="362"/>
  <c r="Y138" i="362" s="1"/>
  <c r="S138" i="362"/>
  <c r="X150" i="362"/>
  <c r="Y150" i="362" s="1"/>
  <c r="S150" i="362"/>
  <c r="Z212" i="363"/>
  <c r="K210" i="363"/>
  <c r="K423" i="363"/>
  <c r="AA369" i="363"/>
  <c r="Q144" i="356"/>
  <c r="AA138" i="356"/>
  <c r="V120" i="356"/>
  <c r="Y90" i="356"/>
  <c r="Y86" i="356" s="1"/>
  <c r="Z84" i="356"/>
  <c r="AA80" i="356"/>
  <c r="V171" i="358"/>
  <c r="W167" i="358"/>
  <c r="V166" i="358"/>
  <c r="J165" i="358"/>
  <c r="W159" i="358"/>
  <c r="X149" i="358"/>
  <c r="Y149" i="358" s="1"/>
  <c r="V148" i="358"/>
  <c r="W141" i="358"/>
  <c r="W123" i="358"/>
  <c r="Z14" i="359"/>
  <c r="V17" i="359"/>
  <c r="V16" i="359" s="1"/>
  <c r="W17" i="359"/>
  <c r="Y17" i="359" s="1"/>
  <c r="Y16" i="359" s="1"/>
  <c r="H34" i="359"/>
  <c r="H424" i="359" s="1"/>
  <c r="Z36" i="359"/>
  <c r="K91" i="359"/>
  <c r="AA99" i="359"/>
  <c r="Z165" i="359"/>
  <c r="AA165" i="359"/>
  <c r="Y178" i="359"/>
  <c r="N333" i="359"/>
  <c r="N342" i="359"/>
  <c r="N338" i="359" s="1"/>
  <c r="N337" i="359" s="1"/>
  <c r="N336" i="359" s="1"/>
  <c r="K19" i="360"/>
  <c r="O75" i="361"/>
  <c r="V128" i="361"/>
  <c r="S145" i="361"/>
  <c r="V153" i="361"/>
  <c r="W173" i="361"/>
  <c r="W128" i="362"/>
  <c r="R126" i="362"/>
  <c r="W126" i="362" s="1"/>
  <c r="N169" i="362"/>
  <c r="W179" i="362"/>
  <c r="V179" i="362"/>
  <c r="Z349" i="363"/>
  <c r="Z351" i="363"/>
  <c r="AA351" i="363"/>
  <c r="K349" i="363"/>
  <c r="F142" i="358"/>
  <c r="AA341" i="359"/>
  <c r="Z341" i="359"/>
  <c r="Q37" i="360"/>
  <c r="X37" i="360" s="1"/>
  <c r="X39" i="360"/>
  <c r="O85" i="362"/>
  <c r="X141" i="358"/>
  <c r="Y141" i="358" s="1"/>
  <c r="AA63" i="359"/>
  <c r="Z63" i="359"/>
  <c r="V91" i="359"/>
  <c r="W127" i="361"/>
  <c r="V127" i="361"/>
  <c r="V203" i="361"/>
  <c r="W181" i="362"/>
  <c r="V181" i="362"/>
  <c r="T18" i="357"/>
  <c r="T13" i="357" s="1"/>
  <c r="Z132" i="356"/>
  <c r="V141" i="358"/>
  <c r="V137" i="358"/>
  <c r="V221" i="358" s="1"/>
  <c r="V239" i="358" s="1"/>
  <c r="V136" i="358"/>
  <c r="V133" i="358"/>
  <c r="K31" i="359"/>
  <c r="K26" i="359" s="1"/>
  <c r="Z130" i="359"/>
  <c r="AA130" i="359"/>
  <c r="Z138" i="359"/>
  <c r="AA139" i="359"/>
  <c r="AA236" i="359"/>
  <c r="N329" i="359"/>
  <c r="H30" i="360"/>
  <c r="H29" i="360" s="1"/>
  <c r="W36" i="361"/>
  <c r="V36" i="361"/>
  <c r="R142" i="361"/>
  <c r="W152" i="361"/>
  <c r="S201" i="361"/>
  <c r="W201" i="361"/>
  <c r="W203" i="361"/>
  <c r="AA195" i="356"/>
  <c r="N33" i="357"/>
  <c r="N30" i="357" s="1"/>
  <c r="Q42" i="357"/>
  <c r="X44" i="357"/>
  <c r="O46" i="357"/>
  <c r="Z138" i="356"/>
  <c r="S132" i="356"/>
  <c r="S123" i="356"/>
  <c r="N120" i="356"/>
  <c r="AA102" i="356"/>
  <c r="H98" i="356"/>
  <c r="V91" i="356"/>
  <c r="N91" i="356"/>
  <c r="Z87" i="356"/>
  <c r="R84" i="356"/>
  <c r="S166" i="358"/>
  <c r="U155" i="358"/>
  <c r="V160" i="358"/>
  <c r="S149" i="358"/>
  <c r="S137" i="358"/>
  <c r="S221" i="358" s="1"/>
  <c r="W127" i="358"/>
  <c r="F121" i="358"/>
  <c r="H38" i="359"/>
  <c r="Z55" i="359"/>
  <c r="AA138" i="359"/>
  <c r="Z142" i="359"/>
  <c r="Q159" i="359"/>
  <c r="N203" i="359"/>
  <c r="H223" i="359"/>
  <c r="Z227" i="359"/>
  <c r="AA232" i="359"/>
  <c r="N283" i="359"/>
  <c r="H283" i="359"/>
  <c r="AA297" i="359"/>
  <c r="V301" i="359"/>
  <c r="R307" i="359"/>
  <c r="Z315" i="359"/>
  <c r="Y14" i="360"/>
  <c r="X15" i="360"/>
  <c r="H34" i="360"/>
  <c r="X43" i="360"/>
  <c r="W42" i="360"/>
  <c r="W22" i="361"/>
  <c r="S22" i="361"/>
  <c r="S35" i="361"/>
  <c r="W35" i="361"/>
  <c r="S36" i="361"/>
  <c r="K86" i="361"/>
  <c r="K85" i="361" s="1"/>
  <c r="R121" i="361"/>
  <c r="V121" i="361" s="1"/>
  <c r="R126" i="361"/>
  <c r="W126" i="361" s="1"/>
  <c r="V145" i="361"/>
  <c r="S148" i="361"/>
  <c r="N169" i="361"/>
  <c r="W177" i="361"/>
  <c r="V177" i="361"/>
  <c r="V201" i="361"/>
  <c r="S42" i="362"/>
  <c r="R41" i="362"/>
  <c r="V41" i="362" s="1"/>
  <c r="F218" i="362"/>
  <c r="F234" i="362" s="1"/>
  <c r="F114" i="362"/>
  <c r="R182" i="362"/>
  <c r="V182" i="362" s="1"/>
  <c r="V177" i="362"/>
  <c r="H98" i="363"/>
  <c r="F45" i="362"/>
  <c r="V68" i="362"/>
  <c r="U82" i="362"/>
  <c r="W123" i="362"/>
  <c r="W148" i="362"/>
  <c r="J165" i="362"/>
  <c r="AA17" i="363"/>
  <c r="V68" i="363"/>
  <c r="N115" i="363"/>
  <c r="Z119" i="363"/>
  <c r="Q120" i="363"/>
  <c r="AA171" i="363"/>
  <c r="N182" i="363"/>
  <c r="N181" i="363" s="1"/>
  <c r="Z236" i="363"/>
  <c r="H283" i="363"/>
  <c r="R393" i="363"/>
  <c r="Z395" i="363"/>
  <c r="F37" i="362"/>
  <c r="F32" i="362" s="1"/>
  <c r="S34" i="362"/>
  <c r="V52" i="362"/>
  <c r="S68" i="362"/>
  <c r="U74" i="362"/>
  <c r="U71" i="362" s="1"/>
  <c r="U216" i="362" s="1"/>
  <c r="U231" i="362" s="1"/>
  <c r="G75" i="362"/>
  <c r="V85" i="362"/>
  <c r="S132" i="362"/>
  <c r="W150" i="362"/>
  <c r="W172" i="362"/>
  <c r="E11" i="147"/>
  <c r="AA14" i="363"/>
  <c r="Q31" i="363"/>
  <c r="Q26" i="363" s="1"/>
  <c r="Z35" i="363"/>
  <c r="Z37" i="363"/>
  <c r="H38" i="363"/>
  <c r="Q98" i="363"/>
  <c r="Z98" i="363" s="1"/>
  <c r="S136" i="363"/>
  <c r="S138" i="363"/>
  <c r="H147" i="363"/>
  <c r="H146" i="363" s="1"/>
  <c r="Q244" i="363"/>
  <c r="Z244" i="363" s="1"/>
  <c r="AA265" i="363"/>
  <c r="K283" i="363"/>
  <c r="Y283" i="363"/>
  <c r="AA286" i="363"/>
  <c r="H323" i="363"/>
  <c r="Z340" i="363"/>
  <c r="Z343" i="363"/>
  <c r="V386" i="363"/>
  <c r="Z391" i="363"/>
  <c r="Z414" i="363"/>
  <c r="H98" i="359"/>
  <c r="N163" i="359"/>
  <c r="H182" i="359"/>
  <c r="H181" i="359" s="1"/>
  <c r="Z193" i="359"/>
  <c r="Z279" i="359"/>
  <c r="Z339" i="359"/>
  <c r="K368" i="359"/>
  <c r="K361" i="359" s="1"/>
  <c r="H361" i="359"/>
  <c r="K423" i="359"/>
  <c r="N18" i="360"/>
  <c r="N13" i="360" s="1"/>
  <c r="H19" i="360"/>
  <c r="T49" i="360"/>
  <c r="O46" i="360"/>
  <c r="F37" i="361"/>
  <c r="U86" i="361"/>
  <c r="U85" i="361" s="1"/>
  <c r="O86" i="361"/>
  <c r="O85" i="361" s="1"/>
  <c r="J121" i="361"/>
  <c r="V148" i="361"/>
  <c r="V171" i="361"/>
  <c r="N420" i="363"/>
  <c r="Y425" i="363"/>
  <c r="Y166" i="363"/>
  <c r="Q178" i="363"/>
  <c r="Q200" i="363"/>
  <c r="N329" i="363"/>
  <c r="W198" i="367"/>
  <c r="R428" i="368"/>
  <c r="R429" i="368" s="1"/>
  <c r="AA303" i="368"/>
  <c r="R303" i="368"/>
  <c r="Z303" i="368"/>
  <c r="AA253" i="368"/>
  <c r="Z253" i="368"/>
  <c r="R253" i="368"/>
  <c r="Z191" i="368"/>
  <c r="R191" i="368"/>
  <c r="AA191" i="368"/>
  <c r="S428" i="368"/>
  <c r="S429" i="368" s="1"/>
  <c r="S74" i="368"/>
  <c r="S10" i="368" s="1"/>
  <c r="AD7" i="368" s="1"/>
  <c r="AA353" i="368"/>
  <c r="R353" i="368"/>
  <c r="Z353" i="368"/>
  <c r="Q10" i="368"/>
  <c r="AA74" i="368"/>
  <c r="Z74" i="368"/>
  <c r="AD74" i="368" s="1"/>
  <c r="V198" i="367"/>
  <c r="V178" i="367"/>
  <c r="Y11" i="366"/>
  <c r="X11" i="366"/>
  <c r="AC169" i="367"/>
  <c r="V169" i="367"/>
  <c r="R174" i="367"/>
  <c r="W174" i="367" s="1"/>
  <c r="S169" i="367"/>
  <c r="S174" i="367" s="1"/>
  <c r="W169" i="367"/>
  <c r="AA244" i="363"/>
  <c r="W17" i="363"/>
  <c r="Y17" i="363" s="1"/>
  <c r="Y16" i="363" s="1"/>
  <c r="AA30" i="363"/>
  <c r="Z40" i="363"/>
  <c r="H50" i="363"/>
  <c r="H46" i="363" s="1"/>
  <c r="Q59" i="363"/>
  <c r="H60" i="363"/>
  <c r="Z63" i="363"/>
  <c r="Z78" i="363"/>
  <c r="K90" i="363"/>
  <c r="K86" i="363" s="1"/>
  <c r="S100" i="363"/>
  <c r="S102" i="363"/>
  <c r="AA106" i="363"/>
  <c r="R122" i="363"/>
  <c r="R120" i="363" s="1"/>
  <c r="AA123" i="363"/>
  <c r="S137" i="363"/>
  <c r="Z144" i="363"/>
  <c r="H178" i="363"/>
  <c r="Z172" i="363"/>
  <c r="K185" i="363"/>
  <c r="Z185" i="363" s="1"/>
  <c r="R199" i="363"/>
  <c r="Z204" i="363"/>
  <c r="V215" i="363"/>
  <c r="Z222" i="363"/>
  <c r="AA246" i="363"/>
  <c r="AA277" i="363"/>
  <c r="Z298" i="363"/>
  <c r="V337" i="363"/>
  <c r="V336" i="363" s="1"/>
  <c r="AA347" i="363"/>
  <c r="H349" i="363"/>
  <c r="R350" i="363"/>
  <c r="Q379" i="363"/>
  <c r="Q376" i="363" s="1"/>
  <c r="Z392" i="363"/>
  <c r="R395" i="363"/>
  <c r="H59" i="363"/>
  <c r="H53" i="363" s="1"/>
  <c r="K60" i="363"/>
  <c r="Y60" i="363"/>
  <c r="Z62" i="363"/>
  <c r="AA78" i="363"/>
  <c r="V90" i="363"/>
  <c r="V86" i="363" s="1"/>
  <c r="Z94" i="363"/>
  <c r="Y115" i="363"/>
  <c r="AA137" i="363"/>
  <c r="K254" i="363"/>
  <c r="AA254" i="363" s="1"/>
  <c r="AA260" i="363"/>
  <c r="Z272" i="363"/>
  <c r="AA284" i="363"/>
  <c r="H318" i="363"/>
  <c r="K323" i="363"/>
  <c r="H371" i="363"/>
  <c r="H12" i="363"/>
  <c r="H31" i="363"/>
  <c r="H26" i="363" s="1"/>
  <c r="Z82" i="363"/>
  <c r="H90" i="363"/>
  <c r="H86" i="363" s="1"/>
  <c r="K91" i="363"/>
  <c r="Z91" i="363" s="1"/>
  <c r="Y91" i="363"/>
  <c r="H91" i="363"/>
  <c r="S124" i="363"/>
  <c r="S120" i="363" s="1"/>
  <c r="S141" i="363"/>
  <c r="Z145" i="363"/>
  <c r="H163" i="363"/>
  <c r="R164" i="363"/>
  <c r="N178" i="363"/>
  <c r="N169" i="363" s="1"/>
  <c r="H182" i="363"/>
  <c r="H181" i="363" s="1"/>
  <c r="Y215" i="363"/>
  <c r="R237" i="363"/>
  <c r="Z256" i="363"/>
  <c r="R272" i="363"/>
  <c r="Z276" i="363"/>
  <c r="V283" i="363"/>
  <c r="R293" i="363"/>
  <c r="AA310" i="363"/>
  <c r="K312" i="363"/>
  <c r="K303" i="363" s="1"/>
  <c r="K302" i="363" s="1"/>
  <c r="Z315" i="363"/>
  <c r="AA322" i="363"/>
  <c r="Z327" i="363"/>
  <c r="K345" i="363"/>
  <c r="R348" i="363"/>
  <c r="Y379" i="363"/>
  <c r="Y376" i="363" s="1"/>
  <c r="Q411" i="363"/>
  <c r="R411" i="363" s="1"/>
  <c r="AA25" i="363"/>
  <c r="AA93" i="363"/>
  <c r="AA94" i="363"/>
  <c r="AA121" i="363"/>
  <c r="AA139" i="363"/>
  <c r="S139" i="363"/>
  <c r="Z139" i="363"/>
  <c r="Z387" i="363"/>
  <c r="R387" i="363"/>
  <c r="Q386" i="363"/>
  <c r="Q403" i="363"/>
  <c r="R403" i="363" s="1"/>
  <c r="R398" i="363"/>
  <c r="K12" i="363"/>
  <c r="N16" i="363"/>
  <c r="N422" i="363"/>
  <c r="Z23" i="363"/>
  <c r="H34" i="363"/>
  <c r="H33" i="363" s="1"/>
  <c r="H32" i="363" s="1"/>
  <c r="V34" i="363"/>
  <c r="V33" i="363" s="1"/>
  <c r="V32" i="363" s="1"/>
  <c r="Q38" i="363"/>
  <c r="AA45" i="363"/>
  <c r="AA48" i="363"/>
  <c r="Y59" i="363"/>
  <c r="AA55" i="363"/>
  <c r="Q60" i="363"/>
  <c r="R60" i="363" s="1"/>
  <c r="Z61" i="363"/>
  <c r="AA62" i="363"/>
  <c r="Z67" i="363"/>
  <c r="R71" i="363"/>
  <c r="R426" i="363" s="1"/>
  <c r="Y79" i="363"/>
  <c r="Y76" i="363" s="1"/>
  <c r="Y75" i="363" s="1"/>
  <c r="Q425" i="363"/>
  <c r="AA80" i="363"/>
  <c r="K75" i="363"/>
  <c r="Z84" i="363"/>
  <c r="AA84" i="363"/>
  <c r="Y90" i="363"/>
  <c r="V91" i="363"/>
  <c r="AA96" i="363"/>
  <c r="V420" i="363"/>
  <c r="Z102" i="363"/>
  <c r="R108" i="363"/>
  <c r="AA110" i="363"/>
  <c r="Z114" i="363"/>
  <c r="K147" i="363"/>
  <c r="K146" i="363" s="1"/>
  <c r="Z160" i="363"/>
  <c r="Q159" i="363"/>
  <c r="Z159" i="363" s="1"/>
  <c r="Z171" i="363"/>
  <c r="R171" i="363"/>
  <c r="Z220" i="363"/>
  <c r="R220" i="363"/>
  <c r="K223" i="363"/>
  <c r="AA227" i="363"/>
  <c r="Z227" i="363"/>
  <c r="Z307" i="363"/>
  <c r="R307" i="363"/>
  <c r="H324" i="363"/>
  <c r="Z344" i="363"/>
  <c r="R344" i="363"/>
  <c r="N349" i="363"/>
  <c r="Z369" i="363"/>
  <c r="R369" i="363"/>
  <c r="AA384" i="363"/>
  <c r="Z384" i="363"/>
  <c r="K50" i="363"/>
  <c r="Q12" i="363"/>
  <c r="R12" i="363" s="1"/>
  <c r="Z15" i="363"/>
  <c r="H16" i="363"/>
  <c r="Z18" i="363"/>
  <c r="V31" i="363"/>
  <c r="V26" i="363" s="1"/>
  <c r="V11" i="363" s="1"/>
  <c r="K34" i="363"/>
  <c r="AA37" i="363"/>
  <c r="AA40" i="363"/>
  <c r="Y50" i="363"/>
  <c r="Y46" i="363" s="1"/>
  <c r="Y33" i="363" s="1"/>
  <c r="Y32" i="363" s="1"/>
  <c r="N59" i="363"/>
  <c r="N53" i="363" s="1"/>
  <c r="H425" i="363"/>
  <c r="R425" i="363"/>
  <c r="N75" i="363"/>
  <c r="H75" i="363"/>
  <c r="N90" i="363"/>
  <c r="N86" i="363" s="1"/>
  <c r="N85" i="363" s="1"/>
  <c r="Y420" i="363"/>
  <c r="Q115" i="363"/>
  <c r="S117" i="363"/>
  <c r="S115" i="363" s="1"/>
  <c r="N158" i="363"/>
  <c r="N157" i="363" s="1"/>
  <c r="AA202" i="363"/>
  <c r="Q201" i="363"/>
  <c r="Z201" i="363" s="1"/>
  <c r="AA261" i="363"/>
  <c r="Z261" i="363"/>
  <c r="R275" i="363"/>
  <c r="Z275" i="363"/>
  <c r="AA275" i="363"/>
  <c r="Z305" i="363"/>
  <c r="R305" i="363"/>
  <c r="Z310" i="363"/>
  <c r="R310" i="363"/>
  <c r="Q309" i="363"/>
  <c r="AA325" i="363"/>
  <c r="Z325" i="363"/>
  <c r="Z341" i="363"/>
  <c r="AA341" i="363"/>
  <c r="AA387" i="363"/>
  <c r="AA390" i="363"/>
  <c r="Z390" i="363"/>
  <c r="Q34" i="363"/>
  <c r="AA142" i="363"/>
  <c r="S142" i="363"/>
  <c r="S422" i="363" s="1"/>
  <c r="Z142" i="363"/>
  <c r="Z218" i="363"/>
  <c r="AA218" i="363"/>
  <c r="V241" i="363"/>
  <c r="V230" i="363" s="1"/>
  <c r="Z284" i="363"/>
  <c r="R284" i="363"/>
  <c r="N12" i="363"/>
  <c r="Z21" i="363"/>
  <c r="AA21" i="363"/>
  <c r="R25" i="363"/>
  <c r="Z30" i="363"/>
  <c r="R37" i="363"/>
  <c r="K38" i="363"/>
  <c r="R40" i="363"/>
  <c r="K44" i="363"/>
  <c r="AA44" i="363" s="1"/>
  <c r="Z47" i="363"/>
  <c r="AA47" i="363"/>
  <c r="Z58" i="363"/>
  <c r="N60" i="363"/>
  <c r="R62" i="363"/>
  <c r="Z69" i="363"/>
  <c r="AA69" i="363"/>
  <c r="AA71" i="363"/>
  <c r="S93" i="363"/>
  <c r="S91" i="363" s="1"/>
  <c r="S94" i="363"/>
  <c r="AA97" i="363"/>
  <c r="N113" i="363"/>
  <c r="N104" i="363" s="1"/>
  <c r="N103" i="363" s="1"/>
  <c r="AA108" i="363"/>
  <c r="AA117" i="363"/>
  <c r="Z195" i="363"/>
  <c r="N203" i="363"/>
  <c r="AA330" i="363"/>
  <c r="Z330" i="363"/>
  <c r="H345" i="363"/>
  <c r="Q153" i="363"/>
  <c r="Z153" i="363" s="1"/>
  <c r="AA149" i="363"/>
  <c r="Z156" i="363"/>
  <c r="AA156" i="363"/>
  <c r="Z180" i="363"/>
  <c r="AA180" i="363"/>
  <c r="V182" i="363"/>
  <c r="V181" i="363" s="1"/>
  <c r="Z224" i="363"/>
  <c r="AA224" i="363"/>
  <c r="AA232" i="363"/>
  <c r="AA239" i="363"/>
  <c r="AA245" i="363"/>
  <c r="N254" i="363"/>
  <c r="H254" i="363"/>
  <c r="H278" i="363"/>
  <c r="H266" i="363" s="1"/>
  <c r="V278" i="363"/>
  <c r="Z280" i="363"/>
  <c r="AA280" i="363"/>
  <c r="AA331" i="363"/>
  <c r="AA334" i="363"/>
  <c r="H342" i="363"/>
  <c r="H338" i="363" s="1"/>
  <c r="AA360" i="363"/>
  <c r="Z370" i="363"/>
  <c r="Z373" i="363"/>
  <c r="AA373" i="363"/>
  <c r="AA377" i="363"/>
  <c r="K120" i="363"/>
  <c r="AA120" i="363" s="1"/>
  <c r="AA124" i="363"/>
  <c r="Z141" i="363"/>
  <c r="S144" i="363"/>
  <c r="S145" i="363"/>
  <c r="R149" i="363"/>
  <c r="AA151" i="363"/>
  <c r="N147" i="363"/>
  <c r="N146" i="363" s="1"/>
  <c r="Z154" i="363"/>
  <c r="R156" i="363"/>
  <c r="R180" i="363"/>
  <c r="AA199" i="363"/>
  <c r="K215" i="363"/>
  <c r="H223" i="363"/>
  <c r="R224" i="363"/>
  <c r="R239" i="363"/>
  <c r="R245" i="363"/>
  <c r="N258" i="363"/>
  <c r="H258" i="363"/>
  <c r="AA272" i="363"/>
  <c r="AA274" i="363"/>
  <c r="Z277" i="363"/>
  <c r="R280" i="363"/>
  <c r="N283" i="363"/>
  <c r="AA293" i="363"/>
  <c r="Z297" i="363"/>
  <c r="AA297" i="363"/>
  <c r="Y308" i="363"/>
  <c r="Y304" i="363" s="1"/>
  <c r="Y303" i="363" s="1"/>
  <c r="Y302" i="363" s="1"/>
  <c r="Z326" i="363"/>
  <c r="AA326" i="363"/>
  <c r="Z346" i="363"/>
  <c r="AA346" i="363"/>
  <c r="H355" i="363"/>
  <c r="Q358" i="363"/>
  <c r="R360" i="363"/>
  <c r="Z362" i="363"/>
  <c r="AA362" i="363"/>
  <c r="R373" i="363"/>
  <c r="R377" i="363"/>
  <c r="AA393" i="363"/>
  <c r="AA395" i="363"/>
  <c r="Z118" i="363"/>
  <c r="AA118" i="363"/>
  <c r="Q140" i="363"/>
  <c r="Q135" i="363" s="1"/>
  <c r="Y148" i="363"/>
  <c r="Y147" i="363" s="1"/>
  <c r="Y146" i="363" s="1"/>
  <c r="AA155" i="363"/>
  <c r="AA164" i="363"/>
  <c r="Z168" i="363"/>
  <c r="AA168" i="363"/>
  <c r="Y178" i="363"/>
  <c r="Y169" i="363" s="1"/>
  <c r="Y182" i="363"/>
  <c r="Y181" i="363" s="1"/>
  <c r="Y200" i="363"/>
  <c r="Y192" i="363" s="1"/>
  <c r="Y191" i="363" s="1"/>
  <c r="Y190" i="363" s="1"/>
  <c r="AA196" i="363"/>
  <c r="AA237" i="363"/>
  <c r="Y278" i="363"/>
  <c r="Y266" i="363" s="1"/>
  <c r="Y253" i="363" s="1"/>
  <c r="Y252" i="363" s="1"/>
  <c r="Z270" i="363"/>
  <c r="AA276" i="363"/>
  <c r="AA299" i="363"/>
  <c r="H303" i="363"/>
  <c r="H302" i="363" s="1"/>
  <c r="Z313" i="363"/>
  <c r="H333" i="363"/>
  <c r="Z339" i="363"/>
  <c r="AA348" i="363"/>
  <c r="Z350" i="363"/>
  <c r="AA350" i="363"/>
  <c r="Z364" i="363"/>
  <c r="AA364" i="363"/>
  <c r="Z365" i="363"/>
  <c r="V371" i="363"/>
  <c r="Y371" i="363"/>
  <c r="H386" i="363"/>
  <c r="H375" i="363" s="1"/>
  <c r="Z120" i="363"/>
  <c r="H52" i="363"/>
  <c r="H51" i="363" s="1"/>
  <c r="R59" i="363"/>
  <c r="V75" i="363"/>
  <c r="Z14" i="363"/>
  <c r="V422" i="363"/>
  <c r="Q50" i="363"/>
  <c r="Z54" i="363"/>
  <c r="AA56" i="363"/>
  <c r="Z77" i="363"/>
  <c r="Z88" i="363"/>
  <c r="Q113" i="363"/>
  <c r="AA105" i="363"/>
  <c r="S105" i="363"/>
  <c r="AA107" i="363"/>
  <c r="S107" i="363"/>
  <c r="Z107" i="363"/>
  <c r="Z122" i="363"/>
  <c r="Z128" i="363"/>
  <c r="S128" i="363"/>
  <c r="Z132" i="363"/>
  <c r="S132" i="363"/>
  <c r="AA153" i="363"/>
  <c r="R178" i="363"/>
  <c r="Z235" i="363"/>
  <c r="AA267" i="363"/>
  <c r="R267" i="363"/>
  <c r="Z267" i="363"/>
  <c r="Z271" i="363"/>
  <c r="AA271" i="363"/>
  <c r="V308" i="363"/>
  <c r="V304" i="363" s="1"/>
  <c r="V303" i="363" s="1"/>
  <c r="V302" i="363" s="1"/>
  <c r="AA394" i="363"/>
  <c r="R394" i="363"/>
  <c r="Z394" i="363"/>
  <c r="Y422" i="363"/>
  <c r="Z27" i="363"/>
  <c r="K31" i="363"/>
  <c r="K26" i="363" s="1"/>
  <c r="AA49" i="363"/>
  <c r="Z55" i="363"/>
  <c r="V59" i="363"/>
  <c r="V53" i="363" s="1"/>
  <c r="V52" i="363" s="1"/>
  <c r="V51" i="363" s="1"/>
  <c r="K425" i="363"/>
  <c r="AA81" i="363"/>
  <c r="R88" i="363"/>
  <c r="Z92" i="363"/>
  <c r="AA99" i="363"/>
  <c r="Z99" i="363"/>
  <c r="K98" i="363"/>
  <c r="AA98" i="363" s="1"/>
  <c r="Z112" i="363"/>
  <c r="AA116" i="363"/>
  <c r="K115" i="363"/>
  <c r="AA122" i="363"/>
  <c r="AA132" i="363"/>
  <c r="Q169" i="363"/>
  <c r="R185" i="363"/>
  <c r="Q182" i="363"/>
  <c r="N200" i="363"/>
  <c r="N192" i="363" s="1"/>
  <c r="N191" i="363" s="1"/>
  <c r="N190" i="363" s="1"/>
  <c r="AA222" i="363"/>
  <c r="R222" i="363"/>
  <c r="AA235" i="363"/>
  <c r="Z259" i="363"/>
  <c r="K258" i="363"/>
  <c r="Z258" i="363" s="1"/>
  <c r="AA259" i="363"/>
  <c r="AA289" i="363"/>
  <c r="R289" i="363"/>
  <c r="Z289" i="363"/>
  <c r="AA367" i="363"/>
  <c r="R367" i="363"/>
  <c r="Z367" i="363"/>
  <c r="Z17" i="363"/>
  <c r="Z19" i="363"/>
  <c r="AA24" i="363"/>
  <c r="R27" i="363"/>
  <c r="AA27" i="363"/>
  <c r="R29" i="363"/>
  <c r="AA29" i="363"/>
  <c r="N31" i="363"/>
  <c r="N26" i="363" s="1"/>
  <c r="Y31" i="363"/>
  <c r="Y26" i="363" s="1"/>
  <c r="R34" i="363"/>
  <c r="AA34" i="363"/>
  <c r="R35" i="363"/>
  <c r="AA35" i="363"/>
  <c r="Z36" i="363"/>
  <c r="AA43" i="363"/>
  <c r="Z44" i="363"/>
  <c r="K46" i="363"/>
  <c r="K33" i="363" s="1"/>
  <c r="K32" i="363" s="1"/>
  <c r="Y53" i="363"/>
  <c r="Y52" i="363" s="1"/>
  <c r="Y51" i="363" s="1"/>
  <c r="R55" i="363"/>
  <c r="R61" i="363"/>
  <c r="AA61" i="363"/>
  <c r="K65" i="363"/>
  <c r="Q68" i="363"/>
  <c r="R70" i="363"/>
  <c r="AA70" i="363"/>
  <c r="K420" i="363"/>
  <c r="AA72" i="363"/>
  <c r="Q79" i="363"/>
  <c r="R82" i="363"/>
  <c r="AA82" i="363"/>
  <c r="Q83" i="363"/>
  <c r="Y86" i="363"/>
  <c r="AA92" i="363"/>
  <c r="Z97" i="363"/>
  <c r="AA102" i="363"/>
  <c r="Z106" i="363"/>
  <c r="R106" i="363"/>
  <c r="S106" i="363" s="1"/>
  <c r="AA109" i="363"/>
  <c r="R109" i="363"/>
  <c r="K113" i="363"/>
  <c r="K104" i="363" s="1"/>
  <c r="K103" i="363" s="1"/>
  <c r="Z117" i="363"/>
  <c r="Y120" i="363"/>
  <c r="Z127" i="363"/>
  <c r="Q126" i="363"/>
  <c r="S127" i="363"/>
  <c r="Z129" i="363"/>
  <c r="S129" i="363"/>
  <c r="Z131" i="363"/>
  <c r="S131" i="363"/>
  <c r="Z133" i="363"/>
  <c r="S133" i="363"/>
  <c r="V148" i="363"/>
  <c r="V147" i="363" s="1"/>
  <c r="V146" i="363" s="1"/>
  <c r="AA152" i="363"/>
  <c r="R152" i="363"/>
  <c r="AA167" i="363"/>
  <c r="K166" i="363"/>
  <c r="V178" i="363"/>
  <c r="V169" i="363" s="1"/>
  <c r="V158" i="363" s="1"/>
  <c r="V157" i="363" s="1"/>
  <c r="Z184" i="363"/>
  <c r="K183" i="363"/>
  <c r="AA184" i="363"/>
  <c r="R187" i="363"/>
  <c r="AA187" i="363"/>
  <c r="Q210" i="363"/>
  <c r="AA212" i="363"/>
  <c r="R212" i="363"/>
  <c r="K241" i="363"/>
  <c r="K230" i="363" s="1"/>
  <c r="K214" i="363" s="1"/>
  <c r="K213" i="363" s="1"/>
  <c r="AA231" i="363"/>
  <c r="N241" i="363"/>
  <c r="N230" i="363" s="1"/>
  <c r="N214" i="363" s="1"/>
  <c r="N213" i="363" s="1"/>
  <c r="AA249" i="363"/>
  <c r="R249" i="363"/>
  <c r="R258" i="363"/>
  <c r="Y342" i="363"/>
  <c r="Y338" i="363" s="1"/>
  <c r="AA366" i="363"/>
  <c r="R366" i="363"/>
  <c r="Z366" i="363"/>
  <c r="H422" i="363"/>
  <c r="AA28" i="363"/>
  <c r="Z49" i="363"/>
  <c r="AA66" i="363"/>
  <c r="Z81" i="363"/>
  <c r="AA87" i="363"/>
  <c r="Q90" i="363"/>
  <c r="Q86" i="363" s="1"/>
  <c r="Z87" i="363"/>
  <c r="Z105" i="363"/>
  <c r="Z130" i="363"/>
  <c r="S130" i="363"/>
  <c r="AA188" i="363"/>
  <c r="R188" i="363"/>
  <c r="Z188" i="363"/>
  <c r="K200" i="363"/>
  <c r="Z200" i="363" s="1"/>
  <c r="R200" i="363"/>
  <c r="AA248" i="363"/>
  <c r="R248" i="363"/>
  <c r="AA294" i="363"/>
  <c r="R294" i="363"/>
  <c r="Z294" i="363"/>
  <c r="Z382" i="363"/>
  <c r="AA382" i="363"/>
  <c r="R14" i="363"/>
  <c r="R17" i="363"/>
  <c r="R49" i="363"/>
  <c r="R54" i="363"/>
  <c r="AA54" i="363"/>
  <c r="K59" i="363"/>
  <c r="Z59" i="363" s="1"/>
  <c r="H420" i="363"/>
  <c r="R77" i="363"/>
  <c r="V425" i="363"/>
  <c r="R87" i="363"/>
  <c r="AA89" i="363"/>
  <c r="R89" i="363"/>
  <c r="AA101" i="363"/>
  <c r="Z101" i="363"/>
  <c r="H113" i="363"/>
  <c r="H104" i="363" s="1"/>
  <c r="H103" i="363" s="1"/>
  <c r="V113" i="363"/>
  <c r="V104" i="363" s="1"/>
  <c r="V115" i="363"/>
  <c r="AA128" i="363"/>
  <c r="Q148" i="363"/>
  <c r="AA150" i="363"/>
  <c r="R150" i="363"/>
  <c r="Z187" i="363"/>
  <c r="Q192" i="363"/>
  <c r="AA236" i="363"/>
  <c r="R236" i="363"/>
  <c r="Q242" i="363"/>
  <c r="Q422" i="363" s="1"/>
  <c r="AA243" i="363"/>
  <c r="R243" i="363"/>
  <c r="R254" i="363"/>
  <c r="Q278" i="363"/>
  <c r="Q266" i="363" s="1"/>
  <c r="Q368" i="363"/>
  <c r="K386" i="363"/>
  <c r="Z386" i="363" s="1"/>
  <c r="Z389" i="363"/>
  <c r="Q16" i="363"/>
  <c r="AA20" i="363"/>
  <c r="Q53" i="363"/>
  <c r="Z71" i="363"/>
  <c r="Z80" i="363"/>
  <c r="AA91" i="363"/>
  <c r="AA100" i="363"/>
  <c r="Z100" i="363"/>
  <c r="Y113" i="363"/>
  <c r="Y104" i="363" s="1"/>
  <c r="AA111" i="363"/>
  <c r="R111" i="363"/>
  <c r="Z116" i="363"/>
  <c r="AA119" i="363"/>
  <c r="S119" i="363"/>
  <c r="V423" i="363"/>
  <c r="Z155" i="363"/>
  <c r="K178" i="363"/>
  <c r="Z178" i="363" s="1"/>
  <c r="AA172" i="363"/>
  <c r="R172" i="363"/>
  <c r="H200" i="363"/>
  <c r="H192" i="363" s="1"/>
  <c r="H191" i="363" s="1"/>
  <c r="H190" i="363" s="1"/>
  <c r="Q203" i="363"/>
  <c r="AA205" i="363"/>
  <c r="R205" i="363"/>
  <c r="Z205" i="363"/>
  <c r="Y241" i="363"/>
  <c r="Y230" i="363" s="1"/>
  <c r="Y214" i="363" s="1"/>
  <c r="Y213" i="363" s="1"/>
  <c r="Z246" i="363"/>
  <c r="R246" i="363"/>
  <c r="Z248" i="363"/>
  <c r="AA263" i="363"/>
  <c r="V266" i="363"/>
  <c r="V253" i="363" s="1"/>
  <c r="V252" i="363" s="1"/>
  <c r="Q288" i="363"/>
  <c r="N301" i="363"/>
  <c r="N295" i="363" s="1"/>
  <c r="R324" i="363"/>
  <c r="AA335" i="363"/>
  <c r="N342" i="363"/>
  <c r="N338" i="363" s="1"/>
  <c r="N337" i="363" s="1"/>
  <c r="N336" i="363" s="1"/>
  <c r="Y375" i="363"/>
  <c r="Q420" i="363"/>
  <c r="Z96" i="363"/>
  <c r="AA138" i="363"/>
  <c r="Z167" i="363"/>
  <c r="H169" i="363"/>
  <c r="H158" i="363" s="1"/>
  <c r="H157" i="363" s="1"/>
  <c r="AA179" i="363"/>
  <c r="AA189" i="363"/>
  <c r="AA193" i="363"/>
  <c r="AA195" i="363"/>
  <c r="R195" i="363"/>
  <c r="AA209" i="363"/>
  <c r="Z209" i="363"/>
  <c r="AA216" i="363"/>
  <c r="AA219" i="363"/>
  <c r="R219" i="363"/>
  <c r="Q215" i="363"/>
  <c r="Z231" i="363"/>
  <c r="Z232" i="363"/>
  <c r="AA238" i="363"/>
  <c r="R238" i="363"/>
  <c r="H423" i="363"/>
  <c r="AA255" i="363"/>
  <c r="Z260" i="363"/>
  <c r="K278" i="363"/>
  <c r="K266" i="363" s="1"/>
  <c r="Z269" i="363"/>
  <c r="AA279" i="363"/>
  <c r="AA285" i="363"/>
  <c r="R285" i="363"/>
  <c r="Q283" i="363"/>
  <c r="AA320" i="363"/>
  <c r="Z328" i="363"/>
  <c r="AA328" i="363"/>
  <c r="R329" i="363"/>
  <c r="AA332" i="363"/>
  <c r="AA345" i="363"/>
  <c r="R345" i="363"/>
  <c r="Z345" i="363"/>
  <c r="AA358" i="363"/>
  <c r="R358" i="363"/>
  <c r="Z358" i="363"/>
  <c r="V379" i="363"/>
  <c r="V376" i="363" s="1"/>
  <c r="V375" i="363" s="1"/>
  <c r="Z149" i="363"/>
  <c r="AA160" i="363"/>
  <c r="R160" i="363"/>
  <c r="Z163" i="363"/>
  <c r="Z164" i="363"/>
  <c r="AA170" i="363"/>
  <c r="V200" i="363"/>
  <c r="V192" i="363" s="1"/>
  <c r="V191" i="363" s="1"/>
  <c r="V190" i="363" s="1"/>
  <c r="AA221" i="363"/>
  <c r="R221" i="363"/>
  <c r="AA223" i="363"/>
  <c r="H241" i="363"/>
  <c r="H230" i="363" s="1"/>
  <c r="H214" i="363" s="1"/>
  <c r="H213" i="363" s="1"/>
  <c r="AA240" i="363"/>
  <c r="R240" i="363"/>
  <c r="Z265" i="363"/>
  <c r="AA268" i="363"/>
  <c r="AA270" i="363"/>
  <c r="R270" i="363"/>
  <c r="N278" i="363"/>
  <c r="N266" i="363" s="1"/>
  <c r="N253" i="363" s="1"/>
  <c r="N252" i="363" s="1"/>
  <c r="K301" i="363"/>
  <c r="K295" i="363" s="1"/>
  <c r="K282" i="363" s="1"/>
  <c r="K281" i="363" s="1"/>
  <c r="Y301" i="363"/>
  <c r="Y295" i="363" s="1"/>
  <c r="Y282" i="363" s="1"/>
  <c r="Y281" i="363" s="1"/>
  <c r="AA306" i="363"/>
  <c r="R306" i="363"/>
  <c r="Z306" i="363"/>
  <c r="Q308" i="363"/>
  <c r="Q323" i="363"/>
  <c r="AA319" i="363"/>
  <c r="R319" i="363"/>
  <c r="Z319" i="363"/>
  <c r="Z320" i="363"/>
  <c r="K318" i="363"/>
  <c r="AA321" i="363"/>
  <c r="R321" i="363"/>
  <c r="V323" i="363"/>
  <c r="V318" i="363" s="1"/>
  <c r="V317" i="363" s="1"/>
  <c r="V316" i="363" s="1"/>
  <c r="Q342" i="363"/>
  <c r="Q338" i="363" s="1"/>
  <c r="AA339" i="363"/>
  <c r="R339" i="363"/>
  <c r="AA414" i="363"/>
  <c r="R414" i="363"/>
  <c r="Q413" i="363"/>
  <c r="Z162" i="363"/>
  <c r="Z165" i="363"/>
  <c r="Z170" i="363"/>
  <c r="Z179" i="363"/>
  <c r="Z186" i="363"/>
  <c r="Z189" i="363"/>
  <c r="Z193" i="363"/>
  <c r="Z196" i="363"/>
  <c r="Z202" i="363"/>
  <c r="Z223" i="363"/>
  <c r="Z234" i="363"/>
  <c r="Q241" i="363"/>
  <c r="Q230" i="363" s="1"/>
  <c r="Z255" i="363"/>
  <c r="Z268" i="363"/>
  <c r="Z273" i="363"/>
  <c r="Z279" i="363"/>
  <c r="Z286" i="363"/>
  <c r="AA296" i="363"/>
  <c r="AA309" i="363"/>
  <c r="Z314" i="363"/>
  <c r="Y323" i="363"/>
  <c r="Y318" i="363" s="1"/>
  <c r="Y317" i="363" s="1"/>
  <c r="Y316" i="363" s="1"/>
  <c r="K329" i="363"/>
  <c r="AA329" i="363" s="1"/>
  <c r="AA333" i="363"/>
  <c r="R333" i="363"/>
  <c r="K333" i="363"/>
  <c r="Z333" i="363" s="1"/>
  <c r="AA340" i="363"/>
  <c r="R340" i="363"/>
  <c r="AA356" i="363"/>
  <c r="R356" i="363"/>
  <c r="Q355" i="363"/>
  <c r="Z356" i="363"/>
  <c r="AA363" i="363"/>
  <c r="R363" i="363"/>
  <c r="Z363" i="363"/>
  <c r="Q361" i="363"/>
  <c r="R386" i="363"/>
  <c r="N386" i="363"/>
  <c r="N375" i="363" s="1"/>
  <c r="R170" i="363"/>
  <c r="R179" i="363"/>
  <c r="R189" i="363"/>
  <c r="R193" i="363"/>
  <c r="R196" i="363"/>
  <c r="R202" i="363"/>
  <c r="R223" i="363"/>
  <c r="R255" i="363"/>
  <c r="R268" i="363"/>
  <c r="R273" i="363"/>
  <c r="R279" i="363"/>
  <c r="R286" i="363"/>
  <c r="H301" i="363"/>
  <c r="H295" i="363" s="1"/>
  <c r="H282" i="363" s="1"/>
  <c r="H281" i="363" s="1"/>
  <c r="V295" i="363"/>
  <c r="AA300" i="363"/>
  <c r="R300" i="363"/>
  <c r="N303" i="363"/>
  <c r="N302" i="363" s="1"/>
  <c r="Q312" i="363"/>
  <c r="R314" i="363"/>
  <c r="AA315" i="363"/>
  <c r="R315" i="363"/>
  <c r="N323" i="363"/>
  <c r="N318" i="363" s="1"/>
  <c r="N324" i="363"/>
  <c r="K324" i="363"/>
  <c r="AA324" i="363" s="1"/>
  <c r="K342" i="363"/>
  <c r="K338" i="363" s="1"/>
  <c r="K337" i="363" s="1"/>
  <c r="K336" i="363" s="1"/>
  <c r="AA343" i="363"/>
  <c r="H361" i="363"/>
  <c r="H354" i="363" s="1"/>
  <c r="V368" i="363"/>
  <c r="V361" i="363" s="1"/>
  <c r="V354" i="363" s="1"/>
  <c r="K371" i="363"/>
  <c r="K354" i="363" s="1"/>
  <c r="Z372" i="363"/>
  <c r="Z296" i="363"/>
  <c r="Q301" i="363"/>
  <c r="Z309" i="363"/>
  <c r="Z322" i="363"/>
  <c r="Z331" i="363"/>
  <c r="Z334" i="363"/>
  <c r="Y345" i="363"/>
  <c r="AA374" i="363"/>
  <c r="R374" i="363"/>
  <c r="AA389" i="363"/>
  <c r="R389" i="363"/>
  <c r="R296" i="363"/>
  <c r="R309" i="363"/>
  <c r="R322" i="363"/>
  <c r="R331" i="363"/>
  <c r="R334" i="363"/>
  <c r="AA349" i="363"/>
  <c r="R349" i="363"/>
  <c r="N368" i="363"/>
  <c r="N361" i="363" s="1"/>
  <c r="N354" i="363" s="1"/>
  <c r="Y368" i="363"/>
  <c r="Y361" i="363" s="1"/>
  <c r="Y354" i="363" s="1"/>
  <c r="AA370" i="363"/>
  <c r="R370" i="363"/>
  <c r="Q371" i="363"/>
  <c r="AA372" i="363"/>
  <c r="R372" i="363"/>
  <c r="Z381" i="363"/>
  <c r="K380" i="363"/>
  <c r="Z380" i="363" s="1"/>
  <c r="Q405" i="363"/>
  <c r="U155" i="362"/>
  <c r="W22" i="362"/>
  <c r="F26" i="362"/>
  <c r="F13" i="362" s="1"/>
  <c r="V28" i="362"/>
  <c r="N58" i="362"/>
  <c r="X58" i="362" s="1"/>
  <c r="J67" i="362"/>
  <c r="U220" i="362"/>
  <c r="U236" i="362" s="1"/>
  <c r="O82" i="362"/>
  <c r="O217" i="362" s="1"/>
  <c r="O233" i="362" s="1"/>
  <c r="K86" i="362"/>
  <c r="K85" i="362" s="1"/>
  <c r="N120" i="362"/>
  <c r="W125" i="362"/>
  <c r="W136" i="362"/>
  <c r="W151" i="362"/>
  <c r="X151" i="362"/>
  <c r="Y151" i="362" s="1"/>
  <c r="X154" i="362"/>
  <c r="Y154" i="362" s="1"/>
  <c r="W159" i="362"/>
  <c r="V163" i="362"/>
  <c r="Y216" i="362"/>
  <c r="Y231" i="362" s="1"/>
  <c r="X28" i="362"/>
  <c r="Y28" i="362" s="1"/>
  <c r="R45" i="362"/>
  <c r="S45" i="362" s="1"/>
  <c r="W46" i="362"/>
  <c r="J53" i="362"/>
  <c r="V57" i="362"/>
  <c r="N62" i="362"/>
  <c r="X62" i="362" s="1"/>
  <c r="N67" i="362"/>
  <c r="X67" i="362" s="1"/>
  <c r="W68" i="362"/>
  <c r="V69" i="362"/>
  <c r="W85" i="362"/>
  <c r="R121" i="362"/>
  <c r="J126" i="362"/>
  <c r="V127" i="362"/>
  <c r="V139" i="362"/>
  <c r="S148" i="362"/>
  <c r="S152" i="362"/>
  <c r="R162" i="362"/>
  <c r="W162" i="362" s="1"/>
  <c r="R165" i="362"/>
  <c r="S165" i="362" s="1"/>
  <c r="W167" i="362"/>
  <c r="S177" i="362"/>
  <c r="S178" i="362"/>
  <c r="S179" i="362"/>
  <c r="S180" i="362"/>
  <c r="S181" i="362"/>
  <c r="X221" i="362"/>
  <c r="X239" i="362" s="1"/>
  <c r="J24" i="362"/>
  <c r="W24" i="362" s="1"/>
  <c r="W25" i="362"/>
  <c r="N54" i="362"/>
  <c r="X54" i="362" s="1"/>
  <c r="J17" i="362"/>
  <c r="W19" i="362"/>
  <c r="S22" i="362"/>
  <c r="V27" i="362"/>
  <c r="S28" i="362"/>
  <c r="V35" i="362"/>
  <c r="V44" i="362"/>
  <c r="V50" i="362"/>
  <c r="X59" i="362"/>
  <c r="V60" i="362"/>
  <c r="F93" i="362"/>
  <c r="S125" i="362"/>
  <c r="V128" i="362"/>
  <c r="N130" i="362"/>
  <c r="W132" i="362"/>
  <c r="F130" i="362"/>
  <c r="S136" i="362"/>
  <c r="W138" i="362"/>
  <c r="S140" i="362"/>
  <c r="X143" i="362"/>
  <c r="Y143" i="362" s="1"/>
  <c r="V149" i="362"/>
  <c r="V150" i="362"/>
  <c r="V151" i="362"/>
  <c r="V153" i="362"/>
  <c r="W154" i="362"/>
  <c r="V159" i="362"/>
  <c r="V171" i="362"/>
  <c r="W177" i="362"/>
  <c r="V21" i="362"/>
  <c r="W21" i="362"/>
  <c r="S21" i="362"/>
  <c r="K74" i="362"/>
  <c r="K71" i="362" s="1"/>
  <c r="F224" i="362"/>
  <c r="W115" i="362"/>
  <c r="W218" i="362" s="1"/>
  <c r="W234" i="362" s="1"/>
  <c r="R114" i="362"/>
  <c r="R218" i="362"/>
  <c r="R234" i="362" s="1"/>
  <c r="V115" i="362"/>
  <c r="V218" i="362" s="1"/>
  <c r="V234" i="362" s="1"/>
  <c r="S115" i="362"/>
  <c r="S218" i="362" s="1"/>
  <c r="C11" i="147" s="1"/>
  <c r="S126" i="362"/>
  <c r="V134" i="362"/>
  <c r="X134" i="362"/>
  <c r="Y134" i="362" s="1"/>
  <c r="W134" i="362"/>
  <c r="S134" i="362"/>
  <c r="S147" i="362"/>
  <c r="X147" i="362"/>
  <c r="Y147" i="362" s="1"/>
  <c r="W147" i="362"/>
  <c r="V147" i="362"/>
  <c r="S204" i="362"/>
  <c r="W204" i="362"/>
  <c r="X204" i="362"/>
  <c r="V204" i="362"/>
  <c r="F217" i="362"/>
  <c r="F233" i="362" s="1"/>
  <c r="J62" i="362"/>
  <c r="V65" i="362"/>
  <c r="S135" i="362"/>
  <c r="X135" i="362"/>
  <c r="Y135" i="362" s="1"/>
  <c r="W135" i="362"/>
  <c r="V135" i="362"/>
  <c r="F142" i="362"/>
  <c r="K220" i="362"/>
  <c r="K236" i="362" s="1"/>
  <c r="F121" i="362"/>
  <c r="W145" i="362"/>
  <c r="X145" i="362"/>
  <c r="Y145" i="362" s="1"/>
  <c r="V145" i="362"/>
  <c r="S145" i="362"/>
  <c r="R142" i="362"/>
  <c r="V152" i="362"/>
  <c r="J161" i="362"/>
  <c r="J156" i="362" s="1"/>
  <c r="U217" i="362"/>
  <c r="U233" i="362" s="1"/>
  <c r="U13" i="362"/>
  <c r="N220" i="362"/>
  <c r="N236" i="362" s="1"/>
  <c r="N13" i="362"/>
  <c r="V222" i="362"/>
  <c r="V241" i="362" s="1"/>
  <c r="V242" i="362" s="1"/>
  <c r="W133" i="362"/>
  <c r="X133" i="362"/>
  <c r="Y133" i="362" s="1"/>
  <c r="V133" i="362"/>
  <c r="S133" i="362"/>
  <c r="W140" i="362"/>
  <c r="J130" i="362"/>
  <c r="V140" i="362"/>
  <c r="V146" i="362"/>
  <c r="X146" i="362"/>
  <c r="Y146" i="362" s="1"/>
  <c r="W146" i="362"/>
  <c r="S146" i="362"/>
  <c r="N156" i="362"/>
  <c r="N155" i="362" s="1"/>
  <c r="W160" i="362"/>
  <c r="V160" i="362"/>
  <c r="S160" i="362"/>
  <c r="W182" i="362"/>
  <c r="R203" i="362"/>
  <c r="Y24" i="362"/>
  <c r="W26" i="362"/>
  <c r="W51" i="362"/>
  <c r="N53" i="362"/>
  <c r="X53" i="362" s="1"/>
  <c r="J121" i="362"/>
  <c r="W121" i="362" s="1"/>
  <c r="V122" i="362"/>
  <c r="S131" i="362"/>
  <c r="R130" i="362"/>
  <c r="V136" i="362"/>
  <c r="V137" i="362"/>
  <c r="V221" i="362" s="1"/>
  <c r="V239" i="362" s="1"/>
  <c r="V148" i="362"/>
  <c r="R161" i="362"/>
  <c r="V168" i="362"/>
  <c r="V174" i="362"/>
  <c r="W174" i="362"/>
  <c r="V188" i="362"/>
  <c r="R183" i="362"/>
  <c r="W188" i="362"/>
  <c r="R17" i="362"/>
  <c r="S20" i="362"/>
  <c r="S26" i="362"/>
  <c r="S27" i="362"/>
  <c r="V33" i="362"/>
  <c r="R37" i="362"/>
  <c r="W39" i="362"/>
  <c r="R38" i="362"/>
  <c r="S40" i="362"/>
  <c r="S41" i="362"/>
  <c r="V42" i="362"/>
  <c r="J54" i="362"/>
  <c r="W55" i="362"/>
  <c r="O74" i="362"/>
  <c r="O71" i="362" s="1"/>
  <c r="S85" i="362"/>
  <c r="S121" i="362"/>
  <c r="W122" i="362"/>
  <c r="V124" i="362"/>
  <c r="S129" i="362"/>
  <c r="V131" i="362"/>
  <c r="V132" i="362"/>
  <c r="W141" i="362"/>
  <c r="V143" i="362"/>
  <c r="V144" i="362"/>
  <c r="W153" i="362"/>
  <c r="V157" i="362"/>
  <c r="W158" i="362"/>
  <c r="S162" i="362"/>
  <c r="S163" i="362"/>
  <c r="W166" i="362"/>
  <c r="V170" i="362"/>
  <c r="J169" i="362"/>
  <c r="S174" i="362"/>
  <c r="S188" i="362"/>
  <c r="S195" i="362"/>
  <c r="R189" i="362"/>
  <c r="S201" i="362"/>
  <c r="W20" i="362"/>
  <c r="V24" i="362"/>
  <c r="V26" i="362"/>
  <c r="W27" i="362"/>
  <c r="W33" i="362"/>
  <c r="S35" i="362"/>
  <c r="S36" i="362"/>
  <c r="S39" i="362"/>
  <c r="V40" i="362"/>
  <c r="W41" i="362"/>
  <c r="W42" i="362"/>
  <c r="S44" i="362"/>
  <c r="V46" i="362"/>
  <c r="J58" i="362"/>
  <c r="W59" i="362"/>
  <c r="O75" i="362"/>
  <c r="O220" i="362" s="1"/>
  <c r="O236" i="362" s="1"/>
  <c r="U85" i="362"/>
  <c r="V123" i="362"/>
  <c r="W124" i="362"/>
  <c r="S128" i="362"/>
  <c r="V129" i="362"/>
  <c r="W131" i="362"/>
  <c r="R221" i="362"/>
  <c r="R239" i="362" s="1"/>
  <c r="W137" i="362"/>
  <c r="W221" i="362" s="1"/>
  <c r="W239" i="362" s="1"/>
  <c r="S141" i="362"/>
  <c r="J142" i="362"/>
  <c r="W143" i="362"/>
  <c r="W149" i="362"/>
  <c r="S153" i="362"/>
  <c r="S154" i="362"/>
  <c r="W157" i="362"/>
  <c r="S158" i="362"/>
  <c r="W163" i="362"/>
  <c r="W165" i="362"/>
  <c r="S166" i="362"/>
  <c r="R169" i="362"/>
  <c r="V173" i="362"/>
  <c r="S173" i="362"/>
  <c r="V195" i="362"/>
  <c r="R196" i="362"/>
  <c r="V201" i="362"/>
  <c r="T211" i="362"/>
  <c r="W171" i="362"/>
  <c r="U222" i="362"/>
  <c r="U241" i="362" s="1"/>
  <c r="U242" i="362" s="1"/>
  <c r="X28" i="361"/>
  <c r="Y28" i="361" s="1"/>
  <c r="S28" i="361"/>
  <c r="V39" i="361"/>
  <c r="R38" i="361"/>
  <c r="V38" i="361" s="1"/>
  <c r="J58" i="361"/>
  <c r="V58" i="361" s="1"/>
  <c r="W66" i="361"/>
  <c r="V66" i="361"/>
  <c r="R221" i="361"/>
  <c r="R239" i="361" s="1"/>
  <c r="S137" i="361"/>
  <c r="S221" i="361" s="1"/>
  <c r="W171" i="361"/>
  <c r="W21" i="361"/>
  <c r="V21" i="361"/>
  <c r="X27" i="361"/>
  <c r="Y27" i="361" s="1"/>
  <c r="S27" i="361"/>
  <c r="V28" i="361"/>
  <c r="S39" i="361"/>
  <c r="S44" i="361"/>
  <c r="V56" i="361"/>
  <c r="W56" i="361"/>
  <c r="N58" i="361"/>
  <c r="X58" i="361" s="1"/>
  <c r="S134" i="361"/>
  <c r="S146" i="361"/>
  <c r="W148" i="361"/>
  <c r="X149" i="361"/>
  <c r="Y149" i="361" s="1"/>
  <c r="S149" i="361"/>
  <c r="W157" i="361"/>
  <c r="J169" i="361"/>
  <c r="W189" i="361"/>
  <c r="S189" i="361"/>
  <c r="T211" i="361"/>
  <c r="S21" i="361"/>
  <c r="W28" i="361"/>
  <c r="W39" i="361"/>
  <c r="V44" i="361"/>
  <c r="W55" i="361"/>
  <c r="J54" i="361"/>
  <c r="V54" i="361" s="1"/>
  <c r="J62" i="361"/>
  <c r="N62" i="361"/>
  <c r="N217" i="361" s="1"/>
  <c r="N233" i="361" s="1"/>
  <c r="X65" i="361"/>
  <c r="O220" i="361"/>
  <c r="O236" i="361" s="1"/>
  <c r="S85" i="361"/>
  <c r="F93" i="361"/>
  <c r="R218" i="361"/>
  <c r="R234" i="361" s="1"/>
  <c r="S115" i="361"/>
  <c r="S218" i="361" s="1"/>
  <c r="F121" i="361"/>
  <c r="W131" i="361"/>
  <c r="W140" i="361"/>
  <c r="X146" i="361"/>
  <c r="Y146" i="361" s="1"/>
  <c r="W147" i="361"/>
  <c r="W180" i="361"/>
  <c r="V180" i="361"/>
  <c r="S180" i="361"/>
  <c r="V189" i="361"/>
  <c r="V195" i="361"/>
  <c r="S195" i="361"/>
  <c r="W19" i="361"/>
  <c r="J17" i="361"/>
  <c r="W20" i="361"/>
  <c r="S20" i="361"/>
  <c r="W25" i="361"/>
  <c r="F45" i="361"/>
  <c r="X59" i="361"/>
  <c r="W68" i="361"/>
  <c r="G75" i="361"/>
  <c r="G220" i="361" s="1"/>
  <c r="V115" i="361"/>
  <c r="V218" i="361" s="1"/>
  <c r="V234" i="361" s="1"/>
  <c r="W132" i="361"/>
  <c r="V140" i="361"/>
  <c r="S141" i="361"/>
  <c r="X147" i="361"/>
  <c r="Y147" i="361" s="1"/>
  <c r="V149" i="361"/>
  <c r="V163" i="361"/>
  <c r="W163" i="361"/>
  <c r="S163" i="361"/>
  <c r="R162" i="361"/>
  <c r="J165" i="361"/>
  <c r="W168" i="361"/>
  <c r="S168" i="361"/>
  <c r="W181" i="361"/>
  <c r="V181" i="361"/>
  <c r="W195" i="361"/>
  <c r="X203" i="361"/>
  <c r="Y203" i="361" s="1"/>
  <c r="F26" i="361"/>
  <c r="F13" i="361" s="1"/>
  <c r="U82" i="361"/>
  <c r="U217" i="361" s="1"/>
  <c r="F130" i="361"/>
  <c r="W136" i="361"/>
  <c r="V141" i="361"/>
  <c r="S152" i="361"/>
  <c r="V168" i="361"/>
  <c r="V174" i="361"/>
  <c r="Y216" i="361"/>
  <c r="Y231" i="361" s="1"/>
  <c r="R196" i="361"/>
  <c r="Z101" i="359"/>
  <c r="S101" i="359"/>
  <c r="AA271" i="359"/>
  <c r="Z271" i="359"/>
  <c r="AA328" i="359"/>
  <c r="Z328" i="359"/>
  <c r="AA112" i="359"/>
  <c r="Z299" i="359"/>
  <c r="AA299" i="359"/>
  <c r="AA28" i="359"/>
  <c r="Z28" i="359"/>
  <c r="Z45" i="359"/>
  <c r="AA45" i="359"/>
  <c r="H60" i="359"/>
  <c r="AA69" i="359"/>
  <c r="Z100" i="359"/>
  <c r="S100" i="359"/>
  <c r="R151" i="359"/>
  <c r="H254" i="359"/>
  <c r="Q301" i="359"/>
  <c r="R301" i="359" s="1"/>
  <c r="AA325" i="359"/>
  <c r="Z325" i="359"/>
  <c r="Z362" i="359"/>
  <c r="H16" i="359"/>
  <c r="Z18" i="359"/>
  <c r="K44" i="359"/>
  <c r="AA44" i="359" s="1"/>
  <c r="Z57" i="359"/>
  <c r="AA58" i="359"/>
  <c r="H65" i="359"/>
  <c r="Z67" i="359"/>
  <c r="K90" i="359"/>
  <c r="K86" i="359" s="1"/>
  <c r="K85" i="359" s="1"/>
  <c r="AA100" i="359"/>
  <c r="AA149" i="359"/>
  <c r="R149" i="359"/>
  <c r="AA194" i="359"/>
  <c r="Z194" i="359"/>
  <c r="Z218" i="359"/>
  <c r="N241" i="359"/>
  <c r="N230" i="359" s="1"/>
  <c r="K254" i="359"/>
  <c r="Z305" i="359"/>
  <c r="Q308" i="359"/>
  <c r="Z330" i="359"/>
  <c r="Y358" i="359"/>
  <c r="Y423" i="359" s="1"/>
  <c r="AA89" i="359"/>
  <c r="K98" i="359"/>
  <c r="Z105" i="359"/>
  <c r="AA107" i="359"/>
  <c r="AA119" i="359"/>
  <c r="V215" i="359"/>
  <c r="Z222" i="359"/>
  <c r="Z284" i="359"/>
  <c r="H345" i="359"/>
  <c r="N345" i="359"/>
  <c r="Y379" i="359"/>
  <c r="H386" i="359"/>
  <c r="Z21" i="359"/>
  <c r="H59" i="359"/>
  <c r="K60" i="359"/>
  <c r="V68" i="359"/>
  <c r="Y68" i="359"/>
  <c r="N90" i="359"/>
  <c r="Y420" i="359"/>
  <c r="S130" i="359"/>
  <c r="H163" i="359"/>
  <c r="K166" i="359"/>
  <c r="V166" i="359"/>
  <c r="V178" i="359"/>
  <c r="V169" i="359" s="1"/>
  <c r="V158" i="359" s="1"/>
  <c r="V157" i="359" s="1"/>
  <c r="Z212" i="359"/>
  <c r="Y215" i="359"/>
  <c r="AA249" i="359"/>
  <c r="AA267" i="359"/>
  <c r="Z280" i="359"/>
  <c r="Z294" i="359"/>
  <c r="Z343" i="359"/>
  <c r="Z346" i="359"/>
  <c r="Y345" i="359"/>
  <c r="AA356" i="359"/>
  <c r="R366" i="359"/>
  <c r="Y371" i="359"/>
  <c r="Z373" i="359"/>
  <c r="Z389" i="359"/>
  <c r="W48" i="360"/>
  <c r="U433" i="359" s="1"/>
  <c r="W49" i="360"/>
  <c r="Q18" i="360"/>
  <c r="Q19" i="360"/>
  <c r="Q49" i="360" s="1"/>
  <c r="X21" i="360"/>
  <c r="X23" i="360"/>
  <c r="Y24" i="360"/>
  <c r="X27" i="360"/>
  <c r="K42" i="360"/>
  <c r="N42" i="360"/>
  <c r="T42" i="360"/>
  <c r="S46" i="360"/>
  <c r="H22" i="360"/>
  <c r="H49" i="360" s="1"/>
  <c r="Y32" i="360"/>
  <c r="Q34" i="360"/>
  <c r="Y38" i="360"/>
  <c r="H31" i="359"/>
  <c r="H26" i="359" s="1"/>
  <c r="H11" i="359" s="1"/>
  <c r="H10" i="359" s="1"/>
  <c r="V31" i="359"/>
  <c r="V26" i="359" s="1"/>
  <c r="V11" i="359" s="1"/>
  <c r="R78" i="359"/>
  <c r="AA78" i="359"/>
  <c r="Z82" i="359"/>
  <c r="Q81" i="359"/>
  <c r="Z114" i="359"/>
  <c r="R114" i="359"/>
  <c r="AA114" i="359"/>
  <c r="AA216" i="359"/>
  <c r="Z216" i="359"/>
  <c r="N16" i="359"/>
  <c r="Z78" i="359"/>
  <c r="Z84" i="359"/>
  <c r="Q83" i="359"/>
  <c r="Z83" i="359" s="1"/>
  <c r="AA84" i="359"/>
  <c r="Z88" i="359"/>
  <c r="R88" i="359"/>
  <c r="Y91" i="359"/>
  <c r="Z131" i="359"/>
  <c r="AA131" i="359"/>
  <c r="Z164" i="359"/>
  <c r="Q163" i="359"/>
  <c r="AA164" i="359"/>
  <c r="AA235" i="359"/>
  <c r="Z248" i="359"/>
  <c r="R248" i="359"/>
  <c r="AA263" i="359"/>
  <c r="Z263" i="359"/>
  <c r="Z326" i="359"/>
  <c r="Q324" i="359"/>
  <c r="R326" i="359"/>
  <c r="Z363" i="359"/>
  <c r="R363" i="359"/>
  <c r="K50" i="359"/>
  <c r="K46" i="359" s="1"/>
  <c r="AA47" i="359"/>
  <c r="V75" i="359"/>
  <c r="Y75" i="359"/>
  <c r="Q425" i="359"/>
  <c r="R84" i="359"/>
  <c r="N86" i="359"/>
  <c r="N85" i="359" s="1"/>
  <c r="N91" i="359"/>
  <c r="Z92" i="359"/>
  <c r="Z94" i="359"/>
  <c r="S94" i="359"/>
  <c r="Z107" i="359"/>
  <c r="AA121" i="359"/>
  <c r="K120" i="359"/>
  <c r="R164" i="359"/>
  <c r="Y182" i="359"/>
  <c r="Y181" i="359" s="1"/>
  <c r="AA234" i="359"/>
  <c r="Z234" i="359"/>
  <c r="R235" i="359"/>
  <c r="AA259" i="359"/>
  <c r="K258" i="359"/>
  <c r="AA23" i="359"/>
  <c r="R24" i="359"/>
  <c r="AA24" i="359"/>
  <c r="Z47" i="359"/>
  <c r="R47" i="359"/>
  <c r="Q426" i="359"/>
  <c r="R71" i="359"/>
  <c r="R426" i="359" s="1"/>
  <c r="H425" i="359"/>
  <c r="H75" i="359"/>
  <c r="R80" i="359"/>
  <c r="Q90" i="359"/>
  <c r="R107" i="359"/>
  <c r="S107" i="359" s="1"/>
  <c r="N120" i="359"/>
  <c r="H166" i="359"/>
  <c r="Y169" i="359"/>
  <c r="K215" i="359"/>
  <c r="Z273" i="359"/>
  <c r="R273" i="359"/>
  <c r="Z285" i="359"/>
  <c r="R285" i="359"/>
  <c r="AA351" i="359"/>
  <c r="Z351" i="359"/>
  <c r="AA293" i="359"/>
  <c r="AA294" i="359"/>
  <c r="AA298" i="359"/>
  <c r="Z298" i="359"/>
  <c r="H324" i="359"/>
  <c r="AA347" i="359"/>
  <c r="Z347" i="359"/>
  <c r="AA373" i="359"/>
  <c r="AA20" i="359"/>
  <c r="AA35" i="359"/>
  <c r="Y34" i="359"/>
  <c r="Y33" i="359" s="1"/>
  <c r="Y32" i="359" s="1"/>
  <c r="V59" i="359"/>
  <c r="V53" i="359" s="1"/>
  <c r="H420" i="359"/>
  <c r="V425" i="359"/>
  <c r="Q91" i="359"/>
  <c r="Z97" i="359"/>
  <c r="Z163" i="359"/>
  <c r="AA170" i="359"/>
  <c r="Z171" i="359"/>
  <c r="AA189" i="359"/>
  <c r="AA209" i="359"/>
  <c r="N215" i="359"/>
  <c r="AA243" i="359"/>
  <c r="Q242" i="359"/>
  <c r="Z265" i="359"/>
  <c r="V278" i="359"/>
  <c r="V266" i="359" s="1"/>
  <c r="V253" i="359" s="1"/>
  <c r="V252" i="359" s="1"/>
  <c r="Z274" i="359"/>
  <c r="R274" i="359"/>
  <c r="Z289" i="359"/>
  <c r="R293" i="359"/>
  <c r="R294" i="359"/>
  <c r="R296" i="359"/>
  <c r="AA305" i="359"/>
  <c r="H323" i="359"/>
  <c r="H318" i="359" s="1"/>
  <c r="H317" i="359" s="1"/>
  <c r="H316" i="359" s="1"/>
  <c r="K329" i="359"/>
  <c r="V333" i="359"/>
  <c r="K345" i="359"/>
  <c r="AA367" i="359"/>
  <c r="Z369" i="359"/>
  <c r="AA369" i="359"/>
  <c r="AA370" i="359"/>
  <c r="R373" i="359"/>
  <c r="AA377" i="359"/>
  <c r="Q379" i="359"/>
  <c r="Z379" i="359" s="1"/>
  <c r="N12" i="359"/>
  <c r="K34" i="359"/>
  <c r="V50" i="359"/>
  <c r="V46" i="359" s="1"/>
  <c r="V33" i="359" s="1"/>
  <c r="V32" i="359" s="1"/>
  <c r="V60" i="359"/>
  <c r="N75" i="359"/>
  <c r="V90" i="359"/>
  <c r="V86" i="359" s="1"/>
  <c r="V85" i="359" s="1"/>
  <c r="S145" i="359"/>
  <c r="AA145" i="359"/>
  <c r="N147" i="359"/>
  <c r="N146" i="359" s="1"/>
  <c r="Z167" i="359"/>
  <c r="Z166" i="359"/>
  <c r="AA167" i="359"/>
  <c r="H178" i="359"/>
  <c r="H169" i="359"/>
  <c r="R189" i="359"/>
  <c r="H200" i="359"/>
  <c r="H192" i="359" s="1"/>
  <c r="H191" i="359" s="1"/>
  <c r="H190" i="359" s="1"/>
  <c r="Z199" i="359"/>
  <c r="R199" i="359"/>
  <c r="AA201" i="359"/>
  <c r="AA212" i="359"/>
  <c r="N223" i="359"/>
  <c r="Y241" i="359"/>
  <c r="Y230" i="359" s="1"/>
  <c r="Y214" i="359" s="1"/>
  <c r="Y213" i="359" s="1"/>
  <c r="Z242" i="359"/>
  <c r="AA248" i="359"/>
  <c r="Z260" i="359"/>
  <c r="N278" i="359"/>
  <c r="N266" i="359" s="1"/>
  <c r="H288" i="359"/>
  <c r="R305" i="359"/>
  <c r="AA307" i="359"/>
  <c r="H309" i="359"/>
  <c r="H303" i="359" s="1"/>
  <c r="H302" i="359" s="1"/>
  <c r="Q312" i="359"/>
  <c r="R312" i="359" s="1"/>
  <c r="R322" i="359"/>
  <c r="Z331" i="359"/>
  <c r="Y333" i="359"/>
  <c r="Z335" i="359"/>
  <c r="R335" i="359"/>
  <c r="V342" i="359"/>
  <c r="V338" i="359" s="1"/>
  <c r="V337" i="359" s="1"/>
  <c r="V336" i="359" s="1"/>
  <c r="H349" i="359"/>
  <c r="Y368" i="359"/>
  <c r="Y361" i="359" s="1"/>
  <c r="R367" i="359"/>
  <c r="R369" i="359"/>
  <c r="H371" i="359"/>
  <c r="N386" i="359"/>
  <c r="N375" i="359" s="1"/>
  <c r="H115" i="359"/>
  <c r="K420" i="359"/>
  <c r="V120" i="359"/>
  <c r="AA151" i="359"/>
  <c r="Z156" i="359"/>
  <c r="AA156" i="359"/>
  <c r="Y166" i="359"/>
  <c r="Y422" i="359" s="1"/>
  <c r="U431" i="359" s="1"/>
  <c r="Z179" i="359"/>
  <c r="AA179" i="359"/>
  <c r="N182" i="359"/>
  <c r="N181" i="359" s="1"/>
  <c r="AA188" i="359"/>
  <c r="N200" i="359"/>
  <c r="N192" i="359" s="1"/>
  <c r="N191" i="359" s="1"/>
  <c r="N190" i="359" s="1"/>
  <c r="Z205" i="359"/>
  <c r="AA205" i="359"/>
  <c r="Z210" i="359"/>
  <c r="Z268" i="359"/>
  <c r="AA272" i="359"/>
  <c r="Y283" i="359"/>
  <c r="N301" i="359"/>
  <c r="N295" i="359" s="1"/>
  <c r="N282" i="359" s="1"/>
  <c r="N281" i="359" s="1"/>
  <c r="Y308" i="359"/>
  <c r="Y304" i="359" s="1"/>
  <c r="Y303" i="359" s="1"/>
  <c r="Y302" i="359" s="1"/>
  <c r="AA322" i="359"/>
  <c r="V323" i="359"/>
  <c r="V318" i="359" s="1"/>
  <c r="V317" i="359" s="1"/>
  <c r="V316" i="359" s="1"/>
  <c r="N324" i="359"/>
  <c r="H355" i="359"/>
  <c r="H354" i="359" s="1"/>
  <c r="V358" i="359"/>
  <c r="V423" i="359" s="1"/>
  <c r="AA366" i="359"/>
  <c r="V371" i="359"/>
  <c r="Y386" i="359"/>
  <c r="Z393" i="359"/>
  <c r="AA393" i="359"/>
  <c r="Z395" i="359"/>
  <c r="AA395" i="359"/>
  <c r="H414" i="359"/>
  <c r="H413" i="359" s="1"/>
  <c r="H412" i="359" s="1"/>
  <c r="H53" i="359"/>
  <c r="AA43" i="359"/>
  <c r="R43" i="359"/>
  <c r="Z44" i="359"/>
  <c r="K59" i="359"/>
  <c r="K53" i="359" s="1"/>
  <c r="AA168" i="359"/>
  <c r="R168" i="359"/>
  <c r="R12" i="359"/>
  <c r="Z29" i="359"/>
  <c r="AA38" i="359"/>
  <c r="R38" i="359"/>
  <c r="Z49" i="359"/>
  <c r="AA61" i="359"/>
  <c r="R61" i="359"/>
  <c r="AA70" i="359"/>
  <c r="R70" i="359"/>
  <c r="Q68" i="359"/>
  <c r="Q79" i="359"/>
  <c r="Q76" i="359"/>
  <c r="Z111" i="359"/>
  <c r="Y120" i="359"/>
  <c r="S123" i="359"/>
  <c r="AA123" i="359"/>
  <c r="AA152" i="359"/>
  <c r="R152" i="359"/>
  <c r="Z184" i="359"/>
  <c r="K183" i="359"/>
  <c r="AA237" i="359"/>
  <c r="R237" i="359"/>
  <c r="Z237" i="359"/>
  <c r="Q295" i="359"/>
  <c r="V308" i="359"/>
  <c r="V304" i="359" s="1"/>
  <c r="V303" i="359" s="1"/>
  <c r="V302" i="359" s="1"/>
  <c r="AA308" i="359"/>
  <c r="R308" i="359"/>
  <c r="Q304" i="359"/>
  <c r="Z308" i="359"/>
  <c r="K309" i="359"/>
  <c r="AA310" i="359"/>
  <c r="Q323" i="359"/>
  <c r="AA319" i="359"/>
  <c r="R319" i="359"/>
  <c r="Z319" i="359"/>
  <c r="Q318" i="359"/>
  <c r="AA334" i="359"/>
  <c r="K333" i="359"/>
  <c r="AA372" i="359"/>
  <c r="K371" i="359"/>
  <c r="K354" i="359" s="1"/>
  <c r="Z381" i="359"/>
  <c r="K380" i="359"/>
  <c r="AA381" i="359"/>
  <c r="Q422" i="359"/>
  <c r="W54" i="361"/>
  <c r="R16" i="359"/>
  <c r="Z20" i="359"/>
  <c r="Q31" i="359"/>
  <c r="Q26" i="359" s="1"/>
  <c r="Z27" i="359"/>
  <c r="R29" i="359"/>
  <c r="AA30" i="359"/>
  <c r="R30" i="359"/>
  <c r="Z35" i="359"/>
  <c r="Z37" i="359"/>
  <c r="Z40" i="359"/>
  <c r="R49" i="359"/>
  <c r="AA49" i="359"/>
  <c r="Y59" i="359"/>
  <c r="Y53" i="359" s="1"/>
  <c r="Q60" i="359"/>
  <c r="K75" i="359"/>
  <c r="R77" i="359"/>
  <c r="AA77" i="359"/>
  <c r="AA82" i="359"/>
  <c r="R82" i="359"/>
  <c r="AA110" i="359"/>
  <c r="S110" i="359"/>
  <c r="Z110" i="359"/>
  <c r="R111" i="359"/>
  <c r="AA116" i="359"/>
  <c r="S116" i="359"/>
  <c r="S115" i="359" s="1"/>
  <c r="Z116" i="359"/>
  <c r="Q115" i="359"/>
  <c r="AA117" i="359"/>
  <c r="K115" i="359"/>
  <c r="Q120" i="359"/>
  <c r="Z123" i="359"/>
  <c r="AA160" i="359"/>
  <c r="R160" i="359"/>
  <c r="Z162" i="359"/>
  <c r="K159" i="359"/>
  <c r="R166" i="359"/>
  <c r="N178" i="359"/>
  <c r="N169" i="359" s="1"/>
  <c r="K200" i="359"/>
  <c r="K192" i="359" s="1"/>
  <c r="AA195" i="359"/>
  <c r="V200" i="359"/>
  <c r="V192" i="359" s="1"/>
  <c r="V191" i="359" s="1"/>
  <c r="V190" i="359" s="1"/>
  <c r="AA221" i="359"/>
  <c r="R221" i="359"/>
  <c r="AA224" i="359"/>
  <c r="R224" i="359"/>
  <c r="Z224" i="359"/>
  <c r="Y278" i="359"/>
  <c r="Y266" i="359" s="1"/>
  <c r="Y253" i="359" s="1"/>
  <c r="Y252" i="359" s="1"/>
  <c r="Z327" i="359"/>
  <c r="K324" i="359"/>
  <c r="AA327" i="359"/>
  <c r="Q342" i="359"/>
  <c r="Q338" i="359" s="1"/>
  <c r="AA339" i="359"/>
  <c r="R339" i="359"/>
  <c r="R371" i="359"/>
  <c r="Z371" i="359"/>
  <c r="AA14" i="359"/>
  <c r="R14" i="359"/>
  <c r="Z19" i="359"/>
  <c r="K16" i="359"/>
  <c r="AA16" i="359" s="1"/>
  <c r="H422" i="359"/>
  <c r="R20" i="359"/>
  <c r="AA21" i="359"/>
  <c r="R21" i="359"/>
  <c r="R27" i="359"/>
  <c r="AA27" i="359"/>
  <c r="N31" i="359"/>
  <c r="N26" i="359" s="1"/>
  <c r="Q34" i="359"/>
  <c r="R35" i="359"/>
  <c r="AA37" i="359"/>
  <c r="R37" i="359"/>
  <c r="AA40" i="359"/>
  <c r="R40" i="359"/>
  <c r="H50" i="359"/>
  <c r="H46" i="359" s="1"/>
  <c r="Q50" i="359"/>
  <c r="Q46" i="359" s="1"/>
  <c r="Q59" i="359"/>
  <c r="Q53" i="359" s="1"/>
  <c r="Z54" i="359"/>
  <c r="N59" i="359"/>
  <c r="N53" i="359" s="1"/>
  <c r="Y60" i="359"/>
  <c r="AA80" i="359"/>
  <c r="Z89" i="359"/>
  <c r="AA92" i="359"/>
  <c r="V113" i="359"/>
  <c r="V104" i="359" s="1"/>
  <c r="V103" i="359" s="1"/>
  <c r="V74" i="359" s="1"/>
  <c r="V73" i="359" s="1"/>
  <c r="Q113" i="359"/>
  <c r="Q104" i="359" s="1"/>
  <c r="V115" i="359"/>
  <c r="Z118" i="359"/>
  <c r="AA118" i="359"/>
  <c r="Z119" i="359"/>
  <c r="Z128" i="359"/>
  <c r="AA128" i="359"/>
  <c r="S128" i="359"/>
  <c r="Z132" i="359"/>
  <c r="AA132" i="359"/>
  <c r="S132" i="359"/>
  <c r="Y148" i="359"/>
  <c r="Y147" i="359" s="1"/>
  <c r="Y146" i="359" s="1"/>
  <c r="AA155" i="359"/>
  <c r="R159" i="359"/>
  <c r="AA171" i="359"/>
  <c r="R171" i="359"/>
  <c r="AA180" i="359"/>
  <c r="R180" i="359"/>
  <c r="AA196" i="359"/>
  <c r="AA220" i="359"/>
  <c r="R220" i="359"/>
  <c r="Z220" i="359"/>
  <c r="Q215" i="359"/>
  <c r="AA231" i="359"/>
  <c r="R231" i="359"/>
  <c r="Z231" i="359"/>
  <c r="Q241" i="359"/>
  <c r="Q230" i="359" s="1"/>
  <c r="H241" i="359"/>
  <c r="H230" i="359" s="1"/>
  <c r="K278" i="359"/>
  <c r="K266" i="359" s="1"/>
  <c r="AA270" i="359"/>
  <c r="AA279" i="359"/>
  <c r="R279" i="359"/>
  <c r="Q403" i="359"/>
  <c r="R403" i="359" s="1"/>
  <c r="R398" i="359"/>
  <c r="X16" i="360"/>
  <c r="Y16" i="360"/>
  <c r="X25" i="360"/>
  <c r="Y25" i="360"/>
  <c r="Z15" i="359"/>
  <c r="K12" i="359"/>
  <c r="AA12" i="359" s="1"/>
  <c r="Z17" i="359"/>
  <c r="R17" i="359"/>
  <c r="AA17" i="359"/>
  <c r="Y26" i="359"/>
  <c r="Z38" i="359"/>
  <c r="Z43" i="359"/>
  <c r="R54" i="359"/>
  <c r="AA54" i="359"/>
  <c r="AA55" i="359"/>
  <c r="R55" i="359"/>
  <c r="AA56" i="359"/>
  <c r="N60" i="359"/>
  <c r="Z61" i="359"/>
  <c r="AA62" i="359"/>
  <c r="Z66" i="359"/>
  <c r="K65" i="359"/>
  <c r="Z69" i="359"/>
  <c r="Z70" i="359"/>
  <c r="AA83" i="359"/>
  <c r="H90" i="359"/>
  <c r="H86" i="359" s="1"/>
  <c r="H85" i="359" s="1"/>
  <c r="R89" i="359"/>
  <c r="Y90" i="359"/>
  <c r="Y86" i="359" s="1"/>
  <c r="Y85" i="359" s="1"/>
  <c r="Y74" i="359" s="1"/>
  <c r="Y73" i="359" s="1"/>
  <c r="N113" i="359"/>
  <c r="N104" i="359" s="1"/>
  <c r="Y113" i="359"/>
  <c r="Y104" i="359" s="1"/>
  <c r="Y103" i="359" s="1"/>
  <c r="S119" i="359"/>
  <c r="R122" i="359"/>
  <c r="R120" i="359" s="1"/>
  <c r="AA122" i="359"/>
  <c r="Z122" i="359"/>
  <c r="Z129" i="359"/>
  <c r="AA129" i="359"/>
  <c r="Z133" i="359"/>
  <c r="AA133" i="359"/>
  <c r="S137" i="359"/>
  <c r="AA137" i="359"/>
  <c r="Z137" i="359"/>
  <c r="Q153" i="359"/>
  <c r="Z152" i="359"/>
  <c r="K147" i="359"/>
  <c r="K146" i="359" s="1"/>
  <c r="AA166" i="359"/>
  <c r="Z168" i="359"/>
  <c r="AA184" i="359"/>
  <c r="Z186" i="359"/>
  <c r="K185" i="359"/>
  <c r="Q200" i="359"/>
  <c r="Q192" i="359" s="1"/>
  <c r="AA193" i="359"/>
  <c r="R193" i="359"/>
  <c r="AA222" i="359"/>
  <c r="R222" i="359"/>
  <c r="Q223" i="359"/>
  <c r="AA238" i="359"/>
  <c r="R238" i="359"/>
  <c r="Q254" i="359"/>
  <c r="AA255" i="359"/>
  <c r="R255" i="359"/>
  <c r="AA276" i="359"/>
  <c r="Z276" i="359"/>
  <c r="R276" i="359"/>
  <c r="AA288" i="359"/>
  <c r="Z288" i="359"/>
  <c r="R288" i="359"/>
  <c r="Y301" i="359"/>
  <c r="Y295" i="359" s="1"/>
  <c r="Y282" i="359" s="1"/>
  <c r="Y281" i="359" s="1"/>
  <c r="AA348" i="359"/>
  <c r="R348" i="359"/>
  <c r="AA413" i="359"/>
  <c r="R413" i="359"/>
  <c r="Q412" i="359"/>
  <c r="Z413" i="359"/>
  <c r="X24" i="361"/>
  <c r="S24" i="361"/>
  <c r="H301" i="359"/>
  <c r="AA321" i="359"/>
  <c r="R321" i="359"/>
  <c r="K323" i="359"/>
  <c r="K318" i="359" s="1"/>
  <c r="AA331" i="359"/>
  <c r="R331" i="359"/>
  <c r="H342" i="359"/>
  <c r="H338" i="359" s="1"/>
  <c r="AA340" i="359"/>
  <c r="R340" i="359"/>
  <c r="AA343" i="359"/>
  <c r="Z356" i="359"/>
  <c r="Q368" i="359"/>
  <c r="Q361" i="359" s="1"/>
  <c r="AA362" i="359"/>
  <c r="R362" i="359"/>
  <c r="V368" i="359"/>
  <c r="V361" i="359" s="1"/>
  <c r="Z370" i="359"/>
  <c r="Z374" i="359"/>
  <c r="V379" i="359"/>
  <c r="V376" i="359" s="1"/>
  <c r="V375" i="359" s="1"/>
  <c r="W33" i="361"/>
  <c r="V33" i="361"/>
  <c r="R37" i="361"/>
  <c r="S33" i="361"/>
  <c r="V222" i="361"/>
  <c r="V241" i="361" s="1"/>
  <c r="V242" i="361" s="1"/>
  <c r="W121" i="361"/>
  <c r="J221" i="361"/>
  <c r="J239" i="361" s="1"/>
  <c r="W137" i="361"/>
  <c r="W221" i="361" s="1"/>
  <c r="W239" i="361" s="1"/>
  <c r="J130" i="361"/>
  <c r="V137" i="361"/>
  <c r="V221" i="361" s="1"/>
  <c r="V239" i="361" s="1"/>
  <c r="S142" i="361"/>
  <c r="V422" i="359"/>
  <c r="T431" i="359" s="1"/>
  <c r="Z25" i="359"/>
  <c r="Z58" i="359"/>
  <c r="Z62" i="359"/>
  <c r="Y425" i="359"/>
  <c r="Q86" i="359"/>
  <c r="Z87" i="359"/>
  <c r="AA93" i="359"/>
  <c r="S93" i="359"/>
  <c r="Q420" i="359"/>
  <c r="Z96" i="359"/>
  <c r="AA102" i="359"/>
  <c r="S102" i="359"/>
  <c r="S98" i="359" s="1"/>
  <c r="Q98" i="359"/>
  <c r="Z102" i="359"/>
  <c r="AA108" i="359"/>
  <c r="R108" i="359"/>
  <c r="Z109" i="359"/>
  <c r="H113" i="359"/>
  <c r="H104" i="359" s="1"/>
  <c r="Z121" i="359"/>
  <c r="Z127" i="359"/>
  <c r="Q126" i="359"/>
  <c r="Q140" i="359"/>
  <c r="Q135" i="359" s="1"/>
  <c r="S136" i="359"/>
  <c r="Z150" i="359"/>
  <c r="Z154" i="359"/>
  <c r="Z155" i="359"/>
  <c r="K169" i="359"/>
  <c r="Z195" i="359"/>
  <c r="Z196" i="359"/>
  <c r="R202" i="359"/>
  <c r="AA202" i="359"/>
  <c r="R203" i="359"/>
  <c r="Z209" i="359"/>
  <c r="AA210" i="359"/>
  <c r="R210" i="359"/>
  <c r="Z219" i="359"/>
  <c r="K223" i="359"/>
  <c r="K241" i="359"/>
  <c r="K230" i="359" s="1"/>
  <c r="Z236" i="359"/>
  <c r="AA239" i="359"/>
  <c r="R239" i="359"/>
  <c r="Z240" i="359"/>
  <c r="AA242" i="359"/>
  <c r="R242" i="359"/>
  <c r="Z243" i="359"/>
  <c r="AA245" i="359"/>
  <c r="R245" i="359"/>
  <c r="Q244" i="359"/>
  <c r="Z249" i="359"/>
  <c r="Q258" i="359"/>
  <c r="AA260" i="359"/>
  <c r="R260" i="359"/>
  <c r="AA265" i="359"/>
  <c r="R265" i="359"/>
  <c r="H266" i="359"/>
  <c r="R268" i="359"/>
  <c r="AA268" i="359"/>
  <c r="Z270" i="359"/>
  <c r="AA275" i="359"/>
  <c r="Z275" i="359"/>
  <c r="AA277" i="359"/>
  <c r="Z277" i="359"/>
  <c r="AA284" i="359"/>
  <c r="R284" i="359"/>
  <c r="Z286" i="359"/>
  <c r="AA296" i="359"/>
  <c r="V295" i="359"/>
  <c r="AA300" i="359"/>
  <c r="R300" i="359"/>
  <c r="K301" i="359"/>
  <c r="N303" i="359"/>
  <c r="N302" i="359" s="1"/>
  <c r="Z310" i="359"/>
  <c r="Z314" i="359"/>
  <c r="Y323" i="359"/>
  <c r="Y318" i="359" s="1"/>
  <c r="AA324" i="359"/>
  <c r="AA350" i="359"/>
  <c r="R350" i="359"/>
  <c r="Z350" i="359"/>
  <c r="Q355" i="359"/>
  <c r="R356" i="359"/>
  <c r="R370" i="359"/>
  <c r="R374" i="359"/>
  <c r="Y376" i="359"/>
  <c r="Y375" i="359" s="1"/>
  <c r="Q386" i="359"/>
  <c r="AA387" i="359"/>
  <c r="R387" i="359"/>
  <c r="X28" i="360"/>
  <c r="K26" i="360"/>
  <c r="Y26" i="360" s="1"/>
  <c r="K33" i="360"/>
  <c r="K30" i="360" s="1"/>
  <c r="X31" i="360"/>
  <c r="W30" i="360"/>
  <c r="W29" i="360" s="1"/>
  <c r="V27" i="361"/>
  <c r="W42" i="361"/>
  <c r="R41" i="361"/>
  <c r="V42" i="361"/>
  <c r="X51" i="361"/>
  <c r="N53" i="361"/>
  <c r="X53" i="361" s="1"/>
  <c r="W58" i="361"/>
  <c r="V60" i="361"/>
  <c r="K220" i="361"/>
  <c r="K236" i="361" s="1"/>
  <c r="V152" i="361"/>
  <c r="G231" i="361"/>
  <c r="AA172" i="359"/>
  <c r="R172" i="359"/>
  <c r="AA187" i="359"/>
  <c r="R187" i="359"/>
  <c r="Y200" i="359"/>
  <c r="Y192" i="359" s="1"/>
  <c r="Y191" i="359" s="1"/>
  <c r="Y190" i="359" s="1"/>
  <c r="Z201" i="359"/>
  <c r="Z202" i="359"/>
  <c r="V241" i="359"/>
  <c r="V230" i="359" s="1"/>
  <c r="V214" i="359" s="1"/>
  <c r="V213" i="359" s="1"/>
  <c r="N258" i="359"/>
  <c r="Q278" i="359"/>
  <c r="AA280" i="359"/>
  <c r="R280" i="359"/>
  <c r="R25" i="359"/>
  <c r="R58" i="359"/>
  <c r="R62" i="359"/>
  <c r="Z71" i="359"/>
  <c r="N420" i="359"/>
  <c r="Z80" i="359"/>
  <c r="R87" i="359"/>
  <c r="AA87" i="359"/>
  <c r="R96" i="359"/>
  <c r="AA96" i="359"/>
  <c r="AA97" i="359"/>
  <c r="R97" i="359"/>
  <c r="R425" i="359" s="1"/>
  <c r="K113" i="359"/>
  <c r="K104" i="359" s="1"/>
  <c r="AA105" i="359"/>
  <c r="AA106" i="359"/>
  <c r="S106" i="359"/>
  <c r="Z106" i="359"/>
  <c r="R109" i="359"/>
  <c r="N115" i="359"/>
  <c r="Z117" i="359"/>
  <c r="AA124" i="359"/>
  <c r="S124" i="359"/>
  <c r="S127" i="359"/>
  <c r="S131" i="359"/>
  <c r="Z136" i="359"/>
  <c r="Q144" i="359"/>
  <c r="Z145" i="359"/>
  <c r="V148" i="359"/>
  <c r="V147" i="359" s="1"/>
  <c r="V146" i="359" s="1"/>
  <c r="R150" i="359"/>
  <c r="R154" i="359"/>
  <c r="R155" i="359"/>
  <c r="N166" i="359"/>
  <c r="Q178" i="359"/>
  <c r="Z170" i="359"/>
  <c r="Q185" i="359"/>
  <c r="Z188" i="359"/>
  <c r="Z189" i="359"/>
  <c r="R196" i="359"/>
  <c r="Z204" i="359"/>
  <c r="K203" i="359"/>
  <c r="Z203" i="359" s="1"/>
  <c r="R209" i="359"/>
  <c r="R219" i="359"/>
  <c r="Z232" i="359"/>
  <c r="R236" i="359"/>
  <c r="R240" i="359"/>
  <c r="R243" i="359"/>
  <c r="R246" i="359"/>
  <c r="N254" i="359"/>
  <c r="Z272" i="359"/>
  <c r="R275" i="359"/>
  <c r="R277" i="359"/>
  <c r="Q283" i="359"/>
  <c r="V283" i="359"/>
  <c r="R286" i="359"/>
  <c r="AA289" i="359"/>
  <c r="R289" i="359"/>
  <c r="Z297" i="359"/>
  <c r="AA306" i="359"/>
  <c r="R306" i="359"/>
  <c r="R314" i="359"/>
  <c r="AA315" i="359"/>
  <c r="R315" i="359"/>
  <c r="N323" i="359"/>
  <c r="N318" i="359" s="1"/>
  <c r="R324" i="359"/>
  <c r="Q329" i="359"/>
  <c r="Z344" i="359"/>
  <c r="Q345" i="359"/>
  <c r="AA346" i="359"/>
  <c r="R346" i="359"/>
  <c r="Q349" i="359"/>
  <c r="N368" i="359"/>
  <c r="N361" i="359" s="1"/>
  <c r="N354" i="359" s="1"/>
  <c r="H18" i="360"/>
  <c r="H13" i="360" s="1"/>
  <c r="T18" i="360"/>
  <c r="T13" i="360" s="1"/>
  <c r="Y36" i="360"/>
  <c r="X36" i="360"/>
  <c r="K34" i="360"/>
  <c r="X34" i="360" s="1"/>
  <c r="X44" i="360"/>
  <c r="Y44" i="360"/>
  <c r="F217" i="361"/>
  <c r="F233" i="361" s="1"/>
  <c r="N54" i="361"/>
  <c r="X54" i="361" s="1"/>
  <c r="X55" i="361"/>
  <c r="W60" i="361"/>
  <c r="V69" i="361"/>
  <c r="W69" i="361"/>
  <c r="K216" i="361"/>
  <c r="K231" i="361" s="1"/>
  <c r="K70" i="361"/>
  <c r="U216" i="361"/>
  <c r="U231" i="361" s="1"/>
  <c r="U70" i="361"/>
  <c r="U202" i="361" s="1"/>
  <c r="U207" i="361" s="1"/>
  <c r="J142" i="361"/>
  <c r="W142" i="361" s="1"/>
  <c r="V144" i="361"/>
  <c r="W144" i="361"/>
  <c r="W183" i="361"/>
  <c r="V183" i="361"/>
  <c r="V420" i="359"/>
  <c r="Z149" i="359"/>
  <c r="Z256" i="359"/>
  <c r="Z269" i="359"/>
  <c r="H295" i="359"/>
  <c r="Z296" i="359"/>
  <c r="Q309" i="359"/>
  <c r="K312" i="359"/>
  <c r="Z313" i="359"/>
  <c r="Q333" i="359"/>
  <c r="Z334" i="359"/>
  <c r="K342" i="359"/>
  <c r="K338" i="359" s="1"/>
  <c r="K349" i="359"/>
  <c r="AA365" i="359"/>
  <c r="K386" i="359"/>
  <c r="AA389" i="359"/>
  <c r="R389" i="359"/>
  <c r="AA390" i="359"/>
  <c r="Q411" i="359"/>
  <c r="R411" i="359" s="1"/>
  <c r="R406" i="359"/>
  <c r="N49" i="360"/>
  <c r="X20" i="360"/>
  <c r="T26" i="360"/>
  <c r="T48" i="360" s="1"/>
  <c r="T433" i="359" s="1"/>
  <c r="N33" i="360"/>
  <c r="N30" i="360" s="1"/>
  <c r="Q42" i="360"/>
  <c r="Q29" i="360" s="1"/>
  <c r="Y43" i="360"/>
  <c r="Y217" i="361"/>
  <c r="W52" i="361"/>
  <c r="F224" i="361"/>
  <c r="V143" i="361"/>
  <c r="S143" i="361"/>
  <c r="X143" i="361"/>
  <c r="W143" i="361"/>
  <c r="V154" i="361"/>
  <c r="X154" i="361"/>
  <c r="Y154" i="361" s="1"/>
  <c r="W154" i="361"/>
  <c r="S154" i="361"/>
  <c r="K223" i="361"/>
  <c r="Z267" i="359"/>
  <c r="Y342" i="359"/>
  <c r="Y338" i="359" s="1"/>
  <c r="Y337" i="359" s="1"/>
  <c r="Y336" i="359" s="1"/>
  <c r="AA344" i="359"/>
  <c r="R344" i="359"/>
  <c r="AA360" i="359"/>
  <c r="R360" i="359"/>
  <c r="Q358" i="359"/>
  <c r="AA364" i="359"/>
  <c r="R364" i="359"/>
  <c r="Z372" i="359"/>
  <c r="R379" i="359"/>
  <c r="H375" i="359"/>
  <c r="H353" i="359" s="1"/>
  <c r="H352" i="359" s="1"/>
  <c r="AA392" i="359"/>
  <c r="Z414" i="359"/>
  <c r="H48" i="360"/>
  <c r="P46" i="360"/>
  <c r="V34" i="361"/>
  <c r="S34" i="361"/>
  <c r="W46" i="361"/>
  <c r="R45" i="361"/>
  <c r="V46" i="361"/>
  <c r="S46" i="361"/>
  <c r="F142" i="361"/>
  <c r="F120" i="361" s="1"/>
  <c r="K202" i="361"/>
  <c r="K207" i="361" s="1"/>
  <c r="W179" i="361"/>
  <c r="V179" i="361"/>
  <c r="R182" i="361"/>
  <c r="Z377" i="359"/>
  <c r="Z392" i="359"/>
  <c r="Z394" i="359"/>
  <c r="AA414" i="359"/>
  <c r="K18" i="360"/>
  <c r="K13" i="360" s="1"/>
  <c r="W18" i="360"/>
  <c r="Y31" i="360"/>
  <c r="Y37" i="360"/>
  <c r="Y39" i="360"/>
  <c r="V18" i="361"/>
  <c r="S18" i="361"/>
  <c r="R17" i="361"/>
  <c r="J67" i="361"/>
  <c r="V68" i="361"/>
  <c r="S114" i="361"/>
  <c r="V114" i="361"/>
  <c r="V126" i="361"/>
  <c r="N130" i="361"/>
  <c r="W138" i="361"/>
  <c r="V138" i="361"/>
  <c r="X138" i="361"/>
  <c r="Y138" i="361" s="1"/>
  <c r="S138" i="361"/>
  <c r="V157" i="361"/>
  <c r="J161" i="361"/>
  <c r="J156" i="361" s="1"/>
  <c r="Y222" i="361"/>
  <c r="Y241" i="361" s="1"/>
  <c r="Y242" i="361" s="1"/>
  <c r="N423" i="359"/>
  <c r="R377" i="359"/>
  <c r="R380" i="359"/>
  <c r="R392" i="359"/>
  <c r="R394" i="359"/>
  <c r="W13" i="360"/>
  <c r="X14" i="360"/>
  <c r="Y15" i="360"/>
  <c r="Q13" i="360"/>
  <c r="Y17" i="360"/>
  <c r="K22" i="360"/>
  <c r="X22" i="360" s="1"/>
  <c r="N26" i="360"/>
  <c r="Y28" i="360"/>
  <c r="T33" i="360"/>
  <c r="T30" i="360" s="1"/>
  <c r="T29" i="360" s="1"/>
  <c r="W18" i="361"/>
  <c r="F41" i="361"/>
  <c r="V43" i="361"/>
  <c r="S43" i="361"/>
  <c r="S48" i="361"/>
  <c r="J53" i="361"/>
  <c r="J49" i="361" s="1"/>
  <c r="W50" i="361"/>
  <c r="O74" i="361"/>
  <c r="O71" i="361" s="1"/>
  <c r="V124" i="361"/>
  <c r="S124" i="361"/>
  <c r="W124" i="361"/>
  <c r="V131" i="361"/>
  <c r="S131" i="361"/>
  <c r="R130" i="361"/>
  <c r="X131" i="361"/>
  <c r="Y131" i="361" s="1"/>
  <c r="V139" i="361"/>
  <c r="S139" i="361"/>
  <c r="X139" i="361"/>
  <c r="Y139" i="361" s="1"/>
  <c r="V151" i="361"/>
  <c r="S151" i="361"/>
  <c r="X151" i="361"/>
  <c r="Y151" i="361" s="1"/>
  <c r="W151" i="361"/>
  <c r="S188" i="361"/>
  <c r="W188" i="361"/>
  <c r="V188" i="361"/>
  <c r="J24" i="361"/>
  <c r="J13" i="361" s="1"/>
  <c r="R26" i="361"/>
  <c r="W27" i="361"/>
  <c r="F32" i="361"/>
  <c r="V51" i="361"/>
  <c r="V55" i="361"/>
  <c r="V57" i="361"/>
  <c r="V59" i="361"/>
  <c r="V61" i="361"/>
  <c r="V65" i="361"/>
  <c r="V85" i="361"/>
  <c r="V122" i="361"/>
  <c r="W125" i="361"/>
  <c r="V125" i="361"/>
  <c r="V133" i="361"/>
  <c r="V135" i="361"/>
  <c r="S135" i="361"/>
  <c r="V147" i="361"/>
  <c r="S147" i="361"/>
  <c r="W150" i="361"/>
  <c r="V150" i="361"/>
  <c r="N165" i="361"/>
  <c r="X217" i="361"/>
  <c r="U220" i="361"/>
  <c r="U236" i="361" s="1"/>
  <c r="F218" i="361"/>
  <c r="F234" i="361" s="1"/>
  <c r="F114" i="361"/>
  <c r="W122" i="361"/>
  <c r="V123" i="361"/>
  <c r="S123" i="361"/>
  <c r="W134" i="361"/>
  <c r="V134" i="361"/>
  <c r="N142" i="361"/>
  <c r="W146" i="361"/>
  <c r="V146" i="361"/>
  <c r="W158" i="361"/>
  <c r="V158" i="361"/>
  <c r="S159" i="361"/>
  <c r="W159" i="361"/>
  <c r="V159" i="361"/>
  <c r="W166" i="361"/>
  <c r="R165" i="361"/>
  <c r="V166" i="361"/>
  <c r="W178" i="361"/>
  <c r="V178" i="361"/>
  <c r="S178" i="361"/>
  <c r="X132" i="361"/>
  <c r="Y132" i="361" s="1"/>
  <c r="X136" i="361"/>
  <c r="Y136" i="361" s="1"/>
  <c r="X140" i="361"/>
  <c r="Y140" i="361" s="1"/>
  <c r="W141" i="361"/>
  <c r="X144" i="361"/>
  <c r="Y144" i="361" s="1"/>
  <c r="W145" i="361"/>
  <c r="W149" i="361"/>
  <c r="W153" i="361"/>
  <c r="W160" i="361"/>
  <c r="N161" i="361"/>
  <c r="N156" i="361" s="1"/>
  <c r="W162" i="361"/>
  <c r="W167" i="361"/>
  <c r="R169" i="361"/>
  <c r="V170" i="361"/>
  <c r="X137" i="361"/>
  <c r="R161" i="361"/>
  <c r="W170" i="361"/>
  <c r="Y216" i="358"/>
  <c r="V433" i="356" s="1"/>
  <c r="W175" i="358"/>
  <c r="W172" i="358"/>
  <c r="W158" i="358"/>
  <c r="N156" i="358"/>
  <c r="W148" i="358"/>
  <c r="J121" i="358"/>
  <c r="W39" i="358"/>
  <c r="W173" i="358"/>
  <c r="W160" i="358"/>
  <c r="V159" i="358"/>
  <c r="V158" i="358"/>
  <c r="J161" i="358"/>
  <c r="J156" i="358" s="1"/>
  <c r="V152" i="358"/>
  <c r="V151" i="358"/>
  <c r="V150" i="358"/>
  <c r="W149" i="358"/>
  <c r="W147" i="358"/>
  <c r="J142" i="358"/>
  <c r="V143" i="358"/>
  <c r="W138" i="358"/>
  <c r="X133" i="358"/>
  <c r="Y133" i="358" s="1"/>
  <c r="V123" i="358"/>
  <c r="V122" i="358"/>
  <c r="V59" i="358"/>
  <c r="F114" i="358"/>
  <c r="R221" i="358"/>
  <c r="R239" i="358" s="1"/>
  <c r="S173" i="358"/>
  <c r="N169" i="358"/>
  <c r="N165" i="358"/>
  <c r="W152" i="358"/>
  <c r="S147" i="358"/>
  <c r="W144" i="358"/>
  <c r="V140" i="358"/>
  <c r="S135" i="358"/>
  <c r="W133" i="358"/>
  <c r="V131" i="358"/>
  <c r="R126" i="358"/>
  <c r="S126" i="358" s="1"/>
  <c r="R189" i="358"/>
  <c r="S195" i="358"/>
  <c r="V195" i="358"/>
  <c r="W195" i="358"/>
  <c r="V174" i="358"/>
  <c r="S174" i="358"/>
  <c r="W174" i="358"/>
  <c r="R169" i="358"/>
  <c r="W55" i="358"/>
  <c r="V55" i="358"/>
  <c r="J54" i="358"/>
  <c r="W201" i="358"/>
  <c r="R196" i="358"/>
  <c r="S196" i="358" s="1"/>
  <c r="S201" i="358"/>
  <c r="V201" i="358"/>
  <c r="S24" i="358"/>
  <c r="X24" i="358"/>
  <c r="Y24" i="358" s="1"/>
  <c r="W57" i="358"/>
  <c r="V57" i="358"/>
  <c r="J169" i="358"/>
  <c r="R162" i="358"/>
  <c r="W163" i="358"/>
  <c r="F130" i="358"/>
  <c r="F120" i="358"/>
  <c r="F26" i="358"/>
  <c r="F13" i="358" s="1"/>
  <c r="W65" i="358"/>
  <c r="V65" i="358"/>
  <c r="N67" i="358"/>
  <c r="X67" i="358" s="1"/>
  <c r="W170" i="358"/>
  <c r="R165" i="358"/>
  <c r="R156" i="358"/>
  <c r="V157" i="358"/>
  <c r="V144" i="358"/>
  <c r="J130" i="358"/>
  <c r="S39" i="358"/>
  <c r="S40" i="358"/>
  <c r="W46" i="358"/>
  <c r="W171" i="358"/>
  <c r="V170" i="358"/>
  <c r="V163" i="358"/>
  <c r="W161" i="358"/>
  <c r="W154" i="358"/>
  <c r="W150" i="358"/>
  <c r="W146" i="358"/>
  <c r="R142" i="358"/>
  <c r="X140" i="358"/>
  <c r="Y140" i="358" s="1"/>
  <c r="X139" i="358"/>
  <c r="Y139" i="358" s="1"/>
  <c r="X138" i="358"/>
  <c r="Y138" i="358" s="1"/>
  <c r="X136" i="358"/>
  <c r="Y136" i="358" s="1"/>
  <c r="X135" i="358"/>
  <c r="Y135" i="358" s="1"/>
  <c r="X134" i="358"/>
  <c r="Y134" i="358" s="1"/>
  <c r="X132" i="358"/>
  <c r="Y132" i="358" s="1"/>
  <c r="X131" i="358"/>
  <c r="Y131" i="358" s="1"/>
  <c r="J126" i="358"/>
  <c r="W125" i="358"/>
  <c r="W124" i="358"/>
  <c r="N121" i="358"/>
  <c r="R121" i="358"/>
  <c r="N13" i="358"/>
  <c r="W28" i="358"/>
  <c r="R38" i="358"/>
  <c r="S38" i="358" s="1"/>
  <c r="R45" i="358"/>
  <c r="W45" i="358" s="1"/>
  <c r="J62" i="358"/>
  <c r="V62" i="358" s="1"/>
  <c r="U86" i="358"/>
  <c r="U220" i="358" s="1"/>
  <c r="U236" i="358" s="1"/>
  <c r="O86" i="358"/>
  <c r="O85" i="358" s="1"/>
  <c r="R183" i="358"/>
  <c r="V188" i="358"/>
  <c r="W168" i="358"/>
  <c r="S163" i="358"/>
  <c r="S161" i="358"/>
  <c r="W157" i="358"/>
  <c r="X154" i="358"/>
  <c r="Y154" i="358" s="1"/>
  <c r="X152" i="358"/>
  <c r="Y152" i="358" s="1"/>
  <c r="X151" i="358"/>
  <c r="Y151" i="358" s="1"/>
  <c r="X150" i="358"/>
  <c r="Y150" i="358" s="1"/>
  <c r="X148" i="358"/>
  <c r="Y148" i="358" s="1"/>
  <c r="X147" i="358"/>
  <c r="Y147" i="358" s="1"/>
  <c r="X146" i="358"/>
  <c r="Y146" i="358" s="1"/>
  <c r="X144" i="358"/>
  <c r="Y144" i="358" s="1"/>
  <c r="X143" i="358"/>
  <c r="N142" i="358"/>
  <c r="W140" i="358"/>
  <c r="W139" i="358"/>
  <c r="V138" i="358"/>
  <c r="W137" i="358"/>
  <c r="W221" i="358" s="1"/>
  <c r="W239" i="358" s="1"/>
  <c r="W136" i="358"/>
  <c r="W135" i="358"/>
  <c r="V134" i="358"/>
  <c r="W132" i="358"/>
  <c r="W131" i="358"/>
  <c r="R130" i="358"/>
  <c r="S124" i="358"/>
  <c r="W122" i="358"/>
  <c r="O75" i="358"/>
  <c r="O82" i="358"/>
  <c r="O217" i="358" s="1"/>
  <c r="O233" i="358" s="1"/>
  <c r="K86" i="358"/>
  <c r="K85" i="358" s="1"/>
  <c r="O220" i="358"/>
  <c r="O236" i="358" s="1"/>
  <c r="S35" i="358"/>
  <c r="F41" i="358"/>
  <c r="S44" i="358"/>
  <c r="J67" i="358"/>
  <c r="V67" i="358" s="1"/>
  <c r="V27" i="358"/>
  <c r="S28" i="358"/>
  <c r="V35" i="358"/>
  <c r="V36" i="358"/>
  <c r="W43" i="358"/>
  <c r="V44" i="358"/>
  <c r="J58" i="358"/>
  <c r="V68" i="358"/>
  <c r="G220" i="358"/>
  <c r="G236" i="358" s="1"/>
  <c r="F93" i="358"/>
  <c r="V20" i="358"/>
  <c r="V28" i="358"/>
  <c r="R41" i="358"/>
  <c r="W42" i="358"/>
  <c r="W51" i="358"/>
  <c r="W52" i="358"/>
  <c r="N54" i="358"/>
  <c r="X54" i="358" s="1"/>
  <c r="V61" i="358"/>
  <c r="W68" i="358"/>
  <c r="X68" i="358"/>
  <c r="V69" i="358"/>
  <c r="K82" i="358"/>
  <c r="K217" i="358" s="1"/>
  <c r="K233" i="358" s="1"/>
  <c r="T211" i="358"/>
  <c r="U46" i="357"/>
  <c r="V46" i="357"/>
  <c r="X19" i="357"/>
  <c r="Q18" i="357"/>
  <c r="H18" i="357"/>
  <c r="H13" i="357" s="1"/>
  <c r="H47" i="357" s="1"/>
  <c r="H46" i="357" s="1"/>
  <c r="X20" i="357"/>
  <c r="W13" i="357"/>
  <c r="Y20" i="357"/>
  <c r="X24" i="357"/>
  <c r="W49" i="357"/>
  <c r="K26" i="357"/>
  <c r="X26" i="357" s="1"/>
  <c r="W26" i="357"/>
  <c r="Y28" i="357"/>
  <c r="H30" i="357"/>
  <c r="H29" i="357" s="1"/>
  <c r="H48" i="357"/>
  <c r="W48" i="357"/>
  <c r="T42" i="357"/>
  <c r="T48" i="357" s="1"/>
  <c r="X15" i="357"/>
  <c r="Y16" i="357"/>
  <c r="H19" i="357"/>
  <c r="H49" i="357" s="1"/>
  <c r="T49" i="357"/>
  <c r="K22" i="357"/>
  <c r="Y22" i="357" s="1"/>
  <c r="Q33" i="357"/>
  <c r="Y33" i="357" s="1"/>
  <c r="Y35" i="357"/>
  <c r="X36" i="357"/>
  <c r="N42" i="357"/>
  <c r="N29" i="357" s="1"/>
  <c r="K349" i="356"/>
  <c r="AA139" i="356"/>
  <c r="Z133" i="356"/>
  <c r="Z128" i="356"/>
  <c r="S120" i="356"/>
  <c r="N90" i="356"/>
  <c r="N86" i="356" s="1"/>
  <c r="Z82" i="356"/>
  <c r="Z80" i="356"/>
  <c r="AA78" i="356"/>
  <c r="Z328" i="356"/>
  <c r="Z141" i="356"/>
  <c r="Z139" i="356"/>
  <c r="S136" i="356"/>
  <c r="S133" i="356"/>
  <c r="Z129" i="356"/>
  <c r="S128" i="356"/>
  <c r="AA116" i="356"/>
  <c r="H115" i="356"/>
  <c r="K98" i="356"/>
  <c r="Y91" i="356"/>
  <c r="Y85" i="356" s="1"/>
  <c r="K91" i="356"/>
  <c r="Z78" i="356"/>
  <c r="V76" i="356"/>
  <c r="V75" i="356" s="1"/>
  <c r="Z17" i="356"/>
  <c r="H91" i="356"/>
  <c r="Z142" i="356"/>
  <c r="Q140" i="356"/>
  <c r="S140" i="356" s="1"/>
  <c r="S137" i="356"/>
  <c r="S127" i="356"/>
  <c r="N115" i="356"/>
  <c r="AA112" i="356"/>
  <c r="AA100" i="356"/>
  <c r="Z99" i="356"/>
  <c r="AA93" i="356"/>
  <c r="AA82" i="356"/>
  <c r="R82" i="356"/>
  <c r="H75" i="356"/>
  <c r="N75" i="356"/>
  <c r="Z77" i="356"/>
  <c r="AA299" i="356"/>
  <c r="Z299" i="356"/>
  <c r="Z107" i="356"/>
  <c r="S107" i="356"/>
  <c r="Q113" i="356"/>
  <c r="R105" i="356"/>
  <c r="K113" i="356"/>
  <c r="K104" i="356" s="1"/>
  <c r="AA105" i="356"/>
  <c r="Z81" i="356"/>
  <c r="AA81" i="356"/>
  <c r="R81" i="356"/>
  <c r="Z277" i="356"/>
  <c r="R277" i="356"/>
  <c r="Z144" i="356"/>
  <c r="S144" i="356"/>
  <c r="AA144" i="356"/>
  <c r="AA130" i="356"/>
  <c r="S130" i="356"/>
  <c r="Z130" i="356"/>
  <c r="AA107" i="356"/>
  <c r="Y113" i="356"/>
  <c r="Y104" i="356" s="1"/>
  <c r="V113" i="356"/>
  <c r="V104" i="356" s="1"/>
  <c r="Z95" i="356"/>
  <c r="AA95" i="356"/>
  <c r="Z89" i="356"/>
  <c r="AA89" i="356"/>
  <c r="Z140" i="356"/>
  <c r="AA140" i="356"/>
  <c r="Q135" i="356"/>
  <c r="K120" i="356"/>
  <c r="AA121" i="356"/>
  <c r="Z118" i="356"/>
  <c r="AA118" i="356"/>
  <c r="R106" i="356"/>
  <c r="S106" i="356" s="1"/>
  <c r="Z106" i="356"/>
  <c r="Z96" i="356"/>
  <c r="AA96" i="356"/>
  <c r="K90" i="356"/>
  <c r="K86" i="356" s="1"/>
  <c r="Y75" i="356"/>
  <c r="Z122" i="356"/>
  <c r="R122" i="356"/>
  <c r="R120" i="356" s="1"/>
  <c r="Q120" i="356"/>
  <c r="AA122" i="356"/>
  <c r="Z119" i="356"/>
  <c r="AA119" i="356"/>
  <c r="H104" i="356"/>
  <c r="H103" i="356" s="1"/>
  <c r="S101" i="356"/>
  <c r="S98" i="356" s="1"/>
  <c r="Z101" i="356"/>
  <c r="AA101" i="356"/>
  <c r="Q98" i="356"/>
  <c r="Q126" i="356"/>
  <c r="S117" i="356"/>
  <c r="S115" i="356" s="1"/>
  <c r="AA117" i="356"/>
  <c r="R114" i="356"/>
  <c r="AA114" i="356"/>
  <c r="S94" i="356"/>
  <c r="S91" i="356" s="1"/>
  <c r="S85" i="356" s="1"/>
  <c r="AA94" i="356"/>
  <c r="R88" i="356"/>
  <c r="R90" i="356" s="1"/>
  <c r="AA88" i="356"/>
  <c r="V90" i="356"/>
  <c r="V86" i="356" s="1"/>
  <c r="V85" i="356" s="1"/>
  <c r="R83" i="356"/>
  <c r="V358" i="356"/>
  <c r="K423" i="356"/>
  <c r="H414" i="356"/>
  <c r="H413" i="356" s="1"/>
  <c r="H412" i="356" s="1"/>
  <c r="Z117" i="356"/>
  <c r="Q115" i="356"/>
  <c r="Z114" i="356"/>
  <c r="Z105" i="356"/>
  <c r="Z94" i="356"/>
  <c r="Z92" i="356"/>
  <c r="Z88" i="356"/>
  <c r="AA87" i="356"/>
  <c r="R85" i="356"/>
  <c r="H86" i="356"/>
  <c r="AA84" i="356"/>
  <c r="AA49" i="356"/>
  <c r="R426" i="356"/>
  <c r="H166" i="356"/>
  <c r="V166" i="356"/>
  <c r="V422" i="356" s="1"/>
  <c r="AA205" i="356"/>
  <c r="Z222" i="356"/>
  <c r="Q329" i="356"/>
  <c r="Y345" i="356"/>
  <c r="AA363" i="356"/>
  <c r="AA145" i="356"/>
  <c r="AA141" i="356"/>
  <c r="AA136" i="356"/>
  <c r="Z131" i="356"/>
  <c r="Z127" i="356"/>
  <c r="AA123" i="356"/>
  <c r="Y115" i="356"/>
  <c r="N113" i="356"/>
  <c r="N104" i="356" s="1"/>
  <c r="N103" i="356" s="1"/>
  <c r="AA92" i="356"/>
  <c r="Q91" i="356"/>
  <c r="Q90" i="356"/>
  <c r="K83" i="356"/>
  <c r="AA83" i="356" s="1"/>
  <c r="Q79" i="356"/>
  <c r="AA77" i="356"/>
  <c r="H182" i="356"/>
  <c r="H181" i="356" s="1"/>
  <c r="N329" i="356"/>
  <c r="AA48" i="356"/>
  <c r="AA193" i="356"/>
  <c r="Z260" i="356"/>
  <c r="Y368" i="356"/>
  <c r="Y361" i="356" s="1"/>
  <c r="V386" i="356"/>
  <c r="Q59" i="356"/>
  <c r="R59" i="356" s="1"/>
  <c r="Y60" i="356"/>
  <c r="AA156" i="356"/>
  <c r="H163" i="356"/>
  <c r="Q242" i="356"/>
  <c r="Z242" i="356" s="1"/>
  <c r="K254" i="356"/>
  <c r="Z254" i="356" s="1"/>
  <c r="H288" i="356"/>
  <c r="Z297" i="356"/>
  <c r="K386" i="356"/>
  <c r="Y386" i="356"/>
  <c r="AA389" i="356"/>
  <c r="H60" i="356"/>
  <c r="Y182" i="356"/>
  <c r="Y181" i="356" s="1"/>
  <c r="K147" i="356"/>
  <c r="K146" i="356" s="1"/>
  <c r="Z186" i="356"/>
  <c r="N203" i="356"/>
  <c r="R222" i="356"/>
  <c r="Q258" i="356"/>
  <c r="R258" i="356" s="1"/>
  <c r="V308" i="356"/>
  <c r="V304" i="356" s="1"/>
  <c r="V303" i="356" s="1"/>
  <c r="V302" i="356" s="1"/>
  <c r="Z319" i="356"/>
  <c r="V333" i="356"/>
  <c r="Y333" i="356"/>
  <c r="H349" i="356"/>
  <c r="V371" i="356"/>
  <c r="Y371" i="356"/>
  <c r="K12" i="356"/>
  <c r="Z21" i="356"/>
  <c r="Z36" i="356"/>
  <c r="H425" i="356"/>
  <c r="K163" i="356"/>
  <c r="Z163" i="356" s="1"/>
  <c r="AA167" i="356"/>
  <c r="Z280" i="356"/>
  <c r="H309" i="356"/>
  <c r="H303" i="356" s="1"/>
  <c r="H302" i="356" s="1"/>
  <c r="K333" i="356"/>
  <c r="V342" i="356"/>
  <c r="V338" i="356" s="1"/>
  <c r="N12" i="356"/>
  <c r="N16" i="356"/>
  <c r="AA28" i="356"/>
  <c r="K34" i="356"/>
  <c r="V50" i="356"/>
  <c r="V46" i="356" s="1"/>
  <c r="Y420" i="356"/>
  <c r="K185" i="356"/>
  <c r="K182" i="356" s="1"/>
  <c r="K181" i="356" s="1"/>
  <c r="Z194" i="356"/>
  <c r="Z263" i="356"/>
  <c r="Z289" i="356"/>
  <c r="K323" i="356"/>
  <c r="K318" i="356" s="1"/>
  <c r="AA351" i="356"/>
  <c r="Y358" i="356"/>
  <c r="Y423" i="356" s="1"/>
  <c r="H371" i="356"/>
  <c r="H380" i="356"/>
  <c r="Z382" i="356"/>
  <c r="Z384" i="356"/>
  <c r="N386" i="356"/>
  <c r="AA391" i="356"/>
  <c r="AA392" i="356"/>
  <c r="Q24" i="356"/>
  <c r="Z24" i="356" s="1"/>
  <c r="N31" i="356"/>
  <c r="N26" i="356" s="1"/>
  <c r="K50" i="356"/>
  <c r="K46" i="356" s="1"/>
  <c r="Q60" i="356"/>
  <c r="R60" i="356" s="1"/>
  <c r="AA62" i="356"/>
  <c r="N166" i="356"/>
  <c r="AA179" i="356"/>
  <c r="AA180" i="356"/>
  <c r="H278" i="356"/>
  <c r="H266" i="356" s="1"/>
  <c r="Y301" i="356"/>
  <c r="Y295" i="356" s="1"/>
  <c r="AA322" i="356"/>
  <c r="N333" i="356"/>
  <c r="N342" i="356"/>
  <c r="N338" i="356" s="1"/>
  <c r="H355" i="356"/>
  <c r="Z370" i="356"/>
  <c r="AA374" i="356"/>
  <c r="Z395" i="356"/>
  <c r="Z15" i="356"/>
  <c r="Z30" i="356"/>
  <c r="V59" i="356"/>
  <c r="V53" i="356" s="1"/>
  <c r="K425" i="356"/>
  <c r="S422" i="356"/>
  <c r="R151" i="356"/>
  <c r="N147" i="356"/>
  <c r="N146" i="356" s="1"/>
  <c r="AA165" i="356"/>
  <c r="Y178" i="356"/>
  <c r="R212" i="356"/>
  <c r="Z218" i="356"/>
  <c r="N223" i="356"/>
  <c r="AA249" i="356"/>
  <c r="AA256" i="356"/>
  <c r="AA268" i="356"/>
  <c r="N283" i="356"/>
  <c r="N423" i="356"/>
  <c r="Z373" i="356"/>
  <c r="Z414" i="356"/>
  <c r="H65" i="356"/>
  <c r="H422" i="356" s="1"/>
  <c r="H16" i="356"/>
  <c r="R25" i="356"/>
  <c r="V34" i="356"/>
  <c r="H38" i="356"/>
  <c r="H50" i="356"/>
  <c r="H46" i="356" s="1"/>
  <c r="Q68" i="356"/>
  <c r="AA68" i="356" s="1"/>
  <c r="H147" i="356"/>
  <c r="H146" i="356" s="1"/>
  <c r="K178" i="356"/>
  <c r="K169" i="356" s="1"/>
  <c r="R193" i="356"/>
  <c r="AA209" i="356"/>
  <c r="N215" i="356"/>
  <c r="Y215" i="356"/>
  <c r="N241" i="356"/>
  <c r="N230" i="356" s="1"/>
  <c r="R238" i="356"/>
  <c r="H258" i="356"/>
  <c r="Z259" i="356"/>
  <c r="Z271" i="356"/>
  <c r="AA272" i="356"/>
  <c r="K283" i="356"/>
  <c r="H283" i="356"/>
  <c r="N323" i="356"/>
  <c r="N318" i="356" s="1"/>
  <c r="AA326" i="356"/>
  <c r="H329" i="356"/>
  <c r="Z332" i="356"/>
  <c r="Z344" i="356"/>
  <c r="R360" i="356"/>
  <c r="Z372" i="356"/>
  <c r="Z44" i="356"/>
  <c r="AA44" i="356"/>
  <c r="Z235" i="356"/>
  <c r="R235" i="356"/>
  <c r="AA235" i="356"/>
  <c r="K65" i="356"/>
  <c r="AA65" i="356" s="1"/>
  <c r="Z66" i="356"/>
  <c r="AA72" i="356"/>
  <c r="Z72" i="356"/>
  <c r="Q425" i="356"/>
  <c r="Z284" i="356"/>
  <c r="Q283" i="356"/>
  <c r="AA283" i="356" s="1"/>
  <c r="AA298" i="356"/>
  <c r="Z298" i="356"/>
  <c r="AA57" i="356"/>
  <c r="Z57" i="356"/>
  <c r="H200" i="356"/>
  <c r="Z49" i="356"/>
  <c r="R49" i="356"/>
  <c r="H31" i="356"/>
  <c r="H26" i="356" s="1"/>
  <c r="V31" i="356"/>
  <c r="V26" i="356" s="1"/>
  <c r="AA45" i="356"/>
  <c r="Z45" i="356"/>
  <c r="Y68" i="356"/>
  <c r="AA216" i="356"/>
  <c r="Z216" i="356"/>
  <c r="K215" i="356"/>
  <c r="Z221" i="356"/>
  <c r="R221" i="356"/>
  <c r="AA221" i="356"/>
  <c r="V278" i="356"/>
  <c r="V266" i="356" s="1"/>
  <c r="V253" i="356" s="1"/>
  <c r="V252" i="356" s="1"/>
  <c r="Y308" i="356"/>
  <c r="Y304" i="356" s="1"/>
  <c r="Y303" i="356" s="1"/>
  <c r="Y302" i="356" s="1"/>
  <c r="R346" i="356"/>
  <c r="Q345" i="356"/>
  <c r="Q379" i="356"/>
  <c r="Z379" i="356" s="1"/>
  <c r="Z377" i="356"/>
  <c r="Z35" i="356"/>
  <c r="AA35" i="356"/>
  <c r="N60" i="356"/>
  <c r="K166" i="356"/>
  <c r="N178" i="356"/>
  <c r="N169" i="356" s="1"/>
  <c r="N182" i="356"/>
  <c r="N181" i="356" s="1"/>
  <c r="H324" i="356"/>
  <c r="AA327" i="356"/>
  <c r="Z327" i="356"/>
  <c r="Z343" i="356"/>
  <c r="R343" i="356"/>
  <c r="Q368" i="356"/>
  <c r="Q361" i="356" s="1"/>
  <c r="R361" i="356" s="1"/>
  <c r="AA369" i="356"/>
  <c r="AA387" i="356"/>
  <c r="AA390" i="356"/>
  <c r="Z390" i="356"/>
  <c r="Z18" i="356"/>
  <c r="Q34" i="356"/>
  <c r="R35" i="356"/>
  <c r="H34" i="356"/>
  <c r="Y34" i="356"/>
  <c r="Z40" i="356"/>
  <c r="AA47" i="356"/>
  <c r="AA54" i="356"/>
  <c r="K59" i="356"/>
  <c r="K53" i="356" s="1"/>
  <c r="N65" i="356"/>
  <c r="Z71" i="356"/>
  <c r="Q426" i="356"/>
  <c r="AA71" i="356"/>
  <c r="V425" i="356"/>
  <c r="Y425" i="356"/>
  <c r="N163" i="356"/>
  <c r="Z180" i="356"/>
  <c r="R180" i="356"/>
  <c r="AA184" i="356"/>
  <c r="Z184" i="356"/>
  <c r="Q200" i="356"/>
  <c r="R200" i="356" s="1"/>
  <c r="Z274" i="356"/>
  <c r="R274" i="356"/>
  <c r="Y283" i="356"/>
  <c r="K301" i="356"/>
  <c r="K295" i="356" s="1"/>
  <c r="N303" i="356"/>
  <c r="N302" i="356" s="1"/>
  <c r="AA320" i="356"/>
  <c r="Z320" i="356"/>
  <c r="Q333" i="356"/>
  <c r="R333" i="356" s="1"/>
  <c r="AA339" i="356"/>
  <c r="Z341" i="356"/>
  <c r="AA341" i="356"/>
  <c r="AA346" i="356"/>
  <c r="AA362" i="356"/>
  <c r="Z369" i="356"/>
  <c r="R369" i="356"/>
  <c r="Z387" i="356"/>
  <c r="R387" i="356"/>
  <c r="Z393" i="356"/>
  <c r="V60" i="356"/>
  <c r="K420" i="356"/>
  <c r="V178" i="356"/>
  <c r="V169" i="356" s="1"/>
  <c r="V182" i="356"/>
  <c r="V181" i="356" s="1"/>
  <c r="Z205" i="356"/>
  <c r="R205" i="356"/>
  <c r="Q203" i="356"/>
  <c r="R203" i="356" s="1"/>
  <c r="Y241" i="356"/>
  <c r="Y230" i="356" s="1"/>
  <c r="N258" i="356"/>
  <c r="AA314" i="356"/>
  <c r="Q312" i="356"/>
  <c r="R312" i="356" s="1"/>
  <c r="V345" i="356"/>
  <c r="V337" i="356" s="1"/>
  <c r="V336" i="356" s="1"/>
  <c r="AA25" i="356"/>
  <c r="Z37" i="356"/>
  <c r="Z38" i="356"/>
  <c r="Z43" i="356"/>
  <c r="H59" i="356"/>
  <c r="H53" i="356" s="1"/>
  <c r="Z58" i="356"/>
  <c r="AA58" i="356"/>
  <c r="V68" i="356"/>
  <c r="Y148" i="356"/>
  <c r="Y147" i="356" s="1"/>
  <c r="Y146" i="356" s="1"/>
  <c r="AA154" i="356"/>
  <c r="Z167" i="356"/>
  <c r="R167" i="356"/>
  <c r="H178" i="356"/>
  <c r="H169" i="356" s="1"/>
  <c r="AA183" i="356"/>
  <c r="Z183" i="356"/>
  <c r="Z195" i="356"/>
  <c r="R195" i="356"/>
  <c r="AA201" i="356"/>
  <c r="Q215" i="356"/>
  <c r="AA232" i="356"/>
  <c r="H254" i="356"/>
  <c r="AA261" i="356"/>
  <c r="K258" i="356"/>
  <c r="Z258" i="356" s="1"/>
  <c r="Z261" i="356"/>
  <c r="Z272" i="356"/>
  <c r="R272" i="356"/>
  <c r="Z315" i="356"/>
  <c r="Q323" i="356"/>
  <c r="R323" i="356" s="1"/>
  <c r="Z348" i="356"/>
  <c r="R348" i="356"/>
  <c r="N380" i="356"/>
  <c r="N375" i="356" s="1"/>
  <c r="Q153" i="356"/>
  <c r="Z153" i="356" s="1"/>
  <c r="AA149" i="356"/>
  <c r="AA151" i="356"/>
  <c r="Z171" i="356"/>
  <c r="AA171" i="356"/>
  <c r="V200" i="356"/>
  <c r="V192" i="356" s="1"/>
  <c r="V191" i="356" s="1"/>
  <c r="V190" i="356" s="1"/>
  <c r="K200" i="356"/>
  <c r="K192" i="356" s="1"/>
  <c r="Z212" i="356"/>
  <c r="AA212" i="356"/>
  <c r="H241" i="356"/>
  <c r="H230" i="356" s="1"/>
  <c r="K278" i="356"/>
  <c r="K266" i="356" s="1"/>
  <c r="AA277" i="356"/>
  <c r="AA279" i="356"/>
  <c r="Z286" i="356"/>
  <c r="AA286" i="356"/>
  <c r="Z294" i="356"/>
  <c r="AA294" i="356"/>
  <c r="Q301" i="356"/>
  <c r="AA296" i="356"/>
  <c r="Z309" i="356"/>
  <c r="Z331" i="356"/>
  <c r="AA331" i="356"/>
  <c r="Z335" i="356"/>
  <c r="AA335" i="356"/>
  <c r="N345" i="356"/>
  <c r="AA350" i="356"/>
  <c r="H361" i="356"/>
  <c r="H386" i="356"/>
  <c r="H375" i="356" s="1"/>
  <c r="AA155" i="356"/>
  <c r="AA164" i="356"/>
  <c r="Y166" i="356"/>
  <c r="H420" i="356"/>
  <c r="Z210" i="356"/>
  <c r="AA222" i="356"/>
  <c r="H223" i="356"/>
  <c r="AA238" i="356"/>
  <c r="AA248" i="356"/>
  <c r="AA255" i="356"/>
  <c r="Z265" i="356"/>
  <c r="Z270" i="356"/>
  <c r="AA270" i="356"/>
  <c r="V283" i="356"/>
  <c r="Q308" i="356"/>
  <c r="R308" i="356" s="1"/>
  <c r="AA305" i="356"/>
  <c r="N324" i="356"/>
  <c r="H333" i="356"/>
  <c r="Y342" i="356"/>
  <c r="Y338" i="356" s="1"/>
  <c r="AA344" i="356"/>
  <c r="H345" i="356"/>
  <c r="AA360" i="356"/>
  <c r="N368" i="356"/>
  <c r="N361" i="356" s="1"/>
  <c r="N371" i="356"/>
  <c r="AA373" i="356"/>
  <c r="H12" i="357"/>
  <c r="T12" i="357"/>
  <c r="AA188" i="356"/>
  <c r="AA14" i="356"/>
  <c r="R14" i="356"/>
  <c r="AA19" i="356"/>
  <c r="Z20" i="356"/>
  <c r="AA56" i="356"/>
  <c r="AA63" i="356"/>
  <c r="Z152" i="356"/>
  <c r="AA160" i="356"/>
  <c r="R160" i="356"/>
  <c r="AA168" i="356"/>
  <c r="R168" i="356"/>
  <c r="AA172" i="356"/>
  <c r="R172" i="356"/>
  <c r="AA187" i="356"/>
  <c r="R187" i="356"/>
  <c r="Y200" i="356"/>
  <c r="Y192" i="356" s="1"/>
  <c r="Y191" i="356" s="1"/>
  <c r="Y190" i="356" s="1"/>
  <c r="Z201" i="356"/>
  <c r="Z202" i="356"/>
  <c r="AA227" i="356"/>
  <c r="V241" i="356"/>
  <c r="V230" i="356" s="1"/>
  <c r="AA234" i="356"/>
  <c r="Z255" i="356"/>
  <c r="Z267" i="356"/>
  <c r="Q278" i="356"/>
  <c r="Z279" i="356"/>
  <c r="Z310" i="356"/>
  <c r="AA340" i="356"/>
  <c r="R340" i="356"/>
  <c r="Z374" i="356"/>
  <c r="V379" i="356"/>
  <c r="V376" i="356" s="1"/>
  <c r="Q48" i="357"/>
  <c r="Y26" i="357"/>
  <c r="W22" i="358"/>
  <c r="V22" i="358"/>
  <c r="F37" i="358"/>
  <c r="F32" i="358" s="1"/>
  <c r="N62" i="358"/>
  <c r="X62" i="358" s="1"/>
  <c r="X66" i="358"/>
  <c r="S203" i="358"/>
  <c r="V203" i="358"/>
  <c r="X203" i="358"/>
  <c r="Y203" i="358" s="1"/>
  <c r="W203" i="358"/>
  <c r="K222" i="358"/>
  <c r="K241" i="358" s="1"/>
  <c r="K242" i="358" s="1"/>
  <c r="W222" i="358"/>
  <c r="W241" i="358" s="1"/>
  <c r="W242" i="358" s="1"/>
  <c r="O223" i="358"/>
  <c r="R224" i="358"/>
  <c r="N228" i="358"/>
  <c r="R16" i="356"/>
  <c r="AA17" i="356"/>
  <c r="R20" i="356"/>
  <c r="AA20" i="356"/>
  <c r="AA21" i="356"/>
  <c r="R21" i="356"/>
  <c r="Z29" i="356"/>
  <c r="AA38" i="356"/>
  <c r="R38" i="356"/>
  <c r="AA43" i="356"/>
  <c r="R43" i="356"/>
  <c r="N59" i="356"/>
  <c r="N53" i="356" s="1"/>
  <c r="Y59" i="356"/>
  <c r="Y53" i="356" s="1"/>
  <c r="K60" i="356"/>
  <c r="AA66" i="356"/>
  <c r="Z69" i="356"/>
  <c r="Q420" i="356"/>
  <c r="Z150" i="356"/>
  <c r="R152" i="356"/>
  <c r="Z154" i="356"/>
  <c r="Z155" i="356"/>
  <c r="H192" i="356"/>
  <c r="H191" i="356" s="1"/>
  <c r="H190" i="356" s="1"/>
  <c r="Z196" i="356"/>
  <c r="N200" i="356"/>
  <c r="N192" i="356" s="1"/>
  <c r="R201" i="356"/>
  <c r="R202" i="356"/>
  <c r="AA202" i="356"/>
  <c r="Z209" i="356"/>
  <c r="AA210" i="356"/>
  <c r="R210" i="356"/>
  <c r="Z219" i="356"/>
  <c r="K223" i="356"/>
  <c r="Z223" i="356" s="1"/>
  <c r="K241" i="356"/>
  <c r="K230" i="356" s="1"/>
  <c r="Z236" i="356"/>
  <c r="AA239" i="356"/>
  <c r="R239" i="356"/>
  <c r="Z240" i="356"/>
  <c r="Q241" i="356"/>
  <c r="Q230" i="356" s="1"/>
  <c r="Z243" i="356"/>
  <c r="AA245" i="356"/>
  <c r="R245" i="356"/>
  <c r="Q244" i="356"/>
  <c r="R254" i="356"/>
  <c r="R255" i="356"/>
  <c r="AA260" i="356"/>
  <c r="R260" i="356"/>
  <c r="R267" i="356"/>
  <c r="AA267" i="356"/>
  <c r="Z268" i="356"/>
  <c r="R276" i="356"/>
  <c r="R279" i="356"/>
  <c r="AA280" i="356"/>
  <c r="R280" i="356"/>
  <c r="AA284" i="356"/>
  <c r="R284" i="356"/>
  <c r="AA285" i="356"/>
  <c r="R285" i="356"/>
  <c r="AA289" i="356"/>
  <c r="R289" i="356"/>
  <c r="AA293" i="356"/>
  <c r="R293" i="356"/>
  <c r="AA297" i="356"/>
  <c r="R297" i="356"/>
  <c r="N301" i="356"/>
  <c r="N295" i="356" s="1"/>
  <c r="AA308" i="356"/>
  <c r="R309" i="356"/>
  <c r="R310" i="356"/>
  <c r="AA310" i="356"/>
  <c r="H342" i="356"/>
  <c r="H338" i="356" s="1"/>
  <c r="K345" i="356"/>
  <c r="AA355" i="356"/>
  <c r="Z355" i="356"/>
  <c r="Z356" i="356"/>
  <c r="V368" i="356"/>
  <c r="V361" i="356" s="1"/>
  <c r="AA370" i="356"/>
  <c r="R370" i="356"/>
  <c r="AA372" i="356"/>
  <c r="R372" i="356"/>
  <c r="R374" i="356"/>
  <c r="Y379" i="356"/>
  <c r="Y376" i="356" s="1"/>
  <c r="R379" i="356"/>
  <c r="Z392" i="356"/>
  <c r="Q413" i="356"/>
  <c r="R414" i="356"/>
  <c r="T33" i="357"/>
  <c r="T30" i="357" s="1"/>
  <c r="Q37" i="357"/>
  <c r="X39" i="357"/>
  <c r="X43" i="357"/>
  <c r="K42" i="357"/>
  <c r="Y42" i="357" s="1"/>
  <c r="S22" i="358"/>
  <c r="V33" i="358"/>
  <c r="W33" i="358"/>
  <c r="R37" i="358"/>
  <c r="R32" i="358" s="1"/>
  <c r="R216" i="358" s="1"/>
  <c r="S33" i="358"/>
  <c r="F45" i="358"/>
  <c r="G70" i="358"/>
  <c r="G202" i="358" s="1"/>
  <c r="G207" i="358" s="1"/>
  <c r="X221" i="358"/>
  <c r="X239" i="358" s="1"/>
  <c r="Y221" i="358"/>
  <c r="Y239" i="358" s="1"/>
  <c r="W204" i="358"/>
  <c r="S204" i="358"/>
  <c r="X204" i="358"/>
  <c r="Y204" i="358" s="1"/>
  <c r="Y217" i="358" s="1"/>
  <c r="Y233" i="358" s="1"/>
  <c r="V223" i="358"/>
  <c r="Q12" i="356"/>
  <c r="H12" i="356"/>
  <c r="K16" i="356"/>
  <c r="Z16" i="356" s="1"/>
  <c r="V17" i="356"/>
  <c r="V16" i="356" s="1"/>
  <c r="AA23" i="356"/>
  <c r="Q31" i="356"/>
  <c r="Z27" i="356"/>
  <c r="R29" i="356"/>
  <c r="AA30" i="356"/>
  <c r="R30" i="356"/>
  <c r="Z47" i="356"/>
  <c r="Y46" i="356"/>
  <c r="Q50" i="356"/>
  <c r="Z54" i="356"/>
  <c r="Z55" i="356"/>
  <c r="Z61" i="356"/>
  <c r="Z62" i="356"/>
  <c r="R68" i="356"/>
  <c r="R69" i="356"/>
  <c r="AA69" i="356"/>
  <c r="R425" i="356"/>
  <c r="V423" i="356"/>
  <c r="V148" i="356"/>
  <c r="V147" i="356" s="1"/>
  <c r="V146" i="356" s="1"/>
  <c r="R150" i="356"/>
  <c r="AA150" i="356"/>
  <c r="R154" i="356"/>
  <c r="R155" i="356"/>
  <c r="Z156" i="356"/>
  <c r="K159" i="356"/>
  <c r="Z164" i="356"/>
  <c r="Q178" i="356"/>
  <c r="Z170" i="356"/>
  <c r="Z179" i="356"/>
  <c r="Q185" i="356"/>
  <c r="Z188" i="356"/>
  <c r="Z189" i="356"/>
  <c r="R196" i="356"/>
  <c r="AA196" i="356"/>
  <c r="Z199" i="356"/>
  <c r="Z204" i="356"/>
  <c r="K203" i="356"/>
  <c r="R209" i="356"/>
  <c r="R219" i="356"/>
  <c r="Z224" i="356"/>
  <c r="Z231" i="356"/>
  <c r="Z232" i="356"/>
  <c r="R236" i="356"/>
  <c r="AA236" i="356"/>
  <c r="R240" i="356"/>
  <c r="R243" i="356"/>
  <c r="R246" i="356"/>
  <c r="Z249" i="356"/>
  <c r="AA265" i="356"/>
  <c r="R265" i="356"/>
  <c r="R268" i="356"/>
  <c r="Z273" i="356"/>
  <c r="R275" i="356"/>
  <c r="AA276" i="356"/>
  <c r="Q288" i="356"/>
  <c r="R301" i="356"/>
  <c r="AA306" i="356"/>
  <c r="R306" i="356"/>
  <c r="Z307" i="356"/>
  <c r="Z314" i="356"/>
  <c r="AA319" i="356"/>
  <c r="R319" i="356"/>
  <c r="H323" i="356"/>
  <c r="H318" i="356" s="1"/>
  <c r="Z326" i="356"/>
  <c r="R329" i="356"/>
  <c r="Z330" i="356"/>
  <c r="K329" i="356"/>
  <c r="AA329" i="356" s="1"/>
  <c r="K342" i="356"/>
  <c r="K338" i="356" s="1"/>
  <c r="Z346" i="356"/>
  <c r="Z350" i="356"/>
  <c r="R355" i="356"/>
  <c r="R356" i="356"/>
  <c r="AA356" i="356"/>
  <c r="Z363" i="356"/>
  <c r="Z364" i="356"/>
  <c r="K368" i="356"/>
  <c r="Q371" i="356"/>
  <c r="Z389" i="356"/>
  <c r="R392" i="356"/>
  <c r="AA393" i="356"/>
  <c r="R393" i="356"/>
  <c r="AA414" i="356"/>
  <c r="K18" i="357"/>
  <c r="K13" i="357" s="1"/>
  <c r="Y23" i="357"/>
  <c r="X23" i="357"/>
  <c r="K33" i="357"/>
  <c r="K30" i="357" s="1"/>
  <c r="X38" i="357"/>
  <c r="Y38" i="357"/>
  <c r="K37" i="357"/>
  <c r="K49" i="357" s="1"/>
  <c r="K216" i="358"/>
  <c r="K231" i="358" s="1"/>
  <c r="V204" i="358"/>
  <c r="F217" i="358"/>
  <c r="F233" i="358" s="1"/>
  <c r="Z14" i="356"/>
  <c r="R27" i="356"/>
  <c r="AA27" i="356"/>
  <c r="K31" i="356"/>
  <c r="K26" i="356" s="1"/>
  <c r="Y31" i="356"/>
  <c r="Y26" i="356" s="1"/>
  <c r="AA37" i="356"/>
  <c r="R37" i="356"/>
  <c r="AA40" i="356"/>
  <c r="R40" i="356"/>
  <c r="R47" i="356"/>
  <c r="R54" i="356"/>
  <c r="AA55" i="356"/>
  <c r="R55" i="356"/>
  <c r="AA61" i="356"/>
  <c r="R61" i="356"/>
  <c r="AA70" i="356"/>
  <c r="R70" i="356"/>
  <c r="N420" i="356"/>
  <c r="S420" i="356"/>
  <c r="R156" i="356"/>
  <c r="Q159" i="356"/>
  <c r="Z160" i="356"/>
  <c r="AA162" i="356"/>
  <c r="R164" i="356"/>
  <c r="Q166" i="356"/>
  <c r="Z168" i="356"/>
  <c r="R170" i="356"/>
  <c r="AA170" i="356"/>
  <c r="Z172" i="356"/>
  <c r="R179" i="356"/>
  <c r="Z187" i="356"/>
  <c r="R188" i="356"/>
  <c r="R189" i="356"/>
  <c r="AA189" i="356"/>
  <c r="Z193" i="356"/>
  <c r="R199" i="356"/>
  <c r="V215" i="356"/>
  <c r="AA220" i="356"/>
  <c r="R220" i="356"/>
  <c r="AA224" i="356"/>
  <c r="R224" i="356"/>
  <c r="AA231" i="356"/>
  <c r="R231" i="356"/>
  <c r="AA237" i="356"/>
  <c r="R237" i="356"/>
  <c r="Z246" i="356"/>
  <c r="Z248" i="356"/>
  <c r="N254" i="356"/>
  <c r="N278" i="356"/>
  <c r="N266" i="356" s="1"/>
  <c r="Y278" i="356"/>
  <c r="Y266" i="356" s="1"/>
  <c r="Y253" i="356" s="1"/>
  <c r="Y252" i="356" s="1"/>
  <c r="AA269" i="356"/>
  <c r="R273" i="356"/>
  <c r="AA275" i="356"/>
  <c r="V301" i="356"/>
  <c r="V295" i="356" s="1"/>
  <c r="R307" i="356"/>
  <c r="Z313" i="356"/>
  <c r="K312" i="356"/>
  <c r="AA313" i="356"/>
  <c r="R314" i="356"/>
  <c r="AA315" i="356"/>
  <c r="R315" i="356"/>
  <c r="V323" i="356"/>
  <c r="V318" i="356" s="1"/>
  <c r="Z322" i="356"/>
  <c r="R324" i="356"/>
  <c r="Z325" i="356"/>
  <c r="K324" i="356"/>
  <c r="AA324" i="356" s="1"/>
  <c r="R326" i="356"/>
  <c r="Z334" i="356"/>
  <c r="AA334" i="356"/>
  <c r="Q342" i="356"/>
  <c r="Z339" i="356"/>
  <c r="Z340" i="356"/>
  <c r="AA347" i="356"/>
  <c r="Q349" i="356"/>
  <c r="R350" i="356"/>
  <c r="AA358" i="356"/>
  <c r="R358" i="356"/>
  <c r="Z360" i="356"/>
  <c r="R364" i="356"/>
  <c r="AA364" i="356"/>
  <c r="AA367" i="356"/>
  <c r="R367" i="356"/>
  <c r="Z367" i="356"/>
  <c r="AA377" i="356"/>
  <c r="R377" i="356"/>
  <c r="Q386" i="356"/>
  <c r="R389" i="356"/>
  <c r="N18" i="357"/>
  <c r="N13" i="357" s="1"/>
  <c r="X14" i="357"/>
  <c r="Q13" i="357"/>
  <c r="Y17" i="357"/>
  <c r="N22" i="357"/>
  <c r="N49" i="357" s="1"/>
  <c r="N26" i="357"/>
  <c r="X27" i="357"/>
  <c r="Q34" i="357"/>
  <c r="Y43" i="357"/>
  <c r="W21" i="358"/>
  <c r="V21" i="358"/>
  <c r="S21" i="358"/>
  <c r="J24" i="358"/>
  <c r="V24" i="358" s="1"/>
  <c r="W25" i="358"/>
  <c r="V25" i="358"/>
  <c r="S34" i="358"/>
  <c r="W34" i="358"/>
  <c r="V34" i="358"/>
  <c r="V50" i="358"/>
  <c r="J53" i="358"/>
  <c r="J49" i="358" s="1"/>
  <c r="N58" i="358"/>
  <c r="X60" i="358"/>
  <c r="V66" i="358"/>
  <c r="W66" i="358"/>
  <c r="O216" i="358"/>
  <c r="O231" i="358" s="1"/>
  <c r="O70" i="358"/>
  <c r="F224" i="358"/>
  <c r="Z366" i="356"/>
  <c r="Z381" i="356"/>
  <c r="K380" i="356"/>
  <c r="Z380" i="356" s="1"/>
  <c r="Z394" i="356"/>
  <c r="Q403" i="356"/>
  <c r="R403" i="356" s="1"/>
  <c r="Q411" i="356"/>
  <c r="R411" i="356" s="1"/>
  <c r="Y14" i="357"/>
  <c r="Y24" i="357"/>
  <c r="Y27" i="357"/>
  <c r="W33" i="357"/>
  <c r="W30" i="357" s="1"/>
  <c r="U217" i="358"/>
  <c r="U233" i="358" s="1"/>
  <c r="S18" i="358"/>
  <c r="R17" i="358"/>
  <c r="W27" i="358"/>
  <c r="R26" i="358"/>
  <c r="V56" i="358"/>
  <c r="W56" i="358"/>
  <c r="S85" i="358"/>
  <c r="V85" i="358"/>
  <c r="V115" i="358"/>
  <c r="V218" i="358" s="1"/>
  <c r="V234" i="358" s="1"/>
  <c r="R114" i="358"/>
  <c r="R218" i="358"/>
  <c r="R234" i="358" s="1"/>
  <c r="N425" i="356"/>
  <c r="V420" i="356"/>
  <c r="Z149" i="356"/>
  <c r="AA300" i="356"/>
  <c r="R300" i="356"/>
  <c r="H301" i="356"/>
  <c r="H295" i="356" s="1"/>
  <c r="Z305" i="356"/>
  <c r="Y323" i="356"/>
  <c r="Y318" i="356" s="1"/>
  <c r="AA321" i="356"/>
  <c r="R321" i="356"/>
  <c r="N349" i="356"/>
  <c r="Z362" i="356"/>
  <c r="R366" i="356"/>
  <c r="K371" i="356"/>
  <c r="R394" i="356"/>
  <c r="AA395" i="356"/>
  <c r="R395" i="356"/>
  <c r="Y19" i="357"/>
  <c r="K48" i="357"/>
  <c r="X25" i="357"/>
  <c r="X31" i="357"/>
  <c r="Y32" i="357"/>
  <c r="V18" i="358"/>
  <c r="S20" i="358"/>
  <c r="S27" i="358"/>
  <c r="S36" i="358"/>
  <c r="V38" i="358"/>
  <c r="S42" i="358"/>
  <c r="V43" i="358"/>
  <c r="S46" i="358"/>
  <c r="V60" i="358"/>
  <c r="W60" i="358"/>
  <c r="U74" i="358"/>
  <c r="U71" i="358" s="1"/>
  <c r="U216" i="358" s="1"/>
  <c r="K75" i="358"/>
  <c r="K220" i="358" s="1"/>
  <c r="K236" i="358" s="1"/>
  <c r="S115" i="358"/>
  <c r="S218" i="358" s="1"/>
  <c r="Z296" i="356"/>
  <c r="N53" i="358"/>
  <c r="X50" i="358"/>
  <c r="Y231" i="358"/>
  <c r="G30" i="355"/>
  <c r="U30" i="355"/>
  <c r="K30" i="355"/>
  <c r="H30" i="355"/>
  <c r="Y233" i="361" l="1"/>
  <c r="U432" i="359"/>
  <c r="U434" i="359" s="1"/>
  <c r="E25" i="151" s="1"/>
  <c r="N48" i="357"/>
  <c r="X42" i="357"/>
  <c r="Z60" i="356"/>
  <c r="H11" i="357"/>
  <c r="V103" i="356"/>
  <c r="X22" i="357"/>
  <c r="F220" i="361"/>
  <c r="F236" i="361" s="1"/>
  <c r="N12" i="360"/>
  <c r="H282" i="359"/>
  <c r="H281" i="359" s="1"/>
  <c r="S121" i="361"/>
  <c r="H214" i="359"/>
  <c r="H213" i="359" s="1"/>
  <c r="J217" i="361"/>
  <c r="J233" i="361" s="1"/>
  <c r="J217" i="362"/>
  <c r="J233" i="362" s="1"/>
  <c r="J220" i="362"/>
  <c r="J236" i="362" s="1"/>
  <c r="S182" i="362"/>
  <c r="U70" i="362"/>
  <c r="U202" i="362" s="1"/>
  <c r="U207" i="362" s="1"/>
  <c r="R379" i="363"/>
  <c r="R31" i="363"/>
  <c r="H317" i="363"/>
  <c r="H316" i="363" s="1"/>
  <c r="N52" i="363"/>
  <c r="N51" i="363" s="1"/>
  <c r="Z12" i="363"/>
  <c r="G220" i="362"/>
  <c r="G70" i="362"/>
  <c r="G202" i="362" s="1"/>
  <c r="G207" i="362" s="1"/>
  <c r="Q30" i="357"/>
  <c r="X30" i="357" s="1"/>
  <c r="D21" i="151"/>
  <c r="U40" i="355"/>
  <c r="W38" i="358"/>
  <c r="N155" i="361"/>
  <c r="X233" i="361"/>
  <c r="T432" i="359"/>
  <c r="K103" i="359"/>
  <c r="R120" i="361"/>
  <c r="K253" i="359"/>
  <c r="K252" i="359" s="1"/>
  <c r="N11" i="359"/>
  <c r="R120" i="362"/>
  <c r="R175" i="362"/>
  <c r="W175" i="362" s="1"/>
  <c r="V126" i="362"/>
  <c r="Y85" i="363"/>
  <c r="AA185" i="363"/>
  <c r="H337" i="363"/>
  <c r="H336" i="363" s="1"/>
  <c r="S98" i="363"/>
  <c r="S85" i="363" s="1"/>
  <c r="T434" i="359"/>
  <c r="D25" i="151" s="1"/>
  <c r="H282" i="356"/>
  <c r="H281" i="356" s="1"/>
  <c r="X18" i="357"/>
  <c r="AA215" i="356"/>
  <c r="AA203" i="356"/>
  <c r="Y337" i="356"/>
  <c r="Y336" i="356" s="1"/>
  <c r="H214" i="356"/>
  <c r="H213" i="356" s="1"/>
  <c r="R24" i="356"/>
  <c r="K85" i="356"/>
  <c r="K103" i="356"/>
  <c r="N85" i="356"/>
  <c r="W12" i="357"/>
  <c r="W126" i="358"/>
  <c r="H103" i="359"/>
  <c r="N52" i="359"/>
  <c r="N51" i="359" s="1"/>
  <c r="K52" i="359"/>
  <c r="K51" i="359" s="1"/>
  <c r="N49" i="362"/>
  <c r="J13" i="362"/>
  <c r="Z379" i="363"/>
  <c r="K169" i="363"/>
  <c r="Z169" i="363" s="1"/>
  <c r="K182" i="363"/>
  <c r="K181" i="363" s="1"/>
  <c r="Y158" i="363"/>
  <c r="Y157" i="363" s="1"/>
  <c r="H85" i="363"/>
  <c r="H74" i="363" s="1"/>
  <c r="H73" i="363" s="1"/>
  <c r="H9" i="363" s="1"/>
  <c r="R10" i="368"/>
  <c r="Z10" i="368"/>
  <c r="AC7" i="368" s="1"/>
  <c r="AA10" i="368"/>
  <c r="Y353" i="363"/>
  <c r="Y352" i="363" s="1"/>
  <c r="S424" i="363"/>
  <c r="N317" i="363"/>
  <c r="N316" i="363" s="1"/>
  <c r="V282" i="363"/>
  <c r="V281" i="363" s="1"/>
  <c r="AA379" i="363"/>
  <c r="Z254" i="363"/>
  <c r="AA200" i="363"/>
  <c r="V103" i="363"/>
  <c r="H424" i="363"/>
  <c r="H419" i="363" s="1"/>
  <c r="Y337" i="363"/>
  <c r="Y336" i="363" s="1"/>
  <c r="R153" i="363"/>
  <c r="AA178" i="363"/>
  <c r="H253" i="363"/>
  <c r="H252" i="363" s="1"/>
  <c r="AA38" i="363"/>
  <c r="Z34" i="363"/>
  <c r="N74" i="363"/>
  <c r="N73" i="363" s="1"/>
  <c r="H11" i="363"/>
  <c r="H10" i="363" s="1"/>
  <c r="K422" i="363"/>
  <c r="Q397" i="363"/>
  <c r="V353" i="363"/>
  <c r="V352" i="363" s="1"/>
  <c r="R420" i="363"/>
  <c r="AA258" i="363"/>
  <c r="Q158" i="363"/>
  <c r="V214" i="363"/>
  <c r="V213" i="363" s="1"/>
  <c r="Z115" i="363"/>
  <c r="R423" i="363"/>
  <c r="C28" i="151" s="1"/>
  <c r="V85" i="363"/>
  <c r="R201" i="363"/>
  <c r="Y103" i="363"/>
  <c r="Y74" i="363" s="1"/>
  <c r="Y73" i="363" s="1"/>
  <c r="AA12" i="363"/>
  <c r="Q11" i="363"/>
  <c r="Y424" i="363"/>
  <c r="AA386" i="363"/>
  <c r="AA201" i="363"/>
  <c r="Z324" i="363"/>
  <c r="V424" i="363"/>
  <c r="K192" i="363"/>
  <c r="K191" i="363" s="1"/>
  <c r="K190" i="363" s="1"/>
  <c r="AA115" i="363"/>
  <c r="K85" i="363"/>
  <c r="K74" i="363" s="1"/>
  <c r="K73" i="363" s="1"/>
  <c r="AA159" i="363"/>
  <c r="R159" i="363"/>
  <c r="AA140" i="363"/>
  <c r="S140" i="363"/>
  <c r="Z140" i="363"/>
  <c r="H353" i="363"/>
  <c r="H352" i="363" s="1"/>
  <c r="N424" i="363"/>
  <c r="N282" i="363"/>
  <c r="N281" i="363" s="1"/>
  <c r="Z60" i="363"/>
  <c r="AA60" i="363"/>
  <c r="Z38" i="363"/>
  <c r="R38" i="363"/>
  <c r="AA230" i="363"/>
  <c r="R230" i="363"/>
  <c r="Z230" i="363"/>
  <c r="K11" i="363"/>
  <c r="Y421" i="363"/>
  <c r="Y11" i="363"/>
  <c r="V10" i="363"/>
  <c r="AA361" i="363"/>
  <c r="R361" i="363"/>
  <c r="Z361" i="363"/>
  <c r="Z323" i="363"/>
  <c r="AA323" i="363"/>
  <c r="R323" i="363"/>
  <c r="N353" i="363"/>
  <c r="N352" i="363" s="1"/>
  <c r="R288" i="363"/>
  <c r="Z288" i="363"/>
  <c r="AA288" i="363"/>
  <c r="Z203" i="363"/>
  <c r="R203" i="363"/>
  <c r="AA203" i="363"/>
  <c r="Q424" i="363"/>
  <c r="H421" i="363"/>
  <c r="AA59" i="363"/>
  <c r="AA31" i="363"/>
  <c r="K375" i="363"/>
  <c r="K353" i="363" s="1"/>
  <c r="K352" i="363" s="1"/>
  <c r="AA380" i="363"/>
  <c r="AA301" i="363"/>
  <c r="R301" i="363"/>
  <c r="Z301" i="363"/>
  <c r="Q295" i="363"/>
  <c r="Z338" i="363"/>
  <c r="Q337" i="363"/>
  <c r="R338" i="363"/>
  <c r="AA338" i="363"/>
  <c r="AA308" i="363"/>
  <c r="R308" i="363"/>
  <c r="Z308" i="363"/>
  <c r="Q304" i="363"/>
  <c r="AA368" i="363"/>
  <c r="R368" i="363"/>
  <c r="Z368" i="363"/>
  <c r="Z90" i="363"/>
  <c r="AA90" i="363"/>
  <c r="Z312" i="363"/>
  <c r="R312" i="363"/>
  <c r="AA312" i="363"/>
  <c r="AA342" i="363"/>
  <c r="R342" i="363"/>
  <c r="Z342" i="363"/>
  <c r="Z329" i="363"/>
  <c r="AA283" i="363"/>
  <c r="R283" i="363"/>
  <c r="Z283" i="363"/>
  <c r="Q282" i="363"/>
  <c r="Z266" i="363"/>
  <c r="R266" i="363"/>
  <c r="AA266" i="363"/>
  <c r="Q318" i="363"/>
  <c r="Q253" i="363"/>
  <c r="R192" i="363"/>
  <c r="Q191" i="363"/>
  <c r="Z192" i="363"/>
  <c r="Q147" i="363"/>
  <c r="AA148" i="363"/>
  <c r="R148" i="363"/>
  <c r="Z148" i="363"/>
  <c r="K253" i="363"/>
  <c r="K252" i="363" s="1"/>
  <c r="AA183" i="363"/>
  <c r="Z183" i="363"/>
  <c r="AA166" i="363"/>
  <c r="Z166" i="363"/>
  <c r="K158" i="363"/>
  <c r="K157" i="363" s="1"/>
  <c r="AA68" i="363"/>
  <c r="R68" i="363"/>
  <c r="Z68" i="363"/>
  <c r="AA169" i="363"/>
  <c r="R169" i="363"/>
  <c r="R113" i="363"/>
  <c r="R104" i="363" s="1"/>
  <c r="R103" i="363" s="1"/>
  <c r="K53" i="363"/>
  <c r="K52" i="363" s="1"/>
  <c r="K51" i="363" s="1"/>
  <c r="Z113" i="363"/>
  <c r="AA113" i="363"/>
  <c r="V74" i="363"/>
  <c r="V73" i="363" s="1"/>
  <c r="Z31" i="363"/>
  <c r="Q396" i="363"/>
  <c r="R396" i="363" s="1"/>
  <c r="R397" i="363"/>
  <c r="AA241" i="363"/>
  <c r="R241" i="363"/>
  <c r="Z241" i="363"/>
  <c r="Z413" i="363"/>
  <c r="Q412" i="363"/>
  <c r="AA413" i="363"/>
  <c r="R413" i="363"/>
  <c r="AA215" i="363"/>
  <c r="R215" i="363"/>
  <c r="Z215" i="363"/>
  <c r="Q214" i="363"/>
  <c r="R53" i="363"/>
  <c r="Q52" i="363"/>
  <c r="R90" i="363"/>
  <c r="R86" i="363" s="1"/>
  <c r="R85" i="363" s="1"/>
  <c r="AA79" i="363"/>
  <c r="R79" i="363"/>
  <c r="Z79" i="363"/>
  <c r="K424" i="363"/>
  <c r="S113" i="363"/>
  <c r="S104" i="363" s="1"/>
  <c r="R50" i="363"/>
  <c r="Z50" i="363"/>
  <c r="AA50" i="363"/>
  <c r="Z86" i="363"/>
  <c r="Q85" i="363"/>
  <c r="AA86" i="363"/>
  <c r="Z371" i="363"/>
  <c r="AA371" i="363"/>
  <c r="R371" i="363"/>
  <c r="Z355" i="363"/>
  <c r="R355" i="363"/>
  <c r="AA355" i="363"/>
  <c r="Q354" i="363"/>
  <c r="R158" i="363"/>
  <c r="Q157" i="363"/>
  <c r="Z210" i="363"/>
  <c r="R210" i="363"/>
  <c r="AA210" i="363"/>
  <c r="AA83" i="363"/>
  <c r="R83" i="363"/>
  <c r="Z83" i="363"/>
  <c r="Q76" i="363"/>
  <c r="V421" i="363"/>
  <c r="N421" i="363"/>
  <c r="Q404" i="363"/>
  <c r="R404" i="363" s="1"/>
  <c r="R405" i="363"/>
  <c r="K317" i="363"/>
  <c r="K316" i="363" s="1"/>
  <c r="Q375" i="363"/>
  <c r="Z376" i="363"/>
  <c r="R376" i="363"/>
  <c r="AA376" i="363"/>
  <c r="S135" i="363"/>
  <c r="S134" i="363" s="1"/>
  <c r="Q134" i="363"/>
  <c r="AA135" i="363"/>
  <c r="Z135" i="363"/>
  <c r="Z16" i="363"/>
  <c r="AA16" i="363"/>
  <c r="R16" i="363"/>
  <c r="AA278" i="363"/>
  <c r="R278" i="363"/>
  <c r="Z278" i="363"/>
  <c r="Z242" i="363"/>
  <c r="R242" i="363"/>
  <c r="R422" i="363" s="1"/>
  <c r="AA242" i="363"/>
  <c r="Q423" i="363"/>
  <c r="Z126" i="363"/>
  <c r="S126" i="363"/>
  <c r="S423" i="363" s="1"/>
  <c r="AA126" i="363"/>
  <c r="Z65" i="363"/>
  <c r="AA65" i="363"/>
  <c r="AA182" i="363"/>
  <c r="R182" i="363"/>
  <c r="Q181" i="363"/>
  <c r="Z182" i="363"/>
  <c r="Q104" i="363"/>
  <c r="Q46" i="363"/>
  <c r="N11" i="363"/>
  <c r="Z26" i="363"/>
  <c r="AA26" i="363"/>
  <c r="R26" i="363"/>
  <c r="W67" i="362"/>
  <c r="V67" i="362"/>
  <c r="Y142" i="362"/>
  <c r="Y120" i="362" s="1"/>
  <c r="F220" i="362"/>
  <c r="F236" i="362" s="1"/>
  <c r="V53" i="362"/>
  <c r="W53" i="362"/>
  <c r="V45" i="362"/>
  <c r="W45" i="362"/>
  <c r="R220" i="362"/>
  <c r="R236" i="362" s="1"/>
  <c r="V165" i="362"/>
  <c r="V162" i="362"/>
  <c r="J49" i="362"/>
  <c r="J216" i="362" s="1"/>
  <c r="N217" i="362"/>
  <c r="N233" i="362" s="1"/>
  <c r="J155" i="362"/>
  <c r="O70" i="362"/>
  <c r="O202" i="362" s="1"/>
  <c r="O207" i="362" s="1"/>
  <c r="O216" i="362"/>
  <c r="Y220" i="362"/>
  <c r="Y236" i="362" s="1"/>
  <c r="V142" i="362"/>
  <c r="W142" i="362"/>
  <c r="S142" i="362"/>
  <c r="S220" i="362" s="1"/>
  <c r="X49" i="362"/>
  <c r="N48" i="362"/>
  <c r="N202" i="362" s="1"/>
  <c r="N207" i="362" s="1"/>
  <c r="N216" i="362"/>
  <c r="S114" i="362"/>
  <c r="W114" i="362"/>
  <c r="V114" i="362"/>
  <c r="U211" i="362"/>
  <c r="W58" i="362"/>
  <c r="V58" i="362"/>
  <c r="V121" i="362"/>
  <c r="J120" i="362"/>
  <c r="W120" i="362" s="1"/>
  <c r="V175" i="362"/>
  <c r="X142" i="362"/>
  <c r="X120" i="362" s="1"/>
  <c r="F120" i="362"/>
  <c r="Y204" i="362"/>
  <c r="Y217" i="362" s="1"/>
  <c r="X217" i="362"/>
  <c r="X233" i="362" s="1"/>
  <c r="W196" i="362"/>
  <c r="V196" i="362"/>
  <c r="S196" i="362"/>
  <c r="V169" i="362"/>
  <c r="W169" i="362"/>
  <c r="S169" i="362"/>
  <c r="S120" i="362"/>
  <c r="V120" i="362"/>
  <c r="F216" i="362"/>
  <c r="F31" i="362"/>
  <c r="V189" i="362"/>
  <c r="W189" i="362"/>
  <c r="S189" i="362"/>
  <c r="S37" i="362"/>
  <c r="V37" i="362"/>
  <c r="R32" i="362"/>
  <c r="W37" i="362"/>
  <c r="W183" i="362"/>
  <c r="V183" i="362"/>
  <c r="S183" i="362"/>
  <c r="K216" i="362"/>
  <c r="K70" i="362"/>
  <c r="K202" i="362" s="1"/>
  <c r="K207" i="362" s="1"/>
  <c r="W54" i="362"/>
  <c r="V54" i="362"/>
  <c r="V38" i="362"/>
  <c r="S38" i="362"/>
  <c r="W38" i="362"/>
  <c r="V17" i="362"/>
  <c r="R217" i="362"/>
  <c r="R233" i="362" s="1"/>
  <c r="S17" i="362"/>
  <c r="W17" i="362"/>
  <c r="R13" i="362"/>
  <c r="S161" i="362"/>
  <c r="W161" i="362"/>
  <c r="V161" i="362"/>
  <c r="R156" i="362"/>
  <c r="S130" i="362"/>
  <c r="W130" i="362"/>
  <c r="V130" i="362"/>
  <c r="W203" i="362"/>
  <c r="X203" i="362"/>
  <c r="Y203" i="362" s="1"/>
  <c r="V203" i="362"/>
  <c r="S203" i="362"/>
  <c r="W62" i="362"/>
  <c r="V62" i="362"/>
  <c r="U233" i="361"/>
  <c r="U211" i="361"/>
  <c r="G236" i="361"/>
  <c r="G211" i="361"/>
  <c r="W38" i="361"/>
  <c r="G70" i="361"/>
  <c r="G202" i="361" s="1"/>
  <c r="G207" i="361" s="1"/>
  <c r="S38" i="361"/>
  <c r="K211" i="361"/>
  <c r="R220" i="361"/>
  <c r="R236" i="361" s="1"/>
  <c r="N220" i="361"/>
  <c r="N236" i="361" s="1"/>
  <c r="V24" i="361"/>
  <c r="V162" i="361"/>
  <c r="S162" i="361"/>
  <c r="N120" i="361"/>
  <c r="S196" i="361"/>
  <c r="W196" i="361"/>
  <c r="V196" i="361"/>
  <c r="J155" i="361"/>
  <c r="W62" i="361"/>
  <c r="V62" i="361"/>
  <c r="Y317" i="359"/>
  <c r="Y316" i="359" s="1"/>
  <c r="Y52" i="359"/>
  <c r="Y51" i="359" s="1"/>
  <c r="N253" i="359"/>
  <c r="N252" i="359" s="1"/>
  <c r="S113" i="359"/>
  <c r="S104" i="359" s="1"/>
  <c r="S421" i="359" s="1"/>
  <c r="K214" i="359"/>
  <c r="K213" i="359" s="1"/>
  <c r="H253" i="359"/>
  <c r="H252" i="359" s="1"/>
  <c r="K317" i="359"/>
  <c r="K316" i="359" s="1"/>
  <c r="Y424" i="359"/>
  <c r="Y354" i="359"/>
  <c r="AA90" i="359"/>
  <c r="K33" i="359"/>
  <c r="K32" i="359" s="1"/>
  <c r="AA379" i="359"/>
  <c r="Z301" i="359"/>
  <c r="K422" i="359"/>
  <c r="H337" i="359"/>
  <c r="H336" i="359" s="1"/>
  <c r="K182" i="359"/>
  <c r="K181" i="359" s="1"/>
  <c r="Q397" i="359"/>
  <c r="Q396" i="359" s="1"/>
  <c r="R396" i="359" s="1"/>
  <c r="Z90" i="359"/>
  <c r="H52" i="359"/>
  <c r="H51" i="359" s="1"/>
  <c r="Q376" i="359"/>
  <c r="AA376" i="359" s="1"/>
  <c r="V52" i="359"/>
  <c r="V51" i="359" s="1"/>
  <c r="H158" i="359"/>
  <c r="H157" i="359" s="1"/>
  <c r="N29" i="360"/>
  <c r="N11" i="360" s="1"/>
  <c r="N47" i="360"/>
  <c r="N46" i="360" s="1"/>
  <c r="K48" i="360"/>
  <c r="N48" i="360"/>
  <c r="Y19" i="360"/>
  <c r="X19" i="360"/>
  <c r="Z12" i="359"/>
  <c r="AA91" i="359"/>
  <c r="Z91" i="359"/>
  <c r="R81" i="359"/>
  <c r="Z81" i="359"/>
  <c r="V282" i="359"/>
  <c r="V281" i="359" s="1"/>
  <c r="R83" i="359"/>
  <c r="K295" i="359"/>
  <c r="K282" i="359" s="1"/>
  <c r="K281" i="359" s="1"/>
  <c r="V354" i="359"/>
  <c r="V353" i="359" s="1"/>
  <c r="V352" i="359" s="1"/>
  <c r="N103" i="359"/>
  <c r="Z16" i="359"/>
  <c r="AA81" i="359"/>
  <c r="Y158" i="359"/>
  <c r="Y157" i="359" s="1"/>
  <c r="N214" i="359"/>
  <c r="N213" i="359" s="1"/>
  <c r="Y353" i="359"/>
  <c r="Y352" i="359" s="1"/>
  <c r="R420" i="359"/>
  <c r="AA163" i="359"/>
  <c r="R163" i="359"/>
  <c r="Z312" i="359"/>
  <c r="N353" i="359"/>
  <c r="N352" i="359" s="1"/>
  <c r="N317" i="359"/>
  <c r="N316" i="359" s="1"/>
  <c r="R113" i="359"/>
  <c r="S91" i="359"/>
  <c r="K303" i="359"/>
  <c r="K302" i="359" s="1"/>
  <c r="V424" i="359"/>
  <c r="Z324" i="359"/>
  <c r="K375" i="359"/>
  <c r="K353" i="359" s="1"/>
  <c r="K352" i="359" s="1"/>
  <c r="H423" i="359"/>
  <c r="H47" i="360"/>
  <c r="H46" i="360" s="1"/>
  <c r="H12" i="360"/>
  <c r="H11" i="360" s="1"/>
  <c r="O216" i="361"/>
  <c r="O70" i="361"/>
  <c r="O202" i="361" s="1"/>
  <c r="O207" i="361" s="1"/>
  <c r="Z192" i="359"/>
  <c r="R192" i="359"/>
  <c r="Q191" i="359"/>
  <c r="AA192" i="359"/>
  <c r="R104" i="359"/>
  <c r="R103" i="359" s="1"/>
  <c r="Z230" i="359"/>
  <c r="R230" i="359"/>
  <c r="AA230" i="359"/>
  <c r="T47" i="360"/>
  <c r="T46" i="360" s="1"/>
  <c r="T12" i="360"/>
  <c r="T11" i="360" s="1"/>
  <c r="S135" i="359"/>
  <c r="Q134" i="359"/>
  <c r="Z135" i="359"/>
  <c r="AA135" i="359"/>
  <c r="H74" i="359"/>
  <c r="H73" i="359" s="1"/>
  <c r="H33" i="359"/>
  <c r="H421" i="359"/>
  <c r="S161" i="361"/>
  <c r="W161" i="361"/>
  <c r="V161" i="361"/>
  <c r="W47" i="360"/>
  <c r="W46" i="360" s="1"/>
  <c r="W12" i="360"/>
  <c r="W11" i="360" s="1"/>
  <c r="Z333" i="359"/>
  <c r="R333" i="359"/>
  <c r="AA333" i="359"/>
  <c r="Z345" i="359"/>
  <c r="R345" i="359"/>
  <c r="AA345" i="359"/>
  <c r="Z178" i="359"/>
  <c r="AA178" i="359"/>
  <c r="R178" i="359"/>
  <c r="X30" i="360"/>
  <c r="K29" i="360"/>
  <c r="Y29" i="360" s="1"/>
  <c r="V142" i="361"/>
  <c r="S120" i="361"/>
  <c r="Y24" i="361"/>
  <c r="R215" i="359"/>
  <c r="Q214" i="359"/>
  <c r="Z215" i="359"/>
  <c r="AA215" i="359"/>
  <c r="R422" i="359"/>
  <c r="S431" i="359" s="1"/>
  <c r="S120" i="359"/>
  <c r="N74" i="359"/>
  <c r="N73" i="359" s="1"/>
  <c r="Z46" i="359"/>
  <c r="R46" i="359"/>
  <c r="AA46" i="359"/>
  <c r="N10" i="359"/>
  <c r="J216" i="361"/>
  <c r="W49" i="361"/>
  <c r="V49" i="361"/>
  <c r="J48" i="361"/>
  <c r="Q47" i="360"/>
  <c r="Y13" i="360"/>
  <c r="Q12" i="360"/>
  <c r="X13" i="360"/>
  <c r="W45" i="361"/>
  <c r="V45" i="361"/>
  <c r="S45" i="361"/>
  <c r="Z278" i="359"/>
  <c r="R278" i="359"/>
  <c r="AA278" i="359"/>
  <c r="Q354" i="359"/>
  <c r="Z355" i="359"/>
  <c r="R355" i="359"/>
  <c r="AA355" i="359"/>
  <c r="Z258" i="359"/>
  <c r="AA258" i="359"/>
  <c r="R258" i="359"/>
  <c r="Q423" i="359"/>
  <c r="Z126" i="359"/>
  <c r="S126" i="359"/>
  <c r="S423" i="359" s="1"/>
  <c r="AA126" i="359"/>
  <c r="AA98" i="359"/>
  <c r="Z98" i="359"/>
  <c r="AA86" i="359"/>
  <c r="Z86" i="359"/>
  <c r="Q85" i="359"/>
  <c r="K47" i="360"/>
  <c r="K12" i="360"/>
  <c r="AA104" i="359"/>
  <c r="Q103" i="359"/>
  <c r="Z104" i="359"/>
  <c r="Z53" i="359"/>
  <c r="Q52" i="359"/>
  <c r="AA53" i="359"/>
  <c r="R53" i="359"/>
  <c r="Z120" i="359"/>
  <c r="AA120" i="359"/>
  <c r="Z60" i="359"/>
  <c r="R60" i="359"/>
  <c r="AA60" i="359"/>
  <c r="N421" i="359"/>
  <c r="Q317" i="359"/>
  <c r="Z318" i="359"/>
  <c r="R318" i="359"/>
  <c r="AA318" i="359"/>
  <c r="Z323" i="359"/>
  <c r="R323" i="359"/>
  <c r="AA323" i="359"/>
  <c r="AA304" i="359"/>
  <c r="R304" i="359"/>
  <c r="Z304" i="359"/>
  <c r="Q303" i="359"/>
  <c r="AA301" i="359"/>
  <c r="AA76" i="359"/>
  <c r="R76" i="359"/>
  <c r="Q75" i="359"/>
  <c r="Z76" i="359"/>
  <c r="AA68" i="359"/>
  <c r="R68" i="359"/>
  <c r="Z68" i="359"/>
  <c r="Q424" i="359"/>
  <c r="N424" i="359"/>
  <c r="R156" i="361"/>
  <c r="S156" i="361" s="1"/>
  <c r="J220" i="361"/>
  <c r="J236" i="361" s="1"/>
  <c r="W53" i="361"/>
  <c r="V53" i="361"/>
  <c r="X26" i="360"/>
  <c r="Y18" i="360"/>
  <c r="X18" i="360"/>
  <c r="Z380" i="359"/>
  <c r="Z358" i="359"/>
  <c r="R358" i="359"/>
  <c r="AA358" i="359"/>
  <c r="Q405" i="359"/>
  <c r="K337" i="359"/>
  <c r="K336" i="359" s="1"/>
  <c r="V419" i="359"/>
  <c r="Y34" i="360"/>
  <c r="AA329" i="359"/>
  <c r="R329" i="359"/>
  <c r="Z329" i="359"/>
  <c r="N49" i="361"/>
  <c r="W41" i="361"/>
  <c r="V41" i="361"/>
  <c r="S41" i="361"/>
  <c r="Z368" i="359"/>
  <c r="AA368" i="359"/>
  <c r="R368" i="359"/>
  <c r="W24" i="361"/>
  <c r="Z223" i="359"/>
  <c r="R223" i="359"/>
  <c r="AA223" i="359"/>
  <c r="Z153" i="359"/>
  <c r="R153" i="359"/>
  <c r="AA153" i="359"/>
  <c r="Q148" i="359"/>
  <c r="AA65" i="359"/>
  <c r="Z65" i="359"/>
  <c r="AA113" i="359"/>
  <c r="Z113" i="359"/>
  <c r="Z59" i="359"/>
  <c r="AA59" i="359"/>
  <c r="R59" i="359"/>
  <c r="R34" i="359"/>
  <c r="AA34" i="359"/>
  <c r="Z34" i="359"/>
  <c r="Q33" i="359"/>
  <c r="AA371" i="359"/>
  <c r="AA159" i="359"/>
  <c r="K158" i="359"/>
  <c r="K157" i="359" s="1"/>
  <c r="Z159" i="359"/>
  <c r="R295" i="359"/>
  <c r="AA79" i="359"/>
  <c r="R79" i="359"/>
  <c r="Z79" i="359"/>
  <c r="V421" i="359"/>
  <c r="K421" i="359"/>
  <c r="S169" i="361"/>
  <c r="W169" i="361"/>
  <c r="V169" i="361"/>
  <c r="W182" i="361"/>
  <c r="V182" i="361"/>
  <c r="S182" i="361"/>
  <c r="R175" i="361"/>
  <c r="S175" i="361" s="1"/>
  <c r="Q282" i="359"/>
  <c r="Z283" i="359"/>
  <c r="AA283" i="359"/>
  <c r="R283" i="359"/>
  <c r="R90" i="359"/>
  <c r="R86" i="359" s="1"/>
  <c r="R85" i="359" s="1"/>
  <c r="AA140" i="359"/>
  <c r="Z140" i="359"/>
  <c r="S140" i="359"/>
  <c r="AA412" i="359"/>
  <c r="Z412" i="359"/>
  <c r="R412" i="359"/>
  <c r="AA200" i="359"/>
  <c r="R200" i="359"/>
  <c r="Z200" i="359"/>
  <c r="R241" i="359"/>
  <c r="Z241" i="359"/>
  <c r="AA241" i="359"/>
  <c r="AA203" i="359"/>
  <c r="Q337" i="359"/>
  <c r="Z338" i="359"/>
  <c r="R338" i="359"/>
  <c r="AA338" i="359"/>
  <c r="Z115" i="359"/>
  <c r="AA115" i="359"/>
  <c r="Z26" i="359"/>
  <c r="R26" i="359"/>
  <c r="AA26" i="359"/>
  <c r="X221" i="361"/>
  <c r="X239" i="361" s="1"/>
  <c r="Y137" i="361"/>
  <c r="Y221" i="361" s="1"/>
  <c r="Y239" i="361" s="1"/>
  <c r="S26" i="361"/>
  <c r="X26" i="361"/>
  <c r="Y26" i="361" s="1"/>
  <c r="W26" i="361"/>
  <c r="V26" i="361"/>
  <c r="J120" i="361"/>
  <c r="W120" i="361" s="1"/>
  <c r="Y143" i="361"/>
  <c r="Y142" i="361" s="1"/>
  <c r="Y120" i="361" s="1"/>
  <c r="X142" i="361"/>
  <c r="X120" i="361" s="1"/>
  <c r="Y42" i="360"/>
  <c r="X42" i="360"/>
  <c r="Z349" i="359"/>
  <c r="AA349" i="359"/>
  <c r="R349" i="359"/>
  <c r="AA185" i="359"/>
  <c r="R185" i="359"/>
  <c r="Q182" i="359"/>
  <c r="Z185" i="359"/>
  <c r="N158" i="359"/>
  <c r="N157" i="359" s="1"/>
  <c r="N422" i="359"/>
  <c r="W37" i="361"/>
  <c r="V37" i="361"/>
  <c r="S37" i="361"/>
  <c r="Z361" i="359"/>
  <c r="R361" i="359"/>
  <c r="AA361" i="359"/>
  <c r="R397" i="359"/>
  <c r="S165" i="361"/>
  <c r="V165" i="361"/>
  <c r="W165" i="361"/>
  <c r="F216" i="361"/>
  <c r="F31" i="361"/>
  <c r="F202" i="361" s="1"/>
  <c r="F207" i="361" s="1"/>
  <c r="S130" i="361"/>
  <c r="V130" i="361"/>
  <c r="W130" i="361"/>
  <c r="Y30" i="360"/>
  <c r="K49" i="360"/>
  <c r="Y22" i="360"/>
  <c r="W67" i="361"/>
  <c r="V67" i="361"/>
  <c r="R217" i="361"/>
  <c r="R233" i="361" s="1"/>
  <c r="S17" i="361"/>
  <c r="R13" i="361"/>
  <c r="W17" i="361"/>
  <c r="W217" i="361" s="1"/>
  <c r="W233" i="361" s="1"/>
  <c r="V17" i="361"/>
  <c r="Q48" i="360"/>
  <c r="S433" i="359" s="1"/>
  <c r="AA309" i="359"/>
  <c r="R309" i="359"/>
  <c r="Z309" i="359"/>
  <c r="Q266" i="359"/>
  <c r="Q169" i="359"/>
  <c r="S144" i="359"/>
  <c r="AA144" i="359"/>
  <c r="Z144" i="359"/>
  <c r="Y33" i="360"/>
  <c r="X33" i="360"/>
  <c r="Z386" i="359"/>
  <c r="R386" i="359"/>
  <c r="AA386" i="359"/>
  <c r="Z244" i="359"/>
  <c r="R244" i="359"/>
  <c r="AA244" i="359"/>
  <c r="R32" i="361"/>
  <c r="S32" i="361" s="1"/>
  <c r="AA312" i="359"/>
  <c r="Z254" i="359"/>
  <c r="R254" i="359"/>
  <c r="AA254" i="359"/>
  <c r="Y421" i="359"/>
  <c r="Y419" i="359" s="1"/>
  <c r="K424" i="359"/>
  <c r="K11" i="359"/>
  <c r="R50" i="359"/>
  <c r="AA50" i="359"/>
  <c r="Z50" i="359"/>
  <c r="Q11" i="359"/>
  <c r="R342" i="359"/>
  <c r="AA342" i="359"/>
  <c r="Z342" i="359"/>
  <c r="K191" i="359"/>
  <c r="K190" i="359" s="1"/>
  <c r="K74" i="359"/>
  <c r="K73" i="359" s="1"/>
  <c r="AA31" i="359"/>
  <c r="R31" i="359"/>
  <c r="Z31" i="359"/>
  <c r="V10" i="359"/>
  <c r="V9" i="359" s="1"/>
  <c r="AA380" i="359"/>
  <c r="AA183" i="359"/>
  <c r="Z183" i="359"/>
  <c r="Y11" i="359"/>
  <c r="S45" i="358"/>
  <c r="N155" i="358"/>
  <c r="V161" i="358"/>
  <c r="O211" i="358"/>
  <c r="X217" i="358"/>
  <c r="X233" i="358" s="1"/>
  <c r="J155" i="358"/>
  <c r="W67" i="358"/>
  <c r="U85" i="358"/>
  <c r="J120" i="358"/>
  <c r="S130" i="358"/>
  <c r="V130" i="358"/>
  <c r="W130" i="358"/>
  <c r="W142" i="358"/>
  <c r="S142" i="358"/>
  <c r="V142" i="358"/>
  <c r="W162" i="358"/>
  <c r="S162" i="358"/>
  <c r="V162" i="358"/>
  <c r="W62" i="358"/>
  <c r="V183" i="358"/>
  <c r="W183" i="358"/>
  <c r="V121" i="358"/>
  <c r="W121" i="358"/>
  <c r="R120" i="358"/>
  <c r="S121" i="358"/>
  <c r="W196" i="358"/>
  <c r="V196" i="358"/>
  <c r="G211" i="358"/>
  <c r="J217" i="358"/>
  <c r="J233" i="358" s="1"/>
  <c r="V45" i="358"/>
  <c r="O202" i="358"/>
  <c r="O207" i="358" s="1"/>
  <c r="R155" i="358"/>
  <c r="V156" i="358"/>
  <c r="W156" i="358"/>
  <c r="V126" i="358"/>
  <c r="S189" i="358"/>
  <c r="V189" i="358"/>
  <c r="W189" i="358"/>
  <c r="X142" i="358"/>
  <c r="X120" i="358" s="1"/>
  <c r="Y143" i="358"/>
  <c r="Y142" i="358" s="1"/>
  <c r="Y120" i="358" s="1"/>
  <c r="N120" i="358"/>
  <c r="V165" i="358"/>
  <c r="W165" i="358"/>
  <c r="S165" i="358"/>
  <c r="V54" i="358"/>
  <c r="W54" i="358"/>
  <c r="V169" i="358"/>
  <c r="W169" i="358"/>
  <c r="S169" i="358"/>
  <c r="W41" i="358"/>
  <c r="V41" i="358"/>
  <c r="S41" i="358"/>
  <c r="V58" i="358"/>
  <c r="W58" i="358"/>
  <c r="K70" i="358"/>
  <c r="K202" i="358" s="1"/>
  <c r="K207" i="358" s="1"/>
  <c r="N217" i="358"/>
  <c r="N233" i="358" s="1"/>
  <c r="K29" i="357"/>
  <c r="Y18" i="357"/>
  <c r="Y375" i="356"/>
  <c r="AA254" i="356"/>
  <c r="K75" i="356"/>
  <c r="Z83" i="356"/>
  <c r="AA59" i="356"/>
  <c r="Y103" i="356"/>
  <c r="Z312" i="356"/>
  <c r="Q192" i="356"/>
  <c r="Z192" i="356" s="1"/>
  <c r="Z345" i="356"/>
  <c r="AA242" i="356"/>
  <c r="Z68" i="356"/>
  <c r="V158" i="356"/>
  <c r="V157" i="356" s="1"/>
  <c r="H85" i="356"/>
  <c r="H74" i="356" s="1"/>
  <c r="H73" i="356" s="1"/>
  <c r="V74" i="356"/>
  <c r="V73" i="356" s="1"/>
  <c r="N74" i="356"/>
  <c r="N73" i="356" s="1"/>
  <c r="Y158" i="356"/>
  <c r="Y157" i="356" s="1"/>
  <c r="Y424" i="356"/>
  <c r="V421" i="356"/>
  <c r="U431" i="356" s="1"/>
  <c r="K74" i="356"/>
  <c r="K73" i="356" s="1"/>
  <c r="Z90" i="356"/>
  <c r="AA90" i="356"/>
  <c r="Z115" i="356"/>
  <c r="AA115" i="356"/>
  <c r="Q75" i="356"/>
  <c r="R76" i="356"/>
  <c r="R75" i="356" s="1"/>
  <c r="AA76" i="356"/>
  <c r="Z76" i="356"/>
  <c r="Z98" i="356"/>
  <c r="AA98" i="356"/>
  <c r="Y74" i="356"/>
  <c r="Y73" i="356" s="1"/>
  <c r="Q304" i="356"/>
  <c r="R304" i="356" s="1"/>
  <c r="Z53" i="356"/>
  <c r="Z91" i="356"/>
  <c r="AA91" i="356"/>
  <c r="AA120" i="356"/>
  <c r="Z120" i="356"/>
  <c r="S105" i="356"/>
  <c r="R113" i="356"/>
  <c r="R103" i="356" s="1"/>
  <c r="AA24" i="356"/>
  <c r="V375" i="356"/>
  <c r="H158" i="356"/>
  <c r="H157" i="356" s="1"/>
  <c r="H52" i="356"/>
  <c r="H51" i="356" s="1"/>
  <c r="R79" i="356"/>
  <c r="AA79" i="356"/>
  <c r="Z79" i="356"/>
  <c r="S126" i="356"/>
  <c r="S423" i="356" s="1"/>
  <c r="AA126" i="356"/>
  <c r="Z126" i="356"/>
  <c r="Z113" i="356"/>
  <c r="AA113" i="356"/>
  <c r="Y421" i="356"/>
  <c r="V431" i="356" s="1"/>
  <c r="H317" i="356"/>
  <c r="H316" i="356" s="1"/>
  <c r="Z308" i="356"/>
  <c r="K282" i="356"/>
  <c r="K281" i="356" s="1"/>
  <c r="H423" i="356"/>
  <c r="N422" i="356"/>
  <c r="Z34" i="356"/>
  <c r="Z135" i="356"/>
  <c r="S135" i="356"/>
  <c r="S134" i="356" s="1"/>
  <c r="AA135" i="356"/>
  <c r="Q134" i="356"/>
  <c r="Z333" i="356"/>
  <c r="H337" i="356"/>
  <c r="H336" i="356" s="1"/>
  <c r="Z59" i="356"/>
  <c r="AA200" i="356"/>
  <c r="Y354" i="356"/>
  <c r="Y353" i="356" s="1"/>
  <c r="Y352" i="356" s="1"/>
  <c r="V317" i="356"/>
  <c r="V316" i="356" s="1"/>
  <c r="R153" i="356"/>
  <c r="R242" i="356"/>
  <c r="Z301" i="356"/>
  <c r="Y282" i="356"/>
  <c r="Y281" i="356" s="1"/>
  <c r="K33" i="356"/>
  <c r="K32" i="356" s="1"/>
  <c r="AA333" i="356"/>
  <c r="Y317" i="356"/>
  <c r="Y316" i="356" s="1"/>
  <c r="Q376" i="356"/>
  <c r="R376" i="356" s="1"/>
  <c r="Q422" i="356"/>
  <c r="AA379" i="356"/>
  <c r="R368" i="356"/>
  <c r="AA163" i="356"/>
  <c r="AA258" i="356"/>
  <c r="AA301" i="356"/>
  <c r="H354" i="356"/>
  <c r="H353" i="356" s="1"/>
  <c r="H352" i="356" s="1"/>
  <c r="V52" i="356"/>
  <c r="V51" i="356" s="1"/>
  <c r="H33" i="356"/>
  <c r="H32" i="356" s="1"/>
  <c r="K253" i="356"/>
  <c r="K252" i="356" s="1"/>
  <c r="Z368" i="356"/>
  <c r="V354" i="356"/>
  <c r="V353" i="356" s="1"/>
  <c r="V352" i="356" s="1"/>
  <c r="N191" i="356"/>
  <c r="N190" i="356" s="1"/>
  <c r="Q253" i="356"/>
  <c r="Q252" i="356" s="1"/>
  <c r="Z323" i="356"/>
  <c r="V11" i="356"/>
  <c r="V10" i="356" s="1"/>
  <c r="V214" i="356"/>
  <c r="V213" i="356" s="1"/>
  <c r="N282" i="356"/>
  <c r="N281" i="356" s="1"/>
  <c r="Q214" i="356"/>
  <c r="Q213" i="356" s="1"/>
  <c r="V33" i="356"/>
  <c r="V32" i="356" s="1"/>
  <c r="AA345" i="356"/>
  <c r="N337" i="356"/>
  <c r="N336" i="356" s="1"/>
  <c r="K158" i="356"/>
  <c r="K157" i="356" s="1"/>
  <c r="AA312" i="356"/>
  <c r="H253" i="356"/>
  <c r="H252" i="356" s="1"/>
  <c r="AA368" i="356"/>
  <c r="R420" i="356"/>
  <c r="K422" i="356"/>
  <c r="Y214" i="356"/>
  <c r="Y213" i="356" s="1"/>
  <c r="N214" i="356"/>
  <c r="N213" i="356" s="1"/>
  <c r="Y33" i="356"/>
  <c r="Y32" i="356" s="1"/>
  <c r="N158" i="356"/>
  <c r="N157" i="356" s="1"/>
  <c r="AA318" i="356"/>
  <c r="N317" i="356"/>
  <c r="N316" i="356" s="1"/>
  <c r="R283" i="356"/>
  <c r="Z283" i="356"/>
  <c r="R345" i="356"/>
  <c r="Z65" i="356"/>
  <c r="Y422" i="356"/>
  <c r="Q282" i="356"/>
  <c r="Q281" i="356" s="1"/>
  <c r="V424" i="356"/>
  <c r="Y52" i="356"/>
  <c r="Y51" i="356" s="1"/>
  <c r="R34" i="356"/>
  <c r="AA34" i="356"/>
  <c r="Z200" i="356"/>
  <c r="K52" i="356"/>
  <c r="K51" i="356" s="1"/>
  <c r="V282" i="356"/>
  <c r="V281" i="356" s="1"/>
  <c r="AA323" i="356"/>
  <c r="K317" i="356"/>
  <c r="K316" i="356" s="1"/>
  <c r="K337" i="356"/>
  <c r="K336" i="356" s="1"/>
  <c r="R397" i="356"/>
  <c r="AA153" i="356"/>
  <c r="N52" i="356"/>
  <c r="N51" i="356" s="1"/>
  <c r="N354" i="356"/>
  <c r="N353" i="356" s="1"/>
  <c r="N352" i="356" s="1"/>
  <c r="R215" i="356"/>
  <c r="Z215" i="356"/>
  <c r="F220" i="358"/>
  <c r="F236" i="358" s="1"/>
  <c r="X53" i="358"/>
  <c r="N49" i="358"/>
  <c r="U70" i="358"/>
  <c r="T29" i="357"/>
  <c r="T11" i="357" s="1"/>
  <c r="T47" i="357"/>
  <c r="F31" i="358"/>
  <c r="F202" i="358" s="1"/>
  <c r="F216" i="358"/>
  <c r="Y11" i="356"/>
  <c r="W29" i="357"/>
  <c r="W47" i="357"/>
  <c r="N47" i="357"/>
  <c r="N12" i="357"/>
  <c r="N11" i="357" s="1"/>
  <c r="J216" i="358"/>
  <c r="V49" i="358"/>
  <c r="W49" i="358"/>
  <c r="J48" i="358"/>
  <c r="AA386" i="356"/>
  <c r="R386" i="356"/>
  <c r="Z386" i="356"/>
  <c r="Z338" i="356"/>
  <c r="Q337" i="356"/>
  <c r="AA338" i="356"/>
  <c r="R338" i="356"/>
  <c r="Z318" i="356"/>
  <c r="N253" i="356"/>
  <c r="N252" i="356" s="1"/>
  <c r="AA46" i="356"/>
  <c r="Z46" i="356"/>
  <c r="R46" i="356"/>
  <c r="K47" i="357"/>
  <c r="K46" i="357" s="1"/>
  <c r="K12" i="357"/>
  <c r="K11" i="357" s="1"/>
  <c r="R371" i="356"/>
  <c r="AA371" i="356"/>
  <c r="Z371" i="356"/>
  <c r="Z324" i="356"/>
  <c r="Z31" i="356"/>
  <c r="R31" i="356"/>
  <c r="AA31" i="356"/>
  <c r="Q424" i="356"/>
  <c r="AA12" i="356"/>
  <c r="R12" i="356"/>
  <c r="Z12" i="356"/>
  <c r="Y37" i="357"/>
  <c r="X37" i="357"/>
  <c r="Q412" i="356"/>
  <c r="Z413" i="356"/>
  <c r="R413" i="356"/>
  <c r="AA413" i="356"/>
  <c r="Z329" i="356"/>
  <c r="AA295" i="356"/>
  <c r="R295" i="356"/>
  <c r="Z295" i="356"/>
  <c r="N421" i="356"/>
  <c r="N424" i="356"/>
  <c r="W114" i="358"/>
  <c r="S114" i="358"/>
  <c r="V114" i="358"/>
  <c r="W17" i="358"/>
  <c r="V17" i="358"/>
  <c r="R13" i="358"/>
  <c r="S17" i="358"/>
  <c r="R217" i="358"/>
  <c r="R233" i="358" s="1"/>
  <c r="J220" i="358"/>
  <c r="J236" i="358" s="1"/>
  <c r="J13" i="358"/>
  <c r="W24" i="358"/>
  <c r="X34" i="357"/>
  <c r="Y34" i="357"/>
  <c r="AA166" i="356"/>
  <c r="Z166" i="356"/>
  <c r="R166" i="356"/>
  <c r="R422" i="356" s="1"/>
  <c r="Q158" i="356"/>
  <c r="AA159" i="356"/>
  <c r="Z159" i="356"/>
  <c r="R159" i="356"/>
  <c r="X33" i="357"/>
  <c r="N11" i="356"/>
  <c r="K361" i="356"/>
  <c r="K421" i="356" s="1"/>
  <c r="Z244" i="356"/>
  <c r="AA244" i="356"/>
  <c r="R244" i="356"/>
  <c r="R423" i="356" s="1"/>
  <c r="K211" i="358"/>
  <c r="K303" i="356"/>
  <c r="K302" i="356" s="1"/>
  <c r="Z278" i="356"/>
  <c r="R278" i="356"/>
  <c r="AA278" i="356"/>
  <c r="Z203" i="356"/>
  <c r="AA223" i="356"/>
  <c r="X58" i="358"/>
  <c r="N220" i="358"/>
  <c r="N236" i="358" s="1"/>
  <c r="W32" i="358"/>
  <c r="V32" i="358"/>
  <c r="S32" i="358"/>
  <c r="R31" i="358"/>
  <c r="Y30" i="357"/>
  <c r="Q29" i="357"/>
  <c r="Z169" i="356"/>
  <c r="R169" i="356"/>
  <c r="AA169" i="356"/>
  <c r="R50" i="356"/>
  <c r="AA50" i="356"/>
  <c r="Z50" i="356"/>
  <c r="H421" i="356"/>
  <c r="AA16" i="356"/>
  <c r="K424" i="356"/>
  <c r="AA230" i="356"/>
  <c r="Z230" i="356"/>
  <c r="R230" i="356"/>
  <c r="K191" i="356"/>
  <c r="K190" i="356" s="1"/>
  <c r="R220" i="358"/>
  <c r="R236" i="358" s="1"/>
  <c r="Q49" i="357"/>
  <c r="X26" i="358"/>
  <c r="S26" i="358"/>
  <c r="W26" i="358"/>
  <c r="V26" i="358"/>
  <c r="K375" i="356"/>
  <c r="AA380" i="356"/>
  <c r="W53" i="358"/>
  <c r="V53" i="358"/>
  <c r="Y13" i="357"/>
  <c r="Q12" i="357"/>
  <c r="X13" i="357"/>
  <c r="Z349" i="356"/>
  <c r="AA349" i="356"/>
  <c r="R349" i="356"/>
  <c r="AA342" i="356"/>
  <c r="R342" i="356"/>
  <c r="Z342" i="356"/>
  <c r="R192" i="356"/>
  <c r="R288" i="356"/>
  <c r="AA288" i="356"/>
  <c r="Z288" i="356"/>
  <c r="AA185" i="356"/>
  <c r="R185" i="356"/>
  <c r="Q182" i="356"/>
  <c r="Z185" i="356"/>
  <c r="Z178" i="356"/>
  <c r="R178" i="356"/>
  <c r="AA178" i="356"/>
  <c r="Q33" i="356"/>
  <c r="H11" i="356"/>
  <c r="H424" i="356"/>
  <c r="V37" i="358"/>
  <c r="S37" i="358"/>
  <c r="W37" i="358"/>
  <c r="Q354" i="356"/>
  <c r="R241" i="356"/>
  <c r="AA241" i="356"/>
  <c r="Z241" i="356"/>
  <c r="K214" i="356"/>
  <c r="K213" i="356" s="1"/>
  <c r="Q423" i="356"/>
  <c r="Z266" i="356"/>
  <c r="R266" i="356"/>
  <c r="AA266" i="356"/>
  <c r="K11" i="356"/>
  <c r="AA60" i="356"/>
  <c r="Q43" i="354"/>
  <c r="X42" i="354"/>
  <c r="W42" i="354" s="1"/>
  <c r="U42" i="354"/>
  <c r="T42" i="354" s="1"/>
  <c r="P42" i="354"/>
  <c r="M41" i="354"/>
  <c r="J41" i="354"/>
  <c r="H41" i="354"/>
  <c r="W40" i="354"/>
  <c r="F40" i="354"/>
  <c r="M39" i="354"/>
  <c r="F38" i="354"/>
  <c r="T37" i="354"/>
  <c r="M37" i="354"/>
  <c r="K37" i="354"/>
  <c r="H37" i="354" s="1"/>
  <c r="J37" i="354"/>
  <c r="P36" i="354"/>
  <c r="P35" i="354"/>
  <c r="G35" i="354"/>
  <c r="K34" i="354"/>
  <c r="H34" i="354" s="1"/>
  <c r="K33" i="354"/>
  <c r="H33" i="354" s="1"/>
  <c r="G33" i="354"/>
  <c r="D33" i="354" s="1"/>
  <c r="X31" i="354"/>
  <c r="X43" i="354" s="1"/>
  <c r="W31" i="354"/>
  <c r="T31" i="354"/>
  <c r="U31" i="354" s="1"/>
  <c r="U43" i="354" s="1"/>
  <c r="N31" i="354"/>
  <c r="N43" i="354" s="1"/>
  <c r="K31" i="354"/>
  <c r="H31" i="354" s="1"/>
  <c r="G31" i="354"/>
  <c r="D31" i="354" s="1"/>
  <c r="W29" i="354"/>
  <c r="T29" i="354"/>
  <c r="P29" i="354"/>
  <c r="M29" i="354"/>
  <c r="N29" i="354" s="1"/>
  <c r="N27" i="354" s="1"/>
  <c r="J29" i="354"/>
  <c r="K29" i="354" s="1"/>
  <c r="H29" i="354" s="1"/>
  <c r="F29" i="354"/>
  <c r="G29" i="354" s="1"/>
  <c r="W28" i="354"/>
  <c r="T28" i="354"/>
  <c r="P28" i="354"/>
  <c r="M28" i="354"/>
  <c r="J28" i="354"/>
  <c r="K28" i="354" s="1"/>
  <c r="F28" i="354"/>
  <c r="D28" i="354"/>
  <c r="X27" i="354"/>
  <c r="U27" i="354"/>
  <c r="Q27" i="354"/>
  <c r="D26" i="354"/>
  <c r="W23" i="354"/>
  <c r="T23" i="354"/>
  <c r="P23" i="354"/>
  <c r="M23" i="354"/>
  <c r="N23" i="354" s="1"/>
  <c r="N21" i="354" s="1"/>
  <c r="J23" i="354"/>
  <c r="I23" i="354"/>
  <c r="G23" i="354"/>
  <c r="X21" i="354"/>
  <c r="U21" i="354"/>
  <c r="Q21" i="354"/>
  <c r="G21" i="354"/>
  <c r="D21" i="354"/>
  <c r="W19" i="354"/>
  <c r="T19" i="354"/>
  <c r="P19" i="354"/>
  <c r="M19" i="354"/>
  <c r="N19" i="354" s="1"/>
  <c r="N18" i="354" s="1"/>
  <c r="N17" i="354" s="1"/>
  <c r="J19" i="354"/>
  <c r="K19" i="354" s="1"/>
  <c r="F19" i="354"/>
  <c r="G19" i="354" s="1"/>
  <c r="G18" i="354" s="1"/>
  <c r="G17" i="354" s="1"/>
  <c r="X18" i="354"/>
  <c r="U18" i="354"/>
  <c r="U17" i="354" s="1"/>
  <c r="Q18" i="354"/>
  <c r="K27" i="354" l="1"/>
  <c r="D43" i="354"/>
  <c r="U30" i="354"/>
  <c r="W11" i="357"/>
  <c r="T46" i="357"/>
  <c r="U432" i="356"/>
  <c r="U434" i="356" s="1"/>
  <c r="D23" i="151" s="1"/>
  <c r="R376" i="359"/>
  <c r="R424" i="359"/>
  <c r="Z11" i="363"/>
  <c r="Q47" i="357"/>
  <c r="T432" i="356" s="1"/>
  <c r="S216" i="358"/>
  <c r="T433" i="356" s="1"/>
  <c r="Q375" i="356"/>
  <c r="Q375" i="359"/>
  <c r="S434" i="359"/>
  <c r="C25" i="151" s="1"/>
  <c r="S424" i="359"/>
  <c r="Z376" i="359"/>
  <c r="J202" i="361"/>
  <c r="J207" i="361" s="1"/>
  <c r="S175" i="362"/>
  <c r="W46" i="357"/>
  <c r="V432" i="356"/>
  <c r="X17" i="354"/>
  <c r="Q17" i="354"/>
  <c r="K23" i="354"/>
  <c r="H23" i="354" s="1"/>
  <c r="H21" i="354" s="1"/>
  <c r="N46" i="357"/>
  <c r="V434" i="356"/>
  <c r="E23" i="151" s="1"/>
  <c r="V419" i="363"/>
  <c r="R11" i="363"/>
  <c r="Y419" i="363"/>
  <c r="G236" i="362"/>
  <c r="G211" i="362"/>
  <c r="Q10" i="363"/>
  <c r="Z158" i="363"/>
  <c r="H427" i="363"/>
  <c r="AA158" i="363"/>
  <c r="AA192" i="363"/>
  <c r="V427" i="363"/>
  <c r="V428" i="363" s="1"/>
  <c r="K421" i="363"/>
  <c r="K419" i="363" s="1"/>
  <c r="R424" i="363"/>
  <c r="AA53" i="363"/>
  <c r="N419" i="363"/>
  <c r="S103" i="363"/>
  <c r="S74" i="363" s="1"/>
  <c r="S421" i="363"/>
  <c r="S419" i="363" s="1"/>
  <c r="AA52" i="363"/>
  <c r="R52" i="363"/>
  <c r="Q51" i="363"/>
  <c r="Z52" i="363"/>
  <c r="Z46" i="363"/>
  <c r="Q33" i="363"/>
  <c r="AA46" i="363"/>
  <c r="R46" i="363"/>
  <c r="AA76" i="363"/>
  <c r="R76" i="363"/>
  <c r="R75" i="363" s="1"/>
  <c r="R74" i="363" s="1"/>
  <c r="R73" i="363" s="1"/>
  <c r="Q75" i="363"/>
  <c r="Z76" i="363"/>
  <c r="R10" i="363"/>
  <c r="Q190" i="363"/>
  <c r="AA191" i="363"/>
  <c r="R191" i="363"/>
  <c r="Z191" i="363"/>
  <c r="Q317" i="363"/>
  <c r="Z318" i="363"/>
  <c r="R318" i="363"/>
  <c r="AA318" i="363"/>
  <c r="Z104" i="363"/>
  <c r="AA104" i="363"/>
  <c r="Q103" i="363"/>
  <c r="AG137" i="363"/>
  <c r="AA134" i="363"/>
  <c r="Z134" i="363"/>
  <c r="AA157" i="363"/>
  <c r="R157" i="363"/>
  <c r="Z157" i="363"/>
  <c r="Q353" i="363"/>
  <c r="AA354" i="363"/>
  <c r="R354" i="363"/>
  <c r="Z354" i="363"/>
  <c r="Z85" i="363"/>
  <c r="AA85" i="363"/>
  <c r="AA412" i="363"/>
  <c r="R412" i="363"/>
  <c r="Z412" i="363"/>
  <c r="AA304" i="363"/>
  <c r="R304" i="363"/>
  <c r="Z304" i="363"/>
  <c r="Q303" i="363"/>
  <c r="AA295" i="363"/>
  <c r="R295" i="363"/>
  <c r="Z295" i="363"/>
  <c r="H428" i="363"/>
  <c r="N427" i="363"/>
  <c r="N428" i="363" s="1"/>
  <c r="N10" i="363"/>
  <c r="N9" i="363" s="1"/>
  <c r="R181" i="363"/>
  <c r="AA181" i="363"/>
  <c r="Z181" i="363"/>
  <c r="AA214" i="363"/>
  <c r="R214" i="363"/>
  <c r="Z214" i="363"/>
  <c r="Q213" i="363"/>
  <c r="Q252" i="363"/>
  <c r="AA253" i="363"/>
  <c r="R253" i="363"/>
  <c r="Z253" i="363"/>
  <c r="AA337" i="363"/>
  <c r="R337" i="363"/>
  <c r="Z337" i="363"/>
  <c r="Q336" i="363"/>
  <c r="K427" i="363"/>
  <c r="K10" i="363"/>
  <c r="K9" i="363" s="1"/>
  <c r="AA282" i="363"/>
  <c r="R282" i="363"/>
  <c r="Q281" i="363"/>
  <c r="Z282" i="363"/>
  <c r="Y427" i="363"/>
  <c r="Y428" i="363" s="1"/>
  <c r="Y10" i="363"/>
  <c r="Y9" i="363" s="1"/>
  <c r="Q421" i="363"/>
  <c r="Q419" i="363" s="1"/>
  <c r="Z375" i="363"/>
  <c r="AA375" i="363"/>
  <c r="R375" i="363"/>
  <c r="AA11" i="363"/>
  <c r="Z53" i="363"/>
  <c r="Z147" i="363"/>
  <c r="Q146" i="363"/>
  <c r="R147" i="363"/>
  <c r="R146" i="363" s="1"/>
  <c r="AA147" i="363"/>
  <c r="V9" i="363"/>
  <c r="V217" i="362"/>
  <c r="V233" i="362" s="1"/>
  <c r="V220" i="362"/>
  <c r="V236" i="362" s="1"/>
  <c r="F202" i="362"/>
  <c r="F207" i="362" s="1"/>
  <c r="W220" i="362"/>
  <c r="W236" i="362" s="1"/>
  <c r="S217" i="362"/>
  <c r="V49" i="362"/>
  <c r="J48" i="362"/>
  <c r="W49" i="362"/>
  <c r="W156" i="362"/>
  <c r="R155" i="362"/>
  <c r="V156" i="362"/>
  <c r="S156" i="362"/>
  <c r="X13" i="362"/>
  <c r="Y13" i="362" s="1"/>
  <c r="Y202" i="362" s="1"/>
  <c r="Y207" i="362" s="1"/>
  <c r="S13" i="362"/>
  <c r="W13" i="362"/>
  <c r="V13" i="362"/>
  <c r="K231" i="362"/>
  <c r="K211" i="362"/>
  <c r="F231" i="362"/>
  <c r="F211" i="362"/>
  <c r="N231" i="362"/>
  <c r="N211" i="362"/>
  <c r="W217" i="362"/>
  <c r="W233" i="362" s="1"/>
  <c r="V32" i="362"/>
  <c r="V216" i="362" s="1"/>
  <c r="W32" i="362"/>
  <c r="R31" i="362"/>
  <c r="R216" i="362"/>
  <c r="S32" i="362"/>
  <c r="S216" i="362" s="1"/>
  <c r="S211" i="362" s="1"/>
  <c r="Y233" i="362"/>
  <c r="Y211" i="362"/>
  <c r="X48" i="362"/>
  <c r="X216" i="362"/>
  <c r="J231" i="362"/>
  <c r="J211" i="362"/>
  <c r="X202" i="362"/>
  <c r="X207" i="362" s="1"/>
  <c r="X220" i="362"/>
  <c r="X236" i="362" s="1"/>
  <c r="O231" i="362"/>
  <c r="O211" i="362"/>
  <c r="J202" i="362"/>
  <c r="J207" i="362" s="1"/>
  <c r="Y220" i="361"/>
  <c r="Y236" i="361" s="1"/>
  <c r="V217" i="361"/>
  <c r="V233" i="361" s="1"/>
  <c r="V220" i="361"/>
  <c r="V236" i="361" s="1"/>
  <c r="S220" i="361"/>
  <c r="T252" i="361" s="1"/>
  <c r="K419" i="359"/>
  <c r="N9" i="359"/>
  <c r="V427" i="359"/>
  <c r="V428" i="359" s="1"/>
  <c r="H419" i="359"/>
  <c r="K11" i="360"/>
  <c r="Z295" i="359"/>
  <c r="N427" i="359"/>
  <c r="S85" i="359"/>
  <c r="R75" i="359"/>
  <c r="R74" i="359" s="1"/>
  <c r="R73" i="359" s="1"/>
  <c r="S103" i="359"/>
  <c r="R423" i="359"/>
  <c r="AA295" i="359"/>
  <c r="N419" i="359"/>
  <c r="AA375" i="359"/>
  <c r="R375" i="359"/>
  <c r="Z375" i="359"/>
  <c r="Z169" i="359"/>
  <c r="AA169" i="359"/>
  <c r="R169" i="359"/>
  <c r="Q158" i="359"/>
  <c r="W13" i="361"/>
  <c r="V13" i="361"/>
  <c r="S13" i="361"/>
  <c r="X13" i="361"/>
  <c r="Y13" i="361" s="1"/>
  <c r="Y202" i="361" s="1"/>
  <c r="Y207" i="361" s="1"/>
  <c r="Q421" i="359"/>
  <c r="Q419" i="359" s="1"/>
  <c r="Q147" i="359"/>
  <c r="Z148" i="359"/>
  <c r="AA148" i="359"/>
  <c r="R148" i="359"/>
  <c r="N48" i="361"/>
  <c r="N202" i="361" s="1"/>
  <c r="N207" i="361" s="1"/>
  <c r="X49" i="361"/>
  <c r="N216" i="361"/>
  <c r="AA52" i="359"/>
  <c r="R52" i="359"/>
  <c r="Z52" i="359"/>
  <c r="Q51" i="359"/>
  <c r="AA85" i="359"/>
  <c r="Z85" i="359"/>
  <c r="Z354" i="359"/>
  <c r="Q353" i="359"/>
  <c r="R354" i="359"/>
  <c r="AA354" i="359"/>
  <c r="Y12" i="360"/>
  <c r="Q11" i="360"/>
  <c r="X12" i="360"/>
  <c r="S419" i="359"/>
  <c r="F231" i="361"/>
  <c r="F211" i="361"/>
  <c r="Q32" i="359"/>
  <c r="Z33" i="359"/>
  <c r="R33" i="359"/>
  <c r="AA33" i="359"/>
  <c r="AA75" i="359"/>
  <c r="Q74" i="359"/>
  <c r="Z75" i="359"/>
  <c r="Q302" i="359"/>
  <c r="AA303" i="359"/>
  <c r="Z303" i="359"/>
  <c r="R303" i="359"/>
  <c r="N428" i="359"/>
  <c r="X220" i="361"/>
  <c r="X236" i="361" s="1"/>
  <c r="H32" i="359"/>
  <c r="H9" i="359" s="1"/>
  <c r="H427" i="359"/>
  <c r="AA134" i="359"/>
  <c r="Z134" i="359"/>
  <c r="AG137" i="359"/>
  <c r="Q10" i="359"/>
  <c r="R11" i="359"/>
  <c r="AA11" i="359"/>
  <c r="Z11" i="359"/>
  <c r="K427" i="359"/>
  <c r="K10" i="359"/>
  <c r="K9" i="359" s="1"/>
  <c r="Z337" i="359"/>
  <c r="Q336" i="359"/>
  <c r="R337" i="359"/>
  <c r="AA337" i="359"/>
  <c r="V175" i="361"/>
  <c r="W175" i="361"/>
  <c r="W156" i="361"/>
  <c r="R155" i="361"/>
  <c r="V156" i="361"/>
  <c r="K46" i="360"/>
  <c r="Q46" i="360"/>
  <c r="J211" i="361"/>
  <c r="J231" i="361"/>
  <c r="AA214" i="359"/>
  <c r="Z214" i="359"/>
  <c r="Q213" i="359"/>
  <c r="R214" i="359"/>
  <c r="V120" i="361"/>
  <c r="S134" i="359"/>
  <c r="X29" i="360"/>
  <c r="O231" i="361"/>
  <c r="O211" i="361"/>
  <c r="Z182" i="359"/>
  <c r="R182" i="359"/>
  <c r="AA182" i="359"/>
  <c r="Q181" i="359"/>
  <c r="AA266" i="359"/>
  <c r="R266" i="359"/>
  <c r="Z266" i="359"/>
  <c r="S217" i="361"/>
  <c r="S432" i="359" s="1"/>
  <c r="Z282" i="359"/>
  <c r="Q281" i="359"/>
  <c r="R282" i="359"/>
  <c r="AA282" i="359"/>
  <c r="Y427" i="359"/>
  <c r="Y428" i="359" s="1"/>
  <c r="Y10" i="359"/>
  <c r="Y9" i="359" s="1"/>
  <c r="Q253" i="359"/>
  <c r="R216" i="361"/>
  <c r="W32" i="361"/>
  <c r="V32" i="361"/>
  <c r="V216" i="361" s="1"/>
  <c r="S216" i="361"/>
  <c r="R31" i="361"/>
  <c r="W220" i="361"/>
  <c r="W236" i="361" s="1"/>
  <c r="Q404" i="359"/>
  <c r="R404" i="359" s="1"/>
  <c r="R405" i="359"/>
  <c r="Z317" i="359"/>
  <c r="Q316" i="359"/>
  <c r="AA317" i="359"/>
  <c r="R317" i="359"/>
  <c r="AA103" i="359"/>
  <c r="Z103" i="359"/>
  <c r="W48" i="361"/>
  <c r="V48" i="361"/>
  <c r="AA191" i="359"/>
  <c r="R191" i="359"/>
  <c r="Q190" i="359"/>
  <c r="Z191" i="359"/>
  <c r="R282" i="356"/>
  <c r="J202" i="358"/>
  <c r="J207" i="358" s="1"/>
  <c r="S155" i="358"/>
  <c r="V155" i="358"/>
  <c r="W155" i="358"/>
  <c r="R202" i="358"/>
  <c r="S120" i="358"/>
  <c r="V120" i="358"/>
  <c r="W120" i="358"/>
  <c r="V216" i="358"/>
  <c r="U202" i="358"/>
  <c r="U207" i="358" s="1"/>
  <c r="W216" i="358"/>
  <c r="V220" i="358"/>
  <c r="V236" i="358" s="1"/>
  <c r="Q191" i="356"/>
  <c r="Z304" i="356"/>
  <c r="AA192" i="356"/>
  <c r="V419" i="356"/>
  <c r="AA304" i="356"/>
  <c r="R214" i="356"/>
  <c r="AA53" i="356"/>
  <c r="Z134" i="356"/>
  <c r="AG137" i="356"/>
  <c r="AA134" i="356"/>
  <c r="Z104" i="356"/>
  <c r="Q103" i="356"/>
  <c r="AA104" i="356"/>
  <c r="Z75" i="356"/>
  <c r="AA75" i="356"/>
  <c r="R53" i="356"/>
  <c r="S113" i="356"/>
  <c r="S104" i="356" s="1"/>
  <c r="Q303" i="356"/>
  <c r="Z303" i="356" s="1"/>
  <c r="Z253" i="356"/>
  <c r="Q396" i="356"/>
  <c r="R396" i="356" s="1"/>
  <c r="Q421" i="356"/>
  <c r="Q419" i="356" s="1"/>
  <c r="Q52" i="356"/>
  <c r="AA52" i="356" s="1"/>
  <c r="Z86" i="356"/>
  <c r="Q85" i="356"/>
  <c r="AA86" i="356"/>
  <c r="R74" i="356"/>
  <c r="R73" i="356" s="1"/>
  <c r="Z376" i="356"/>
  <c r="R253" i="356"/>
  <c r="Z282" i="356"/>
  <c r="AA253" i="356"/>
  <c r="Z214" i="356"/>
  <c r="AA282" i="356"/>
  <c r="AA376" i="356"/>
  <c r="Y419" i="356"/>
  <c r="R318" i="356"/>
  <c r="N419" i="356"/>
  <c r="S424" i="356"/>
  <c r="Q317" i="356"/>
  <c r="Z317" i="356" s="1"/>
  <c r="Q147" i="356"/>
  <c r="Z148" i="356"/>
  <c r="R148" i="356"/>
  <c r="AA148" i="356"/>
  <c r="R424" i="356"/>
  <c r="K419" i="356"/>
  <c r="V9" i="356"/>
  <c r="H10" i="356"/>
  <c r="H9" i="356" s="1"/>
  <c r="H427" i="356"/>
  <c r="AA213" i="356"/>
  <c r="Z213" i="356"/>
  <c r="R213" i="356"/>
  <c r="R231" i="358"/>
  <c r="R211" i="358"/>
  <c r="Z281" i="356"/>
  <c r="AA281" i="356"/>
  <c r="R281" i="356"/>
  <c r="K10" i="356"/>
  <c r="Z182" i="356"/>
  <c r="Q181" i="356"/>
  <c r="R182" i="356"/>
  <c r="AA182" i="356"/>
  <c r="S220" i="358"/>
  <c r="T252" i="358" s="1"/>
  <c r="AA252" i="356"/>
  <c r="R252" i="356"/>
  <c r="Z252" i="356"/>
  <c r="R26" i="356"/>
  <c r="AA26" i="356"/>
  <c r="Z26" i="356"/>
  <c r="Z158" i="356"/>
  <c r="Q157" i="356"/>
  <c r="R158" i="356"/>
  <c r="AA158" i="356"/>
  <c r="W217" i="358"/>
  <c r="W233" i="358" s="1"/>
  <c r="AA337" i="356"/>
  <c r="R337" i="356"/>
  <c r="Z337" i="356"/>
  <c r="Q336" i="356"/>
  <c r="J231" i="358"/>
  <c r="J211" i="358"/>
  <c r="N48" i="358"/>
  <c r="X49" i="358"/>
  <c r="X216" i="358" s="1"/>
  <c r="U433" i="356" s="1"/>
  <c r="N216" i="358"/>
  <c r="R354" i="356"/>
  <c r="Q353" i="356"/>
  <c r="AA191" i="356"/>
  <c r="R191" i="356"/>
  <c r="Q190" i="356"/>
  <c r="Z191" i="356"/>
  <c r="Y26" i="358"/>
  <c r="Y220" i="358" s="1"/>
  <c r="X220" i="358"/>
  <c r="X236" i="358" s="1"/>
  <c r="H419" i="356"/>
  <c r="AA214" i="356"/>
  <c r="Y29" i="357"/>
  <c r="X29" i="357"/>
  <c r="V31" i="358"/>
  <c r="W31" i="358"/>
  <c r="S31" i="358"/>
  <c r="K354" i="356"/>
  <c r="K353" i="356" s="1"/>
  <c r="K352" i="356" s="1"/>
  <c r="Z361" i="356"/>
  <c r="AA361" i="356"/>
  <c r="S217" i="358"/>
  <c r="Z412" i="356"/>
  <c r="R412" i="356"/>
  <c r="AA412" i="356"/>
  <c r="Q11" i="356"/>
  <c r="W48" i="358"/>
  <c r="V48" i="358"/>
  <c r="F231" i="358"/>
  <c r="F211" i="358"/>
  <c r="R405" i="356"/>
  <c r="Q404" i="356"/>
  <c r="R404" i="356" s="1"/>
  <c r="W220" i="358"/>
  <c r="W236" i="358" s="1"/>
  <c r="V13" i="358"/>
  <c r="X13" i="358"/>
  <c r="Y13" i="358" s="1"/>
  <c r="Y202" i="358" s="1"/>
  <c r="Y207" i="358" s="1"/>
  <c r="W13" i="358"/>
  <c r="S13" i="358"/>
  <c r="U231" i="358"/>
  <c r="U211" i="358"/>
  <c r="R33" i="356"/>
  <c r="Q32" i="356"/>
  <c r="AA33" i="356"/>
  <c r="Z33" i="356"/>
  <c r="AA303" i="356"/>
  <c r="Y12" i="357"/>
  <c r="Q11" i="357"/>
  <c r="X12" i="357"/>
  <c r="N427" i="356"/>
  <c r="N10" i="356"/>
  <c r="N9" i="356" s="1"/>
  <c r="V217" i="358"/>
  <c r="V233" i="358" s="1"/>
  <c r="V427" i="356"/>
  <c r="Z375" i="356"/>
  <c r="R375" i="356"/>
  <c r="AA375" i="356"/>
  <c r="Y10" i="356"/>
  <c r="Y9" i="356" s="1"/>
  <c r="Y427" i="356"/>
  <c r="F207" i="358"/>
  <c r="X30" i="354"/>
  <c r="H43" i="354"/>
  <c r="N30" i="354"/>
  <c r="D29" i="354"/>
  <c r="D27" i="354" s="1"/>
  <c r="G27" i="354"/>
  <c r="G30" i="354" s="1"/>
  <c r="Q30" i="354"/>
  <c r="H19" i="354"/>
  <c r="H18" i="354" s="1"/>
  <c r="K18" i="354"/>
  <c r="D19" i="354"/>
  <c r="D18" i="354" s="1"/>
  <c r="D17" i="354" s="1"/>
  <c r="H28" i="354"/>
  <c r="H27" i="354" s="1"/>
  <c r="K43" i="354"/>
  <c r="G43" i="354"/>
  <c r="H17" i="354" l="1"/>
  <c r="K21" i="354"/>
  <c r="K17" i="354" s="1"/>
  <c r="K30" i="354" s="1"/>
  <c r="K428" i="359"/>
  <c r="Q55" i="354"/>
  <c r="C19" i="151"/>
  <c r="X55" i="354"/>
  <c r="E19" i="151"/>
  <c r="R303" i="356"/>
  <c r="Q46" i="357"/>
  <c r="AA317" i="356"/>
  <c r="Y211" i="361"/>
  <c r="K428" i="363"/>
  <c r="U55" i="354"/>
  <c r="D19" i="151"/>
  <c r="AA10" i="363"/>
  <c r="AA146" i="363"/>
  <c r="Z146" i="363"/>
  <c r="Z252" i="363"/>
  <c r="R252" i="363"/>
  <c r="AA252" i="363"/>
  <c r="AA33" i="363"/>
  <c r="R33" i="363"/>
  <c r="Z33" i="363"/>
  <c r="Q32" i="363"/>
  <c r="Z317" i="363"/>
  <c r="Q316" i="363"/>
  <c r="AA317" i="363"/>
  <c r="R317" i="363"/>
  <c r="R421" i="363"/>
  <c r="R419" i="363" s="1"/>
  <c r="AA336" i="363"/>
  <c r="R336" i="363"/>
  <c r="Z336" i="363"/>
  <c r="AA213" i="363"/>
  <c r="R213" i="363"/>
  <c r="Z213" i="363"/>
  <c r="Z190" i="363"/>
  <c r="R190" i="363"/>
  <c r="AA190" i="363"/>
  <c r="R281" i="363"/>
  <c r="AA281" i="363"/>
  <c r="Z281" i="363"/>
  <c r="Q302" i="363"/>
  <c r="Z303" i="363"/>
  <c r="R303" i="363"/>
  <c r="AA303" i="363"/>
  <c r="Z353" i="363"/>
  <c r="AA353" i="363"/>
  <c r="Q352" i="363"/>
  <c r="R353" i="363"/>
  <c r="AA103" i="363"/>
  <c r="Z103" i="363"/>
  <c r="Z10" i="363"/>
  <c r="AA75" i="363"/>
  <c r="Z75" i="363"/>
  <c r="Q74" i="363"/>
  <c r="Q427" i="363" s="1"/>
  <c r="Q428" i="363" s="1"/>
  <c r="AA51" i="363"/>
  <c r="R51" i="363"/>
  <c r="Z51" i="363"/>
  <c r="S427" i="363"/>
  <c r="S428" i="363" s="1"/>
  <c r="S73" i="363"/>
  <c r="S9" i="363" s="1"/>
  <c r="AD6" i="363" s="1"/>
  <c r="W48" i="362"/>
  <c r="V48" i="362"/>
  <c r="W216" i="362"/>
  <c r="W211" i="362" s="1"/>
  <c r="X231" i="362"/>
  <c r="X211" i="362"/>
  <c r="V231" i="362"/>
  <c r="V211" i="362"/>
  <c r="R231" i="362"/>
  <c r="R211" i="362"/>
  <c r="S31" i="362"/>
  <c r="W31" i="362"/>
  <c r="V31" i="362"/>
  <c r="W155" i="362"/>
  <c r="S155" i="362"/>
  <c r="R202" i="362"/>
  <c r="V155" i="362"/>
  <c r="W231" i="362"/>
  <c r="S211" i="361"/>
  <c r="W216" i="361"/>
  <c r="W211" i="361" s="1"/>
  <c r="S74" i="359"/>
  <c r="S73" i="359" s="1"/>
  <c r="S9" i="359" s="1"/>
  <c r="AD6" i="359" s="1"/>
  <c r="R421" i="359"/>
  <c r="R419" i="359" s="1"/>
  <c r="H428" i="359"/>
  <c r="Z10" i="359"/>
  <c r="R10" i="359"/>
  <c r="AA10" i="359"/>
  <c r="AA316" i="359"/>
  <c r="R316" i="359"/>
  <c r="Z316" i="359"/>
  <c r="V231" i="361"/>
  <c r="V211" i="361"/>
  <c r="AA281" i="359"/>
  <c r="R281" i="359"/>
  <c r="Z281" i="359"/>
  <c r="AA74" i="359"/>
  <c r="Z74" i="359"/>
  <c r="Q73" i="359"/>
  <c r="X216" i="361"/>
  <c r="X48" i="361"/>
  <c r="X202" i="361" s="1"/>
  <c r="X207" i="361" s="1"/>
  <c r="Z158" i="359"/>
  <c r="Q157" i="359"/>
  <c r="R158" i="359"/>
  <c r="AA158" i="359"/>
  <c r="AA190" i="359"/>
  <c r="Z190" i="359"/>
  <c r="R190" i="359"/>
  <c r="AA253" i="359"/>
  <c r="R253" i="359"/>
  <c r="Z253" i="359"/>
  <c r="Q252" i="359"/>
  <c r="AA181" i="359"/>
  <c r="R181" i="359"/>
  <c r="Z181" i="359"/>
  <c r="W155" i="361"/>
  <c r="V155" i="361"/>
  <c r="R202" i="361"/>
  <c r="S155" i="361"/>
  <c r="N211" i="361"/>
  <c r="N231" i="361"/>
  <c r="W231" i="361"/>
  <c r="Z213" i="359"/>
  <c r="R213" i="359"/>
  <c r="AA213" i="359"/>
  <c r="Z32" i="359"/>
  <c r="AA32" i="359"/>
  <c r="R32" i="359"/>
  <c r="Z147" i="359"/>
  <c r="AA147" i="359"/>
  <c r="Q146" i="359"/>
  <c r="R147" i="359"/>
  <c r="R146" i="359" s="1"/>
  <c r="Y11" i="360"/>
  <c r="X11" i="360"/>
  <c r="AA353" i="359"/>
  <c r="R353" i="359"/>
  <c r="Z353" i="359"/>
  <c r="Q352" i="359"/>
  <c r="AA51" i="359"/>
  <c r="R51" i="359"/>
  <c r="Z51" i="359"/>
  <c r="W31" i="361"/>
  <c r="V31" i="361"/>
  <c r="S31" i="361"/>
  <c r="R211" i="361"/>
  <c r="R231" i="361"/>
  <c r="AA336" i="359"/>
  <c r="R336" i="359"/>
  <c r="Z336" i="359"/>
  <c r="Q427" i="359"/>
  <c r="Q428" i="359" s="1"/>
  <c r="Z302" i="359"/>
  <c r="AA302" i="359"/>
  <c r="R302" i="359"/>
  <c r="R52" i="356"/>
  <c r="Z52" i="356"/>
  <c r="V202" i="358"/>
  <c r="W202" i="358"/>
  <c r="S202" i="358"/>
  <c r="N202" i="358"/>
  <c r="N207" i="358" s="1"/>
  <c r="S211" i="358"/>
  <c r="R421" i="356"/>
  <c r="N428" i="356"/>
  <c r="V428" i="356"/>
  <c r="S103" i="356"/>
  <c r="S74" i="356" s="1"/>
  <c r="S73" i="356" s="1"/>
  <c r="S9" i="356" s="1"/>
  <c r="AD6" i="356" s="1"/>
  <c r="S421" i="356"/>
  <c r="S419" i="356" s="1"/>
  <c r="Z103" i="356"/>
  <c r="AA103" i="356"/>
  <c r="Q302" i="356"/>
  <c r="Z302" i="356" s="1"/>
  <c r="Q51" i="356"/>
  <c r="AA51" i="356" s="1"/>
  <c r="Q74" i="356"/>
  <c r="Z85" i="356"/>
  <c r="AA85" i="356"/>
  <c r="Y428" i="356"/>
  <c r="R317" i="356"/>
  <c r="Z147" i="356"/>
  <c r="AA147" i="356"/>
  <c r="Q146" i="356"/>
  <c r="R147" i="356"/>
  <c r="R146" i="356" s="1"/>
  <c r="AA354" i="356"/>
  <c r="Q316" i="356"/>
  <c r="Z316" i="356" s="1"/>
  <c r="K9" i="356"/>
  <c r="K427" i="356"/>
  <c r="K428" i="356" s="1"/>
  <c r="AA11" i="356"/>
  <c r="Z11" i="356"/>
  <c r="R11" i="356"/>
  <c r="Q10" i="356"/>
  <c r="N231" i="358"/>
  <c r="N211" i="358"/>
  <c r="R207" i="358"/>
  <c r="W207" i="358" s="1"/>
  <c r="S207" i="358"/>
  <c r="R190" i="356"/>
  <c r="AA190" i="356"/>
  <c r="Z190" i="356"/>
  <c r="Z354" i="356"/>
  <c r="X48" i="358"/>
  <c r="Z336" i="356"/>
  <c r="R336" i="356"/>
  <c r="AA336" i="356"/>
  <c r="V231" i="358"/>
  <c r="V211" i="358"/>
  <c r="AA181" i="356"/>
  <c r="R181" i="356"/>
  <c r="Z181" i="356"/>
  <c r="H428" i="356"/>
  <c r="Y11" i="357"/>
  <c r="X11" i="357"/>
  <c r="AA32" i="356"/>
  <c r="Z32" i="356"/>
  <c r="R32" i="356"/>
  <c r="S427" i="356"/>
  <c r="AA157" i="356"/>
  <c r="R157" i="356"/>
  <c r="Z157" i="356"/>
  <c r="Z353" i="356"/>
  <c r="AA353" i="356"/>
  <c r="Q352" i="356"/>
  <c r="R353" i="356"/>
  <c r="R302" i="356"/>
  <c r="AA302" i="356"/>
  <c r="W231" i="358"/>
  <c r="W211" i="358"/>
  <c r="Y236" i="358"/>
  <c r="Y211" i="358"/>
  <c r="H30" i="354"/>
  <c r="D30" i="354"/>
  <c r="S427" i="359" l="1"/>
  <c r="S428" i="359" s="1"/>
  <c r="AC202" i="358"/>
  <c r="R427" i="363"/>
  <c r="R428" i="363" s="1"/>
  <c r="AA352" i="363"/>
  <c r="R352" i="363"/>
  <c r="Z352" i="363"/>
  <c r="AA74" i="363"/>
  <c r="Z74" i="363"/>
  <c r="Q73" i="363"/>
  <c r="AA32" i="363"/>
  <c r="R32" i="363"/>
  <c r="Z32" i="363"/>
  <c r="Q9" i="363"/>
  <c r="Z302" i="363"/>
  <c r="AA302" i="363"/>
  <c r="R302" i="363"/>
  <c r="AA316" i="363"/>
  <c r="R316" i="363"/>
  <c r="Z316" i="363"/>
  <c r="AC202" i="362"/>
  <c r="V202" i="362"/>
  <c r="R207" i="362"/>
  <c r="W207" i="362" s="1"/>
  <c r="S202" i="362"/>
  <c r="S207" i="362" s="1"/>
  <c r="W202" i="362"/>
  <c r="Q9" i="359"/>
  <c r="Z9" i="359" s="1"/>
  <c r="AC6" i="359" s="1"/>
  <c r="AA146" i="359"/>
  <c r="Z146" i="359"/>
  <c r="Z352" i="359"/>
  <c r="AA352" i="359"/>
  <c r="R352" i="359"/>
  <c r="AA252" i="359"/>
  <c r="R252" i="359"/>
  <c r="Z252" i="359"/>
  <c r="X211" i="361"/>
  <c r="X231" i="361"/>
  <c r="AC202" i="361"/>
  <c r="V202" i="361"/>
  <c r="R207" i="361"/>
  <c r="W207" i="361" s="1"/>
  <c r="W202" i="361"/>
  <c r="S202" i="361"/>
  <c r="S207" i="361" s="1"/>
  <c r="R427" i="359"/>
  <c r="R428" i="359" s="1"/>
  <c r="AA157" i="359"/>
  <c r="R157" i="359"/>
  <c r="Z157" i="359"/>
  <c r="Z73" i="359"/>
  <c r="AD73" i="359" s="1"/>
  <c r="AA73" i="359"/>
  <c r="R419" i="356"/>
  <c r="T431" i="356"/>
  <c r="T434" i="356" s="1"/>
  <c r="C23" i="151" s="1"/>
  <c r="X202" i="358"/>
  <c r="X207" i="358" s="1"/>
  <c r="R316" i="356"/>
  <c r="Z51" i="356"/>
  <c r="R51" i="356"/>
  <c r="AA316" i="356"/>
  <c r="S428" i="356"/>
  <c r="AA74" i="356"/>
  <c r="Z74" i="356"/>
  <c r="Q73" i="356"/>
  <c r="Q9" i="356" s="1"/>
  <c r="Z146" i="356"/>
  <c r="AA146" i="356"/>
  <c r="R352" i="356"/>
  <c r="AA352" i="356"/>
  <c r="Z352" i="356"/>
  <c r="R427" i="356"/>
  <c r="R428" i="356" s="1"/>
  <c r="X231" i="358"/>
  <c r="X211" i="358"/>
  <c r="Z10" i="356"/>
  <c r="R10" i="356"/>
  <c r="AA10" i="356"/>
  <c r="Q427" i="356"/>
  <c r="Q428" i="356" s="1"/>
  <c r="N37" i="353"/>
  <c r="X36" i="353"/>
  <c r="V36" i="353"/>
  <c r="U36" i="353"/>
  <c r="S36" i="353"/>
  <c r="Q36" i="353"/>
  <c r="O36" i="353"/>
  <c r="N36" i="353"/>
  <c r="L36" i="353"/>
  <c r="K36" i="353"/>
  <c r="I36" i="353"/>
  <c r="H36" i="353"/>
  <c r="G36" i="353"/>
  <c r="E36" i="353"/>
  <c r="D36" i="353"/>
  <c r="J33" i="353"/>
  <c r="H33" i="353"/>
  <c r="X32" i="353"/>
  <c r="U32" i="353"/>
  <c r="Q32" i="353"/>
  <c r="N32" i="353"/>
  <c r="K32" i="353"/>
  <c r="H32" i="353"/>
  <c r="G32" i="353"/>
  <c r="D32" i="353"/>
  <c r="M31" i="353"/>
  <c r="M29" i="353"/>
  <c r="X28" i="353"/>
  <c r="V28" i="353"/>
  <c r="U28" i="353"/>
  <c r="S28" i="353"/>
  <c r="Q28" i="353"/>
  <c r="O28" i="353"/>
  <c r="N28" i="353"/>
  <c r="L28" i="353"/>
  <c r="K28" i="353"/>
  <c r="I28" i="353"/>
  <c r="H28" i="353"/>
  <c r="G28" i="353"/>
  <c r="E28" i="353"/>
  <c r="D28" i="353"/>
  <c r="W27" i="353"/>
  <c r="M27" i="353"/>
  <c r="J27" i="353"/>
  <c r="H27" i="353"/>
  <c r="T26" i="353"/>
  <c r="P25" i="353"/>
  <c r="F25" i="353"/>
  <c r="X24" i="353"/>
  <c r="U24" i="353"/>
  <c r="Q24" i="353"/>
  <c r="N24" i="353"/>
  <c r="K24" i="353"/>
  <c r="H24" i="353"/>
  <c r="G24" i="353"/>
  <c r="D24" i="353"/>
  <c r="X20" i="353"/>
  <c r="U20" i="353"/>
  <c r="Q20" i="353"/>
  <c r="N20" i="353"/>
  <c r="K20" i="353"/>
  <c r="H20" i="353"/>
  <c r="G20" i="353"/>
  <c r="D20" i="353"/>
  <c r="W19" i="353"/>
  <c r="T19" i="353"/>
  <c r="P19" i="353"/>
  <c r="M19" i="353"/>
  <c r="J19" i="353"/>
  <c r="G19" i="353"/>
  <c r="D19" i="353" s="1"/>
  <c r="G18" i="353"/>
  <c r="D18" i="353" s="1"/>
  <c r="W17" i="353"/>
  <c r="T17" i="353"/>
  <c r="P17" i="353"/>
  <c r="M17" i="353"/>
  <c r="J17" i="353"/>
  <c r="G17" i="353"/>
  <c r="D17" i="353" s="1"/>
  <c r="X16" i="353"/>
  <c r="U16" i="353"/>
  <c r="Q16" i="353"/>
  <c r="Q43" i="353" s="1"/>
  <c r="Q46" i="353" s="1"/>
  <c r="Q53" i="353" s="1"/>
  <c r="N16" i="353"/>
  <c r="K16" i="353"/>
  <c r="H16" i="353"/>
  <c r="X43" i="353" l="1"/>
  <c r="X46" i="353" s="1"/>
  <c r="X53" i="353" s="1"/>
  <c r="N43" i="353"/>
  <c r="N46" i="353" s="1"/>
  <c r="H43" i="353"/>
  <c r="H46" i="353" s="1"/>
  <c r="U43" i="353"/>
  <c r="U46" i="353" s="1"/>
  <c r="U53" i="353" s="1"/>
  <c r="K43" i="353"/>
  <c r="K46" i="353" s="1"/>
  <c r="D16" i="353"/>
  <c r="D43" i="353" s="1"/>
  <c r="D46" i="353" s="1"/>
  <c r="Z73" i="363"/>
  <c r="AD73" i="363" s="1"/>
  <c r="AA73" i="363"/>
  <c r="Z9" i="363"/>
  <c r="AC6" i="363" s="1"/>
  <c r="AA9" i="363"/>
  <c r="R9" i="363"/>
  <c r="AA9" i="359"/>
  <c r="R9" i="359"/>
  <c r="Z73" i="356"/>
  <c r="AD73" i="356" s="1"/>
  <c r="AA73" i="356"/>
  <c r="R9" i="356"/>
  <c r="Z9" i="356"/>
  <c r="AC6" i="356" s="1"/>
  <c r="AA9" i="356"/>
  <c r="G16" i="353"/>
  <c r="G43" i="353" s="1"/>
  <c r="G46" i="353" s="1"/>
  <c r="O54" i="352" l="1"/>
  <c r="W32" i="352"/>
  <c r="W48" i="352" s="1"/>
  <c r="X47" i="352" s="1"/>
  <c r="U32" i="352"/>
  <c r="T32" i="352"/>
  <c r="T48" i="352" s="1"/>
  <c r="U47" i="352" s="1"/>
  <c r="R32" i="352"/>
  <c r="P32" i="352"/>
  <c r="P48" i="352" s="1"/>
  <c r="Q47" i="352" s="1"/>
  <c r="N32" i="352"/>
  <c r="W31" i="352"/>
  <c r="U31" i="352"/>
  <c r="T31" i="352"/>
  <c r="R31" i="352"/>
  <c r="P31" i="352"/>
  <c r="N31" i="352"/>
  <c r="W30" i="352"/>
  <c r="U30" i="352"/>
  <c r="T30" i="352"/>
  <c r="R30" i="352"/>
  <c r="P30" i="352"/>
  <c r="N30" i="352"/>
  <c r="W29" i="352"/>
  <c r="U29" i="352"/>
  <c r="T29" i="352"/>
  <c r="R29" i="352"/>
  <c r="P29" i="352"/>
  <c r="N29" i="352"/>
  <c r="W28" i="352"/>
  <c r="U28" i="352"/>
  <c r="T28" i="352"/>
  <c r="R28" i="352"/>
  <c r="P28" i="352"/>
  <c r="N28" i="352"/>
  <c r="W27" i="352"/>
  <c r="U27" i="352"/>
  <c r="T27" i="352"/>
  <c r="R27" i="352"/>
  <c r="P27" i="352"/>
  <c r="N27" i="352"/>
  <c r="W26" i="352"/>
  <c r="U26" i="352"/>
  <c r="T26" i="352"/>
  <c r="R26" i="352"/>
  <c r="P26" i="352"/>
  <c r="N26" i="352"/>
  <c r="W25" i="352"/>
  <c r="U25" i="352"/>
  <c r="T25" i="352"/>
  <c r="R25" i="352"/>
  <c r="P25" i="352"/>
  <c r="N25" i="352"/>
  <c r="W24" i="352"/>
  <c r="W44" i="352" s="1"/>
  <c r="X43" i="352" s="1"/>
  <c r="U24" i="352"/>
  <c r="T24" i="352"/>
  <c r="T44" i="352" s="1"/>
  <c r="U43" i="352" s="1"/>
  <c r="R24" i="352"/>
  <c r="P24" i="352"/>
  <c r="P44" i="352" s="1"/>
  <c r="Q43" i="352" s="1"/>
  <c r="N24" i="352"/>
  <c r="W23" i="352"/>
  <c r="W50" i="352" s="1"/>
  <c r="X49" i="352" s="1"/>
  <c r="U23" i="352"/>
  <c r="T23" i="352"/>
  <c r="T50" i="352" s="1"/>
  <c r="U49" i="352" s="1"/>
  <c r="R23" i="352"/>
  <c r="P23" i="352"/>
  <c r="P50" i="352" s="1"/>
  <c r="Q49" i="352" s="1"/>
  <c r="N23" i="352"/>
  <c r="M23" i="352"/>
  <c r="J23" i="352"/>
  <c r="W22" i="352"/>
  <c r="W52" i="352" s="1"/>
  <c r="X51" i="352" s="1"/>
  <c r="U22" i="352"/>
  <c r="T22" i="352"/>
  <c r="T52" i="352" s="1"/>
  <c r="U51" i="352" s="1"/>
  <c r="R22" i="352"/>
  <c r="P22" i="352"/>
  <c r="P52" i="352" s="1"/>
  <c r="Q51" i="352" s="1"/>
  <c r="N22" i="352"/>
  <c r="L22" i="352"/>
  <c r="J22" i="352"/>
  <c r="F22" i="352"/>
  <c r="W21" i="352"/>
  <c r="U21" i="352"/>
  <c r="T21" i="352"/>
  <c r="R21" i="352"/>
  <c r="P21" i="352"/>
  <c r="N21" i="352"/>
  <c r="W20" i="352"/>
  <c r="U20" i="352"/>
  <c r="T20" i="352"/>
  <c r="R20" i="352"/>
  <c r="P20" i="352"/>
  <c r="N20" i="352"/>
  <c r="W19" i="352"/>
  <c r="U19" i="352"/>
  <c r="T19" i="352"/>
  <c r="R19" i="352"/>
  <c r="P19" i="352"/>
  <c r="N19" i="352"/>
  <c r="W18" i="352"/>
  <c r="V18" i="352"/>
  <c r="U18" i="352"/>
  <c r="T18" i="352"/>
  <c r="S18" i="352"/>
  <c r="R18" i="352"/>
  <c r="P18" i="352"/>
  <c r="N18" i="352"/>
  <c r="M18" i="352"/>
  <c r="J18" i="352"/>
  <c r="G18" i="352"/>
  <c r="W17" i="352"/>
  <c r="V17" i="352"/>
  <c r="U17" i="352"/>
  <c r="T17" i="352"/>
  <c r="S17" i="352"/>
  <c r="R17" i="352"/>
  <c r="P17" i="352"/>
  <c r="N17" i="352"/>
  <c r="M17" i="352"/>
  <c r="J17" i="352"/>
  <c r="G17" i="352"/>
  <c r="W16" i="352"/>
  <c r="V16" i="352"/>
  <c r="U16" i="352"/>
  <c r="T16" i="352"/>
  <c r="S16" i="352"/>
  <c r="R16" i="352"/>
  <c r="P16" i="352"/>
  <c r="N16" i="352"/>
  <c r="M16" i="352"/>
  <c r="J16" i="352"/>
  <c r="G16" i="352"/>
  <c r="W15" i="352"/>
  <c r="V15" i="352"/>
  <c r="U15" i="352"/>
  <c r="T15" i="352"/>
  <c r="S15" i="352"/>
  <c r="R15" i="352"/>
  <c r="P15" i="352"/>
  <c r="N15" i="352"/>
  <c r="M15" i="352"/>
  <c r="J15" i="352"/>
  <c r="G15" i="352"/>
  <c r="W14" i="352"/>
  <c r="V14" i="352"/>
  <c r="U14" i="352"/>
  <c r="T14" i="352"/>
  <c r="S14" i="352"/>
  <c r="R14" i="352"/>
  <c r="P14" i="352"/>
  <c r="N14" i="352"/>
  <c r="M14" i="352"/>
  <c r="J14" i="352"/>
  <c r="G14" i="352"/>
  <c r="W13" i="352"/>
  <c r="V13" i="352"/>
  <c r="U13" i="352"/>
  <c r="T13" i="352"/>
  <c r="S13" i="352"/>
  <c r="R13" i="352"/>
  <c r="P13" i="352"/>
  <c r="N13" i="352"/>
  <c r="M13" i="352"/>
  <c r="J13" i="352"/>
  <c r="G13" i="352"/>
  <c r="W12" i="352"/>
  <c r="U12" i="352"/>
  <c r="T12" i="352"/>
  <c r="R12" i="352"/>
  <c r="P12" i="352"/>
  <c r="N12" i="352"/>
  <c r="W11" i="352"/>
  <c r="V11" i="352"/>
  <c r="U11" i="352"/>
  <c r="T11" i="352"/>
  <c r="S11" i="352"/>
  <c r="R11" i="352"/>
  <c r="P11" i="352"/>
  <c r="N11" i="352"/>
  <c r="M11" i="352"/>
  <c r="J11" i="352"/>
  <c r="G11" i="352"/>
  <c r="W10" i="352"/>
  <c r="V10" i="352"/>
  <c r="U10" i="352"/>
  <c r="T10" i="352"/>
  <c r="S10" i="352"/>
  <c r="R10" i="352"/>
  <c r="P10" i="352"/>
  <c r="N10" i="352"/>
  <c r="M10" i="352"/>
  <c r="M25" i="352" s="1"/>
  <c r="M28" i="352" s="1"/>
  <c r="J10" i="352"/>
  <c r="G10" i="352"/>
  <c r="I18" i="303"/>
  <c r="F18" i="303"/>
  <c r="J18" i="303" s="1"/>
  <c r="I17" i="303"/>
  <c r="F17" i="303"/>
  <c r="J17" i="303" s="1"/>
  <c r="G25" i="352" l="1"/>
  <c r="G28" i="352" s="1"/>
  <c r="J25" i="352"/>
  <c r="J28" i="352" s="1"/>
  <c r="T46" i="352"/>
  <c r="U45" i="352" s="1"/>
  <c r="P46" i="352"/>
  <c r="Q45" i="352" s="1"/>
  <c r="W42" i="352"/>
  <c r="X41" i="352" s="1"/>
  <c r="W46" i="352"/>
  <c r="X45" i="352" s="1"/>
  <c r="W33" i="352"/>
  <c r="T42" i="352"/>
  <c r="U41" i="352" s="1"/>
  <c r="P42" i="352"/>
  <c r="Q41" i="352" s="1"/>
  <c r="T33" i="352"/>
  <c r="P33" i="352"/>
  <c r="S25" i="350"/>
  <c r="T27" i="350"/>
  <c r="S27" i="350"/>
  <c r="U27" i="350" s="1"/>
  <c r="R27" i="350"/>
  <c r="T26" i="350"/>
  <c r="S26" i="350"/>
  <c r="U26" i="350" s="1"/>
  <c r="R26" i="350"/>
  <c r="W25" i="350"/>
  <c r="O25" i="350"/>
  <c r="M25" i="350"/>
  <c r="L25" i="350"/>
  <c r="K25" i="350"/>
  <c r="J25" i="350"/>
  <c r="I25" i="350"/>
  <c r="H25" i="350"/>
  <c r="G25" i="350"/>
  <c r="F25" i="350"/>
  <c r="E25" i="350"/>
  <c r="D25" i="350"/>
  <c r="C25" i="350"/>
  <c r="U24" i="350"/>
  <c r="S24" i="350"/>
  <c r="T24" i="350" s="1"/>
  <c r="R24" i="350"/>
  <c r="W23" i="350"/>
  <c r="O23" i="350"/>
  <c r="M23" i="350"/>
  <c r="L23" i="350"/>
  <c r="K23" i="350"/>
  <c r="J23" i="350"/>
  <c r="I23" i="350"/>
  <c r="H23" i="350"/>
  <c r="G23" i="350"/>
  <c r="F23" i="350"/>
  <c r="E23" i="350"/>
  <c r="D23" i="350"/>
  <c r="C23" i="350"/>
  <c r="S22" i="350"/>
  <c r="U22" i="350" s="1"/>
  <c r="R22" i="350"/>
  <c r="S21" i="350"/>
  <c r="U21" i="350" s="1"/>
  <c r="R21" i="350"/>
  <c r="W20" i="350"/>
  <c r="O20" i="350"/>
  <c r="M20" i="350"/>
  <c r="L20" i="350"/>
  <c r="K20" i="350"/>
  <c r="J20" i="350"/>
  <c r="I20" i="350"/>
  <c r="H20" i="350"/>
  <c r="G20" i="350"/>
  <c r="F20" i="350"/>
  <c r="E20" i="350"/>
  <c r="D20" i="350"/>
  <c r="C20" i="350"/>
  <c r="S19" i="350"/>
  <c r="U19" i="350" s="1"/>
  <c r="R19" i="350"/>
  <c r="S18" i="350"/>
  <c r="U18" i="350" s="1"/>
  <c r="R18" i="350"/>
  <c r="W17" i="350"/>
  <c r="O17" i="350"/>
  <c r="M17" i="350"/>
  <c r="L17" i="350"/>
  <c r="K17" i="350"/>
  <c r="J17" i="350"/>
  <c r="I17" i="350"/>
  <c r="H17" i="350"/>
  <c r="G17" i="350"/>
  <c r="F17" i="350"/>
  <c r="E17" i="350"/>
  <c r="D17" i="350"/>
  <c r="C17" i="350"/>
  <c r="U16" i="350"/>
  <c r="S16" i="350"/>
  <c r="T16" i="350" s="1"/>
  <c r="R16" i="350"/>
  <c r="U15" i="350"/>
  <c r="S15" i="350"/>
  <c r="T15" i="350" s="1"/>
  <c r="R15" i="350"/>
  <c r="W14" i="350"/>
  <c r="P14" i="350"/>
  <c r="O14" i="350"/>
  <c r="N14" i="350"/>
  <c r="M14" i="350"/>
  <c r="L14" i="350"/>
  <c r="K14" i="350"/>
  <c r="J14" i="350"/>
  <c r="I14" i="350"/>
  <c r="H14" i="350"/>
  <c r="G14" i="350"/>
  <c r="F14" i="350"/>
  <c r="E14" i="350"/>
  <c r="D14" i="350"/>
  <c r="C14" i="350"/>
  <c r="S13" i="350"/>
  <c r="U13" i="350" s="1"/>
  <c r="R13" i="350"/>
  <c r="S12" i="350"/>
  <c r="U12" i="350" s="1"/>
  <c r="R12" i="350"/>
  <c r="W11" i="350"/>
  <c r="O11" i="350"/>
  <c r="M11" i="350"/>
  <c r="L11" i="350"/>
  <c r="K11" i="350"/>
  <c r="J11" i="350"/>
  <c r="I11" i="350"/>
  <c r="H11" i="350"/>
  <c r="G11" i="350"/>
  <c r="F11" i="350"/>
  <c r="E11" i="350"/>
  <c r="D11" i="350"/>
  <c r="C11" i="350"/>
  <c r="W28" i="349"/>
  <c r="T28" i="349"/>
  <c r="P28" i="349"/>
  <c r="W39" i="349"/>
  <c r="T39" i="349"/>
  <c r="P39" i="349"/>
  <c r="W38" i="349"/>
  <c r="T38" i="349"/>
  <c r="P38" i="349"/>
  <c r="W36" i="349"/>
  <c r="U36" i="349"/>
  <c r="T36" i="349"/>
  <c r="R36" i="349"/>
  <c r="P36" i="349"/>
  <c r="N36" i="349"/>
  <c r="M36" i="349"/>
  <c r="J36" i="349"/>
  <c r="G36" i="349"/>
  <c r="W35" i="349"/>
  <c r="U35" i="349"/>
  <c r="T35" i="349"/>
  <c r="R35" i="349"/>
  <c r="P35" i="349"/>
  <c r="N35" i="349"/>
  <c r="M35" i="349"/>
  <c r="J35" i="349"/>
  <c r="G35" i="349"/>
  <c r="W34" i="349"/>
  <c r="U34" i="349"/>
  <c r="T34" i="349"/>
  <c r="R34" i="349"/>
  <c r="P34" i="349"/>
  <c r="N34" i="349"/>
  <c r="M34" i="349"/>
  <c r="J34" i="349"/>
  <c r="G34" i="349"/>
  <c r="W33" i="349"/>
  <c r="U33" i="349"/>
  <c r="T33" i="349"/>
  <c r="R33" i="349"/>
  <c r="P33" i="349"/>
  <c r="N33" i="349"/>
  <c r="M33" i="349"/>
  <c r="J33" i="349"/>
  <c r="G33" i="349"/>
  <c r="W32" i="349"/>
  <c r="U32" i="349"/>
  <c r="T32" i="349"/>
  <c r="R32" i="349"/>
  <c r="P32" i="349"/>
  <c r="N32" i="349"/>
  <c r="G32" i="349"/>
  <c r="W31" i="349"/>
  <c r="U31" i="349"/>
  <c r="T31" i="349"/>
  <c r="R31" i="349"/>
  <c r="P31" i="349"/>
  <c r="N31" i="349"/>
  <c r="M31" i="349"/>
  <c r="J31" i="349"/>
  <c r="G31" i="349"/>
  <c r="W30" i="349"/>
  <c r="U30" i="349"/>
  <c r="T30" i="349"/>
  <c r="R30" i="349"/>
  <c r="P30" i="349"/>
  <c r="N30" i="349"/>
  <c r="M30" i="349"/>
  <c r="J30" i="349"/>
  <c r="G30" i="349"/>
  <c r="W29" i="349"/>
  <c r="U29" i="349"/>
  <c r="T29" i="349"/>
  <c r="R29" i="349"/>
  <c r="P29" i="349"/>
  <c r="N29" i="349"/>
  <c r="M29" i="349"/>
  <c r="J29" i="349"/>
  <c r="G29" i="349"/>
  <c r="U28" i="349"/>
  <c r="R28" i="349"/>
  <c r="N28" i="349"/>
  <c r="M28" i="349"/>
  <c r="J28" i="349"/>
  <c r="G28" i="349"/>
  <c r="W27" i="349"/>
  <c r="U27" i="349"/>
  <c r="T27" i="349"/>
  <c r="R27" i="349"/>
  <c r="P27" i="349"/>
  <c r="N27" i="349"/>
  <c r="M27" i="349"/>
  <c r="J27" i="349"/>
  <c r="W26" i="349"/>
  <c r="U26" i="349"/>
  <c r="T26" i="349"/>
  <c r="R26" i="349"/>
  <c r="P26" i="349"/>
  <c r="N26" i="349"/>
  <c r="W25" i="349"/>
  <c r="U25" i="349"/>
  <c r="T25" i="349"/>
  <c r="R25" i="349"/>
  <c r="P25" i="349"/>
  <c r="N25" i="349"/>
  <c r="M25" i="349"/>
  <c r="J25" i="349"/>
  <c r="G25" i="349"/>
  <c r="W24" i="349"/>
  <c r="U24" i="349"/>
  <c r="T24" i="349"/>
  <c r="R24" i="349"/>
  <c r="P24" i="349"/>
  <c r="N24" i="349"/>
  <c r="M24" i="349"/>
  <c r="J24" i="349"/>
  <c r="G24" i="349"/>
  <c r="W23" i="349"/>
  <c r="U23" i="349"/>
  <c r="T23" i="349"/>
  <c r="R23" i="349"/>
  <c r="P23" i="349"/>
  <c r="N23" i="349"/>
  <c r="M23" i="349"/>
  <c r="J23" i="349"/>
  <c r="W22" i="349"/>
  <c r="U22" i="349"/>
  <c r="T22" i="349"/>
  <c r="R22" i="349"/>
  <c r="P22" i="349"/>
  <c r="N22" i="349"/>
  <c r="M22" i="349"/>
  <c r="J22" i="349"/>
  <c r="G22" i="349"/>
  <c r="W21" i="349"/>
  <c r="U21" i="349"/>
  <c r="T21" i="349"/>
  <c r="R21" i="349"/>
  <c r="P21" i="349"/>
  <c r="N21" i="349"/>
  <c r="M21" i="349"/>
  <c r="J21" i="349"/>
  <c r="W20" i="349"/>
  <c r="U20" i="349"/>
  <c r="T20" i="349"/>
  <c r="R20" i="349"/>
  <c r="P20" i="349"/>
  <c r="N20" i="349"/>
  <c r="W19" i="349"/>
  <c r="U19" i="349"/>
  <c r="T19" i="349"/>
  <c r="R19" i="349"/>
  <c r="P19" i="349"/>
  <c r="N19" i="349"/>
  <c r="W18" i="349"/>
  <c r="U18" i="349"/>
  <c r="T18" i="349"/>
  <c r="R18" i="349"/>
  <c r="P18" i="349"/>
  <c r="N18" i="349"/>
  <c r="M18" i="349"/>
  <c r="J18" i="349"/>
  <c r="W17" i="349"/>
  <c r="U17" i="349"/>
  <c r="T17" i="349"/>
  <c r="R17" i="349"/>
  <c r="P17" i="349"/>
  <c r="N17" i="349"/>
  <c r="M17" i="349"/>
  <c r="J17" i="349"/>
  <c r="G17" i="349"/>
  <c r="W16" i="349"/>
  <c r="U16" i="349"/>
  <c r="T16" i="349"/>
  <c r="R16" i="349"/>
  <c r="P16" i="349"/>
  <c r="N16" i="349"/>
  <c r="M16" i="349"/>
  <c r="J16" i="349"/>
  <c r="G16" i="349"/>
  <c r="W15" i="349"/>
  <c r="U15" i="349"/>
  <c r="T15" i="349"/>
  <c r="R15" i="349"/>
  <c r="P15" i="349"/>
  <c r="N15" i="349"/>
  <c r="M15" i="349"/>
  <c r="J15" i="349"/>
  <c r="G15" i="349"/>
  <c r="W14" i="349"/>
  <c r="U14" i="349"/>
  <c r="T14" i="349"/>
  <c r="R14" i="349"/>
  <c r="P14" i="349"/>
  <c r="N14" i="349"/>
  <c r="M14" i="349"/>
  <c r="J14" i="349"/>
  <c r="G14" i="349"/>
  <c r="W13" i="349"/>
  <c r="U13" i="349"/>
  <c r="T13" i="349"/>
  <c r="R13" i="349"/>
  <c r="P13" i="349"/>
  <c r="N13" i="349"/>
  <c r="M13" i="349"/>
  <c r="J13" i="349"/>
  <c r="G13" i="349"/>
  <c r="W12" i="349"/>
  <c r="U12" i="349"/>
  <c r="T12" i="349"/>
  <c r="R12" i="349"/>
  <c r="P12" i="349"/>
  <c r="N12" i="349"/>
  <c r="M12" i="349"/>
  <c r="J12" i="349"/>
  <c r="G12" i="349"/>
  <c r="W11" i="349"/>
  <c r="U11" i="349"/>
  <c r="T11" i="349"/>
  <c r="R11" i="349"/>
  <c r="P11" i="349"/>
  <c r="N11" i="349"/>
  <c r="W10" i="349"/>
  <c r="U10" i="349"/>
  <c r="T10" i="349"/>
  <c r="R10" i="349"/>
  <c r="P10" i="349"/>
  <c r="N10" i="349"/>
  <c r="M10" i="349"/>
  <c r="J10" i="349"/>
  <c r="J37" i="349" s="1"/>
  <c r="J40" i="349" s="1"/>
  <c r="G10" i="349"/>
  <c r="R16" i="348"/>
  <c r="U82" i="348"/>
  <c r="V82" i="348" s="1"/>
  <c r="S82" i="348"/>
  <c r="P82" i="348"/>
  <c r="N82" i="348"/>
  <c r="M82" i="348"/>
  <c r="H82" i="348"/>
  <c r="U81" i="348"/>
  <c r="V81" i="348" s="1"/>
  <c r="Q81" i="348"/>
  <c r="P81" i="348"/>
  <c r="O81" i="348"/>
  <c r="N81" i="348"/>
  <c r="M81" i="348"/>
  <c r="S80" i="348"/>
  <c r="N80" i="348"/>
  <c r="M80" i="348"/>
  <c r="H80" i="348"/>
  <c r="U79" i="348"/>
  <c r="V79" i="348" s="1"/>
  <c r="S79" i="348"/>
  <c r="N79" i="348"/>
  <c r="M79" i="348"/>
  <c r="H79" i="348"/>
  <c r="S78" i="348"/>
  <c r="N78" i="348"/>
  <c r="M78" i="348"/>
  <c r="H78" i="348"/>
  <c r="S77" i="348"/>
  <c r="N77" i="348"/>
  <c r="M77" i="348"/>
  <c r="H77" i="348"/>
  <c r="S76" i="348"/>
  <c r="N76" i="348"/>
  <c r="M76" i="348"/>
  <c r="H76" i="348"/>
  <c r="S75" i="348"/>
  <c r="N75" i="348"/>
  <c r="M75" i="348"/>
  <c r="H75" i="348"/>
  <c r="S73" i="348"/>
  <c r="N73" i="348"/>
  <c r="M73" i="348"/>
  <c r="H73" i="348"/>
  <c r="S72" i="348"/>
  <c r="N72" i="348"/>
  <c r="M72" i="348"/>
  <c r="H72" i="348"/>
  <c r="S71" i="348"/>
  <c r="N71" i="348"/>
  <c r="M71" i="348"/>
  <c r="H71" i="348"/>
  <c r="S70" i="348"/>
  <c r="N70" i="348"/>
  <c r="M70" i="348"/>
  <c r="H70" i="348"/>
  <c r="U69" i="348"/>
  <c r="V69" i="348" s="1"/>
  <c r="Q69" i="348"/>
  <c r="P69" i="348"/>
  <c r="M69" i="348"/>
  <c r="S68" i="348"/>
  <c r="N68" i="348"/>
  <c r="M68" i="348"/>
  <c r="H68" i="348"/>
  <c r="S66" i="348"/>
  <c r="N66" i="348"/>
  <c r="M66" i="348"/>
  <c r="H66" i="348"/>
  <c r="U65" i="348"/>
  <c r="V65" i="348" s="1"/>
  <c r="Q65" i="348"/>
  <c r="P65" i="348"/>
  <c r="O65" i="348"/>
  <c r="N65" i="348"/>
  <c r="M65" i="348"/>
  <c r="H65" i="348"/>
  <c r="S64" i="348"/>
  <c r="N64" i="348"/>
  <c r="M64" i="348"/>
  <c r="H64" i="348"/>
  <c r="U63" i="348"/>
  <c r="V63" i="348" s="1"/>
  <c r="P63" i="348"/>
  <c r="S63" i="348" s="1"/>
  <c r="S62" i="348"/>
  <c r="N62" i="348"/>
  <c r="M62" i="348"/>
  <c r="H62" i="348"/>
  <c r="S61" i="348"/>
  <c r="N61" i="348"/>
  <c r="M61" i="348"/>
  <c r="H61" i="348"/>
  <c r="U60" i="348"/>
  <c r="V60" i="348" s="1"/>
  <c r="S60" i="348"/>
  <c r="N60" i="348"/>
  <c r="M60" i="348"/>
  <c r="H60" i="348"/>
  <c r="S59" i="348"/>
  <c r="N59" i="348"/>
  <c r="M59" i="348"/>
  <c r="H59" i="348"/>
  <c r="S58" i="348"/>
  <c r="H58" i="348"/>
  <c r="S57" i="348"/>
  <c r="N57" i="348"/>
  <c r="M57" i="348"/>
  <c r="H57" i="348"/>
  <c r="S56" i="348"/>
  <c r="N56" i="348"/>
  <c r="M56" i="348"/>
  <c r="H56" i="348"/>
  <c r="S55" i="348"/>
  <c r="N55" i="348"/>
  <c r="M55" i="348"/>
  <c r="H55" i="348"/>
  <c r="S54" i="348"/>
  <c r="N54" i="348"/>
  <c r="M54" i="348"/>
  <c r="H54" i="348"/>
  <c r="S53" i="348"/>
  <c r="N53" i="348"/>
  <c r="M53" i="348"/>
  <c r="H53" i="348"/>
  <c r="S52" i="348"/>
  <c r="N52" i="348"/>
  <c r="M52" i="348"/>
  <c r="H52" i="348"/>
  <c r="S51" i="348"/>
  <c r="N51" i="348"/>
  <c r="M51" i="348"/>
  <c r="H51" i="348"/>
  <c r="S50" i="348"/>
  <c r="N50" i="348"/>
  <c r="M50" i="348"/>
  <c r="H50" i="348"/>
  <c r="S49" i="348"/>
  <c r="N49" i="348"/>
  <c r="M49" i="348"/>
  <c r="H49" i="348"/>
  <c r="S48" i="348"/>
  <c r="N48" i="348"/>
  <c r="M48" i="348"/>
  <c r="H48" i="348"/>
  <c r="S47" i="348"/>
  <c r="N47" i="348"/>
  <c r="M47" i="348"/>
  <c r="H47" i="348"/>
  <c r="S46" i="348"/>
  <c r="N46" i="348"/>
  <c r="M46" i="348"/>
  <c r="H46" i="348"/>
  <c r="S45" i="348"/>
  <c r="N45" i="348"/>
  <c r="M45" i="348"/>
  <c r="H45" i="348"/>
  <c r="S44" i="348"/>
  <c r="N44" i="348"/>
  <c r="M44" i="348"/>
  <c r="H44" i="348"/>
  <c r="S43" i="348"/>
  <c r="N43" i="348"/>
  <c r="M43" i="348"/>
  <c r="H43" i="348"/>
  <c r="S42" i="348"/>
  <c r="N42" i="348"/>
  <c r="M42" i="348"/>
  <c r="H42" i="348"/>
  <c r="S41" i="348"/>
  <c r="N41" i="348"/>
  <c r="M41" i="348"/>
  <c r="H41" i="348"/>
  <c r="S40" i="348"/>
  <c r="N40" i="348"/>
  <c r="M40" i="348"/>
  <c r="H40" i="348"/>
  <c r="S39" i="348"/>
  <c r="N39" i="348"/>
  <c r="M39" i="348"/>
  <c r="H39" i="348"/>
  <c r="S38" i="348"/>
  <c r="N38" i="348"/>
  <c r="M38" i="348"/>
  <c r="H38" i="348"/>
  <c r="S37" i="348"/>
  <c r="N37" i="348"/>
  <c r="M37" i="348"/>
  <c r="H37" i="348"/>
  <c r="S36" i="348"/>
  <c r="N36" i="348"/>
  <c r="M36" i="348"/>
  <c r="H36" i="348"/>
  <c r="S35" i="348"/>
  <c r="N35" i="348"/>
  <c r="M35" i="348"/>
  <c r="H35" i="348"/>
  <c r="S34" i="348"/>
  <c r="N34" i="348"/>
  <c r="M34" i="348"/>
  <c r="H34" i="348"/>
  <c r="S33" i="348"/>
  <c r="N33" i="348"/>
  <c r="M33" i="348"/>
  <c r="H33" i="348"/>
  <c r="S32" i="348"/>
  <c r="N32" i="348"/>
  <c r="M32" i="348"/>
  <c r="H32" i="348"/>
  <c r="S31" i="348"/>
  <c r="N31" i="348"/>
  <c r="M31" i="348"/>
  <c r="H31" i="348"/>
  <c r="S30" i="348"/>
  <c r="N30" i="348"/>
  <c r="M30" i="348"/>
  <c r="H30" i="348"/>
  <c r="S29" i="348"/>
  <c r="N29" i="348"/>
  <c r="M29" i="348"/>
  <c r="H29" i="348"/>
  <c r="S28" i="348"/>
  <c r="N28" i="348"/>
  <c r="M28" i="348"/>
  <c r="H28" i="348"/>
  <c r="S27" i="348"/>
  <c r="N27" i="348"/>
  <c r="M27" i="348"/>
  <c r="H27" i="348"/>
  <c r="S26" i="348"/>
  <c r="N26" i="348"/>
  <c r="M26" i="348"/>
  <c r="H26" i="348"/>
  <c r="S25" i="348"/>
  <c r="N25" i="348"/>
  <c r="M25" i="348"/>
  <c r="H25" i="348"/>
  <c r="S24" i="348"/>
  <c r="N24" i="348"/>
  <c r="M24" i="348"/>
  <c r="H24" i="348"/>
  <c r="S23" i="348"/>
  <c r="N23" i="348"/>
  <c r="M23" i="348"/>
  <c r="H23" i="348"/>
  <c r="S22" i="348"/>
  <c r="N22" i="348"/>
  <c r="M22" i="348"/>
  <c r="H22" i="348"/>
  <c r="S21" i="348"/>
  <c r="N21" i="348"/>
  <c r="M21" i="348"/>
  <c r="H21" i="348"/>
  <c r="S20" i="348"/>
  <c r="N20" i="348"/>
  <c r="M20" i="348"/>
  <c r="H20" i="348"/>
  <c r="S19" i="348"/>
  <c r="N19" i="348"/>
  <c r="M19" i="348"/>
  <c r="H19" i="348"/>
  <c r="S18" i="348"/>
  <c r="N18" i="348"/>
  <c r="M18" i="348"/>
  <c r="H18" i="348"/>
  <c r="U17" i="348"/>
  <c r="V17" i="348" s="1"/>
  <c r="Q17" i="348"/>
  <c r="P17" i="348"/>
  <c r="O17" i="348"/>
  <c r="N17" i="348"/>
  <c r="M17" i="348"/>
  <c r="H17" i="348"/>
  <c r="U16" i="348"/>
  <c r="V16" i="348" s="1"/>
  <c r="Q16" i="348"/>
  <c r="P16" i="348"/>
  <c r="O16" i="348"/>
  <c r="N16" i="348"/>
  <c r="M16" i="348"/>
  <c r="H16" i="348"/>
  <c r="S15" i="348"/>
  <c r="N15" i="348"/>
  <c r="M15" i="348"/>
  <c r="H15" i="348"/>
  <c r="S14" i="348"/>
  <c r="N14" i="348"/>
  <c r="M14" i="348"/>
  <c r="H14" i="348"/>
  <c r="S13" i="348"/>
  <c r="N13" i="348"/>
  <c r="M13" i="348"/>
  <c r="H13" i="348"/>
  <c r="S12" i="348"/>
  <c r="N12" i="348"/>
  <c r="M12" i="348"/>
  <c r="H12" i="348"/>
  <c r="S11" i="348"/>
  <c r="N11" i="348"/>
  <c r="M11" i="348"/>
  <c r="H11" i="348"/>
  <c r="U10" i="348"/>
  <c r="S10" i="348"/>
  <c r="N10" i="348"/>
  <c r="M10" i="348"/>
  <c r="H10" i="348"/>
  <c r="S9" i="348"/>
  <c r="N9" i="348"/>
  <c r="M9" i="348"/>
  <c r="H9" i="348"/>
  <c r="M37" i="349" l="1"/>
  <c r="M40" i="349" s="1"/>
  <c r="G37" i="349"/>
  <c r="G40" i="349" s="1"/>
  <c r="S11" i="350"/>
  <c r="S17" i="350"/>
  <c r="U17" i="350" s="1"/>
  <c r="W55" i="352"/>
  <c r="E18" i="151"/>
  <c r="W28" i="350"/>
  <c r="S20" i="350"/>
  <c r="U20" i="350" s="1"/>
  <c r="R23" i="350"/>
  <c r="T55" i="352"/>
  <c r="D18" i="151"/>
  <c r="P55" i="352"/>
  <c r="C18" i="151"/>
  <c r="S23" i="350"/>
  <c r="U23" i="350" s="1"/>
  <c r="D28" i="350"/>
  <c r="H28" i="350"/>
  <c r="L28" i="350"/>
  <c r="F28" i="350"/>
  <c r="J28" i="350"/>
  <c r="S14" i="350"/>
  <c r="T14" i="350" s="1"/>
  <c r="T38" i="350" s="1"/>
  <c r="X38" i="350" s="1"/>
  <c r="R20" i="350"/>
  <c r="U11" i="350"/>
  <c r="T11" i="350"/>
  <c r="T25" i="350"/>
  <c r="T12" i="350"/>
  <c r="T13" i="350"/>
  <c r="R14" i="350"/>
  <c r="T18" i="350"/>
  <c r="T19" i="350"/>
  <c r="R25" i="350"/>
  <c r="R11" i="350"/>
  <c r="R17" i="350"/>
  <c r="T21" i="350"/>
  <c r="T22" i="350"/>
  <c r="W37" i="349"/>
  <c r="E16" i="151" s="1"/>
  <c r="T37" i="349"/>
  <c r="P37" i="349"/>
  <c r="C16" i="151" s="1"/>
  <c r="P40" i="349"/>
  <c r="W40" i="349"/>
  <c r="U48" i="349"/>
  <c r="U83" i="348"/>
  <c r="O83" i="348"/>
  <c r="P83" i="348"/>
  <c r="S17" i="348"/>
  <c r="Q83" i="348"/>
  <c r="S81" i="348"/>
  <c r="S16" i="348"/>
  <c r="S69" i="348"/>
  <c r="R83" i="348"/>
  <c r="V10" i="348"/>
  <c r="V83" i="348" s="1"/>
  <c r="S65" i="348"/>
  <c r="S39" i="350" l="1"/>
  <c r="W39" i="350" s="1"/>
  <c r="R89" i="348"/>
  <c r="C13" i="151"/>
  <c r="U89" i="348"/>
  <c r="D13" i="151"/>
  <c r="U46" i="349"/>
  <c r="T17" i="350"/>
  <c r="T39" i="350" s="1"/>
  <c r="X39" i="350" s="1"/>
  <c r="T40" i="349"/>
  <c r="D16" i="151"/>
  <c r="V89" i="348"/>
  <c r="E13" i="151"/>
  <c r="T20" i="350"/>
  <c r="T23" i="350"/>
  <c r="T37" i="350" s="1"/>
  <c r="U37" i="350"/>
  <c r="Y37" i="350" s="1"/>
  <c r="S37" i="350"/>
  <c r="W37" i="350" s="1"/>
  <c r="U25" i="350"/>
  <c r="U14" i="350"/>
  <c r="U38" i="350" s="1"/>
  <c r="Y38" i="350" s="1"/>
  <c r="S28" i="350"/>
  <c r="U28" i="350" s="1"/>
  <c r="S38" i="350"/>
  <c r="W38" i="350" s="1"/>
  <c r="U40" i="350"/>
  <c r="E14" i="151" s="1"/>
  <c r="U39" i="350"/>
  <c r="Y39" i="350" s="1"/>
  <c r="U47" i="349"/>
  <c r="S83" i="348"/>
  <c r="X429" i="347"/>
  <c r="W429" i="347"/>
  <c r="U429" i="347"/>
  <c r="T429" i="347"/>
  <c r="P429" i="347"/>
  <c r="O429" i="347"/>
  <c r="M429" i="347"/>
  <c r="L429" i="347"/>
  <c r="J429" i="347"/>
  <c r="I429" i="347"/>
  <c r="N427" i="347"/>
  <c r="K427" i="347"/>
  <c r="H427" i="347"/>
  <c r="S426" i="347"/>
  <c r="AA416" i="347"/>
  <c r="Z416" i="347"/>
  <c r="R416" i="347"/>
  <c r="H416" i="347"/>
  <c r="AA415" i="347"/>
  <c r="Z415" i="347"/>
  <c r="Y415" i="347"/>
  <c r="Y414" i="347" s="1"/>
  <c r="Y413" i="347" s="1"/>
  <c r="Y412" i="347" s="1"/>
  <c r="V415" i="347"/>
  <c r="V414" i="347" s="1"/>
  <c r="V413" i="347" s="1"/>
  <c r="V412" i="347" s="1"/>
  <c r="R415" i="347"/>
  <c r="H415" i="347"/>
  <c r="Q414" i="347"/>
  <c r="AA414" i="347" s="1"/>
  <c r="N414" i="347"/>
  <c r="N413" i="347" s="1"/>
  <c r="N412" i="347" s="1"/>
  <c r="K414" i="347"/>
  <c r="Q410" i="347"/>
  <c r="R410" i="347" s="1"/>
  <c r="Q409" i="347"/>
  <c r="R409" i="347" s="1"/>
  <c r="Q408" i="347"/>
  <c r="R408" i="347" s="1"/>
  <c r="Q407" i="347"/>
  <c r="R407" i="347" s="1"/>
  <c r="Q406" i="347"/>
  <c r="Q402" i="347"/>
  <c r="R402" i="347" s="1"/>
  <c r="Q401" i="347"/>
  <c r="R401" i="347" s="1"/>
  <c r="Q400" i="347"/>
  <c r="R400" i="347" s="1"/>
  <c r="Q399" i="347"/>
  <c r="R399" i="347" s="1"/>
  <c r="Q398" i="347"/>
  <c r="Y395" i="347"/>
  <c r="V395" i="347"/>
  <c r="R395" i="347"/>
  <c r="Q395" i="347"/>
  <c r="N395" i="347"/>
  <c r="K395" i="347"/>
  <c r="H395" i="347"/>
  <c r="Y394" i="347"/>
  <c r="V394" i="347"/>
  <c r="Q394" i="347"/>
  <c r="Z394" i="347" s="1"/>
  <c r="H394" i="347"/>
  <c r="Y393" i="347"/>
  <c r="V393" i="347"/>
  <c r="Q393" i="347"/>
  <c r="N393" i="347"/>
  <c r="K393" i="347"/>
  <c r="H393" i="347"/>
  <c r="Y392" i="347"/>
  <c r="V392" i="347"/>
  <c r="R392" i="347"/>
  <c r="Q392" i="347"/>
  <c r="N392" i="347"/>
  <c r="K392" i="347"/>
  <c r="H392" i="347"/>
  <c r="R391" i="347"/>
  <c r="N391" i="347"/>
  <c r="K391" i="347"/>
  <c r="H391" i="347"/>
  <c r="R390" i="347"/>
  <c r="N390" i="347"/>
  <c r="K390" i="347"/>
  <c r="AA390" i="347" s="1"/>
  <c r="H390" i="347"/>
  <c r="Y389" i="347"/>
  <c r="V389" i="347"/>
  <c r="Q389" i="347"/>
  <c r="Z389" i="347" s="1"/>
  <c r="N389" i="347"/>
  <c r="K389" i="347"/>
  <c r="H389" i="347"/>
  <c r="AA388" i="347"/>
  <c r="Z388" i="347"/>
  <c r="R388" i="347"/>
  <c r="H388" i="347"/>
  <c r="Y387" i="347"/>
  <c r="V387" i="347"/>
  <c r="Q387" i="347"/>
  <c r="N387" i="347"/>
  <c r="K387" i="347"/>
  <c r="H387" i="347"/>
  <c r="AA385" i="347"/>
  <c r="Z385" i="347"/>
  <c r="R385" i="347"/>
  <c r="R384" i="347"/>
  <c r="N384" i="347"/>
  <c r="K384" i="347"/>
  <c r="Z384" i="347" s="1"/>
  <c r="AA383" i="347"/>
  <c r="Z383" i="347"/>
  <c r="R383" i="347"/>
  <c r="H383" i="347"/>
  <c r="R382" i="347"/>
  <c r="N382" i="347"/>
  <c r="N380" i="347" s="1"/>
  <c r="K382" i="347"/>
  <c r="H382" i="347"/>
  <c r="R381" i="347"/>
  <c r="N381" i="347"/>
  <c r="K381" i="347"/>
  <c r="AA381" i="347" s="1"/>
  <c r="H381" i="347"/>
  <c r="Y380" i="347"/>
  <c r="V380" i="347"/>
  <c r="Q380" i="347"/>
  <c r="R380" i="347" s="1"/>
  <c r="AA378" i="347"/>
  <c r="Z378" i="347"/>
  <c r="Y378" i="347"/>
  <c r="V378" i="347"/>
  <c r="R378" i="347"/>
  <c r="Y377" i="347"/>
  <c r="V377" i="347"/>
  <c r="Q377" i="347"/>
  <c r="R377" i="347" s="1"/>
  <c r="Y374" i="347"/>
  <c r="V374" i="347"/>
  <c r="Q374" i="347"/>
  <c r="N374" i="347"/>
  <c r="K374" i="347"/>
  <c r="H374" i="347"/>
  <c r="Y373" i="347"/>
  <c r="V373" i="347"/>
  <c r="Q373" i="347"/>
  <c r="N373" i="347"/>
  <c r="N371" i="347" s="1"/>
  <c r="K373" i="347"/>
  <c r="H373" i="347"/>
  <c r="Y372" i="347"/>
  <c r="V372" i="347"/>
  <c r="V371" i="347" s="1"/>
  <c r="Q372" i="347"/>
  <c r="R372" i="347" s="1"/>
  <c r="N372" i="347"/>
  <c r="K372" i="347"/>
  <c r="H372" i="347"/>
  <c r="H371" i="347" s="1"/>
  <c r="K371" i="347"/>
  <c r="Y370" i="347"/>
  <c r="V370" i="347"/>
  <c r="Q370" i="347"/>
  <c r="N370" i="347"/>
  <c r="K370" i="347"/>
  <c r="Z370" i="347" s="1"/>
  <c r="H370" i="347"/>
  <c r="Y369" i="347"/>
  <c r="V369" i="347"/>
  <c r="Q369" i="347"/>
  <c r="Z369" i="347" s="1"/>
  <c r="N369" i="347"/>
  <c r="K369" i="347"/>
  <c r="H369" i="347"/>
  <c r="Y367" i="347"/>
  <c r="V367" i="347"/>
  <c r="Q367" i="347"/>
  <c r="AA367" i="347" s="1"/>
  <c r="Y366" i="347"/>
  <c r="V366" i="347"/>
  <c r="Q366" i="347"/>
  <c r="Z366" i="347" s="1"/>
  <c r="R365" i="347"/>
  <c r="N365" i="347"/>
  <c r="K365" i="347"/>
  <c r="Y364" i="347"/>
  <c r="V364" i="347"/>
  <c r="Q364" i="347"/>
  <c r="R364" i="347" s="1"/>
  <c r="N364" i="347"/>
  <c r="K364" i="347"/>
  <c r="H364" i="347"/>
  <c r="Y363" i="347"/>
  <c r="V363" i="347"/>
  <c r="Q363" i="347"/>
  <c r="N363" i="347"/>
  <c r="K363" i="347"/>
  <c r="H363" i="347"/>
  <c r="Y362" i="347"/>
  <c r="V362" i="347"/>
  <c r="Q362" i="347"/>
  <c r="AA362" i="347" s="1"/>
  <c r="N362" i="347"/>
  <c r="K362" i="347"/>
  <c r="H362" i="347"/>
  <c r="Y360" i="347"/>
  <c r="V360" i="347"/>
  <c r="Q360" i="347"/>
  <c r="Q358" i="347" s="1"/>
  <c r="AA358" i="347" s="1"/>
  <c r="AA359" i="347"/>
  <c r="Z359" i="347"/>
  <c r="Y359" i="347"/>
  <c r="V359" i="347"/>
  <c r="R359" i="347"/>
  <c r="AA357" i="347"/>
  <c r="Z357" i="347"/>
  <c r="R357" i="347"/>
  <c r="H357" i="347"/>
  <c r="Y356" i="347"/>
  <c r="Y355" i="347" s="1"/>
  <c r="V356" i="347"/>
  <c r="V355" i="347" s="1"/>
  <c r="Q356" i="347"/>
  <c r="N356" i="347"/>
  <c r="K356" i="347"/>
  <c r="K355" i="347" s="1"/>
  <c r="H356" i="347"/>
  <c r="Q355" i="347"/>
  <c r="N355" i="347"/>
  <c r="R351" i="347"/>
  <c r="N351" i="347"/>
  <c r="K351" i="347"/>
  <c r="AA351" i="347" s="1"/>
  <c r="H351" i="347"/>
  <c r="Y350" i="347"/>
  <c r="Y349" i="347" s="1"/>
  <c r="V350" i="347"/>
  <c r="V349" i="347" s="1"/>
  <c r="R350" i="347"/>
  <c r="Q350" i="347"/>
  <c r="N350" i="347"/>
  <c r="K350" i="347"/>
  <c r="AA350" i="347" s="1"/>
  <c r="H350" i="347"/>
  <c r="H349" i="347" s="1"/>
  <c r="Q349" i="347"/>
  <c r="Z348" i="347"/>
  <c r="Y348" i="347"/>
  <c r="V348" i="347"/>
  <c r="Q348" i="347"/>
  <c r="R347" i="347"/>
  <c r="N347" i="347"/>
  <c r="K347" i="347"/>
  <c r="H347" i="347"/>
  <c r="Y346" i="347"/>
  <c r="Y345" i="347" s="1"/>
  <c r="V346" i="347"/>
  <c r="V345" i="347" s="1"/>
  <c r="Q346" i="347"/>
  <c r="N346" i="347"/>
  <c r="K346" i="347"/>
  <c r="Z346" i="347" s="1"/>
  <c r="H346" i="347"/>
  <c r="Y344" i="347"/>
  <c r="V344" i="347"/>
  <c r="Q344" i="347"/>
  <c r="Z344" i="347" s="1"/>
  <c r="N344" i="347"/>
  <c r="K344" i="347"/>
  <c r="Y343" i="347"/>
  <c r="V343" i="347"/>
  <c r="Q343" i="347"/>
  <c r="R343" i="347" s="1"/>
  <c r="N343" i="347"/>
  <c r="K343" i="347"/>
  <c r="H343" i="347"/>
  <c r="R341" i="347"/>
  <c r="N341" i="347"/>
  <c r="K341" i="347"/>
  <c r="AA341" i="347" s="1"/>
  <c r="H341" i="347"/>
  <c r="Y340" i="347"/>
  <c r="V340" i="347"/>
  <c r="V342" i="347" s="1"/>
  <c r="V338" i="347" s="1"/>
  <c r="Q340" i="347"/>
  <c r="N340" i="347"/>
  <c r="K340" i="347"/>
  <c r="H340" i="347"/>
  <c r="Y339" i="347"/>
  <c r="V339" i="347"/>
  <c r="R339" i="347"/>
  <c r="Q339" i="347"/>
  <c r="Q342" i="347" s="1"/>
  <c r="N339" i="347"/>
  <c r="K339" i="347"/>
  <c r="H339" i="347"/>
  <c r="Y335" i="347"/>
  <c r="V335" i="347"/>
  <c r="Q335" i="347"/>
  <c r="R335" i="347" s="1"/>
  <c r="N335" i="347"/>
  <c r="K335" i="347"/>
  <c r="H335" i="347"/>
  <c r="Y334" i="347"/>
  <c r="V334" i="347"/>
  <c r="Q334" i="347"/>
  <c r="N334" i="347"/>
  <c r="K334" i="347"/>
  <c r="H334" i="347"/>
  <c r="R332" i="347"/>
  <c r="N332" i="347"/>
  <c r="K332" i="347"/>
  <c r="Z332" i="347" s="1"/>
  <c r="H332" i="347"/>
  <c r="Y331" i="347"/>
  <c r="Y329" i="347" s="1"/>
  <c r="V331" i="347"/>
  <c r="V329" i="347" s="1"/>
  <c r="Q331" i="347"/>
  <c r="N331" i="347"/>
  <c r="K331" i="347"/>
  <c r="Z330" i="347"/>
  <c r="R330" i="347"/>
  <c r="N330" i="347"/>
  <c r="K330" i="347"/>
  <c r="AA330" i="347" s="1"/>
  <c r="H330" i="347"/>
  <c r="H329" i="347" s="1"/>
  <c r="Q329" i="347"/>
  <c r="R329" i="347" s="1"/>
  <c r="R328" i="347"/>
  <c r="N328" i="347"/>
  <c r="K328" i="347"/>
  <c r="AA328" i="347" s="1"/>
  <c r="H328" i="347"/>
  <c r="R327" i="347"/>
  <c r="N327" i="347"/>
  <c r="K327" i="347"/>
  <c r="AA327" i="347" s="1"/>
  <c r="H327" i="347"/>
  <c r="Y326" i="347"/>
  <c r="Y324" i="347" s="1"/>
  <c r="V326" i="347"/>
  <c r="V324" i="347" s="1"/>
  <c r="R326" i="347"/>
  <c r="Q326" i="347"/>
  <c r="N326" i="347"/>
  <c r="K326" i="347"/>
  <c r="H326" i="347"/>
  <c r="R325" i="347"/>
  <c r="N325" i="347"/>
  <c r="K325" i="347"/>
  <c r="H325" i="347"/>
  <c r="H324" i="347" s="1"/>
  <c r="Y322" i="347"/>
  <c r="V322" i="347"/>
  <c r="Q322" i="347"/>
  <c r="N322" i="347"/>
  <c r="K322" i="347"/>
  <c r="H322" i="347"/>
  <c r="Y321" i="347"/>
  <c r="V321" i="347"/>
  <c r="Q321" i="347"/>
  <c r="R320" i="347"/>
  <c r="N320" i="347"/>
  <c r="K320" i="347"/>
  <c r="H320" i="347"/>
  <c r="Y319" i="347"/>
  <c r="V319" i="347"/>
  <c r="Q319" i="347"/>
  <c r="R319" i="347" s="1"/>
  <c r="N319" i="347"/>
  <c r="K319" i="347"/>
  <c r="H319" i="347"/>
  <c r="Y315" i="347"/>
  <c r="V315" i="347"/>
  <c r="Q315" i="347"/>
  <c r="N315" i="347"/>
  <c r="K315" i="347"/>
  <c r="H315" i="347"/>
  <c r="Y314" i="347"/>
  <c r="V314" i="347"/>
  <c r="Q314" i="347"/>
  <c r="Q312" i="347" s="1"/>
  <c r="R313" i="347"/>
  <c r="N313" i="347"/>
  <c r="N312" i="347" s="1"/>
  <c r="K313" i="347"/>
  <c r="AA313" i="347" s="1"/>
  <c r="H313" i="347"/>
  <c r="Y312" i="347"/>
  <c r="V312" i="347"/>
  <c r="H312" i="347"/>
  <c r="AA311" i="347"/>
  <c r="Z311" i="347"/>
  <c r="R311" i="347"/>
  <c r="H311" i="347"/>
  <c r="Y310" i="347"/>
  <c r="Y309" i="347" s="1"/>
  <c r="V310" i="347"/>
  <c r="Q310" i="347"/>
  <c r="R310" i="347" s="1"/>
  <c r="N310" i="347"/>
  <c r="N309" i="347" s="1"/>
  <c r="K310" i="347"/>
  <c r="H310" i="347"/>
  <c r="V309" i="347"/>
  <c r="K309" i="347"/>
  <c r="Y307" i="347"/>
  <c r="V307" i="347"/>
  <c r="Q307" i="347"/>
  <c r="AA307" i="347" s="1"/>
  <c r="Y306" i="347"/>
  <c r="V306" i="347"/>
  <c r="Q306" i="347"/>
  <c r="Z306" i="347" s="1"/>
  <c r="Y305" i="347"/>
  <c r="V305" i="347"/>
  <c r="Q305" i="347"/>
  <c r="R305" i="347" s="1"/>
  <c r="N304" i="347"/>
  <c r="K304" i="347"/>
  <c r="H304" i="347"/>
  <c r="Y300" i="347"/>
  <c r="V300" i="347"/>
  <c r="Q300" i="347"/>
  <c r="Z300" i="347" s="1"/>
  <c r="R299" i="347"/>
  <c r="N299" i="347"/>
  <c r="K299" i="347"/>
  <c r="Z299" i="347" s="1"/>
  <c r="H299" i="347"/>
  <c r="R298" i="347"/>
  <c r="N298" i="347"/>
  <c r="K298" i="347"/>
  <c r="H298" i="347"/>
  <c r="Y297" i="347"/>
  <c r="V297" i="347"/>
  <c r="Q297" i="347"/>
  <c r="R297" i="347" s="1"/>
  <c r="N297" i="347"/>
  <c r="K297" i="347"/>
  <c r="H297" i="347"/>
  <c r="Y296" i="347"/>
  <c r="V296" i="347"/>
  <c r="Q296" i="347"/>
  <c r="N296" i="347"/>
  <c r="K296" i="347"/>
  <c r="H296" i="347"/>
  <c r="H301" i="347" s="1"/>
  <c r="H295" i="347" s="1"/>
  <c r="Y294" i="347"/>
  <c r="V294" i="347"/>
  <c r="Q294" i="347"/>
  <c r="R294" i="347" s="1"/>
  <c r="N294" i="347"/>
  <c r="K294" i="347"/>
  <c r="H294" i="347"/>
  <c r="Y293" i="347"/>
  <c r="V293" i="347"/>
  <c r="Q293" i="347"/>
  <c r="Z293" i="347" s="1"/>
  <c r="AA292" i="347"/>
  <c r="Z292" i="347"/>
  <c r="R292" i="347"/>
  <c r="H292" i="347"/>
  <c r="AA291" i="347"/>
  <c r="Z291" i="347"/>
  <c r="R291" i="347"/>
  <c r="H291" i="347"/>
  <c r="AA290" i="347"/>
  <c r="Z290" i="347"/>
  <c r="R290" i="347"/>
  <c r="H290" i="347"/>
  <c r="Y289" i="347"/>
  <c r="Y288" i="347" s="1"/>
  <c r="V289" i="347"/>
  <c r="V288" i="347" s="1"/>
  <c r="Q289" i="347"/>
  <c r="Z289" i="347" s="1"/>
  <c r="N289" i="347"/>
  <c r="N288" i="347" s="1"/>
  <c r="K289" i="347"/>
  <c r="H289" i="347"/>
  <c r="K288" i="347"/>
  <c r="AA287" i="347"/>
  <c r="Z287" i="347"/>
  <c r="R287" i="347"/>
  <c r="Y286" i="347"/>
  <c r="V286" i="347"/>
  <c r="Q286" i="347"/>
  <c r="N286" i="347"/>
  <c r="K286" i="347"/>
  <c r="H286" i="347"/>
  <c r="Y285" i="347"/>
  <c r="V285" i="347"/>
  <c r="R285" i="347"/>
  <c r="Q285" i="347"/>
  <c r="Z285" i="347" s="1"/>
  <c r="Y284" i="347"/>
  <c r="V284" i="347"/>
  <c r="Q284" i="347"/>
  <c r="N284" i="347"/>
  <c r="K284" i="347"/>
  <c r="H284" i="347"/>
  <c r="H283" i="347" s="1"/>
  <c r="V283" i="347"/>
  <c r="Y280" i="347"/>
  <c r="V280" i="347"/>
  <c r="Q280" i="347"/>
  <c r="N280" i="347"/>
  <c r="K280" i="347"/>
  <c r="H280" i="347"/>
  <c r="Y279" i="347"/>
  <c r="V279" i="347"/>
  <c r="Q279" i="347"/>
  <c r="N279" i="347"/>
  <c r="K279" i="347"/>
  <c r="H279" i="347"/>
  <c r="Q277" i="347"/>
  <c r="Q276" i="347"/>
  <c r="Z276" i="347" s="1"/>
  <c r="Q275" i="347"/>
  <c r="Y274" i="347"/>
  <c r="V274" i="347"/>
  <c r="Q274" i="347"/>
  <c r="Z274" i="347" s="1"/>
  <c r="Y273" i="347"/>
  <c r="V273" i="347"/>
  <c r="Q273" i="347"/>
  <c r="Y272" i="347"/>
  <c r="V272" i="347"/>
  <c r="Q272" i="347"/>
  <c r="N272" i="347"/>
  <c r="K272" i="347"/>
  <c r="H272" i="347"/>
  <c r="R271" i="347"/>
  <c r="N271" i="347"/>
  <c r="K271" i="347"/>
  <c r="AA271" i="347" s="1"/>
  <c r="H271" i="347"/>
  <c r="Y270" i="347"/>
  <c r="V270" i="347"/>
  <c r="Q270" i="347"/>
  <c r="R270" i="347" s="1"/>
  <c r="N270" i="347"/>
  <c r="K270" i="347"/>
  <c r="H270" i="347"/>
  <c r="R269" i="347"/>
  <c r="N269" i="347"/>
  <c r="K269" i="347"/>
  <c r="AA269" i="347" s="1"/>
  <c r="H269" i="347"/>
  <c r="Y268" i="347"/>
  <c r="V268" i="347"/>
  <c r="Q268" i="347"/>
  <c r="AA268" i="347" s="1"/>
  <c r="N268" i="347"/>
  <c r="K268" i="347"/>
  <c r="H268" i="347"/>
  <c r="AA267" i="347"/>
  <c r="Y267" i="347"/>
  <c r="V267" i="347"/>
  <c r="Q267" i="347"/>
  <c r="R267" i="347" s="1"/>
  <c r="N267" i="347"/>
  <c r="K267" i="347"/>
  <c r="H267" i="347"/>
  <c r="Y265" i="347"/>
  <c r="V265" i="347"/>
  <c r="Q265" i="347"/>
  <c r="N265" i="347"/>
  <c r="K265" i="347"/>
  <c r="H265" i="347"/>
  <c r="AA264" i="347"/>
  <c r="Z264" i="347"/>
  <c r="R264" i="347"/>
  <c r="R263" i="347"/>
  <c r="N263" i="347"/>
  <c r="K263" i="347"/>
  <c r="AA263" i="347" s="1"/>
  <c r="H263" i="347"/>
  <c r="AA262" i="347"/>
  <c r="Z262" i="347"/>
  <c r="R262" i="347"/>
  <c r="H262" i="347"/>
  <c r="R261" i="347"/>
  <c r="N261" i="347"/>
  <c r="K261" i="347"/>
  <c r="K258" i="347" s="1"/>
  <c r="H261" i="347"/>
  <c r="Y260" i="347"/>
  <c r="Y258" i="347" s="1"/>
  <c r="V260" i="347"/>
  <c r="Q260" i="347"/>
  <c r="Q258" i="347" s="1"/>
  <c r="R258" i="347" s="1"/>
  <c r="N260" i="347"/>
  <c r="K260" i="347"/>
  <c r="R259" i="347"/>
  <c r="N259" i="347"/>
  <c r="N258" i="347" s="1"/>
  <c r="K259" i="347"/>
  <c r="H259" i="347"/>
  <c r="V258" i="347"/>
  <c r="AA257" i="347"/>
  <c r="Z257" i="347"/>
  <c r="R257" i="347"/>
  <c r="H257" i="347"/>
  <c r="R256" i="347"/>
  <c r="N256" i="347"/>
  <c r="K256" i="347"/>
  <c r="AA256" i="347" s="1"/>
  <c r="H256" i="347"/>
  <c r="Y255" i="347"/>
  <c r="Y254" i="347" s="1"/>
  <c r="V255" i="347"/>
  <c r="V254" i="347" s="1"/>
  <c r="Q255" i="347"/>
  <c r="Q254" i="347" s="1"/>
  <c r="N255" i="347"/>
  <c r="K255" i="347"/>
  <c r="K254" i="347" s="1"/>
  <c r="H255" i="347"/>
  <c r="AA251" i="347"/>
  <c r="Z251" i="347"/>
  <c r="R251" i="347"/>
  <c r="AA250" i="347"/>
  <c r="Z250" i="347"/>
  <c r="R250" i="347"/>
  <c r="Y249" i="347"/>
  <c r="V249" i="347"/>
  <c r="Q249" i="347"/>
  <c r="N249" i="347"/>
  <c r="K249" i="347"/>
  <c r="Y248" i="347"/>
  <c r="V248" i="347"/>
  <c r="Q248" i="347"/>
  <c r="Z248" i="347" s="1"/>
  <c r="N248" i="347"/>
  <c r="K248" i="347"/>
  <c r="H248" i="347"/>
  <c r="AA247" i="347"/>
  <c r="Z247" i="347"/>
  <c r="R247" i="347"/>
  <c r="H247" i="347"/>
  <c r="AA246" i="347"/>
  <c r="R246" i="347"/>
  <c r="Q246" i="347"/>
  <c r="Z246" i="347" s="1"/>
  <c r="Z245" i="347"/>
  <c r="Y245" i="347"/>
  <c r="V245" i="347"/>
  <c r="Q245" i="347"/>
  <c r="G245" i="347"/>
  <c r="Y244" i="347"/>
  <c r="V244" i="347"/>
  <c r="Q244" i="347"/>
  <c r="H244" i="347"/>
  <c r="Y243" i="347"/>
  <c r="Y242" i="347" s="1"/>
  <c r="V243" i="347"/>
  <c r="V242" i="347" s="1"/>
  <c r="Q243" i="347"/>
  <c r="AA243" i="347" s="1"/>
  <c r="N242" i="347"/>
  <c r="K242" i="347"/>
  <c r="H242" i="347"/>
  <c r="Y240" i="347"/>
  <c r="V240" i="347"/>
  <c r="R240" i="347"/>
  <c r="Q240" i="347"/>
  <c r="Z240" i="347" s="1"/>
  <c r="Y239" i="347"/>
  <c r="V239" i="347"/>
  <c r="R239" i="347"/>
  <c r="Q239" i="347"/>
  <c r="Z239" i="347" s="1"/>
  <c r="AA238" i="347"/>
  <c r="Y238" i="347"/>
  <c r="V238" i="347"/>
  <c r="Q238" i="347"/>
  <c r="Z237" i="347"/>
  <c r="Y237" i="347"/>
  <c r="V237" i="347"/>
  <c r="Q237" i="347"/>
  <c r="AA236" i="347"/>
  <c r="Y236" i="347"/>
  <c r="V236" i="347"/>
  <c r="Q236" i="347"/>
  <c r="N236" i="347"/>
  <c r="K236" i="347"/>
  <c r="H236" i="347"/>
  <c r="Y235" i="347"/>
  <c r="V235" i="347"/>
  <c r="Q235" i="347"/>
  <c r="AA235" i="347" s="1"/>
  <c r="Z234" i="347"/>
  <c r="R234" i="347"/>
  <c r="N234" i="347"/>
  <c r="K234" i="347"/>
  <c r="AA234" i="347" s="1"/>
  <c r="H234" i="347"/>
  <c r="AA233" i="347"/>
  <c r="Z233" i="347"/>
  <c r="R233" i="347"/>
  <c r="H233" i="347"/>
  <c r="Y232" i="347"/>
  <c r="V232" i="347"/>
  <c r="Q232" i="347"/>
  <c r="N232" i="347"/>
  <c r="K232" i="347"/>
  <c r="H232" i="347"/>
  <c r="Y231" i="347"/>
  <c r="V231" i="347"/>
  <c r="Q231" i="347"/>
  <c r="R231" i="347" s="1"/>
  <c r="N231" i="347"/>
  <c r="K231" i="347"/>
  <c r="H231" i="347"/>
  <c r="AA229" i="347"/>
  <c r="Z229" i="347"/>
  <c r="R229" i="347"/>
  <c r="H229" i="347"/>
  <c r="AA228" i="347"/>
  <c r="Z228" i="347"/>
  <c r="R228" i="347"/>
  <c r="H228" i="347"/>
  <c r="R227" i="347"/>
  <c r="N227" i="347"/>
  <c r="K227" i="347"/>
  <c r="Z227" i="347" s="1"/>
  <c r="H227" i="347"/>
  <c r="AA226" i="347"/>
  <c r="Z226" i="347"/>
  <c r="R226" i="347"/>
  <c r="R225" i="347"/>
  <c r="N225" i="347"/>
  <c r="K225" i="347"/>
  <c r="AA225" i="347" s="1"/>
  <c r="H225" i="347"/>
  <c r="Y224" i="347"/>
  <c r="Y223" i="347" s="1"/>
  <c r="V224" i="347"/>
  <c r="Q224" i="347"/>
  <c r="Q223" i="347" s="1"/>
  <c r="N224" i="347"/>
  <c r="K224" i="347"/>
  <c r="H224" i="347"/>
  <c r="V223" i="347"/>
  <c r="Y222" i="347"/>
  <c r="V222" i="347"/>
  <c r="Q222" i="347"/>
  <c r="N222" i="347"/>
  <c r="K222" i="347"/>
  <c r="AA222" i="347" s="1"/>
  <c r="Y221" i="347"/>
  <c r="V221" i="347"/>
  <c r="R221" i="347"/>
  <c r="Q221" i="347"/>
  <c r="Z221" i="347" s="1"/>
  <c r="Y220" i="347"/>
  <c r="V220" i="347"/>
  <c r="Q220" i="347"/>
  <c r="Y219" i="347"/>
  <c r="V219" i="347"/>
  <c r="V215" i="347" s="1"/>
  <c r="Q219" i="347"/>
  <c r="Z219" i="347" s="1"/>
  <c r="R218" i="347"/>
  <c r="N218" i="347"/>
  <c r="K218" i="347"/>
  <c r="AA217" i="347"/>
  <c r="Z217" i="347"/>
  <c r="R217" i="347"/>
  <c r="R216" i="347"/>
  <c r="N216" i="347"/>
  <c r="N215" i="347" s="1"/>
  <c r="K216" i="347"/>
  <c r="AA216" i="347" s="1"/>
  <c r="Y212" i="347"/>
  <c r="Y210" i="347" s="1"/>
  <c r="V212" i="347"/>
  <c r="V210" i="347" s="1"/>
  <c r="Q212" i="347"/>
  <c r="Q210" i="347" s="1"/>
  <c r="N212" i="347"/>
  <c r="K212" i="347"/>
  <c r="K210" i="347" s="1"/>
  <c r="AA210" i="347" s="1"/>
  <c r="H212" i="347"/>
  <c r="AA211" i="347"/>
  <c r="Z211" i="347"/>
  <c r="R211" i="347"/>
  <c r="H211" i="347"/>
  <c r="N210" i="347"/>
  <c r="H210" i="347"/>
  <c r="Y209" i="347"/>
  <c r="V209" i="347"/>
  <c r="Q209" i="347"/>
  <c r="N209" i="347"/>
  <c r="K209" i="347"/>
  <c r="H209" i="347"/>
  <c r="AA208" i="347"/>
  <c r="Z208" i="347"/>
  <c r="R208" i="347"/>
  <c r="AA207" i="347"/>
  <c r="Z207" i="347"/>
  <c r="R207" i="347"/>
  <c r="AA206" i="347"/>
  <c r="Z206" i="347"/>
  <c r="R206" i="347"/>
  <c r="Y205" i="347"/>
  <c r="Y203" i="347" s="1"/>
  <c r="V205" i="347"/>
  <c r="Q205" i="347"/>
  <c r="N205" i="347"/>
  <c r="K205" i="347"/>
  <c r="R204" i="347"/>
  <c r="N204" i="347"/>
  <c r="K204" i="347"/>
  <c r="H204" i="347"/>
  <c r="H203" i="347" s="1"/>
  <c r="V203" i="347"/>
  <c r="Y202" i="347"/>
  <c r="Y201" i="347" s="1"/>
  <c r="V202" i="347"/>
  <c r="V201" i="347" s="1"/>
  <c r="Q202" i="347"/>
  <c r="N202" i="347"/>
  <c r="N201" i="347" s="1"/>
  <c r="K202" i="347"/>
  <c r="K201" i="347" s="1"/>
  <c r="H202" i="347"/>
  <c r="H201" i="347" s="1"/>
  <c r="Y199" i="347"/>
  <c r="V199" i="347"/>
  <c r="Q199" i="347"/>
  <c r="Z199" i="347" s="1"/>
  <c r="AA198" i="347"/>
  <c r="Z198" i="347"/>
  <c r="R198" i="347"/>
  <c r="H198" i="347"/>
  <c r="AA197" i="347"/>
  <c r="Z197" i="347"/>
  <c r="R197" i="347"/>
  <c r="Y196" i="347"/>
  <c r="V196" i="347"/>
  <c r="Q196" i="347"/>
  <c r="Z196" i="347" s="1"/>
  <c r="N196" i="347"/>
  <c r="K196" i="347"/>
  <c r="H196" i="347"/>
  <c r="Y195" i="347"/>
  <c r="V195" i="347"/>
  <c r="Q195" i="347"/>
  <c r="N195" i="347"/>
  <c r="K195" i="347"/>
  <c r="H195" i="347"/>
  <c r="R194" i="347"/>
  <c r="N194" i="347"/>
  <c r="K194" i="347"/>
  <c r="H194" i="347"/>
  <c r="Y193" i="347"/>
  <c r="V193" i="347"/>
  <c r="R193" i="347"/>
  <c r="Q193" i="347"/>
  <c r="N193" i="347"/>
  <c r="K193" i="347"/>
  <c r="H193" i="347"/>
  <c r="Y189" i="347"/>
  <c r="Y188" i="347" s="1"/>
  <c r="V189" i="347"/>
  <c r="V188" i="347" s="1"/>
  <c r="Q189" i="347"/>
  <c r="N189" i="347"/>
  <c r="N188" i="347" s="1"/>
  <c r="K189" i="347"/>
  <c r="H189" i="347"/>
  <c r="H188" i="347" s="1"/>
  <c r="K188" i="347"/>
  <c r="Y187" i="347"/>
  <c r="Y185" i="347" s="1"/>
  <c r="Y182" i="347" s="1"/>
  <c r="Y181" i="347" s="1"/>
  <c r="V187" i="347"/>
  <c r="V185" i="347" s="1"/>
  <c r="Q187" i="347"/>
  <c r="R187" i="347" s="1"/>
  <c r="R186" i="347"/>
  <c r="N186" i="347"/>
  <c r="K186" i="347"/>
  <c r="Z186" i="347" s="1"/>
  <c r="H186" i="347"/>
  <c r="N185" i="347"/>
  <c r="H185" i="347"/>
  <c r="R184" i="347"/>
  <c r="N184" i="347"/>
  <c r="N183" i="347" s="1"/>
  <c r="K184" i="347"/>
  <c r="R183" i="347"/>
  <c r="Y180" i="347"/>
  <c r="V180" i="347"/>
  <c r="Q180" i="347"/>
  <c r="N180" i="347"/>
  <c r="K180" i="347"/>
  <c r="H180" i="347"/>
  <c r="Y179" i="347"/>
  <c r="V179" i="347"/>
  <c r="Q179" i="347"/>
  <c r="N179" i="347"/>
  <c r="K179" i="347"/>
  <c r="H179" i="347"/>
  <c r="Y177" i="347"/>
  <c r="V177" i="347"/>
  <c r="Q177" i="347"/>
  <c r="R177" i="347" s="1"/>
  <c r="Y176" i="347"/>
  <c r="V176" i="347"/>
  <c r="Q176" i="347"/>
  <c r="R176" i="347" s="1"/>
  <c r="Y175" i="347"/>
  <c r="V175" i="347"/>
  <c r="Q175" i="347"/>
  <c r="R175" i="347" s="1"/>
  <c r="Y174" i="347"/>
  <c r="V174" i="347"/>
  <c r="Q174" i="347"/>
  <c r="R174" i="347" s="1"/>
  <c r="AA173" i="347"/>
  <c r="Z173" i="347"/>
  <c r="R173" i="347"/>
  <c r="H173" i="347"/>
  <c r="Y172" i="347"/>
  <c r="V172" i="347"/>
  <c r="Q172" i="347"/>
  <c r="R172" i="347" s="1"/>
  <c r="N172" i="347"/>
  <c r="K172" i="347"/>
  <c r="H172" i="347"/>
  <c r="Y171" i="347"/>
  <c r="V171" i="347"/>
  <c r="Q171" i="347"/>
  <c r="N171" i="347"/>
  <c r="K171" i="347"/>
  <c r="H171" i="347"/>
  <c r="Y170" i="347"/>
  <c r="V170" i="347"/>
  <c r="Q170" i="347"/>
  <c r="N170" i="347"/>
  <c r="K170" i="347"/>
  <c r="H170" i="347"/>
  <c r="AA168" i="347"/>
  <c r="Y168" i="347"/>
  <c r="V168" i="347"/>
  <c r="Q168" i="347"/>
  <c r="N168" i="347"/>
  <c r="N166" i="347" s="1"/>
  <c r="K168" i="347"/>
  <c r="H168" i="347"/>
  <c r="Y167" i="347"/>
  <c r="V167" i="347"/>
  <c r="Q167" i="347"/>
  <c r="N167" i="347"/>
  <c r="K167" i="347"/>
  <c r="H167" i="347"/>
  <c r="Q166" i="347"/>
  <c r="R166" i="347" s="1"/>
  <c r="R165" i="347"/>
  <c r="N165" i="347"/>
  <c r="N163" i="347" s="1"/>
  <c r="K165" i="347"/>
  <c r="AA165" i="347" s="1"/>
  <c r="H165" i="347"/>
  <c r="Y164" i="347"/>
  <c r="V164" i="347"/>
  <c r="V163" i="347" s="1"/>
  <c r="Q164" i="347"/>
  <c r="N164" i="347"/>
  <c r="K164" i="347"/>
  <c r="H164" i="347"/>
  <c r="Y163" i="347"/>
  <c r="R162" i="347"/>
  <c r="N162" i="347"/>
  <c r="N159" i="347" s="1"/>
  <c r="K162" i="347"/>
  <c r="K159" i="347" s="1"/>
  <c r="H162" i="347"/>
  <c r="H159" i="347" s="1"/>
  <c r="AA161" i="347"/>
  <c r="Z161" i="347"/>
  <c r="R161" i="347"/>
  <c r="Y160" i="347"/>
  <c r="V160" i="347"/>
  <c r="V159" i="347" s="1"/>
  <c r="Q160" i="347"/>
  <c r="AA160" i="347" s="1"/>
  <c r="Y159" i="347"/>
  <c r="Y156" i="347"/>
  <c r="V156" i="347"/>
  <c r="R156" i="347"/>
  <c r="Q156" i="347"/>
  <c r="N156" i="347"/>
  <c r="K156" i="347"/>
  <c r="H156" i="347"/>
  <c r="Y155" i="347"/>
  <c r="V155" i="347"/>
  <c r="Q155" i="347"/>
  <c r="R155" i="347" s="1"/>
  <c r="N155" i="347"/>
  <c r="K155" i="347"/>
  <c r="Y154" i="347"/>
  <c r="V154" i="347"/>
  <c r="Q154" i="347"/>
  <c r="N154" i="347"/>
  <c r="K154" i="347"/>
  <c r="H154" i="347"/>
  <c r="Y152" i="347"/>
  <c r="Y153" i="347" s="1"/>
  <c r="V152" i="347"/>
  <c r="V153" i="347" s="1"/>
  <c r="Q152" i="347"/>
  <c r="AA152" i="347" s="1"/>
  <c r="Y151" i="347"/>
  <c r="V151" i="347"/>
  <c r="Q151" i="347"/>
  <c r="Z151" i="347" s="1"/>
  <c r="Y150" i="347"/>
  <c r="V150" i="347"/>
  <c r="Q150" i="347"/>
  <c r="AA150" i="347" s="1"/>
  <c r="Z149" i="347"/>
  <c r="Y149" i="347"/>
  <c r="V149" i="347"/>
  <c r="Q149" i="347"/>
  <c r="S146" i="347"/>
  <c r="Q145" i="347"/>
  <c r="AA145" i="347" s="1"/>
  <c r="AA143" i="347"/>
  <c r="Z143" i="347"/>
  <c r="S143" i="347"/>
  <c r="Q142" i="347"/>
  <c r="Q141" i="347"/>
  <c r="Z141" i="347" s="1"/>
  <c r="Q139" i="347"/>
  <c r="S139" i="347" s="1"/>
  <c r="Q138" i="347"/>
  <c r="S138" i="347" s="1"/>
  <c r="Q137" i="347"/>
  <c r="Z137" i="347" s="1"/>
  <c r="AA136" i="347"/>
  <c r="S136" i="347"/>
  <c r="Q136" i="347"/>
  <c r="R134" i="347"/>
  <c r="Q133" i="347"/>
  <c r="AA133" i="347" s="1"/>
  <c r="Z132" i="347"/>
  <c r="Q132" i="347"/>
  <c r="AA132" i="347" s="1"/>
  <c r="Z131" i="347"/>
  <c r="Q131" i="347"/>
  <c r="AA131" i="347" s="1"/>
  <c r="Q130" i="347"/>
  <c r="AA130" i="347" s="1"/>
  <c r="Q129" i="347"/>
  <c r="AA129" i="347" s="1"/>
  <c r="Q128" i="347"/>
  <c r="AA128" i="347" s="1"/>
  <c r="Q127" i="347"/>
  <c r="Y126" i="347"/>
  <c r="V126" i="347"/>
  <c r="AA125" i="347"/>
  <c r="Z125" i="347"/>
  <c r="S125" i="347"/>
  <c r="S427" i="347" s="1"/>
  <c r="Y124" i="347"/>
  <c r="V124" i="347"/>
  <c r="Q124" i="347"/>
  <c r="AA124" i="347" s="1"/>
  <c r="AA123" i="347"/>
  <c r="Q123" i="347"/>
  <c r="Q122" i="347"/>
  <c r="Z122" i="347" s="1"/>
  <c r="N122" i="347"/>
  <c r="K122" i="347"/>
  <c r="Y121" i="347"/>
  <c r="Y120" i="347" s="1"/>
  <c r="V121" i="347"/>
  <c r="V120" i="347" s="1"/>
  <c r="N121" i="347"/>
  <c r="N120" i="347" s="1"/>
  <c r="K121" i="347"/>
  <c r="K120" i="347" s="1"/>
  <c r="H121" i="347"/>
  <c r="H120" i="347" s="1"/>
  <c r="Y119" i="347"/>
  <c r="V119" i="347"/>
  <c r="Q119" i="347"/>
  <c r="N119" i="347"/>
  <c r="K119" i="347"/>
  <c r="H119" i="347"/>
  <c r="Q118" i="347"/>
  <c r="S118" i="347" s="1"/>
  <c r="S421" i="347" s="1"/>
  <c r="N118" i="347"/>
  <c r="K118" i="347"/>
  <c r="H118" i="347"/>
  <c r="Y117" i="347"/>
  <c r="V117" i="347"/>
  <c r="Q117" i="347"/>
  <c r="N117" i="347"/>
  <c r="K117" i="347"/>
  <c r="K115" i="347" s="1"/>
  <c r="H117" i="347"/>
  <c r="Y116" i="347"/>
  <c r="V116" i="347"/>
  <c r="Q116" i="347"/>
  <c r="N116" i="347"/>
  <c r="K116" i="347"/>
  <c r="H116" i="347"/>
  <c r="R115" i="347"/>
  <c r="Y114" i="347"/>
  <c r="V114" i="347"/>
  <c r="Q114" i="347"/>
  <c r="N114" i="347"/>
  <c r="K114" i="347"/>
  <c r="H114" i="347"/>
  <c r="Y112" i="347"/>
  <c r="V112" i="347"/>
  <c r="S112" i="347"/>
  <c r="N112" i="347"/>
  <c r="K112" i="347"/>
  <c r="Z112" i="347" s="1"/>
  <c r="H112" i="347"/>
  <c r="Y111" i="347"/>
  <c r="V111" i="347"/>
  <c r="Q111" i="347"/>
  <c r="Z111" i="347" s="1"/>
  <c r="Y110" i="347"/>
  <c r="V110" i="347"/>
  <c r="Q110" i="347"/>
  <c r="AA110" i="347" s="1"/>
  <c r="Y109" i="347"/>
  <c r="V109" i="347"/>
  <c r="Q109" i="347"/>
  <c r="Z109" i="347" s="1"/>
  <c r="Y108" i="347"/>
  <c r="V108" i="347"/>
  <c r="Q108" i="347"/>
  <c r="Z108" i="347" s="1"/>
  <c r="Y107" i="347"/>
  <c r="V107" i="347"/>
  <c r="Q107" i="347"/>
  <c r="N107" i="347"/>
  <c r="K107" i="347"/>
  <c r="R107" i="347" s="1"/>
  <c r="H107" i="347"/>
  <c r="Y106" i="347"/>
  <c r="V106" i="347"/>
  <c r="Q106" i="347"/>
  <c r="N106" i="347"/>
  <c r="K106" i="347"/>
  <c r="R106" i="347" s="1"/>
  <c r="H106" i="347"/>
  <c r="Y105" i="347"/>
  <c r="V105" i="347"/>
  <c r="Q105" i="347"/>
  <c r="Z105" i="347" s="1"/>
  <c r="N105" i="347"/>
  <c r="K105" i="347"/>
  <c r="R105" i="347" s="1"/>
  <c r="H105" i="347"/>
  <c r="H113" i="347" s="1"/>
  <c r="H104" i="347" s="1"/>
  <c r="Y102" i="347"/>
  <c r="Y98" i="347" s="1"/>
  <c r="V102" i="347"/>
  <c r="R102" i="347"/>
  <c r="R98" i="347" s="1"/>
  <c r="Q102" i="347"/>
  <c r="K102" i="347"/>
  <c r="H102" i="347"/>
  <c r="AA101" i="347"/>
  <c r="Q101" i="347"/>
  <c r="S101" i="347" s="1"/>
  <c r="Q100" i="347"/>
  <c r="N99" i="347"/>
  <c r="N98" i="347" s="1"/>
  <c r="K99" i="347"/>
  <c r="AA99" i="347" s="1"/>
  <c r="H99" i="347"/>
  <c r="V98" i="347"/>
  <c r="K98" i="347"/>
  <c r="Y97" i="347"/>
  <c r="V97" i="347"/>
  <c r="Q97" i="347"/>
  <c r="N97" i="347"/>
  <c r="K97" i="347"/>
  <c r="H97" i="347"/>
  <c r="Y96" i="347"/>
  <c r="V96" i="347"/>
  <c r="Q96" i="347"/>
  <c r="N96" i="347"/>
  <c r="K96" i="347"/>
  <c r="H96" i="347"/>
  <c r="N95" i="347"/>
  <c r="K95" i="347"/>
  <c r="Z95" i="347" s="1"/>
  <c r="H95" i="347"/>
  <c r="Y94" i="347"/>
  <c r="V94" i="347"/>
  <c r="Q94" i="347"/>
  <c r="N94" i="347"/>
  <c r="K94" i="347"/>
  <c r="H94" i="347"/>
  <c r="Y93" i="347"/>
  <c r="V93" i="347"/>
  <c r="Q93" i="347"/>
  <c r="S93" i="347" s="1"/>
  <c r="Y92" i="347"/>
  <c r="V92" i="347"/>
  <c r="Q92" i="347"/>
  <c r="Z92" i="347" s="1"/>
  <c r="N92" i="347"/>
  <c r="K92" i="347"/>
  <c r="H92" i="347"/>
  <c r="H91" i="347" s="1"/>
  <c r="R91" i="347"/>
  <c r="K91" i="347"/>
  <c r="S90" i="347"/>
  <c r="S86" i="347" s="1"/>
  <c r="Y89" i="347"/>
  <c r="V89" i="347"/>
  <c r="Q89" i="347"/>
  <c r="N89" i="347"/>
  <c r="K89" i="347"/>
  <c r="H89" i="347"/>
  <c r="Y88" i="347"/>
  <c r="V88" i="347"/>
  <c r="Q88" i="347"/>
  <c r="Z88" i="347" s="1"/>
  <c r="Y87" i="347"/>
  <c r="V87" i="347"/>
  <c r="V90" i="347" s="1"/>
  <c r="Q87" i="347"/>
  <c r="AA87" i="347" s="1"/>
  <c r="N87" i="347"/>
  <c r="N90" i="347" s="1"/>
  <c r="K87" i="347"/>
  <c r="H87" i="347"/>
  <c r="Y84" i="347"/>
  <c r="Y83" i="347" s="1"/>
  <c r="V84" i="347"/>
  <c r="R84" i="347"/>
  <c r="Q84" i="347"/>
  <c r="N84" i="347"/>
  <c r="K84" i="347"/>
  <c r="K83" i="347" s="1"/>
  <c r="H84" i="347"/>
  <c r="H83" i="347" s="1"/>
  <c r="V83" i="347"/>
  <c r="N83" i="347"/>
  <c r="Y82" i="347"/>
  <c r="Y81" i="347" s="1"/>
  <c r="V82" i="347"/>
  <c r="V81" i="347" s="1"/>
  <c r="Q82" i="347"/>
  <c r="N82" i="347"/>
  <c r="N81" i="347" s="1"/>
  <c r="K82" i="347"/>
  <c r="K81" i="347" s="1"/>
  <c r="H82" i="347"/>
  <c r="H81" i="347" s="1"/>
  <c r="Q81" i="347"/>
  <c r="R81" i="347" s="1"/>
  <c r="Y80" i="347"/>
  <c r="V80" i="347"/>
  <c r="Q80" i="347"/>
  <c r="R80" i="347" s="1"/>
  <c r="N80" i="347"/>
  <c r="N75" i="347" s="1"/>
  <c r="K80" i="347"/>
  <c r="H80" i="347"/>
  <c r="Y79" i="347"/>
  <c r="Y76" i="347" s="1"/>
  <c r="Y75" i="347" s="1"/>
  <c r="Q78" i="347"/>
  <c r="R78" i="347" s="1"/>
  <c r="Y77" i="347"/>
  <c r="V77" i="347"/>
  <c r="Q77" i="347"/>
  <c r="S75" i="347"/>
  <c r="R72" i="347"/>
  <c r="N72" i="347"/>
  <c r="K72" i="347"/>
  <c r="Z72" i="347" s="1"/>
  <c r="H72" i="347"/>
  <c r="Y71" i="347"/>
  <c r="Y427" i="347" s="1"/>
  <c r="V71" i="347"/>
  <c r="V427" i="347" s="1"/>
  <c r="Q71" i="347"/>
  <c r="Q427" i="347" s="1"/>
  <c r="Y70" i="347"/>
  <c r="V70" i="347"/>
  <c r="Q70" i="347"/>
  <c r="AA70" i="347" s="1"/>
  <c r="Y69" i="347"/>
  <c r="V69" i="347"/>
  <c r="Q69" i="347"/>
  <c r="N69" i="347"/>
  <c r="N68" i="347" s="1"/>
  <c r="K69" i="347"/>
  <c r="H69" i="347"/>
  <c r="H68" i="347" s="1"/>
  <c r="Y68" i="347"/>
  <c r="K68" i="347"/>
  <c r="R67" i="347"/>
  <c r="N67" i="347"/>
  <c r="K67" i="347"/>
  <c r="AA67" i="347" s="1"/>
  <c r="H67" i="347"/>
  <c r="R66" i="347"/>
  <c r="N66" i="347"/>
  <c r="N65" i="347" s="1"/>
  <c r="K66" i="347"/>
  <c r="Z66" i="347" s="1"/>
  <c r="H66" i="347"/>
  <c r="R65" i="347"/>
  <c r="K65" i="347"/>
  <c r="AA64" i="347"/>
  <c r="Z64" i="347"/>
  <c r="R64" i="347"/>
  <c r="R63" i="347"/>
  <c r="N63" i="347"/>
  <c r="K63" i="347"/>
  <c r="Z63" i="347" s="1"/>
  <c r="H63" i="347"/>
  <c r="Y62" i="347"/>
  <c r="V62" i="347"/>
  <c r="Q62" i="347"/>
  <c r="N62" i="347"/>
  <c r="K62" i="347"/>
  <c r="H62" i="347"/>
  <c r="Y61" i="347"/>
  <c r="V61" i="347"/>
  <c r="Q61" i="347"/>
  <c r="N61" i="347"/>
  <c r="K61" i="347"/>
  <c r="H61" i="347"/>
  <c r="Z58" i="347"/>
  <c r="Y58" i="347"/>
  <c r="V58" i="347"/>
  <c r="Q58" i="347"/>
  <c r="N58" i="347"/>
  <c r="K58" i="347"/>
  <c r="H58" i="347"/>
  <c r="R57" i="347"/>
  <c r="N57" i="347"/>
  <c r="K57" i="347"/>
  <c r="AA57" i="347" s="1"/>
  <c r="H57" i="347"/>
  <c r="R56" i="347"/>
  <c r="N56" i="347"/>
  <c r="K56" i="347"/>
  <c r="Z56" i="347" s="1"/>
  <c r="H56" i="347"/>
  <c r="Y55" i="347"/>
  <c r="V55" i="347"/>
  <c r="Q55" i="347"/>
  <c r="N55" i="347"/>
  <c r="K55" i="347"/>
  <c r="H55" i="347"/>
  <c r="Y54" i="347"/>
  <c r="V54" i="347"/>
  <c r="Q54" i="347"/>
  <c r="N54" i="347"/>
  <c r="K54" i="347"/>
  <c r="H54" i="347"/>
  <c r="Y49" i="347"/>
  <c r="V49" i="347"/>
  <c r="Q49" i="347"/>
  <c r="K49" i="347"/>
  <c r="H49" i="347"/>
  <c r="R48" i="347"/>
  <c r="K48" i="347"/>
  <c r="AA48" i="347" s="1"/>
  <c r="H48" i="347"/>
  <c r="Y47" i="347"/>
  <c r="V47" i="347"/>
  <c r="V50" i="347" s="1"/>
  <c r="Q47" i="347"/>
  <c r="K47" i="347"/>
  <c r="H47" i="347"/>
  <c r="AA45" i="347"/>
  <c r="R45" i="347"/>
  <c r="K45" i="347"/>
  <c r="Z45" i="347" s="1"/>
  <c r="H45" i="347"/>
  <c r="H44" i="347" s="1"/>
  <c r="Z44" i="347"/>
  <c r="R44" i="347"/>
  <c r="K44" i="347"/>
  <c r="AA44" i="347" s="1"/>
  <c r="Y43" i="347"/>
  <c r="V43" i="347"/>
  <c r="Q43" i="347"/>
  <c r="K43" i="347"/>
  <c r="H43" i="347"/>
  <c r="AA42" i="347"/>
  <c r="Z42" i="347"/>
  <c r="R42" i="347"/>
  <c r="H42" i="347"/>
  <c r="AA41" i="347"/>
  <c r="Z41" i="347"/>
  <c r="R41" i="347"/>
  <c r="H41" i="347"/>
  <c r="Y40" i="347"/>
  <c r="Y38" i="347" s="1"/>
  <c r="V40" i="347"/>
  <c r="V38" i="347" s="1"/>
  <c r="Q40" i="347"/>
  <c r="K40" i="347"/>
  <c r="H40" i="347"/>
  <c r="AA39" i="347"/>
  <c r="Z39" i="347"/>
  <c r="R39" i="347"/>
  <c r="H39" i="347"/>
  <c r="H38" i="347" s="1"/>
  <c r="Q38" i="347"/>
  <c r="Z38" i="347" s="1"/>
  <c r="K38" i="347"/>
  <c r="Y37" i="347"/>
  <c r="V37" i="347"/>
  <c r="Q37" i="347"/>
  <c r="K37" i="347"/>
  <c r="H37" i="347"/>
  <c r="R36" i="347"/>
  <c r="K36" i="347"/>
  <c r="AA36" i="347" s="1"/>
  <c r="H36" i="347"/>
  <c r="Y35" i="347"/>
  <c r="V35" i="347"/>
  <c r="Q35" i="347"/>
  <c r="R35" i="347" s="1"/>
  <c r="K35" i="347"/>
  <c r="H35" i="347"/>
  <c r="N33" i="347"/>
  <c r="N32" i="347" s="1"/>
  <c r="Y30" i="347"/>
  <c r="V30" i="347"/>
  <c r="Q30" i="347"/>
  <c r="R30" i="347" s="1"/>
  <c r="N30" i="347"/>
  <c r="K30" i="347"/>
  <c r="H30" i="347"/>
  <c r="Y29" i="347"/>
  <c r="V29" i="347"/>
  <c r="R29" i="347"/>
  <c r="Q29" i="347"/>
  <c r="Z29" i="347" s="1"/>
  <c r="R28" i="347"/>
  <c r="N28" i="347"/>
  <c r="K28" i="347"/>
  <c r="H28" i="347"/>
  <c r="Y27" i="347"/>
  <c r="V27" i="347"/>
  <c r="Q27" i="347"/>
  <c r="AA27" i="347" s="1"/>
  <c r="N27" i="347"/>
  <c r="K27" i="347"/>
  <c r="H27" i="347"/>
  <c r="Z25" i="347"/>
  <c r="Y25" i="347"/>
  <c r="Y24" i="347" s="1"/>
  <c r="V25" i="347"/>
  <c r="V24" i="347" s="1"/>
  <c r="Q25" i="347"/>
  <c r="Q24" i="347" s="1"/>
  <c r="N24" i="347"/>
  <c r="K24" i="347"/>
  <c r="H24" i="347"/>
  <c r="R23" i="347"/>
  <c r="N23" i="347"/>
  <c r="K23" i="347"/>
  <c r="Z23" i="347" s="1"/>
  <c r="H23" i="347"/>
  <c r="AA22" i="347"/>
  <c r="Z22" i="347"/>
  <c r="R22" i="347"/>
  <c r="H22" i="347"/>
  <c r="Y21" i="347"/>
  <c r="V21" i="347"/>
  <c r="Q21" i="347"/>
  <c r="N21" i="347"/>
  <c r="K21" i="347"/>
  <c r="H21" i="347"/>
  <c r="Y20" i="347"/>
  <c r="V20" i="347"/>
  <c r="Q20" i="347"/>
  <c r="N20" i="347"/>
  <c r="K20" i="347"/>
  <c r="H20" i="347"/>
  <c r="R19" i="347"/>
  <c r="N19" i="347"/>
  <c r="K19" i="347"/>
  <c r="H19" i="347"/>
  <c r="Z18" i="347"/>
  <c r="R18" i="347"/>
  <c r="N18" i="347"/>
  <c r="K18" i="347"/>
  <c r="AA18" i="347" s="1"/>
  <c r="H18" i="347"/>
  <c r="W17" i="347"/>
  <c r="Y17" i="347" s="1"/>
  <c r="Y16" i="347" s="1"/>
  <c r="V17" i="347"/>
  <c r="V16" i="347" s="1"/>
  <c r="T17" i="347"/>
  <c r="Q17" i="347"/>
  <c r="Z17" i="347" s="1"/>
  <c r="N17" i="347"/>
  <c r="K17" i="347"/>
  <c r="K16" i="347" s="1"/>
  <c r="H17" i="347"/>
  <c r="Q16" i="347"/>
  <c r="R16" i="347" s="1"/>
  <c r="R15" i="347"/>
  <c r="N15" i="347"/>
  <c r="K15" i="347"/>
  <c r="AA15" i="347" s="1"/>
  <c r="H15" i="347"/>
  <c r="Y14" i="347"/>
  <c r="Y12" i="347" s="1"/>
  <c r="V14" i="347"/>
  <c r="V12" i="347" s="1"/>
  <c r="Q14" i="347"/>
  <c r="AA14" i="347" s="1"/>
  <c r="N14" i="347"/>
  <c r="K14" i="347"/>
  <c r="AA13" i="347"/>
  <c r="Z13" i="347"/>
  <c r="R13" i="347"/>
  <c r="H13" i="347"/>
  <c r="Q12" i="347"/>
  <c r="H12" i="347" l="1"/>
  <c r="Q34" i="347"/>
  <c r="Z34" i="347" s="1"/>
  <c r="AA43" i="347"/>
  <c r="V86" i="347"/>
  <c r="Z102" i="347"/>
  <c r="AA102" i="347"/>
  <c r="R108" i="347"/>
  <c r="H182" i="347"/>
  <c r="H181" i="347" s="1"/>
  <c r="K203" i="347"/>
  <c r="N223" i="347"/>
  <c r="H254" i="347"/>
  <c r="Z263" i="347"/>
  <c r="Z269" i="347"/>
  <c r="AA299" i="347"/>
  <c r="Q309" i="347"/>
  <c r="Z313" i="347"/>
  <c r="AA360" i="347"/>
  <c r="K380" i="347"/>
  <c r="AA380" i="347" s="1"/>
  <c r="H380" i="347"/>
  <c r="Z381" i="347"/>
  <c r="AA384" i="347"/>
  <c r="R394" i="347"/>
  <c r="S40" i="350"/>
  <c r="C14" i="151" s="1"/>
  <c r="N12" i="347"/>
  <c r="AA23" i="347"/>
  <c r="N31" i="347"/>
  <c r="N26" i="347" s="1"/>
  <c r="Z36" i="347"/>
  <c r="Y50" i="347"/>
  <c r="Z48" i="347"/>
  <c r="V59" i="347"/>
  <c r="V53" i="347" s="1"/>
  <c r="Z57" i="347"/>
  <c r="H60" i="347"/>
  <c r="V60" i="347"/>
  <c r="V68" i="347"/>
  <c r="Z81" i="347"/>
  <c r="K90" i="347"/>
  <c r="K86" i="347" s="1"/>
  <c r="Z99" i="347"/>
  <c r="H115" i="347"/>
  <c r="H103" i="347" s="1"/>
  <c r="V115" i="347"/>
  <c r="N115" i="347"/>
  <c r="AA137" i="347"/>
  <c r="AA154" i="347"/>
  <c r="Z167" i="347"/>
  <c r="Y166" i="347"/>
  <c r="AA193" i="347"/>
  <c r="V200" i="347"/>
  <c r="R219" i="347"/>
  <c r="H223" i="347"/>
  <c r="R224" i="347"/>
  <c r="N421" i="347"/>
  <c r="Z256" i="347"/>
  <c r="N323" i="347"/>
  <c r="N333" i="347"/>
  <c r="H333" i="347"/>
  <c r="H342" i="347"/>
  <c r="Z341" i="347"/>
  <c r="Z374" i="347"/>
  <c r="Z395" i="347"/>
  <c r="K312" i="347"/>
  <c r="K303" i="347" s="1"/>
  <c r="K302" i="347" s="1"/>
  <c r="Z16" i="347"/>
  <c r="Z21" i="347"/>
  <c r="K50" i="347"/>
  <c r="V46" i="347"/>
  <c r="Y60" i="347"/>
  <c r="H65" i="347"/>
  <c r="AA66" i="347"/>
  <c r="AA89" i="347"/>
  <c r="Z94" i="347"/>
  <c r="AA95" i="347"/>
  <c r="Z114" i="347"/>
  <c r="Y115" i="347"/>
  <c r="AA118" i="347"/>
  <c r="Z165" i="347"/>
  <c r="K178" i="347"/>
  <c r="Z180" i="347"/>
  <c r="K200" i="347"/>
  <c r="K192" i="347" s="1"/>
  <c r="K191" i="347" s="1"/>
  <c r="K190" i="347" s="1"/>
  <c r="Z210" i="347"/>
  <c r="Y215" i="347"/>
  <c r="Z265" i="347"/>
  <c r="N278" i="347"/>
  <c r="N266" i="347" s="1"/>
  <c r="AA284" i="347"/>
  <c r="K283" i="347"/>
  <c r="Z315" i="347"/>
  <c r="Z327" i="347"/>
  <c r="AA332" i="347"/>
  <c r="Q333" i="347"/>
  <c r="R333" i="347" s="1"/>
  <c r="AA335" i="347"/>
  <c r="Z387" i="347"/>
  <c r="H414" i="347"/>
  <c r="H413" i="347" s="1"/>
  <c r="H412" i="347" s="1"/>
  <c r="T28" i="350"/>
  <c r="X37" i="350"/>
  <c r="T40" i="350"/>
  <c r="D14" i="151" s="1"/>
  <c r="R24" i="347"/>
  <c r="Z24" i="347"/>
  <c r="H31" i="347"/>
  <c r="H26" i="347" s="1"/>
  <c r="H11" i="347" s="1"/>
  <c r="N59" i="347"/>
  <c r="N53" i="347" s="1"/>
  <c r="Z69" i="347"/>
  <c r="Q68" i="347"/>
  <c r="AA69" i="347"/>
  <c r="AA71" i="347"/>
  <c r="Q90" i="347"/>
  <c r="Z90" i="347" s="1"/>
  <c r="R87" i="347"/>
  <c r="R109" i="347"/>
  <c r="R113" i="347" s="1"/>
  <c r="R104" i="347" s="1"/>
  <c r="R111" i="347"/>
  <c r="AA184" i="347"/>
  <c r="Z184" i="347"/>
  <c r="K183" i="347"/>
  <c r="Z183" i="347" s="1"/>
  <c r="Z243" i="347"/>
  <c r="Q242" i="347"/>
  <c r="AA242" i="347" s="1"/>
  <c r="R243" i="347"/>
  <c r="Z280" i="347"/>
  <c r="R280" i="347"/>
  <c r="AA280" i="347"/>
  <c r="R293" i="347"/>
  <c r="Z307" i="347"/>
  <c r="R307" i="347"/>
  <c r="Z19" i="347"/>
  <c r="AA19" i="347"/>
  <c r="AA21" i="347"/>
  <c r="Y31" i="347"/>
  <c r="Y26" i="347" s="1"/>
  <c r="Y11" i="347" s="1"/>
  <c r="K34" i="347"/>
  <c r="Q50" i="347"/>
  <c r="Z50" i="347" s="1"/>
  <c r="AA55" i="347"/>
  <c r="R69" i="347"/>
  <c r="R71" i="347"/>
  <c r="R427" i="347" s="1"/>
  <c r="H421" i="347"/>
  <c r="Q79" i="347"/>
  <c r="Z79" i="347" s="1"/>
  <c r="N91" i="347"/>
  <c r="Q421" i="347"/>
  <c r="S100" i="347"/>
  <c r="Z100" i="347"/>
  <c r="Q98" i="347"/>
  <c r="Z98" i="347" s="1"/>
  <c r="AA372" i="347"/>
  <c r="N16" i="347"/>
  <c r="N11" i="347" s="1"/>
  <c r="R21" i="347"/>
  <c r="AA29" i="347"/>
  <c r="Z35" i="347"/>
  <c r="AA35" i="347"/>
  <c r="Z37" i="347"/>
  <c r="R47" i="347"/>
  <c r="AA61" i="347"/>
  <c r="Q60" i="347"/>
  <c r="R60" i="347" s="1"/>
  <c r="Z62" i="347"/>
  <c r="Z67" i="347"/>
  <c r="N86" i="347"/>
  <c r="Y90" i="347"/>
  <c r="Y86" i="347" s="1"/>
  <c r="V91" i="347"/>
  <c r="V85" i="347" s="1"/>
  <c r="AA100" i="347"/>
  <c r="AA108" i="347"/>
  <c r="Z123" i="347"/>
  <c r="S123" i="347"/>
  <c r="Z128" i="347"/>
  <c r="S131" i="347"/>
  <c r="AA138" i="347"/>
  <c r="S142" i="347"/>
  <c r="S423" i="347" s="1"/>
  <c r="AA142" i="347"/>
  <c r="Z145" i="347"/>
  <c r="S145" i="347"/>
  <c r="Q144" i="347"/>
  <c r="Z144" i="347" s="1"/>
  <c r="Z187" i="347"/>
  <c r="Q185" i="347"/>
  <c r="R185" i="347" s="1"/>
  <c r="AA187" i="347"/>
  <c r="AA204" i="347"/>
  <c r="Z204" i="347"/>
  <c r="K342" i="347"/>
  <c r="AA342" i="347" s="1"/>
  <c r="K424" i="347"/>
  <c r="K413" i="347"/>
  <c r="AA28" i="347"/>
  <c r="Z28" i="347"/>
  <c r="Z65" i="347"/>
  <c r="AA65" i="347"/>
  <c r="Z68" i="347"/>
  <c r="Z89" i="347"/>
  <c r="R89" i="347"/>
  <c r="AA109" i="347"/>
  <c r="AA111" i="347"/>
  <c r="H200" i="347"/>
  <c r="H192" i="347" s="1"/>
  <c r="H191" i="347" s="1"/>
  <c r="H190" i="347" s="1"/>
  <c r="Z194" i="347"/>
  <c r="AA194" i="347"/>
  <c r="Z268" i="347"/>
  <c r="R268" i="347"/>
  <c r="AA293" i="347"/>
  <c r="Z305" i="347"/>
  <c r="Q308" i="347"/>
  <c r="Z308" i="347" s="1"/>
  <c r="AA305" i="347"/>
  <c r="AA325" i="347"/>
  <c r="Z325" i="347"/>
  <c r="Z367" i="347"/>
  <c r="R367" i="347"/>
  <c r="H163" i="347"/>
  <c r="Z170" i="347"/>
  <c r="R170" i="347"/>
  <c r="AA170" i="347"/>
  <c r="N203" i="347"/>
  <c r="Z220" i="347"/>
  <c r="R220" i="347"/>
  <c r="AA220" i="347"/>
  <c r="Q215" i="347"/>
  <c r="R215" i="347" s="1"/>
  <c r="Z236" i="347"/>
  <c r="R236" i="347"/>
  <c r="AA260" i="347"/>
  <c r="AA344" i="347"/>
  <c r="H355" i="347"/>
  <c r="Z362" i="347"/>
  <c r="R362" i="347"/>
  <c r="Y379" i="347"/>
  <c r="Y376" i="347" s="1"/>
  <c r="V386" i="347"/>
  <c r="AA391" i="347"/>
  <c r="Z391" i="347"/>
  <c r="Z414" i="347"/>
  <c r="R414" i="347"/>
  <c r="H16" i="347"/>
  <c r="H34" i="347"/>
  <c r="V34" i="347"/>
  <c r="V33" i="347" s="1"/>
  <c r="V32" i="347" s="1"/>
  <c r="Y34" i="347"/>
  <c r="AA40" i="347"/>
  <c r="H50" i="347"/>
  <c r="H46" i="347" s="1"/>
  <c r="N60" i="347"/>
  <c r="H75" i="347"/>
  <c r="Z84" i="347"/>
  <c r="Q83" i="347"/>
  <c r="AA83" i="347" s="1"/>
  <c r="AA84" i="347"/>
  <c r="AA106" i="347"/>
  <c r="AA127" i="347"/>
  <c r="Z127" i="347"/>
  <c r="S127" i="347"/>
  <c r="S141" i="347"/>
  <c r="AA141" i="347"/>
  <c r="Z152" i="347"/>
  <c r="R152" i="347"/>
  <c r="N147" i="347"/>
  <c r="N146" i="347" s="1"/>
  <c r="Z156" i="347"/>
  <c r="AA156" i="347"/>
  <c r="Z160" i="347"/>
  <c r="R160" i="347"/>
  <c r="Q159" i="347"/>
  <c r="R159" i="347" s="1"/>
  <c r="Z164" i="347"/>
  <c r="Q163" i="347"/>
  <c r="R163" i="347" s="1"/>
  <c r="Z168" i="347"/>
  <c r="R168" i="347"/>
  <c r="Z189" i="347"/>
  <c r="Q188" i="347"/>
  <c r="R188" i="347" s="1"/>
  <c r="Z222" i="347"/>
  <c r="R222" i="347"/>
  <c r="N254" i="347"/>
  <c r="R260" i="347"/>
  <c r="H258" i="347"/>
  <c r="AA275" i="347"/>
  <c r="R275" i="347"/>
  <c r="Z275" i="347"/>
  <c r="AA297" i="347"/>
  <c r="AA343" i="347"/>
  <c r="R344" i="347"/>
  <c r="K345" i="347"/>
  <c r="N349" i="347"/>
  <c r="Z365" i="347"/>
  <c r="AA365" i="347"/>
  <c r="Q413" i="347"/>
  <c r="Q412" i="347" s="1"/>
  <c r="R412" i="347" s="1"/>
  <c r="K426" i="347"/>
  <c r="V426" i="347"/>
  <c r="AA82" i="347"/>
  <c r="K85" i="347"/>
  <c r="Y91" i="347"/>
  <c r="AA97" i="347"/>
  <c r="Q115" i="347"/>
  <c r="Z115" i="347" s="1"/>
  <c r="Z117" i="347"/>
  <c r="Z136" i="347"/>
  <c r="Q140" i="347"/>
  <c r="S140" i="347" s="1"/>
  <c r="Z154" i="347"/>
  <c r="R154" i="347"/>
  <c r="V166" i="347"/>
  <c r="V423" i="347" s="1"/>
  <c r="AA172" i="347"/>
  <c r="V182" i="347"/>
  <c r="V181" i="347" s="1"/>
  <c r="V192" i="347"/>
  <c r="V191" i="347" s="1"/>
  <c r="V190" i="347" s="1"/>
  <c r="AA219" i="347"/>
  <c r="K241" i="347"/>
  <c r="K230" i="347" s="1"/>
  <c r="Z238" i="347"/>
  <c r="R238" i="347"/>
  <c r="AA240" i="347"/>
  <c r="AA258" i="347"/>
  <c r="AA319" i="347"/>
  <c r="Z322" i="347"/>
  <c r="Z326" i="347"/>
  <c r="Q324" i="347"/>
  <c r="AA326" i="347"/>
  <c r="AA339" i="347"/>
  <c r="Z340" i="347"/>
  <c r="V358" i="347"/>
  <c r="V424" i="347" s="1"/>
  <c r="Z360" i="347"/>
  <c r="R360" i="347"/>
  <c r="K368" i="347"/>
  <c r="K361" i="347" s="1"/>
  <c r="K354" i="347" s="1"/>
  <c r="Z364" i="347"/>
  <c r="AA364" i="347"/>
  <c r="Z377" i="347"/>
  <c r="Q379" i="347"/>
  <c r="AA379" i="347" s="1"/>
  <c r="Q376" i="347"/>
  <c r="R376" i="347" s="1"/>
  <c r="AA377" i="347"/>
  <c r="Y386" i="347"/>
  <c r="H386" i="347"/>
  <c r="H375" i="347" s="1"/>
  <c r="Z392" i="347"/>
  <c r="AA392" i="347"/>
  <c r="Z393" i="347"/>
  <c r="AA394" i="347"/>
  <c r="AA395" i="347"/>
  <c r="Y421" i="347"/>
  <c r="E12" i="151" s="1"/>
  <c r="AA119" i="347"/>
  <c r="AA155" i="347"/>
  <c r="H166" i="347"/>
  <c r="H423" i="347" s="1"/>
  <c r="H178" i="347"/>
  <c r="H169" i="347" s="1"/>
  <c r="V178" i="347"/>
  <c r="V169" i="347" s="1"/>
  <c r="V158" i="347" s="1"/>
  <c r="V157" i="347" s="1"/>
  <c r="Z202" i="347"/>
  <c r="AA205" i="347"/>
  <c r="AA221" i="347"/>
  <c r="AA224" i="347"/>
  <c r="Z231" i="347"/>
  <c r="AA231" i="347"/>
  <c r="AA239" i="347"/>
  <c r="Y278" i="347"/>
  <c r="Y266" i="347" s="1"/>
  <c r="Y253" i="347" s="1"/>
  <c r="Y252" i="347" s="1"/>
  <c r="AA270" i="347"/>
  <c r="V278" i="347"/>
  <c r="N283" i="347"/>
  <c r="AA285" i="347"/>
  <c r="H288" i="347"/>
  <c r="AA294" i="347"/>
  <c r="Y308" i="347"/>
  <c r="Y304" i="347" s="1"/>
  <c r="Y303" i="347" s="1"/>
  <c r="Y302" i="347" s="1"/>
  <c r="AA310" i="347"/>
  <c r="Y342" i="347"/>
  <c r="Y338" i="347" s="1"/>
  <c r="Y337" i="347" s="1"/>
  <c r="Y336" i="347" s="1"/>
  <c r="H345" i="347"/>
  <c r="V368" i="347"/>
  <c r="V361" i="347" s="1"/>
  <c r="Y371" i="347"/>
  <c r="N386" i="347"/>
  <c r="N425" i="347"/>
  <c r="AA79" i="347"/>
  <c r="R79" i="347"/>
  <c r="V148" i="347"/>
  <c r="V147" i="347" s="1"/>
  <c r="V146" i="347" s="1"/>
  <c r="Z27" i="347"/>
  <c r="Q31" i="347"/>
  <c r="Q26" i="347" s="1"/>
  <c r="Q11" i="347" s="1"/>
  <c r="Z43" i="347"/>
  <c r="Q59" i="347"/>
  <c r="Q53" i="347" s="1"/>
  <c r="AA63" i="347"/>
  <c r="Z121" i="347"/>
  <c r="AA162" i="347"/>
  <c r="Y178" i="347"/>
  <c r="Y169" i="347"/>
  <c r="Y158" i="347" s="1"/>
  <c r="Y157" i="347" s="1"/>
  <c r="AA179" i="347"/>
  <c r="R179" i="347"/>
  <c r="AA209" i="347"/>
  <c r="R209" i="347"/>
  <c r="Z218" i="347"/>
  <c r="AA218" i="347"/>
  <c r="AA232" i="347"/>
  <c r="R232" i="347"/>
  <c r="Z254" i="347"/>
  <c r="Z255" i="347"/>
  <c r="AA273" i="347"/>
  <c r="R273" i="347"/>
  <c r="V301" i="347"/>
  <c r="V295" i="347" s="1"/>
  <c r="V282" i="347" s="1"/>
  <c r="V281" i="347" s="1"/>
  <c r="AA321" i="347"/>
  <c r="R321" i="347"/>
  <c r="R12" i="347"/>
  <c r="AA16" i="347"/>
  <c r="AA30" i="347"/>
  <c r="R37" i="347"/>
  <c r="AA37" i="347"/>
  <c r="R38" i="347"/>
  <c r="AA38" i="347"/>
  <c r="Y46" i="347"/>
  <c r="Y33" i="347" s="1"/>
  <c r="Y32" i="347" s="1"/>
  <c r="AA47" i="347"/>
  <c r="R54" i="347"/>
  <c r="AA54" i="347"/>
  <c r="AA58" i="347"/>
  <c r="R58" i="347"/>
  <c r="H59" i="347"/>
  <c r="H53" i="347" s="1"/>
  <c r="H52" i="347" s="1"/>
  <c r="H51" i="347" s="1"/>
  <c r="K60" i="347"/>
  <c r="Z78" i="347"/>
  <c r="N426" i="347"/>
  <c r="AA81" i="347"/>
  <c r="AA93" i="347"/>
  <c r="Z106" i="347"/>
  <c r="Y113" i="347"/>
  <c r="Y104" i="347" s="1"/>
  <c r="Y103" i="347" s="1"/>
  <c r="R122" i="347"/>
  <c r="R120" i="347" s="1"/>
  <c r="Y424" i="347"/>
  <c r="S130" i="347"/>
  <c r="S144" i="347"/>
  <c r="AA149" i="347"/>
  <c r="R149" i="347"/>
  <c r="Z150" i="347"/>
  <c r="Q153" i="347"/>
  <c r="H147" i="347"/>
  <c r="H146" i="347" s="1"/>
  <c r="AA166" i="347"/>
  <c r="AA167" i="347"/>
  <c r="R167" i="347"/>
  <c r="AA171" i="347"/>
  <c r="R171" i="347"/>
  <c r="Z171" i="347"/>
  <c r="Q178" i="347"/>
  <c r="Q169" i="347" s="1"/>
  <c r="Q182" i="347"/>
  <c r="K185" i="347"/>
  <c r="Y200" i="347"/>
  <c r="Y192" i="347" s="1"/>
  <c r="Y191" i="347" s="1"/>
  <c r="Y190" i="347" s="1"/>
  <c r="Q201" i="347"/>
  <c r="R202" i="347"/>
  <c r="AA202" i="347"/>
  <c r="Z212" i="347"/>
  <c r="Z216" i="347"/>
  <c r="K215" i="347"/>
  <c r="Z235" i="347"/>
  <c r="R254" i="347"/>
  <c r="R255" i="347"/>
  <c r="AA255" i="347"/>
  <c r="AA277" i="347"/>
  <c r="Z277" i="347"/>
  <c r="Q288" i="347"/>
  <c r="R289" i="347"/>
  <c r="AA289" i="347"/>
  <c r="Z296" i="347"/>
  <c r="AA312" i="347"/>
  <c r="R312" i="347"/>
  <c r="Z312" i="347"/>
  <c r="Z314" i="347"/>
  <c r="R342" i="347"/>
  <c r="AA340" i="347"/>
  <c r="R340" i="347"/>
  <c r="Q338" i="347"/>
  <c r="AA387" i="347"/>
  <c r="R387" i="347"/>
  <c r="Q386" i="347"/>
  <c r="Z390" i="347"/>
  <c r="K386" i="347"/>
  <c r="AA393" i="347"/>
  <c r="R393" i="347"/>
  <c r="Z14" i="347"/>
  <c r="Z30" i="347"/>
  <c r="Z40" i="347"/>
  <c r="Z54" i="347"/>
  <c r="V79" i="347"/>
  <c r="V76" i="347" s="1"/>
  <c r="V75" i="347" s="1"/>
  <c r="Z93" i="347"/>
  <c r="Z96" i="347"/>
  <c r="AA105" i="347"/>
  <c r="N178" i="347"/>
  <c r="N169" i="347" s="1"/>
  <c r="N158" i="347" s="1"/>
  <c r="N157" i="347" s="1"/>
  <c r="AA186" i="347"/>
  <c r="AA254" i="347"/>
  <c r="AA272" i="347"/>
  <c r="R272" i="347"/>
  <c r="V308" i="347"/>
  <c r="V304" i="347" s="1"/>
  <c r="V303" i="347" s="1"/>
  <c r="V302" i="347" s="1"/>
  <c r="R308" i="347"/>
  <c r="AA308" i="347"/>
  <c r="Z320" i="347"/>
  <c r="K323" i="347"/>
  <c r="V323" i="347"/>
  <c r="V318" i="347"/>
  <c r="N342" i="347"/>
  <c r="N338" i="347" s="1"/>
  <c r="R14" i="347"/>
  <c r="AA24" i="347"/>
  <c r="R27" i="347"/>
  <c r="V31" i="347"/>
  <c r="V26" i="347" s="1"/>
  <c r="R40" i="347"/>
  <c r="R43" i="347"/>
  <c r="Z47" i="347"/>
  <c r="Z49" i="347"/>
  <c r="Z55" i="347"/>
  <c r="Y426" i="347"/>
  <c r="Z82" i="347"/>
  <c r="AA88" i="347"/>
  <c r="R88" i="347"/>
  <c r="H90" i="347"/>
  <c r="H86" i="347" s="1"/>
  <c r="AA94" i="347"/>
  <c r="S94" i="347"/>
  <c r="S91" i="347" s="1"/>
  <c r="R96" i="347"/>
  <c r="AA96" i="347"/>
  <c r="Z97" i="347"/>
  <c r="AA98" i="347"/>
  <c r="S102" i="347"/>
  <c r="S105" i="347"/>
  <c r="K113" i="347"/>
  <c r="AA121" i="347"/>
  <c r="R17" i="347"/>
  <c r="Z20" i="347"/>
  <c r="AA25" i="347"/>
  <c r="R25" i="347"/>
  <c r="K31" i="347"/>
  <c r="K26" i="347" s="1"/>
  <c r="K46" i="347"/>
  <c r="K33" i="347" s="1"/>
  <c r="K32" i="347" s="1"/>
  <c r="R49" i="347"/>
  <c r="AA49" i="347"/>
  <c r="R55" i="347"/>
  <c r="K59" i="347"/>
  <c r="K53" i="347" s="1"/>
  <c r="Y59" i="347"/>
  <c r="Y53" i="347" s="1"/>
  <c r="Z61" i="347"/>
  <c r="AA68" i="347"/>
  <c r="R68" i="347"/>
  <c r="Z70" i="347"/>
  <c r="K421" i="347"/>
  <c r="AA72" i="347"/>
  <c r="Z77" i="347"/>
  <c r="AA78" i="347"/>
  <c r="AA80" i="347"/>
  <c r="R82" i="347"/>
  <c r="N85" i="347"/>
  <c r="V421" i="347"/>
  <c r="D12" i="151" s="1"/>
  <c r="R97" i="347"/>
  <c r="H98" i="347"/>
  <c r="K104" i="347"/>
  <c r="K103" i="347" s="1"/>
  <c r="V113" i="347"/>
  <c r="V104" i="347" s="1"/>
  <c r="V103" i="347" s="1"/>
  <c r="S106" i="347"/>
  <c r="Z107" i="347"/>
  <c r="AA107" i="347"/>
  <c r="Z110" i="347"/>
  <c r="Q113" i="347"/>
  <c r="Z116" i="347"/>
  <c r="Z118" i="347"/>
  <c r="Z119" i="347"/>
  <c r="Q120" i="347"/>
  <c r="AA122" i="347"/>
  <c r="Z124" i="347"/>
  <c r="S129" i="347"/>
  <c r="Z130" i="347"/>
  <c r="S133" i="347"/>
  <c r="Z139" i="347"/>
  <c r="K147" i="347"/>
  <c r="K146" i="347" s="1"/>
  <c r="R150" i="347"/>
  <c r="AA164" i="347"/>
  <c r="R164" i="347"/>
  <c r="K169" i="347"/>
  <c r="Z195" i="347"/>
  <c r="Z205" i="347"/>
  <c r="R210" i="347"/>
  <c r="R212" i="347"/>
  <c r="AA212" i="347"/>
  <c r="AA215" i="347"/>
  <c r="K223" i="347"/>
  <c r="Z223" i="347" s="1"/>
  <c r="V241" i="347"/>
  <c r="V230" i="347" s="1"/>
  <c r="V214" i="347" s="1"/>
  <c r="V213" i="347" s="1"/>
  <c r="R235" i="347"/>
  <c r="AA237" i="347"/>
  <c r="R237" i="347"/>
  <c r="AA244" i="347"/>
  <c r="R244" i="347"/>
  <c r="Z244" i="347"/>
  <c r="AA245" i="347"/>
  <c r="R245" i="347"/>
  <c r="Z261" i="347"/>
  <c r="AA261" i="347"/>
  <c r="R277" i="347"/>
  <c r="AA279" i="347"/>
  <c r="R279" i="347"/>
  <c r="Z279" i="347"/>
  <c r="AA286" i="347"/>
  <c r="R286" i="347"/>
  <c r="Z286" i="347"/>
  <c r="N301" i="347"/>
  <c r="N295" i="347" s="1"/>
  <c r="N282" i="347" s="1"/>
  <c r="N281" i="347" s="1"/>
  <c r="Z298" i="347"/>
  <c r="AA298" i="347"/>
  <c r="AA300" i="347"/>
  <c r="R300" i="347"/>
  <c r="Q295" i="347"/>
  <c r="Q301" i="347"/>
  <c r="K301" i="347"/>
  <c r="K295" i="347" s="1"/>
  <c r="K282" i="347" s="1"/>
  <c r="K281" i="347" s="1"/>
  <c r="R314" i="347"/>
  <c r="AA314" i="347"/>
  <c r="AA315" i="347"/>
  <c r="R315" i="347"/>
  <c r="K318" i="347"/>
  <c r="V333" i="347"/>
  <c r="Z351" i="347"/>
  <c r="K349" i="347"/>
  <c r="Z349" i="347" s="1"/>
  <c r="K412" i="347"/>
  <c r="Z15" i="347"/>
  <c r="K12" i="347"/>
  <c r="AA17" i="347"/>
  <c r="R20" i="347"/>
  <c r="AA20" i="347"/>
  <c r="N423" i="347"/>
  <c r="AA56" i="347"/>
  <c r="R61" i="347"/>
  <c r="AA62" i="347"/>
  <c r="R62" i="347"/>
  <c r="R70" i="347"/>
  <c r="K75" i="347"/>
  <c r="R77" i="347"/>
  <c r="AA77" i="347"/>
  <c r="H426" i="347"/>
  <c r="R426" i="347"/>
  <c r="Z87" i="347"/>
  <c r="Q91" i="347"/>
  <c r="AA92" i="347"/>
  <c r="Z101" i="347"/>
  <c r="Q104" i="347"/>
  <c r="N113" i="347"/>
  <c r="N104" i="347" s="1"/>
  <c r="S107" i="347"/>
  <c r="S110" i="347"/>
  <c r="AA112" i="347"/>
  <c r="AA114" i="347"/>
  <c r="R114" i="347"/>
  <c r="S116" i="347"/>
  <c r="AA116" i="347"/>
  <c r="AA117" i="347"/>
  <c r="S117" i="347"/>
  <c r="S119" i="347"/>
  <c r="S124" i="347"/>
  <c r="Q126" i="347"/>
  <c r="S128" i="347"/>
  <c r="Z129" i="347"/>
  <c r="S132" i="347"/>
  <c r="Z133" i="347"/>
  <c r="S137" i="347"/>
  <c r="Z138" i="347"/>
  <c r="AA139" i="347"/>
  <c r="Z142" i="347"/>
  <c r="Y148" i="347"/>
  <c r="Y147" i="347" s="1"/>
  <c r="Y146" i="347" s="1"/>
  <c r="AA151" i="347"/>
  <c r="R151" i="347"/>
  <c r="Z155" i="347"/>
  <c r="Z162" i="347"/>
  <c r="Z179" i="347"/>
  <c r="AA189" i="347"/>
  <c r="R189" i="347"/>
  <c r="R195" i="347"/>
  <c r="AA195" i="347"/>
  <c r="AA196" i="347"/>
  <c r="R196" i="347"/>
  <c r="N200" i="347"/>
  <c r="N192" i="347" s="1"/>
  <c r="N191" i="347" s="1"/>
  <c r="N190" i="347" s="1"/>
  <c r="Q203" i="347"/>
  <c r="R205" i="347"/>
  <c r="Z209" i="347"/>
  <c r="Z224" i="347"/>
  <c r="AA227" i="347"/>
  <c r="N241" i="347"/>
  <c r="N230" i="347" s="1"/>
  <c r="N214" i="347" s="1"/>
  <c r="N213" i="347" s="1"/>
  <c r="Y241" i="347"/>
  <c r="Y230" i="347" s="1"/>
  <c r="Y214" i="347" s="1"/>
  <c r="Y213" i="347" s="1"/>
  <c r="Z232" i="347"/>
  <c r="Q241" i="347"/>
  <c r="AA249" i="347"/>
  <c r="R249" i="347"/>
  <c r="Z249" i="347"/>
  <c r="Z259" i="347"/>
  <c r="AA259" i="347"/>
  <c r="H278" i="347"/>
  <c r="H266" i="347" s="1"/>
  <c r="Z271" i="347"/>
  <c r="Z272" i="347"/>
  <c r="Z273" i="347"/>
  <c r="K278" i="347"/>
  <c r="K266" i="347" s="1"/>
  <c r="K253" i="347" s="1"/>
  <c r="K252" i="347" s="1"/>
  <c r="Y301" i="347"/>
  <c r="Y295" i="347" s="1"/>
  <c r="H323" i="347"/>
  <c r="H318" i="347"/>
  <c r="H317" i="347" s="1"/>
  <c r="H316" i="347" s="1"/>
  <c r="AA320" i="347"/>
  <c r="Z321" i="347"/>
  <c r="K329" i="347"/>
  <c r="Z329" i="347" s="1"/>
  <c r="Z331" i="347"/>
  <c r="V337" i="347"/>
  <c r="V336" i="347" s="1"/>
  <c r="N345" i="347"/>
  <c r="K375" i="347"/>
  <c r="N375" i="347"/>
  <c r="R398" i="347"/>
  <c r="Q403" i="347"/>
  <c r="R403" i="347" s="1"/>
  <c r="H282" i="347"/>
  <c r="H281" i="347" s="1"/>
  <c r="Z284" i="347"/>
  <c r="Z294" i="347"/>
  <c r="Z297" i="347"/>
  <c r="N303" i="347"/>
  <c r="N302" i="347" s="1"/>
  <c r="N318" i="347"/>
  <c r="Y323" i="347"/>
  <c r="Y318" i="347" s="1"/>
  <c r="Z328" i="347"/>
  <c r="K324" i="347"/>
  <c r="AA324" i="347" s="1"/>
  <c r="N329" i="347"/>
  <c r="K333" i="347"/>
  <c r="Z333" i="347" s="1"/>
  <c r="Z334" i="347"/>
  <c r="Y333" i="347"/>
  <c r="AA346" i="347"/>
  <c r="R346" i="347"/>
  <c r="Q345" i="347"/>
  <c r="AA348" i="347"/>
  <c r="R348" i="347"/>
  <c r="AA363" i="347"/>
  <c r="R363" i="347"/>
  <c r="Z363" i="347"/>
  <c r="Q368" i="347"/>
  <c r="V379" i="347"/>
  <c r="V376" i="347" s="1"/>
  <c r="V375" i="347" s="1"/>
  <c r="Q411" i="347"/>
  <c r="R411" i="347" s="1"/>
  <c r="V425" i="347"/>
  <c r="Y423" i="347"/>
  <c r="Z71" i="347"/>
  <c r="Q426" i="347"/>
  <c r="Z80" i="347"/>
  <c r="K163" i="347"/>
  <c r="K166" i="347"/>
  <c r="Z166" i="347" s="1"/>
  <c r="Z172" i="347"/>
  <c r="AA180" i="347"/>
  <c r="R180" i="347"/>
  <c r="N182" i="347"/>
  <c r="N181" i="347" s="1"/>
  <c r="Q200" i="347"/>
  <c r="Z193" i="347"/>
  <c r="AA199" i="347"/>
  <c r="R199" i="347"/>
  <c r="R223" i="347"/>
  <c r="H241" i="347"/>
  <c r="H230" i="347" s="1"/>
  <c r="H214" i="347" s="1"/>
  <c r="H213" i="347" s="1"/>
  <c r="AA248" i="347"/>
  <c r="R248" i="347"/>
  <c r="AA265" i="347"/>
  <c r="R265" i="347"/>
  <c r="Q278" i="347"/>
  <c r="V266" i="347"/>
  <c r="V253" i="347" s="1"/>
  <c r="V252" i="347" s="1"/>
  <c r="AA276" i="347"/>
  <c r="R276" i="347"/>
  <c r="Q283" i="347"/>
  <c r="R284" i="347"/>
  <c r="AA306" i="347"/>
  <c r="R306" i="347"/>
  <c r="Q304" i="347"/>
  <c r="H309" i="347"/>
  <c r="H303" i="347" s="1"/>
  <c r="H302" i="347" s="1"/>
  <c r="Z355" i="347"/>
  <c r="AA355" i="347"/>
  <c r="R355" i="347"/>
  <c r="H361" i="347"/>
  <c r="H354" i="347" s="1"/>
  <c r="Z258" i="347"/>
  <c r="Z260" i="347"/>
  <c r="Z270" i="347"/>
  <c r="AA274" i="347"/>
  <c r="R274" i="347"/>
  <c r="Y283" i="347"/>
  <c r="AA296" i="347"/>
  <c r="R296" i="347"/>
  <c r="AA309" i="347"/>
  <c r="R309" i="347"/>
  <c r="Z309" i="347"/>
  <c r="Z335" i="347"/>
  <c r="Z347" i="347"/>
  <c r="AA347" i="347"/>
  <c r="Z358" i="347"/>
  <c r="R358" i="347"/>
  <c r="N424" i="347"/>
  <c r="AA373" i="347"/>
  <c r="R373" i="347"/>
  <c r="Z373" i="347"/>
  <c r="AA412" i="347"/>
  <c r="Z310" i="347"/>
  <c r="Q323" i="347"/>
  <c r="Q318" i="347" s="1"/>
  <c r="Z319" i="347"/>
  <c r="AA322" i="347"/>
  <c r="R322" i="347"/>
  <c r="N324" i="347"/>
  <c r="AA331" i="347"/>
  <c r="R331" i="347"/>
  <c r="AA334" i="347"/>
  <c r="R334" i="347"/>
  <c r="H338" i="347"/>
  <c r="H337" i="347" s="1"/>
  <c r="H336" i="347" s="1"/>
  <c r="R349" i="347"/>
  <c r="AA356" i="347"/>
  <c r="R356" i="347"/>
  <c r="Z356" i="347"/>
  <c r="N368" i="347"/>
  <c r="N361" i="347"/>
  <c r="N354" i="347" s="1"/>
  <c r="N353" i="347" s="1"/>
  <c r="N352" i="347" s="1"/>
  <c r="Y368" i="347"/>
  <c r="Y361" i="347" s="1"/>
  <c r="Y354" i="347" s="1"/>
  <c r="AA369" i="347"/>
  <c r="R369" i="347"/>
  <c r="Q371" i="347"/>
  <c r="Z372" i="347"/>
  <c r="Z380" i="347"/>
  <c r="Z382" i="347"/>
  <c r="AA382" i="347"/>
  <c r="R406" i="347"/>
  <c r="Z267" i="347"/>
  <c r="Z339" i="347"/>
  <c r="Z343" i="347"/>
  <c r="Z350" i="347"/>
  <c r="Y358" i="347"/>
  <c r="AA366" i="347"/>
  <c r="R366" i="347"/>
  <c r="AA370" i="347"/>
  <c r="R370" i="347"/>
  <c r="AA374" i="347"/>
  <c r="R374" i="347"/>
  <c r="AA389" i="347"/>
  <c r="R389" i="347"/>
  <c r="AA413" i="347"/>
  <c r="AA349" i="347" l="1"/>
  <c r="R83" i="347"/>
  <c r="N337" i="347"/>
  <c r="N336" i="347" s="1"/>
  <c r="AA34" i="347"/>
  <c r="V354" i="347"/>
  <c r="Z83" i="347"/>
  <c r="Y375" i="347"/>
  <c r="Y353" i="347" s="1"/>
  <c r="Y352" i="347" s="1"/>
  <c r="K338" i="347"/>
  <c r="K337" i="347" s="1"/>
  <c r="K336" i="347" s="1"/>
  <c r="S120" i="347"/>
  <c r="N52" i="347"/>
  <c r="N51" i="347" s="1"/>
  <c r="V52" i="347"/>
  <c r="V51" i="347" s="1"/>
  <c r="H353" i="347"/>
  <c r="H352" i="347" s="1"/>
  <c r="Z324" i="347"/>
  <c r="N253" i="347"/>
  <c r="N252" i="347" s="1"/>
  <c r="AA223" i="347"/>
  <c r="S115" i="347"/>
  <c r="AA50" i="347"/>
  <c r="R34" i="347"/>
  <c r="K353" i="347"/>
  <c r="K352" i="347" s="1"/>
  <c r="H425" i="347"/>
  <c r="H424" i="347"/>
  <c r="Y52" i="347"/>
  <c r="Y51" i="347" s="1"/>
  <c r="R324" i="347"/>
  <c r="R50" i="347"/>
  <c r="H158" i="347"/>
  <c r="H157" i="347" s="1"/>
  <c r="Z412" i="347"/>
  <c r="Z242" i="347"/>
  <c r="Z376" i="347"/>
  <c r="R242" i="347"/>
  <c r="R423" i="347" s="1"/>
  <c r="Q423" i="347"/>
  <c r="Z140" i="347"/>
  <c r="AA90" i="347"/>
  <c r="Q135" i="347"/>
  <c r="AA115" i="347"/>
  <c r="H33" i="347"/>
  <c r="H32" i="347" s="1"/>
  <c r="Q405" i="347"/>
  <c r="R379" i="347"/>
  <c r="Y317" i="347"/>
  <c r="Y316" i="347" s="1"/>
  <c r="AA188" i="347"/>
  <c r="Q86" i="347"/>
  <c r="Q85" i="347" s="1"/>
  <c r="AA376" i="347"/>
  <c r="AA144" i="347"/>
  <c r="Q76" i="347"/>
  <c r="H85" i="347"/>
  <c r="H74" i="347" s="1"/>
  <c r="H73" i="347" s="1"/>
  <c r="Z342" i="347"/>
  <c r="Z60" i="347"/>
  <c r="Y85" i="347"/>
  <c r="R413" i="347"/>
  <c r="AA329" i="347"/>
  <c r="Z379" i="347"/>
  <c r="H253" i="347"/>
  <c r="H252" i="347" s="1"/>
  <c r="AA183" i="347"/>
  <c r="Z159" i="347"/>
  <c r="R103" i="347"/>
  <c r="Z413" i="347"/>
  <c r="Z188" i="347"/>
  <c r="AA163" i="347"/>
  <c r="AA140" i="347"/>
  <c r="S98" i="347"/>
  <c r="R421" i="347"/>
  <c r="C12" i="151" s="1"/>
  <c r="Q46" i="347"/>
  <c r="Q33" i="347" s="1"/>
  <c r="R33" i="347" s="1"/>
  <c r="V74" i="347"/>
  <c r="V73" i="347" s="1"/>
  <c r="Y74" i="347"/>
  <c r="Y73" i="347" s="1"/>
  <c r="AA159" i="347"/>
  <c r="V422" i="347"/>
  <c r="V11" i="347"/>
  <c r="Z53" i="347"/>
  <c r="Q52" i="347"/>
  <c r="AA53" i="347"/>
  <c r="R53" i="347"/>
  <c r="N103" i="347"/>
  <c r="N422" i="347"/>
  <c r="N420" i="347" s="1"/>
  <c r="K422" i="347"/>
  <c r="S425" i="347"/>
  <c r="S85" i="347"/>
  <c r="Q317" i="347"/>
  <c r="AA318" i="347"/>
  <c r="Z318" i="347"/>
  <c r="R318" i="347"/>
  <c r="Y422" i="347"/>
  <c r="Q404" i="347"/>
  <c r="R404" i="347" s="1"/>
  <c r="R405" i="347"/>
  <c r="Z278" i="347"/>
  <c r="R278" i="347"/>
  <c r="AA278" i="347"/>
  <c r="R368" i="347"/>
  <c r="AA368" i="347"/>
  <c r="Z368" i="347"/>
  <c r="Q361" i="347"/>
  <c r="N74" i="347"/>
  <c r="N73" i="347" s="1"/>
  <c r="K182" i="347"/>
  <c r="K181" i="347" s="1"/>
  <c r="AA185" i="347"/>
  <c r="Z200" i="347"/>
  <c r="AA200" i="347"/>
  <c r="R200" i="347"/>
  <c r="H10" i="347"/>
  <c r="H9" i="347" s="1"/>
  <c r="K317" i="347"/>
  <c r="K316" i="347" s="1"/>
  <c r="AA120" i="347"/>
  <c r="Z120" i="347"/>
  <c r="AA76" i="347"/>
  <c r="R76" i="347"/>
  <c r="R75" i="347" s="1"/>
  <c r="Q75" i="347"/>
  <c r="Z76" i="347"/>
  <c r="AA60" i="347"/>
  <c r="Z26" i="347"/>
  <c r="R26" i="347"/>
  <c r="AA26" i="347"/>
  <c r="AA338" i="347"/>
  <c r="R338" i="347"/>
  <c r="Q337" i="347"/>
  <c r="Z338" i="347"/>
  <c r="R90" i="347"/>
  <c r="R86" i="347" s="1"/>
  <c r="R85" i="347" s="1"/>
  <c r="AA31" i="347"/>
  <c r="R31" i="347"/>
  <c r="Z31" i="347"/>
  <c r="Z371" i="347"/>
  <c r="AA371" i="347"/>
  <c r="R371" i="347"/>
  <c r="R345" i="347"/>
  <c r="AA345" i="347"/>
  <c r="Z345" i="347"/>
  <c r="Q397" i="347"/>
  <c r="Z241" i="347"/>
  <c r="AA241" i="347"/>
  <c r="R241" i="347"/>
  <c r="AA203" i="347"/>
  <c r="R203" i="347"/>
  <c r="Z203" i="347"/>
  <c r="K74" i="347"/>
  <c r="K73" i="347" s="1"/>
  <c r="K425" i="347"/>
  <c r="K11" i="347"/>
  <c r="Z11" i="347" s="1"/>
  <c r="H422" i="347"/>
  <c r="H420" i="347" s="1"/>
  <c r="Z201" i="347"/>
  <c r="R201" i="347"/>
  <c r="AA201" i="347"/>
  <c r="R178" i="347"/>
  <c r="Z178" i="347"/>
  <c r="AA178" i="347"/>
  <c r="Y282" i="347"/>
  <c r="Y281" i="347" s="1"/>
  <c r="AA304" i="347"/>
  <c r="Q303" i="347"/>
  <c r="R304" i="347"/>
  <c r="Z304" i="347"/>
  <c r="Q282" i="347"/>
  <c r="Z283" i="347"/>
  <c r="AA283" i="347"/>
  <c r="R283" i="347"/>
  <c r="Z104" i="347"/>
  <c r="AA104" i="347"/>
  <c r="Q103" i="347"/>
  <c r="Y10" i="347"/>
  <c r="V353" i="347"/>
  <c r="V352" i="347" s="1"/>
  <c r="AA295" i="347"/>
  <c r="Z295" i="347"/>
  <c r="R295" i="347"/>
  <c r="Q32" i="347"/>
  <c r="Z33" i="347"/>
  <c r="V317" i="347"/>
  <c r="V316" i="347" s="1"/>
  <c r="Q425" i="347"/>
  <c r="Z288" i="347"/>
  <c r="R288" i="347"/>
  <c r="AA288" i="347"/>
  <c r="Q266" i="347"/>
  <c r="K52" i="347"/>
  <c r="K51" i="347" s="1"/>
  <c r="Z323" i="347"/>
  <c r="AA323" i="347"/>
  <c r="R323" i="347"/>
  <c r="AA333" i="347"/>
  <c r="Q424" i="347"/>
  <c r="AA126" i="347"/>
  <c r="S126" i="347"/>
  <c r="S424" i="347" s="1"/>
  <c r="Z126" i="347"/>
  <c r="Z86" i="347"/>
  <c r="AA86" i="347"/>
  <c r="AA113" i="347"/>
  <c r="Z113" i="347"/>
  <c r="Z46" i="347"/>
  <c r="Q10" i="347"/>
  <c r="R11" i="347"/>
  <c r="AA11" i="347"/>
  <c r="R386" i="347"/>
  <c r="Z386" i="347"/>
  <c r="AA386" i="347"/>
  <c r="Z215" i="347"/>
  <c r="K214" i="347"/>
  <c r="K213" i="347" s="1"/>
  <c r="Q181" i="347"/>
  <c r="R182" i="347"/>
  <c r="AA153" i="347"/>
  <c r="R153" i="347"/>
  <c r="Z153" i="347"/>
  <c r="Q148" i="347"/>
  <c r="K158" i="347"/>
  <c r="K157" i="347" s="1"/>
  <c r="Z163" i="347"/>
  <c r="N317" i="347"/>
  <c r="N316" i="347" s="1"/>
  <c r="Z185" i="347"/>
  <c r="Z91" i="347"/>
  <c r="AA91" i="347"/>
  <c r="Q375" i="347"/>
  <c r="AA301" i="347"/>
  <c r="R301" i="347"/>
  <c r="Z301" i="347"/>
  <c r="R424" i="347"/>
  <c r="Q192" i="347"/>
  <c r="V420" i="347"/>
  <c r="S113" i="347"/>
  <c r="S104" i="347" s="1"/>
  <c r="Z12" i="347"/>
  <c r="AA169" i="347"/>
  <c r="R169" i="347"/>
  <c r="Z169" i="347"/>
  <c r="Q158" i="347"/>
  <c r="Q230" i="347"/>
  <c r="Z59" i="347"/>
  <c r="AA59" i="347"/>
  <c r="R59" i="347"/>
  <c r="K423" i="347"/>
  <c r="K420" i="347" s="1"/>
  <c r="N10" i="347"/>
  <c r="Y425" i="347"/>
  <c r="AA12" i="347"/>
  <c r="R425" i="347" l="1"/>
  <c r="Z135" i="347"/>
  <c r="S135" i="347"/>
  <c r="S134" i="347" s="1"/>
  <c r="Q134" i="347"/>
  <c r="Q74" i="347" s="1"/>
  <c r="AA135" i="347"/>
  <c r="AA46" i="347"/>
  <c r="AA33" i="347"/>
  <c r="Y9" i="347"/>
  <c r="Z182" i="347"/>
  <c r="R46" i="347"/>
  <c r="Y428" i="347"/>
  <c r="H428" i="347"/>
  <c r="S103" i="347"/>
  <c r="S422" i="347"/>
  <c r="S420" i="347" s="1"/>
  <c r="N9" i="347"/>
  <c r="Z158" i="347"/>
  <c r="Q157" i="347"/>
  <c r="R158" i="347"/>
  <c r="AA158" i="347"/>
  <c r="Q191" i="347"/>
  <c r="AA192" i="347"/>
  <c r="R192" i="347"/>
  <c r="Z192" i="347"/>
  <c r="Z181" i="347"/>
  <c r="AA181" i="347"/>
  <c r="R181" i="347"/>
  <c r="Z85" i="347"/>
  <c r="AA85" i="347"/>
  <c r="N428" i="347"/>
  <c r="N429" i="347" s="1"/>
  <c r="Z375" i="347"/>
  <c r="AA375" i="347"/>
  <c r="R375" i="347"/>
  <c r="Z148" i="347"/>
  <c r="AA148" i="347"/>
  <c r="R148" i="347"/>
  <c r="Q147" i="347"/>
  <c r="AA182" i="347"/>
  <c r="R10" i="347"/>
  <c r="K428" i="347"/>
  <c r="K429" i="347" s="1"/>
  <c r="K10" i="347"/>
  <c r="K9" i="347" s="1"/>
  <c r="Y420" i="347"/>
  <c r="Y429" i="347" s="1"/>
  <c r="Z317" i="347"/>
  <c r="Q316" i="347"/>
  <c r="R317" i="347"/>
  <c r="AA317" i="347"/>
  <c r="Q302" i="347"/>
  <c r="AA303" i="347"/>
  <c r="Z303" i="347"/>
  <c r="R303" i="347"/>
  <c r="AA75" i="347"/>
  <c r="Z75" i="347"/>
  <c r="AA266" i="347"/>
  <c r="R266" i="347"/>
  <c r="Z266" i="347"/>
  <c r="Q253" i="347"/>
  <c r="Z282" i="347"/>
  <c r="Q281" i="347"/>
  <c r="R282" i="347"/>
  <c r="AA282" i="347"/>
  <c r="Q422" i="347"/>
  <c r="Q420" i="347" s="1"/>
  <c r="R74" i="347"/>
  <c r="R73" i="347" s="1"/>
  <c r="Z361" i="347"/>
  <c r="AA361" i="347"/>
  <c r="Q354" i="347"/>
  <c r="R361" i="347"/>
  <c r="V428" i="347"/>
  <c r="V429" i="347" s="1"/>
  <c r="V10" i="347"/>
  <c r="V9" i="347" s="1"/>
  <c r="AA230" i="347"/>
  <c r="R230" i="347"/>
  <c r="Z230" i="347"/>
  <c r="Q214" i="347"/>
  <c r="Z32" i="347"/>
  <c r="R32" i="347"/>
  <c r="AA32" i="347"/>
  <c r="Z103" i="347"/>
  <c r="AA103" i="347"/>
  <c r="Q396" i="347"/>
  <c r="R396" i="347" s="1"/>
  <c r="R397" i="347"/>
  <c r="Z337" i="347"/>
  <c r="R337" i="347"/>
  <c r="Q336" i="347"/>
  <c r="AA337" i="347"/>
  <c r="H429" i="347"/>
  <c r="S74" i="347"/>
  <c r="AA52" i="347"/>
  <c r="R52" i="347"/>
  <c r="Q51" i="347"/>
  <c r="Z52" i="347"/>
  <c r="R422" i="347" l="1"/>
  <c r="R420" i="347" s="1"/>
  <c r="Z134" i="347"/>
  <c r="AA134" i="347"/>
  <c r="AG137" i="347"/>
  <c r="Z10" i="347"/>
  <c r="Z302" i="347"/>
  <c r="AA302" i="347"/>
  <c r="R302" i="347"/>
  <c r="AA147" i="347"/>
  <c r="R147" i="347"/>
  <c r="R146" i="347" s="1"/>
  <c r="Z147" i="347"/>
  <c r="Q146" i="347"/>
  <c r="Z191" i="347"/>
  <c r="R191" i="347"/>
  <c r="AA191" i="347"/>
  <c r="Q190" i="347"/>
  <c r="S73" i="347"/>
  <c r="S9" i="347" s="1"/>
  <c r="AD6" i="347" s="1"/>
  <c r="S428" i="347"/>
  <c r="S429" i="347" s="1"/>
  <c r="Z336" i="347"/>
  <c r="R336" i="347"/>
  <c r="AA336" i="347"/>
  <c r="AA281" i="347"/>
  <c r="R281" i="347"/>
  <c r="Z281" i="347"/>
  <c r="AA74" i="347"/>
  <c r="Z74" i="347"/>
  <c r="Q73" i="347"/>
  <c r="AA316" i="347"/>
  <c r="R316" i="347"/>
  <c r="Z316" i="347"/>
  <c r="AA51" i="347"/>
  <c r="Z51" i="347"/>
  <c r="R51" i="347"/>
  <c r="Q353" i="347"/>
  <c r="R354" i="347"/>
  <c r="AA354" i="347"/>
  <c r="Z354" i="347"/>
  <c r="AA214" i="347"/>
  <c r="R214" i="347"/>
  <c r="Z214" i="347"/>
  <c r="Q213" i="347"/>
  <c r="AA253" i="347"/>
  <c r="R253" i="347"/>
  <c r="Z253" i="347"/>
  <c r="Q252" i="347"/>
  <c r="AA10" i="347"/>
  <c r="AA157" i="347"/>
  <c r="Z157" i="347"/>
  <c r="R157" i="347"/>
  <c r="Z213" i="347" l="1"/>
  <c r="AA213" i="347"/>
  <c r="R213" i="347"/>
  <c r="Z73" i="347"/>
  <c r="AD73" i="347" s="1"/>
  <c r="AA73" i="347"/>
  <c r="Z252" i="347"/>
  <c r="AA252" i="347"/>
  <c r="R252" i="347"/>
  <c r="Z353" i="347"/>
  <c r="R353" i="347"/>
  <c r="R428" i="347" s="1"/>
  <c r="R429" i="347" s="1"/>
  <c r="AA353" i="347"/>
  <c r="Q352" i="347"/>
  <c r="Q9" i="347" s="1"/>
  <c r="Q428" i="347"/>
  <c r="Q429" i="347" s="1"/>
  <c r="AA190" i="347"/>
  <c r="R190" i="347"/>
  <c r="Z190" i="347"/>
  <c r="Z146" i="347"/>
  <c r="AA146" i="347"/>
  <c r="AA352" i="347" l="1"/>
  <c r="R352" i="347"/>
  <c r="R9" i="347" s="1"/>
  <c r="Z352" i="347"/>
  <c r="AA9" i="347"/>
  <c r="Z9" i="347"/>
  <c r="AC6" i="347" s="1"/>
  <c r="I12" i="346" l="1"/>
  <c r="E14" i="142" s="1"/>
  <c r="H12" i="346"/>
  <c r="D14" i="142" s="1"/>
  <c r="G12" i="346"/>
  <c r="C14" i="142" s="1"/>
  <c r="F12" i="346"/>
  <c r="E12" i="346"/>
  <c r="O6" i="346"/>
  <c r="L12" i="346" l="1"/>
  <c r="AE28" i="345" l="1"/>
  <c r="AD28" i="345"/>
  <c r="AB28" i="345"/>
  <c r="AA28" i="345"/>
  <c r="Y28" i="345"/>
  <c r="X28" i="345"/>
  <c r="N28" i="345"/>
  <c r="J28" i="345"/>
  <c r="I28" i="345"/>
  <c r="D28" i="345"/>
  <c r="C28" i="345"/>
  <c r="AS27" i="345"/>
  <c r="AF27" i="345"/>
  <c r="AC27" i="345"/>
  <c r="Z27" i="345"/>
  <c r="H27" i="345"/>
  <c r="G27" i="345"/>
  <c r="E27" i="345"/>
  <c r="F27" i="345" s="1"/>
  <c r="M27" i="345" s="1"/>
  <c r="AS26" i="345"/>
  <c r="AF26" i="345"/>
  <c r="AC26" i="345"/>
  <c r="Z26" i="345"/>
  <c r="AG26" i="345" s="1"/>
  <c r="H26" i="345"/>
  <c r="G26" i="345"/>
  <c r="E26" i="345"/>
  <c r="F26" i="345" s="1"/>
  <c r="M26" i="345" s="1"/>
  <c r="AS25" i="345"/>
  <c r="E25" i="345"/>
  <c r="F25" i="345" s="1"/>
  <c r="AS24" i="345"/>
  <c r="E24" i="345"/>
  <c r="F24" i="345" s="1"/>
  <c r="AS23" i="345"/>
  <c r="AF23" i="345"/>
  <c r="AC23" i="345"/>
  <c r="Z23" i="345"/>
  <c r="K23" i="345"/>
  <c r="H23" i="345"/>
  <c r="G23" i="345"/>
  <c r="G28" i="345" s="1"/>
  <c r="E23" i="345"/>
  <c r="F23" i="345" s="1"/>
  <c r="L23" i="345" s="1"/>
  <c r="AS22" i="345"/>
  <c r="AF22" i="345"/>
  <c r="AC22" i="345"/>
  <c r="AG22" i="345" s="1"/>
  <c r="Z22" i="345"/>
  <c r="E22" i="345"/>
  <c r="F22" i="345" s="1"/>
  <c r="AS21" i="345"/>
  <c r="AF21" i="345"/>
  <c r="AC21" i="345"/>
  <c r="Z21" i="345"/>
  <c r="H21" i="345"/>
  <c r="E21" i="345"/>
  <c r="F21" i="345" s="1"/>
  <c r="AS20" i="345"/>
  <c r="AF20" i="345"/>
  <c r="AC20" i="345"/>
  <c r="AG20" i="345" s="1"/>
  <c r="Z20" i="345"/>
  <c r="E20" i="345"/>
  <c r="F20" i="345" s="1"/>
  <c r="AS19" i="345"/>
  <c r="AF19" i="345"/>
  <c r="AC19" i="345"/>
  <c r="Z19" i="345"/>
  <c r="H19" i="345"/>
  <c r="E19" i="345"/>
  <c r="F19" i="345" s="1"/>
  <c r="AS18" i="345"/>
  <c r="AF18" i="345"/>
  <c r="AC18" i="345"/>
  <c r="Z18" i="345"/>
  <c r="K18" i="345"/>
  <c r="H18" i="345"/>
  <c r="E18" i="345"/>
  <c r="F18" i="345" s="1"/>
  <c r="AS17" i="345"/>
  <c r="AF17" i="345"/>
  <c r="AC17" i="345"/>
  <c r="AG17" i="345" s="1"/>
  <c r="Z17" i="345"/>
  <c r="H17" i="345"/>
  <c r="E17" i="345"/>
  <c r="F17" i="345" s="1"/>
  <c r="L17" i="345" s="1"/>
  <c r="AS16" i="345"/>
  <c r="AF16" i="345"/>
  <c r="AC16" i="345"/>
  <c r="Z16" i="345"/>
  <c r="E16" i="345"/>
  <c r="F16" i="345" s="1"/>
  <c r="AS15" i="345"/>
  <c r="AF15" i="345"/>
  <c r="AC15" i="345"/>
  <c r="AG15" i="345" s="1"/>
  <c r="Z15" i="345"/>
  <c r="E15" i="345"/>
  <c r="F15" i="345" s="1"/>
  <c r="AS14" i="345"/>
  <c r="AO14" i="345"/>
  <c r="AF14" i="345"/>
  <c r="AC14" i="345"/>
  <c r="Z14" i="345"/>
  <c r="L14" i="345"/>
  <c r="E14" i="345"/>
  <c r="F14" i="345" s="1"/>
  <c r="K14" i="345" s="1"/>
  <c r="AS13" i="345"/>
  <c r="AF13" i="345"/>
  <c r="AC13" i="345"/>
  <c r="Z13" i="345"/>
  <c r="AG13" i="345" s="1"/>
  <c r="K13" i="345"/>
  <c r="E13" i="345"/>
  <c r="F13" i="345" s="1"/>
  <c r="AS12" i="345"/>
  <c r="AF12" i="345"/>
  <c r="AC12" i="345"/>
  <c r="Z12" i="345"/>
  <c r="L12" i="345"/>
  <c r="K12" i="345"/>
  <c r="H12" i="345"/>
  <c r="E12" i="345"/>
  <c r="F12" i="345" s="1"/>
  <c r="AS11" i="345"/>
  <c r="AF11" i="345"/>
  <c r="AC11" i="345"/>
  <c r="Z11" i="345"/>
  <c r="K11" i="345"/>
  <c r="H11" i="345"/>
  <c r="E11" i="345"/>
  <c r="F11" i="345" s="1"/>
  <c r="AS10" i="345"/>
  <c r="AO10" i="345"/>
  <c r="AF10" i="345"/>
  <c r="AC10" i="345"/>
  <c r="Z10" i="345"/>
  <c r="K10" i="345"/>
  <c r="H10" i="345"/>
  <c r="H28" i="345" s="1"/>
  <c r="E10" i="345"/>
  <c r="F10" i="345" s="1"/>
  <c r="AS9" i="345"/>
  <c r="AO9" i="345"/>
  <c r="AF9" i="345"/>
  <c r="AC9" i="345"/>
  <c r="Z9" i="345"/>
  <c r="E9" i="345"/>
  <c r="AE28" i="344"/>
  <c r="AD28" i="344"/>
  <c r="AB28" i="344"/>
  <c r="AA28" i="344"/>
  <c r="Y28" i="344"/>
  <c r="X28" i="344"/>
  <c r="N28" i="344"/>
  <c r="J28" i="344"/>
  <c r="I28" i="344"/>
  <c r="D28" i="344"/>
  <c r="C28" i="344"/>
  <c r="AS27" i="344"/>
  <c r="AF27" i="344"/>
  <c r="AC27" i="344"/>
  <c r="Z27" i="344"/>
  <c r="H27" i="344"/>
  <c r="G27" i="344"/>
  <c r="E27" i="344"/>
  <c r="F27" i="344" s="1"/>
  <c r="AS26" i="344"/>
  <c r="AG26" i="344"/>
  <c r="AH26" i="344" s="1"/>
  <c r="AF26" i="344"/>
  <c r="AC26" i="344"/>
  <c r="Z26" i="344"/>
  <c r="H26" i="344"/>
  <c r="G26" i="344"/>
  <c r="E26" i="344"/>
  <c r="F26" i="344" s="1"/>
  <c r="AS25" i="344"/>
  <c r="F25" i="344"/>
  <c r="E25" i="344"/>
  <c r="AS24" i="344"/>
  <c r="E24" i="344"/>
  <c r="F24" i="344" s="1"/>
  <c r="AS23" i="344"/>
  <c r="AF23" i="344"/>
  <c r="AC23" i="344"/>
  <c r="Z23" i="344"/>
  <c r="AG23" i="344" s="1"/>
  <c r="AH23" i="344" s="1"/>
  <c r="K23" i="344"/>
  <c r="H23" i="344"/>
  <c r="G23" i="344"/>
  <c r="G28" i="344" s="1"/>
  <c r="E23" i="344"/>
  <c r="F23" i="344" s="1"/>
  <c r="L23" i="344" s="1"/>
  <c r="AS22" i="344"/>
  <c r="AF22" i="344"/>
  <c r="AC22" i="344"/>
  <c r="Z22" i="344"/>
  <c r="AG22" i="344" s="1"/>
  <c r="AH22" i="344" s="1"/>
  <c r="E22" i="344"/>
  <c r="F22" i="344" s="1"/>
  <c r="AS21" i="344"/>
  <c r="AF21" i="344"/>
  <c r="AC21" i="344"/>
  <c r="Z21" i="344"/>
  <c r="H21" i="344"/>
  <c r="E21" i="344"/>
  <c r="F21" i="344" s="1"/>
  <c r="AS20" i="344"/>
  <c r="AF20" i="344"/>
  <c r="AC20" i="344"/>
  <c r="Z20" i="344"/>
  <c r="AG20" i="344" s="1"/>
  <c r="AH20" i="344" s="1"/>
  <c r="E20" i="344"/>
  <c r="F20" i="344" s="1"/>
  <c r="AS19" i="344"/>
  <c r="AF19" i="344"/>
  <c r="AC19" i="344"/>
  <c r="Z19" i="344"/>
  <c r="H19" i="344"/>
  <c r="E19" i="344"/>
  <c r="F19" i="344" s="1"/>
  <c r="AS18" i="344"/>
  <c r="AF18" i="344"/>
  <c r="AC18" i="344"/>
  <c r="Z18" i="344"/>
  <c r="K18" i="344"/>
  <c r="H18" i="344"/>
  <c r="E18" i="344"/>
  <c r="F18" i="344" s="1"/>
  <c r="AS17" i="344"/>
  <c r="AF17" i="344"/>
  <c r="AG17" i="344" s="1"/>
  <c r="AC17" i="344"/>
  <c r="Z17" i="344"/>
  <c r="AH17" i="344" s="1"/>
  <c r="H17" i="344"/>
  <c r="E17" i="344"/>
  <c r="F17" i="344" s="1"/>
  <c r="AS16" i="344"/>
  <c r="AF16" i="344"/>
  <c r="AC16" i="344"/>
  <c r="Z16" i="344"/>
  <c r="E16" i="344"/>
  <c r="F16" i="344" s="1"/>
  <c r="L16" i="344" s="1"/>
  <c r="AS15" i="344"/>
  <c r="AF15" i="344"/>
  <c r="AC15" i="344"/>
  <c r="Z15" i="344"/>
  <c r="E15" i="344"/>
  <c r="F15" i="344" s="1"/>
  <c r="AS14" i="344"/>
  <c r="AO14" i="344"/>
  <c r="AF14" i="344"/>
  <c r="AC14" i="344"/>
  <c r="Z14" i="344"/>
  <c r="L14" i="344"/>
  <c r="E14" i="344"/>
  <c r="F14" i="344" s="1"/>
  <c r="AS13" i="344"/>
  <c r="AF13" i="344"/>
  <c r="AF28" i="344" s="1"/>
  <c r="AC13" i="344"/>
  <c r="Z13" i="344"/>
  <c r="K13" i="344"/>
  <c r="F13" i="344"/>
  <c r="L13" i="344" s="1"/>
  <c r="E13" i="344"/>
  <c r="AS12" i="344"/>
  <c r="AF12" i="344"/>
  <c r="AC12" i="344"/>
  <c r="Z12" i="344"/>
  <c r="K12" i="344"/>
  <c r="H12" i="344"/>
  <c r="F12" i="344"/>
  <c r="L12" i="344" s="1"/>
  <c r="E12" i="344"/>
  <c r="AS11" i="344"/>
  <c r="AH11" i="344"/>
  <c r="AF11" i="344"/>
  <c r="AC11" i="344"/>
  <c r="Z11" i="344"/>
  <c r="AG11" i="344" s="1"/>
  <c r="K11" i="344"/>
  <c r="H11" i="344"/>
  <c r="E11" i="344"/>
  <c r="F11" i="344" s="1"/>
  <c r="AS10" i="344"/>
  <c r="AO10" i="344"/>
  <c r="AF10" i="344"/>
  <c r="AC10" i="344"/>
  <c r="Z10" i="344"/>
  <c r="AG10" i="344" s="1"/>
  <c r="K10" i="344"/>
  <c r="H10" i="344"/>
  <c r="E10" i="344"/>
  <c r="F10" i="344" s="1"/>
  <c r="AS9" i="344"/>
  <c r="AO9" i="344"/>
  <c r="AF9" i="344"/>
  <c r="AC9" i="344"/>
  <c r="Z9" i="344"/>
  <c r="E9" i="344"/>
  <c r="K19" i="344" l="1"/>
  <c r="L19" i="344"/>
  <c r="AG13" i="344"/>
  <c r="AH13" i="344" s="1"/>
  <c r="E28" i="345"/>
  <c r="AG15" i="344"/>
  <c r="AH15" i="344" s="1"/>
  <c r="K16" i="344"/>
  <c r="M26" i="344"/>
  <c r="M27" i="344"/>
  <c r="O27" i="344" s="1"/>
  <c r="AH15" i="345"/>
  <c r="AH17" i="345"/>
  <c r="AH22" i="345"/>
  <c r="AH10" i="344"/>
  <c r="H28" i="344"/>
  <c r="AG18" i="344"/>
  <c r="AH18" i="344" s="1"/>
  <c r="AH13" i="345"/>
  <c r="AG23" i="345"/>
  <c r="AH26" i="345"/>
  <c r="L13" i="345"/>
  <c r="M13" i="345" s="1"/>
  <c r="O26" i="345"/>
  <c r="P26" i="345" s="1"/>
  <c r="AG11" i="345"/>
  <c r="AH11" i="345" s="1"/>
  <c r="L18" i="345"/>
  <c r="M18" i="345" s="1"/>
  <c r="AH23" i="345"/>
  <c r="L25" i="345"/>
  <c r="M25" i="345" s="1"/>
  <c r="F9" i="345"/>
  <c r="AC28" i="345"/>
  <c r="AF28" i="345"/>
  <c r="L16" i="345"/>
  <c r="K19" i="345"/>
  <c r="L20" i="345"/>
  <c r="K20" i="345"/>
  <c r="M20" i="345" s="1"/>
  <c r="AH20" i="345"/>
  <c r="M23" i="345"/>
  <c r="O27" i="345"/>
  <c r="P27" i="345" s="1"/>
  <c r="K16" i="345"/>
  <c r="M16" i="345" s="1"/>
  <c r="AH16" i="345"/>
  <c r="AG16" i="345"/>
  <c r="M21" i="345"/>
  <c r="L21" i="345"/>
  <c r="L10" i="345"/>
  <c r="M10" i="345" s="1"/>
  <c r="L11" i="345"/>
  <c r="M11" i="345" s="1"/>
  <c r="L15" i="345"/>
  <c r="K15" i="345"/>
  <c r="M17" i="345"/>
  <c r="L19" i="345"/>
  <c r="AG21" i="345"/>
  <c r="AH21" i="345" s="1"/>
  <c r="L22" i="345"/>
  <c r="K22" i="345"/>
  <c r="L24" i="345"/>
  <c r="M24" i="345" s="1"/>
  <c r="AH27" i="345"/>
  <c r="AG27" i="345"/>
  <c r="AG9" i="345"/>
  <c r="Z28" i="345"/>
  <c r="M12" i="345"/>
  <c r="AG19" i="345"/>
  <c r="AH19" i="345" s="1"/>
  <c r="AG10" i="345"/>
  <c r="AH10" i="345" s="1"/>
  <c r="AH12" i="345"/>
  <c r="AG12" i="345"/>
  <c r="M14" i="345"/>
  <c r="AG14" i="345"/>
  <c r="AH14" i="345" s="1"/>
  <c r="AG18" i="345"/>
  <c r="AH18" i="345" s="1"/>
  <c r="L17" i="344"/>
  <c r="M17" i="344"/>
  <c r="M24" i="344"/>
  <c r="L15" i="344"/>
  <c r="K15" i="344"/>
  <c r="L22" i="344"/>
  <c r="K22" i="344"/>
  <c r="M22" i="344" s="1"/>
  <c r="O26" i="344"/>
  <c r="P26" i="344" s="1"/>
  <c r="AG9" i="344"/>
  <c r="AH9" i="344" s="1"/>
  <c r="Z28" i="344"/>
  <c r="L20" i="344"/>
  <c r="K20" i="344"/>
  <c r="M23" i="344"/>
  <c r="AH27" i="344"/>
  <c r="AG27" i="344"/>
  <c r="AC28" i="344"/>
  <c r="M12" i="344"/>
  <c r="M19" i="344"/>
  <c r="AG21" i="344"/>
  <c r="AH21" i="344" s="1"/>
  <c r="L24" i="344"/>
  <c r="E28" i="344"/>
  <c r="M10" i="344"/>
  <c r="L10" i="344"/>
  <c r="AG12" i="344"/>
  <c r="AH12" i="344" s="1"/>
  <c r="M13" i="344"/>
  <c r="AG14" i="344"/>
  <c r="AH14" i="344" s="1"/>
  <c r="AG19" i="344"/>
  <c r="AH19" i="344" s="1"/>
  <c r="L25" i="344"/>
  <c r="M25" i="344" s="1"/>
  <c r="F9" i="344"/>
  <c r="L11" i="344"/>
  <c r="M11" i="344" s="1"/>
  <c r="K14" i="344"/>
  <c r="K28" i="344" s="1"/>
  <c r="M16" i="344"/>
  <c r="AG16" i="344"/>
  <c r="AH16" i="344" s="1"/>
  <c r="L18" i="344"/>
  <c r="M18" i="344" s="1"/>
  <c r="L21" i="344"/>
  <c r="M21" i="344" s="1"/>
  <c r="P27" i="344"/>
  <c r="M20" i="344" l="1"/>
  <c r="M15" i="344"/>
  <c r="M15" i="345"/>
  <c r="M19" i="345"/>
  <c r="R27" i="345"/>
  <c r="Q27" i="345"/>
  <c r="S27" i="345" s="1"/>
  <c r="O18" i="345"/>
  <c r="P18" i="345" s="1"/>
  <c r="O10" i="345"/>
  <c r="P10" i="345" s="1"/>
  <c r="O19" i="345"/>
  <c r="P19" i="345" s="1"/>
  <c r="O25" i="345"/>
  <c r="P25" i="345"/>
  <c r="Q26" i="345"/>
  <c r="R26" i="345"/>
  <c r="O24" i="345"/>
  <c r="P24" i="345" s="1"/>
  <c r="O16" i="345"/>
  <c r="P16" i="345"/>
  <c r="O13" i="345"/>
  <c r="P13" i="345" s="1"/>
  <c r="O15" i="345"/>
  <c r="P15" i="345" s="1"/>
  <c r="P23" i="345"/>
  <c r="O23" i="345"/>
  <c r="F28" i="345"/>
  <c r="L9" i="345"/>
  <c r="L28" i="345" s="1"/>
  <c r="O20" i="345"/>
  <c r="P20" i="345" s="1"/>
  <c r="O14" i="345"/>
  <c r="P14" i="345" s="1"/>
  <c r="AG28" i="345"/>
  <c r="AH9" i="345"/>
  <c r="AH28" i="345" s="1"/>
  <c r="K32" i="345" s="1"/>
  <c r="E12" i="191" s="1"/>
  <c r="M22" i="345"/>
  <c r="O12" i="345"/>
  <c r="P12" i="345" s="1"/>
  <c r="O21" i="345"/>
  <c r="P21" i="345"/>
  <c r="O17" i="345"/>
  <c r="P17" i="345" s="1"/>
  <c r="O11" i="345"/>
  <c r="P11" i="345" s="1"/>
  <c r="K28" i="345"/>
  <c r="O18" i="344"/>
  <c r="P18" i="344" s="1"/>
  <c r="O11" i="344"/>
  <c r="P11" i="344" s="1"/>
  <c r="O20" i="344"/>
  <c r="P20" i="344" s="1"/>
  <c r="Q26" i="344"/>
  <c r="R26" i="344"/>
  <c r="O15" i="344"/>
  <c r="P15" i="344" s="1"/>
  <c r="O25" i="344"/>
  <c r="P25" i="344"/>
  <c r="O16" i="344"/>
  <c r="P16" i="344"/>
  <c r="AH28" i="344"/>
  <c r="K32" i="344" s="1"/>
  <c r="D12" i="191" s="1"/>
  <c r="P13" i="344"/>
  <c r="O13" i="344"/>
  <c r="O10" i="344"/>
  <c r="P10" i="344" s="1"/>
  <c r="O19" i="344"/>
  <c r="P19" i="344" s="1"/>
  <c r="O22" i="344"/>
  <c r="P22" i="344" s="1"/>
  <c r="O17" i="344"/>
  <c r="P17" i="344" s="1"/>
  <c r="F28" i="344"/>
  <c r="L9" i="344"/>
  <c r="L28" i="344" s="1"/>
  <c r="O12" i="344"/>
  <c r="P12" i="344"/>
  <c r="O23" i="344"/>
  <c r="P23" i="344" s="1"/>
  <c r="AG28" i="344"/>
  <c r="R27" i="344"/>
  <c r="Q27" i="344"/>
  <c r="O21" i="344"/>
  <c r="P21" i="344"/>
  <c r="O24" i="344"/>
  <c r="P24" i="344" s="1"/>
  <c r="M14" i="344"/>
  <c r="S27" i="344" l="1"/>
  <c r="T27" i="344" s="1"/>
  <c r="V27" i="344" s="1"/>
  <c r="M9" i="345"/>
  <c r="O9" i="345" s="1"/>
  <c r="O28" i="345" s="1"/>
  <c r="R12" i="345"/>
  <c r="S12" i="345" s="1"/>
  <c r="Q12" i="345"/>
  <c r="R14" i="345"/>
  <c r="Q14" i="345"/>
  <c r="Q20" i="345"/>
  <c r="T20" i="345" s="1"/>
  <c r="V20" i="345" s="1"/>
  <c r="R20" i="345"/>
  <c r="S20" i="345"/>
  <c r="R18" i="345"/>
  <c r="Q18" i="345"/>
  <c r="R19" i="345"/>
  <c r="Q19" i="345"/>
  <c r="S19" i="345" s="1"/>
  <c r="R11" i="345"/>
  <c r="Q11" i="345"/>
  <c r="Q15" i="345"/>
  <c r="R15" i="345"/>
  <c r="O22" i="345"/>
  <c r="P22" i="345" s="1"/>
  <c r="R16" i="345"/>
  <c r="Q16" i="345"/>
  <c r="R25" i="345"/>
  <c r="Q25" i="345"/>
  <c r="R10" i="345"/>
  <c r="Q10" i="345"/>
  <c r="S10" i="345" s="1"/>
  <c r="T10" i="345" s="1"/>
  <c r="V10" i="345" s="1"/>
  <c r="S26" i="345"/>
  <c r="T26" i="345" s="1"/>
  <c r="V26" i="345" s="1"/>
  <c r="T27" i="345"/>
  <c r="V27" i="345" s="1"/>
  <c r="R21" i="345"/>
  <c r="Q21" i="345"/>
  <c r="S21" i="345" s="1"/>
  <c r="T21" i="345" s="1"/>
  <c r="V21" i="345" s="1"/>
  <c r="M28" i="345"/>
  <c r="Q17" i="345"/>
  <c r="S17" i="345" s="1"/>
  <c r="T17" i="345" s="1"/>
  <c r="V17" i="345" s="1"/>
  <c r="R17" i="345"/>
  <c r="Q23" i="345"/>
  <c r="S23" i="345" s="1"/>
  <c r="T23" i="345" s="1"/>
  <c r="V23" i="345" s="1"/>
  <c r="R23" i="345"/>
  <c r="Q13" i="345"/>
  <c r="S13" i="345" s="1"/>
  <c r="T13" i="345" s="1"/>
  <c r="V13" i="345" s="1"/>
  <c r="R13" i="345"/>
  <c r="S24" i="345"/>
  <c r="Q24" i="345"/>
  <c r="R24" i="345"/>
  <c r="R10" i="344"/>
  <c r="Q10" i="344"/>
  <c r="S10" i="344" s="1"/>
  <c r="Q15" i="344"/>
  <c r="R15" i="344"/>
  <c r="R11" i="344"/>
  <c r="Q11" i="344"/>
  <c r="W27" i="344"/>
  <c r="AK27" i="344"/>
  <c r="AL27" i="344" s="1"/>
  <c r="AI27" i="344"/>
  <c r="R18" i="344"/>
  <c r="Q18" i="344"/>
  <c r="Q22" i="344"/>
  <c r="S22" i="344" s="1"/>
  <c r="T22" i="344" s="1"/>
  <c r="V22" i="344" s="1"/>
  <c r="R22" i="344"/>
  <c r="Q23" i="344"/>
  <c r="S23" i="344" s="1"/>
  <c r="T23" i="344" s="1"/>
  <c r="V23" i="344" s="1"/>
  <c r="R23" i="344"/>
  <c r="R19" i="344"/>
  <c r="S19" i="344" s="1"/>
  <c r="Q19" i="344"/>
  <c r="Q20" i="344"/>
  <c r="S20" i="344" s="1"/>
  <c r="T20" i="344" s="1"/>
  <c r="V20" i="344" s="1"/>
  <c r="R20" i="344"/>
  <c r="Q24" i="344"/>
  <c r="R24" i="344"/>
  <c r="S24" i="344" s="1"/>
  <c r="T24" i="344" s="1"/>
  <c r="V24" i="344" s="1"/>
  <c r="W24" i="344" s="1"/>
  <c r="Q17" i="344"/>
  <c r="R17" i="344"/>
  <c r="Q13" i="344"/>
  <c r="R13" i="344"/>
  <c r="R25" i="344"/>
  <c r="Q25" i="344"/>
  <c r="R21" i="344"/>
  <c r="Q21" i="344"/>
  <c r="M9" i="344"/>
  <c r="S26" i="344"/>
  <c r="T26" i="344" s="1"/>
  <c r="V26" i="344" s="1"/>
  <c r="O14" i="344"/>
  <c r="P14" i="344"/>
  <c r="R12" i="344"/>
  <c r="Q12" i="344"/>
  <c r="R16" i="344"/>
  <c r="Q16" i="344"/>
  <c r="T25" i="344" l="1"/>
  <c r="V25" i="344" s="1"/>
  <c r="W25" i="344" s="1"/>
  <c r="T24" i="345"/>
  <c r="V24" i="345" s="1"/>
  <c r="W24" i="345" s="1"/>
  <c r="S12" i="344"/>
  <c r="T12" i="344" s="1"/>
  <c r="V12" i="344" s="1"/>
  <c r="S25" i="344"/>
  <c r="S17" i="344"/>
  <c r="T17" i="344" s="1"/>
  <c r="V17" i="344" s="1"/>
  <c r="W17" i="344" s="1"/>
  <c r="S15" i="344"/>
  <c r="T15" i="344" s="1"/>
  <c r="V15" i="344" s="1"/>
  <c r="W15" i="344" s="1"/>
  <c r="S25" i="345"/>
  <c r="T25" i="345" s="1"/>
  <c r="V25" i="345" s="1"/>
  <c r="W25" i="345" s="1"/>
  <c r="S21" i="344"/>
  <c r="T21" i="344" s="1"/>
  <c r="V21" i="344" s="1"/>
  <c r="S13" i="344"/>
  <c r="T13" i="344" s="1"/>
  <c r="V13" i="344" s="1"/>
  <c r="AK13" i="344" s="1"/>
  <c r="AL13" i="344" s="1"/>
  <c r="T19" i="344"/>
  <c r="V19" i="344" s="1"/>
  <c r="S15" i="345"/>
  <c r="T15" i="345" s="1"/>
  <c r="V15" i="345" s="1"/>
  <c r="S14" i="345"/>
  <c r="AK13" i="345"/>
  <c r="AL13" i="345" s="1"/>
  <c r="AI13" i="345"/>
  <c r="W13" i="345"/>
  <c r="AK17" i="345"/>
  <c r="AL17" i="345" s="1"/>
  <c r="AI17" i="345"/>
  <c r="W17" i="345"/>
  <c r="AK23" i="345"/>
  <c r="AL23" i="345" s="1"/>
  <c r="AI23" i="345"/>
  <c r="W23" i="345"/>
  <c r="AK26" i="345"/>
  <c r="AL26" i="345" s="1"/>
  <c r="AI26" i="345"/>
  <c r="W26" i="345"/>
  <c r="AK15" i="345"/>
  <c r="AL15" i="345" s="1"/>
  <c r="AI15" i="345"/>
  <c r="W15" i="345"/>
  <c r="AK10" i="345"/>
  <c r="AI10" i="345"/>
  <c r="W21" i="345"/>
  <c r="AI21" i="345"/>
  <c r="AK21" i="345"/>
  <c r="AL21" i="345" s="1"/>
  <c r="S16" i="345"/>
  <c r="T16" i="345" s="1"/>
  <c r="V16" i="345" s="1"/>
  <c r="S11" i="345"/>
  <c r="T11" i="345" s="1"/>
  <c r="V11" i="345" s="1"/>
  <c r="S18" i="345"/>
  <c r="T18" i="345" s="1"/>
  <c r="V18" i="345" s="1"/>
  <c r="T14" i="345"/>
  <c r="V14" i="345" s="1"/>
  <c r="T12" i="345"/>
  <c r="V12" i="345" s="1"/>
  <c r="P9" i="345"/>
  <c r="T19" i="345"/>
  <c r="V19" i="345" s="1"/>
  <c r="Q22" i="345"/>
  <c r="R22" i="345"/>
  <c r="S22" i="345" s="1"/>
  <c r="AK20" i="345"/>
  <c r="AL20" i="345" s="1"/>
  <c r="AI20" i="345"/>
  <c r="W20" i="345"/>
  <c r="W27" i="345"/>
  <c r="AK27" i="345"/>
  <c r="AL27" i="345" s="1"/>
  <c r="AI27" i="345"/>
  <c r="AK20" i="344"/>
  <c r="AL20" i="344" s="1"/>
  <c r="AI20" i="344"/>
  <c r="W20" i="344"/>
  <c r="AK23" i="344"/>
  <c r="AL23" i="344" s="1"/>
  <c r="AI23" i="344"/>
  <c r="W23" i="344"/>
  <c r="T11" i="344"/>
  <c r="V11" i="344" s="1"/>
  <c r="W19" i="344"/>
  <c r="AK19" i="344"/>
  <c r="AL19" i="344" s="1"/>
  <c r="AI19" i="344"/>
  <c r="AK26" i="344"/>
  <c r="AL26" i="344" s="1"/>
  <c r="AI26" i="344"/>
  <c r="W26" i="344"/>
  <c r="AK22" i="344"/>
  <c r="AL22" i="344" s="1"/>
  <c r="AI22" i="344"/>
  <c r="W22" i="344"/>
  <c r="AK17" i="344"/>
  <c r="AL17" i="344" s="1"/>
  <c r="AI17" i="344"/>
  <c r="AI15" i="344"/>
  <c r="S16" i="344"/>
  <c r="T16" i="344" s="1"/>
  <c r="V16" i="344" s="1"/>
  <c r="M28" i="344"/>
  <c r="O9" i="344"/>
  <c r="O28" i="344" s="1"/>
  <c r="R14" i="344"/>
  <c r="Q14" i="344"/>
  <c r="S18" i="344"/>
  <c r="T18" i="344" s="1"/>
  <c r="V18" i="344" s="1"/>
  <c r="S11" i="344"/>
  <c r="T10" i="344"/>
  <c r="V10" i="344" s="1"/>
  <c r="AK21" i="344" l="1"/>
  <c r="AL21" i="344" s="1"/>
  <c r="W21" i="344"/>
  <c r="AI21" i="344"/>
  <c r="AI12" i="344"/>
  <c r="W12" i="344"/>
  <c r="AK12" i="344"/>
  <c r="AL12" i="344" s="1"/>
  <c r="AK15" i="344"/>
  <c r="AL15" i="344" s="1"/>
  <c r="W13" i="344"/>
  <c r="AI13" i="344"/>
  <c r="S14" i="344"/>
  <c r="T14" i="344" s="1"/>
  <c r="V14" i="344" s="1"/>
  <c r="W11" i="345"/>
  <c r="AK11" i="345"/>
  <c r="AL11" i="345" s="1"/>
  <c r="AI11" i="345"/>
  <c r="W18" i="345"/>
  <c r="AK18" i="345"/>
  <c r="AL18" i="345" s="1"/>
  <c r="AI18" i="345"/>
  <c r="W16" i="345"/>
  <c r="AK16" i="345"/>
  <c r="AL16" i="345" s="1"/>
  <c r="AI16" i="345"/>
  <c r="T22" i="345"/>
  <c r="V22" i="345" s="1"/>
  <c r="W12" i="345"/>
  <c r="AK12" i="345"/>
  <c r="AL12" i="345" s="1"/>
  <c r="AI12" i="345"/>
  <c r="AK14" i="345"/>
  <c r="AI14" i="345"/>
  <c r="W19" i="345"/>
  <c r="AK19" i="345"/>
  <c r="AL19" i="345" s="1"/>
  <c r="AI19" i="345"/>
  <c r="R9" i="345"/>
  <c r="R28" i="345" s="1"/>
  <c r="Q9" i="345"/>
  <c r="Q28" i="345" s="1"/>
  <c r="P28" i="345"/>
  <c r="AP10" i="345"/>
  <c r="AL10" i="345"/>
  <c r="AM10" i="345" s="1"/>
  <c r="AN10" i="345"/>
  <c r="AQ10" i="345" s="1"/>
  <c r="W10" i="345" s="1"/>
  <c r="W18" i="344"/>
  <c r="AK18" i="344"/>
  <c r="AL18" i="344" s="1"/>
  <c r="AI18" i="344"/>
  <c r="W16" i="344"/>
  <c r="AK16" i="344"/>
  <c r="AL16" i="344" s="1"/>
  <c r="AI16" i="344"/>
  <c r="W11" i="344"/>
  <c r="AK11" i="344"/>
  <c r="AL11" i="344" s="1"/>
  <c r="AI11" i="344"/>
  <c r="AK10" i="344"/>
  <c r="AI10" i="344"/>
  <c r="P9" i="344"/>
  <c r="AK14" i="344" l="1"/>
  <c r="AI14" i="344"/>
  <c r="AN14" i="345"/>
  <c r="AQ14" i="345" s="1"/>
  <c r="W14" i="345" s="1"/>
  <c r="AL14" i="345"/>
  <c r="AP14" i="345"/>
  <c r="S9" i="345"/>
  <c r="AK22" i="345"/>
  <c r="AL22" i="345" s="1"/>
  <c r="AI22" i="345"/>
  <c r="W22" i="345"/>
  <c r="R9" i="344"/>
  <c r="R28" i="344" s="1"/>
  <c r="Q9" i="344"/>
  <c r="Q28" i="344" s="1"/>
  <c r="P28" i="344"/>
  <c r="AP10" i="344"/>
  <c r="AL10" i="344"/>
  <c r="AM10" i="344" s="1"/>
  <c r="AN10" i="344"/>
  <c r="AN14" i="344"/>
  <c r="AQ14" i="344" s="1"/>
  <c r="W14" i="344" s="1"/>
  <c r="AL14" i="344"/>
  <c r="AP14" i="344"/>
  <c r="S28" i="345" l="1"/>
  <c r="T9" i="345"/>
  <c r="S9" i="344"/>
  <c r="S28" i="344" s="1"/>
  <c r="AQ10" i="344"/>
  <c r="W10" i="344" s="1"/>
  <c r="V9" i="345" l="1"/>
  <c r="T28" i="345"/>
  <c r="T9" i="344"/>
  <c r="V28" i="345" l="1"/>
  <c r="I32" i="345" s="1"/>
  <c r="E10" i="136" s="1"/>
  <c r="AK9" i="345"/>
  <c r="AI9" i="345"/>
  <c r="V9" i="344"/>
  <c r="T28" i="344"/>
  <c r="AP9" i="345" l="1"/>
  <c r="AL9" i="345"/>
  <c r="AM9" i="345" s="1"/>
  <c r="AN9" i="345"/>
  <c r="V28" i="344"/>
  <c r="I32" i="344" s="1"/>
  <c r="D10" i="136" s="1"/>
  <c r="AK9" i="344"/>
  <c r="AI9" i="344"/>
  <c r="AQ9" i="345" l="1"/>
  <c r="W9" i="345" s="1"/>
  <c r="W28" i="345" s="1"/>
  <c r="J32" i="345" s="1"/>
  <c r="E10" i="137" s="1"/>
  <c r="AP9" i="344"/>
  <c r="AL9" i="344"/>
  <c r="AM9" i="344" s="1"/>
  <c r="AN9" i="344"/>
  <c r="AQ9" i="344" l="1"/>
  <c r="W9" i="344" s="1"/>
  <c r="W28" i="344" s="1"/>
  <c r="J32" i="344" s="1"/>
  <c r="D10" i="137" s="1"/>
  <c r="AE28" i="343" l="1"/>
  <c r="AD28" i="343"/>
  <c r="AB28" i="343"/>
  <c r="AA28" i="343"/>
  <c r="Y28" i="343"/>
  <c r="X28" i="343"/>
  <c r="N28" i="343"/>
  <c r="J28" i="343"/>
  <c r="I28" i="343"/>
  <c r="D28" i="343"/>
  <c r="C28" i="343"/>
  <c r="AS27" i="343"/>
  <c r="AF27" i="343"/>
  <c r="AC27" i="343"/>
  <c r="Z27" i="343"/>
  <c r="H27" i="343"/>
  <c r="G27" i="343"/>
  <c r="E27" i="343"/>
  <c r="F27" i="343" s="1"/>
  <c r="AS26" i="343"/>
  <c r="AF26" i="343"/>
  <c r="AC26" i="343"/>
  <c r="Z26" i="343"/>
  <c r="H26" i="343"/>
  <c r="G26" i="343"/>
  <c r="E26" i="343"/>
  <c r="F26" i="343" s="1"/>
  <c r="AS25" i="343"/>
  <c r="E25" i="343"/>
  <c r="F25" i="343" s="1"/>
  <c r="AS24" i="343"/>
  <c r="E24" i="343"/>
  <c r="F24" i="343" s="1"/>
  <c r="L24" i="343" s="1"/>
  <c r="AS23" i="343"/>
  <c r="AF23" i="343"/>
  <c r="AC23" i="343"/>
  <c r="Z23" i="343"/>
  <c r="K23" i="343"/>
  <c r="H23" i="343"/>
  <c r="G23" i="343"/>
  <c r="E23" i="343"/>
  <c r="F23" i="343" s="1"/>
  <c r="AS22" i="343"/>
  <c r="AF22" i="343"/>
  <c r="AC22" i="343"/>
  <c r="Z22" i="343"/>
  <c r="E22" i="343"/>
  <c r="F22" i="343" s="1"/>
  <c r="K22" i="343" s="1"/>
  <c r="AS21" i="343"/>
  <c r="AF21" i="343"/>
  <c r="AC21" i="343"/>
  <c r="Z21" i="343"/>
  <c r="H21" i="343"/>
  <c r="E21" i="343"/>
  <c r="F21" i="343" s="1"/>
  <c r="L21" i="343" s="1"/>
  <c r="AS20" i="343"/>
  <c r="AF20" i="343"/>
  <c r="AC20" i="343"/>
  <c r="Z20" i="343"/>
  <c r="E20" i="343"/>
  <c r="F20" i="343" s="1"/>
  <c r="K20" i="343" s="1"/>
  <c r="AS19" i="343"/>
  <c r="AF19" i="343"/>
  <c r="AC19" i="343"/>
  <c r="Z19" i="343"/>
  <c r="H19" i="343"/>
  <c r="E19" i="343"/>
  <c r="F19" i="343" s="1"/>
  <c r="AS18" i="343"/>
  <c r="AF18" i="343"/>
  <c r="AC18" i="343"/>
  <c r="Z18" i="343"/>
  <c r="K18" i="343"/>
  <c r="H18" i="343"/>
  <c r="E18" i="343"/>
  <c r="F18" i="343" s="1"/>
  <c r="AS17" i="343"/>
  <c r="AF17" i="343"/>
  <c r="AC17" i="343"/>
  <c r="Z17" i="343"/>
  <c r="H17" i="343"/>
  <c r="E17" i="343"/>
  <c r="F17" i="343" s="1"/>
  <c r="AS16" i="343"/>
  <c r="AF16" i="343"/>
  <c r="AC16" i="343"/>
  <c r="Z16" i="343"/>
  <c r="E16" i="343"/>
  <c r="F16" i="343" s="1"/>
  <c r="K16" i="343" s="1"/>
  <c r="AS15" i="343"/>
  <c r="AF15" i="343"/>
  <c r="AC15" i="343"/>
  <c r="Z15" i="343"/>
  <c r="E15" i="343"/>
  <c r="F15" i="343" s="1"/>
  <c r="AS14" i="343"/>
  <c r="AO14" i="343"/>
  <c r="AF14" i="343"/>
  <c r="AC14" i="343"/>
  <c r="Z14" i="343"/>
  <c r="E14" i="343"/>
  <c r="F14" i="343" s="1"/>
  <c r="K14" i="343" s="1"/>
  <c r="AS13" i="343"/>
  <c r="AF13" i="343"/>
  <c r="AC13" i="343"/>
  <c r="Z13" i="343"/>
  <c r="K13" i="343"/>
  <c r="E13" i="343"/>
  <c r="F13" i="343" s="1"/>
  <c r="AS12" i="343"/>
  <c r="AF12" i="343"/>
  <c r="AC12" i="343"/>
  <c r="Z12" i="343"/>
  <c r="H12" i="343"/>
  <c r="E12" i="343"/>
  <c r="F12" i="343" s="1"/>
  <c r="AS11" i="343"/>
  <c r="AF11" i="343"/>
  <c r="AC11" i="343"/>
  <c r="Z11" i="343"/>
  <c r="K11" i="343"/>
  <c r="H11" i="343"/>
  <c r="E11" i="343"/>
  <c r="F11" i="343" s="1"/>
  <c r="AS10" i="343"/>
  <c r="AO10" i="343"/>
  <c r="AF10" i="343"/>
  <c r="AC10" i="343"/>
  <c r="Z10" i="343"/>
  <c r="K10" i="343"/>
  <c r="H10" i="343"/>
  <c r="E10" i="343"/>
  <c r="F10" i="343" s="1"/>
  <c r="AS9" i="343"/>
  <c r="AO9" i="343"/>
  <c r="AF9" i="343"/>
  <c r="AC9" i="343"/>
  <c r="Z9" i="343"/>
  <c r="E9" i="343"/>
  <c r="F9" i="343" s="1"/>
  <c r="M21" i="343" l="1"/>
  <c r="AG21" i="343"/>
  <c r="G28" i="343"/>
  <c r="AG14" i="343"/>
  <c r="AH14" i="343" s="1"/>
  <c r="AG16" i="343"/>
  <c r="AH16" i="343" s="1"/>
  <c r="M26" i="343"/>
  <c r="O26" i="343" s="1"/>
  <c r="P26" i="343" s="1"/>
  <c r="AG27" i="343"/>
  <c r="AH27" i="343" s="1"/>
  <c r="AG12" i="343"/>
  <c r="AH12" i="343" s="1"/>
  <c r="AG20" i="343"/>
  <c r="AH20" i="343" s="1"/>
  <c r="AG13" i="343"/>
  <c r="AH13" i="343" s="1"/>
  <c r="AG26" i="343"/>
  <c r="AH26" i="343" s="1"/>
  <c r="L14" i="343"/>
  <c r="M14" i="343" s="1"/>
  <c r="O14" i="343" s="1"/>
  <c r="P14" i="343" s="1"/>
  <c r="AG17" i="343"/>
  <c r="AH17" i="343" s="1"/>
  <c r="AG19" i="343"/>
  <c r="AH19" i="343" s="1"/>
  <c r="AG22" i="343"/>
  <c r="AH22" i="343" s="1"/>
  <c r="M27" i="343"/>
  <c r="O27" i="343" s="1"/>
  <c r="P27" i="343" s="1"/>
  <c r="K19" i="343"/>
  <c r="L19" i="343"/>
  <c r="O21" i="343"/>
  <c r="P21" i="343" s="1"/>
  <c r="K12" i="343"/>
  <c r="L12" i="343"/>
  <c r="L17" i="343"/>
  <c r="M17" i="343" s="1"/>
  <c r="H28" i="343"/>
  <c r="Z28" i="343"/>
  <c r="AG9" i="343"/>
  <c r="AG10" i="343"/>
  <c r="AH10" i="343" s="1"/>
  <c r="AG11" i="343"/>
  <c r="AH11" i="343" s="1"/>
  <c r="L15" i="343"/>
  <c r="AG18" i="343"/>
  <c r="AH18" i="343" s="1"/>
  <c r="L25" i="343"/>
  <c r="M25" i="343" s="1"/>
  <c r="F28" i="343"/>
  <c r="AF28" i="343"/>
  <c r="K15" i="343"/>
  <c r="L16" i="343"/>
  <c r="M16" i="343" s="1"/>
  <c r="M24" i="343"/>
  <c r="L9" i="343"/>
  <c r="L10" i="343"/>
  <c r="M10" i="343" s="1"/>
  <c r="L11" i="343"/>
  <c r="M11" i="343" s="1"/>
  <c r="L13" i="343"/>
  <c r="M13" i="343" s="1"/>
  <c r="AG15" i="343"/>
  <c r="AH15" i="343" s="1"/>
  <c r="L18" i="343"/>
  <c r="M18" i="343" s="1"/>
  <c r="L20" i="343"/>
  <c r="M20" i="343" s="1"/>
  <c r="AH21" i="343"/>
  <c r="L22" i="343"/>
  <c r="M22" i="343" s="1"/>
  <c r="L23" i="343"/>
  <c r="M23" i="343" s="1"/>
  <c r="AG23" i="343"/>
  <c r="AH23" i="343" s="1"/>
  <c r="E28" i="343"/>
  <c r="AC28" i="343"/>
  <c r="N12" i="342"/>
  <c r="K12" i="342"/>
  <c r="H12" i="342"/>
  <c r="M12" i="343" l="1"/>
  <c r="O12" i="343" s="1"/>
  <c r="P12" i="343" s="1"/>
  <c r="K28" i="343"/>
  <c r="M19" i="343"/>
  <c r="O19" i="343" s="1"/>
  <c r="P19" i="343" s="1"/>
  <c r="Q26" i="343"/>
  <c r="R26" i="343"/>
  <c r="M15" i="343"/>
  <c r="O15" i="343" s="1"/>
  <c r="P15" i="343" s="1"/>
  <c r="O10" i="343"/>
  <c r="P10" i="343" s="1"/>
  <c r="O16" i="343"/>
  <c r="P16" i="343" s="1"/>
  <c r="O23" i="343"/>
  <c r="P23" i="343" s="1"/>
  <c r="O13" i="343"/>
  <c r="P13" i="343" s="1"/>
  <c r="O17" i="343"/>
  <c r="P17" i="343" s="1"/>
  <c r="O22" i="343"/>
  <c r="P22" i="343" s="1"/>
  <c r="O25" i="343"/>
  <c r="P25" i="343" s="1"/>
  <c r="O11" i="343"/>
  <c r="P11" i="343" s="1"/>
  <c r="Q21" i="343"/>
  <c r="R21" i="343"/>
  <c r="R14" i="343"/>
  <c r="Q14" i="343"/>
  <c r="O20" i="343"/>
  <c r="P20" i="343" s="1"/>
  <c r="O24" i="343"/>
  <c r="P24" i="343" s="1"/>
  <c r="R27" i="343"/>
  <c r="Q27" i="343"/>
  <c r="AG28" i="343"/>
  <c r="O18" i="343"/>
  <c r="P18" i="343" s="1"/>
  <c r="L28" i="343"/>
  <c r="M9" i="343"/>
  <c r="AH9" i="343"/>
  <c r="AH28" i="343" s="1"/>
  <c r="K32" i="343" s="1"/>
  <c r="C12" i="191" s="1"/>
  <c r="N27" i="342"/>
  <c r="K27" i="342"/>
  <c r="H27" i="342"/>
  <c r="M22" i="342"/>
  <c r="L22" i="342"/>
  <c r="J22" i="342"/>
  <c r="I22" i="342"/>
  <c r="G22" i="342"/>
  <c r="F22" i="342"/>
  <c r="M21" i="342"/>
  <c r="J21" i="342"/>
  <c r="G21" i="342"/>
  <c r="N16" i="342"/>
  <c r="K16" i="342"/>
  <c r="H16" i="342"/>
  <c r="N15" i="342"/>
  <c r="K15" i="342"/>
  <c r="H15" i="342"/>
  <c r="N14" i="342"/>
  <c r="K14" i="342"/>
  <c r="H14" i="342"/>
  <c r="N13" i="342"/>
  <c r="K13" i="342"/>
  <c r="H13" i="342"/>
  <c r="N11" i="342"/>
  <c r="K11" i="342"/>
  <c r="H11" i="342"/>
  <c r="N10" i="342"/>
  <c r="K10" i="342"/>
  <c r="H10" i="342"/>
  <c r="N9" i="342"/>
  <c r="K9" i="342"/>
  <c r="H9" i="342"/>
  <c r="N8" i="342"/>
  <c r="K8" i="342"/>
  <c r="H8" i="342"/>
  <c r="H22" i="342" s="1"/>
  <c r="H28" i="342" s="1"/>
  <c r="N8" i="293"/>
  <c r="O8" i="293" s="1"/>
  <c r="G20" i="211"/>
  <c r="H20" i="211"/>
  <c r="F20" i="211"/>
  <c r="M20" i="211"/>
  <c r="O20" i="211"/>
  <c r="N11" i="211"/>
  <c r="N20" i="211" s="1"/>
  <c r="M11" i="211"/>
  <c r="L11" i="211"/>
  <c r="L20" i="211" s="1"/>
  <c r="K22" i="342" l="1"/>
  <c r="K28" i="342" s="1"/>
  <c r="N22" i="342"/>
  <c r="N28" i="342" s="1"/>
  <c r="S26" i="343"/>
  <c r="T26" i="343" s="1"/>
  <c r="V26" i="343" s="1"/>
  <c r="W26" i="343" s="1"/>
  <c r="S27" i="343"/>
  <c r="T27" i="343" s="1"/>
  <c r="R13" i="343"/>
  <c r="Q13" i="343"/>
  <c r="R22" i="343"/>
  <c r="Q22" i="343"/>
  <c r="R20" i="343"/>
  <c r="Q20" i="343"/>
  <c r="R17" i="343"/>
  <c r="Q17" i="343"/>
  <c r="R16" i="343"/>
  <c r="Q16" i="343"/>
  <c r="R18" i="343"/>
  <c r="Q18" i="343"/>
  <c r="Q19" i="343"/>
  <c r="R19" i="343"/>
  <c r="Q24" i="343"/>
  <c r="R24" i="343"/>
  <c r="Q12" i="343"/>
  <c r="R12" i="343"/>
  <c r="Q25" i="343"/>
  <c r="R25" i="343"/>
  <c r="R23" i="343"/>
  <c r="Q23" i="343"/>
  <c r="R10" i="343"/>
  <c r="Q10" i="343"/>
  <c r="O9" i="343"/>
  <c r="O28" i="343" s="1"/>
  <c r="M28" i="343"/>
  <c r="R15" i="343"/>
  <c r="Q15" i="343"/>
  <c r="S14" i="343"/>
  <c r="T14" i="343" s="1"/>
  <c r="V14" i="343" s="1"/>
  <c r="S21" i="343"/>
  <c r="T21" i="343" s="1"/>
  <c r="V21" i="343" s="1"/>
  <c r="R11" i="343"/>
  <c r="Q11" i="343"/>
  <c r="P8" i="293"/>
  <c r="O17" i="293"/>
  <c r="Q8" i="293"/>
  <c r="V27" i="343" l="1"/>
  <c r="AI27" i="343" s="1"/>
  <c r="AI26" i="343"/>
  <c r="AK26" i="343"/>
  <c r="AL26" i="343" s="1"/>
  <c r="AK27" i="343"/>
  <c r="AL27" i="343" s="1"/>
  <c r="S12" i="343"/>
  <c r="T12" i="343" s="1"/>
  <c r="V12" i="343" s="1"/>
  <c r="AI12" i="343" s="1"/>
  <c r="S19" i="343"/>
  <c r="T19" i="343" s="1"/>
  <c r="V19" i="343" s="1"/>
  <c r="W19" i="343" s="1"/>
  <c r="S20" i="343"/>
  <c r="T20" i="343" s="1"/>
  <c r="V20" i="343" s="1"/>
  <c r="AI20" i="343" s="1"/>
  <c r="S22" i="343"/>
  <c r="T22" i="343" s="1"/>
  <c r="V22" i="343" s="1"/>
  <c r="S11" i="343"/>
  <c r="T11" i="343" s="1"/>
  <c r="V11" i="343" s="1"/>
  <c r="S15" i="343"/>
  <c r="T15" i="343" s="1"/>
  <c r="V15" i="343" s="1"/>
  <c r="AI15" i="343" s="1"/>
  <c r="S25" i="343"/>
  <c r="T25" i="343" s="1"/>
  <c r="V25" i="343" s="1"/>
  <c r="W25" i="343" s="1"/>
  <c r="S18" i="343"/>
  <c r="T18" i="343" s="1"/>
  <c r="V18" i="343" s="1"/>
  <c r="AI18" i="343" s="1"/>
  <c r="S16" i="343"/>
  <c r="T16" i="343" s="1"/>
  <c r="V16" i="343" s="1"/>
  <c r="W16" i="343" s="1"/>
  <c r="S10" i="343"/>
  <c r="T10" i="343" s="1"/>
  <c r="V10" i="343" s="1"/>
  <c r="S13" i="343"/>
  <c r="T13" i="343" s="1"/>
  <c r="V13" i="343" s="1"/>
  <c r="S24" i="343"/>
  <c r="T24" i="343" s="1"/>
  <c r="V24" i="343" s="1"/>
  <c r="W24" i="343" s="1"/>
  <c r="AI21" i="343"/>
  <c r="AK21" i="343"/>
  <c r="AL21" i="343" s="1"/>
  <c r="W21" i="343"/>
  <c r="AI14" i="343"/>
  <c r="AK14" i="343"/>
  <c r="S23" i="343"/>
  <c r="T23" i="343" s="1"/>
  <c r="V23" i="343" s="1"/>
  <c r="S17" i="343"/>
  <c r="T17" i="343" s="1"/>
  <c r="V17" i="343" s="1"/>
  <c r="P9" i="343"/>
  <c r="Q17" i="293"/>
  <c r="P17" i="293"/>
  <c r="W27" i="343" l="1"/>
  <c r="AK16" i="343"/>
  <c r="AL16" i="343" s="1"/>
  <c r="AK19" i="343"/>
  <c r="AL19" i="343" s="1"/>
  <c r="AI16" i="343"/>
  <c r="AI19" i="343"/>
  <c r="W12" i="343"/>
  <c r="AK12" i="343"/>
  <c r="AL12" i="343" s="1"/>
  <c r="W11" i="343"/>
  <c r="AI11" i="343"/>
  <c r="AK18" i="343"/>
  <c r="AL18" i="343" s="1"/>
  <c r="AK15" i="343"/>
  <c r="AL15" i="343" s="1"/>
  <c r="W18" i="343"/>
  <c r="W15" i="343"/>
  <c r="AK11" i="343"/>
  <c r="AL11" i="343" s="1"/>
  <c r="AK20" i="343"/>
  <c r="AL20" i="343" s="1"/>
  <c r="W20" i="343"/>
  <c r="W23" i="343"/>
  <c r="AK23" i="343"/>
  <c r="AL23" i="343" s="1"/>
  <c r="AI23" i="343"/>
  <c r="R9" i="343"/>
  <c r="R28" i="343" s="1"/>
  <c r="P28" i="343"/>
  <c r="Q9" i="343"/>
  <c r="Q28" i="343" s="1"/>
  <c r="W13" i="343"/>
  <c r="AK13" i="343"/>
  <c r="AL13" i="343" s="1"/>
  <c r="AI13" i="343"/>
  <c r="W17" i="343"/>
  <c r="AK17" i="343"/>
  <c r="AL17" i="343" s="1"/>
  <c r="AI17" i="343"/>
  <c r="W22" i="343"/>
  <c r="AK22" i="343"/>
  <c r="AL22" i="343" s="1"/>
  <c r="AI22" i="343"/>
  <c r="AI10" i="343"/>
  <c r="AK10" i="343"/>
  <c r="AN14" i="343"/>
  <c r="AL14" i="343"/>
  <c r="AP14" i="343"/>
  <c r="G13" i="341"/>
  <c r="F13" i="341"/>
  <c r="E12" i="341"/>
  <c r="E11" i="341"/>
  <c r="E13" i="341" s="1"/>
  <c r="E10" i="341"/>
  <c r="AQ14" i="343" l="1"/>
  <c r="W14" i="343" s="1"/>
  <c r="S9" i="343"/>
  <c r="S28" i="343" s="1"/>
  <c r="AP10" i="343"/>
  <c r="AL10" i="343"/>
  <c r="AM10" i="343" s="1"/>
  <c r="AN10" i="343"/>
  <c r="F14" i="340"/>
  <c r="E14" i="340"/>
  <c r="T9" i="343" l="1"/>
  <c r="V9" i="343" s="1"/>
  <c r="AQ10" i="343"/>
  <c r="W10" i="343" s="1"/>
  <c r="M82" i="339"/>
  <c r="E27" i="132" s="1"/>
  <c r="L82" i="339"/>
  <c r="D27" i="132" s="1"/>
  <c r="K80" i="339"/>
  <c r="K79" i="339"/>
  <c r="K78" i="339"/>
  <c r="K75" i="339"/>
  <c r="K74" i="339"/>
  <c r="K73" i="339"/>
  <c r="K71" i="339"/>
  <c r="K70" i="339"/>
  <c r="K68" i="339" s="1"/>
  <c r="K69" i="339"/>
  <c r="K67" i="339"/>
  <c r="K66" i="339"/>
  <c r="K64" i="339"/>
  <c r="K63" i="339"/>
  <c r="K62" i="339"/>
  <c r="K61" i="339"/>
  <c r="K60" i="339"/>
  <c r="K59" i="339"/>
  <c r="K58" i="339"/>
  <c r="K57" i="339"/>
  <c r="K56" i="339"/>
  <c r="K55" i="339"/>
  <c r="K54" i="339"/>
  <c r="K53" i="339"/>
  <c r="K52" i="339"/>
  <c r="K51" i="339"/>
  <c r="K50" i="339"/>
  <c r="K48" i="339"/>
  <c r="K47" i="339"/>
  <c r="K46" i="339"/>
  <c r="K45" i="339"/>
  <c r="K44" i="339"/>
  <c r="K43" i="339"/>
  <c r="K42" i="339"/>
  <c r="K41" i="339"/>
  <c r="K40" i="339"/>
  <c r="K39" i="339"/>
  <c r="K38" i="339"/>
  <c r="K37" i="339"/>
  <c r="K36" i="339"/>
  <c r="K35" i="339"/>
  <c r="K34" i="339"/>
  <c r="K33" i="339"/>
  <c r="K32" i="339"/>
  <c r="K31" i="339"/>
  <c r="K30" i="339"/>
  <c r="K29" i="339"/>
  <c r="K28" i="339"/>
  <c r="K27" i="339"/>
  <c r="K26" i="339"/>
  <c r="K24" i="339"/>
  <c r="K23" i="339" s="1"/>
  <c r="K20" i="339"/>
  <c r="K18" i="339" s="1"/>
  <c r="K19" i="339"/>
  <c r="K17" i="339"/>
  <c r="K16" i="339"/>
  <c r="K14" i="339"/>
  <c r="K13" i="339"/>
  <c r="K12" i="339"/>
  <c r="K11" i="339"/>
  <c r="K10" i="339"/>
  <c r="K15" i="339" l="1"/>
  <c r="K65" i="339"/>
  <c r="K9" i="339"/>
  <c r="K49" i="339"/>
  <c r="K25" i="339"/>
  <c r="K72" i="339"/>
  <c r="T28" i="343"/>
  <c r="AI9" i="343"/>
  <c r="V28" i="343"/>
  <c r="AK9" i="343"/>
  <c r="E26" i="132"/>
  <c r="M73" i="338"/>
  <c r="L73" i="338"/>
  <c r="D26" i="132" s="1"/>
  <c r="K73" i="338"/>
  <c r="C26" i="132" s="1"/>
  <c r="K82" i="339" l="1"/>
  <c r="C27" i="132" s="1"/>
  <c r="I32" i="343"/>
  <c r="C10" i="136" s="1"/>
  <c r="AP9" i="343"/>
  <c r="AL9" i="343"/>
  <c r="AM9" i="343" s="1"/>
  <c r="AN9" i="343"/>
  <c r="S19" i="337"/>
  <c r="E23" i="132" s="1"/>
  <c r="R19" i="337"/>
  <c r="D23" i="132" s="1"/>
  <c r="Q14" i="337"/>
  <c r="Q13" i="337"/>
  <c r="Q12" i="337"/>
  <c r="Q11" i="337"/>
  <c r="Q10" i="337"/>
  <c r="Q19" i="337" s="1"/>
  <c r="C23" i="132" s="1"/>
  <c r="AQ9" i="343" l="1"/>
  <c r="J18" i="336"/>
  <c r="E22" i="132" s="1"/>
  <c r="I18" i="336"/>
  <c r="D22" i="132" s="1"/>
  <c r="H18" i="336"/>
  <c r="C22" i="132" s="1"/>
  <c r="G16" i="336"/>
  <c r="G15" i="336"/>
  <c r="G14" i="336"/>
  <c r="G13" i="336"/>
  <c r="W28" i="343" l="1"/>
  <c r="W9" i="343"/>
  <c r="J32" i="343"/>
  <c r="C10" i="137" s="1"/>
  <c r="G21" i="335"/>
  <c r="I21" i="335" s="1"/>
  <c r="J21" i="335" s="1"/>
  <c r="G20" i="335"/>
  <c r="I20" i="335" s="1"/>
  <c r="J20" i="335" s="1"/>
  <c r="G19" i="335"/>
  <c r="I19" i="335" s="1"/>
  <c r="J19" i="335" s="1"/>
  <c r="G18" i="335"/>
  <c r="I18" i="335" s="1"/>
  <c r="J18" i="335" s="1"/>
  <c r="I17" i="335"/>
  <c r="J17" i="335" s="1"/>
  <c r="G17" i="335"/>
  <c r="G16" i="335"/>
  <c r="I16" i="335" s="1"/>
  <c r="J16" i="335" s="1"/>
  <c r="F15" i="335"/>
  <c r="G15" i="335" s="1"/>
  <c r="I15" i="335" s="1"/>
  <c r="J15" i="335" s="1"/>
  <c r="F14" i="335"/>
  <c r="G14" i="335" s="1"/>
  <c r="I14" i="335" s="1"/>
  <c r="J14" i="335" s="1"/>
  <c r="F13" i="335"/>
  <c r="G13" i="335" s="1"/>
  <c r="I13" i="335" s="1"/>
  <c r="J13" i="335" s="1"/>
  <c r="F12" i="335"/>
  <c r="G12" i="335" s="1"/>
  <c r="I12" i="335" s="1"/>
  <c r="F11" i="335"/>
  <c r="G11" i="335" s="1"/>
  <c r="F10" i="335"/>
  <c r="G10" i="335" s="1"/>
  <c r="I22" i="335" l="1"/>
  <c r="D21" i="132" s="1"/>
  <c r="J12" i="335"/>
  <c r="J22" i="335" s="1"/>
  <c r="E21" i="132" s="1"/>
  <c r="G22" i="335"/>
  <c r="C21" i="132" s="1"/>
  <c r="C19" i="132" l="1"/>
  <c r="L19" i="334"/>
  <c r="E19" i="132" s="1"/>
  <c r="I19" i="334"/>
  <c r="D19" i="132" s="1"/>
  <c r="F19" i="334"/>
  <c r="L17" i="333" l="1"/>
  <c r="L20" i="333" s="1"/>
  <c r="I17" i="333"/>
  <c r="I20" i="333" s="1"/>
  <c r="G17" i="333"/>
  <c r="F17" i="333"/>
  <c r="F20" i="333" s="1"/>
  <c r="D17" i="333"/>
  <c r="L11" i="332" l="1"/>
  <c r="J11" i="332"/>
  <c r="I11" i="332"/>
  <c r="G11" i="332"/>
  <c r="F11" i="332"/>
  <c r="K10" i="332"/>
  <c r="K11" i="332" s="1"/>
  <c r="H10" i="332"/>
  <c r="H11" i="332" s="1"/>
  <c r="E10" i="332"/>
  <c r="J73" i="331" l="1"/>
  <c r="E17" i="132" s="1"/>
  <c r="I73" i="331"/>
  <c r="D17" i="132" s="1"/>
  <c r="G73" i="331"/>
  <c r="C17" i="132" s="1"/>
  <c r="E15" i="132"/>
  <c r="D15" i="132"/>
  <c r="C15" i="132"/>
  <c r="H79" i="329"/>
  <c r="E14" i="132" s="1"/>
  <c r="G79" i="329"/>
  <c r="D14" i="132" s="1"/>
  <c r="F79" i="329"/>
  <c r="C14" i="132" s="1"/>
  <c r="E13" i="132" l="1"/>
  <c r="G12" i="328"/>
  <c r="F12" i="328"/>
  <c r="D13" i="132" s="1"/>
  <c r="E12" i="328"/>
  <c r="C13" i="132" s="1"/>
  <c r="D11" i="230" l="1"/>
  <c r="E11" i="230"/>
  <c r="S13" i="327"/>
  <c r="R13" i="327"/>
  <c r="Q12" i="327"/>
  <c r="Q13" i="327" s="1"/>
  <c r="C11" i="230" l="1"/>
  <c r="D17" i="205"/>
  <c r="E17" i="205"/>
  <c r="D14" i="205"/>
  <c r="E14" i="205"/>
  <c r="C14" i="205"/>
  <c r="E12" i="205"/>
  <c r="D12" i="205"/>
  <c r="D11" i="205"/>
  <c r="E11" i="205"/>
  <c r="C31" i="326"/>
  <c r="C30" i="326"/>
  <c r="C29" i="326"/>
  <c r="C28" i="326"/>
  <c r="C27" i="326"/>
  <c r="C26" i="326"/>
  <c r="E19" i="326"/>
  <c r="I19" i="326" s="1"/>
  <c r="I18" i="326" s="1"/>
  <c r="C17" i="205" s="1"/>
  <c r="G18" i="326"/>
  <c r="F18" i="326"/>
  <c r="I16" i="326"/>
  <c r="E15" i="326"/>
  <c r="I15" i="326" s="1"/>
  <c r="G14" i="326"/>
  <c r="F14" i="326"/>
  <c r="E14" i="326"/>
  <c r="I12" i="326"/>
  <c r="E11" i="326"/>
  <c r="I11" i="326" s="1"/>
  <c r="G10" i="326"/>
  <c r="G9" i="326" s="1"/>
  <c r="F10" i="326"/>
  <c r="E10" i="326"/>
  <c r="F9" i="326" l="1"/>
  <c r="E18" i="326"/>
  <c r="E9" i="326" s="1"/>
  <c r="I9" i="326" s="1"/>
  <c r="I10" i="326"/>
  <c r="C11" i="205" s="1"/>
  <c r="I14" i="326"/>
  <c r="E10" i="130"/>
  <c r="D10" i="130"/>
  <c r="E10" i="129"/>
  <c r="D10" i="129"/>
  <c r="V18" i="325"/>
  <c r="G86" i="325"/>
  <c r="AE12" i="325"/>
  <c r="AD12" i="325"/>
  <c r="AC12" i="325"/>
  <c r="AB12" i="325"/>
  <c r="AA12" i="325"/>
  <c r="Y12" i="325"/>
  <c r="X12" i="325"/>
  <c r="U12" i="325"/>
  <c r="N12" i="325"/>
  <c r="K12" i="325"/>
  <c r="J12" i="325"/>
  <c r="I12" i="325"/>
  <c r="D12" i="325"/>
  <c r="C12" i="325"/>
  <c r="AF11" i="325"/>
  <c r="Z11" i="325"/>
  <c r="Z12" i="325" s="1"/>
  <c r="H11" i="325"/>
  <c r="H12" i="325" s="1"/>
  <c r="G11" i="325"/>
  <c r="E11" i="325"/>
  <c r="F11" i="325" s="1"/>
  <c r="AF10" i="325"/>
  <c r="AG10" i="325" s="1"/>
  <c r="AH10" i="325" s="1"/>
  <c r="Z10" i="325"/>
  <c r="H10" i="325"/>
  <c r="G10" i="325"/>
  <c r="G12" i="325" s="1"/>
  <c r="E10" i="325"/>
  <c r="AF9" i="325"/>
  <c r="Z9" i="325"/>
  <c r="AG9" i="325" s="1"/>
  <c r="E9" i="325"/>
  <c r="F9" i="325" s="1"/>
  <c r="E12" i="325" l="1"/>
  <c r="AF12" i="325"/>
  <c r="L11" i="325"/>
  <c r="M11" i="325" s="1"/>
  <c r="O11" i="325" s="1"/>
  <c r="P11" i="325" s="1"/>
  <c r="F10" i="325"/>
  <c r="AG11" i="325"/>
  <c r="AH11" i="325" s="1"/>
  <c r="L9" i="325"/>
  <c r="AH9" i="325"/>
  <c r="AH12" i="325" l="1"/>
  <c r="L10" i="325"/>
  <c r="L12" i="325" s="1"/>
  <c r="AG12" i="325"/>
  <c r="F12" i="325"/>
  <c r="Q11" i="325"/>
  <c r="R11" i="325"/>
  <c r="J17" i="325"/>
  <c r="C12" i="205" s="1"/>
  <c r="M9" i="325"/>
  <c r="M10" i="325" l="1"/>
  <c r="O10" i="325" s="1"/>
  <c r="P10" i="325" s="1"/>
  <c r="O9" i="325"/>
  <c r="S11" i="325"/>
  <c r="T11" i="325" s="1"/>
  <c r="V11" i="325" s="1"/>
  <c r="O12" i="325" l="1"/>
  <c r="M12" i="325"/>
  <c r="Q10" i="325"/>
  <c r="R10" i="325"/>
  <c r="AK11" i="325"/>
  <c r="AL11" i="325" s="1"/>
  <c r="W11" i="325"/>
  <c r="AI11" i="325"/>
  <c r="P9" i="325"/>
  <c r="S10" i="325" l="1"/>
  <c r="T10" i="325" s="1"/>
  <c r="V10" i="325" s="1"/>
  <c r="R9" i="325"/>
  <c r="R12" i="325" s="1"/>
  <c r="P12" i="325"/>
  <c r="Q9" i="325"/>
  <c r="Q12" i="325" s="1"/>
  <c r="S9" i="325" l="1"/>
  <c r="S12" i="325" s="1"/>
  <c r="W10" i="325"/>
  <c r="AK10" i="325"/>
  <c r="AL10" i="325" s="1"/>
  <c r="AI10" i="325"/>
  <c r="T9" i="325"/>
  <c r="T12" i="325" l="1"/>
  <c r="V9" i="325"/>
  <c r="W9" i="325" l="1"/>
  <c r="W12" i="325" s="1"/>
  <c r="W19" i="325" s="1"/>
  <c r="AK9" i="325"/>
  <c r="AL9" i="325" s="1"/>
  <c r="V12" i="325"/>
  <c r="V19" i="325" s="1"/>
  <c r="AI9" i="325"/>
  <c r="H17" i="325" l="1"/>
  <c r="C10" i="129" s="1"/>
  <c r="I17" i="325"/>
  <c r="C10" i="130" s="1"/>
  <c r="F88" i="207" l="1"/>
  <c r="AA88" i="207"/>
  <c r="Q88" i="207"/>
  <c r="M26" i="303" l="1"/>
  <c r="L19" i="303"/>
  <c r="K19" i="303"/>
  <c r="D15" i="151" s="1"/>
  <c r="E19" i="303"/>
  <c r="I19" i="303"/>
  <c r="J19" i="303"/>
  <c r="C15" i="151" s="1"/>
  <c r="E15" i="151" l="1"/>
  <c r="F19" i="303"/>
  <c r="AQ42" i="207" l="1"/>
  <c r="Q16" i="293"/>
  <c r="P16" i="293"/>
  <c r="O16" i="293"/>
  <c r="Q15" i="293"/>
  <c r="P15" i="293"/>
  <c r="O15" i="293"/>
  <c r="Q14" i="293"/>
  <c r="P14" i="293"/>
  <c r="O14" i="293"/>
  <c r="Q13" i="293"/>
  <c r="P13" i="293"/>
  <c r="O13" i="293"/>
  <c r="Q10" i="293"/>
  <c r="P10" i="293"/>
  <c r="O10" i="293"/>
  <c r="Q9" i="293"/>
  <c r="P9" i="293"/>
  <c r="O9" i="293"/>
  <c r="D16" i="176" l="1"/>
  <c r="W42" i="207" s="1"/>
  <c r="E16" i="176" l="1"/>
  <c r="AG42" i="207" s="1"/>
  <c r="C16" i="176"/>
  <c r="M42" i="207" s="1"/>
  <c r="AI96" i="207" l="1"/>
  <c r="AR95" i="207"/>
  <c r="AQ95" i="207"/>
  <c r="AP95" i="207"/>
  <c r="AO95" i="207"/>
  <c r="AN95" i="207"/>
  <c r="AM95" i="207"/>
  <c r="AL95" i="207"/>
  <c r="AI95" i="207" s="1"/>
  <c r="AK95" i="207"/>
  <c r="AJ95" i="207"/>
  <c r="AI94" i="207"/>
  <c r="AI93" i="207"/>
  <c r="AI92" i="207"/>
  <c r="AR91" i="207"/>
  <c r="AR82" i="207"/>
  <c r="AR80" i="207"/>
  <c r="AR77" i="207"/>
  <c r="AR73" i="207"/>
  <c r="AR69" i="207"/>
  <c r="AR60" i="207"/>
  <c r="AR58" i="207" s="1"/>
  <c r="AI56" i="207"/>
  <c r="AR54" i="207"/>
  <c r="AQ54" i="207"/>
  <c r="AP54" i="207"/>
  <c r="AO54" i="207"/>
  <c r="AN54" i="207"/>
  <c r="AM54" i="207"/>
  <c r="AL54" i="207"/>
  <c r="AK54" i="207"/>
  <c r="AJ54" i="207"/>
  <c r="AP53" i="207"/>
  <c r="AP50" i="207" s="1"/>
  <c r="AI53" i="207"/>
  <c r="AM52" i="207"/>
  <c r="AL52" i="207"/>
  <c r="AI52" i="207"/>
  <c r="AR50" i="207"/>
  <c r="AQ50" i="207"/>
  <c r="AO50" i="207"/>
  <c r="AN50" i="207"/>
  <c r="AM50" i="207"/>
  <c r="AL50" i="207"/>
  <c r="AK50" i="207"/>
  <c r="AJ50" i="207"/>
  <c r="AI49" i="207"/>
  <c r="AR47" i="207"/>
  <c r="AQ47" i="207"/>
  <c r="AP47" i="207"/>
  <c r="AO47" i="207"/>
  <c r="AN47" i="207"/>
  <c r="AM47" i="207"/>
  <c r="AL47" i="207"/>
  <c r="AK47" i="207"/>
  <c r="AJ47" i="207"/>
  <c r="AI47" i="207" s="1"/>
  <c r="AI46" i="207"/>
  <c r="AR44" i="207"/>
  <c r="AQ44" i="207"/>
  <c r="AP44" i="207"/>
  <c r="AO44" i="207"/>
  <c r="AN44" i="207"/>
  <c r="AM44" i="207"/>
  <c r="AL44" i="207"/>
  <c r="AK44" i="207"/>
  <c r="AJ44" i="207"/>
  <c r="AI43" i="207"/>
  <c r="AQ41" i="207"/>
  <c r="AQ38" i="207" s="1"/>
  <c r="AI41" i="207"/>
  <c r="AK40" i="207"/>
  <c r="AK38" i="207" s="1"/>
  <c r="AJ40" i="207"/>
  <c r="AI40" i="207" s="1"/>
  <c r="AR38" i="207"/>
  <c r="AP38" i="207"/>
  <c r="AO38" i="207"/>
  <c r="AN38" i="207"/>
  <c r="AM38" i="207"/>
  <c r="AL38" i="207"/>
  <c r="AJ38" i="207"/>
  <c r="AR35" i="207"/>
  <c r="AP35" i="207"/>
  <c r="AO35" i="207"/>
  <c r="AO34" i="207" s="1"/>
  <c r="AN35" i="207"/>
  <c r="AM35" i="207"/>
  <c r="AL35" i="207"/>
  <c r="AK35" i="207"/>
  <c r="AJ35" i="207"/>
  <c r="F13" i="174"/>
  <c r="AQ37" i="207" s="1"/>
  <c r="AQ35" i="207" s="1"/>
  <c r="N19" i="211"/>
  <c r="M19" i="211"/>
  <c r="L19" i="211"/>
  <c r="N18" i="211"/>
  <c r="M18" i="211"/>
  <c r="L18" i="211"/>
  <c r="N17" i="211"/>
  <c r="M17" i="211"/>
  <c r="L17" i="211"/>
  <c r="N16" i="211"/>
  <c r="M16" i="211"/>
  <c r="L16" i="211"/>
  <c r="N13" i="211"/>
  <c r="M13" i="211"/>
  <c r="L13" i="211"/>
  <c r="N12" i="211"/>
  <c r="M12" i="211"/>
  <c r="L12" i="211"/>
  <c r="AI50" i="207" l="1"/>
  <c r="AM34" i="207"/>
  <c r="AR34" i="207"/>
  <c r="AR23" i="207" s="1"/>
  <c r="AL34" i="207"/>
  <c r="AI54" i="207"/>
  <c r="AJ34" i="207"/>
  <c r="AN34" i="207"/>
  <c r="AQ34" i="207"/>
  <c r="AQ24" i="207" s="1"/>
  <c r="AI35" i="207"/>
  <c r="AI37" i="207"/>
  <c r="AP34" i="207"/>
  <c r="AI38" i="207"/>
  <c r="AK34" i="207"/>
  <c r="AI44" i="207"/>
  <c r="D13" i="174"/>
  <c r="C13" i="174"/>
  <c r="E13" i="174"/>
  <c r="D14" i="176" l="1"/>
  <c r="C14" i="176"/>
  <c r="E14" i="176"/>
  <c r="AI34" i="207"/>
  <c r="AI24" i="207" s="1"/>
  <c r="AG41" i="207" l="1"/>
  <c r="W41" i="207"/>
  <c r="M41" i="207"/>
  <c r="C12" i="204" l="1"/>
  <c r="D12" i="204"/>
  <c r="C10" i="273"/>
  <c r="C33" i="273" s="1"/>
  <c r="E33" i="273"/>
  <c r="D33" i="273"/>
  <c r="J12" i="204" l="1"/>
  <c r="E17" i="184"/>
  <c r="I12" i="204"/>
  <c r="D17" i="184"/>
  <c r="B12" i="204"/>
  <c r="H12" i="204" s="1"/>
  <c r="K86" i="207"/>
  <c r="J88" i="207"/>
  <c r="C17" i="184" l="1"/>
  <c r="K52" i="207"/>
  <c r="E10" i="270" l="1"/>
  <c r="E14" i="270" s="1"/>
  <c r="AA64" i="207" s="1"/>
  <c r="D10" i="270"/>
  <c r="D14" i="270" s="1"/>
  <c r="Q64" i="207" s="1"/>
  <c r="C10" i="270"/>
  <c r="C14" i="270" s="1"/>
  <c r="F64" i="207" s="1"/>
  <c r="Q35" i="207" l="1"/>
  <c r="W60" i="207" l="1"/>
  <c r="C10" i="230" l="1"/>
  <c r="C14" i="230" s="1"/>
  <c r="M64" i="207" s="1"/>
  <c r="E10" i="230"/>
  <c r="E14" i="230" s="1"/>
  <c r="D10" i="230"/>
  <c r="D14" i="230" s="1"/>
  <c r="C10" i="132" l="1"/>
  <c r="C32" i="132" s="1"/>
  <c r="E10" i="132" l="1"/>
  <c r="D10" i="132"/>
  <c r="F12" i="174" l="1"/>
  <c r="E12" i="174"/>
  <c r="D12" i="174"/>
  <c r="C12" i="174"/>
  <c r="C11" i="174" s="1"/>
  <c r="C24" i="174" s="1"/>
  <c r="F11" i="174"/>
  <c r="F24" i="174" s="1"/>
  <c r="D11" i="174" l="1"/>
  <c r="D24" i="174" s="1"/>
  <c r="E11" i="174"/>
  <c r="E24" i="174" s="1"/>
  <c r="AA95" i="207"/>
  <c r="AB95" i="207"/>
  <c r="AC95" i="207"/>
  <c r="AD95" i="207"/>
  <c r="AE95" i="207"/>
  <c r="AF95" i="207"/>
  <c r="AG95" i="207"/>
  <c r="AH95" i="207"/>
  <c r="Z95" i="207"/>
  <c r="AA91" i="207"/>
  <c r="Y91" i="207" s="1"/>
  <c r="AB91" i="207"/>
  <c r="AC91" i="207"/>
  <c r="AD91" i="207"/>
  <c r="AE91" i="207"/>
  <c r="AF91" i="207"/>
  <c r="AG91" i="207"/>
  <c r="AH91" i="207"/>
  <c r="Z91" i="207"/>
  <c r="AB82" i="207"/>
  <c r="AD82" i="207"/>
  <c r="AE82" i="207"/>
  <c r="AG82" i="207"/>
  <c r="AH82" i="207"/>
  <c r="AA80" i="207"/>
  <c r="AB80" i="207"/>
  <c r="AC80" i="207"/>
  <c r="Y80" i="207" s="1"/>
  <c r="AD80" i="207"/>
  <c r="AE80" i="207"/>
  <c r="AF80" i="207"/>
  <c r="AG80" i="207"/>
  <c r="AH80" i="207"/>
  <c r="Z80" i="207"/>
  <c r="AA77" i="207"/>
  <c r="AB77" i="207"/>
  <c r="Y77" i="207" s="1"/>
  <c r="AC77" i="207"/>
  <c r="AD77" i="207"/>
  <c r="AE77" i="207"/>
  <c r="AF77" i="207"/>
  <c r="AG77" i="207"/>
  <c r="AH77" i="207"/>
  <c r="Z77" i="207"/>
  <c r="AA73" i="207"/>
  <c r="Y73" i="207" s="1"/>
  <c r="AB73" i="207"/>
  <c r="AC73" i="207"/>
  <c r="AD73" i="207"/>
  <c r="AE73" i="207"/>
  <c r="AF73" i="207"/>
  <c r="AG73" i="207"/>
  <c r="AH73" i="207"/>
  <c r="Z73" i="207"/>
  <c r="AA69" i="207"/>
  <c r="AB69" i="207"/>
  <c r="AC69" i="207"/>
  <c r="AD69" i="207"/>
  <c r="AE69" i="207"/>
  <c r="AF69" i="207"/>
  <c r="AG69" i="207"/>
  <c r="AH69" i="207"/>
  <c r="Z69" i="207"/>
  <c r="AA60" i="207"/>
  <c r="AC60" i="207"/>
  <c r="AD60" i="207"/>
  <c r="AE60" i="207"/>
  <c r="AF60" i="207"/>
  <c r="AG60" i="207"/>
  <c r="AH60" i="207"/>
  <c r="AA54" i="207"/>
  <c r="AB54" i="207"/>
  <c r="AC54" i="207"/>
  <c r="AD54" i="207"/>
  <c r="AE54" i="207"/>
  <c r="AF54" i="207"/>
  <c r="AG54" i="207"/>
  <c r="AH54" i="207"/>
  <c r="Z54" i="207"/>
  <c r="AA50" i="207"/>
  <c r="AD50" i="207"/>
  <c r="AE50" i="207"/>
  <c r="AG50" i="207"/>
  <c r="AH50" i="207"/>
  <c r="Z50" i="207"/>
  <c r="AA47" i="207"/>
  <c r="AB47" i="207"/>
  <c r="AC47" i="207"/>
  <c r="AD47" i="207"/>
  <c r="AE47" i="207"/>
  <c r="AF47" i="207"/>
  <c r="AG47" i="207"/>
  <c r="AH47" i="207"/>
  <c r="Z47" i="207"/>
  <c r="Y47" i="207" s="1"/>
  <c r="AA44" i="207"/>
  <c r="AB44" i="207"/>
  <c r="AC44" i="207"/>
  <c r="AD44" i="207"/>
  <c r="AE44" i="207"/>
  <c r="AF44" i="207"/>
  <c r="AG44" i="207"/>
  <c r="AH44" i="207"/>
  <c r="Z44" i="207"/>
  <c r="Y44" i="207" s="1"/>
  <c r="Y96" i="207"/>
  <c r="Y95" i="207"/>
  <c r="Y94" i="207"/>
  <c r="Y93" i="207"/>
  <c r="Y92" i="207"/>
  <c r="Y90" i="207"/>
  <c r="Y89" i="207"/>
  <c r="Y87" i="207"/>
  <c r="Y85" i="207"/>
  <c r="Y84" i="207"/>
  <c r="Y83" i="207"/>
  <c r="Y81" i="207"/>
  <c r="Y79" i="207"/>
  <c r="Y78" i="207"/>
  <c r="Y76" i="207"/>
  <c r="Y75" i="207"/>
  <c r="Y74" i="207"/>
  <c r="Y72" i="207"/>
  <c r="Y71" i="207"/>
  <c r="Y56" i="207"/>
  <c r="Y49" i="207"/>
  <c r="Y46" i="207"/>
  <c r="Y43" i="207"/>
  <c r="Z35" i="207"/>
  <c r="AA35" i="207"/>
  <c r="AB35" i="207"/>
  <c r="AC35" i="207"/>
  <c r="AD35" i="207"/>
  <c r="AD34" i="207" s="1"/>
  <c r="AE35" i="207"/>
  <c r="AE34" i="207" s="1"/>
  <c r="AF35" i="207"/>
  <c r="AH35" i="207"/>
  <c r="AH34" i="207" s="1"/>
  <c r="AG37" i="207"/>
  <c r="Y37" i="207" s="1"/>
  <c r="AB38" i="207"/>
  <c r="AC38" i="207"/>
  <c r="AD38" i="207"/>
  <c r="AE38" i="207"/>
  <c r="AF38" i="207"/>
  <c r="AH38" i="207"/>
  <c r="W69" i="207"/>
  <c r="W73" i="207"/>
  <c r="W77" i="207"/>
  <c r="W80" i="207"/>
  <c r="W82" i="207"/>
  <c r="W91" i="207"/>
  <c r="W95" i="207"/>
  <c r="Q95" i="207"/>
  <c r="R95" i="207"/>
  <c r="S95" i="207"/>
  <c r="T95" i="207"/>
  <c r="U95" i="207"/>
  <c r="V95" i="207"/>
  <c r="X95" i="207"/>
  <c r="P95" i="207"/>
  <c r="Q91" i="207"/>
  <c r="R91" i="207"/>
  <c r="S91" i="207"/>
  <c r="T91" i="207"/>
  <c r="U91" i="207"/>
  <c r="V91" i="207"/>
  <c r="X91" i="207"/>
  <c r="P91" i="207"/>
  <c r="R82" i="207"/>
  <c r="T82" i="207"/>
  <c r="U82" i="207"/>
  <c r="X82" i="207"/>
  <c r="Q80" i="207"/>
  <c r="R80" i="207"/>
  <c r="S80" i="207"/>
  <c r="T80" i="207"/>
  <c r="U80" i="207"/>
  <c r="V80" i="207"/>
  <c r="X80" i="207"/>
  <c r="P80" i="207"/>
  <c r="Q77" i="207"/>
  <c r="R77" i="207"/>
  <c r="S77" i="207"/>
  <c r="T77" i="207"/>
  <c r="U77" i="207"/>
  <c r="V77" i="207"/>
  <c r="X77" i="207"/>
  <c r="P77" i="207"/>
  <c r="Q73" i="207"/>
  <c r="R73" i="207"/>
  <c r="S73" i="207"/>
  <c r="T73" i="207"/>
  <c r="U73" i="207"/>
  <c r="V73" i="207"/>
  <c r="X73" i="207"/>
  <c r="P73" i="207"/>
  <c r="Q69" i="207"/>
  <c r="R69" i="207"/>
  <c r="S69" i="207"/>
  <c r="T69" i="207"/>
  <c r="U69" i="207"/>
  <c r="V69" i="207"/>
  <c r="X69" i="207"/>
  <c r="P69" i="207"/>
  <c r="Q60" i="207"/>
  <c r="S60" i="207"/>
  <c r="T60" i="207"/>
  <c r="U60" i="207"/>
  <c r="V60" i="207"/>
  <c r="X60" i="207"/>
  <c r="Q50" i="207"/>
  <c r="T50" i="207"/>
  <c r="U50" i="207"/>
  <c r="W50" i="207"/>
  <c r="X50" i="207"/>
  <c r="P50" i="207"/>
  <c r="Q47" i="207"/>
  <c r="R47" i="207"/>
  <c r="S47" i="207"/>
  <c r="T47" i="207"/>
  <c r="U47" i="207"/>
  <c r="V47" i="207"/>
  <c r="W47" i="207"/>
  <c r="X47" i="207"/>
  <c r="P47" i="207"/>
  <c r="Q44" i="207"/>
  <c r="R44" i="207"/>
  <c r="S44" i="207"/>
  <c r="T44" i="207"/>
  <c r="U44" i="207"/>
  <c r="V44" i="207"/>
  <c r="W44" i="207"/>
  <c r="X44" i="207"/>
  <c r="P44" i="207"/>
  <c r="O44" i="207" s="1"/>
  <c r="O97" i="207"/>
  <c r="O96" i="207"/>
  <c r="O94" i="207"/>
  <c r="O93" i="207"/>
  <c r="O92" i="207"/>
  <c r="O90" i="207"/>
  <c r="O89" i="207"/>
  <c r="O85" i="207"/>
  <c r="O84" i="207"/>
  <c r="O83" i="207"/>
  <c r="O81" i="207"/>
  <c r="O79" i="207"/>
  <c r="O78" i="207"/>
  <c r="O76" i="207"/>
  <c r="O75" i="207"/>
  <c r="O74" i="207"/>
  <c r="O72" i="207"/>
  <c r="O71" i="207"/>
  <c r="O56" i="207"/>
  <c r="O54" i="207"/>
  <c r="O49" i="207"/>
  <c r="O46" i="207"/>
  <c r="O43" i="207"/>
  <c r="O42" i="207"/>
  <c r="P35" i="207"/>
  <c r="R35" i="207"/>
  <c r="S35" i="207"/>
  <c r="T35" i="207"/>
  <c r="R38" i="207"/>
  <c r="S38" i="207"/>
  <c r="T38" i="207"/>
  <c r="D96" i="207"/>
  <c r="D94" i="207"/>
  <c r="D93" i="207"/>
  <c r="D92" i="207"/>
  <c r="D85" i="207"/>
  <c r="D84" i="207"/>
  <c r="D83" i="207"/>
  <c r="D81" i="207"/>
  <c r="D79" i="207"/>
  <c r="D78" i="207"/>
  <c r="D75" i="207"/>
  <c r="D74" i="207"/>
  <c r="F95" i="207"/>
  <c r="G95" i="207"/>
  <c r="H95" i="207"/>
  <c r="I95" i="207"/>
  <c r="J95" i="207"/>
  <c r="K95" i="207"/>
  <c r="L95" i="207"/>
  <c r="M95" i="207"/>
  <c r="N95" i="207"/>
  <c r="E95" i="207"/>
  <c r="F91" i="207"/>
  <c r="G91" i="207"/>
  <c r="H91" i="207"/>
  <c r="I91" i="207"/>
  <c r="J91" i="207"/>
  <c r="K91" i="207"/>
  <c r="L91" i="207"/>
  <c r="M91" i="207"/>
  <c r="N91" i="207"/>
  <c r="E91" i="207"/>
  <c r="G82" i="207"/>
  <c r="I82" i="207"/>
  <c r="K82" i="207"/>
  <c r="N82" i="207"/>
  <c r="F80" i="207"/>
  <c r="G80" i="207"/>
  <c r="H80" i="207"/>
  <c r="I80" i="207"/>
  <c r="J80" i="207"/>
  <c r="K80" i="207"/>
  <c r="L80" i="207"/>
  <c r="M80" i="207"/>
  <c r="N80" i="207"/>
  <c r="E80" i="207"/>
  <c r="F77" i="207"/>
  <c r="G77" i="207"/>
  <c r="H77" i="207"/>
  <c r="I77" i="207"/>
  <c r="J77" i="207"/>
  <c r="K77" i="207"/>
  <c r="L77" i="207"/>
  <c r="M77" i="207"/>
  <c r="N77" i="207"/>
  <c r="E77" i="207"/>
  <c r="F73" i="207"/>
  <c r="G73" i="207"/>
  <c r="H73" i="207"/>
  <c r="I73" i="207"/>
  <c r="J73" i="207"/>
  <c r="K73" i="207"/>
  <c r="L73" i="207"/>
  <c r="N73" i="207"/>
  <c r="E73" i="207"/>
  <c r="N71" i="207"/>
  <c r="M71" i="207"/>
  <c r="M69" i="207" s="1"/>
  <c r="L71" i="207"/>
  <c r="L69" i="207" s="1"/>
  <c r="K71" i="207"/>
  <c r="J71" i="207"/>
  <c r="I71" i="207"/>
  <c r="I69" i="207" s="1"/>
  <c r="H71" i="207"/>
  <c r="H69" i="207" s="1"/>
  <c r="F71" i="207"/>
  <c r="N69" i="207"/>
  <c r="K69" i="207"/>
  <c r="J69" i="207"/>
  <c r="F69" i="207"/>
  <c r="E71" i="207"/>
  <c r="F60" i="207"/>
  <c r="H60" i="207"/>
  <c r="I60" i="207"/>
  <c r="K60" i="207"/>
  <c r="L60" i="207"/>
  <c r="N60" i="207"/>
  <c r="E88" i="207"/>
  <c r="D57" i="207"/>
  <c r="D56" i="207"/>
  <c r="D55" i="207"/>
  <c r="D51" i="207"/>
  <c r="D49" i="207"/>
  <c r="D48" i="207"/>
  <c r="D46" i="207"/>
  <c r="D45" i="207"/>
  <c r="D43" i="207"/>
  <c r="D39" i="207"/>
  <c r="D36" i="207"/>
  <c r="E35" i="207"/>
  <c r="F54" i="207"/>
  <c r="G54" i="207"/>
  <c r="H54" i="207"/>
  <c r="I54" i="207"/>
  <c r="J54" i="207"/>
  <c r="K54" i="207"/>
  <c r="L54" i="207"/>
  <c r="M54" i="207"/>
  <c r="N54" i="207"/>
  <c r="E54" i="207"/>
  <c r="F50" i="207"/>
  <c r="I50" i="207"/>
  <c r="K50" i="207"/>
  <c r="M50" i="207"/>
  <c r="N50" i="207"/>
  <c r="E50" i="207"/>
  <c r="F47" i="207"/>
  <c r="G47" i="207"/>
  <c r="H47" i="207"/>
  <c r="I47" i="207"/>
  <c r="J47" i="207"/>
  <c r="K47" i="207"/>
  <c r="L47" i="207"/>
  <c r="M47" i="207"/>
  <c r="N47" i="207"/>
  <c r="E47" i="207"/>
  <c r="D47" i="207" s="1"/>
  <c r="F44" i="207"/>
  <c r="G44" i="207"/>
  <c r="H44" i="207"/>
  <c r="I44" i="207"/>
  <c r="J44" i="207"/>
  <c r="K44" i="207"/>
  <c r="L44" i="207"/>
  <c r="M44" i="207"/>
  <c r="N44" i="207"/>
  <c r="E44" i="207"/>
  <c r="AD23" i="207" l="1"/>
  <c r="O77" i="207"/>
  <c r="O91" i="207"/>
  <c r="Y54" i="207"/>
  <c r="O47" i="207"/>
  <c r="O80" i="207"/>
  <c r="O95" i="207"/>
  <c r="D95" i="207"/>
  <c r="T34" i="207"/>
  <c r="AH58" i="207"/>
  <c r="AH23" i="207" s="1"/>
  <c r="AG58" i="207"/>
  <c r="AG35" i="207"/>
  <c r="Y35" i="207" s="1"/>
  <c r="AD58" i="207"/>
  <c r="AE58" i="207"/>
  <c r="AE23" i="207" s="1"/>
  <c r="Y69" i="207"/>
  <c r="W58" i="207"/>
  <c r="O69" i="207"/>
  <c r="U58" i="207"/>
  <c r="X58" i="207"/>
  <c r="T58" i="207"/>
  <c r="O73" i="207"/>
  <c r="D54" i="207"/>
  <c r="K58" i="207"/>
  <c r="D80" i="207"/>
  <c r="D44" i="207"/>
  <c r="I58" i="207"/>
  <c r="D77" i="207"/>
  <c r="N58" i="207"/>
  <c r="D91" i="207"/>
  <c r="E69" i="207"/>
  <c r="X38" i="207"/>
  <c r="V38" i="207"/>
  <c r="U38" i="207"/>
  <c r="G38" i="207"/>
  <c r="H38" i="207"/>
  <c r="I38" i="207"/>
  <c r="J38" i="207"/>
  <c r="K38" i="207"/>
  <c r="L38" i="207"/>
  <c r="N38" i="207"/>
  <c r="F35" i="207"/>
  <c r="G35" i="207"/>
  <c r="H35" i="207"/>
  <c r="I35" i="207"/>
  <c r="I34" i="207" s="1"/>
  <c r="J35" i="207"/>
  <c r="K35" i="207"/>
  <c r="L35" i="207"/>
  <c r="N35" i="207"/>
  <c r="N34" i="207" s="1"/>
  <c r="U35" i="207"/>
  <c r="V35" i="207"/>
  <c r="X35" i="207"/>
  <c r="X34" i="207" s="1"/>
  <c r="D42" i="207"/>
  <c r="W37" i="207"/>
  <c r="M37" i="207"/>
  <c r="D37" i="207" s="1"/>
  <c r="D10" i="206"/>
  <c r="D18" i="206" s="1"/>
  <c r="E10" i="206"/>
  <c r="E18" i="206" s="1"/>
  <c r="C10" i="206"/>
  <c r="C18" i="206" s="1"/>
  <c r="M76" i="207" s="1"/>
  <c r="U34" i="207" l="1"/>
  <c r="U23" i="207" s="1"/>
  <c r="Y24" i="207"/>
  <c r="T23" i="207"/>
  <c r="M73" i="207"/>
  <c r="D73" i="207" s="1"/>
  <c r="D76" i="207"/>
  <c r="W35" i="207"/>
  <c r="O35" i="207" s="1"/>
  <c r="O37" i="207"/>
  <c r="M35" i="207"/>
  <c r="D35" i="207" s="1"/>
  <c r="I22" i="207"/>
  <c r="K34" i="207"/>
  <c r="K23" i="207" s="1"/>
  <c r="D10" i="205"/>
  <c r="D21" i="205" s="1"/>
  <c r="C10" i="205"/>
  <c r="C21" i="205" s="1"/>
  <c r="E10" i="205"/>
  <c r="E21" i="205" s="1"/>
  <c r="J7" i="204"/>
  <c r="I7" i="204"/>
  <c r="H7" i="204"/>
  <c r="O24" i="207" l="1"/>
  <c r="M63" i="207"/>
  <c r="K22" i="207"/>
  <c r="D10" i="202" l="1"/>
  <c r="D33" i="202" s="1"/>
  <c r="C10" i="202"/>
  <c r="E10" i="202"/>
  <c r="E33" i="202" s="1"/>
  <c r="E10" i="201"/>
  <c r="C10" i="201"/>
  <c r="C14" i="201" s="1"/>
  <c r="J64" i="207" s="1"/>
  <c r="J60" i="207" s="1"/>
  <c r="D10" i="201"/>
  <c r="E10" i="199"/>
  <c r="D10" i="199"/>
  <c r="C10" i="199"/>
  <c r="E33" i="199" l="1"/>
  <c r="AF88" i="207"/>
  <c r="AF86" i="207" s="1"/>
  <c r="AF82" i="207" s="1"/>
  <c r="AF58" i="207" s="1"/>
  <c r="D10" i="204"/>
  <c r="D33" i="199"/>
  <c r="V88" i="207"/>
  <c r="V86" i="207" s="1"/>
  <c r="V82" i="207" s="1"/>
  <c r="V58" i="207" s="1"/>
  <c r="C10" i="204"/>
  <c r="C33" i="199"/>
  <c r="L88" i="207"/>
  <c r="L86" i="207" s="1"/>
  <c r="L82" i="207" s="1"/>
  <c r="L58" i="207" s="1"/>
  <c r="B10" i="204"/>
  <c r="C33" i="202"/>
  <c r="J86" i="207"/>
  <c r="J82" i="207" s="1"/>
  <c r="J58" i="207" s="1"/>
  <c r="E14" i="201"/>
  <c r="D11" i="204" s="1"/>
  <c r="D14" i="201"/>
  <c r="C11" i="204" s="1"/>
  <c r="B11" i="204" l="1"/>
  <c r="C35" i="202"/>
  <c r="J10" i="204"/>
  <c r="E18" i="184"/>
  <c r="AF53" i="207" s="1"/>
  <c r="I10" i="204"/>
  <c r="D18" i="184"/>
  <c r="V53" i="207" s="1"/>
  <c r="H10" i="204"/>
  <c r="C18" i="184"/>
  <c r="L53" i="207" s="1"/>
  <c r="J11" i="204"/>
  <c r="E16" i="184"/>
  <c r="D16" i="184"/>
  <c r="I11" i="204"/>
  <c r="H11" i="204" l="1"/>
  <c r="C16" i="184"/>
  <c r="J52" i="207" s="1"/>
  <c r="J50" i="207" s="1"/>
  <c r="J34" i="207" s="1"/>
  <c r="J23" i="207" s="1"/>
  <c r="Y53" i="207"/>
  <c r="AF50" i="207"/>
  <c r="AF34" i="207" s="1"/>
  <c r="AF24" i="207" s="1"/>
  <c r="O53" i="207"/>
  <c r="V50" i="207"/>
  <c r="V34" i="207" s="1"/>
  <c r="V24" i="207" s="1"/>
  <c r="D53" i="207"/>
  <c r="L50" i="207"/>
  <c r="L34" i="207" s="1"/>
  <c r="L23" i="207" s="1"/>
  <c r="E10" i="197"/>
  <c r="J22" i="207" l="1"/>
  <c r="AF23" i="207"/>
  <c r="V23" i="207"/>
  <c r="L22" i="207"/>
  <c r="E33" i="197"/>
  <c r="AC86" i="207"/>
  <c r="AC82" i="207" s="1"/>
  <c r="AC58" i="207" s="1"/>
  <c r="D9" i="204"/>
  <c r="D10" i="197"/>
  <c r="C10" i="197"/>
  <c r="C33" i="197" s="1"/>
  <c r="D10" i="192"/>
  <c r="D17" i="192" s="1"/>
  <c r="E10" i="192"/>
  <c r="E17" i="192" s="1"/>
  <c r="C10" i="192"/>
  <c r="C17" i="192" s="1"/>
  <c r="G72" i="207" s="1"/>
  <c r="AB63" i="207"/>
  <c r="D10" i="191"/>
  <c r="G63" i="207"/>
  <c r="Y88" i="207"/>
  <c r="S86" i="207" l="1"/>
  <c r="S82" i="207" s="1"/>
  <c r="S58" i="207" s="1"/>
  <c r="C9" i="204"/>
  <c r="D33" i="197"/>
  <c r="J9" i="204"/>
  <c r="E14" i="184"/>
  <c r="AC52" i="207" s="1"/>
  <c r="AC50" i="207" s="1"/>
  <c r="AC34" i="207" s="1"/>
  <c r="AC24" i="207" s="1"/>
  <c r="H86" i="207"/>
  <c r="H82" i="207" s="1"/>
  <c r="H58" i="207" s="1"/>
  <c r="B9" i="204"/>
  <c r="D72" i="207"/>
  <c r="G71" i="207"/>
  <c r="Y63" i="207"/>
  <c r="AB60" i="207"/>
  <c r="AB58" i="207" s="1"/>
  <c r="E10" i="191"/>
  <c r="D22" i="191"/>
  <c r="C8" i="204" s="1"/>
  <c r="C13" i="204" s="1"/>
  <c r="I13" i="204" s="1"/>
  <c r="R63" i="207"/>
  <c r="G60" i="207"/>
  <c r="C10" i="191"/>
  <c r="E10" i="187"/>
  <c r="E33" i="187" s="1"/>
  <c r="D10" i="187"/>
  <c r="C10" i="187"/>
  <c r="E9" i="183"/>
  <c r="C14" i="182" s="1"/>
  <c r="C9" i="182" s="1"/>
  <c r="C17" i="182" s="1"/>
  <c r="F16" i="181"/>
  <c r="E16" i="181"/>
  <c r="D16" i="181"/>
  <c r="C16" i="181"/>
  <c r="F10" i="176"/>
  <c r="F19" i="176" s="1"/>
  <c r="E35" i="187" l="1"/>
  <c r="D9" i="177"/>
  <c r="I9" i="204"/>
  <c r="D14" i="184"/>
  <c r="S52" i="207" s="1"/>
  <c r="S50" i="207" s="1"/>
  <c r="S34" i="207" s="1"/>
  <c r="S24" i="207" s="1"/>
  <c r="AC23" i="207"/>
  <c r="H9" i="204"/>
  <c r="C14" i="184"/>
  <c r="H52" i="207" s="1"/>
  <c r="H50" i="207" s="1"/>
  <c r="H34" i="207" s="1"/>
  <c r="H23" i="207" s="1"/>
  <c r="G69" i="207"/>
  <c r="D69" i="207" s="1"/>
  <c r="D71" i="207"/>
  <c r="D33" i="187"/>
  <c r="AA86" i="207"/>
  <c r="AA82" i="207" s="1"/>
  <c r="AA58" i="207" s="1"/>
  <c r="Q86" i="207"/>
  <c r="Q82" i="207" s="1"/>
  <c r="Q58" i="207" s="1"/>
  <c r="C33" i="187"/>
  <c r="F86" i="207"/>
  <c r="F82" i="207" s="1"/>
  <c r="F58" i="207" s="1"/>
  <c r="E22" i="191"/>
  <c r="D8" i="204" s="1"/>
  <c r="D13" i="204" s="1"/>
  <c r="J13" i="204" s="1"/>
  <c r="I8" i="204"/>
  <c r="D13" i="184"/>
  <c r="R60" i="207"/>
  <c r="R58" i="207" s="1"/>
  <c r="O63" i="207"/>
  <c r="C22" i="191"/>
  <c r="B8" i="204"/>
  <c r="B13" i="204" s="1"/>
  <c r="H13" i="204" s="1"/>
  <c r="D35" i="187" l="1"/>
  <c r="C9" i="177"/>
  <c r="E13" i="176"/>
  <c r="AA40" i="207" s="1"/>
  <c r="AA38" i="207" s="1"/>
  <c r="AA34" i="207" s="1"/>
  <c r="AA24" i="207" s="1"/>
  <c r="J9" i="177"/>
  <c r="C35" i="187"/>
  <c r="B9" i="177"/>
  <c r="G58" i="207"/>
  <c r="H22" i="207"/>
  <c r="S23" i="207"/>
  <c r="E13" i="184"/>
  <c r="J8" i="204"/>
  <c r="R52" i="207"/>
  <c r="D11" i="184"/>
  <c r="D10" i="184" s="1"/>
  <c r="D22" i="184" s="1"/>
  <c r="D24" i="184" s="1"/>
  <c r="H8" i="204"/>
  <c r="C13" i="184"/>
  <c r="AA23" i="207" l="1"/>
  <c r="C13" i="176"/>
  <c r="F40" i="207" s="1"/>
  <c r="F38" i="207" s="1"/>
  <c r="F34" i="207" s="1"/>
  <c r="F23" i="207" s="1"/>
  <c r="H9" i="177"/>
  <c r="I9" i="177"/>
  <c r="D13" i="176"/>
  <c r="Q40" i="207" s="1"/>
  <c r="Q38" i="207" s="1"/>
  <c r="Q34" i="207" s="1"/>
  <c r="Q24" i="207" s="1"/>
  <c r="AB52" i="207"/>
  <c r="E11" i="184"/>
  <c r="E10" i="184" s="1"/>
  <c r="E22" i="184" s="1"/>
  <c r="E24" i="184" s="1"/>
  <c r="O52" i="207"/>
  <c r="R50" i="207"/>
  <c r="G52" i="207"/>
  <c r="C11" i="184"/>
  <c r="C10" i="184" s="1"/>
  <c r="C22" i="184" s="1"/>
  <c r="F22" i="207" l="1"/>
  <c r="Q23" i="207"/>
  <c r="C24" i="184"/>
  <c r="Y52" i="207"/>
  <c r="AB50" i="207"/>
  <c r="O50" i="207"/>
  <c r="R34" i="207"/>
  <c r="R24" i="207" s="1"/>
  <c r="G50" i="207"/>
  <c r="D52" i="207"/>
  <c r="Y50" i="207" l="1"/>
  <c r="AB34" i="207"/>
  <c r="AB24" i="207" s="1"/>
  <c r="R23" i="207"/>
  <c r="G34" i="207"/>
  <c r="G23" i="207" s="1"/>
  <c r="D50" i="207"/>
  <c r="AB23" i="207" l="1"/>
  <c r="G22" i="207"/>
  <c r="P88" i="207" l="1"/>
  <c r="O88" i="207" s="1"/>
  <c r="E10" i="147" l="1"/>
  <c r="E14" i="147" s="1"/>
  <c r="Z64" i="207" s="1"/>
  <c r="Y64" i="207" s="1"/>
  <c r="D10" i="147"/>
  <c r="D14" i="147" s="1"/>
  <c r="P64" i="207" s="1"/>
  <c r="O64" i="207" s="1"/>
  <c r="C10" i="147"/>
  <c r="C14" i="147" s="1"/>
  <c r="E64" i="207" s="1"/>
  <c r="D64" i="207" s="1"/>
  <c r="I22" i="138" l="1"/>
  <c r="N17" i="138"/>
  <c r="E19" i="142" s="1"/>
  <c r="M17" i="138"/>
  <c r="D19" i="142" s="1"/>
  <c r="L17" i="138"/>
  <c r="G17" i="138"/>
  <c r="C17" i="138"/>
  <c r="J17" i="138"/>
  <c r="C19" i="142" s="1"/>
  <c r="F17" i="138"/>
  <c r="E13" i="137"/>
  <c r="Z67" i="207" s="1"/>
  <c r="D13" i="137"/>
  <c r="P67" i="207" s="1"/>
  <c r="C13" i="137"/>
  <c r="E67" i="207" s="1"/>
  <c r="E65" i="207" s="1"/>
  <c r="E13" i="136"/>
  <c r="D13" i="136"/>
  <c r="C13" i="136"/>
  <c r="E62" i="207" l="1"/>
  <c r="P62" i="207"/>
  <c r="O62" i="207" s="1"/>
  <c r="Z62" i="207"/>
  <c r="Y62" i="207" s="1"/>
  <c r="C10" i="142"/>
  <c r="C22" i="142" s="1"/>
  <c r="E63" i="207" s="1"/>
  <c r="D63" i="207" s="1"/>
  <c r="D10" i="142"/>
  <c r="D22" i="142" s="1"/>
  <c r="E10" i="142"/>
  <c r="E22" i="142" s="1"/>
  <c r="Z65" i="207"/>
  <c r="Y65" i="207" s="1"/>
  <c r="Y67" i="207"/>
  <c r="P65" i="207"/>
  <c r="O65" i="207" s="1"/>
  <c r="O67" i="207"/>
  <c r="K17" i="138"/>
  <c r="D17" i="138"/>
  <c r="E17" i="138"/>
  <c r="E60" i="207" l="1"/>
  <c r="Z60" i="207"/>
  <c r="Y60" i="207" s="1"/>
  <c r="P60" i="207"/>
  <c r="O60" i="207" s="1"/>
  <c r="D10" i="151"/>
  <c r="C10" i="151"/>
  <c r="D33" i="151" l="1"/>
  <c r="P86" i="207"/>
  <c r="C33" i="151"/>
  <c r="B8" i="177" s="1"/>
  <c r="D35" i="151" l="1"/>
  <c r="C8" i="177"/>
  <c r="C10" i="177" s="1"/>
  <c r="C35" i="151"/>
  <c r="E86" i="207"/>
  <c r="E82" i="207" s="1"/>
  <c r="E58" i="207" s="1"/>
  <c r="P82" i="207"/>
  <c r="O86" i="207"/>
  <c r="H8" i="177"/>
  <c r="B10" i="177"/>
  <c r="C12" i="176"/>
  <c r="M88" i="207"/>
  <c r="D88" i="207" s="1"/>
  <c r="I8" i="177" l="1"/>
  <c r="D12" i="176"/>
  <c r="P40" i="207" s="1"/>
  <c r="E40" i="207"/>
  <c r="C10" i="176"/>
  <c r="P58" i="207"/>
  <c r="O58" i="207" s="1"/>
  <c r="O82" i="207"/>
  <c r="D13" i="130"/>
  <c r="C13" i="130"/>
  <c r="M67" i="207" s="1"/>
  <c r="E13" i="130"/>
  <c r="D13" i="129"/>
  <c r="E13" i="129"/>
  <c r="C13" i="129"/>
  <c r="C19" i="176" l="1"/>
  <c r="G13" i="174"/>
  <c r="D10" i="176"/>
  <c r="M62" i="207"/>
  <c r="D62" i="207" s="1"/>
  <c r="M65" i="207"/>
  <c r="D67" i="207"/>
  <c r="P38" i="207"/>
  <c r="P34" i="207" s="1"/>
  <c r="P24" i="207" s="1"/>
  <c r="O40" i="207"/>
  <c r="D40" i="207"/>
  <c r="E38" i="207"/>
  <c r="E34" i="207" s="1"/>
  <c r="E23" i="207" s="1"/>
  <c r="D19" i="176" l="1"/>
  <c r="H13" i="174"/>
  <c r="P23" i="207"/>
  <c r="M60" i="207"/>
  <c r="D60" i="207" s="1"/>
  <c r="D65" i="207"/>
  <c r="E22" i="207"/>
  <c r="D30" i="132" l="1"/>
  <c r="D32" i="132" s="1"/>
  <c r="E30" i="132"/>
  <c r="E32" i="132" s="1"/>
  <c r="C30" i="132"/>
  <c r="M86" i="207" l="1"/>
  <c r="M82" i="207" l="1"/>
  <c r="D86" i="207"/>
  <c r="D41" i="207"/>
  <c r="M38" i="207"/>
  <c r="M34" i="207" s="1"/>
  <c r="M24" i="207" s="1"/>
  <c r="W38" i="207"/>
  <c r="O41" i="207"/>
  <c r="AG38" i="207"/>
  <c r="Y41" i="207"/>
  <c r="W34" i="207" l="1"/>
  <c r="W24" i="207" s="1"/>
  <c r="O38" i="207"/>
  <c r="D82" i="207"/>
  <c r="M58" i="207"/>
  <c r="D38" i="207"/>
  <c r="AG34" i="207"/>
  <c r="AG24" i="207" s="1"/>
  <c r="K11" i="111"/>
  <c r="Q11" i="111" s="1"/>
  <c r="W11" i="111" s="1"/>
  <c r="L16" i="111"/>
  <c r="M16" i="111"/>
  <c r="N16" i="111"/>
  <c r="R16" i="111"/>
  <c r="S16" i="111"/>
  <c r="T16" i="111"/>
  <c r="H16" i="111"/>
  <c r="E16" i="111"/>
  <c r="D15" i="111"/>
  <c r="C15" i="111"/>
  <c r="D14" i="111"/>
  <c r="C14" i="111"/>
  <c r="D13" i="111"/>
  <c r="C13" i="111"/>
  <c r="G11" i="111"/>
  <c r="F11" i="111"/>
  <c r="D11" i="111"/>
  <c r="D12" i="111"/>
  <c r="C12" i="111"/>
  <c r="D10" i="111"/>
  <c r="C10" i="111"/>
  <c r="W23" i="207" l="1"/>
  <c r="M25" i="207"/>
  <c r="D34" i="207"/>
  <c r="D23" i="207" s="1"/>
  <c r="O34" i="207"/>
  <c r="AG23" i="207"/>
  <c r="D58" i="207"/>
  <c r="D16" i="111"/>
  <c r="G16" i="111"/>
  <c r="F16" i="111"/>
  <c r="O23" i="207" l="1"/>
  <c r="D22" i="207"/>
  <c r="D22" i="111"/>
  <c r="AE28" i="110" l="1"/>
  <c r="AD28" i="110"/>
  <c r="AB28" i="110"/>
  <c r="AA28" i="110"/>
  <c r="Y28" i="110"/>
  <c r="X28" i="110"/>
  <c r="N28" i="110"/>
  <c r="J28" i="110"/>
  <c r="I28" i="110"/>
  <c r="D28" i="110"/>
  <c r="C28" i="110"/>
  <c r="AS27" i="110"/>
  <c r="AF27" i="110"/>
  <c r="AC27" i="110"/>
  <c r="Z27" i="110"/>
  <c r="H27" i="110"/>
  <c r="G27" i="110"/>
  <c r="E27" i="110"/>
  <c r="F27" i="110" s="1"/>
  <c r="M27" i="110" s="1"/>
  <c r="O27" i="110" s="1"/>
  <c r="AS26" i="110"/>
  <c r="AF26" i="110"/>
  <c r="AC26" i="110"/>
  <c r="Z26" i="110"/>
  <c r="H26" i="110"/>
  <c r="G26" i="110"/>
  <c r="E26" i="110"/>
  <c r="F26" i="110" s="1"/>
  <c r="AS25" i="110"/>
  <c r="E25" i="110"/>
  <c r="F25" i="110" s="1"/>
  <c r="AS24" i="110"/>
  <c r="E24" i="110"/>
  <c r="F24" i="110" s="1"/>
  <c r="AS23" i="110"/>
  <c r="AF23" i="110"/>
  <c r="AC23" i="110"/>
  <c r="Z23" i="110"/>
  <c r="K23" i="110"/>
  <c r="H23" i="110"/>
  <c r="G23" i="110"/>
  <c r="G28" i="110" s="1"/>
  <c r="E23" i="110"/>
  <c r="F23" i="110" s="1"/>
  <c r="AS22" i="110"/>
  <c r="AF22" i="110"/>
  <c r="AC22" i="110"/>
  <c r="Z22" i="110"/>
  <c r="E22" i="110"/>
  <c r="F22" i="110" s="1"/>
  <c r="AS21" i="110"/>
  <c r="AF21" i="110"/>
  <c r="AC21" i="110"/>
  <c r="Z21" i="110"/>
  <c r="H21" i="110"/>
  <c r="E21" i="110"/>
  <c r="F21" i="110" s="1"/>
  <c r="AS20" i="110"/>
  <c r="AF20" i="110"/>
  <c r="AC20" i="110"/>
  <c r="Z20" i="110"/>
  <c r="F20" i="110"/>
  <c r="E20" i="110"/>
  <c r="AS19" i="110"/>
  <c r="AF19" i="110"/>
  <c r="AC19" i="110"/>
  <c r="Z19" i="110"/>
  <c r="H19" i="110"/>
  <c r="E19" i="110"/>
  <c r="F19" i="110" s="1"/>
  <c r="AS18" i="110"/>
  <c r="AF18" i="110"/>
  <c r="AC18" i="110"/>
  <c r="Z18" i="110"/>
  <c r="AG18" i="110" s="1"/>
  <c r="K18" i="110"/>
  <c r="H18" i="110"/>
  <c r="E18" i="110"/>
  <c r="F18" i="110" s="1"/>
  <c r="AS17" i="110"/>
  <c r="AF17" i="110"/>
  <c r="AC17" i="110"/>
  <c r="Z17" i="110"/>
  <c r="H17" i="110"/>
  <c r="E17" i="110"/>
  <c r="F17" i="110" s="1"/>
  <c r="AS16" i="110"/>
  <c r="AF16" i="110"/>
  <c r="AC16" i="110"/>
  <c r="Z16" i="110"/>
  <c r="AG16" i="110" s="1"/>
  <c r="E16" i="110"/>
  <c r="F16" i="110" s="1"/>
  <c r="AS15" i="110"/>
  <c r="AF15" i="110"/>
  <c r="AC15" i="110"/>
  <c r="Z15" i="110"/>
  <c r="F15" i="110"/>
  <c r="E15" i="110"/>
  <c r="AS14" i="110"/>
  <c r="AO14" i="110"/>
  <c r="AH14" i="110"/>
  <c r="AF14" i="110"/>
  <c r="AC14" i="110"/>
  <c r="Z14" i="110"/>
  <c r="AG14" i="110" s="1"/>
  <c r="F14" i="110"/>
  <c r="E14" i="110"/>
  <c r="AS13" i="110"/>
  <c r="AF13" i="110"/>
  <c r="AC13" i="110"/>
  <c r="Z13" i="110"/>
  <c r="K13" i="110"/>
  <c r="F13" i="110"/>
  <c r="E13" i="110"/>
  <c r="AS12" i="110"/>
  <c r="AF12" i="110"/>
  <c r="AC12" i="110"/>
  <c r="Z12" i="110"/>
  <c r="H12" i="110"/>
  <c r="E12" i="110"/>
  <c r="F12" i="110" s="1"/>
  <c r="AS11" i="110"/>
  <c r="AF11" i="110"/>
  <c r="AC11" i="110"/>
  <c r="Z11" i="110"/>
  <c r="AG11" i="110" s="1"/>
  <c r="K11" i="110"/>
  <c r="H11" i="110"/>
  <c r="F11" i="110"/>
  <c r="E11" i="110"/>
  <c r="AS10" i="110"/>
  <c r="AO10" i="110"/>
  <c r="AG10" i="110"/>
  <c r="AF10" i="110"/>
  <c r="AC10" i="110"/>
  <c r="Z10" i="110"/>
  <c r="K10" i="110"/>
  <c r="H10" i="110"/>
  <c r="E10" i="110"/>
  <c r="F10" i="110" s="1"/>
  <c r="L10" i="110" s="1"/>
  <c r="AS9" i="110"/>
  <c r="AO9" i="110"/>
  <c r="AF9" i="110"/>
  <c r="AC9" i="110"/>
  <c r="Z9" i="110"/>
  <c r="E9" i="110"/>
  <c r="AE25" i="109"/>
  <c r="AD25" i="109"/>
  <c r="AB25" i="109"/>
  <c r="AA25" i="109"/>
  <c r="Y25" i="109"/>
  <c r="X25" i="109"/>
  <c r="U25" i="109"/>
  <c r="I25" i="109"/>
  <c r="D25" i="109"/>
  <c r="C25" i="109"/>
  <c r="AS24" i="109"/>
  <c r="AF24" i="109"/>
  <c r="AC24" i="109"/>
  <c r="Z24" i="109"/>
  <c r="F24" i="109"/>
  <c r="M24" i="109" s="1"/>
  <c r="E24" i="109"/>
  <c r="AF23" i="109"/>
  <c r="AC23" i="109"/>
  <c r="Z23" i="109"/>
  <c r="E23" i="109"/>
  <c r="F23" i="109" s="1"/>
  <c r="AS22" i="109"/>
  <c r="AF22" i="109"/>
  <c r="AC22" i="109"/>
  <c r="Z22" i="109"/>
  <c r="H22" i="109"/>
  <c r="G22" i="109"/>
  <c r="G25" i="109" s="1"/>
  <c r="E22" i="109"/>
  <c r="F22" i="109" s="1"/>
  <c r="L22" i="109" s="1"/>
  <c r="AS21" i="109"/>
  <c r="AF21" i="109"/>
  <c r="AC21" i="109"/>
  <c r="Z21" i="109"/>
  <c r="H21" i="109"/>
  <c r="E21" i="109"/>
  <c r="F21" i="109" s="1"/>
  <c r="AF20" i="109"/>
  <c r="AC20" i="109"/>
  <c r="Z20" i="109"/>
  <c r="E20" i="109"/>
  <c r="F20" i="109" s="1"/>
  <c r="L20" i="109" s="1"/>
  <c r="AF19" i="109"/>
  <c r="AC19" i="109"/>
  <c r="Z19" i="109"/>
  <c r="AG19" i="109" s="1"/>
  <c r="E19" i="109"/>
  <c r="F19" i="109" s="1"/>
  <c r="AF18" i="109"/>
  <c r="AC18" i="109"/>
  <c r="Z18" i="109"/>
  <c r="F18" i="109"/>
  <c r="L18" i="109" s="1"/>
  <c r="E18" i="109"/>
  <c r="AS17" i="109"/>
  <c r="AF17" i="109"/>
  <c r="AG17" i="109" s="1"/>
  <c r="AC17" i="109"/>
  <c r="Z17" i="109"/>
  <c r="K17" i="109"/>
  <c r="J17" i="109"/>
  <c r="J25" i="109" s="1"/>
  <c r="H17" i="109"/>
  <c r="E17" i="109"/>
  <c r="F17" i="109" s="1"/>
  <c r="L17" i="109" s="1"/>
  <c r="AS16" i="109"/>
  <c r="AF16" i="109"/>
  <c r="AC16" i="109"/>
  <c r="Z16" i="109"/>
  <c r="H16" i="109"/>
  <c r="E16" i="109"/>
  <c r="F16" i="109" s="1"/>
  <c r="L16" i="109" s="1"/>
  <c r="AS15" i="109"/>
  <c r="AF15" i="109"/>
  <c r="AC15" i="109"/>
  <c r="Z15" i="109"/>
  <c r="H15" i="109"/>
  <c r="E15" i="109"/>
  <c r="F15" i="109" s="1"/>
  <c r="L15" i="109" s="1"/>
  <c r="AS14" i="109"/>
  <c r="AF14" i="109"/>
  <c r="AC14" i="109"/>
  <c r="Z14" i="109"/>
  <c r="H14" i="109"/>
  <c r="E14" i="109"/>
  <c r="F14" i="109" s="1"/>
  <c r="AS13" i="109"/>
  <c r="AF13" i="109"/>
  <c r="AC13" i="109"/>
  <c r="Z13" i="109"/>
  <c r="H13" i="109"/>
  <c r="E13" i="109"/>
  <c r="F13" i="109" s="1"/>
  <c r="AS12" i="109"/>
  <c r="AF12" i="109"/>
  <c r="AC12" i="109"/>
  <c r="Z12" i="109"/>
  <c r="E12" i="109"/>
  <c r="F12" i="109" s="1"/>
  <c r="L12" i="109" s="1"/>
  <c r="AS11" i="109"/>
  <c r="AO11" i="109"/>
  <c r="AG11" i="109"/>
  <c r="AF11" i="109"/>
  <c r="AC11" i="109"/>
  <c r="Z11" i="109"/>
  <c r="H11" i="109"/>
  <c r="E11" i="109"/>
  <c r="F11" i="109" s="1"/>
  <c r="AS10" i="109"/>
  <c r="AO10" i="109"/>
  <c r="AF10" i="109"/>
  <c r="AC10" i="109"/>
  <c r="Z10" i="109"/>
  <c r="AG10" i="109" s="1"/>
  <c r="E10" i="109"/>
  <c r="F10" i="109" s="1"/>
  <c r="AS9" i="109"/>
  <c r="AO9" i="109"/>
  <c r="AF9" i="109"/>
  <c r="AC9" i="109"/>
  <c r="Z9" i="109"/>
  <c r="E9" i="109"/>
  <c r="F9" i="109" s="1"/>
  <c r="N67" i="108"/>
  <c r="U66" i="108"/>
  <c r="N66" i="108"/>
  <c r="J66" i="108"/>
  <c r="I66" i="108"/>
  <c r="H66" i="108"/>
  <c r="G66" i="108"/>
  <c r="D66" i="108"/>
  <c r="C66" i="108"/>
  <c r="U65" i="108"/>
  <c r="N65" i="108"/>
  <c r="I65" i="108"/>
  <c r="G65" i="108"/>
  <c r="D65" i="108"/>
  <c r="U64" i="108"/>
  <c r="U67" i="108" s="1"/>
  <c r="N64" i="108"/>
  <c r="J64" i="108"/>
  <c r="I64" i="108"/>
  <c r="H64" i="108"/>
  <c r="G64" i="108"/>
  <c r="D64" i="108"/>
  <c r="C64" i="108"/>
  <c r="J57" i="108"/>
  <c r="I57" i="108"/>
  <c r="AQ52" i="108"/>
  <c r="AE52" i="108"/>
  <c r="AD52" i="108"/>
  <c r="AB52" i="108"/>
  <c r="AA52" i="108"/>
  <c r="Y52" i="108"/>
  <c r="X52" i="108"/>
  <c r="U52" i="108"/>
  <c r="N52" i="108"/>
  <c r="I52" i="108"/>
  <c r="D52" i="108"/>
  <c r="AQ51" i="108"/>
  <c r="AF51" i="108"/>
  <c r="AC51" i="108"/>
  <c r="Z51" i="108"/>
  <c r="C51" i="108"/>
  <c r="E51" i="108" s="1"/>
  <c r="F51" i="108" s="1"/>
  <c r="AQ50" i="108"/>
  <c r="AF50" i="108"/>
  <c r="AC50" i="108"/>
  <c r="AG50" i="108" s="1"/>
  <c r="Z50" i="108"/>
  <c r="E50" i="108"/>
  <c r="F50" i="108" s="1"/>
  <c r="AQ49" i="108"/>
  <c r="AH49" i="108"/>
  <c r="AF49" i="108"/>
  <c r="AC49" i="108"/>
  <c r="Z49" i="108"/>
  <c r="AG49" i="108" s="1"/>
  <c r="G49" i="108"/>
  <c r="E49" i="108"/>
  <c r="F49" i="108" s="1"/>
  <c r="AQ48" i="108"/>
  <c r="AF48" i="108"/>
  <c r="AC48" i="108"/>
  <c r="Z48" i="108"/>
  <c r="K48" i="108"/>
  <c r="G48" i="108"/>
  <c r="E48" i="108"/>
  <c r="F48" i="108" s="1"/>
  <c r="AQ47" i="108"/>
  <c r="AF47" i="108"/>
  <c r="AC47" i="108"/>
  <c r="Z47" i="108"/>
  <c r="K47" i="108"/>
  <c r="G47" i="108"/>
  <c r="E47" i="108"/>
  <c r="F47" i="108" s="1"/>
  <c r="L47" i="108" s="1"/>
  <c r="AQ46" i="108"/>
  <c r="AF46" i="108"/>
  <c r="AC46" i="108"/>
  <c r="AG46" i="108" s="1"/>
  <c r="Z46" i="108"/>
  <c r="H46" i="108"/>
  <c r="E46" i="108"/>
  <c r="F46" i="108" s="1"/>
  <c r="AQ45" i="108"/>
  <c r="AF45" i="108"/>
  <c r="AC45" i="108"/>
  <c r="Z45" i="108"/>
  <c r="E45" i="108"/>
  <c r="F45" i="108" s="1"/>
  <c r="L45" i="108" s="1"/>
  <c r="M45" i="108" s="1"/>
  <c r="AQ44" i="108"/>
  <c r="AG44" i="108"/>
  <c r="AF44" i="108"/>
  <c r="AC44" i="108"/>
  <c r="Z44" i="108"/>
  <c r="G44" i="108"/>
  <c r="C44" i="108"/>
  <c r="E44" i="108" s="1"/>
  <c r="F44" i="108" s="1"/>
  <c r="AO43" i="108"/>
  <c r="AF43" i="108"/>
  <c r="AC43" i="108"/>
  <c r="AG43" i="108" s="1"/>
  <c r="Z43" i="108"/>
  <c r="E43" i="108"/>
  <c r="F43" i="108" s="1"/>
  <c r="L43" i="108" s="1"/>
  <c r="AQ42" i="108"/>
  <c r="AG42" i="108"/>
  <c r="W42" i="108"/>
  <c r="AQ41" i="108"/>
  <c r="AF41" i="108"/>
  <c r="AC41" i="108"/>
  <c r="Z41" i="108"/>
  <c r="E41" i="108"/>
  <c r="F41" i="108" s="1"/>
  <c r="M41" i="108" s="1"/>
  <c r="O41" i="108" s="1"/>
  <c r="AQ40" i="108"/>
  <c r="AF40" i="108"/>
  <c r="AC40" i="108"/>
  <c r="Z40" i="108"/>
  <c r="H40" i="108"/>
  <c r="E40" i="108"/>
  <c r="F40" i="108" s="1"/>
  <c r="M40" i="108" s="1"/>
  <c r="O40" i="108" s="1"/>
  <c r="AQ39" i="108"/>
  <c r="AF39" i="108"/>
  <c r="AC39" i="108"/>
  <c r="Z39" i="108"/>
  <c r="C39" i="108"/>
  <c r="E39" i="108" s="1"/>
  <c r="F39" i="108" s="1"/>
  <c r="M39" i="108" s="1"/>
  <c r="AQ38" i="108"/>
  <c r="AF38" i="108"/>
  <c r="AC38" i="108"/>
  <c r="AG38" i="108" s="1"/>
  <c r="Z38" i="108"/>
  <c r="E38" i="108"/>
  <c r="F38" i="108" s="1"/>
  <c r="M38" i="108" s="1"/>
  <c r="AQ37" i="108"/>
  <c r="AF37" i="108"/>
  <c r="AC37" i="108"/>
  <c r="Z37" i="108"/>
  <c r="E37" i="108"/>
  <c r="F37" i="108" s="1"/>
  <c r="AQ36" i="108"/>
  <c r="AF36" i="108"/>
  <c r="AC36" i="108"/>
  <c r="Z36" i="108"/>
  <c r="E36" i="108"/>
  <c r="F36" i="108" s="1"/>
  <c r="AQ35" i="108"/>
  <c r="AF35" i="108"/>
  <c r="AC35" i="108"/>
  <c r="Z35" i="108"/>
  <c r="K35" i="108"/>
  <c r="E35" i="108"/>
  <c r="F35" i="108" s="1"/>
  <c r="AO34" i="108"/>
  <c r="AF34" i="108"/>
  <c r="AC34" i="108"/>
  <c r="Z34" i="108"/>
  <c r="K34" i="108"/>
  <c r="J34" i="108"/>
  <c r="E34" i="108"/>
  <c r="F34" i="108" s="1"/>
  <c r="AQ33" i="108"/>
  <c r="AF33" i="108"/>
  <c r="AC33" i="108"/>
  <c r="Z33" i="108"/>
  <c r="K33" i="108"/>
  <c r="E33" i="108"/>
  <c r="F33" i="108" s="1"/>
  <c r="AO32" i="108"/>
  <c r="AF32" i="108"/>
  <c r="AC32" i="108"/>
  <c r="Z32" i="108"/>
  <c r="K32" i="108"/>
  <c r="E32" i="108"/>
  <c r="F32" i="108" s="1"/>
  <c r="AQ31" i="108"/>
  <c r="AF31" i="108"/>
  <c r="AC31" i="108"/>
  <c r="Z31" i="108"/>
  <c r="K31" i="108"/>
  <c r="E31" i="108"/>
  <c r="F31" i="108" s="1"/>
  <c r="AQ30" i="108"/>
  <c r="AF30" i="108"/>
  <c r="AC30" i="108"/>
  <c r="Z30" i="108"/>
  <c r="K30" i="108"/>
  <c r="E30" i="108"/>
  <c r="F30" i="108" s="1"/>
  <c r="J30" i="108" s="1"/>
  <c r="AO29" i="108"/>
  <c r="AF29" i="108"/>
  <c r="AC29" i="108"/>
  <c r="Z29" i="108"/>
  <c r="K29" i="108"/>
  <c r="E29" i="108"/>
  <c r="F29" i="108" s="1"/>
  <c r="AO28" i="108"/>
  <c r="AG28" i="108"/>
  <c r="AF28" i="108"/>
  <c r="AC28" i="108"/>
  <c r="Z28" i="108"/>
  <c r="F28" i="108"/>
  <c r="E28" i="108"/>
  <c r="AQ27" i="108"/>
  <c r="AF27" i="108"/>
  <c r="AC27" i="108"/>
  <c r="Z27" i="108"/>
  <c r="C27" i="108"/>
  <c r="AQ26" i="108"/>
  <c r="AH26" i="108"/>
  <c r="AF26" i="108"/>
  <c r="AC26" i="108"/>
  <c r="Z26" i="108"/>
  <c r="AG26" i="108" s="1"/>
  <c r="K26" i="108"/>
  <c r="E26" i="108"/>
  <c r="F26" i="108" s="1"/>
  <c r="AQ25" i="108"/>
  <c r="AF25" i="108"/>
  <c r="AG25" i="108" s="1"/>
  <c r="AC25" i="108"/>
  <c r="Z25" i="108"/>
  <c r="E25" i="108"/>
  <c r="F25" i="108" s="1"/>
  <c r="AQ24" i="108"/>
  <c r="AF24" i="108"/>
  <c r="AC24" i="108"/>
  <c r="Z24" i="108"/>
  <c r="E24" i="108"/>
  <c r="F24" i="108" s="1"/>
  <c r="AQ23" i="108"/>
  <c r="AF23" i="108"/>
  <c r="AC23" i="108"/>
  <c r="Z23" i="108"/>
  <c r="L23" i="108"/>
  <c r="K23" i="108"/>
  <c r="E23" i="108"/>
  <c r="F23" i="108" s="1"/>
  <c r="J23" i="108" s="1"/>
  <c r="AQ22" i="108"/>
  <c r="AF22" i="108"/>
  <c r="AC22" i="108"/>
  <c r="Z22" i="108"/>
  <c r="E22" i="108"/>
  <c r="F22" i="108" s="1"/>
  <c r="AO21" i="108"/>
  <c r="AF21" i="108"/>
  <c r="AC21" i="108"/>
  <c r="Z21" i="108"/>
  <c r="L21" i="108"/>
  <c r="K21" i="108"/>
  <c r="H21" i="108"/>
  <c r="E21" i="108"/>
  <c r="F21" i="108" s="1"/>
  <c r="AO20" i="108"/>
  <c r="AF20" i="108"/>
  <c r="AC20" i="108"/>
  <c r="Z20" i="108"/>
  <c r="E20" i="108"/>
  <c r="F20" i="108" s="1"/>
  <c r="AQ19" i="108"/>
  <c r="AF19" i="108"/>
  <c r="AC19" i="108"/>
  <c r="Z19" i="108"/>
  <c r="L19" i="108"/>
  <c r="M19" i="108" s="1"/>
  <c r="E19" i="108"/>
  <c r="F19" i="108" s="1"/>
  <c r="K19" i="108" s="1"/>
  <c r="AQ18" i="108"/>
  <c r="AF18" i="108"/>
  <c r="AG18" i="108" s="1"/>
  <c r="AC18" i="108"/>
  <c r="Z18" i="108"/>
  <c r="K18" i="108"/>
  <c r="F18" i="108"/>
  <c r="E18" i="108"/>
  <c r="AQ17" i="108"/>
  <c r="AF17" i="108"/>
  <c r="AC17" i="108"/>
  <c r="Z17" i="108"/>
  <c r="E17" i="108"/>
  <c r="F17" i="108" s="1"/>
  <c r="L17" i="108" s="1"/>
  <c r="M17" i="108" s="1"/>
  <c r="AO16" i="108"/>
  <c r="AG16" i="108"/>
  <c r="AF16" i="108"/>
  <c r="AC16" i="108"/>
  <c r="Z16" i="108"/>
  <c r="F16" i="108"/>
  <c r="E16" i="108"/>
  <c r="AO15" i="108"/>
  <c r="AF15" i="108"/>
  <c r="AC15" i="108"/>
  <c r="Z15" i="108"/>
  <c r="E15" i="108"/>
  <c r="F15" i="108" s="1"/>
  <c r="AO14" i="108"/>
  <c r="AF14" i="108"/>
  <c r="AC14" i="108"/>
  <c r="Z14" i="108"/>
  <c r="L14" i="108"/>
  <c r="H14" i="108"/>
  <c r="E14" i="108"/>
  <c r="F14" i="108" s="1"/>
  <c r="AQ13" i="108"/>
  <c r="AF13" i="108"/>
  <c r="AC13" i="108"/>
  <c r="Z13" i="108"/>
  <c r="K13" i="108"/>
  <c r="H13" i="108"/>
  <c r="E13" i="108"/>
  <c r="AO12" i="108"/>
  <c r="AF12" i="108"/>
  <c r="AC12" i="108"/>
  <c r="Z12" i="108"/>
  <c r="E12" i="108"/>
  <c r="F12" i="108" s="1"/>
  <c r="AO11" i="108"/>
  <c r="AF11" i="108"/>
  <c r="AC11" i="108"/>
  <c r="Z11" i="108"/>
  <c r="AG11" i="108" s="1"/>
  <c r="E11" i="108"/>
  <c r="F11" i="108" s="1"/>
  <c r="K11" i="108" s="1"/>
  <c r="K66" i="108" s="1"/>
  <c r="AO10" i="108"/>
  <c r="AG10" i="108"/>
  <c r="AF10" i="108"/>
  <c r="AC10" i="108"/>
  <c r="Z10" i="108"/>
  <c r="E10" i="108"/>
  <c r="F10" i="108" s="1"/>
  <c r="AO9" i="108"/>
  <c r="AF9" i="108"/>
  <c r="AC9" i="108"/>
  <c r="Z9" i="108"/>
  <c r="E9" i="108"/>
  <c r="F9" i="108" s="1"/>
  <c r="K9" i="108" s="1"/>
  <c r="G28" i="107"/>
  <c r="AE23" i="107"/>
  <c r="AD23" i="107"/>
  <c r="AB23" i="107"/>
  <c r="AA23" i="107"/>
  <c r="Y23" i="107"/>
  <c r="X23" i="107"/>
  <c r="U23" i="107"/>
  <c r="H23" i="107"/>
  <c r="G23" i="107"/>
  <c r="D23" i="107"/>
  <c r="AS22" i="107"/>
  <c r="AF22" i="107"/>
  <c r="AC22" i="107"/>
  <c r="Z22" i="107"/>
  <c r="AG22" i="107" s="1"/>
  <c r="C22" i="107"/>
  <c r="E22" i="107" s="1"/>
  <c r="F22" i="107" s="1"/>
  <c r="M22" i="107" s="1"/>
  <c r="AS21" i="107"/>
  <c r="AF21" i="107"/>
  <c r="AC21" i="107"/>
  <c r="Z21" i="107"/>
  <c r="K21" i="107"/>
  <c r="E21" i="107"/>
  <c r="F21" i="107" s="1"/>
  <c r="AS20" i="107"/>
  <c r="AF20" i="107"/>
  <c r="AC20" i="107"/>
  <c r="Z20" i="107"/>
  <c r="K20" i="107"/>
  <c r="J20" i="107"/>
  <c r="E20" i="107"/>
  <c r="F20" i="107" s="1"/>
  <c r="AS19" i="107"/>
  <c r="AF19" i="107"/>
  <c r="AC19" i="107"/>
  <c r="Z19" i="107"/>
  <c r="K19" i="107"/>
  <c r="E19" i="107"/>
  <c r="F19" i="107" s="1"/>
  <c r="AS18" i="107"/>
  <c r="AG18" i="107"/>
  <c r="AF18" i="107"/>
  <c r="AC18" i="107"/>
  <c r="Z18" i="107"/>
  <c r="E18" i="107"/>
  <c r="F18" i="107" s="1"/>
  <c r="AS17" i="107"/>
  <c r="AF17" i="107"/>
  <c r="AC17" i="107"/>
  <c r="Z17" i="107"/>
  <c r="K17" i="107"/>
  <c r="J17" i="107"/>
  <c r="E17" i="107"/>
  <c r="F17" i="107" s="1"/>
  <c r="AS16" i="107"/>
  <c r="AF16" i="107"/>
  <c r="AC16" i="107"/>
  <c r="Z16" i="107"/>
  <c r="K16" i="107"/>
  <c r="J16" i="107"/>
  <c r="E16" i="107"/>
  <c r="F16" i="107" s="1"/>
  <c r="L16" i="107" s="1"/>
  <c r="AS15" i="107"/>
  <c r="AF15" i="107"/>
  <c r="AC15" i="107"/>
  <c r="AG15" i="107" s="1"/>
  <c r="Z15" i="107"/>
  <c r="K15" i="107"/>
  <c r="J15" i="107"/>
  <c r="C15" i="107"/>
  <c r="C23" i="107" s="1"/>
  <c r="AS14" i="107"/>
  <c r="AG14" i="107"/>
  <c r="AF14" i="107"/>
  <c r="AC14" i="107"/>
  <c r="Z14" i="107"/>
  <c r="M14" i="107"/>
  <c r="K14" i="107"/>
  <c r="E14" i="107"/>
  <c r="F14" i="107" s="1"/>
  <c r="L14" i="107" s="1"/>
  <c r="AS13" i="107"/>
  <c r="AF13" i="107"/>
  <c r="AC13" i="107"/>
  <c r="Z13" i="107"/>
  <c r="K13" i="107"/>
  <c r="F13" i="107"/>
  <c r="E13" i="107"/>
  <c r="AS12" i="107"/>
  <c r="AF12" i="107"/>
  <c r="AG12" i="107" s="1"/>
  <c r="AC12" i="107"/>
  <c r="Z12" i="107"/>
  <c r="E12" i="107"/>
  <c r="F12" i="107" s="1"/>
  <c r="AS11" i="107"/>
  <c r="AF11" i="107"/>
  <c r="AC11" i="107"/>
  <c r="Z11" i="107"/>
  <c r="AG11" i="107" s="1"/>
  <c r="K11" i="107"/>
  <c r="E11" i="107"/>
  <c r="F11" i="107" s="1"/>
  <c r="AS10" i="107"/>
  <c r="AO10" i="107"/>
  <c r="AF10" i="107"/>
  <c r="AC10" i="107"/>
  <c r="Z10" i="107"/>
  <c r="K10" i="107"/>
  <c r="I10" i="107"/>
  <c r="I23" i="107" s="1"/>
  <c r="F10" i="107"/>
  <c r="E10" i="107"/>
  <c r="AS9" i="107"/>
  <c r="AO9" i="107"/>
  <c r="AG9" i="107"/>
  <c r="AF9" i="107"/>
  <c r="AC9" i="107"/>
  <c r="Z9" i="107"/>
  <c r="E9" i="107"/>
  <c r="AE21" i="106"/>
  <c r="AD21" i="106"/>
  <c r="AB21" i="106"/>
  <c r="AA21" i="106"/>
  <c r="Y21" i="106"/>
  <c r="X21" i="106"/>
  <c r="U21" i="106"/>
  <c r="J21" i="106"/>
  <c r="I21" i="106"/>
  <c r="D21" i="106"/>
  <c r="C21" i="106"/>
  <c r="AF20" i="106"/>
  <c r="AC20" i="106"/>
  <c r="Z20" i="106"/>
  <c r="H20" i="106"/>
  <c r="G20" i="106"/>
  <c r="E20" i="106"/>
  <c r="F20" i="106" s="1"/>
  <c r="L20" i="106" s="1"/>
  <c r="AF19" i="106"/>
  <c r="AC19" i="106"/>
  <c r="Z19" i="106"/>
  <c r="E19" i="106"/>
  <c r="F19" i="106" s="1"/>
  <c r="AG18" i="106"/>
  <c r="AF18" i="106"/>
  <c r="AC18" i="106"/>
  <c r="Z18" i="106"/>
  <c r="L18" i="106"/>
  <c r="H18" i="106"/>
  <c r="G18" i="106"/>
  <c r="E18" i="106"/>
  <c r="F18" i="106" s="1"/>
  <c r="AG17" i="106"/>
  <c r="AF17" i="106"/>
  <c r="AC17" i="106"/>
  <c r="Z17" i="106"/>
  <c r="E17" i="106"/>
  <c r="F17" i="106" s="1"/>
  <c r="AF16" i="106"/>
  <c r="AC16" i="106"/>
  <c r="Z16" i="106"/>
  <c r="AG16" i="106" s="1"/>
  <c r="H16" i="106"/>
  <c r="G16" i="106"/>
  <c r="E16" i="106"/>
  <c r="F16" i="106" s="1"/>
  <c r="AF15" i="106"/>
  <c r="AC15" i="106"/>
  <c r="Z15" i="106"/>
  <c r="K15" i="106"/>
  <c r="E15" i="106"/>
  <c r="F15" i="106" s="1"/>
  <c r="AF14" i="106"/>
  <c r="AG14" i="106" s="1"/>
  <c r="AC14" i="106"/>
  <c r="Z14" i="106"/>
  <c r="E14" i="106"/>
  <c r="F14" i="106" s="1"/>
  <c r="AG13" i="106"/>
  <c r="AF13" i="106"/>
  <c r="AC13" i="106"/>
  <c r="Z13" i="106"/>
  <c r="F13" i="106"/>
  <c r="E13" i="106"/>
  <c r="AF12" i="106"/>
  <c r="AC12" i="106"/>
  <c r="Z12" i="106"/>
  <c r="E12" i="106"/>
  <c r="F12" i="106" s="1"/>
  <c r="AF11" i="106"/>
  <c r="AC11" i="106"/>
  <c r="Z11" i="106"/>
  <c r="E11" i="106"/>
  <c r="F11" i="106" s="1"/>
  <c r="L11" i="106" s="1"/>
  <c r="AO10" i="106"/>
  <c r="AF10" i="106"/>
  <c r="AC10" i="106"/>
  <c r="AG10" i="106" s="1"/>
  <c r="Z10" i="106"/>
  <c r="E10" i="106"/>
  <c r="F10" i="106" s="1"/>
  <c r="K10" i="106" s="1"/>
  <c r="AO9" i="106"/>
  <c r="AF9" i="106"/>
  <c r="AC9" i="106"/>
  <c r="Z9" i="106"/>
  <c r="AG9" i="106" s="1"/>
  <c r="K9" i="106"/>
  <c r="E9" i="106"/>
  <c r="AE28" i="105"/>
  <c r="AD28" i="105"/>
  <c r="AB28" i="105"/>
  <c r="AA28" i="105"/>
  <c r="Y28" i="105"/>
  <c r="X28" i="105"/>
  <c r="U28" i="105"/>
  <c r="N28" i="105"/>
  <c r="J28" i="105"/>
  <c r="I28" i="105"/>
  <c r="G28" i="105"/>
  <c r="D28" i="105"/>
  <c r="C28" i="105"/>
  <c r="AL27" i="105"/>
  <c r="AF27" i="105"/>
  <c r="AC27" i="105"/>
  <c r="Z27" i="105"/>
  <c r="H27" i="105"/>
  <c r="M27" i="105" s="1"/>
  <c r="E27" i="105"/>
  <c r="F27" i="105" s="1"/>
  <c r="AL26" i="105"/>
  <c r="AF26" i="105"/>
  <c r="AC26" i="105"/>
  <c r="AG26" i="105" s="1"/>
  <c r="Z26" i="105"/>
  <c r="H26" i="105"/>
  <c r="E26" i="105"/>
  <c r="F26" i="105" s="1"/>
  <c r="M26" i="105" s="1"/>
  <c r="O26" i="105" s="1"/>
  <c r="AL25" i="105"/>
  <c r="AF25" i="105"/>
  <c r="AC25" i="105"/>
  <c r="Z25" i="105"/>
  <c r="H25" i="105"/>
  <c r="E25" i="105"/>
  <c r="F25" i="105" s="1"/>
  <c r="K25" i="105" s="1"/>
  <c r="AL24" i="105"/>
  <c r="AF24" i="105"/>
  <c r="AC24" i="105"/>
  <c r="Z24" i="105"/>
  <c r="K24" i="105"/>
  <c r="H24" i="105"/>
  <c r="E24" i="105"/>
  <c r="F24" i="105" s="1"/>
  <c r="L24" i="105" s="1"/>
  <c r="AL23" i="105"/>
  <c r="AF23" i="105"/>
  <c r="AC23" i="105"/>
  <c r="Z23" i="105"/>
  <c r="E23" i="105"/>
  <c r="F23" i="105" s="1"/>
  <c r="L23" i="105" s="1"/>
  <c r="M23" i="105" s="1"/>
  <c r="AL22" i="105"/>
  <c r="AF22" i="105"/>
  <c r="AC22" i="105"/>
  <c r="Z22" i="105"/>
  <c r="L22" i="105"/>
  <c r="K22" i="105"/>
  <c r="H22" i="105"/>
  <c r="E22" i="105"/>
  <c r="F22" i="105" s="1"/>
  <c r="AL21" i="105"/>
  <c r="AF21" i="105"/>
  <c r="AG21" i="105" s="1"/>
  <c r="AC21" i="105"/>
  <c r="Z21" i="105"/>
  <c r="L21" i="105"/>
  <c r="H21" i="105"/>
  <c r="E21" i="105"/>
  <c r="F21" i="105" s="1"/>
  <c r="AL20" i="105"/>
  <c r="AF20" i="105"/>
  <c r="AC20" i="105"/>
  <c r="Z20" i="105"/>
  <c r="K20" i="105"/>
  <c r="H20" i="105"/>
  <c r="E20" i="105"/>
  <c r="F20" i="105" s="1"/>
  <c r="AL19" i="105"/>
  <c r="AF19" i="105"/>
  <c r="AC19" i="105"/>
  <c r="AG19" i="105" s="1"/>
  <c r="Z19" i="105"/>
  <c r="K19" i="105"/>
  <c r="H19" i="105"/>
  <c r="E19" i="105"/>
  <c r="F19" i="105" s="1"/>
  <c r="AL18" i="105"/>
  <c r="AH18" i="105"/>
  <c r="AF18" i="105"/>
  <c r="AC18" i="105"/>
  <c r="Z18" i="105"/>
  <c r="AG18" i="105" s="1"/>
  <c r="H18" i="105"/>
  <c r="E18" i="105"/>
  <c r="F18" i="105" s="1"/>
  <c r="AL17" i="105"/>
  <c r="AF17" i="105"/>
  <c r="AC17" i="105"/>
  <c r="Z17" i="105"/>
  <c r="K17" i="105"/>
  <c r="H17" i="105"/>
  <c r="E17" i="105"/>
  <c r="F17" i="105" s="1"/>
  <c r="L17" i="105" s="1"/>
  <c r="AL16" i="105"/>
  <c r="AF16" i="105"/>
  <c r="AC16" i="105"/>
  <c r="Z16" i="105"/>
  <c r="K16" i="105"/>
  <c r="H16" i="105"/>
  <c r="E16" i="105"/>
  <c r="F16" i="105" s="1"/>
  <c r="AL15" i="105"/>
  <c r="AF15" i="105"/>
  <c r="AC15" i="105"/>
  <c r="AG15" i="105" s="1"/>
  <c r="Z15" i="105"/>
  <c r="H15" i="105"/>
  <c r="E15" i="105"/>
  <c r="F15" i="105" s="1"/>
  <c r="L15" i="105" s="1"/>
  <c r="AL14" i="105"/>
  <c r="AF14" i="105"/>
  <c r="AC14" i="105"/>
  <c r="AG14" i="105" s="1"/>
  <c r="Z14" i="105"/>
  <c r="H14" i="105"/>
  <c r="E14" i="105"/>
  <c r="F14" i="105" s="1"/>
  <c r="AL13" i="105"/>
  <c r="AF13" i="105"/>
  <c r="AC13" i="105"/>
  <c r="Z13" i="105"/>
  <c r="H13" i="105"/>
  <c r="E13" i="105"/>
  <c r="F13" i="105" s="1"/>
  <c r="AL12" i="105"/>
  <c r="AF12" i="105"/>
  <c r="AC12" i="105"/>
  <c r="Z12" i="105"/>
  <c r="H12" i="105"/>
  <c r="E12" i="105"/>
  <c r="F12" i="105" s="1"/>
  <c r="AL11" i="105"/>
  <c r="AF11" i="105"/>
  <c r="AC11" i="105"/>
  <c r="Z11" i="105"/>
  <c r="K11" i="105"/>
  <c r="H11" i="105"/>
  <c r="E11" i="105"/>
  <c r="F11" i="105" s="1"/>
  <c r="AL10" i="105"/>
  <c r="AF10" i="105"/>
  <c r="AG10" i="105" s="1"/>
  <c r="AC10" i="105"/>
  <c r="Z10" i="105"/>
  <c r="K10" i="105"/>
  <c r="E10" i="105"/>
  <c r="F10" i="105" s="1"/>
  <c r="AL9" i="105"/>
  <c r="AF9" i="105"/>
  <c r="AC9" i="105"/>
  <c r="Z9" i="105"/>
  <c r="Z28" i="105" s="1"/>
  <c r="K9" i="105"/>
  <c r="E9" i="105"/>
  <c r="AE28" i="104"/>
  <c r="AD28" i="104"/>
  <c r="AB28" i="104"/>
  <c r="AA28" i="104"/>
  <c r="Y28" i="104"/>
  <c r="X28" i="104"/>
  <c r="N28" i="104"/>
  <c r="J28" i="104"/>
  <c r="I28" i="104"/>
  <c r="D28" i="104"/>
  <c r="C28" i="104"/>
  <c r="AS27" i="104"/>
  <c r="AF27" i="104"/>
  <c r="AC27" i="104"/>
  <c r="AG27" i="104" s="1"/>
  <c r="AH27" i="104" s="1"/>
  <c r="Z27" i="104"/>
  <c r="H27" i="104"/>
  <c r="G27" i="104"/>
  <c r="F27" i="104"/>
  <c r="M27" i="104" s="1"/>
  <c r="O27" i="104" s="1"/>
  <c r="E27" i="104"/>
  <c r="AS26" i="104"/>
  <c r="AF26" i="104"/>
  <c r="AG26" i="104" s="1"/>
  <c r="AH26" i="104" s="1"/>
  <c r="AC26" i="104"/>
  <c r="Z26" i="104"/>
  <c r="H26" i="104"/>
  <c r="G26" i="104"/>
  <c r="E26" i="104"/>
  <c r="F26" i="104" s="1"/>
  <c r="AS25" i="104"/>
  <c r="E25" i="104"/>
  <c r="F25" i="104" s="1"/>
  <c r="AS24" i="104"/>
  <c r="E24" i="104"/>
  <c r="F24" i="104" s="1"/>
  <c r="AS23" i="104"/>
  <c r="AF23" i="104"/>
  <c r="AC23" i="104"/>
  <c r="Z23" i="104"/>
  <c r="AG23" i="104" s="1"/>
  <c r="AH23" i="104" s="1"/>
  <c r="K23" i="104"/>
  <c r="H23" i="104"/>
  <c r="G23" i="104"/>
  <c r="F23" i="104"/>
  <c r="E23" i="104"/>
  <c r="AS22" i="104"/>
  <c r="AF22" i="104"/>
  <c r="AG22" i="104" s="1"/>
  <c r="AH22" i="104" s="1"/>
  <c r="AC22" i="104"/>
  <c r="Z22" i="104"/>
  <c r="E22" i="104"/>
  <c r="F22" i="104" s="1"/>
  <c r="AS21" i="104"/>
  <c r="AF21" i="104"/>
  <c r="AC21" i="104"/>
  <c r="Z21" i="104"/>
  <c r="H21" i="104"/>
  <c r="E21" i="104"/>
  <c r="F21" i="104" s="1"/>
  <c r="AS20" i="104"/>
  <c r="AG20" i="104"/>
  <c r="AH20" i="104" s="1"/>
  <c r="AF20" i="104"/>
  <c r="AC20" i="104"/>
  <c r="Z20" i="104"/>
  <c r="E20" i="104"/>
  <c r="F20" i="104" s="1"/>
  <c r="AS19" i="104"/>
  <c r="AF19" i="104"/>
  <c r="AC19" i="104"/>
  <c r="Z19" i="104"/>
  <c r="H19" i="104"/>
  <c r="F19" i="104"/>
  <c r="E19" i="104"/>
  <c r="AS18" i="104"/>
  <c r="AF18" i="104"/>
  <c r="AG18" i="104" s="1"/>
  <c r="AC18" i="104"/>
  <c r="Z18" i="104"/>
  <c r="K18" i="104"/>
  <c r="H18" i="104"/>
  <c r="E18" i="104"/>
  <c r="F18" i="104" s="1"/>
  <c r="AS17" i="104"/>
  <c r="AF17" i="104"/>
  <c r="AC17" i="104"/>
  <c r="Z17" i="104"/>
  <c r="AG17" i="104" s="1"/>
  <c r="AH17" i="104" s="1"/>
  <c r="H17" i="104"/>
  <c r="E17" i="104"/>
  <c r="F17" i="104" s="1"/>
  <c r="AS16" i="104"/>
  <c r="AF16" i="104"/>
  <c r="AC16" i="104"/>
  <c r="Z16" i="104"/>
  <c r="E16" i="104"/>
  <c r="F16" i="104" s="1"/>
  <c r="AS15" i="104"/>
  <c r="AG15" i="104"/>
  <c r="AH15" i="104" s="1"/>
  <c r="AF15" i="104"/>
  <c r="AC15" i="104"/>
  <c r="Z15" i="104"/>
  <c r="E15" i="104"/>
  <c r="F15" i="104" s="1"/>
  <c r="K15" i="104" s="1"/>
  <c r="AS14" i="104"/>
  <c r="AO14" i="104"/>
  <c r="AF14" i="104"/>
  <c r="AC14" i="104"/>
  <c r="Z14" i="104"/>
  <c r="F14" i="104"/>
  <c r="E14" i="104"/>
  <c r="AS13" i="104"/>
  <c r="AF13" i="104"/>
  <c r="AG13" i="104" s="1"/>
  <c r="AH13" i="104" s="1"/>
  <c r="AC13" i="104"/>
  <c r="Z13" i="104"/>
  <c r="K13" i="104"/>
  <c r="E13" i="104"/>
  <c r="F13" i="104" s="1"/>
  <c r="AS12" i="104"/>
  <c r="AF12" i="104"/>
  <c r="AC12" i="104"/>
  <c r="Z12" i="104"/>
  <c r="H12" i="104"/>
  <c r="F12" i="104"/>
  <c r="E12" i="104"/>
  <c r="AS11" i="104"/>
  <c r="AF11" i="104"/>
  <c r="AC11" i="104"/>
  <c r="Z11" i="104"/>
  <c r="K11" i="104"/>
  <c r="H11" i="104"/>
  <c r="F11" i="104"/>
  <c r="L11" i="104" s="1"/>
  <c r="E11" i="104"/>
  <c r="AS10" i="104"/>
  <c r="AO10" i="104"/>
  <c r="AF10" i="104"/>
  <c r="AC10" i="104"/>
  <c r="Z10" i="104"/>
  <c r="K10" i="104"/>
  <c r="H10" i="104"/>
  <c r="E10" i="104"/>
  <c r="F10" i="104" s="1"/>
  <c r="L10" i="104" s="1"/>
  <c r="AS9" i="104"/>
  <c r="AO9" i="104"/>
  <c r="AF9" i="104"/>
  <c r="AC9" i="104"/>
  <c r="Z9" i="104"/>
  <c r="E9" i="104"/>
  <c r="AE25" i="103"/>
  <c r="AD25" i="103"/>
  <c r="AB25" i="103"/>
  <c r="AA25" i="103"/>
  <c r="Y25" i="103"/>
  <c r="X25" i="103"/>
  <c r="U25" i="103"/>
  <c r="I25" i="103"/>
  <c r="D25" i="103"/>
  <c r="C25" i="103"/>
  <c r="AS24" i="103"/>
  <c r="AF24" i="103"/>
  <c r="AC24" i="103"/>
  <c r="Z24" i="103"/>
  <c r="E24" i="103"/>
  <c r="F24" i="103" s="1"/>
  <c r="M24" i="103" s="1"/>
  <c r="AG23" i="103"/>
  <c r="AF23" i="103"/>
  <c r="AC23" i="103"/>
  <c r="Z23" i="103"/>
  <c r="E23" i="103"/>
  <c r="F23" i="103" s="1"/>
  <c r="L23" i="103" s="1"/>
  <c r="AS22" i="103"/>
  <c r="AF22" i="103"/>
  <c r="AC22" i="103"/>
  <c r="AG22" i="103" s="1"/>
  <c r="Z22" i="103"/>
  <c r="H22" i="103"/>
  <c r="G22" i="103"/>
  <c r="G25" i="103" s="1"/>
  <c r="F22" i="103"/>
  <c r="K22" i="103" s="1"/>
  <c r="E22" i="103"/>
  <c r="AS21" i="103"/>
  <c r="AF21" i="103"/>
  <c r="AC21" i="103"/>
  <c r="AG21" i="103" s="1"/>
  <c r="Z21" i="103"/>
  <c r="H21" i="103"/>
  <c r="E21" i="103"/>
  <c r="F21" i="103" s="1"/>
  <c r="L21" i="103" s="1"/>
  <c r="AF20" i="103"/>
  <c r="AC20" i="103"/>
  <c r="Z20" i="103"/>
  <c r="AG20" i="103" s="1"/>
  <c r="F20" i="103"/>
  <c r="E20" i="103"/>
  <c r="AF19" i="103"/>
  <c r="AC19" i="103"/>
  <c r="Z19" i="103"/>
  <c r="E19" i="103"/>
  <c r="F19" i="103" s="1"/>
  <c r="AG18" i="103"/>
  <c r="AF18" i="103"/>
  <c r="AC18" i="103"/>
  <c r="Z18" i="103"/>
  <c r="E18" i="103"/>
  <c r="F18" i="103" s="1"/>
  <c r="AS17" i="103"/>
  <c r="AF17" i="103"/>
  <c r="AC17" i="103"/>
  <c r="Z17" i="103"/>
  <c r="AG17" i="103" s="1"/>
  <c r="K17" i="103"/>
  <c r="J17" i="103"/>
  <c r="J25" i="103" s="1"/>
  <c r="H17" i="103"/>
  <c r="E17" i="103"/>
  <c r="F17" i="103" s="1"/>
  <c r="AS16" i="103"/>
  <c r="AF16" i="103"/>
  <c r="AC16" i="103"/>
  <c r="AG16" i="103" s="1"/>
  <c r="Z16" i="103"/>
  <c r="H16" i="103"/>
  <c r="E16" i="103"/>
  <c r="F16" i="103" s="1"/>
  <c r="AS15" i="103"/>
  <c r="AF15" i="103"/>
  <c r="AC15" i="103"/>
  <c r="Z15" i="103"/>
  <c r="H15" i="103"/>
  <c r="E15" i="103"/>
  <c r="F15" i="103" s="1"/>
  <c r="AS14" i="103"/>
  <c r="AF14" i="103"/>
  <c r="AG14" i="103" s="1"/>
  <c r="AC14" i="103"/>
  <c r="Z14" i="103"/>
  <c r="H14" i="103"/>
  <c r="E14" i="103"/>
  <c r="F14" i="103" s="1"/>
  <c r="AS13" i="103"/>
  <c r="AF13" i="103"/>
  <c r="AC13" i="103"/>
  <c r="Z13" i="103"/>
  <c r="H13" i="103"/>
  <c r="E13" i="103"/>
  <c r="F13" i="103" s="1"/>
  <c r="AS12" i="103"/>
  <c r="AF12" i="103"/>
  <c r="AC12" i="103"/>
  <c r="Z12" i="103"/>
  <c r="L12" i="103"/>
  <c r="E12" i="103"/>
  <c r="F12" i="103" s="1"/>
  <c r="AS11" i="103"/>
  <c r="AO11" i="103"/>
  <c r="AF11" i="103"/>
  <c r="AC11" i="103"/>
  <c r="Z11" i="103"/>
  <c r="H11" i="103"/>
  <c r="E11" i="103"/>
  <c r="F11" i="103" s="1"/>
  <c r="K11" i="103" s="1"/>
  <c r="AS10" i="103"/>
  <c r="AO10" i="103"/>
  <c r="AF10" i="103"/>
  <c r="AC10" i="103"/>
  <c r="Z10" i="103"/>
  <c r="E10" i="103"/>
  <c r="F10" i="103" s="1"/>
  <c r="AS9" i="103"/>
  <c r="AO9" i="103"/>
  <c r="AF9" i="103"/>
  <c r="AC9" i="103"/>
  <c r="Z9" i="103"/>
  <c r="E9" i="103"/>
  <c r="F9" i="103" s="1"/>
  <c r="U66" i="102"/>
  <c r="N66" i="102"/>
  <c r="J66" i="102"/>
  <c r="I66" i="102"/>
  <c r="H66" i="102"/>
  <c r="G66" i="102"/>
  <c r="D66" i="102"/>
  <c r="C66" i="102"/>
  <c r="U65" i="102"/>
  <c r="N65" i="102"/>
  <c r="I65" i="102"/>
  <c r="G65" i="102"/>
  <c r="D65" i="102"/>
  <c r="D67" i="102" s="1"/>
  <c r="U64" i="102"/>
  <c r="N64" i="102"/>
  <c r="N67" i="102" s="1"/>
  <c r="J64" i="102"/>
  <c r="I64" i="102"/>
  <c r="I67" i="102" s="1"/>
  <c r="H64" i="102"/>
  <c r="G64" i="102"/>
  <c r="D64" i="102"/>
  <c r="C64" i="102"/>
  <c r="J57" i="102"/>
  <c r="I57" i="102"/>
  <c r="AQ52" i="102"/>
  <c r="AE52" i="102"/>
  <c r="AD52" i="102"/>
  <c r="AB52" i="102"/>
  <c r="AA52" i="102"/>
  <c r="Y52" i="102"/>
  <c r="X52" i="102"/>
  <c r="U52" i="102"/>
  <c r="N52" i="102"/>
  <c r="I52" i="102"/>
  <c r="D52" i="102"/>
  <c r="AQ51" i="102"/>
  <c r="AF51" i="102"/>
  <c r="AG51" i="102" s="1"/>
  <c r="AC51" i="102"/>
  <c r="Z51" i="102"/>
  <c r="C51" i="102"/>
  <c r="E51" i="102" s="1"/>
  <c r="F51" i="102" s="1"/>
  <c r="L51" i="102" s="1"/>
  <c r="AQ50" i="102"/>
  <c r="AF50" i="102"/>
  <c r="AC50" i="102"/>
  <c r="Z50" i="102"/>
  <c r="F50" i="102"/>
  <c r="E50" i="102"/>
  <c r="AQ49" i="102"/>
  <c r="AF49" i="102"/>
  <c r="AC49" i="102"/>
  <c r="Z49" i="102"/>
  <c r="G49" i="102"/>
  <c r="F49" i="102"/>
  <c r="E49" i="102"/>
  <c r="AQ48" i="102"/>
  <c r="AF48" i="102"/>
  <c r="AC48" i="102"/>
  <c r="Z48" i="102"/>
  <c r="K48" i="102"/>
  <c r="G48" i="102"/>
  <c r="E48" i="102"/>
  <c r="F48" i="102" s="1"/>
  <c r="L48" i="102" s="1"/>
  <c r="AQ47" i="102"/>
  <c r="AF47" i="102"/>
  <c r="AC47" i="102"/>
  <c r="Z47" i="102"/>
  <c r="K47" i="102"/>
  <c r="G47" i="102"/>
  <c r="E47" i="102"/>
  <c r="F47" i="102" s="1"/>
  <c r="AQ46" i="102"/>
  <c r="AF46" i="102"/>
  <c r="AC46" i="102"/>
  <c r="Z46" i="102"/>
  <c r="H46" i="102"/>
  <c r="F46" i="102"/>
  <c r="E46" i="102"/>
  <c r="AQ45" i="102"/>
  <c r="AF45" i="102"/>
  <c r="AG45" i="102" s="1"/>
  <c r="AC45" i="102"/>
  <c r="Z45" i="102"/>
  <c r="E45" i="102"/>
  <c r="F45" i="102" s="1"/>
  <c r="L45" i="102" s="1"/>
  <c r="M45" i="102" s="1"/>
  <c r="AQ44" i="102"/>
  <c r="AF44" i="102"/>
  <c r="AC44" i="102"/>
  <c r="AG44" i="102" s="1"/>
  <c r="Z44" i="102"/>
  <c r="G44" i="102"/>
  <c r="E44" i="102"/>
  <c r="F44" i="102" s="1"/>
  <c r="C44" i="102"/>
  <c r="AO43" i="102"/>
  <c r="AF43" i="102"/>
  <c r="AG43" i="102" s="1"/>
  <c r="AC43" i="102"/>
  <c r="Z43" i="102"/>
  <c r="E43" i="102"/>
  <c r="F43" i="102" s="1"/>
  <c r="AQ42" i="102"/>
  <c r="AG42" i="102"/>
  <c r="W42" i="102"/>
  <c r="AQ41" i="102"/>
  <c r="AG41" i="102"/>
  <c r="AF41" i="102"/>
  <c r="AC41" i="102"/>
  <c r="Z41" i="102"/>
  <c r="M41" i="102"/>
  <c r="F41" i="102"/>
  <c r="E41" i="102"/>
  <c r="AQ40" i="102"/>
  <c r="AG40" i="102"/>
  <c r="AF40" i="102"/>
  <c r="AC40" i="102"/>
  <c r="Z40" i="102"/>
  <c r="H40" i="102"/>
  <c r="E40" i="102"/>
  <c r="F40" i="102" s="1"/>
  <c r="AQ39" i="102"/>
  <c r="AF39" i="102"/>
  <c r="AC39" i="102"/>
  <c r="Z39" i="102"/>
  <c r="C39" i="102"/>
  <c r="E39" i="102" s="1"/>
  <c r="F39" i="102" s="1"/>
  <c r="M39" i="102" s="1"/>
  <c r="O39" i="102" s="1"/>
  <c r="AQ38" i="102"/>
  <c r="AF38" i="102"/>
  <c r="AC38" i="102"/>
  <c r="Z38" i="102"/>
  <c r="P38" i="102"/>
  <c r="E38" i="102"/>
  <c r="F38" i="102" s="1"/>
  <c r="M38" i="102" s="1"/>
  <c r="O38" i="102" s="1"/>
  <c r="AQ37" i="102"/>
  <c r="AF37" i="102"/>
  <c r="AC37" i="102"/>
  <c r="Z37" i="102"/>
  <c r="E37" i="102"/>
  <c r="F37" i="102" s="1"/>
  <c r="AQ36" i="102"/>
  <c r="AF36" i="102"/>
  <c r="AG36" i="102" s="1"/>
  <c r="AC36" i="102"/>
  <c r="Z36" i="102"/>
  <c r="F36" i="102"/>
  <c r="L36" i="102" s="1"/>
  <c r="M36" i="102" s="1"/>
  <c r="E36" i="102"/>
  <c r="AQ35" i="102"/>
  <c r="AF35" i="102"/>
  <c r="AG35" i="102" s="1"/>
  <c r="AC35" i="102"/>
  <c r="Z35" i="102"/>
  <c r="K35" i="102"/>
  <c r="M35" i="102" s="1"/>
  <c r="E35" i="102"/>
  <c r="F35" i="102" s="1"/>
  <c r="L35" i="102" s="1"/>
  <c r="AO34" i="102"/>
  <c r="AF34" i="102"/>
  <c r="AC34" i="102"/>
  <c r="Z34" i="102"/>
  <c r="K34" i="102"/>
  <c r="J34" i="102"/>
  <c r="F34" i="102"/>
  <c r="L34" i="102" s="1"/>
  <c r="E34" i="102"/>
  <c r="AQ33" i="102"/>
  <c r="AF33" i="102"/>
  <c r="AG33" i="102" s="1"/>
  <c r="AC33" i="102"/>
  <c r="Z33" i="102"/>
  <c r="K33" i="102"/>
  <c r="M33" i="102" s="1"/>
  <c r="E33" i="102"/>
  <c r="F33" i="102" s="1"/>
  <c r="L33" i="102" s="1"/>
  <c r="AO32" i="102"/>
  <c r="AF32" i="102"/>
  <c r="AC32" i="102"/>
  <c r="Z32" i="102"/>
  <c r="K32" i="102"/>
  <c r="F32" i="102"/>
  <c r="L32" i="102" s="1"/>
  <c r="E32" i="102"/>
  <c r="AQ31" i="102"/>
  <c r="AF31" i="102"/>
  <c r="AG31" i="102" s="1"/>
  <c r="AC31" i="102"/>
  <c r="Z31" i="102"/>
  <c r="K31" i="102"/>
  <c r="E31" i="102"/>
  <c r="F31" i="102" s="1"/>
  <c r="L31" i="102" s="1"/>
  <c r="AQ30" i="102"/>
  <c r="AF30" i="102"/>
  <c r="AC30" i="102"/>
  <c r="Z30" i="102"/>
  <c r="K30" i="102"/>
  <c r="E30" i="102"/>
  <c r="F30" i="102" s="1"/>
  <c r="L30" i="102" s="1"/>
  <c r="AO29" i="102"/>
  <c r="AF29" i="102"/>
  <c r="AC29" i="102"/>
  <c r="Z29" i="102"/>
  <c r="AG29" i="102" s="1"/>
  <c r="K29" i="102"/>
  <c r="E29" i="102"/>
  <c r="F29" i="102" s="1"/>
  <c r="AO28" i="102"/>
  <c r="AF28" i="102"/>
  <c r="AC28" i="102"/>
  <c r="Z28" i="102"/>
  <c r="K28" i="102"/>
  <c r="E28" i="102"/>
  <c r="F28" i="102" s="1"/>
  <c r="AQ27" i="102"/>
  <c r="AF27" i="102"/>
  <c r="AC27" i="102"/>
  <c r="Z27" i="102"/>
  <c r="C27" i="102"/>
  <c r="E27" i="102" s="1"/>
  <c r="F27" i="102" s="1"/>
  <c r="AQ26" i="102"/>
  <c r="AF26" i="102"/>
  <c r="AG26" i="102" s="1"/>
  <c r="AC26" i="102"/>
  <c r="Z26" i="102"/>
  <c r="L26" i="102"/>
  <c r="K26" i="102"/>
  <c r="E26" i="102"/>
  <c r="F26" i="102" s="1"/>
  <c r="AQ25" i="102"/>
  <c r="AF25" i="102"/>
  <c r="AC25" i="102"/>
  <c r="Z25" i="102"/>
  <c r="F25" i="102"/>
  <c r="J25" i="102" s="1"/>
  <c r="E25" i="102"/>
  <c r="AQ24" i="102"/>
  <c r="AF24" i="102"/>
  <c r="AG24" i="102" s="1"/>
  <c r="AC24" i="102"/>
  <c r="Z24" i="102"/>
  <c r="F24" i="102"/>
  <c r="J24" i="102" s="1"/>
  <c r="E24" i="102"/>
  <c r="AQ23" i="102"/>
  <c r="AF23" i="102"/>
  <c r="AC23" i="102"/>
  <c r="Z23" i="102"/>
  <c r="E23" i="102"/>
  <c r="F23" i="102" s="1"/>
  <c r="L23" i="102" s="1"/>
  <c r="AQ22" i="102"/>
  <c r="AF22" i="102"/>
  <c r="AC22" i="102"/>
  <c r="Z22" i="102"/>
  <c r="AG22" i="102" s="1"/>
  <c r="F22" i="102"/>
  <c r="E22" i="102"/>
  <c r="AO21" i="102"/>
  <c r="AF21" i="102"/>
  <c r="AC21" i="102"/>
  <c r="AG21" i="102" s="1"/>
  <c r="Z21" i="102"/>
  <c r="K21" i="102"/>
  <c r="H21" i="102"/>
  <c r="F21" i="102"/>
  <c r="L21" i="102" s="1"/>
  <c r="E21" i="102"/>
  <c r="AO20" i="102"/>
  <c r="AF20" i="102"/>
  <c r="AC20" i="102"/>
  <c r="Z20" i="102"/>
  <c r="E20" i="102"/>
  <c r="F20" i="102" s="1"/>
  <c r="AQ19" i="102"/>
  <c r="AF19" i="102"/>
  <c r="AC19" i="102"/>
  <c r="Z19" i="102"/>
  <c r="E19" i="102"/>
  <c r="F19" i="102" s="1"/>
  <c r="K19" i="102" s="1"/>
  <c r="AQ18" i="102"/>
  <c r="AF18" i="102"/>
  <c r="AC18" i="102"/>
  <c r="Z18" i="102"/>
  <c r="K18" i="102"/>
  <c r="E18" i="102"/>
  <c r="F18" i="102" s="1"/>
  <c r="L18" i="102" s="1"/>
  <c r="AQ17" i="102"/>
  <c r="AF17" i="102"/>
  <c r="AC17" i="102"/>
  <c r="Z17" i="102"/>
  <c r="E17" i="102"/>
  <c r="F17" i="102" s="1"/>
  <c r="L17" i="102" s="1"/>
  <c r="AO16" i="102"/>
  <c r="AF16" i="102"/>
  <c r="AC16" i="102"/>
  <c r="Z16" i="102"/>
  <c r="F16" i="102"/>
  <c r="E16" i="102"/>
  <c r="AO15" i="102"/>
  <c r="AF15" i="102"/>
  <c r="AC15" i="102"/>
  <c r="Z15" i="102"/>
  <c r="E15" i="102"/>
  <c r="F15" i="102" s="1"/>
  <c r="K15" i="102" s="1"/>
  <c r="AO14" i="102"/>
  <c r="AF14" i="102"/>
  <c r="AC14" i="102"/>
  <c r="Z14" i="102"/>
  <c r="H14" i="102"/>
  <c r="F14" i="102"/>
  <c r="E14" i="102"/>
  <c r="AQ13" i="102"/>
  <c r="AF13" i="102"/>
  <c r="AC13" i="102"/>
  <c r="Z13" i="102"/>
  <c r="K13" i="102"/>
  <c r="H13" i="102"/>
  <c r="F13" i="102"/>
  <c r="L13" i="102" s="1"/>
  <c r="E13" i="102"/>
  <c r="AO12" i="102"/>
  <c r="AF12" i="102"/>
  <c r="AC12" i="102"/>
  <c r="Z12" i="102"/>
  <c r="E12" i="102"/>
  <c r="F12" i="102" s="1"/>
  <c r="AO11" i="102"/>
  <c r="AF11" i="102"/>
  <c r="AC11" i="102"/>
  <c r="Z11" i="102"/>
  <c r="E11" i="102"/>
  <c r="AO10" i="102"/>
  <c r="AF10" i="102"/>
  <c r="AC10" i="102"/>
  <c r="AG10" i="102" s="1"/>
  <c r="Z10" i="102"/>
  <c r="E10" i="102"/>
  <c r="F10" i="102" s="1"/>
  <c r="AO9" i="102"/>
  <c r="AF9" i="102"/>
  <c r="AC9" i="102"/>
  <c r="Z9" i="102"/>
  <c r="E9" i="102"/>
  <c r="G28" i="101"/>
  <c r="AE23" i="101"/>
  <c r="AD23" i="101"/>
  <c r="AB23" i="101"/>
  <c r="AA23" i="101"/>
  <c r="Y23" i="101"/>
  <c r="X23" i="101"/>
  <c r="U23" i="101"/>
  <c r="H23" i="101"/>
  <c r="G23" i="101"/>
  <c r="D23" i="101"/>
  <c r="AS22" i="101"/>
  <c r="AG22" i="101"/>
  <c r="AF22" i="101"/>
  <c r="AC22" i="101"/>
  <c r="Z22" i="101"/>
  <c r="E22" i="101"/>
  <c r="F22" i="101" s="1"/>
  <c r="M22" i="101" s="1"/>
  <c r="C22" i="101"/>
  <c r="AS21" i="101"/>
  <c r="AF21" i="101"/>
  <c r="AC21" i="101"/>
  <c r="Z21" i="101"/>
  <c r="K21" i="101"/>
  <c r="F21" i="101"/>
  <c r="E21" i="101"/>
  <c r="AS20" i="101"/>
  <c r="AF20" i="101"/>
  <c r="AC20" i="101"/>
  <c r="Z20" i="101"/>
  <c r="K20" i="101"/>
  <c r="J20" i="101"/>
  <c r="E20" i="101"/>
  <c r="F20" i="101" s="1"/>
  <c r="L20" i="101" s="1"/>
  <c r="AS19" i="101"/>
  <c r="AF19" i="101"/>
  <c r="AC19" i="101"/>
  <c r="Z19" i="101"/>
  <c r="E19" i="101"/>
  <c r="F19" i="101" s="1"/>
  <c r="K19" i="101" s="1"/>
  <c r="AS18" i="101"/>
  <c r="AG18" i="101"/>
  <c r="AF18" i="101"/>
  <c r="AC18" i="101"/>
  <c r="Z18" i="101"/>
  <c r="E18" i="101"/>
  <c r="F18" i="101" s="1"/>
  <c r="AS17" i="101"/>
  <c r="AF17" i="101"/>
  <c r="AC17" i="101"/>
  <c r="Z17" i="101"/>
  <c r="K17" i="101"/>
  <c r="J17" i="101"/>
  <c r="E17" i="101"/>
  <c r="F17" i="101" s="1"/>
  <c r="AS16" i="101"/>
  <c r="AF16" i="101"/>
  <c r="AC16" i="101"/>
  <c r="Z16" i="101"/>
  <c r="AG16" i="101" s="1"/>
  <c r="K16" i="101"/>
  <c r="J16" i="101"/>
  <c r="E16" i="101"/>
  <c r="F16" i="101" s="1"/>
  <c r="AS15" i="101"/>
  <c r="AF15" i="101"/>
  <c r="AC15" i="101"/>
  <c r="Z15" i="101"/>
  <c r="K15" i="101"/>
  <c r="J15" i="101"/>
  <c r="F15" i="101"/>
  <c r="L15" i="101" s="1"/>
  <c r="C15" i="101"/>
  <c r="E15" i="101" s="1"/>
  <c r="AS14" i="101"/>
  <c r="AF14" i="101"/>
  <c r="AC14" i="101"/>
  <c r="Z14" i="101"/>
  <c r="K14" i="101"/>
  <c r="E14" i="101"/>
  <c r="F14" i="101" s="1"/>
  <c r="AS13" i="101"/>
  <c r="AF13" i="101"/>
  <c r="AC13" i="101"/>
  <c r="Z13" i="101"/>
  <c r="K13" i="101"/>
  <c r="E13" i="101"/>
  <c r="F13" i="101" s="1"/>
  <c r="AS12" i="101"/>
  <c r="AG12" i="101"/>
  <c r="AF12" i="101"/>
  <c r="AC12" i="101"/>
  <c r="Z12" i="101"/>
  <c r="E12" i="101"/>
  <c r="F12" i="101" s="1"/>
  <c r="AS11" i="101"/>
  <c r="AF11" i="101"/>
  <c r="AC11" i="101"/>
  <c r="Z11" i="101"/>
  <c r="K11" i="101"/>
  <c r="E11" i="101"/>
  <c r="F11" i="101" s="1"/>
  <c r="AS10" i="101"/>
  <c r="AO10" i="101"/>
  <c r="AF10" i="101"/>
  <c r="AC10" i="101"/>
  <c r="Z10" i="101"/>
  <c r="AG10" i="101" s="1"/>
  <c r="K10" i="101"/>
  <c r="I10" i="101"/>
  <c r="I23" i="101" s="1"/>
  <c r="E10" i="101"/>
  <c r="F10" i="101" s="1"/>
  <c r="AS9" i="101"/>
  <c r="AO9" i="101"/>
  <c r="AF9" i="101"/>
  <c r="AC9" i="101"/>
  <c r="Z9" i="101"/>
  <c r="E9" i="101"/>
  <c r="F9" i="101" s="1"/>
  <c r="AE21" i="100"/>
  <c r="AD21" i="100"/>
  <c r="AB21" i="100"/>
  <c r="AA21" i="100"/>
  <c r="Y21" i="100"/>
  <c r="X21" i="100"/>
  <c r="U21" i="100"/>
  <c r="J21" i="100"/>
  <c r="I21" i="100"/>
  <c r="D21" i="100"/>
  <c r="C21" i="100"/>
  <c r="AF20" i="100"/>
  <c r="AC20" i="100"/>
  <c r="Z20" i="100"/>
  <c r="H20" i="100"/>
  <c r="G20" i="100"/>
  <c r="E20" i="100"/>
  <c r="F20" i="100" s="1"/>
  <c r="AF19" i="100"/>
  <c r="AC19" i="100"/>
  <c r="Z19" i="100"/>
  <c r="L19" i="100"/>
  <c r="E19" i="100"/>
  <c r="F19" i="100" s="1"/>
  <c r="AF18" i="100"/>
  <c r="AC18" i="100"/>
  <c r="Z18" i="100"/>
  <c r="AG18" i="100" s="1"/>
  <c r="H18" i="100"/>
  <c r="G18" i="100"/>
  <c r="E18" i="100"/>
  <c r="F18" i="100" s="1"/>
  <c r="AF17" i="100"/>
  <c r="AC17" i="100"/>
  <c r="Z17" i="100"/>
  <c r="F17" i="100"/>
  <c r="L17" i="100" s="1"/>
  <c r="E17" i="100"/>
  <c r="AF16" i="100"/>
  <c r="AC16" i="100"/>
  <c r="Z16" i="100"/>
  <c r="H16" i="100"/>
  <c r="H21" i="100" s="1"/>
  <c r="G16" i="100"/>
  <c r="E16" i="100"/>
  <c r="F16" i="100" s="1"/>
  <c r="K16" i="100" s="1"/>
  <c r="AF15" i="100"/>
  <c r="AC15" i="100"/>
  <c r="Z15" i="100"/>
  <c r="K15" i="100"/>
  <c r="F15" i="100"/>
  <c r="L15" i="100" s="1"/>
  <c r="E15" i="100"/>
  <c r="AF14" i="100"/>
  <c r="AC14" i="100"/>
  <c r="Z14" i="100"/>
  <c r="AG14" i="100" s="1"/>
  <c r="E14" i="100"/>
  <c r="F14" i="100" s="1"/>
  <c r="AF13" i="100"/>
  <c r="AC13" i="100"/>
  <c r="Z13" i="100"/>
  <c r="E13" i="100"/>
  <c r="F13" i="100" s="1"/>
  <c r="AF12" i="100"/>
  <c r="AC12" i="100"/>
  <c r="Z12" i="100"/>
  <c r="E12" i="100"/>
  <c r="F12" i="100" s="1"/>
  <c r="L12" i="100" s="1"/>
  <c r="AF11" i="100"/>
  <c r="AC11" i="100"/>
  <c r="Z11" i="100"/>
  <c r="F11" i="100"/>
  <c r="E11" i="100"/>
  <c r="AO10" i="100"/>
  <c r="AF10" i="100"/>
  <c r="AF21" i="100" s="1"/>
  <c r="AC10" i="100"/>
  <c r="Z10" i="100"/>
  <c r="E10" i="100"/>
  <c r="F10" i="100" s="1"/>
  <c r="AO9" i="100"/>
  <c r="AF9" i="100"/>
  <c r="AC9" i="100"/>
  <c r="Z9" i="100"/>
  <c r="K9" i="100"/>
  <c r="E9" i="100"/>
  <c r="F9" i="100" s="1"/>
  <c r="AE28" i="99"/>
  <c r="AD28" i="99"/>
  <c r="AB28" i="99"/>
  <c r="AA28" i="99"/>
  <c r="Y28" i="99"/>
  <c r="X28" i="99"/>
  <c r="U28" i="99"/>
  <c r="N28" i="99"/>
  <c r="J28" i="99"/>
  <c r="I28" i="99"/>
  <c r="G28" i="99"/>
  <c r="D28" i="99"/>
  <c r="C28" i="99"/>
  <c r="AL27" i="99"/>
  <c r="AF27" i="99"/>
  <c r="AC27" i="99"/>
  <c r="Z27" i="99"/>
  <c r="H27" i="99"/>
  <c r="E27" i="99"/>
  <c r="F27" i="99" s="1"/>
  <c r="M27" i="99" s="1"/>
  <c r="AL26" i="99"/>
  <c r="AF26" i="99"/>
  <c r="AC26" i="99"/>
  <c r="Z26" i="99"/>
  <c r="H26" i="99"/>
  <c r="E26" i="99"/>
  <c r="F26" i="99" s="1"/>
  <c r="M26" i="99" s="1"/>
  <c r="O26" i="99" s="1"/>
  <c r="AL25" i="99"/>
  <c r="AF25" i="99"/>
  <c r="AC25" i="99"/>
  <c r="Z25" i="99"/>
  <c r="AG25" i="99" s="1"/>
  <c r="H25" i="99"/>
  <c r="E25" i="99"/>
  <c r="F25" i="99" s="1"/>
  <c r="L25" i="99" s="1"/>
  <c r="AL24" i="99"/>
  <c r="AF24" i="99"/>
  <c r="AC24" i="99"/>
  <c r="Z24" i="99"/>
  <c r="K24" i="99"/>
  <c r="H24" i="99"/>
  <c r="E24" i="99"/>
  <c r="F24" i="99" s="1"/>
  <c r="AL23" i="99"/>
  <c r="AF23" i="99"/>
  <c r="AC23" i="99"/>
  <c r="AG23" i="99" s="1"/>
  <c r="Z23" i="99"/>
  <c r="E23" i="99"/>
  <c r="F23" i="99" s="1"/>
  <c r="L23" i="99" s="1"/>
  <c r="AL22" i="99"/>
  <c r="AF22" i="99"/>
  <c r="AC22" i="99"/>
  <c r="Z22" i="99"/>
  <c r="AG22" i="99" s="1"/>
  <c r="K22" i="99"/>
  <c r="H22" i="99"/>
  <c r="E22" i="99"/>
  <c r="F22" i="99" s="1"/>
  <c r="AL21" i="99"/>
  <c r="AF21" i="99"/>
  <c r="AC21" i="99"/>
  <c r="Z21" i="99"/>
  <c r="H21" i="99"/>
  <c r="E21" i="99"/>
  <c r="F21" i="99" s="1"/>
  <c r="AL20" i="99"/>
  <c r="AF20" i="99"/>
  <c r="AC20" i="99"/>
  <c r="Z20" i="99"/>
  <c r="K20" i="99"/>
  <c r="H20" i="99"/>
  <c r="E20" i="99"/>
  <c r="F20" i="99" s="1"/>
  <c r="AL19" i="99"/>
  <c r="AF19" i="99"/>
  <c r="AC19" i="99"/>
  <c r="Z19" i="99"/>
  <c r="K19" i="99"/>
  <c r="H19" i="99"/>
  <c r="F19" i="99"/>
  <c r="L19" i="99" s="1"/>
  <c r="E19" i="99"/>
  <c r="AL18" i="99"/>
  <c r="AF18" i="99"/>
  <c r="AC18" i="99"/>
  <c r="Z18" i="99"/>
  <c r="H18" i="99"/>
  <c r="E18" i="99"/>
  <c r="F18" i="99" s="1"/>
  <c r="AL17" i="99"/>
  <c r="AF17" i="99"/>
  <c r="AC17" i="99"/>
  <c r="AG17" i="99" s="1"/>
  <c r="Z17" i="99"/>
  <c r="K17" i="99"/>
  <c r="H17" i="99"/>
  <c r="F17" i="99"/>
  <c r="L17" i="99" s="1"/>
  <c r="E17" i="99"/>
  <c r="AL16" i="99"/>
  <c r="AF16" i="99"/>
  <c r="AC16" i="99"/>
  <c r="Z16" i="99"/>
  <c r="K16" i="99"/>
  <c r="H16" i="99"/>
  <c r="F16" i="99"/>
  <c r="L16" i="99" s="1"/>
  <c r="E16" i="99"/>
  <c r="AL15" i="99"/>
  <c r="AF15" i="99"/>
  <c r="AC15" i="99"/>
  <c r="Z15" i="99"/>
  <c r="H15" i="99"/>
  <c r="E15" i="99"/>
  <c r="F15" i="99" s="1"/>
  <c r="K15" i="99" s="1"/>
  <c r="AL14" i="99"/>
  <c r="AF14" i="99"/>
  <c r="AC14" i="99"/>
  <c r="Z14" i="99"/>
  <c r="H14" i="99"/>
  <c r="E14" i="99"/>
  <c r="F14" i="99" s="1"/>
  <c r="AL13" i="99"/>
  <c r="AG13" i="99"/>
  <c r="AF13" i="99"/>
  <c r="AC13" i="99"/>
  <c r="Z13" i="99"/>
  <c r="H13" i="99"/>
  <c r="E13" i="99"/>
  <c r="F13" i="99" s="1"/>
  <c r="AL12" i="99"/>
  <c r="AF12" i="99"/>
  <c r="AC12" i="99"/>
  <c r="Z12" i="99"/>
  <c r="AG12" i="99" s="1"/>
  <c r="H12" i="99"/>
  <c r="E12" i="99"/>
  <c r="F12" i="99" s="1"/>
  <c r="AL11" i="99"/>
  <c r="AF11" i="99"/>
  <c r="AC11" i="99"/>
  <c r="Z11" i="99"/>
  <c r="AG11" i="99" s="1"/>
  <c r="K11" i="99"/>
  <c r="H11" i="99"/>
  <c r="E11" i="99"/>
  <c r="F11" i="99" s="1"/>
  <c r="L11" i="99" s="1"/>
  <c r="AL10" i="99"/>
  <c r="AF10" i="99"/>
  <c r="AC10" i="99"/>
  <c r="Z10" i="99"/>
  <c r="AG10" i="99" s="1"/>
  <c r="K10" i="99"/>
  <c r="E10" i="99"/>
  <c r="F10" i="99" s="1"/>
  <c r="AL9" i="99"/>
  <c r="AF9" i="99"/>
  <c r="AC9" i="99"/>
  <c r="Z9" i="99"/>
  <c r="K9" i="99"/>
  <c r="F9" i="99"/>
  <c r="E9" i="99"/>
  <c r="L14" i="101" l="1"/>
  <c r="M14" i="101"/>
  <c r="O14" i="101" s="1"/>
  <c r="P14" i="101" s="1"/>
  <c r="L18" i="104"/>
  <c r="M18" i="104"/>
  <c r="O18" i="104" s="1"/>
  <c r="P18" i="104" s="1"/>
  <c r="AG20" i="108"/>
  <c r="AH20" i="108" s="1"/>
  <c r="F28" i="99"/>
  <c r="AG11" i="101"/>
  <c r="AH11" i="101" s="1"/>
  <c r="AG19" i="101"/>
  <c r="AH22" i="101"/>
  <c r="AG15" i="106"/>
  <c r="AH15" i="106"/>
  <c r="AH11" i="99"/>
  <c r="M18" i="99"/>
  <c r="O18" i="99" s="1"/>
  <c r="AH25" i="99"/>
  <c r="P26" i="99"/>
  <c r="AG11" i="100"/>
  <c r="AH12" i="100"/>
  <c r="AG14" i="101"/>
  <c r="AH14" i="101" s="1"/>
  <c r="E66" i="102"/>
  <c r="AG13" i="102"/>
  <c r="L16" i="102"/>
  <c r="K16" i="102"/>
  <c r="M16" i="102" s="1"/>
  <c r="F25" i="103"/>
  <c r="H28" i="104"/>
  <c r="L12" i="104"/>
  <c r="K12" i="104"/>
  <c r="M12" i="104" s="1"/>
  <c r="AG12" i="105"/>
  <c r="AH12" i="105" s="1"/>
  <c r="M18" i="105"/>
  <c r="O18" i="105" s="1"/>
  <c r="P18" i="105" s="1"/>
  <c r="AH10" i="107"/>
  <c r="AG10" i="107"/>
  <c r="E28" i="110"/>
  <c r="F9" i="110"/>
  <c r="L11" i="110"/>
  <c r="M11" i="110" s="1"/>
  <c r="O11" i="110" s="1"/>
  <c r="P11" i="110" s="1"/>
  <c r="L22" i="102"/>
  <c r="K22" i="102"/>
  <c r="L25" i="102"/>
  <c r="M25" i="102" s="1"/>
  <c r="K25" i="102"/>
  <c r="L19" i="104"/>
  <c r="K19" i="104"/>
  <c r="M19" i="104" s="1"/>
  <c r="L16" i="106"/>
  <c r="M16" i="106" s="1"/>
  <c r="K16" i="106"/>
  <c r="F9" i="107"/>
  <c r="E23" i="107"/>
  <c r="L10" i="107"/>
  <c r="M10" i="107" s="1"/>
  <c r="K15" i="110"/>
  <c r="L15" i="110"/>
  <c r="M15" i="110" s="1"/>
  <c r="AF28" i="99"/>
  <c r="AG10" i="100"/>
  <c r="L11" i="100"/>
  <c r="M11" i="100" s="1"/>
  <c r="O11" i="100" s="1"/>
  <c r="P11" i="100" s="1"/>
  <c r="AG9" i="101"/>
  <c r="AH9" i="101" s="1"/>
  <c r="AH12" i="101"/>
  <c r="AG13" i="101"/>
  <c r="AG23" i="102"/>
  <c r="AH23" i="102" s="1"/>
  <c r="J32" i="102"/>
  <c r="L19" i="103"/>
  <c r="M19" i="103" s="1"/>
  <c r="O19" i="103" s="1"/>
  <c r="P19" i="103" s="1"/>
  <c r="AH13" i="105"/>
  <c r="AG13" i="105"/>
  <c r="AG16" i="107"/>
  <c r="AH16" i="107"/>
  <c r="G52" i="108"/>
  <c r="AC28" i="110"/>
  <c r="AG9" i="110"/>
  <c r="AH9" i="110" s="1"/>
  <c r="M13" i="110"/>
  <c r="L13" i="110"/>
  <c r="K22" i="110"/>
  <c r="L22" i="110"/>
  <c r="AH12" i="99"/>
  <c r="AG14" i="99"/>
  <c r="AH14" i="99" s="1"/>
  <c r="AG19" i="99"/>
  <c r="AG12" i="100"/>
  <c r="AG20" i="100"/>
  <c r="AH15" i="101"/>
  <c r="AG15" i="101"/>
  <c r="AG17" i="101"/>
  <c r="AH18" i="101"/>
  <c r="AG17" i="102"/>
  <c r="AH17" i="102" s="1"/>
  <c r="AG39" i="102"/>
  <c r="M40" i="102"/>
  <c r="L44" i="102"/>
  <c r="M44" i="102"/>
  <c r="O44" i="102" s="1"/>
  <c r="P44" i="102" s="1"/>
  <c r="AH24" i="103"/>
  <c r="AG24" i="103"/>
  <c r="L17" i="104"/>
  <c r="M17" i="104" s="1"/>
  <c r="L19" i="105"/>
  <c r="M19" i="105" s="1"/>
  <c r="O19" i="105" s="1"/>
  <c r="P19" i="105" s="1"/>
  <c r="AH37" i="108"/>
  <c r="AG37" i="108"/>
  <c r="P40" i="108"/>
  <c r="L19" i="109"/>
  <c r="M19" i="109"/>
  <c r="P19" i="109" s="1"/>
  <c r="M17" i="110"/>
  <c r="L17" i="110"/>
  <c r="K20" i="110"/>
  <c r="M20" i="110" s="1"/>
  <c r="L20" i="110"/>
  <c r="AH18" i="103"/>
  <c r="Z28" i="104"/>
  <c r="AG12" i="104"/>
  <c r="AG19" i="104"/>
  <c r="AH19" i="104" s="1"/>
  <c r="G28" i="104"/>
  <c r="M21" i="105"/>
  <c r="O21" i="105" s="1"/>
  <c r="P21" i="105" s="1"/>
  <c r="G21" i="106"/>
  <c r="AG19" i="106"/>
  <c r="M20" i="106"/>
  <c r="O20" i="106" s="1"/>
  <c r="P20" i="106" s="1"/>
  <c r="AH10" i="108"/>
  <c r="AG27" i="108"/>
  <c r="AG32" i="108"/>
  <c r="AH39" i="108"/>
  <c r="AH44" i="108"/>
  <c r="AG45" i="108"/>
  <c r="AG48" i="108"/>
  <c r="G67" i="108"/>
  <c r="AH11" i="109"/>
  <c r="AG24" i="99"/>
  <c r="AH10" i="100"/>
  <c r="AF23" i="101"/>
  <c r="AG21" i="101"/>
  <c r="AH21" i="101" s="1"/>
  <c r="AG11" i="102"/>
  <c r="AH11" i="102" s="1"/>
  <c r="AH31" i="102"/>
  <c r="AH40" i="102"/>
  <c r="AG50" i="102"/>
  <c r="AH50" i="102" s="1"/>
  <c r="G67" i="102"/>
  <c r="AG21" i="104"/>
  <c r="AH21" i="104" s="1"/>
  <c r="AG23" i="105"/>
  <c r="L10" i="106"/>
  <c r="M10" i="106" s="1"/>
  <c r="O10" i="106" s="1"/>
  <c r="P10" i="106" s="1"/>
  <c r="AG20" i="106"/>
  <c r="AG13" i="107"/>
  <c r="AG12" i="108"/>
  <c r="AH12" i="108" s="1"/>
  <c r="AG13" i="108"/>
  <c r="AG14" i="108"/>
  <c r="C65" i="108"/>
  <c r="AG29" i="108"/>
  <c r="AH29" i="108" s="1"/>
  <c r="AG31" i="108"/>
  <c r="AH31" i="108" s="1"/>
  <c r="AG33" i="108"/>
  <c r="AG34" i="108"/>
  <c r="AG40" i="108"/>
  <c r="P41" i="108"/>
  <c r="R41" i="108" s="1"/>
  <c r="AG51" i="108"/>
  <c r="AG12" i="109"/>
  <c r="AG20" i="109"/>
  <c r="AH20" i="109" s="1"/>
  <c r="AG21" i="109"/>
  <c r="AH21" i="109" s="1"/>
  <c r="AG22" i="109"/>
  <c r="AH22" i="109" s="1"/>
  <c r="AG20" i="105"/>
  <c r="AH20" i="105" s="1"/>
  <c r="AC21" i="106"/>
  <c r="AF21" i="106"/>
  <c r="AH14" i="107"/>
  <c r="AH18" i="107"/>
  <c r="AC52" i="108"/>
  <c r="AG17" i="108"/>
  <c r="AG41" i="108"/>
  <c r="AH11" i="110"/>
  <c r="AF28" i="110"/>
  <c r="AG21" i="99"/>
  <c r="AH21" i="99" s="1"/>
  <c r="AC21" i="100"/>
  <c r="J23" i="101"/>
  <c r="AG12" i="102"/>
  <c r="AH12" i="102" s="1"/>
  <c r="AG15" i="102"/>
  <c r="AH26" i="102"/>
  <c r="AG30" i="102"/>
  <c r="AH33" i="102"/>
  <c r="AH35" i="102"/>
  <c r="AH41" i="102"/>
  <c r="AG10" i="103"/>
  <c r="AH10" i="103" s="1"/>
  <c r="AG14" i="104"/>
  <c r="AH14" i="104" s="1"/>
  <c r="AH18" i="104"/>
  <c r="AF28" i="105"/>
  <c r="AG11" i="105"/>
  <c r="AH11" i="105" s="1"/>
  <c r="AG16" i="105"/>
  <c r="AH16" i="105" s="1"/>
  <c r="AG17" i="105"/>
  <c r="AG15" i="99"/>
  <c r="AG16" i="99"/>
  <c r="AH16" i="99" s="1"/>
  <c r="AH17" i="99"/>
  <c r="AG18" i="99"/>
  <c r="AH18" i="99" s="1"/>
  <c r="G21" i="100"/>
  <c r="AH13" i="102"/>
  <c r="L15" i="102"/>
  <c r="AG34" i="102"/>
  <c r="AH43" i="102"/>
  <c r="AH44" i="102"/>
  <c r="U67" i="102"/>
  <c r="M12" i="103"/>
  <c r="O12" i="103" s="1"/>
  <c r="AH16" i="103"/>
  <c r="AH22" i="103"/>
  <c r="AF28" i="104"/>
  <c r="L15" i="104"/>
  <c r="M15" i="104" s="1"/>
  <c r="M26" i="104"/>
  <c r="O26" i="104" s="1"/>
  <c r="P26" i="104" s="1"/>
  <c r="AH15" i="105"/>
  <c r="AH19" i="105"/>
  <c r="AG22" i="105"/>
  <c r="AG25" i="105"/>
  <c r="AH25" i="105" s="1"/>
  <c r="AG27" i="105"/>
  <c r="AH27" i="105" s="1"/>
  <c r="AH10" i="106"/>
  <c r="E15" i="107"/>
  <c r="F15" i="107" s="1"/>
  <c r="L15" i="107" s="1"/>
  <c r="AH17" i="108"/>
  <c r="AG19" i="108"/>
  <c r="AH19" i="108" s="1"/>
  <c r="AG22" i="108"/>
  <c r="AH27" i="108"/>
  <c r="AH32" i="108"/>
  <c r="AG35" i="108"/>
  <c r="AH35" i="108" s="1"/>
  <c r="AG36" i="108"/>
  <c r="AG39" i="108"/>
  <c r="I67" i="108"/>
  <c r="AC25" i="109"/>
  <c r="AG15" i="109"/>
  <c r="AH15" i="109" s="1"/>
  <c r="AG27" i="110"/>
  <c r="AH27" i="110" s="1"/>
  <c r="K14" i="105"/>
  <c r="L14" i="105"/>
  <c r="M14" i="105" s="1"/>
  <c r="L10" i="105"/>
  <c r="M10" i="105" s="1"/>
  <c r="L20" i="105"/>
  <c r="M20" i="105" s="1"/>
  <c r="O27" i="105"/>
  <c r="P27" i="105" s="1"/>
  <c r="AH10" i="105"/>
  <c r="L11" i="105"/>
  <c r="M11" i="105" s="1"/>
  <c r="O23" i="105"/>
  <c r="P23" i="105" s="1"/>
  <c r="L17" i="106"/>
  <c r="M17" i="106"/>
  <c r="O17" i="108"/>
  <c r="P17" i="108" s="1"/>
  <c r="E28" i="105"/>
  <c r="AG9" i="105"/>
  <c r="AH9" i="105" s="1"/>
  <c r="AH14" i="105"/>
  <c r="M16" i="105"/>
  <c r="L16" i="105"/>
  <c r="E21" i="106"/>
  <c r="AH13" i="106"/>
  <c r="AH17" i="106"/>
  <c r="AH18" i="106"/>
  <c r="O14" i="107"/>
  <c r="P14" i="107" s="1"/>
  <c r="L21" i="107"/>
  <c r="M21" i="107" s="1"/>
  <c r="K25" i="108"/>
  <c r="J25" i="108"/>
  <c r="L25" i="108"/>
  <c r="F9" i="105"/>
  <c r="L13" i="105"/>
  <c r="K13" i="105"/>
  <c r="AH23" i="105"/>
  <c r="M24" i="105"/>
  <c r="L25" i="105"/>
  <c r="M25" i="105" s="1"/>
  <c r="F9" i="106"/>
  <c r="L12" i="106"/>
  <c r="M12" i="106" s="1"/>
  <c r="L14" i="106"/>
  <c r="M14" i="106"/>
  <c r="L15" i="106"/>
  <c r="M15" i="106" s="1"/>
  <c r="M18" i="106"/>
  <c r="L9" i="107"/>
  <c r="F23" i="107"/>
  <c r="K9" i="107"/>
  <c r="M9" i="107" s="1"/>
  <c r="Z23" i="107"/>
  <c r="AH9" i="107"/>
  <c r="AH15" i="107"/>
  <c r="K18" i="107"/>
  <c r="L18" i="107"/>
  <c r="L20" i="107"/>
  <c r="M20" i="107" s="1"/>
  <c r="K10" i="108"/>
  <c r="M10" i="108" s="1"/>
  <c r="L10" i="108"/>
  <c r="AH14" i="108"/>
  <c r="L22" i="108"/>
  <c r="K22" i="108"/>
  <c r="M22" i="108" s="1"/>
  <c r="J24" i="108"/>
  <c r="L24" i="108"/>
  <c r="K24" i="108"/>
  <c r="L12" i="105"/>
  <c r="M12" i="105" s="1"/>
  <c r="AH17" i="105"/>
  <c r="L13" i="106"/>
  <c r="K13" i="106"/>
  <c r="M13" i="106" s="1"/>
  <c r="K64" i="108"/>
  <c r="L51" i="108"/>
  <c r="M51" i="108" s="1"/>
  <c r="M11" i="106"/>
  <c r="H21" i="106"/>
  <c r="AH22" i="107"/>
  <c r="O19" i="108"/>
  <c r="P19" i="108" s="1"/>
  <c r="AC28" i="105"/>
  <c r="H28" i="105"/>
  <c r="K15" i="105"/>
  <c r="M15" i="105" s="1"/>
  <c r="M17" i="105"/>
  <c r="AH21" i="105"/>
  <c r="M22" i="105"/>
  <c r="AH22" i="105"/>
  <c r="AG24" i="105"/>
  <c r="AH24" i="105" s="1"/>
  <c r="P26" i="105"/>
  <c r="AH26" i="105"/>
  <c r="K21" i="106"/>
  <c r="AH14" i="106"/>
  <c r="AH16" i="106"/>
  <c r="L19" i="106"/>
  <c r="M19" i="106" s="1"/>
  <c r="AH20" i="106"/>
  <c r="J23" i="107"/>
  <c r="AG21" i="107"/>
  <c r="AH21" i="107" s="1"/>
  <c r="O22" i="107"/>
  <c r="P22" i="107" s="1"/>
  <c r="L20" i="108"/>
  <c r="M20" i="108" s="1"/>
  <c r="K20" i="108"/>
  <c r="AH22" i="108"/>
  <c r="Z21" i="106"/>
  <c r="AH9" i="106"/>
  <c r="AG12" i="106"/>
  <c r="AH12" i="106" s="1"/>
  <c r="AH19" i="106"/>
  <c r="AC23" i="107"/>
  <c r="K12" i="107"/>
  <c r="M12" i="107" s="1"/>
  <c r="L12" i="107"/>
  <c r="AH12" i="107"/>
  <c r="M15" i="107"/>
  <c r="M17" i="107"/>
  <c r="L17" i="107"/>
  <c r="L15" i="108"/>
  <c r="K15" i="108"/>
  <c r="M15" i="108" s="1"/>
  <c r="AH16" i="108"/>
  <c r="L18" i="108"/>
  <c r="M18" i="108" s="1"/>
  <c r="AH18" i="108"/>
  <c r="AG23" i="108"/>
  <c r="AH23" i="108" s="1"/>
  <c r="AG30" i="108"/>
  <c r="AH30" i="108"/>
  <c r="L36" i="108"/>
  <c r="M36" i="108" s="1"/>
  <c r="O39" i="108"/>
  <c r="P39" i="108" s="1"/>
  <c r="R40" i="108"/>
  <c r="Q40" i="108"/>
  <c r="AG11" i="106"/>
  <c r="AG21" i="106" s="1"/>
  <c r="AF23" i="107"/>
  <c r="AG17" i="107"/>
  <c r="AG23" i="107" s="1"/>
  <c r="AG19" i="107"/>
  <c r="AG20" i="107"/>
  <c r="AH20" i="107" s="1"/>
  <c r="L12" i="108"/>
  <c r="M12" i="108"/>
  <c r="K14" i="108"/>
  <c r="L16" i="108"/>
  <c r="K16" i="108"/>
  <c r="M16" i="108" s="1"/>
  <c r="L29" i="108"/>
  <c r="M29" i="108" s="1"/>
  <c r="L37" i="108"/>
  <c r="M37" i="108" s="1"/>
  <c r="O45" i="108"/>
  <c r="P45" i="108"/>
  <c r="AG16" i="109"/>
  <c r="AH16" i="109" s="1"/>
  <c r="AG18" i="109"/>
  <c r="AH18" i="109"/>
  <c r="AH11" i="107"/>
  <c r="AH13" i="107"/>
  <c r="M16" i="107"/>
  <c r="AH17" i="107"/>
  <c r="AH19" i="107"/>
  <c r="F64" i="108"/>
  <c r="Z52" i="108"/>
  <c r="F66" i="108"/>
  <c r="AH11" i="108"/>
  <c r="H65" i="108"/>
  <c r="H67" i="108" s="1"/>
  <c r="H52" i="108"/>
  <c r="AH13" i="108"/>
  <c r="AG21" i="108"/>
  <c r="AH25" i="108"/>
  <c r="M26" i="108"/>
  <c r="L26" i="108"/>
  <c r="L30" i="108"/>
  <c r="M30" i="108" s="1"/>
  <c r="J32" i="108"/>
  <c r="M32" i="108" s="1"/>
  <c r="L35" i="108"/>
  <c r="M35" i="108" s="1"/>
  <c r="O38" i="108"/>
  <c r="P38" i="108" s="1"/>
  <c r="M44" i="108"/>
  <c r="L44" i="108"/>
  <c r="L49" i="108"/>
  <c r="M49" i="108" s="1"/>
  <c r="M50" i="108"/>
  <c r="L50" i="108"/>
  <c r="L11" i="109"/>
  <c r="K11" i="109"/>
  <c r="M11" i="109"/>
  <c r="L23" i="110"/>
  <c r="M23" i="110" s="1"/>
  <c r="L11" i="107"/>
  <c r="M11" i="107" s="1"/>
  <c r="L13" i="107"/>
  <c r="M13" i="107" s="1"/>
  <c r="L19" i="107"/>
  <c r="M19" i="107" s="1"/>
  <c r="L9" i="108"/>
  <c r="AF52" i="108"/>
  <c r="L11" i="108"/>
  <c r="L66" i="108" s="1"/>
  <c r="M21" i="108"/>
  <c r="L28" i="108"/>
  <c r="K28" i="108"/>
  <c r="J28" i="108"/>
  <c r="AH28" i="108"/>
  <c r="L32" i="108"/>
  <c r="AH34" i="108"/>
  <c r="AH47" i="108"/>
  <c r="M48" i="108"/>
  <c r="L48" i="108"/>
  <c r="L21" i="109"/>
  <c r="K21" i="109"/>
  <c r="M21" i="109" s="1"/>
  <c r="AG19" i="110"/>
  <c r="AH19" i="110" s="1"/>
  <c r="E64" i="108"/>
  <c r="M9" i="108"/>
  <c r="AG9" i="108"/>
  <c r="E66" i="108"/>
  <c r="F13" i="108"/>
  <c r="AG15" i="108"/>
  <c r="AH15" i="108" s="1"/>
  <c r="AH21" i="108"/>
  <c r="M23" i="108"/>
  <c r="AG24" i="108"/>
  <c r="AH24" i="108" s="1"/>
  <c r="L31" i="108"/>
  <c r="M31" i="108" s="1"/>
  <c r="L33" i="108"/>
  <c r="M33" i="108" s="1"/>
  <c r="AH33" i="108"/>
  <c r="L34" i="108"/>
  <c r="M34" i="108" s="1"/>
  <c r="AH36" i="108"/>
  <c r="AH38" i="108"/>
  <c r="AH40" i="108"/>
  <c r="AH41" i="108"/>
  <c r="L46" i="108"/>
  <c r="M46" i="108" s="1"/>
  <c r="AH46" i="108"/>
  <c r="AH50" i="108"/>
  <c r="M47" i="108"/>
  <c r="F25" i="109"/>
  <c r="K9" i="109"/>
  <c r="Z25" i="109"/>
  <c r="M17" i="109"/>
  <c r="L18" i="110"/>
  <c r="M18" i="110" s="1"/>
  <c r="L21" i="110"/>
  <c r="M21" i="110" s="1"/>
  <c r="E27" i="108"/>
  <c r="F27" i="108" s="1"/>
  <c r="K43" i="108"/>
  <c r="M43" i="108" s="1"/>
  <c r="AH48" i="108"/>
  <c r="C52" i="108"/>
  <c r="C67" i="108"/>
  <c r="L9" i="109"/>
  <c r="AH12" i="109"/>
  <c r="O19" i="109"/>
  <c r="L16" i="110"/>
  <c r="K16" i="110"/>
  <c r="M16" i="110" s="1"/>
  <c r="M19" i="110"/>
  <c r="L19" i="110"/>
  <c r="K19" i="110"/>
  <c r="AH43" i="108"/>
  <c r="AH45" i="108"/>
  <c r="AG47" i="108"/>
  <c r="D67" i="108"/>
  <c r="AF25" i="109"/>
  <c r="AG9" i="109"/>
  <c r="K10" i="109"/>
  <c r="L10" i="109"/>
  <c r="AH10" i="109"/>
  <c r="K13" i="109"/>
  <c r="M13" i="109" s="1"/>
  <c r="L13" i="109"/>
  <c r="O13" i="110"/>
  <c r="P13" i="110" s="1"/>
  <c r="AG21" i="110"/>
  <c r="AH21" i="110" s="1"/>
  <c r="AH51" i="108"/>
  <c r="M12" i="109"/>
  <c r="K14" i="109"/>
  <c r="M14" i="109" s="1"/>
  <c r="M20" i="109"/>
  <c r="H28" i="110"/>
  <c r="L14" i="110"/>
  <c r="K14" i="110"/>
  <c r="AH18" i="110"/>
  <c r="AH26" i="110"/>
  <c r="H25" i="109"/>
  <c r="L14" i="109"/>
  <c r="K16" i="109"/>
  <c r="M16" i="109"/>
  <c r="AH17" i="109"/>
  <c r="AH19" i="109"/>
  <c r="K22" i="109"/>
  <c r="M22" i="109"/>
  <c r="E25" i="109"/>
  <c r="O17" i="110"/>
  <c r="P17" i="110" s="1"/>
  <c r="L24" i="110"/>
  <c r="M24" i="110" s="1"/>
  <c r="L25" i="110"/>
  <c r="M25" i="110" s="1"/>
  <c r="P27" i="110"/>
  <c r="F28" i="110"/>
  <c r="AH9" i="109"/>
  <c r="AG13" i="109"/>
  <c r="AH13" i="109" s="1"/>
  <c r="AG14" i="109"/>
  <c r="AH14" i="109" s="1"/>
  <c r="K15" i="109"/>
  <c r="M15" i="109" s="1"/>
  <c r="K18" i="109"/>
  <c r="M18" i="109" s="1"/>
  <c r="L23" i="109"/>
  <c r="M23" i="109" s="1"/>
  <c r="O24" i="109"/>
  <c r="P24" i="109" s="1"/>
  <c r="M10" i="110"/>
  <c r="AH10" i="110"/>
  <c r="L12" i="110"/>
  <c r="K12" i="110"/>
  <c r="K28" i="110" s="1"/>
  <c r="Z28" i="110"/>
  <c r="AG12" i="110"/>
  <c r="AH12" i="110" s="1"/>
  <c r="AH16" i="110"/>
  <c r="M26" i="110"/>
  <c r="AG23" i="109"/>
  <c r="AH23" i="109" s="1"/>
  <c r="AG24" i="109"/>
  <c r="AH24" i="109" s="1"/>
  <c r="AG13" i="110"/>
  <c r="AG15" i="110"/>
  <c r="AH15" i="110" s="1"/>
  <c r="AG17" i="110"/>
  <c r="AH17" i="110" s="1"/>
  <c r="AG20" i="110"/>
  <c r="AH20" i="110" s="1"/>
  <c r="M22" i="110"/>
  <c r="AG22" i="110"/>
  <c r="AH22" i="110" s="1"/>
  <c r="AG23" i="110"/>
  <c r="AH23" i="110" s="1"/>
  <c r="AG26" i="110"/>
  <c r="L18" i="100"/>
  <c r="M18" i="100" s="1"/>
  <c r="H28" i="99"/>
  <c r="K13" i="99"/>
  <c r="L13" i="99"/>
  <c r="M13" i="99" s="1"/>
  <c r="M17" i="99"/>
  <c r="L24" i="99"/>
  <c r="M24" i="99" s="1"/>
  <c r="R26" i="99"/>
  <c r="Q26" i="99"/>
  <c r="AG9" i="99"/>
  <c r="AH19" i="99"/>
  <c r="L21" i="99"/>
  <c r="M21" i="99" s="1"/>
  <c r="O27" i="99"/>
  <c r="P27" i="99"/>
  <c r="K10" i="100"/>
  <c r="M10" i="100" s="1"/>
  <c r="L10" i="100"/>
  <c r="O22" i="101"/>
  <c r="P22" i="101" s="1"/>
  <c r="M9" i="99"/>
  <c r="L9" i="99"/>
  <c r="K14" i="99"/>
  <c r="Z28" i="99"/>
  <c r="L13" i="100"/>
  <c r="K13" i="100"/>
  <c r="L14" i="100"/>
  <c r="M14" i="100" s="1"/>
  <c r="M10" i="99"/>
  <c r="E28" i="99"/>
  <c r="AH13" i="99"/>
  <c r="L14" i="99"/>
  <c r="M14" i="99" s="1"/>
  <c r="P18" i="99"/>
  <c r="AC28" i="99"/>
  <c r="L12" i="99"/>
  <c r="M12" i="99" s="1"/>
  <c r="L15" i="99"/>
  <c r="M15" i="99" s="1"/>
  <c r="M19" i="99"/>
  <c r="L20" i="99"/>
  <c r="M20" i="99" s="1"/>
  <c r="AG20" i="99"/>
  <c r="AH20" i="99" s="1"/>
  <c r="L22" i="99"/>
  <c r="M22" i="99" s="1"/>
  <c r="M23" i="99"/>
  <c r="AH23" i="99"/>
  <c r="AG26" i="99"/>
  <c r="AH26" i="99" s="1"/>
  <c r="AG27" i="99"/>
  <c r="AH27" i="99" s="1"/>
  <c r="M12" i="100"/>
  <c r="AH10" i="99"/>
  <c r="M11" i="99"/>
  <c r="AH15" i="99"/>
  <c r="M16" i="99"/>
  <c r="AH22" i="99"/>
  <c r="AH24" i="99"/>
  <c r="F21" i="100"/>
  <c r="Z21" i="100"/>
  <c r="AH11" i="100"/>
  <c r="AH14" i="100"/>
  <c r="AG15" i="100"/>
  <c r="AH15" i="100" s="1"/>
  <c r="AG16" i="100"/>
  <c r="AH16" i="100" s="1"/>
  <c r="AH18" i="100"/>
  <c r="M20" i="100"/>
  <c r="L20" i="100"/>
  <c r="AH20" i="100"/>
  <c r="L12" i="101"/>
  <c r="K12" i="101"/>
  <c r="L18" i="101"/>
  <c r="K18" i="101"/>
  <c r="M18" i="101" s="1"/>
  <c r="E23" i="101"/>
  <c r="L10" i="102"/>
  <c r="K10" i="102"/>
  <c r="AH10" i="102"/>
  <c r="AH15" i="102"/>
  <c r="M17" i="102"/>
  <c r="M21" i="102"/>
  <c r="AG25" i="102"/>
  <c r="AH25" i="102"/>
  <c r="O33" i="102"/>
  <c r="P33" i="102" s="1"/>
  <c r="R38" i="102"/>
  <c r="Q38" i="102"/>
  <c r="S38" i="102" s="1"/>
  <c r="O41" i="102"/>
  <c r="P41" i="102" s="1"/>
  <c r="K25" i="99"/>
  <c r="M25" i="99" s="1"/>
  <c r="L9" i="100"/>
  <c r="AG13" i="100"/>
  <c r="AH13" i="100" s="1"/>
  <c r="M15" i="100"/>
  <c r="M19" i="100"/>
  <c r="L10" i="101"/>
  <c r="M10" i="101" s="1"/>
  <c r="AH10" i="101"/>
  <c r="L13" i="101"/>
  <c r="M13" i="101" s="1"/>
  <c r="AH13" i="101"/>
  <c r="M15" i="101"/>
  <c r="L19" i="101"/>
  <c r="M19" i="101" s="1"/>
  <c r="AH19" i="101"/>
  <c r="Z23" i="101"/>
  <c r="AG16" i="102"/>
  <c r="AH16" i="102" s="1"/>
  <c r="AH24" i="102"/>
  <c r="AG27" i="102"/>
  <c r="AH27" i="102" s="1"/>
  <c r="K43" i="102"/>
  <c r="L43" i="102"/>
  <c r="AG48" i="102"/>
  <c r="AH48" i="102" s="1"/>
  <c r="L16" i="100"/>
  <c r="M16" i="100" s="1"/>
  <c r="M12" i="102"/>
  <c r="L12" i="102"/>
  <c r="AG32" i="102"/>
  <c r="AH32" i="102"/>
  <c r="L46" i="102"/>
  <c r="M46" i="102" s="1"/>
  <c r="L10" i="99"/>
  <c r="E21" i="100"/>
  <c r="AG9" i="100"/>
  <c r="M17" i="100"/>
  <c r="AG17" i="100"/>
  <c r="AH17" i="100" s="1"/>
  <c r="M9" i="101"/>
  <c r="L9" i="101"/>
  <c r="F23" i="101"/>
  <c r="K9" i="101"/>
  <c r="AC23" i="101"/>
  <c r="L11" i="101"/>
  <c r="M11" i="101" s="1"/>
  <c r="L16" i="101"/>
  <c r="M16" i="101" s="1"/>
  <c r="AH16" i="101"/>
  <c r="AH17" i="101"/>
  <c r="M20" i="101"/>
  <c r="L21" i="101"/>
  <c r="M21" i="101" s="1"/>
  <c r="AC52" i="102"/>
  <c r="AG9" i="102"/>
  <c r="L14" i="102"/>
  <c r="M14" i="102"/>
  <c r="K14" i="102"/>
  <c r="L20" i="102"/>
  <c r="K20" i="102"/>
  <c r="P40" i="102"/>
  <c r="O40" i="102"/>
  <c r="AG46" i="102"/>
  <c r="AH46" i="102" s="1"/>
  <c r="Z25" i="103"/>
  <c r="AG9" i="103"/>
  <c r="AG19" i="100"/>
  <c r="AH19" i="100" s="1"/>
  <c r="L17" i="101"/>
  <c r="M17" i="101" s="1"/>
  <c r="AG20" i="101"/>
  <c r="AG23" i="101" s="1"/>
  <c r="AF52" i="102"/>
  <c r="E65" i="102"/>
  <c r="AG14" i="102"/>
  <c r="AH14" i="102" s="1"/>
  <c r="M15" i="102"/>
  <c r="M18" i="102"/>
  <c r="AG20" i="102"/>
  <c r="AH20" i="102" s="1"/>
  <c r="M22" i="102"/>
  <c r="L27" i="102"/>
  <c r="M27" i="102" s="1"/>
  <c r="L28" i="102"/>
  <c r="J28" i="102"/>
  <c r="AG28" i="102"/>
  <c r="AH28" i="102" s="1"/>
  <c r="J30" i="102"/>
  <c r="M30" i="102" s="1"/>
  <c r="M31" i="102"/>
  <c r="AH36" i="102"/>
  <c r="AH39" i="102"/>
  <c r="L47" i="102"/>
  <c r="M47" i="102" s="1"/>
  <c r="C23" i="101"/>
  <c r="E64" i="102"/>
  <c r="E67" i="102" s="1"/>
  <c r="F65" i="102"/>
  <c r="M13" i="102"/>
  <c r="AG18" i="102"/>
  <c r="AH18" i="102" s="1"/>
  <c r="AG19" i="102"/>
  <c r="AH19" i="102" s="1"/>
  <c r="K24" i="102"/>
  <c r="M24" i="102" s="1"/>
  <c r="L24" i="102"/>
  <c r="M26" i="102"/>
  <c r="AH29" i="102"/>
  <c r="AH30" i="102"/>
  <c r="AH34" i="102"/>
  <c r="O36" i="102"/>
  <c r="P36" i="102" s="1"/>
  <c r="AG37" i="102"/>
  <c r="AH37" i="102" s="1"/>
  <c r="AG38" i="102"/>
  <c r="AH38" i="102" s="1"/>
  <c r="AH45" i="102"/>
  <c r="AG47" i="102"/>
  <c r="L49" i="102"/>
  <c r="M49" i="102" s="1"/>
  <c r="L10" i="103"/>
  <c r="K10" i="103"/>
  <c r="M10" i="103" s="1"/>
  <c r="M11" i="103"/>
  <c r="F9" i="102"/>
  <c r="Z52" i="102"/>
  <c r="AH9" i="102"/>
  <c r="F11" i="102"/>
  <c r="H52" i="102"/>
  <c r="H65" i="102"/>
  <c r="H67" i="102" s="1"/>
  <c r="L19" i="102"/>
  <c r="M19" i="102" s="1"/>
  <c r="AH21" i="102"/>
  <c r="J23" i="102"/>
  <c r="K23" i="102"/>
  <c r="L29" i="102"/>
  <c r="M29" i="102" s="1"/>
  <c r="O35" i="102"/>
  <c r="P35" i="102" s="1"/>
  <c r="L37" i="102"/>
  <c r="M37" i="102" s="1"/>
  <c r="P39" i="102"/>
  <c r="O45" i="102"/>
  <c r="P45" i="102" s="1"/>
  <c r="M48" i="102"/>
  <c r="E52" i="102"/>
  <c r="L13" i="103"/>
  <c r="M13" i="103" s="1"/>
  <c r="K13" i="103"/>
  <c r="AH22" i="102"/>
  <c r="C65" i="102"/>
  <c r="C67" i="102" s="1"/>
  <c r="C52" i="102"/>
  <c r="M32" i="102"/>
  <c r="M34" i="102"/>
  <c r="AH47" i="102"/>
  <c r="P12" i="103"/>
  <c r="K18" i="103"/>
  <c r="M18" i="103" s="1"/>
  <c r="L18" i="103"/>
  <c r="L50" i="102"/>
  <c r="M50" i="102" s="1"/>
  <c r="AH51" i="102"/>
  <c r="L9" i="103"/>
  <c r="K9" i="103"/>
  <c r="K14" i="103"/>
  <c r="L14" i="103"/>
  <c r="AG15" i="103"/>
  <c r="AH15" i="103" s="1"/>
  <c r="K22" i="104"/>
  <c r="L22" i="104"/>
  <c r="G52" i="102"/>
  <c r="M51" i="102"/>
  <c r="K16" i="103"/>
  <c r="M16" i="103" s="1"/>
  <c r="L16" i="103"/>
  <c r="L17" i="103"/>
  <c r="M17" i="103"/>
  <c r="AG49" i="102"/>
  <c r="AH49" i="102" s="1"/>
  <c r="AC25" i="103"/>
  <c r="L11" i="103"/>
  <c r="AG11" i="103"/>
  <c r="AH11" i="103" s="1"/>
  <c r="AG12" i="103"/>
  <c r="AH12" i="103" s="1"/>
  <c r="AH14" i="103"/>
  <c r="L15" i="103"/>
  <c r="AH17" i="103"/>
  <c r="P24" i="103"/>
  <c r="O24" i="103"/>
  <c r="E28" i="104"/>
  <c r="F9" i="104"/>
  <c r="L14" i="104"/>
  <c r="K14" i="104"/>
  <c r="AG16" i="104"/>
  <c r="AH16" i="104" s="1"/>
  <c r="AF25" i="103"/>
  <c r="AG13" i="103"/>
  <c r="AH13" i="103" s="1"/>
  <c r="AH19" i="103"/>
  <c r="K21" i="103"/>
  <c r="M21" i="103" s="1"/>
  <c r="AH23" i="103"/>
  <c r="O15" i="104"/>
  <c r="P15" i="104" s="1"/>
  <c r="K20" i="104"/>
  <c r="M20" i="104" s="1"/>
  <c r="L20" i="104"/>
  <c r="E25" i="103"/>
  <c r="H25" i="103"/>
  <c r="K15" i="103"/>
  <c r="M15" i="103" s="1"/>
  <c r="AG19" i="103"/>
  <c r="L20" i="103"/>
  <c r="M20" i="103" s="1"/>
  <c r="AH21" i="103"/>
  <c r="M23" i="103"/>
  <c r="L13" i="104"/>
  <c r="M13" i="104"/>
  <c r="AH20" i="103"/>
  <c r="L22" i="103"/>
  <c r="M22" i="103" s="1"/>
  <c r="AC28" i="104"/>
  <c r="L21" i="104"/>
  <c r="M21" i="104" s="1"/>
  <c r="L23" i="104"/>
  <c r="M23" i="104" s="1"/>
  <c r="AG9" i="104"/>
  <c r="AH9" i="104" s="1"/>
  <c r="M10" i="104"/>
  <c r="AG10" i="104"/>
  <c r="AH10" i="104" s="1"/>
  <c r="M11" i="104"/>
  <c r="AG11" i="104"/>
  <c r="AH11" i="104" s="1"/>
  <c r="AH12" i="104"/>
  <c r="L16" i="104"/>
  <c r="O19" i="104"/>
  <c r="P19" i="104" s="1"/>
  <c r="M24" i="104"/>
  <c r="L24" i="104"/>
  <c r="K16" i="104"/>
  <c r="M16" i="104" s="1"/>
  <c r="P27" i="104"/>
  <c r="L25" i="104"/>
  <c r="M25" i="104" s="1"/>
  <c r="O17" i="104" l="1"/>
  <c r="P17" i="104" s="1"/>
  <c r="O10" i="107"/>
  <c r="P10" i="107"/>
  <c r="R10" i="107" s="1"/>
  <c r="M22" i="104"/>
  <c r="K65" i="102"/>
  <c r="M20" i="102"/>
  <c r="P20" i="102" s="1"/>
  <c r="L28" i="110"/>
  <c r="J52" i="108"/>
  <c r="Q41" i="108"/>
  <c r="L9" i="110"/>
  <c r="M9" i="110"/>
  <c r="O9" i="110" s="1"/>
  <c r="M14" i="104"/>
  <c r="M9" i="103"/>
  <c r="M23" i="102"/>
  <c r="M28" i="102"/>
  <c r="M43" i="102"/>
  <c r="M13" i="100"/>
  <c r="K28" i="99"/>
  <c r="AG28" i="110"/>
  <c r="M14" i="110"/>
  <c r="F52" i="108"/>
  <c r="M18" i="107"/>
  <c r="M23" i="107" s="1"/>
  <c r="M25" i="108"/>
  <c r="O25" i="108" s="1"/>
  <c r="P25" i="108" s="1"/>
  <c r="M14" i="103"/>
  <c r="L65" i="102"/>
  <c r="K25" i="109"/>
  <c r="M12" i="101"/>
  <c r="O12" i="101" s="1"/>
  <c r="P12" i="101" s="1"/>
  <c r="M28" i="108"/>
  <c r="K65" i="108"/>
  <c r="AH11" i="106"/>
  <c r="AH21" i="106" s="1"/>
  <c r="M24" i="108"/>
  <c r="O25" i="110"/>
  <c r="P25" i="110" s="1"/>
  <c r="O23" i="110"/>
  <c r="P23" i="110" s="1"/>
  <c r="O12" i="107"/>
  <c r="P12" i="107" s="1"/>
  <c r="Q11" i="110"/>
  <c r="R11" i="110"/>
  <c r="O14" i="110"/>
  <c r="P14" i="110" s="1"/>
  <c r="O18" i="110"/>
  <c r="P18" i="110" s="1"/>
  <c r="O33" i="108"/>
  <c r="P33" i="108"/>
  <c r="O11" i="107"/>
  <c r="P11" i="107"/>
  <c r="O18" i="108"/>
  <c r="P18" i="108" s="1"/>
  <c r="O15" i="105"/>
  <c r="P15" i="105" s="1"/>
  <c r="O18" i="107"/>
  <c r="P18" i="107" s="1"/>
  <c r="O25" i="105"/>
  <c r="P25" i="105"/>
  <c r="Q19" i="105"/>
  <c r="S19" i="105" s="1"/>
  <c r="T19" i="105" s="1"/>
  <c r="V19" i="105" s="1"/>
  <c r="R19" i="105"/>
  <c r="R23" i="105"/>
  <c r="S23" i="105" s="1"/>
  <c r="Q23" i="105"/>
  <c r="Q20" i="106"/>
  <c r="R20" i="106"/>
  <c r="O10" i="105"/>
  <c r="P10" i="105" s="1"/>
  <c r="O28" i="108"/>
  <c r="P28" i="108" s="1"/>
  <c r="O35" i="108"/>
  <c r="P35" i="108" s="1"/>
  <c r="R39" i="108"/>
  <c r="Q39" i="108"/>
  <c r="O51" i="108"/>
  <c r="P51" i="108" s="1"/>
  <c r="Q21" i="105"/>
  <c r="S21" i="105" s="1"/>
  <c r="T21" i="105" s="1"/>
  <c r="V21" i="105" s="1"/>
  <c r="R21" i="105"/>
  <c r="O13" i="109"/>
  <c r="P13" i="109" s="1"/>
  <c r="P34" i="108"/>
  <c r="O34" i="108"/>
  <c r="O21" i="109"/>
  <c r="P21" i="109" s="1"/>
  <c r="O32" i="108"/>
  <c r="P32" i="108" s="1"/>
  <c r="O29" i="108"/>
  <c r="P29" i="108" s="1"/>
  <c r="O36" i="108"/>
  <c r="P36" i="108" s="1"/>
  <c r="O15" i="108"/>
  <c r="P15" i="108" s="1"/>
  <c r="O19" i="106"/>
  <c r="P19" i="106" s="1"/>
  <c r="P12" i="105"/>
  <c r="O12" i="105"/>
  <c r="O22" i="108"/>
  <c r="P22" i="108" s="1"/>
  <c r="P10" i="108"/>
  <c r="O10" i="108"/>
  <c r="O15" i="106"/>
  <c r="P15" i="106" s="1"/>
  <c r="O11" i="105"/>
  <c r="P11" i="105" s="1"/>
  <c r="R27" i="105"/>
  <c r="Q27" i="105"/>
  <c r="O14" i="105"/>
  <c r="P14" i="105" s="1"/>
  <c r="Q19" i="108"/>
  <c r="S19" i="108" s="1"/>
  <c r="R19" i="108"/>
  <c r="O24" i="108"/>
  <c r="P24" i="108" s="1"/>
  <c r="O12" i="106"/>
  <c r="P12" i="106" s="1"/>
  <c r="R18" i="105"/>
  <c r="Q18" i="105"/>
  <c r="P21" i="107"/>
  <c r="O21" i="107"/>
  <c r="R17" i="108"/>
  <c r="Q17" i="108"/>
  <c r="S17" i="108" s="1"/>
  <c r="Q10" i="106"/>
  <c r="R10" i="106"/>
  <c r="R24" i="109"/>
  <c r="Q24" i="109"/>
  <c r="O24" i="110"/>
  <c r="P24" i="110" s="1"/>
  <c r="O23" i="109"/>
  <c r="P23" i="109" s="1"/>
  <c r="R17" i="110"/>
  <c r="Q17" i="110"/>
  <c r="R13" i="110"/>
  <c r="Q13" i="110"/>
  <c r="O16" i="110"/>
  <c r="P16" i="110" s="1"/>
  <c r="O13" i="107"/>
  <c r="P13" i="107" s="1"/>
  <c r="O49" i="108"/>
  <c r="P49" i="108" s="1"/>
  <c r="O16" i="108"/>
  <c r="P16" i="108" s="1"/>
  <c r="Q22" i="107"/>
  <c r="R22" i="107"/>
  <c r="O13" i="106"/>
  <c r="P13" i="106" s="1"/>
  <c r="O20" i="107"/>
  <c r="P20" i="107" s="1"/>
  <c r="P20" i="105"/>
  <c r="O20" i="105"/>
  <c r="O20" i="110"/>
  <c r="P20" i="110" s="1"/>
  <c r="O47" i="108"/>
  <c r="P47" i="108" s="1"/>
  <c r="O12" i="108"/>
  <c r="P12" i="108" s="1"/>
  <c r="O16" i="105"/>
  <c r="P16" i="105"/>
  <c r="K28" i="105"/>
  <c r="O18" i="109"/>
  <c r="P18" i="109" s="1"/>
  <c r="R27" i="110"/>
  <c r="Q27" i="110"/>
  <c r="O22" i="109"/>
  <c r="P22" i="109" s="1"/>
  <c r="P16" i="109"/>
  <c r="O16" i="109"/>
  <c r="O17" i="109"/>
  <c r="P17" i="109"/>
  <c r="M9" i="109"/>
  <c r="AG52" i="108"/>
  <c r="O16" i="107"/>
  <c r="P16" i="107" s="1"/>
  <c r="S40" i="108"/>
  <c r="T40" i="108" s="1"/>
  <c r="V40" i="108" s="1"/>
  <c r="P15" i="107"/>
  <c r="O15" i="107"/>
  <c r="S41" i="108"/>
  <c r="T41" i="108" s="1"/>
  <c r="V41" i="108" s="1"/>
  <c r="AH23" i="107"/>
  <c r="L23" i="107"/>
  <c r="O24" i="105"/>
  <c r="P24" i="105"/>
  <c r="M13" i="105"/>
  <c r="P26" i="110"/>
  <c r="O26" i="110"/>
  <c r="O15" i="109"/>
  <c r="P15" i="109" s="1"/>
  <c r="AH13" i="110"/>
  <c r="AH28" i="110" s="1"/>
  <c r="O19" i="110"/>
  <c r="P19" i="110" s="1"/>
  <c r="E52" i="108"/>
  <c r="P44" i="108"/>
  <c r="O44" i="108"/>
  <c r="R45" i="108"/>
  <c r="Q45" i="108"/>
  <c r="O19" i="107"/>
  <c r="P19" i="107" s="1"/>
  <c r="R26" i="105"/>
  <c r="Q26" i="105"/>
  <c r="O14" i="106"/>
  <c r="P14" i="106" s="1"/>
  <c r="Q14" i="107"/>
  <c r="R14" i="107"/>
  <c r="O21" i="110"/>
  <c r="P21" i="110" s="1"/>
  <c r="F65" i="108"/>
  <c r="F67" i="108" s="1"/>
  <c r="M13" i="108"/>
  <c r="L13" i="108"/>
  <c r="M64" i="108"/>
  <c r="O9" i="108"/>
  <c r="P9" i="108" s="1"/>
  <c r="P21" i="108"/>
  <c r="O21" i="108"/>
  <c r="L64" i="108"/>
  <c r="Q38" i="108"/>
  <c r="R38" i="108"/>
  <c r="O30" i="108"/>
  <c r="P30" i="108" s="1"/>
  <c r="J65" i="108"/>
  <c r="J67" i="108" s="1"/>
  <c r="O37" i="108"/>
  <c r="P37" i="108" s="1"/>
  <c r="M14" i="108"/>
  <c r="O9" i="107"/>
  <c r="P9" i="107" s="1"/>
  <c r="P17" i="105"/>
  <c r="O17" i="105"/>
  <c r="O18" i="106"/>
  <c r="P18" i="106" s="1"/>
  <c r="AG28" i="105"/>
  <c r="O17" i="106"/>
  <c r="P17" i="106" s="1"/>
  <c r="O10" i="110"/>
  <c r="P10" i="110" s="1"/>
  <c r="O14" i="109"/>
  <c r="P14" i="109" s="1"/>
  <c r="Q19" i="109"/>
  <c r="S19" i="109" s="1"/>
  <c r="T19" i="109" s="1"/>
  <c r="V19" i="109" s="1"/>
  <c r="R19" i="109"/>
  <c r="L27" i="108"/>
  <c r="M27" i="108" s="1"/>
  <c r="O46" i="108"/>
  <c r="P46" i="108"/>
  <c r="O31" i="108"/>
  <c r="P31" i="108" s="1"/>
  <c r="O48" i="108"/>
  <c r="P48" i="108"/>
  <c r="O11" i="109"/>
  <c r="P11" i="109" s="1"/>
  <c r="O50" i="108"/>
  <c r="P50" i="108" s="1"/>
  <c r="O26" i="108"/>
  <c r="P26" i="108" s="1"/>
  <c r="O16" i="106"/>
  <c r="P16" i="106" s="1"/>
  <c r="O17" i="107"/>
  <c r="P17" i="107"/>
  <c r="O20" i="108"/>
  <c r="P20" i="108" s="1"/>
  <c r="K67" i="108"/>
  <c r="L9" i="106"/>
  <c r="L21" i="106" s="1"/>
  <c r="F21" i="106"/>
  <c r="F28" i="105"/>
  <c r="L9" i="105"/>
  <c r="L28" i="105" s="1"/>
  <c r="O22" i="110"/>
  <c r="P22" i="110" s="1"/>
  <c r="M12" i="110"/>
  <c r="O12" i="109"/>
  <c r="P12" i="109" s="1"/>
  <c r="M10" i="109"/>
  <c r="O15" i="110"/>
  <c r="P15" i="110" s="1"/>
  <c r="AH25" i="109"/>
  <c r="O20" i="109"/>
  <c r="P20" i="109" s="1"/>
  <c r="AG25" i="109"/>
  <c r="L25" i="109"/>
  <c r="O43" i="108"/>
  <c r="P43" i="108" s="1"/>
  <c r="O23" i="108"/>
  <c r="P23" i="108"/>
  <c r="M11" i="108"/>
  <c r="E65" i="108"/>
  <c r="E67" i="108" s="1"/>
  <c r="AH9" i="108"/>
  <c r="AH52" i="108" s="1"/>
  <c r="O22" i="105"/>
  <c r="P22" i="105" s="1"/>
  <c r="O11" i="106"/>
  <c r="P11" i="106" s="1"/>
  <c r="K52" i="108"/>
  <c r="K23" i="107"/>
  <c r="AH28" i="105"/>
  <c r="O25" i="104"/>
  <c r="P25" i="104" s="1"/>
  <c r="O22" i="104"/>
  <c r="P22" i="104" s="1"/>
  <c r="O14" i="103"/>
  <c r="P14" i="103" s="1"/>
  <c r="O50" i="102"/>
  <c r="P50" i="102"/>
  <c r="O37" i="102"/>
  <c r="P37" i="102" s="1"/>
  <c r="O17" i="101"/>
  <c r="P17" i="101"/>
  <c r="O20" i="102"/>
  <c r="O16" i="100"/>
  <c r="P16" i="100" s="1"/>
  <c r="O25" i="99"/>
  <c r="P25" i="99" s="1"/>
  <c r="O14" i="99"/>
  <c r="P14" i="99" s="1"/>
  <c r="O14" i="100"/>
  <c r="P14" i="100"/>
  <c r="O24" i="99"/>
  <c r="P24" i="99" s="1"/>
  <c r="Q18" i="104"/>
  <c r="R18" i="104"/>
  <c r="S18" i="104"/>
  <c r="O14" i="104"/>
  <c r="P14" i="104" s="1"/>
  <c r="Q35" i="102"/>
  <c r="S35" i="102" s="1"/>
  <c r="R35" i="102"/>
  <c r="O43" i="102"/>
  <c r="P43" i="102" s="1"/>
  <c r="O13" i="100"/>
  <c r="P13" i="100"/>
  <c r="Q11" i="100"/>
  <c r="S11" i="100" s="1"/>
  <c r="T11" i="100" s="1"/>
  <c r="V11" i="100" s="1"/>
  <c r="R11" i="100"/>
  <c r="R26" i="104"/>
  <c r="Q26" i="104"/>
  <c r="O21" i="104"/>
  <c r="P21" i="104" s="1"/>
  <c r="O15" i="103"/>
  <c r="P15" i="103" s="1"/>
  <c r="O18" i="103"/>
  <c r="P18" i="103" s="1"/>
  <c r="R45" i="102"/>
  <c r="Q45" i="102"/>
  <c r="O11" i="101"/>
  <c r="P11" i="101" s="1"/>
  <c r="Q33" i="102"/>
  <c r="R33" i="102"/>
  <c r="S33" i="102" s="1"/>
  <c r="O22" i="99"/>
  <c r="P22" i="99" s="1"/>
  <c r="O21" i="99"/>
  <c r="P21" i="99"/>
  <c r="O20" i="103"/>
  <c r="P20" i="103" s="1"/>
  <c r="R15" i="104"/>
  <c r="S15" i="104" s="1"/>
  <c r="Q15" i="104"/>
  <c r="R19" i="103"/>
  <c r="Q19" i="103"/>
  <c r="M25" i="103"/>
  <c r="P9" i="103"/>
  <c r="O9" i="103"/>
  <c r="O23" i="102"/>
  <c r="P23" i="102" s="1"/>
  <c r="S36" i="102"/>
  <c r="T36" i="102" s="1"/>
  <c r="V36" i="102" s="1"/>
  <c r="R36" i="102"/>
  <c r="Q36" i="102"/>
  <c r="O19" i="101"/>
  <c r="P19" i="101" s="1"/>
  <c r="Q41" i="102"/>
  <c r="R41" i="102"/>
  <c r="O12" i="99"/>
  <c r="P12" i="99" s="1"/>
  <c r="O16" i="104"/>
  <c r="P16" i="104" s="1"/>
  <c r="R19" i="104"/>
  <c r="Q19" i="104"/>
  <c r="O21" i="103"/>
  <c r="P21" i="103" s="1"/>
  <c r="P13" i="103"/>
  <c r="O13" i="103"/>
  <c r="O47" i="102"/>
  <c r="P47" i="102" s="1"/>
  <c r="O30" i="102"/>
  <c r="P30" i="102" s="1"/>
  <c r="P27" i="102"/>
  <c r="O27" i="102"/>
  <c r="O21" i="101"/>
  <c r="P21" i="101" s="1"/>
  <c r="O10" i="101"/>
  <c r="P10" i="101" s="1"/>
  <c r="O15" i="99"/>
  <c r="P15" i="99"/>
  <c r="O10" i="100"/>
  <c r="P10" i="100" s="1"/>
  <c r="O20" i="104"/>
  <c r="P20" i="104" s="1"/>
  <c r="O10" i="103"/>
  <c r="P10" i="103"/>
  <c r="O31" i="102"/>
  <c r="P31" i="102" s="1"/>
  <c r="AG25" i="103"/>
  <c r="O12" i="102"/>
  <c r="P12" i="102" s="1"/>
  <c r="O15" i="100"/>
  <c r="P15" i="100" s="1"/>
  <c r="P13" i="99"/>
  <c r="O13" i="99"/>
  <c r="M28" i="99"/>
  <c r="O9" i="99"/>
  <c r="AG28" i="99"/>
  <c r="O22" i="103"/>
  <c r="P22" i="103" s="1"/>
  <c r="L9" i="104"/>
  <c r="L28" i="104" s="1"/>
  <c r="F28" i="104"/>
  <c r="K28" i="104"/>
  <c r="L25" i="103"/>
  <c r="O32" i="102"/>
  <c r="P32" i="102" s="1"/>
  <c r="O25" i="102"/>
  <c r="P25" i="102" s="1"/>
  <c r="O19" i="102"/>
  <c r="P19" i="102" s="1"/>
  <c r="F66" i="102"/>
  <c r="M11" i="102"/>
  <c r="L11" i="102"/>
  <c r="L66" i="102" s="1"/>
  <c r="K11" i="102"/>
  <c r="K66" i="102" s="1"/>
  <c r="O11" i="103"/>
  <c r="P11" i="103"/>
  <c r="O22" i="102"/>
  <c r="P22" i="102" s="1"/>
  <c r="L23" i="101"/>
  <c r="AH20" i="101"/>
  <c r="AH23" i="101" s="1"/>
  <c r="O24" i="104"/>
  <c r="P24" i="104" s="1"/>
  <c r="Q24" i="103"/>
  <c r="S24" i="103" s="1"/>
  <c r="R24" i="103"/>
  <c r="O16" i="103"/>
  <c r="P16" i="103" s="1"/>
  <c r="O15" i="102"/>
  <c r="P15" i="102"/>
  <c r="O11" i="99"/>
  <c r="P11" i="99" s="1"/>
  <c r="Q18" i="99"/>
  <c r="S18" i="99" s="1"/>
  <c r="T18" i="99" s="1"/>
  <c r="V18" i="99" s="1"/>
  <c r="R18" i="99"/>
  <c r="O20" i="99"/>
  <c r="P20" i="99"/>
  <c r="O12" i="104"/>
  <c r="P12" i="104" s="1"/>
  <c r="O16" i="102"/>
  <c r="P16" i="102" s="1"/>
  <c r="P49" i="102"/>
  <c r="O49" i="102"/>
  <c r="O24" i="102"/>
  <c r="P24" i="102" s="1"/>
  <c r="M65" i="102"/>
  <c r="O13" i="102"/>
  <c r="P13" i="102" s="1"/>
  <c r="Q40" i="102"/>
  <c r="R40" i="102"/>
  <c r="S40" i="102" s="1"/>
  <c r="AG52" i="102"/>
  <c r="O20" i="101"/>
  <c r="P20" i="101" s="1"/>
  <c r="P16" i="101"/>
  <c r="O16" i="101"/>
  <c r="O9" i="101"/>
  <c r="AG21" i="100"/>
  <c r="P46" i="102"/>
  <c r="O46" i="102"/>
  <c r="Q44" i="102"/>
  <c r="R44" i="102"/>
  <c r="O13" i="101"/>
  <c r="P13" i="101" s="1"/>
  <c r="L21" i="100"/>
  <c r="T38" i="102"/>
  <c r="V38" i="102" s="1"/>
  <c r="O21" i="102"/>
  <c r="P21" i="102" s="1"/>
  <c r="P18" i="101"/>
  <c r="O18" i="101"/>
  <c r="O16" i="99"/>
  <c r="P16" i="99" s="1"/>
  <c r="O12" i="100"/>
  <c r="P12" i="100" s="1"/>
  <c r="Q22" i="101"/>
  <c r="R22" i="101"/>
  <c r="S27" i="99"/>
  <c r="T27" i="99" s="1"/>
  <c r="V27" i="99" s="1"/>
  <c r="R27" i="99"/>
  <c r="Q27" i="99"/>
  <c r="K21" i="100"/>
  <c r="O18" i="100"/>
  <c r="P18" i="100" s="1"/>
  <c r="O23" i="104"/>
  <c r="P23" i="104" s="1"/>
  <c r="O51" i="102"/>
  <c r="P51" i="102" s="1"/>
  <c r="K25" i="103"/>
  <c r="O34" i="102"/>
  <c r="P34" i="102" s="1"/>
  <c r="O48" i="102"/>
  <c r="P48" i="102" s="1"/>
  <c r="P29" i="102"/>
  <c r="O29" i="102"/>
  <c r="F52" i="102"/>
  <c r="F64" i="102"/>
  <c r="F67" i="102" s="1"/>
  <c r="L9" i="102"/>
  <c r="K9" i="102"/>
  <c r="M9" i="102" s="1"/>
  <c r="O26" i="102"/>
  <c r="P26" i="102" s="1"/>
  <c r="O14" i="102"/>
  <c r="P14" i="102" s="1"/>
  <c r="O17" i="100"/>
  <c r="P17" i="100"/>
  <c r="Q14" i="101"/>
  <c r="R14" i="101"/>
  <c r="O20" i="100"/>
  <c r="P20" i="100" s="1"/>
  <c r="O19" i="99"/>
  <c r="P19" i="99" s="1"/>
  <c r="O10" i="99"/>
  <c r="P10" i="99" s="1"/>
  <c r="O17" i="99"/>
  <c r="P17" i="99" s="1"/>
  <c r="R27" i="104"/>
  <c r="Q27" i="104"/>
  <c r="S27" i="104" s="1"/>
  <c r="O10" i="104"/>
  <c r="P10" i="104" s="1"/>
  <c r="O13" i="104"/>
  <c r="P13" i="104" s="1"/>
  <c r="AH28" i="104"/>
  <c r="AG28" i="104"/>
  <c r="O17" i="103"/>
  <c r="P17" i="103" s="1"/>
  <c r="R12" i="103"/>
  <c r="Q12" i="103"/>
  <c r="AH52" i="102"/>
  <c r="O11" i="104"/>
  <c r="P11" i="104" s="1"/>
  <c r="P23" i="103"/>
  <c r="O23" i="103"/>
  <c r="Q39" i="102"/>
  <c r="R39" i="102"/>
  <c r="J65" i="102"/>
  <c r="J67" i="102" s="1"/>
  <c r="J52" i="102"/>
  <c r="O18" i="102"/>
  <c r="P18" i="102" s="1"/>
  <c r="AH9" i="103"/>
  <c r="AH25" i="103" s="1"/>
  <c r="K23" i="101"/>
  <c r="M9" i="100"/>
  <c r="O15" i="101"/>
  <c r="P15" i="101" s="1"/>
  <c r="O19" i="100"/>
  <c r="P19" i="100" s="1"/>
  <c r="O17" i="102"/>
  <c r="P17" i="102" s="1"/>
  <c r="M10" i="102"/>
  <c r="AH9" i="100"/>
  <c r="AH21" i="100" s="1"/>
  <c r="O23" i="99"/>
  <c r="P23" i="99" s="1"/>
  <c r="L28" i="99"/>
  <c r="AH9" i="99"/>
  <c r="AH28" i="99" s="1"/>
  <c r="S26" i="99"/>
  <c r="T26" i="99" s="1"/>
  <c r="V26" i="99" s="1"/>
  <c r="AL13" i="80"/>
  <c r="AL15" i="80"/>
  <c r="AL11" i="80"/>
  <c r="AL10" i="80"/>
  <c r="AL9" i="80"/>
  <c r="K10" i="80"/>
  <c r="AO10" i="81"/>
  <c r="AO9" i="81"/>
  <c r="AO43" i="84"/>
  <c r="AO34" i="84"/>
  <c r="AO32" i="84"/>
  <c r="AO29" i="84"/>
  <c r="AO28" i="84"/>
  <c r="AO21" i="84"/>
  <c r="AO20" i="84"/>
  <c r="AO16" i="84"/>
  <c r="AO15" i="84"/>
  <c r="AO14" i="84"/>
  <c r="AO12" i="84"/>
  <c r="AO10" i="84"/>
  <c r="AO11" i="84"/>
  <c r="AO9" i="84"/>
  <c r="AO14" i="86"/>
  <c r="AO10" i="86"/>
  <c r="AO9" i="86"/>
  <c r="AO11" i="85"/>
  <c r="AO10" i="85"/>
  <c r="AO9" i="85"/>
  <c r="Q17" i="104" l="1"/>
  <c r="R17" i="104"/>
  <c r="T10" i="106"/>
  <c r="V10" i="106" s="1"/>
  <c r="AK10" i="106" s="1"/>
  <c r="S39" i="102"/>
  <c r="S44" i="102"/>
  <c r="T44" i="102" s="1"/>
  <c r="V44" i="102" s="1"/>
  <c r="T18" i="104"/>
  <c r="V18" i="104" s="1"/>
  <c r="W18" i="104" s="1"/>
  <c r="Q10" i="107"/>
  <c r="T19" i="108"/>
  <c r="V19" i="108" s="1"/>
  <c r="M23" i="101"/>
  <c r="S19" i="104"/>
  <c r="T19" i="104" s="1"/>
  <c r="V19" i="104" s="1"/>
  <c r="W19" i="104" s="1"/>
  <c r="O28" i="102"/>
  <c r="P28" i="102" s="1"/>
  <c r="P9" i="110"/>
  <c r="S20" i="106"/>
  <c r="T20" i="106" s="1"/>
  <c r="V20" i="106" s="1"/>
  <c r="O23" i="101"/>
  <c r="T26" i="105"/>
  <c r="V26" i="105" s="1"/>
  <c r="W26" i="105" s="1"/>
  <c r="T27" i="104"/>
  <c r="V27" i="104" s="1"/>
  <c r="T24" i="103"/>
  <c r="V24" i="103" s="1"/>
  <c r="T15" i="104"/>
  <c r="V15" i="104" s="1"/>
  <c r="W15" i="104" s="1"/>
  <c r="T35" i="102"/>
  <c r="V35" i="102" s="1"/>
  <c r="AK35" i="102" s="1"/>
  <c r="AL35" i="102" s="1"/>
  <c r="S26" i="105"/>
  <c r="S10" i="106"/>
  <c r="T23" i="105"/>
  <c r="V23" i="105" s="1"/>
  <c r="AM23" i="105" s="1"/>
  <c r="S11" i="110"/>
  <c r="T11" i="110" s="1"/>
  <c r="V11" i="110" s="1"/>
  <c r="AK11" i="110" s="1"/>
  <c r="AL11" i="110" s="1"/>
  <c r="P64" i="108"/>
  <c r="R9" i="108"/>
  <c r="Q9" i="108"/>
  <c r="R19" i="107"/>
  <c r="Q19" i="107"/>
  <c r="AI10" i="106"/>
  <c r="R24" i="108"/>
  <c r="Q24" i="108"/>
  <c r="R10" i="105"/>
  <c r="Q10" i="105"/>
  <c r="S10" i="105" s="1"/>
  <c r="R12" i="109"/>
  <c r="Q12" i="109"/>
  <c r="Q11" i="109"/>
  <c r="R11" i="109"/>
  <c r="R47" i="108"/>
  <c r="Q47" i="108"/>
  <c r="R13" i="107"/>
  <c r="S13" i="107" s="1"/>
  <c r="Q13" i="107"/>
  <c r="R12" i="106"/>
  <c r="Q12" i="106"/>
  <c r="S12" i="106" s="1"/>
  <c r="T12" i="106" s="1"/>
  <c r="V12" i="106" s="1"/>
  <c r="AK23" i="105"/>
  <c r="W23" i="105"/>
  <c r="AJ19" i="105"/>
  <c r="AM19" i="105"/>
  <c r="AI19" i="105"/>
  <c r="AK19" i="105"/>
  <c r="W19" i="105"/>
  <c r="Q18" i="108"/>
  <c r="R18" i="108"/>
  <c r="Q14" i="106"/>
  <c r="S14" i="106" s="1"/>
  <c r="R14" i="106"/>
  <c r="R20" i="107"/>
  <c r="Q20" i="107"/>
  <c r="R24" i="110"/>
  <c r="Q24" i="110"/>
  <c r="S24" i="110" s="1"/>
  <c r="T24" i="110" s="1"/>
  <c r="V24" i="110" s="1"/>
  <c r="W24" i="110" s="1"/>
  <c r="S11" i="105"/>
  <c r="R11" i="105"/>
  <c r="Q11" i="105"/>
  <c r="Q18" i="110"/>
  <c r="R18" i="110"/>
  <c r="R11" i="106"/>
  <c r="S11" i="106" s="1"/>
  <c r="Q11" i="106"/>
  <c r="R26" i="108"/>
  <c r="Q26" i="108"/>
  <c r="S26" i="108" s="1"/>
  <c r="R14" i="109"/>
  <c r="S14" i="109" s="1"/>
  <c r="Q14" i="109"/>
  <c r="R21" i="110"/>
  <c r="Q21" i="110"/>
  <c r="AK26" i="105"/>
  <c r="AM26" i="105"/>
  <c r="Q16" i="107"/>
  <c r="R16" i="107"/>
  <c r="S16" i="107"/>
  <c r="Q13" i="106"/>
  <c r="R13" i="106"/>
  <c r="W19" i="108"/>
  <c r="AI19" i="108"/>
  <c r="AK19" i="108"/>
  <c r="AL19" i="108" s="1"/>
  <c r="R19" i="106"/>
  <c r="Q19" i="106"/>
  <c r="S19" i="106" s="1"/>
  <c r="R35" i="108"/>
  <c r="Q35" i="108"/>
  <c r="R14" i="110"/>
  <c r="Q14" i="110"/>
  <c r="S14" i="110"/>
  <c r="T14" i="110" s="1"/>
  <c r="V14" i="110" s="1"/>
  <c r="R23" i="110"/>
  <c r="Q23" i="110"/>
  <c r="AK19" i="109"/>
  <c r="W19" i="109"/>
  <c r="W40" i="108"/>
  <c r="AK40" i="108"/>
  <c r="AL40" i="108" s="1"/>
  <c r="AI40" i="108"/>
  <c r="Q16" i="108"/>
  <c r="R16" i="108"/>
  <c r="AM21" i="105"/>
  <c r="AI21" i="105"/>
  <c r="AJ21" i="105"/>
  <c r="AK21" i="105"/>
  <c r="W21" i="105"/>
  <c r="T39" i="108"/>
  <c r="V39" i="108" s="1"/>
  <c r="Q18" i="107"/>
  <c r="R18" i="107"/>
  <c r="Q12" i="107"/>
  <c r="R12" i="107"/>
  <c r="R20" i="109"/>
  <c r="Q20" i="109"/>
  <c r="S20" i="109"/>
  <c r="R50" i="108"/>
  <c r="Q50" i="108"/>
  <c r="O27" i="108"/>
  <c r="P27" i="108" s="1"/>
  <c r="M52" i="108"/>
  <c r="Q10" i="110"/>
  <c r="R10" i="110"/>
  <c r="R18" i="106"/>
  <c r="Q18" i="106"/>
  <c r="S18" i="106" s="1"/>
  <c r="R19" i="110"/>
  <c r="Q19" i="110"/>
  <c r="Q12" i="108"/>
  <c r="R12" i="108"/>
  <c r="Q21" i="109"/>
  <c r="R21" i="109"/>
  <c r="AK20" i="106"/>
  <c r="AL20" i="106" s="1"/>
  <c r="W20" i="106"/>
  <c r="AI20" i="106"/>
  <c r="Q25" i="108"/>
  <c r="R25" i="108"/>
  <c r="R15" i="105"/>
  <c r="Q15" i="105"/>
  <c r="R25" i="110"/>
  <c r="Q25" i="110"/>
  <c r="S25" i="110" s="1"/>
  <c r="T25" i="110" s="1"/>
  <c r="V25" i="110" s="1"/>
  <c r="W25" i="110" s="1"/>
  <c r="Q37" i="108"/>
  <c r="R37" i="108"/>
  <c r="Q15" i="107"/>
  <c r="R15" i="107"/>
  <c r="R22" i="109"/>
  <c r="Q22" i="109"/>
  <c r="S22" i="109"/>
  <c r="R23" i="109"/>
  <c r="Q23" i="109"/>
  <c r="R12" i="105"/>
  <c r="Q12" i="105"/>
  <c r="S12" i="105" s="1"/>
  <c r="T12" i="105" s="1"/>
  <c r="V12" i="105" s="1"/>
  <c r="R13" i="109"/>
  <c r="Q13" i="109"/>
  <c r="T13" i="109" s="1"/>
  <c r="V13" i="109" s="1"/>
  <c r="S13" i="109"/>
  <c r="M9" i="106"/>
  <c r="P23" i="107"/>
  <c r="Q9" i="107"/>
  <c r="R9" i="107"/>
  <c r="L65" i="108"/>
  <c r="L67" i="108" s="1"/>
  <c r="S14" i="107"/>
  <c r="T14" i="107" s="1"/>
  <c r="V14" i="107" s="1"/>
  <c r="O13" i="105"/>
  <c r="P13" i="105" s="1"/>
  <c r="O9" i="109"/>
  <c r="M25" i="109"/>
  <c r="S27" i="110"/>
  <c r="T27" i="110" s="1"/>
  <c r="V27" i="110" s="1"/>
  <c r="S22" i="107"/>
  <c r="T22" i="107" s="1"/>
  <c r="V22" i="107" s="1"/>
  <c r="S13" i="110"/>
  <c r="T13" i="110" s="1"/>
  <c r="V13" i="110" s="1"/>
  <c r="S17" i="110"/>
  <c r="T17" i="110" s="1"/>
  <c r="V17" i="110" s="1"/>
  <c r="S24" i="109"/>
  <c r="T24" i="109" s="1"/>
  <c r="V24" i="109" s="1"/>
  <c r="S18" i="105"/>
  <c r="T18" i="105" s="1"/>
  <c r="V18" i="105" s="1"/>
  <c r="S27" i="105"/>
  <c r="T27" i="105" s="1"/>
  <c r="V27" i="105" s="1"/>
  <c r="S39" i="108"/>
  <c r="R23" i="108"/>
  <c r="Q23" i="108"/>
  <c r="S23" i="108" s="1"/>
  <c r="T23" i="108" s="1"/>
  <c r="V23" i="108" s="1"/>
  <c r="Q20" i="108"/>
  <c r="R20" i="108"/>
  <c r="S20" i="108" s="1"/>
  <c r="S48" i="108"/>
  <c r="R48" i="108"/>
  <c r="Q48" i="108"/>
  <c r="T48" i="108" s="1"/>
  <c r="V48" i="108" s="1"/>
  <c r="R21" i="108"/>
  <c r="S21" i="108" s="1"/>
  <c r="T21" i="108" s="1"/>
  <c r="V21" i="108" s="1"/>
  <c r="Q21" i="108"/>
  <c r="R44" i="108"/>
  <c r="Q44" i="108"/>
  <c r="S44" i="108" s="1"/>
  <c r="T44" i="108" s="1"/>
  <c r="V44" i="108" s="1"/>
  <c r="R29" i="108"/>
  <c r="Q29" i="108"/>
  <c r="S29" i="108" s="1"/>
  <c r="T29" i="108" s="1"/>
  <c r="V29" i="108" s="1"/>
  <c r="AI41" i="108"/>
  <c r="AK41" i="108"/>
  <c r="AL41" i="108" s="1"/>
  <c r="W41" i="108"/>
  <c r="R15" i="110"/>
  <c r="Q15" i="110"/>
  <c r="R17" i="107"/>
  <c r="Q17" i="107"/>
  <c r="S17" i="107"/>
  <c r="R31" i="108"/>
  <c r="Q31" i="108"/>
  <c r="Q17" i="105"/>
  <c r="R17" i="105"/>
  <c r="S17" i="105" s="1"/>
  <c r="T17" i="105" s="1"/>
  <c r="V17" i="105" s="1"/>
  <c r="O14" i="108"/>
  <c r="P14" i="108" s="1"/>
  <c r="S38" i="108"/>
  <c r="T38" i="108" s="1"/>
  <c r="V38" i="108" s="1"/>
  <c r="L52" i="108"/>
  <c r="O64" i="108"/>
  <c r="M65" i="108"/>
  <c r="O13" i="108"/>
  <c r="P13" i="108"/>
  <c r="S45" i="108"/>
  <c r="T45" i="108" s="1"/>
  <c r="V45" i="108" s="1"/>
  <c r="R15" i="109"/>
  <c r="Q15" i="109"/>
  <c r="S24" i="105"/>
  <c r="T24" i="105" s="1"/>
  <c r="V24" i="105" s="1"/>
  <c r="R24" i="105"/>
  <c r="Q24" i="105"/>
  <c r="Q17" i="109"/>
  <c r="R17" i="109"/>
  <c r="R16" i="109"/>
  <c r="Q16" i="109"/>
  <c r="S16" i="109" s="1"/>
  <c r="T16" i="109" s="1"/>
  <c r="V16" i="109" s="1"/>
  <c r="R18" i="109"/>
  <c r="Q18" i="109"/>
  <c r="S18" i="109" s="1"/>
  <c r="T18" i="109" s="1"/>
  <c r="V18" i="109" s="1"/>
  <c r="Q20" i="105"/>
  <c r="R20" i="105"/>
  <c r="Q49" i="108"/>
  <c r="R49" i="108"/>
  <c r="R16" i="110"/>
  <c r="Q16" i="110"/>
  <c r="S16" i="110"/>
  <c r="T16" i="110" s="1"/>
  <c r="V16" i="110" s="1"/>
  <c r="T17" i="108"/>
  <c r="V17" i="108" s="1"/>
  <c r="R14" i="105"/>
  <c r="Q14" i="105"/>
  <c r="Q15" i="106"/>
  <c r="R15" i="106"/>
  <c r="Q22" i="108"/>
  <c r="R22" i="108"/>
  <c r="S22" i="108"/>
  <c r="R36" i="108"/>
  <c r="Q36" i="108"/>
  <c r="R32" i="108"/>
  <c r="Q32" i="108"/>
  <c r="R34" i="108"/>
  <c r="Q34" i="108"/>
  <c r="R51" i="108"/>
  <c r="Q51" i="108"/>
  <c r="Q28" i="108"/>
  <c r="S28" i="108" s="1"/>
  <c r="T28" i="108" s="1"/>
  <c r="V28" i="108" s="1"/>
  <c r="R28" i="108"/>
  <c r="R11" i="107"/>
  <c r="Q11" i="107"/>
  <c r="R22" i="110"/>
  <c r="Q22" i="110"/>
  <c r="Q16" i="106"/>
  <c r="R16" i="106"/>
  <c r="Q46" i="108"/>
  <c r="R46" i="108"/>
  <c r="S46" i="108" s="1"/>
  <c r="T46" i="108" s="1"/>
  <c r="V46" i="108" s="1"/>
  <c r="Q17" i="106"/>
  <c r="R17" i="106"/>
  <c r="S17" i="106" s="1"/>
  <c r="R30" i="108"/>
  <c r="Q30" i="108"/>
  <c r="S30" i="108" s="1"/>
  <c r="T30" i="108" s="1"/>
  <c r="V30" i="108" s="1"/>
  <c r="R26" i="110"/>
  <c r="Q26" i="110"/>
  <c r="Q9" i="110"/>
  <c r="R9" i="110"/>
  <c r="R16" i="105"/>
  <c r="Q16" i="105"/>
  <c r="R20" i="110"/>
  <c r="S20" i="110" s="1"/>
  <c r="T20" i="110" s="1"/>
  <c r="V20" i="110" s="1"/>
  <c r="Q20" i="110"/>
  <c r="Q21" i="107"/>
  <c r="R21" i="107"/>
  <c r="S10" i="108"/>
  <c r="T10" i="108" s="1"/>
  <c r="V10" i="108" s="1"/>
  <c r="Q10" i="108"/>
  <c r="R10" i="108"/>
  <c r="R15" i="108"/>
  <c r="Q15" i="108"/>
  <c r="S15" i="108" s="1"/>
  <c r="R25" i="105"/>
  <c r="Q25" i="105"/>
  <c r="S25" i="105" s="1"/>
  <c r="R33" i="108"/>
  <c r="Q33" i="108"/>
  <c r="R22" i="105"/>
  <c r="Q22" i="105"/>
  <c r="R43" i="108"/>
  <c r="Q43" i="108"/>
  <c r="O12" i="110"/>
  <c r="P12" i="110" s="1"/>
  <c r="M66" i="108"/>
  <c r="M67" i="108" s="1"/>
  <c r="O11" i="108"/>
  <c r="O66" i="108" s="1"/>
  <c r="P11" i="108"/>
  <c r="O10" i="109"/>
  <c r="P10" i="109" s="1"/>
  <c r="M9" i="105"/>
  <c r="O23" i="107"/>
  <c r="M28" i="110"/>
  <c r="Q17" i="102"/>
  <c r="R17" i="102"/>
  <c r="S17" i="102" s="1"/>
  <c r="T17" i="102" s="1"/>
  <c r="V17" i="102" s="1"/>
  <c r="R19" i="102"/>
  <c r="Q19" i="102"/>
  <c r="S19" i="102" s="1"/>
  <c r="R16" i="100"/>
  <c r="Q16" i="100"/>
  <c r="AK26" i="99"/>
  <c r="W26" i="99"/>
  <c r="AJ26" i="99"/>
  <c r="AM26" i="99"/>
  <c r="AI26" i="99"/>
  <c r="R19" i="100"/>
  <c r="Q19" i="100"/>
  <c r="S19" i="100" s="1"/>
  <c r="W27" i="104"/>
  <c r="AK27" i="104"/>
  <c r="AL27" i="104" s="1"/>
  <c r="AI27" i="104"/>
  <c r="R23" i="104"/>
  <c r="Q23" i="104"/>
  <c r="S23" i="104" s="1"/>
  <c r="T23" i="104" s="1"/>
  <c r="V23" i="104" s="1"/>
  <c r="Q12" i="100"/>
  <c r="S12" i="100" s="1"/>
  <c r="R12" i="100"/>
  <c r="R13" i="101"/>
  <c r="Q13" i="101"/>
  <c r="S13" i="101" s="1"/>
  <c r="T13" i="101" s="1"/>
  <c r="V13" i="101" s="1"/>
  <c r="R12" i="104"/>
  <c r="Q12" i="104"/>
  <c r="Q12" i="101"/>
  <c r="R12" i="101"/>
  <c r="AI24" i="103"/>
  <c r="AK24" i="103"/>
  <c r="W24" i="103"/>
  <c r="Q25" i="102"/>
  <c r="S25" i="102" s="1"/>
  <c r="R25" i="102"/>
  <c r="R20" i="104"/>
  <c r="Q20" i="104"/>
  <c r="S20" i="104" s="1"/>
  <c r="T20" i="104" s="1"/>
  <c r="V20" i="104" s="1"/>
  <c r="R10" i="101"/>
  <c r="Q10" i="101"/>
  <c r="S10" i="101" s="1"/>
  <c r="AI15" i="104"/>
  <c r="AK15" i="104"/>
  <c r="AL15" i="104" s="1"/>
  <c r="R15" i="103"/>
  <c r="Q15" i="103"/>
  <c r="S15" i="103" s="1"/>
  <c r="T15" i="103" s="1"/>
  <c r="V15" i="103" s="1"/>
  <c r="AI35" i="102"/>
  <c r="R14" i="103"/>
  <c r="Q14" i="103"/>
  <c r="S14" i="103" s="1"/>
  <c r="AI19" i="104"/>
  <c r="R13" i="104"/>
  <c r="Q13" i="104"/>
  <c r="R48" i="102"/>
  <c r="Q48" i="102"/>
  <c r="AK27" i="99"/>
  <c r="W27" i="99"/>
  <c r="AM27" i="99"/>
  <c r="AI27" i="99"/>
  <c r="AJ27" i="99"/>
  <c r="R21" i="102"/>
  <c r="Q21" i="102"/>
  <c r="S21" i="102" s="1"/>
  <c r="Q32" i="102"/>
  <c r="R32" i="102"/>
  <c r="Q15" i="100"/>
  <c r="R15" i="100"/>
  <c r="Q31" i="102"/>
  <c r="R31" i="102"/>
  <c r="Q10" i="100"/>
  <c r="R10" i="100"/>
  <c r="R16" i="104"/>
  <c r="Q16" i="104"/>
  <c r="S16" i="104" s="1"/>
  <c r="T16" i="104" s="1"/>
  <c r="V16" i="104" s="1"/>
  <c r="W36" i="102"/>
  <c r="AI36" i="102"/>
  <c r="AK36" i="102"/>
  <c r="AL36" i="102" s="1"/>
  <c r="R21" i="104"/>
  <c r="Q21" i="104"/>
  <c r="W11" i="100"/>
  <c r="AI11" i="100"/>
  <c r="AK11" i="100"/>
  <c r="AL11" i="100" s="1"/>
  <c r="R22" i="104"/>
  <c r="Q22" i="104"/>
  <c r="Q14" i="102"/>
  <c r="R14" i="102"/>
  <c r="S14" i="102" s="1"/>
  <c r="Q11" i="99"/>
  <c r="R11" i="99"/>
  <c r="Q16" i="103"/>
  <c r="R16" i="103"/>
  <c r="R47" i="102"/>
  <c r="Q47" i="102"/>
  <c r="S47" i="102"/>
  <c r="Q18" i="103"/>
  <c r="R18" i="103"/>
  <c r="Q15" i="101"/>
  <c r="R15" i="101"/>
  <c r="S15" i="101" s="1"/>
  <c r="T15" i="101" s="1"/>
  <c r="V15" i="101" s="1"/>
  <c r="Q19" i="99"/>
  <c r="R19" i="99"/>
  <c r="Q51" i="102"/>
  <c r="S51" i="102"/>
  <c r="T51" i="102" s="1"/>
  <c r="V51" i="102" s="1"/>
  <c r="R51" i="102"/>
  <c r="R18" i="100"/>
  <c r="Q18" i="100"/>
  <c r="Q17" i="103"/>
  <c r="R17" i="103"/>
  <c r="Q10" i="104"/>
  <c r="R10" i="104"/>
  <c r="Q17" i="99"/>
  <c r="R17" i="99"/>
  <c r="R20" i="100"/>
  <c r="Q20" i="100"/>
  <c r="S20" i="100" s="1"/>
  <c r="T20" i="100" s="1"/>
  <c r="V20" i="100" s="1"/>
  <c r="AI44" i="102"/>
  <c r="AK44" i="102"/>
  <c r="AL44" i="102" s="1"/>
  <c r="W44" i="102"/>
  <c r="T40" i="102"/>
  <c r="V40" i="102" s="1"/>
  <c r="R30" i="102"/>
  <c r="S30" i="102" s="1"/>
  <c r="Q30" i="102"/>
  <c r="R21" i="103"/>
  <c r="Q21" i="103"/>
  <c r="R19" i="101"/>
  <c r="S19" i="101" s="1"/>
  <c r="Q19" i="101"/>
  <c r="R23" i="102"/>
  <c r="T23" i="102" s="1"/>
  <c r="V23" i="102" s="1"/>
  <c r="Q23" i="102"/>
  <c r="S23" i="102" s="1"/>
  <c r="T33" i="102"/>
  <c r="V33" i="102" s="1"/>
  <c r="AK18" i="104"/>
  <c r="AL18" i="104" s="1"/>
  <c r="AI18" i="104"/>
  <c r="Q25" i="99"/>
  <c r="R25" i="99"/>
  <c r="S25" i="99"/>
  <c r="R25" i="104"/>
  <c r="Q25" i="104"/>
  <c r="S25" i="104"/>
  <c r="T25" i="104" s="1"/>
  <c r="V25" i="104" s="1"/>
  <c r="W25" i="104" s="1"/>
  <c r="M21" i="100"/>
  <c r="O9" i="100"/>
  <c r="O21" i="100" s="1"/>
  <c r="P9" i="100"/>
  <c r="Q23" i="103"/>
  <c r="R23" i="103"/>
  <c r="S23" i="103" s="1"/>
  <c r="T23" i="103" s="1"/>
  <c r="V23" i="103" s="1"/>
  <c r="R26" i="102"/>
  <c r="Q26" i="102"/>
  <c r="Q29" i="102"/>
  <c r="S29" i="102" s="1"/>
  <c r="R29" i="102"/>
  <c r="R13" i="102"/>
  <c r="Q13" i="102"/>
  <c r="S13" i="102" s="1"/>
  <c r="R16" i="102"/>
  <c r="Q16" i="102"/>
  <c r="R20" i="99"/>
  <c r="Q20" i="99"/>
  <c r="R11" i="103"/>
  <c r="Q11" i="103"/>
  <c r="S11" i="103" s="1"/>
  <c r="T11" i="103" s="1"/>
  <c r="V11" i="103" s="1"/>
  <c r="M66" i="102"/>
  <c r="O11" i="102"/>
  <c r="O66" i="102" s="1"/>
  <c r="O28" i="99"/>
  <c r="Q13" i="99"/>
  <c r="R13" i="99"/>
  <c r="R12" i="102"/>
  <c r="Q12" i="102"/>
  <c r="S12" i="102"/>
  <c r="T12" i="102" s="1"/>
  <c r="V12" i="102" s="1"/>
  <c r="R10" i="103"/>
  <c r="Q10" i="103"/>
  <c r="R21" i="101"/>
  <c r="Q21" i="101"/>
  <c r="S21" i="101"/>
  <c r="T21" i="101" s="1"/>
  <c r="V21" i="101" s="1"/>
  <c r="R13" i="103"/>
  <c r="Q13" i="103"/>
  <c r="S13" i="103" s="1"/>
  <c r="T13" i="103" s="1"/>
  <c r="V13" i="103" s="1"/>
  <c r="P25" i="103"/>
  <c r="R9" i="103"/>
  <c r="Q9" i="103"/>
  <c r="R21" i="99"/>
  <c r="Q21" i="99"/>
  <c r="S21" i="99" s="1"/>
  <c r="T21" i="99" s="1"/>
  <c r="V21" i="99" s="1"/>
  <c r="R11" i="101"/>
  <c r="Q11" i="101"/>
  <c r="R13" i="100"/>
  <c r="Q13" i="100"/>
  <c r="S13" i="100" s="1"/>
  <c r="R24" i="99"/>
  <c r="Q24" i="99"/>
  <c r="R14" i="99"/>
  <c r="Q14" i="99"/>
  <c r="S14" i="99" s="1"/>
  <c r="T14" i="99" s="1"/>
  <c r="V14" i="99" s="1"/>
  <c r="R17" i="101"/>
  <c r="Q17" i="101"/>
  <c r="R50" i="102"/>
  <c r="Q50" i="102"/>
  <c r="S50" i="102" s="1"/>
  <c r="O10" i="102"/>
  <c r="P10" i="102" s="1"/>
  <c r="T39" i="102"/>
  <c r="V39" i="102" s="1"/>
  <c r="S14" i="101"/>
  <c r="T14" i="101" s="1"/>
  <c r="V14" i="101" s="1"/>
  <c r="W38" i="102"/>
  <c r="AK38" i="102"/>
  <c r="AL38" i="102" s="1"/>
  <c r="AI38" i="102"/>
  <c r="P9" i="99"/>
  <c r="S41" i="102"/>
  <c r="T41" i="102" s="1"/>
  <c r="V41" i="102" s="1"/>
  <c r="S19" i="103"/>
  <c r="T19" i="103" s="1"/>
  <c r="V19" i="103" s="1"/>
  <c r="S45" i="102"/>
  <c r="T45" i="102" s="1"/>
  <c r="V45" i="102" s="1"/>
  <c r="Q27" i="102"/>
  <c r="R27" i="102"/>
  <c r="Q12" i="99"/>
  <c r="R12" i="99"/>
  <c r="R20" i="103"/>
  <c r="Q20" i="103"/>
  <c r="S20" i="103" s="1"/>
  <c r="T20" i="103" s="1"/>
  <c r="V20" i="103" s="1"/>
  <c r="R22" i="99"/>
  <c r="Q22" i="99"/>
  <c r="S22" i="99"/>
  <c r="T22" i="99" s="1"/>
  <c r="V22" i="99" s="1"/>
  <c r="S26" i="104"/>
  <c r="T26" i="104" s="1"/>
  <c r="V26" i="104" s="1"/>
  <c r="R43" i="102"/>
  <c r="Q43" i="102"/>
  <c r="R14" i="104"/>
  <c r="Q14" i="104"/>
  <c r="R14" i="100"/>
  <c r="S14" i="100"/>
  <c r="T14" i="100" s="1"/>
  <c r="V14" i="100" s="1"/>
  <c r="Q14" i="100"/>
  <c r="R20" i="102"/>
  <c r="S20" i="102"/>
  <c r="T20" i="102" s="1"/>
  <c r="V20" i="102" s="1"/>
  <c r="Q20" i="102"/>
  <c r="R37" i="102"/>
  <c r="Q37" i="102"/>
  <c r="R18" i="102"/>
  <c r="Q18" i="102"/>
  <c r="R17" i="100"/>
  <c r="Q17" i="100"/>
  <c r="S17" i="100" s="1"/>
  <c r="M64" i="102"/>
  <c r="M52" i="102"/>
  <c r="O9" i="102"/>
  <c r="Q34" i="102"/>
  <c r="S34" i="102" s="1"/>
  <c r="T34" i="102" s="1"/>
  <c r="V34" i="102" s="1"/>
  <c r="R34" i="102"/>
  <c r="Q16" i="99"/>
  <c r="R16" i="99"/>
  <c r="R16" i="101"/>
  <c r="Q16" i="101"/>
  <c r="Q24" i="102"/>
  <c r="R24" i="102"/>
  <c r="AJ18" i="99"/>
  <c r="AM18" i="99"/>
  <c r="AI18" i="99"/>
  <c r="AK18" i="99"/>
  <c r="W18" i="99"/>
  <c r="R23" i="99"/>
  <c r="Q23" i="99"/>
  <c r="Q11" i="104"/>
  <c r="S11" i="104" s="1"/>
  <c r="R11" i="104"/>
  <c r="S12" i="103"/>
  <c r="T12" i="103" s="1"/>
  <c r="V12" i="103" s="1"/>
  <c r="R10" i="99"/>
  <c r="Q10" i="99"/>
  <c r="K52" i="102"/>
  <c r="K64" i="102"/>
  <c r="K67" i="102" s="1"/>
  <c r="S17" i="104"/>
  <c r="T17" i="104" s="1"/>
  <c r="V17" i="104" s="1"/>
  <c r="S22" i="101"/>
  <c r="T22" i="101" s="1"/>
  <c r="V22" i="101" s="1"/>
  <c r="Q18" i="101"/>
  <c r="R18" i="101"/>
  <c r="Q46" i="102"/>
  <c r="R46" i="102"/>
  <c r="P9" i="101"/>
  <c r="R20" i="101"/>
  <c r="Q20" i="101"/>
  <c r="R49" i="102"/>
  <c r="Q49" i="102"/>
  <c r="Q15" i="102"/>
  <c r="S15" i="102" s="1"/>
  <c r="T15" i="102" s="1"/>
  <c r="V15" i="102" s="1"/>
  <c r="R15" i="102"/>
  <c r="R24" i="104"/>
  <c r="Q24" i="104"/>
  <c r="S24" i="104" s="1"/>
  <c r="R22" i="102"/>
  <c r="Q22" i="102"/>
  <c r="M9" i="104"/>
  <c r="Q22" i="103"/>
  <c r="S22" i="103" s="1"/>
  <c r="R22" i="103"/>
  <c r="R15" i="99"/>
  <c r="Q15" i="99"/>
  <c r="L52" i="102"/>
  <c r="L64" i="102"/>
  <c r="L67" i="102" s="1"/>
  <c r="O25" i="103"/>
  <c r="Q28" i="102" l="1"/>
  <c r="P65" i="102"/>
  <c r="R28" i="102"/>
  <c r="S28" i="102" s="1"/>
  <c r="T16" i="108"/>
  <c r="V16" i="108" s="1"/>
  <c r="AK16" i="108" s="1"/>
  <c r="T20" i="107"/>
  <c r="V20" i="107" s="1"/>
  <c r="W20" i="107" s="1"/>
  <c r="S13" i="99"/>
  <c r="T13" i="99" s="1"/>
  <c r="V13" i="99" s="1"/>
  <c r="T26" i="102"/>
  <c r="V26" i="102" s="1"/>
  <c r="AK26" i="102" s="1"/>
  <c r="AL26" i="102" s="1"/>
  <c r="S12" i="101"/>
  <c r="S16" i="100"/>
  <c r="T16" i="100" s="1"/>
  <c r="V16" i="100" s="1"/>
  <c r="S17" i="109"/>
  <c r="T17" i="109" s="1"/>
  <c r="V17" i="109" s="1"/>
  <c r="T15" i="109"/>
  <c r="V15" i="109" s="1"/>
  <c r="AI15" i="109" s="1"/>
  <c r="T22" i="109"/>
  <c r="V22" i="109" s="1"/>
  <c r="T16" i="107"/>
  <c r="V16" i="107" s="1"/>
  <c r="S18" i="108"/>
  <c r="T18" i="108" s="1"/>
  <c r="V18" i="108" s="1"/>
  <c r="S49" i="102"/>
  <c r="T49" i="102" s="1"/>
  <c r="V49" i="102" s="1"/>
  <c r="S16" i="99"/>
  <c r="T16" i="99" s="1"/>
  <c r="V16" i="99" s="1"/>
  <c r="S43" i="102"/>
  <c r="O65" i="102"/>
  <c r="T25" i="99"/>
  <c r="V25" i="99" s="1"/>
  <c r="S21" i="103"/>
  <c r="S18" i="100"/>
  <c r="T18" i="100" s="1"/>
  <c r="V18" i="100" s="1"/>
  <c r="T47" i="102"/>
  <c r="V47" i="102" s="1"/>
  <c r="AI47" i="102" s="1"/>
  <c r="AK19" i="104"/>
  <c r="AL19" i="104" s="1"/>
  <c r="W35" i="102"/>
  <c r="T12" i="104"/>
  <c r="V12" i="104" s="1"/>
  <c r="W12" i="104" s="1"/>
  <c r="T19" i="100"/>
  <c r="V19" i="100" s="1"/>
  <c r="S21" i="107"/>
  <c r="T21" i="107" s="1"/>
  <c r="V21" i="107" s="1"/>
  <c r="S15" i="109"/>
  <c r="T17" i="107"/>
  <c r="V17" i="107" s="1"/>
  <c r="AK17" i="107" s="1"/>
  <c r="AL17" i="107" s="1"/>
  <c r="S15" i="105"/>
  <c r="S21" i="109"/>
  <c r="T21" i="109" s="1"/>
  <c r="V21" i="109" s="1"/>
  <c r="T20" i="109"/>
  <c r="V20" i="109" s="1"/>
  <c r="W20" i="109" s="1"/>
  <c r="S13" i="106"/>
  <c r="T13" i="106" s="1"/>
  <c r="V13" i="106" s="1"/>
  <c r="AK13" i="106" s="1"/>
  <c r="AL13" i="106" s="1"/>
  <c r="AJ26" i="105"/>
  <c r="T11" i="105"/>
  <c r="V11" i="105" s="1"/>
  <c r="S20" i="107"/>
  <c r="AI11" i="110"/>
  <c r="AI23" i="105"/>
  <c r="S12" i="109"/>
  <c r="AN10" i="106"/>
  <c r="T22" i="103"/>
  <c r="V22" i="103" s="1"/>
  <c r="AI22" i="103" s="1"/>
  <c r="T18" i="106"/>
  <c r="V18" i="106" s="1"/>
  <c r="S10" i="107"/>
  <c r="T10" i="107" s="1"/>
  <c r="V10" i="107" s="1"/>
  <c r="S10" i="99"/>
  <c r="T10" i="99" s="1"/>
  <c r="V10" i="99" s="1"/>
  <c r="S15" i="106"/>
  <c r="T15" i="106" s="1"/>
  <c r="V15" i="106" s="1"/>
  <c r="AI26" i="105"/>
  <c r="W11" i="110"/>
  <c r="AN23" i="105"/>
  <c r="T11" i="109"/>
  <c r="V11" i="109" s="1"/>
  <c r="AI11" i="109" s="1"/>
  <c r="S22" i="102"/>
  <c r="T22" i="102" s="1"/>
  <c r="V22" i="102" s="1"/>
  <c r="AK22" i="102" s="1"/>
  <c r="AL22" i="102" s="1"/>
  <c r="S46" i="102"/>
  <c r="T46" i="102" s="1"/>
  <c r="V46" i="102" s="1"/>
  <c r="S23" i="99"/>
  <c r="T23" i="99" s="1"/>
  <c r="V23" i="99" s="1"/>
  <c r="S16" i="101"/>
  <c r="T16" i="101" s="1"/>
  <c r="V16" i="101" s="1"/>
  <c r="M67" i="102"/>
  <c r="S18" i="102"/>
  <c r="T18" i="102" s="1"/>
  <c r="V18" i="102" s="1"/>
  <c r="S14" i="104"/>
  <c r="S17" i="101"/>
  <c r="S24" i="99"/>
  <c r="T24" i="99" s="1"/>
  <c r="V24" i="99" s="1"/>
  <c r="S11" i="101"/>
  <c r="S9" i="103"/>
  <c r="S10" i="103"/>
  <c r="T10" i="103" s="1"/>
  <c r="V10" i="103" s="1"/>
  <c r="AK10" i="103" s="1"/>
  <c r="P11" i="102"/>
  <c r="S26" i="102"/>
  <c r="S22" i="104"/>
  <c r="T22" i="104" s="1"/>
  <c r="V22" i="104" s="1"/>
  <c r="S21" i="104"/>
  <c r="S13" i="104"/>
  <c r="S12" i="104"/>
  <c r="T12" i="100"/>
  <c r="V12" i="100" s="1"/>
  <c r="AN26" i="99"/>
  <c r="S16" i="106"/>
  <c r="T16" i="106" s="1"/>
  <c r="V16" i="106" s="1"/>
  <c r="S11" i="107"/>
  <c r="T11" i="107" s="1"/>
  <c r="V11" i="107" s="1"/>
  <c r="S36" i="108"/>
  <c r="T36" i="108" s="1"/>
  <c r="V36" i="108" s="1"/>
  <c r="T22" i="108"/>
  <c r="V22" i="108" s="1"/>
  <c r="W22" i="108" s="1"/>
  <c r="T20" i="108"/>
  <c r="V20" i="108" s="1"/>
  <c r="AK20" i="108" s="1"/>
  <c r="O25" i="109"/>
  <c r="S16" i="108"/>
  <c r="S35" i="108"/>
  <c r="T35" i="108" s="1"/>
  <c r="V35" i="108" s="1"/>
  <c r="AK35" i="108" s="1"/>
  <c r="AL35" i="108" s="1"/>
  <c r="AJ23" i="105"/>
  <c r="S11" i="109"/>
  <c r="S19" i="107"/>
  <c r="AN10" i="108"/>
  <c r="AQ10" i="108" s="1"/>
  <c r="W10" i="108" s="1"/>
  <c r="AI10" i="108"/>
  <c r="AK10" i="108"/>
  <c r="AL10" i="108" s="1"/>
  <c r="AM10" i="108" s="1"/>
  <c r="AP10" i="108"/>
  <c r="W30" i="108"/>
  <c r="AK30" i="108"/>
  <c r="AL30" i="108" s="1"/>
  <c r="AM30" i="108" s="1"/>
  <c r="AI30" i="108"/>
  <c r="T49" i="108"/>
  <c r="V49" i="108" s="1"/>
  <c r="AK18" i="109"/>
  <c r="W18" i="109"/>
  <c r="AK24" i="105"/>
  <c r="W24" i="105"/>
  <c r="AI24" i="105"/>
  <c r="AM24" i="105"/>
  <c r="AJ24" i="105"/>
  <c r="AI21" i="108"/>
  <c r="AK21" i="108"/>
  <c r="W23" i="108"/>
  <c r="AK23" i="108"/>
  <c r="AL23" i="108" s="1"/>
  <c r="AI23" i="108"/>
  <c r="AK18" i="105"/>
  <c r="W18" i="105"/>
  <c r="AJ18" i="105"/>
  <c r="AM18" i="105"/>
  <c r="AI18" i="105"/>
  <c r="AI22" i="107"/>
  <c r="AK22" i="107"/>
  <c r="AL22" i="107" s="1"/>
  <c r="W22" i="107"/>
  <c r="Q13" i="105"/>
  <c r="R13" i="105"/>
  <c r="AK18" i="106"/>
  <c r="AL18" i="106" s="1"/>
  <c r="AI18" i="106"/>
  <c r="W18" i="106"/>
  <c r="AI16" i="108"/>
  <c r="AK14" i="110"/>
  <c r="AI14" i="110"/>
  <c r="AK20" i="107"/>
  <c r="AL20" i="107" s="1"/>
  <c r="W12" i="106"/>
  <c r="AK12" i="106"/>
  <c r="AL12" i="106" s="1"/>
  <c r="AI12" i="106"/>
  <c r="AI20" i="110"/>
  <c r="W20" i="110"/>
  <c r="AK20" i="110"/>
  <c r="AL20" i="110" s="1"/>
  <c r="W16" i="110"/>
  <c r="AK16" i="110"/>
  <c r="AL16" i="110" s="1"/>
  <c r="AI16" i="110"/>
  <c r="AJ17" i="105"/>
  <c r="AM17" i="105"/>
  <c r="AI17" i="105"/>
  <c r="W17" i="105"/>
  <c r="AK17" i="105"/>
  <c r="AI14" i="107"/>
  <c r="AK14" i="107"/>
  <c r="AL14" i="107" s="1"/>
  <c r="W14" i="107"/>
  <c r="AK21" i="107"/>
  <c r="AL21" i="107" s="1"/>
  <c r="AI21" i="107"/>
  <c r="W21" i="107"/>
  <c r="AI16" i="109"/>
  <c r="W16" i="109"/>
  <c r="AK16" i="109"/>
  <c r="W17" i="107"/>
  <c r="AI44" i="108"/>
  <c r="AK44" i="108"/>
  <c r="AL44" i="108" s="1"/>
  <c r="W44" i="108"/>
  <c r="AI17" i="110"/>
  <c r="W17" i="110"/>
  <c r="AK17" i="110"/>
  <c r="AL17" i="110" s="1"/>
  <c r="AK21" i="109"/>
  <c r="W21" i="109"/>
  <c r="AI21" i="109"/>
  <c r="R27" i="108"/>
  <c r="Q27" i="108"/>
  <c r="AK20" i="109"/>
  <c r="T23" i="110"/>
  <c r="V23" i="110" s="1"/>
  <c r="AK11" i="105"/>
  <c r="AN11" i="105" s="1"/>
  <c r="AJ11" i="105"/>
  <c r="AI11" i="105"/>
  <c r="AM11" i="105"/>
  <c r="W11" i="105"/>
  <c r="AK46" i="108"/>
  <c r="AL46" i="108" s="1"/>
  <c r="AI46" i="108"/>
  <c r="W46" i="108"/>
  <c r="W15" i="109"/>
  <c r="AK38" i="108"/>
  <c r="AL38" i="108" s="1"/>
  <c r="AI38" i="108"/>
  <c r="W38" i="108"/>
  <c r="W27" i="110"/>
  <c r="AK27" i="110"/>
  <c r="AL27" i="110" s="1"/>
  <c r="AI27" i="110"/>
  <c r="AI22" i="109"/>
  <c r="W22" i="109"/>
  <c r="AK22" i="109"/>
  <c r="T37" i="108"/>
  <c r="V37" i="108" s="1"/>
  <c r="AK16" i="107"/>
  <c r="AL16" i="107" s="1"/>
  <c r="AI16" i="107"/>
  <c r="W16" i="107"/>
  <c r="AK11" i="109"/>
  <c r="R12" i="110"/>
  <c r="Q12" i="110"/>
  <c r="S12" i="110" s="1"/>
  <c r="T12" i="110" s="1"/>
  <c r="V12" i="110" s="1"/>
  <c r="P28" i="110"/>
  <c r="T17" i="106"/>
  <c r="V17" i="106" s="1"/>
  <c r="AK28" i="108"/>
  <c r="AI28" i="108"/>
  <c r="W36" i="108"/>
  <c r="AK36" i="108"/>
  <c r="AL36" i="108" s="1"/>
  <c r="AI36" i="108"/>
  <c r="AK22" i="108"/>
  <c r="AL22" i="108" s="1"/>
  <c r="AI29" i="108"/>
  <c r="AK29" i="108"/>
  <c r="AM27" i="105"/>
  <c r="AI27" i="105"/>
  <c r="AK27" i="105"/>
  <c r="W27" i="105"/>
  <c r="AJ27" i="105"/>
  <c r="AK12" i="105"/>
  <c r="W12" i="105"/>
  <c r="AJ12" i="105"/>
  <c r="AM12" i="105"/>
  <c r="AI12" i="105"/>
  <c r="T50" i="108"/>
  <c r="V50" i="108" s="1"/>
  <c r="W35" i="108"/>
  <c r="AI39" i="108"/>
  <c r="W39" i="108"/>
  <c r="AK39" i="108"/>
  <c r="AL39" i="108" s="1"/>
  <c r="AI13" i="110"/>
  <c r="W13" i="110"/>
  <c r="AK13" i="110"/>
  <c r="AL13" i="110" s="1"/>
  <c r="AL10" i="106"/>
  <c r="AM10" i="106" s="1"/>
  <c r="AP10" i="106"/>
  <c r="AQ10" i="106" s="1"/>
  <c r="W10" i="106" s="1"/>
  <c r="P66" i="108"/>
  <c r="R11" i="108"/>
  <c r="R66" i="108" s="1"/>
  <c r="Q11" i="108"/>
  <c r="Q66" i="108" s="1"/>
  <c r="S43" i="108"/>
  <c r="T43" i="108" s="1"/>
  <c r="V43" i="108" s="1"/>
  <c r="S22" i="105"/>
  <c r="T22" i="105" s="1"/>
  <c r="V22" i="105" s="1"/>
  <c r="S33" i="108"/>
  <c r="T33" i="108" s="1"/>
  <c r="V33" i="108" s="1"/>
  <c r="S26" i="110"/>
  <c r="T26" i="110" s="1"/>
  <c r="V26" i="110" s="1"/>
  <c r="S22" i="110"/>
  <c r="T22" i="110" s="1"/>
  <c r="V22" i="110" s="1"/>
  <c r="S51" i="108"/>
  <c r="T51" i="108" s="1"/>
  <c r="V51" i="108" s="1"/>
  <c r="S34" i="108"/>
  <c r="T34" i="108" s="1"/>
  <c r="V34" i="108" s="1"/>
  <c r="S32" i="108"/>
  <c r="T32" i="108" s="1"/>
  <c r="V32" i="108" s="1"/>
  <c r="S14" i="105"/>
  <c r="T14" i="105" s="1"/>
  <c r="V14" i="105" s="1"/>
  <c r="S49" i="108"/>
  <c r="O52" i="108"/>
  <c r="S14" i="108"/>
  <c r="R14" i="108"/>
  <c r="Q14" i="108"/>
  <c r="S15" i="110"/>
  <c r="T15" i="110" s="1"/>
  <c r="V15" i="110" s="1"/>
  <c r="Q23" i="107"/>
  <c r="S37" i="108"/>
  <c r="T15" i="105"/>
  <c r="V15" i="105" s="1"/>
  <c r="S12" i="108"/>
  <c r="T12" i="108" s="1"/>
  <c r="V12" i="108" s="1"/>
  <c r="S19" i="110"/>
  <c r="T19" i="110" s="1"/>
  <c r="V19" i="110" s="1"/>
  <c r="AN26" i="105"/>
  <c r="T14" i="109"/>
  <c r="V14" i="109" s="1"/>
  <c r="T11" i="106"/>
  <c r="V11" i="106" s="1"/>
  <c r="T14" i="106"/>
  <c r="V14" i="106" s="1"/>
  <c r="T13" i="107"/>
  <c r="V13" i="107" s="1"/>
  <c r="R64" i="108"/>
  <c r="Q10" i="109"/>
  <c r="R10" i="109"/>
  <c r="S10" i="109" s="1"/>
  <c r="T10" i="109" s="1"/>
  <c r="V10" i="109" s="1"/>
  <c r="AI45" i="108"/>
  <c r="W45" i="108"/>
  <c r="AK45" i="108"/>
  <c r="AL45" i="108" s="1"/>
  <c r="Q52" i="108"/>
  <c r="Q64" i="108"/>
  <c r="M28" i="105"/>
  <c r="O9" i="105"/>
  <c r="O28" i="105" s="1"/>
  <c r="T25" i="105"/>
  <c r="V25" i="105" s="1"/>
  <c r="Q28" i="110"/>
  <c r="S20" i="105"/>
  <c r="T20" i="105" s="1"/>
  <c r="V20" i="105" s="1"/>
  <c r="P65" i="108"/>
  <c r="R13" i="108"/>
  <c r="R65" i="108" s="1"/>
  <c r="Q13" i="108"/>
  <c r="S31" i="108"/>
  <c r="T31" i="108" s="1"/>
  <c r="V31" i="108" s="1"/>
  <c r="R23" i="107"/>
  <c r="S23" i="109"/>
  <c r="T23" i="109" s="1"/>
  <c r="V23" i="109" s="1"/>
  <c r="S15" i="107"/>
  <c r="T15" i="107" s="1"/>
  <c r="V15" i="107" s="1"/>
  <c r="S25" i="108"/>
  <c r="T25" i="108" s="1"/>
  <c r="V25" i="108" s="1"/>
  <c r="S10" i="110"/>
  <c r="T10" i="110" s="1"/>
  <c r="V10" i="110" s="1"/>
  <c r="S50" i="108"/>
  <c r="S12" i="107"/>
  <c r="T12" i="107" s="1"/>
  <c r="V12" i="107" s="1"/>
  <c r="S18" i="107"/>
  <c r="T18" i="107" s="1"/>
  <c r="V18" i="107" s="1"/>
  <c r="AN21" i="105"/>
  <c r="S23" i="110"/>
  <c r="T19" i="106"/>
  <c r="V19" i="106" s="1"/>
  <c r="S21" i="110"/>
  <c r="T21" i="110" s="1"/>
  <c r="V21" i="110" s="1"/>
  <c r="T26" i="108"/>
  <c r="V26" i="108" s="1"/>
  <c r="S18" i="110"/>
  <c r="T18" i="110" s="1"/>
  <c r="V18" i="110" s="1"/>
  <c r="AN19" i="105"/>
  <c r="S47" i="108"/>
  <c r="T47" i="108" s="1"/>
  <c r="V47" i="108" s="1"/>
  <c r="T12" i="109"/>
  <c r="V12" i="109" s="1"/>
  <c r="T10" i="105"/>
  <c r="V10" i="105" s="1"/>
  <c r="S24" i="108"/>
  <c r="T24" i="108" s="1"/>
  <c r="V24" i="108" s="1"/>
  <c r="T19" i="107"/>
  <c r="V19" i="107" s="1"/>
  <c r="P67" i="108"/>
  <c r="O28" i="110"/>
  <c r="AK48" i="108"/>
  <c r="AL48" i="108" s="1"/>
  <c r="AI48" i="108"/>
  <c r="W48" i="108"/>
  <c r="W13" i="109"/>
  <c r="AI13" i="109"/>
  <c r="AK13" i="109"/>
  <c r="AI24" i="109"/>
  <c r="W24" i="109"/>
  <c r="AK24" i="109"/>
  <c r="T15" i="108"/>
  <c r="V15" i="108" s="1"/>
  <c r="S16" i="105"/>
  <c r="T16" i="105" s="1"/>
  <c r="V16" i="105" s="1"/>
  <c r="R28" i="110"/>
  <c r="S9" i="110"/>
  <c r="AI17" i="108"/>
  <c r="W17" i="108"/>
  <c r="AK17" i="108"/>
  <c r="AL17" i="108" s="1"/>
  <c r="AM17" i="108" s="1"/>
  <c r="O65" i="108"/>
  <c r="O67" i="108" s="1"/>
  <c r="P9" i="109"/>
  <c r="S9" i="107"/>
  <c r="M21" i="106"/>
  <c r="O9" i="106"/>
  <c r="O21" i="106" s="1"/>
  <c r="P9" i="106"/>
  <c r="AN19" i="109"/>
  <c r="AP19" i="109"/>
  <c r="S9" i="108"/>
  <c r="T9" i="108" s="1"/>
  <c r="P52" i="108"/>
  <c r="AK11" i="103"/>
  <c r="AI11" i="103"/>
  <c r="AK47" i="102"/>
  <c r="AL47" i="102" s="1"/>
  <c r="AI20" i="104"/>
  <c r="W20" i="104"/>
  <c r="AK20" i="104"/>
  <c r="AL20" i="104" s="1"/>
  <c r="W13" i="101"/>
  <c r="AK13" i="101"/>
  <c r="AL13" i="101" s="1"/>
  <c r="AI13" i="101"/>
  <c r="AI23" i="104"/>
  <c r="W23" i="104"/>
  <c r="AK23" i="104"/>
  <c r="AL23" i="104" s="1"/>
  <c r="AI22" i="102"/>
  <c r="AI26" i="104"/>
  <c r="W26" i="104"/>
  <c r="AK26" i="104"/>
  <c r="AL26" i="104" s="1"/>
  <c r="W20" i="103"/>
  <c r="AK20" i="103"/>
  <c r="W19" i="103"/>
  <c r="AK19" i="103"/>
  <c r="T9" i="103"/>
  <c r="T19" i="101"/>
  <c r="V19" i="101" s="1"/>
  <c r="T19" i="99"/>
  <c r="V19" i="99" s="1"/>
  <c r="AK12" i="100"/>
  <c r="AL12" i="100" s="1"/>
  <c r="W12" i="100"/>
  <c r="AI12" i="100"/>
  <c r="AJ16" i="99"/>
  <c r="AM16" i="99"/>
  <c r="AI16" i="99"/>
  <c r="AK16" i="99"/>
  <c r="AN16" i="99" s="1"/>
  <c r="W16" i="99"/>
  <c r="AK14" i="101"/>
  <c r="AL14" i="101" s="1"/>
  <c r="AI14" i="101"/>
  <c r="W14" i="101"/>
  <c r="AK15" i="102"/>
  <c r="AI15" i="102"/>
  <c r="AK34" i="102"/>
  <c r="AI34" i="102"/>
  <c r="AK22" i="99"/>
  <c r="W22" i="99"/>
  <c r="AJ22" i="99"/>
  <c r="AI22" i="99"/>
  <c r="AM22" i="99"/>
  <c r="AI41" i="102"/>
  <c r="AK41" i="102"/>
  <c r="AL41" i="102" s="1"/>
  <c r="W41" i="102"/>
  <c r="Q10" i="102"/>
  <c r="R10" i="102"/>
  <c r="W21" i="101"/>
  <c r="AK21" i="101"/>
  <c r="AL21" i="101" s="1"/>
  <c r="AI21" i="101"/>
  <c r="T13" i="102"/>
  <c r="AK23" i="103"/>
  <c r="W23" i="103"/>
  <c r="AK51" i="102"/>
  <c r="AL51" i="102" s="1"/>
  <c r="AI51" i="102"/>
  <c r="W51" i="102"/>
  <c r="W16" i="104"/>
  <c r="AK16" i="104"/>
  <c r="AL16" i="104" s="1"/>
  <c r="AI16" i="104"/>
  <c r="AK17" i="102"/>
  <c r="AL17" i="102" s="1"/>
  <c r="AM17" i="102" s="1"/>
  <c r="W17" i="102"/>
  <c r="AI17" i="102"/>
  <c r="AI12" i="103"/>
  <c r="AK12" i="103"/>
  <c r="W12" i="103"/>
  <c r="W45" i="102"/>
  <c r="AI45" i="102"/>
  <c r="AK45" i="102"/>
  <c r="AL45" i="102" s="1"/>
  <c r="W13" i="103"/>
  <c r="AK13" i="103"/>
  <c r="AI13" i="103"/>
  <c r="AJ25" i="99"/>
  <c r="AM25" i="99"/>
  <c r="AI25" i="99"/>
  <c r="AK25" i="99"/>
  <c r="W25" i="99"/>
  <c r="AI12" i="104"/>
  <c r="AK22" i="101"/>
  <c r="AL22" i="101" s="1"/>
  <c r="AI22" i="101"/>
  <c r="W22" i="101"/>
  <c r="AI17" i="104"/>
  <c r="AK17" i="104"/>
  <c r="AL17" i="104" s="1"/>
  <c r="W17" i="104"/>
  <c r="AK10" i="99"/>
  <c r="AN10" i="99" s="1"/>
  <c r="W10" i="99" s="1"/>
  <c r="AJ10" i="99"/>
  <c r="AM10" i="99"/>
  <c r="AI10" i="99"/>
  <c r="W14" i="99"/>
  <c r="AK14" i="99"/>
  <c r="AM14" i="99"/>
  <c r="AI14" i="99"/>
  <c r="AJ14" i="99"/>
  <c r="AK21" i="99"/>
  <c r="W21" i="99"/>
  <c r="AM21" i="99"/>
  <c r="AI21" i="99"/>
  <c r="AJ21" i="99"/>
  <c r="AK12" i="102"/>
  <c r="AN12" i="102"/>
  <c r="AI12" i="102"/>
  <c r="AI26" i="102"/>
  <c r="W20" i="100"/>
  <c r="AK20" i="100"/>
  <c r="AL20" i="100" s="1"/>
  <c r="AI20" i="100"/>
  <c r="AK15" i="101"/>
  <c r="AL15" i="101" s="1"/>
  <c r="AI15" i="101"/>
  <c r="W15" i="101"/>
  <c r="W15" i="103"/>
  <c r="AK15" i="103"/>
  <c r="AI15" i="103"/>
  <c r="W16" i="100"/>
  <c r="AK16" i="100"/>
  <c r="AL16" i="100" s="1"/>
  <c r="AI16" i="100"/>
  <c r="W14" i="100"/>
  <c r="AK14" i="100"/>
  <c r="AL14" i="100" s="1"/>
  <c r="AI14" i="100"/>
  <c r="AI33" i="102"/>
  <c r="AK33" i="102"/>
  <c r="AL33" i="102" s="1"/>
  <c r="W33" i="102"/>
  <c r="S15" i="99"/>
  <c r="T15" i="99" s="1"/>
  <c r="V15" i="99" s="1"/>
  <c r="T24" i="104"/>
  <c r="V24" i="104" s="1"/>
  <c r="W24" i="104" s="1"/>
  <c r="R9" i="101"/>
  <c r="R23" i="101" s="1"/>
  <c r="P23" i="101"/>
  <c r="Q9" i="101"/>
  <c r="Q23" i="101" s="1"/>
  <c r="T11" i="104"/>
  <c r="V11" i="104" s="1"/>
  <c r="S24" i="102"/>
  <c r="T24" i="102" s="1"/>
  <c r="V24" i="102" s="1"/>
  <c r="O52" i="102"/>
  <c r="O64" i="102"/>
  <c r="T17" i="100"/>
  <c r="V17" i="100" s="1"/>
  <c r="S37" i="102"/>
  <c r="T37" i="102" s="1"/>
  <c r="V37" i="102" s="1"/>
  <c r="T14" i="104"/>
  <c r="V14" i="104" s="1"/>
  <c r="T43" i="102"/>
  <c r="V43" i="102" s="1"/>
  <c r="S12" i="99"/>
  <c r="T12" i="99" s="1"/>
  <c r="V12" i="99" s="1"/>
  <c r="S27" i="102"/>
  <c r="T27" i="102" s="1"/>
  <c r="V27" i="102" s="1"/>
  <c r="T50" i="102"/>
  <c r="V50" i="102" s="1"/>
  <c r="T17" i="101"/>
  <c r="V17" i="101" s="1"/>
  <c r="T13" i="100"/>
  <c r="V13" i="100" s="1"/>
  <c r="T11" i="101"/>
  <c r="V11" i="101" s="1"/>
  <c r="S20" i="99"/>
  <c r="T20" i="99" s="1"/>
  <c r="V20" i="99" s="1"/>
  <c r="T29" i="102"/>
  <c r="V29" i="102" s="1"/>
  <c r="T21" i="103"/>
  <c r="V21" i="103" s="1"/>
  <c r="T30" i="102"/>
  <c r="V30" i="102" s="1"/>
  <c r="S10" i="104"/>
  <c r="T10" i="104" s="1"/>
  <c r="V10" i="104" s="1"/>
  <c r="S17" i="103"/>
  <c r="T17" i="103" s="1"/>
  <c r="V17" i="103" s="1"/>
  <c r="S11" i="99"/>
  <c r="T11" i="99" s="1"/>
  <c r="V11" i="99" s="1"/>
  <c r="T14" i="102"/>
  <c r="V14" i="102" s="1"/>
  <c r="T21" i="104"/>
  <c r="V21" i="104" s="1"/>
  <c r="S15" i="100"/>
  <c r="T15" i="100" s="1"/>
  <c r="V15" i="100" s="1"/>
  <c r="S32" i="102"/>
  <c r="T32" i="102" s="1"/>
  <c r="V32" i="102" s="1"/>
  <c r="T21" i="102"/>
  <c r="V21" i="102" s="1"/>
  <c r="AN27" i="99"/>
  <c r="T13" i="104"/>
  <c r="V13" i="104" s="1"/>
  <c r="T14" i="103"/>
  <c r="V14" i="103" s="1"/>
  <c r="T10" i="101"/>
  <c r="V10" i="101" s="1"/>
  <c r="T25" i="102"/>
  <c r="V25" i="102" s="1"/>
  <c r="AP24" i="103"/>
  <c r="AN24" i="103"/>
  <c r="AL24" i="103"/>
  <c r="T12" i="101"/>
  <c r="V12" i="101" s="1"/>
  <c r="AK39" i="102"/>
  <c r="AL39" i="102" s="1"/>
  <c r="AI39" i="102"/>
  <c r="W39" i="102"/>
  <c r="AI19" i="100"/>
  <c r="W19" i="100"/>
  <c r="AK19" i="100"/>
  <c r="AL19" i="100" s="1"/>
  <c r="S18" i="101"/>
  <c r="T18" i="101" s="1"/>
  <c r="V18" i="101" s="1"/>
  <c r="Q25" i="103"/>
  <c r="P66" i="102"/>
  <c r="S16" i="102"/>
  <c r="T16" i="102" s="1"/>
  <c r="V16" i="102" s="1"/>
  <c r="Q65" i="102"/>
  <c r="P21" i="100"/>
  <c r="R9" i="100"/>
  <c r="R21" i="100" s="1"/>
  <c r="Q9" i="100"/>
  <c r="Q21" i="100" s="1"/>
  <c r="S17" i="99"/>
  <c r="T17" i="99" s="1"/>
  <c r="V17" i="99" s="1"/>
  <c r="S19" i="99"/>
  <c r="S18" i="103"/>
  <c r="T18" i="103" s="1"/>
  <c r="V18" i="103" s="1"/>
  <c r="S16" i="103"/>
  <c r="S10" i="100"/>
  <c r="T10" i="100" s="1"/>
  <c r="V10" i="100" s="1"/>
  <c r="S31" i="102"/>
  <c r="T31" i="102" s="1"/>
  <c r="V31" i="102" s="1"/>
  <c r="S48" i="102"/>
  <c r="T48" i="102" s="1"/>
  <c r="V48" i="102" s="1"/>
  <c r="T19" i="102"/>
  <c r="V19" i="102" s="1"/>
  <c r="AK20" i="102"/>
  <c r="AI20" i="102"/>
  <c r="AI23" i="102"/>
  <c r="AK23" i="102"/>
  <c r="AL23" i="102" s="1"/>
  <c r="W23" i="102"/>
  <c r="S20" i="101"/>
  <c r="T20" i="101" s="1"/>
  <c r="V20" i="101" s="1"/>
  <c r="M28" i="104"/>
  <c r="O9" i="104"/>
  <c r="O28" i="104" s="1"/>
  <c r="AN18" i="99"/>
  <c r="P9" i="102"/>
  <c r="P28" i="99"/>
  <c r="R9" i="99"/>
  <c r="R28" i="99" s="1"/>
  <c r="Q9" i="99"/>
  <c r="Q28" i="99" s="1"/>
  <c r="R25" i="103"/>
  <c r="R65" i="102"/>
  <c r="AI40" i="102"/>
  <c r="AK40" i="102"/>
  <c r="AL40" i="102" s="1"/>
  <c r="W40" i="102"/>
  <c r="AK22" i="104" l="1"/>
  <c r="AL22" i="104" s="1"/>
  <c r="AI22" i="104"/>
  <c r="W22" i="104"/>
  <c r="W23" i="99"/>
  <c r="AI23" i="99"/>
  <c r="AK23" i="99"/>
  <c r="AJ23" i="99"/>
  <c r="AM23" i="99"/>
  <c r="W11" i="107"/>
  <c r="AK11" i="107"/>
  <c r="AL11" i="107" s="1"/>
  <c r="AI11" i="107"/>
  <c r="W18" i="102"/>
  <c r="AI18" i="102"/>
  <c r="AK18" i="102"/>
  <c r="AL18" i="102" s="1"/>
  <c r="AK46" i="102"/>
  <c r="AL46" i="102" s="1"/>
  <c r="AI46" i="102"/>
  <c r="W46" i="102"/>
  <c r="AI10" i="107"/>
  <c r="AK10" i="107"/>
  <c r="AN10" i="107"/>
  <c r="AK49" i="102"/>
  <c r="AL49" i="102" s="1"/>
  <c r="AI49" i="102"/>
  <c r="W49" i="102"/>
  <c r="W16" i="106"/>
  <c r="AK16" i="106"/>
  <c r="AL16" i="106" s="1"/>
  <c r="AI16" i="106"/>
  <c r="AM24" i="99"/>
  <c r="AJ24" i="99"/>
  <c r="AK24" i="99"/>
  <c r="AI24" i="99"/>
  <c r="W24" i="99"/>
  <c r="AN22" i="99"/>
  <c r="Q11" i="102"/>
  <c r="O67" i="102"/>
  <c r="AK12" i="104"/>
  <c r="AL12" i="104" s="1"/>
  <c r="W22" i="102"/>
  <c r="W47" i="102"/>
  <c r="AI20" i="108"/>
  <c r="W13" i="106"/>
  <c r="AI20" i="107"/>
  <c r="R11" i="102"/>
  <c r="R66" i="102" s="1"/>
  <c r="AK22" i="103"/>
  <c r="AP22" i="103" s="1"/>
  <c r="AI10" i="103"/>
  <c r="T14" i="108"/>
  <c r="V14" i="108" s="1"/>
  <c r="AI35" i="108"/>
  <c r="AN27" i="105"/>
  <c r="AI22" i="108"/>
  <c r="AK15" i="109"/>
  <c r="AI13" i="106"/>
  <c r="AI17" i="107"/>
  <c r="AN17" i="105"/>
  <c r="W26" i="102"/>
  <c r="W22" i="103"/>
  <c r="S25" i="103"/>
  <c r="S10" i="102"/>
  <c r="T10" i="102" s="1"/>
  <c r="V10" i="102" s="1"/>
  <c r="AN12" i="105"/>
  <c r="T28" i="102"/>
  <c r="V28" i="102" s="1"/>
  <c r="W51" i="108"/>
  <c r="AK51" i="108"/>
  <c r="AL51" i="108" s="1"/>
  <c r="AI51" i="108"/>
  <c r="W24" i="108"/>
  <c r="AK24" i="108"/>
  <c r="AL24" i="108" s="1"/>
  <c r="AI24" i="108"/>
  <c r="AI12" i="107"/>
  <c r="AK12" i="107"/>
  <c r="AL12" i="107" s="1"/>
  <c r="W12" i="107"/>
  <c r="AI15" i="107"/>
  <c r="AK15" i="107"/>
  <c r="AL15" i="107" s="1"/>
  <c r="W15" i="107"/>
  <c r="AM20" i="105"/>
  <c r="AI20" i="105"/>
  <c r="AJ20" i="105"/>
  <c r="AK20" i="105"/>
  <c r="W20" i="105"/>
  <c r="AI14" i="108"/>
  <c r="AK14" i="108"/>
  <c r="AI34" i="108"/>
  <c r="AK34" i="108"/>
  <c r="W33" i="108"/>
  <c r="AK33" i="108"/>
  <c r="AL33" i="108" s="1"/>
  <c r="AI33" i="108"/>
  <c r="AK18" i="110"/>
  <c r="AL18" i="110" s="1"/>
  <c r="AI18" i="110"/>
  <c r="W18" i="110"/>
  <c r="AI10" i="109"/>
  <c r="AK10" i="109"/>
  <c r="AK16" i="105"/>
  <c r="W16" i="105"/>
  <c r="AJ16" i="105"/>
  <c r="AI16" i="105"/>
  <c r="AM16" i="105"/>
  <c r="AK10" i="110"/>
  <c r="AI10" i="110"/>
  <c r="AM14" i="105"/>
  <c r="AI14" i="105"/>
  <c r="W14" i="105"/>
  <c r="AK14" i="105"/>
  <c r="AJ14" i="105"/>
  <c r="AI22" i="110"/>
  <c r="W22" i="110"/>
  <c r="AK22" i="110"/>
  <c r="AL22" i="110" s="1"/>
  <c r="AI43" i="108"/>
  <c r="AK43" i="108"/>
  <c r="AK23" i="109"/>
  <c r="W23" i="109"/>
  <c r="AK22" i="105"/>
  <c r="W22" i="105"/>
  <c r="AJ22" i="105"/>
  <c r="AM22" i="105"/>
  <c r="AI22" i="105"/>
  <c r="T64" i="108"/>
  <c r="V9" i="108"/>
  <c r="W47" i="108"/>
  <c r="AI47" i="108"/>
  <c r="AK47" i="108"/>
  <c r="AL47" i="108" s="1"/>
  <c r="W21" i="110"/>
  <c r="AK21" i="110"/>
  <c r="AL21" i="110" s="1"/>
  <c r="AI21" i="110"/>
  <c r="AI18" i="107"/>
  <c r="AK18" i="107"/>
  <c r="AL18" i="107" s="1"/>
  <c r="W18" i="107"/>
  <c r="AI25" i="108"/>
  <c r="W25" i="108"/>
  <c r="AK25" i="108"/>
  <c r="AL25" i="108" s="1"/>
  <c r="AK12" i="108"/>
  <c r="AN12" i="108"/>
  <c r="AI12" i="108"/>
  <c r="AI15" i="110"/>
  <c r="W15" i="110"/>
  <c r="AK15" i="110"/>
  <c r="AL15" i="110" s="1"/>
  <c r="AI32" i="108"/>
  <c r="AK32" i="108"/>
  <c r="W12" i="110"/>
  <c r="AK12" i="110"/>
  <c r="AL12" i="110" s="1"/>
  <c r="AI12" i="110"/>
  <c r="AI50" i="108"/>
  <c r="AK50" i="108"/>
  <c r="AL50" i="108" s="1"/>
  <c r="W50" i="108"/>
  <c r="AK37" i="108"/>
  <c r="AL37" i="108" s="1"/>
  <c r="AI37" i="108"/>
  <c r="W37" i="108"/>
  <c r="AK49" i="108"/>
  <c r="AL49" i="108" s="1"/>
  <c r="W49" i="108"/>
  <c r="AI49" i="108"/>
  <c r="AQ19" i="109"/>
  <c r="AM10" i="105"/>
  <c r="AI10" i="105"/>
  <c r="AK10" i="105"/>
  <c r="AJ10" i="105"/>
  <c r="AK25" i="105"/>
  <c r="W25" i="105"/>
  <c r="AJ25" i="105"/>
  <c r="AM25" i="105"/>
  <c r="AI25" i="105"/>
  <c r="W13" i="107"/>
  <c r="AK13" i="107"/>
  <c r="AL13" i="107" s="1"/>
  <c r="AI13" i="107"/>
  <c r="AI14" i="109"/>
  <c r="W14" i="109"/>
  <c r="AK14" i="109"/>
  <c r="AK15" i="105"/>
  <c r="AM15" i="105"/>
  <c r="AJ15" i="105"/>
  <c r="AI15" i="105"/>
  <c r="W19" i="110"/>
  <c r="AK19" i="110"/>
  <c r="AL19" i="110" s="1"/>
  <c r="AI19" i="110"/>
  <c r="AN20" i="108"/>
  <c r="AP20" i="108"/>
  <c r="AL20" i="108"/>
  <c r="AM20" i="108" s="1"/>
  <c r="AP22" i="109"/>
  <c r="AL22" i="109"/>
  <c r="AN22" i="109"/>
  <c r="AP20" i="109"/>
  <c r="AN20" i="109"/>
  <c r="S27" i="108"/>
  <c r="T27" i="108" s="1"/>
  <c r="V27" i="108" s="1"/>
  <c r="AN21" i="109"/>
  <c r="AP21" i="109"/>
  <c r="AL21" i="109"/>
  <c r="S13" i="105"/>
  <c r="T13" i="105" s="1"/>
  <c r="V13" i="105" s="1"/>
  <c r="AN24" i="105"/>
  <c r="W31" i="108"/>
  <c r="AK31" i="108"/>
  <c r="AL31" i="108" s="1"/>
  <c r="AI31" i="108"/>
  <c r="AI23" i="110"/>
  <c r="W23" i="110"/>
  <c r="AK23" i="110"/>
  <c r="AL23" i="110" s="1"/>
  <c r="AL14" i="110"/>
  <c r="AP14" i="110"/>
  <c r="AN14" i="110"/>
  <c r="P25" i="109"/>
  <c r="R9" i="109"/>
  <c r="R25" i="109" s="1"/>
  <c r="Q9" i="109"/>
  <c r="Q25" i="109" s="1"/>
  <c r="W26" i="108"/>
  <c r="AK26" i="108"/>
  <c r="AL26" i="108" s="1"/>
  <c r="AI26" i="108"/>
  <c r="S13" i="108"/>
  <c r="S65" i="108" s="1"/>
  <c r="R52" i="108"/>
  <c r="AK18" i="108"/>
  <c r="AL18" i="108" s="1"/>
  <c r="AI18" i="108"/>
  <c r="W18" i="108"/>
  <c r="AK17" i="109"/>
  <c r="AI17" i="109"/>
  <c r="W17" i="109"/>
  <c r="S11" i="108"/>
  <c r="S66" i="108" s="1"/>
  <c r="AN29" i="108"/>
  <c r="AL29" i="108"/>
  <c r="AP29" i="108"/>
  <c r="AP28" i="108"/>
  <c r="AN28" i="108"/>
  <c r="AL28" i="108"/>
  <c r="AN16" i="108"/>
  <c r="AP16" i="108"/>
  <c r="AL16" i="108"/>
  <c r="AM16" i="108" s="1"/>
  <c r="AK19" i="106"/>
  <c r="AL19" i="106" s="1"/>
  <c r="AI19" i="106"/>
  <c r="W19" i="106"/>
  <c r="W11" i="106"/>
  <c r="AI11" i="106"/>
  <c r="AK11" i="106"/>
  <c r="AL11" i="106" s="1"/>
  <c r="AI26" i="110"/>
  <c r="W26" i="110"/>
  <c r="AK26" i="110"/>
  <c r="AL26" i="110" s="1"/>
  <c r="AP11" i="109"/>
  <c r="AN11" i="109"/>
  <c r="AQ11" i="109" s="1"/>
  <c r="W11" i="109" s="1"/>
  <c r="AL11" i="109"/>
  <c r="AP16" i="109"/>
  <c r="AL16" i="109"/>
  <c r="AN16" i="109"/>
  <c r="AQ16" i="109" s="1"/>
  <c r="S23" i="107"/>
  <c r="T9" i="107"/>
  <c r="S64" i="108"/>
  <c r="S52" i="108"/>
  <c r="Q9" i="106"/>
  <c r="Q21" i="106" s="1"/>
  <c r="R9" i="106"/>
  <c r="R21" i="106" s="1"/>
  <c r="P21" i="106"/>
  <c r="AI15" i="108"/>
  <c r="AK15" i="108"/>
  <c r="AL13" i="109"/>
  <c r="AP13" i="109"/>
  <c r="AN13" i="109"/>
  <c r="AQ13" i="109" s="1"/>
  <c r="AI12" i="109"/>
  <c r="W12" i="109"/>
  <c r="AK12" i="109"/>
  <c r="S28" i="110"/>
  <c r="T9" i="110"/>
  <c r="AP24" i="109"/>
  <c r="AN24" i="109"/>
  <c r="AL24" i="109"/>
  <c r="W19" i="107"/>
  <c r="AK19" i="107"/>
  <c r="AL19" i="107" s="1"/>
  <c r="AI19" i="107"/>
  <c r="Q65" i="108"/>
  <c r="Q67" i="108" s="1"/>
  <c r="AI15" i="106"/>
  <c r="W15" i="106"/>
  <c r="AK15" i="106"/>
  <c r="AL15" i="106" s="1"/>
  <c r="P9" i="105"/>
  <c r="R67" i="108"/>
  <c r="AK14" i="106"/>
  <c r="AL14" i="106" s="1"/>
  <c r="AI14" i="106"/>
  <c r="W14" i="106"/>
  <c r="AK17" i="106"/>
  <c r="AL17" i="106" s="1"/>
  <c r="AI17" i="106"/>
  <c r="W17" i="106"/>
  <c r="AL15" i="109"/>
  <c r="AP15" i="109"/>
  <c r="AN15" i="109"/>
  <c r="AN18" i="105"/>
  <c r="AL21" i="108"/>
  <c r="AN21" i="108"/>
  <c r="AP21" i="108"/>
  <c r="AP18" i="109"/>
  <c r="AN18" i="109"/>
  <c r="AQ18" i="109" s="1"/>
  <c r="AK17" i="103"/>
  <c r="AI17" i="103"/>
  <c r="W17" i="103"/>
  <c r="AI20" i="101"/>
  <c r="W20" i="101"/>
  <c r="AK20" i="101"/>
  <c r="AL20" i="101" s="1"/>
  <c r="AI31" i="102"/>
  <c r="AK31" i="102"/>
  <c r="AL31" i="102" s="1"/>
  <c r="W31" i="102"/>
  <c r="AK20" i="99"/>
  <c r="W20" i="99"/>
  <c r="AM20" i="99"/>
  <c r="AI20" i="99"/>
  <c r="AJ20" i="99"/>
  <c r="AK18" i="103"/>
  <c r="W18" i="103"/>
  <c r="AI24" i="102"/>
  <c r="AK24" i="102"/>
  <c r="AL24" i="102" s="1"/>
  <c r="W24" i="102"/>
  <c r="AN10" i="100"/>
  <c r="AI10" i="100"/>
  <c r="AK10" i="100"/>
  <c r="AM17" i="99"/>
  <c r="AI17" i="99"/>
  <c r="AJ17" i="99"/>
  <c r="W17" i="99"/>
  <c r="AK17" i="99"/>
  <c r="AN17" i="99" s="1"/>
  <c r="AK15" i="99"/>
  <c r="AJ15" i="99"/>
  <c r="AI15" i="99"/>
  <c r="AM15" i="99"/>
  <c r="W48" i="102"/>
  <c r="AK48" i="102"/>
  <c r="AL48" i="102" s="1"/>
  <c r="AI48" i="102"/>
  <c r="AK15" i="100"/>
  <c r="AL15" i="100" s="1"/>
  <c r="AI15" i="100"/>
  <c r="W15" i="100"/>
  <c r="AJ12" i="99"/>
  <c r="AI12" i="99"/>
  <c r="AM12" i="99"/>
  <c r="AK12" i="99"/>
  <c r="W12" i="99"/>
  <c r="AK16" i="102"/>
  <c r="AI16" i="102"/>
  <c r="AK32" i="102"/>
  <c r="AI32" i="102"/>
  <c r="AJ11" i="99"/>
  <c r="AM11" i="99"/>
  <c r="AI11" i="99"/>
  <c r="AK11" i="99"/>
  <c r="W11" i="99"/>
  <c r="AK27" i="102"/>
  <c r="AL27" i="102" s="1"/>
  <c r="AI27" i="102"/>
  <c r="W27" i="102"/>
  <c r="W13" i="100"/>
  <c r="AK13" i="100"/>
  <c r="AL13" i="100" s="1"/>
  <c r="AI13" i="100"/>
  <c r="AK10" i="104"/>
  <c r="AI10" i="104"/>
  <c r="W37" i="102"/>
  <c r="AK37" i="102"/>
  <c r="AL37" i="102" s="1"/>
  <c r="AI37" i="102"/>
  <c r="AQ24" i="103"/>
  <c r="AI14" i="103"/>
  <c r="AK14" i="103"/>
  <c r="W14" i="103"/>
  <c r="W21" i="103"/>
  <c r="AI21" i="103"/>
  <c r="AK21" i="103"/>
  <c r="W11" i="101"/>
  <c r="AK11" i="101"/>
  <c r="AL11" i="101" s="1"/>
  <c r="AI11" i="101"/>
  <c r="W16" i="101"/>
  <c r="AK16" i="101"/>
  <c r="AL16" i="101" s="1"/>
  <c r="AI16" i="101"/>
  <c r="AL15" i="103"/>
  <c r="AP15" i="103"/>
  <c r="AN15" i="103"/>
  <c r="T16" i="103"/>
  <c r="V16" i="103" s="1"/>
  <c r="AI18" i="100"/>
  <c r="AK18" i="100"/>
  <c r="AL18" i="100" s="1"/>
  <c r="W18" i="100"/>
  <c r="AN25" i="99"/>
  <c r="AN24" i="99"/>
  <c r="AP20" i="103"/>
  <c r="AN20" i="103"/>
  <c r="AP20" i="102"/>
  <c r="AL20" i="102"/>
  <c r="AM20" i="102" s="1"/>
  <c r="AN20" i="102"/>
  <c r="AI13" i="104"/>
  <c r="W13" i="104"/>
  <c r="AK13" i="104"/>
  <c r="AL13" i="104" s="1"/>
  <c r="AP10" i="103"/>
  <c r="AL10" i="103"/>
  <c r="AM10" i="103" s="1"/>
  <c r="AN10" i="103"/>
  <c r="S9" i="99"/>
  <c r="S28" i="99" s="1"/>
  <c r="AI19" i="102"/>
  <c r="W19" i="102"/>
  <c r="AK19" i="102"/>
  <c r="AL19" i="102" s="1"/>
  <c r="AK12" i="101"/>
  <c r="AL12" i="101" s="1"/>
  <c r="AI12" i="101"/>
  <c r="W12" i="101"/>
  <c r="W21" i="104"/>
  <c r="AK21" i="104"/>
  <c r="AL21" i="104" s="1"/>
  <c r="AI21" i="104"/>
  <c r="AK11" i="104"/>
  <c r="AL11" i="104" s="1"/>
  <c r="AI11" i="104"/>
  <c r="W11" i="104"/>
  <c r="AP12" i="102"/>
  <c r="AQ12" i="102" s="1"/>
  <c r="W12" i="102" s="1"/>
  <c r="AL12" i="102"/>
  <c r="AM12" i="102" s="1"/>
  <c r="AP12" i="103"/>
  <c r="AN12" i="103"/>
  <c r="AL12" i="103"/>
  <c r="T65" i="102"/>
  <c r="V13" i="102"/>
  <c r="V9" i="103"/>
  <c r="AP19" i="103"/>
  <c r="AN19" i="103"/>
  <c r="AP11" i="103"/>
  <c r="AN11" i="103"/>
  <c r="AL11" i="103"/>
  <c r="AK29" i="102"/>
  <c r="AI29" i="102"/>
  <c r="W17" i="100"/>
  <c r="AI17" i="100"/>
  <c r="AK17" i="100"/>
  <c r="AL17" i="100" s="1"/>
  <c r="AL13" i="103"/>
  <c r="AP13" i="103"/>
  <c r="AN13" i="103"/>
  <c r="AN23" i="103"/>
  <c r="AP23" i="103"/>
  <c r="AN15" i="102"/>
  <c r="AQ15" i="102" s="1"/>
  <c r="W15" i="102" s="1"/>
  <c r="AL15" i="102"/>
  <c r="AP15" i="102"/>
  <c r="AM19" i="99"/>
  <c r="AI19" i="99"/>
  <c r="AJ19" i="99"/>
  <c r="AK19" i="99"/>
  <c r="W19" i="99"/>
  <c r="AK18" i="101"/>
  <c r="AL18" i="101" s="1"/>
  <c r="AI18" i="101"/>
  <c r="W18" i="101"/>
  <c r="P9" i="104"/>
  <c r="AK25" i="102"/>
  <c r="AL25" i="102" s="1"/>
  <c r="W25" i="102"/>
  <c r="AI25" i="102"/>
  <c r="W17" i="101"/>
  <c r="AK17" i="101"/>
  <c r="AL17" i="101" s="1"/>
  <c r="AI17" i="101"/>
  <c r="AI43" i="102"/>
  <c r="AK43" i="102"/>
  <c r="P52" i="102"/>
  <c r="P64" i="102"/>
  <c r="P67" i="102" s="1"/>
  <c r="S9" i="102"/>
  <c r="R9" i="102"/>
  <c r="Q9" i="102"/>
  <c r="S9" i="100"/>
  <c r="S21" i="100" s="1"/>
  <c r="AK10" i="101"/>
  <c r="AN10" i="101"/>
  <c r="AI10" i="101"/>
  <c r="AI21" i="102"/>
  <c r="AK21" i="102"/>
  <c r="AK14" i="102"/>
  <c r="AI14" i="102"/>
  <c r="W30" i="102"/>
  <c r="AI30" i="102"/>
  <c r="AK30" i="102"/>
  <c r="AL30" i="102" s="1"/>
  <c r="AM30" i="102" s="1"/>
  <c r="AM13" i="99"/>
  <c r="AI13" i="99"/>
  <c r="AJ13" i="99"/>
  <c r="AK13" i="99"/>
  <c r="W50" i="102"/>
  <c r="AK50" i="102"/>
  <c r="AL50" i="102" s="1"/>
  <c r="AI50" i="102"/>
  <c r="AK14" i="104"/>
  <c r="AI14" i="104"/>
  <c r="S9" i="101"/>
  <c r="S23" i="101" s="1"/>
  <c r="AN21" i="99"/>
  <c r="AN14" i="99"/>
  <c r="S65" i="102"/>
  <c r="AP34" i="102"/>
  <c r="AL34" i="102"/>
  <c r="AN34" i="102"/>
  <c r="W19" i="101"/>
  <c r="AK19" i="101"/>
  <c r="AL19" i="101" s="1"/>
  <c r="AI19" i="101"/>
  <c r="AG42" i="84"/>
  <c r="K34" i="84"/>
  <c r="K31" i="84"/>
  <c r="K21" i="84"/>
  <c r="K18" i="84"/>
  <c r="AN10" i="102" l="1"/>
  <c r="AK10" i="102"/>
  <c r="AL10" i="102" s="1"/>
  <c r="AM10" i="102" s="1"/>
  <c r="AI10" i="102"/>
  <c r="AP10" i="102"/>
  <c r="AL22" i="103"/>
  <c r="AK28" i="102"/>
  <c r="AI28" i="102"/>
  <c r="Q66" i="102"/>
  <c r="T11" i="102"/>
  <c r="S11" i="102"/>
  <c r="S66" i="102" s="1"/>
  <c r="AL10" i="107"/>
  <c r="AM10" i="107" s="1"/>
  <c r="AP10" i="107"/>
  <c r="AQ11" i="103"/>
  <c r="W11" i="103" s="1"/>
  <c r="AN22" i="103"/>
  <c r="AQ22" i="103" s="1"/>
  <c r="AQ20" i="103"/>
  <c r="AQ15" i="103"/>
  <c r="AQ15" i="109"/>
  <c r="AQ20" i="109"/>
  <c r="AN23" i="99"/>
  <c r="AQ10" i="107"/>
  <c r="W10" i="107" s="1"/>
  <c r="AN20" i="105"/>
  <c r="T25" i="103"/>
  <c r="AQ12" i="103"/>
  <c r="AQ10" i="103"/>
  <c r="W10" i="103" s="1"/>
  <c r="AQ20" i="102"/>
  <c r="W20" i="102" s="1"/>
  <c r="AQ14" i="110"/>
  <c r="W14" i="110" s="1"/>
  <c r="AJ13" i="105"/>
  <c r="AM13" i="105"/>
  <c r="AI13" i="105"/>
  <c r="AK13" i="105"/>
  <c r="AN10" i="110"/>
  <c r="AL10" i="110"/>
  <c r="AM10" i="110" s="1"/>
  <c r="AP10" i="110"/>
  <c r="AQ21" i="108"/>
  <c r="W21" i="108" s="1"/>
  <c r="V9" i="110"/>
  <c r="T28" i="110"/>
  <c r="AL15" i="108"/>
  <c r="AP15" i="108"/>
  <c r="AN15" i="108"/>
  <c r="AQ15" i="108" s="1"/>
  <c r="W15" i="108" s="1"/>
  <c r="S67" i="108"/>
  <c r="AQ16" i="108"/>
  <c r="W16" i="108" s="1"/>
  <c r="AP12" i="108"/>
  <c r="AQ12" i="108" s="1"/>
  <c r="W12" i="108" s="1"/>
  <c r="AL12" i="108"/>
  <c r="AM12" i="108" s="1"/>
  <c r="AN22" i="105"/>
  <c r="AN43" i="108"/>
  <c r="AL43" i="108"/>
  <c r="AM43" i="108" s="1"/>
  <c r="AP43" i="108"/>
  <c r="AN16" i="105"/>
  <c r="AP14" i="108"/>
  <c r="AL14" i="108"/>
  <c r="AM14" i="108" s="1"/>
  <c r="AN14" i="108"/>
  <c r="AQ14" i="108" s="1"/>
  <c r="W14" i="108" s="1"/>
  <c r="P28" i="105"/>
  <c r="Q9" i="105"/>
  <c r="Q28" i="105" s="1"/>
  <c r="R9" i="105"/>
  <c r="R28" i="105" s="1"/>
  <c r="T23" i="107"/>
  <c r="V9" i="107"/>
  <c r="AQ21" i="109"/>
  <c r="AQ22" i="109"/>
  <c r="AN10" i="105"/>
  <c r="W10" i="105" s="1"/>
  <c r="AN32" i="108"/>
  <c r="AL32" i="108"/>
  <c r="AP32" i="108"/>
  <c r="V64" i="108"/>
  <c r="AP9" i="108"/>
  <c r="AK9" i="108"/>
  <c r="AL9" i="108" s="1"/>
  <c r="AM9" i="108" s="1"/>
  <c r="AN9" i="108"/>
  <c r="AI9" i="108"/>
  <c r="AN10" i="109"/>
  <c r="AQ10" i="109" s="1"/>
  <c r="W10" i="109" s="1"/>
  <c r="AL10" i="109"/>
  <c r="AM10" i="109" s="1"/>
  <c r="AP10" i="109"/>
  <c r="AP14" i="109"/>
  <c r="AL14" i="109"/>
  <c r="AN14" i="109"/>
  <c r="T13" i="108"/>
  <c r="AI27" i="108"/>
  <c r="W27" i="108"/>
  <c r="AK27" i="108"/>
  <c r="AL27" i="108" s="1"/>
  <c r="S9" i="106"/>
  <c r="S21" i="106" s="1"/>
  <c r="AQ24" i="109"/>
  <c r="AP12" i="109"/>
  <c r="AN12" i="109"/>
  <c r="AL12" i="109"/>
  <c r="T9" i="106"/>
  <c r="AQ28" i="108"/>
  <c r="W28" i="108" s="1"/>
  <c r="AQ29" i="108"/>
  <c r="W29" i="108" s="1"/>
  <c r="AN17" i="109"/>
  <c r="AL17" i="109"/>
  <c r="AP17" i="109"/>
  <c r="S9" i="109"/>
  <c r="S25" i="109" s="1"/>
  <c r="AQ20" i="108"/>
  <c r="W20" i="108" s="1"/>
  <c r="T11" i="108"/>
  <c r="AN15" i="105"/>
  <c r="W15" i="105" s="1"/>
  <c r="AN25" i="105"/>
  <c r="AP23" i="109"/>
  <c r="AN23" i="109"/>
  <c r="AQ23" i="109" s="1"/>
  <c r="AN14" i="105"/>
  <c r="AN34" i="108"/>
  <c r="AL34" i="108"/>
  <c r="AP34" i="108"/>
  <c r="S52" i="102"/>
  <c r="S64" i="102"/>
  <c r="S67" i="102" s="1"/>
  <c r="T9" i="100"/>
  <c r="V25" i="103"/>
  <c r="I31" i="103" s="1"/>
  <c r="K31" i="103" s="1"/>
  <c r="AK9" i="103"/>
  <c r="AI9" i="103"/>
  <c r="AN21" i="102"/>
  <c r="AP21" i="102"/>
  <c r="AL21" i="102"/>
  <c r="AP10" i="101"/>
  <c r="AQ10" i="101" s="1"/>
  <c r="W10" i="101" s="1"/>
  <c r="AL10" i="101"/>
  <c r="AM10" i="101" s="1"/>
  <c r="R52" i="102"/>
  <c r="R64" i="102"/>
  <c r="R67" i="102" s="1"/>
  <c r="T9" i="99"/>
  <c r="AI16" i="103"/>
  <c r="AK16" i="103"/>
  <c r="W16" i="103"/>
  <c r="T9" i="101"/>
  <c r="AN15" i="99"/>
  <c r="W15" i="99" s="1"/>
  <c r="AN18" i="103"/>
  <c r="AQ18" i="103" s="1"/>
  <c r="AP18" i="103"/>
  <c r="Q9" i="104"/>
  <c r="Q28" i="104" s="1"/>
  <c r="P28" i="104"/>
  <c r="R9" i="104"/>
  <c r="R28" i="104" s="1"/>
  <c r="AN19" i="99"/>
  <c r="AQ23" i="103"/>
  <c r="AN10" i="104"/>
  <c r="AP10" i="104"/>
  <c r="AL10" i="104"/>
  <c r="AM10" i="104" s="1"/>
  <c r="AN11" i="99"/>
  <c r="AP10" i="100"/>
  <c r="AQ10" i="100" s="1"/>
  <c r="W10" i="100" s="1"/>
  <c r="AL10" i="100"/>
  <c r="AM10" i="100" s="1"/>
  <c r="AN20" i="99"/>
  <c r="AP43" i="102"/>
  <c r="AL43" i="102"/>
  <c r="AM43" i="102" s="1"/>
  <c r="AN43" i="102"/>
  <c r="AP16" i="102"/>
  <c r="AL16" i="102"/>
  <c r="AM16" i="102" s="1"/>
  <c r="AN16" i="102"/>
  <c r="AQ16" i="102" s="1"/>
  <c r="W16" i="102" s="1"/>
  <c r="T9" i="102"/>
  <c r="AQ34" i="102"/>
  <c r="W34" i="102" s="1"/>
  <c r="AL14" i="104"/>
  <c r="AP14" i="104"/>
  <c r="AN14" i="104"/>
  <c r="AN13" i="99"/>
  <c r="W13" i="99" s="1"/>
  <c r="AN14" i="102"/>
  <c r="AL14" i="102"/>
  <c r="AM14" i="102" s="1"/>
  <c r="AP14" i="102"/>
  <c r="Q64" i="102"/>
  <c r="Q52" i="102"/>
  <c r="AQ13" i="103"/>
  <c r="AP29" i="102"/>
  <c r="AL29" i="102"/>
  <c r="AN29" i="102"/>
  <c r="AQ29" i="102" s="1"/>
  <c r="W29" i="102" s="1"/>
  <c r="AQ19" i="103"/>
  <c r="V65" i="102"/>
  <c r="AI13" i="102"/>
  <c r="W13" i="102"/>
  <c r="AK13" i="102"/>
  <c r="AL13" i="102" s="1"/>
  <c r="AN21" i="103"/>
  <c r="AL21" i="103"/>
  <c r="AP21" i="103"/>
  <c r="AP14" i="103"/>
  <c r="AN14" i="103"/>
  <c r="AL14" i="103"/>
  <c r="AP32" i="102"/>
  <c r="AL32" i="102"/>
  <c r="AN32" i="102"/>
  <c r="AN12" i="99"/>
  <c r="AQ10" i="102"/>
  <c r="W10" i="102" s="1"/>
  <c r="AP17" i="103"/>
  <c r="AL17" i="103"/>
  <c r="AN17" i="103"/>
  <c r="H16" i="42"/>
  <c r="E16" i="42"/>
  <c r="D15" i="42"/>
  <c r="C15" i="42"/>
  <c r="D14" i="42"/>
  <c r="C14" i="42"/>
  <c r="D13" i="42"/>
  <c r="C13" i="42"/>
  <c r="G12" i="42"/>
  <c r="F12" i="42"/>
  <c r="D12" i="42"/>
  <c r="D11" i="42"/>
  <c r="C11" i="42"/>
  <c r="D10" i="42"/>
  <c r="C10" i="42"/>
  <c r="H17" i="80"/>
  <c r="H16" i="80"/>
  <c r="Q67" i="102" l="1"/>
  <c r="AN13" i="105"/>
  <c r="W13" i="105" s="1"/>
  <c r="AN28" i="102"/>
  <c r="AP28" i="102"/>
  <c r="AL28" i="102"/>
  <c r="AQ14" i="104"/>
  <c r="W14" i="104" s="1"/>
  <c r="AQ43" i="102"/>
  <c r="W43" i="102" s="1"/>
  <c r="S9" i="104"/>
  <c r="S28" i="104" s="1"/>
  <c r="AQ12" i="109"/>
  <c r="AQ14" i="109"/>
  <c r="V11" i="102"/>
  <c r="T66" i="102"/>
  <c r="S9" i="105"/>
  <c r="S28" i="105" s="1"/>
  <c r="AQ32" i="108"/>
  <c r="W32" i="108" s="1"/>
  <c r="AK9" i="107"/>
  <c r="AN9" i="107"/>
  <c r="AI9" i="107"/>
  <c r="V23" i="107"/>
  <c r="K28" i="107" s="1"/>
  <c r="M28" i="107" s="1"/>
  <c r="V28" i="110"/>
  <c r="I33" i="110" s="1"/>
  <c r="K33" i="110" s="1"/>
  <c r="AK9" i="110"/>
  <c r="AI9" i="110"/>
  <c r="AQ10" i="110"/>
  <c r="W10" i="110" s="1"/>
  <c r="T66" i="108"/>
  <c r="V11" i="108"/>
  <c r="T52" i="108"/>
  <c r="V9" i="106"/>
  <c r="T21" i="106"/>
  <c r="AQ34" i="108"/>
  <c r="W34" i="108" s="1"/>
  <c r="AQ17" i="109"/>
  <c r="T65" i="108"/>
  <c r="V13" i="108"/>
  <c r="AQ9" i="108"/>
  <c r="W9" i="108" s="1"/>
  <c r="T9" i="105"/>
  <c r="AQ43" i="108"/>
  <c r="W43" i="108" s="1"/>
  <c r="T9" i="109"/>
  <c r="AQ10" i="104"/>
  <c r="W10" i="104" s="1"/>
  <c r="T23" i="101"/>
  <c r="V9" i="101"/>
  <c r="AQ21" i="102"/>
  <c r="W21" i="102" s="1"/>
  <c r="V9" i="100"/>
  <c r="T21" i="100"/>
  <c r="AQ14" i="102"/>
  <c r="W14" i="102" s="1"/>
  <c r="T9" i="104"/>
  <c r="T28" i="99"/>
  <c r="V9" i="99"/>
  <c r="T52" i="102"/>
  <c r="T64" i="102"/>
  <c r="V9" i="102"/>
  <c r="AQ17" i="103"/>
  <c r="AQ32" i="102"/>
  <c r="W32" i="102" s="1"/>
  <c r="AQ14" i="103"/>
  <c r="AQ21" i="103"/>
  <c r="AP16" i="103"/>
  <c r="AN16" i="103"/>
  <c r="AL16" i="103"/>
  <c r="AP9" i="103"/>
  <c r="AL9" i="103"/>
  <c r="AM9" i="103" s="1"/>
  <c r="AN9" i="103"/>
  <c r="D16" i="42"/>
  <c r="H27" i="86"/>
  <c r="H10" i="86"/>
  <c r="H11" i="86"/>
  <c r="AN11" i="102" l="1"/>
  <c r="AK11" i="102"/>
  <c r="AL11" i="102" s="1"/>
  <c r="AM11" i="102" s="1"/>
  <c r="V66" i="102"/>
  <c r="AI11" i="102"/>
  <c r="AP11" i="102"/>
  <c r="AQ28" i="102"/>
  <c r="W28" i="102" s="1"/>
  <c r="W65" i="102" s="1"/>
  <c r="X65" i="102" s="1"/>
  <c r="T67" i="108"/>
  <c r="AQ9" i="103"/>
  <c r="W9" i="103" s="1"/>
  <c r="W25" i="103" s="1"/>
  <c r="J31" i="103" s="1"/>
  <c r="L31" i="103" s="1"/>
  <c r="AQ16" i="103"/>
  <c r="T67" i="102"/>
  <c r="W64" i="108"/>
  <c r="V66" i="108"/>
  <c r="AP11" i="108"/>
  <c r="AK11" i="108"/>
  <c r="AL11" i="108" s="1"/>
  <c r="AM11" i="108" s="1"/>
  <c r="AN11" i="108"/>
  <c r="AI11" i="108"/>
  <c r="V52" i="108"/>
  <c r="K57" i="108" s="1"/>
  <c r="M57" i="108" s="1"/>
  <c r="AN9" i="110"/>
  <c r="AL9" i="110"/>
  <c r="AM9" i="110" s="1"/>
  <c r="AP9" i="110"/>
  <c r="T28" i="105"/>
  <c r="V9" i="105"/>
  <c r="V65" i="108"/>
  <c r="W13" i="108"/>
  <c r="W65" i="108" s="1"/>
  <c r="AK13" i="108"/>
  <c r="AL13" i="108" s="1"/>
  <c r="AI13" i="108"/>
  <c r="AL9" i="107"/>
  <c r="AM9" i="107" s="1"/>
  <c r="AP9" i="107"/>
  <c r="AQ9" i="107" s="1"/>
  <c r="W9" i="107" s="1"/>
  <c r="W23" i="107" s="1"/>
  <c r="L28" i="107" s="1"/>
  <c r="N28" i="107" s="1"/>
  <c r="V21" i="106"/>
  <c r="I28" i="106" s="1"/>
  <c r="K28" i="106" s="1"/>
  <c r="AK9" i="106"/>
  <c r="AI9" i="106"/>
  <c r="AN9" i="106"/>
  <c r="T25" i="109"/>
  <c r="V9" i="109"/>
  <c r="AK9" i="99"/>
  <c r="AJ9" i="99"/>
  <c r="AM9" i="99"/>
  <c r="AI9" i="99"/>
  <c r="V28" i="99"/>
  <c r="I34" i="99" s="1"/>
  <c r="K34" i="99" s="1"/>
  <c r="V52" i="102"/>
  <c r="K57" i="102" s="1"/>
  <c r="M57" i="102" s="1"/>
  <c r="V64" i="102"/>
  <c r="AP9" i="102"/>
  <c r="AK9" i="102"/>
  <c r="AL9" i="102" s="1"/>
  <c r="AM9" i="102" s="1"/>
  <c r="AN9" i="102"/>
  <c r="AI9" i="102"/>
  <c r="AK9" i="101"/>
  <c r="AN9" i="101"/>
  <c r="AI9" i="101"/>
  <c r="V23" i="101"/>
  <c r="K28" i="101" s="1"/>
  <c r="M28" i="101" s="1"/>
  <c r="V21" i="100"/>
  <c r="I28" i="100" s="1"/>
  <c r="K28" i="100" s="1"/>
  <c r="AK9" i="100"/>
  <c r="AI9" i="100"/>
  <c r="AN9" i="100"/>
  <c r="V9" i="104"/>
  <c r="T28" i="104"/>
  <c r="X25" i="85"/>
  <c r="AF23" i="85"/>
  <c r="AC23" i="85"/>
  <c r="Z23" i="85"/>
  <c r="AF20" i="85"/>
  <c r="AC20" i="85"/>
  <c r="Z20" i="85"/>
  <c r="AF19" i="85"/>
  <c r="AC19" i="85"/>
  <c r="Z19" i="85"/>
  <c r="AF18" i="85"/>
  <c r="AC18" i="85"/>
  <c r="Z18" i="85"/>
  <c r="AS9" i="85"/>
  <c r="AQ11" i="102" l="1"/>
  <c r="W11" i="102" s="1"/>
  <c r="W66" i="102" s="1"/>
  <c r="X66" i="102" s="1"/>
  <c r="AP9" i="106"/>
  <c r="AQ9" i="106" s="1"/>
  <c r="W9" i="106" s="1"/>
  <c r="W21" i="106" s="1"/>
  <c r="J28" i="106" s="1"/>
  <c r="L28" i="106" s="1"/>
  <c r="AL9" i="106"/>
  <c r="AM9" i="106" s="1"/>
  <c r="X65" i="108"/>
  <c r="V67" i="108"/>
  <c r="AQ11" i="108"/>
  <c r="W11" i="108" s="1"/>
  <c r="V25" i="109"/>
  <c r="I31" i="109" s="1"/>
  <c r="K31" i="109" s="1"/>
  <c r="AI9" i="109"/>
  <c r="AK9" i="109"/>
  <c r="AM9" i="105"/>
  <c r="AI9" i="105"/>
  <c r="AJ9" i="105"/>
  <c r="V28" i="105"/>
  <c r="I34" i="105" s="1"/>
  <c r="K34" i="105" s="1"/>
  <c r="AK9" i="105"/>
  <c r="AN9" i="105" s="1"/>
  <c r="AQ9" i="110"/>
  <c r="W9" i="110" s="1"/>
  <c r="W28" i="110" s="1"/>
  <c r="J33" i="110" s="1"/>
  <c r="L33" i="110" s="1"/>
  <c r="X64" i="108"/>
  <c r="V67" i="102"/>
  <c r="V28" i="104"/>
  <c r="I33" i="104" s="1"/>
  <c r="K33" i="104" s="1"/>
  <c r="AK9" i="104"/>
  <c r="AI9" i="104"/>
  <c r="AQ9" i="102"/>
  <c r="W9" i="102" s="1"/>
  <c r="AP9" i="101"/>
  <c r="AL9" i="101"/>
  <c r="AM9" i="101" s="1"/>
  <c r="AP9" i="100"/>
  <c r="AQ9" i="100" s="1"/>
  <c r="W9" i="100" s="1"/>
  <c r="W21" i="100" s="1"/>
  <c r="J28" i="100" s="1"/>
  <c r="L28" i="100" s="1"/>
  <c r="AL9" i="100"/>
  <c r="AM9" i="100" s="1"/>
  <c r="AQ9" i="101"/>
  <c r="W9" i="101" s="1"/>
  <c r="W23" i="101" s="1"/>
  <c r="L28" i="101" s="1"/>
  <c r="N28" i="101" s="1"/>
  <c r="AN9" i="99"/>
  <c r="AG19" i="85"/>
  <c r="AH19" i="85" s="1"/>
  <c r="AG23" i="85"/>
  <c r="AH23" i="85" s="1"/>
  <c r="AG18" i="85"/>
  <c r="AH18" i="85" s="1"/>
  <c r="AG20" i="85"/>
  <c r="AH20" i="85" s="1"/>
  <c r="J17" i="85"/>
  <c r="W66" i="108" l="1"/>
  <c r="W52" i="108"/>
  <c r="L57" i="108" s="1"/>
  <c r="N57" i="108" s="1"/>
  <c r="AN28" i="105"/>
  <c r="W9" i="105"/>
  <c r="W28" i="105" s="1"/>
  <c r="J34" i="105" s="1"/>
  <c r="L34" i="105" s="1"/>
  <c r="AP9" i="109"/>
  <c r="AL9" i="109"/>
  <c r="AM9" i="109" s="1"/>
  <c r="AN9" i="109"/>
  <c r="AQ9" i="109" s="1"/>
  <c r="W9" i="109" s="1"/>
  <c r="W25" i="109" s="1"/>
  <c r="J31" i="109" s="1"/>
  <c r="L31" i="109" s="1"/>
  <c r="Y67" i="108"/>
  <c r="Y67" i="102"/>
  <c r="W52" i="102"/>
  <c r="L57" i="102" s="1"/>
  <c r="N57" i="102" s="1"/>
  <c r="W64" i="102"/>
  <c r="W9" i="99"/>
  <c r="W28" i="99" s="1"/>
  <c r="J34" i="99" s="1"/>
  <c r="L34" i="99" s="1"/>
  <c r="AN28" i="99"/>
  <c r="AN9" i="104"/>
  <c r="AP9" i="104"/>
  <c r="AL9" i="104"/>
  <c r="AM9" i="104" s="1"/>
  <c r="H11" i="85"/>
  <c r="E18" i="85"/>
  <c r="F18" i="85" s="1"/>
  <c r="E19" i="85"/>
  <c r="F19" i="85" s="1"/>
  <c r="L19" i="85" s="1"/>
  <c r="M19" i="85" s="1"/>
  <c r="O19" i="85" s="1"/>
  <c r="P19" i="85" s="1"/>
  <c r="E20" i="85"/>
  <c r="F20" i="85" s="1"/>
  <c r="L20" i="85" s="1"/>
  <c r="M20" i="85" s="1"/>
  <c r="E21" i="85"/>
  <c r="F21" i="85" s="1"/>
  <c r="K21" i="85" s="1"/>
  <c r="E22" i="85"/>
  <c r="F22" i="85" s="1"/>
  <c r="E23" i="85"/>
  <c r="F23" i="85" s="1"/>
  <c r="L23" i="85" s="1"/>
  <c r="M23" i="85" s="1"/>
  <c r="X66" i="108" l="1"/>
  <c r="W67" i="108"/>
  <c r="AQ9" i="104"/>
  <c r="W9" i="104" s="1"/>
  <c r="W28" i="104" s="1"/>
  <c r="J33" i="104" s="1"/>
  <c r="L33" i="104" s="1"/>
  <c r="W67" i="102"/>
  <c r="X64" i="102"/>
  <c r="O20" i="85"/>
  <c r="P20" i="85" s="1"/>
  <c r="O23" i="85"/>
  <c r="P23" i="85" s="1"/>
  <c r="R19" i="85"/>
  <c r="Q19" i="85"/>
  <c r="K18" i="85"/>
  <c r="L18" i="85"/>
  <c r="Z67" i="108" l="1"/>
  <c r="X67" i="108"/>
  <c r="Z67" i="102"/>
  <c r="X67" i="102"/>
  <c r="S19" i="85"/>
  <c r="T19" i="85" s="1"/>
  <c r="V19" i="85" s="1"/>
  <c r="W19" i="85" s="1"/>
  <c r="Q23" i="85"/>
  <c r="R23" i="85"/>
  <c r="Q20" i="85"/>
  <c r="R20" i="85"/>
  <c r="M18" i="85"/>
  <c r="AL12" i="80"/>
  <c r="AL14" i="80"/>
  <c r="AL16" i="80"/>
  <c r="AL17" i="80"/>
  <c r="AL18" i="80"/>
  <c r="AL19" i="80"/>
  <c r="AL20" i="80"/>
  <c r="AL21" i="80"/>
  <c r="AL22" i="80"/>
  <c r="AL23" i="80"/>
  <c r="AL24" i="80"/>
  <c r="AL25" i="80"/>
  <c r="AL26" i="80"/>
  <c r="AK19" i="85" l="1"/>
  <c r="AN19" i="85" s="1"/>
  <c r="S20" i="85"/>
  <c r="T20" i="85" s="1"/>
  <c r="V20" i="85" s="1"/>
  <c r="W20" i="85" s="1"/>
  <c r="S23" i="85"/>
  <c r="T23" i="85" s="1"/>
  <c r="V23" i="85" s="1"/>
  <c r="W23" i="85" s="1"/>
  <c r="O18" i="85"/>
  <c r="P18" i="85" s="1"/>
  <c r="W42" i="84"/>
  <c r="K30" i="84"/>
  <c r="K35" i="84"/>
  <c r="K48" i="84"/>
  <c r="K33" i="84"/>
  <c r="K32" i="84"/>
  <c r="K13" i="84"/>
  <c r="K47" i="84"/>
  <c r="K29" i="84"/>
  <c r="H21" i="84"/>
  <c r="H14" i="84"/>
  <c r="H13" i="84"/>
  <c r="G49" i="84"/>
  <c r="G48" i="84"/>
  <c r="G47" i="84"/>
  <c r="G44" i="84"/>
  <c r="AP19" i="85" l="1"/>
  <c r="AQ19" i="85" s="1"/>
  <c r="AK20" i="85"/>
  <c r="AP20" i="85" s="1"/>
  <c r="AK23" i="85"/>
  <c r="AN23" i="85" s="1"/>
  <c r="Q18" i="85"/>
  <c r="R18" i="85"/>
  <c r="C51" i="84"/>
  <c r="C44" i="84"/>
  <c r="C39" i="84"/>
  <c r="C27" i="84"/>
  <c r="J57" i="84"/>
  <c r="I57" i="84"/>
  <c r="G13" i="42" l="1"/>
  <c r="G16" i="42" s="1"/>
  <c r="D22" i="42" s="1"/>
  <c r="G13" i="111"/>
  <c r="F13" i="42"/>
  <c r="F16" i="42" s="1"/>
  <c r="F13" i="111"/>
  <c r="AN20" i="85"/>
  <c r="AQ20" i="85" s="1"/>
  <c r="AP23" i="85"/>
  <c r="AQ23" i="85" s="1"/>
  <c r="S18" i="85"/>
  <c r="T18" i="85" s="1"/>
  <c r="V18" i="85" s="1"/>
  <c r="W18" i="85" s="1"/>
  <c r="K19" i="80"/>
  <c r="K24" i="80"/>
  <c r="K16" i="80"/>
  <c r="K17" i="80"/>
  <c r="AK18" i="85" l="1"/>
  <c r="AN18" i="85" s="1"/>
  <c r="K22" i="80"/>
  <c r="K11" i="80"/>
  <c r="K9" i="80"/>
  <c r="K20" i="80"/>
  <c r="AP18" i="85" l="1"/>
  <c r="AQ18" i="85" s="1"/>
  <c r="K9" i="81"/>
  <c r="K15" i="81" l="1"/>
  <c r="AL27" i="80" l="1"/>
  <c r="H19" i="80" l="1"/>
  <c r="H24" i="80"/>
  <c r="H27" i="80"/>
  <c r="H14" i="80"/>
  <c r="H21" i="80"/>
  <c r="H18" i="80"/>
  <c r="H22" i="80"/>
  <c r="H26" i="80"/>
  <c r="H11" i="80"/>
  <c r="H12" i="80"/>
  <c r="H13" i="80"/>
  <c r="H15" i="80"/>
  <c r="H20" i="80"/>
  <c r="H25" i="80"/>
  <c r="H28" i="80" l="1"/>
  <c r="AQ13" i="84" l="1"/>
  <c r="AQ17" i="84"/>
  <c r="AQ18" i="84"/>
  <c r="AQ19" i="84"/>
  <c r="AQ22" i="84"/>
  <c r="AQ23" i="84"/>
  <c r="AQ24" i="84"/>
  <c r="AQ25" i="84"/>
  <c r="AQ26" i="84"/>
  <c r="AQ27" i="84"/>
  <c r="AQ30" i="84"/>
  <c r="AQ31" i="84"/>
  <c r="AQ33" i="84"/>
  <c r="AQ35" i="84"/>
  <c r="AQ36" i="84"/>
  <c r="AQ37" i="84"/>
  <c r="AQ38" i="84"/>
  <c r="AQ39" i="84"/>
  <c r="AQ40" i="84"/>
  <c r="AQ41" i="84"/>
  <c r="AQ42" i="84"/>
  <c r="AQ44" i="84"/>
  <c r="AQ45" i="84"/>
  <c r="AQ46" i="84"/>
  <c r="AQ47" i="84"/>
  <c r="AQ48" i="84"/>
  <c r="AQ49" i="84"/>
  <c r="AQ50" i="84"/>
  <c r="AQ51" i="84"/>
  <c r="AQ52" i="84"/>
  <c r="E25" i="86"/>
  <c r="F25" i="86" s="1"/>
  <c r="L25" i="86" s="1"/>
  <c r="M25" i="86" s="1"/>
  <c r="AS25" i="86"/>
  <c r="E24" i="86"/>
  <c r="F24" i="86" s="1"/>
  <c r="L24" i="86" s="1"/>
  <c r="M24" i="86" s="1"/>
  <c r="AS24" i="86"/>
  <c r="C28" i="86"/>
  <c r="B15" i="111" s="1"/>
  <c r="O24" i="86" l="1"/>
  <c r="P24" i="86" s="1"/>
  <c r="O25" i="86"/>
  <c r="P25" i="86" s="1"/>
  <c r="R24" i="86" l="1"/>
  <c r="Q24" i="86"/>
  <c r="Q25" i="86"/>
  <c r="R25" i="86"/>
  <c r="J34" i="84"/>
  <c r="H46" i="84"/>
  <c r="H40" i="84"/>
  <c r="K26" i="84"/>
  <c r="G22" i="85"/>
  <c r="G25" i="85" s="1"/>
  <c r="H21" i="85"/>
  <c r="H15" i="85"/>
  <c r="H17" i="85"/>
  <c r="H14" i="85"/>
  <c r="H16" i="85"/>
  <c r="H13" i="85"/>
  <c r="H22" i="85"/>
  <c r="K17" i="85"/>
  <c r="G18" i="81"/>
  <c r="G21" i="81" s="1"/>
  <c r="G20" i="81"/>
  <c r="G16" i="81"/>
  <c r="H18" i="81"/>
  <c r="H20" i="81"/>
  <c r="H16" i="81"/>
  <c r="G26" i="86"/>
  <c r="G27" i="86"/>
  <c r="G23" i="86"/>
  <c r="G28" i="86" s="1"/>
  <c r="H26" i="86"/>
  <c r="H23" i="86"/>
  <c r="H17" i="86"/>
  <c r="H19" i="86"/>
  <c r="H21" i="86"/>
  <c r="H18" i="86"/>
  <c r="H12" i="86"/>
  <c r="K10" i="86"/>
  <c r="K13" i="86"/>
  <c r="K11" i="86"/>
  <c r="K18" i="86"/>
  <c r="K23" i="86"/>
  <c r="E13" i="84"/>
  <c r="F13" i="84" s="1"/>
  <c r="E12" i="84"/>
  <c r="F12" i="84" s="1"/>
  <c r="L12" i="84" s="1"/>
  <c r="E10" i="84"/>
  <c r="F10" i="84" s="1"/>
  <c r="E11" i="84"/>
  <c r="E9" i="84"/>
  <c r="F9" i="84" s="1"/>
  <c r="AC22" i="86"/>
  <c r="AF19" i="86"/>
  <c r="AC11" i="86"/>
  <c r="AF10" i="86"/>
  <c r="AC22" i="85"/>
  <c r="AF22" i="85"/>
  <c r="AC11" i="85"/>
  <c r="E14" i="84"/>
  <c r="F14" i="84" s="1"/>
  <c r="E15" i="84"/>
  <c r="F15" i="84" s="1"/>
  <c r="E16" i="84"/>
  <c r="F16" i="84" s="1"/>
  <c r="K16" i="84" s="1"/>
  <c r="E17" i="84"/>
  <c r="E18" i="84"/>
  <c r="F18" i="84" s="1"/>
  <c r="E19" i="84"/>
  <c r="F19" i="84" s="1"/>
  <c r="K19" i="84" s="1"/>
  <c r="E20" i="84"/>
  <c r="F20" i="84" s="1"/>
  <c r="K20" i="84" s="1"/>
  <c r="E21" i="84"/>
  <c r="F21" i="84" s="1"/>
  <c r="E22" i="84"/>
  <c r="F22" i="84" s="1"/>
  <c r="K22" i="84" s="1"/>
  <c r="E23" i="84"/>
  <c r="F23" i="84" s="1"/>
  <c r="E24" i="84"/>
  <c r="F24" i="84" s="1"/>
  <c r="E25" i="84"/>
  <c r="F25" i="84" s="1"/>
  <c r="E26" i="84"/>
  <c r="F26" i="84" s="1"/>
  <c r="L26" i="84" s="1"/>
  <c r="E27" i="84"/>
  <c r="F27" i="84" s="1"/>
  <c r="E28" i="84"/>
  <c r="F28" i="84" s="1"/>
  <c r="E29" i="84"/>
  <c r="F29" i="84" s="1"/>
  <c r="L29" i="84" s="1"/>
  <c r="E30" i="84"/>
  <c r="F30" i="84" s="1"/>
  <c r="E31" i="84"/>
  <c r="F31" i="84" s="1"/>
  <c r="L31" i="84" s="1"/>
  <c r="E32" i="84"/>
  <c r="F32" i="84" s="1"/>
  <c r="L32" i="84" s="1"/>
  <c r="E33" i="84"/>
  <c r="F33" i="84" s="1"/>
  <c r="L33" i="84" s="1"/>
  <c r="E34" i="84"/>
  <c r="F34" i="84" s="1"/>
  <c r="E35" i="84"/>
  <c r="F35" i="84" s="1"/>
  <c r="L35" i="84" s="1"/>
  <c r="M35" i="84" s="1"/>
  <c r="O35" i="84" s="1"/>
  <c r="E36" i="84"/>
  <c r="F36" i="84" s="1"/>
  <c r="E37" i="84"/>
  <c r="E38" i="84"/>
  <c r="F38" i="84" s="1"/>
  <c r="M38" i="84" s="1"/>
  <c r="O38" i="84" s="1"/>
  <c r="E39" i="84"/>
  <c r="F39" i="84" s="1"/>
  <c r="M39" i="84" s="1"/>
  <c r="E40" i="84"/>
  <c r="F40" i="84" s="1"/>
  <c r="E41" i="84"/>
  <c r="F41" i="84" s="1"/>
  <c r="M41" i="84" s="1"/>
  <c r="E43" i="84"/>
  <c r="F43" i="84" s="1"/>
  <c r="E44" i="84"/>
  <c r="F44" i="84" s="1"/>
  <c r="E45" i="84"/>
  <c r="F45" i="84" s="1"/>
  <c r="E46" i="84"/>
  <c r="F46" i="84" s="1"/>
  <c r="E47" i="84"/>
  <c r="F47" i="84" s="1"/>
  <c r="E48" i="84"/>
  <c r="F48" i="84" s="1"/>
  <c r="E49" i="84"/>
  <c r="F49" i="84" s="1"/>
  <c r="L49" i="84" s="1"/>
  <c r="E50" i="84"/>
  <c r="F50" i="84" s="1"/>
  <c r="E51" i="84"/>
  <c r="F51" i="84" s="1"/>
  <c r="L51" i="84" s="1"/>
  <c r="AC9" i="84"/>
  <c r="AF9" i="84"/>
  <c r="AC10" i="84"/>
  <c r="AF10" i="84"/>
  <c r="AC11" i="84"/>
  <c r="AF11" i="84"/>
  <c r="AC12" i="84"/>
  <c r="AF12" i="84"/>
  <c r="AC13" i="84"/>
  <c r="AF13" i="84"/>
  <c r="AC14" i="84"/>
  <c r="AF14" i="84"/>
  <c r="AC15" i="84"/>
  <c r="AF15" i="84"/>
  <c r="AC16" i="84"/>
  <c r="AF16" i="84"/>
  <c r="AC17" i="84"/>
  <c r="AF17" i="84"/>
  <c r="AC18" i="84"/>
  <c r="AF18" i="84"/>
  <c r="AC19" i="84"/>
  <c r="AF19" i="84"/>
  <c r="AC20" i="84"/>
  <c r="AF20" i="84"/>
  <c r="AC21" i="84"/>
  <c r="AF21" i="84"/>
  <c r="AC22" i="84"/>
  <c r="AF22" i="84"/>
  <c r="AC23" i="84"/>
  <c r="AF23" i="84"/>
  <c r="AC24" i="84"/>
  <c r="AF24" i="84"/>
  <c r="AC25" i="84"/>
  <c r="AF25" i="84"/>
  <c r="AC26" i="84"/>
  <c r="AF26" i="84"/>
  <c r="AC27" i="84"/>
  <c r="AF27" i="84"/>
  <c r="AC28" i="84"/>
  <c r="AF28" i="84"/>
  <c r="AC29" i="84"/>
  <c r="AF29" i="84"/>
  <c r="AC30" i="84"/>
  <c r="AF30" i="84"/>
  <c r="AC31" i="84"/>
  <c r="AF31" i="84"/>
  <c r="AC32" i="84"/>
  <c r="AF32" i="84"/>
  <c r="AC33" i="84"/>
  <c r="AF33" i="84"/>
  <c r="AC34" i="84"/>
  <c r="AF34" i="84"/>
  <c r="AC35" i="84"/>
  <c r="AF35" i="84"/>
  <c r="AC36" i="84"/>
  <c r="AF36" i="84"/>
  <c r="AC37" i="84"/>
  <c r="AF37" i="84"/>
  <c r="AC38" i="84"/>
  <c r="AF38" i="84"/>
  <c r="AC39" i="84"/>
  <c r="AF39" i="84"/>
  <c r="AC40" i="84"/>
  <c r="AF40" i="84"/>
  <c r="AC41" i="84"/>
  <c r="AF41" i="84"/>
  <c r="AC43" i="84"/>
  <c r="AF43" i="84"/>
  <c r="AC44" i="84"/>
  <c r="AF44" i="84"/>
  <c r="AC45" i="84"/>
  <c r="AF45" i="84"/>
  <c r="AC46" i="84"/>
  <c r="AF46" i="84"/>
  <c r="AC47" i="84"/>
  <c r="AF47" i="84"/>
  <c r="AC48" i="84"/>
  <c r="AF48" i="84"/>
  <c r="AC49" i="84"/>
  <c r="AF49" i="84"/>
  <c r="AC50" i="84"/>
  <c r="AF50" i="84"/>
  <c r="AC51" i="84"/>
  <c r="AF51" i="84"/>
  <c r="Z21" i="80"/>
  <c r="AC21" i="80"/>
  <c r="AF21" i="80"/>
  <c r="E21" i="80"/>
  <c r="F21" i="80" s="1"/>
  <c r="L21" i="80" s="1"/>
  <c r="E23" i="80"/>
  <c r="F23" i="80" s="1"/>
  <c r="L23" i="80" s="1"/>
  <c r="Z23" i="80"/>
  <c r="AC23" i="80"/>
  <c r="AF23" i="80"/>
  <c r="E12" i="80"/>
  <c r="F12" i="80" s="1"/>
  <c r="Z12" i="80"/>
  <c r="AC12" i="80"/>
  <c r="AF12" i="80"/>
  <c r="C28" i="80"/>
  <c r="AC9" i="86"/>
  <c r="AF9" i="86"/>
  <c r="AC10" i="86"/>
  <c r="AF11" i="86"/>
  <c r="AC12" i="86"/>
  <c r="AF12" i="86"/>
  <c r="AC13" i="86"/>
  <c r="AF13" i="86"/>
  <c r="AC14" i="86"/>
  <c r="AF14" i="86"/>
  <c r="AC15" i="86"/>
  <c r="AF15" i="86"/>
  <c r="AC16" i="86"/>
  <c r="AF16" i="86"/>
  <c r="AC17" i="86"/>
  <c r="AF17" i="86"/>
  <c r="AC18" i="86"/>
  <c r="AF18" i="86"/>
  <c r="AC19" i="86"/>
  <c r="AC20" i="86"/>
  <c r="AF20" i="86"/>
  <c r="AC21" i="86"/>
  <c r="AF21" i="86"/>
  <c r="AF22" i="86"/>
  <c r="AC23" i="86"/>
  <c r="AF23" i="86"/>
  <c r="AC26" i="86"/>
  <c r="AF26" i="86"/>
  <c r="AC27" i="86"/>
  <c r="AF27" i="86"/>
  <c r="AC13" i="81"/>
  <c r="AF10" i="81"/>
  <c r="AC11" i="81"/>
  <c r="AC9" i="80"/>
  <c r="AF9" i="80"/>
  <c r="AC10" i="80"/>
  <c r="AF10" i="80"/>
  <c r="AC11" i="80"/>
  <c r="AF11" i="80"/>
  <c r="AC13" i="80"/>
  <c r="AF13" i="80"/>
  <c r="AC14" i="80"/>
  <c r="AF14" i="80"/>
  <c r="AC15" i="80"/>
  <c r="AF15" i="80"/>
  <c r="AC16" i="80"/>
  <c r="AF16" i="80"/>
  <c r="AC17" i="80"/>
  <c r="AF17" i="80"/>
  <c r="AC18" i="80"/>
  <c r="AF18" i="80"/>
  <c r="AC19" i="80"/>
  <c r="AF19" i="80"/>
  <c r="AC20" i="80"/>
  <c r="AF20" i="80"/>
  <c r="AC22" i="80"/>
  <c r="AF22" i="80"/>
  <c r="AC24" i="80"/>
  <c r="AF24" i="80"/>
  <c r="AC25" i="80"/>
  <c r="AF25" i="80"/>
  <c r="AC26" i="80"/>
  <c r="AF26" i="80"/>
  <c r="AC27" i="80"/>
  <c r="AF27" i="80"/>
  <c r="Z18" i="86"/>
  <c r="Z17" i="86"/>
  <c r="Z21" i="86"/>
  <c r="Z11" i="86"/>
  <c r="Z14" i="86"/>
  <c r="Z26" i="86"/>
  <c r="Z15" i="86"/>
  <c r="Z9" i="86"/>
  <c r="Z10" i="86"/>
  <c r="Z12" i="86"/>
  <c r="Z13" i="86"/>
  <c r="Z16" i="86"/>
  <c r="Z19" i="86"/>
  <c r="Z20" i="86"/>
  <c r="Z22" i="86"/>
  <c r="Z23" i="86"/>
  <c r="Z27" i="86"/>
  <c r="E18" i="86"/>
  <c r="F18" i="86" s="1"/>
  <c r="L18" i="86" s="1"/>
  <c r="E9" i="86"/>
  <c r="E10" i="86"/>
  <c r="F10" i="86" s="1"/>
  <c r="L10" i="86" s="1"/>
  <c r="E11" i="86"/>
  <c r="F11" i="86" s="1"/>
  <c r="E12" i="86"/>
  <c r="F12" i="86" s="1"/>
  <c r="E13" i="86"/>
  <c r="F13" i="86" s="1"/>
  <c r="E14" i="86"/>
  <c r="F14" i="86" s="1"/>
  <c r="E15" i="86"/>
  <c r="F15" i="86" s="1"/>
  <c r="L15" i="86" s="1"/>
  <c r="E16" i="86"/>
  <c r="F16" i="86" s="1"/>
  <c r="K16" i="86" s="1"/>
  <c r="E17" i="86"/>
  <c r="F17" i="86" s="1"/>
  <c r="L17" i="86" s="1"/>
  <c r="E19" i="86"/>
  <c r="F19" i="86" s="1"/>
  <c r="L19" i="86" s="1"/>
  <c r="E20" i="86"/>
  <c r="F20" i="86" s="1"/>
  <c r="L20" i="86" s="1"/>
  <c r="E21" i="86"/>
  <c r="F21" i="86" s="1"/>
  <c r="E22" i="86"/>
  <c r="F22" i="86" s="1"/>
  <c r="L22" i="86" s="1"/>
  <c r="E23" i="86"/>
  <c r="F23" i="86" s="1"/>
  <c r="L23" i="86" s="1"/>
  <c r="E26" i="86"/>
  <c r="F26" i="86" s="1"/>
  <c r="M26" i="86" s="1"/>
  <c r="E27" i="86"/>
  <c r="F27" i="86" s="1"/>
  <c r="B15" i="42"/>
  <c r="Z15" i="85"/>
  <c r="Z22" i="85"/>
  <c r="Z11" i="85"/>
  <c r="Z21" i="85"/>
  <c r="Z16" i="85"/>
  <c r="Z28" i="84"/>
  <c r="Z29" i="84"/>
  <c r="Z30" i="84"/>
  <c r="Z31" i="84"/>
  <c r="Z32" i="84"/>
  <c r="Z33" i="84"/>
  <c r="Z34" i="84"/>
  <c r="Z35" i="84"/>
  <c r="Z36" i="84"/>
  <c r="Z37" i="84"/>
  <c r="Z38" i="84"/>
  <c r="Z39" i="84"/>
  <c r="Z40" i="84"/>
  <c r="Z41" i="84"/>
  <c r="Z43" i="84"/>
  <c r="Z44" i="84"/>
  <c r="Z45" i="84"/>
  <c r="Z46" i="84"/>
  <c r="Z47" i="84"/>
  <c r="Z48" i="84"/>
  <c r="Z49" i="84"/>
  <c r="Z50" i="84"/>
  <c r="Z51" i="84"/>
  <c r="C52" i="84"/>
  <c r="Z9" i="81"/>
  <c r="Z13" i="81"/>
  <c r="Z10" i="81"/>
  <c r="Z16" i="81"/>
  <c r="Z18" i="81"/>
  <c r="AG18" i="81" s="1"/>
  <c r="AH18" i="81" s="1"/>
  <c r="Z17" i="81"/>
  <c r="Z11" i="81"/>
  <c r="Z19" i="81"/>
  <c r="Z12" i="81"/>
  <c r="E10" i="80"/>
  <c r="F10" i="80" s="1"/>
  <c r="E20" i="80"/>
  <c r="F20" i="80" s="1"/>
  <c r="E15" i="80"/>
  <c r="F15" i="80" s="1"/>
  <c r="K15" i="80" s="1"/>
  <c r="E9" i="80"/>
  <c r="F9" i="80" s="1"/>
  <c r="E11" i="80"/>
  <c r="F11" i="80" s="1"/>
  <c r="E13" i="80"/>
  <c r="F13" i="80" s="1"/>
  <c r="K13" i="80" s="1"/>
  <c r="E16" i="80"/>
  <c r="F16" i="80" s="1"/>
  <c r="E17" i="80"/>
  <c r="F17" i="80" s="1"/>
  <c r="E18" i="80"/>
  <c r="F18" i="80" s="1"/>
  <c r="M18" i="80" s="1"/>
  <c r="O18" i="80" s="1"/>
  <c r="E19" i="80"/>
  <c r="F19" i="80" s="1"/>
  <c r="E22" i="80"/>
  <c r="F22" i="80" s="1"/>
  <c r="E24" i="80"/>
  <c r="F24" i="80" s="1"/>
  <c r="E25" i="80"/>
  <c r="F25" i="80" s="1"/>
  <c r="K25" i="80" s="1"/>
  <c r="E26" i="80"/>
  <c r="F26" i="80" s="1"/>
  <c r="M26" i="80" s="1"/>
  <c r="E27" i="80"/>
  <c r="F27" i="80" s="1"/>
  <c r="M27" i="80" s="1"/>
  <c r="O27" i="80" s="1"/>
  <c r="P27" i="80" s="1"/>
  <c r="E14" i="80"/>
  <c r="F14" i="80" s="1"/>
  <c r="K14" i="80" s="1"/>
  <c r="Z9" i="80"/>
  <c r="Z11" i="80"/>
  <c r="Z13" i="80"/>
  <c r="Z16" i="80"/>
  <c r="Z17" i="80"/>
  <c r="Z19" i="80"/>
  <c r="Z20" i="80"/>
  <c r="Z22" i="80"/>
  <c r="Z24" i="80"/>
  <c r="Z25" i="80"/>
  <c r="Z10" i="80"/>
  <c r="Z14" i="80"/>
  <c r="Z15" i="80"/>
  <c r="Z18" i="80"/>
  <c r="Z26" i="80"/>
  <c r="Z27" i="80"/>
  <c r="E9" i="85"/>
  <c r="F9" i="85" s="1"/>
  <c r="K9" i="85" s="1"/>
  <c r="E10" i="85"/>
  <c r="F10" i="85" s="1"/>
  <c r="K10" i="85" s="1"/>
  <c r="E11" i="85"/>
  <c r="F11" i="85" s="1"/>
  <c r="K11" i="85" s="1"/>
  <c r="E12" i="85"/>
  <c r="F12" i="85" s="1"/>
  <c r="E13" i="85"/>
  <c r="F13" i="85" s="1"/>
  <c r="E14" i="85"/>
  <c r="F14" i="85" s="1"/>
  <c r="K14" i="85" s="1"/>
  <c r="E15" i="85"/>
  <c r="F15" i="85" s="1"/>
  <c r="K15" i="85" s="1"/>
  <c r="E16" i="85"/>
  <c r="F16" i="85" s="1"/>
  <c r="E17" i="85"/>
  <c r="F17" i="85" s="1"/>
  <c r="E24" i="85"/>
  <c r="F24" i="85" s="1"/>
  <c r="M24" i="85" s="1"/>
  <c r="O24" i="85" s="1"/>
  <c r="Z11" i="84"/>
  <c r="Z12" i="84"/>
  <c r="Z9" i="84"/>
  <c r="Z10" i="84"/>
  <c r="Z13" i="84"/>
  <c r="Z14" i="84"/>
  <c r="Z15" i="84"/>
  <c r="Z16" i="84"/>
  <c r="Z17" i="84"/>
  <c r="Z18" i="84"/>
  <c r="Z19" i="84"/>
  <c r="Z20" i="84"/>
  <c r="Z21" i="84"/>
  <c r="Z22" i="84"/>
  <c r="Z23" i="84"/>
  <c r="Z24" i="84"/>
  <c r="Z25" i="84"/>
  <c r="Z26" i="84"/>
  <c r="Z27" i="84"/>
  <c r="AE52" i="84"/>
  <c r="AD52" i="84"/>
  <c r="AB52" i="84"/>
  <c r="AA52" i="84"/>
  <c r="Y52" i="84"/>
  <c r="X52" i="84"/>
  <c r="U52" i="84"/>
  <c r="N52" i="84"/>
  <c r="I52" i="84"/>
  <c r="G52" i="84"/>
  <c r="D52" i="84"/>
  <c r="E9" i="81"/>
  <c r="F9" i="81" s="1"/>
  <c r="E10" i="81"/>
  <c r="F10" i="81"/>
  <c r="K10" i="81" s="1"/>
  <c r="E11" i="81"/>
  <c r="F11" i="81" s="1"/>
  <c r="L11" i="81" s="1"/>
  <c r="M11" i="81" s="1"/>
  <c r="O11" i="81" s="1"/>
  <c r="E12" i="81"/>
  <c r="F12" i="81"/>
  <c r="L12" i="81" s="1"/>
  <c r="M12" i="81" s="1"/>
  <c r="E13" i="81"/>
  <c r="F13" i="81" s="1"/>
  <c r="E14" i="81"/>
  <c r="F14" i="81"/>
  <c r="L14" i="81" s="1"/>
  <c r="M14" i="81" s="1"/>
  <c r="O14" i="81" s="1"/>
  <c r="E15" i="81"/>
  <c r="F15" i="81" s="1"/>
  <c r="L15" i="81" s="1"/>
  <c r="M15" i="81" s="1"/>
  <c r="E16" i="81"/>
  <c r="F16" i="81" s="1"/>
  <c r="K16" i="81" s="1"/>
  <c r="E17" i="81"/>
  <c r="F17" i="81" s="1"/>
  <c r="E18" i="81"/>
  <c r="F18" i="81"/>
  <c r="L18" i="81" s="1"/>
  <c r="E19" i="81"/>
  <c r="F19" i="81" s="1"/>
  <c r="E20" i="81"/>
  <c r="F20" i="81"/>
  <c r="L20" i="81" s="1"/>
  <c r="AS21" i="86"/>
  <c r="AE28" i="86"/>
  <c r="AD28" i="86"/>
  <c r="AB28" i="86"/>
  <c r="AA28" i="86"/>
  <c r="Y28" i="86"/>
  <c r="X28" i="86"/>
  <c r="J28" i="86"/>
  <c r="I28" i="86"/>
  <c r="D28" i="86"/>
  <c r="AS27" i="86"/>
  <c r="AS26" i="86"/>
  <c r="AS23" i="86"/>
  <c r="AS22" i="86"/>
  <c r="AS20" i="86"/>
  <c r="AS19" i="86"/>
  <c r="AS18" i="86"/>
  <c r="AS17" i="86"/>
  <c r="AS16" i="86"/>
  <c r="AS15" i="86"/>
  <c r="AS14" i="86"/>
  <c r="AS13" i="86"/>
  <c r="AS12" i="86"/>
  <c r="AS11" i="86"/>
  <c r="AS10" i="86"/>
  <c r="AS9" i="86"/>
  <c r="N28" i="86"/>
  <c r="AE25" i="85"/>
  <c r="AD25" i="85"/>
  <c r="AB25" i="85"/>
  <c r="AA25" i="85"/>
  <c r="Y25" i="85"/>
  <c r="U25" i="85"/>
  <c r="I25" i="85"/>
  <c r="D25" i="85"/>
  <c r="C25" i="85"/>
  <c r="AS24" i="85"/>
  <c r="AF24" i="85"/>
  <c r="AC24" i="85"/>
  <c r="Z24" i="85"/>
  <c r="AS22" i="85"/>
  <c r="AS21" i="85"/>
  <c r="AF21" i="85"/>
  <c r="AC21" i="85"/>
  <c r="AS17" i="85"/>
  <c r="AF17" i="85"/>
  <c r="AC17" i="85"/>
  <c r="Z17" i="85"/>
  <c r="AS16" i="85"/>
  <c r="AF16" i="85"/>
  <c r="AC16" i="85"/>
  <c r="AS15" i="85"/>
  <c r="AF15" i="85"/>
  <c r="AC15" i="85"/>
  <c r="AS14" i="85"/>
  <c r="AF14" i="85"/>
  <c r="AC14" i="85"/>
  <c r="Z14" i="85"/>
  <c r="AS13" i="85"/>
  <c r="AF13" i="85"/>
  <c r="AC13" i="85"/>
  <c r="Z13" i="85"/>
  <c r="AS12" i="85"/>
  <c r="AF12" i="85"/>
  <c r="AC12" i="85"/>
  <c r="Z12" i="85"/>
  <c r="AS11" i="85"/>
  <c r="AF11" i="85"/>
  <c r="AS10" i="85"/>
  <c r="AF10" i="85"/>
  <c r="AC10" i="85"/>
  <c r="Z10" i="85"/>
  <c r="AF9" i="85"/>
  <c r="AC9" i="85"/>
  <c r="Z9" i="85"/>
  <c r="U66" i="84"/>
  <c r="N66" i="84"/>
  <c r="J66" i="84"/>
  <c r="I66" i="84"/>
  <c r="G66" i="84"/>
  <c r="D66" i="84"/>
  <c r="C66" i="84"/>
  <c r="U65" i="84"/>
  <c r="N65" i="84"/>
  <c r="I65" i="84"/>
  <c r="G65" i="84"/>
  <c r="D65" i="84"/>
  <c r="C65" i="84"/>
  <c r="U64" i="84"/>
  <c r="N64" i="84"/>
  <c r="J64" i="84"/>
  <c r="I64" i="84"/>
  <c r="G64" i="84"/>
  <c r="D64" i="84"/>
  <c r="C64" i="84"/>
  <c r="H66" i="84"/>
  <c r="H64" i="84"/>
  <c r="AE21" i="81"/>
  <c r="AD21" i="81"/>
  <c r="AB21" i="81"/>
  <c r="AA21" i="81"/>
  <c r="Y21" i="81"/>
  <c r="X21" i="81"/>
  <c r="U21" i="81"/>
  <c r="J21" i="81"/>
  <c r="I21" i="81"/>
  <c r="D21" i="81"/>
  <c r="C21" i="81"/>
  <c r="B12" i="111" s="1"/>
  <c r="AF20" i="81"/>
  <c r="AC20" i="81"/>
  <c r="Z20" i="81"/>
  <c r="AF19" i="81"/>
  <c r="AC19" i="81"/>
  <c r="AF18" i="81"/>
  <c r="AC18" i="81"/>
  <c r="AF17" i="81"/>
  <c r="AC17" i="81"/>
  <c r="AF16" i="81"/>
  <c r="AC16" i="81"/>
  <c r="AF15" i="81"/>
  <c r="AG15" i="81" s="1"/>
  <c r="AH15" i="81" s="1"/>
  <c r="AC15" i="81"/>
  <c r="Z15" i="81"/>
  <c r="AF14" i="81"/>
  <c r="AC14" i="81"/>
  <c r="AG14" i="81" s="1"/>
  <c r="Z14" i="81"/>
  <c r="AF13" i="81"/>
  <c r="AF12" i="81"/>
  <c r="AC12" i="81"/>
  <c r="AF11" i="81"/>
  <c r="AC10" i="81"/>
  <c r="AF9" i="81"/>
  <c r="AC9" i="81"/>
  <c r="AG9" i="81" s="1"/>
  <c r="AE28" i="80"/>
  <c r="AD28" i="80"/>
  <c r="AB28" i="80"/>
  <c r="AA28" i="80"/>
  <c r="Y28" i="80"/>
  <c r="X28" i="80"/>
  <c r="U28" i="80"/>
  <c r="N28" i="80"/>
  <c r="J28" i="80"/>
  <c r="G28" i="80"/>
  <c r="D28" i="80"/>
  <c r="I28" i="80"/>
  <c r="B14" i="42" l="1"/>
  <c r="B14" i="111"/>
  <c r="B13" i="42"/>
  <c r="B13" i="111"/>
  <c r="H25" i="85"/>
  <c r="AG20" i="81"/>
  <c r="B11" i="42"/>
  <c r="AG13" i="81"/>
  <c r="AH13" i="81" s="1"/>
  <c r="H52" i="84"/>
  <c r="AG12" i="81"/>
  <c r="AH12" i="81" s="1"/>
  <c r="AF21" i="81"/>
  <c r="E21" i="81"/>
  <c r="H28" i="86"/>
  <c r="H21" i="81"/>
  <c r="AG16" i="81"/>
  <c r="AH16" i="81" s="1"/>
  <c r="AH20" i="81"/>
  <c r="AG10" i="81"/>
  <c r="B10" i="42"/>
  <c r="B10" i="111"/>
  <c r="C12" i="42"/>
  <c r="C16" i="42" s="1"/>
  <c r="C11" i="111"/>
  <c r="C16" i="111" s="1"/>
  <c r="AG40" i="84"/>
  <c r="AH40" i="84" s="1"/>
  <c r="AG32" i="84"/>
  <c r="AH32" i="84" s="1"/>
  <c r="AG49" i="84"/>
  <c r="AH49" i="84" s="1"/>
  <c r="AG45" i="84"/>
  <c r="AH45" i="84" s="1"/>
  <c r="AG36" i="84"/>
  <c r="AH36" i="84" s="1"/>
  <c r="AG28" i="84"/>
  <c r="AH28" i="84" s="1"/>
  <c r="AG48" i="84"/>
  <c r="AH48" i="84" s="1"/>
  <c r="AG44" i="84"/>
  <c r="AH44" i="84" s="1"/>
  <c r="AG39" i="84"/>
  <c r="AH39" i="84" s="1"/>
  <c r="AG35" i="84"/>
  <c r="AH35" i="84" s="1"/>
  <c r="AG31" i="84"/>
  <c r="AH31" i="84" s="1"/>
  <c r="AG50" i="84"/>
  <c r="AH50" i="84" s="1"/>
  <c r="AG46" i="84"/>
  <c r="AH46" i="84" s="1"/>
  <c r="AG41" i="84"/>
  <c r="AH41" i="84" s="1"/>
  <c r="AG37" i="84"/>
  <c r="AH37" i="84" s="1"/>
  <c r="AG33" i="84"/>
  <c r="AH33" i="84" s="1"/>
  <c r="AG29" i="84"/>
  <c r="F37" i="84"/>
  <c r="L37" i="84" s="1"/>
  <c r="M37" i="84" s="1"/>
  <c r="O37" i="84" s="1"/>
  <c r="P37" i="84" s="1"/>
  <c r="AG24" i="84"/>
  <c r="AH24" i="84" s="1"/>
  <c r="AG20" i="84"/>
  <c r="AH20" i="84" s="1"/>
  <c r="AG16" i="84"/>
  <c r="AH16" i="84" s="1"/>
  <c r="AG10" i="84"/>
  <c r="AH10" i="84" s="1"/>
  <c r="AG21" i="84"/>
  <c r="AH21" i="84" s="1"/>
  <c r="AG13" i="84"/>
  <c r="AH13" i="84" s="1"/>
  <c r="AG27" i="84"/>
  <c r="AH27" i="84" s="1"/>
  <c r="AG23" i="84"/>
  <c r="AH23" i="84" s="1"/>
  <c r="AG19" i="84"/>
  <c r="AH19" i="84" s="1"/>
  <c r="AG15" i="84"/>
  <c r="AH15" i="84" s="1"/>
  <c r="AG51" i="84"/>
  <c r="AH51" i="84" s="1"/>
  <c r="AG47" i="84"/>
  <c r="AH47" i="84" s="1"/>
  <c r="AG43" i="84"/>
  <c r="AH43" i="84" s="1"/>
  <c r="AG38" i="84"/>
  <c r="AH38" i="84" s="1"/>
  <c r="AG34" i="84"/>
  <c r="AH34" i="84" s="1"/>
  <c r="AG30" i="84"/>
  <c r="AH30" i="84" s="1"/>
  <c r="AG25" i="84"/>
  <c r="AH25" i="84" s="1"/>
  <c r="AG17" i="84"/>
  <c r="AH17" i="84" s="1"/>
  <c r="AG11" i="84"/>
  <c r="AH11" i="84" s="1"/>
  <c r="AG26" i="84"/>
  <c r="AH26" i="84" s="1"/>
  <c r="AG22" i="84"/>
  <c r="AH22" i="84" s="1"/>
  <c r="AG18" i="84"/>
  <c r="AH18" i="84" s="1"/>
  <c r="AG14" i="84"/>
  <c r="AH14" i="84" s="1"/>
  <c r="AG12" i="84"/>
  <c r="AH12" i="84" s="1"/>
  <c r="M27" i="86"/>
  <c r="O27" i="86" s="1"/>
  <c r="H65" i="84"/>
  <c r="H67" i="84" s="1"/>
  <c r="M40" i="84"/>
  <c r="O40" i="84" s="1"/>
  <c r="P40" i="84" s="1"/>
  <c r="L17" i="81"/>
  <c r="M17" i="81" s="1"/>
  <c r="L9" i="81"/>
  <c r="M9" i="81" s="1"/>
  <c r="O9" i="81" s="1"/>
  <c r="F21" i="81"/>
  <c r="L19" i="81"/>
  <c r="M19" i="81" s="1"/>
  <c r="O19" i="81" s="1"/>
  <c r="K13" i="81"/>
  <c r="K21" i="81" s="1"/>
  <c r="L13" i="81"/>
  <c r="AG19" i="81"/>
  <c r="AH19" i="81" s="1"/>
  <c r="AH9" i="81"/>
  <c r="AH14" i="81"/>
  <c r="L16" i="81"/>
  <c r="M16" i="81" s="1"/>
  <c r="O16" i="81" s="1"/>
  <c r="AG11" i="81"/>
  <c r="AH11" i="81" s="1"/>
  <c r="AC21" i="81"/>
  <c r="M20" i="81"/>
  <c r="O20" i="81" s="1"/>
  <c r="P20" i="81" s="1"/>
  <c r="Q20" i="81" s="1"/>
  <c r="L10" i="81"/>
  <c r="M10" i="81" s="1"/>
  <c r="O10" i="81" s="1"/>
  <c r="AG17" i="81"/>
  <c r="AH17" i="81" s="1"/>
  <c r="M18" i="81"/>
  <c r="O18" i="81" s="1"/>
  <c r="AG18" i="86"/>
  <c r="AH18" i="86" s="1"/>
  <c r="AG19" i="86"/>
  <c r="AH19" i="86" s="1"/>
  <c r="AG27" i="86"/>
  <c r="AH27" i="86" s="1"/>
  <c r="AG10" i="86"/>
  <c r="AH10" i="86" s="1"/>
  <c r="AG14" i="86"/>
  <c r="AH14" i="86" s="1"/>
  <c r="AG12" i="86"/>
  <c r="AH12" i="86" s="1"/>
  <c r="AG26" i="86"/>
  <c r="AH26" i="86" s="1"/>
  <c r="AG11" i="86"/>
  <c r="AH11" i="86" s="1"/>
  <c r="AG23" i="86"/>
  <c r="AH23" i="86" s="1"/>
  <c r="K15" i="86"/>
  <c r="M15" i="86" s="1"/>
  <c r="S25" i="86"/>
  <c r="T25" i="86" s="1"/>
  <c r="V25" i="86" s="1"/>
  <c r="W25" i="86" s="1"/>
  <c r="AG21" i="86"/>
  <c r="AH21" i="86" s="1"/>
  <c r="AG16" i="86"/>
  <c r="AH16" i="86" s="1"/>
  <c r="L21" i="86"/>
  <c r="M21" i="86" s="1"/>
  <c r="AC28" i="86"/>
  <c r="AG9" i="86"/>
  <c r="AH9" i="86" s="1"/>
  <c r="K19" i="86"/>
  <c r="M19" i="86" s="1"/>
  <c r="M10" i="86"/>
  <c r="O10" i="86" s="1"/>
  <c r="L16" i="85"/>
  <c r="K16" i="85"/>
  <c r="AG24" i="85"/>
  <c r="AH24" i="85" s="1"/>
  <c r="AG17" i="85"/>
  <c r="AH17" i="85" s="1"/>
  <c r="J25" i="85"/>
  <c r="AG22" i="85"/>
  <c r="AH22" i="85" s="1"/>
  <c r="AG13" i="85"/>
  <c r="AH13" i="85" s="1"/>
  <c r="AF25" i="85"/>
  <c r="E25" i="85"/>
  <c r="L12" i="85"/>
  <c r="M12" i="85" s="1"/>
  <c r="L10" i="85"/>
  <c r="M10" i="85" s="1"/>
  <c r="F25" i="85"/>
  <c r="AG12" i="85"/>
  <c r="AH12" i="85" s="1"/>
  <c r="AC25" i="85"/>
  <c r="AG10" i="85"/>
  <c r="AH10" i="85" s="1"/>
  <c r="P24" i="85"/>
  <c r="L22" i="85"/>
  <c r="L15" i="85"/>
  <c r="M15" i="85" s="1"/>
  <c r="K13" i="85"/>
  <c r="L13" i="85"/>
  <c r="L11" i="85"/>
  <c r="M11" i="85" s="1"/>
  <c r="L9" i="85"/>
  <c r="AG16" i="85"/>
  <c r="AH16" i="85" s="1"/>
  <c r="AG21" i="85"/>
  <c r="AH21" i="85" s="1"/>
  <c r="K22" i="85"/>
  <c r="L21" i="85"/>
  <c r="L14" i="85"/>
  <c r="AG9" i="85"/>
  <c r="AG14" i="85"/>
  <c r="AH14" i="85" s="1"/>
  <c r="AG11" i="85"/>
  <c r="AH11" i="85" s="1"/>
  <c r="Z25" i="85"/>
  <c r="AG15" i="85"/>
  <c r="AH15" i="85" s="1"/>
  <c r="L17" i="85"/>
  <c r="M17" i="85" s="1"/>
  <c r="AG9" i="84"/>
  <c r="AH9" i="84" s="1"/>
  <c r="AH29" i="84"/>
  <c r="J28" i="84"/>
  <c r="K28" i="84"/>
  <c r="P38" i="84"/>
  <c r="R38" i="84" s="1"/>
  <c r="L20" i="84"/>
  <c r="M20" i="84" s="1"/>
  <c r="E64" i="84"/>
  <c r="L46" i="84"/>
  <c r="M46" i="84" s="1"/>
  <c r="O46" i="84" s="1"/>
  <c r="P46" i="84" s="1"/>
  <c r="AC52" i="84"/>
  <c r="M12" i="84"/>
  <c r="I67" i="84"/>
  <c r="N67" i="84"/>
  <c r="G67" i="84"/>
  <c r="U67" i="84"/>
  <c r="D67" i="84"/>
  <c r="E52" i="84"/>
  <c r="Z52" i="84"/>
  <c r="L45" i="84"/>
  <c r="O39" i="84"/>
  <c r="P39" i="84" s="1"/>
  <c r="L47" i="84"/>
  <c r="M47" i="84" s="1"/>
  <c r="L30" i="84"/>
  <c r="J30" i="84"/>
  <c r="L14" i="84"/>
  <c r="K14" i="84"/>
  <c r="J32" i="84"/>
  <c r="M32" i="84" s="1"/>
  <c r="L22" i="84"/>
  <c r="L48" i="84"/>
  <c r="L36" i="84"/>
  <c r="M36" i="84" s="1"/>
  <c r="C67" i="84"/>
  <c r="L50" i="84"/>
  <c r="M50" i="84" s="1"/>
  <c r="J25" i="84"/>
  <c r="K25" i="84"/>
  <c r="F17" i="84"/>
  <c r="F65" i="84" s="1"/>
  <c r="E65" i="84"/>
  <c r="L9" i="84"/>
  <c r="K9" i="84"/>
  <c r="F64" i="84"/>
  <c r="O41" i="84"/>
  <c r="P41" i="84" s="1"/>
  <c r="L25" i="84"/>
  <c r="AF52" i="84"/>
  <c r="M49" i="84"/>
  <c r="K43" i="84"/>
  <c r="L43" i="84"/>
  <c r="L34" i="84"/>
  <c r="M34" i="84" s="1"/>
  <c r="M29" i="84"/>
  <c r="L21" i="84"/>
  <c r="M21" i="84" s="1"/>
  <c r="L18" i="84"/>
  <c r="M18" i="84" s="1"/>
  <c r="F11" i="84"/>
  <c r="E66" i="84"/>
  <c r="L13" i="84"/>
  <c r="P35" i="84"/>
  <c r="M26" i="84"/>
  <c r="L28" i="84"/>
  <c r="J23" i="84"/>
  <c r="K23" i="84"/>
  <c r="L15" i="84"/>
  <c r="K15" i="84"/>
  <c r="L10" i="84"/>
  <c r="K10" i="84"/>
  <c r="L23" i="84"/>
  <c r="L44" i="84"/>
  <c r="M44" i="84" s="1"/>
  <c r="L27" i="84"/>
  <c r="M27" i="84" s="1"/>
  <c r="L24" i="84"/>
  <c r="K24" i="84"/>
  <c r="J24" i="84"/>
  <c r="L19" i="84"/>
  <c r="M19" i="84" s="1"/>
  <c r="L16" i="84"/>
  <c r="M16" i="84" s="1"/>
  <c r="M51" i="84"/>
  <c r="M33" i="84"/>
  <c r="M31" i="84"/>
  <c r="AH10" i="81"/>
  <c r="Z21" i="81"/>
  <c r="AG21" i="81"/>
  <c r="O12" i="81"/>
  <c r="P12" i="81" s="1"/>
  <c r="O15" i="81"/>
  <c r="P15" i="81" s="1"/>
  <c r="P18" i="81"/>
  <c r="P14" i="81"/>
  <c r="P11" i="81"/>
  <c r="P9" i="81"/>
  <c r="P16" i="81"/>
  <c r="L19" i="80"/>
  <c r="L16" i="80"/>
  <c r="L11" i="80"/>
  <c r="M11" i="80" s="1"/>
  <c r="L15" i="80"/>
  <c r="AG18" i="80"/>
  <c r="AH18" i="80" s="1"/>
  <c r="AG11" i="80"/>
  <c r="AH11" i="80" s="1"/>
  <c r="AG23" i="80"/>
  <c r="AH23" i="80" s="1"/>
  <c r="AG13" i="80"/>
  <c r="AH13" i="80" s="1"/>
  <c r="P18" i="80"/>
  <c r="R18" i="80" s="1"/>
  <c r="AG25" i="80"/>
  <c r="AH25" i="80" s="1"/>
  <c r="AG22" i="80"/>
  <c r="AH22" i="80" s="1"/>
  <c r="AG16" i="80"/>
  <c r="AH16" i="80" s="1"/>
  <c r="AG27" i="80"/>
  <c r="AH27" i="80" s="1"/>
  <c r="AG20" i="80"/>
  <c r="AH20" i="80" s="1"/>
  <c r="M23" i="80"/>
  <c r="O23" i="80" s="1"/>
  <c r="P23" i="80" s="1"/>
  <c r="AG26" i="80"/>
  <c r="AH26" i="80" s="1"/>
  <c r="L24" i="80"/>
  <c r="M24" i="80" s="1"/>
  <c r="L14" i="80"/>
  <c r="M14" i="80" s="1"/>
  <c r="L22" i="80"/>
  <c r="E28" i="80"/>
  <c r="AG14" i="80"/>
  <c r="AH14" i="80" s="1"/>
  <c r="AG19" i="80"/>
  <c r="AH19" i="80" s="1"/>
  <c r="AG12" i="80"/>
  <c r="AH12" i="80" s="1"/>
  <c r="AF28" i="80"/>
  <c r="AG15" i="80"/>
  <c r="AH15" i="80" s="1"/>
  <c r="AG10" i="80"/>
  <c r="AH10" i="80" s="1"/>
  <c r="AG24" i="80"/>
  <c r="AH24" i="80" s="1"/>
  <c r="AG17" i="80"/>
  <c r="AH17" i="80" s="1"/>
  <c r="Z28" i="80"/>
  <c r="AG9" i="80"/>
  <c r="AH9" i="80" s="1"/>
  <c r="L13" i="80"/>
  <c r="M13" i="80" s="1"/>
  <c r="L10" i="80"/>
  <c r="M10" i="80" s="1"/>
  <c r="AC28" i="80"/>
  <c r="M21" i="80"/>
  <c r="L25" i="80"/>
  <c r="R27" i="80"/>
  <c r="Q27" i="80"/>
  <c r="L17" i="80"/>
  <c r="M17" i="80" s="1"/>
  <c r="O26" i="80"/>
  <c r="P26" i="80" s="1"/>
  <c r="L9" i="80"/>
  <c r="M9" i="80" s="1"/>
  <c r="F28" i="80"/>
  <c r="AG21" i="80"/>
  <c r="AH21" i="80" s="1"/>
  <c r="L20" i="80"/>
  <c r="M20" i="80" s="1"/>
  <c r="L12" i="80"/>
  <c r="M12" i="80" s="1"/>
  <c r="S24" i="86"/>
  <c r="T24" i="86" s="1"/>
  <c r="V24" i="86" s="1"/>
  <c r="W24" i="86" s="1"/>
  <c r="M18" i="86"/>
  <c r="AG15" i="86"/>
  <c r="AH15" i="86" s="1"/>
  <c r="AF28" i="86"/>
  <c r="K14" i="86"/>
  <c r="O26" i="86"/>
  <c r="P26" i="86" s="1"/>
  <c r="M17" i="86"/>
  <c r="K22" i="86"/>
  <c r="M22" i="86" s="1"/>
  <c r="L12" i="86"/>
  <c r="K12" i="86"/>
  <c r="AG17" i="86"/>
  <c r="AH17" i="86" s="1"/>
  <c r="L13" i="86"/>
  <c r="M13" i="86" s="1"/>
  <c r="L11" i="86"/>
  <c r="M11" i="86" s="1"/>
  <c r="F9" i="86"/>
  <c r="E28" i="86"/>
  <c r="AG22" i="86"/>
  <c r="AH22" i="86" s="1"/>
  <c r="AG13" i="86"/>
  <c r="Z28" i="86"/>
  <c r="K20" i="86"/>
  <c r="M20" i="86" s="1"/>
  <c r="AG20" i="86"/>
  <c r="AH20" i="86" s="1"/>
  <c r="M23" i="86"/>
  <c r="L16" i="86"/>
  <c r="M16" i="86" s="1"/>
  <c r="L14" i="86"/>
  <c r="O17" i="81" l="1"/>
  <c r="P17" i="81" s="1"/>
  <c r="B12" i="42"/>
  <c r="B16" i="42" s="1"/>
  <c r="B11" i="111"/>
  <c r="B16" i="111" s="1"/>
  <c r="P27" i="86"/>
  <c r="R27" i="86" s="1"/>
  <c r="AH21" i="81"/>
  <c r="L21" i="81"/>
  <c r="R20" i="81"/>
  <c r="S20" i="81" s="1"/>
  <c r="T20" i="81" s="1"/>
  <c r="V20" i="81" s="1"/>
  <c r="M13" i="81"/>
  <c r="P10" i="81"/>
  <c r="P19" i="81"/>
  <c r="M12" i="86"/>
  <c r="O12" i="86" s="1"/>
  <c r="P12" i="86" s="1"/>
  <c r="M14" i="86"/>
  <c r="O14" i="86" s="1"/>
  <c r="P14" i="86" s="1"/>
  <c r="AG28" i="86"/>
  <c r="O21" i="86"/>
  <c r="P21" i="86" s="1"/>
  <c r="P10" i="86"/>
  <c r="R10" i="86" s="1"/>
  <c r="Q27" i="86"/>
  <c r="S27" i="86" s="1"/>
  <c r="T27" i="86" s="1"/>
  <c r="V27" i="86" s="1"/>
  <c r="W27" i="86" s="1"/>
  <c r="M16" i="85"/>
  <c r="O16" i="85" s="1"/>
  <c r="P16" i="85" s="1"/>
  <c r="M14" i="85"/>
  <c r="O14" i="85" s="1"/>
  <c r="P14" i="85" s="1"/>
  <c r="M13" i="85"/>
  <c r="O13" i="85" s="1"/>
  <c r="P13" i="85" s="1"/>
  <c r="M22" i="85"/>
  <c r="O22" i="85" s="1"/>
  <c r="P22" i="85" s="1"/>
  <c r="M21" i="85"/>
  <c r="O21" i="85" s="1"/>
  <c r="P21" i="85" s="1"/>
  <c r="O11" i="85"/>
  <c r="P11" i="85" s="1"/>
  <c r="O17" i="85"/>
  <c r="P17" i="85" s="1"/>
  <c r="O15" i="85"/>
  <c r="P15" i="85" s="1"/>
  <c r="O12" i="85"/>
  <c r="P12" i="85" s="1"/>
  <c r="O10" i="85"/>
  <c r="P10" i="85" s="1"/>
  <c r="K25" i="85"/>
  <c r="AG25" i="85"/>
  <c r="M9" i="85"/>
  <c r="R24" i="85"/>
  <c r="Q24" i="85"/>
  <c r="AH9" i="85"/>
  <c r="AH25" i="85" s="1"/>
  <c r="L25" i="85"/>
  <c r="M48" i="84"/>
  <c r="O48" i="84" s="1"/>
  <c r="P48" i="84" s="1"/>
  <c r="Q38" i="84"/>
  <c r="S38" i="84" s="1"/>
  <c r="T38" i="84" s="1"/>
  <c r="V38" i="84" s="1"/>
  <c r="W38" i="84" s="1"/>
  <c r="M10" i="84"/>
  <c r="O10" i="84" s="1"/>
  <c r="P10" i="84" s="1"/>
  <c r="M15" i="84"/>
  <c r="O15" i="84" s="1"/>
  <c r="P15" i="84" s="1"/>
  <c r="M45" i="84"/>
  <c r="O45" i="84" s="1"/>
  <c r="P45" i="84" s="1"/>
  <c r="M14" i="84"/>
  <c r="O14" i="84" s="1"/>
  <c r="P14" i="84" s="1"/>
  <c r="F52" i="84"/>
  <c r="M9" i="84"/>
  <c r="M23" i="84"/>
  <c r="O23" i="84" s="1"/>
  <c r="P23" i="84" s="1"/>
  <c r="M43" i="84"/>
  <c r="O43" i="84" s="1"/>
  <c r="P43" i="84" s="1"/>
  <c r="M22" i="84"/>
  <c r="O22" i="84" s="1"/>
  <c r="P22" i="84" s="1"/>
  <c r="M24" i="84"/>
  <c r="O24" i="84" s="1"/>
  <c r="P24" i="84" s="1"/>
  <c r="M28" i="84"/>
  <c r="O28" i="84" s="1"/>
  <c r="P28" i="84" s="1"/>
  <c r="M30" i="84"/>
  <c r="O30" i="84" s="1"/>
  <c r="P30" i="84" s="1"/>
  <c r="M25" i="84"/>
  <c r="O25" i="84" s="1"/>
  <c r="P25" i="84" s="1"/>
  <c r="O18" i="84"/>
  <c r="P18" i="84" s="1"/>
  <c r="O50" i="84"/>
  <c r="P50" i="84" s="1"/>
  <c r="O47" i="84"/>
  <c r="P47" i="84" s="1"/>
  <c r="O27" i="84"/>
  <c r="P27" i="84" s="1"/>
  <c r="Q40" i="84"/>
  <c r="R40" i="84"/>
  <c r="Q46" i="84"/>
  <c r="R46" i="84"/>
  <c r="O51" i="84"/>
  <c r="P51" i="84" s="1"/>
  <c r="O44" i="84"/>
  <c r="P44" i="84" s="1"/>
  <c r="Q35" i="84"/>
  <c r="R35" i="84"/>
  <c r="O34" i="84"/>
  <c r="P34" i="84" s="1"/>
  <c r="L64" i="84"/>
  <c r="O36" i="84"/>
  <c r="P36" i="84" s="1"/>
  <c r="O32" i="84"/>
  <c r="P32" i="84" s="1"/>
  <c r="O16" i="84"/>
  <c r="P16" i="84" s="1"/>
  <c r="E67" i="84"/>
  <c r="Q41" i="84"/>
  <c r="R41" i="84"/>
  <c r="O33" i="84"/>
  <c r="P33" i="84" s="1"/>
  <c r="L11" i="84"/>
  <c r="L66" i="84" s="1"/>
  <c r="K11" i="84"/>
  <c r="K66" i="84" s="1"/>
  <c r="F66" i="84"/>
  <c r="F67" i="84" s="1"/>
  <c r="O49" i="84"/>
  <c r="P49" i="84" s="1"/>
  <c r="L17" i="84"/>
  <c r="M17" i="84" s="1"/>
  <c r="O19" i="84"/>
  <c r="P19" i="84" s="1"/>
  <c r="AH52" i="84"/>
  <c r="Q39" i="84"/>
  <c r="R39" i="84"/>
  <c r="O31" i="84"/>
  <c r="P31" i="84" s="1"/>
  <c r="O20" i="84"/>
  <c r="P20" i="84" s="1"/>
  <c r="O21" i="84"/>
  <c r="P21" i="84" s="1"/>
  <c r="Q37" i="84"/>
  <c r="R37" i="84"/>
  <c r="O12" i="84"/>
  <c r="P12" i="84" s="1"/>
  <c r="AG52" i="84"/>
  <c r="J52" i="84"/>
  <c r="J65" i="84"/>
  <c r="J67" i="84" s="1"/>
  <c r="O26" i="84"/>
  <c r="P26" i="84" s="1"/>
  <c r="M13" i="84"/>
  <c r="O29" i="84"/>
  <c r="P29" i="84" s="1"/>
  <c r="K64" i="84"/>
  <c r="K65" i="84"/>
  <c r="Q19" i="81"/>
  <c r="R19" i="81"/>
  <c r="Q14" i="81"/>
  <c r="R14" i="81"/>
  <c r="R12" i="81"/>
  <c r="Q12" i="81"/>
  <c r="Q18" i="81"/>
  <c r="R18" i="81"/>
  <c r="Q9" i="81"/>
  <c r="R9" i="81"/>
  <c r="R15" i="81"/>
  <c r="Q15" i="81"/>
  <c r="Q11" i="81"/>
  <c r="R11" i="81"/>
  <c r="R16" i="81"/>
  <c r="Q16" i="81"/>
  <c r="R10" i="81"/>
  <c r="Q10" i="81"/>
  <c r="M19" i="80"/>
  <c r="O19" i="80" s="1"/>
  <c r="P19" i="80" s="1"/>
  <c r="M16" i="80"/>
  <c r="O16" i="80" s="1"/>
  <c r="P16" i="80" s="1"/>
  <c r="K12" i="42"/>
  <c r="N12" i="42" s="1"/>
  <c r="S27" i="80"/>
  <c r="T27" i="80" s="1"/>
  <c r="V27" i="80" s="1"/>
  <c r="K28" i="80"/>
  <c r="Q18" i="80"/>
  <c r="S18" i="80" s="1"/>
  <c r="M22" i="80"/>
  <c r="O22" i="80" s="1"/>
  <c r="P22" i="80" s="1"/>
  <c r="O24" i="80"/>
  <c r="P24" i="80" s="1"/>
  <c r="M15" i="80"/>
  <c r="O15" i="80" s="1"/>
  <c r="P15" i="80" s="1"/>
  <c r="M25" i="80"/>
  <c r="O25" i="80" s="1"/>
  <c r="P25" i="80" s="1"/>
  <c r="O11" i="80"/>
  <c r="P11" i="80" s="1"/>
  <c r="Q11" i="80" s="1"/>
  <c r="O13" i="80"/>
  <c r="P13" i="80" s="1"/>
  <c r="O10" i="80"/>
  <c r="P10" i="80" s="1"/>
  <c r="O20" i="80"/>
  <c r="P20" i="80" s="1"/>
  <c r="R26" i="80"/>
  <c r="Q26" i="80"/>
  <c r="O17" i="80"/>
  <c r="P17" i="80" s="1"/>
  <c r="Q23" i="80"/>
  <c r="R23" i="80"/>
  <c r="O12" i="80"/>
  <c r="P12" i="80" s="1"/>
  <c r="AH28" i="80"/>
  <c r="O14" i="80"/>
  <c r="P14" i="80" s="1"/>
  <c r="O9" i="80"/>
  <c r="P9" i="80" s="1"/>
  <c r="O21" i="80"/>
  <c r="P21" i="80" s="1"/>
  <c r="AG28" i="80"/>
  <c r="L28" i="80"/>
  <c r="O20" i="86"/>
  <c r="P20" i="86" s="1"/>
  <c r="O22" i="86"/>
  <c r="P22" i="86" s="1"/>
  <c r="O16" i="86"/>
  <c r="P16" i="86" s="1"/>
  <c r="O13" i="86"/>
  <c r="P13" i="86" s="1"/>
  <c r="R26" i="86"/>
  <c r="Q26" i="86"/>
  <c r="O11" i="86"/>
  <c r="P11" i="86" s="1"/>
  <c r="AH13" i="86"/>
  <c r="AH28" i="86" s="1"/>
  <c r="L9" i="86"/>
  <c r="L28" i="86" s="1"/>
  <c r="F28" i="86"/>
  <c r="K28" i="86"/>
  <c r="O23" i="86"/>
  <c r="P23" i="86" s="1"/>
  <c r="O15" i="86"/>
  <c r="P15" i="86" s="1"/>
  <c r="O17" i="86"/>
  <c r="P17" i="86" s="1"/>
  <c r="O19" i="86"/>
  <c r="P19" i="86" s="1"/>
  <c r="O18" i="86"/>
  <c r="P18" i="86" s="1"/>
  <c r="Q17" i="81" l="1"/>
  <c r="R17" i="81"/>
  <c r="K11" i="42"/>
  <c r="N11" i="42" s="1"/>
  <c r="K12" i="111"/>
  <c r="Q12" i="111" s="1"/>
  <c r="K15" i="111"/>
  <c r="Q15" i="111" s="1"/>
  <c r="K15" i="42"/>
  <c r="N15" i="42" s="1"/>
  <c r="K10" i="42"/>
  <c r="N10" i="42" s="1"/>
  <c r="K10" i="111"/>
  <c r="K13" i="42"/>
  <c r="N13" i="42" s="1"/>
  <c r="K13" i="111"/>
  <c r="Q13" i="111" s="1"/>
  <c r="K14" i="42"/>
  <c r="N14" i="42" s="1"/>
  <c r="K14" i="111"/>
  <c r="Q14" i="111" s="1"/>
  <c r="O13" i="81"/>
  <c r="O21" i="81" s="1"/>
  <c r="M21" i="81"/>
  <c r="Q10" i="86"/>
  <c r="S10" i="86" s="1"/>
  <c r="T10" i="86" s="1"/>
  <c r="V10" i="86" s="1"/>
  <c r="AI10" i="86" s="1"/>
  <c r="S26" i="86"/>
  <c r="T26" i="86" s="1"/>
  <c r="V26" i="86" s="1"/>
  <c r="W26" i="86" s="1"/>
  <c r="Q21" i="86"/>
  <c r="R21" i="86"/>
  <c r="Q14" i="85"/>
  <c r="R14" i="85"/>
  <c r="Q12" i="85"/>
  <c r="R12" i="85"/>
  <c r="R22" i="85"/>
  <c r="Q22" i="85"/>
  <c r="R13" i="85"/>
  <c r="Q13" i="85"/>
  <c r="R15" i="85"/>
  <c r="Q15" i="85"/>
  <c r="R11" i="85"/>
  <c r="Q11" i="85"/>
  <c r="Q10" i="85"/>
  <c r="R10" i="85"/>
  <c r="S24" i="85"/>
  <c r="T24" i="85" s="1"/>
  <c r="Q21" i="85"/>
  <c r="R21" i="85"/>
  <c r="Q16" i="85"/>
  <c r="R16" i="85"/>
  <c r="O9" i="85"/>
  <c r="O25" i="85" s="1"/>
  <c r="M25" i="85"/>
  <c r="R17" i="85"/>
  <c r="Q17" i="85"/>
  <c r="M64" i="84"/>
  <c r="O9" i="84"/>
  <c r="P9" i="84" s="1"/>
  <c r="P64" i="84" s="1"/>
  <c r="S40" i="84"/>
  <c r="T40" i="84" s="1"/>
  <c r="V40" i="84" s="1"/>
  <c r="W40" i="84" s="1"/>
  <c r="L65" i="84"/>
  <c r="L67" i="84" s="1"/>
  <c r="S41" i="84"/>
  <c r="T41" i="84" s="1"/>
  <c r="V41" i="84" s="1"/>
  <c r="W41" i="84" s="1"/>
  <c r="S35" i="84"/>
  <c r="T35" i="84" s="1"/>
  <c r="V35" i="84" s="1"/>
  <c r="S46" i="84"/>
  <c r="T46" i="84" s="1"/>
  <c r="V46" i="84" s="1"/>
  <c r="S39" i="84"/>
  <c r="T39" i="84" s="1"/>
  <c r="V39" i="84" s="1"/>
  <c r="W39" i="84" s="1"/>
  <c r="R14" i="84"/>
  <c r="Q14" i="84"/>
  <c r="Q47" i="84"/>
  <c r="R47" i="84"/>
  <c r="AK38" i="84"/>
  <c r="AL38" i="84" s="1"/>
  <c r="AI38" i="84"/>
  <c r="Q16" i="84"/>
  <c r="R16" i="84"/>
  <c r="R30" i="84"/>
  <c r="Q30" i="84"/>
  <c r="Q32" i="84"/>
  <c r="R32" i="84"/>
  <c r="Q45" i="84"/>
  <c r="R45" i="84"/>
  <c r="R18" i="84"/>
  <c r="Q18" i="84"/>
  <c r="Q12" i="84"/>
  <c r="R12" i="84"/>
  <c r="R33" i="84"/>
  <c r="Q33" i="84"/>
  <c r="Q24" i="84"/>
  <c r="R24" i="84"/>
  <c r="Q29" i="84"/>
  <c r="R29" i="84"/>
  <c r="R23" i="84"/>
  <c r="Q23" i="84"/>
  <c r="Q25" i="84"/>
  <c r="R25" i="84"/>
  <c r="R36" i="84"/>
  <c r="Q36" i="84"/>
  <c r="Q10" i="84"/>
  <c r="R10" i="84"/>
  <c r="Q20" i="84"/>
  <c r="R20" i="84"/>
  <c r="R19" i="84"/>
  <c r="Q19" i="84"/>
  <c r="Q34" i="84"/>
  <c r="R34" i="84"/>
  <c r="Q51" i="84"/>
  <c r="R51" i="84"/>
  <c r="K67" i="84"/>
  <c r="O13" i="84"/>
  <c r="M65" i="84"/>
  <c r="Q21" i="84"/>
  <c r="R21" i="84"/>
  <c r="R49" i="84"/>
  <c r="Q49" i="84"/>
  <c r="Q22" i="84"/>
  <c r="R22" i="84"/>
  <c r="R27" i="84"/>
  <c r="Q27" i="84"/>
  <c r="Q50" i="84"/>
  <c r="R50" i="84"/>
  <c r="K52" i="84"/>
  <c r="Q26" i="84"/>
  <c r="R26" i="84"/>
  <c r="M11" i="84"/>
  <c r="L52" i="84"/>
  <c r="O17" i="84"/>
  <c r="P17" i="84" s="1"/>
  <c r="Q43" i="84"/>
  <c r="R43" i="84"/>
  <c r="R15" i="84"/>
  <c r="Q15" i="84"/>
  <c r="S37" i="84"/>
  <c r="T37" i="84" s="1"/>
  <c r="V37" i="84" s="1"/>
  <c r="W37" i="84" s="1"/>
  <c r="Q31" i="84"/>
  <c r="R31" i="84"/>
  <c r="R48" i="84"/>
  <c r="Q48" i="84"/>
  <c r="R44" i="84"/>
  <c r="Q44" i="84"/>
  <c r="Q28" i="84"/>
  <c r="R28" i="84"/>
  <c r="AK27" i="80"/>
  <c r="AJ27" i="80"/>
  <c r="AM27" i="80"/>
  <c r="W27" i="80"/>
  <c r="S17" i="81"/>
  <c r="T17" i="81" s="1"/>
  <c r="V17" i="81" s="1"/>
  <c r="W20" i="81"/>
  <c r="AK20" i="81"/>
  <c r="AL20" i="81" s="1"/>
  <c r="AI20" i="81"/>
  <c r="S19" i="81"/>
  <c r="T19" i="81" s="1"/>
  <c r="V19" i="81" s="1"/>
  <c r="S11" i="81"/>
  <c r="T11" i="81" s="1"/>
  <c r="V11" i="81" s="1"/>
  <c r="W11" i="81" s="1"/>
  <c r="S9" i="81"/>
  <c r="T9" i="81" s="1"/>
  <c r="V9" i="81" s="1"/>
  <c r="AN9" i="81" s="1"/>
  <c r="S15" i="81"/>
  <c r="T15" i="81" s="1"/>
  <c r="V15" i="81" s="1"/>
  <c r="AI15" i="81" s="1"/>
  <c r="S18" i="81"/>
  <c r="T18" i="81" s="1"/>
  <c r="V18" i="81" s="1"/>
  <c r="S14" i="81"/>
  <c r="T14" i="81" s="1"/>
  <c r="V14" i="81" s="1"/>
  <c r="S12" i="81"/>
  <c r="T12" i="81" s="1"/>
  <c r="V12" i="81" s="1"/>
  <c r="AI12" i="81" s="1"/>
  <c r="S16" i="81"/>
  <c r="T16" i="81" s="1"/>
  <c r="V16" i="81" s="1"/>
  <c r="S10" i="81"/>
  <c r="AI27" i="80"/>
  <c r="S26" i="80"/>
  <c r="T26" i="80" s="1"/>
  <c r="V26" i="80" s="1"/>
  <c r="T18" i="80"/>
  <c r="V18" i="80" s="1"/>
  <c r="R11" i="80"/>
  <c r="S11" i="80" s="1"/>
  <c r="T11" i="80" s="1"/>
  <c r="V11" i="80" s="1"/>
  <c r="R24" i="80"/>
  <c r="Q24" i="80"/>
  <c r="M28" i="80"/>
  <c r="R21" i="80"/>
  <c r="Q21" i="80"/>
  <c r="Q14" i="80"/>
  <c r="R14" i="80"/>
  <c r="R25" i="80"/>
  <c r="Q25" i="80"/>
  <c r="R16" i="80"/>
  <c r="Q16" i="80"/>
  <c r="R20" i="80"/>
  <c r="Q20" i="80"/>
  <c r="Q15" i="80"/>
  <c r="R15" i="80"/>
  <c r="R17" i="80"/>
  <c r="Q17" i="80"/>
  <c r="O28" i="80"/>
  <c r="S23" i="80"/>
  <c r="T23" i="80" s="1"/>
  <c r="V23" i="80" s="1"/>
  <c r="Q19" i="80"/>
  <c r="R19" i="80"/>
  <c r="R22" i="80"/>
  <c r="Q22" i="80"/>
  <c r="Q10" i="80"/>
  <c r="R10" i="80"/>
  <c r="R9" i="80"/>
  <c r="Q9" i="80"/>
  <c r="P28" i="80"/>
  <c r="R12" i="80"/>
  <c r="Q12" i="80"/>
  <c r="R13" i="80"/>
  <c r="Q13" i="80"/>
  <c r="M9" i="86"/>
  <c r="O9" i="86" s="1"/>
  <c r="O28" i="86" s="1"/>
  <c r="Q17" i="86"/>
  <c r="R17" i="86"/>
  <c r="Q13" i="86"/>
  <c r="R13" i="86"/>
  <c r="R16" i="86"/>
  <c r="Q16" i="86"/>
  <c r="AK27" i="86"/>
  <c r="AL27" i="86" s="1"/>
  <c r="AI27" i="86"/>
  <c r="Q23" i="86"/>
  <c r="R23" i="86"/>
  <c r="R22" i="86"/>
  <c r="Q22" i="86"/>
  <c r="R18" i="86"/>
  <c r="Q18" i="86"/>
  <c r="Q19" i="86"/>
  <c r="R19" i="86"/>
  <c r="Q11" i="86"/>
  <c r="R11" i="86"/>
  <c r="Q15" i="86"/>
  <c r="R15" i="86"/>
  <c r="R12" i="86"/>
  <c r="Q12" i="86"/>
  <c r="R14" i="86"/>
  <c r="Q14" i="86"/>
  <c r="R20" i="86"/>
  <c r="Q20" i="86"/>
  <c r="V24" i="85" l="1"/>
  <c r="W24" i="85" s="1"/>
  <c r="K16" i="111"/>
  <c r="Q10" i="111"/>
  <c r="K16" i="42"/>
  <c r="W12" i="111"/>
  <c r="N16" i="42"/>
  <c r="P13" i="81"/>
  <c r="M28" i="86"/>
  <c r="AI26" i="86"/>
  <c r="AK26" i="86"/>
  <c r="AL26" i="86" s="1"/>
  <c r="S17" i="86"/>
  <c r="T17" i="86" s="1"/>
  <c r="V17" i="86" s="1"/>
  <c r="W17" i="86" s="1"/>
  <c r="S21" i="86"/>
  <c r="T21" i="86" s="1"/>
  <c r="V21" i="86" s="1"/>
  <c r="W21" i="86" s="1"/>
  <c r="S18" i="86"/>
  <c r="T18" i="86" s="1"/>
  <c r="V18" i="86" s="1"/>
  <c r="W18" i="86" s="1"/>
  <c r="S16" i="86"/>
  <c r="T16" i="86" s="1"/>
  <c r="V16" i="86" s="1"/>
  <c r="W16" i="86" s="1"/>
  <c r="S22" i="86"/>
  <c r="T22" i="86" s="1"/>
  <c r="V22" i="86" s="1"/>
  <c r="W22" i="86" s="1"/>
  <c r="S16" i="85"/>
  <c r="T16" i="85" s="1"/>
  <c r="V16" i="85" s="1"/>
  <c r="W16" i="85" s="1"/>
  <c r="S10" i="85"/>
  <c r="T10" i="85" s="1"/>
  <c r="S22" i="85"/>
  <c r="T22" i="85" s="1"/>
  <c r="V22" i="85" s="1"/>
  <c r="W22" i="85" s="1"/>
  <c r="P9" i="85"/>
  <c r="R9" i="85" s="1"/>
  <c r="R25" i="85" s="1"/>
  <c r="S15" i="85"/>
  <c r="T15" i="85" s="1"/>
  <c r="V15" i="85" s="1"/>
  <c r="W15" i="85" s="1"/>
  <c r="S12" i="85"/>
  <c r="T12" i="85" s="1"/>
  <c r="V12" i="85" s="1"/>
  <c r="W12" i="85" s="1"/>
  <c r="S14" i="85"/>
  <c r="T14" i="85" s="1"/>
  <c r="V14" i="85" s="1"/>
  <c r="W14" i="85" s="1"/>
  <c r="S21" i="85"/>
  <c r="T21" i="85" s="1"/>
  <c r="V21" i="85" s="1"/>
  <c r="W21" i="85" s="1"/>
  <c r="S11" i="85"/>
  <c r="T11" i="85" s="1"/>
  <c r="V11" i="85" s="1"/>
  <c r="S13" i="85"/>
  <c r="T13" i="85" s="1"/>
  <c r="V13" i="85" s="1"/>
  <c r="W13" i="85" s="1"/>
  <c r="S17" i="85"/>
  <c r="T17" i="85" s="1"/>
  <c r="V17" i="85" s="1"/>
  <c r="W17" i="85" s="1"/>
  <c r="AK46" i="84"/>
  <c r="AL46" i="84" s="1"/>
  <c r="W46" i="84"/>
  <c r="AI35" i="84"/>
  <c r="W35" i="84"/>
  <c r="O64" i="84"/>
  <c r="Q9" i="84"/>
  <c r="Q64" i="84" s="1"/>
  <c r="R9" i="84"/>
  <c r="R64" i="84" s="1"/>
  <c r="AI40" i="84"/>
  <c r="AK35" i="84"/>
  <c r="AL35" i="84" s="1"/>
  <c r="S49" i="84"/>
  <c r="T49" i="84" s="1"/>
  <c r="V49" i="84" s="1"/>
  <c r="W49" i="84" s="1"/>
  <c r="S14" i="84"/>
  <c r="T14" i="84" s="1"/>
  <c r="V14" i="84" s="1"/>
  <c r="S48" i="84"/>
  <c r="S33" i="84"/>
  <c r="T33" i="84" s="1"/>
  <c r="V33" i="84" s="1"/>
  <c r="S23" i="84"/>
  <c r="T23" i="84" s="1"/>
  <c r="V23" i="84" s="1"/>
  <c r="W23" i="84" s="1"/>
  <c r="AI46" i="84"/>
  <c r="S29" i="84"/>
  <c r="T29" i="84" s="1"/>
  <c r="V29" i="84" s="1"/>
  <c r="S21" i="84"/>
  <c r="T21" i="84" s="1"/>
  <c r="V21" i="84" s="1"/>
  <c r="S45" i="84"/>
  <c r="T45" i="84" s="1"/>
  <c r="V45" i="84" s="1"/>
  <c r="W45" i="84" s="1"/>
  <c r="S44" i="84"/>
  <c r="T44" i="84" s="1"/>
  <c r="V44" i="84" s="1"/>
  <c r="W44" i="84" s="1"/>
  <c r="T48" i="84"/>
  <c r="V48" i="84" s="1"/>
  <c r="S31" i="84"/>
  <c r="T31" i="84" s="1"/>
  <c r="V31" i="84" s="1"/>
  <c r="W31" i="84" s="1"/>
  <c r="S20" i="84"/>
  <c r="T20" i="84" s="1"/>
  <c r="V20" i="84" s="1"/>
  <c r="S24" i="84"/>
  <c r="T24" i="84" s="1"/>
  <c r="V24" i="84" s="1"/>
  <c r="W24" i="84" s="1"/>
  <c r="S16" i="84"/>
  <c r="T16" i="84" s="1"/>
  <c r="V16" i="84" s="1"/>
  <c r="S26" i="84"/>
  <c r="T26" i="84" s="1"/>
  <c r="V26" i="84" s="1"/>
  <c r="W26" i="84" s="1"/>
  <c r="S22" i="84"/>
  <c r="T22" i="84" s="1"/>
  <c r="V22" i="84" s="1"/>
  <c r="W22" i="84" s="1"/>
  <c r="AK39" i="84"/>
  <c r="AL39" i="84" s="1"/>
  <c r="AI39" i="84"/>
  <c r="S12" i="84"/>
  <c r="T12" i="84" s="1"/>
  <c r="V12" i="84" s="1"/>
  <c r="S50" i="84"/>
  <c r="T50" i="84" s="1"/>
  <c r="V50" i="84" s="1"/>
  <c r="W50" i="84" s="1"/>
  <c r="AK40" i="84"/>
  <c r="AL40" i="84" s="1"/>
  <c r="S30" i="84"/>
  <c r="T30" i="84" s="1"/>
  <c r="V30" i="84" s="1"/>
  <c r="W30" i="84" s="1"/>
  <c r="S19" i="84"/>
  <c r="T19" i="84" s="1"/>
  <c r="V19" i="84" s="1"/>
  <c r="W19" i="84" s="1"/>
  <c r="S36" i="84"/>
  <c r="T36" i="84" s="1"/>
  <c r="V36" i="84" s="1"/>
  <c r="W36" i="84" s="1"/>
  <c r="S47" i="84"/>
  <c r="T47" i="84" s="1"/>
  <c r="V47" i="84" s="1"/>
  <c r="W47" i="84" s="1"/>
  <c r="S28" i="84"/>
  <c r="T28" i="84" s="1"/>
  <c r="V28" i="84" s="1"/>
  <c r="S27" i="84"/>
  <c r="T27" i="84" s="1"/>
  <c r="V27" i="84" s="1"/>
  <c r="W27" i="84" s="1"/>
  <c r="O65" i="84"/>
  <c r="S34" i="84"/>
  <c r="T34" i="84" s="1"/>
  <c r="V34" i="84" s="1"/>
  <c r="S10" i="84"/>
  <c r="T10" i="84" s="1"/>
  <c r="V10" i="84" s="1"/>
  <c r="S25" i="84"/>
  <c r="T25" i="84" s="1"/>
  <c r="V25" i="84" s="1"/>
  <c r="O11" i="84"/>
  <c r="P11" i="84" s="1"/>
  <c r="M66" i="84"/>
  <c r="M67" i="84" s="1"/>
  <c r="M52" i="84"/>
  <c r="S15" i="84"/>
  <c r="T15" i="84" s="1"/>
  <c r="V15" i="84" s="1"/>
  <c r="R17" i="84"/>
  <c r="Q17" i="84"/>
  <c r="P13" i="84"/>
  <c r="S18" i="84"/>
  <c r="T18" i="84" s="1"/>
  <c r="V18" i="84" s="1"/>
  <c r="W18" i="84" s="1"/>
  <c r="S43" i="84"/>
  <c r="T43" i="84" s="1"/>
  <c r="V43" i="84" s="1"/>
  <c r="AK41" i="84"/>
  <c r="AL41" i="84" s="1"/>
  <c r="AI41" i="84"/>
  <c r="S51" i="84"/>
  <c r="T51" i="84" s="1"/>
  <c r="V51" i="84" s="1"/>
  <c r="S32" i="84"/>
  <c r="T32" i="84" s="1"/>
  <c r="V32" i="84" s="1"/>
  <c r="AI37" i="84"/>
  <c r="AK37" i="84"/>
  <c r="AL37" i="84" s="1"/>
  <c r="AK23" i="80"/>
  <c r="AM23" i="80"/>
  <c r="AJ23" i="80"/>
  <c r="W23" i="80"/>
  <c r="AK18" i="80"/>
  <c r="W18" i="80"/>
  <c r="AJ18" i="80"/>
  <c r="AM18" i="80"/>
  <c r="AK11" i="80"/>
  <c r="W11" i="80"/>
  <c r="AM11" i="80"/>
  <c r="AJ11" i="80"/>
  <c r="AK26" i="80"/>
  <c r="W26" i="80"/>
  <c r="AJ26" i="80"/>
  <c r="AM26" i="80"/>
  <c r="AN27" i="80"/>
  <c r="W19" i="81"/>
  <c r="AI19" i="81"/>
  <c r="AK19" i="81"/>
  <c r="AL19" i="81" s="1"/>
  <c r="W17" i="81"/>
  <c r="AK17" i="81"/>
  <c r="AL17" i="81" s="1"/>
  <c r="AI17" i="81"/>
  <c r="W15" i="81"/>
  <c r="AK15" i="81"/>
  <c r="AL15" i="81" s="1"/>
  <c r="AK9" i="81"/>
  <c r="W12" i="81"/>
  <c r="AK12" i="81"/>
  <c r="AL12" i="81" s="1"/>
  <c r="AI11" i="81"/>
  <c r="AK11" i="81"/>
  <c r="AL11" i="81" s="1"/>
  <c r="W14" i="81"/>
  <c r="AI14" i="81"/>
  <c r="AK14" i="81"/>
  <c r="AL14" i="81" s="1"/>
  <c r="W18" i="81"/>
  <c r="AK18" i="81"/>
  <c r="AL18" i="81" s="1"/>
  <c r="AI18" i="81"/>
  <c r="AI9" i="81"/>
  <c r="W16" i="81"/>
  <c r="AK16" i="81"/>
  <c r="AL16" i="81" s="1"/>
  <c r="AI16" i="81"/>
  <c r="T10" i="81"/>
  <c r="V10" i="81" s="1"/>
  <c r="AN10" i="81" s="1"/>
  <c r="AI11" i="80"/>
  <c r="AI23" i="80"/>
  <c r="AI18" i="80"/>
  <c r="AI26" i="80"/>
  <c r="S22" i="80"/>
  <c r="T22" i="80" s="1"/>
  <c r="V22" i="80" s="1"/>
  <c r="S17" i="80"/>
  <c r="T17" i="80" s="1"/>
  <c r="V17" i="80" s="1"/>
  <c r="S12" i="80"/>
  <c r="T12" i="80" s="1"/>
  <c r="V12" i="80" s="1"/>
  <c r="S19" i="80"/>
  <c r="T19" i="80" s="1"/>
  <c r="V19" i="80" s="1"/>
  <c r="S24" i="80"/>
  <c r="T24" i="80" s="1"/>
  <c r="V24" i="80" s="1"/>
  <c r="S10" i="80"/>
  <c r="T10" i="80" s="1"/>
  <c r="V10" i="80" s="1"/>
  <c r="S21" i="80"/>
  <c r="T21" i="80" s="1"/>
  <c r="V21" i="80" s="1"/>
  <c r="R28" i="80"/>
  <c r="S13" i="80"/>
  <c r="T13" i="80" s="1"/>
  <c r="V13" i="80" s="1"/>
  <c r="S16" i="80"/>
  <c r="T16" i="80" s="1"/>
  <c r="V16" i="80" s="1"/>
  <c r="S25" i="80"/>
  <c r="T25" i="80" s="1"/>
  <c r="V25" i="80" s="1"/>
  <c r="Q28" i="80"/>
  <c r="S15" i="80"/>
  <c r="T15" i="80" s="1"/>
  <c r="V15" i="80" s="1"/>
  <c r="S20" i="80"/>
  <c r="T20" i="80" s="1"/>
  <c r="V20" i="80" s="1"/>
  <c r="S14" i="80"/>
  <c r="T14" i="80" s="1"/>
  <c r="V14" i="80" s="1"/>
  <c r="S9" i="80"/>
  <c r="S15" i="86"/>
  <c r="T15" i="86" s="1"/>
  <c r="V15" i="86" s="1"/>
  <c r="W15" i="86" s="1"/>
  <c r="S11" i="86"/>
  <c r="T11" i="86" s="1"/>
  <c r="V11" i="86" s="1"/>
  <c r="S14" i="86"/>
  <c r="T14" i="86" s="1"/>
  <c r="V14" i="86" s="1"/>
  <c r="S12" i="86"/>
  <c r="T12" i="86" s="1"/>
  <c r="V12" i="86" s="1"/>
  <c r="W12" i="86" s="1"/>
  <c r="AK10" i="86"/>
  <c r="S19" i="86"/>
  <c r="T19" i="86" s="1"/>
  <c r="V19" i="86" s="1"/>
  <c r="W19" i="86" s="1"/>
  <c r="S23" i="86"/>
  <c r="T23" i="86" s="1"/>
  <c r="V23" i="86" s="1"/>
  <c r="W23" i="86" s="1"/>
  <c r="P9" i="86"/>
  <c r="S20" i="86"/>
  <c r="T20" i="86" s="1"/>
  <c r="V20" i="86" s="1"/>
  <c r="W20" i="86" s="1"/>
  <c r="S13" i="86"/>
  <c r="T13" i="86" s="1"/>
  <c r="V13" i="86" s="1"/>
  <c r="W13" i="86" s="1"/>
  <c r="AP10" i="86" l="1"/>
  <c r="AN10" i="86"/>
  <c r="AK13" i="80"/>
  <c r="AM13" i="80"/>
  <c r="AK10" i="80"/>
  <c r="AN10" i="80" s="1"/>
  <c r="W10" i="80" s="1"/>
  <c r="AM10" i="80"/>
  <c r="AI24" i="85"/>
  <c r="W10" i="111"/>
  <c r="W16" i="111" s="1"/>
  <c r="Q16" i="111"/>
  <c r="AK15" i="80"/>
  <c r="AM15" i="80"/>
  <c r="AK12" i="84"/>
  <c r="AN12" i="84"/>
  <c r="AN10" i="84"/>
  <c r="AP10" i="84"/>
  <c r="AK24" i="85"/>
  <c r="W51" i="84"/>
  <c r="R13" i="81"/>
  <c r="R21" i="81" s="1"/>
  <c r="Q13" i="81"/>
  <c r="Q21" i="81" s="1"/>
  <c r="P21" i="81"/>
  <c r="AL10" i="86"/>
  <c r="AM10" i="86" s="1"/>
  <c r="W11" i="86"/>
  <c r="AK17" i="86"/>
  <c r="AL17" i="86" s="1"/>
  <c r="AK18" i="86"/>
  <c r="AL18" i="86" s="1"/>
  <c r="AI17" i="86"/>
  <c r="AI18" i="86"/>
  <c r="AI22" i="86"/>
  <c r="AI21" i="86"/>
  <c r="AK21" i="86"/>
  <c r="AL21" i="86" s="1"/>
  <c r="AK22" i="86"/>
  <c r="AL22" i="86" s="1"/>
  <c r="AL24" i="85"/>
  <c r="AP24" i="85"/>
  <c r="AN24" i="85"/>
  <c r="V10" i="85"/>
  <c r="AK16" i="85"/>
  <c r="AI16" i="85"/>
  <c r="P25" i="85"/>
  <c r="Q9" i="85"/>
  <c r="Q25" i="85" s="1"/>
  <c r="AK14" i="85"/>
  <c r="AI14" i="85"/>
  <c r="AI15" i="85"/>
  <c r="AK15" i="85"/>
  <c r="AK22" i="85"/>
  <c r="AI22" i="85"/>
  <c r="AK17" i="85"/>
  <c r="AI17" i="85"/>
  <c r="AK21" i="85"/>
  <c r="AI21" i="85"/>
  <c r="AK13" i="85"/>
  <c r="AI13" i="85"/>
  <c r="AK11" i="85"/>
  <c r="AN11" i="85" s="1"/>
  <c r="AI11" i="85"/>
  <c r="AK12" i="85"/>
  <c r="AI12" i="85"/>
  <c r="AK48" i="84"/>
  <c r="AL48" i="84" s="1"/>
  <c r="W48" i="84"/>
  <c r="AI25" i="84"/>
  <c r="W25" i="84"/>
  <c r="AK33" i="84"/>
  <c r="AL33" i="84" s="1"/>
  <c r="W33" i="84"/>
  <c r="S9" i="84"/>
  <c r="S64" i="84" s="1"/>
  <c r="AI20" i="84"/>
  <c r="AK49" i="84"/>
  <c r="AL49" i="84" s="1"/>
  <c r="AK47" i="84"/>
  <c r="AL47" i="84" s="1"/>
  <c r="AI49" i="84"/>
  <c r="AK20" i="84"/>
  <c r="AI21" i="84"/>
  <c r="AK21" i="84"/>
  <c r="AK23" i="84"/>
  <c r="AL23" i="84" s="1"/>
  <c r="AI23" i="84"/>
  <c r="AI12" i="84"/>
  <c r="AI48" i="84"/>
  <c r="AI47" i="84"/>
  <c r="AI26" i="84"/>
  <c r="S17" i="84"/>
  <c r="T17" i="84" s="1"/>
  <c r="V17" i="84" s="1"/>
  <c r="AI22" i="84"/>
  <c r="AK22" i="84"/>
  <c r="AL22" i="84" s="1"/>
  <c r="AI31" i="84"/>
  <c r="AK31" i="84"/>
  <c r="AL31" i="84" s="1"/>
  <c r="AK25" i="84"/>
  <c r="AL25" i="84" s="1"/>
  <c r="AK26" i="84"/>
  <c r="AL26" i="84" s="1"/>
  <c r="AK19" i="84"/>
  <c r="AL19" i="84" s="1"/>
  <c r="AI19" i="84"/>
  <c r="AK24" i="84"/>
  <c r="AL24" i="84" s="1"/>
  <c r="AK36" i="84"/>
  <c r="AL36" i="84" s="1"/>
  <c r="AI24" i="84"/>
  <c r="AI33" i="84"/>
  <c r="AI36" i="84"/>
  <c r="AK43" i="84"/>
  <c r="AI43" i="84"/>
  <c r="AK15" i="84"/>
  <c r="AI15" i="84"/>
  <c r="R11" i="84"/>
  <c r="Q11" i="84"/>
  <c r="P66" i="84"/>
  <c r="P52" i="84"/>
  <c r="AK30" i="84"/>
  <c r="AL30" i="84" s="1"/>
  <c r="AM30" i="84" s="1"/>
  <c r="AI30" i="84"/>
  <c r="AK34" i="84"/>
  <c r="AI34" i="84"/>
  <c r="AI45" i="84"/>
  <c r="AK45" i="84"/>
  <c r="AL45" i="84" s="1"/>
  <c r="AK32" i="84"/>
  <c r="AI32" i="84"/>
  <c r="AI27" i="84"/>
  <c r="AK27" i="84"/>
  <c r="AL27" i="84" s="1"/>
  <c r="AK28" i="84"/>
  <c r="AI28" i="84"/>
  <c r="AK10" i="84"/>
  <c r="AL10" i="84" s="1"/>
  <c r="AM10" i="84" s="1"/>
  <c r="AI10" i="84"/>
  <c r="AI44" i="84"/>
  <c r="AK44" i="84"/>
  <c r="AL44" i="84" s="1"/>
  <c r="AI18" i="84"/>
  <c r="AK18" i="84"/>
  <c r="AL18" i="84" s="1"/>
  <c r="AI51" i="84"/>
  <c r="AK14" i="84"/>
  <c r="AI14" i="84"/>
  <c r="AI29" i="84"/>
  <c r="AK29" i="84"/>
  <c r="AI50" i="84"/>
  <c r="AK50" i="84"/>
  <c r="AL50" i="84" s="1"/>
  <c r="AI16" i="84"/>
  <c r="AK16" i="84"/>
  <c r="Q13" i="84"/>
  <c r="Q65" i="84" s="1"/>
  <c r="R13" i="84"/>
  <c r="R65" i="84" s="1"/>
  <c r="P65" i="84"/>
  <c r="O66" i="84"/>
  <c r="O67" i="84" s="1"/>
  <c r="O52" i="84"/>
  <c r="AN23" i="80"/>
  <c r="AK14" i="80"/>
  <c r="AJ14" i="80"/>
  <c r="AM14" i="80"/>
  <c r="W14" i="80"/>
  <c r="AK12" i="80"/>
  <c r="AJ12" i="80"/>
  <c r="W12" i="80"/>
  <c r="AM12" i="80"/>
  <c r="AJ10" i="80"/>
  <c r="AJ13" i="80"/>
  <c r="AK24" i="80"/>
  <c r="W24" i="80"/>
  <c r="AM24" i="80"/>
  <c r="AJ24" i="80"/>
  <c r="AK22" i="80"/>
  <c r="W22" i="80"/>
  <c r="AJ22" i="80"/>
  <c r="AM22" i="80"/>
  <c r="AK25" i="80"/>
  <c r="AM25" i="80"/>
  <c r="AJ25" i="80"/>
  <c r="W25" i="80"/>
  <c r="AK21" i="80"/>
  <c r="AM21" i="80"/>
  <c r="W21" i="80"/>
  <c r="AJ21" i="80"/>
  <c r="AK20" i="80"/>
  <c r="W20" i="80"/>
  <c r="AJ20" i="80"/>
  <c r="AM20" i="80"/>
  <c r="AJ15" i="80"/>
  <c r="AK19" i="80"/>
  <c r="W19" i="80"/>
  <c r="AJ19" i="80"/>
  <c r="AM19" i="80"/>
  <c r="AN26" i="80"/>
  <c r="AN11" i="80"/>
  <c r="AN18" i="80"/>
  <c r="AK16" i="80"/>
  <c r="W16" i="80"/>
  <c r="AJ16" i="80"/>
  <c r="AM16" i="80"/>
  <c r="AK17" i="80"/>
  <c r="AM17" i="80"/>
  <c r="W17" i="80"/>
  <c r="AJ17" i="80"/>
  <c r="AP9" i="81"/>
  <c r="AQ9" i="81" s="1"/>
  <c r="W9" i="81" s="1"/>
  <c r="AL9" i="81"/>
  <c r="AM9" i="81" s="1"/>
  <c r="AI25" i="80"/>
  <c r="AI24" i="80"/>
  <c r="AI16" i="80"/>
  <c r="AI19" i="80"/>
  <c r="AI15" i="80"/>
  <c r="AI21" i="80"/>
  <c r="AI17" i="80"/>
  <c r="AI14" i="80"/>
  <c r="AI13" i="80"/>
  <c r="AI20" i="80"/>
  <c r="AI12" i="80"/>
  <c r="AI10" i="80"/>
  <c r="AI22" i="80"/>
  <c r="S28" i="80"/>
  <c r="T9" i="80"/>
  <c r="V9" i="80" s="1"/>
  <c r="AK9" i="80" s="1"/>
  <c r="AI19" i="86"/>
  <c r="AK19" i="86"/>
  <c r="AK14" i="86"/>
  <c r="AI14" i="86"/>
  <c r="AK23" i="86"/>
  <c r="AL23" i="86" s="1"/>
  <c r="AI23" i="86"/>
  <c r="AK13" i="86"/>
  <c r="AI13" i="86"/>
  <c r="AI16" i="86"/>
  <c r="AK16" i="86"/>
  <c r="AL16" i="86" s="1"/>
  <c r="AK15" i="86"/>
  <c r="AL15" i="86" s="1"/>
  <c r="AI15" i="86"/>
  <c r="AI12" i="86"/>
  <c r="AK12" i="86"/>
  <c r="AL12" i="86" s="1"/>
  <c r="AI20" i="86"/>
  <c r="AK20" i="86"/>
  <c r="AL20" i="86" s="1"/>
  <c r="Q9" i="86"/>
  <c r="Q28" i="86" s="1"/>
  <c r="P28" i="86"/>
  <c r="R9" i="86"/>
  <c r="R28" i="86" s="1"/>
  <c r="AL20" i="84" l="1"/>
  <c r="AM20" i="84" s="1"/>
  <c r="AP20" i="84"/>
  <c r="AN20" i="84"/>
  <c r="AQ20" i="84" s="1"/>
  <c r="W20" i="84" s="1"/>
  <c r="AN13" i="80"/>
  <c r="W13" i="80" s="1"/>
  <c r="AL14" i="84"/>
  <c r="AM14" i="84" s="1"/>
  <c r="AP14" i="84"/>
  <c r="AN14" i="84"/>
  <c r="AQ14" i="84" s="1"/>
  <c r="W14" i="84" s="1"/>
  <c r="AQ12" i="84"/>
  <c r="W12" i="84" s="1"/>
  <c r="AN15" i="80"/>
  <c r="W15" i="80" s="1"/>
  <c r="AQ10" i="86"/>
  <c r="AP43" i="84"/>
  <c r="AN43" i="84"/>
  <c r="AQ43" i="84" s="1"/>
  <c r="AL16" i="84"/>
  <c r="AM16" i="84" s="1"/>
  <c r="AN16" i="84"/>
  <c r="AP16" i="84"/>
  <c r="AQ16" i="84" s="1"/>
  <c r="W16" i="84" s="1"/>
  <c r="AL29" i="84"/>
  <c r="AP29" i="84"/>
  <c r="AN29" i="84"/>
  <c r="AL28" i="84"/>
  <c r="AN28" i="84"/>
  <c r="AQ28" i="84" s="1"/>
  <c r="W28" i="84" s="1"/>
  <c r="AP28" i="84"/>
  <c r="AL32" i="84"/>
  <c r="AP32" i="84"/>
  <c r="AN32" i="84"/>
  <c r="AQ32" i="84" s="1"/>
  <c r="W32" i="84" s="1"/>
  <c r="AL34" i="84"/>
  <c r="AN34" i="84"/>
  <c r="AP34" i="84"/>
  <c r="AP15" i="84"/>
  <c r="AN15" i="84"/>
  <c r="AL21" i="84"/>
  <c r="AN21" i="84"/>
  <c r="AP21" i="84"/>
  <c r="AL12" i="84"/>
  <c r="AM12" i="84" s="1"/>
  <c r="AP12" i="84"/>
  <c r="AK51" i="84"/>
  <c r="AL51" i="84" s="1"/>
  <c r="S13" i="81"/>
  <c r="AK11" i="86"/>
  <c r="AL11" i="86" s="1"/>
  <c r="AI11" i="86"/>
  <c r="S9" i="86"/>
  <c r="S28" i="86" s="1"/>
  <c r="AQ24" i="85"/>
  <c r="AL15" i="85"/>
  <c r="AN15" i="85"/>
  <c r="AP15" i="85"/>
  <c r="AK10" i="85"/>
  <c r="AL12" i="85"/>
  <c r="AP12" i="85"/>
  <c r="AN12" i="85"/>
  <c r="AP13" i="85"/>
  <c r="AN13" i="85"/>
  <c r="AL17" i="85"/>
  <c r="AP17" i="85"/>
  <c r="AN17" i="85"/>
  <c r="AL21" i="85"/>
  <c r="AP21" i="85"/>
  <c r="AN21" i="85"/>
  <c r="AL22" i="85"/>
  <c r="AP22" i="85"/>
  <c r="AN22" i="85"/>
  <c r="AL14" i="85"/>
  <c r="AN14" i="85"/>
  <c r="AP14" i="85"/>
  <c r="AL16" i="85"/>
  <c r="AP16" i="85"/>
  <c r="AN16" i="85"/>
  <c r="AI10" i="85"/>
  <c r="S9" i="85"/>
  <c r="S25" i="85" s="1"/>
  <c r="AL13" i="85"/>
  <c r="AP11" i="85"/>
  <c r="AQ11" i="85" s="1"/>
  <c r="W11" i="85" s="1"/>
  <c r="AL11" i="85"/>
  <c r="AI17" i="84"/>
  <c r="W17" i="84"/>
  <c r="T9" i="84"/>
  <c r="V9" i="84" s="1"/>
  <c r="AN9" i="84" s="1"/>
  <c r="S11" i="84"/>
  <c r="S66" i="84" s="1"/>
  <c r="P67" i="84"/>
  <c r="AK17" i="84"/>
  <c r="AL17" i="84" s="1"/>
  <c r="AM17" i="84" s="1"/>
  <c r="S13" i="84"/>
  <c r="S65" i="84" s="1"/>
  <c r="AL15" i="84"/>
  <c r="Q66" i="84"/>
  <c r="Q67" i="84" s="1"/>
  <c r="Q52" i="84"/>
  <c r="AQ10" i="84"/>
  <c r="W10" i="84" s="1"/>
  <c r="R66" i="84"/>
  <c r="R67" i="84" s="1"/>
  <c r="R52" i="84"/>
  <c r="AL43" i="84"/>
  <c r="AM43" i="84" s="1"/>
  <c r="AN19" i="80"/>
  <c r="AN20" i="80"/>
  <c r="AN22" i="80"/>
  <c r="AN24" i="80"/>
  <c r="AN21" i="80"/>
  <c r="AN25" i="80"/>
  <c r="AM9" i="80"/>
  <c r="AI9" i="80"/>
  <c r="AJ9" i="80"/>
  <c r="AN12" i="80"/>
  <c r="AN14" i="80"/>
  <c r="AN17" i="80"/>
  <c r="AN16" i="80"/>
  <c r="AK10" i="81"/>
  <c r="AP10" i="81" s="1"/>
  <c r="AQ10" i="81" s="1"/>
  <c r="W10" i="81" s="1"/>
  <c r="AI10" i="81"/>
  <c r="T28" i="80"/>
  <c r="W10" i="86"/>
  <c r="AN14" i="86"/>
  <c r="AL14" i="86"/>
  <c r="AP14" i="86"/>
  <c r="AL19" i="86"/>
  <c r="AL13" i="86"/>
  <c r="AQ21" i="84" l="1"/>
  <c r="W21" i="84" s="1"/>
  <c r="AQ34" i="84"/>
  <c r="W34" i="84" s="1"/>
  <c r="AQ29" i="84"/>
  <c r="W29" i="84" s="1"/>
  <c r="AP10" i="85"/>
  <c r="AN10" i="85"/>
  <c r="AQ16" i="85"/>
  <c r="T13" i="81"/>
  <c r="S21" i="81"/>
  <c r="T9" i="86"/>
  <c r="V9" i="86" s="1"/>
  <c r="V28" i="86" s="1"/>
  <c r="AQ14" i="86"/>
  <c r="W14" i="86" s="1"/>
  <c r="AL10" i="85"/>
  <c r="AM10" i="85" s="1"/>
  <c r="AQ13" i="85"/>
  <c r="AQ21" i="85"/>
  <c r="AQ17" i="85"/>
  <c r="AQ22" i="85"/>
  <c r="AQ12" i="85"/>
  <c r="AQ14" i="85"/>
  <c r="AQ15" i="85"/>
  <c r="T9" i="85"/>
  <c r="V9" i="85" s="1"/>
  <c r="AK9" i="85" s="1"/>
  <c r="AN9" i="85" s="1"/>
  <c r="AK9" i="84"/>
  <c r="AL9" i="84" s="1"/>
  <c r="AM9" i="84" s="1"/>
  <c r="T64" i="84"/>
  <c r="T11" i="84"/>
  <c r="T66" i="84" s="1"/>
  <c r="S67" i="84"/>
  <c r="T13" i="84"/>
  <c r="V13" i="84" s="1"/>
  <c r="S52" i="84"/>
  <c r="AQ15" i="84"/>
  <c r="W15" i="84" s="1"/>
  <c r="AP9" i="84"/>
  <c r="AI9" i="84"/>
  <c r="V64" i="84"/>
  <c r="W43" i="84"/>
  <c r="AN9" i="80"/>
  <c r="W9" i="80" s="1"/>
  <c r="AL10" i="81"/>
  <c r="AM10" i="81" s="1"/>
  <c r="V28" i="80"/>
  <c r="I34" i="80" l="1"/>
  <c r="I10" i="42" s="1"/>
  <c r="I10" i="111"/>
  <c r="O10" i="111" s="1"/>
  <c r="U10" i="111" s="1"/>
  <c r="I33" i="86"/>
  <c r="K33" i="86" s="1"/>
  <c r="I15" i="111"/>
  <c r="O15" i="111" s="1"/>
  <c r="AQ10" i="85"/>
  <c r="W10" i="85" s="1"/>
  <c r="L10" i="42"/>
  <c r="V13" i="81"/>
  <c r="T21" i="81"/>
  <c r="AI9" i="86"/>
  <c r="AK9" i="86"/>
  <c r="AN9" i="86" s="1"/>
  <c r="T28" i="86"/>
  <c r="T25" i="85"/>
  <c r="V25" i="85"/>
  <c r="AI9" i="85"/>
  <c r="AI13" i="84"/>
  <c r="W13" i="84"/>
  <c r="W65" i="84" s="1"/>
  <c r="AQ9" i="84"/>
  <c r="W9" i="84" s="1"/>
  <c r="W64" i="84" s="1"/>
  <c r="V11" i="84"/>
  <c r="AK13" i="84"/>
  <c r="AL13" i="84" s="1"/>
  <c r="V65" i="84"/>
  <c r="T52" i="84"/>
  <c r="T65" i="84"/>
  <c r="T67" i="84" s="1"/>
  <c r="AN28" i="80"/>
  <c r="K34" i="80"/>
  <c r="I31" i="85" l="1"/>
  <c r="I14" i="42" s="1"/>
  <c r="L14" i="42" s="1"/>
  <c r="I14" i="111"/>
  <c r="O14" i="111" s="1"/>
  <c r="AP11" i="84"/>
  <c r="AN11" i="84"/>
  <c r="I15" i="42"/>
  <c r="L15" i="42" s="1"/>
  <c r="J12" i="42"/>
  <c r="M12" i="42" s="1"/>
  <c r="J11" i="111"/>
  <c r="W21" i="81"/>
  <c r="AK13" i="81"/>
  <c r="AL13" i="81" s="1"/>
  <c r="W13" i="81"/>
  <c r="AI13" i="81"/>
  <c r="V21" i="81"/>
  <c r="AL9" i="86"/>
  <c r="AM9" i="86" s="1"/>
  <c r="AP9" i="86"/>
  <c r="AQ9" i="86" s="1"/>
  <c r="W9" i="86" s="1"/>
  <c r="AP9" i="85"/>
  <c r="AL9" i="85"/>
  <c r="AM9" i="85" s="1"/>
  <c r="K31" i="85"/>
  <c r="V66" i="84"/>
  <c r="V67" i="84" s="1"/>
  <c r="Y67" i="84" s="1"/>
  <c r="AI11" i="84"/>
  <c r="V52" i="84"/>
  <c r="I13" i="111" s="1"/>
  <c r="O13" i="111" s="1"/>
  <c r="AK11" i="84"/>
  <c r="AL11" i="84" s="1"/>
  <c r="AM11" i="84" s="1"/>
  <c r="X65" i="84"/>
  <c r="X64" i="84"/>
  <c r="I11" i="111"/>
  <c r="W28" i="80"/>
  <c r="I28" i="81" l="1"/>
  <c r="I12" i="111"/>
  <c r="O12" i="111" s="1"/>
  <c r="U12" i="111" s="1"/>
  <c r="J28" i="81"/>
  <c r="J11" i="42" s="1"/>
  <c r="M11" i="42" s="1"/>
  <c r="J12" i="111"/>
  <c r="P12" i="111" s="1"/>
  <c r="J34" i="80"/>
  <c r="J10" i="42" s="1"/>
  <c r="M10" i="42" s="1"/>
  <c r="J10" i="111"/>
  <c r="P10" i="111" s="1"/>
  <c r="V10" i="111" s="1"/>
  <c r="P11" i="111"/>
  <c r="O11" i="111"/>
  <c r="I16" i="111"/>
  <c r="I11" i="42"/>
  <c r="K28" i="81"/>
  <c r="W28" i="86"/>
  <c r="J15" i="111" s="1"/>
  <c r="P15" i="111" s="1"/>
  <c r="AQ9" i="85"/>
  <c r="W9" i="85" s="1"/>
  <c r="K57" i="84"/>
  <c r="AQ11" i="84"/>
  <c r="W11" i="84" s="1"/>
  <c r="W66" i="84" s="1"/>
  <c r="L34" i="80"/>
  <c r="L28" i="81" l="1"/>
  <c r="J16" i="111"/>
  <c r="U11" i="111"/>
  <c r="U16" i="111" s="1"/>
  <c r="O16" i="111"/>
  <c r="V11" i="111"/>
  <c r="V16" i="111" s="1"/>
  <c r="P16" i="111"/>
  <c r="J33" i="86"/>
  <c r="J15" i="42" s="1"/>
  <c r="M15" i="42" s="1"/>
  <c r="M57" i="84"/>
  <c r="I13" i="42"/>
  <c r="L13" i="42" s="1"/>
  <c r="I12" i="42"/>
  <c r="L12" i="42" s="1"/>
  <c r="L11" i="42"/>
  <c r="W25" i="85"/>
  <c r="W67" i="84"/>
  <c r="X66" i="84"/>
  <c r="W52" i="84"/>
  <c r="J13" i="111" s="1"/>
  <c r="P13" i="111" s="1"/>
  <c r="J31" i="85" l="1"/>
  <c r="J14" i="42" s="1"/>
  <c r="M14" i="42" s="1"/>
  <c r="J14" i="111"/>
  <c r="P14" i="111" s="1"/>
  <c r="V12" i="111" s="1"/>
  <c r="L33" i="86"/>
  <c r="I16" i="42"/>
  <c r="L16" i="42"/>
  <c r="L31" i="85"/>
  <c r="L57" i="84"/>
  <c r="J13" i="42" s="1"/>
  <c r="M13" i="42" s="1"/>
  <c r="Z67" i="84"/>
  <c r="X67" i="84"/>
  <c r="N57" i="84" l="1"/>
  <c r="J16" i="42"/>
  <c r="M16" i="42" l="1"/>
  <c r="E10" i="151"/>
  <c r="E33" i="151" s="1"/>
  <c r="D8" i="177" s="1"/>
  <c r="E12" i="176" l="1"/>
  <c r="J8" i="177"/>
  <c r="D10" i="177"/>
  <c r="E35" i="151"/>
  <c r="Z86" i="207"/>
  <c r="Z40" i="207" l="1"/>
  <c r="E10" i="176"/>
  <c r="Y86" i="207"/>
  <c r="Z82" i="207"/>
  <c r="E19" i="176" l="1"/>
  <c r="I13" i="174"/>
  <c r="Y40" i="207"/>
  <c r="Z38" i="207"/>
  <c r="Z58" i="207"/>
  <c r="Y82" i="207"/>
  <c r="Z34" i="207" l="1"/>
  <c r="Z24" i="207" s="1"/>
  <c r="Y38" i="207"/>
  <c r="Y58" i="207"/>
  <c r="Z23" i="207" l="1"/>
  <c r="Y34" i="207"/>
  <c r="Y23" i="207" l="1"/>
</calcChain>
</file>

<file path=xl/comments1.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0.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1.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2.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3.xml><?xml version="1.0" encoding="utf-8"?>
<comments xmlns="http://schemas.openxmlformats.org/spreadsheetml/2006/main">
  <authors>
    <author>Касьяненко Анастасия Юрьевна</author>
  </authors>
  <commentList>
    <comment ref="L4" authorId="0" shapeId="0">
      <text>
        <r>
          <rPr>
            <sz val="9"/>
            <color indexed="81"/>
            <rFont val="Tahoma"/>
            <family val="2"/>
            <charset val="204"/>
          </rPr>
          <t xml:space="preserve">
</t>
        </r>
      </text>
    </comment>
  </commentList>
</comments>
</file>

<file path=xl/comments14.xml><?xml version="1.0" encoding="utf-8"?>
<comments xmlns="http://schemas.openxmlformats.org/spreadsheetml/2006/main">
  <authors>
    <author>Касьяненко Анастасия Юрьевна</author>
  </authors>
  <commentList>
    <comment ref="L4" authorId="0" shapeId="0">
      <text>
        <r>
          <rPr>
            <sz val="9"/>
            <color indexed="81"/>
            <rFont val="Tahoma"/>
            <family val="2"/>
            <charset val="204"/>
          </rPr>
          <t xml:space="preserve">
</t>
        </r>
      </text>
    </comment>
  </commentList>
</comments>
</file>

<file path=xl/comments15.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6.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7.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8.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19.xml><?xml version="1.0" encoding="utf-8"?>
<comments xmlns="http://schemas.openxmlformats.org/spreadsheetml/2006/main">
  <authors>
    <author>Касьяненко Анастасия Юрьевна</author>
  </authors>
  <commentList>
    <comment ref="L4" authorId="0" shapeId="0">
      <text>
        <r>
          <rPr>
            <sz val="9"/>
            <color indexed="81"/>
            <rFont val="Tahoma"/>
            <family val="2"/>
            <charset val="204"/>
          </rPr>
          <t xml:space="preserve">
</t>
        </r>
      </text>
    </comment>
  </commentList>
</comments>
</file>

<file path=xl/comments2.xml><?xml version="1.0" encoding="utf-8"?>
<comments xmlns="http://schemas.openxmlformats.org/spreadsheetml/2006/main">
  <authors>
    <author>Касьяненко Анастасия Юрьевна</author>
  </authors>
  <commentList>
    <comment ref="L4" authorId="0" shapeId="0">
      <text>
        <r>
          <rPr>
            <sz val="9"/>
            <color indexed="81"/>
            <rFont val="Tahoma"/>
            <family val="2"/>
            <charset val="204"/>
          </rPr>
          <t xml:space="preserve">
</t>
        </r>
      </text>
    </comment>
  </commentList>
</comments>
</file>

<file path=xl/comments20.xml><?xml version="1.0" encoding="utf-8"?>
<comments xmlns="http://schemas.openxmlformats.org/spreadsheetml/2006/main">
  <authors>
    <author>Касьяненко Анастасия Юрьевна</author>
  </authors>
  <commentList>
    <comment ref="L4" authorId="0" shapeId="0">
      <text>
        <r>
          <rPr>
            <sz val="9"/>
            <color indexed="81"/>
            <rFont val="Tahoma"/>
            <family val="2"/>
            <charset val="204"/>
          </rPr>
          <t xml:space="preserve">
</t>
        </r>
      </text>
    </comment>
  </commentList>
</comments>
</file>

<file path=xl/comments21.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22.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23.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3.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4.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5.xml><?xml version="1.0" encoding="utf-8"?>
<comments xmlns="http://schemas.openxmlformats.org/spreadsheetml/2006/main">
  <authors>
    <author>Касьяненко Анастасия Юрьевна</author>
  </authors>
  <commentList>
    <comment ref="L4" authorId="0" shapeId="0">
      <text/>
    </comment>
  </commentList>
</comments>
</file>

<file path=xl/comments6.xml><?xml version="1.0" encoding="utf-8"?>
<comments xmlns="http://schemas.openxmlformats.org/spreadsheetml/2006/main">
  <authors>
    <author>Автор</author>
  </authors>
  <commentList>
    <comment ref="M14" authorId="0" shapeId="0">
      <text>
        <r>
          <rPr>
            <b/>
            <sz val="9"/>
            <color indexed="81"/>
            <rFont val="Tahoma"/>
            <family val="2"/>
            <charset val="204"/>
          </rPr>
          <t>Автор:</t>
        </r>
        <r>
          <rPr>
            <sz val="9"/>
            <color indexed="81"/>
            <rFont val="Tahoma"/>
            <family val="2"/>
            <charset val="204"/>
          </rPr>
          <t xml:space="preserve">
АО "Норильск-телеком"</t>
        </r>
      </text>
    </comment>
    <comment ref="G18" authorId="0" shapeId="0">
      <text>
        <r>
          <rPr>
            <b/>
            <sz val="9"/>
            <color indexed="81"/>
            <rFont val="Tahoma"/>
            <family val="2"/>
            <charset val="204"/>
          </rPr>
          <t>Автор:</t>
        </r>
        <r>
          <rPr>
            <sz val="9"/>
            <color indexed="81"/>
            <rFont val="Tahoma"/>
            <family val="2"/>
            <charset val="204"/>
          </rPr>
          <t xml:space="preserve">
с октября по декабрь 1АСУВ выведен из эксплуатации</t>
        </r>
      </text>
    </comment>
    <comment ref="G21" authorId="0" shapeId="0">
      <text>
        <r>
          <rPr>
            <b/>
            <sz val="9"/>
            <color indexed="81"/>
            <rFont val="Tahoma"/>
            <family val="2"/>
            <charset val="204"/>
          </rPr>
          <t>Автор:</t>
        </r>
        <r>
          <rPr>
            <sz val="9"/>
            <color indexed="81"/>
            <rFont val="Tahoma"/>
            <family val="2"/>
            <charset val="204"/>
          </rPr>
          <t xml:space="preserve">
с января по май-вентиляторов(3.4.5)-5 ед.; с июня по сентябрь вентиляторов(3.4.5)-6 ед.;с октября по декабрь вентиляторов(3.4.5)-4 ед.; </t>
        </r>
      </text>
    </comment>
    <comment ref="G23" authorId="0" shapeId="0">
      <text>
        <r>
          <rPr>
            <b/>
            <sz val="9"/>
            <color indexed="81"/>
            <rFont val="Tahoma"/>
            <family val="2"/>
            <charset val="204"/>
          </rPr>
          <t>Автор:</t>
        </r>
        <r>
          <rPr>
            <sz val="9"/>
            <color indexed="81"/>
            <rFont val="Tahoma"/>
            <family val="2"/>
            <charset val="204"/>
          </rPr>
          <t xml:space="preserve">
с июня по декабрь+ вентиляторов(10)-1 ед.</t>
        </r>
      </text>
    </comment>
    <comment ref="G27" authorId="0" shapeId="0">
      <text>
        <r>
          <rPr>
            <b/>
            <sz val="9"/>
            <color indexed="81"/>
            <rFont val="Tahoma"/>
            <family val="2"/>
            <charset val="204"/>
          </rPr>
          <t>Автор:</t>
        </r>
        <r>
          <rPr>
            <sz val="9"/>
            <color indexed="81"/>
            <rFont val="Tahoma"/>
            <family val="2"/>
            <charset val="204"/>
          </rPr>
          <t xml:space="preserve">
с октября по декабрь вентиляторов-2 ед.</t>
        </r>
      </text>
    </comment>
  </commentList>
</comments>
</file>

<file path=xl/comments7.xml><?xml version="1.0" encoding="utf-8"?>
<comments xmlns="http://schemas.openxmlformats.org/spreadsheetml/2006/main">
  <authors>
    <author>Автор</author>
  </authors>
  <commentList>
    <comment ref="F10" authorId="0" shapeId="0">
      <text>
        <r>
          <rPr>
            <sz val="9"/>
            <color indexed="81"/>
            <rFont val="Tahoma"/>
            <family val="2"/>
            <charset val="204"/>
          </rPr>
          <t xml:space="preserve">Тарифы на обслуживание АУТВР с НДС
</t>
        </r>
      </text>
    </comment>
    <comment ref="L22" authorId="0" shapeId="0">
      <text>
        <r>
          <rPr>
            <b/>
            <sz val="9"/>
            <color indexed="81"/>
            <rFont val="Tahoma"/>
            <family val="2"/>
            <charset val="204"/>
          </rPr>
          <t>Сергеева: 
ИП Козлов</t>
        </r>
      </text>
    </comment>
  </commentList>
</comments>
</file>

<file path=xl/comments8.xml><?xml version="1.0" encoding="utf-8"?>
<comments xmlns="http://schemas.openxmlformats.org/spreadsheetml/2006/main">
  <authors>
    <author>Автор</author>
  </authors>
  <commentList>
    <comment ref="F57" authorId="0" shapeId="0">
      <text>
        <r>
          <rPr>
            <sz val="9"/>
            <color indexed="81"/>
            <rFont val="Tahoma"/>
            <family val="2"/>
            <charset val="204"/>
          </rPr>
          <t xml:space="preserve">сталинка + прибЭЭ + АУТВР + домофон + антенна
</t>
        </r>
      </text>
    </comment>
  </commentList>
</comments>
</file>

<file path=xl/comments9.xml><?xml version="1.0" encoding="utf-8"?>
<comments xmlns="http://schemas.openxmlformats.org/spreadsheetml/2006/main">
  <authors>
    <author>Касьяненко Анастасия Юрьевна</author>
  </authors>
  <commentList>
    <comment ref="L4" authorId="0" shapeId="0">
      <text/>
    </comment>
  </commentList>
</comments>
</file>

<file path=xl/sharedStrings.xml><?xml version="1.0" encoding="utf-8"?>
<sst xmlns="http://schemas.openxmlformats.org/spreadsheetml/2006/main" count="15271" uniqueCount="2875">
  <si>
    <t>Штатная численность, шт.ед.</t>
  </si>
  <si>
    <t>Доплата за работу в ночное время</t>
  </si>
  <si>
    <t>Доплата за работу в выходные,  нерабочие праздн.дни</t>
  </si>
  <si>
    <t>Структура фонда оплаты труда в год на штатную численность, тыс.руб.</t>
  </si>
  <si>
    <t>Оплата стоимости проезда и провоза багажа к месту проведения отпуска, тыс.руб.</t>
  </si>
  <si>
    <t>количество, чел.</t>
  </si>
  <si>
    <t>стоимость, тыс.руб.</t>
  </si>
  <si>
    <t>Фонд оплаты труда с учетом коэффициента</t>
  </si>
  <si>
    <t>ВСЕГО</t>
  </si>
  <si>
    <t>Коэффициент исполнения по фонду оплаты труда в предшествующем году</t>
  </si>
  <si>
    <t>Работник</t>
  </si>
  <si>
    <t>Члены семьи работника до 12 лет</t>
  </si>
  <si>
    <t>Члены семьи работника после 12 лет</t>
  </si>
  <si>
    <t>Оплата багажа, тыс.руб.</t>
  </si>
  <si>
    <t>Директор</t>
  </si>
  <si>
    <t>Заведующий сектором</t>
  </si>
  <si>
    <t>Заведующий отделом</t>
  </si>
  <si>
    <t>Заведующий филиалом</t>
  </si>
  <si>
    <t>Библиотекарь</t>
  </si>
  <si>
    <t>Главный библиотекарь</t>
  </si>
  <si>
    <t>Редактор</t>
  </si>
  <si>
    <t xml:space="preserve">Директор </t>
  </si>
  <si>
    <t>Главный хранитель фондов</t>
  </si>
  <si>
    <t xml:space="preserve">Заведующий отделом </t>
  </si>
  <si>
    <t>Научный сотрудник</t>
  </si>
  <si>
    <t>Контролер билетов</t>
  </si>
  <si>
    <t>Смотритель музейный</t>
  </si>
  <si>
    <t>Надбавка за опыт работы</t>
  </si>
  <si>
    <t>Старший научный сотрудник</t>
  </si>
  <si>
    <t>Методист</t>
  </si>
  <si>
    <t>Хранитель фондов</t>
  </si>
  <si>
    <t>Художественный руководитель</t>
  </si>
  <si>
    <t>Режисер-постановщик</t>
  </si>
  <si>
    <t>Администратор</t>
  </si>
  <si>
    <t>Оператор пульта управления киноустановок</t>
  </si>
  <si>
    <t>Рестовратор фильмокопий</t>
  </si>
  <si>
    <t xml:space="preserve">Библиотекарь </t>
  </si>
  <si>
    <t>Библиограф</t>
  </si>
  <si>
    <t xml:space="preserve">Руководитель кружка </t>
  </si>
  <si>
    <t>Аккомпаниатор</t>
  </si>
  <si>
    <t>Балетмейстер</t>
  </si>
  <si>
    <t xml:space="preserve">Методист </t>
  </si>
  <si>
    <t>Звукорежиссер</t>
  </si>
  <si>
    <t xml:space="preserve">Звукооператор </t>
  </si>
  <si>
    <t>Режиссер</t>
  </si>
  <si>
    <t>Заведующий художественно-постановочной частью</t>
  </si>
  <si>
    <t>Заведующий звукостудийным сектором</t>
  </si>
  <si>
    <t>Заведующий костюмерной</t>
  </si>
  <si>
    <t>Главный режиссер</t>
  </si>
  <si>
    <t>Художник по свету</t>
  </si>
  <si>
    <t>Художник-декоратор</t>
  </si>
  <si>
    <t>Художник-модельер театрально костюма</t>
  </si>
  <si>
    <t>Художник-постановщик</t>
  </si>
  <si>
    <t xml:space="preserve">Концертмейстер по классу вокала </t>
  </si>
  <si>
    <t>Балетмейстер - постановщик</t>
  </si>
  <si>
    <t>Репетитор по балету</t>
  </si>
  <si>
    <t xml:space="preserve">Режиссер </t>
  </si>
  <si>
    <t>Монтировщик сцены</t>
  </si>
  <si>
    <t>Хормейстер</t>
  </si>
  <si>
    <t xml:space="preserve">Художник-постановщик </t>
  </si>
  <si>
    <t>Киномеханик</t>
  </si>
  <si>
    <t>Надбавка за квалификационную категорию: главный - 25%; ведущий - 20%; высшей категории - 15%; первой категории - 10%; второй категории - 5%.</t>
  </si>
  <si>
    <t>страх взносы</t>
  </si>
  <si>
    <t>к-т</t>
  </si>
  <si>
    <t>ФОТ всего на 1 шт ед</t>
  </si>
  <si>
    <t>Премиальный фонд (персональный и стимулирующий)</t>
  </si>
  <si>
    <t>Премиальный фонд 31,7%  (гр. 14 х 0,317%)    (гр. 14 + 0,005)</t>
  </si>
  <si>
    <t>Компенсация за неиспользованный отпуск 3%, материальная помощь 0,2% ((гр.14 + гр.15 + гр.16 + гр.17) х 3,2%)</t>
  </si>
  <si>
    <t xml:space="preserve">Должностной оклад по действующему штатному расписанию </t>
  </si>
  <si>
    <t>Итого по штатному расписанию (гр.3 * гр.4)</t>
  </si>
  <si>
    <t>Выплата за наличие ученой степени или почетного звания</t>
  </si>
  <si>
    <t>К-т</t>
  </si>
  <si>
    <t>Итого</t>
  </si>
  <si>
    <t>Всего расходов, тыс.руб.
гр.27+гр.30+гр.33+гр.34</t>
  </si>
  <si>
    <t>расходы, тыс.руб.
гр.25 * гр.26</t>
  </si>
  <si>
    <t>расходы, тыс.руб.
гр.28 * гр.29</t>
  </si>
  <si>
    <t>расходы, тыс.руб.
гр.31 * гр.32</t>
  </si>
  <si>
    <t>Наименование внутриструктурной единицы, должности (профессии)</t>
  </si>
  <si>
    <t>№ п/п</t>
  </si>
  <si>
    <t xml:space="preserve">Должностной оклад
 по действующему штатному расписанию </t>
  </si>
  <si>
    <t>Кперс.</t>
  </si>
  <si>
    <t>Сумма</t>
  </si>
  <si>
    <t>Районный коэффициент</t>
  </si>
  <si>
    <t>Северные надбавки</t>
  </si>
  <si>
    <t>Итого фонд заработной платы</t>
  </si>
  <si>
    <t xml:space="preserve">Страховые взносы </t>
  </si>
  <si>
    <t>Итого оклад+стим.+комп.выплаты+прочие надбавки</t>
  </si>
  <si>
    <t xml:space="preserve">Компенсация за неиспользованный отпуск 3%, материальная помощь 0,2% </t>
  </si>
  <si>
    <t>Итого надбавки+ПВ</t>
  </si>
  <si>
    <t>Должностной оклад на год</t>
  </si>
  <si>
    <t>Персональная надбавка за работу в МО г. Норильска</t>
  </si>
  <si>
    <t xml:space="preserve">Персональная надбавка   за работу в МО г. Норильска </t>
  </si>
  <si>
    <t>Кассир билетный</t>
  </si>
  <si>
    <t>Итого оклад+стим.+комп.выплаты+ прочие надбавки</t>
  </si>
  <si>
    <t xml:space="preserve">Кассир билетный </t>
  </si>
  <si>
    <t>Учреждение</t>
  </si>
  <si>
    <t>Исполнитель:</t>
  </si>
  <si>
    <t>ИТОГО</t>
  </si>
  <si>
    <t>шт.числ</t>
  </si>
  <si>
    <t>Итого культура</t>
  </si>
  <si>
    <t>Заведующий  сектором видеообеспечения</t>
  </si>
  <si>
    <t>Режиссер массовых представлений</t>
  </si>
  <si>
    <t>Столяр по изготовлению декораций</t>
  </si>
  <si>
    <t xml:space="preserve">Механик по ремонту и обслуживанию кинотехнологического оборудования </t>
  </si>
  <si>
    <t xml:space="preserve">Художник-декоратор </t>
  </si>
  <si>
    <t>Старший администратор</t>
  </si>
  <si>
    <t>Специалист по внедрению информационных систем</t>
  </si>
  <si>
    <t xml:space="preserve">Переплетчик </t>
  </si>
  <si>
    <t>Менеджер по культурно-массовому досугу</t>
  </si>
  <si>
    <t>Механик по обслуживанию звуковой техники</t>
  </si>
  <si>
    <t>Руководитель любительского объединения</t>
  </si>
  <si>
    <t>МБУ "МВК "Музей Норильска"</t>
  </si>
  <si>
    <t>МБУ "КК "Родина"</t>
  </si>
  <si>
    <t>МБУК "Городской центр культуры"</t>
  </si>
  <si>
    <t>МБУК "КДЦ "Юбилейный"</t>
  </si>
  <si>
    <t xml:space="preserve">МБУК "КДЦ им. В. Высоцкого" </t>
  </si>
  <si>
    <t>ПФ</t>
  </si>
  <si>
    <t>ФСС</t>
  </si>
  <si>
    <t>ФОМС</t>
  </si>
  <si>
    <t>Итого СВ</t>
  </si>
  <si>
    <t xml:space="preserve">Отклонение </t>
  </si>
  <si>
    <t>АУП</t>
  </si>
  <si>
    <t>основной</t>
  </si>
  <si>
    <t>Прочий</t>
  </si>
  <si>
    <t>клубы</t>
  </si>
  <si>
    <t>Заместитель директора</t>
  </si>
  <si>
    <t>Снежногорский филиал</t>
  </si>
  <si>
    <t xml:space="preserve">Заместитель директора </t>
  </si>
  <si>
    <t>Отклонение</t>
  </si>
  <si>
    <t xml:space="preserve">Старший администратор </t>
  </si>
  <si>
    <t>Менеджер культурно-досуговой организации</t>
  </si>
  <si>
    <t>Главный библиотекарь (Снежногорский филиал)</t>
  </si>
  <si>
    <t xml:space="preserve">Менеджер культурно-досуговой организации </t>
  </si>
  <si>
    <t xml:space="preserve">МБУ "Централизованная библиотечная система"  </t>
  </si>
  <si>
    <t xml:space="preserve">Заведующий сектором </t>
  </si>
  <si>
    <t>Расчетные значения 2019</t>
  </si>
  <si>
    <t>Машинист сцены</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</si>
  <si>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 "МВК "Музей Норильска"</t>
    </r>
    <r>
      <rPr>
        <sz val="16"/>
        <rFont val="Times New Roman"/>
        <family val="2"/>
        <charset val="204"/>
      </rPr>
      <t xml:space="preserve"> на 2020 год </t>
    </r>
  </si>
  <si>
    <t>Начальник отдела ЭАиП</t>
  </si>
  <si>
    <t>Шикера И.А.,тел.: 43-72-45 (доб. 2822)</t>
  </si>
  <si>
    <t>ФОТ на 01.01.2019 г.</t>
  </si>
  <si>
    <t>Расчетные значения 2020 г.</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</si>
  <si>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МБУ "КК "Родина" на 2020 год</t>
    </r>
  </si>
  <si>
    <t>ФОТ передаваемый в МКУ "ОК УК" (0,5 библиотекаря)</t>
  </si>
  <si>
    <t>ФОТ передаваемый в МКУ "ОК УК" (0,5-концертмейстер по вокалу, 0,5-монтировщик сцены, 0,25-руководитель кружка, 0,25-режиссер)</t>
  </si>
  <si>
    <t>Расчетные значения 2020</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</si>
  <si>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МБУК "Городской центр культуры" на 2020 год с учетом Снежногорского филиала</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</si>
  <si>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"Юбилейный" на 2020 год</t>
    </r>
  </si>
  <si>
    <t>Методист по составлению кинопрограмм</t>
  </si>
  <si>
    <t>Руководитель клуба по интересам</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</si>
  <si>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им. В. Высоцкого" на 2020 год</t>
    </r>
  </si>
  <si>
    <t>Шикера И.А., 2822</t>
  </si>
  <si>
    <t xml:space="preserve">ФОТ передаваемый в МКУ "ОК УК" </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</si>
  <si>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 "МВК "Музей Норильска"</t>
    </r>
    <r>
      <rPr>
        <sz val="16"/>
        <rFont val="Times New Roman"/>
        <family val="2"/>
        <charset val="204"/>
      </rPr>
      <t xml:space="preserve"> на 2021 год </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</si>
  <si>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 "МВК "Музей Норильска"</t>
    </r>
    <r>
      <rPr>
        <sz val="16"/>
        <rFont val="Times New Roman"/>
        <family val="2"/>
        <charset val="204"/>
      </rPr>
      <t xml:space="preserve"> на 2022 год </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</si>
  <si>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МБУ "КК "Родина" на 2021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</si>
  <si>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МБУ "КК "Родина" на 2022 год</t>
    </r>
  </si>
  <si>
    <r>
      <t>Расчет затрат на оплату труда, страховые взносы, на оплату стоимости проезда и провоза багажа к месту использования отпуска и обратно</t>
    </r>
    <r>
      <rPr>
        <u/>
        <sz val="16"/>
        <rFont val="Times New Roman"/>
        <family val="2"/>
        <charset val="204"/>
      </rPr>
      <t xml:space="preserve"> МБУ "Централизованная библиотечная система" на 2021 год</t>
    </r>
  </si>
  <si>
    <r>
      <t>Расчет затрат на оплату труда, страховые взносы, на оплату стоимости проезда и провоза багажа к месту использования отпуска и обратно</t>
    </r>
    <r>
      <rPr>
        <u/>
        <sz val="16"/>
        <rFont val="Times New Roman"/>
        <family val="2"/>
        <charset val="204"/>
      </rPr>
      <t xml:space="preserve"> МБУ "Централизованная библиотечная система" на 2022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</si>
  <si>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МБУК "Городской центр культуры" на 2021 год с учетом Снежногорского филиала</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</si>
  <si>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МБУК "Городской центр культуры" на 2022 год с учетом Снежногорского филиала</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</si>
  <si>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"Юбилейный" на 2021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</si>
  <si>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"Юбилейный" на 2022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</si>
  <si>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им. В. Высоцкого" на 2021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</si>
  <si>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им. В. Высоцкого" на 2022 год</t>
    </r>
  </si>
  <si>
    <t>Расчетные значения на 2019 год</t>
  </si>
  <si>
    <t>И.А. Шикера</t>
  </si>
  <si>
    <t>И. А. Шикера</t>
  </si>
  <si>
    <t xml:space="preserve">Управление по делам культуры и искусства Администрации города Норильска </t>
  </si>
  <si>
    <t>Расчет затрат на оплату труда, страховые взносы, на оплату стоимости проезда и провоза багажа к месту использования отпуска и обратно на 2020 год</t>
  </si>
  <si>
    <t>СВОД КУЛЬТУРА</t>
  </si>
  <si>
    <t>213 персонал вывел на 0</t>
  </si>
  <si>
    <t>Краевые</t>
  </si>
  <si>
    <t>Персонал</t>
  </si>
  <si>
    <t>Отклонение значений УП от УК</t>
  </si>
  <si>
    <t xml:space="preserve">Начальник отдела </t>
  </si>
  <si>
    <t>А.Ю. Касьяненко</t>
  </si>
  <si>
    <t>тыс.руб.</t>
  </si>
  <si>
    <t>План 2021</t>
  </si>
  <si>
    <t>План 2022</t>
  </si>
  <si>
    <t>Примечание</t>
  </si>
  <si>
    <t>План 2020</t>
  </si>
  <si>
    <t>Наименование учреждения</t>
  </si>
  <si>
    <t>отклонение</t>
  </si>
  <si>
    <t>(расшифровка)</t>
  </si>
  <si>
    <t>Наименование</t>
  </si>
  <si>
    <t>Кол - во</t>
  </si>
  <si>
    <t>Цена товаров, с учетом НДС, руб.</t>
  </si>
  <si>
    <t>*В данной табличной форме так же указывать расходы, предусмотренные в рамках стимулирования</t>
  </si>
  <si>
    <t>(подпись)</t>
  </si>
  <si>
    <t>Обоснование расходов для формирования бюджета муниципального образования город Норильск на 2020-2022 годы по услугам связи КОСГУ 221 (925)* (источник финансирования-внебюджет)</t>
  </si>
  <si>
    <t>№</t>
  </si>
  <si>
    <t>Наименование услуг</t>
  </si>
  <si>
    <t>Ед.изм.</t>
  </si>
  <si>
    <t>натуральный показатель, количество</t>
  </si>
  <si>
    <t>тариф</t>
  </si>
  <si>
    <t>сумма</t>
  </si>
  <si>
    <t xml:space="preserve">план 2021 г </t>
  </si>
  <si>
    <t xml:space="preserve">план  2022 г </t>
  </si>
  <si>
    <t>Стимулирование</t>
  </si>
  <si>
    <t>2020 план</t>
  </si>
  <si>
    <t>мес.</t>
  </si>
  <si>
    <t>ИТОГО:</t>
  </si>
  <si>
    <t>Показатель</t>
  </si>
  <si>
    <t>2020 год</t>
  </si>
  <si>
    <t>2021 год</t>
  </si>
  <si>
    <t>2022 год</t>
  </si>
  <si>
    <t xml:space="preserve">% возмещения </t>
  </si>
  <si>
    <t>Бюджет</t>
  </si>
  <si>
    <t>Внебюджет</t>
  </si>
  <si>
    <t>Отопление, Гкал</t>
  </si>
  <si>
    <t>Электроэнергия, тыс.кВт.час</t>
  </si>
  <si>
    <r>
      <t>Холодное в/снабжение, тыс.м</t>
    </r>
    <r>
      <rPr>
        <vertAlign val="superscript"/>
        <sz val="10"/>
        <rFont val="Times New Roman"/>
        <family val="1"/>
        <charset val="204"/>
      </rPr>
      <t>3</t>
    </r>
    <r>
      <rPr>
        <sz val="10"/>
        <rFont val="Times New Roman"/>
        <family val="1"/>
        <charset val="204"/>
      </rPr>
      <t>.</t>
    </r>
  </si>
  <si>
    <t>Горячее в/снабжение (компонент на тепловую энергию), Гкал</t>
  </si>
  <si>
    <t>Горячее в/снабжение (компонент на теплоноситель), тыс.м3</t>
  </si>
  <si>
    <r>
      <t>Водоотведение, тыс.м</t>
    </r>
    <r>
      <rPr>
        <vertAlign val="superscript"/>
        <sz val="10"/>
        <rFont val="Times New Roman"/>
        <family val="1"/>
        <charset val="204"/>
      </rPr>
      <t>3</t>
    </r>
    <r>
      <rPr>
        <sz val="10"/>
        <rFont val="Times New Roman"/>
        <family val="1"/>
        <charset val="204"/>
      </rPr>
      <t>.</t>
    </r>
  </si>
  <si>
    <t>Всего</t>
  </si>
  <si>
    <t>Проверка</t>
  </si>
  <si>
    <t>Наименование услуги</t>
  </si>
  <si>
    <t>Ед. изм.</t>
  </si>
  <si>
    <t>Физический объем</t>
  </si>
  <si>
    <t xml:space="preserve">Итого тыс. руб. </t>
  </si>
  <si>
    <t>ТО инженерных сетей</t>
  </si>
  <si>
    <t>кв. м</t>
  </si>
  <si>
    <t>ТО вводных трубопроводов</t>
  </si>
  <si>
    <t>п. м</t>
  </si>
  <si>
    <t>ТО светильников наружного освещения</t>
  </si>
  <si>
    <t>шт.</t>
  </si>
  <si>
    <t>ТО кабельных линий наружного освещения</t>
  </si>
  <si>
    <t>км</t>
  </si>
  <si>
    <t xml:space="preserve">Видеокамера внешняя </t>
  </si>
  <si>
    <t>шт./год</t>
  </si>
  <si>
    <t>Видеокамера внутренняя</t>
  </si>
  <si>
    <t>Видеорегистратор (видеосервер)</t>
  </si>
  <si>
    <t>Ведение технической документации</t>
  </si>
  <si>
    <t>кв.м./месяц</t>
  </si>
  <si>
    <t>ТО АСУВ</t>
  </si>
  <si>
    <t>9.1.</t>
  </si>
  <si>
    <t xml:space="preserve">Технический осмотр АУТВР </t>
  </si>
  <si>
    <t>Узел/месяц</t>
  </si>
  <si>
    <t>9.2.</t>
  </si>
  <si>
    <t>Планово-предупредительные работы</t>
  </si>
  <si>
    <t>Узел/год</t>
  </si>
  <si>
    <t>9.3.</t>
  </si>
  <si>
    <t>Поверки:</t>
  </si>
  <si>
    <t>9.3.1.</t>
  </si>
  <si>
    <t xml:space="preserve">Преобразователь расхода вихревой, вихреаккустический электромагнитный и прочие, за исключением счетчиков воды с импульсным выходным сигналом               </t>
  </si>
  <si>
    <t>9.3.2.</t>
  </si>
  <si>
    <t>Преобразователь расхода счетчик воды с импульсным выходным сигналом</t>
  </si>
  <si>
    <t>9.3.3.</t>
  </si>
  <si>
    <t>Преобразователь давления</t>
  </si>
  <si>
    <t>9.3.4.</t>
  </si>
  <si>
    <t>Преобразователь температуры</t>
  </si>
  <si>
    <t>9.3.5.</t>
  </si>
  <si>
    <t>узел/раз</t>
  </si>
  <si>
    <t>9.3.6.</t>
  </si>
  <si>
    <t>Пуско-наладочные работы</t>
  </si>
  <si>
    <t>Вытяжные установки</t>
  </si>
  <si>
    <t>10.1.</t>
  </si>
  <si>
    <t>Вентиляторы 3.4.5</t>
  </si>
  <si>
    <t>10.2.</t>
  </si>
  <si>
    <t>Вентиляторы 6.6.3</t>
  </si>
  <si>
    <t>10.3.</t>
  </si>
  <si>
    <t>Вентиляторы 7.8</t>
  </si>
  <si>
    <t>10.4.</t>
  </si>
  <si>
    <t>Вентиляторы 10</t>
  </si>
  <si>
    <t>10.5.</t>
  </si>
  <si>
    <t>Вентиляторы 20</t>
  </si>
  <si>
    <t>Приточные установки</t>
  </si>
  <si>
    <t>11.1.</t>
  </si>
  <si>
    <t>11.2.</t>
  </si>
  <si>
    <t>11.3.</t>
  </si>
  <si>
    <t>11.4.</t>
  </si>
  <si>
    <t>11.5.</t>
  </si>
  <si>
    <t>Тепловые завесы</t>
  </si>
  <si>
    <t>12.1.</t>
  </si>
  <si>
    <t>12.2.</t>
  </si>
  <si>
    <t>12.3.</t>
  </si>
  <si>
    <t>12.4.</t>
  </si>
  <si>
    <t>куб. м</t>
  </si>
  <si>
    <t>Зимнее содержание территории</t>
  </si>
  <si>
    <t>16.1.</t>
  </si>
  <si>
    <t>- детские дошкольные учреждения</t>
  </si>
  <si>
    <t>16.2.</t>
  </si>
  <si>
    <t>- прочие учреждения</t>
  </si>
  <si>
    <t>Очистка кровель (только подлежащие очистке)</t>
  </si>
  <si>
    <t>Эксплуатационные услуги (помещения, встроенные в жилой фонд, тариф согласно серии дома)</t>
  </si>
  <si>
    <t>руб./кв.м. в месяц</t>
  </si>
  <si>
    <t>ИТОГО по КОСГУ (Доп. КР) 225 (941)</t>
  </si>
  <si>
    <t>Обоснование расходов для формирования бюджета муниципального образования город Норильск на 2020-2022 годы на ремонт оборудования КОСГУ 225(942) (источник финансирования-внебюджет)</t>
  </si>
  <si>
    <t>N п/п</t>
  </si>
  <si>
    <t>Физический объем/ периодичность ремонтов</t>
  </si>
  <si>
    <t xml:space="preserve">Тариф руб./ед. изм. </t>
  </si>
  <si>
    <t>ИТОГО по КОСГУ (Доп. КР) 225 (942)</t>
  </si>
  <si>
    <t>к Порядку составления проекта бюджета</t>
  </si>
  <si>
    <t>муниципального образования город Норильск</t>
  </si>
  <si>
    <t>на очередной финансовый год и плановый период,</t>
  </si>
  <si>
    <t>Обоснование расходов по прочим услугам, связанным с содержанием и техническим обслуживанием помещений (Доп.Кр.947) (источник финансирования-внебюджет)</t>
  </si>
  <si>
    <t>Очередной финансовый 2020 год</t>
  </si>
  <si>
    <t>Очередной финансовый 2021 год</t>
  </si>
  <si>
    <t>Очередной финансовый 2022 год</t>
  </si>
  <si>
    <t>Физический объём</t>
  </si>
  <si>
    <t>Тариф руб./ед.изм</t>
  </si>
  <si>
    <t>Итого тыс.руб.</t>
  </si>
  <si>
    <t>техническое обслуживание ОПС и ППА СОУЭ</t>
  </si>
  <si>
    <t>м2</t>
  </si>
  <si>
    <t>расходы на огнезащитную обработку деревянных конструкций</t>
  </si>
  <si>
    <t>расходы на зарядку огнетушителей</t>
  </si>
  <si>
    <t>испытание электрооборудования</t>
  </si>
  <si>
    <t>испытания аэродинамические</t>
  </si>
  <si>
    <t>шт</t>
  </si>
  <si>
    <t xml:space="preserve">расходов на поверку средств измерений (СИ) </t>
  </si>
  <si>
    <t xml:space="preserve">ИТОГО по КОСГУ (Доп.КР) 225(947) </t>
  </si>
  <si>
    <t>Обоснование расходов по прочим работам и услугам (Доп.Кр.954)* (источник финансирования-внебюджет)</t>
  </si>
  <si>
    <t>Физический объем/ периодичность</t>
  </si>
  <si>
    <t>Итого тыс. руб.  гр. 4 х гр. 5 / 1000</t>
  </si>
  <si>
    <t>Итого тыс. руб.  гр. 7 х гр. 8 / 1000</t>
  </si>
  <si>
    <t>Итого тыс. руб.  гр. 10 х гр. 11 / 1000</t>
  </si>
  <si>
    <t>чел.</t>
  </si>
  <si>
    <t>ИТОГО по КОСГУ (Доп. КР) 226 (954)</t>
  </si>
  <si>
    <t>Код 226 (955)</t>
  </si>
  <si>
    <t>№п\п</t>
  </si>
  <si>
    <t>Организация, адрес</t>
  </si>
  <si>
    <t>Количество услуг</t>
  </si>
  <si>
    <t>Сумма начисления за услугу</t>
  </si>
  <si>
    <t>Страховые взносы, 27,1%</t>
  </si>
  <si>
    <t>*В данной табличной форме так же указывать расходы по ГПХ, предусмотренные в рамках стимулирования</t>
  </si>
  <si>
    <t>Обоснование расходов, связанных с приобретением (изготовлением) подарочной и сувенирной продукции, не предназначенной для дальнейшей перепродажи (Доп.Кр.963)* (источник финансирования-внебюджет)</t>
  </si>
  <si>
    <t xml:space="preserve">Наименование </t>
  </si>
  <si>
    <t>План 2020, тыс.руб.</t>
  </si>
  <si>
    <t>План 2021, тыс.руб.</t>
  </si>
  <si>
    <t>план</t>
  </si>
  <si>
    <t>Кол-во</t>
  </si>
  <si>
    <t>Цена, руб.</t>
  </si>
  <si>
    <t>Сумма, тыс.руб.</t>
  </si>
  <si>
    <t>исп</t>
  </si>
  <si>
    <t>План 2022, тыс.руб.</t>
  </si>
  <si>
    <t>*В данной табличной форме так же указывать расходы на приобретение строительных материалов, предусмотренные в рамках стимулирования</t>
  </si>
  <si>
    <t>Обоснование расходов для формирования бюджета муниципального образования город Норильск на 2020-2022 годы по приобретению основных средств, КОСГУ 310 (971) (источник финансирования-внебюджет)</t>
  </si>
  <si>
    <t>ВИД ОС</t>
  </si>
  <si>
    <t>Приобретено</t>
  </si>
  <si>
    <t>ПЛАН
2020 год</t>
  </si>
  <si>
    <t>ПЛАН 
2021 год, тыс.руб.</t>
  </si>
  <si>
    <t>ПЛАН 
2022 год, тыс.руб.</t>
  </si>
  <si>
    <t>2018 год</t>
  </si>
  <si>
    <t>МБ</t>
  </si>
  <si>
    <t>КБ справочно</t>
  </si>
  <si>
    <t>платные справочно</t>
  </si>
  <si>
    <t>ВНЕБЮДЖЕТ</t>
  </si>
  <si>
    <t>кол-во</t>
  </si>
  <si>
    <t>цена за ед.</t>
  </si>
  <si>
    <t>общая сумма затрат</t>
  </si>
  <si>
    <t>1. Мебель</t>
  </si>
  <si>
    <t>5. Учебно-игровое оборудование</t>
  </si>
  <si>
    <t>6. Сантехническое оборудование</t>
  </si>
  <si>
    <t>7. Медицинское оборудование</t>
  </si>
  <si>
    <t>8. Свето-, звуко-, кино-, видео- оборудование</t>
  </si>
  <si>
    <t>9. Спортивное оборудование и инвентарь</t>
  </si>
  <si>
    <t>10. Музыкальные инструменты</t>
  </si>
  <si>
    <t>11. Сценические костюмы</t>
  </si>
  <si>
    <t>12. Библиотечный фонд</t>
  </si>
  <si>
    <t>I</t>
  </si>
  <si>
    <t>Картриджи</t>
  </si>
  <si>
    <t>II</t>
  </si>
  <si>
    <t>Бумага офисная</t>
  </si>
  <si>
    <t>III</t>
  </si>
  <si>
    <t>Зап.части к компьютерной технике</t>
  </si>
  <si>
    <t>IV</t>
  </si>
  <si>
    <t>Запчасти к транспортным средствам</t>
  </si>
  <si>
    <t>V</t>
  </si>
  <si>
    <t>Канцелярские товары</t>
  </si>
  <si>
    <t>VI</t>
  </si>
  <si>
    <t>VII</t>
  </si>
  <si>
    <t>Моющие товары (бытовая химия)</t>
  </si>
  <si>
    <t>VIII</t>
  </si>
  <si>
    <t>Инструменты и электротовары</t>
  </si>
  <si>
    <t>IX</t>
  </si>
  <si>
    <t>Прочие (указать)</t>
  </si>
  <si>
    <t>Обоснование расходов для формирования бюджета муниципального образования город Норильск на 2020-2022 годы по коммунальным услугам КОСГУ 223 (931,932,933)* (источник финансирования-внебюджет)</t>
  </si>
  <si>
    <t>исполнитель</t>
  </si>
  <si>
    <t>01.01.2020</t>
  </si>
  <si>
    <t>Обоснование расходов  на приобретение мягкого инвентаря на 2020-2022 годы, Доп.КР 985* (источник финансирования-внебюджет)</t>
  </si>
  <si>
    <t>Постельное белье</t>
  </si>
  <si>
    <t>Спецодежда и спецобувь</t>
  </si>
  <si>
    <t>*В данной табличной форме так же указывать расходы на приобретение мягкого инвентаря, предусмотренные в рамках стимулирования</t>
  </si>
  <si>
    <t>Обоснование расходов  на приобретение строительных материалов на 2020-2022 годы, КОСГУ 344 (986)* (источник финансирования -внебюджет)</t>
  </si>
  <si>
    <t>Наименование показателя</t>
  </si>
  <si>
    <t>Код строки</t>
  </si>
  <si>
    <t>Сумма, руб.</t>
  </si>
  <si>
    <t>(текущий финансовый год)</t>
  </si>
  <si>
    <t>(первый год планового периода)</t>
  </si>
  <si>
    <t>(второй год планового периода)</t>
  </si>
  <si>
    <t>Задолженность перед персоналом по оплате труда (кредиторская задолженность) на начало года</t>
  </si>
  <si>
    <t>Задолженность персонала по полученным авансам (дебиторская задолженность) на начало года</t>
  </si>
  <si>
    <t>Фонд оплаты труда</t>
  </si>
  <si>
    <t>Задолженность перед персоналом по оплате труда (кредиторская задолженность) на конец года</t>
  </si>
  <si>
    <t>Задолженность персонала по полученным авансам (дебиторская задолженность) на конец года</t>
  </si>
  <si>
    <t>на 2020 г.</t>
  </si>
  <si>
    <t>на 2021 г.</t>
  </si>
  <si>
    <t>на 2022 г.</t>
  </si>
  <si>
    <t>Задолженность по обязательствам (кредиторская задолженность) на начало года</t>
  </si>
  <si>
    <t>Сумма излишне уплаченных либо излишне взысканных страховых взносов (дебиторская задолженность) на начало года</t>
  </si>
  <si>
    <t>Страховые взносы на обязательное социальное страхование</t>
  </si>
  <si>
    <t>Задолженность по уплате страховых взносов (кредиторская задолженность) на конец года</t>
  </si>
  <si>
    <t>Сумма излишне уплаченных либо излишне взысканных страховых взносов (дебиторская задолженность) на конец года</t>
  </si>
  <si>
    <t>Задолженность по принятым и неисполненным обязательствам, полученные предварительные платежи (авансы) по контрактам (договорам) (кредиторская задолженность) на начало года</t>
  </si>
  <si>
    <t>Произведенные предварительные платежи (авансы) по контрактам (договорам) (дебиторская задолженность) на начало года</t>
  </si>
  <si>
    <t>Расходы на закупку товаров, работ и услуг, всего</t>
  </si>
  <si>
    <t>в том числе:</t>
  </si>
  <si>
    <t>услуги связи</t>
  </si>
  <si>
    <t>транспортные услуги</t>
  </si>
  <si>
    <t>коммунальные услуги</t>
  </si>
  <si>
    <t>аренда имущества</t>
  </si>
  <si>
    <t>содержание имущества</t>
  </si>
  <si>
    <t>обязательное страхование</t>
  </si>
  <si>
    <t>повышение квалификации (профессиональная переподготовка)</t>
  </si>
  <si>
    <t>оплата услуг и работ (медицинских осмотров, информационных услуг, консультационных услуг, экспертных услуг, научно-исследовательских работ, типографских работ), не указанных выше</t>
  </si>
  <si>
    <t>приобретение объектов движимого имущества</t>
  </si>
  <si>
    <t>приобретение материальных запасов</t>
  </si>
  <si>
    <t>Задолженность по принятым и неисполненным обязательствам, полученные предварительные платежи (авансы) по контрактам (договорам) (кредиторская задолженность) на конец года</t>
  </si>
  <si>
    <t>Произведенные предварительные платежи (авансы) по контрактам (договорам) (дебиторская задолженность) на конец года</t>
  </si>
  <si>
    <r>
      <t>Планируемые выплаты на закупку товаров, работ и услуг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</si>
  <si>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прочие расходы</t>
  </si>
  <si>
    <t>приобретение (изготовление) подарочной и сувенирной продукции</t>
  </si>
  <si>
    <t>иные расходы</t>
  </si>
  <si>
    <t>Обоснование (расчет) плановых показателей по выплатам по элементу вида расходов классификации расходов бюджетов 111 "Фонд оплаты труда учреждений" (источник финансирования-внебюджет)</t>
  </si>
  <si>
    <t>Приложение № 31</t>
  </si>
  <si>
    <t xml:space="preserve">утвержденному постановлением </t>
  </si>
  <si>
    <t>Администрации города Норильска</t>
  </si>
  <si>
    <t>от 30 июня 2015 г. N 337</t>
  </si>
  <si>
    <t>Наименование учреждения
КОСГУ (Доп.КР) 212 (918)</t>
  </si>
  <si>
    <t>Фактические исполнение за 2018 год</t>
  </si>
  <si>
    <t>Текущий 2019 год</t>
  </si>
  <si>
    <t>Очередной 2020 год</t>
  </si>
  <si>
    <t>отклонение (гр.10-гр.4)</t>
  </si>
  <si>
    <t>Примечание (указать причины роста)</t>
  </si>
  <si>
    <t>Очередной 2021 год</t>
  </si>
  <si>
    <t>Очередной 2022 год</t>
  </si>
  <si>
    <t>изначально утвержденный план</t>
  </si>
  <si>
    <t>уточненный план</t>
  </si>
  <si>
    <t>ожидаемое исполнение</t>
  </si>
  <si>
    <t>размер пособия</t>
  </si>
  <si>
    <t>периодичность выплаты</t>
  </si>
  <si>
    <t xml:space="preserve">Итого тыс.руб. </t>
  </si>
  <si>
    <t>Итого:</t>
  </si>
  <si>
    <t>Начальник отдела</t>
  </si>
  <si>
    <t>тыс. руб.</t>
  </si>
  <si>
    <t>2019 год</t>
  </si>
  <si>
    <t xml:space="preserve">Итого </t>
  </si>
  <si>
    <t>ожидаемое</t>
  </si>
  <si>
    <t>Тариф руб./ед. изм. (без НДС)</t>
  </si>
  <si>
    <t>Итого тыс. руб. (с НДС)</t>
  </si>
  <si>
    <t>АИТП</t>
  </si>
  <si>
    <t>в том числе финансирование:</t>
  </si>
  <si>
    <t>21.1.</t>
  </si>
  <si>
    <t>за счет платных услуг</t>
  </si>
  <si>
    <t>21.2.</t>
  </si>
  <si>
    <t>за счет бюджета</t>
  </si>
  <si>
    <t>на 20__ г.</t>
  </si>
  <si>
    <t>Иные выплаты персоналу учреждений, за исключением фонда оплаты труда</t>
  </si>
  <si>
    <t>Возмещение работникам (сотрудникам) расходов, связанных со служебными командировками (суточные при служебных командировках)</t>
  </si>
  <si>
    <t>Оплата стоимости проезда к месту отдыха и обратно</t>
  </si>
  <si>
    <t>Подъемные</t>
  </si>
  <si>
    <t>Возмещение работникам (сотрудникам) расходов, связанных со служебными командировками (проезд к месту служебной командировки и обратно к месту постоянной работы транспортом общего пользования)</t>
  </si>
  <si>
    <t>Прочие выплаты</t>
  </si>
  <si>
    <t>Возмещение расходов на прохождение медицинского осмотра</t>
  </si>
  <si>
    <t>Возмещение расходов, связанных со служебными командировками (проживание в служебных командировках)</t>
  </si>
  <si>
    <t>Социальные пособия и компенсации персоналу в денежной форме</t>
  </si>
  <si>
    <t>Задолженность перед персоналом по иным выплатам персоналу учреждений, за исключением фонда оплаты труда"  (кредиторская задолженность) на начало года</t>
  </si>
  <si>
    <t>Задолженность перед персоналом по иным выплатам персоналу учреждений, за исключением фонда оплаты труда"  (кредиторская задолженность) на конец года</t>
  </si>
  <si>
    <t>Планируемые иные выплаты персоналу учреждений, за исключением фонда оплаты труда (с. 0100 - с. 0200 + с. 0300 - с. 0400 + с. 0500)</t>
  </si>
  <si>
    <t>913</t>
  </si>
  <si>
    <t>921</t>
  </si>
  <si>
    <t>918</t>
  </si>
  <si>
    <t>919</t>
  </si>
  <si>
    <t>952</t>
  </si>
  <si>
    <t>914</t>
  </si>
  <si>
    <t>Доп.Кр.</t>
  </si>
  <si>
    <t>Задолженность (кредиторская задолженность) на начало года</t>
  </si>
  <si>
    <t>Задолженность  (дебиторская задолженность) на начало года</t>
  </si>
  <si>
    <t>Иные выплаты, за исключением фонда оплаты труда учреждений, лицам, привлекаемым согласно законодательству для выполнения отдельных полномочий</t>
  </si>
  <si>
    <t>Выплата суточных, а также денежных средств на питание (при невозможности приобретения услуг по его организации), а также компенсация расходов на проезд и проживание в жилых помещениях (найм жилого помещения) спортсменам и студентам при их направлении на различного рода мероприятия (соревнования, олимпиады, учебную практику и иные мероприятия) и приглашенным лицам</t>
  </si>
  <si>
    <t>Задолженность (кредиторская задолженность) на конец года</t>
  </si>
  <si>
    <t>Задолженность (дебиторская задолженность) на конец года</t>
  </si>
  <si>
    <t>Мероприятия и программы МП</t>
  </si>
  <si>
    <t>ДопКР</t>
  </si>
  <si>
    <t>Наименова-ние ГРБС/ Бюджетополучатель</t>
  </si>
  <si>
    <t>2019 год (начало года)</t>
  </si>
  <si>
    <t>2019 год (ожидаемое на 01.05.2019)</t>
  </si>
  <si>
    <t>2020 год ВСЕГО</t>
  </si>
  <si>
    <t>в том числе</t>
  </si>
  <si>
    <t>Примечание (пояснение динамики натуральных и стоимостных показателей)</t>
  </si>
  <si>
    <t>Количество (общее, среднее) единиц</t>
  </si>
  <si>
    <t xml:space="preserve">Цена (средняя цена) 1 единицы категории, тыс. руб. /руб.
</t>
  </si>
  <si>
    <t>Объем финансирования, тыс. руб.</t>
  </si>
  <si>
    <t>расходы в рамках МП Развитие культуры (ПГ)</t>
  </si>
  <si>
    <t>Внепрограммные расходы</t>
  </si>
  <si>
    <t xml:space="preserve"> +/- гр.17 - гр.11</t>
  </si>
  <si>
    <t>% гр.17/гр.11</t>
  </si>
  <si>
    <t>17.1</t>
  </si>
  <si>
    <t>17.2</t>
  </si>
  <si>
    <t>бывшее ДМЦП "Празничный город"</t>
  </si>
  <si>
    <t>966</t>
  </si>
  <si>
    <t>Обоснование (расчет) плановых показателей по выплатам по элементу вида расходов классификации расходов бюджетов 111 "Фонд оплаты труда учреждений" (источник финансирования-бюджет), МП "Развитие культуры"</t>
  </si>
  <si>
    <t>Обоснование (расчет) плановых показателей по выплатам по элементу вида расходов классификации расходов бюджетов 112 "Иные выплаты персоналу учреждений, за исключением фонда оплаты труда", МП "Развитие культуры"</t>
  </si>
  <si>
    <t>Обоснование (расчет) расходов по прочим выплатам, Доп.Кр.914, МП "Развитие культуры"</t>
  </si>
  <si>
    <t>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 МП "Развитие культуры"</t>
  </si>
  <si>
    <r>
      <t>Планируемые выплаты на оплату труда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</si>
  <si>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r>
      <t>Планируемые выплаты на страховые взносы на обязательное социальное страхование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</si>
  <si>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r>
      <t>Планируемые иные выплаты, за исключением фонда оплаты труда учреждений, лицам, привлекаемым согласно законодательству для выполнения отдельных полномочий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</si>
  <si>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t>Задолженность(кредиторская задолженность) на начало года</t>
  </si>
  <si>
    <t>Задолженность(дебиторская задолженность) на начало года</t>
  </si>
  <si>
    <t>Пособия, компенсации и иные социальные выплаты гражданам, кроме публичных нормативных обязательств</t>
  </si>
  <si>
    <t>Выходные пособия и компенсации при увольнении в связи с сокращением</t>
  </si>
  <si>
    <t>Заработная плата</t>
  </si>
  <si>
    <t>Пенсии, пособия, выплачиваемые, организациями сектора государственного управления</t>
  </si>
  <si>
    <t>компенсация расходов, связанных с переездом из районов Крайнего Севера</t>
  </si>
  <si>
    <r>
      <t>Планируемые выплаты на пособия, компенсации и иные социальные выплаты гражданам, кроме публичных нормативных обязательств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</si>
  <si>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 xml:space="preserve">Прогноз бюджета на 2020 год по статье "Коммунальные услуги" </t>
  </si>
  <si>
    <t>Код</t>
  </si>
  <si>
    <t>Факт 2016 год</t>
  </si>
  <si>
    <t>Факт 2017 год</t>
  </si>
  <si>
    <t xml:space="preserve">Факт 2018 год </t>
  </si>
  <si>
    <t>Проект 2020 год</t>
  </si>
  <si>
    <t>Проект на 2021</t>
  </si>
  <si>
    <t>Проект на 2022</t>
  </si>
  <si>
    <t>Финансирование, утвержденное ФинУ на 2019,                          тыс.руб.</t>
  </si>
  <si>
    <t>ожид.</t>
  </si>
  <si>
    <t>сумма, тыс.руб.</t>
  </si>
  <si>
    <t>кол-во с 01.01.2020 по 30.06.2020</t>
  </si>
  <si>
    <t>тариф с 01.01.2020 по 30.06.2020, тыс.руб.</t>
  </si>
  <si>
    <t>кол-во с 01.07.2020 по 31.12.2020</t>
  </si>
  <si>
    <t>тариф с 01.07.2020 по 31.12.2020, тыс.руб.</t>
  </si>
  <si>
    <t>эн.снабж. организация</t>
  </si>
  <si>
    <t>Годовое      кол-во</t>
  </si>
  <si>
    <t>сумма с НДС, тыс.руб.</t>
  </si>
  <si>
    <t>НТЭК</t>
  </si>
  <si>
    <t>НТЭК - пром.зона</t>
  </si>
  <si>
    <t>НТЭК-селитеб. зона</t>
  </si>
  <si>
    <t>НТЭК - пром. зона</t>
  </si>
  <si>
    <r>
      <t>Холодное в/снабжение, тыс.м</t>
    </r>
    <r>
      <rPr>
        <b/>
        <vertAlign val="superscript"/>
        <sz val="10"/>
        <rFont val="Times New Roman"/>
        <family val="1"/>
      </rPr>
      <t>3</t>
    </r>
    <r>
      <rPr>
        <b/>
        <sz val="10"/>
        <rFont val="Times New Roman"/>
        <family val="1"/>
      </rPr>
      <t>.</t>
    </r>
  </si>
  <si>
    <t xml:space="preserve">НТЭК </t>
  </si>
  <si>
    <r>
      <t>Водоотведение, тыс.м</t>
    </r>
    <r>
      <rPr>
        <b/>
        <vertAlign val="superscript"/>
        <sz val="10"/>
        <rFont val="Times New Roman"/>
        <family val="1"/>
      </rPr>
      <t>3</t>
    </r>
    <r>
      <rPr>
        <b/>
        <sz val="10"/>
        <rFont val="Times New Roman"/>
        <family val="1"/>
      </rPr>
      <t>.</t>
    </r>
  </si>
  <si>
    <t>МУП "КОС"</t>
  </si>
  <si>
    <t>СВОД</t>
  </si>
  <si>
    <t>43 72 47 *2899</t>
  </si>
  <si>
    <t>кто</t>
  </si>
  <si>
    <t>Приложение 14
к письму от "_____"_____________2017  №_________</t>
  </si>
  <si>
    <t>натуральный показатель</t>
  </si>
  <si>
    <t xml:space="preserve">стоимость услуги (тарифы) с НДС, рублей </t>
  </si>
  <si>
    <t>сумма, тыс. руб.</t>
  </si>
  <si>
    <t xml:space="preserve">план 2021г </t>
  </si>
  <si>
    <t xml:space="preserve">план  2022г </t>
  </si>
  <si>
    <t>2018 факт</t>
  </si>
  <si>
    <t>2019 план 
(на 01.01.19)</t>
  </si>
  <si>
    <t>2019 ожид</t>
  </si>
  <si>
    <t>2020 план/ 2019 план</t>
  </si>
  <si>
    <t>2019 план/ 2018 план</t>
  </si>
  <si>
    <t>2019 план</t>
  </si>
  <si>
    <t>утвержденный по состоянию на 01.01.2019</t>
  </si>
  <si>
    <t>1.</t>
  </si>
  <si>
    <t>Предоставление доступа к телефонной сети</t>
  </si>
  <si>
    <t>1.1.</t>
  </si>
  <si>
    <t>Установка основного телефонного аппарата</t>
  </si>
  <si>
    <t>ед.</t>
  </si>
  <si>
    <t>1.2.</t>
  </si>
  <si>
    <t>Установка дополнительного телефонного аппарата</t>
  </si>
  <si>
    <t>1.3.</t>
  </si>
  <si>
    <t>Установка телефона с односторонней связью (таксофон)</t>
  </si>
  <si>
    <t>1.4.</t>
  </si>
  <si>
    <t>Предоставление доступа к телефонной сети через комплекты спаренных абонентов</t>
  </si>
  <si>
    <t xml:space="preserve">ед. </t>
  </si>
  <si>
    <t>1.5.</t>
  </si>
  <si>
    <t>Предоставление доступа к телефонной сети параллельным абонентским устройством</t>
  </si>
  <si>
    <t>2.</t>
  </si>
  <si>
    <t>Предоставление местного телефонного соединения автоматическим способом (абонентская плата в месяц)</t>
  </si>
  <si>
    <t>2.1.</t>
  </si>
  <si>
    <t>За абонентский номер индивидуального пользования (основной телефонный аппарат)</t>
  </si>
  <si>
    <t>2.2.</t>
  </si>
  <si>
    <t>За дополнительный телефонный аппарат</t>
  </si>
  <si>
    <t>За параллельный и спаренный телефонный аппарат</t>
  </si>
  <si>
    <t>2.3.</t>
  </si>
  <si>
    <t>За основной телефонный аппарат с односторонней связью или параллельный к нему (таксофон)</t>
  </si>
  <si>
    <t>2.4.</t>
  </si>
  <si>
    <t>За аренду прямого провода, занимаемого для организации прямой связи между оконечными пунктами</t>
  </si>
  <si>
    <t>2.4.1.</t>
  </si>
  <si>
    <t xml:space="preserve"> - до 500 метров</t>
  </si>
  <si>
    <t>2.4.2.</t>
  </si>
  <si>
    <t xml:space="preserve"> - более 500 метров</t>
  </si>
  <si>
    <t>2.5.</t>
  </si>
  <si>
    <t>За аренду некоммутируемого канала, образованного аппаратурой систем передач или с использованием радиорелейных систем (радиорелейные станции, радиоудлинители)</t>
  </si>
  <si>
    <t>2.6.</t>
  </si>
  <si>
    <t>За аренду соединительной линии, прямого провода свыше 500 метров, образованных аппаратурой систем передач или с использованием радиорелейных систем (радиорелейные станции, радиоудлинители)</t>
  </si>
  <si>
    <t>2.7.</t>
  </si>
  <si>
    <t>Дополнительная абонентская плата за телефакс</t>
  </si>
  <si>
    <t>3.</t>
  </si>
  <si>
    <t>Дополнительные услуги городской телефонной связи</t>
  </si>
  <si>
    <t>3.1.</t>
  </si>
  <si>
    <t xml:space="preserve">Организация связи </t>
  </si>
  <si>
    <t>3.1.1.</t>
  </si>
  <si>
    <t>3.1.2.</t>
  </si>
  <si>
    <t>Прямого провода (организация прямой связи между двумя оконечными пунктами)</t>
  </si>
  <si>
    <t>3.1.3.</t>
  </si>
  <si>
    <t>Прямого провода (прямой связи) менее 500 метров (в приделах одного здания одного предприятия)</t>
  </si>
  <si>
    <t>3.2.</t>
  </si>
  <si>
    <t>Перестановка, переключение (изменение схемы включения) ТА(единовременно)</t>
  </si>
  <si>
    <t>3.2.1.</t>
  </si>
  <si>
    <t>Переустановка основного телефонного аппарата и иных абонентских устройств:</t>
  </si>
  <si>
    <t>3.2.1.1.</t>
  </si>
  <si>
    <t xml:space="preserve"> - в одной комнате</t>
  </si>
  <si>
    <t>3.2.1.2.</t>
  </si>
  <si>
    <t xml:space="preserve"> - в одном здании</t>
  </si>
  <si>
    <t>3.2.1.3.</t>
  </si>
  <si>
    <t xml:space="preserve"> - в другое здание</t>
  </si>
  <si>
    <t>3.2.2.</t>
  </si>
  <si>
    <t>Переустановка дополнительного ТА:</t>
  </si>
  <si>
    <t>3.2.2.1.</t>
  </si>
  <si>
    <t>3.2.2.2.</t>
  </si>
  <si>
    <t>3.2.2.3.</t>
  </si>
  <si>
    <t>3.2.3.</t>
  </si>
  <si>
    <t>Переустановка ТА с односторонней связью (таксофона) по заявке предприятия:</t>
  </si>
  <si>
    <t>3.2.3.1.</t>
  </si>
  <si>
    <t xml:space="preserve"> - в одном помещении</t>
  </si>
  <si>
    <t>3.2.3.2.</t>
  </si>
  <si>
    <t>3.2.4.</t>
  </si>
  <si>
    <t>Переустановка прямой связи:</t>
  </si>
  <si>
    <t>3.2.5.</t>
  </si>
  <si>
    <t>Изменение трассы прямого провода более 500 м метров (за каждый конец)</t>
  </si>
  <si>
    <t>3.2.6.</t>
  </si>
  <si>
    <t>До 500 метров в пределах одного здания</t>
  </si>
  <si>
    <t>3.3.</t>
  </si>
  <si>
    <t>Переименование:</t>
  </si>
  <si>
    <t>3.3.1.</t>
  </si>
  <si>
    <t xml:space="preserve"> - телефонов</t>
  </si>
  <si>
    <t>3.3.2.</t>
  </si>
  <si>
    <t xml:space="preserve"> - прямой связи</t>
  </si>
  <si>
    <t>3.4.</t>
  </si>
  <si>
    <t>Восстановление:</t>
  </si>
  <si>
    <t>3.4.1.</t>
  </si>
  <si>
    <t>Восстановление линии отдельного номера телефона по просьбе абонента (после кап.ремонта и др.) до 40 метров</t>
  </si>
  <si>
    <t>3.4.2.</t>
  </si>
  <si>
    <t>Восстановление прямой связи в пределах здания</t>
  </si>
  <si>
    <t>3.5.</t>
  </si>
  <si>
    <t>Охранная сигнализация, средства телемеханики, ГО, ЧС и др.</t>
  </si>
  <si>
    <t>3.5.1.</t>
  </si>
  <si>
    <t>Подключение устройства охранной сигнализации к линии действующего телефона (подключение линии на аппаратуру оповещения ГО)</t>
  </si>
  <si>
    <t>3.5.2.</t>
  </si>
  <si>
    <t>Абонементная плата за каждое подключаемое устройство охранной сигнализации (в месяц)</t>
  </si>
  <si>
    <t>3.6.</t>
  </si>
  <si>
    <t>Изменение категории абонента в аппаратуре АОН</t>
  </si>
  <si>
    <t>4.</t>
  </si>
  <si>
    <t>Услуги междугородней связи</t>
  </si>
  <si>
    <t>4.1.</t>
  </si>
  <si>
    <t>4.1.1.</t>
  </si>
  <si>
    <r>
      <t xml:space="preserve">Норильск - … </t>
    </r>
    <r>
      <rPr>
        <i/>
        <sz val="8"/>
        <rFont val="Times New Roman Cyr"/>
        <family val="1"/>
        <charset val="204"/>
      </rPr>
      <t>Город</t>
    </r>
  </si>
  <si>
    <t>4.2.</t>
  </si>
  <si>
    <t xml:space="preserve">Поминутная оплата: </t>
  </si>
  <si>
    <t>4.2.1.</t>
  </si>
  <si>
    <t>мин.</t>
  </si>
  <si>
    <t>5.</t>
  </si>
  <si>
    <t>Услуги доступа к сети Интернет</t>
  </si>
  <si>
    <t>5.1.</t>
  </si>
  <si>
    <t>5.2.</t>
  </si>
  <si>
    <t>Доступ к сети по телефонной линии (почасовая оплата)</t>
  </si>
  <si>
    <t>час.</t>
  </si>
  <si>
    <t>Подкдючение к широкополосному доступу в интернет</t>
  </si>
  <si>
    <t>6.</t>
  </si>
  <si>
    <t>Почтовые услуги</t>
  </si>
  <si>
    <t>6.1.</t>
  </si>
  <si>
    <t>Приобретение конвертов</t>
  </si>
  <si>
    <t>6.2.</t>
  </si>
  <si>
    <t>Отправка телеграмм по России</t>
  </si>
  <si>
    <t>6.3.</t>
  </si>
  <si>
    <t>Абонентский ящик</t>
  </si>
  <si>
    <t>7.</t>
  </si>
  <si>
    <t>Услуги сотовой связи</t>
  </si>
  <si>
    <t>8.</t>
  </si>
  <si>
    <t>абонентская плата за IVR-услуги  20000 руб. х 12 мес. х 18%</t>
  </si>
  <si>
    <t>IVR-услуги. Перезапись голосовых файлов  2000 руб. х 12 мес. х 18%</t>
  </si>
  <si>
    <t>внутризоновая связь</t>
  </si>
  <si>
    <t>внутризоновая телефонная связь</t>
  </si>
  <si>
    <t>Предоставление канала данных  3000 руб. х 12 мес.</t>
  </si>
  <si>
    <t>экспресс доставка</t>
  </si>
  <si>
    <t>Бочкарева О.В. (2821)</t>
  </si>
  <si>
    <t>вневедомственная охрана, охранная и пожарная сигнализация</t>
  </si>
  <si>
    <t>Приложение N 28</t>
  </si>
  <si>
    <t>к Порядку</t>
  </si>
  <si>
    <t>составления проекта бюджета</t>
  </si>
  <si>
    <t>муниципального образования</t>
  </si>
  <si>
    <t>город Норильск на очередной</t>
  </si>
  <si>
    <t>финансовый год и плановый период,</t>
  </si>
  <si>
    <t>утвержденному Постановлением</t>
  </si>
  <si>
    <t>Фактическое исполнение за 2018 год</t>
  </si>
  <si>
    <t>Ожидаемое 2019 год</t>
  </si>
  <si>
    <t>Уточненный план, тыс. руб. (с НДС)</t>
  </si>
  <si>
    <t>Изначально утвержденный план, тыс. руб. (с НДС)</t>
  </si>
  <si>
    <t>Тариф руб. ед. изм. (без НДС)</t>
  </si>
  <si>
    <t>кол-во ламп</t>
  </si>
  <si>
    <t>с 2019 года данная услуга оплачивается с ДопКР 934</t>
  </si>
  <si>
    <t>Обучение по охране труда</t>
  </si>
  <si>
    <t>В соответствии с Приказом МЧС РФ от 12 декабря 2007 г. N 645 "Об утверждении Норм пожарной безопасности «Обучение мерам пожарной безопасности работников организаций» обучение необходимо проводить раз в 3 года</t>
  </si>
  <si>
    <t xml:space="preserve">Очередной финансовый 2020 год </t>
  </si>
  <si>
    <t>Очередной финансовый год 2021</t>
  </si>
  <si>
    <t>срок подписки</t>
  </si>
  <si>
    <t>кол-во экземляров</t>
  </si>
  <si>
    <t>каталожная цена</t>
  </si>
  <si>
    <t>стоимость услуг</t>
  </si>
  <si>
    <t>подписная стоимость</t>
  </si>
  <si>
    <t>Обоснование (расчет) плановых показателей по выплатам по элементу вида расходов классификации расходов бюджетов 321 "Пособия, компенсации и иные социальные выплаты гражданам, кроме публичных нормативных обязательств", МП "Развитие культуры"</t>
  </si>
  <si>
    <t>Обоснование расходов для формирования бюджета муниципального образования город Норильск на 2020-2022 годы по услугам связи КОСГУ 221 (925), МП "Развитие культуры"</t>
  </si>
  <si>
    <t>Вознаграждение по договорам ГПХ с учетом страховых взносов</t>
  </si>
  <si>
    <t>приобретению периодических изданий, справочной литературы</t>
  </si>
  <si>
    <t>Приложение 4
к письму от "_____"_____________2018  №_________</t>
  </si>
  <si>
    <t>Утвержденный план на 2019 год</t>
  </si>
  <si>
    <t>ожидаемое МБ 
2019 год</t>
  </si>
  <si>
    <t>Всего в наличии по состоянию на 01.06.2019 (ед.)</t>
  </si>
  <si>
    <t>Подлежит замене по состоянию на 01.06.2019*</t>
  </si>
  <si>
    <t>Общая потребность учреждения</t>
  </si>
  <si>
    <t>отклонение плановых показателей</t>
  </si>
  <si>
    <t>ПЛАН МБ 
2021 год</t>
  </si>
  <si>
    <t>ПЛАН МБ
2022 год</t>
  </si>
  <si>
    <t>по состоянию на 01.01.2019</t>
  </si>
  <si>
    <t>бюджет</t>
  </si>
  <si>
    <t>причины списания</t>
  </si>
  <si>
    <r>
      <t>обоснование потребности</t>
    </r>
    <r>
      <rPr>
        <sz val="12"/>
        <rFont val="Calibri"/>
        <family val="2"/>
        <charset val="204"/>
      </rPr>
      <t>**</t>
    </r>
  </si>
  <si>
    <t>действующая сеть</t>
  </si>
  <si>
    <t>новая сеть</t>
  </si>
  <si>
    <t>абс. знач-ие (гр.24+гр.25-гр.11)</t>
  </si>
  <si>
    <t>% ((гр.24+гр.25)/
гр.11)* 100</t>
  </si>
  <si>
    <t>2. Оргтехника и оборудование для связи (компьютерная и оргтехника, телефоны, факсы и т.д.)</t>
  </si>
  <si>
    <t>3. Хоз. товары и хоз. инвентарь (инструменты и принадлежности технического персонала и т.д.)</t>
  </si>
  <si>
    <t>4. Бытовая техника  (чайники, холодильники, компрессоры, подъемники и т.д.)</t>
  </si>
  <si>
    <t>13. Музейные экспонаты, произведения искусства</t>
  </si>
  <si>
    <t>14. Авто, мото и спец. техника, катера, лодки и т.д.</t>
  </si>
  <si>
    <t>15. Дорожное оборудование</t>
  </si>
  <si>
    <t>16. Оборудование для ТО и ТР подвижного состава</t>
  </si>
  <si>
    <t>17. Пожарное оборудование и средства индивидуальной защиты</t>
  </si>
  <si>
    <t>18. Уличные малые архитектурные формы</t>
  </si>
  <si>
    <t>19. Измерительные приборы (манометры, термометры, тонометры, нивелиры и т.д.)</t>
  </si>
  <si>
    <t>20. Технологическое оборудование</t>
  </si>
  <si>
    <t>21. Прочее (указать)</t>
  </si>
  <si>
    <t>Приложение 4
к письму от "_____"_____________2019  №_________</t>
  </si>
  <si>
    <t>Таблица 1</t>
  </si>
  <si>
    <t>Факт 2018</t>
  </si>
  <si>
    <t>План на 2019 год (по состоянию на 01.01.2019)</t>
  </si>
  <si>
    <t>Отклонение плановых показателей</t>
  </si>
  <si>
    <t>Примечание**</t>
  </si>
  <si>
    <t xml:space="preserve">Объем финансирования, тыс.руб. </t>
  </si>
  <si>
    <t>Местный бюджет</t>
  </si>
  <si>
    <t>Платные справочно</t>
  </si>
  <si>
    <t>ИТОГО (гр.5+гр.6+гр.7)</t>
  </si>
  <si>
    <t>ИТОГО (гр.11+гр.12+гр.13)</t>
  </si>
  <si>
    <t>ИТОГО (гр.17+гр.18+гр.19)</t>
  </si>
  <si>
    <t>Платные</t>
  </si>
  <si>
    <t>ИТОГО (гр.23+гр.24)</t>
  </si>
  <si>
    <t>гр.23-гр.11</t>
  </si>
  <si>
    <t>гр.23/гр.11*100</t>
  </si>
  <si>
    <t>Приобретение расходных материалов. Доп.КР 981</t>
  </si>
  <si>
    <t>ИТОГО Доп.КР 981:</t>
  </si>
  <si>
    <t>Хозяйственные товары</t>
  </si>
  <si>
    <t>Линейка</t>
  </si>
  <si>
    <t>Приложение №13
к письму от "_____"_____________2018  №_________</t>
  </si>
  <si>
    <t>Наименование мероприятия</t>
  </si>
  <si>
    <t>факт 2018 года</t>
  </si>
  <si>
    <t>план 2019 года</t>
  </si>
  <si>
    <t>ожидаемое 2019 года</t>
  </si>
  <si>
    <t xml:space="preserve">Район (место проведения) </t>
  </si>
  <si>
    <t>Дата</t>
  </si>
  <si>
    <t>Время 
(начало-окончание)</t>
  </si>
  <si>
    <t>Охват мероприятием (кол-во участников)</t>
  </si>
  <si>
    <t>Кол-во часов</t>
  </si>
  <si>
    <t>Тариф, руб./час</t>
  </si>
  <si>
    <t>Итого, руб.</t>
  </si>
  <si>
    <t>День Победы</t>
  </si>
  <si>
    <t>К форме прилагается пояснительная записка с указанием документов, подтверждающих необходимость осуществления расходов</t>
  </si>
  <si>
    <t>В соответствии с Приказом министерства здравоохранения Красноярского края от 17.12.2013 №68-н:</t>
  </si>
  <si>
    <r>
      <t xml:space="preserve">Осмотр и наблюдение врачом бригады скорой медицинской помощи во время массовых мероприятий и при сопровождении пациента </t>
    </r>
    <r>
      <rPr>
        <b/>
        <sz val="12"/>
        <color theme="1"/>
        <rFont val="Times New Roman"/>
        <family val="1"/>
        <charset val="204"/>
      </rPr>
      <t xml:space="preserve"> (1 час) - 3 600 руб.</t>
    </r>
  </si>
  <si>
    <t>услуги по скорой медицинской помощи</t>
  </si>
  <si>
    <t>Приложение 3
к письму от "_____"_____________2017  №_________</t>
  </si>
  <si>
    <t>2017</t>
  </si>
  <si>
    <t>2018</t>
  </si>
  <si>
    <t>2019</t>
  </si>
  <si>
    <t>2020</t>
  </si>
  <si>
    <t>2021</t>
  </si>
  <si>
    <t>2022</t>
  </si>
  <si>
    <t>Примечание*</t>
  </si>
  <si>
    <t>факт</t>
  </si>
  <si>
    <t>план утвержденный по состоянию на 01.01.2018</t>
  </si>
  <si>
    <t>абс. знач-ие (гр.12-гр.8)</t>
  </si>
  <si>
    <t>% (гр.12/гр.8)* 100</t>
  </si>
  <si>
    <t>стоим.</t>
  </si>
  <si>
    <t>аптечки</t>
  </si>
  <si>
    <t>медикаменты</t>
  </si>
  <si>
    <t>перевязочные средства</t>
  </si>
  <si>
    <t>другое (указать)</t>
  </si>
  <si>
    <t>Обоснование расходов для формирования бюджета муниципального образования город Норильск на 2020-2022 годы на приобретение медикаментов, Доп.КР 982, МП "Развитие культуры"</t>
  </si>
  <si>
    <t>963</t>
  </si>
  <si>
    <t>981</t>
  </si>
  <si>
    <t>Наградная атрибутика</t>
  </si>
  <si>
    <t>День города. День металлурга - июль</t>
  </si>
  <si>
    <t>971</t>
  </si>
  <si>
    <t>Расходные материалы:</t>
  </si>
  <si>
    <t>ПГ</t>
  </si>
  <si>
    <t>Наградная атрибутика:</t>
  </si>
  <si>
    <t>Приложение № 26</t>
  </si>
  <si>
    <t>от ____________№ ___________</t>
  </si>
  <si>
    <t>Фактические исполнение за отчетный  финансовый 2018 год</t>
  </si>
  <si>
    <t>Текущий финансовый 2019 год</t>
  </si>
  <si>
    <t>Уточненный план, тыс.руб. (с НДС)</t>
  </si>
  <si>
    <t>Тариф руб./ед.изм (без НДС)</t>
  </si>
  <si>
    <t>Итого тыс.руб. (с НДС)</t>
  </si>
  <si>
    <t>Изначально утвержденный план, тыс.руб. (с НДС)</t>
  </si>
  <si>
    <t>Тариф руб./ед.изм (без НДС)*</t>
  </si>
  <si>
    <t xml:space="preserve">за счет бюджета </t>
  </si>
  <si>
    <t>Охрана техническая в том числе:</t>
  </si>
  <si>
    <t>1.1</t>
  </si>
  <si>
    <t>Тревожная сигнализация</t>
  </si>
  <si>
    <t>кол-во часов</t>
  </si>
  <si>
    <t>1.2</t>
  </si>
  <si>
    <t>Охранно-пожарная сигнализация</t>
  </si>
  <si>
    <t>1.3</t>
  </si>
  <si>
    <t>Охранно-пожарная сигнализация (Вывод сигнала срабатывания систем ПС на пульт, мониторинговые услуги)</t>
  </si>
  <si>
    <t>Охрана физическая</t>
  </si>
  <si>
    <t>ИТОГО по КОСГУ (Доп. КР) 226 (953)</t>
  </si>
  <si>
    <t>Доп.КР</t>
  </si>
  <si>
    <t>2019 год**</t>
  </si>
  <si>
    <t>2020 год**</t>
  </si>
  <si>
    <t>Примечание***</t>
  </si>
  <si>
    <t>на 01.01.2019</t>
  </si>
  <si>
    <t>ожидаемое на 01.05.2019</t>
  </si>
  <si>
    <t>Цена товаров с учетом НДС, руб.</t>
  </si>
  <si>
    <t>в том числе по источникам, тыс.руб.</t>
  </si>
  <si>
    <t>абс. знач-ие (гр.18-гр.10)</t>
  </si>
  <si>
    <t>% (гр.18/гр.10)* 100</t>
  </si>
  <si>
    <t>местный бюджет ВСЕГО</t>
  </si>
  <si>
    <t>из них:</t>
  </si>
  <si>
    <t>внебюджетные источники</t>
  </si>
  <si>
    <t>местный бюджет</t>
  </si>
  <si>
    <t>расходы в рамках МП Развитие культуры и МП Разитие туризма (Стимулирование)</t>
  </si>
  <si>
    <t>18.1</t>
  </si>
  <si>
    <t>18.2</t>
  </si>
  <si>
    <t>Местный уровень, в т.ч.:</t>
  </si>
  <si>
    <t xml:space="preserve"> - страховые взносы 27,1%</t>
  </si>
  <si>
    <t>Фестиваль "Северная ягода" (МП "Развитие туризма")</t>
  </si>
  <si>
    <t>сев.ягода</t>
  </si>
  <si>
    <t>2019 на 01.01.2019</t>
  </si>
  <si>
    <t>2019 ожидаемое на 01.05.2019</t>
  </si>
  <si>
    <t>ВБ</t>
  </si>
  <si>
    <t>Приложение № 1</t>
  </si>
  <si>
    <t>к постановлению Администрации города Норильска</t>
  </si>
  <si>
    <t>от "___" _________ 2019  №__________</t>
  </si>
  <si>
    <t>Приложение № 37</t>
  </si>
  <si>
    <t>от 30 июня 2015 № 337</t>
  </si>
  <si>
    <t>Наличие паспорта ТКО</t>
  </si>
  <si>
    <t>Установленные нормативы ТКО, куб. м/тонн</t>
  </si>
  <si>
    <t>Объем ТКО, куб. м.</t>
  </si>
  <si>
    <t>Тариф</t>
  </si>
  <si>
    <t>Расходы (тыс. руб.)</t>
  </si>
  <si>
    <t>Факт
(1 квартал)</t>
  </si>
  <si>
    <t>Планируемый период</t>
  </si>
  <si>
    <t>да</t>
  </si>
  <si>
    <t>Норматив образования отходов производства расчитан ООО "ЭкоГЕО", контейнер в собственности</t>
  </si>
  <si>
    <t>Обоснование расходов по услугам по обращению с твердыми коммунальными отходами, Доп.Кр.934, МП "Развитие культуры"</t>
  </si>
  <si>
    <t>обращение с твердыми коммунальными отходами</t>
  </si>
  <si>
    <t>Дезинсекция</t>
  </si>
  <si>
    <t>Дератизация</t>
  </si>
  <si>
    <t>Мерзлотно-технический надзор</t>
  </si>
  <si>
    <t>АУТВР</t>
  </si>
  <si>
    <t>Эксп.услуги</t>
  </si>
  <si>
    <t>дерат</t>
  </si>
  <si>
    <t>мерзлот</t>
  </si>
  <si>
    <t>кровли</t>
  </si>
  <si>
    <t>зим.сод</t>
  </si>
  <si>
    <t>Обоснование (расчет) плановых показателей поступлений доходов по статье 120 "Доходы от собственности".</t>
  </si>
  <si>
    <t>За пределами планового периода</t>
  </si>
  <si>
    <t>Задолженность по доходам (дебиторская задолженность по доходам) на начало года</t>
  </si>
  <si>
    <t>Полученные предварительные платежи (авансы) по контрактам (договорам) (кредиторская задолженность по доходам) на начало года</t>
  </si>
  <si>
    <t>Доходы от собственности, всего</t>
  </si>
  <si>
    <t>доходы, получаемые в виде арендной либо иной платы за передачу в возмездное пользование муниципального имущества</t>
  </si>
  <si>
    <t>плата по соглашениям об установлении сервитута</t>
  </si>
  <si>
    <t>доходы в виде процентов по депозитам автономных учреждений в кредитных организациях</t>
  </si>
  <si>
    <t>доходы в виде процентов по остаткам средств на счетах автономных учреждений в кредитных организациях</t>
  </si>
  <si>
    <t>проценты, полученные от предоставления займов</t>
  </si>
  <si>
    <t>проценты по иным финансовым инструментам</t>
  </si>
  <si>
    <t>доходы в виде прибыли, приходящейся на доли в уставных (складочных) капиталах хозяйственных товариществ и обществ, или дивидендов по акциям, принадлежащим учреждению</t>
  </si>
  <si>
    <t>доходы от распоряжения правами на результаты интеллектуальной деятельности и средствами индивидуализации</t>
  </si>
  <si>
    <t>прочие поступления от использования имущества, находящегося в оперативном управлении учреждения</t>
  </si>
  <si>
    <t>Задолженность по доходам (дебиторская задолженность по доходам) на конец года</t>
  </si>
  <si>
    <t>Полученные предварительные платежи (авансы) по контрактам (договорам) (кредиторская задолженность по доходам) на конец года</t>
  </si>
  <si>
    <r>
      <t>Планируемые поступления доходов от собственности (</t>
    </r>
    <r>
      <rPr>
        <b/>
        <sz val="9"/>
        <color rgb="FF0000FF"/>
        <rFont val="Times New Roman"/>
        <family val="1"/>
        <charset val="204"/>
      </rPr>
      <t>с. 0100</t>
    </r>
    <r>
      <rPr>
        <b/>
        <sz val="9"/>
        <color theme="1"/>
        <rFont val="Times New Roman"/>
        <family val="1"/>
        <charset val="204"/>
      </rPr>
      <t xml:space="preserve"> - </t>
    </r>
    <r>
      <rPr>
        <b/>
        <sz val="9"/>
        <color rgb="FF0000FF"/>
        <rFont val="Times New Roman"/>
        <family val="1"/>
        <charset val="204"/>
      </rPr>
      <t>с. 0200</t>
    </r>
    <r>
      <rPr>
        <b/>
        <sz val="9"/>
        <color theme="1"/>
        <rFont val="Times New Roman"/>
        <family val="1"/>
        <charset val="204"/>
      </rPr>
      <t xml:space="preserve"> + </t>
    </r>
    <r>
      <rPr>
        <b/>
        <sz val="9"/>
        <color rgb="FF0000FF"/>
        <rFont val="Times New Roman"/>
        <family val="1"/>
        <charset val="204"/>
      </rPr>
      <t>с. 0300</t>
    </r>
    <r>
      <rPr>
        <b/>
        <sz val="9"/>
        <color theme="1"/>
        <rFont val="Times New Roman"/>
        <family val="1"/>
        <charset val="204"/>
      </rPr>
      <t xml:space="preserve"> - </t>
    </r>
    <r>
      <rPr>
        <b/>
        <sz val="9"/>
        <color rgb="FF0000FF"/>
        <rFont val="Times New Roman"/>
        <family val="1"/>
        <charset val="204"/>
      </rPr>
      <t>с. 0400</t>
    </r>
    <r>
      <rPr>
        <b/>
        <sz val="9"/>
        <color theme="1"/>
        <rFont val="Times New Roman"/>
        <family val="1"/>
        <charset val="204"/>
      </rPr>
      <t xml:space="preserve"> + </t>
    </r>
    <r>
      <rPr>
        <b/>
        <sz val="9"/>
        <color rgb="FF0000FF"/>
        <rFont val="Times New Roman"/>
        <family val="1"/>
        <charset val="204"/>
      </rPr>
      <t>с. 0500</t>
    </r>
    <r>
      <rPr>
        <b/>
        <sz val="9"/>
        <color theme="1"/>
        <rFont val="Times New Roman"/>
        <family val="1"/>
        <charset val="204"/>
      </rPr>
      <t>)</t>
    </r>
  </si>
  <si>
    <t>Расчет доходов в виде арендной либо иной платы за передачу в возмездное пользование муниципального имущества</t>
  </si>
  <si>
    <t>(наименование учреждения)</t>
  </si>
  <si>
    <t>Наименование объекта*</t>
  </si>
  <si>
    <t>Плата (тариф) арендной платы за единицу площади (объект), руб.</t>
  </si>
  <si>
    <t>Планируемый объем предоставления имущества в аренду (в натуральных показателях)</t>
  </si>
  <si>
    <t xml:space="preserve">Количество месяцев сдачи в аренду </t>
  </si>
  <si>
    <t>Объем планируемых поступлений, руб.</t>
  </si>
  <si>
    <t>Недвижимое имущество, всего</t>
  </si>
  <si>
    <t>х</t>
  </si>
  <si>
    <t>Обоснование (расчет) плановых показателей поступлений доходов по статье 130 "Доходы от оказания услуг, работ, компенсации затрат учреждений".</t>
  </si>
  <si>
    <t>Доходы от оказания услуг, работ, компенсации затрат учреждений, всего</t>
  </si>
  <si>
    <t>субсидии на финансовое обеспечение выполнения муниципального задания МП "Развитие культуры"</t>
  </si>
  <si>
    <t>субсидии на финансовое обеспечение выполнения муниципального задания МП "Развитие туризма"</t>
  </si>
  <si>
    <t>доходы от оказания услуг, выполнения работ в рамках установленного муниципального задания</t>
  </si>
  <si>
    <t>доходы от оказания услуг, выполнения работ за плату сверх установленного муниципального задания и иной приносящей доход деятельности, предусмотренной уставом учреждения</t>
  </si>
  <si>
    <t>доходы, поступающие в порядке возмещения расходов, понесенных в связи с эксплуатацией имущества, находящегося в оперативном управлении учреждения</t>
  </si>
  <si>
    <r>
      <t>Планируемые поступления доходов от оказания услуг, компенсации затрат учреждения (</t>
    </r>
    <r>
      <rPr>
        <b/>
        <sz val="12"/>
        <color rgb="FF0000FF"/>
        <rFont val="Times New Roman"/>
        <family val="1"/>
        <charset val="204"/>
      </rPr>
      <t>с. 0100</t>
    </r>
    <r>
      <rPr>
        <b/>
        <sz val="12"/>
        <color theme="1"/>
        <rFont val="Times New Roman"/>
        <family val="1"/>
        <charset val="204"/>
      </rPr>
      <t xml:space="preserve"> - </t>
    </r>
    <r>
      <rPr>
        <b/>
        <sz val="12"/>
        <color rgb="FF0000FF"/>
        <rFont val="Times New Roman"/>
        <family val="1"/>
        <charset val="204"/>
      </rPr>
      <t>с. 0200</t>
    </r>
    <r>
      <rPr>
        <b/>
        <sz val="12"/>
        <color theme="1"/>
        <rFont val="Times New Roman"/>
        <family val="1"/>
        <charset val="204"/>
      </rPr>
      <t xml:space="preserve"> + </t>
    </r>
    <r>
      <rPr>
        <b/>
        <sz val="12"/>
        <color rgb="FF0000FF"/>
        <rFont val="Times New Roman"/>
        <family val="1"/>
        <charset val="204"/>
      </rPr>
      <t>с. 0300</t>
    </r>
    <r>
      <rPr>
        <b/>
        <sz val="12"/>
        <color theme="1"/>
        <rFont val="Times New Roman"/>
        <family val="1"/>
        <charset val="204"/>
      </rPr>
      <t xml:space="preserve"> - </t>
    </r>
    <r>
      <rPr>
        <b/>
        <sz val="12"/>
        <color rgb="FF0000FF"/>
        <rFont val="Times New Roman"/>
        <family val="1"/>
        <charset val="204"/>
      </rPr>
      <t>с. 0400</t>
    </r>
    <r>
      <rPr>
        <b/>
        <sz val="12"/>
        <color theme="1"/>
        <rFont val="Times New Roman"/>
        <family val="1"/>
        <charset val="204"/>
      </rPr>
      <t xml:space="preserve"> + </t>
    </r>
    <r>
      <rPr>
        <b/>
        <sz val="12"/>
        <color rgb="FF0000FF"/>
        <rFont val="Times New Roman"/>
        <family val="1"/>
        <charset val="204"/>
      </rPr>
      <t>с. 0500</t>
    </r>
    <r>
      <rPr>
        <b/>
        <sz val="12"/>
        <color theme="1"/>
        <rFont val="Times New Roman"/>
        <family val="1"/>
        <charset val="204"/>
      </rPr>
      <t>)</t>
    </r>
  </si>
  <si>
    <t>Общий объем планируемых поступлений, руб.</t>
  </si>
  <si>
    <t>Количество, ед.</t>
  </si>
  <si>
    <t>Средняя стоимость, руб.ед.</t>
  </si>
  <si>
    <t>Доходы, тыс.руб.</t>
  </si>
  <si>
    <t>Всего по учреждению</t>
  </si>
  <si>
    <t>отклонение аренда</t>
  </si>
  <si>
    <t>Фактическое поступление средств на возмещение расходов по комплексному техническому обслуживанию, коммунальным услугам, электроэнергии по возмездным договорам аренды имущества за период 2017-2019 годов.</t>
  </si>
  <si>
    <t>№ п.п.</t>
  </si>
  <si>
    <t>Реквизиты договора</t>
  </si>
  <si>
    <t xml:space="preserve">Период действия договора с.. по… </t>
  </si>
  <si>
    <t>Адрес объекта, сданного в аренду</t>
  </si>
  <si>
    <t>Площадь арендованного объекта, м2</t>
  </si>
  <si>
    <t>Сумма поступлений</t>
  </si>
  <si>
    <t xml:space="preserve">Выставлен счет к оплате на возмещение </t>
  </si>
  <si>
    <t>Среднемесячный платеж</t>
  </si>
  <si>
    <t>2017 год</t>
  </si>
  <si>
    <t>Движимое имущество, всего</t>
  </si>
  <si>
    <t>Главный бухгалтер</t>
  </si>
  <si>
    <t>Исполнитель</t>
  </si>
  <si>
    <t>Обоснование (расчет) плановых показателей поступлений доходов по статье 140 "Доходы от штрафов, пеней, иных сумм принудительного изъятия".</t>
  </si>
  <si>
    <t>Излишне полученные либо взысканные платежи (кредиторская задолженность по доходам) на начало года</t>
  </si>
  <si>
    <t>Доходы от штрафов, пеней, иных сумм принудительного изъятия, всего</t>
  </si>
  <si>
    <t>штрафы</t>
  </si>
  <si>
    <t>пени</t>
  </si>
  <si>
    <t>суммы принудительного изъятия</t>
  </si>
  <si>
    <t>Излишне полученные либо взысканные платежи (кредиторская задолженность по доходам) на конец года</t>
  </si>
  <si>
    <r>
      <t>Планируемые поступления доходов от штрафов, пеней, иных сумм принудительного изъятия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</si>
  <si>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 xml:space="preserve">Фактические поступления доходов по статье 150 "Безвозмездные денежные поступления" </t>
  </si>
  <si>
    <t>Безвозмездные денежные поступления, всего</t>
  </si>
  <si>
    <t>поступления текущего характера от других бюджетов бюджетной системы РФ</t>
  </si>
  <si>
    <t>поступления текущего характера бюджетным и автономным учреждениям от сектора государственного управления</t>
  </si>
  <si>
    <t>поступления текущего характера от организаций государственног сектора</t>
  </si>
  <si>
    <t>поступления текущего характера от иных резидентов (за исключением сектора государственного управления и организаций государственного сектора</t>
  </si>
  <si>
    <t>Фактические поступления доходов по статье 155 "Поступления текущего характера от иных резидентов (за исключением сектора государственного управления и организаций государственного сектора)" -гранты, пожертвования</t>
  </si>
  <si>
    <t>Наименование получателя грантов и пожертвований</t>
  </si>
  <si>
    <t>Наименование отправителя грантов и пожертвований</t>
  </si>
  <si>
    <t>Предмет договора</t>
  </si>
  <si>
    <t>Цели и мероприятия поступивших грантов и пожертвований</t>
  </si>
  <si>
    <t>Обоснование (расчет) плановых показателей поступлений доходов по статье 150 "Прочие доходы".</t>
  </si>
  <si>
    <t>Доходы прочие, всего</t>
  </si>
  <si>
    <t>целевые субсидии</t>
  </si>
  <si>
    <t>Субсидии, предоставляемые в соответствии с абзацем вторым пункта 1 статьи 78.1 Бюджетного кодекса Российской Федерации (Доп.Кр 911,917)</t>
  </si>
  <si>
    <t>МП "Социальная поддержка жителей…" (доп.ФК 81000)</t>
  </si>
  <si>
    <t>Субсидии, предоставляемые в соответствии с абзацем вторым пункта 1 статьи 78.1 Бюджетного кодекса Российской Федерации. (Поддержка талантливых детей и молодёжи)</t>
  </si>
  <si>
    <t>Организация и проведение торжественных мероприятий, посвященных 75-й годовщине Победы советского народа в Великой Отечественной войне 1941-1945 годов (доп.ФК 81000)</t>
  </si>
  <si>
    <t>Замена неэффективного осветительного оборудования внутреннего/наружного освещения на современное светодиодное (доп.ФК 81000)</t>
  </si>
  <si>
    <t>субсидии на осуществление капитальных вложений</t>
  </si>
  <si>
    <t>Субсидии, предоставляемые в соответствии с абзацем вторым пункта 1 статьи 78.1 Бюджетного кодекса Российской Федерации. Субсидии на увеличение стоимости основных средств</t>
  </si>
  <si>
    <r>
      <t>Планируемые поступления доходов от оказания услуг, компенсации затрат учреждения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</si>
  <si>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Увеличение остатков денежных средств за счет возврата дебиторской задолженности прошлых лет по статье 510 "Прочие поступления".</t>
  </si>
  <si>
    <t>Увеличение остатков денежных средств за счет возврата залоговых платежей, задатков, всего</t>
  </si>
  <si>
    <t>Увеличение остатков денежных средств за счет возврата ранее выплаченных авансов, всего</t>
  </si>
  <si>
    <t>Увеличение остатков дненежных средств за счет возврата сумм, ранее размещенных на депозитных счетах, всего</t>
  </si>
  <si>
    <t>Просие поступления денежных средств, всего</t>
  </si>
  <si>
    <t>проверка</t>
  </si>
  <si>
    <r>
      <t>Планируемые поступления доходов от оказания услуг, компенсации затрат учреждения (</t>
    </r>
    <r>
      <rPr>
        <b/>
        <sz val="10"/>
        <color rgb="FF0000FF"/>
        <rFont val="Times New Roman"/>
        <family val="1"/>
        <charset val="204"/>
      </rPr>
      <t>с. 0100</t>
    </r>
    <r>
      <rPr>
        <b/>
        <sz val="10"/>
        <color theme="1"/>
        <rFont val="Times New Roman"/>
        <family val="1"/>
        <charset val="204"/>
      </rPr>
      <t xml:space="preserve"> - </t>
    </r>
    <r>
      <rPr>
        <b/>
        <sz val="10"/>
        <color rgb="FF0000FF"/>
        <rFont val="Times New Roman"/>
        <family val="1"/>
        <charset val="204"/>
      </rPr>
      <t>с. 0200</t>
    </r>
    <r>
      <rPr>
        <b/>
        <sz val="10"/>
        <color theme="1"/>
        <rFont val="Times New Roman"/>
        <family val="1"/>
        <charset val="204"/>
      </rPr>
      <t xml:space="preserve"> + </t>
    </r>
    <r>
      <rPr>
        <b/>
        <sz val="10"/>
        <color rgb="FF0000FF"/>
        <rFont val="Times New Roman"/>
        <family val="1"/>
        <charset val="204"/>
      </rPr>
      <t>с. 0300</t>
    </r>
    <r>
      <rPr>
        <b/>
        <sz val="10"/>
        <color theme="1"/>
        <rFont val="Times New Roman"/>
        <family val="1"/>
        <charset val="204"/>
      </rPr>
      <t xml:space="preserve"> - </t>
    </r>
    <r>
      <rPr>
        <b/>
        <sz val="10"/>
        <color rgb="FF0000FF"/>
        <rFont val="Times New Roman"/>
        <family val="1"/>
        <charset val="204"/>
      </rPr>
      <t>с. 0400</t>
    </r>
    <r>
      <rPr>
        <b/>
        <sz val="10"/>
        <color theme="1"/>
        <rFont val="Times New Roman"/>
        <family val="1"/>
        <charset val="204"/>
      </rPr>
      <t xml:space="preserve"> + </t>
    </r>
    <r>
      <rPr>
        <b/>
        <sz val="10"/>
        <color rgb="FF0000FF"/>
        <rFont val="Times New Roman"/>
        <family val="1"/>
        <charset val="204"/>
      </rPr>
      <t>с. 0500</t>
    </r>
    <r>
      <rPr>
        <b/>
        <sz val="10"/>
        <color theme="1"/>
        <rFont val="Times New Roman"/>
        <family val="1"/>
        <charset val="204"/>
      </rPr>
      <t>)</t>
    </r>
  </si>
  <si>
    <t>Обоснование (расчет) плановых показателей по выплатам по элементу вида расходов классификации расходов бюджетов 112 "Иные выплаты персоналу учреждений, за исключением фонда оплаты труда", МП "Развитие культуры", субсидии на иные цели</t>
  </si>
  <si>
    <t>Расчетные значения 2022</t>
  </si>
  <si>
    <t>Обоснование (расчет) плановых показателей по выплатам по элементу вида расходов классификации расходов бюджетов 321 "Пособия, компенсации и иные социальные выплаты гражданам, кроме публичных нормативных обязательств", МП "Развитие культуры", субсидии на иные цели</t>
  </si>
  <si>
    <t>Расчет доходов финансового обеспечения</t>
  </si>
  <si>
    <t xml:space="preserve">Субсидия на выполнение муниципального задания, МП "Развитие культуры" </t>
  </si>
  <si>
    <t xml:space="preserve">Субсидия на выполнение муниципального задания, МП "Развитие туризма" </t>
  </si>
  <si>
    <t>Субсидия на иные цели:</t>
  </si>
  <si>
    <t>Оплата дороги в отпуск и выезд из РКС (доп.ФК 81000)</t>
  </si>
  <si>
    <t>Субсидии на увеличение стоимости основных средств (доп.ФК 81600)</t>
  </si>
  <si>
    <t>ИТОГО БЮДЖЕТ</t>
  </si>
  <si>
    <t>Поступления от приносящей доход деятельности</t>
  </si>
  <si>
    <t>Безвозмездные поступления</t>
  </si>
  <si>
    <t>Обоснование (расчет) плановых показателей по выплатам по элементу вида расходов классификации расходов бюджетов 112 "Иные выплаты персоналу учреждений, за исключением фонда оплаты труда", (источник финансирования -внебюджет)</t>
  </si>
  <si>
    <t xml:space="preserve">Обоснование (расчет) плановых показателей по выплатам по элементу вида расходов классификации расходов бюджетов 850 "Уплата налогов, сборов и иных платежей" </t>
  </si>
  <si>
    <t>Задолженность (дебиторская задолженность) на начало года</t>
  </si>
  <si>
    <t>уплата налогов, сборов и иных платежей</t>
  </si>
  <si>
    <t>Налоги, пошлины и сборы</t>
  </si>
  <si>
    <t>Штрафы за нарушение законодательства о налогах и сборах, законодательства о страховых взносах</t>
  </si>
  <si>
    <t>Другие экономические санкции</t>
  </si>
  <si>
    <t>Возмещение убытков и вреда</t>
  </si>
  <si>
    <t>Иные расходы</t>
  </si>
  <si>
    <t>Утверждаю</t>
  </si>
  <si>
    <t>(наименование должности лица, утверждающего документ)</t>
  </si>
  <si>
    <t>(расшифровка подписи)</t>
  </si>
  <si>
    <t>ПЛАН</t>
  </si>
  <si>
    <r>
      <t>от "________________" 20_____________г.</t>
    </r>
    <r>
      <rPr>
        <vertAlign val="superscript"/>
        <sz val="12"/>
        <rFont val="Times New Roman"/>
        <family val="1"/>
        <charset val="204"/>
      </rPr>
      <t xml:space="preserve"> 2</t>
    </r>
  </si>
  <si>
    <t>Коды</t>
  </si>
  <si>
    <t>Орган, осуществляющий</t>
  </si>
  <si>
    <t>по Сводному реестру</t>
  </si>
  <si>
    <t>глава по БК</t>
  </si>
  <si>
    <t>ИНН</t>
  </si>
  <si>
    <t>Единица измерения: руб.</t>
  </si>
  <si>
    <t>КПП</t>
  </si>
  <si>
    <t>по ОКЕИ</t>
  </si>
  <si>
    <t>Раздел 1. Поступления и выплаты</t>
  </si>
  <si>
    <r>
      <t>Код по бюджетной классификации Российской Федерации</t>
    </r>
    <r>
      <rPr>
        <vertAlign val="superscript"/>
        <sz val="12"/>
        <rFont val="Times New Roman"/>
        <family val="1"/>
        <charset val="204"/>
      </rPr>
      <t xml:space="preserve"> 3</t>
    </r>
  </si>
  <si>
    <t>Сумма, руб. (с точностью до двух знаков после запятой-0,00)</t>
  </si>
  <si>
    <t>на 2020 год</t>
  </si>
  <si>
    <t>на 2021 год</t>
  </si>
  <si>
    <t>на 2022 год</t>
  </si>
  <si>
    <t>текущий финансовый год</t>
  </si>
  <si>
    <t xml:space="preserve">Субсидия на финансовое обеспечение выполнения муниципального задания МП "Развитие культуры" </t>
  </si>
  <si>
    <t xml:space="preserve">Субсидия на финансовое обеспечение выполнения муниципального задания МП "Развитие туризма" </t>
  </si>
  <si>
    <r>
      <t xml:space="preserve">Остаток средств на начало текущего финансового года </t>
    </r>
    <r>
      <rPr>
        <vertAlign val="superscript"/>
        <sz val="12"/>
        <rFont val="Times New Roman"/>
        <family val="1"/>
        <charset val="204"/>
      </rPr>
      <t>4</t>
    </r>
  </si>
  <si>
    <t>0001</t>
  </si>
  <si>
    <r>
      <t xml:space="preserve">Остаток средств на конец текущего финансового года </t>
    </r>
    <r>
      <rPr>
        <vertAlign val="superscript"/>
        <sz val="12"/>
        <rFont val="Times New Roman"/>
        <family val="1"/>
        <charset val="204"/>
      </rPr>
      <t>4</t>
    </r>
  </si>
  <si>
    <t>0002</t>
  </si>
  <si>
    <t>Доходы, всего:</t>
  </si>
  <si>
    <t>1000</t>
  </si>
  <si>
    <t>в том числе:
доходы от собственности, всего</t>
  </si>
  <si>
    <t>1100</t>
  </si>
  <si>
    <t>доходы от аренды</t>
  </si>
  <si>
    <t>1110</t>
  </si>
  <si>
    <t>121</t>
  </si>
  <si>
    <t>доходы от оказания услуг, работ, компенсации затрат учреждений, всего</t>
  </si>
  <si>
    <t>130</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</si>
  <si>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</si>
  <si>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доходы от оказания платных услуг</t>
  </si>
  <si>
    <t>131</t>
  </si>
  <si>
    <t>доходы по условным арендным платежам</t>
  </si>
  <si>
    <t>доходы бюджета от возврата дебиторской задолженности прошлых лет</t>
  </si>
  <si>
    <t>доходы от штрафов, пеней, иных сумм принудительного изъятия, всего</t>
  </si>
  <si>
    <t>безвозмездные денежные поступления, всего</t>
  </si>
  <si>
    <t>гранты</t>
  </si>
  <si>
    <t>155</t>
  </si>
  <si>
    <t>прочие доходы, всего</t>
  </si>
  <si>
    <t>150</t>
  </si>
  <si>
    <r>
      <t xml:space="preserve">прочие поступления, всего </t>
    </r>
    <r>
      <rPr>
        <b/>
        <vertAlign val="superscript"/>
        <sz val="12"/>
        <rFont val="Times New Roman"/>
        <family val="1"/>
        <charset val="204"/>
      </rPr>
      <t>5</t>
    </r>
  </si>
  <si>
    <t>увеличение остатков денежных средств за счет возврата дебиторской задолженности прошлых лет</t>
  </si>
  <si>
    <t>510</t>
  </si>
  <si>
    <t>Расходы, всего</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</si>
  <si>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</si>
  <si>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</si>
  <si>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</si>
  <si>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</si>
  <si>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</si>
  <si>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</si>
  <si>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</si>
  <si>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социальные и иные выплаты населению, всего</t>
  </si>
  <si>
    <t>социальные выплаты гражданам, кроме публичных нормативных социальных выплат</t>
  </si>
  <si>
    <t xml:space="preserve">из них:
пособия, компенсации и иные социальные выплаты гражданам, кроме публичных нормативных обязательств
</t>
  </si>
  <si>
    <t>уплата налогов, сборов и иных платежей, всего</t>
  </si>
  <si>
    <t>из них:
налог на имущество организаций и земельный налог</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</si>
  <si>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</si>
  <si>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</si>
  <si>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безвозмездные перечисления организациям и физическим лицам, всего</t>
  </si>
  <si>
    <t>из них:
гранты, предоставляемые другим организациям и физическим лицам</t>
  </si>
  <si>
    <t>взносы в международные организации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</si>
  <si>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</si>
  <si>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</si>
  <si>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r>
      <t xml:space="preserve">расходы на закупку товаров, работ, услуг, всего </t>
    </r>
    <r>
      <rPr>
        <b/>
        <vertAlign val="superscript"/>
        <sz val="12"/>
        <rFont val="Times New Roman"/>
        <family val="1"/>
        <charset val="204"/>
      </rPr>
      <t>6</t>
    </r>
  </si>
  <si>
    <t>в том числе:
закупку научно-исследовательских и опытно-конструкторских работ</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</si>
  <si>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</si>
  <si>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</si>
  <si>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</si>
  <si>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муниципальной собственности, всего</t>
  </si>
  <si>
    <t xml:space="preserve">в том числе:
приобретение объектов недвижимого имущества муниципальными учреждениями
</t>
  </si>
  <si>
    <t>строительство (реконструкция) объектов недвижимого имущества муниципальными учреждениями</t>
  </si>
  <si>
    <t>Выплаты, уменьшающие доход, всего 7</t>
  </si>
  <si>
    <r>
      <t xml:space="preserve">в том числе:
налог на прибыль </t>
    </r>
    <r>
      <rPr>
        <vertAlign val="superscript"/>
        <sz val="12"/>
        <rFont val="Times New Roman"/>
        <family val="1"/>
        <charset val="204"/>
      </rPr>
      <t>7</t>
    </r>
  </si>
  <si>
    <r>
      <t xml:space="preserve">налог на добавленную стоимость </t>
    </r>
    <r>
      <rPr>
        <vertAlign val="superscript"/>
        <sz val="12"/>
        <rFont val="Times New Roman"/>
        <family val="1"/>
        <charset val="204"/>
      </rPr>
      <t>7</t>
    </r>
  </si>
  <si>
    <r>
      <t xml:space="preserve">прочие налоги, уменьшающие доход </t>
    </r>
    <r>
      <rPr>
        <vertAlign val="superscript"/>
        <sz val="12"/>
        <rFont val="Times New Roman"/>
        <family val="1"/>
        <charset val="204"/>
      </rPr>
      <t>7</t>
    </r>
  </si>
  <si>
    <r>
      <t xml:space="preserve">Прочие выплаты, всего </t>
    </r>
    <r>
      <rPr>
        <b/>
        <vertAlign val="superscript"/>
        <sz val="12"/>
        <rFont val="Times New Roman"/>
        <family val="1"/>
        <charset val="204"/>
      </rPr>
      <t>8</t>
    </r>
  </si>
  <si>
    <t>из них:
возврат в бюджет средств субсидии</t>
  </si>
  <si>
    <t>_____1_В случае утверждения закона (решения) о бюджете на текущий финансовый год и плановый период.</t>
  </si>
  <si>
    <t>_____2_Указывается дата подписания Плана, а в случае утверждения Плана уполномоченным лицом учреждения - дата утверждения Плана.</t>
  </si>
  <si>
    <t>_____3_В графе 3 отражаются:</t>
  </si>
  <si>
    <t>_____по строкам 1100 - 1900 - коды аналитической группы подвида доходов бюджетов классификации доходов бюджетов;</t>
  </si>
  <si>
    <t>_____по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</si>
  <si>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_____по строкам 2000 - 2652 - коды видов расходов бюджетов классификации расходов бюджетов;</t>
  </si>
  <si>
    <t>_____по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</si>
  <si>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_____по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</si>
  <si>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4.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</si>
  <si>
    <t>5.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t>
  </si>
  <si>
    <t>6.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</si>
  <si>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7. Показатель отражается со знаком "минус".</t>
  </si>
  <si>
    <t>8. 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</si>
  <si>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r>
      <t>Раздел 2. Сведения по выплатам на закупки товаров, работ, услуг</t>
    </r>
    <r>
      <rPr>
        <b/>
        <vertAlign val="superscript"/>
        <sz val="8"/>
        <rFont val="Times New Roman"/>
        <family val="1"/>
        <charset val="204"/>
      </rPr>
      <t xml:space="preserve"> 9</t>
    </r>
  </si>
  <si>
    <t>№
п/п</t>
  </si>
  <si>
    <t>Коды
строк</t>
  </si>
  <si>
    <t>Год
начала закупки</t>
  </si>
  <si>
    <t>на 20</t>
  </si>
  <si>
    <t xml:space="preserve"> г.</t>
  </si>
  <si>
    <t>за пределами планового периода</t>
  </si>
  <si>
    <t>1</t>
  </si>
  <si>
    <t>2</t>
  </si>
  <si>
    <t>3</t>
  </si>
  <si>
    <t>4</t>
  </si>
  <si>
    <t>5</t>
  </si>
  <si>
    <t>6</t>
  </si>
  <si>
    <t>7</t>
  </si>
  <si>
    <t>8</t>
  </si>
  <si>
    <r>
      <t xml:space="preserve">Выплаты на закупку товаров, работ, услуг, всего </t>
    </r>
    <r>
      <rPr>
        <b/>
        <vertAlign val="superscript"/>
        <sz val="8"/>
        <rFont val="Times New Roman"/>
        <family val="1"/>
        <charset val="204"/>
      </rPr>
      <t>10</t>
    </r>
  </si>
  <si>
    <t>26000</t>
  </si>
  <si>
    <r>
      <t>в том числе:
по контрактам (договорам), заключенным до начала текущего финансового года без применения норм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 14, ст. 1652; 2018, № 32, ст. 5104) (далее - Федеральный закон № 44-ФЗ) и Федерального закона от 18 июля 2011 г. № 223-ФЗ "О закупках товаров, работ, услуг отдельными видами юридических лиц" (Собрание законодательства Российской Федерации, 2011, № 30, ст. 4571; 2018, № 32,
ст. 5135) (далее - Федеральный закон № 223-ФЗ)</t>
    </r>
    <r>
      <rPr>
        <vertAlign val="superscript"/>
        <sz val="8"/>
        <rFont val="Times New Roman"/>
        <family val="1"/>
        <charset val="204"/>
      </rPr>
      <t>11</t>
    </r>
  </si>
  <si>
    <t>26100</t>
  </si>
  <si>
    <r>
      <t xml:space="preserve">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 </t>
    </r>
    <r>
      <rPr>
        <vertAlign val="superscript"/>
        <sz val="8"/>
        <rFont val="Times New Roman"/>
        <family val="1"/>
        <charset val="204"/>
      </rPr>
      <t>11</t>
    </r>
  </si>
  <si>
    <t>26200</t>
  </si>
  <si>
    <t>26300</t>
  </si>
  <si>
    <t>1.4</t>
  </si>
  <si>
    <t>26400</t>
  </si>
  <si>
    <t>1.4.1</t>
  </si>
  <si>
    <t>в том числе:
за счет субсидий, предоставляемых на финансовое обеспечение выполнения государственного (муниципального) задания</t>
  </si>
  <si>
    <t>26410</t>
  </si>
  <si>
    <t>1.4.1.1</t>
  </si>
  <si>
    <t>в том числе:
в соответствии с Федеральным законом № 44-ФЗ</t>
  </si>
  <si>
    <t>26411</t>
  </si>
  <si>
    <t>1.4.1.2</t>
  </si>
  <si>
    <r>
      <t xml:space="preserve">в соответствии с Федеральным законом № 223-ФЗ </t>
    </r>
    <r>
      <rPr>
        <vertAlign val="superscript"/>
        <sz val="8"/>
        <rFont val="Times New Roman"/>
        <family val="1"/>
        <charset val="204"/>
      </rPr>
      <t>13</t>
    </r>
  </si>
  <si>
    <t>26412</t>
  </si>
  <si>
    <t>1.4.2</t>
  </si>
  <si>
    <t>за счет субсидий, предоставляемых в соответствии с абзацем вторым пункта 1 статьи 78.1 Бюджетного кодекса Российской Федерации</t>
  </si>
  <si>
    <t>26420</t>
  </si>
  <si>
    <t>1.4.2.1</t>
  </si>
  <si>
    <t>26421</t>
  </si>
  <si>
    <t>1.4.2.2</t>
  </si>
  <si>
    <t>26422</t>
  </si>
  <si>
    <t>1.4.3</t>
  </si>
  <si>
    <r>
      <t xml:space="preserve">за счет субсидий, предоставляемых на осуществление капитальных вложений </t>
    </r>
    <r>
      <rPr>
        <vertAlign val="superscript"/>
        <sz val="8"/>
        <rFont val="Times New Roman"/>
        <family val="1"/>
        <charset val="204"/>
      </rPr>
      <t>14</t>
    </r>
  </si>
  <si>
    <t>26430</t>
  </si>
  <si>
    <t>1.4.4</t>
  </si>
  <si>
    <t>за счет средств обязательного медицинского страхования</t>
  </si>
  <si>
    <t>26440</t>
  </si>
  <si>
    <t>1.4.4.1</t>
  </si>
  <si>
    <t>26441</t>
  </si>
  <si>
    <t>1.4.4.2</t>
  </si>
  <si>
    <r>
      <t xml:space="preserve">в соответствии с Федеральным законом № 223-ФЗ </t>
    </r>
    <r>
      <rPr>
        <vertAlign val="superscript"/>
        <sz val="8"/>
        <rFont val="Times New Roman"/>
        <family val="1"/>
        <charset val="204"/>
      </rPr>
      <t>14</t>
    </r>
  </si>
  <si>
    <t>26442</t>
  </si>
  <si>
    <t>за счет прочих источников финансового обеспечения</t>
  </si>
  <si>
    <t>26450</t>
  </si>
  <si>
    <t>26451</t>
  </si>
  <si>
    <t>в соответствии с Федеральным законом № 223-ФЗ</t>
  </si>
  <si>
    <t>26452</t>
  </si>
  <si>
    <r>
      <t xml:space="preserve">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 </t>
    </r>
    <r>
      <rPr>
        <vertAlign val="superscript"/>
        <sz val="8"/>
        <rFont val="Times New Roman"/>
        <family val="1"/>
        <charset val="204"/>
      </rPr>
      <t>15</t>
    </r>
  </si>
  <si>
    <t>26500</t>
  </si>
  <si>
    <t>в том числе по году начала закупки:</t>
  </si>
  <si>
    <t>26510</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</si>
  <si>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</si>
  <si>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26600</t>
  </si>
  <si>
    <t>26610</t>
  </si>
  <si>
    <t>Руководитель учреждения</t>
  </si>
  <si>
    <t>(уполномоченное лицо учреждения)</t>
  </si>
  <si>
    <t>(должность)</t>
  </si>
  <si>
    <t>(фамилия, инициалы)</t>
  </si>
  <si>
    <t>(телефон)</t>
  </si>
  <si>
    <t>"</t>
  </si>
  <si>
    <t>СОГЛАСОВАНО</t>
  </si>
  <si>
    <t>(наименование должности уполномоченного лица органа-учредителя)</t>
  </si>
  <si>
    <t>9. 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в строке 2600 Раздела 1 "Поступления и выплаты" Плана.</t>
  </si>
  <si>
    <t>10.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</si>
  <si>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11. 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t>
  </si>
  <si>
    <t>12. Указывается сумма закупок товаров, работ, услуг, осуществляемых в соответствии с Федеральным законом № 44-ФЗ и Федеральным законом № 223-ФЗ.</t>
  </si>
  <si>
    <t>13. Государственным (муниципальным) бюджетным учреждением показатель не формируется.</t>
  </si>
  <si>
    <t>14. Указывается сумма закупок товаров, работ, услуг, осуществляемых в соответствии с Федеральным законом № 44-ФЗ.</t>
  </si>
  <si>
    <t>15. Плановые показатели выплат на закупку товаров, работ, услуг по строке 26500 государственного (муниципального) бюджетного учреждения должен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</si>
  <si>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КВР</t>
  </si>
  <si>
    <t>Наименование КВР</t>
  </si>
  <si>
    <t>КОСГУ</t>
  </si>
  <si>
    <t>Наименование КОСГУ</t>
  </si>
  <si>
    <t>Наименование Доп.Кр</t>
  </si>
  <si>
    <t>Фонд оплаты труда учреждений</t>
  </si>
  <si>
    <t xml:space="preserve"> Социальные пособия и компенсации персоналу в денежной форме</t>
  </si>
  <si>
    <t>Прочие несоциальные выплаты персоналу в денежной форме</t>
  </si>
  <si>
    <t>Прочие несоциальные выплаты персоналу в натуральной форме</t>
  </si>
  <si>
    <t>Прочие работы, услуги</t>
  </si>
  <si>
    <t>обучение минимуму</t>
  </si>
  <si>
    <t>226</t>
  </si>
  <si>
    <t>Взносы по обязательному социальному страхованию на выплаты по оплате труда работников и иные выплаты работникам учреждений</t>
  </si>
  <si>
    <t>213</t>
  </si>
  <si>
    <t>Начисления на выплаты по оплате труда</t>
  </si>
  <si>
    <t>992</t>
  </si>
  <si>
    <t>995</t>
  </si>
  <si>
    <t>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t>
  </si>
  <si>
    <t>оплата за счет ФСС по заявлению от учреждения как от налогоплательщика</t>
  </si>
  <si>
    <t>345</t>
  </si>
  <si>
    <t>Увеличение стоимости мягкого инвентаря</t>
  </si>
  <si>
    <t>985</t>
  </si>
  <si>
    <t>Приобретение мягкого инвентаря</t>
  </si>
  <si>
    <t>Пенсии, пособия, выплачиваемые работодателями, нанимателями бывшим работникам в денежной форме</t>
  </si>
  <si>
    <t>915</t>
  </si>
  <si>
    <t>264</t>
  </si>
  <si>
    <t>991</t>
  </si>
  <si>
    <t>оплата больничного листа в размере 2 календарных дня (за счет средств работодателя) после увольнения, то есть бывшему работнику</t>
  </si>
  <si>
    <t>994</t>
  </si>
  <si>
    <t>материальная помощь родственникам умершего работника</t>
  </si>
  <si>
    <t>265</t>
  </si>
  <si>
    <t>Пособия по социальной помощи, выплачиваемые работодателями, нанимателями бывшим работникам в натуральной форме</t>
  </si>
  <si>
    <t>917</t>
  </si>
  <si>
    <t>Уплата прочих налогов, сборов</t>
  </si>
  <si>
    <t>291</t>
  </si>
  <si>
    <t>967</t>
  </si>
  <si>
    <t>Уплата иных платежей</t>
  </si>
  <si>
    <t>292</t>
  </si>
  <si>
    <t>968</t>
  </si>
  <si>
    <t>295</t>
  </si>
  <si>
    <t>000</t>
  </si>
  <si>
    <t>НЕ УКАЗАНО</t>
  </si>
  <si>
    <t>296</t>
  </si>
  <si>
    <t>Иные выплаты текущего характера физическим лицам</t>
  </si>
  <si>
    <t>964</t>
  </si>
  <si>
    <t>297</t>
  </si>
  <si>
    <t>Иные выплаты текущего характера организациям</t>
  </si>
  <si>
    <t>965</t>
  </si>
  <si>
    <r>
      <t xml:space="preserve">расходы на закупку товаров, работ, услуг, всего </t>
    </r>
    <r>
      <rPr>
        <b/>
        <vertAlign val="superscript"/>
        <sz val="10"/>
        <rFont val="Times New Roman"/>
        <family val="1"/>
        <charset val="204"/>
      </rPr>
      <t>6</t>
    </r>
  </si>
  <si>
    <t>Закупка товаров, работ, услуг в целях капитального ремонта государственного (муниципального) имущества</t>
  </si>
  <si>
    <t>954</t>
  </si>
  <si>
    <t>Прочие услуги</t>
  </si>
  <si>
    <t>957</t>
  </si>
  <si>
    <t>Инженерные изыскания для подготовки проектной документации, строительства, реконструкции, капитального и текущего ремонта объектов; архитектурно-строительное проектирование; экспертиза в рамках строительно-ремонтных работ</t>
  </si>
  <si>
    <t>"_30___"   _декабря____________ 2019   г.</t>
  </si>
  <si>
    <r>
      <t>(на 2020 год и плановый период 2021 и 2022 гг.)</t>
    </r>
    <r>
      <rPr>
        <b/>
        <vertAlign val="superscript"/>
        <sz val="12"/>
        <rFont val="Times New Roman"/>
        <family val="1"/>
        <charset val="204"/>
      </rPr>
      <t>1</t>
    </r>
  </si>
  <si>
    <t>План финансово-хозяйственной деятельности на 2020 г.</t>
  </si>
  <si>
    <t>20</t>
  </si>
  <si>
    <t>21</t>
  </si>
  <si>
    <t>22</t>
  </si>
  <si>
    <r>
      <t xml:space="preserve">по контрактам (договорам), заключенным </t>
    </r>
    <r>
      <rPr>
        <b/>
        <u/>
        <sz val="8"/>
        <rFont val="Times New Roman"/>
        <family val="1"/>
        <charset val="204"/>
      </rPr>
      <t>до начала</t>
    </r>
    <r>
      <rPr>
        <sz val="8"/>
        <rFont val="Times New Roman"/>
        <family val="1"/>
        <charset val="204"/>
      </rPr>
      <t xml:space="preserve"> текущего финансового года с учетом требований Федерального закона № 44-ФЗ и Федерального закона № 223-ФЗ </t>
    </r>
    <r>
      <rPr>
        <vertAlign val="superscript"/>
        <sz val="8"/>
        <rFont val="Times New Roman"/>
        <family val="1"/>
        <charset val="204"/>
      </rPr>
      <t>12</t>
    </r>
  </si>
  <si>
    <r>
      <t xml:space="preserve">по контрактам (договорам), планируемым к заключению </t>
    </r>
    <r>
      <rPr>
        <b/>
        <u/>
        <sz val="8"/>
        <rFont val="Times New Roman"/>
        <family val="1"/>
        <charset val="204"/>
      </rPr>
      <t>в соответствующем финансовом году</t>
    </r>
    <r>
      <rPr>
        <sz val="8"/>
        <rFont val="Times New Roman"/>
        <family val="1"/>
        <charset val="204"/>
      </rPr>
      <t xml:space="preserve"> с учетом требований Федерального закона № 44-ФЗ и Федерального закона № 223-ФЗ </t>
    </r>
    <r>
      <rPr>
        <vertAlign val="superscript"/>
        <sz val="8"/>
        <rFont val="Times New Roman"/>
        <family val="1"/>
        <charset val="204"/>
      </rPr>
      <t>12</t>
    </r>
  </si>
  <si>
    <t>Расчет необходимого времени замены</t>
  </si>
  <si>
    <t xml:space="preserve"> для определения затрат на оплату договоров ГПХ (источник финансирования-внебюджет)*</t>
  </si>
  <si>
    <t>Обоснование расходов по приобретению периодических изданий, справочной литературы * (Доп.Кр.956) (источник финансирования-внебюджет)</t>
  </si>
  <si>
    <t>Очередной финансовый год 2022</t>
  </si>
  <si>
    <t>ВСЕГО:</t>
  </si>
  <si>
    <t>по состоянию на 01.01.2018**</t>
  </si>
  <si>
    <t>Художественное оформление</t>
  </si>
  <si>
    <t>Транспортные услуги</t>
  </si>
  <si>
    <t>Художественное оформление:</t>
  </si>
  <si>
    <t>рамки</t>
  </si>
  <si>
    <t>955</t>
  </si>
  <si>
    <t xml:space="preserve"> День защитников Отечества</t>
  </si>
  <si>
    <t>Международный женский день 8 марта</t>
  </si>
  <si>
    <t xml:space="preserve">Оплата труда по договорам ГПХ с учетом страховых взносов </t>
  </si>
  <si>
    <t>страховые взносы 27,1%</t>
  </si>
  <si>
    <t>бук.</t>
  </si>
  <si>
    <t>Праздник Весны и Труда (1 мая)</t>
  </si>
  <si>
    <t>922</t>
  </si>
  <si>
    <t>м.</t>
  </si>
  <si>
    <t>Звукотехническое, светотехническое, видео- обеспечение, хозяйственные расходы</t>
  </si>
  <si>
    <t>м</t>
  </si>
  <si>
    <t xml:space="preserve"> День России   (12 июня)</t>
  </si>
  <si>
    <t>Оплата труда по договорам ГПХ</t>
  </si>
  <si>
    <t>День памяти и скорби  (22 июня)</t>
  </si>
  <si>
    <t>День семьи, любви и верности. 8 июля</t>
  </si>
  <si>
    <t>Приобретение костюмов</t>
  </si>
  <si>
    <t>Транспортные расходы</t>
  </si>
  <si>
    <t>Международный день пожилого человека  (1 октября)</t>
  </si>
  <si>
    <t>Вечер встречи в рамках мероприятия "День инвалида" - октябрь</t>
  </si>
  <si>
    <t>День народного единства (4 ноября)</t>
  </si>
  <si>
    <t>Праздничная программа, посвященная Всемирному дню матери  (29 ноября)</t>
  </si>
  <si>
    <t>Новогодние и рождественские праздники</t>
  </si>
  <si>
    <t>Открытие снежного городка</t>
  </si>
  <si>
    <t>Прочие (программы Контур-Экстерн и Клиент-Сбербанк)</t>
  </si>
  <si>
    <t>Утв</t>
  </si>
  <si>
    <t>Договор</t>
  </si>
  <si>
    <t>Фактическое исполнение за отчетный финансовый год</t>
  </si>
  <si>
    <t>План на текущий финансовый год</t>
  </si>
  <si>
    <t>Ожидаемое</t>
  </si>
  <si>
    <t>АЦК</t>
  </si>
  <si>
    <t>отклонен</t>
  </si>
  <si>
    <t>Сергеева Татьяна Петровна</t>
  </si>
  <si>
    <t>ИТОГО по 941</t>
  </si>
  <si>
    <t>Утилизацию ртутьсодержащих отходов</t>
  </si>
  <si>
    <t>В соответствии с Постановлением Минтруда России, Минобразования России от 13.01.2003 N 1/29 "Об утверждении Порядка обучения по охране труда и проверки знаний требований охраны труда работников организаций" обучение необходимо проводить раз в 3 года</t>
  </si>
  <si>
    <t>Обоснование расходов по прочим работам и услугам, Доп.Кр.954, МП "Развитие культуры"</t>
  </si>
  <si>
    <t>стимулирование</t>
  </si>
  <si>
    <t>СВОД 981</t>
  </si>
  <si>
    <t>Обоснование расходов для формирования бюджета муниципального образования город Норильск на 2020-2022 годы на приобретение расходных материалов и предметов снабжения, Доп.Кр.981, МП "Развтите культуры"</t>
  </si>
  <si>
    <t>Факт 2018 года</t>
  </si>
  <si>
    <t>Ожидаемое исполнение 2019 года</t>
  </si>
  <si>
    <t>Приложение 16/2</t>
  </si>
  <si>
    <t>Источник финансирования - бюджет</t>
  </si>
  <si>
    <t>Основание</t>
  </si>
  <si>
    <t>Наименование групп должностей в соответствии со штатным расписанием</t>
  </si>
  <si>
    <t>Периодичность медосмотров, осмотров в год</t>
  </si>
  <si>
    <t>План на 2020 год</t>
  </si>
  <si>
    <t>Примечания
(к отклонениям численности подлежащих осмотру в плановом году относительно ожидаемого текущего года)</t>
  </si>
  <si>
    <t>План на 2021 год</t>
  </si>
  <si>
    <t>План на 2022 год</t>
  </si>
  <si>
    <t>Численность</t>
  </si>
  <si>
    <t>Средняя стоимость медосмотра, тыс. руб.</t>
  </si>
  <si>
    <t>Расходы, тыс.руб.</t>
  </si>
  <si>
    <t>штатная, ед.</t>
  </si>
  <si>
    <t>списочная на 31.12.18, чел.</t>
  </si>
  <si>
    <t>подлежащие осмотру, чел.</t>
  </si>
  <si>
    <t>списочная на 31.05.19, чел.</t>
  </si>
  <si>
    <t>списочная, чел.</t>
  </si>
  <si>
    <t>Руководители</t>
  </si>
  <si>
    <t>1 раз в 2 года</t>
  </si>
  <si>
    <t>Специалисты</t>
  </si>
  <si>
    <t>Служащие</t>
  </si>
  <si>
    <t>Рабочие (МОП)</t>
  </si>
  <si>
    <r>
      <t>Планируемые выплаты на закупку товаров, работ и услуг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</si>
  <si>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t>Влажные салфетки</t>
  </si>
  <si>
    <t>Обоснование (расчет) плановых показателей по расходам на закупки товаров, работ и услуг, МП "Развитие туризма"</t>
  </si>
  <si>
    <t>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 МП "Развитие туризма"</t>
  </si>
  <si>
    <t>Обоснование расходов для формирования бюджета муниципального образования город Норильск на 2020-2022 годы на приобретение основных средств, Доп.КР 971</t>
  </si>
  <si>
    <t>Расчетные значения 2021</t>
  </si>
  <si>
    <t>Фонд оплаты труда с учетом коэффициента и повышения на 7% с 01.10.2016</t>
  </si>
  <si>
    <t>Расчетные значения на 2020 год</t>
  </si>
  <si>
    <t>Расчетные значения на 2021 год</t>
  </si>
  <si>
    <t>Расчетные значения на 2022 год</t>
  </si>
  <si>
    <t>Обоснование расходов для формирования бюджета муниципального образования город Норильск на 2020-2022 годы на оплату транспортных услуг. КОСГУ 222(922)* (источник финансирования-внебюджет)</t>
  </si>
  <si>
    <t>Соединительной линии для выхода ведомственной станции или телефонных станций (других устройств коммутации) других операторов на сеть общего пользования</t>
  </si>
  <si>
    <t>Прямой канал: (факс)</t>
  </si>
  <si>
    <t xml:space="preserve">Прочие </t>
  </si>
  <si>
    <t>Прочие (цифровой канал)</t>
  </si>
  <si>
    <t>расходы на заправку катриджей</t>
  </si>
  <si>
    <t xml:space="preserve">01.01.2020 г. </t>
  </si>
  <si>
    <t>Оплата дистрибьюторам</t>
  </si>
  <si>
    <t>01.01.2020 г.</t>
  </si>
  <si>
    <t>Итого по ГПХ 2020 г.</t>
  </si>
  <si>
    <t>2021 г.</t>
  </si>
  <si>
    <t>2022 г.</t>
  </si>
  <si>
    <t>6 мес</t>
  </si>
  <si>
    <t>примечание</t>
  </si>
  <si>
    <t xml:space="preserve">2. Оргтехника и оборудование для связи (компьютерная и оргтехника, телефоны, факсы и т.д.)
</t>
  </si>
  <si>
    <t>3. Хозтовары и хозинвентарь (инструменты и принадлежности технического персонала и т.д.)</t>
  </si>
  <si>
    <t>3.1. Дрель Hitachi</t>
  </si>
  <si>
    <t>…</t>
  </si>
  <si>
    <t>4. Бытовая техника (чайники, холодильники, компрессоры, подъемники и т.д.)</t>
  </si>
  <si>
    <t>5.1. Игровой набор</t>
  </si>
  <si>
    <t>6.1. Смеситель</t>
  </si>
  <si>
    <t>7.1. Кушетка медицинская детская</t>
  </si>
  <si>
    <t>9.1. Ворота хоккейные</t>
  </si>
  <si>
    <t>10.1. Скрипка</t>
  </si>
  <si>
    <t>13. Авто, мото и спец. техника, катера, лодки и т.д.</t>
  </si>
  <si>
    <t>13.1. Автомобиль УАЗ-3163</t>
  </si>
  <si>
    <t>14. Дорожное оборудование</t>
  </si>
  <si>
    <t>14.1. Дорожные знаки</t>
  </si>
  <si>
    <t>15. Оборудование для ТО и ТР подвижного состава</t>
  </si>
  <si>
    <t>15.1. Вагоноремонтная машина</t>
  </si>
  <si>
    <t>16. Пожарное оборудование и средства индивидуальной защиты</t>
  </si>
  <si>
    <t>16.1. Огнетушитель</t>
  </si>
  <si>
    <t xml:space="preserve">                                                                                                                                                                                                                                                                                                                                                                                                                                                                                                             </t>
  </si>
  <si>
    <t>17. Уличные малые архитектурные формы</t>
  </si>
  <si>
    <t>17.1. Скамейка уличная</t>
  </si>
  <si>
    <t>18. Измерительные приборы (манометры, термометры, тонометры, нивелиры и т.д.)</t>
  </si>
  <si>
    <t>18.1. Тонометр OMRON</t>
  </si>
  <si>
    <t>19. Технологическое оборудование</t>
  </si>
  <si>
    <t>19.1. Духовой шкаф</t>
  </si>
  <si>
    <t>20. Прочее (указать)</t>
  </si>
  <si>
    <t>20.1 Жалюзи</t>
  </si>
  <si>
    <t>….</t>
  </si>
  <si>
    <t>…..</t>
  </si>
  <si>
    <t>полная стоимость</t>
  </si>
  <si>
    <t xml:space="preserve"> чел.</t>
  </si>
  <si>
    <t>кв.м.</t>
  </si>
  <si>
    <t>Проведение культурно-массовых мероприятий</t>
  </si>
  <si>
    <t>отклонение итого</t>
  </si>
  <si>
    <t>за 2017 год</t>
  </si>
  <si>
    <t>кол-во месяцев</t>
  </si>
  <si>
    <t>за 2018 год</t>
  </si>
  <si>
    <t>за 11 месяцев 2019 года</t>
  </si>
  <si>
    <t>План 2020 год</t>
  </si>
  <si>
    <t>кол-во, чел.</t>
  </si>
  <si>
    <t>Обоснование расходов для формирования бюджета муниципального образования город Норильск на 2020-2022 годы на приобретение расходных материалов и предметов снабжения. КОСГУ 340 (981)* (источник финансирования-внебюджет)</t>
  </si>
  <si>
    <t>Факт 2016</t>
  </si>
  <si>
    <t>План 2021 год, тыс.руб.</t>
  </si>
  <si>
    <t>План 2022 год, тыс.руб.</t>
  </si>
  <si>
    <t>Сумма, тыс. руб.</t>
  </si>
  <si>
    <t>Краевой бюджет</t>
  </si>
  <si>
    <t>юбилейный</t>
  </si>
  <si>
    <t>сувениры</t>
  </si>
  <si>
    <t xml:space="preserve"> - ведущие</t>
  </si>
  <si>
    <t xml:space="preserve"> - погрузо-разгрузочные работы</t>
  </si>
  <si>
    <t>Полевая кухня</t>
  </si>
  <si>
    <t xml:space="preserve">Художественное оформление </t>
  </si>
  <si>
    <t xml:space="preserve"> - светофильтры</t>
  </si>
  <si>
    <t>Приобретение основных средств</t>
  </si>
  <si>
    <t>пригласительные билеты</t>
  </si>
  <si>
    <t>Для проведения и поощрения участников конкурсных программ</t>
  </si>
  <si>
    <t>сувенир</t>
  </si>
  <si>
    <t>Типографские услуги</t>
  </si>
  <si>
    <t>Благотворительные праздничные программы для детей</t>
  </si>
  <si>
    <t>услуги связи по видеонаблюдению</t>
  </si>
  <si>
    <t>Приложение № 7                           
к письму от "_____"_____________2019  №_________</t>
  </si>
  <si>
    <t>Обоснование расходов для формирования бюджета муниципального образования город Норильск</t>
  </si>
  <si>
    <t>Очередной финансовый год</t>
  </si>
  <si>
    <t>Очередной финансовый год + 1</t>
  </si>
  <si>
    <t>Очередной финансовый год + 2</t>
  </si>
  <si>
    <t>Помещение библиотеки № 2 по адресу: ул. Югославская, 14 получено по договору оперативного управления 12.11.2015 году. До 2018 года не использовалось из-за отсутствия ремонта. Было законсервировано. В 2018-2019 году был выполнен капитальный ремонт помещения. При планировании на 2019 год учитывались расчетные нагрузки. Библиотека открыта для читателей с марта 2019 года. Фактические показатели 2019 года не являются показательными</t>
  </si>
  <si>
    <t>В помещении библиотеки № 3 по адресу: ул. Котульского, д. 15 располагается лаборатория "ФабЛаб", для которой после ремонта закуплено новое высокотехнологичное оборудование (мощностью 10 кВт), поэтому необходимо увеличение лимита на электроэнергию.</t>
  </si>
  <si>
    <t>В помещении библиотеки № 4 по адресу: Солнеченый пр, 2 проводятся специализированные мероприятия для детей, увеличилось количество сотрудников, в связи с этим необходимо увеличение лимита на холодную воду.</t>
  </si>
  <si>
    <t>Объект получен в оперативное управление в 2018 году</t>
  </si>
  <si>
    <t>Тепловычислитель</t>
  </si>
  <si>
    <t>по содержанию и техническому обслуживанию помещений, Доп.Кр.941, МП "Развитие культуры"</t>
  </si>
  <si>
    <t>Специальная оценка условий труда</t>
  </si>
  <si>
    <t>раб.места</t>
  </si>
  <si>
    <t>В соответствии со статьей 8 Федеральный закон от 28.12.2013 N 426-ФЗ "О специальной оценке условий труда"  специальная оценка условий труда на рабочем месте проводится не реже чем один раз в пять лет</t>
  </si>
  <si>
    <t>отклонения</t>
  </si>
  <si>
    <t>Обоснование расходов на вневедомственную охрану, охранную и пожарную сигнализацию, Доп.Кр.953, МП "Развитие культуры"</t>
  </si>
  <si>
    <t xml:space="preserve">2018 год  </t>
  </si>
  <si>
    <t>Мероприятия, входившие ранее в ДМЦП "Профилактика наркомании  и усиление борьбы с незаконным оборотом наркотических средств на территории муниципального образования город Норильск"</t>
  </si>
  <si>
    <t xml:space="preserve">Оплата труда по  договорам гражданско-правового характера: </t>
  </si>
  <si>
    <t>Взносы во внебюджетные фонды 27,1%</t>
  </si>
  <si>
    <t>Художественное оформление мероприятия:</t>
  </si>
  <si>
    <t>Обоснование расходов по договорам ГПХ, Доп.Кр.955, МП "Развитие культуры", ПГ</t>
  </si>
  <si>
    <t>Обоснование расходов по договорам ГПХ, Доп.Кр.955, МП "Развитие культуры", Профилактика наркомании</t>
  </si>
  <si>
    <t>СВОД 955</t>
  </si>
  <si>
    <t>Оплата по договорам ГПХ с учетом страховых выплат</t>
  </si>
  <si>
    <t>Стул складной</t>
  </si>
  <si>
    <t>афиши</t>
  </si>
  <si>
    <t xml:space="preserve"> - ведущий</t>
  </si>
  <si>
    <t>Обоснование расходов по приобретение (изготовление) подарочной и сувенирной продукции, Доп.Кр.963, МП "Развитие культуры", ПГ</t>
  </si>
  <si>
    <t>Обоснование расходов по приобретение (изготовление) подарочной и сувенирной продукции, Доп.Кр.963, МП "Развитие культуры", профилактика наркомании</t>
  </si>
  <si>
    <t>Обоснование расходов по приобретение (изготовление) подарочной и сувенирной продукции, Доп.Кр.963, МП "Развитие культуры", Стимулирование</t>
  </si>
  <si>
    <t>бумага А3</t>
  </si>
  <si>
    <t>дырокол</t>
  </si>
  <si>
    <t>освежитель воздуха</t>
  </si>
  <si>
    <t>скотч</t>
  </si>
  <si>
    <t>лампа</t>
  </si>
  <si>
    <t>ластик</t>
  </si>
  <si>
    <t>клей-карандаш</t>
  </si>
  <si>
    <t xml:space="preserve">Шпингалет </t>
  </si>
  <si>
    <t>уголок</t>
  </si>
  <si>
    <t>Видеокарта</t>
  </si>
  <si>
    <t>блок питания</t>
  </si>
  <si>
    <t>блок для записей</t>
  </si>
  <si>
    <t>текстовыделитель</t>
  </si>
  <si>
    <t>кисть</t>
  </si>
  <si>
    <t>элемент питания</t>
  </si>
  <si>
    <t>мыло жидкое</t>
  </si>
  <si>
    <t>Фонарь</t>
  </si>
  <si>
    <t>Испытательная лабораторияООО "Центр безопасности труда", дата утверждения протокола СОУТ от 08.06.2018г.  
Приказ Минздравсоцразвития от 12.04.2011 №302н прил. 1, п. 3.2.2.4.
п.2.7., 3.4.1. (зав.костюмерной)</t>
  </si>
  <si>
    <t>Испытательная лабораторияООО "Центр безопасности труда", дата утверждения протокола СОУТ от 08.06.2018г.  
Приказ Минздравсоцразвития от 12.04.2011 №302н прил. 1, п. 3.2.2.4.,
 прил. 2 п. 18 (балетмейстер)</t>
  </si>
  <si>
    <t>Испытательная лабораторияООО "Центр безопасности труда", дата утверждения протокола СОУТ от 08.06.2018г.  
Приказ Минздравсоцразвития от 12.04.2011 №302н прил. 1, п. 3.2.2.4.,
 п.2.7, 3.4.1., 1.1.1., 1.1.2., 1.1.4.</t>
  </si>
  <si>
    <t>Новосибирск</t>
  </si>
  <si>
    <t>Красноярск</t>
  </si>
  <si>
    <t>Санкт-Петербург</t>
  </si>
  <si>
    <t>Москва</t>
  </si>
  <si>
    <t>Направление из Норильска</t>
  </si>
  <si>
    <t>Сочи (и др. южные направления)</t>
  </si>
  <si>
    <t>Абакан</t>
  </si>
  <si>
    <t>Огнетушитель</t>
  </si>
  <si>
    <t>Микрофон</t>
  </si>
  <si>
    <t>Источник бесперебойного питания</t>
  </si>
  <si>
    <t>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 на организацию и проведение мероприятий к 75 летию Победы, внепрограммные</t>
  </si>
  <si>
    <t>Директор МБУК "КДЦ имени Владимира Высоцкого"</t>
  </si>
  <si>
    <t>А.С. Логачева</t>
  </si>
  <si>
    <r>
      <t xml:space="preserve">Планирование денежных средств на оплату труда,страховых взносов и оплаты стоимости проезда и провоза багажа к месту проведения отпуска для работников, финансируемых из источников «иная приносящая доход деятельность» в </t>
    </r>
    <r>
      <rPr>
        <u/>
        <sz val="16"/>
        <color indexed="8"/>
        <rFont val="Times New Roman"/>
        <family val="1"/>
        <charset val="204"/>
      </rPr>
      <t>МБУК "КДЦ "Вл. Высоцкого" на 2020 год</t>
    </r>
  </si>
  <si>
    <t>МБУК "КДЦ имени Владимира Высоцкого"</t>
  </si>
  <si>
    <t>Расчет по командировачным расходам (источник финансирования -внебюджет)* (Доп.Кр.912,921,952)</t>
  </si>
  <si>
    <t>МБУК "КДЦ им. Вл. Высоцкого"</t>
  </si>
  <si>
    <t>Наименование КВСР</t>
  </si>
  <si>
    <t>КОСГУ/ДопКР</t>
  </si>
  <si>
    <t>Наименование расходов</t>
  </si>
  <si>
    <t>Плановые назначения</t>
  </si>
  <si>
    <t>кол-во дней</t>
  </si>
  <si>
    <t>Цель командировки</t>
  </si>
  <si>
    <t>212/912</t>
  </si>
  <si>
    <t>Суточные при служебных командировках (итого)</t>
  </si>
  <si>
    <t>Оплата суточных при служебной командировке</t>
  </si>
  <si>
    <t>Участие вокальной студии "Аквамарин" в международном конкурсе в г. Сочи</t>
  </si>
  <si>
    <t>Расходы на организацию мероприятий "Стимулирование народного творчества":</t>
  </si>
  <si>
    <t>………………………</t>
  </si>
  <si>
    <t>222/921</t>
  </si>
  <si>
    <t>Оплата проезда по служебным командировкам(итого командировки)</t>
  </si>
  <si>
    <t>Оплата проезда по служебным командировкам</t>
  </si>
  <si>
    <t>Участие вокальной студии "Аквамарин" в международном конкурсе вг. Сочи</t>
  </si>
  <si>
    <t>226/952</t>
  </si>
  <si>
    <t>Проживание в служебных командировках (итого)</t>
  </si>
  <si>
    <t>Проживание в служебных командировках</t>
  </si>
  <si>
    <t>*В данной табличной форме так же указывать расходы на приобретение расходных материалов, предусмотренные в рамках стимулирования</t>
  </si>
  <si>
    <t xml:space="preserve">Тарифы на авиабилеты для формирования объема бюджетных расходов на 2020-2022 годы  </t>
  </si>
  <si>
    <t>Тариф туда-обратно, руб.</t>
  </si>
  <si>
    <t>Суточные -500 рублей</t>
  </si>
  <si>
    <t>Проживание в служебных командировках: С.=Петербург и Москва - 3700 руб./ сутки, остальные города 2500 руб./сутки</t>
  </si>
  <si>
    <t>А.С.Логачева</t>
  </si>
  <si>
    <t>Обоснование расходов, связанных с  выплатой суточных,  денежных средств на питание , компенсацией расходов на проезд и проживание  спортсменам и студентам при их направлении на различного рода мероприятия и приглашенным лицам (Доп.Кр.966)* (источник финансирования-внебюджет)</t>
  </si>
  <si>
    <t>Участие вокальной студии в международном конкурсе (найм жилых помещений и проезд)</t>
  </si>
  <si>
    <t>запланировано в стимулировании (участие вокальной студии в международном конкурсе)</t>
  </si>
  <si>
    <t>Прочие транспортные услуги</t>
  </si>
  <si>
    <t xml:space="preserve">Перевозка участников творческих коллективов </t>
  </si>
  <si>
    <t>Титова Н.Л., 371543</t>
  </si>
  <si>
    <t>Прямой канал (2 Мбит/сек. без учета объема информации)</t>
  </si>
  <si>
    <t>22,0/мес</t>
  </si>
  <si>
    <t>Приобретение конвертов и марок</t>
  </si>
  <si>
    <t>Приложение 8
к письму от "_____"_____________2017  №_________</t>
  </si>
  <si>
    <t>ОБОСНОВАНИЕ РАСХОДОВ ПО СОДЕРЖАНИЮ И ТЕХНИЧЕСКОМУ</t>
  </si>
  <si>
    <t>ОБСЛУЖИВАНИЮ ПОМЕЩЕНИЙ Доп.Кр. 941 (источник финансирования-внебюджет)</t>
  </si>
  <si>
    <t>Вывоз ТБО (район Центральный, Снежногорск)</t>
  </si>
  <si>
    <t>Размещение ТБО</t>
  </si>
  <si>
    <t>14.1.</t>
  </si>
  <si>
    <t>полигон ООО «Стройбытсервис», в т.ч.:</t>
  </si>
  <si>
    <t>- с 01.01. по 30.06.</t>
  </si>
  <si>
    <t>- с 01.07. по 31.12.</t>
  </si>
  <si>
    <t>14.2.</t>
  </si>
  <si>
    <t>полигон ООО «Байкал-2000», в т.ч.</t>
  </si>
  <si>
    <t>Техническое обслуживание трансформаторных подстанций</t>
  </si>
  <si>
    <t>- ТП-607 «Бис»</t>
  </si>
  <si>
    <t>- ТП-64-1П</t>
  </si>
  <si>
    <t>- ТП-76</t>
  </si>
  <si>
    <t>- ТП-151</t>
  </si>
  <si>
    <t>- ТП-625</t>
  </si>
  <si>
    <t>- ТП-64 «БИС»</t>
  </si>
  <si>
    <t>ТП-405</t>
  </si>
  <si>
    <t>ТП-415</t>
  </si>
  <si>
    <t>ТП-1016П</t>
  </si>
  <si>
    <t>ТП-992П (6 кВ)</t>
  </si>
  <si>
    <t>ТП-973П (6 кВ)</t>
  </si>
  <si>
    <t>ТО кабельных линий трансф. подст.</t>
  </si>
  <si>
    <t>20.1.</t>
  </si>
  <si>
    <t xml:space="preserve"> - Кабельные линии до 1 кВ</t>
  </si>
  <si>
    <t>20.2.</t>
  </si>
  <si>
    <t xml:space="preserve"> - Кабельные линии более 1 кВ</t>
  </si>
  <si>
    <t>МБУК "КДЦ им.Вл.Высоцкого"</t>
  </si>
  <si>
    <t>Ремонт оргтехники</t>
  </si>
  <si>
    <t>картридж для HP LaserJet M1132</t>
  </si>
  <si>
    <t>Обслуживание оргтехники</t>
  </si>
  <si>
    <t>Доставка рекламы, баннеров</t>
  </si>
  <si>
    <t>Инкассация</t>
  </si>
  <si>
    <t>Модуль билетной системы</t>
  </si>
  <si>
    <t>Модуль продажи билетов на сайте</t>
  </si>
  <si>
    <t>Эквайринг</t>
  </si>
  <si>
    <t>Консультатнт-Плюс</t>
  </si>
  <si>
    <t>Ведение страницы в социальных сетях</t>
  </si>
  <si>
    <t>Лицензионное программное обеспечение</t>
  </si>
  <si>
    <t>изготовление сценария</t>
  </si>
  <si>
    <t>запланировано в стимулировании (День рождения В.Высоцкого")</t>
  </si>
  <si>
    <t>артисты дуэта "Черное золото"</t>
  </si>
  <si>
    <t>руководитель ансамбля "Раздолье"</t>
  </si>
  <si>
    <t>аккомпаниатор ансамбля "Раздолье"</t>
  </si>
  <si>
    <t>системный администратор (сопровождение кассовой системы</t>
  </si>
  <si>
    <t>сопровождение сайта учреждения</t>
  </si>
  <si>
    <t>артисты на игровых программах по ППД</t>
  </si>
  <si>
    <t xml:space="preserve">артисты на новогодних программах </t>
  </si>
  <si>
    <t>отчетный концерт КДЦ (сценарий, ведущий)</t>
  </si>
  <si>
    <t>премьеры фильмов (артисты, ведущий)</t>
  </si>
  <si>
    <t>концертные программы (ведущие, сценарий)</t>
  </si>
  <si>
    <t>ведущий  программы, посвященной Дню кино</t>
  </si>
  <si>
    <t>Делопроизводство и документооборот</t>
  </si>
  <si>
    <t>Киномеханик сегодня</t>
  </si>
  <si>
    <t>6 мес.</t>
  </si>
  <si>
    <t>Сценарии и репертуар</t>
  </si>
  <si>
    <t>10 мес</t>
  </si>
  <si>
    <t>Чем развлечь гостей</t>
  </si>
  <si>
    <t>10 мес.</t>
  </si>
  <si>
    <t>Доставка</t>
  </si>
  <si>
    <t>День рождения высоцкого (Цветы)</t>
  </si>
  <si>
    <t>запланировано в стимулировании (День рождения В.Высоцкого)</t>
  </si>
  <si>
    <t>День рождения высоцкого (Книги)</t>
  </si>
  <si>
    <t>День памяти Высоцкого (Цветы)</t>
  </si>
  <si>
    <t>запланировано в стимулировании (День памяти В.Высоцкого)</t>
  </si>
  <si>
    <t>Конкурс Фотодом (Призы)</t>
  </si>
  <si>
    <t>запланировано в стимулировании (Фотодом)</t>
  </si>
  <si>
    <t>Игровые программы по ПДД</t>
  </si>
  <si>
    <t>Новый год</t>
  </si>
  <si>
    <t>Отчетный концерт КДЦ</t>
  </si>
  <si>
    <t>Неделя книги и недяля музыки</t>
  </si>
  <si>
    <t>Премьеры фильмов</t>
  </si>
  <si>
    <t>1.1. Кресло офисное</t>
  </si>
  <si>
    <t>1.2. Стеллаж</t>
  </si>
  <si>
    <t>2.1.спутниковое оборудование (тарелка)</t>
  </si>
  <si>
    <t>4.1. Холодильник</t>
  </si>
  <si>
    <t>8.1. Микрофон головной</t>
  </si>
  <si>
    <t>11.1. Костюм  сказочного персонажа</t>
  </si>
  <si>
    <t>Тонер для Хеrox SC 2020 черный</t>
  </si>
  <si>
    <t>Тонер для Хеrox SC 2020 цветной</t>
  </si>
  <si>
    <t>Тонер Xerox WC 7545/7556 черный</t>
  </si>
  <si>
    <t>Тонер Xerox WC 7545/7556 цветной</t>
  </si>
  <si>
    <t>Сборник отработанного тонера WC 7545</t>
  </si>
  <si>
    <t>бумага А4</t>
  </si>
  <si>
    <t>системный блок</t>
  </si>
  <si>
    <t>монитор</t>
  </si>
  <si>
    <t>Ручки, скрепки, файлы, папки и др.</t>
  </si>
  <si>
    <t>WC -комплект</t>
  </si>
  <si>
    <t>шнур</t>
  </si>
  <si>
    <t>щетка для пола</t>
  </si>
  <si>
    <t>совок с длинной ручкой</t>
  </si>
  <si>
    <t>веник "Сорго"</t>
  </si>
  <si>
    <t>ведро 12 л "Волна"</t>
  </si>
  <si>
    <t>туалетная бумага</t>
  </si>
  <si>
    <t>туалетная бумагадля диспенсеров</t>
  </si>
  <si>
    <t>пакет мусорный 30л</t>
  </si>
  <si>
    <t>перчатки латексные</t>
  </si>
  <si>
    <t>метла садовая</t>
  </si>
  <si>
    <t>Ведро 10л Сакура</t>
  </si>
  <si>
    <t>Веник жесткий пластсм.УФА</t>
  </si>
  <si>
    <t>Швабра деревянная</t>
  </si>
  <si>
    <t>Швабра плоская ZALEL (макароны)</t>
  </si>
  <si>
    <t>Швабра плоская микрофибра</t>
  </si>
  <si>
    <t>Швабра ХК 40см с отжимом</t>
  </si>
  <si>
    <t>Щетка подметальная с черенком L-100см</t>
  </si>
  <si>
    <t>Плечики 44-46 размера</t>
  </si>
  <si>
    <t>Плечики 48-50 размера</t>
  </si>
  <si>
    <t>Перчатки резиновые ХБ</t>
  </si>
  <si>
    <t>Мешок для мусора 50л</t>
  </si>
  <si>
    <t>Лопата снеговая 500*340 алюм с накладкой и черенком</t>
  </si>
  <si>
    <t>Доместос 1 л</t>
  </si>
  <si>
    <t>Пемос 2400гр ручная стирка</t>
  </si>
  <si>
    <t>средство для мытья посуды</t>
  </si>
  <si>
    <t xml:space="preserve">Порошок стиральный 3000гр </t>
  </si>
  <si>
    <t>Пемолюкс 400гр</t>
  </si>
  <si>
    <t>средство для мытья полов</t>
  </si>
  <si>
    <t>мыло жидкое 5л</t>
  </si>
  <si>
    <t>очиститель для стекол</t>
  </si>
  <si>
    <t>чистящий крем</t>
  </si>
  <si>
    <t>санокс средства от ржавчины</t>
  </si>
  <si>
    <t>мыло туалетное</t>
  </si>
  <si>
    <t>Средство для стирки черного 1 л</t>
  </si>
  <si>
    <t>Кондиционер 1 л</t>
  </si>
  <si>
    <t>Лампы светодиодные T8 18W/1200mm 220V 4000K G13</t>
  </si>
  <si>
    <t>Лампа YODN R7, 230 Вт</t>
  </si>
  <si>
    <t>Раходные материалы для кинооборудования</t>
  </si>
  <si>
    <t>Лампы для кинопроектора</t>
  </si>
  <si>
    <t>Салфетки для очков 3D</t>
  </si>
  <si>
    <t>Фильтры для кинопроектора</t>
  </si>
  <si>
    <t>X</t>
  </si>
  <si>
    <t>Афиши</t>
  </si>
  <si>
    <t>батарейки</t>
  </si>
  <si>
    <t>Батарейки DURACELL пальчик</t>
  </si>
  <si>
    <t>запланировано в стимулировании (День памяти В.Высоцкого")</t>
  </si>
  <si>
    <t>разъем FXR (F)</t>
  </si>
  <si>
    <t>разъем FXR (M)</t>
  </si>
  <si>
    <t>баннер с логотипом конкурса (800 руб. за кв.м)</t>
  </si>
  <si>
    <t>кинобаннеры</t>
  </si>
  <si>
    <t>расходные материалы для звукотехнического обеспечения и художественного оформления культмассовых мероприятий (ПДД, новогодние программы и др.)</t>
  </si>
  <si>
    <t>Ткань для новогодних мероприятий</t>
  </si>
  <si>
    <t>Брус 50Х50Х2000</t>
  </si>
  <si>
    <t>ДВП</t>
  </si>
  <si>
    <t>Оргстекло 5 мм</t>
  </si>
  <si>
    <t>С 01 января 2020 года с ИП Андрух О.А. будет заключен договор аренды  помещения бара площадью 20 м2, находящегося по адресу: Норильск, Строителей, 17 Предполагаемая цена договора Цена контракта 112 200 руб. на 12 месяцев с 01.01.2020 по 31.12.2020 (20м.*12мес.*467,5 руб.за кв.метр). Договор аренды с ИП Андрух О.А. в 2019 году был заключен с 01 марта на 11 месяцев, но 5 сентября - расторгнут, в связи с началом ремонтных работ в помещениях КДЦ им. Вл. Высоцкого</t>
  </si>
  <si>
    <t>МБУ "КДЦ "Высоцкий"</t>
  </si>
  <si>
    <t>№06/2017-Да от 01.02.2017( Андрух)</t>
  </si>
  <si>
    <t>нет такого договора</t>
  </si>
  <si>
    <t>г.Норильск,р-н Талнах,ул.Строителей,д.17</t>
  </si>
  <si>
    <t>20,0 кв.м.</t>
  </si>
  <si>
    <t>№06/2014-Да от 23.05.2014( Андрух)</t>
  </si>
  <si>
    <t>01.01.2014 - 05.09.2019</t>
  </si>
  <si>
    <t>Планируемые на очередной финансовый год доходы от оказания платных услуг на 2020 -2022 годы</t>
  </si>
  <si>
    <t>МБУК "КДЦ им.В. Высоцкого"</t>
  </si>
  <si>
    <t xml:space="preserve">Показ кинофильмов </t>
  </si>
  <si>
    <t xml:space="preserve">Видеопоказ рекламных роликов по заявкам организаций, предприятий, отдельных граждан  </t>
  </si>
  <si>
    <t>сек.</t>
  </si>
  <si>
    <t>Размещение рекламных материалов (баннеры, стенды, плакаты, флаги и др., не менее 1 месяца)</t>
  </si>
  <si>
    <t>билет</t>
  </si>
  <si>
    <t>Организация обслуживания различных культурно-досуговых мероприятий, в том числе по заявкам организаций, предприятий и отдельных граждан</t>
  </si>
  <si>
    <t>Организация и проведение ярмарок, лотерей, аукционов, выставок-продаж</t>
  </si>
  <si>
    <t>Предоставление услуг по прокату сценических костюмов</t>
  </si>
  <si>
    <t>сутки</t>
  </si>
  <si>
    <t xml:space="preserve">Предоставление услуг по прокату звукоусилительной аппаратуры </t>
  </si>
  <si>
    <t>Предоставление услуг по прокату другого профильного оворудования</t>
  </si>
  <si>
    <t>Прочие поступления</t>
  </si>
  <si>
    <t>возврат за трудовую книжку</t>
  </si>
  <si>
    <t>поступления по исполнительным листам</t>
  </si>
  <si>
    <t xml:space="preserve">аренда недвижимого имущества </t>
  </si>
  <si>
    <t xml:space="preserve">А.С.Логачева
</t>
  </si>
  <si>
    <t>Возмещение коммунальных услуг по договорам аренды</t>
  </si>
  <si>
    <t>Обоснование расходов проезда к месту учебы и обратно</t>
  </si>
  <si>
    <t>Управление по делам культуры и искусства  Администрации города Норильска</t>
  </si>
  <si>
    <t>(тыс.руб.)</t>
  </si>
  <si>
    <t>аппарат</t>
  </si>
  <si>
    <t>Пункт назначения 
(город)</t>
  </si>
  <si>
    <t>Тариф, руб (т/о)</t>
  </si>
  <si>
    <t xml:space="preserve">Стоимость проезда 222 (921)    (руб.) </t>
  </si>
  <si>
    <t>2020 г.</t>
  </si>
  <si>
    <t>г.Санкт-Петербург</t>
  </si>
  <si>
    <t>МБУ КДЦ "Им. В.Высоцкого"</t>
  </si>
  <si>
    <t>оплата проезда на сессию     (1 чел.,1раз в год)</t>
  </si>
  <si>
    <t>Шикера И.А.</t>
  </si>
  <si>
    <t>тел.: 2820</t>
  </si>
  <si>
    <t>Обоснование (расчет) расходов на возмещение работникам (сотрудникам) расходов, связанных со служебными командировками (проезд к месту служебной командировки и обратно к месту постоянной работы транспортом общего пользования)на 2020-2022 гг., Доп.Кр.921, МП "Развитие Культуры"</t>
  </si>
  <si>
    <t>район Талнах</t>
  </si>
  <si>
    <t>высоцкий</t>
  </si>
  <si>
    <t xml:space="preserve"> - баннер с логотипом праздника</t>
  </si>
  <si>
    <t xml:space="preserve">  -полисилк</t>
  </si>
  <si>
    <t>В соответствии с  замыслом художника потребуется  полисилк 3 цветов (вместо шаров) для художественного оформления сценической площадки и фойе (цвета триколора).</t>
  </si>
  <si>
    <t xml:space="preserve"> - шары гелиевые</t>
  </si>
  <si>
    <t>Звукотехническое, светотехническое, видео - обеспечение, хозяйственные расходы:</t>
  </si>
  <si>
    <t xml:space="preserve"> - Батарея DURACELL пальчик</t>
  </si>
  <si>
    <t>Требуется большее количество батареек. Выступают массовые коллективы до 10 участников, что требует 10 микрофонов на сцене одновременно (для работы 1 микрофона требуется 2 батарейки)</t>
  </si>
  <si>
    <t xml:space="preserve"> - лампа для свет. оборуд.</t>
  </si>
  <si>
    <t xml:space="preserve"> -  разъемы</t>
  </si>
  <si>
    <t>0,3</t>
  </si>
  <si>
    <t>Требуются для обеспечения подключения (коммутации)  световых приборов с DMX подключением. Разъемы используются однократно. Для подключения новой цепочки световых приборов требуются новые разъемы</t>
  </si>
  <si>
    <t>Изготовление пригласительных билетов А6</t>
  </si>
  <si>
    <t>Изготовление афиш А3 полноцвет</t>
  </si>
  <si>
    <t>Реквизит</t>
  </si>
  <si>
    <t>Пакеты подарочные</t>
  </si>
  <si>
    <t>Наградная атрибутика :</t>
  </si>
  <si>
    <r>
      <t xml:space="preserve"> - </t>
    </r>
    <r>
      <rPr>
        <sz val="10"/>
        <rFont val="Times New Roman"/>
        <family val="1"/>
        <charset val="204"/>
      </rPr>
      <t>Сувениры</t>
    </r>
  </si>
  <si>
    <t>изготовление макета афиши</t>
  </si>
  <si>
    <t>изготовление фонограммы (2 шт)</t>
  </si>
  <si>
    <t>Изготовление минусовок (2 шт) тематических  песен для их совместного исполнения всеми участниками в начале и финале мероприятия, их оркестровка и аранжировка. Нет в штатном расписании единицы аранжировщика.</t>
  </si>
  <si>
    <t>ведущий</t>
  </si>
  <si>
    <t>Для оформления фойе 1 и 2 этажей, кассового фойе, лесничного проема 1-2 этаж и сцены зрительного зала.</t>
  </si>
  <si>
    <t xml:space="preserve"> - бумага гофре</t>
  </si>
  <si>
    <t xml:space="preserve"> - полисилк</t>
  </si>
  <si>
    <t>Полисилк двух цветов потребуется для оформления фойе 1 и 2 этажей для создания праздничного настроения</t>
  </si>
  <si>
    <t>Звукотехническое, светотехническое, видео-обеспечение, хозяйственные расходы:</t>
  </si>
  <si>
    <t xml:space="preserve"> - разъемы</t>
  </si>
  <si>
    <t xml:space="preserve"> - Батарейки DURACELL АА</t>
  </si>
  <si>
    <t>Требуется большее количество батареек. Выступают массовые коллективы, что требует 10 микрофонов на сцене одновременно (для работы 1 микрофона требуется 2 батарейки)</t>
  </si>
  <si>
    <t xml:space="preserve"> - лампа  для светового оборудования</t>
  </si>
  <si>
    <t xml:space="preserve">Изготовление пригласительных билетов </t>
  </si>
  <si>
    <t xml:space="preserve"> - цветы (роза)</t>
  </si>
  <si>
    <t>изготовление  сценария</t>
  </si>
  <si>
    <t>изготовление макета пригласительного билета</t>
  </si>
  <si>
    <t>Район Талнах</t>
  </si>
  <si>
    <t>Планируется проведение мероприятия в новом формате -   фестиваль в помещении КДЦ им. Вл. Высоцкого.</t>
  </si>
  <si>
    <t xml:space="preserve"> - сценарий</t>
  </si>
  <si>
    <t>Новый формат мероприятия требует наличия двух ведущих (предполагается диалог между ведущими)</t>
  </si>
  <si>
    <t xml:space="preserve"> - изготовление фонограмм </t>
  </si>
  <si>
    <t xml:space="preserve"> -  изготовление макета афиши/ в 2020 - организаторы мастер-классов</t>
  </si>
  <si>
    <t>Для проведения мастер-классов приглашаются мастера ДПИ. Предполагается организация 4 мастер-классов.</t>
  </si>
  <si>
    <t>Расходные материалы</t>
  </si>
  <si>
    <t xml:space="preserve"> - Батарейки DURACELL пальчик</t>
  </si>
  <si>
    <t>Для оформления фойе 1 и 2 этажей</t>
  </si>
  <si>
    <t xml:space="preserve"> - бумага гофре, ватман, картон и д.р.</t>
  </si>
  <si>
    <t>Расходные материалы для мастер-классов</t>
  </si>
  <si>
    <t>На фестивале будут организованы 4 "цветочных" мастер-класса (изготовление цветов из фоамирана, в технике "Оригами", "Квиллинг" и"Сухое валяние").</t>
  </si>
  <si>
    <t>наградная атрибутика</t>
  </si>
  <si>
    <t xml:space="preserve"> - пакет подарочный</t>
  </si>
  <si>
    <t xml:space="preserve"> - сувенир</t>
  </si>
  <si>
    <t>типографские услуги</t>
  </si>
  <si>
    <t xml:space="preserve"> - изготовление афиш А3</t>
  </si>
  <si>
    <t>Для информирования жителей Большого Норильска о фестивале</t>
  </si>
  <si>
    <t xml:space="preserve"> - изготовление открыток ( пригласительных) </t>
  </si>
  <si>
    <t>Для организации зрителей потребуется изготовить  пригласительные билеты на листе форма А6 по 2 шт. на каждом (всего 300 пригласительных)</t>
  </si>
  <si>
    <t>Расходные строительные материалы для изготовления реквизита (пенопласт)</t>
  </si>
  <si>
    <t>Из пенопласта будут изготовлены объемные буквы  для офорления фестивальных площадок "Мир", "Труд", "Май" размером 1,0х1,5м и толщиной 20 см.</t>
  </si>
  <si>
    <t>Транспортные услуги:</t>
  </si>
  <si>
    <t>Праздничный вечер для ветеранов</t>
  </si>
  <si>
    <t xml:space="preserve"> -ведущий  праздничной программы для ветеранов</t>
  </si>
  <si>
    <t>В связи с празднованием 75-летия Победы для ведения праздничной программы для ветеранов будут приглашаться ведущие имеющие большой опыт проведения подобных мероприятий.</t>
  </si>
  <si>
    <t xml:space="preserve"> изготовление сценария</t>
  </si>
  <si>
    <t>Ранее ГПХ по этой статье оплачивало ТТУ, с 2020 года ГПХ по праздничным мероприятиям переданы КДЦ им. Вл. Высоцкого</t>
  </si>
  <si>
    <t>Страховые взносы 27,1%</t>
  </si>
  <si>
    <t xml:space="preserve">Организация праздничного обеда для ветеранов </t>
  </si>
  <si>
    <t>Приобретение расходных материалов для художественного оформления</t>
  </si>
  <si>
    <t>Для оформления мероприятия потребуются шары большого диаметра с праздничной надпистью или праздничной символикой для украшения зала.</t>
  </si>
  <si>
    <t>Звукотехническое, видео- обеспечение, хозяйственные расходы</t>
  </si>
  <si>
    <t xml:space="preserve"> - Батарея DURACELL АА</t>
  </si>
  <si>
    <t>Для проведения репетиции мероприятия потребуются дополнительные батарейки</t>
  </si>
  <si>
    <t xml:space="preserve">Торжественный мероприятие, посвященное 9 мая для жителей Талнаха </t>
  </si>
  <si>
    <t xml:space="preserve"> -изготовление сценария</t>
  </si>
  <si>
    <t xml:space="preserve"> - организатор знаменной группы</t>
  </si>
  <si>
    <t>Для подготовки знаменной группы и проведения репетиций требуется приглашение специалиста. Нет в штате. ГПХ переданы от ТТУ</t>
  </si>
  <si>
    <t xml:space="preserve"> -ведущие мероприятия</t>
  </si>
  <si>
    <t>Расходные звукотехнические материалы</t>
  </si>
  <si>
    <t xml:space="preserve">  -Батарея DURACELL АА</t>
  </si>
  <si>
    <t xml:space="preserve"> - кабель силовой</t>
  </si>
  <si>
    <t>Для подключения, обеспечения безопасной и бесперебойной работы звукового оборудования на пл. Победы.</t>
  </si>
  <si>
    <t>Цветы для ветеранов и официальных лиц (букет = по 4 гвоздики х 1 чел.)</t>
  </si>
  <si>
    <t>Расходы на цветы прописаны во вкладке "Стимулирование" для проведения совместных торгов на поставку цветов</t>
  </si>
  <si>
    <t>Художественное оформление (ткань, фейерверк и расходные материалы)</t>
  </si>
  <si>
    <t xml:space="preserve"> - гелиевые шары  (белые)</t>
  </si>
  <si>
    <t>Оформление места возложения цветов у стеллы "Вечно живым".</t>
  </si>
  <si>
    <t xml:space="preserve"> - еловая гирлянда (2 м)</t>
  </si>
  <si>
    <t xml:space="preserve"> -баннер </t>
  </si>
  <si>
    <t>Здание КДЦ фасадом обращено на площадь Победы, где проходит торжественное мероприятие.  Для оформления фасада здания КДЦ в едином стиле с площадью.</t>
  </si>
  <si>
    <t xml:space="preserve">Праздничный уличный концерт </t>
  </si>
  <si>
    <t xml:space="preserve"> -ведущий</t>
  </si>
  <si>
    <t xml:space="preserve"> -погрузо-разгрузка аппаратуры</t>
  </si>
  <si>
    <t>погрузо-разгрузка крупногабаритной аппаратуры, музыкальных инструментов, баннеров, художественного оформления площади,  требует не менее 6 человек по 2300 рублей.  В связи с началом периода уличных мероприятий и вывозом оборудования из складских помещений объем работ увеличивается (в том числе время оказания услуги).  Нет в штатном расписании единиц грузчиков.</t>
  </si>
  <si>
    <t xml:space="preserve"> - монтаж/демонтаж сборно-разборных палаток, инвентаря,необходимого для проведения мероприятия</t>
  </si>
  <si>
    <t>ГПХ переданы из ТТУ. Ежегодно на площади устанавливаются палатки для разграничения локаций праздника</t>
  </si>
  <si>
    <t xml:space="preserve"> - организация работы  площадки "Чайная"</t>
  </si>
  <si>
    <t>ГПХ переданы из ТТУ для организации работы "Полевой кухни"</t>
  </si>
  <si>
    <t xml:space="preserve"> - организатор интерактивной площадки</t>
  </si>
  <si>
    <t>чнл.</t>
  </si>
  <si>
    <t>Для организации работы площадки "Солдатский привал"</t>
  </si>
  <si>
    <t xml:space="preserve"> -услуги фотографа и обработки фотографий</t>
  </si>
  <si>
    <t xml:space="preserve">Для размещения информации на сайте учреждения, Культура24, соц.сетях,  презентаций, а так же иллюстрации к пост и пресс- релизам необходимы фотоматериалы проводимых мероприятий. ГПХ переданы из ТТУ </t>
  </si>
  <si>
    <t xml:space="preserve"> -разработка макета афиши</t>
  </si>
  <si>
    <t>Поздравительные открытки</t>
  </si>
  <si>
    <t>Расходные звуко- и светотехнические материалы</t>
  </si>
  <si>
    <t xml:space="preserve"> -Батарея DURACELL</t>
  </si>
  <si>
    <t>На основной сценической площадке будут выступать вокальные коллективы численностью до 10 чел. На 1 микрофон потребуется 2 батарейки.</t>
  </si>
  <si>
    <t xml:space="preserve"> -кабель микрофонный</t>
  </si>
  <si>
    <t>Для подключения оборудования на пл. Победы  и пл. Горняков</t>
  </si>
  <si>
    <t>Типографские услуги (изготовление афиш А2)</t>
  </si>
  <si>
    <t xml:space="preserve"> -  расходные материалы (скобы, саморезв, ДВП и пр.)</t>
  </si>
  <si>
    <t xml:space="preserve">  - сеть маскировочная (3х6м)</t>
  </si>
  <si>
    <t xml:space="preserve">Для организации интерактивной локации  "Фотосалон "Боевой блиндаж" </t>
  </si>
  <si>
    <t xml:space="preserve"> - факел дымный</t>
  </si>
  <si>
    <t xml:space="preserve"> - баннер на виниле для уличной сцены</t>
  </si>
  <si>
    <t>Строительные материалы  (брус, доска, гвозди, саморезы, лак)</t>
  </si>
  <si>
    <t>Для организации интерактивной локации  "Фотосалон "Боевой блиндаж" потребуется изготовление солдатского стола и лавки.</t>
  </si>
  <si>
    <t>Для организации локации "Солдатский привал"</t>
  </si>
  <si>
    <t xml:space="preserve"> - комплект соллдатский (гимнастерка, штаны, ремень, пилотка)</t>
  </si>
  <si>
    <t>Для организации локации "Солдатский привал", на которой планируется разместить творческую группу (баянист и вокалист).</t>
  </si>
  <si>
    <t xml:space="preserve"> - сапоги кирзовые</t>
  </si>
  <si>
    <t xml:space="preserve"> - фонарь свечной</t>
  </si>
  <si>
    <t>Для организации интерактивной локации  "Фотосалон "Боевой блиндаж" потребуется в качестве реквизит фонарь свечной</t>
  </si>
  <si>
    <t xml:space="preserve"> - накидка волонтера "Бессмертный полк"</t>
  </si>
  <si>
    <t>Для организации шествия "Бессмертный полк" потребуется 20 накидок для волонтеров-координаторов шествия и флагоносцев.</t>
  </si>
  <si>
    <t xml:space="preserve"> -флаг "Бессмерный полк"</t>
  </si>
  <si>
    <t>Для оформления колонн шествия "Бессмертный полк" и торжественного мероприятия</t>
  </si>
  <si>
    <t xml:space="preserve"> - знамя Победы двустороннее (90х135)</t>
  </si>
  <si>
    <t xml:space="preserve"> - флаг георгиевский двусторонний  (90х135)</t>
  </si>
  <si>
    <t>Торжественный концерт в МБУК «КДЦ им. Вл. Высоцкого»  к 75-й годовщине Победы</t>
  </si>
  <si>
    <t>Литературно-музыкальный проект «Поэзия Победы» посвящен 75-й годовщине Победы. В течение года проходит конкурс чтецов и поэтов среди детей, молодежи и взрослых. Для качественного проведения мероприятия необходимы расходные материалы и наградная атрибутика, а также расходы подоговорам ГПХ .</t>
  </si>
  <si>
    <t>К 75-летию Победы планируется торжественный концерт с участием приглашенных артистов, сценариста, ведущих.</t>
  </si>
  <si>
    <t>гонорар приглашенным артистам</t>
  </si>
  <si>
    <t>изготовление фонограмм (2 шт.)</t>
  </si>
  <si>
    <t>Типографские услуги (изготовление афиш А3)</t>
  </si>
  <si>
    <t>Для информирования населения</t>
  </si>
  <si>
    <t>В программе концерта будет использован экран, сценические тематические баннеры для художественного обрамления экрана и кулис.</t>
  </si>
  <si>
    <t>сценические баннеры</t>
  </si>
  <si>
    <t>День защиты детей  (1 июня)</t>
  </si>
  <si>
    <t>ГПХ переданы из ФЭО ТТУ</t>
  </si>
  <si>
    <t xml:space="preserve"> - ведущий детской игровой  программы</t>
  </si>
  <si>
    <t>Детская игровая длится более 2 часов</t>
  </si>
  <si>
    <t>Для каждой интерактивной площадки выставляется палатка, столы, стулья и другой инвентарь для проведения программ и работы интерактивных площадок.</t>
  </si>
  <si>
    <t xml:space="preserve"> - фотограф</t>
  </si>
  <si>
    <t xml:space="preserve">Для размещения информации на сайте учреждения, Культура24, соц.сетях,  презентаций, а так же иллюстрации к пост и пресс- релизам необходимы фотоматериалы проводимых мероприятий.  </t>
  </si>
  <si>
    <t xml:space="preserve"> -организатор  интерактивной площадки</t>
  </si>
  <si>
    <t>На пл. Горняков организуется несколько интерактивных площадок "Спортивная", "Рисунок на асфальте", "Литературная".</t>
  </si>
  <si>
    <t>Наградная атрибутика (игрушки)</t>
  </si>
  <si>
    <t>Реквизит для проведения игровых программ (мелки для площадки "Рисунок на асфальте")</t>
  </si>
  <si>
    <t>Расходные материалы для художественного оформление (бумага, нож,  лезвия для ножа, веревка, кисти и др.)</t>
  </si>
  <si>
    <t>Расходные материалы потребуются для оформления интерактивных площадок на пл. Горняков</t>
  </si>
  <si>
    <r>
      <t xml:space="preserve"> </t>
    </r>
    <r>
      <rPr>
        <sz val="10"/>
        <rFont val="Times New Roman"/>
        <family val="1"/>
        <charset val="204"/>
      </rPr>
      <t>- фонтан из воздушных шаров</t>
    </r>
  </si>
  <si>
    <t>Требуется для оформления интерактивных площадок:  "Творческая" и "Детская игровая"</t>
  </si>
  <si>
    <t xml:space="preserve"> -праздничный баннер для уличной сцены 1.5х12.5м (800 руб. за кв. м )</t>
  </si>
  <si>
    <t>Для оформления главной праздничной концертной площадки (сцены)</t>
  </si>
  <si>
    <t xml:space="preserve"> - гирлянда из шаров (обрамление зеркала сцены) 19,2 м</t>
  </si>
  <si>
    <t>Уличные летние мероприятия предусматривают в программе  большое количество вокальных номеров. Мероприятие длится более 4 часов, заряда батарейки хватает примерно на  60-90 минут . Также предполагается  выступление массовых коллективов, что требует 10 микрофонов на сцене одновременно (для работы 1 микрофона требуется 2 батарейки)</t>
  </si>
  <si>
    <t xml:space="preserve"> - кабель микрофонный</t>
  </si>
  <si>
    <t>Наградная атрибутика (сувениры)</t>
  </si>
  <si>
    <t>сувенир "Тарелка с печатью"</t>
  </si>
  <si>
    <t>магнит с фото Талнаха (большой)</t>
  </si>
  <si>
    <t xml:space="preserve"> -изготовление макета афиши</t>
  </si>
  <si>
    <t>ведущий детской игровой программы</t>
  </si>
  <si>
    <t xml:space="preserve"> - организация работы  интерактивных площадок</t>
  </si>
  <si>
    <t>Изготовление афиш А3</t>
  </si>
  <si>
    <t>час</t>
  </si>
  <si>
    <t>Реквизит:</t>
  </si>
  <si>
    <t xml:space="preserve"> -цветы для возложения (2 шт.х15 чел.)</t>
  </si>
  <si>
    <t xml:space="preserve"> - шары для запуска</t>
  </si>
  <si>
    <t xml:space="preserve"> -полисилк</t>
  </si>
  <si>
    <t>Для оформления места возложения цветов</t>
  </si>
  <si>
    <t xml:space="preserve"> -Батарейки DURACELL Пальчик</t>
  </si>
  <si>
    <t xml:space="preserve">ведущий программы </t>
  </si>
  <si>
    <t>чел</t>
  </si>
  <si>
    <t>установка шатров</t>
  </si>
  <si>
    <t>погрузо-разгрузочные работы</t>
  </si>
  <si>
    <t>куратор интерактивной игровой площадки</t>
  </si>
  <si>
    <t>организатор мастер-классов</t>
  </si>
  <si>
    <t>Приобретение  расходных технических материалов (звуко-светотехническое обеспечение):</t>
  </si>
  <si>
    <t>батарейки АА пальчиковые</t>
  </si>
  <si>
    <t>Кроме мастер-классов предполагается концертная программа с участием ансамбля вокалистов, которые будут использовать головные микрофоны (2 батарейки в  1 микрофон), а также батарейки требуются для радиомикрофонов 2 ведущих</t>
  </si>
  <si>
    <t>Художественное оформление мероприятия, реквизит:</t>
  </si>
  <si>
    <t xml:space="preserve"> -шары гелиевые</t>
  </si>
  <si>
    <t xml:space="preserve"> -арка из шаров</t>
  </si>
  <si>
    <t>Для оформления сценической площадки, где будет проходить концертная программа</t>
  </si>
  <si>
    <t xml:space="preserve"> - расходные материалы на изготовление табличек с названиями интерактивных площадок (ДВП, самоклейка, скотч, саморезы, скобы и д.р.)</t>
  </si>
  <si>
    <t>Расходные материалы для мастер-классов (бумага, самоклейка, канцелярский клей, скотч, кисти, ножи канцелярские, ножницы и пр.)</t>
  </si>
  <si>
    <t>Для проведения 2 мастер-классов по ДПИ потребуются расходные материалы</t>
  </si>
  <si>
    <t>Строительные материалы ( клей, саморезы , краска, скобы и д.р.)</t>
  </si>
  <si>
    <t>Для оформления площадок мастер-классов потребуются расходные строителные материалы (в том числе для изготовления табличек с названием мастер-классов)</t>
  </si>
  <si>
    <t>Призовой фонд победителям конкурсов: 
сувениры</t>
  </si>
  <si>
    <t>Для поощрения самых активных и лучших участников игровых программ и мастер-классов</t>
  </si>
  <si>
    <t>Услуги (изготовление рекламной продукции):</t>
  </si>
  <si>
    <t>баннер с символикой праздника (реклама праздника)</t>
  </si>
  <si>
    <t>афиши А2</t>
  </si>
  <si>
    <t>Расходные материалы для художественного оформления</t>
  </si>
  <si>
    <t xml:space="preserve"> - шары воздушные</t>
  </si>
  <si>
    <t xml:space="preserve"> - Аракал</t>
  </si>
  <si>
    <t xml:space="preserve"> - ватман </t>
  </si>
  <si>
    <t xml:space="preserve"> - веревка для фотоинсталляции 100 м</t>
  </si>
  <si>
    <t>Для организации фотоинсталляции  (выставки фоторабот) в условиях улицы потребуется веревка для крепления на ней фотографий</t>
  </si>
  <si>
    <t xml:space="preserve"> - краска художественная акриловая (набор)</t>
  </si>
  <si>
    <t>Покраска прищепок  для организации фотоинсталляции</t>
  </si>
  <si>
    <t xml:space="preserve"> - бельевые прищепки для фотоинсталляции </t>
  </si>
  <si>
    <t>Для организации фотоинсталляции (для крепления фоторабот на веревке)</t>
  </si>
  <si>
    <t>Изготовление афиши А3</t>
  </si>
  <si>
    <t>Звукотехническое обеспечение Батарейки DURACELL Пальчик</t>
  </si>
  <si>
    <t>Уличные летние мероприятия предусматривают в программе  большое количество вокальных номеров. Мероприятие длится более 4 часов, заряда батарпейки хватает на 60-90 минут . Также предполагается  выступление массовых коллективов и выспупление звезд российской эстрады, что требует 10 микрофонов на сцене одновременно (для работы 1 микрофона требуется 2 батарейки)</t>
  </si>
  <si>
    <t>Для обоспечения коммутации звукового оборудования при проведении концерта гастрольных групп, "звезд".</t>
  </si>
  <si>
    <t xml:space="preserve"> - хозяйственные расходы: мешки, салфетки, щетки и др.</t>
  </si>
  <si>
    <t>хозяйственные расходы</t>
  </si>
  <si>
    <t xml:space="preserve">Для подготовки большой сцены и интерактивных площадок к мероприятияю потребуются расходные строительные материалы </t>
  </si>
  <si>
    <t xml:space="preserve"> - кабель</t>
  </si>
  <si>
    <t>Разработка концепции крупного уличного мероприятия с участием официальных лиц и приглашенных артистов, написание сценария мероприятия и игровых моментов.В штатном расписании отсутствует единица сценариста</t>
  </si>
  <si>
    <t>Для ведения праздничной программы требуется ведущий.В штатном расписании отсутствует единица ведущего</t>
  </si>
  <si>
    <t>артисты</t>
  </si>
  <si>
    <t>услуги фотографа и обработки фотографий</t>
  </si>
  <si>
    <t xml:space="preserve">Передано из ФЭО ТТУ.Для размещения информации на сайте учреждения, Культура24, соц.сетях,  презентаций, а так же иллюстрации к пост и пресс- релизам необходимы фотоматериалы проводимых масштабных мероприятий </t>
  </si>
  <si>
    <t>Погрузо-разгрузка аппаратуры, музыкальных инструментов, баннеров, художественного оформления площади требует не менее 4 человек , так как крупногабаритная аппаратура на летний период хранится в СК"Талнах".В штатном расписании отсутствует единица грузчика</t>
  </si>
  <si>
    <t>организаторы интерактивных площадок</t>
  </si>
  <si>
    <t>Требуется для организации работы интерактивных площадок (всего 2 ед.)</t>
  </si>
  <si>
    <t>Передано из ФЭО ТТУ.</t>
  </si>
  <si>
    <t>организация работы площадки "Чайная"</t>
  </si>
  <si>
    <t>Наградная атрибутика: сувенир северный</t>
  </si>
  <si>
    <t>Приобретение основных средств:</t>
  </si>
  <si>
    <t xml:space="preserve"> - Костюмы женские  для торжественных церемоний</t>
  </si>
  <si>
    <t>Приобретение костюмов для церемониальной группы (для награждений)</t>
  </si>
  <si>
    <t xml:space="preserve"> - Пюпитр</t>
  </si>
  <si>
    <t>Пюпитры необходимы для организации выступлений приглашенных артистов (вокалистов и инструменталистов)</t>
  </si>
  <si>
    <t>Приобретение выставочных стендов</t>
  </si>
  <si>
    <t>Художественное оформление фотозоны:</t>
  </si>
  <si>
    <t>Элементы системы Джокер для сборки стенда "Пресс-волл"(трубы, опоры, соединительные элементы, заглушки)</t>
  </si>
  <si>
    <t>Для сборки стенда "Прессволл", который будет использоваться для организации праздничной фотозоны в КДЦ и на площади Горняков</t>
  </si>
  <si>
    <t>баннер для стенда "Пресс-волл"</t>
  </si>
  <si>
    <t>День Горняка - район Талнах</t>
  </si>
  <si>
    <t>Звукотехническое обеспечение, хозяйственные расходы</t>
  </si>
  <si>
    <t>Уличные летние мероприятия предусматривают в программе  большое количество вокальных номеров. Мероприятие длится более 4 часов, заряда батарейки хватает на 60-90 минут . Также предполагается  выступление массовых коллективов и выступления гастрольных групп, что требует 10 микрофонов на сцене одновременно (для работы 1 микрофона требуется 2 батарейки)</t>
  </si>
  <si>
    <t xml:space="preserve"> - кабель dmx</t>
  </si>
  <si>
    <t>упак.</t>
  </si>
  <si>
    <t>Художественное оформление праздника</t>
  </si>
  <si>
    <t xml:space="preserve">  -шары фольгированные геливые</t>
  </si>
  <si>
    <t>В связи с празднованием 55-летия Талнаха потребуются фольгированные шары-звезды для украшения сцены и интерактивных зон и локаций.</t>
  </si>
  <si>
    <t xml:space="preserve"> -праздничный баннер для сцены  (800 руб. за кв. м )</t>
  </si>
  <si>
    <t xml:space="preserve">Оформление сцены  для проведения праздничной программы, посвященной Дню шахтера и  55-летию Талнаха. </t>
  </si>
  <si>
    <t xml:space="preserve"> - скотч</t>
  </si>
  <si>
    <t xml:space="preserve"> - самоклейка</t>
  </si>
  <si>
    <t>Строительные материалы (скобы, ДСП, саморезы, строительный скотч,  и др.)</t>
  </si>
  <si>
    <t xml:space="preserve">Для оформления большой сцены и интерактивных площадок потребуются расходные строителные материалы </t>
  </si>
  <si>
    <t xml:space="preserve">В связи с юбилеем Талнаха потребуется афиша для размещения большего объема информации и привлечения зрителя к участию в мероприятиях </t>
  </si>
  <si>
    <t>Потребуется два ведущих в связи с  обширной программой, посвященной юбилейным мероприятиям</t>
  </si>
  <si>
    <t>изготовление фонограммы (2 шт.)</t>
  </si>
  <si>
    <t>Изготовление минусовок (2 шт)тематических песен для Народного ансамбля народной песни "Раздолье" или Образцовой вокально-эстрадной студии "Аквамарин", их оркестровка и аранжировка. Нет в штатном расписании единицы аранжировщика.</t>
  </si>
  <si>
    <t>Передано из ФЭО ТТУ</t>
  </si>
  <si>
    <t>организация интерактивных площадок</t>
  </si>
  <si>
    <t xml:space="preserve"> - фольгированные воздушные фигурные шары (Осенние листья)</t>
  </si>
  <si>
    <t>рул</t>
  </si>
  <si>
    <t>Оформление сценической площадки и фойе КДЦ</t>
  </si>
  <si>
    <t xml:space="preserve"> - фонтаны из шаров </t>
  </si>
  <si>
    <t>Расходные материалы для проведения мастер-классов (бумага, клей ПВА, краски гуашевые и т.п.)</t>
  </si>
  <si>
    <t>Для проведения  мастер-класса по ДПИ потребуются расходные материалы</t>
  </si>
  <si>
    <t>Звукотехническое обеспечение Батарейки DURACELL пальчик</t>
  </si>
  <si>
    <t>Одновременно на сцене выступают 10 участников ансамбля "Раздолье".  В одном микрофоне требуется 2 батарейки</t>
  </si>
  <si>
    <t xml:space="preserve"> - лампы</t>
  </si>
  <si>
    <t>Изготовление пригласительных билетов</t>
  </si>
  <si>
    <t xml:space="preserve">Для организации людей пожилого возраста в качестве зрителей и участников программы в КДЦ. Ранее мероприятие проходило в малом формате в помещении библиотеки для 50 -80 чел. </t>
  </si>
  <si>
    <t>Призовой фонд: наборы для рукоделия</t>
  </si>
  <si>
    <t>изготовление видеоряда</t>
  </si>
  <si>
    <t>организатор мастер-класса</t>
  </si>
  <si>
    <t>Для организации и проведения мастер-классов приглашаются мастера ДПИ</t>
  </si>
  <si>
    <t xml:space="preserve"> - написание сценария</t>
  </si>
  <si>
    <t xml:space="preserve"> - организация работы интерактивных площадок</t>
  </si>
  <si>
    <t xml:space="preserve"> -Батарейки DURACELL пальчик</t>
  </si>
  <si>
    <t>Планируется выступляния вокально-эстрадной студии "Аквамарин" (8 чел.)</t>
  </si>
  <si>
    <t>Художественное оформление: самоклейка</t>
  </si>
  <si>
    <t xml:space="preserve">  - полисилк</t>
  </si>
  <si>
    <t>Для праздничного оформления сценической площадки</t>
  </si>
  <si>
    <t>Призовой фонд ( развивающие игры, наборы для творчества)</t>
  </si>
  <si>
    <t>Для поощрения участников игровых программ</t>
  </si>
  <si>
    <t xml:space="preserve"> - изготовление сценария</t>
  </si>
  <si>
    <t xml:space="preserve"> - изготовление макета афиши </t>
  </si>
  <si>
    <t xml:space="preserve"> - изготовление видеоряда</t>
  </si>
  <si>
    <t>В штате учреждения нет ставки видеоинженера. Для  видеомонтажа приглашается специалист. Видеоряд изготавливается в соответствии с концепцией мероприятия, для каждого мероприятия отдельно.</t>
  </si>
  <si>
    <t xml:space="preserve"> - разъем</t>
  </si>
  <si>
    <t>Одновременно на сцене будут выступать 10 участников ансамбля "Раздолье".  В одном микрофоне требуется 2 батарейки.</t>
  </si>
  <si>
    <t xml:space="preserve"> - лампа </t>
  </si>
  <si>
    <t xml:space="preserve"> - баннер с национальными флагами (800 руб. за кв.м)</t>
  </si>
  <si>
    <t>Баннеры с изображением флагов территориальных единиц России требуются для оформления сценического пространства по двум сторонам сцены (4 кулисы).</t>
  </si>
  <si>
    <t xml:space="preserve"> - гирлянды флажковые</t>
  </si>
  <si>
    <t>Пригласительные билеты и афиши:</t>
  </si>
  <si>
    <t xml:space="preserve"> - изготовление афиша А2 полноцвет</t>
  </si>
  <si>
    <t xml:space="preserve"> - пригласительные билеты А6</t>
  </si>
  <si>
    <t>Будут распечатаны пригласительные на листе формата А6. На каждом листе 2 пригласительных</t>
  </si>
  <si>
    <t>В соответствии со сценарным ходом и замыслом режиссера потребуется участие двух ведущих (мужчины и женщины) для диалога.</t>
  </si>
  <si>
    <t>Изготовление афиш</t>
  </si>
  <si>
    <t>полисилк</t>
  </si>
  <si>
    <t>Для праздничного оформления сцены и фойе</t>
  </si>
  <si>
    <t>Звукотехническое обеспечение Батарейки DURACELL Крона</t>
  </si>
  <si>
    <t>Предполагается участие в программе вокального коллектива численностью 10 чел. (по 2 батарейки на 1 микрофон)</t>
  </si>
  <si>
    <t xml:space="preserve"> -Батарейки DURACELL АА</t>
  </si>
  <si>
    <t xml:space="preserve">Приобретение основных средств: </t>
  </si>
  <si>
    <t xml:space="preserve"> -светодиодный прожектор уличный 200ВТ</t>
  </si>
  <si>
    <t>необходим для освещения уличной программы</t>
  </si>
  <si>
    <t xml:space="preserve"> -костюм Снегурочки утепленный</t>
  </si>
  <si>
    <t>необходимо обновить костюм, который не менялся уже несколько лет</t>
  </si>
  <si>
    <t xml:space="preserve"> -артисты</t>
  </si>
  <si>
    <t xml:space="preserve"> - организаторы работы интерактивных площадок</t>
  </si>
  <si>
    <t>- организация работы  площадки "Чайная"</t>
  </si>
  <si>
    <t>страховые взносы - 27,1%</t>
  </si>
  <si>
    <t>Сцен.одежда - борода и парик Деда Мороза (Реквизит (постижерские изделия)</t>
  </si>
  <si>
    <t>Изготовление афиш А2 полноцвет</t>
  </si>
  <si>
    <t xml:space="preserve"> - пневмохлопушки большие</t>
  </si>
  <si>
    <t xml:space="preserve"> -изготовление и запись специальной фонограммы (2 ед)</t>
  </si>
  <si>
    <t>Подготовка и запись двух специальных фонограмм "минус" для исполнения артистами на представлении двух песен.</t>
  </si>
  <si>
    <t xml:space="preserve">  - мишура "Серебро"</t>
  </si>
  <si>
    <t xml:space="preserve"> - новогоднее украшение "Снежинка" </t>
  </si>
  <si>
    <t xml:space="preserve"> - новогоднее украшение "Гирлянда"  3 м</t>
  </si>
  <si>
    <t xml:space="preserve"> - новогодние украшения (новогодний декор, украшения из фольги, бюрдюр-растяжка, декоративный занавес и др. ) в ассортименте</t>
  </si>
  <si>
    <t>Традиционно в фойе устанавливается елка, которая является центром фотозоны. Фотозона и елка каждыйгод оформляются по-новому,чтобы привлечь большее число людей в учреждение. Необходимо обновить украшения для фотозоны</t>
  </si>
  <si>
    <t>В театрализованном представлении принимают участие 10 артистов (персонажей). Для каждого артиста требуется персональный головной микрофон. Для его работы требуется 2 батарейки. Будет проведено 2 представления и минимум 2 репетиции. Заряда батарейки хватает на 60-90 мин. непрерывной работы.</t>
  </si>
  <si>
    <t>Для обеспечения коммутации звукового и светового оборудования</t>
  </si>
  <si>
    <t>Наградная атрибутика: сладкий новогодний подарок, игрушки мягкие в ассортименте</t>
  </si>
  <si>
    <t>Новогодние представления увидят дети из многодетных, малообеспеченных и неблагополучных семей, дети-сироты и дети-инвалиды. Каждому ребенку Дед Мороз и Снегурочка подарят сладкий подарок.</t>
  </si>
  <si>
    <t>Елочные украшения в ассортименте</t>
  </si>
  <si>
    <t>Для новой постановки театрализованного представления требуются сценические костюмы новых сказочных персонажей.</t>
  </si>
  <si>
    <t>Праздничное мероприятие, посвященное Юбилею Талнаха (55 лет). Открытие юбилейного года</t>
  </si>
  <si>
    <t>запись фонограммы/ролика</t>
  </si>
  <si>
    <t>Чествование активных участников городских мероприятий по итогам года. Закрытие юбилейного года.</t>
  </si>
  <si>
    <t>Страховые взносы во внебюджетные фонды 27,1%</t>
  </si>
  <si>
    <t>День Таймыра</t>
  </si>
  <si>
    <t>Участие коллективов в проведении  мероприятий "Проект двух территорий: Таймыр и Норильск"</t>
  </si>
  <si>
    <t>Костюмы для вокальных коллективовКДЦ им. Вл. Высоцкого</t>
  </si>
  <si>
    <t>компл.</t>
  </si>
  <si>
    <t>Комплект сценических костюмов для ансамбля народной песни "Раздолье" для участия в мероприятиях, проводимых на территории Дудинки (в 2019 году коллектив дважды выезжал в г. Дудинку и участвовал в культурно-массовых мероприятиях)</t>
  </si>
  <si>
    <t>головные уборы</t>
  </si>
  <si>
    <t>Обоснование (расчет) расходов на транспортные услуги на 2020-2022 годы , Доп.Кр.922, МП "Развитие культуры",  ПГ</t>
  </si>
  <si>
    <t>МБУК "Культурно-досуговый центр имени Владмира Высоцкого"</t>
  </si>
  <si>
    <t>Средств, выделенных по бюджету на услугу в 2019 году недостаточно.Договор заключен на 2019 год только до 31 октября 2019 года включительно. За услуги оказанные в ноябре и декабре оплата будет осуществлятся из внебюджетных средств.  Рост за счет увеличения  НДС на 2%.</t>
  </si>
  <si>
    <t>Прямой канал: факс</t>
  </si>
  <si>
    <t xml:space="preserve">2018 - оплата услуг производилась из бюджета.
На 2019 год - средства из  бюджета не выделялись. Оплата производится из внебюджетных средств.
2020 -  необходимо предусмотреть бюджетные средства для выполнения муниципального задания ( для подготовки мероприятий, осуществления закупок). </t>
  </si>
  <si>
    <t>Прямой канал (указать тех.параметры)
-ежемесячная абонентская плата за доступ в сеть Интернет с гарантированной скоростью не менее 2 Мбит/сек. без учета общего объема информации на объекте;
-круглосуточный доступ к Услугам передачи данных по протоколу IP;
-поддержку клиент серверной пары адресов для организации связи с Абонентом;
-предоставление до 2-х статических ip-адресов.</t>
  </si>
  <si>
    <t xml:space="preserve">2018 - оплата из внебюджета. 
2019 - оплата производится из внебюджетных средств (дефицит будет погашен за счет экономии по услуге видеонаблюдения).
2020 - 50% оплаты услуги необходимо предусмотреть из бюджетных источников, т.к. для выполнения муниципального задания вся переписка и обмен документами (в том числе закупки из бюджета) производится через Интернет. </t>
  </si>
  <si>
    <t xml:space="preserve">На 2019 год средства на приобретение конвертов не выделялись. Конверты и марки в 2019 году приобретались за счет внебюджетных средств на сумму 20 000,00 руб. (В среднем в год требуется 300 конвертов для почтовых отправлений с марками,сумма которых зависит от места и веса  почтового отправления).
2020 - необходимо предусмотреть 50% на приобретение конвертов за счет бюджета. </t>
  </si>
  <si>
    <t>Прочие</t>
  </si>
  <si>
    <t>За абон.обслуживание по ТП "Квалифицированный Классик"</t>
  </si>
  <si>
    <t>цифровой канал</t>
  </si>
  <si>
    <t>В 2020 году средства не понадобятся, т.к.в августе 2019 года запланировано окончание работ по монтажу внутренней системы видеонаблюдения.</t>
  </si>
  <si>
    <t>МБУК "КДЦ «им. Вл. Высоцкого», ул. Строителей, 17</t>
  </si>
  <si>
    <t>по содержанию и техническому обслуживанию помещений,  Доп.Кр.927, МП "Развитие культуры"</t>
  </si>
  <si>
    <t>подпись</t>
  </si>
  <si>
    <t>Обоснование (расчет) плановых показателей по расходам на коммунальные услуги МБУК "КДЦ им. Вл. Высоцкого" на 2020-2022 годы, МП "Развитие культуры"</t>
  </si>
  <si>
    <t>МБУК "КДЦ «им. Вл. Высоцкого»</t>
  </si>
  <si>
    <t xml:space="preserve">МБУК "Культурно-досуговый центр им. Вл. Высоцкого" (район Талнах, ул. Строителей, 17) </t>
  </si>
  <si>
    <t>37,1/9,275</t>
  </si>
  <si>
    <t>МБУК "Культурно-досуговый центр им. Вл. Высоцкого" (район Талнах, ул.Строителей, 25)</t>
  </si>
  <si>
    <t>МБУК "КДЦ им. Вл. Высоцкого», СВОД</t>
  </si>
  <si>
    <t xml:space="preserve">Обоснование расходов по прочим услугам, связанным с содержанием и техническим обслуживанием помещений </t>
  </si>
  <si>
    <t>Управление по делам культуры и искусства Администрации города Норильска</t>
  </si>
  <si>
    <t>МБУК "КДЦ им.Высоцкого", Строительная, 17</t>
  </si>
  <si>
    <t>МБУК "КДЦ им.Высоцкого", Таймырская, 24</t>
  </si>
  <si>
    <t>МБУК "КДЦ им.Высоцкого", Строительная, 25</t>
  </si>
  <si>
    <t>МБУК "Культурно-досуговый центр им. В. Высоцкого"</t>
  </si>
  <si>
    <t>МБУК "КДЦ им. Вл. Высоцкого", ул. Строителей, 17</t>
  </si>
  <si>
    <t>МБУК "КДЦ им. Вл. Высоцкого", ул. Строителей, 25</t>
  </si>
  <si>
    <t>МБУК "КДЦ им. Вл. Высоцкого", ул. Таймырская, 24</t>
  </si>
  <si>
    <t>Монтаж охранной сигнализации и восстановление работоспособности</t>
  </si>
  <si>
    <t>Размещение ТБО полигон ООО «Байкал-2000", в т.ч.:</t>
  </si>
  <si>
    <t xml:space="preserve">Увеличение расходов связано с окончанием капитального ремонта, выполняемого в 2018 во вновь полученном помещении по адресу ул. Строителей, 25, клубную деятельность в котором планируется начать с сентября 2018  </t>
  </si>
  <si>
    <t>Обучение пожарно-техническому минимуму</t>
  </si>
  <si>
    <t>Изготовление и монтаж фасадной вывески</t>
  </si>
  <si>
    <t>усл.</t>
  </si>
  <si>
    <t>Проект технического отчета по определению тепловых нагрузок на систему отопления и расходов холодной и горячей воды</t>
  </si>
  <si>
    <t>усл</t>
  </si>
  <si>
    <t>Разработка проекта нормативов образования отходов и лимитов на их размещение (ПНООЛР)</t>
  </si>
  <si>
    <t>Повышение квалификации специалистов</t>
  </si>
  <si>
    <t>В соответствии со Стандартами качества предоставления муниципальных услуг в области культуры (распоряжение Администрации города Норильска от 29 февраля 2016 г. N 812) специалисты культуры должны 1 раз в пять лет проходить повышение квалификации</t>
  </si>
  <si>
    <t xml:space="preserve">Программное обеспечение </t>
  </si>
  <si>
    <t xml:space="preserve">Программное обеспечение Lightroom Adobe Photoshop необходимо для работы фотоклуба КДЦ им. Вл. Высоцкого. Программное обеспечение Steinberg Pro 10 (Box) и программное обеспечение iZotop Nectar 3 (Box) в 2020 году начнет свою работу студия звукозаписи МБУК "КДЦ им. Вл. Высоцкого" (новый творческий проект). Для ее работы потребуется приобретение специального программного обеспечения,  которое позволит производить запись фонограмм для двух вокальных коллективов учреждения (Аквамарин и Раздолье), записывать и обрабатывать специальные фонограммы для проведения культурно-массовых мероприятий. Самостоятельная запись фонограмм коллективов позволит экономить средства учреждения ( т.к. запись одной фонограммы стоит в среднем около 5000,00 руб.) </t>
  </si>
  <si>
    <t>Молодежная программа "Талнах- территория здоровья"</t>
  </si>
  <si>
    <t xml:space="preserve">  -ведущий программы </t>
  </si>
  <si>
    <t xml:space="preserve"> -организатор интерактивной площадки</t>
  </si>
  <si>
    <t>Для организации и проведения молодежного интерактива на пл. Горняков</t>
  </si>
  <si>
    <t>Приобретение  расходных технических материалов (звукотехническое обеспечение):</t>
  </si>
  <si>
    <t xml:space="preserve"> -батарейка "Duracell" пальчик</t>
  </si>
  <si>
    <t xml:space="preserve"> -разъемы</t>
  </si>
  <si>
    <t xml:space="preserve"> -пленка "Orakal"</t>
  </si>
  <si>
    <t>Реквизит: маркеры</t>
  </si>
  <si>
    <t xml:space="preserve">Призовой фонд: </t>
  </si>
  <si>
    <t>кружка сувенирная</t>
  </si>
  <si>
    <t>сувенирные магниты</t>
  </si>
  <si>
    <t>Всемирный день борьбы со СПИД. Молодежная программа "Здоровая жизнь для тебя!"</t>
  </si>
  <si>
    <t>Элемент питания батарейка "Duracell" пальчик</t>
  </si>
  <si>
    <t>разъем XLR(F), (М)</t>
  </si>
  <si>
    <t>пленка "Orakal"</t>
  </si>
  <si>
    <t>расходные материалы: (брус, ДВП, ватман, кисти, скобы, скотч)</t>
  </si>
  <si>
    <t>баннер</t>
  </si>
  <si>
    <t>Реквизит: фоторамки</t>
  </si>
  <si>
    <t>Фестиваль детского творчества "Веснушки"</t>
  </si>
  <si>
    <t>Для организации и проведения мастер-классов приглашается мастер ДПИ</t>
  </si>
  <si>
    <t>шоколад</t>
  </si>
  <si>
    <t>Количество участников фестиваля увеличилось. Для поощрения каждого ребенка потребуется 150 сладких призов</t>
  </si>
  <si>
    <t>фоторамка</t>
  </si>
  <si>
    <t>Для вручения дипломов и благодарственных писем учреждениям и руководителям коллективов, принимавшим участие в фестивале.  С каждым годом число участников  увеличивается.</t>
  </si>
  <si>
    <t>игрушки, развивающие игры</t>
  </si>
  <si>
    <t>дипломы, благодарственные письма</t>
  </si>
  <si>
    <t>мягкие игрушки, развивающие игры</t>
  </si>
  <si>
    <t>Для организации зрителя и во избежание конфликтных ситуаций (приходит зрителя больше, чем имеется зрительских мест) требуется изготовить пригласительные билеты на бумаге формата А6 (на одном листе 2 пригласительных).</t>
  </si>
  <si>
    <t xml:space="preserve">Для оформлния фойе и зрительного зала </t>
  </si>
  <si>
    <t>шары гелиевые</t>
  </si>
  <si>
    <t>Приобретение расходных материалов (звукотехнические)</t>
  </si>
  <si>
    <t>В программе фестиваля  большое количество вокальных номеров. Мероприятие требует проведения как минимум двух репетиций. Заряда батарейки хватает примерно на 60-90 минут . Также предполагается  выступление массовых коллективов, что требует 10 микрофонов на сцене одновременно (для работы 1 микрофона требуется 2 батарейки)</t>
  </si>
  <si>
    <t>разъем</t>
  </si>
  <si>
    <t>Для проведения мастер-классов по изготовлению игрушки и росписи потребуются соответствующие расходные материалы (клеевые стержни для клеевого пистолета, акриловые краски, бумага  и т.п.)</t>
  </si>
  <si>
    <t>Расходные материалы для проведения мастер-классов</t>
  </si>
  <si>
    <t xml:space="preserve">Фестиваль декоративно-прикладного творчества "Радуга талантов" </t>
  </si>
  <si>
    <t>изготовление макетов афиши и пригласительного</t>
  </si>
  <si>
    <t>В штате учреждения нет ставки видеоинженера и на видеомонтаж приглашается специалист. Видеоряд изготавливается в соответствии с концепцией мероприятия, для кажого мероприятия отдельно. Стоимость услуги зависит от объема видеоматериала.</t>
  </si>
  <si>
    <t>наборы для рукоделия "Вышивка", "Вышивка бисером", "Алмазная вышивка", "Валяние" и д.р.</t>
  </si>
  <si>
    <t>Для награждения самых активных и лучших участников фестиваля</t>
  </si>
  <si>
    <t>шары воздушные</t>
  </si>
  <si>
    <t>пленка полисилк 1,5 м х 50 м</t>
  </si>
  <si>
    <t xml:space="preserve">Типографские услуги : печать афиш </t>
  </si>
  <si>
    <t>Для информирования жителей о проводимом мероприятии</t>
  </si>
  <si>
    <t>Предполагается участие вокального коллектива из 10 чел. на церемонии награждения участников фестиваля</t>
  </si>
  <si>
    <t>светофильтры</t>
  </si>
  <si>
    <t>Фестиваль авторской песни "Талнахская капель"</t>
  </si>
  <si>
    <t>сценарная подготовка</t>
  </si>
  <si>
    <t>афиши А3</t>
  </si>
  <si>
    <t>шары  гелиевые</t>
  </si>
  <si>
    <t>печать дипломов</t>
  </si>
  <si>
    <t>печать благодарственных писем</t>
  </si>
  <si>
    <t>рекламный баннер</t>
  </si>
  <si>
    <t>цветы</t>
  </si>
  <si>
    <t xml:space="preserve"> - рамка А4</t>
  </si>
  <si>
    <t xml:space="preserve"> - сувениры (кружка)</t>
  </si>
  <si>
    <t xml:space="preserve"> -лампа для светового оборудования</t>
  </si>
  <si>
    <t xml:space="preserve">День рождения  Владимира Высоцкого </t>
  </si>
  <si>
    <t>батарейки АА</t>
  </si>
  <si>
    <t>струны для гитары</t>
  </si>
  <si>
    <t>Художественное оформление (расходные материалы для оформления сцены)</t>
  </si>
  <si>
    <t>пленка "Аракал"</t>
  </si>
  <si>
    <t>Типорафские услуги</t>
  </si>
  <si>
    <t>изготовление афиш</t>
  </si>
  <si>
    <t>книги</t>
  </si>
  <si>
    <t xml:space="preserve">День памяти  Владимира Высоцкого </t>
  </si>
  <si>
    <t>лампы для светового оборудования</t>
  </si>
  <si>
    <t>Уличный  фестиваль народных талантов"Северное лето"</t>
  </si>
  <si>
    <t xml:space="preserve">Приобретение основных средств </t>
  </si>
  <si>
    <t>Костюмы для творческих  коллективов КДЦ им. Вл. Высоцкого</t>
  </si>
  <si>
    <t xml:space="preserve"> -погрузо-разгрузочные работы</t>
  </si>
  <si>
    <t xml:space="preserve"> -аниматоры</t>
  </si>
  <si>
    <t xml:space="preserve">кружка с логотипом фестиваля (фотопечать) </t>
  </si>
  <si>
    <t>Приобретение расходных материалов</t>
  </si>
  <si>
    <t>ложки деревянные</t>
  </si>
  <si>
    <t>доски разделочные</t>
  </si>
  <si>
    <t>Участие вокальной студии "Аквамарин" в международном конкурсе</t>
  </si>
  <si>
    <t xml:space="preserve"> - проезд (дети)</t>
  </si>
  <si>
    <t xml:space="preserve"> - найм жилыъх помещений (7 суток)</t>
  </si>
  <si>
    <t>Суточные сопровождающие (7 суток)</t>
  </si>
  <si>
    <t>Оплата проезда сопровождающих лиц</t>
  </si>
  <si>
    <t>Проживание в служебных командировках (7 суток)</t>
  </si>
  <si>
    <t>Типографические услуги</t>
  </si>
  <si>
    <t>Изготовление флаеров</t>
  </si>
  <si>
    <t>Изготовление открыток с изображением ягод</t>
  </si>
  <si>
    <t>Изготовление тантамаресок</t>
  </si>
  <si>
    <t>Рамки для дипломов, благодарственных писем</t>
  </si>
  <si>
    <t>Для поощрения лучших участников творческих площадок "Ягодный позитив" и "Ягодный ликбез"</t>
  </si>
  <si>
    <t>детские книги о Севере</t>
  </si>
  <si>
    <t>Расходные материалы для площадки "Ягодный позитив"</t>
  </si>
  <si>
    <t>Цветная бумага, набор</t>
  </si>
  <si>
    <t>Клей-карандаш</t>
  </si>
  <si>
    <t>Ножницы детские</t>
  </si>
  <si>
    <t>Карандаши</t>
  </si>
  <si>
    <t>Проволка на катушке</t>
  </si>
  <si>
    <t>Клей "Момент"</t>
  </si>
  <si>
    <t>Фетр</t>
  </si>
  <si>
    <t>Фурнитура для броши</t>
  </si>
  <si>
    <t>Пуговицы</t>
  </si>
  <si>
    <t>Нитки</t>
  </si>
  <si>
    <t>Материалы декоративные, набор</t>
  </si>
  <si>
    <t>Расходные материалы для площадки "Ягодный ликбез"</t>
  </si>
  <si>
    <t>Картон структурированный</t>
  </si>
  <si>
    <t>Клей ПВА</t>
  </si>
  <si>
    <t>Файл А4</t>
  </si>
  <si>
    <t>Шариковые ручки</t>
  </si>
  <si>
    <t>Простой карандаш</t>
  </si>
  <si>
    <t>Скотч широкий</t>
  </si>
  <si>
    <t>Скотч узкий</t>
  </si>
  <si>
    <t>Ластик</t>
  </si>
  <si>
    <t>Конкурс "Фотодом"</t>
  </si>
  <si>
    <t>изготовление сценария презентации фотовыставки и церемонии награждения</t>
  </si>
  <si>
    <t>ведущий презентации фотовыставки и церемонии награждения</t>
  </si>
  <si>
    <t>макет афиши, пригласительного билета, диплома и благодарственного письма</t>
  </si>
  <si>
    <t>обработка и фотомонтаж цифровых изображений для презентации выставки и церемонии награждения</t>
  </si>
  <si>
    <t>Для оформления малой сценической площадки на церемонии награждения победителей конкурса</t>
  </si>
  <si>
    <t>Типографские  услуги</t>
  </si>
  <si>
    <t>фотопечать</t>
  </si>
  <si>
    <t>фоторамки</t>
  </si>
  <si>
    <t>пакеты подарочные</t>
  </si>
  <si>
    <t>ценные призы (цифровая фоторамка)</t>
  </si>
  <si>
    <t>В 2020 юбилейном году (55-летие Талнаха) планируется увеличить количество конкурсных номинаций (до 5)  и ожидается увеличение числа участников конкурса. В связи с этим потребуется большее количество призов.</t>
  </si>
  <si>
    <t>поощрительные призы (сувенир конкурса)</t>
  </si>
  <si>
    <t>Сувениры требуются для поощрения активных участников конкурса, не занявших призовых мест, и их стимулирования к дальнейшему участию</t>
  </si>
  <si>
    <t>Для поощрения лучших участников конкурса</t>
  </si>
  <si>
    <t>Турнир по современным танцевальным направлениям "Сияние севера"</t>
  </si>
  <si>
    <t>Турнир по современным танцевальным направлениям «Сияние Севера» проводится с 2008 года. Турнир проходит в 2 дня и собирает лучшие коллективы по современным танцевальным направлениям большого Норильска. 
      Учредителем турнира является Талнахское территориальное управление Администрации города Норильска.
        Ежегодно в Турнире принимают участие более 500 человек.
ГПХ переданы ТТУ.</t>
  </si>
  <si>
    <t xml:space="preserve"> - организация работы жюри конкурса</t>
  </si>
  <si>
    <t xml:space="preserve"> - подготовка видио материала (презентации)</t>
  </si>
  <si>
    <t>Фестиваль "Горизонты успеха"</t>
  </si>
  <si>
    <t xml:space="preserve">Мероприятие проводится по заказу ТТУ.
Фестиваль проводится на территории района Талнах с 2011 года, в рамках реализации долгосрочного воспитательного проекта «Школьный корабль XXI века».   На фестивале  награждаются победители в 4-х номинациях: «Маленький герой»;  «Любимец публики»; «Лидер с большой буквы»;  «Навстречу открытиям».
ГПХ переданы ТТУ
</t>
  </si>
  <si>
    <t>Фестиваль "Творческий Талнах"</t>
  </si>
  <si>
    <t xml:space="preserve">Фестиваль проводится с 2006 года. Учредитель фестиваля МУ «Талнахское территориальное управление Администрации города Норильска».
"Творческий Талнах" - это праздник творчества,  чествование воспитанников – выпускников хореографических, вокальных и творческих объединений, которые на протяжении многих лет достойно представляли Большой Норильск в разных городах, странах, принимали активное участие в культурной жизни Норильска.
  Ежегодно в фестивале принимают участие от 12 до 15 творческих коллективов, около 500 участников.
ГПХ переданы ТТУ.
</t>
  </si>
  <si>
    <t>Праздничное мероприятие, посв. Дню работников ЖКХ</t>
  </si>
  <si>
    <t xml:space="preserve">Мероприятие проводится по заказу ТТУ с 2011 года с целью поздравления работников управляющих компаний (на территории района Талнах  2 управляющих компании) с профессиональным праздником. ГПХ переданы ТТУ.  </t>
  </si>
  <si>
    <t>Расходы, связанные с юбилейными датами и культурно-массовыми мероприятиями (приобретение цветов и рамок)</t>
  </si>
  <si>
    <t>ВСЕГО ПО ОТРАСЛИ</t>
  </si>
  <si>
    <t>Высоцкий</t>
  </si>
  <si>
    <t>Обоснование расходов по договорам ГПХ, Доп.Кр.955, МП "Развитие культуры", Стимулирование</t>
  </si>
  <si>
    <t>наркомания</t>
  </si>
  <si>
    <t>СВОД 963</t>
  </si>
  <si>
    <t>Обоснование расходов на выплату суточных, а также денежных средств на питание (при невозможности приобретения услуг по его организации), а также компенсация расходов на проезд и проживание в жилых помещениях (найм жилого помещения) спортсменам и студентам при их направлении на различного рода мероприятия (соревнования, олимпиады, учебную практику и иные мероприятия) и приглашенным лицам, Доп.Кр.966, МП "Развитие культуры", Стимулирование</t>
  </si>
  <si>
    <t>Обоснование расходов га приобретение основных средств, Доп.Кр.971, МП "Развитие культуры", ПГ</t>
  </si>
  <si>
    <t>Папка уголок</t>
  </si>
  <si>
    <t>точилка для карандаша</t>
  </si>
  <si>
    <t>Бумага офисная А4</t>
  </si>
  <si>
    <t>Бумага офисная А3</t>
  </si>
  <si>
    <t>ручка гелевая</t>
  </si>
  <si>
    <t>нож канцелярский</t>
  </si>
  <si>
    <t>скотч широкий</t>
  </si>
  <si>
    <t>шайба увеличенная d12</t>
  </si>
  <si>
    <t>колодка клеммная 6 мм</t>
  </si>
  <si>
    <t>Щетка для пола</t>
  </si>
  <si>
    <t>Тряпка для пола</t>
  </si>
  <si>
    <t>Удлинитель</t>
  </si>
  <si>
    <t>степлер №24</t>
  </si>
  <si>
    <t>валик</t>
  </si>
  <si>
    <t>болт с шестигранной головкой</t>
  </si>
  <si>
    <t>батарея</t>
  </si>
  <si>
    <t>анкер болт с гайкой</t>
  </si>
  <si>
    <t>шайба увеличенная d10</t>
  </si>
  <si>
    <t>жесткий диск</t>
  </si>
  <si>
    <t>Саморез (пакет)</t>
  </si>
  <si>
    <t>файлы</t>
  </si>
  <si>
    <t>скобы для степлера № 10</t>
  </si>
  <si>
    <t>ручка шариковая</t>
  </si>
  <si>
    <t>Веник Сорго 3-х лучевой Люкс</t>
  </si>
  <si>
    <t xml:space="preserve">мешки д/строительного мусора </t>
  </si>
  <si>
    <t>замок накладной</t>
  </si>
  <si>
    <t>замок навесной</t>
  </si>
  <si>
    <t>пуговицы</t>
  </si>
  <si>
    <t>Картридж HP 85A</t>
  </si>
  <si>
    <t>Монитор</t>
  </si>
  <si>
    <t>Мистер Мускул д/стекол</t>
  </si>
  <si>
    <t>скотч 19*33мм</t>
  </si>
  <si>
    <t>Папка регистратор</t>
  </si>
  <si>
    <t>Салфетка "Микрофибра"</t>
  </si>
  <si>
    <t>Мешки для мусора</t>
  </si>
  <si>
    <t>Колер</t>
  </si>
  <si>
    <t>бумага цветная</t>
  </si>
  <si>
    <t>скотч узкий</t>
  </si>
  <si>
    <t>маркер</t>
  </si>
  <si>
    <t>сифон</t>
  </si>
  <si>
    <t>сердцевина замка</t>
  </si>
  <si>
    <t>эмаль аэрозоль</t>
  </si>
  <si>
    <t>салфетки</t>
  </si>
  <si>
    <t>самоклейка</t>
  </si>
  <si>
    <t>банер</t>
  </si>
  <si>
    <t xml:space="preserve">Системный блок </t>
  </si>
  <si>
    <t>карандаш механический</t>
  </si>
  <si>
    <t>Цилиндровый механизм</t>
  </si>
  <si>
    <t xml:space="preserve">Салфетки влажные </t>
  </si>
  <si>
    <t>шайбы цинк увеличенная d8</t>
  </si>
  <si>
    <t>Швабра для мытья пола деревянная</t>
  </si>
  <si>
    <t>Пена монтажная</t>
  </si>
  <si>
    <t>Грунт для цветов</t>
  </si>
  <si>
    <t>МБУК "Культурно-досуговый центр им. В. Высоцкого"/ штатная численность 25 б-т 5 в-т/2346,3 кв.м.</t>
  </si>
  <si>
    <t>Картридж Cartidge HP LJ Pro 1102/M1132/1212/1214</t>
  </si>
  <si>
    <t>Тонер-картридж DocuCenter голубой/1694</t>
  </si>
  <si>
    <t>Тонер-картридж DocuCenter желтый/1696</t>
  </si>
  <si>
    <t>Тонер-картридж DocuCenter пурпурный/1695</t>
  </si>
  <si>
    <t>Тонер-картридж DocuCenter черный/1693</t>
  </si>
  <si>
    <t>Тонер-картридж Xerox WC 7545/7556 черный, 006R01517</t>
  </si>
  <si>
    <t>Тонер-картридж Xerox WC 7545/7556 желтый, 006R01518</t>
  </si>
  <si>
    <t>Тонер-картридж Xerox WC 7545/7556 красный, 006R01519</t>
  </si>
  <si>
    <t>Тонер-картридж Xerox WC 7545/7556 синий, 006R01520</t>
  </si>
  <si>
    <t>Картридж Samsung SCX 4200</t>
  </si>
  <si>
    <t>Тонер-картридж для Хеrox SC 2020 черный</t>
  </si>
  <si>
    <t>Тонер-картридж для Хеrox SC 2020 цветной</t>
  </si>
  <si>
    <t>бумага А4  Xerox Office плотность 80г. белизна 97% 500 листов в пачке</t>
  </si>
  <si>
    <t>Системный блок U-Tech AMD A4-7300/4096/500Gb/DVD-RV</t>
  </si>
  <si>
    <t xml:space="preserve">Монитор Samsung 24 S24D330H </t>
  </si>
  <si>
    <t>Системный блок U-Tech AMD A4-6300/2048/500Gb/DVD-RW</t>
  </si>
  <si>
    <t>БП Aerocool Plus550W</t>
  </si>
  <si>
    <t>Жестский диск Sata-3 intelpower</t>
  </si>
  <si>
    <t>мобильный накопитель 8Gb</t>
  </si>
  <si>
    <t>Память DIMM DDR4</t>
  </si>
  <si>
    <t>Плата Asus LGA1151</t>
  </si>
  <si>
    <t>Процессор intel Core i5-7400 30GHz</t>
  </si>
  <si>
    <t>Клавиатура  Oklick  556 slim USB White</t>
  </si>
  <si>
    <t>Мышь СBR CV -422  Wireless  USB White</t>
  </si>
  <si>
    <t>оперативная память</t>
  </si>
  <si>
    <t xml:space="preserve">процессор Intel Core </t>
  </si>
  <si>
    <t>клавиатура</t>
  </si>
  <si>
    <t>материнская плата</t>
  </si>
  <si>
    <t>монитор 23,8"</t>
  </si>
  <si>
    <t>Моноблок</t>
  </si>
  <si>
    <t>батарея для ИБП</t>
  </si>
  <si>
    <t>Диск SSD</t>
  </si>
  <si>
    <t>жесткий диск 2 Тб</t>
  </si>
  <si>
    <t>1-й монитор (внебюжет) потребуется для оборудования кассового фойе "Монитором зрителя" взамен вышедшего из строя, 2-й монитор (бюджет) - обеспечение оборудованием нового клубного объединения "Фотоклуб"</t>
  </si>
  <si>
    <t>На замену вышедшего из строя для оснащения рабочего места заведующего сектором организации зрителя (устаревшее оборудование) и обеспечние оборудованием нового клубного объединения "Фотоклуб"</t>
  </si>
  <si>
    <t>лента-корректор ЕК 21887 Retype DG-4811 4.2мм *8м с регулятором натяжение ленты</t>
  </si>
  <si>
    <t>грифель Brauberg Centrum impact GMV 0.7мм</t>
  </si>
  <si>
    <t>карандаш автомат. Paper Mate Office Space 0.7мм</t>
  </si>
  <si>
    <t>карандаш пластиковый Flex c ластиком цвет корпуса зеленый</t>
  </si>
  <si>
    <t>папка уголок А 4 полупрозрачная желтая</t>
  </si>
  <si>
    <t>папка уголок А 4 полупрозрачная зеленая</t>
  </si>
  <si>
    <t>папка уголок А 4 полупрозрачная синяя</t>
  </si>
  <si>
    <t>Резинка для денег цветные 200гр диаметр 60мм 360шт.</t>
  </si>
  <si>
    <t xml:space="preserve">Резинка стирательная Koh-Noor </t>
  </si>
  <si>
    <t>Ручка офисная синяя</t>
  </si>
  <si>
    <t>Салфетка д/стекла Умничка замша 22*38 см</t>
  </si>
  <si>
    <t>Салфетки из микрофибры Замша 30*30см</t>
  </si>
  <si>
    <t>Скоросшитель пластиковый зеленый</t>
  </si>
  <si>
    <t>Скоросшитель пластиковый красный</t>
  </si>
  <si>
    <t>скорошиватель пластиковый желтый</t>
  </si>
  <si>
    <t xml:space="preserve">скотч 48*132 45 мм Ultra tape 10130 </t>
  </si>
  <si>
    <t>Тетрадь А4  96л. бумвинил спираль клетка</t>
  </si>
  <si>
    <t>точилка пластиковая с контейнером ассорти</t>
  </si>
  <si>
    <t>Файл А4  прозрачные 40мкм 100шт./уп.</t>
  </si>
  <si>
    <t>карандаш простой</t>
  </si>
  <si>
    <t>карандаши</t>
  </si>
  <si>
    <t>клей - карандаш</t>
  </si>
  <si>
    <t>ножницы детские</t>
  </si>
  <si>
    <t>карандаши цветные 12 цв.</t>
  </si>
  <si>
    <t>Картон, формат А4, 8листов (белый)</t>
  </si>
  <si>
    <t>клей карандаш 15гр.</t>
  </si>
  <si>
    <t>Линейка  30см</t>
  </si>
  <si>
    <t xml:space="preserve">Файл-вкладыш А4 глянц. 100 шт </t>
  </si>
  <si>
    <t>папка на молнии</t>
  </si>
  <si>
    <t>папка-регистратор</t>
  </si>
  <si>
    <t>скрепки канцелярские большие</t>
  </si>
  <si>
    <t>ручка-корректор</t>
  </si>
  <si>
    <t>текстмаркер</t>
  </si>
  <si>
    <t>Грифель для мех. карандаша</t>
  </si>
  <si>
    <t>линейка</t>
  </si>
  <si>
    <t xml:space="preserve">ножницы канцелярские </t>
  </si>
  <si>
    <t>резинка банковская</t>
  </si>
  <si>
    <t>скрепки канцелярские мал.</t>
  </si>
  <si>
    <t>карандаш чернографитный</t>
  </si>
  <si>
    <t>скотч двухсторонний</t>
  </si>
  <si>
    <t>скобы для степлера № 24</t>
  </si>
  <si>
    <t>кнопки силовые</t>
  </si>
  <si>
    <t>маркер черный</t>
  </si>
  <si>
    <t>корректор лента</t>
  </si>
  <si>
    <t>стикеры узкие</t>
  </si>
  <si>
    <t>зажим для бумаг большой</t>
  </si>
  <si>
    <t>зажим для бумаг малый</t>
  </si>
  <si>
    <t>стержни шариковые</t>
  </si>
  <si>
    <t>термолента для ККТ</t>
  </si>
  <si>
    <t>клей-ПВА</t>
  </si>
  <si>
    <t>папка-скоросшиватель</t>
  </si>
  <si>
    <t>набор гелевых ручек</t>
  </si>
  <si>
    <t>ручка офисная, черная</t>
  </si>
  <si>
    <t>Туалетная бумага мягкий знак</t>
  </si>
  <si>
    <t>Тряпка для пола х/б 100*75</t>
  </si>
  <si>
    <t>Салфетки  для 3D очков  "LONG"</t>
  </si>
  <si>
    <t>Салфетки д/стекла Умничка замша 22*38</t>
  </si>
  <si>
    <t>щетка гафрированная ручная</t>
  </si>
  <si>
    <t>щетка для одежды</t>
  </si>
  <si>
    <t>щетка для одежды "Утюг" макси</t>
  </si>
  <si>
    <t>Щетка для подметания с черенком</t>
  </si>
  <si>
    <t>мешки д/мусора</t>
  </si>
  <si>
    <t>салфетка</t>
  </si>
  <si>
    <t>салфетки влажные 100шт/18шт.</t>
  </si>
  <si>
    <t xml:space="preserve">Туалетная  бумага Мягкий знак </t>
  </si>
  <si>
    <t xml:space="preserve">Туалетная  бумага СШ-8350 </t>
  </si>
  <si>
    <t>Туалетная бумага "Семья"77м.</t>
  </si>
  <si>
    <t>белизна-гель 1л</t>
  </si>
  <si>
    <t xml:space="preserve">жидкое мыло Вкусная косметика Пэтс глицерин Киви Эконом 5л </t>
  </si>
  <si>
    <t xml:space="preserve">Жидкое мыло 500мл </t>
  </si>
  <si>
    <t>Жидкое мыло клевер 500мл дозатор</t>
  </si>
  <si>
    <t>Концентрат д/посуды зеленый чай 600мл</t>
  </si>
  <si>
    <t>ополаскиватель HELP д/белья детский в ассортименте</t>
  </si>
  <si>
    <t>Пакеты для мусора "Антибак-Био"25л 30шт. бирюз</t>
  </si>
  <si>
    <t>санита эффект соды д/эффект чистки 400г</t>
  </si>
  <si>
    <t>ваниш для ковров</t>
  </si>
  <si>
    <t>Мистер мускул курок д/стекол 500мл/12</t>
  </si>
  <si>
    <t>Мистер мускул курок д/стекол Лесные ягоды 500мл</t>
  </si>
  <si>
    <t>Прогресс 5л Медиа УМС</t>
  </si>
  <si>
    <t>санокс-ультра -гель для унитаза Белый 1100 мл</t>
  </si>
  <si>
    <t>средства для чистки унитазов 5л</t>
  </si>
  <si>
    <t>средство д/стекл</t>
  </si>
  <si>
    <t>Средство для мытья полов 5 л.</t>
  </si>
  <si>
    <t>средство для очистки ковров и мягкой мебели</t>
  </si>
  <si>
    <t>средство для чистки ковров и мебели</t>
  </si>
  <si>
    <t>Средство моющее Фэрри д/посуды 900 мл.</t>
  </si>
  <si>
    <t xml:space="preserve">универсальное моющее средство Золоушка 5л </t>
  </si>
  <si>
    <t>Доместос 500мл</t>
  </si>
  <si>
    <t>Ж/м Зодиак Персик 5л</t>
  </si>
  <si>
    <t>Жидкое мыло Зодиак прозрачное 5л Персик</t>
  </si>
  <si>
    <t>Лампы ксеноновые короткодуговые для цифрового кинопроектора</t>
  </si>
  <si>
    <t xml:space="preserve">Лампы светодиодные 7 Вт E27 4000K A60 648 OLL </t>
  </si>
  <si>
    <t>Лампа OSRAM HMI 575</t>
  </si>
  <si>
    <t>Лампа CP 70</t>
  </si>
  <si>
    <t>Лампа OSRAM 64756/СP93, лампа галоген. 230/1200Вт, G22, ресурс 200 часов</t>
  </si>
  <si>
    <t>Светодиодные диммируемые лампы</t>
  </si>
  <si>
    <t>KV audio EX 2.5 блок усилителя мощности 1600Вт 4оМ</t>
  </si>
  <si>
    <t>Батарейка АА</t>
  </si>
  <si>
    <t>Динамик с расширенным НЧ 8Ом 1000Вт ATS EX 2.5 15 LW1401/8-15</t>
  </si>
  <si>
    <t>полисилк металлизированный</t>
  </si>
  <si>
    <t>разъем XLR</t>
  </si>
  <si>
    <t>Акустический поролон "Пирамида" 30мм2000*1000*45мм</t>
  </si>
  <si>
    <t>батарейки Duracell</t>
  </si>
  <si>
    <t xml:space="preserve">Ведро 10л 2сорт черное </t>
  </si>
  <si>
    <t>Щетка-Автомойка/20</t>
  </si>
  <si>
    <t>банер 1000*2850мм</t>
  </si>
  <si>
    <t>кабель ВВГ силовой негорючий</t>
  </si>
  <si>
    <t>колодка удлинителя 3 пересвет T-Plast</t>
  </si>
  <si>
    <t>Крепления к сиденью унитаза</t>
  </si>
  <si>
    <t xml:space="preserve">Лампа светодиодная LED </t>
  </si>
  <si>
    <t>светильник точечный галогенный</t>
  </si>
  <si>
    <t>Светофильтр</t>
  </si>
  <si>
    <t>лампа  CP 70</t>
  </si>
  <si>
    <t>лампа QT</t>
  </si>
  <si>
    <t>Лампа для светового оборудования</t>
  </si>
  <si>
    <t>Планшет для ведущих</t>
  </si>
  <si>
    <t>Каретка для регулировки ксеноновой лампы по оси XYZ DP-200DP-1500 DP-120</t>
  </si>
  <si>
    <t>карниз "Стандарт" 3,0м</t>
  </si>
  <si>
    <t>Кашпо</t>
  </si>
  <si>
    <t>Керамзит для цветов</t>
  </si>
  <si>
    <t>Крючок вешалка 2-х рожковый белый 50 ДОМАР</t>
  </si>
  <si>
    <t>Лампа OSRAM 647450230V/1000W FVA GX-9.5 CP70 лампа срок 200часов</t>
  </si>
  <si>
    <t>Лампа OSRAM 647460230V/1200W FVA G22.5 CP93 галогеновая лампа срок 200часов</t>
  </si>
  <si>
    <t>Лампа OSRAM XBO4000W/DHB OFR VS (4 кВт) гарантийный срок службы 1100 часов</t>
  </si>
  <si>
    <t>Лампа SLP Yodn 7R</t>
  </si>
  <si>
    <t>мешки для мусора 30л ХАвиакомп черные</t>
  </si>
  <si>
    <t>мешки для мусора 30л Хоум Стар черные</t>
  </si>
  <si>
    <t>набор ерш с подставкой</t>
  </si>
  <si>
    <t xml:space="preserve">Ножки для ванны </t>
  </si>
  <si>
    <t>Пакет для мусора 60л./20 шт.</t>
  </si>
  <si>
    <t>пакет для мусора, 120л, 10шт</t>
  </si>
  <si>
    <t>Пакет дюбель "Бабочка" 10*50</t>
  </si>
  <si>
    <t>пакет-майка</t>
  </si>
  <si>
    <t>пакеты для мусора</t>
  </si>
  <si>
    <t>Плёнка самоклеющаяся 45см</t>
  </si>
  <si>
    <t>Покрытие ковровое фпворит синий 1213/4м</t>
  </si>
  <si>
    <t>прожектор светодиодный 30 вт</t>
  </si>
  <si>
    <t>Решетка радиаторная</t>
  </si>
  <si>
    <t>рулетка</t>
  </si>
  <si>
    <t>Сетка стеклотканевая №5 фасадная осорбопрочная 5*5мм 1*20 Мегафлекс</t>
  </si>
  <si>
    <t>Удобрение "Радуга"</t>
  </si>
  <si>
    <t>чековая лента 57 мм термохимич.</t>
  </si>
  <si>
    <t>чековая лента 80 мм термохимич.</t>
  </si>
  <si>
    <t>чистящий порошок Пемоксоль лимон 500гр</t>
  </si>
  <si>
    <t>шнур телефонный</t>
  </si>
  <si>
    <t>Афиша</t>
  </si>
  <si>
    <t>Афиши формат А3</t>
  </si>
  <si>
    <t xml:space="preserve">Банер на фасад </t>
  </si>
  <si>
    <t xml:space="preserve">батарейка </t>
  </si>
  <si>
    <t>батарейки  AA</t>
  </si>
  <si>
    <t>Батарейки АА</t>
  </si>
  <si>
    <t>Букварь Северка</t>
  </si>
  <si>
    <t>бумага - гофре</t>
  </si>
  <si>
    <t>Ватман А1 860*610</t>
  </si>
  <si>
    <t>Загадка Северка</t>
  </si>
  <si>
    <t>История Норильска</t>
  </si>
  <si>
    <t>Комикс платиновый самолет</t>
  </si>
  <si>
    <t>котлета куриная 1/100гр</t>
  </si>
  <si>
    <t>Лампа LED WOLTA 25ST8-18G13 4000K</t>
  </si>
  <si>
    <t>Лампа Navigator 20500 NLL-G45-230-E27-DIMM диммируемая</t>
  </si>
  <si>
    <t>Лампа OSRAM</t>
  </si>
  <si>
    <t>Лампа OSRAM HMI 575W</t>
  </si>
  <si>
    <t>Лампа Осрам НМI 575</t>
  </si>
  <si>
    <t>Лампа светодиодная 71648 ОLL-A60-7-230-4kE27 грушевидная 4000K белый</t>
  </si>
  <si>
    <t>лимон 1кг</t>
  </si>
  <si>
    <t>маркер перманентный</t>
  </si>
  <si>
    <t>мешки 60л 60*70см Ушки с завязками 20шт</t>
  </si>
  <si>
    <t>мешки для мусора 120 л</t>
  </si>
  <si>
    <t>Нганасаны Католог</t>
  </si>
  <si>
    <t>пакет дюбель "Бабочка" 10*50 с шурупом 4*60 5шт</t>
  </si>
  <si>
    <t>Подставка прожектора на кронштейне</t>
  </si>
  <si>
    <t>Прожектор 61 167 OFL-01-30-4K-GR-IP65-LED онлайт</t>
  </si>
  <si>
    <t>Разъем  XLR</t>
  </si>
  <si>
    <t>разъем F(накручивающийся) PG-6</t>
  </si>
  <si>
    <t>Разъем XLR (F M)</t>
  </si>
  <si>
    <t>Самокл.пленка 45*8 D*B  (глянцевая белая)</t>
  </si>
  <si>
    <t xml:space="preserve">самоклейка в ассортименте </t>
  </si>
  <si>
    <t>Светильник 61 299 dpo-0-1200-ip20-2xt8-g13 аналог лпо 2*36 без ламп</t>
  </si>
  <si>
    <t>скатерть 120*800 35мкн в рулоне /25шт.</t>
  </si>
  <si>
    <t>скотч 48*66мм</t>
  </si>
  <si>
    <t>Хронология Таймыра</t>
  </si>
  <si>
    <t>Афиша А3</t>
  </si>
  <si>
    <t>баннер на виниле размером 1000х2850 мм</t>
  </si>
  <si>
    <t xml:space="preserve">баннер </t>
  </si>
  <si>
    <t>бейдж</t>
  </si>
  <si>
    <t>бленда " галант"к карнизу</t>
  </si>
  <si>
    <t>ВАнна ANTIKA сталь эмаль б/сиф б/ножек белая орхидея</t>
  </si>
  <si>
    <t>излив для смесителя для мойки</t>
  </si>
  <si>
    <t xml:space="preserve">Двери противопожарные с пределом огнестойкие </t>
  </si>
  <si>
    <t>Диспенсер для жидкого мыла</t>
  </si>
  <si>
    <t xml:space="preserve">Диспенсер для туалетной бумаги </t>
  </si>
  <si>
    <t>замок для хай-хета Remo</t>
  </si>
  <si>
    <t>замок</t>
  </si>
  <si>
    <t xml:space="preserve">Замок почтовый </t>
  </si>
  <si>
    <t xml:space="preserve">Заслонка для Barco DP-2K 20C Dowser </t>
  </si>
  <si>
    <t>фурнитура д/брошей</t>
  </si>
  <si>
    <t>Автоматический выключатель</t>
  </si>
  <si>
    <t>DIN рейка перфорир. на 12 автоматов</t>
  </si>
  <si>
    <t>двуст.кл. лента 50мм25м тканевая основа AVIORA/36</t>
  </si>
  <si>
    <t>дюбель метал.рамный</t>
  </si>
  <si>
    <t xml:space="preserve">ключ разводной L250мм 1/5/50 М063 </t>
  </si>
  <si>
    <t>Компакт "Воротынский" бел</t>
  </si>
  <si>
    <t>Крепеж-клипса для труб ПВХ</t>
  </si>
  <si>
    <t>лента ФУМ 10мм</t>
  </si>
  <si>
    <t>манжет перех.</t>
  </si>
  <si>
    <t>набор сверл метал. 19 шт. 1-10/шаг Плесер</t>
  </si>
  <si>
    <t>отвертка  Master STAYER TECHNO Cr-V SL 5.0*100 двух.компакт. рукоятка</t>
  </si>
  <si>
    <t xml:space="preserve">отвертка STAYER TECHNO Cr-V SL 5.0*100 </t>
  </si>
  <si>
    <t xml:space="preserve">Плинтус напол. IDEAL 2.5м Полисандр серый </t>
  </si>
  <si>
    <t xml:space="preserve">Решетка вентиляционная 210*210 </t>
  </si>
  <si>
    <t>Саморез4,2*16 острый с прессшайбой (1000шт)</t>
  </si>
  <si>
    <t>Саморез4,2*32 острый с прессшайбой (500шт)</t>
  </si>
  <si>
    <t>Саморез4,2*51острый с прессшайбой (250шт)</t>
  </si>
  <si>
    <t>Саморезы гипрок-дерево 3,5мм*45  (500шт)</t>
  </si>
  <si>
    <t>Саморезы по дереву для ГКЛЗ 5*51 крупная резьба  (250шт)</t>
  </si>
  <si>
    <t>сверло для дер. 10мм спиральное</t>
  </si>
  <si>
    <t>сверло для дер. 3 мм спиральное</t>
  </si>
  <si>
    <t>сверло для дер. 4мм спиральное</t>
  </si>
  <si>
    <t>сверло для дер. 5мм спиральное</t>
  </si>
  <si>
    <t>сверло для дер. 6мм спиральное</t>
  </si>
  <si>
    <t xml:space="preserve">Сифон АНИ 1-1/4 в/н с гибкой трубой </t>
  </si>
  <si>
    <t>Слив для унитаза гофр.</t>
  </si>
  <si>
    <t>Смеситель д/умывальника одноручн.</t>
  </si>
  <si>
    <t>Труба гофрир.гибкая</t>
  </si>
  <si>
    <t>Тюльпан В белый Воротынский с отверстием 571*454*825</t>
  </si>
  <si>
    <t>угол наружный рельефный мрамор оранжевый ЗО ЗО мм</t>
  </si>
  <si>
    <t xml:space="preserve">Фур. Полисандр Серый левая правая </t>
  </si>
  <si>
    <t>Фур. Полисандр Серый угл.внутр.</t>
  </si>
  <si>
    <t>Фур. Полисандр Серый угл.наружн.</t>
  </si>
  <si>
    <t>шайбы плоская d8</t>
  </si>
  <si>
    <t>Шлифкругф. 125 5шт</t>
  </si>
  <si>
    <t>губка ZALEL RF-S03 микрофибра бело-синяя</t>
  </si>
  <si>
    <t>Нож универсальный 18мм +2лезвия в комплекте металлическая полупрозрачная</t>
  </si>
  <si>
    <t>Бита кованная 2*50мм</t>
  </si>
  <si>
    <t>Биты зубр "Эксперт" кован.обт.х.мол сталь тип. Е1/4 50мм</t>
  </si>
  <si>
    <t>гайка с флянцем</t>
  </si>
  <si>
    <t>Герметик сил. санитарн.бесц.</t>
  </si>
  <si>
    <t>Евророзетка на дин-рейку</t>
  </si>
  <si>
    <t>клей напольный №1 Эконом 3кг</t>
  </si>
  <si>
    <t>провод соединтиельныйПВС 4*4</t>
  </si>
  <si>
    <t>провод установочный медный ПВ 1*2,5</t>
  </si>
  <si>
    <t>Пластина крепежная КР-190*40</t>
  </si>
  <si>
    <t>БУР профи 6*100/160 4рез.2спирали</t>
  </si>
  <si>
    <t>БУР Стандарт 6*50/110 2рез.2спирали</t>
  </si>
  <si>
    <t>Валик полиакрил с рукояткой 250мм</t>
  </si>
  <si>
    <t>ванночка</t>
  </si>
  <si>
    <t>Ванночка для краски</t>
  </si>
  <si>
    <t>Дюбель распорный 14*70</t>
  </si>
  <si>
    <t>Жидкие гвозди Момент Монтаж 400г</t>
  </si>
  <si>
    <t>Замок "Соболь"</t>
  </si>
  <si>
    <t xml:space="preserve">Замок мебельный 138 с планкой L010 19/22 EDSON </t>
  </si>
  <si>
    <t>Замок накладной Лазурит</t>
  </si>
  <si>
    <t>Засов гаражный с ригелем</t>
  </si>
  <si>
    <t>Защелка ролик KL-229</t>
  </si>
  <si>
    <t>кисть КФ-35</t>
  </si>
  <si>
    <t>кисть флейцевая натур.щетин.пластик.ручка50мм</t>
  </si>
  <si>
    <t>Клей для кафеля</t>
  </si>
  <si>
    <t>Клей монтажный</t>
  </si>
  <si>
    <t xml:space="preserve">Клейкая лента 2х-сторонняя 48мм*10м </t>
  </si>
  <si>
    <t xml:space="preserve">Клейкая лента 2х-сторонняя 48мм*20м </t>
  </si>
  <si>
    <t xml:space="preserve">Клейкая лента прозрачная 48мм*66м </t>
  </si>
  <si>
    <t>колодка</t>
  </si>
  <si>
    <t>колодка клеммная 25мм КЭВ-60А</t>
  </si>
  <si>
    <t>Контейнер для отработанного тонера Xerox 008R12215 для DocuCentre SC 2020</t>
  </si>
  <si>
    <t xml:space="preserve">Кран шаровой трехпроходной </t>
  </si>
  <si>
    <t>Краска  в/д д/стен и потолка</t>
  </si>
  <si>
    <t>Краска 28 мл.rodat</t>
  </si>
  <si>
    <t>Краска АВКО белая</t>
  </si>
  <si>
    <t>Краска водно-дисперсионная Универсал ТЕКС 14кг</t>
  </si>
  <si>
    <t>Крепление для умывальника</t>
  </si>
  <si>
    <t>ЛДСП Вишня Оксфорд</t>
  </si>
  <si>
    <t>лента малярная 50мм33м желтая</t>
  </si>
  <si>
    <t>Линолиум "Tarkett" 1/3,5м</t>
  </si>
  <si>
    <t>Линолиум "Синтерос" 4/3м</t>
  </si>
  <si>
    <t>Личинка для замка 35/45 никель/матовый</t>
  </si>
  <si>
    <t xml:space="preserve">малярная  лента Ultra tape 50мм*48 мм </t>
  </si>
  <si>
    <t>Мешок для строительного мусора БЕЛЫЙ</t>
  </si>
  <si>
    <t>морилка</t>
  </si>
  <si>
    <t xml:space="preserve">ножницы по металлу 260мм </t>
  </si>
  <si>
    <t>Обвязка под ванну АНИ с нерж.вып.перел. 1/2 40 белый /35</t>
  </si>
  <si>
    <t>обод малого барабана Sonor верхний</t>
  </si>
  <si>
    <t>Окномойка</t>
  </si>
  <si>
    <t>очиститель</t>
  </si>
  <si>
    <t xml:space="preserve">очиститель для монтажной пены </t>
  </si>
  <si>
    <t>панель МДФ "Союз" классик (Ясень шимо/бежевый)</t>
  </si>
  <si>
    <t>панель МДФ орех миланский 301*6*2700</t>
  </si>
  <si>
    <t>Паста Универсальная колеровочная Профи Кофейная 750мл 0,94кг</t>
  </si>
  <si>
    <t>пена монтажная</t>
  </si>
  <si>
    <t>Петля</t>
  </si>
  <si>
    <t>Плинтус "Идеал комфорт" 2,5м</t>
  </si>
  <si>
    <t xml:space="preserve">Подводка д/воды SS 100см 12мм </t>
  </si>
  <si>
    <t xml:space="preserve">Подводка д/воды SS 150см 12мм </t>
  </si>
  <si>
    <t>подводка д/смесителя SS 150см 12мм М-10</t>
  </si>
  <si>
    <t>Подводка для воды SS 250см</t>
  </si>
  <si>
    <t>профиль</t>
  </si>
  <si>
    <t>Профиль 60*27</t>
  </si>
  <si>
    <t xml:space="preserve">Профиль потолочный ПП-60*27-006 3м строит. </t>
  </si>
  <si>
    <t>профильпотолочный 28*27 3м</t>
  </si>
  <si>
    <t>профильпотолочный 30*27 3м</t>
  </si>
  <si>
    <t>Ручка дверная деревянная "Карельская береза"</t>
  </si>
  <si>
    <t>саморез</t>
  </si>
  <si>
    <t xml:space="preserve">Саморез 4,2х16 острый с прессшайбой 1000шт </t>
  </si>
  <si>
    <t>Саморез по дереву 3,5*45 для ГКЛ</t>
  </si>
  <si>
    <t>Саморез по дереву 4,8*125 для ГКЛ</t>
  </si>
  <si>
    <t>саморез-шуруп 4,2*25 полусфера острый цинк</t>
  </si>
  <si>
    <t>саморез-шуруп 4,2*32 полусфера острый цинк</t>
  </si>
  <si>
    <t>Саморезы гипсокортон-дерево 3,5мм*41 200шт</t>
  </si>
  <si>
    <t>Саморезы гипсокортон-металл 3,5мм*32 1000шт</t>
  </si>
  <si>
    <t>Саморезы для тонких пластин 4,2мм13 200шт</t>
  </si>
  <si>
    <t>сверло по металу</t>
  </si>
  <si>
    <t xml:space="preserve">сердцевина замка R6 </t>
  </si>
  <si>
    <t>смазка силиконовая</t>
  </si>
  <si>
    <t>Смеситель д/ванны Эконом керамика</t>
  </si>
  <si>
    <t>Совок металлический №1 универс. 18*19,5см</t>
  </si>
  <si>
    <t xml:space="preserve">соед. штуцер сливнфх  шлангов  </t>
  </si>
  <si>
    <t>Соединитель для плинтуса "Идеал комфорт" 2шт</t>
  </si>
  <si>
    <t>Труба круглая сталь хром</t>
  </si>
  <si>
    <t>Угол внутренний для плинтуса "Идеал комфорт" 2шт</t>
  </si>
  <si>
    <t>Угол наружный для плинтуса "Идеал комфорт" 2шт</t>
  </si>
  <si>
    <t>Уголок 20х20мм 2,7м Белый</t>
  </si>
  <si>
    <t>Уголок ПВХ</t>
  </si>
  <si>
    <t>уголок с настенным креплением</t>
  </si>
  <si>
    <t xml:space="preserve">Фитинги для системы охлаждения проектора Barco DP-2K 20C Cooling </t>
  </si>
  <si>
    <t>Фланец с фикс. д/трубы Д-25 хром</t>
  </si>
  <si>
    <t>Фланец с фиксатором для трубы удлиненный хром</t>
  </si>
  <si>
    <t>ФУМ лента</t>
  </si>
  <si>
    <t>Хомут универсальный "отвертка"</t>
  </si>
  <si>
    <t>Цилиндр, мех-м АК-62 (латунь) 31-31</t>
  </si>
  <si>
    <t>Швеллер алюмин.</t>
  </si>
  <si>
    <t>Шланг наливной 3м для стир маш</t>
  </si>
  <si>
    <t>Шланг сливной для стир маш1,5м</t>
  </si>
  <si>
    <t>шпингалет KL-101 WW (медь)</t>
  </si>
  <si>
    <t>Эмаль "Крафор" ПФ-115 зеленая</t>
  </si>
  <si>
    <t>Комплект двери модели  GUARD301 KD</t>
  </si>
  <si>
    <t>Комплект двери модели  GUARD30DUO 11KD</t>
  </si>
  <si>
    <t>Фланец с фикс д/трубы Д-25 хром /10</t>
  </si>
  <si>
    <t>Гофр АНИ с нерж.вып.перел. 1-1/2 40-50</t>
  </si>
  <si>
    <t>дюбель "Бабочка"</t>
  </si>
  <si>
    <t>дюбель гвоздь</t>
  </si>
  <si>
    <t xml:space="preserve">Дюбель гвоздь 6*40 </t>
  </si>
  <si>
    <t>Заглушка для плинтуса "Идеал комфорт" 2шт</t>
  </si>
  <si>
    <t>заклепки  алюм.3,2*6 мм</t>
  </si>
  <si>
    <t>Салфетки для 3 D очков</t>
  </si>
  <si>
    <t>Приобретаются для обеспечения кинопоказа (используются для протирки 3D очков при просмотре кинофильмов )</t>
  </si>
  <si>
    <t>Очки для 3 D</t>
  </si>
  <si>
    <t>Приобретаются на замену сломанных</t>
  </si>
  <si>
    <t>фильтры (комплект) для кинопроектора</t>
  </si>
  <si>
    <t xml:space="preserve">Обеспечение работоспособности кинопроектора, для выполнения муниципального задания взамен использованных </t>
  </si>
  <si>
    <t>Разъемы XLR</t>
  </si>
  <si>
    <t>Обеспечение коммутации звукотехнического оборудования при проведении культурно-массовых мероприятий ВЗАМЕН СЛОМАНЫХ</t>
  </si>
  <si>
    <t>Кабель DMX</t>
  </si>
  <si>
    <t>Рельсы для подвесной системы - 3м</t>
  </si>
  <si>
    <t xml:space="preserve">В 2020 году планируются масштабные  праздничные мероприятия (в том числе организация различных выставок из фондов музея, фотовыставки, выстаки картин), посвященные 55-летию района Талнах, 85-летию ПАО "ГМК "Норильский никель", 75-летию Великой Победы. В связи с этим для оборудование выставочного пространства потребуется допоплнительно приобрести современными подвесными системами. Они позволят  организовывать выставки на высоком уровне, а также в последующем обеспечат условия для выполнения работы муниципального задания  "Организация и проведение культурно-массовых мероприятий творческих (фестивали, выставки, конкурсы, смотры)". </t>
  </si>
  <si>
    <t>Леска со слайдером для подвесной системы 2 м</t>
  </si>
  <si>
    <t>Крючки для подвесной системы (мини 4 кг)</t>
  </si>
  <si>
    <t>Заглушки и крепеж для подвесной системы</t>
  </si>
  <si>
    <t>Приобретаются для обеспечения кинопоказа (используются для рекламы фильмов )</t>
  </si>
  <si>
    <t>текущее финансирование</t>
  </si>
  <si>
    <t>Обоснование расходов для формирования бюджета муниципального образования город Норильск на 2020-2022 годы на приобретение расходных материалов и предметов снабжения, Доп.Кр.981, МП "Развитие культуры", профилактика наркомании</t>
  </si>
  <si>
    <t>Обоснование расходов для формирования бюджета муниципального образования город Норильск на 2020-2022 годы на приобретение расходных материалов и предметов снабжения, Доп.Кр.981, МП "Развитие культуры"</t>
  </si>
  <si>
    <t>МБУК "КДЦ им. В. Высоцкого"</t>
  </si>
  <si>
    <t xml:space="preserve">маска на тех.рез.трехслойная </t>
  </si>
  <si>
    <t>амиака раствор 10%</t>
  </si>
  <si>
    <t>перекеси раствор 3%</t>
  </si>
  <si>
    <t>губка геомастич.5*5см</t>
  </si>
  <si>
    <t>маска медицинская №5</t>
  </si>
  <si>
    <t>Приложение 7
к письму от "_____"_____________2017  №_________</t>
  </si>
  <si>
    <t>Подлежит замене по состоянию на 01.06.2019**</t>
  </si>
  <si>
    <r>
      <t>обоснование потребности</t>
    </r>
    <r>
      <rPr>
        <sz val="12"/>
        <color indexed="8"/>
        <rFont val="Calibri"/>
        <family val="2"/>
        <charset val="204"/>
      </rPr>
      <t>***</t>
    </r>
  </si>
  <si>
    <t>МБУК "Культурно-досуговый центр им. В. Высоцкого"/ штатная численность 25 б-т и 5 в/б-т /2346,3 кв.м.</t>
  </si>
  <si>
    <t xml:space="preserve">Перчатки диэлектрические </t>
  </si>
  <si>
    <t>Нормы организации культуры. Приложение N 13
к Постановлению Министерства
труда и социального развития
Российской Федерации
от 25 декабря 1997 г. (ред.от 23.08.2016) N 66 п.7</t>
  </si>
  <si>
    <t xml:space="preserve">Галоши диэлектрические </t>
  </si>
  <si>
    <t>перчатки трикотажные Гриф х/б +п/э с ПВХ</t>
  </si>
  <si>
    <t>приказ № 997н, типовые нормы п.162</t>
  </si>
  <si>
    <t>полумаска фильтрующая респиратор 8112</t>
  </si>
  <si>
    <t>приказ № 997н, типовые нормы п.162, столяру по изготовлению декораций</t>
  </si>
  <si>
    <t>руковицы комбинированные с брезентовым налодонником</t>
  </si>
  <si>
    <t xml:space="preserve">нормы организации культуры. Постановление № 66 п.15, машинист сцены </t>
  </si>
  <si>
    <t>очки открытые Астрофлекс прозрачная линза плотноприлипающий козырек</t>
  </si>
  <si>
    <t>фартук брезентовый 105-69</t>
  </si>
  <si>
    <t xml:space="preserve">Сапоги ПВХ со стальным поноском Призма арт.178-61 </t>
  </si>
  <si>
    <t>Ткань плательная шир 1,45</t>
  </si>
  <si>
    <t xml:space="preserve">ткань "Габардин" </t>
  </si>
  <si>
    <t>Шторы лен</t>
  </si>
  <si>
    <t>Шторы тюлб лен</t>
  </si>
  <si>
    <t>Гобелен Шенил ш 140 см</t>
  </si>
  <si>
    <t>Обоснование расходов для формирования бюджета муниципального образования город Норильск на 2020-2022 годы на приобретение мягкого инвентаря, Доп.КР 985, МП "Развитие культуры"</t>
  </si>
  <si>
    <t>Приобретение (изготовление) строительных материалов, за исключением строительных материалов для целей капитальных вложений. Доп.КР 986</t>
  </si>
  <si>
    <t>Строительные материалы</t>
  </si>
  <si>
    <t>ИТОГО Доп.КР 986:</t>
  </si>
  <si>
    <t>гвозди</t>
  </si>
  <si>
    <t xml:space="preserve">Саморез 4,2х16 острый с прессшайбой </t>
  </si>
  <si>
    <t>дюбель 5х30</t>
  </si>
  <si>
    <t xml:space="preserve">дюбель гвозди </t>
  </si>
  <si>
    <t>цемент</t>
  </si>
  <si>
    <t>саморезы по дереву</t>
  </si>
  <si>
    <t xml:space="preserve">жидкие гвозди Момент Монтаж </t>
  </si>
  <si>
    <t>клей столярный</t>
  </si>
  <si>
    <t>Стеновые панели "Унипрок-НГ Полуматовый"</t>
  </si>
  <si>
    <t xml:space="preserve">стеновые панели "УНИПРОК" необходимы для замены поломанных и треснувших панелей, находящихся в фойе первого этажа и на лестничных маршах, которые были установлены в 2010 году </t>
  </si>
  <si>
    <t xml:space="preserve">            Численность</t>
  </si>
  <si>
    <t>Приказ Минздравсоцразвития от 12.04.2011 №302н Пр.№ 1,п.3.4.1</t>
  </si>
  <si>
    <t xml:space="preserve">Мед.ком.проходят по результатам СОУТ от 08.07.2016г </t>
  </si>
  <si>
    <t>Приказ Минздравсоцразвития от 12.04.2011 №302н Пр.№ 1,п.1.1.4,  Приказ Минздравсоцразвития от 12.04.2011 №302н Прил. № 2,п.18</t>
  </si>
  <si>
    <t>1 раз в 1 год</t>
  </si>
  <si>
    <t>Приказ Минздравсоцразвития от 12.04.2011 №302н Пр.№ 1,п.1.1.4</t>
  </si>
  <si>
    <t xml:space="preserve">Мед.ком.проходят по результатам СОУТ от 28.11.2018г </t>
  </si>
  <si>
    <t>Приказ Минздравсоцразвития от 12.04.2011 №302н Прил. № 2,п.18</t>
  </si>
  <si>
    <t>Приказ Минздравсоцразвития от 12.04.2011 №302н Пр.№ 1,п.4.1, Приказ Минздравсоцразвития от 12.04.2011 №302н Пр.№ 1,п.3.4.1</t>
  </si>
  <si>
    <t>1 раз в 1 год, 1 раз в 2 года</t>
  </si>
  <si>
    <t xml:space="preserve">Приказ Минздравсоцразвития от 12.04.2011 №302н Прил.№1
п.4.1, Прил.№ 2 п.1 </t>
  </si>
  <si>
    <t xml:space="preserve">Машинист сцены </t>
  </si>
  <si>
    <t>Машинист сцены и столяр по изготовлению декораций-внешние совместители. В списочную не вкючаются</t>
  </si>
  <si>
    <t>Машинист сцены и столяр по изготовлению декораций-внешние совместители. В списочную численность не вкючаются.</t>
  </si>
  <si>
    <t>Обоснование расходов для формирования бюджета муниципального образования город Норильск на 2020-2022 годы
на прохождение обязательных периодических медицинских осмотров, Доп.КР 995, МП "Развитие культуры"</t>
  </si>
  <si>
    <t>Наименование управления</t>
  </si>
  <si>
    <t>День памяти и скорби</t>
  </si>
  <si>
    <t>День весны и труда</t>
  </si>
  <si>
    <t>р-он Талнах, пл. Горняков</t>
  </si>
  <si>
    <t>15.00-16.00</t>
  </si>
  <si>
    <t>01.05.2019</t>
  </si>
  <si>
    <t>15.00-17.00</t>
  </si>
  <si>
    <t>р-он Талнах, пл. Победы и пл.Горняков</t>
  </si>
  <si>
    <t>12.30-17.00</t>
  </si>
  <si>
    <t>09.05.2019</t>
  </si>
  <si>
    <t>13.00-17.00</t>
  </si>
  <si>
    <t>День защиты детей</t>
  </si>
  <si>
    <t>16.00-17.30</t>
  </si>
  <si>
    <t>01.06.2019</t>
  </si>
  <si>
    <t>16.00-18.00</t>
  </si>
  <si>
    <t>День России</t>
  </si>
  <si>
    <t>16.00-19.00</t>
  </si>
  <si>
    <t>12.06.2019</t>
  </si>
  <si>
    <t>14.00-18.00</t>
  </si>
  <si>
    <t>Уличный фестиваль "Северное лето"</t>
  </si>
  <si>
    <t xml:space="preserve">р-он Талнах </t>
  </si>
  <si>
    <t>р-он Талнах, пл. Победы</t>
  </si>
  <si>
    <t>12.00-12.30</t>
  </si>
  <si>
    <t xml:space="preserve">р-он Талнах, пл. Победы </t>
  </si>
  <si>
    <t>12.00-13.00</t>
  </si>
  <si>
    <t>День любви семьи и верности</t>
  </si>
  <si>
    <t>14.00-16.00</t>
  </si>
  <si>
    <t>День металлурга</t>
  </si>
  <si>
    <t>13.00-19.00</t>
  </si>
  <si>
    <t>12.00-20.00</t>
  </si>
  <si>
    <t>День памяти Вл.Высоцкого</t>
  </si>
  <si>
    <t>19.00-20.00</t>
  </si>
  <si>
    <t>13.00-14.30</t>
  </si>
  <si>
    <t>13.00-15.00</t>
  </si>
  <si>
    <t>День шахтера</t>
  </si>
  <si>
    <t>12.00-19.00</t>
  </si>
  <si>
    <t>Открытие Снежного городка</t>
  </si>
  <si>
    <t>17.00-18.00</t>
  </si>
  <si>
    <t>Народное гуляние ко Дню выборов</t>
  </si>
  <si>
    <t>Народное гуляние "Осенний калейдоскоп"</t>
  </si>
  <si>
    <t>15.00-17.30</t>
  </si>
  <si>
    <t>Итого по МБУК "КДЦ им. Вл. Высоцкого"</t>
  </si>
  <si>
    <t>Обоснование расходов для формирования бюджета муниципального образования город Норильск на 2020-2022 годы
на оказание услуг скорой медицинской помощи во время проведения культурно-массовых и спортивно-массовых мероприятий, ДопКР 996, МП "Развитие культуры"</t>
  </si>
  <si>
    <t>Обоснование расходов для формирования бюджета муниципального образования город Норильск на 2020-2022 годы, МП "Развитие туризма"</t>
  </si>
  <si>
    <t>Ноутбук</t>
  </si>
  <si>
    <t>Кресло офисное</t>
  </si>
  <si>
    <t>тумба подкатная</t>
  </si>
  <si>
    <t>Костюм "Дед Мороз"</t>
  </si>
  <si>
    <t>Ростовая кукла "Белый медведь"</t>
  </si>
  <si>
    <t xml:space="preserve"> МБУК "КДЦ им.Вл. Высоцкого"</t>
  </si>
  <si>
    <t>Стеллаж 4 полки 200*100*50</t>
  </si>
  <si>
    <t xml:space="preserve">Стеллаж СТ-1 Беларусь Груша </t>
  </si>
  <si>
    <t xml:space="preserve">Стеллаж СУ-2 Беларусь Груша </t>
  </si>
  <si>
    <t>кресло офисное Chairman 289 NEW Россия</t>
  </si>
  <si>
    <t>Двухместный модуль прямой, иск.кожа "Domus" цвет Navy, 1100х630х800</t>
  </si>
  <si>
    <t>Диван двухместный, иск.кожа "Domus", цвет Navy, 1200х630х800</t>
  </si>
  <si>
    <t>Угловой двухместный модуль (левый), иск.кожа "Domus", цвет Lavanda, 1100х630х800</t>
  </si>
  <si>
    <t>Банкетка одноместная, иск.кожа "Domus", цвет Lavanda, 630х630х450</t>
  </si>
  <si>
    <t>Угловой двухместный модуль (правый), иск.кожа "Domus", цвет Lavanda, 1100х630х800</t>
  </si>
  <si>
    <t>Диван трехместный, иск.кожа "Domus", цвет Lavanda, 1530х630х800</t>
  </si>
  <si>
    <t xml:space="preserve">Угловой модуль, иск.кожа "Domus", цвет Lavanda, 630х630х800 </t>
  </si>
  <si>
    <t>Стол-книжка пластиковый разборный с чехол прямоугольный бело-черный</t>
  </si>
  <si>
    <t>Стул белый пластиковый на мет. каркасе чехол красный</t>
  </si>
  <si>
    <t>Кресло офисное Chairman CH785</t>
  </si>
  <si>
    <t>Кресло офисное Chairman CH610</t>
  </si>
  <si>
    <t xml:space="preserve">Гардероб ГБ ДГ-1+ГБ-1К  Беларусь Груша </t>
  </si>
  <si>
    <t>Стол письменный СП-2 Груша</t>
  </si>
  <si>
    <t>Стойка-Ресепшн цвет венгн/дуб молчный</t>
  </si>
  <si>
    <t>Стенд выставочный с накопителем и светодиодной подсветкой, размер 2200*900*400 мм, цвет серый, материады: адюминий, стекло, пластик, ЛДСП</t>
  </si>
  <si>
    <t xml:space="preserve"> Стол складной</t>
  </si>
  <si>
    <t>Для проведения уличных культурно-массовых мероприятий (оснащение малых творческих площадок для проведения мастер-классов, интерактивных игр, выставок и т.п).</t>
  </si>
  <si>
    <t xml:space="preserve">Шкаф для одежды </t>
  </si>
  <si>
    <t xml:space="preserve">Оснащение мебелью  новых клубных объединений, студий, а также кресла взамен изношенных. </t>
  </si>
  <si>
    <t>Стол офисный (письменный)</t>
  </si>
  <si>
    <t>Шкаф офисный для документов</t>
  </si>
  <si>
    <t>износ 100%</t>
  </si>
  <si>
    <t>Стеллаж офисный</t>
  </si>
  <si>
    <t>Шкаф металлический для одежды</t>
  </si>
  <si>
    <t xml:space="preserve">Оборудование гардеробного помещения участников хореографического коллектива.  </t>
  </si>
  <si>
    <t>Нетбук Irbis NB 33 Atom Z3735 32/intelHD Win10</t>
  </si>
  <si>
    <t>Нетбук Irbis NB 11 Atom Z3735 32/intelHD Win10White</t>
  </si>
  <si>
    <t>Ноутбук HP 15-bw549ur AMD A49-9420 2Gb/Win10</t>
  </si>
  <si>
    <t xml:space="preserve">Моноблок HP 24-F0085ur Pentium </t>
  </si>
  <si>
    <t>МФУ НР</t>
  </si>
  <si>
    <t>Компьютер в сборке (с монитором)</t>
  </si>
  <si>
    <t>Дрель Макита</t>
  </si>
  <si>
    <t>Болгарка</t>
  </si>
  <si>
    <t>Тепловая завеса электричесая Тепломаш КЭВ-12П3042Е</t>
  </si>
  <si>
    <t>Чайник VITEK VT-7014</t>
  </si>
  <si>
    <t>СВЧ Supra VWS-1803VW</t>
  </si>
  <si>
    <t>Унитаз</t>
  </si>
  <si>
    <t>Раковина</t>
  </si>
  <si>
    <t>DVD плеер BBK DVP-176 si</t>
  </si>
  <si>
    <t xml:space="preserve">Behringer B615D - активная 2-х полос. АС, 15"+1,35", 1000Вт,Bi-Amp, усилитель класса D </t>
  </si>
  <si>
    <t>Shure SM48-LC - вокальный микрофон (55-15000Hz) динамический кардиоидный</t>
  </si>
  <si>
    <t>Цифровой микшерный пульт Allen Heat Qu 24 канала</t>
  </si>
  <si>
    <t>Вращающая голова заливного света Head Light LED Moving 36*10W DMX каналов 16</t>
  </si>
  <si>
    <t>Светодиодная панель LEDBAR308  светодиодов320 8секций</t>
  </si>
  <si>
    <t>Рация Dual-Band Kenwood TH-UVF1</t>
  </si>
  <si>
    <t>Радиотелефон Panasonic KX-TG 2511RUМ</t>
  </si>
  <si>
    <t>Корпус акустической системы сабвуфер KVaudio EX2.5</t>
  </si>
  <si>
    <t xml:space="preserve">Световой прибор SLP A21 (17R) Beam &amp; Spot 350W </t>
  </si>
  <si>
    <t xml:space="preserve">Выгорел блок поджига лампы. Ремонту не подлежит. </t>
  </si>
  <si>
    <t>Световые приборы необходимы для обеспечения точечной подсветки выступающих при проведении культурно-массовых мероприятий, чтобы не допускать засветки видеоконтента  на экране. Мероприятия проводятся при недостаточном освещение сцены.</t>
  </si>
  <si>
    <t>Комплект обурудование кинопоказа с тифлокомментированием для 3 чел.</t>
  </si>
  <si>
    <t>Приказом Министерства культуры России от 27.06.2018 № 1017 утверждены Правила осуществления демонстраторами фильмов показа субтитрированных и тифлокомментированных полнометражных национальных фильмов, созданных в художественной или анимационной форме и Правила обеспечения условий доступности для инвалидов кинозалов. В соответствии с Приложением №2 к приказу Минкультуры России от 27.06.2018 №1017 в кинозале должно быть не менее 3 оборудованных мест оборудование для субтитрирования и тифлокомментирования.</t>
  </si>
  <si>
    <t>Радиосистема Shure SLX4 с ручным передатчиком</t>
  </si>
  <si>
    <t>Прожектор на кронштейне, 30Вт</t>
  </si>
  <si>
    <t>Манишка (бесмертный полк)</t>
  </si>
  <si>
    <t>Туфли женские народные н/к (кожа, черный, 35 р-р)</t>
  </si>
  <si>
    <t>Туфли женские народные н/к (кожа, черный, 36 р-р)</t>
  </si>
  <si>
    <t>Туфли женские народные н/к (кожа, черный, 38 р-р)</t>
  </si>
  <si>
    <t>Боты квадратные н/к (кожа, красный, 36 р-р0</t>
  </si>
  <si>
    <t>Боты кадрильные с молнией н/к (кожа, белый, 36 р-р0</t>
  </si>
  <si>
    <t>Боты кадрильные н/к (кожа, красный, 38 р-р0</t>
  </si>
  <si>
    <t>Боты кадрильные с молнией н/к (кожа, белый, 38 р-р0</t>
  </si>
  <si>
    <t>Боты кадрильные с молнией н/к (кожа, белый, 41 р-р0</t>
  </si>
  <si>
    <t>Костюм сценический "Поросенок"</t>
  </si>
  <si>
    <t>Костюм сценический "Казачий" мужской</t>
  </si>
  <si>
    <t>Костюм сценический "Казачий" женский</t>
  </si>
  <si>
    <t>Костюм сценический "Мухомор Лукоморыч"</t>
  </si>
  <si>
    <t>Костюм сценический "Ворона"</t>
  </si>
  <si>
    <t>Костюм сценический "Лихо"</t>
  </si>
  <si>
    <t>Костюм сценический "Злыдня"</t>
  </si>
  <si>
    <t>Костюм сценический "Дрема"</t>
  </si>
  <si>
    <t>Ростовые куклы</t>
  </si>
  <si>
    <t>Костюм сценический "Ретро 60-х" женский</t>
  </si>
  <si>
    <t>Костюм сценический "Ретро 60-х" мужской</t>
  </si>
  <si>
    <t>Костюм "Раздолье" утепленный мужской</t>
  </si>
  <si>
    <t>Головной убор "Раздолье" утепленный</t>
  </si>
  <si>
    <t xml:space="preserve"> Костюмы сценические</t>
  </si>
  <si>
    <t>Для обеспечения выполнения муниципального задания (услуга "организация и проведение мероприятий" - 12 ед.). Обеспечение творческого коллектива "ЛицнДеятели" костюмами для подготовки нового театрализованного представления.</t>
  </si>
  <si>
    <t xml:space="preserve">Подлежат списанию. Износ 100%. </t>
  </si>
  <si>
    <t xml:space="preserve">Ростовые куклы  активно используются  в течение всего года на общегородских культурно-массовых мероприятиях. Эксплуатируются с 2000 года.  Износ составляет 100%. Куклы очень популярны у зрителей и посетителей учреждения, постоянно запрашиваются другими муниципальными учреждениями. Ноые куклы будут использоваться при проведении в 2020 году праздничных юбилейных мероприятий, посвященных 55-летию района Талнах и 85-летию ПАО "ГМК "Норильский никель".  </t>
  </si>
  <si>
    <t xml:space="preserve"> Ростовая кукла "Волк "Ну, погоди"</t>
  </si>
  <si>
    <t xml:space="preserve"> Ростовая кукла "Заяц "Ну, погоди"</t>
  </si>
  <si>
    <t>Истечение срока эксплуатации</t>
  </si>
  <si>
    <t>В 2020 году требуется замена 14 огнетушителей (истечение срока годности)</t>
  </si>
  <si>
    <t>Рукав пожарный</t>
  </si>
  <si>
    <t>Стойка для акустической системы TЕМПО SPSK 300ВК</t>
  </si>
  <si>
    <t>Каркас 3,0*2,0К</t>
  </si>
  <si>
    <t>Тент 3,0*2,0К</t>
  </si>
  <si>
    <t>Сушилка для рук OSKO-Automatic</t>
  </si>
  <si>
    <t xml:space="preserve">Фискальный регистратор АТОЛ FPrint-22ПТК ФН </t>
  </si>
  <si>
    <t>Сенсорная панель консоль управления в сборе WC 7525/7530/7535/7556</t>
  </si>
  <si>
    <t>тепловентилятор напольный металлический</t>
  </si>
  <si>
    <t>Лобз МЕТАВО STEB</t>
  </si>
  <si>
    <t>Тепловая завеса электричесая Тепломаш КЭВ-12П3042Е 1</t>
  </si>
  <si>
    <t>Огнетушитель порошковый ОП-4(з) АВСЕ</t>
  </si>
  <si>
    <t>Рукав пожарный Д51 с головками рукавными ГР-50</t>
  </si>
  <si>
    <t xml:space="preserve">Дверь Д-ПР Беларусь Груша </t>
  </si>
  <si>
    <t xml:space="preserve">Дверь СУ-2 Беларусь Груша </t>
  </si>
  <si>
    <t xml:space="preserve">Дверь Д-3 Беларусь Груша </t>
  </si>
  <si>
    <t>сейф</t>
  </si>
  <si>
    <t>Вентилятор в изолированном корпусе IRE 50*25 В1</t>
  </si>
  <si>
    <t>электродвигатель Slemens 1LE 1002-1-CB23-4AB4-Z</t>
  </si>
  <si>
    <t>Шатер трансформмер</t>
  </si>
  <si>
    <t xml:space="preserve">Требуются дополнительно для организации работы малых творческих площадок при проведении общегородских уличных мероприятий и народных гуляний, посвященных 55-летию района Талнах, 85-летию ПАО "ГМК "Норильский никель", 75-летию Великой Победы. </t>
  </si>
  <si>
    <t>Обоснование расходов для формирования бюджета муниципального образования город Норильск на 2020-2022 годы на организацию и проведение торжественных мероприятий, посвященных 75-й годовщине Победы советского народа в Великой Отечественной войне 1941-1945 годов, внепрограммные</t>
  </si>
  <si>
    <t>1.4.5</t>
  </si>
  <si>
    <t>1.4.5.1</t>
  </si>
  <si>
    <t>1.4.5.2</t>
  </si>
  <si>
    <r>
      <t xml:space="preserve">в соответствии с Федеральным законом № 223-ФЗ </t>
    </r>
    <r>
      <rPr>
        <vertAlign val="superscript"/>
        <sz val="8"/>
        <rFont val="Times New Roman"/>
        <family val="1"/>
        <charset val="204"/>
      </rPr>
      <t xml:space="preserve">13     </t>
    </r>
  </si>
  <si>
    <t>директор</t>
  </si>
  <si>
    <t>заместитель директора</t>
  </si>
  <si>
    <t>Н.Л.Титова</t>
  </si>
  <si>
    <t>Обоснование расходов для формирования бюджета муниципального образования город Норильск на 2020-2022 годы на приобретение расходных материалов и предметов снабжения, Доп.КР 986, МП "Развитие культуры"</t>
  </si>
  <si>
    <t>Учреждение: МБУК "КДЦ имени Владимира Высоцкого"</t>
  </si>
  <si>
    <t>функции и полномочия учредителя: Управление по делам культуры и искусства Администрации города Норильска</t>
  </si>
  <si>
    <t>Обоснование (расчет) плановых показателей по выплатам по элементу вида расходов классификации расходов бюджетов 119 «взносы по обязательному социальному страхованию на выплаты по оплате труда работников и иные выплаты работникам учреждений», МП "Развитие культуры"</t>
  </si>
  <si>
    <t>Обоснование (расчет) плановых показателей по выплатам по элементу вида расходов классификации расходов бюджетов 119 «взносы по обязательному социальному страхованию на выплаты по оплате труда работников и иные выплаты работникам учреждений» (источник финансирования-внебюджет)</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</si>
  <si>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МП "Развитие культуры"</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</si>
  <si>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"Социальная поддержка жителей…" , субсидии на иные цели</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</si>
  <si>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МП "Развитие культуры" (Доп.Кр.971), субсидии на иные цели (Доп.ФК 81600)</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</si>
  <si>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на организацию и проведение мероприятий к 75 летию Победы, внепрограммные</t>
  </si>
  <si>
    <t xml:space="preserve">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по замене неэффективного осветительного оборудования внутреннего освещения на современное светодиодное (Доп.Кр.947), субсидии на иные цели </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</si>
  <si>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внебюджет</t>
  </si>
  <si>
    <t>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полномочий",внебюджет</t>
  </si>
  <si>
    <r>
      <t>Планируемые уплаты налогов, сборов и иных платежей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</si>
  <si>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t>30</t>
  </si>
  <si>
    <t>декабря</t>
  </si>
  <si>
    <t>19</t>
  </si>
  <si>
    <t>37-15-43</t>
  </si>
  <si>
    <t>Начальник Управления по делам культуры и искусства Администрации города Норильска</t>
  </si>
  <si>
    <t>И.Н. Субочева</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</si>
</sst>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р_._-;\-* #,##0_р_._-;_-* &quot;-&quot;_р_._-;_-@_-"/>
    <numFmt numFmtId="44" formatCode="_-* #,##0.00&quot;р.&quot;_-;\-* #,##0.00&quot;р.&quot;_-;_-* &quot;-&quot;??&quot;р.&quot;_-;_-@_-"/>
    <numFmt numFmtId="43" formatCode="_-* #,##0.00_р_._-;\-* #,##0.00_р_._-;_-* &quot;-&quot;??_р_._-;_-@_-"/>
    <numFmt numFmtId="164" formatCode="_-* #,##0.00\ _₽_-;\-* #,##0.00\ _₽_-;_-* &quot;-&quot;??\ _₽_-;_-@_-"/>
    <numFmt numFmtId="165" formatCode="#,##0.0"/>
    <numFmt numFmtId="166" formatCode="0.000"/>
    <numFmt numFmtId="167" formatCode="0.0"/>
    <numFmt numFmtId="168" formatCode="#,##0.000"/>
    <numFmt numFmtId="169" formatCode="#,##0.00_ ;[Red]\-#,##0.00\ "/>
    <numFmt numFmtId="170" formatCode="#,##0.0_ ;[Red]\-#,##0.0\ "/>
    <numFmt numFmtId="171" formatCode="#,##0.000_ ;[Red]\-#,##0.000\ "/>
    <numFmt numFmtId="172" formatCode="#,##0_ ;\-#,##0\ "/>
    <numFmt numFmtId="173" formatCode="_-* #,##0.00_р_._-;\-* #,##0.00_р_._-;_-* &quot;-&quot;_р_._-;_-@_-"/>
    <numFmt numFmtId="174" formatCode="_(* #,##0.00_);_(* \(#,##0.00\);_(* &quot;-&quot;??_);_(@_)"/>
    <numFmt numFmtId="175" formatCode="#,##0.00000"/>
    <numFmt numFmtId="176" formatCode="_(&quot;$&quot;* #,##0.00_);_(&quot;$&quot;* \(#,##0.00\);_(&quot;$&quot;* &quot;-&quot;??_);_(@_)"/>
    <numFmt numFmtId="177" formatCode="#,##0.00;[Red]#,##0.00"/>
    <numFmt numFmtId="178" formatCode="0.0;[Red]0.0"/>
    <numFmt numFmtId="179" formatCode="0.0000"/>
    <numFmt numFmtId="180" formatCode="#,##0.0000"/>
    <numFmt numFmtId="181" formatCode="_(* #,##0_);_(* \(#,##0\);_(* &quot;-&quot;??_);_(@_)"/>
    <numFmt numFmtId="182" formatCode="_-* #,##0_р_._-;\-* #,##0_р_._-;_-* &quot;-&quot;??_р_._-;_-@_-"/>
    <numFmt numFmtId="183" formatCode="_-* #,##0.0\ _₽_-;\-* #,##0.0\ _₽_-;_-* &quot;-&quot;??\ _₽_-;_-@_-"/>
    <numFmt numFmtId="184" formatCode="_(* #,##0.0_);_(* \(#,##0.0\);_(* &quot;-&quot;??_);_(@_)"/>
    <numFmt numFmtId="185" formatCode="#,##0_ ;[Red]\-#,##0\ "/>
    <numFmt numFmtId="186" formatCode="#,##0.000000"/>
    <numFmt numFmtId="187" formatCode="_-* #,##0.000\ _₽_-;\-* #,##0.000\ _₽_-;_-* &quot;-&quot;??\ _₽_-;_-@_-"/>
  </numFmts>
  <fonts count="198" x14ac:knownFonts="1">
    <font>
      <sz val="10"/>
      <color theme="1"/>
      <name val="Times New Roman"/>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indexed="8"/>
      <name val="Times New Roman"/>
      <family val="2"/>
      <charset val="204"/>
    </font>
    <font>
      <sz val="14"/>
      <color indexed="8"/>
      <name val="Times New Roman"/>
      <family val="2"/>
      <charset val="204"/>
    </font>
    <font>
      <sz val="10"/>
      <name val="Arial Cyr"/>
      <charset val="204"/>
    </font>
    <font>
      <sz val="10"/>
      <name val="Times New Roman"/>
      <family val="1"/>
      <charset val="204"/>
    </font>
    <font>
      <b/>
      <sz val="10"/>
      <name val="Times New Roman"/>
      <family val="1"/>
      <charset val="204"/>
    </font>
    <font>
      <sz val="10"/>
      <color indexed="8"/>
      <name val="Times New Roman"/>
      <family val="1"/>
      <charset val="204"/>
    </font>
    <font>
      <sz val="13"/>
      <name val="Times New Roman"/>
      <family val="1"/>
    </font>
    <font>
      <sz val="16"/>
      <color indexed="8"/>
      <name val="Times New Roman"/>
      <family val="2"/>
      <charset val="204"/>
    </font>
    <font>
      <u/>
      <sz val="16"/>
      <color indexed="8"/>
      <name val="Times New Roman"/>
      <family val="1"/>
      <charset val="204"/>
    </font>
    <font>
      <sz val="10"/>
      <name val="Times New Roman"/>
      <family val="2"/>
      <charset val="204"/>
    </font>
    <font>
      <sz val="11"/>
      <color indexed="8"/>
      <name val="Calibri"/>
      <family val="2"/>
      <charset val="204"/>
    </font>
    <font>
      <sz val="10"/>
      <name val="Arial"/>
      <family val="2"/>
      <charset val="204"/>
    </font>
    <font>
      <sz val="12"/>
      <name val="Times New Roman CYR"/>
      <charset val="204"/>
    </font>
    <font>
      <b/>
      <sz val="11"/>
      <color indexed="8"/>
      <name val="Times New Roman"/>
      <family val="1"/>
      <charset val="204"/>
    </font>
    <font>
      <sz val="12"/>
      <name val="Times New Roman"/>
      <family val="1"/>
    </font>
    <font>
      <sz val="9"/>
      <color indexed="81"/>
      <name val="Tahoma"/>
      <family val="2"/>
      <charset val="204"/>
    </font>
    <font>
      <sz val="13"/>
      <name val="Times New Roman"/>
      <family val="2"/>
      <charset val="204"/>
    </font>
    <font>
      <sz val="16"/>
      <name val="Times New Roman"/>
      <family val="2"/>
      <charset val="204"/>
    </font>
    <font>
      <u/>
      <sz val="16"/>
      <name val="Times New Roman"/>
      <family val="2"/>
      <charset val="204"/>
    </font>
    <font>
      <sz val="14"/>
      <name val="Times New Roman"/>
      <family val="2"/>
      <charset val="204"/>
    </font>
    <font>
      <sz val="12"/>
      <name val="Times New Roman"/>
      <family val="2"/>
      <charset val="204"/>
    </font>
    <font>
      <b/>
      <sz val="11"/>
      <name val="Times New Roman"/>
      <family val="2"/>
      <charset val="204"/>
    </font>
    <font>
      <sz val="11"/>
      <name val="Times New Roman"/>
      <family val="2"/>
      <charset val="204"/>
    </font>
    <font>
      <sz val="8"/>
      <name val="Arial Cyr"/>
    </font>
    <font>
      <b/>
      <sz val="11"/>
      <name val="Times New Roman"/>
      <family val="1"/>
      <charset val="204"/>
    </font>
    <font>
      <sz val="11"/>
      <name val="Times New Roman"/>
      <family val="1"/>
      <charset val="204"/>
    </font>
    <font>
      <sz val="12"/>
      <name val="Times New Roman"/>
      <family val="1"/>
      <charset val="204"/>
    </font>
    <font>
      <sz val="10"/>
      <color theme="1"/>
      <name val="Times New Roman"/>
      <family val="2"/>
      <charset val="204"/>
    </font>
    <font>
      <sz val="10"/>
      <color theme="0"/>
      <name val="Times New Roman"/>
      <family val="2"/>
      <charset val="204"/>
    </font>
    <font>
      <sz val="11"/>
      <color theme="1"/>
      <name val="Calibri"/>
      <family val="2"/>
      <charset val="204"/>
      <scheme val="minor"/>
    </font>
    <font>
      <sz val="10"/>
      <color theme="1"/>
      <name val="Times New Roman"/>
      <family val="1"/>
      <charset val="204"/>
    </font>
    <font>
      <b/>
      <sz val="10"/>
      <color theme="1"/>
      <name val="Times New Roman"/>
      <family val="1"/>
      <charset val="204"/>
    </font>
    <font>
      <b/>
      <sz val="11"/>
      <color theme="1"/>
      <name val="Times New Roman"/>
      <family val="1"/>
      <charset val="204"/>
    </font>
    <font>
      <sz val="13"/>
      <color theme="1"/>
      <name val="Times New Roman"/>
      <family val="2"/>
      <charset val="204"/>
    </font>
    <font>
      <sz val="12"/>
      <color theme="1"/>
      <name val="Times New Roman"/>
      <family val="1"/>
      <charset val="204"/>
    </font>
    <font>
      <sz val="11"/>
      <color theme="1"/>
      <name val="Times New Roman"/>
      <family val="1"/>
      <charset val="204"/>
    </font>
    <font>
      <sz val="16"/>
      <color theme="1"/>
      <name val="Times New Roman"/>
      <family val="1"/>
      <charset val="204"/>
    </font>
    <font>
      <sz val="10"/>
      <color rgb="FFC00000"/>
      <name val="Times New Roman"/>
      <family val="2"/>
      <charset val="204"/>
    </font>
    <font>
      <sz val="11"/>
      <color rgb="FFC00000"/>
      <name val="Times New Roman"/>
      <family val="2"/>
      <charset val="204"/>
    </font>
    <font>
      <b/>
      <sz val="10"/>
      <name val="Times New Roman"/>
      <family val="2"/>
      <charset val="204"/>
    </font>
    <font>
      <b/>
      <sz val="11"/>
      <color theme="1"/>
      <name val="Calibri"/>
      <family val="2"/>
      <charset val="204"/>
      <scheme val="minor"/>
    </font>
    <font>
      <b/>
      <sz val="12"/>
      <name val="Times New Roman"/>
      <family val="1"/>
      <charset val="204"/>
    </font>
    <font>
      <b/>
      <i/>
      <sz val="10"/>
      <name val="Times New Roman"/>
      <family val="1"/>
      <charset val="204"/>
    </font>
    <font>
      <i/>
      <sz val="10"/>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b/>
      <sz val="12"/>
      <color theme="1"/>
      <name val="Times New Roman"/>
      <family val="1"/>
      <charset val="204"/>
    </font>
    <font>
      <sz val="10"/>
      <name val="Times New Roman CYR"/>
      <charset val="204"/>
    </font>
    <font>
      <sz val="14"/>
      <color theme="1"/>
      <name val="Times New Roman"/>
      <family val="1"/>
      <charset val="204"/>
    </font>
    <font>
      <b/>
      <sz val="14"/>
      <color theme="1"/>
      <name val="Times New Roman"/>
      <family val="1"/>
      <charset val="204"/>
    </font>
    <font>
      <b/>
      <sz val="12"/>
      <name val="Times New Roman Cyr"/>
      <family val="1"/>
      <charset val="204"/>
    </font>
    <font>
      <sz val="8"/>
      <name val="Times New Roman Cyr"/>
      <family val="1"/>
      <charset val="204"/>
    </font>
    <font>
      <sz val="11"/>
      <name val="Arial Cyr"/>
      <charset val="204"/>
    </font>
    <font>
      <sz val="13"/>
      <name val="Times New Roman Cyr"/>
      <family val="1"/>
      <charset val="204"/>
    </font>
    <font>
      <b/>
      <sz val="10"/>
      <name val="Times New Roman Cyr"/>
      <family val="1"/>
      <charset val="204"/>
    </font>
    <font>
      <sz val="12"/>
      <name val="Times New Roman Cyr"/>
      <family val="1"/>
      <charset val="204"/>
    </font>
    <font>
      <b/>
      <sz val="8"/>
      <name val="Times New Roman Cyr"/>
      <family val="1"/>
      <charset val="204"/>
    </font>
    <font>
      <vertAlign val="superscript"/>
      <sz val="10"/>
      <name val="Times New Roman"/>
      <family val="1"/>
      <charset val="204"/>
    </font>
    <font>
      <sz val="11"/>
      <color theme="1"/>
      <name val="Calibri"/>
      <family val="2"/>
      <scheme val="minor"/>
    </font>
    <font>
      <sz val="10"/>
      <name val="Calibri"/>
      <family val="2"/>
      <charset val="204"/>
      <scheme val="minor"/>
    </font>
    <font>
      <sz val="9"/>
      <color theme="1"/>
      <name val="Arial"/>
      <family val="2"/>
      <charset val="204"/>
    </font>
    <font>
      <sz val="10"/>
      <color theme="1"/>
      <name val="Calibri"/>
      <family val="2"/>
      <charset val="204"/>
      <scheme val="minor"/>
    </font>
    <font>
      <b/>
      <sz val="10"/>
      <name val="Calibri"/>
      <family val="2"/>
      <charset val="204"/>
      <scheme val="minor"/>
    </font>
    <font>
      <b/>
      <sz val="12"/>
      <color indexed="8"/>
      <name val="Times New Roman"/>
      <family val="1"/>
      <charset val="204"/>
    </font>
    <font>
      <b/>
      <i/>
      <u/>
      <sz val="12"/>
      <color indexed="8"/>
      <name val="Times New Roman"/>
      <family val="1"/>
      <charset val="204"/>
    </font>
    <font>
      <b/>
      <sz val="10"/>
      <color indexed="8"/>
      <name val="Times New Roman"/>
      <family val="1"/>
      <charset val="204"/>
    </font>
    <font>
      <sz val="11"/>
      <color indexed="8"/>
      <name val="Times New Roman"/>
      <family val="1"/>
      <charset val="204"/>
    </font>
    <font>
      <sz val="13"/>
      <name val="Times New Roman"/>
      <family val="1"/>
      <charset val="204"/>
    </font>
    <font>
      <b/>
      <sz val="14"/>
      <color indexed="8"/>
      <name val="Times New Roman"/>
      <family val="1"/>
      <charset val="204"/>
    </font>
    <font>
      <b/>
      <sz val="12"/>
      <name val="Times New Roman CYR"/>
      <charset val="204"/>
    </font>
    <font>
      <b/>
      <sz val="11"/>
      <color rgb="FF0000FF"/>
      <name val="Calibri"/>
      <family val="2"/>
      <charset val="204"/>
      <scheme val="minor"/>
    </font>
    <font>
      <sz val="11"/>
      <name val="Times New Roman Cyr"/>
      <family val="1"/>
      <charset val="204"/>
    </font>
    <font>
      <b/>
      <sz val="14"/>
      <name val="Times New Roman"/>
      <family val="1"/>
      <charset val="204"/>
    </font>
    <font>
      <b/>
      <sz val="9"/>
      <name val="Times New Roman"/>
      <family val="1"/>
      <charset val="204"/>
    </font>
    <font>
      <sz val="13"/>
      <color theme="1"/>
      <name val="Times New Roman"/>
      <family val="1"/>
      <charset val="204"/>
    </font>
    <font>
      <b/>
      <i/>
      <sz val="10"/>
      <name val="Calibri"/>
      <family val="2"/>
      <charset val="204"/>
      <scheme val="minor"/>
    </font>
    <font>
      <b/>
      <sz val="9"/>
      <color indexed="81"/>
      <name val="Tahoma"/>
      <family val="2"/>
      <charset val="204"/>
    </font>
    <font>
      <b/>
      <sz val="15"/>
      <name val="Times New Roman"/>
      <family val="1"/>
      <charset val="204"/>
    </font>
    <font>
      <b/>
      <u/>
      <sz val="14"/>
      <name val="Times New Roman"/>
      <family val="1"/>
      <charset val="204"/>
    </font>
    <font>
      <b/>
      <sz val="13"/>
      <name val="Times New Roman"/>
      <family val="1"/>
      <charset val="204"/>
    </font>
    <font>
      <b/>
      <sz val="16"/>
      <name val="Times New Roman"/>
      <family val="1"/>
      <charset val="204"/>
    </font>
    <font>
      <sz val="10"/>
      <name val="Arial Cyr"/>
      <family val="2"/>
      <charset val="204"/>
    </font>
    <font>
      <sz val="10"/>
      <name val="Arial"/>
      <family val="2"/>
    </font>
    <font>
      <b/>
      <sz val="11"/>
      <color rgb="FF0000FF"/>
      <name val="Times New Roman"/>
      <family val="1"/>
      <charset val="204"/>
    </font>
    <font>
      <sz val="10"/>
      <name val="Times New Roman"/>
      <family val="1"/>
    </font>
    <font>
      <b/>
      <sz val="10"/>
      <name val="Times New Roman"/>
      <family val="1"/>
    </font>
    <font>
      <b/>
      <vertAlign val="superscript"/>
      <sz val="10"/>
      <name val="Times New Roman"/>
      <family val="1"/>
    </font>
    <font>
      <b/>
      <sz val="10"/>
      <name val="Arial Cyr"/>
      <charset val="204"/>
    </font>
    <font>
      <sz val="10"/>
      <color rgb="FFFF0000"/>
      <name val="Times New Roman"/>
      <family val="1"/>
      <charset val="204"/>
    </font>
    <font>
      <sz val="10"/>
      <color theme="1"/>
      <name val="Arial Cyr"/>
      <charset val="204"/>
    </font>
    <font>
      <b/>
      <sz val="10"/>
      <color theme="1"/>
      <name val="Arial Cyr"/>
      <charset val="204"/>
    </font>
    <font>
      <b/>
      <sz val="20"/>
      <name val="Times New Roman Cyr"/>
      <family val="1"/>
      <charset val="204"/>
    </font>
    <font>
      <sz val="10"/>
      <name val="Times New Roman Cyr"/>
      <family val="1"/>
      <charset val="204"/>
    </font>
    <font>
      <sz val="9"/>
      <name val="Times New Roman Cyr"/>
      <family val="1"/>
      <charset val="204"/>
    </font>
    <font>
      <b/>
      <sz val="11"/>
      <name val="Times New Roman Cyr"/>
      <charset val="204"/>
    </font>
    <font>
      <sz val="8"/>
      <name val="Times New Roman Cyr"/>
      <charset val="204"/>
    </font>
    <font>
      <i/>
      <sz val="8"/>
      <name val="Times New Roman Cyr"/>
      <charset val="204"/>
    </font>
    <font>
      <b/>
      <i/>
      <sz val="8"/>
      <name val="Times New Roman Cyr"/>
      <family val="1"/>
      <charset val="204"/>
    </font>
    <font>
      <i/>
      <sz val="8"/>
      <name val="Times New Roman Cyr"/>
      <family val="1"/>
      <charset val="204"/>
    </font>
    <font>
      <b/>
      <sz val="8"/>
      <name val="Times New Roman Cyr"/>
      <charset val="204"/>
    </font>
    <font>
      <b/>
      <sz val="11"/>
      <name val="Times New Roman Cyr"/>
      <family val="1"/>
      <charset val="204"/>
    </font>
    <font>
      <b/>
      <sz val="13"/>
      <name val="Times New Roman Cyr"/>
      <charset val="204"/>
    </font>
    <font>
      <b/>
      <sz val="9"/>
      <name val="Times New Roman Cyr"/>
      <charset val="204"/>
    </font>
    <font>
      <b/>
      <i/>
      <u/>
      <sz val="12"/>
      <name val="Times New Roman"/>
      <family val="1"/>
      <charset val="204"/>
    </font>
    <font>
      <sz val="16"/>
      <name val="Times New Roman"/>
      <family val="1"/>
      <charset val="204"/>
    </font>
    <font>
      <sz val="12"/>
      <name val="Calibri"/>
      <family val="2"/>
      <charset val="204"/>
    </font>
    <font>
      <sz val="14"/>
      <name val="Times New Roman"/>
      <family val="1"/>
      <charset val="204"/>
    </font>
    <font>
      <sz val="12"/>
      <color rgb="FFFF0000"/>
      <name val="Times New Roman"/>
      <family val="1"/>
      <charset val="204"/>
    </font>
    <font>
      <sz val="9"/>
      <color theme="1"/>
      <name val="Times New Roman"/>
      <family val="1"/>
      <charset val="204"/>
    </font>
    <font>
      <b/>
      <i/>
      <u/>
      <sz val="10"/>
      <color indexed="8"/>
      <name val="Times New Roman"/>
      <family val="1"/>
      <charset val="204"/>
    </font>
    <font>
      <b/>
      <sz val="13"/>
      <name val="Times New Roman Cyr"/>
      <family val="1"/>
      <charset val="204"/>
    </font>
    <font>
      <sz val="9"/>
      <name val="Times New Roman Cyr"/>
      <charset val="204"/>
    </font>
    <font>
      <sz val="11"/>
      <name val="Calibri"/>
      <family val="2"/>
      <charset val="204"/>
      <scheme val="minor"/>
    </font>
    <font>
      <b/>
      <sz val="15"/>
      <color theme="1"/>
      <name val="Times New Roman"/>
      <family val="1"/>
      <charset val="204"/>
    </font>
    <font>
      <b/>
      <u/>
      <sz val="14"/>
      <color theme="1"/>
      <name val="Times New Roman"/>
      <family val="1"/>
      <charset val="204"/>
    </font>
    <font>
      <b/>
      <sz val="13"/>
      <color theme="1"/>
      <name val="Times New Roman"/>
      <family val="1"/>
      <charset val="204"/>
    </font>
    <font>
      <b/>
      <sz val="10"/>
      <color rgb="FFFF0000"/>
      <name val="Times New Roman"/>
      <family val="1"/>
      <charset val="204"/>
    </font>
    <font>
      <sz val="8"/>
      <name val="Times New Roman"/>
      <family val="1"/>
      <charset val="204"/>
    </font>
    <font>
      <sz val="11"/>
      <color rgb="FFFF0000"/>
      <name val="Times New Roman"/>
      <family val="1"/>
      <charset val="204"/>
    </font>
    <font>
      <b/>
      <i/>
      <sz val="18"/>
      <name val="Times New Roman"/>
      <family val="1"/>
      <charset val="204"/>
    </font>
    <font>
      <sz val="8"/>
      <color theme="1"/>
      <name val="Times New Roman"/>
      <family val="1"/>
      <charset val="204"/>
    </font>
    <font>
      <sz val="8"/>
      <color theme="1"/>
      <name val="Calibri"/>
      <family val="2"/>
      <charset val="204"/>
      <scheme val="minor"/>
    </font>
    <font>
      <sz val="10"/>
      <color rgb="FFFF0000"/>
      <name val="Calibri"/>
      <family val="2"/>
      <charset val="204"/>
      <scheme val="minor"/>
    </font>
    <font>
      <b/>
      <sz val="9"/>
      <color theme="1"/>
      <name val="Times New Roman"/>
      <family val="1"/>
      <charset val="204"/>
    </font>
    <font>
      <b/>
      <sz val="9"/>
      <color rgb="FF0000FF"/>
      <name val="Times New Roman"/>
      <family val="1"/>
      <charset val="204"/>
    </font>
    <font>
      <b/>
      <sz val="12"/>
      <color rgb="FF0000FF"/>
      <name val="Times New Roman"/>
      <family val="1"/>
      <charset val="204"/>
    </font>
    <font>
      <b/>
      <sz val="10"/>
      <color rgb="FF0000FF"/>
      <name val="Times New Roman"/>
      <family val="1"/>
      <charset val="204"/>
    </font>
    <font>
      <b/>
      <vertAlign val="superscript"/>
      <sz val="12"/>
      <name val="Times New Roman"/>
      <family val="1"/>
      <charset val="204"/>
    </font>
    <font>
      <vertAlign val="superscript"/>
      <sz val="12"/>
      <name val="Times New Roman"/>
      <family val="1"/>
      <charset val="204"/>
    </font>
    <font>
      <sz val="13"/>
      <name val="Calibri"/>
      <family val="2"/>
      <charset val="204"/>
    </font>
    <font>
      <b/>
      <i/>
      <sz val="12"/>
      <name val="Times New Roman"/>
      <family val="1"/>
      <charset val="204"/>
    </font>
    <font>
      <u/>
      <sz val="10"/>
      <color theme="10"/>
      <name val="Arial"/>
      <family val="2"/>
      <charset val="204"/>
    </font>
    <font>
      <u/>
      <sz val="10"/>
      <name val="Arial"/>
      <family val="2"/>
      <charset val="204"/>
    </font>
    <font>
      <b/>
      <sz val="8"/>
      <name val="Times New Roman"/>
      <family val="1"/>
      <charset val="204"/>
    </font>
    <font>
      <b/>
      <vertAlign val="superscript"/>
      <sz val="8"/>
      <name val="Times New Roman"/>
      <family val="1"/>
      <charset val="204"/>
    </font>
    <font>
      <vertAlign val="superscript"/>
      <sz val="8"/>
      <name val="Times New Roman"/>
      <family val="1"/>
      <charset val="204"/>
    </font>
    <font>
      <sz val="6"/>
      <name val="Times New Roman"/>
      <family val="1"/>
      <charset val="204"/>
    </font>
    <font>
      <sz val="7"/>
      <name val="Times New Roman"/>
      <family val="1"/>
      <charset val="204"/>
    </font>
    <font>
      <sz val="7"/>
      <color indexed="9"/>
      <name val="Times New Roman"/>
      <family val="1"/>
      <charset val="204"/>
    </font>
    <font>
      <b/>
      <vertAlign val="superscript"/>
      <sz val="10"/>
      <name val="Times New Roman"/>
      <family val="1"/>
      <charset val="204"/>
    </font>
    <font>
      <b/>
      <u/>
      <sz val="8"/>
      <name val="Times New Roman"/>
      <family val="1"/>
      <charset val="204"/>
    </font>
    <font>
      <b/>
      <sz val="17"/>
      <name val="Times New Roman Cyr"/>
      <family val="1"/>
      <charset val="204"/>
    </font>
    <font>
      <b/>
      <sz val="10"/>
      <color theme="1"/>
      <name val="Calibri"/>
      <family val="2"/>
      <charset val="204"/>
      <scheme val="minor"/>
    </font>
    <font>
      <sz val="10"/>
      <color theme="1"/>
      <name val="Times New Roman"/>
      <family val="1"/>
    </font>
    <font>
      <b/>
      <sz val="10"/>
      <color theme="1"/>
      <name val="Times New Roman"/>
      <family val="1"/>
    </font>
    <font>
      <sz val="10"/>
      <color rgb="FF0070C0"/>
      <name val="Calibri"/>
      <family val="2"/>
      <charset val="204"/>
      <scheme val="minor"/>
    </font>
    <font>
      <b/>
      <sz val="10"/>
      <color rgb="FFFF0000"/>
      <name val="Calibri"/>
      <family val="2"/>
      <charset val="204"/>
      <scheme val="minor"/>
    </font>
    <font>
      <b/>
      <sz val="11"/>
      <color rgb="FFFF0000"/>
      <name val="Times New Roman"/>
      <family val="1"/>
      <charset val="204"/>
    </font>
    <font>
      <sz val="11"/>
      <name val="Arial"/>
      <family val="2"/>
      <charset val="204"/>
    </font>
    <font>
      <b/>
      <sz val="11"/>
      <name val="Arial"/>
      <family val="2"/>
      <charset val="204"/>
    </font>
    <font>
      <sz val="8"/>
      <color indexed="8"/>
      <name val="Times New Roman"/>
      <family val="1"/>
      <charset val="204"/>
    </font>
    <font>
      <b/>
      <sz val="10"/>
      <color theme="1"/>
      <name val="Arial"/>
      <family val="2"/>
      <charset val="204"/>
    </font>
    <font>
      <b/>
      <sz val="10"/>
      <color rgb="FF0070C0"/>
      <name val="Times New Roman"/>
      <family val="1"/>
      <charset val="204"/>
    </font>
    <font>
      <sz val="10"/>
      <color rgb="FFFF0000"/>
      <name val="Arial Cyr"/>
      <charset val="204"/>
    </font>
    <font>
      <b/>
      <sz val="10"/>
      <color rgb="FFFF0000"/>
      <name val="Times New Roman"/>
      <family val="1"/>
    </font>
    <font>
      <i/>
      <sz val="11"/>
      <name val="Times New Roman"/>
      <family val="1"/>
      <charset val="204"/>
    </font>
    <font>
      <i/>
      <sz val="9"/>
      <name val="Times New Roman Cyr"/>
      <charset val="204"/>
    </font>
    <font>
      <i/>
      <sz val="10"/>
      <name val="Times New Roman Cyr"/>
      <charset val="204"/>
    </font>
    <font>
      <sz val="15"/>
      <name val="Times New Roman"/>
      <family val="1"/>
      <charset val="204"/>
    </font>
    <font>
      <sz val="15"/>
      <color theme="1"/>
      <name val="Times New Roman"/>
      <family val="1"/>
      <charset val="204"/>
    </font>
    <font>
      <u/>
      <sz val="14"/>
      <name val="Times New Roman"/>
      <family val="1"/>
      <charset val="204"/>
    </font>
    <font>
      <u/>
      <sz val="10"/>
      <name val="Times New Roman"/>
      <family val="1"/>
      <charset val="204"/>
    </font>
    <font>
      <sz val="8"/>
      <name val="Calibri"/>
      <family val="2"/>
      <charset val="204"/>
      <scheme val="minor"/>
    </font>
    <font>
      <b/>
      <sz val="9"/>
      <color theme="1"/>
      <name val="Arial"/>
      <family val="2"/>
      <charset val="204"/>
    </font>
    <font>
      <sz val="11"/>
      <name val="Calibri"/>
      <family val="2"/>
      <scheme val="minor"/>
    </font>
    <font>
      <sz val="8"/>
      <color theme="1"/>
      <name val="Calibri"/>
      <family val="2"/>
      <scheme val="minor"/>
    </font>
    <font>
      <sz val="11"/>
      <color rgb="FFFFFF00"/>
      <name val="Calibri"/>
      <family val="2"/>
      <scheme val="minor"/>
    </font>
    <font>
      <sz val="9"/>
      <name val="Times New Roman"/>
      <family val="1"/>
      <charset val="204"/>
    </font>
    <font>
      <b/>
      <sz val="8.5"/>
      <name val="MS Sans Serif"/>
      <family val="2"/>
      <charset val="204"/>
    </font>
    <font>
      <b/>
      <sz val="8"/>
      <name val="Arial Cyr"/>
    </font>
    <font>
      <b/>
      <sz val="18"/>
      <name val="Times New Roman Cyr"/>
      <family val="1"/>
      <charset val="204"/>
    </font>
    <font>
      <sz val="16"/>
      <color indexed="8"/>
      <name val="Times New Roman"/>
      <family val="1"/>
      <charset val="204"/>
    </font>
    <font>
      <b/>
      <sz val="16"/>
      <color indexed="8"/>
      <name val="Times New Roman"/>
      <family val="1"/>
      <charset val="204"/>
    </font>
    <font>
      <b/>
      <sz val="16"/>
      <color theme="1"/>
      <name val="Times New Roman"/>
      <family val="1"/>
      <charset val="204"/>
    </font>
    <font>
      <sz val="12"/>
      <color indexed="8"/>
      <name val="Calibri"/>
      <family val="2"/>
      <charset val="204"/>
    </font>
    <font>
      <b/>
      <sz val="12"/>
      <color theme="0"/>
      <name val="Times New Roman"/>
      <family val="1"/>
      <charset val="204"/>
    </font>
    <font>
      <sz val="12"/>
      <color theme="0"/>
      <name val="Times New Roman"/>
      <family val="1"/>
      <charset val="204"/>
    </font>
    <font>
      <b/>
      <u/>
      <sz val="11"/>
      <name val="Arial"/>
      <family val="2"/>
      <charset val="204"/>
    </font>
    <font>
      <b/>
      <sz val="10"/>
      <name val="Arial"/>
      <family val="2"/>
      <charset val="204"/>
    </font>
    <font>
      <sz val="9.5"/>
      <color theme="1"/>
      <name val="Times New Roman"/>
      <family val="1"/>
      <charset val="204"/>
    </font>
    <font>
      <b/>
      <sz val="25"/>
      <name val="Times New Roman"/>
      <family val="1"/>
      <charset val="204"/>
    </font>
  </fonts>
  <fills count="32">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theme="9" tint="0.59999389629810485"/>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CCCC"/>
        <bgColor indexed="64"/>
      </patternFill>
    </fill>
    <fill>
      <patternFill patternType="solid">
        <fgColor rgb="FFCCFFFF"/>
        <bgColor indexed="64"/>
      </patternFill>
    </fill>
    <fill>
      <patternFill patternType="solid">
        <fgColor rgb="FFFF0000"/>
        <bgColor indexed="64"/>
      </patternFill>
    </fill>
    <fill>
      <patternFill patternType="solid">
        <fgColor rgb="FFFFCCFF"/>
        <bgColor indexed="64"/>
      </patternFill>
    </fill>
    <fill>
      <patternFill patternType="solid">
        <fgColor rgb="FF92D050"/>
        <bgColor indexed="64"/>
      </patternFill>
    </fill>
    <fill>
      <patternFill patternType="solid">
        <fgColor rgb="FF66FFFF"/>
        <bgColor indexed="64"/>
      </patternFill>
    </fill>
    <fill>
      <patternFill patternType="solid">
        <fgColor rgb="FFFF99FF"/>
        <bgColor indexed="64"/>
      </patternFill>
    </fill>
    <fill>
      <patternFill patternType="solid">
        <fgColor rgb="FF00FFFF"/>
        <bgColor indexed="64"/>
      </patternFill>
    </fill>
    <fill>
      <patternFill patternType="solid">
        <fgColor rgb="FF00FFFF"/>
        <bgColor indexed="27"/>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26"/>
      </patternFill>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
      <patternFill patternType="solid">
        <fgColor indexed="9"/>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2"/>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thin">
        <color indexed="64"/>
      </bottom>
      <diagonal/>
    </border>
    <border>
      <left/>
      <right style="mediumDashDot">
        <color indexed="64"/>
      </right>
      <top/>
      <bottom style="thin">
        <color indexed="64"/>
      </bottom>
      <diagonal/>
    </border>
    <border>
      <left style="mediumDashDot">
        <color indexed="64"/>
      </left>
      <right/>
      <top style="thin">
        <color indexed="64"/>
      </top>
      <bottom/>
      <diagonal/>
    </border>
    <border>
      <left/>
      <right style="mediumDashDot">
        <color indexed="64"/>
      </right>
      <top style="thin">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right/>
      <top style="mediumDashDot">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s>
  <cellStyleXfs count="95">
    <xf numFmtId="0" fontId="0" fillId="0" borderId="0"/>
    <xf numFmtId="44" fontId="18" fillId="0" borderId="0" applyFont="0" applyFill="0" applyBorder="0" applyAlignment="0" applyProtection="0"/>
    <xf numFmtId="44" fontId="26"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43" fillId="0" borderId="0"/>
    <xf numFmtId="0" fontId="27" fillId="0" borderId="0"/>
    <xf numFmtId="0" fontId="43" fillId="0" borderId="0"/>
    <xf numFmtId="0" fontId="16" fillId="0" borderId="0"/>
    <xf numFmtId="0" fontId="45" fillId="0" borderId="0"/>
    <xf numFmtId="0" fontId="27" fillId="0" borderId="0"/>
    <xf numFmtId="0" fontId="26" fillId="0" borderId="0"/>
    <xf numFmtId="0" fontId="27" fillId="0" borderId="0"/>
    <xf numFmtId="0" fontId="18" fillId="0" borderId="0"/>
    <xf numFmtId="9" fontId="27" fillId="0" borderId="0" applyFont="0" applyFill="0" applyBorder="0" applyAlignment="0" applyProtection="0"/>
    <xf numFmtId="9" fontId="27" fillId="0" borderId="0" applyFont="0" applyFill="0" applyBorder="0" applyAlignment="0" applyProtection="0"/>
    <xf numFmtId="0" fontId="27" fillId="0" borderId="0" applyFont="0" applyFill="0" applyBorder="0" applyAlignment="0" applyProtection="0"/>
    <xf numFmtId="43" fontId="45" fillId="0" borderId="0" applyFont="0" applyFill="0" applyBorder="0" applyAlignment="0" applyProtection="0"/>
    <xf numFmtId="0" fontId="15" fillId="0" borderId="0"/>
    <xf numFmtId="43" fontId="15" fillId="0" borderId="0" applyFont="0" applyFill="0" applyBorder="0" applyAlignment="0" applyProtection="0"/>
    <xf numFmtId="0" fontId="64" fillId="0" borderId="0"/>
    <xf numFmtId="0" fontId="69" fillId="0" borderId="0"/>
    <xf numFmtId="0" fontId="75" fillId="0" borderId="0"/>
    <xf numFmtId="0" fontId="27" fillId="0" borderId="0"/>
    <xf numFmtId="174" fontId="27" fillId="0" borderId="0" applyFont="0" applyFill="0" applyBorder="0" applyAlignment="0" applyProtection="0"/>
    <xf numFmtId="0" fontId="15" fillId="0" borderId="0"/>
    <xf numFmtId="0" fontId="75" fillId="0" borderId="0"/>
    <xf numFmtId="0" fontId="14" fillId="0" borderId="0"/>
    <xf numFmtId="0" fontId="27" fillId="0" borderId="0"/>
    <xf numFmtId="174" fontId="27" fillId="0" borderId="0" applyFont="0" applyFill="0" applyBorder="0" applyAlignment="0" applyProtection="0"/>
    <xf numFmtId="0" fontId="14" fillId="0" borderId="0"/>
    <xf numFmtId="0" fontId="13" fillId="0" borderId="0"/>
    <xf numFmtId="0" fontId="27" fillId="0" borderId="0"/>
    <xf numFmtId="0" fontId="98" fillId="0" borderId="0"/>
    <xf numFmtId="0" fontId="99" fillId="0" borderId="0"/>
    <xf numFmtId="0" fontId="27" fillId="0" borderId="0"/>
    <xf numFmtId="0" fontId="13" fillId="0" borderId="0"/>
    <xf numFmtId="0" fontId="12" fillId="0" borderId="0"/>
    <xf numFmtId="43" fontId="12" fillId="0" borderId="0" applyFont="0" applyFill="0" applyBorder="0" applyAlignment="0" applyProtection="0"/>
    <xf numFmtId="0" fontId="27" fillId="0" borderId="0"/>
    <xf numFmtId="176" fontId="27" fillId="0" borderId="0" applyFont="0" applyFill="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8" fillId="0" borderId="0"/>
    <xf numFmtId="43" fontId="27" fillId="0" borderId="0" applyFont="0" applyFill="0" applyBorder="0" applyAlignment="0" applyProtection="0"/>
    <xf numFmtId="0" fontId="148" fillId="0" borderId="0" applyNumberFormat="0" applyFill="0" applyBorder="0" applyAlignment="0" applyProtection="0"/>
    <xf numFmtId="0" fontId="18" fillId="0" borderId="0"/>
    <xf numFmtId="0" fontId="10" fillId="0" borderId="0"/>
    <xf numFmtId="43" fontId="10" fillId="0" borderId="0" applyFont="0" applyFill="0" applyBorder="0" applyAlignment="0" applyProtection="0"/>
    <xf numFmtId="0" fontId="10" fillId="0" borderId="0"/>
    <xf numFmtId="0" fontId="10" fillId="0" borderId="0"/>
    <xf numFmtId="0" fontId="26" fillId="0" borderId="0"/>
    <xf numFmtId="43" fontId="10" fillId="0" borderId="0" applyFont="0" applyFill="0" applyBorder="0" applyAlignment="0" applyProtection="0"/>
    <xf numFmtId="0" fontId="18" fillId="0" borderId="0"/>
    <xf numFmtId="0" fontId="18" fillId="0" borderId="0"/>
    <xf numFmtId="0" fontId="9" fillId="0" borderId="0"/>
    <xf numFmtId="43" fontId="18" fillId="0" borderId="0" applyFont="0" applyFill="0" applyBorder="0" applyAlignment="0" applyProtection="0"/>
    <xf numFmtId="0" fontId="9" fillId="0" borderId="0"/>
    <xf numFmtId="43" fontId="9" fillId="0" borderId="0" applyFont="0" applyFill="0" applyBorder="0" applyAlignment="0" applyProtection="0"/>
    <xf numFmtId="0" fontId="75" fillId="0" borderId="0"/>
    <xf numFmtId="0" fontId="8" fillId="0" borderId="0"/>
    <xf numFmtId="43" fontId="8" fillId="0" borderId="0" applyFont="0" applyFill="0" applyBorder="0" applyAlignment="0" applyProtection="0"/>
    <xf numFmtId="0" fontId="7" fillId="0" borderId="0"/>
    <xf numFmtId="0" fontId="43"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2" fillId="0" borderId="0"/>
    <xf numFmtId="0" fontId="2" fillId="0" borderId="0"/>
    <xf numFmtId="43" fontId="27"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cellStyleXfs>
  <cellXfs count="4037">
    <xf numFmtId="0" fontId="0" fillId="0" borderId="0" xfId="0"/>
    <xf numFmtId="0" fontId="33" fillId="0" borderId="0" xfId="0" applyFont="1" applyFill="1" applyBorder="1" applyAlignment="1">
      <alignment horizontal="center" vertical="center"/>
    </xf>
    <xf numFmtId="4" fontId="33" fillId="0" borderId="0" xfId="0" applyNumberFormat="1" applyFont="1" applyFill="1" applyBorder="1" applyAlignment="1">
      <alignment horizontal="left" vertical="center" wrapText="1"/>
    </xf>
    <xf numFmtId="4" fontId="33" fillId="0" borderId="0" xfId="0" applyNumberFormat="1" applyFont="1" applyFill="1" applyBorder="1" applyAlignment="1">
      <alignment horizontal="right" vertical="center" wrapText="1"/>
    </xf>
    <xf numFmtId="4" fontId="33" fillId="0" borderId="0" xfId="0" applyNumberFormat="1" applyFont="1" applyFill="1" applyBorder="1" applyAlignment="1">
      <alignment horizontal="center" vertical="center" wrapText="1"/>
    </xf>
    <xf numFmtId="170" fontId="33" fillId="0" borderId="0" xfId="0" applyNumberFormat="1" applyFont="1" applyFill="1" applyBorder="1" applyAlignment="1">
      <alignment vertical="center" wrapText="1"/>
    </xf>
    <xf numFmtId="4" fontId="33" fillId="0" borderId="0" xfId="0" applyNumberFormat="1" applyFont="1" applyFill="1" applyBorder="1" applyAlignment="1">
      <alignment horizontal="left" vertical="center"/>
    </xf>
    <xf numFmtId="0" fontId="51" fillId="0" borderId="0" xfId="12" applyFont="1"/>
    <xf numFmtId="2" fontId="51" fillId="2" borderId="1" xfId="12" applyNumberFormat="1" applyFont="1" applyFill="1" applyBorder="1" applyAlignment="1">
      <alignment horizontal="center" vertical="center" wrapText="1"/>
    </xf>
    <xf numFmtId="4" fontId="51" fillId="2" borderId="1" xfId="12" applyNumberFormat="1" applyFont="1" applyFill="1" applyBorder="1" applyAlignment="1">
      <alignment horizontal="center" vertical="center" wrapText="1"/>
    </xf>
    <xf numFmtId="170" fontId="51" fillId="2" borderId="1" xfId="12" applyNumberFormat="1" applyFont="1" applyFill="1" applyBorder="1" applyAlignment="1">
      <alignment horizontal="center" vertical="center"/>
    </xf>
    <xf numFmtId="4" fontId="51" fillId="0" borderId="0" xfId="12" applyNumberFormat="1" applyFont="1"/>
    <xf numFmtId="4" fontId="51" fillId="2" borderId="0" xfId="12" applyNumberFormat="1" applyFont="1" applyFill="1"/>
    <xf numFmtId="0" fontId="51" fillId="2" borderId="0" xfId="12" applyFont="1" applyFill="1"/>
    <xf numFmtId="0" fontId="48" fillId="0" borderId="1" xfId="12" applyFont="1" applyBorder="1" applyAlignment="1">
      <alignment horizontal="center" vertical="center"/>
    </xf>
    <xf numFmtId="0" fontId="48" fillId="2" borderId="1" xfId="12" applyFont="1" applyFill="1" applyBorder="1" applyAlignment="1">
      <alignment horizontal="center" vertical="center"/>
    </xf>
    <xf numFmtId="0" fontId="48" fillId="3" borderId="1" xfId="12" applyFont="1" applyFill="1" applyBorder="1" applyAlignment="1">
      <alignment horizontal="center" vertical="center" wrapText="1"/>
    </xf>
    <xf numFmtId="4" fontId="48" fillId="3" borderId="1" xfId="12" applyNumberFormat="1" applyFont="1" applyFill="1" applyBorder="1" applyAlignment="1">
      <alignment horizontal="center"/>
    </xf>
    <xf numFmtId="170" fontId="48" fillId="3" borderId="1" xfId="12" applyNumberFormat="1" applyFont="1" applyFill="1" applyBorder="1" applyAlignment="1">
      <alignment horizontal="center"/>
    </xf>
    <xf numFmtId="0" fontId="48" fillId="0" borderId="1" xfId="12" applyFont="1" applyBorder="1" applyAlignment="1">
      <alignment horizontal="center" vertical="center"/>
    </xf>
    <xf numFmtId="0" fontId="52" fillId="0" borderId="0" xfId="12" applyFont="1"/>
    <xf numFmtId="0" fontId="48" fillId="0" borderId="1" xfId="12" applyFont="1" applyBorder="1" applyAlignment="1">
      <alignment horizontal="center" vertical="center"/>
    </xf>
    <xf numFmtId="0" fontId="25" fillId="2" borderId="0" xfId="0" applyFont="1" applyFill="1" applyAlignment="1">
      <alignment vertical="center" wrapText="1"/>
    </xf>
    <xf numFmtId="0" fontId="25" fillId="2" borderId="1" xfId="0" applyFont="1" applyFill="1" applyBorder="1" applyAlignment="1">
      <alignment horizontal="center" vertical="center" wrapText="1"/>
    </xf>
    <xf numFmtId="167" fontId="25" fillId="2" borderId="1" xfId="0" applyNumberFormat="1" applyFont="1" applyFill="1" applyBorder="1" applyAlignment="1">
      <alignment horizontal="center" vertical="center" wrapText="1"/>
    </xf>
    <xf numFmtId="165" fontId="37" fillId="2" borderId="1" xfId="8" applyNumberFormat="1" applyFont="1" applyFill="1" applyBorder="1" applyAlignment="1">
      <alignment horizontal="center" vertical="center" wrapText="1"/>
    </xf>
    <xf numFmtId="4" fontId="37" fillId="2" borderId="0" xfId="8" applyNumberFormat="1" applyFont="1" applyFill="1" applyBorder="1" applyAlignment="1">
      <alignment vertical="center" wrapText="1"/>
    </xf>
    <xf numFmtId="4" fontId="38" fillId="2" borderId="0"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170" fontId="38" fillId="2" borderId="1" xfId="0" applyNumberFormat="1" applyFont="1" applyFill="1" applyBorder="1" applyAlignment="1">
      <alignment horizontal="center" vertical="center" wrapText="1"/>
    </xf>
    <xf numFmtId="4" fontId="33" fillId="2" borderId="0" xfId="0" applyNumberFormat="1" applyFont="1" applyFill="1" applyBorder="1" applyAlignment="1">
      <alignment horizontal="left" vertical="center"/>
    </xf>
    <xf numFmtId="4" fontId="36" fillId="2" borderId="0" xfId="0" applyNumberFormat="1" applyFont="1" applyFill="1" applyBorder="1" applyAlignment="1">
      <alignment horizontal="left" vertical="center"/>
    </xf>
    <xf numFmtId="4" fontId="36" fillId="2" borderId="0" xfId="0" applyNumberFormat="1" applyFont="1" applyFill="1" applyBorder="1" applyAlignment="1">
      <alignment horizontal="center" vertical="center" wrapText="1"/>
    </xf>
    <xf numFmtId="0" fontId="25" fillId="2" borderId="0" xfId="0" applyFont="1" applyFill="1" applyAlignment="1">
      <alignment horizontal="center" vertical="center" wrapText="1"/>
    </xf>
    <xf numFmtId="165" fontId="25" fillId="2" borderId="0" xfId="0" applyNumberFormat="1" applyFont="1" applyFill="1" applyAlignment="1">
      <alignment vertical="center" wrapText="1"/>
    </xf>
    <xf numFmtId="0" fontId="33" fillId="2" borderId="0" xfId="0" applyFont="1" applyFill="1" applyAlignment="1">
      <alignment horizontal="center" vertical="center" wrapText="1"/>
    </xf>
    <xf numFmtId="165" fontId="35" fillId="2" borderId="0" xfId="0" applyNumberFormat="1" applyFont="1" applyFill="1" applyAlignment="1">
      <alignment vertical="center" wrapText="1"/>
    </xf>
    <xf numFmtId="0" fontId="35" fillId="2" borderId="0" xfId="0" applyFont="1" applyFill="1" applyAlignment="1">
      <alignment horizontal="center" vertical="center" wrapText="1"/>
    </xf>
    <xf numFmtId="0" fontId="44" fillId="2" borderId="0" xfId="0" applyFont="1" applyFill="1" applyAlignment="1">
      <alignment vertical="center" wrapText="1"/>
    </xf>
    <xf numFmtId="4" fontId="25" fillId="2" borderId="0" xfId="0" applyNumberFormat="1" applyFont="1" applyFill="1" applyAlignment="1">
      <alignment vertical="center" wrapText="1"/>
    </xf>
    <xf numFmtId="0" fontId="25" fillId="2" borderId="1" xfId="0" applyFont="1" applyFill="1" applyBorder="1" applyAlignment="1">
      <alignment horizontal="center" vertical="center" wrapText="1"/>
    </xf>
    <xf numFmtId="0" fontId="25" fillId="2" borderId="1" xfId="8" applyFont="1" applyFill="1" applyBorder="1" applyAlignment="1">
      <alignment horizontal="center" vertical="center" textRotation="90" wrapText="1"/>
    </xf>
    <xf numFmtId="0" fontId="25" fillId="2" borderId="1" xfId="0" applyFont="1" applyFill="1" applyBorder="1" applyAlignment="1">
      <alignment horizontal="center" vertical="center" textRotation="90" wrapText="1"/>
    </xf>
    <xf numFmtId="0" fontId="25" fillId="2" borderId="0" xfId="3" applyFont="1" applyFill="1" applyAlignment="1">
      <alignment horizontal="center" vertical="center" wrapText="1"/>
    </xf>
    <xf numFmtId="0" fontId="25" fillId="2" borderId="1" xfId="16" applyFont="1" applyFill="1" applyBorder="1" applyAlignment="1">
      <alignment horizontal="left" vertical="center" wrapText="1"/>
    </xf>
    <xf numFmtId="166" fontId="25" fillId="2" borderId="1" xfId="16" applyNumberFormat="1" applyFont="1" applyFill="1" applyBorder="1" applyAlignment="1">
      <alignment horizontal="center" vertical="center"/>
    </xf>
    <xf numFmtId="4" fontId="25" fillId="2" borderId="1" xfId="16" applyNumberFormat="1" applyFont="1" applyFill="1" applyBorder="1" applyAlignment="1">
      <alignment horizontal="center" vertical="center"/>
    </xf>
    <xf numFmtId="167" fontId="25" fillId="2" borderId="1" xfId="16" applyNumberFormat="1" applyFont="1" applyFill="1" applyBorder="1" applyAlignment="1">
      <alignment horizontal="center" vertical="center"/>
    </xf>
    <xf numFmtId="4" fontId="25" fillId="2" borderId="1" xfId="0" applyNumberFormat="1" applyFont="1" applyFill="1" applyBorder="1" applyAlignment="1">
      <alignment horizontal="center" vertical="center" wrapText="1"/>
    </xf>
    <xf numFmtId="165" fontId="25" fillId="2" borderId="1" xfId="0" applyNumberFormat="1" applyFont="1" applyFill="1" applyBorder="1" applyAlignment="1">
      <alignment horizontal="center" vertical="center" wrapText="1"/>
    </xf>
    <xf numFmtId="165" fontId="38" fillId="2" borderId="0" xfId="3" applyNumberFormat="1" applyFont="1" applyFill="1" applyAlignment="1">
      <alignment vertical="center" wrapText="1"/>
    </xf>
    <xf numFmtId="166" fontId="25" fillId="2" borderId="0" xfId="0" applyNumberFormat="1" applyFont="1" applyFill="1" applyAlignment="1">
      <alignment vertical="center" wrapText="1"/>
    </xf>
    <xf numFmtId="0" fontId="25" fillId="2" borderId="1" xfId="0" applyFont="1" applyFill="1" applyBorder="1" applyAlignment="1">
      <alignment horizontal="left" vertical="center" wrapText="1"/>
    </xf>
    <xf numFmtId="166" fontId="25" fillId="2" borderId="1" xfId="0" applyNumberFormat="1" applyFont="1" applyFill="1" applyBorder="1" applyAlignment="1">
      <alignment horizontal="center" vertical="center" wrapText="1"/>
    </xf>
    <xf numFmtId="1" fontId="25" fillId="2" borderId="1" xfId="0" applyNumberFormat="1" applyFont="1" applyFill="1" applyBorder="1" applyAlignment="1">
      <alignment horizontal="center" vertical="center" wrapText="1"/>
    </xf>
    <xf numFmtId="0" fontId="25" fillId="2" borderId="1" xfId="0" applyFont="1" applyFill="1" applyBorder="1" applyAlignment="1">
      <alignment horizontal="left" vertical="center"/>
    </xf>
    <xf numFmtId="3" fontId="25" fillId="2" borderId="1" xfId="16" applyNumberFormat="1" applyFont="1" applyFill="1" applyBorder="1" applyAlignment="1">
      <alignment horizontal="center" vertical="center"/>
    </xf>
    <xf numFmtId="1" fontId="25" fillId="2" borderId="1" xfId="16" applyNumberFormat="1" applyFont="1" applyFill="1" applyBorder="1" applyAlignment="1">
      <alignment horizontal="center" vertical="center"/>
    </xf>
    <xf numFmtId="3" fontId="25" fillId="2" borderId="1" xfId="0" applyNumberFormat="1" applyFont="1" applyFill="1" applyBorder="1" applyAlignment="1">
      <alignment horizontal="center" vertical="center" wrapText="1"/>
    </xf>
    <xf numFmtId="4" fontId="37" fillId="2" borderId="1" xfId="8" applyNumberFormat="1" applyFont="1" applyFill="1" applyBorder="1" applyAlignment="1">
      <alignment horizontal="center" vertical="center" wrapText="1"/>
    </xf>
    <xf numFmtId="165" fontId="37" fillId="2" borderId="0" xfId="0" applyNumberFormat="1" applyFont="1" applyFill="1" applyAlignment="1">
      <alignment horizontal="center" vertical="center" wrapText="1"/>
    </xf>
    <xf numFmtId="43" fontId="37" fillId="2" borderId="0" xfId="0" applyNumberFormat="1" applyFont="1" applyFill="1" applyAlignment="1">
      <alignment horizontal="center" vertical="center" wrapText="1"/>
    </xf>
    <xf numFmtId="0" fontId="37" fillId="2" borderId="0" xfId="0" applyFont="1" applyFill="1" applyAlignment="1">
      <alignment horizontal="center" vertical="center" wrapText="1"/>
    </xf>
    <xf numFmtId="0" fontId="37" fillId="2" borderId="0" xfId="0" applyFont="1" applyFill="1" applyBorder="1" applyAlignment="1">
      <alignment horizontal="center" vertical="top"/>
    </xf>
    <xf numFmtId="0" fontId="37" fillId="2" borderId="0" xfId="0" applyFont="1" applyFill="1" applyBorder="1"/>
    <xf numFmtId="4" fontId="37" fillId="2" borderId="0" xfId="0" applyNumberFormat="1" applyFont="1" applyFill="1" applyBorder="1"/>
    <xf numFmtId="168" fontId="25" fillId="2" borderId="0" xfId="0" applyNumberFormat="1" applyFont="1" applyFill="1" applyAlignment="1">
      <alignment vertical="center" wrapText="1"/>
    </xf>
    <xf numFmtId="165" fontId="37" fillId="2" borderId="0" xfId="0" applyNumberFormat="1" applyFont="1" applyFill="1" applyAlignment="1">
      <alignment vertical="center" wrapText="1"/>
    </xf>
    <xf numFmtId="0" fontId="37" fillId="2" borderId="0" xfId="0" applyFont="1" applyFill="1" applyBorder="1" applyAlignment="1">
      <alignment vertical="top"/>
    </xf>
    <xf numFmtId="165" fontId="37" fillId="2" borderId="0" xfId="0" applyNumberFormat="1" applyFont="1" applyFill="1" applyBorder="1"/>
    <xf numFmtId="0" fontId="38" fillId="2" borderId="0" xfId="0" applyFont="1" applyFill="1" applyBorder="1" applyAlignment="1">
      <alignment horizontal="center" vertical="center" wrapText="1"/>
    </xf>
    <xf numFmtId="4" fontId="38" fillId="2" borderId="0" xfId="0" applyNumberFormat="1" applyFont="1" applyFill="1" applyBorder="1" applyAlignment="1">
      <alignment horizontal="left" vertical="center" wrapText="1"/>
    </xf>
    <xf numFmtId="170" fontId="38" fillId="2" borderId="0" xfId="0" applyNumberFormat="1" applyFont="1" applyFill="1" applyBorder="1" applyAlignment="1">
      <alignment horizontal="right" vertical="center" wrapText="1"/>
    </xf>
    <xf numFmtId="170" fontId="38" fillId="2" borderId="0" xfId="0" applyNumberFormat="1" applyFont="1" applyFill="1" applyBorder="1" applyAlignment="1">
      <alignment vertical="center" wrapText="1"/>
    </xf>
    <xf numFmtId="169" fontId="38" fillId="2" borderId="0" xfId="0" applyNumberFormat="1" applyFont="1" applyFill="1" applyBorder="1" applyAlignment="1">
      <alignment horizontal="center" vertical="center" wrapText="1"/>
    </xf>
    <xf numFmtId="0" fontId="38" fillId="2" borderId="0" xfId="0" applyFont="1" applyFill="1" applyAlignment="1">
      <alignment horizontal="center" vertical="center" wrapText="1"/>
    </xf>
    <xf numFmtId="4" fontId="38" fillId="2" borderId="0" xfId="0" applyNumberFormat="1" applyFont="1" applyFill="1" applyAlignment="1">
      <alignment horizontal="center" vertical="center" wrapText="1"/>
    </xf>
    <xf numFmtId="4" fontId="38" fillId="2" borderId="0" xfId="0" applyNumberFormat="1" applyFont="1" applyFill="1" applyBorder="1" applyAlignment="1">
      <alignment horizontal="right" vertical="center" wrapText="1"/>
    </xf>
    <xf numFmtId="0" fontId="37" fillId="2" borderId="1" xfId="0" applyFont="1" applyFill="1" applyBorder="1" applyAlignment="1">
      <alignment horizontal="center" vertical="center" wrapText="1"/>
    </xf>
    <xf numFmtId="0" fontId="37" fillId="2" borderId="0" xfId="0" applyFont="1" applyFill="1" applyBorder="1" applyAlignment="1">
      <alignment horizontal="center" vertical="center" wrapText="1"/>
    </xf>
    <xf numFmtId="170" fontId="38" fillId="2" borderId="0" xfId="0"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4" fontId="33" fillId="2" borderId="0" xfId="0" applyNumberFormat="1" applyFont="1" applyFill="1" applyBorder="1" applyAlignment="1">
      <alignment horizontal="left" vertical="center" wrapText="1"/>
    </xf>
    <xf numFmtId="4" fontId="33" fillId="2" borderId="0" xfId="0" applyNumberFormat="1" applyFont="1" applyFill="1" applyBorder="1" applyAlignment="1">
      <alignment horizontal="right" vertical="center" wrapText="1"/>
    </xf>
    <xf numFmtId="4" fontId="33" fillId="2" borderId="0" xfId="0" applyNumberFormat="1" applyFont="1" applyFill="1" applyBorder="1" applyAlignment="1">
      <alignment horizontal="center" vertical="center" wrapText="1"/>
    </xf>
    <xf numFmtId="170" fontId="33" fillId="2" borderId="0" xfId="0" applyNumberFormat="1" applyFont="1" applyFill="1" applyBorder="1" applyAlignment="1">
      <alignment vertical="center" wrapText="1"/>
    </xf>
    <xf numFmtId="169" fontId="33" fillId="2" borderId="0" xfId="0" applyNumberFormat="1" applyFont="1" applyFill="1" applyBorder="1" applyAlignment="1">
      <alignment horizontal="center" vertical="center" wrapText="1"/>
    </xf>
    <xf numFmtId="4" fontId="33" fillId="2" borderId="0" xfId="0" applyNumberFormat="1" applyFont="1" applyFill="1" applyAlignment="1">
      <alignment horizontal="center" vertical="center" wrapText="1"/>
    </xf>
    <xf numFmtId="0" fontId="36" fillId="2" borderId="0" xfId="0" applyFont="1" applyFill="1" applyBorder="1" applyAlignment="1">
      <alignment horizontal="left" vertical="center"/>
    </xf>
    <xf numFmtId="4" fontId="37" fillId="2" borderId="0" xfId="0" applyNumberFormat="1" applyFont="1" applyFill="1" applyBorder="1" applyAlignment="1">
      <alignment horizontal="center" vertical="center" wrapText="1"/>
    </xf>
    <xf numFmtId="169" fontId="37" fillId="2" borderId="0"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168" fontId="36" fillId="2" borderId="0"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165" fontId="0" fillId="2" borderId="1" xfId="0" applyNumberFormat="1" applyFill="1" applyBorder="1" applyAlignment="1">
      <alignment horizontal="right" vertical="center" wrapText="1"/>
    </xf>
    <xf numFmtId="165" fontId="21" fillId="2" borderId="1" xfId="0" applyNumberFormat="1" applyFont="1" applyFill="1" applyBorder="1" applyAlignment="1">
      <alignment horizontal="right" vertical="center" wrapText="1"/>
    </xf>
    <xf numFmtId="165" fontId="29" fillId="2" borderId="1" xfId="0" applyNumberFormat="1" applyFont="1" applyFill="1" applyBorder="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vertical="center" wrapText="1"/>
    </xf>
    <xf numFmtId="0" fontId="0" fillId="2" borderId="0" xfId="0" applyFill="1" applyAlignment="1">
      <alignment horizontal="right" vertical="center" wrapText="1"/>
    </xf>
    <xf numFmtId="0" fontId="17" fillId="2" borderId="0" xfId="0" applyFont="1" applyFill="1" applyAlignment="1">
      <alignment horizontal="center" vertical="center" wrapText="1"/>
    </xf>
    <xf numFmtId="0" fontId="44" fillId="2" borderId="0" xfId="0" applyFont="1" applyFill="1" applyAlignment="1">
      <alignment horizontal="right" vertical="center" wrapText="1"/>
    </xf>
    <xf numFmtId="0" fontId="0" fillId="2" borderId="1" xfId="0" applyFill="1" applyBorder="1" applyAlignment="1">
      <alignment horizontal="center" vertical="center" wrapText="1"/>
    </xf>
    <xf numFmtId="0" fontId="46" fillId="2" borderId="1" xfId="8" applyFont="1" applyFill="1" applyBorder="1" applyAlignment="1">
      <alignment horizontal="center" vertical="center" textRotation="90" wrapText="1"/>
    </xf>
    <xf numFmtId="0" fontId="0" fillId="2" borderId="1" xfId="0" applyFill="1" applyBorder="1" applyAlignment="1">
      <alignment horizontal="center" vertical="center" textRotation="90" wrapText="1"/>
    </xf>
    <xf numFmtId="0" fontId="19" fillId="2" borderId="1" xfId="16" applyFont="1" applyFill="1" applyBorder="1" applyAlignment="1">
      <alignment vertical="center" wrapText="1"/>
    </xf>
    <xf numFmtId="168" fontId="19" fillId="2" borderId="1" xfId="0" applyNumberFormat="1" applyFont="1" applyFill="1" applyBorder="1" applyAlignment="1">
      <alignment vertical="center"/>
    </xf>
    <xf numFmtId="4" fontId="19" fillId="2" borderId="1" xfId="16" applyNumberFormat="1" applyFont="1" applyFill="1" applyBorder="1" applyAlignment="1">
      <alignment vertical="center"/>
    </xf>
    <xf numFmtId="165" fontId="19" fillId="2" borderId="1" xfId="16" applyNumberFormat="1" applyFont="1" applyFill="1" applyBorder="1" applyAlignment="1">
      <alignment vertical="center"/>
    </xf>
    <xf numFmtId="165" fontId="0" fillId="2" borderId="1" xfId="0" applyNumberFormat="1" applyFill="1" applyBorder="1" applyAlignment="1">
      <alignment vertical="center" wrapText="1"/>
    </xf>
    <xf numFmtId="4" fontId="0" fillId="2" borderId="1" xfId="0" applyNumberFormat="1" applyFill="1" applyBorder="1" applyAlignment="1">
      <alignment horizontal="right" vertical="center" wrapText="1"/>
    </xf>
    <xf numFmtId="167" fontId="0" fillId="2" borderId="1" xfId="0" applyNumberFormat="1" applyFill="1" applyBorder="1" applyAlignment="1">
      <alignment horizontal="center" vertical="center" wrapText="1"/>
    </xf>
    <xf numFmtId="4" fontId="0" fillId="2" borderId="1" xfId="0" applyNumberFormat="1" applyFill="1" applyBorder="1" applyAlignment="1">
      <alignment horizontal="center" vertical="center" wrapText="1"/>
    </xf>
    <xf numFmtId="165" fontId="0" fillId="2" borderId="0" xfId="0" applyNumberFormat="1" applyFill="1" applyAlignment="1">
      <alignment vertical="center" wrapText="1"/>
    </xf>
    <xf numFmtId="166" fontId="0" fillId="2" borderId="0" xfId="0" applyNumberFormat="1" applyFill="1" applyAlignment="1">
      <alignment vertical="center" wrapText="1"/>
    </xf>
    <xf numFmtId="165" fontId="41" fillId="2" borderId="0" xfId="3" applyNumberFormat="1" applyFont="1" applyFill="1" applyAlignment="1">
      <alignment vertical="center" wrapText="1"/>
    </xf>
    <xf numFmtId="0" fontId="19" fillId="2" borderId="1" xfId="0" applyFont="1" applyFill="1" applyBorder="1" applyAlignment="1">
      <alignment wrapText="1"/>
    </xf>
    <xf numFmtId="0" fontId="21" fillId="2" borderId="1" xfId="0" applyFont="1" applyFill="1" applyBorder="1" applyAlignment="1">
      <alignment horizontal="center" vertical="center" wrapText="1"/>
    </xf>
    <xf numFmtId="4" fontId="0" fillId="2" borderId="1" xfId="0" applyNumberFormat="1" applyFill="1" applyBorder="1" applyAlignment="1">
      <alignment vertical="center" wrapText="1"/>
    </xf>
    <xf numFmtId="1" fontId="21" fillId="2" borderId="1" xfId="0" applyNumberFormat="1" applyFont="1" applyFill="1" applyBorder="1" applyAlignment="1">
      <alignment horizontal="center" vertical="center" wrapText="1"/>
    </xf>
    <xf numFmtId="3" fontId="19" fillId="2" borderId="1" xfId="0" applyNumberFormat="1" applyFont="1" applyFill="1" applyBorder="1" applyAlignment="1">
      <alignment horizontal="left" wrapText="1"/>
    </xf>
    <xf numFmtId="3" fontId="21" fillId="2" borderId="1" xfId="0" applyNumberFormat="1" applyFont="1" applyFill="1" applyBorder="1" applyAlignment="1">
      <alignment horizontal="center" vertical="center" wrapText="1"/>
    </xf>
    <xf numFmtId="4" fontId="21" fillId="2" borderId="1" xfId="0" applyNumberFormat="1" applyFont="1" applyFill="1" applyBorder="1" applyAlignment="1">
      <alignment vertical="center" wrapText="1"/>
    </xf>
    <xf numFmtId="165" fontId="21" fillId="2" borderId="1" xfId="0" applyNumberFormat="1" applyFont="1" applyFill="1" applyBorder="1" applyAlignment="1">
      <alignment vertical="center" wrapText="1"/>
    </xf>
    <xf numFmtId="165" fontId="21" fillId="2" borderId="1"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1" fontId="0" fillId="2" borderId="1" xfId="0" applyNumberFormat="1" applyFill="1" applyBorder="1" applyAlignment="1">
      <alignment horizontal="center" vertical="center" wrapText="1"/>
    </xf>
    <xf numFmtId="1" fontId="19" fillId="2" borderId="1" xfId="16" applyNumberFormat="1" applyFont="1" applyFill="1" applyBorder="1" applyAlignment="1">
      <alignment horizontal="center" vertical="center"/>
    </xf>
    <xf numFmtId="0" fontId="19" fillId="2" borderId="1" xfId="0" applyFont="1" applyFill="1" applyBorder="1" applyAlignment="1">
      <alignment horizontal="left" wrapText="1"/>
    </xf>
    <xf numFmtId="0" fontId="53" fillId="2" borderId="0" xfId="0" applyFont="1" applyFill="1" applyAlignment="1">
      <alignment vertical="center" wrapText="1"/>
    </xf>
    <xf numFmtId="4" fontId="0" fillId="2" borderId="0" xfId="0" applyNumberFormat="1" applyFill="1" applyAlignment="1">
      <alignment vertical="center" wrapText="1"/>
    </xf>
    <xf numFmtId="4" fontId="0" fillId="2" borderId="3" xfId="0" applyNumberFormat="1" applyFill="1" applyBorder="1" applyAlignment="1">
      <alignment vertical="center" wrapText="1"/>
    </xf>
    <xf numFmtId="4" fontId="0" fillId="2" borderId="0" xfId="0" applyNumberFormat="1" applyFill="1" applyBorder="1" applyAlignment="1">
      <alignment vertical="center" wrapText="1"/>
    </xf>
    <xf numFmtId="166" fontId="37" fillId="2" borderId="0" xfId="0" applyNumberFormat="1" applyFont="1" applyFill="1" applyAlignment="1">
      <alignment horizontal="center" vertical="center" wrapText="1"/>
    </xf>
    <xf numFmtId="2" fontId="37" fillId="2" borderId="0" xfId="0" applyNumberFormat="1" applyFont="1" applyFill="1" applyAlignment="1">
      <alignment horizontal="center" vertical="center" wrapText="1"/>
    </xf>
    <xf numFmtId="0" fontId="51" fillId="2" borderId="0" xfId="0" applyFont="1" applyFill="1" applyBorder="1" applyAlignment="1">
      <alignment horizontal="center" vertical="center" wrapText="1"/>
    </xf>
    <xf numFmtId="4" fontId="51" fillId="2" borderId="0" xfId="0" applyNumberFormat="1" applyFont="1" applyFill="1" applyBorder="1" applyAlignment="1">
      <alignment horizontal="left" vertical="center" wrapText="1"/>
    </xf>
    <xf numFmtId="170" fontId="51" fillId="2" borderId="0" xfId="0" applyNumberFormat="1" applyFont="1" applyFill="1" applyBorder="1" applyAlignment="1">
      <alignment horizontal="right" vertical="center" wrapText="1"/>
    </xf>
    <xf numFmtId="170" fontId="51" fillId="2" borderId="0" xfId="0" applyNumberFormat="1" applyFont="1" applyFill="1" applyBorder="1" applyAlignment="1">
      <alignment vertical="center" wrapText="1"/>
    </xf>
    <xf numFmtId="4" fontId="51" fillId="2" borderId="0" xfId="0" applyNumberFormat="1" applyFont="1" applyFill="1" applyBorder="1" applyAlignment="1">
      <alignment horizontal="center" vertical="center" wrapText="1"/>
    </xf>
    <xf numFmtId="169" fontId="51" fillId="2" borderId="0" xfId="0" applyNumberFormat="1" applyFont="1" applyFill="1" applyBorder="1" applyAlignment="1">
      <alignment horizontal="center" vertical="center" wrapText="1"/>
    </xf>
    <xf numFmtId="4" fontId="51" fillId="2" borderId="0" xfId="0" applyNumberFormat="1" applyFont="1" applyFill="1" applyAlignment="1">
      <alignment horizontal="center" vertical="center" wrapText="1"/>
    </xf>
    <xf numFmtId="0" fontId="51" fillId="2" borderId="0" xfId="0" applyFont="1" applyFill="1" applyAlignment="1">
      <alignment horizontal="center" vertical="center" wrapText="1"/>
    </xf>
    <xf numFmtId="4" fontId="51" fillId="2" borderId="0" xfId="0" applyNumberFormat="1" applyFont="1" applyFill="1" applyBorder="1" applyAlignment="1">
      <alignment horizontal="right" vertical="center" wrapText="1"/>
    </xf>
    <xf numFmtId="0" fontId="50" fillId="2" borderId="0" xfId="0" applyFont="1" applyFill="1" applyBorder="1" applyAlignment="1">
      <alignment horizontal="left" vertical="center"/>
    </xf>
    <xf numFmtId="4" fontId="50" fillId="2" borderId="0" xfId="0" applyNumberFormat="1" applyFont="1" applyFill="1" applyBorder="1" applyAlignment="1">
      <alignment horizontal="left" vertical="center"/>
    </xf>
    <xf numFmtId="4" fontId="48" fillId="2" borderId="0" xfId="0" applyNumberFormat="1" applyFont="1" applyFill="1" applyBorder="1" applyAlignment="1">
      <alignment horizontal="center" vertical="center" wrapText="1"/>
    </xf>
    <xf numFmtId="169" fontId="48" fillId="2" borderId="0" xfId="0" applyNumberFormat="1" applyFont="1" applyFill="1" applyBorder="1" applyAlignment="1">
      <alignment horizontal="center" vertical="center" wrapText="1"/>
    </xf>
    <xf numFmtId="0" fontId="50" fillId="2" borderId="0" xfId="0" applyFont="1" applyFill="1" applyBorder="1" applyAlignment="1">
      <alignment horizontal="center" vertical="center" wrapText="1"/>
    </xf>
    <xf numFmtId="168" fontId="50" fillId="2" borderId="0" xfId="0" applyNumberFormat="1" applyFont="1" applyFill="1" applyBorder="1" applyAlignment="1">
      <alignment horizontal="center" vertical="center" wrapText="1"/>
    </xf>
    <xf numFmtId="4" fontId="50" fillId="2" borderId="0" xfId="0" applyNumberFormat="1" applyFont="1" applyFill="1" applyBorder="1" applyAlignment="1">
      <alignment horizontal="center" vertical="center" wrapText="1"/>
    </xf>
    <xf numFmtId="0" fontId="49" fillId="2" borderId="0" xfId="0" applyFont="1" applyFill="1" applyAlignment="1">
      <alignment horizontal="center" vertical="center"/>
    </xf>
    <xf numFmtId="169" fontId="0" fillId="2" borderId="0" xfId="0" applyNumberFormat="1" applyFill="1" applyAlignment="1">
      <alignment vertical="center" wrapText="1"/>
    </xf>
    <xf numFmtId="165" fontId="25" fillId="2" borderId="1" xfId="0" applyNumberFormat="1" applyFont="1" applyFill="1" applyBorder="1" applyAlignment="1">
      <alignment horizontal="right" vertical="center" wrapText="1"/>
    </xf>
    <xf numFmtId="165" fontId="25" fillId="2" borderId="1" xfId="0" applyNumberFormat="1" applyFont="1" applyFill="1" applyBorder="1" applyAlignment="1">
      <alignment vertical="center" wrapText="1"/>
    </xf>
    <xf numFmtId="165" fontId="40" fillId="2" borderId="1" xfId="0" applyNumberFormat="1" applyFont="1" applyFill="1" applyBorder="1" applyAlignment="1">
      <alignment horizontal="center" vertical="center" wrapText="1"/>
    </xf>
    <xf numFmtId="4" fontId="25" fillId="2" borderId="0" xfId="0" applyNumberFormat="1" applyFont="1" applyFill="1" applyBorder="1" applyAlignment="1">
      <alignment vertical="center" wrapText="1"/>
    </xf>
    <xf numFmtId="0" fontId="20" fillId="2" borderId="0" xfId="0" applyFont="1" applyFill="1" applyBorder="1" applyAlignment="1">
      <alignment horizontal="center" vertical="center" wrapText="1"/>
    </xf>
    <xf numFmtId="4" fontId="41" fillId="2" borderId="0" xfId="0" applyNumberFormat="1" applyFont="1" applyFill="1" applyBorder="1" applyAlignment="1">
      <alignment horizontal="center" vertical="center" wrapText="1"/>
    </xf>
    <xf numFmtId="4" fontId="42" fillId="2" borderId="0" xfId="0" applyNumberFormat="1" applyFont="1" applyFill="1" applyBorder="1" applyAlignment="1">
      <alignment horizontal="left" vertical="center"/>
    </xf>
    <xf numFmtId="4" fontId="42" fillId="2" borderId="0" xfId="0"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wrapText="1"/>
    </xf>
    <xf numFmtId="167" fontId="19" fillId="2" borderId="1" xfId="0" applyNumberFormat="1" applyFont="1" applyFill="1" applyBorder="1" applyAlignment="1">
      <alignment horizontal="center" vertical="center" wrapText="1"/>
    </xf>
    <xf numFmtId="4" fontId="19" fillId="2" borderId="1" xfId="0" applyNumberFormat="1" applyFont="1" applyFill="1" applyBorder="1" applyAlignment="1">
      <alignment horizontal="center" vertical="center" wrapText="1"/>
    </xf>
    <xf numFmtId="0" fontId="25" fillId="2" borderId="0" xfId="0" applyFont="1" applyFill="1" applyBorder="1" applyAlignment="1">
      <alignment horizontal="center" vertical="center" wrapText="1"/>
    </xf>
    <xf numFmtId="0" fontId="19" fillId="2" borderId="1" xfId="16" applyFont="1" applyFill="1" applyBorder="1" applyAlignment="1">
      <alignment wrapText="1"/>
    </xf>
    <xf numFmtId="2" fontId="25" fillId="2" borderId="1" xfId="0" applyNumberFormat="1" applyFont="1" applyFill="1" applyBorder="1" applyAlignment="1">
      <alignment horizontal="center" vertical="center" wrapText="1"/>
    </xf>
    <xf numFmtId="168" fontId="19" fillId="2" borderId="1" xfId="16" applyNumberFormat="1" applyFont="1" applyFill="1" applyBorder="1" applyAlignment="1">
      <alignment horizontal="right" vertical="center"/>
    </xf>
    <xf numFmtId="4" fontId="19" fillId="2" borderId="1" xfId="16" applyNumberFormat="1" applyFont="1" applyFill="1" applyBorder="1" applyAlignment="1">
      <alignment horizontal="right" vertical="center"/>
    </xf>
    <xf numFmtId="165" fontId="19" fillId="2" borderId="1" xfId="16" applyNumberFormat="1" applyFont="1" applyFill="1" applyBorder="1" applyAlignment="1">
      <alignment horizontal="right" vertical="center"/>
    </xf>
    <xf numFmtId="4" fontId="25" fillId="2" borderId="1" xfId="0" applyNumberFormat="1" applyFont="1" applyFill="1" applyBorder="1" applyAlignment="1">
      <alignment horizontal="right" vertical="center" wrapText="1"/>
    </xf>
    <xf numFmtId="2" fontId="19" fillId="2" borderId="1" xfId="16" applyNumberFormat="1" applyFont="1" applyFill="1" applyBorder="1" applyAlignment="1">
      <alignment horizontal="center" vertical="center"/>
    </xf>
    <xf numFmtId="166" fontId="19" fillId="2" borderId="1" xfId="0" applyNumberFormat="1" applyFont="1" applyFill="1" applyBorder="1" applyAlignment="1">
      <alignment horizontal="right" vertical="center" wrapText="1"/>
    </xf>
    <xf numFmtId="2" fontId="19" fillId="2" borderId="1" xfId="16" applyNumberFormat="1" applyFont="1" applyFill="1" applyBorder="1" applyAlignment="1">
      <alignment horizontal="center"/>
    </xf>
    <xf numFmtId="168" fontId="19" fillId="2" borderId="1" xfId="8" applyNumberFormat="1" applyFont="1" applyFill="1" applyBorder="1" applyAlignment="1">
      <alignment horizontal="right" vertical="center" wrapText="1"/>
    </xf>
    <xf numFmtId="0" fontId="25" fillId="2" borderId="1" xfId="16" applyFont="1" applyFill="1" applyBorder="1"/>
    <xf numFmtId="168" fontId="25" fillId="2" borderId="1" xfId="0" applyNumberFormat="1" applyFont="1" applyFill="1" applyBorder="1" applyAlignment="1">
      <alignment horizontal="right" vertical="center"/>
    </xf>
    <xf numFmtId="0" fontId="25" fillId="2" borderId="1" xfId="16" applyFont="1" applyFill="1" applyBorder="1" applyAlignment="1">
      <alignment wrapText="1"/>
    </xf>
    <xf numFmtId="2" fontId="25" fillId="2" borderId="1" xfId="16" applyNumberFormat="1" applyFont="1" applyFill="1" applyBorder="1" applyAlignment="1">
      <alignment horizontal="center" vertical="center"/>
    </xf>
    <xf numFmtId="2" fontId="25" fillId="2" borderId="1" xfId="16" applyNumberFormat="1" applyFont="1" applyFill="1" applyBorder="1" applyAlignment="1">
      <alignment horizontal="center"/>
    </xf>
    <xf numFmtId="0" fontId="19" fillId="2" borderId="1" xfId="16" applyFont="1" applyFill="1" applyBorder="1" applyAlignment="1">
      <alignment horizontal="left" vertical="center" wrapText="1"/>
    </xf>
    <xf numFmtId="166" fontId="25" fillId="2" borderId="1" xfId="0" applyNumberFormat="1" applyFont="1" applyFill="1" applyBorder="1" applyAlignment="1">
      <alignment horizontal="right" vertical="center" wrapText="1"/>
    </xf>
    <xf numFmtId="166" fontId="25" fillId="2" borderId="1" xfId="0" applyNumberFormat="1" applyFont="1" applyFill="1" applyBorder="1" applyAlignment="1">
      <alignment vertical="center" wrapText="1"/>
    </xf>
    <xf numFmtId="4" fontId="19" fillId="2" borderId="1" xfId="0" applyNumberFormat="1" applyFont="1" applyFill="1" applyBorder="1" applyAlignment="1">
      <alignment vertical="center" wrapText="1"/>
    </xf>
    <xf numFmtId="165" fontId="19" fillId="2" borderId="1" xfId="16" applyNumberFormat="1" applyFont="1" applyFill="1" applyBorder="1" applyAlignment="1">
      <alignment horizontal="right"/>
    </xf>
    <xf numFmtId="165" fontId="19" fillId="2" borderId="1" xfId="0" applyNumberFormat="1" applyFont="1" applyFill="1" applyBorder="1" applyAlignment="1">
      <alignment vertical="center" wrapText="1"/>
    </xf>
    <xf numFmtId="165" fontId="19" fillId="2" borderId="0" xfId="0" applyNumberFormat="1" applyFont="1" applyFill="1" applyAlignment="1">
      <alignment vertical="center" wrapText="1"/>
    </xf>
    <xf numFmtId="0" fontId="19" fillId="2" borderId="0" xfId="0" applyFont="1" applyFill="1" applyAlignment="1">
      <alignment vertical="center" wrapText="1"/>
    </xf>
    <xf numFmtId="2" fontId="40" fillId="2" borderId="1" xfId="0" applyNumberFormat="1" applyFont="1" applyFill="1" applyBorder="1" applyAlignment="1">
      <alignment horizontal="center" vertical="center" wrapText="1"/>
    </xf>
    <xf numFmtId="4" fontId="40" fillId="2" borderId="1" xfId="0" applyNumberFormat="1" applyFont="1" applyFill="1" applyBorder="1" applyAlignment="1">
      <alignment horizontal="center" vertical="center" wrapText="1"/>
    </xf>
    <xf numFmtId="2" fontId="25" fillId="2" borderId="0" xfId="0" applyNumberFormat="1" applyFont="1" applyFill="1" applyAlignment="1">
      <alignment vertical="center" wrapText="1"/>
    </xf>
    <xf numFmtId="0" fontId="40" fillId="2" borderId="0" xfId="0" applyFont="1" applyFill="1" applyAlignment="1">
      <alignment vertical="center" wrapText="1"/>
    </xf>
    <xf numFmtId="0" fontId="20" fillId="2" borderId="0" xfId="0" applyFont="1" applyFill="1" applyBorder="1" applyAlignment="1">
      <alignment vertical="center"/>
    </xf>
    <xf numFmtId="168" fontId="20" fillId="2" borderId="0" xfId="0" applyNumberFormat="1" applyFont="1" applyFill="1" applyBorder="1" applyAlignment="1">
      <alignment horizontal="center" vertical="center" wrapText="1"/>
    </xf>
    <xf numFmtId="0" fontId="25" fillId="2" borderId="0" xfId="0" applyFont="1" applyFill="1" applyBorder="1" applyAlignment="1">
      <alignment vertical="center" wrapText="1"/>
    </xf>
    <xf numFmtId="165" fontId="25" fillId="2" borderId="0" xfId="0" applyNumberFormat="1" applyFont="1" applyFill="1" applyBorder="1" applyAlignment="1">
      <alignment vertical="center" wrapText="1"/>
    </xf>
    <xf numFmtId="0" fontId="41" fillId="2" borderId="0" xfId="0" applyFont="1" applyFill="1" applyBorder="1" applyAlignment="1">
      <alignment horizontal="center" vertical="center" wrapText="1"/>
    </xf>
    <xf numFmtId="4" fontId="41" fillId="2" borderId="0" xfId="0" applyNumberFormat="1" applyFont="1" applyFill="1" applyBorder="1" applyAlignment="1">
      <alignment horizontal="left" vertical="center" wrapText="1"/>
    </xf>
    <xf numFmtId="4" fontId="41" fillId="2" borderId="0" xfId="0" applyNumberFormat="1" applyFont="1" applyFill="1" applyBorder="1" applyAlignment="1">
      <alignment horizontal="right" vertical="center" wrapText="1"/>
    </xf>
    <xf numFmtId="170" fontId="41" fillId="2" borderId="0" xfId="0" applyNumberFormat="1" applyFont="1" applyFill="1" applyBorder="1" applyAlignment="1">
      <alignment vertical="center" wrapText="1"/>
    </xf>
    <xf numFmtId="169" fontId="41" fillId="2" borderId="0" xfId="0" applyNumberFormat="1" applyFont="1" applyFill="1" applyBorder="1" applyAlignment="1">
      <alignment horizontal="center" vertical="center" wrapText="1"/>
    </xf>
    <xf numFmtId="49" fontId="39" fillId="2" borderId="0" xfId="0" applyNumberFormat="1" applyFont="1" applyFill="1" applyBorder="1" applyAlignment="1" applyProtection="1">
      <alignment horizontal="center" vertical="center" wrapText="1"/>
    </xf>
    <xf numFmtId="4" fontId="39" fillId="2" borderId="0" xfId="0" applyNumberFormat="1" applyFont="1" applyFill="1" applyBorder="1" applyAlignment="1" applyProtection="1">
      <alignment horizontal="right" vertical="center" wrapText="1"/>
    </xf>
    <xf numFmtId="4" fontId="41"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0" fontId="42" fillId="2" borderId="0" xfId="0" applyFont="1" applyFill="1" applyBorder="1" applyAlignment="1">
      <alignment horizontal="left" vertical="center"/>
    </xf>
    <xf numFmtId="4" fontId="40" fillId="2" borderId="0" xfId="0" applyNumberFormat="1" applyFont="1" applyFill="1" applyBorder="1" applyAlignment="1">
      <alignment horizontal="center" vertical="center" wrapText="1"/>
    </xf>
    <xf numFmtId="169" fontId="40" fillId="2" borderId="0" xfId="0" applyNumberFormat="1" applyFont="1" applyFill="1" applyBorder="1" applyAlignment="1">
      <alignment horizontal="center" vertical="center" wrapText="1"/>
    </xf>
    <xf numFmtId="0" fontId="42" fillId="2" borderId="0" xfId="0"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38" fillId="2" borderId="0" xfId="0" applyFont="1" applyFill="1" applyAlignment="1">
      <alignment vertical="center" wrapText="1"/>
    </xf>
    <xf numFmtId="0" fontId="38" fillId="2" borderId="0" xfId="3" applyFont="1" applyFill="1" applyAlignment="1">
      <alignment horizontal="center" vertical="center" wrapText="1"/>
    </xf>
    <xf numFmtId="168" fontId="25" fillId="2" borderId="1" xfId="3" applyNumberFormat="1" applyFont="1" applyFill="1" applyBorder="1" applyAlignment="1">
      <alignment horizontal="right" vertical="center"/>
    </xf>
    <xf numFmtId="4" fontId="25" fillId="2" borderId="1" xfId="16" applyNumberFormat="1" applyFont="1" applyFill="1" applyBorder="1" applyAlignment="1">
      <alignment horizontal="right" vertical="center"/>
    </xf>
    <xf numFmtId="165" fontId="25" fillId="2" borderId="1" xfId="16" applyNumberFormat="1" applyFont="1" applyFill="1" applyBorder="1" applyAlignment="1">
      <alignment horizontal="right" vertical="center"/>
    </xf>
    <xf numFmtId="165" fontId="38" fillId="2" borderId="0" xfId="0" applyNumberFormat="1" applyFont="1" applyFill="1" applyAlignment="1">
      <alignment vertical="center" wrapText="1"/>
    </xf>
    <xf numFmtId="166" fontId="38" fillId="2" borderId="0" xfId="0" applyNumberFormat="1" applyFont="1" applyFill="1" applyAlignment="1">
      <alignment vertical="center" wrapText="1"/>
    </xf>
    <xf numFmtId="0" fontId="25" fillId="2" borderId="1" xfId="3" applyFont="1" applyFill="1" applyBorder="1" applyAlignment="1">
      <alignment horizontal="left" vertical="center" wrapText="1"/>
    </xf>
    <xf numFmtId="3" fontId="25" fillId="2" borderId="1" xfId="0" applyNumberFormat="1" applyFont="1" applyFill="1" applyBorder="1" applyAlignment="1">
      <alignment horizontal="center"/>
    </xf>
    <xf numFmtId="165" fontId="25" fillId="2" borderId="0" xfId="0" applyNumberFormat="1" applyFont="1" applyFill="1" applyAlignment="1">
      <alignment horizontal="center" vertical="center" wrapText="1"/>
    </xf>
    <xf numFmtId="167" fontId="38" fillId="2" borderId="0" xfId="0" applyNumberFormat="1" applyFont="1" applyFill="1" applyAlignment="1">
      <alignment vertical="center" wrapText="1"/>
    </xf>
    <xf numFmtId="167" fontId="38" fillId="2" borderId="0" xfId="3" applyNumberFormat="1" applyFont="1" applyFill="1" applyAlignment="1">
      <alignment vertical="center" wrapText="1"/>
    </xf>
    <xf numFmtId="167" fontId="37" fillId="2" borderId="0" xfId="0" applyNumberFormat="1" applyFont="1" applyFill="1" applyAlignment="1">
      <alignment horizontal="center" vertical="center" wrapText="1"/>
    </xf>
    <xf numFmtId="3" fontId="25" fillId="2" borderId="1" xfId="3" applyNumberFormat="1" applyFont="1" applyFill="1" applyBorder="1" applyAlignment="1">
      <alignment horizontal="center" vertical="center"/>
    </xf>
    <xf numFmtId="0" fontId="20" fillId="2" borderId="1" xfId="0" applyFont="1" applyFill="1" applyBorder="1" applyAlignment="1">
      <alignment horizontal="left" vertical="center"/>
    </xf>
    <xf numFmtId="4" fontId="25" fillId="2" borderId="1" xfId="16" applyNumberFormat="1" applyFont="1" applyFill="1" applyBorder="1" applyAlignment="1">
      <alignment horizontal="right"/>
    </xf>
    <xf numFmtId="165" fontId="25" fillId="2" borderId="1" xfId="16" applyNumberFormat="1" applyFont="1" applyFill="1" applyBorder="1" applyAlignment="1">
      <alignment horizontal="right"/>
    </xf>
    <xf numFmtId="2" fontId="19" fillId="2" borderId="1" xfId="0" applyNumberFormat="1" applyFont="1" applyFill="1" applyBorder="1" applyAlignment="1">
      <alignment horizontal="right" wrapText="1"/>
    </xf>
    <xf numFmtId="0" fontId="25" fillId="2" borderId="1" xfId="0" applyFont="1" applyFill="1" applyBorder="1" applyAlignment="1">
      <alignment horizontal="left" wrapText="1"/>
    </xf>
    <xf numFmtId="2" fontId="37" fillId="2" borderId="1" xfId="0" applyNumberFormat="1" applyFont="1" applyFill="1" applyBorder="1" applyAlignment="1">
      <alignment horizontal="center" vertical="center" wrapText="1"/>
    </xf>
    <xf numFmtId="170" fontId="37" fillId="2" borderId="1" xfId="0" applyNumberFormat="1" applyFont="1" applyFill="1" applyBorder="1" applyAlignment="1">
      <alignment horizontal="center" vertical="center" wrapText="1"/>
    </xf>
    <xf numFmtId="4" fontId="25" fillId="2" borderId="0" xfId="0" applyNumberFormat="1" applyFont="1" applyFill="1" applyBorder="1" applyAlignment="1">
      <alignment horizontal="center" vertical="center" wrapText="1"/>
    </xf>
    <xf numFmtId="0" fontId="25" fillId="2" borderId="1" xfId="0" applyFont="1" applyFill="1" applyBorder="1" applyAlignment="1">
      <alignment vertical="center" wrapText="1"/>
    </xf>
    <xf numFmtId="0" fontId="55" fillId="2" borderId="1" xfId="0" applyFont="1" applyFill="1" applyBorder="1" applyAlignment="1">
      <alignment vertical="center" wrapText="1"/>
    </xf>
    <xf numFmtId="0" fontId="17" fillId="2" borderId="0" xfId="0" applyFont="1" applyFill="1" applyAlignment="1">
      <alignment vertical="center" wrapText="1"/>
    </xf>
    <xf numFmtId="0" fontId="19" fillId="2" borderId="1" xfId="0" applyFont="1" applyFill="1" applyBorder="1" applyAlignment="1">
      <alignment horizontal="left" vertical="center" wrapText="1"/>
    </xf>
    <xf numFmtId="168" fontId="19" fillId="2" borderId="1" xfId="0" applyNumberFormat="1" applyFont="1" applyFill="1" applyBorder="1" applyAlignment="1">
      <alignment horizontal="right" vertical="center"/>
    </xf>
    <xf numFmtId="0" fontId="46" fillId="2" borderId="1" xfId="0" applyFont="1" applyFill="1" applyBorder="1" applyAlignment="1">
      <alignment horizontal="center" vertical="center" wrapText="1"/>
    </xf>
    <xf numFmtId="1" fontId="46" fillId="2" borderId="1" xfId="0" applyNumberFormat="1" applyFont="1" applyFill="1" applyBorder="1" applyAlignment="1">
      <alignment horizontal="center" vertical="center" wrapText="1"/>
    </xf>
    <xf numFmtId="167" fontId="46" fillId="2" borderId="1" xfId="0" applyNumberFormat="1" applyFont="1" applyFill="1" applyBorder="1" applyAlignment="1">
      <alignment horizontal="center" vertical="center" wrapText="1"/>
    </xf>
    <xf numFmtId="4" fontId="46" fillId="2" borderId="1" xfId="0" applyNumberFormat="1" applyFont="1" applyFill="1" applyBorder="1" applyAlignment="1">
      <alignment horizontal="center" vertical="center" wrapText="1"/>
    </xf>
    <xf numFmtId="4" fontId="38" fillId="2" borderId="0" xfId="3" applyNumberFormat="1" applyFont="1" applyFill="1" applyAlignment="1">
      <alignment vertical="center" wrapText="1"/>
    </xf>
    <xf numFmtId="0" fontId="19" fillId="2" borderId="1" xfId="8" applyFont="1" applyFill="1" applyBorder="1" applyAlignment="1">
      <alignment horizontal="left" vertical="center" wrapText="1"/>
    </xf>
    <xf numFmtId="4" fontId="38" fillId="2" borderId="0" xfId="0" applyNumberFormat="1" applyFont="1" applyFill="1" applyAlignment="1">
      <alignment vertical="center" wrapText="1"/>
    </xf>
    <xf numFmtId="0" fontId="46" fillId="2" borderId="0" xfId="0" applyFont="1" applyFill="1" applyAlignment="1">
      <alignment horizontal="center" vertical="center" wrapText="1"/>
    </xf>
    <xf numFmtId="3" fontId="46" fillId="2" borderId="1" xfId="0" applyNumberFormat="1" applyFont="1" applyFill="1" applyBorder="1" applyAlignment="1">
      <alignment horizontal="center" vertical="center" wrapText="1"/>
    </xf>
    <xf numFmtId="168" fontId="46" fillId="2" borderId="1" xfId="0" applyNumberFormat="1" applyFont="1" applyFill="1" applyBorder="1" applyAlignment="1">
      <alignment horizontal="right" vertical="center" wrapText="1"/>
    </xf>
    <xf numFmtId="165" fontId="46" fillId="2" borderId="1" xfId="0" applyNumberFormat="1" applyFont="1" applyFill="1" applyBorder="1" applyAlignment="1">
      <alignment horizontal="right" vertical="center" wrapText="1"/>
    </xf>
    <xf numFmtId="4" fontId="46" fillId="2" borderId="1" xfId="0" applyNumberFormat="1" applyFont="1" applyFill="1" applyBorder="1" applyAlignment="1">
      <alignment horizontal="right" vertical="center" wrapText="1"/>
    </xf>
    <xf numFmtId="165" fontId="46" fillId="2" borderId="1" xfId="0" applyNumberFormat="1" applyFont="1" applyFill="1" applyBorder="1" applyAlignment="1">
      <alignment vertical="center" wrapText="1"/>
    </xf>
    <xf numFmtId="3" fontId="0" fillId="2" borderId="1" xfId="0" applyNumberFormat="1" applyFill="1" applyBorder="1" applyAlignment="1">
      <alignment horizontal="center" vertical="center" wrapText="1"/>
    </xf>
    <xf numFmtId="0" fontId="46" fillId="2" borderId="0" xfId="0" applyFont="1" applyFill="1" applyAlignment="1">
      <alignment vertical="center" wrapText="1"/>
    </xf>
    <xf numFmtId="4" fontId="48" fillId="2" borderId="1" xfId="0" applyNumberFormat="1" applyFont="1" applyFill="1" applyBorder="1" applyAlignment="1">
      <alignment horizontal="center" vertical="center" wrapText="1"/>
    </xf>
    <xf numFmtId="170" fontId="48" fillId="2" borderId="1" xfId="0" applyNumberFormat="1" applyFont="1" applyFill="1" applyBorder="1" applyAlignment="1">
      <alignment horizontal="center" vertical="center" wrapText="1"/>
    </xf>
    <xf numFmtId="0" fontId="47" fillId="2" borderId="0" xfId="0" applyFont="1" applyFill="1" applyBorder="1" applyAlignment="1">
      <alignment vertical="center"/>
    </xf>
    <xf numFmtId="168" fontId="47" fillId="2" borderId="0" xfId="0" applyNumberFormat="1" applyFont="1" applyFill="1" applyBorder="1" applyAlignment="1">
      <alignment vertical="center" wrapText="1"/>
    </xf>
    <xf numFmtId="0" fontId="20" fillId="2" borderId="0" xfId="0" applyFont="1" applyFill="1" applyBorder="1" applyAlignment="1">
      <alignment vertical="center" wrapText="1"/>
    </xf>
    <xf numFmtId="0" fontId="49" fillId="2" borderId="0" xfId="0" applyFont="1" applyFill="1" applyAlignment="1">
      <alignment horizontal="center" vertical="center" wrapText="1"/>
    </xf>
    <xf numFmtId="2" fontId="0" fillId="2" borderId="1" xfId="0" applyNumberFormat="1" applyFill="1" applyBorder="1" applyAlignment="1">
      <alignment horizontal="center" vertical="center" wrapText="1"/>
    </xf>
    <xf numFmtId="4" fontId="19" fillId="2" borderId="1" xfId="16" applyNumberFormat="1" applyFont="1" applyFill="1" applyBorder="1" applyAlignment="1">
      <alignment horizontal="right"/>
    </xf>
    <xf numFmtId="0" fontId="19" fillId="2" borderId="1" xfId="0" applyFont="1" applyFill="1" applyBorder="1" applyAlignment="1">
      <alignment vertical="center" wrapText="1"/>
    </xf>
    <xf numFmtId="2" fontId="46" fillId="2" borderId="1" xfId="0" applyNumberFormat="1" applyFont="1" applyFill="1" applyBorder="1" applyAlignment="1">
      <alignment horizontal="center" vertical="center" wrapText="1"/>
    </xf>
    <xf numFmtId="0" fontId="54" fillId="2" borderId="0" xfId="0" applyFont="1" applyFill="1" applyAlignment="1">
      <alignment vertical="center" wrapText="1"/>
    </xf>
    <xf numFmtId="2" fontId="19" fillId="2" borderId="1" xfId="3" applyNumberFormat="1" applyFont="1" applyFill="1" applyBorder="1" applyAlignment="1">
      <alignment horizontal="center"/>
    </xf>
    <xf numFmtId="2" fontId="47" fillId="2" borderId="1" xfId="0" applyNumberFormat="1" applyFont="1" applyFill="1" applyBorder="1" applyAlignment="1">
      <alignment horizontal="center" vertical="center" wrapText="1"/>
    </xf>
    <xf numFmtId="170" fontId="47" fillId="2" borderId="1" xfId="0" applyNumberFormat="1" applyFont="1" applyFill="1" applyBorder="1" applyAlignment="1">
      <alignment horizontal="center" vertical="center" wrapText="1"/>
    </xf>
    <xf numFmtId="0" fontId="47" fillId="2" borderId="9" xfId="0" applyFont="1" applyFill="1" applyBorder="1" applyAlignment="1">
      <alignment horizontal="center" vertical="center" wrapText="1"/>
    </xf>
    <xf numFmtId="0" fontId="47" fillId="2" borderId="3" xfId="0" applyFont="1" applyFill="1" applyBorder="1" applyAlignment="1">
      <alignment horizontal="center" vertical="center" wrapText="1"/>
    </xf>
    <xf numFmtId="2" fontId="47" fillId="2" borderId="3" xfId="0" applyNumberFormat="1" applyFont="1" applyFill="1" applyBorder="1" applyAlignment="1">
      <alignment horizontal="center" vertical="center" wrapText="1"/>
    </xf>
    <xf numFmtId="170" fontId="47" fillId="2" borderId="3" xfId="0" applyNumberFormat="1" applyFont="1" applyFill="1" applyBorder="1" applyAlignment="1">
      <alignment horizontal="center" vertical="center" wrapText="1"/>
    </xf>
    <xf numFmtId="171" fontId="38" fillId="2" borderId="0" xfId="0" applyNumberFormat="1" applyFont="1" applyFill="1" applyBorder="1" applyAlignment="1">
      <alignment horizontal="right" vertical="center" wrapText="1"/>
    </xf>
    <xf numFmtId="0" fontId="19" fillId="2" borderId="1" xfId="0" applyFont="1" applyFill="1" applyBorder="1" applyAlignment="1">
      <alignment horizontal="center" vertical="center" wrapText="1"/>
    </xf>
    <xf numFmtId="0" fontId="51" fillId="2" borderId="1" xfId="12" applyFont="1" applyFill="1" applyBorder="1" applyAlignment="1">
      <alignment horizontal="left" vertical="center" wrapText="1"/>
    </xf>
    <xf numFmtId="0" fontId="0" fillId="2" borderId="1" xfId="0" applyFill="1" applyBorder="1" applyAlignment="1">
      <alignment horizontal="center" vertical="center" wrapText="1"/>
    </xf>
    <xf numFmtId="0" fontId="51" fillId="0" borderId="0" xfId="12" applyFont="1" applyAlignment="1">
      <alignment horizontal="center"/>
    </xf>
    <xf numFmtId="0" fontId="25"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25" fillId="2" borderId="1" xfId="0" applyFont="1" applyFill="1" applyBorder="1" applyAlignment="1">
      <alignment horizontal="center" vertical="center" textRotation="90" wrapText="1"/>
    </xf>
    <xf numFmtId="0" fontId="25" fillId="2" borderId="1" xfId="8" applyFont="1" applyFill="1" applyBorder="1" applyAlignment="1">
      <alignment horizontal="center" vertical="center" textRotation="90" wrapText="1"/>
    </xf>
    <xf numFmtId="0" fontId="33" fillId="2" borderId="0" xfId="0" applyFont="1" applyFill="1" applyAlignment="1">
      <alignment horizontal="center" vertical="center" wrapText="1"/>
    </xf>
    <xf numFmtId="0" fontId="35" fillId="2" borderId="0" xfId="0" applyFont="1" applyFill="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textRotation="90" wrapText="1"/>
    </xf>
    <xf numFmtId="0" fontId="46" fillId="2" borderId="1" xfId="8" applyFont="1" applyFill="1" applyBorder="1" applyAlignment="1">
      <alignment horizontal="center" vertical="center" textRotation="90" wrapText="1"/>
    </xf>
    <xf numFmtId="0" fontId="17" fillId="2" borderId="0" xfId="0" applyFont="1" applyFill="1" applyAlignment="1">
      <alignment horizontal="center" vertical="center" wrapText="1"/>
    </xf>
    <xf numFmtId="0" fontId="19" fillId="2" borderId="1" xfId="8" applyFont="1" applyFill="1" applyBorder="1" applyAlignment="1">
      <alignment horizontal="center" vertical="center" textRotation="90" wrapText="1"/>
    </xf>
    <xf numFmtId="0" fontId="48" fillId="4" borderId="1" xfId="12" applyFont="1" applyFill="1" applyBorder="1" applyAlignment="1">
      <alignment horizontal="center" vertical="center"/>
    </xf>
    <xf numFmtId="170" fontId="51" fillId="4" borderId="1" xfId="12" applyNumberFormat="1" applyFont="1" applyFill="1" applyBorder="1" applyAlignment="1">
      <alignment horizontal="center" vertical="center"/>
    </xf>
    <xf numFmtId="0" fontId="51" fillId="0" borderId="0" xfId="12" applyFont="1" applyAlignment="1">
      <alignment horizontal="center"/>
    </xf>
    <xf numFmtId="0" fontId="48" fillId="0" borderId="1" xfId="12" applyFont="1" applyBorder="1" applyAlignment="1">
      <alignment horizontal="center" vertical="center"/>
    </xf>
    <xf numFmtId="0" fontId="48" fillId="0" borderId="1" xfId="12" applyFont="1" applyFill="1" applyBorder="1" applyAlignment="1">
      <alignment horizontal="center" vertical="center"/>
    </xf>
    <xf numFmtId="0" fontId="48" fillId="5" borderId="1" xfId="12" applyFont="1" applyFill="1" applyBorder="1" applyAlignment="1">
      <alignment horizontal="center" vertical="center"/>
    </xf>
    <xf numFmtId="170" fontId="51" fillId="5" borderId="1" xfId="12" applyNumberFormat="1" applyFont="1" applyFill="1" applyBorder="1" applyAlignment="1">
      <alignment horizontal="center" vertical="center"/>
    </xf>
    <xf numFmtId="0" fontId="28" fillId="2" borderId="1" xfId="23" applyFont="1" applyFill="1" applyBorder="1" applyAlignment="1">
      <alignment vertical="center" wrapText="1"/>
    </xf>
    <xf numFmtId="165" fontId="20" fillId="2" borderId="0" xfId="3" applyNumberFormat="1" applyFont="1" applyFill="1"/>
    <xf numFmtId="165" fontId="20" fillId="2" borderId="1" xfId="3" applyNumberFormat="1" applyFont="1" applyFill="1" applyBorder="1" applyAlignment="1">
      <alignment horizontal="center" vertical="center" wrapText="1"/>
    </xf>
    <xf numFmtId="165" fontId="19" fillId="2" borderId="1" xfId="3" applyNumberFormat="1" applyFont="1" applyFill="1" applyBorder="1" applyAlignment="1">
      <alignment horizontal="left" vertical="center" wrapText="1"/>
    </xf>
    <xf numFmtId="3" fontId="19" fillId="2" borderId="1" xfId="3" applyNumberFormat="1" applyFont="1" applyFill="1" applyBorder="1" applyAlignment="1">
      <alignment horizontal="center" vertical="center"/>
    </xf>
    <xf numFmtId="165" fontId="19" fillId="2" borderId="1" xfId="3" applyNumberFormat="1" applyFont="1" applyFill="1" applyBorder="1"/>
    <xf numFmtId="4" fontId="19" fillId="2" borderId="1" xfId="3" applyNumberFormat="1" applyFont="1" applyFill="1" applyBorder="1" applyAlignment="1">
      <alignment horizontal="right"/>
    </xf>
    <xf numFmtId="165" fontId="19" fillId="2" borderId="0" xfId="3" applyNumberFormat="1" applyFont="1" applyFill="1"/>
    <xf numFmtId="165" fontId="20" fillId="2" borderId="1" xfId="3" applyNumberFormat="1" applyFont="1" applyFill="1" applyBorder="1"/>
    <xf numFmtId="4" fontId="20" fillId="2" borderId="1" xfId="3" applyNumberFormat="1" applyFont="1" applyFill="1" applyBorder="1" applyAlignment="1">
      <alignment horizontal="right"/>
    </xf>
    <xf numFmtId="3" fontId="19" fillId="2" borderId="1" xfId="3" applyNumberFormat="1" applyFont="1" applyFill="1" applyBorder="1" applyAlignment="1">
      <alignment horizontal="center"/>
    </xf>
    <xf numFmtId="165" fontId="19" fillId="2" borderId="1" xfId="3" applyNumberFormat="1" applyFont="1" applyFill="1" applyBorder="1" applyAlignment="1">
      <alignment horizontal="center"/>
    </xf>
    <xf numFmtId="0" fontId="19" fillId="0" borderId="0" xfId="26" applyFont="1"/>
    <xf numFmtId="0" fontId="19" fillId="0" borderId="0" xfId="26" applyFont="1" applyFill="1"/>
    <xf numFmtId="0" fontId="20" fillId="0" borderId="0" xfId="26" applyFont="1"/>
    <xf numFmtId="0" fontId="19" fillId="0" borderId="0" xfId="26" applyFont="1" applyAlignment="1">
      <alignment horizontal="center"/>
    </xf>
    <xf numFmtId="165" fontId="19" fillId="0" borderId="0" xfId="26" applyNumberFormat="1" applyFont="1" applyFill="1" applyAlignment="1">
      <alignment horizontal="center"/>
    </xf>
    <xf numFmtId="0" fontId="75" fillId="0" borderId="0" xfId="25"/>
    <xf numFmtId="0" fontId="56" fillId="0" borderId="1" xfId="25" applyFont="1" applyBorder="1" applyAlignment="1">
      <alignment vertical="center" wrapText="1"/>
    </xf>
    <xf numFmtId="0" fontId="56" fillId="0" borderId="1" xfId="25" applyFont="1" applyBorder="1" applyAlignment="1">
      <alignment horizontal="center" vertical="center" wrapText="1"/>
    </xf>
    <xf numFmtId="0" fontId="56" fillId="0" borderId="0" xfId="25" applyFont="1"/>
    <xf numFmtId="14" fontId="75" fillId="0" borderId="0" xfId="25" applyNumberFormat="1" applyBorder="1" applyAlignment="1">
      <alignment horizontal="center" wrapText="1"/>
    </xf>
    <xf numFmtId="4" fontId="56" fillId="0" borderId="1" xfId="25" applyNumberFormat="1" applyFont="1" applyBorder="1" applyAlignment="1">
      <alignment horizontal="center" vertical="center" wrapText="1"/>
    </xf>
    <xf numFmtId="0" fontId="75" fillId="2" borderId="0" xfId="25" applyFill="1"/>
    <xf numFmtId="14" fontId="75" fillId="2" borderId="0" xfId="25" applyNumberFormat="1" applyFill="1" applyBorder="1" applyAlignment="1">
      <alignment horizontal="center"/>
    </xf>
    <xf numFmtId="0" fontId="15" fillId="2" borderId="1" xfId="25" applyFont="1" applyFill="1" applyBorder="1" applyAlignment="1">
      <alignment vertical="center" wrapText="1"/>
    </xf>
    <xf numFmtId="4" fontId="15" fillId="2" borderId="1" xfId="25" applyNumberFormat="1" applyFont="1" applyFill="1" applyBorder="1" applyAlignment="1">
      <alignment horizontal="center" vertical="center" wrapText="1"/>
    </xf>
    <xf numFmtId="4" fontId="75" fillId="2" borderId="1" xfId="25" applyNumberFormat="1" applyFill="1" applyBorder="1" applyAlignment="1">
      <alignment horizontal="center"/>
    </xf>
    <xf numFmtId="4" fontId="75" fillId="2" borderId="0" xfId="25" applyNumberFormat="1" applyFill="1"/>
    <xf numFmtId="0" fontId="56" fillId="2" borderId="1" xfId="25" applyFont="1" applyFill="1" applyBorder="1" applyAlignment="1">
      <alignment vertical="center" wrapText="1"/>
    </xf>
    <xf numFmtId="0" fontId="56" fillId="2" borderId="1" xfId="25" applyFont="1" applyFill="1" applyBorder="1" applyAlignment="1">
      <alignment horizontal="center" vertical="center" wrapText="1"/>
    </xf>
    <xf numFmtId="4" fontId="56" fillId="2" borderId="1" xfId="25" applyNumberFormat="1" applyFont="1" applyFill="1" applyBorder="1" applyAlignment="1">
      <alignment horizontal="center" vertical="center" wrapText="1"/>
    </xf>
    <xf numFmtId="0" fontId="56" fillId="2" borderId="0" xfId="25" applyFont="1" applyFill="1"/>
    <xf numFmtId="0" fontId="75" fillId="0" borderId="0" xfId="25" applyBorder="1" applyAlignment="1">
      <alignment horizontal="center" wrapText="1"/>
    </xf>
    <xf numFmtId="0" fontId="21" fillId="2" borderId="0" xfId="30" applyFont="1" applyFill="1" applyAlignment="1">
      <alignment horizontal="center" vertical="center" wrapText="1"/>
    </xf>
    <xf numFmtId="0" fontId="19" fillId="2" borderId="0" xfId="30" applyFont="1" applyFill="1" applyAlignment="1">
      <alignment horizontal="center" vertical="center" wrapText="1"/>
    </xf>
    <xf numFmtId="14" fontId="21" fillId="2" borderId="0" xfId="30" applyNumberFormat="1" applyFont="1" applyFill="1" applyAlignment="1">
      <alignment horizontal="center" vertical="center" wrapText="1"/>
    </xf>
    <xf numFmtId="0" fontId="21" fillId="2" borderId="1" xfId="30" applyFont="1" applyFill="1" applyBorder="1" applyAlignment="1">
      <alignment horizontal="center" vertical="center" wrapText="1"/>
    </xf>
    <xf numFmtId="0" fontId="19" fillId="2" borderId="1" xfId="30" applyFont="1" applyFill="1" applyBorder="1" applyAlignment="1">
      <alignment horizontal="center" vertical="center" wrapText="1"/>
    </xf>
    <xf numFmtId="0" fontId="21" fillId="2" borderId="1" xfId="30" applyFont="1" applyFill="1" applyBorder="1" applyAlignment="1">
      <alignment vertical="center" wrapText="1"/>
    </xf>
    <xf numFmtId="165" fontId="21" fillId="2" borderId="1" xfId="30" applyNumberFormat="1" applyFont="1" applyFill="1" applyBorder="1" applyAlignment="1">
      <alignment horizontal="center" vertical="center" wrapText="1"/>
    </xf>
    <xf numFmtId="3" fontId="21" fillId="2" borderId="1" xfId="30" applyNumberFormat="1" applyFont="1" applyFill="1" applyBorder="1" applyAlignment="1">
      <alignment horizontal="center" vertical="center" wrapText="1"/>
    </xf>
    <xf numFmtId="166" fontId="21" fillId="2" borderId="1" xfId="30" applyNumberFormat="1" applyFont="1" applyFill="1" applyBorder="1" applyAlignment="1">
      <alignment horizontal="center" vertical="center" wrapText="1"/>
    </xf>
    <xf numFmtId="4" fontId="21" fillId="2" borderId="1" xfId="30" applyNumberFormat="1" applyFont="1" applyFill="1" applyBorder="1" applyAlignment="1">
      <alignment horizontal="center" vertical="center" wrapText="1"/>
    </xf>
    <xf numFmtId="165" fontId="19" fillId="2" borderId="1" xfId="30" applyNumberFormat="1" applyFont="1" applyFill="1" applyBorder="1" applyAlignment="1">
      <alignment horizontal="center" vertical="center" wrapText="1"/>
    </xf>
    <xf numFmtId="165" fontId="21" fillId="2" borderId="8" xfId="30" applyNumberFormat="1" applyFont="1" applyFill="1" applyBorder="1" applyAlignment="1">
      <alignment horizontal="center" vertical="center" wrapText="1"/>
    </xf>
    <xf numFmtId="0" fontId="21" fillId="2" borderId="0" xfId="30" applyFont="1" applyFill="1" applyAlignment="1">
      <alignment horizontal="left" vertical="center"/>
    </xf>
    <xf numFmtId="0" fontId="82" fillId="2" borderId="1" xfId="30" applyFont="1" applyFill="1" applyBorder="1" applyAlignment="1">
      <alignment horizontal="center" vertical="center" wrapText="1"/>
    </xf>
    <xf numFmtId="165" fontId="82" fillId="2" borderId="1" xfId="30" applyNumberFormat="1" applyFont="1" applyFill="1" applyBorder="1" applyAlignment="1">
      <alignment horizontal="center" vertical="center" wrapText="1"/>
    </xf>
    <xf numFmtId="3" fontId="82" fillId="2" borderId="1" xfId="30" applyNumberFormat="1" applyFont="1" applyFill="1" applyBorder="1" applyAlignment="1">
      <alignment horizontal="center" vertical="center" wrapText="1"/>
    </xf>
    <xf numFmtId="165" fontId="20" fillId="2" borderId="1" xfId="30" applyNumberFormat="1" applyFont="1" applyFill="1" applyBorder="1" applyAlignment="1">
      <alignment horizontal="center" vertical="center" wrapText="1"/>
    </xf>
    <xf numFmtId="0" fontId="82" fillId="2" borderId="0" xfId="30" applyFont="1" applyFill="1" applyAlignment="1">
      <alignment horizontal="center" vertical="center" wrapText="1"/>
    </xf>
    <xf numFmtId="0" fontId="82" fillId="2" borderId="0" xfId="30" applyFont="1" applyFill="1" applyBorder="1" applyAlignment="1">
      <alignment horizontal="center" vertical="center" wrapText="1"/>
    </xf>
    <xf numFmtId="0" fontId="82" fillId="2" borderId="0" xfId="30" applyFont="1" applyFill="1" applyBorder="1" applyAlignment="1">
      <alignment vertical="center" wrapText="1"/>
    </xf>
    <xf numFmtId="4" fontId="82" fillId="2" borderId="0" xfId="30" applyNumberFormat="1" applyFont="1" applyFill="1" applyBorder="1" applyAlignment="1">
      <alignment horizontal="center" vertical="center" wrapText="1"/>
    </xf>
    <xf numFmtId="4" fontId="20" fillId="2" borderId="0" xfId="30" applyNumberFormat="1" applyFont="1" applyFill="1" applyBorder="1" applyAlignment="1">
      <alignment horizontal="center" vertical="center" wrapText="1"/>
    </xf>
    <xf numFmtId="4" fontId="21" fillId="2" borderId="0" xfId="30" applyNumberFormat="1" applyFont="1" applyFill="1" applyBorder="1" applyAlignment="1">
      <alignment horizontal="center" vertical="center" wrapText="1"/>
    </xf>
    <xf numFmtId="165" fontId="82" fillId="2" borderId="0" xfId="30" applyNumberFormat="1" applyFont="1" applyFill="1" applyBorder="1" applyAlignment="1">
      <alignment horizontal="center" vertical="center" wrapText="1"/>
    </xf>
    <xf numFmtId="0" fontId="60" fillId="2" borderId="0" xfId="30" applyFont="1" applyFill="1"/>
    <xf numFmtId="0" fontId="62" fillId="2" borderId="0" xfId="30" applyFont="1" applyFill="1"/>
    <xf numFmtId="0" fontId="21" fillId="2" borderId="0" xfId="30" applyFont="1" applyFill="1"/>
    <xf numFmtId="0" fontId="21" fillId="2" borderId="0" xfId="30" applyFont="1" applyFill="1" applyAlignment="1">
      <alignment vertical="center" wrapText="1"/>
    </xf>
    <xf numFmtId="0" fontId="42" fillId="2" borderId="0" xfId="30" applyFont="1" applyFill="1"/>
    <xf numFmtId="0" fontId="19" fillId="2" borderId="0" xfId="30" applyFont="1" applyFill="1" applyAlignment="1">
      <alignment vertical="center" wrapText="1"/>
    </xf>
    <xf numFmtId="0" fontId="19" fillId="2" borderId="1" xfId="31" applyFont="1" applyFill="1" applyBorder="1" applyAlignment="1">
      <alignment vertical="center" wrapText="1"/>
    </xf>
    <xf numFmtId="0" fontId="19" fillId="2" borderId="0" xfId="31" applyFont="1" applyFill="1"/>
    <xf numFmtId="0" fontId="76" fillId="0" borderId="0" xfId="25" applyFont="1" applyFill="1" applyBorder="1" applyAlignment="1">
      <alignment vertical="center" wrapText="1"/>
    </xf>
    <xf numFmtId="0" fontId="79" fillId="0" borderId="0" xfId="25" applyFont="1" applyFill="1" applyBorder="1" applyAlignment="1">
      <alignment vertical="center" wrapText="1"/>
    </xf>
    <xf numFmtId="0" fontId="76" fillId="0" borderId="1" xfId="25" applyFont="1" applyFill="1" applyBorder="1" applyAlignment="1">
      <alignment vertical="center" wrapText="1"/>
    </xf>
    <xf numFmtId="4" fontId="76" fillId="0" borderId="1" xfId="25" applyNumberFormat="1" applyFont="1" applyFill="1" applyBorder="1" applyAlignment="1">
      <alignment horizontal="center" vertical="center" wrapText="1"/>
    </xf>
    <xf numFmtId="4" fontId="78" fillId="0" borderId="1" xfId="25" applyNumberFormat="1" applyFont="1" applyFill="1" applyBorder="1" applyAlignment="1">
      <alignment horizontal="center" vertical="center" wrapText="1"/>
    </xf>
    <xf numFmtId="0" fontId="77" fillId="0" borderId="1" xfId="25" applyFont="1" applyFill="1" applyBorder="1" applyAlignment="1">
      <alignment horizontal="center" vertical="center" wrapText="1"/>
    </xf>
    <xf numFmtId="0" fontId="77" fillId="0" borderId="1" xfId="25" applyFont="1" applyFill="1" applyBorder="1" applyAlignment="1">
      <alignment vertical="center" wrapText="1"/>
    </xf>
    <xf numFmtId="16" fontId="77" fillId="0" borderId="1" xfId="25" applyNumberFormat="1" applyFont="1" applyFill="1" applyBorder="1" applyAlignment="1">
      <alignment horizontal="center" vertical="center" wrapText="1"/>
    </xf>
    <xf numFmtId="4" fontId="79" fillId="0" borderId="1" xfId="25" applyNumberFormat="1" applyFont="1" applyFill="1" applyBorder="1" applyAlignment="1">
      <alignment horizontal="center" vertical="center" wrapText="1"/>
    </xf>
    <xf numFmtId="0" fontId="76" fillId="0" borderId="0" xfId="25" applyFont="1" applyFill="1" applyBorder="1" applyAlignment="1">
      <alignment horizontal="center" vertical="center" wrapText="1"/>
    </xf>
    <xf numFmtId="0" fontId="13" fillId="0" borderId="1" xfId="25" applyFont="1" applyBorder="1" applyAlignment="1">
      <alignment horizontal="center" vertical="center" wrapText="1"/>
    </xf>
    <xf numFmtId="0" fontId="13" fillId="0" borderId="1" xfId="25" applyFont="1" applyBorder="1" applyAlignment="1">
      <alignment vertical="center" wrapText="1"/>
    </xf>
    <xf numFmtId="0" fontId="19" fillId="2" borderId="0" xfId="29" applyFont="1" applyFill="1" applyAlignment="1">
      <alignment horizontal="left" vertical="center" wrapText="1"/>
    </xf>
    <xf numFmtId="1" fontId="19" fillId="2" borderId="0" xfId="29" applyNumberFormat="1" applyFont="1" applyFill="1" applyAlignment="1">
      <alignment horizontal="center" vertical="center" wrapText="1"/>
    </xf>
    <xf numFmtId="2" fontId="19" fillId="2" borderId="0" xfId="29" applyNumberFormat="1" applyFont="1" applyFill="1" applyAlignment="1">
      <alignment horizontal="center" vertical="center" wrapText="1"/>
    </xf>
    <xf numFmtId="165" fontId="19" fillId="2" borderId="0" xfId="29" applyNumberFormat="1" applyFont="1" applyFill="1" applyAlignment="1">
      <alignment horizontal="center" vertical="center" wrapText="1"/>
    </xf>
    <xf numFmtId="165" fontId="19" fillId="2" borderId="0" xfId="29" applyNumberFormat="1" applyFont="1" applyFill="1" applyAlignment="1">
      <alignment horizontal="left" vertical="center" wrapText="1"/>
    </xf>
    <xf numFmtId="0" fontId="41" fillId="2" borderId="0" xfId="29" applyFont="1" applyFill="1"/>
    <xf numFmtId="0" fontId="51" fillId="0" borderId="0" xfId="25" applyFont="1"/>
    <xf numFmtId="0" fontId="51" fillId="0" borderId="0" xfId="25" applyFont="1" applyBorder="1" applyAlignment="1">
      <alignment horizontal="center" wrapText="1"/>
    </xf>
    <xf numFmtId="14" fontId="51" fillId="0" borderId="0" xfId="25" applyNumberFormat="1" applyFont="1" applyBorder="1" applyAlignment="1">
      <alignment horizontal="center" wrapText="1"/>
    </xf>
    <xf numFmtId="0" fontId="51" fillId="0" borderId="1" xfId="25" applyFont="1" applyBorder="1" applyAlignment="1">
      <alignment horizontal="center" vertical="center" wrapText="1"/>
    </xf>
    <xf numFmtId="0" fontId="51" fillId="0" borderId="1" xfId="25" applyFont="1" applyBorder="1" applyAlignment="1">
      <alignment vertical="center" wrapText="1"/>
    </xf>
    <xf numFmtId="4" fontId="51" fillId="0" borderId="1" xfId="25" applyNumberFormat="1" applyFont="1" applyBorder="1" applyAlignment="1">
      <alignment horizontal="center" vertical="center" wrapText="1"/>
    </xf>
    <xf numFmtId="0" fontId="48" fillId="0" borderId="1" xfId="25" applyFont="1" applyBorder="1" applyAlignment="1">
      <alignment vertical="center" wrapText="1"/>
    </xf>
    <xf numFmtId="0" fontId="48" fillId="0" borderId="1" xfId="25" applyFont="1" applyBorder="1" applyAlignment="1">
      <alignment horizontal="center" vertical="center" wrapText="1"/>
    </xf>
    <xf numFmtId="4" fontId="48" fillId="0" borderId="1" xfId="25" applyNumberFormat="1" applyFont="1" applyBorder="1" applyAlignment="1">
      <alignment horizontal="center" vertical="center" wrapText="1"/>
    </xf>
    <xf numFmtId="0" fontId="48" fillId="0" borderId="0" xfId="25" applyFont="1"/>
    <xf numFmtId="0" fontId="51" fillId="0" borderId="0" xfId="25" applyFont="1" applyAlignment="1">
      <alignment horizontal="center"/>
    </xf>
    <xf numFmtId="0" fontId="51" fillId="0" borderId="0" xfId="25" applyFont="1" applyBorder="1" applyAlignment="1">
      <alignment horizontal="center" wrapText="1"/>
    </xf>
    <xf numFmtId="0" fontId="51" fillId="0" borderId="1" xfId="25" applyFont="1" applyBorder="1" applyAlignment="1">
      <alignment horizontal="center" vertical="center" wrapText="1"/>
    </xf>
    <xf numFmtId="0" fontId="75" fillId="0" borderId="0" xfId="25" applyBorder="1" applyAlignment="1">
      <alignment horizontal="center" wrapText="1"/>
    </xf>
    <xf numFmtId="0" fontId="13" fillId="0" borderId="1" xfId="25" applyFont="1" applyBorder="1" applyAlignment="1">
      <alignment horizontal="center" vertical="center" wrapText="1"/>
    </xf>
    <xf numFmtId="0" fontId="75" fillId="2" borderId="0" xfId="25" applyFill="1" applyBorder="1" applyAlignment="1">
      <alignment horizontal="center"/>
    </xf>
    <xf numFmtId="0" fontId="15" fillId="2" borderId="1" xfId="25" applyFont="1" applyFill="1" applyBorder="1" applyAlignment="1">
      <alignment horizontal="center" vertical="center" wrapText="1"/>
    </xf>
    <xf numFmtId="0" fontId="12" fillId="2" borderId="1" xfId="25" applyFont="1" applyFill="1" applyBorder="1" applyAlignment="1">
      <alignment vertical="center" wrapText="1"/>
    </xf>
    <xf numFmtId="0" fontId="67" fillId="2" borderId="0" xfId="31" applyNumberFormat="1" applyFont="1" applyFill="1" applyBorder="1" applyAlignment="1" applyProtection="1">
      <alignment vertical="center"/>
    </xf>
    <xf numFmtId="0" fontId="68" fillId="2" borderId="0" xfId="31" applyNumberFormat="1" applyFont="1" applyFill="1" applyBorder="1" applyAlignment="1" applyProtection="1">
      <alignment vertical="top" wrapText="1"/>
    </xf>
    <xf numFmtId="0" fontId="68" fillId="2" borderId="0" xfId="31" applyNumberFormat="1" applyFont="1" applyFill="1" applyBorder="1" applyAlignment="1" applyProtection="1">
      <alignment horizontal="center" vertical="center"/>
    </xf>
    <xf numFmtId="4" fontId="68" fillId="2" borderId="0" xfId="31" applyNumberFormat="1" applyFont="1" applyFill="1" applyBorder="1" applyAlignment="1" applyProtection="1">
      <alignment vertical="top"/>
    </xf>
    <xf numFmtId="0" fontId="68" fillId="2" borderId="0" xfId="31" applyNumberFormat="1" applyFont="1" applyFill="1" applyBorder="1" applyAlignment="1" applyProtection="1">
      <alignment vertical="top"/>
    </xf>
    <xf numFmtId="0" fontId="68" fillId="2" borderId="0" xfId="31" applyNumberFormat="1" applyFont="1" applyFill="1" applyBorder="1" applyAlignment="1" applyProtection="1">
      <alignment horizontal="center" vertical="center" wrapText="1"/>
    </xf>
    <xf numFmtId="4" fontId="112" fillId="0" borderId="1" xfId="31" applyNumberFormat="1" applyFont="1" applyFill="1" applyBorder="1" applyAlignment="1" applyProtection="1">
      <alignment vertical="top"/>
    </xf>
    <xf numFmtId="0" fontId="73" fillId="2" borderId="0" xfId="31" applyNumberFormat="1" applyFont="1" applyFill="1" applyBorder="1" applyAlignment="1" applyProtection="1">
      <alignment vertical="top"/>
    </xf>
    <xf numFmtId="4" fontId="68" fillId="2" borderId="1" xfId="31" applyNumberFormat="1" applyFont="1" applyFill="1" applyBorder="1" applyAlignment="1" applyProtection="1">
      <alignment vertical="top"/>
    </xf>
    <xf numFmtId="4" fontId="113" fillId="2" borderId="1" xfId="31" applyNumberFormat="1" applyFont="1" applyFill="1" applyBorder="1" applyAlignment="1" applyProtection="1">
      <alignment vertical="top"/>
    </xf>
    <xf numFmtId="4" fontId="112" fillId="2" borderId="1" xfId="31" applyNumberFormat="1" applyFont="1" applyFill="1" applyBorder="1" applyAlignment="1" applyProtection="1">
      <alignment vertical="top"/>
    </xf>
    <xf numFmtId="0" fontId="64" fillId="2" borderId="1" xfId="31" applyNumberFormat="1" applyFont="1" applyFill="1" applyBorder="1" applyAlignment="1" applyProtection="1">
      <alignment vertical="top" wrapText="1"/>
    </xf>
    <xf numFmtId="4" fontId="112" fillId="2" borderId="1" xfId="31" applyNumberFormat="1" applyFont="1" applyFill="1" applyBorder="1" applyAlignment="1" applyProtection="1">
      <alignment vertical="top" wrapText="1"/>
    </xf>
    <xf numFmtId="4" fontId="116" fillId="0" borderId="1" xfId="31" applyNumberFormat="1" applyFont="1" applyFill="1" applyBorder="1" applyAlignment="1" applyProtection="1">
      <alignment vertical="top"/>
    </xf>
    <xf numFmtId="0" fontId="72" fillId="2" borderId="0" xfId="31" applyNumberFormat="1" applyFont="1" applyFill="1" applyBorder="1" applyAlignment="1" applyProtection="1">
      <alignment vertical="top"/>
    </xf>
    <xf numFmtId="0" fontId="72" fillId="2" borderId="0" xfId="31" applyNumberFormat="1" applyFont="1" applyFill="1" applyBorder="1" applyAlignment="1" applyProtection="1">
      <alignment vertical="center"/>
    </xf>
    <xf numFmtId="2" fontId="72" fillId="2" borderId="0" xfId="31" applyNumberFormat="1" applyFont="1" applyFill="1" applyBorder="1" applyAlignment="1" applyProtection="1">
      <alignment vertical="top"/>
    </xf>
    <xf numFmtId="2" fontId="72" fillId="2" borderId="0" xfId="31" applyNumberFormat="1" applyFont="1" applyFill="1" applyBorder="1" applyAlignment="1" applyProtection="1">
      <alignment horizontal="right" vertical="top"/>
    </xf>
    <xf numFmtId="0" fontId="118" fillId="2" borderId="0" xfId="31" applyNumberFormat="1" applyFont="1" applyFill="1" applyBorder="1" applyAlignment="1" applyProtection="1">
      <alignment horizontal="right" vertical="top"/>
    </xf>
    <xf numFmtId="2" fontId="86" fillId="2" borderId="0" xfId="31" applyNumberFormat="1" applyFont="1" applyFill="1" applyBorder="1" applyAlignment="1" applyProtection="1">
      <alignment vertical="top"/>
    </xf>
    <xf numFmtId="0" fontId="72" fillId="2" borderId="0" xfId="31" applyNumberFormat="1" applyFont="1" applyFill="1" applyBorder="1" applyAlignment="1" applyProtection="1">
      <alignment horizontal="center" vertical="center"/>
    </xf>
    <xf numFmtId="0" fontId="68" fillId="2" borderId="0" xfId="31" applyNumberFormat="1" applyFont="1" applyFill="1" applyBorder="1" applyAlignment="1" applyProtection="1">
      <alignment vertical="center"/>
    </xf>
    <xf numFmtId="0" fontId="72" fillId="2" borderId="0" xfId="31" applyNumberFormat="1" applyFont="1" applyFill="1" applyBorder="1" applyAlignment="1" applyProtection="1">
      <alignment vertical="top" wrapText="1"/>
    </xf>
    <xf numFmtId="0" fontId="108" fillId="2" borderId="0" xfId="31" applyNumberFormat="1" applyFont="1" applyFill="1" applyBorder="1" applyAlignment="1" applyProtection="1">
      <alignment vertical="top"/>
    </xf>
    <xf numFmtId="0" fontId="86" fillId="14" borderId="1" xfId="23" applyFont="1" applyFill="1" applyBorder="1" applyAlignment="1">
      <alignment wrapText="1"/>
    </xf>
    <xf numFmtId="0" fontId="86" fillId="14" borderId="1" xfId="23" applyFont="1" applyFill="1" applyBorder="1" applyAlignment="1">
      <alignment vertical="center" wrapText="1"/>
    </xf>
    <xf numFmtId="0" fontId="28" fillId="2" borderId="1" xfId="23" applyFont="1" applyFill="1" applyBorder="1" applyAlignment="1">
      <alignment wrapText="1"/>
    </xf>
    <xf numFmtId="0" fontId="110" fillId="0" borderId="0" xfId="24" applyFont="1" applyFill="1" applyAlignment="1">
      <alignment horizontal="center" wrapText="1"/>
    </xf>
    <xf numFmtId="0" fontId="88" fillId="0" borderId="0" xfId="24" applyFont="1" applyFill="1" applyAlignment="1">
      <alignment horizontal="center" wrapText="1"/>
    </xf>
    <xf numFmtId="4" fontId="88" fillId="0" borderId="0" xfId="24" applyNumberFormat="1" applyFont="1" applyFill="1" applyAlignment="1">
      <alignment wrapText="1"/>
    </xf>
    <xf numFmtId="0" fontId="88" fillId="0" borderId="0" xfId="24" applyFont="1" applyFill="1" applyAlignment="1">
      <alignment wrapText="1"/>
    </xf>
    <xf numFmtId="0" fontId="108" fillId="0" borderId="0" xfId="24" applyFont="1" applyFill="1" applyBorder="1" applyAlignment="1">
      <alignment vertical="center" wrapText="1"/>
    </xf>
    <xf numFmtId="0" fontId="110" fillId="0" borderId="0" xfId="24" applyFont="1" applyFill="1" applyAlignment="1">
      <alignment wrapText="1"/>
    </xf>
    <xf numFmtId="0" fontId="109" fillId="0" borderId="0" xfId="24" applyFont="1" applyFill="1" applyAlignment="1">
      <alignment horizontal="center" wrapText="1"/>
    </xf>
    <xf numFmtId="0" fontId="109" fillId="0" borderId="0" xfId="24" applyFont="1" applyFill="1" applyAlignment="1">
      <alignment wrapText="1"/>
    </xf>
    <xf numFmtId="4" fontId="110" fillId="0" borderId="1" xfId="24" applyNumberFormat="1" applyFont="1" applyFill="1" applyBorder="1" applyAlignment="1">
      <alignment horizontal="center" vertical="center" wrapText="1"/>
    </xf>
    <xf numFmtId="3" fontId="110" fillId="0" borderId="1" xfId="24" applyNumberFormat="1" applyFont="1" applyFill="1" applyBorder="1" applyAlignment="1">
      <alignment horizontal="center" vertical="center" wrapText="1"/>
    </xf>
    <xf numFmtId="0" fontId="110" fillId="0" borderId="1" xfId="24" applyFont="1" applyFill="1" applyBorder="1" applyAlignment="1">
      <alignment horizontal="center" wrapText="1"/>
    </xf>
    <xf numFmtId="0" fontId="119" fillId="0" borderId="1" xfId="24" applyFont="1" applyFill="1" applyBorder="1" applyAlignment="1">
      <alignment horizontal="center" wrapText="1"/>
    </xf>
    <xf numFmtId="0" fontId="119" fillId="0" borderId="1" xfId="24" applyFont="1" applyFill="1" applyBorder="1" applyAlignment="1">
      <alignment horizontal="left" wrapText="1"/>
    </xf>
    <xf numFmtId="2" fontId="119" fillId="0" borderId="1" xfId="24" applyNumberFormat="1" applyFont="1" applyFill="1" applyBorder="1" applyAlignment="1">
      <alignment horizontal="right" wrapText="1"/>
    </xf>
    <xf numFmtId="2" fontId="119" fillId="2" borderId="1" xfId="24" applyNumberFormat="1" applyFont="1" applyFill="1" applyBorder="1" applyAlignment="1">
      <alignment horizontal="right" wrapText="1"/>
    </xf>
    <xf numFmtId="2" fontId="128" fillId="2" borderId="1" xfId="24" applyNumberFormat="1" applyFont="1" applyFill="1" applyBorder="1" applyAlignment="1">
      <alignment horizontal="right" wrapText="1"/>
    </xf>
    <xf numFmtId="0" fontId="110" fillId="0" borderId="1" xfId="24" applyFont="1" applyFill="1" applyBorder="1" applyAlignment="1">
      <alignment horizontal="left" vertical="center" wrapText="1"/>
    </xf>
    <xf numFmtId="2" fontId="128" fillId="0" borderId="1" xfId="24" applyNumberFormat="1" applyFont="1" applyFill="1" applyBorder="1" applyAlignment="1">
      <alignment horizontal="right" wrapText="1"/>
    </xf>
    <xf numFmtId="2" fontId="116" fillId="2" borderId="1" xfId="24" applyNumberFormat="1" applyFont="1" applyFill="1" applyBorder="1" applyAlignment="1">
      <alignment horizontal="right" wrapText="1"/>
    </xf>
    <xf numFmtId="0" fontId="110" fillId="0" borderId="1" xfId="24" applyFont="1" applyFill="1" applyBorder="1" applyAlignment="1">
      <alignment horizontal="left" wrapText="1"/>
    </xf>
    <xf numFmtId="0" fontId="110" fillId="0" borderId="1" xfId="24" applyFont="1" applyFill="1" applyBorder="1" applyAlignment="1">
      <alignment wrapText="1"/>
    </xf>
    <xf numFmtId="2" fontId="116" fillId="0" borderId="1" xfId="24" applyNumberFormat="1" applyFont="1" applyFill="1" applyBorder="1" applyAlignment="1">
      <alignment horizontal="right" wrapText="1"/>
    </xf>
    <xf numFmtId="0" fontId="110" fillId="0" borderId="0" xfId="24" applyFont="1" applyFill="1" applyBorder="1" applyAlignment="1">
      <alignment horizontal="center" wrapText="1"/>
    </xf>
    <xf numFmtId="4" fontId="110" fillId="0" borderId="0" xfId="24" applyNumberFormat="1" applyFont="1" applyFill="1" applyBorder="1" applyAlignment="1">
      <alignment horizontal="center" wrapText="1"/>
    </xf>
    <xf numFmtId="167" fontId="110" fillId="0" borderId="0" xfId="24" applyNumberFormat="1" applyFont="1" applyFill="1" applyBorder="1" applyAlignment="1">
      <alignment horizontal="center" vertical="center" wrapText="1"/>
    </xf>
    <xf numFmtId="2" fontId="110" fillId="0" borderId="0" xfId="24" applyNumberFormat="1" applyFont="1" applyFill="1" applyBorder="1" applyAlignment="1">
      <alignment horizontal="center" vertical="center" wrapText="1"/>
    </xf>
    <xf numFmtId="4" fontId="110" fillId="0" borderId="0" xfId="24" applyNumberFormat="1" applyFont="1" applyFill="1" applyBorder="1" applyAlignment="1">
      <alignment wrapText="1"/>
    </xf>
    <xf numFmtId="167" fontId="110" fillId="0" borderId="0" xfId="24" applyNumberFormat="1" applyFont="1" applyFill="1" applyBorder="1" applyAlignment="1">
      <alignment wrapText="1"/>
    </xf>
    <xf numFmtId="0" fontId="110" fillId="0" borderId="0" xfId="24" applyFont="1" applyFill="1" applyBorder="1" applyAlignment="1">
      <alignment wrapText="1"/>
    </xf>
    <xf numFmtId="0" fontId="50" fillId="0" borderId="0" xfId="31" applyFont="1" applyFill="1" applyAlignment="1">
      <alignment vertical="center"/>
    </xf>
    <xf numFmtId="0" fontId="50" fillId="0" borderId="0" xfId="31" applyFont="1" applyFill="1" applyAlignment="1">
      <alignment vertical="center" wrapText="1"/>
    </xf>
    <xf numFmtId="0" fontId="50" fillId="0" borderId="0" xfId="31" applyFont="1" applyFill="1" applyAlignment="1">
      <alignment horizontal="left" vertical="center" wrapText="1"/>
    </xf>
    <xf numFmtId="0" fontId="46" fillId="0" borderId="0" xfId="31" applyFont="1" applyFill="1" applyAlignment="1">
      <alignment horizontal="center" vertical="center" wrapText="1"/>
    </xf>
    <xf numFmtId="4" fontId="46" fillId="0" borderId="0" xfId="31" applyNumberFormat="1" applyFont="1" applyFill="1" applyAlignment="1">
      <alignment horizontal="center" vertical="center" wrapText="1"/>
    </xf>
    <xf numFmtId="0" fontId="46" fillId="0" borderId="0" xfId="31" applyFont="1" applyFill="1" applyAlignment="1">
      <alignment vertical="center"/>
    </xf>
    <xf numFmtId="0" fontId="46" fillId="0" borderId="0" xfId="31" applyFont="1" applyFill="1" applyAlignment="1">
      <alignment vertical="center" wrapText="1"/>
    </xf>
    <xf numFmtId="2" fontId="88" fillId="0" borderId="0" xfId="24" applyNumberFormat="1" applyFont="1" applyFill="1" applyAlignment="1">
      <alignment horizontal="center" wrapText="1"/>
    </xf>
    <xf numFmtId="14" fontId="28" fillId="0" borderId="0" xfId="24" applyNumberFormat="1" applyFont="1" applyFill="1" applyBorder="1" applyAlignment="1">
      <alignment vertical="center" wrapText="1"/>
    </xf>
    <xf numFmtId="165" fontId="19" fillId="0" borderId="0" xfId="29" applyNumberFormat="1" applyFont="1" applyFill="1" applyAlignment="1">
      <alignment horizontal="left" vertical="center" wrapText="1"/>
    </xf>
    <xf numFmtId="0" fontId="41" fillId="0" borderId="0" xfId="29" applyFont="1" applyFill="1" applyAlignment="1">
      <alignment horizontal="left" vertical="center"/>
    </xf>
    <xf numFmtId="0" fontId="41" fillId="0" borderId="0" xfId="29" applyFont="1" applyFill="1"/>
    <xf numFmtId="0" fontId="40" fillId="0" borderId="0" xfId="29" applyFont="1" applyFill="1"/>
    <xf numFmtId="0" fontId="41" fillId="0" borderId="0" xfId="29" applyFont="1"/>
    <xf numFmtId="165" fontId="20" fillId="0" borderId="7" xfId="29" applyNumberFormat="1" applyFont="1" applyFill="1" applyBorder="1" applyAlignment="1">
      <alignment horizontal="center" vertical="center" wrapText="1"/>
    </xf>
    <xf numFmtId="165" fontId="97" fillId="0" borderId="0" xfId="29" applyNumberFormat="1" applyFont="1" applyFill="1" applyAlignment="1">
      <alignment horizontal="left" vertical="center"/>
    </xf>
    <xf numFmtId="165" fontId="41" fillId="0" borderId="0" xfId="29" applyNumberFormat="1" applyFont="1" applyFill="1"/>
    <xf numFmtId="1" fontId="20" fillId="0" borderId="1" xfId="29" applyNumberFormat="1" applyFont="1" applyFill="1" applyBorder="1" applyAlignment="1">
      <alignment horizontal="center" vertical="center" wrapText="1"/>
    </xf>
    <xf numFmtId="3" fontId="20" fillId="0" borderId="1" xfId="29" applyNumberFormat="1" applyFont="1" applyFill="1" applyBorder="1" applyAlignment="1">
      <alignment horizontal="center" vertical="center" wrapText="1"/>
    </xf>
    <xf numFmtId="49" fontId="20" fillId="0" borderId="1" xfId="29" applyNumberFormat="1" applyFont="1" applyFill="1" applyBorder="1" applyAlignment="1">
      <alignment horizontal="center" vertical="center" wrapText="1"/>
    </xf>
    <xf numFmtId="0" fontId="96" fillId="17" borderId="1" xfId="26" applyFont="1" applyFill="1" applyBorder="1" applyAlignment="1">
      <alignment horizontal="center" vertical="center" wrapText="1"/>
    </xf>
    <xf numFmtId="0" fontId="96" fillId="17" borderId="1" xfId="26" applyFont="1" applyFill="1" applyBorder="1" applyAlignment="1">
      <alignment horizontal="left" vertical="center"/>
    </xf>
    <xf numFmtId="0" fontId="20" fillId="17" borderId="1" xfId="26" applyFont="1" applyFill="1" applyBorder="1" applyAlignment="1">
      <alignment horizontal="center" vertical="center" wrapText="1"/>
    </xf>
    <xf numFmtId="0" fontId="19" fillId="17" borderId="1" xfId="26" applyFont="1" applyFill="1" applyBorder="1" applyAlignment="1">
      <alignment horizontal="center" vertical="center" wrapText="1"/>
    </xf>
    <xf numFmtId="1" fontId="96" fillId="17" borderId="1" xfId="29" applyNumberFormat="1" applyFont="1" applyFill="1" applyBorder="1" applyAlignment="1">
      <alignment horizontal="center" vertical="center" wrapText="1"/>
    </xf>
    <xf numFmtId="2" fontId="96" fillId="17" borderId="1" xfId="29" applyNumberFormat="1" applyFont="1" applyFill="1" applyBorder="1" applyAlignment="1">
      <alignment horizontal="center" vertical="center" wrapText="1"/>
    </xf>
    <xf numFmtId="165" fontId="96" fillId="17" borderId="1" xfId="29" applyNumberFormat="1" applyFont="1" applyFill="1" applyBorder="1" applyAlignment="1">
      <alignment horizontal="center" vertical="center" wrapText="1"/>
    </xf>
    <xf numFmtId="0" fontId="84" fillId="17" borderId="1" xfId="29" applyFont="1" applyFill="1" applyBorder="1"/>
    <xf numFmtId="0" fontId="96" fillId="17" borderId="0" xfId="29" applyFont="1" applyFill="1" applyAlignment="1">
      <alignment horizontal="left" vertical="center"/>
    </xf>
    <xf numFmtId="4" fontId="96" fillId="17" borderId="0" xfId="29" applyNumberFormat="1" applyFont="1" applyFill="1"/>
    <xf numFmtId="4" fontId="40" fillId="17" borderId="0" xfId="29" applyNumberFormat="1" applyFont="1" applyFill="1"/>
    <xf numFmtId="0" fontId="40" fillId="17" borderId="0" xfId="29" applyFont="1" applyFill="1"/>
    <xf numFmtId="0" fontId="96" fillId="17" borderId="0" xfId="29" applyFont="1" applyFill="1"/>
    <xf numFmtId="0" fontId="20" fillId="18" borderId="1" xfId="29" applyFont="1" applyFill="1" applyBorder="1" applyAlignment="1">
      <alignment horizontal="center" vertical="center" wrapText="1"/>
    </xf>
    <xf numFmtId="1" fontId="20" fillId="18" borderId="1" xfId="26" applyNumberFormat="1" applyFont="1" applyFill="1" applyBorder="1" applyAlignment="1">
      <alignment horizontal="center" vertical="center" wrapText="1"/>
    </xf>
    <xf numFmtId="2" fontId="20" fillId="18" borderId="1" xfId="26" applyNumberFormat="1" applyFont="1" applyFill="1" applyBorder="1" applyAlignment="1">
      <alignment horizontal="center" vertical="center" wrapText="1"/>
    </xf>
    <xf numFmtId="165" fontId="20" fillId="18" borderId="1" xfId="26" applyNumberFormat="1" applyFont="1" applyFill="1" applyBorder="1" applyAlignment="1">
      <alignment horizontal="center" vertical="center" wrapText="1"/>
    </xf>
    <xf numFmtId="0" fontId="20" fillId="0" borderId="0" xfId="29" applyFont="1" applyFill="1" applyAlignment="1">
      <alignment horizontal="left" vertical="center"/>
    </xf>
    <xf numFmtId="0" fontId="20" fillId="0" borderId="0" xfId="29" applyFont="1" applyFill="1"/>
    <xf numFmtId="165" fontId="20" fillId="0" borderId="1" xfId="26" applyNumberFormat="1" applyFont="1" applyFill="1" applyBorder="1" applyAlignment="1">
      <alignment horizontal="center" vertical="center" wrapText="1"/>
    </xf>
    <xf numFmtId="1" fontId="19" fillId="0" borderId="1" xfId="26" applyNumberFormat="1" applyFont="1" applyFill="1" applyBorder="1" applyAlignment="1">
      <alignment horizontal="center" vertical="center" wrapText="1"/>
    </xf>
    <xf numFmtId="2" fontId="19" fillId="0" borderId="1" xfId="26" applyNumberFormat="1" applyFont="1" applyFill="1" applyBorder="1" applyAlignment="1">
      <alignment horizontal="center" vertical="center" wrapText="1"/>
    </xf>
    <xf numFmtId="165" fontId="19" fillId="0" borderId="1" xfId="26" applyNumberFormat="1" applyFont="1" applyFill="1" applyBorder="1" applyAlignment="1">
      <alignment horizontal="right" vertical="center" wrapText="1"/>
    </xf>
    <xf numFmtId="0" fontId="19" fillId="0" borderId="1" xfId="29" applyFont="1" applyFill="1" applyBorder="1"/>
    <xf numFmtId="0" fontId="19" fillId="0" borderId="0" xfId="29" applyFont="1" applyFill="1"/>
    <xf numFmtId="49" fontId="19" fillId="0" borderId="1" xfId="35" applyNumberFormat="1" applyFont="1" applyFill="1" applyBorder="1" applyAlignment="1">
      <alignment horizontal="center" vertical="center" wrapText="1"/>
    </xf>
    <xf numFmtId="165" fontId="20" fillId="0" borderId="1" xfId="37" applyNumberFormat="1" applyFont="1" applyFill="1" applyBorder="1" applyAlignment="1">
      <alignment horizontal="left" vertical="center" wrapText="1"/>
    </xf>
    <xf numFmtId="49" fontId="20" fillId="0" borderId="1" xfId="37" applyNumberFormat="1" applyFont="1" applyFill="1" applyBorder="1" applyAlignment="1">
      <alignment horizontal="center" vertical="center" wrapText="1"/>
    </xf>
    <xf numFmtId="165" fontId="19" fillId="0" borderId="1" xfId="37" applyNumberFormat="1" applyFont="1" applyFill="1" applyBorder="1" applyAlignment="1">
      <alignment horizontal="left" vertical="center" wrapText="1"/>
    </xf>
    <xf numFmtId="49" fontId="19" fillId="0" borderId="1" xfId="37" applyNumberFormat="1" applyFont="1" applyFill="1" applyBorder="1" applyAlignment="1">
      <alignment horizontal="center" vertical="center" wrapText="1"/>
    </xf>
    <xf numFmtId="1" fontId="19" fillId="0" borderId="1" xfId="37" applyNumberFormat="1" applyFont="1" applyFill="1" applyBorder="1" applyAlignment="1">
      <alignment horizontal="center" vertical="center" wrapText="1"/>
    </xf>
    <xf numFmtId="2" fontId="19" fillId="0" borderId="1" xfId="37" applyNumberFormat="1" applyFont="1" applyFill="1" applyBorder="1" applyAlignment="1">
      <alignment horizontal="center" vertical="center" wrapText="1"/>
    </xf>
    <xf numFmtId="165" fontId="19" fillId="0" borderId="1" xfId="35" applyNumberFormat="1" applyFont="1" applyFill="1" applyBorder="1" applyAlignment="1">
      <alignment vertical="center" wrapText="1"/>
    </xf>
    <xf numFmtId="165" fontId="20" fillId="0" borderId="1" xfId="35" applyNumberFormat="1" applyFont="1" applyFill="1" applyBorder="1" applyAlignment="1">
      <alignment vertical="center" wrapText="1"/>
    </xf>
    <xf numFmtId="49" fontId="20" fillId="0" borderId="1" xfId="35" applyNumberFormat="1" applyFont="1" applyFill="1" applyBorder="1" applyAlignment="1">
      <alignment horizontal="center" vertical="center" wrapText="1"/>
    </xf>
    <xf numFmtId="165" fontId="19" fillId="0" borderId="1" xfId="29" applyNumberFormat="1" applyFont="1" applyFill="1" applyBorder="1"/>
    <xf numFmtId="165" fontId="20" fillId="19" borderId="1" xfId="37" applyNumberFormat="1" applyFont="1" applyFill="1" applyBorder="1" applyAlignment="1">
      <alignment horizontal="left" vertical="center" wrapText="1"/>
    </xf>
    <xf numFmtId="49" fontId="20" fillId="18" borderId="1" xfId="37" applyNumberFormat="1" applyFont="1" applyFill="1" applyBorder="1" applyAlignment="1">
      <alignment horizontal="center" vertical="center" wrapText="1"/>
    </xf>
    <xf numFmtId="0" fontId="20" fillId="18" borderId="1" xfId="26" applyFont="1" applyFill="1" applyBorder="1" applyAlignment="1">
      <alignment horizontal="center" vertical="center" wrapText="1"/>
    </xf>
    <xf numFmtId="165" fontId="20" fillId="18" borderId="1" xfId="37" applyNumberFormat="1" applyFont="1" applyFill="1" applyBorder="1" applyAlignment="1">
      <alignment horizontal="center" vertical="center" wrapText="1"/>
    </xf>
    <xf numFmtId="0" fontId="19" fillId="18" borderId="1" xfId="38" applyFont="1" applyFill="1" applyBorder="1"/>
    <xf numFmtId="0" fontId="20" fillId="18" borderId="0" xfId="29" applyFont="1" applyFill="1" applyAlignment="1">
      <alignment horizontal="left" vertical="center"/>
    </xf>
    <xf numFmtId="165" fontId="20" fillId="18" borderId="0" xfId="29" applyNumberFormat="1" applyFont="1" applyFill="1"/>
    <xf numFmtId="0" fontId="20" fillId="18" borderId="0" xfId="29" applyFont="1" applyFill="1"/>
    <xf numFmtId="165" fontId="40" fillId="18" borderId="0" xfId="29" applyNumberFormat="1" applyFont="1" applyFill="1"/>
    <xf numFmtId="0" fontId="40" fillId="18" borderId="0" xfId="29" applyFont="1" applyFill="1"/>
    <xf numFmtId="165" fontId="20" fillId="5" borderId="1" xfId="37" applyNumberFormat="1" applyFont="1" applyFill="1" applyBorder="1" applyAlignment="1">
      <alignment horizontal="left" vertical="center" wrapText="1"/>
    </xf>
    <xf numFmtId="49" fontId="20" fillId="5" borderId="1" xfId="37" applyNumberFormat="1" applyFont="1" applyFill="1" applyBorder="1" applyAlignment="1">
      <alignment horizontal="center" vertical="center" wrapText="1"/>
    </xf>
    <xf numFmtId="0" fontId="20" fillId="5" borderId="1" xfId="29" applyFont="1" applyFill="1" applyBorder="1" applyAlignment="1">
      <alignment horizontal="center" vertical="center" wrapText="1"/>
    </xf>
    <xf numFmtId="1" fontId="20" fillId="5" borderId="1" xfId="38" applyNumberFormat="1" applyFont="1" applyFill="1" applyBorder="1" applyAlignment="1">
      <alignment horizontal="center" vertical="center" wrapText="1"/>
    </xf>
    <xf numFmtId="2" fontId="20" fillId="5" borderId="1" xfId="38" applyNumberFormat="1" applyFont="1" applyFill="1" applyBorder="1" applyAlignment="1">
      <alignment horizontal="center" vertical="center" wrapText="1"/>
    </xf>
    <xf numFmtId="165" fontId="20" fillId="5" borderId="1" xfId="37" applyNumberFormat="1" applyFont="1" applyFill="1" applyBorder="1" applyAlignment="1">
      <alignment horizontal="center" vertical="center" wrapText="1"/>
    </xf>
    <xf numFmtId="165" fontId="20" fillId="5" borderId="1" xfId="38" applyNumberFormat="1" applyFont="1" applyFill="1" applyBorder="1" applyAlignment="1">
      <alignment horizontal="center" vertical="center" wrapText="1"/>
    </xf>
    <xf numFmtId="0" fontId="20" fillId="5" borderId="0" xfId="29" applyFont="1" applyFill="1"/>
    <xf numFmtId="0" fontId="40" fillId="5" borderId="0" xfId="29" applyFont="1" applyFill="1"/>
    <xf numFmtId="49" fontId="20" fillId="0" borderId="1" xfId="26" applyNumberFormat="1" applyFont="1" applyFill="1" applyBorder="1" applyAlignment="1">
      <alignment horizontal="center" vertical="center" wrapText="1"/>
    </xf>
    <xf numFmtId="1" fontId="20" fillId="0" borderId="1" xfId="26" applyNumberFormat="1" applyFont="1" applyFill="1" applyBorder="1" applyAlignment="1">
      <alignment horizontal="center" vertical="center" wrapText="1"/>
    </xf>
    <xf numFmtId="2" fontId="20" fillId="0" borderId="1" xfId="26" applyNumberFormat="1" applyFont="1" applyFill="1" applyBorder="1" applyAlignment="1">
      <alignment horizontal="center" vertical="center" wrapText="1"/>
    </xf>
    <xf numFmtId="165" fontId="20" fillId="0" borderId="1" xfId="26" applyNumberFormat="1" applyFont="1" applyFill="1" applyBorder="1" applyAlignment="1">
      <alignment horizontal="right" vertical="center" wrapText="1"/>
    </xf>
    <xf numFmtId="165" fontId="20" fillId="0" borderId="1" xfId="38" applyNumberFormat="1" applyFont="1" applyFill="1" applyBorder="1" applyAlignment="1">
      <alignment horizontal="right" vertical="center" wrapText="1"/>
    </xf>
    <xf numFmtId="0" fontId="19" fillId="0" borderId="0" xfId="29" applyFont="1" applyFill="1" applyAlignment="1">
      <alignment horizontal="left" vertical="center"/>
    </xf>
    <xf numFmtId="165" fontId="19" fillId="0" borderId="1" xfId="37" applyNumberFormat="1" applyFont="1" applyFill="1" applyBorder="1" applyAlignment="1">
      <alignment horizontal="center" vertical="center" wrapText="1"/>
    </xf>
    <xf numFmtId="0" fontId="19" fillId="18" borderId="1" xfId="29" applyFont="1" applyFill="1" applyBorder="1" applyAlignment="1">
      <alignment horizontal="center" vertical="center" wrapText="1"/>
    </xf>
    <xf numFmtId="165" fontId="20" fillId="18" borderId="1" xfId="38" applyNumberFormat="1" applyFont="1" applyFill="1" applyBorder="1" applyAlignment="1">
      <alignment horizontal="center" vertical="center" wrapText="1"/>
    </xf>
    <xf numFmtId="0" fontId="19" fillId="18" borderId="0" xfId="29" applyFont="1" applyFill="1" applyAlignment="1">
      <alignment horizontal="left" vertical="center"/>
    </xf>
    <xf numFmtId="0" fontId="19" fillId="18" borderId="0" xfId="29" applyFont="1" applyFill="1"/>
    <xf numFmtId="0" fontId="41" fillId="18" borderId="0" xfId="29" applyFont="1" applyFill="1"/>
    <xf numFmtId="0" fontId="19" fillId="2" borderId="1" xfId="29" applyFont="1" applyFill="1" applyBorder="1" applyAlignment="1">
      <alignment horizontal="center" vertical="center" wrapText="1"/>
    </xf>
    <xf numFmtId="165" fontId="20" fillId="0" borderId="1" xfId="38" applyNumberFormat="1" applyFont="1" applyFill="1" applyBorder="1" applyAlignment="1">
      <alignment horizontal="center" vertical="center" wrapText="1"/>
    </xf>
    <xf numFmtId="165" fontId="20" fillId="18" borderId="1" xfId="37" applyNumberFormat="1" applyFont="1" applyFill="1" applyBorder="1" applyAlignment="1">
      <alignment horizontal="left" vertical="center" wrapText="1"/>
    </xf>
    <xf numFmtId="0" fontId="19" fillId="18" borderId="1" xfId="38" applyFont="1" applyFill="1" applyBorder="1" applyAlignment="1">
      <alignment horizontal="center" vertical="center" wrapText="1"/>
    </xf>
    <xf numFmtId="1" fontId="20" fillId="18" borderId="1" xfId="38" applyNumberFormat="1" applyFont="1" applyFill="1" applyBorder="1" applyAlignment="1">
      <alignment horizontal="center" vertical="center" wrapText="1"/>
    </xf>
    <xf numFmtId="2" fontId="20" fillId="18" borderId="1" xfId="38" applyNumberFormat="1" applyFont="1" applyFill="1" applyBorder="1" applyAlignment="1">
      <alignment horizontal="center" vertical="center" wrapText="1"/>
    </xf>
    <xf numFmtId="1" fontId="20" fillId="5" borderId="1" xfId="37" applyNumberFormat="1" applyFont="1" applyFill="1" applyBorder="1" applyAlignment="1">
      <alignment horizontal="center" vertical="center" wrapText="1"/>
    </xf>
    <xf numFmtId="2" fontId="20" fillId="5" borderId="1" xfId="37" applyNumberFormat="1" applyFont="1" applyFill="1" applyBorder="1" applyAlignment="1">
      <alignment horizontal="center" vertical="center" wrapText="1"/>
    </xf>
    <xf numFmtId="0" fontId="20" fillId="5" borderId="0" xfId="29" applyFont="1" applyFill="1" applyAlignment="1">
      <alignment horizontal="left" vertical="center"/>
    </xf>
    <xf numFmtId="0" fontId="20" fillId="0" borderId="1" xfId="26" applyFont="1" applyFill="1" applyBorder="1" applyAlignment="1">
      <alignment vertical="center" wrapText="1"/>
    </xf>
    <xf numFmtId="0" fontId="19" fillId="0" borderId="1" xfId="26" applyFont="1" applyFill="1" applyBorder="1" applyAlignment="1">
      <alignment vertical="center" wrapText="1"/>
    </xf>
    <xf numFmtId="0" fontId="20" fillId="0" borderId="1" xfId="29" applyFont="1" applyFill="1" applyBorder="1"/>
    <xf numFmtId="49" fontId="19" fillId="0" borderId="1" xfId="26" applyNumberFormat="1" applyFont="1" applyFill="1" applyBorder="1" applyAlignment="1">
      <alignment horizontal="center" vertical="center" wrapText="1"/>
    </xf>
    <xf numFmtId="0" fontId="20" fillId="18" borderId="1" xfId="38" applyFont="1" applyFill="1" applyBorder="1" applyAlignment="1">
      <alignment horizontal="center" vertical="center" wrapText="1"/>
    </xf>
    <xf numFmtId="165" fontId="19" fillId="18" borderId="1" xfId="26" applyNumberFormat="1" applyFont="1" applyFill="1" applyBorder="1" applyAlignment="1">
      <alignment horizontal="left" vertical="top" wrapText="1"/>
    </xf>
    <xf numFmtId="0" fontId="20" fillId="5" borderId="1" xfId="38" applyFont="1" applyFill="1" applyBorder="1" applyAlignment="1">
      <alignment horizontal="center" vertical="center" wrapText="1"/>
    </xf>
    <xf numFmtId="1" fontId="19" fillId="0" borderId="1" xfId="38" applyNumberFormat="1" applyFont="1" applyFill="1" applyBorder="1" applyAlignment="1">
      <alignment horizontal="center" vertical="center" wrapText="1"/>
    </xf>
    <xf numFmtId="2" fontId="19" fillId="0" borderId="1" xfId="38" applyNumberFormat="1" applyFont="1" applyFill="1" applyBorder="1" applyAlignment="1">
      <alignment horizontal="center" vertical="center" wrapText="1"/>
    </xf>
    <xf numFmtId="165" fontId="19" fillId="0" borderId="1" xfId="38" applyNumberFormat="1" applyFont="1" applyFill="1" applyBorder="1" applyAlignment="1">
      <alignment horizontal="center" vertical="center" wrapText="1"/>
    </xf>
    <xf numFmtId="165" fontId="41" fillId="0" borderId="0" xfId="29" applyNumberFormat="1" applyFont="1" applyAlignment="1">
      <alignment horizontal="center"/>
    </xf>
    <xf numFmtId="165" fontId="41" fillId="0" borderId="0" xfId="29" applyNumberFormat="1" applyFont="1"/>
    <xf numFmtId="165" fontId="19" fillId="0" borderId="0" xfId="29" applyNumberFormat="1" applyFont="1"/>
    <xf numFmtId="1" fontId="41" fillId="0" borderId="0" xfId="29" applyNumberFormat="1" applyFont="1" applyFill="1" applyAlignment="1">
      <alignment horizontal="center"/>
    </xf>
    <xf numFmtId="2" fontId="41" fillId="0" borderId="0" xfId="29" applyNumberFormat="1" applyFont="1" applyFill="1" applyAlignment="1">
      <alignment horizontal="center"/>
    </xf>
    <xf numFmtId="165" fontId="41" fillId="0" borderId="0" xfId="29" applyNumberFormat="1" applyFont="1" applyFill="1" applyAlignment="1">
      <alignment horizontal="center"/>
    </xf>
    <xf numFmtId="165" fontId="41" fillId="0" borderId="0" xfId="29" applyNumberFormat="1" applyFont="1" applyFill="1" applyAlignment="1">
      <alignment horizontal="center" vertical="center"/>
    </xf>
    <xf numFmtId="165" fontId="41" fillId="0" borderId="0" xfId="29" applyNumberFormat="1" applyFont="1" applyAlignment="1">
      <alignment horizontal="left" vertical="center"/>
    </xf>
    <xf numFmtId="165" fontId="40" fillId="0" borderId="0" xfId="29" applyNumberFormat="1" applyFont="1"/>
    <xf numFmtId="1" fontId="41" fillId="0" borderId="0" xfId="29" applyNumberFormat="1" applyFont="1" applyAlignment="1">
      <alignment horizontal="center"/>
    </xf>
    <xf numFmtId="2" fontId="41" fillId="0" borderId="0" xfId="29" applyNumberFormat="1" applyFont="1" applyAlignment="1">
      <alignment horizontal="center"/>
    </xf>
    <xf numFmtId="165" fontId="19" fillId="0" borderId="0" xfId="29" applyNumberFormat="1" applyFont="1" applyAlignment="1">
      <alignment horizontal="center" vertical="center" wrapText="1"/>
    </xf>
    <xf numFmtId="165" fontId="20" fillId="5" borderId="1" xfId="29" applyNumberFormat="1" applyFont="1" applyFill="1" applyBorder="1" applyAlignment="1">
      <alignment horizontal="center" vertical="center" wrapText="1"/>
    </xf>
    <xf numFmtId="1" fontId="20" fillId="5" borderId="1" xfId="29" applyNumberFormat="1" applyFont="1" applyFill="1" applyBorder="1" applyAlignment="1">
      <alignment horizontal="center" vertical="center" wrapText="1"/>
    </xf>
    <xf numFmtId="2" fontId="20" fillId="5" borderId="1" xfId="29" applyNumberFormat="1" applyFont="1" applyFill="1" applyBorder="1" applyAlignment="1">
      <alignment horizontal="center" vertical="center" wrapText="1"/>
    </xf>
    <xf numFmtId="165" fontId="19" fillId="0" borderId="0" xfId="29" applyNumberFormat="1" applyFont="1" applyFill="1" applyAlignment="1">
      <alignment horizontal="center" vertical="center" wrapText="1"/>
    </xf>
    <xf numFmtId="165" fontId="19" fillId="0" borderId="0" xfId="29" applyNumberFormat="1" applyFont="1" applyFill="1"/>
    <xf numFmtId="165" fontId="19" fillId="0" borderId="0" xfId="29" applyNumberFormat="1" applyFont="1" applyAlignment="1">
      <alignment horizontal="center" vertical="center"/>
    </xf>
    <xf numFmtId="165" fontId="19" fillId="0" borderId="1" xfId="29" applyNumberFormat="1" applyFont="1" applyBorder="1" applyAlignment="1">
      <alignment horizontal="center" vertical="center" wrapText="1"/>
    </xf>
    <xf numFmtId="165" fontId="20" fillId="0" borderId="0" xfId="29" applyNumberFormat="1" applyFont="1" applyFill="1" applyAlignment="1">
      <alignment horizontal="center" vertical="center" wrapText="1"/>
    </xf>
    <xf numFmtId="165" fontId="19" fillId="12" borderId="1" xfId="29" applyNumberFormat="1" applyFont="1" applyFill="1" applyBorder="1" applyAlignment="1">
      <alignment horizontal="center" vertical="center" wrapText="1"/>
    </xf>
    <xf numFmtId="1" fontId="19" fillId="12" borderId="1" xfId="29" applyNumberFormat="1" applyFont="1" applyFill="1" applyBorder="1" applyAlignment="1">
      <alignment horizontal="center" vertical="center" wrapText="1"/>
    </xf>
    <xf numFmtId="2" fontId="19" fillId="12" borderId="1" xfId="29" applyNumberFormat="1" applyFont="1" applyFill="1" applyBorder="1" applyAlignment="1">
      <alignment horizontal="center" vertical="center" wrapText="1"/>
    </xf>
    <xf numFmtId="0" fontId="41" fillId="0" borderId="0" xfId="29" applyFont="1" applyAlignment="1">
      <alignment horizontal="left" vertical="center"/>
    </xf>
    <xf numFmtId="0" fontId="40" fillId="0" borderId="0" xfId="29" applyFont="1"/>
    <xf numFmtId="0" fontId="41" fillId="0" borderId="0" xfId="29" applyFont="1" applyAlignment="1">
      <alignment horizontal="center"/>
    </xf>
    <xf numFmtId="0" fontId="19" fillId="0" borderId="0" xfId="29" applyFont="1"/>
    <xf numFmtId="0" fontId="46" fillId="0" borderId="0" xfId="29" applyFont="1" applyAlignment="1">
      <alignment horizontal="left" vertical="center" wrapText="1"/>
    </xf>
    <xf numFmtId="165" fontId="46" fillId="0" borderId="0" xfId="29" applyNumberFormat="1" applyFont="1" applyAlignment="1">
      <alignment horizontal="left" vertical="center" wrapText="1"/>
    </xf>
    <xf numFmtId="175" fontId="46" fillId="0" borderId="0" xfId="29" applyNumberFormat="1" applyFont="1" applyAlignment="1">
      <alignment horizontal="left" vertical="center" wrapText="1"/>
    </xf>
    <xf numFmtId="4" fontId="46" fillId="0" borderId="0" xfId="29" applyNumberFormat="1" applyFont="1" applyAlignment="1">
      <alignment horizontal="left" vertical="center" wrapText="1"/>
    </xf>
    <xf numFmtId="0" fontId="51" fillId="0" borderId="0" xfId="29" applyFont="1" applyFill="1"/>
    <xf numFmtId="0" fontId="51" fillId="0" borderId="0" xfId="29" applyFont="1"/>
    <xf numFmtId="0" fontId="132" fillId="14" borderId="1" xfId="29" applyFont="1" applyFill="1" applyBorder="1" applyAlignment="1">
      <alignment horizontal="center" vertical="center" wrapText="1"/>
    </xf>
    <xf numFmtId="165" fontId="132" fillId="14" borderId="1" xfId="29" applyNumberFormat="1" applyFont="1" applyFill="1" applyBorder="1" applyAlignment="1">
      <alignment horizontal="center" vertical="center" wrapText="1"/>
    </xf>
    <xf numFmtId="0" fontId="20" fillId="16" borderId="1" xfId="29" applyFont="1" applyFill="1" applyBorder="1" applyAlignment="1">
      <alignment horizontal="center" vertical="center" wrapText="1"/>
    </xf>
    <xf numFmtId="0" fontId="20" fillId="16" borderId="0" xfId="29" applyFont="1" applyFill="1"/>
    <xf numFmtId="0" fontId="46" fillId="0" borderId="0" xfId="29" applyFont="1" applyFill="1"/>
    <xf numFmtId="165" fontId="46" fillId="0" borderId="0" xfId="29" applyNumberFormat="1" applyFont="1" applyFill="1" applyAlignment="1">
      <alignment horizontal="left" vertical="center" wrapText="1"/>
    </xf>
    <xf numFmtId="0" fontId="46" fillId="0" borderId="0" xfId="29" applyFont="1" applyFill="1" applyAlignment="1">
      <alignment horizontal="left" vertical="center" wrapText="1"/>
    </xf>
    <xf numFmtId="0" fontId="46" fillId="0" borderId="0" xfId="29" applyFont="1"/>
    <xf numFmtId="0" fontId="47" fillId="0" borderId="0" xfId="29" applyFont="1" applyAlignment="1">
      <alignment horizontal="center" vertical="center" wrapText="1"/>
    </xf>
    <xf numFmtId="0" fontId="47" fillId="0" borderId="0" xfId="29" applyFont="1" applyFill="1" applyAlignment="1">
      <alignment horizontal="center" vertical="center" wrapText="1"/>
    </xf>
    <xf numFmtId="0" fontId="46" fillId="0" borderId="0" xfId="29" applyFont="1" applyFill="1" applyAlignment="1">
      <alignment horizontal="center" vertical="center" wrapText="1"/>
    </xf>
    <xf numFmtId="0" fontId="51" fillId="0" borderId="0" xfId="29" applyFont="1" applyAlignment="1">
      <alignment horizontal="center"/>
    </xf>
    <xf numFmtId="165" fontId="51" fillId="0" borderId="0" xfId="29" applyNumberFormat="1" applyFont="1" applyFill="1"/>
    <xf numFmtId="165" fontId="19" fillId="0" borderId="0" xfId="29" applyNumberFormat="1" applyFont="1" applyAlignment="1">
      <alignment horizontal="left" vertical="center" wrapText="1"/>
    </xf>
    <xf numFmtId="3" fontId="19" fillId="0" borderId="1" xfId="29" applyNumberFormat="1" applyFont="1" applyBorder="1" applyAlignment="1">
      <alignment horizontal="center" vertical="center" wrapText="1"/>
    </xf>
    <xf numFmtId="0" fontId="11" fillId="2" borderId="1" xfId="25" applyFont="1" applyFill="1" applyBorder="1" applyAlignment="1">
      <alignment vertical="center" wrapText="1"/>
    </xf>
    <xf numFmtId="0" fontId="77" fillId="20" borderId="1" xfId="25" applyFont="1" applyFill="1" applyBorder="1" applyAlignment="1">
      <alignment horizontal="center" vertical="center" wrapText="1"/>
    </xf>
    <xf numFmtId="0" fontId="77" fillId="20" borderId="1" xfId="25" applyFont="1" applyFill="1" applyBorder="1" applyAlignment="1">
      <alignment vertical="center" wrapText="1"/>
    </xf>
    <xf numFmtId="4" fontId="76" fillId="20" borderId="1" xfId="25" applyNumberFormat="1" applyFont="1" applyFill="1" applyBorder="1" applyAlignment="1">
      <alignment horizontal="center" vertical="center" wrapText="1"/>
    </xf>
    <xf numFmtId="4" fontId="78" fillId="20" borderId="1" xfId="25" applyNumberFormat="1" applyFont="1" applyFill="1" applyBorder="1" applyAlignment="1">
      <alignment horizontal="center" vertical="center" wrapText="1"/>
    </xf>
    <xf numFmtId="0" fontId="76" fillId="20" borderId="1" xfId="25" applyFont="1" applyFill="1" applyBorder="1" applyAlignment="1">
      <alignment vertical="center" wrapText="1"/>
    </xf>
    <xf numFmtId="4" fontId="92" fillId="0" borderId="1" xfId="25" applyNumberFormat="1" applyFont="1" applyFill="1" applyBorder="1" applyAlignment="1">
      <alignment horizontal="center" vertical="center" wrapText="1"/>
    </xf>
    <xf numFmtId="179" fontId="76" fillId="0" borderId="0" xfId="25" applyNumberFormat="1" applyFont="1" applyFill="1" applyBorder="1" applyAlignment="1">
      <alignment vertical="center" wrapText="1"/>
    </xf>
    <xf numFmtId="0" fontId="139" fillId="0" borderId="0" xfId="25" applyFont="1" applyFill="1" applyBorder="1" applyAlignment="1">
      <alignment vertical="center" wrapText="1"/>
    </xf>
    <xf numFmtId="179" fontId="139" fillId="0" borderId="0" xfId="25" applyNumberFormat="1" applyFont="1" applyFill="1" applyBorder="1" applyAlignment="1">
      <alignment vertical="center" wrapText="1"/>
    </xf>
    <xf numFmtId="179" fontId="79" fillId="0" borderId="0" xfId="25" applyNumberFormat="1" applyFont="1" applyFill="1" applyBorder="1" applyAlignment="1">
      <alignment vertical="center" wrapText="1"/>
    </xf>
    <xf numFmtId="0" fontId="79" fillId="0" borderId="1" xfId="25" applyFont="1" applyFill="1" applyBorder="1" applyAlignment="1">
      <alignment vertical="center" wrapText="1"/>
    </xf>
    <xf numFmtId="0" fontId="79" fillId="0" borderId="1" xfId="25" applyFont="1" applyFill="1" applyBorder="1" applyAlignment="1">
      <alignment horizontal="center" vertical="center" wrapText="1"/>
    </xf>
    <xf numFmtId="0" fontId="125" fillId="0" borderId="0" xfId="25" applyFont="1"/>
    <xf numFmtId="0" fontId="125" fillId="0" borderId="1" xfId="25" applyFont="1" applyBorder="1" applyAlignment="1">
      <alignment horizontal="center" vertical="center" wrapText="1"/>
    </xf>
    <xf numFmtId="0" fontId="125" fillId="0" borderId="1" xfId="25" applyFont="1" applyBorder="1" applyAlignment="1">
      <alignment vertical="center" wrapText="1"/>
    </xf>
    <xf numFmtId="0" fontId="125" fillId="0" borderId="1" xfId="25" applyFont="1" applyBorder="1" applyAlignment="1">
      <alignment horizontal="center" vertical="center"/>
    </xf>
    <xf numFmtId="4" fontId="125" fillId="0" borderId="1" xfId="25" applyNumberFormat="1" applyFont="1" applyBorder="1" applyAlignment="1">
      <alignment horizontal="center" vertical="center" wrapText="1"/>
    </xf>
    <xf numFmtId="4" fontId="125" fillId="0" borderId="1" xfId="25" applyNumberFormat="1" applyFont="1" applyBorder="1" applyAlignment="1">
      <alignment horizontal="center" vertical="center"/>
    </xf>
    <xf numFmtId="0" fontId="140" fillId="0" borderId="1" xfId="25" applyFont="1" applyBorder="1" applyAlignment="1">
      <alignment vertical="center" wrapText="1"/>
    </xf>
    <xf numFmtId="0" fontId="140" fillId="0" borderId="1" xfId="25" applyFont="1" applyBorder="1" applyAlignment="1">
      <alignment horizontal="center" vertical="center" wrapText="1"/>
    </xf>
    <xf numFmtId="4" fontId="140" fillId="0" borderId="1" xfId="25" applyNumberFormat="1" applyFont="1" applyBorder="1" applyAlignment="1">
      <alignment horizontal="center" vertical="center" wrapText="1"/>
    </xf>
    <xf numFmtId="0" fontId="140" fillId="0" borderId="0" xfId="25" applyFont="1"/>
    <xf numFmtId="0" fontId="50" fillId="0" borderId="0" xfId="25" applyFont="1"/>
    <xf numFmtId="0" fontId="50" fillId="0" borderId="1" xfId="25" applyFont="1" applyBorder="1" applyAlignment="1">
      <alignment horizontal="center" vertical="center" wrapText="1"/>
    </xf>
    <xf numFmtId="0" fontId="50" fillId="0" borderId="1" xfId="25" applyFont="1" applyBorder="1" applyAlignment="1">
      <alignment vertical="center" wrapText="1"/>
    </xf>
    <xf numFmtId="4" fontId="50" fillId="0" borderId="1" xfId="25" applyNumberFormat="1" applyFont="1" applyBorder="1" applyAlignment="1">
      <alignment horizontal="center" vertical="center" wrapText="1"/>
    </xf>
    <xf numFmtId="0" fontId="50" fillId="2" borderId="1" xfId="25" applyFont="1" applyFill="1" applyBorder="1" applyAlignment="1">
      <alignment vertical="center" wrapText="1"/>
    </xf>
    <xf numFmtId="0" fontId="63" fillId="0" borderId="1" xfId="25" applyFont="1" applyBorder="1" applyAlignment="1">
      <alignment vertical="center" wrapText="1"/>
    </xf>
    <xf numFmtId="4" fontId="63" fillId="0" borderId="1" xfId="25" applyNumberFormat="1" applyFont="1" applyBorder="1" applyAlignment="1">
      <alignment horizontal="center" vertical="center" wrapText="1"/>
    </xf>
    <xf numFmtId="0" fontId="63" fillId="0" borderId="0" xfId="25" applyFont="1"/>
    <xf numFmtId="0" fontId="63" fillId="0" borderId="1" xfId="25" applyFont="1" applyBorder="1" applyAlignment="1">
      <alignment horizontal="center" vertical="center" wrapText="1"/>
    </xf>
    <xf numFmtId="0" fontId="11" fillId="0" borderId="1" xfId="25" applyFont="1" applyBorder="1" applyAlignment="1">
      <alignment horizontal="center" vertical="center" wrapText="1"/>
    </xf>
    <xf numFmtId="0" fontId="11" fillId="0" borderId="1" xfId="25" applyFont="1" applyBorder="1" applyAlignment="1">
      <alignment vertical="center" wrapText="1"/>
    </xf>
    <xf numFmtId="0" fontId="51" fillId="2" borderId="0" xfId="25" applyFont="1" applyFill="1"/>
    <xf numFmtId="0" fontId="51" fillId="2" borderId="1" xfId="25" applyFont="1" applyFill="1" applyBorder="1" applyAlignment="1">
      <alignment horizontal="center" vertical="center" wrapText="1"/>
    </xf>
    <xf numFmtId="0" fontId="51" fillId="2" borderId="1" xfId="25" applyFont="1" applyFill="1" applyBorder="1" applyAlignment="1">
      <alignment vertical="center" wrapText="1"/>
    </xf>
    <xf numFmtId="4" fontId="51" fillId="2" borderId="1" xfId="25" applyNumberFormat="1" applyFont="1" applyFill="1" applyBorder="1" applyAlignment="1">
      <alignment horizontal="center" vertical="center" wrapText="1"/>
    </xf>
    <xf numFmtId="0" fontId="48" fillId="2" borderId="1" xfId="25" applyFont="1" applyFill="1" applyBorder="1" applyAlignment="1">
      <alignment vertical="center" wrapText="1"/>
    </xf>
    <xf numFmtId="0" fontId="48" fillId="2" borderId="1" xfId="25" applyFont="1" applyFill="1" applyBorder="1" applyAlignment="1">
      <alignment horizontal="center" vertical="center" wrapText="1"/>
    </xf>
    <xf numFmtId="4" fontId="48" fillId="2" borderId="1" xfId="25" applyNumberFormat="1" applyFont="1" applyFill="1" applyBorder="1" applyAlignment="1">
      <alignment horizontal="center" vertical="center" wrapText="1"/>
    </xf>
    <xf numFmtId="0" fontId="48" fillId="2" borderId="0" xfId="25" applyFont="1" applyFill="1"/>
    <xf numFmtId="0" fontId="63" fillId="2" borderId="1" xfId="25" applyFont="1" applyFill="1" applyBorder="1" applyAlignment="1">
      <alignment vertical="center" wrapText="1"/>
    </xf>
    <xf numFmtId="0" fontId="11" fillId="2" borderId="1" xfId="25" applyFont="1" applyFill="1" applyBorder="1" applyAlignment="1">
      <alignment horizontal="center" vertical="center" wrapText="1"/>
    </xf>
    <xf numFmtId="4" fontId="11" fillId="2" borderId="1" xfId="25" applyNumberFormat="1" applyFont="1" applyFill="1" applyBorder="1" applyAlignment="1">
      <alignment horizontal="center" vertical="center" wrapText="1"/>
    </xf>
    <xf numFmtId="4" fontId="51" fillId="2" borderId="1" xfId="25" applyNumberFormat="1" applyFont="1" applyFill="1" applyBorder="1" applyAlignment="1">
      <alignment vertical="center" wrapText="1"/>
    </xf>
    <xf numFmtId="4" fontId="75" fillId="0" borderId="0" xfId="25" applyNumberFormat="1"/>
    <xf numFmtId="0" fontId="46" fillId="0" borderId="0" xfId="25" applyFont="1"/>
    <xf numFmtId="0" fontId="46" fillId="2" borderId="0" xfId="25" applyFont="1" applyFill="1"/>
    <xf numFmtId="0" fontId="46" fillId="0" borderId="1" xfId="25" applyFont="1" applyBorder="1" applyAlignment="1">
      <alignment horizontal="center" vertical="center" wrapText="1"/>
    </xf>
    <xf numFmtId="0" fontId="46" fillId="0" borderId="1" xfId="25" applyFont="1" applyBorder="1" applyAlignment="1">
      <alignment vertical="center" wrapText="1"/>
    </xf>
    <xf numFmtId="4" fontId="46" fillId="2" borderId="1" xfId="25" applyNumberFormat="1" applyFont="1" applyFill="1" applyBorder="1" applyAlignment="1">
      <alignment horizontal="center" vertical="center" wrapText="1"/>
    </xf>
    <xf numFmtId="4" fontId="46" fillId="0" borderId="1" xfId="25" applyNumberFormat="1" applyFont="1" applyBorder="1" applyAlignment="1">
      <alignment horizontal="center" vertical="center" wrapText="1"/>
    </xf>
    <xf numFmtId="4" fontId="46" fillId="0" borderId="1" xfId="25" applyNumberFormat="1" applyFont="1" applyBorder="1" applyAlignment="1">
      <alignment horizontal="center" vertical="center"/>
    </xf>
    <xf numFmtId="0" fontId="46" fillId="2" borderId="1" xfId="25" applyFont="1" applyFill="1" applyBorder="1" applyAlignment="1">
      <alignment vertical="center" wrapText="1"/>
    </xf>
    <xf numFmtId="0" fontId="47" fillId="0" borderId="1" xfId="25" applyFont="1" applyBorder="1" applyAlignment="1">
      <alignment vertical="center" wrapText="1"/>
    </xf>
    <xf numFmtId="4" fontId="47" fillId="0" borderId="1" xfId="25" applyNumberFormat="1" applyFont="1" applyBorder="1" applyAlignment="1">
      <alignment horizontal="center" vertical="center" wrapText="1"/>
    </xf>
    <xf numFmtId="0" fontId="47" fillId="0" borderId="0" xfId="25" applyFont="1"/>
    <xf numFmtId="0" fontId="47" fillId="0" borderId="1" xfId="25" applyFont="1" applyBorder="1" applyAlignment="1">
      <alignment horizontal="center" vertical="center" wrapText="1"/>
    </xf>
    <xf numFmtId="0" fontId="125" fillId="22" borderId="1" xfId="25" applyFont="1" applyFill="1" applyBorder="1" applyAlignment="1">
      <alignment vertical="center" wrapText="1"/>
    </xf>
    <xf numFmtId="0" fontId="125" fillId="22" borderId="1" xfId="25" applyFont="1" applyFill="1" applyBorder="1" applyAlignment="1">
      <alignment horizontal="center" vertical="center" wrapText="1"/>
    </xf>
    <xf numFmtId="4" fontId="125" fillId="22" borderId="1" xfId="25" applyNumberFormat="1" applyFont="1" applyFill="1" applyBorder="1" applyAlignment="1">
      <alignment horizontal="center" vertical="center" wrapText="1"/>
    </xf>
    <xf numFmtId="0" fontId="125" fillId="22" borderId="0" xfId="25" applyFont="1" applyFill="1"/>
    <xf numFmtId="0" fontId="46" fillId="22" borderId="1" xfId="25" applyFont="1" applyFill="1" applyBorder="1" applyAlignment="1">
      <alignment vertical="center" wrapText="1"/>
    </xf>
    <xf numFmtId="0" fontId="46" fillId="22" borderId="1" xfId="25" applyFont="1" applyFill="1" applyBorder="1" applyAlignment="1">
      <alignment horizontal="center" vertical="center" wrapText="1"/>
    </xf>
    <xf numFmtId="4" fontId="46" fillId="22" borderId="1" xfId="25" applyNumberFormat="1" applyFont="1" applyFill="1" applyBorder="1" applyAlignment="1">
      <alignment horizontal="center" vertical="center" wrapText="1"/>
    </xf>
    <xf numFmtId="0" fontId="46" fillId="22" borderId="0" xfId="25" applyFont="1" applyFill="1"/>
    <xf numFmtId="0" fontId="13" fillId="22" borderId="1" xfId="25" applyFont="1" applyFill="1" applyBorder="1" applyAlignment="1">
      <alignment vertical="center" wrapText="1"/>
    </xf>
    <xf numFmtId="0" fontId="13" fillId="22" borderId="1" xfId="25" applyFont="1" applyFill="1" applyBorder="1" applyAlignment="1">
      <alignment horizontal="center" vertical="center" wrapText="1"/>
    </xf>
    <xf numFmtId="0" fontId="75" fillId="22" borderId="0" xfId="25" applyFill="1"/>
    <xf numFmtId="4" fontId="13" fillId="0" borderId="1" xfId="25" applyNumberFormat="1" applyFont="1" applyBorder="1" applyAlignment="1">
      <alignment horizontal="center" vertical="center" wrapText="1"/>
    </xf>
    <xf numFmtId="4" fontId="13" fillId="22" borderId="1" xfId="25" applyNumberFormat="1"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165" fontId="20" fillId="11" borderId="1" xfId="26" applyNumberFormat="1" applyFont="1" applyFill="1" applyBorder="1" applyAlignment="1">
      <alignment horizontal="center" vertical="center" wrapText="1"/>
    </xf>
    <xf numFmtId="165" fontId="19" fillId="0" borderId="1" xfId="26" applyNumberFormat="1" applyFont="1" applyFill="1" applyBorder="1" applyAlignment="1">
      <alignment horizontal="right" vertical="center"/>
    </xf>
    <xf numFmtId="14" fontId="42" fillId="2" borderId="0" xfId="29" applyNumberFormat="1" applyFont="1" applyFill="1"/>
    <xf numFmtId="0" fontId="75" fillId="0" borderId="1" xfId="25" applyBorder="1"/>
    <xf numFmtId="0" fontId="75" fillId="0" borderId="1" xfId="25" applyBorder="1" applyAlignment="1">
      <alignment horizontal="center"/>
    </xf>
    <xf numFmtId="0" fontId="75" fillId="0" borderId="1" xfId="25" applyBorder="1" applyAlignment="1">
      <alignment wrapText="1"/>
    </xf>
    <xf numFmtId="4" fontId="75" fillId="0" borderId="1" xfId="25" applyNumberFormat="1" applyBorder="1"/>
    <xf numFmtId="0" fontId="75" fillId="22" borderId="1" xfId="25" applyFill="1" applyBorder="1"/>
    <xf numFmtId="4" fontId="11" fillId="22" borderId="1" xfId="25" applyNumberFormat="1" applyFont="1" applyFill="1" applyBorder="1" applyAlignment="1">
      <alignment horizontal="center" vertical="center" wrapText="1"/>
    </xf>
    <xf numFmtId="4" fontId="46" fillId="2" borderId="1" xfId="25" applyNumberFormat="1" applyFont="1" applyFill="1" applyBorder="1" applyAlignment="1">
      <alignment horizontal="center" vertical="center"/>
    </xf>
    <xf numFmtId="0" fontId="42" fillId="2" borderId="0" xfId="51" applyFont="1" applyFill="1" applyAlignment="1">
      <alignment vertical="center"/>
    </xf>
    <xf numFmtId="0" fontId="42" fillId="2" borderId="0" xfId="51" applyFont="1" applyFill="1" applyAlignment="1">
      <alignment horizontal="center" vertical="center"/>
    </xf>
    <xf numFmtId="0" fontId="42" fillId="2" borderId="0" xfId="51" applyFont="1" applyFill="1" applyBorder="1" applyAlignment="1">
      <alignment vertical="center"/>
    </xf>
    <xf numFmtId="0" fontId="42" fillId="2" borderId="10" xfId="51" applyFont="1" applyFill="1" applyBorder="1" applyAlignment="1">
      <alignment vertical="center"/>
    </xf>
    <xf numFmtId="0" fontId="42" fillId="2" borderId="0" xfId="51" applyFont="1" applyFill="1" applyAlignment="1">
      <alignment horizontal="left" vertical="center"/>
    </xf>
    <xf numFmtId="0" fontId="42" fillId="2" borderId="0" xfId="51" applyFont="1" applyFill="1" applyBorder="1" applyAlignment="1">
      <alignment horizontal="center" vertical="center"/>
    </xf>
    <xf numFmtId="0" fontId="42" fillId="2" borderId="0" xfId="51" applyFont="1" applyFill="1" applyBorder="1" applyAlignment="1">
      <alignment horizontal="left" vertical="center"/>
    </xf>
    <xf numFmtId="0" fontId="89" fillId="2" borderId="0" xfId="51" applyFont="1" applyFill="1" applyBorder="1" applyAlignment="1">
      <alignment horizontal="center" vertical="center"/>
    </xf>
    <xf numFmtId="0" fontId="123" fillId="2" borderId="0" xfId="51" applyFont="1" applyFill="1" applyAlignment="1">
      <alignment vertical="center"/>
    </xf>
    <xf numFmtId="0" fontId="57" fillId="2" borderId="0" xfId="51" applyFont="1" applyFill="1" applyBorder="1" applyAlignment="1">
      <alignment horizontal="center" vertical="center"/>
    </xf>
    <xf numFmtId="0" fontId="42" fillId="2" borderId="9" xfId="51" applyFont="1" applyFill="1" applyBorder="1" applyAlignment="1">
      <alignment horizontal="center" vertical="center"/>
    </xf>
    <xf numFmtId="0" fontId="42" fillId="2" borderId="53" xfId="51" applyFont="1" applyFill="1" applyBorder="1" applyAlignment="1">
      <alignment vertical="center"/>
    </xf>
    <xf numFmtId="0" fontId="42" fillId="2" borderId="51" xfId="51" applyFont="1" applyFill="1" applyBorder="1" applyAlignment="1">
      <alignment vertical="center"/>
    </xf>
    <xf numFmtId="0" fontId="42" fillId="2" borderId="0" xfId="51" applyFont="1" applyFill="1" applyAlignment="1">
      <alignment horizontal="right" vertical="center"/>
    </xf>
    <xf numFmtId="0" fontId="42" fillId="2" borderId="0" xfId="51" applyFont="1" applyFill="1" applyBorder="1" applyAlignment="1">
      <alignment horizontal="right" vertical="center"/>
    </xf>
    <xf numFmtId="0" fontId="42" fillId="2" borderId="54" xfId="51" applyFont="1" applyFill="1" applyBorder="1" applyAlignment="1">
      <alignment horizontal="center" vertical="center"/>
    </xf>
    <xf numFmtId="0" fontId="42" fillId="2" borderId="1" xfId="51" applyFont="1" applyFill="1" applyBorder="1" applyAlignment="1">
      <alignment horizontal="center" vertical="center" wrapText="1"/>
    </xf>
    <xf numFmtId="0" fontId="42" fillId="2" borderId="27" xfId="51" applyFont="1" applyFill="1" applyBorder="1" applyAlignment="1">
      <alignment horizontal="center" vertical="center" wrapText="1"/>
    </xf>
    <xf numFmtId="0" fontId="42" fillId="2" borderId="1" xfId="51" applyFont="1" applyFill="1" applyBorder="1" applyAlignment="1">
      <alignment horizontal="center" vertical="center"/>
    </xf>
    <xf numFmtId="0" fontId="42" fillId="2" borderId="1" xfId="31" applyFont="1" applyFill="1" applyBorder="1" applyAlignment="1">
      <alignment vertical="center" wrapText="1"/>
    </xf>
    <xf numFmtId="174" fontId="42" fillId="2" borderId="1" xfId="27" applyFont="1" applyFill="1" applyBorder="1" applyAlignment="1">
      <alignment vertical="center" wrapText="1"/>
    </xf>
    <xf numFmtId="174" fontId="42" fillId="2" borderId="1" xfId="27" applyFont="1" applyFill="1" applyBorder="1" applyAlignment="1">
      <alignment vertical="center"/>
    </xf>
    <xf numFmtId="174" fontId="42" fillId="2" borderId="1" xfId="27" applyFont="1" applyFill="1" applyBorder="1" applyAlignment="1">
      <alignment horizontal="center" vertical="center"/>
    </xf>
    <xf numFmtId="0" fontId="146" fillId="2" borderId="0" xfId="31" applyFont="1" applyFill="1"/>
    <xf numFmtId="0" fontId="57" fillId="12" borderId="1" xfId="31" applyFont="1" applyFill="1" applyBorder="1" applyAlignment="1">
      <alignment vertical="center" wrapText="1"/>
    </xf>
    <xf numFmtId="0" fontId="57" fillId="12" borderId="1" xfId="51" applyFont="1" applyFill="1" applyBorder="1" applyAlignment="1">
      <alignment horizontal="center" vertical="center" wrapText="1"/>
    </xf>
    <xf numFmtId="174" fontId="57" fillId="12" borderId="1" xfId="27" applyFont="1" applyFill="1" applyBorder="1" applyAlignment="1">
      <alignment vertical="center" wrapText="1"/>
    </xf>
    <xf numFmtId="174" fontId="57" fillId="12" borderId="1" xfId="27" applyFont="1" applyFill="1" applyBorder="1" applyAlignment="1">
      <alignment horizontal="center" vertical="center"/>
    </xf>
    <xf numFmtId="0" fontId="57" fillId="12" borderId="0" xfId="51" applyFont="1" applyFill="1" applyAlignment="1">
      <alignment vertical="center"/>
    </xf>
    <xf numFmtId="0" fontId="57" fillId="21" borderId="1" xfId="31" applyFont="1" applyFill="1" applyBorder="1" applyAlignment="1">
      <alignment vertical="center" wrapText="1"/>
    </xf>
    <xf numFmtId="0" fontId="57" fillId="21" borderId="1" xfId="51" applyFont="1" applyFill="1" applyBorder="1" applyAlignment="1">
      <alignment horizontal="center" vertical="center" wrapText="1"/>
    </xf>
    <xf numFmtId="174" fontId="57" fillId="21" borderId="1" xfId="27" applyFont="1" applyFill="1" applyBorder="1" applyAlignment="1">
      <alignment horizontal="center" vertical="center"/>
    </xf>
    <xf numFmtId="0" fontId="57" fillId="21" borderId="0" xfId="51" applyFont="1" applyFill="1" applyBorder="1" applyAlignment="1">
      <alignment vertical="center"/>
    </xf>
    <xf numFmtId="0" fontId="57" fillId="21" borderId="0" xfId="51" applyFont="1" applyFill="1" applyAlignment="1">
      <alignment vertical="center"/>
    </xf>
    <xf numFmtId="4" fontId="57" fillId="2" borderId="0" xfId="51" applyNumberFormat="1" applyFont="1" applyFill="1" applyBorder="1" applyAlignment="1">
      <alignment vertical="center"/>
    </xf>
    <xf numFmtId="0" fontId="57" fillId="2" borderId="0" xfId="51" applyFont="1" applyFill="1" applyBorder="1" applyAlignment="1">
      <alignment vertical="center"/>
    </xf>
    <xf numFmtId="0" fontId="57" fillId="2" borderId="0" xfId="51" applyFont="1" applyFill="1" applyAlignment="1">
      <alignment vertical="center"/>
    </xf>
    <xf numFmtId="49" fontId="42" fillId="2" borderId="1" xfId="51" applyNumberFormat="1" applyFont="1" applyFill="1" applyBorder="1" applyAlignment="1">
      <alignment horizontal="center" vertical="center"/>
    </xf>
    <xf numFmtId="0" fontId="57" fillId="21" borderId="1" xfId="51" applyFont="1" applyFill="1" applyBorder="1" applyAlignment="1">
      <alignment horizontal="center" vertical="center"/>
    </xf>
    <xf numFmtId="49" fontId="57" fillId="21" borderId="1" xfId="51" applyNumberFormat="1" applyFont="1" applyFill="1" applyBorder="1" applyAlignment="1">
      <alignment horizontal="center" vertical="center"/>
    </xf>
    <xf numFmtId="174" fontId="57" fillId="21" borderId="1" xfId="27" applyFont="1" applyFill="1" applyBorder="1" applyAlignment="1">
      <alignment vertical="center"/>
    </xf>
    <xf numFmtId="4" fontId="57" fillId="21" borderId="0" xfId="51" applyNumberFormat="1" applyFont="1" applyFill="1" applyBorder="1" applyAlignment="1">
      <alignment vertical="center"/>
    </xf>
    <xf numFmtId="0" fontId="147" fillId="21" borderId="0" xfId="51" applyFont="1" applyFill="1" applyBorder="1" applyAlignment="1">
      <alignment vertical="center"/>
    </xf>
    <xf numFmtId="0" fontId="147" fillId="21" borderId="0" xfId="51" applyFont="1" applyFill="1" applyAlignment="1">
      <alignment vertical="center"/>
    </xf>
    <xf numFmtId="49" fontId="57" fillId="2" borderId="1" xfId="51" applyNumberFormat="1" applyFont="1" applyFill="1" applyBorder="1" applyAlignment="1">
      <alignment horizontal="center" vertical="center"/>
    </xf>
    <xf numFmtId="0" fontId="147" fillId="2" borderId="0" xfId="51" applyFont="1" applyFill="1" applyBorder="1" applyAlignment="1">
      <alignment vertical="center"/>
    </xf>
    <xf numFmtId="0" fontId="147" fillId="2" borderId="0" xfId="51" applyFont="1" applyFill="1" applyAlignment="1">
      <alignment vertical="center"/>
    </xf>
    <xf numFmtId="43" fontId="42" fillId="2" borderId="1" xfId="52" applyFont="1" applyFill="1" applyBorder="1" applyAlignment="1">
      <alignment vertical="center"/>
    </xf>
    <xf numFmtId="0" fontId="84" fillId="2" borderId="26" xfId="31" applyFont="1" applyFill="1" applyBorder="1" applyAlignment="1">
      <alignment vertical="center"/>
    </xf>
    <xf numFmtId="0" fontId="84" fillId="2" borderId="0" xfId="31" applyFont="1" applyFill="1" applyAlignment="1">
      <alignment vertical="center"/>
    </xf>
    <xf numFmtId="4" fontId="42" fillId="2" borderId="0" xfId="51" applyNumberFormat="1" applyFont="1" applyFill="1" applyBorder="1" applyAlignment="1">
      <alignment vertical="center"/>
    </xf>
    <xf numFmtId="43" fontId="57" fillId="21" borderId="1" xfId="52" applyFont="1" applyFill="1" applyBorder="1" applyAlignment="1">
      <alignment vertical="center"/>
    </xf>
    <xf numFmtId="43" fontId="57" fillId="21" borderId="0" xfId="51" applyNumberFormat="1" applyFont="1" applyFill="1" applyBorder="1" applyAlignment="1">
      <alignment vertical="center"/>
    </xf>
    <xf numFmtId="0" fontId="42" fillId="2" borderId="1" xfId="31" applyFont="1" applyFill="1" applyBorder="1" applyAlignment="1">
      <alignment horizontal="left" vertical="center" wrapText="1" indent="1"/>
    </xf>
    <xf numFmtId="43" fontId="57" fillId="2" borderId="1" xfId="52" applyFont="1" applyFill="1" applyBorder="1" applyAlignment="1">
      <alignment vertical="center"/>
    </xf>
    <xf numFmtId="43" fontId="57" fillId="21" borderId="1" xfId="52" applyFont="1" applyFill="1" applyBorder="1" applyAlignment="1">
      <alignment horizontal="right" vertical="center"/>
    </xf>
    <xf numFmtId="174" fontId="57" fillId="2" borderId="1" xfId="27" applyFont="1" applyFill="1" applyBorder="1" applyAlignment="1">
      <alignment vertical="center"/>
    </xf>
    <xf numFmtId="0" fontId="57" fillId="12" borderId="1" xfId="51" applyFont="1" applyFill="1" applyBorder="1" applyAlignment="1">
      <alignment horizontal="center" vertical="center"/>
    </xf>
    <xf numFmtId="174" fontId="57" fillId="12" borderId="1" xfId="27" applyFont="1" applyFill="1" applyBorder="1" applyAlignment="1">
      <alignment vertical="center"/>
    </xf>
    <xf numFmtId="0" fontId="57" fillId="12" borderId="0" xfId="51" applyFont="1" applyFill="1" applyBorder="1" applyAlignment="1">
      <alignment vertical="center"/>
    </xf>
    <xf numFmtId="4" fontId="57" fillId="12" borderId="0" xfId="51" applyNumberFormat="1" applyFont="1" applyFill="1" applyBorder="1" applyAlignment="1">
      <alignment vertical="center"/>
    </xf>
    <xf numFmtId="0" fontId="42" fillId="2" borderId="1" xfId="31" applyFont="1" applyFill="1" applyBorder="1" applyAlignment="1">
      <alignment vertical="top" wrapText="1"/>
    </xf>
    <xf numFmtId="0" fontId="42" fillId="2" borderId="0" xfId="31" applyFont="1" applyFill="1" applyBorder="1" applyAlignment="1">
      <alignment horizontal="left" vertical="center" wrapText="1"/>
    </xf>
    <xf numFmtId="4" fontId="57" fillId="2" borderId="0" xfId="51" applyNumberFormat="1" applyFont="1" applyFill="1" applyBorder="1" applyAlignment="1">
      <alignment horizontal="right" vertical="center"/>
    </xf>
    <xf numFmtId="4" fontId="42" fillId="2" borderId="0" xfId="51" applyNumberFormat="1" applyFont="1" applyFill="1" applyAlignment="1">
      <alignment horizontal="left" vertical="center"/>
    </xf>
    <xf numFmtId="0" fontId="42" fillId="2" borderId="0" xfId="51" applyFont="1" applyFill="1" applyAlignment="1">
      <alignment horizontal="left" vertical="center" wrapText="1"/>
    </xf>
    <xf numFmtId="0" fontId="42" fillId="2" borderId="0" xfId="51" applyFont="1" applyFill="1" applyAlignment="1">
      <alignment horizontal="center" vertical="center" wrapText="1"/>
    </xf>
    <xf numFmtId="0" fontId="20" fillId="21" borderId="1" xfId="31" applyFont="1" applyFill="1" applyBorder="1" applyAlignment="1">
      <alignment vertical="center" wrapText="1"/>
    </xf>
    <xf numFmtId="0" fontId="20" fillId="21" borderId="1" xfId="51" applyFont="1" applyFill="1" applyBorder="1" applyAlignment="1">
      <alignment horizontal="center" vertical="center"/>
    </xf>
    <xf numFmtId="0" fontId="20" fillId="21" borderId="1" xfId="51" applyFont="1" applyFill="1" applyBorder="1" applyAlignment="1">
      <alignment horizontal="center" vertical="center" wrapText="1"/>
    </xf>
    <xf numFmtId="0" fontId="20" fillId="21" borderId="1" xfId="31" applyFont="1" applyFill="1" applyBorder="1" applyAlignment="1">
      <alignment horizontal="center" vertical="center"/>
    </xf>
    <xf numFmtId="0" fontId="19" fillId="21" borderId="1" xfId="31" applyFont="1" applyFill="1" applyBorder="1" applyAlignment="1">
      <alignment horizontal="center" vertical="center"/>
    </xf>
    <xf numFmtId="0" fontId="19" fillId="0" borderId="0" xfId="31" applyFont="1"/>
    <xf numFmtId="0" fontId="19" fillId="2" borderId="1" xfId="51" applyFont="1" applyFill="1" applyBorder="1" applyAlignment="1">
      <alignment horizontal="center" vertical="center"/>
    </xf>
    <xf numFmtId="0" fontId="19" fillId="2" borderId="1" xfId="51" applyFont="1" applyFill="1" applyBorder="1" applyAlignment="1">
      <alignment horizontal="center" vertical="center" wrapText="1"/>
    </xf>
    <xf numFmtId="0" fontId="19" fillId="0" borderId="1" xfId="31" applyFont="1" applyBorder="1" applyAlignment="1">
      <alignment horizontal="center" vertical="center"/>
    </xf>
    <xf numFmtId="0" fontId="19" fillId="0" borderId="1" xfId="31" applyFont="1" applyBorder="1" applyAlignment="1">
      <alignment horizontal="center" vertical="center" wrapText="1"/>
    </xf>
    <xf numFmtId="0" fontId="19" fillId="0" borderId="1" xfId="31" applyFont="1" applyBorder="1"/>
    <xf numFmtId="0" fontId="19" fillId="22" borderId="1" xfId="31" applyFont="1" applyFill="1" applyBorder="1" applyAlignment="1">
      <alignment vertical="center" wrapText="1"/>
    </xf>
    <xf numFmtId="0" fontId="19" fillId="22" borderId="1" xfId="51" applyFont="1" applyFill="1" applyBorder="1" applyAlignment="1">
      <alignment horizontal="center" vertical="center"/>
    </xf>
    <xf numFmtId="0" fontId="19" fillId="22" borderId="1" xfId="51" applyFont="1" applyFill="1" applyBorder="1" applyAlignment="1">
      <alignment horizontal="center" vertical="center" wrapText="1"/>
    </xf>
    <xf numFmtId="0" fontId="19" fillId="22" borderId="1" xfId="31" applyFont="1" applyFill="1" applyBorder="1" applyAlignment="1">
      <alignment horizontal="center" vertical="center"/>
    </xf>
    <xf numFmtId="0" fontId="19" fillId="22" borderId="1" xfId="31" applyFont="1" applyFill="1" applyBorder="1" applyAlignment="1">
      <alignment horizontal="center" vertical="center" wrapText="1"/>
    </xf>
    <xf numFmtId="0" fontId="19" fillId="22" borderId="1" xfId="31" applyFont="1" applyFill="1" applyBorder="1"/>
    <xf numFmtId="0" fontId="19" fillId="2" borderId="1" xfId="31" applyFont="1" applyFill="1" applyBorder="1" applyAlignment="1">
      <alignment horizontal="center" vertical="center"/>
    </xf>
    <xf numFmtId="0" fontId="19" fillId="2" borderId="1" xfId="31" applyFont="1" applyFill="1" applyBorder="1" applyAlignment="1">
      <alignment horizontal="center" vertical="center" wrapText="1"/>
    </xf>
    <xf numFmtId="0" fontId="19" fillId="2" borderId="1" xfId="31" applyFont="1" applyFill="1" applyBorder="1"/>
    <xf numFmtId="0" fontId="19" fillId="0" borderId="1" xfId="31" applyFont="1" applyBorder="1" applyAlignment="1">
      <alignment wrapText="1"/>
    </xf>
    <xf numFmtId="0" fontId="19" fillId="0" borderId="1" xfId="31" applyFont="1" applyBorder="1" applyAlignment="1">
      <alignment horizontal="left" vertical="center" wrapText="1"/>
    </xf>
    <xf numFmtId="0" fontId="20" fillId="22" borderId="1" xfId="31" applyFont="1" applyFill="1" applyBorder="1" applyAlignment="1">
      <alignment vertical="center" wrapText="1"/>
    </xf>
    <xf numFmtId="0" fontId="20" fillId="22" borderId="1" xfId="51" applyFont="1" applyFill="1" applyBorder="1" applyAlignment="1">
      <alignment horizontal="center" vertical="center"/>
    </xf>
    <xf numFmtId="4" fontId="125" fillId="0" borderId="2" xfId="25" applyNumberFormat="1" applyFont="1" applyBorder="1" applyAlignment="1">
      <alignment horizontal="center" vertical="center" wrapText="1"/>
    </xf>
    <xf numFmtId="0" fontId="125" fillId="0" borderId="1" xfId="25" applyFont="1" applyBorder="1"/>
    <xf numFmtId="0" fontId="46" fillId="2" borderId="0" xfId="25" applyFont="1" applyFill="1" applyAlignment="1">
      <alignment horizontal="center"/>
    </xf>
    <xf numFmtId="0" fontId="46" fillId="2" borderId="1" xfId="25" applyFont="1" applyFill="1" applyBorder="1" applyAlignment="1">
      <alignment horizontal="center"/>
    </xf>
    <xf numFmtId="174" fontId="57" fillId="2" borderId="1" xfId="27" applyFont="1" applyFill="1" applyBorder="1" applyAlignment="1">
      <alignment horizontal="center" vertical="center"/>
    </xf>
    <xf numFmtId="174" fontId="42" fillId="2" borderId="0" xfId="51" applyNumberFormat="1" applyFont="1" applyFill="1" applyAlignment="1">
      <alignment vertical="center"/>
    </xf>
    <xf numFmtId="43" fontId="42" fillId="2" borderId="0" xfId="51" applyNumberFormat="1" applyFont="1" applyFill="1" applyAlignment="1">
      <alignment horizontal="right" vertical="center"/>
    </xf>
    <xf numFmtId="0" fontId="75" fillId="0" borderId="10" xfId="25" applyBorder="1" applyAlignment="1">
      <alignment horizontal="center"/>
    </xf>
    <xf numFmtId="0" fontId="75" fillId="0" borderId="0" xfId="25" applyBorder="1" applyAlignment="1">
      <alignment horizontal="center"/>
    </xf>
    <xf numFmtId="0" fontId="51" fillId="0" borderId="0" xfId="25" applyFont="1" applyBorder="1" applyAlignment="1">
      <alignment horizontal="center" wrapText="1"/>
    </xf>
    <xf numFmtId="0" fontId="51" fillId="0" borderId="1" xfId="25" applyFont="1" applyBorder="1" applyAlignment="1">
      <alignment horizontal="center" vertical="center" wrapText="1"/>
    </xf>
    <xf numFmtId="0" fontId="19" fillId="0" borderId="4" xfId="26" applyFont="1" applyFill="1" applyBorder="1" applyAlignment="1">
      <alignment horizontal="center" vertical="center" wrapText="1"/>
    </xf>
    <xf numFmtId="0" fontId="76" fillId="0" borderId="1" xfId="25" applyFont="1" applyFill="1" applyBorder="1" applyAlignment="1">
      <alignment horizontal="center" vertical="center" wrapText="1"/>
    </xf>
    <xf numFmtId="4" fontId="19" fillId="0" borderId="1" xfId="26" applyNumberFormat="1" applyFont="1" applyFill="1" applyBorder="1" applyAlignment="1">
      <alignment horizontal="center" vertical="center" wrapText="1"/>
    </xf>
    <xf numFmtId="0" fontId="50" fillId="2" borderId="0" xfId="25" applyFont="1" applyFill="1"/>
    <xf numFmtId="0" fontId="42" fillId="2" borderId="1" xfId="25" applyFont="1" applyFill="1" applyBorder="1" applyAlignment="1">
      <alignment horizontal="center" vertical="center" wrapText="1"/>
    </xf>
    <xf numFmtId="0" fontId="50" fillId="2" borderId="1" xfId="25" applyFont="1" applyFill="1" applyBorder="1" applyAlignment="1">
      <alignment horizontal="center" vertical="center" wrapText="1"/>
    </xf>
    <xf numFmtId="0" fontId="50" fillId="2" borderId="1" xfId="25" applyFont="1" applyFill="1" applyBorder="1"/>
    <xf numFmtId="0" fontId="124" fillId="2" borderId="0" xfId="25" applyFont="1" applyFill="1"/>
    <xf numFmtId="4" fontId="50" fillId="2" borderId="1" xfId="25" applyNumberFormat="1" applyFont="1" applyFill="1" applyBorder="1" applyAlignment="1">
      <alignment horizontal="center" vertical="center" wrapText="1"/>
    </xf>
    <xf numFmtId="0" fontId="63" fillId="2" borderId="1" xfId="25" applyFont="1" applyFill="1" applyBorder="1" applyAlignment="1">
      <alignment horizontal="center" vertical="center" wrapText="1"/>
    </xf>
    <xf numFmtId="4" fontId="63" fillId="2" borderId="1" xfId="25" applyNumberFormat="1" applyFont="1" applyFill="1" applyBorder="1" applyAlignment="1">
      <alignment horizontal="center" vertical="center" wrapText="1"/>
    </xf>
    <xf numFmtId="0" fontId="63" fillId="2" borderId="1" xfId="25" applyFont="1" applyFill="1" applyBorder="1"/>
    <xf numFmtId="0" fontId="63" fillId="2" borderId="0" xfId="25" applyFont="1" applyFill="1"/>
    <xf numFmtId="2" fontId="75" fillId="0" borderId="1" xfId="25" applyNumberFormat="1" applyBorder="1" applyAlignment="1">
      <alignment wrapText="1"/>
    </xf>
    <xf numFmtId="14" fontId="75" fillId="0" borderId="10" xfId="25" applyNumberFormat="1" applyBorder="1" applyAlignment="1">
      <alignment horizontal="center"/>
    </xf>
    <xf numFmtId="0" fontId="20" fillId="0" borderId="0" xfId="26" applyFont="1" applyAlignment="1">
      <alignment horizontal="left"/>
    </xf>
    <xf numFmtId="0" fontId="20" fillId="0" borderId="0" xfId="26" applyFont="1" applyAlignment="1"/>
    <xf numFmtId="0" fontId="20" fillId="0" borderId="0" xfId="26" applyFont="1" applyFill="1" applyAlignment="1"/>
    <xf numFmtId="0" fontId="19" fillId="0" borderId="1" xfId="26" applyFont="1" applyBorder="1" applyAlignment="1">
      <alignment horizontal="center"/>
    </xf>
    <xf numFmtId="165" fontId="19" fillId="0" borderId="1" xfId="26" applyNumberFormat="1" applyFont="1" applyFill="1" applyBorder="1" applyAlignment="1">
      <alignment horizontal="center" vertical="center"/>
    </xf>
    <xf numFmtId="0" fontId="20" fillId="0" borderId="1" xfId="26" applyFont="1" applyBorder="1" applyAlignment="1">
      <alignment horizontal="center"/>
    </xf>
    <xf numFmtId="0" fontId="20" fillId="0" borderId="1" xfId="26" applyFont="1" applyBorder="1"/>
    <xf numFmtId="165" fontId="20" fillId="0" borderId="1" xfId="26" applyNumberFormat="1" applyFont="1" applyFill="1" applyBorder="1" applyAlignment="1">
      <alignment horizontal="center"/>
    </xf>
    <xf numFmtId="165" fontId="20" fillId="0" borderId="1" xfId="27" applyNumberFormat="1" applyFont="1" applyFill="1" applyBorder="1" applyAlignment="1">
      <alignment horizontal="center"/>
    </xf>
    <xf numFmtId="165" fontId="41" fillId="15" borderId="1" xfId="29" applyNumberFormat="1" applyFont="1" applyFill="1" applyBorder="1" applyAlignment="1">
      <alignment horizontal="center" vertical="center" wrapText="1"/>
    </xf>
    <xf numFmtId="165" fontId="41" fillId="0" borderId="1" xfId="29" applyNumberFormat="1" applyFont="1" applyBorder="1" applyAlignment="1">
      <alignment horizontal="center" vertical="center" wrapText="1"/>
    </xf>
    <xf numFmtId="0" fontId="51" fillId="0" borderId="0" xfId="25" applyFont="1" applyBorder="1" applyAlignment="1">
      <alignment horizontal="center" wrapText="1"/>
    </xf>
    <xf numFmtId="0" fontId="51" fillId="0" borderId="1" xfId="25" applyFont="1" applyBorder="1" applyAlignment="1">
      <alignment horizontal="center" vertical="center" wrapText="1"/>
    </xf>
    <xf numFmtId="1" fontId="20" fillId="18" borderId="1" xfId="29" applyNumberFormat="1" applyFont="1" applyFill="1" applyBorder="1" applyAlignment="1">
      <alignment horizontal="center" vertical="center" wrapText="1"/>
    </xf>
    <xf numFmtId="2" fontId="20" fillId="18" borderId="1" xfId="29" applyNumberFormat="1" applyFont="1" applyFill="1" applyBorder="1" applyAlignment="1">
      <alignment horizontal="center" vertical="center" wrapText="1"/>
    </xf>
    <xf numFmtId="165" fontId="20" fillId="18" borderId="1" xfId="29" applyNumberFormat="1" applyFont="1" applyFill="1" applyBorder="1" applyAlignment="1">
      <alignment horizontal="center" vertical="center" wrapText="1"/>
    </xf>
    <xf numFmtId="165" fontId="20" fillId="18" borderId="1" xfId="29" applyNumberFormat="1" applyFont="1" applyFill="1" applyBorder="1" applyAlignment="1">
      <alignment horizontal="right" vertical="center" wrapText="1"/>
    </xf>
    <xf numFmtId="167" fontId="20" fillId="5" borderId="1" xfId="62" applyNumberFormat="1" applyFont="1" applyFill="1" applyBorder="1" applyAlignment="1">
      <alignment horizontal="left" vertical="center" wrapText="1"/>
    </xf>
    <xf numFmtId="49" fontId="20" fillId="0" borderId="1" xfId="37" applyNumberFormat="1" applyFont="1" applyFill="1" applyBorder="1" applyAlignment="1">
      <alignment horizontal="center" vertical="top" wrapText="1"/>
    </xf>
    <xf numFmtId="0" fontId="19" fillId="0" borderId="1" xfId="38" applyFont="1" applyFill="1" applyBorder="1" applyAlignment="1">
      <alignment horizontal="left" vertical="top" wrapText="1"/>
    </xf>
    <xf numFmtId="1" fontId="20" fillId="0" borderId="1" xfId="38" applyNumberFormat="1" applyFont="1" applyFill="1" applyBorder="1" applyAlignment="1">
      <alignment horizontal="center" vertical="center" wrapText="1"/>
    </xf>
    <xf numFmtId="2" fontId="20" fillId="0" borderId="1" xfId="38" applyNumberFormat="1" applyFont="1" applyFill="1" applyBorder="1" applyAlignment="1">
      <alignment horizontal="center" vertical="center" wrapText="1"/>
    </xf>
    <xf numFmtId="49" fontId="19" fillId="0" borderId="1" xfId="37" applyNumberFormat="1" applyFont="1" applyFill="1" applyBorder="1" applyAlignment="1">
      <alignment horizontal="center" vertical="top" wrapText="1"/>
    </xf>
    <xf numFmtId="167" fontId="20" fillId="18" borderId="1" xfId="62" applyNumberFormat="1" applyFont="1" applyFill="1" applyBorder="1" applyAlignment="1">
      <alignment horizontal="left" vertical="center" wrapText="1"/>
    </xf>
    <xf numFmtId="1" fontId="20" fillId="18" borderId="1" xfId="37" applyNumberFormat="1" applyFont="1" applyFill="1" applyBorder="1" applyAlignment="1">
      <alignment horizontal="center" vertical="center" wrapText="1"/>
    </xf>
    <xf numFmtId="2" fontId="20" fillId="18" borderId="1" xfId="37" applyNumberFormat="1" applyFont="1" applyFill="1" applyBorder="1" applyAlignment="1">
      <alignment horizontal="center" vertical="center" wrapText="1"/>
    </xf>
    <xf numFmtId="165" fontId="19" fillId="18" borderId="1" xfId="26" applyNumberFormat="1" applyFont="1" applyFill="1" applyBorder="1" applyAlignment="1">
      <alignment horizontal="left" vertical="center" wrapText="1"/>
    </xf>
    <xf numFmtId="4" fontId="20" fillId="0" borderId="0" xfId="29" applyNumberFormat="1" applyFont="1" applyFill="1"/>
    <xf numFmtId="165" fontId="40" fillId="0" borderId="0" xfId="29" applyNumberFormat="1" applyFont="1" applyFill="1"/>
    <xf numFmtId="49" fontId="20" fillId="5" borderId="1" xfId="62" applyNumberFormat="1" applyFont="1" applyFill="1" applyBorder="1" applyAlignment="1">
      <alignment horizontal="center" vertical="center" wrapText="1"/>
    </xf>
    <xf numFmtId="167" fontId="20" fillId="5" borderId="1" xfId="62" applyNumberFormat="1" applyFont="1" applyFill="1" applyBorder="1" applyAlignment="1">
      <alignment horizontal="center" vertical="center" wrapText="1"/>
    </xf>
    <xf numFmtId="1" fontId="20" fillId="5" borderId="1" xfId="62" applyNumberFormat="1" applyFont="1" applyFill="1" applyBorder="1" applyAlignment="1">
      <alignment horizontal="center" vertical="center" wrapText="1"/>
    </xf>
    <xf numFmtId="2" fontId="20" fillId="5" borderId="1" xfId="62" applyNumberFormat="1" applyFont="1" applyFill="1" applyBorder="1" applyAlignment="1">
      <alignment horizontal="center" vertical="center" wrapText="1"/>
    </xf>
    <xf numFmtId="165" fontId="20" fillId="5" borderId="1" xfId="62" applyNumberFormat="1" applyFont="1" applyFill="1" applyBorder="1" applyAlignment="1">
      <alignment horizontal="center" vertical="center" wrapText="1"/>
    </xf>
    <xf numFmtId="0" fontId="20" fillId="0" borderId="1" xfId="38" applyFont="1" applyFill="1" applyBorder="1" applyAlignment="1">
      <alignment horizontal="center" vertical="center" wrapText="1"/>
    </xf>
    <xf numFmtId="0" fontId="19" fillId="0" borderId="1" xfId="38" applyFont="1" applyFill="1" applyBorder="1" applyAlignment="1">
      <alignment horizontal="left" vertical="center" wrapText="1"/>
    </xf>
    <xf numFmtId="166" fontId="20" fillId="18" borderId="1" xfId="62" applyNumberFormat="1" applyFont="1" applyFill="1" applyBorder="1" applyAlignment="1">
      <alignment horizontal="left" vertical="center" wrapText="1"/>
    </xf>
    <xf numFmtId="49" fontId="20" fillId="18" borderId="1" xfId="62" applyNumberFormat="1" applyFont="1" applyFill="1" applyBorder="1" applyAlignment="1">
      <alignment horizontal="center" vertical="center" wrapText="1"/>
    </xf>
    <xf numFmtId="0" fontId="19" fillId="18" borderId="1" xfId="26" applyFont="1" applyFill="1" applyBorder="1" applyAlignment="1">
      <alignment vertical="center" wrapText="1"/>
    </xf>
    <xf numFmtId="165" fontId="20" fillId="18" borderId="1" xfId="26" applyNumberFormat="1" applyFont="1" applyFill="1" applyBorder="1" applyAlignment="1">
      <alignment horizontal="right" vertical="center" wrapText="1"/>
    </xf>
    <xf numFmtId="165" fontId="19" fillId="18" borderId="1" xfId="26" applyNumberFormat="1" applyFont="1" applyFill="1" applyBorder="1" applyAlignment="1">
      <alignment vertical="center" wrapText="1"/>
    </xf>
    <xf numFmtId="165" fontId="19" fillId="5" borderId="1" xfId="26" applyNumberFormat="1" applyFont="1" applyFill="1" applyBorder="1" applyAlignment="1">
      <alignment vertical="center" wrapText="1"/>
    </xf>
    <xf numFmtId="0" fontId="19" fillId="5" borderId="1" xfId="29" applyFont="1" applyFill="1" applyBorder="1" applyAlignment="1">
      <alignment horizontal="center" vertical="center" wrapText="1"/>
    </xf>
    <xf numFmtId="1" fontId="20" fillId="5" borderId="1" xfId="26" applyNumberFormat="1" applyFont="1" applyFill="1" applyBorder="1" applyAlignment="1">
      <alignment horizontal="center" vertical="center" wrapText="1"/>
    </xf>
    <xf numFmtId="2" fontId="20" fillId="5" borderId="1" xfId="26" applyNumberFormat="1" applyFont="1" applyFill="1" applyBorder="1" applyAlignment="1">
      <alignment horizontal="center" vertical="center" wrapText="1"/>
    </xf>
    <xf numFmtId="165" fontId="20" fillId="5" borderId="1" xfId="26" applyNumberFormat="1" applyFont="1" applyFill="1" applyBorder="1" applyAlignment="1">
      <alignment horizontal="center" vertical="center" wrapText="1"/>
    </xf>
    <xf numFmtId="165" fontId="20" fillId="0" borderId="1" xfId="37" applyNumberFormat="1" applyFont="1" applyFill="1" applyBorder="1" applyAlignment="1">
      <alignment horizontal="center" vertical="center" wrapText="1"/>
    </xf>
    <xf numFmtId="165" fontId="19" fillId="0" borderId="1" xfId="35" applyNumberFormat="1" applyFont="1" applyFill="1" applyBorder="1" applyAlignment="1">
      <alignment horizontal="center" vertical="center" wrapText="1"/>
    </xf>
    <xf numFmtId="165" fontId="19" fillId="0" borderId="1" xfId="35" applyNumberFormat="1" applyFont="1" applyFill="1" applyBorder="1" applyAlignment="1">
      <alignment horizontal="left" vertical="center" wrapText="1"/>
    </xf>
    <xf numFmtId="165" fontId="19" fillId="0" borderId="1" xfId="38" applyNumberFormat="1" applyFont="1" applyFill="1" applyBorder="1" applyAlignment="1">
      <alignment horizontal="right" vertical="center" wrapText="1"/>
    </xf>
    <xf numFmtId="165" fontId="20" fillId="5" borderId="1" xfId="35" applyNumberFormat="1" applyFont="1" applyFill="1" applyBorder="1" applyAlignment="1">
      <alignment horizontal="left" vertical="center" wrapText="1"/>
    </xf>
    <xf numFmtId="49" fontId="20" fillId="5" borderId="1" xfId="35" applyNumberFormat="1" applyFont="1" applyFill="1" applyBorder="1" applyAlignment="1">
      <alignment horizontal="center" vertical="center" wrapText="1"/>
    </xf>
    <xf numFmtId="165" fontId="20" fillId="5" borderId="1" xfId="35" applyNumberFormat="1" applyFont="1" applyFill="1" applyBorder="1" applyAlignment="1">
      <alignment horizontal="center" vertical="center" wrapText="1"/>
    </xf>
    <xf numFmtId="165" fontId="20" fillId="0" borderId="1" xfId="35" applyNumberFormat="1" applyFont="1" applyFill="1" applyBorder="1" applyAlignment="1">
      <alignment horizontal="center" vertical="center" wrapText="1"/>
    </xf>
    <xf numFmtId="4" fontId="19" fillId="0" borderId="1" xfId="38" applyNumberFormat="1" applyFont="1" applyFill="1" applyBorder="1" applyAlignment="1">
      <alignment horizontal="right" vertical="center" wrapText="1"/>
    </xf>
    <xf numFmtId="1" fontId="19" fillId="0" borderId="1" xfId="26" applyNumberFormat="1" applyFont="1" applyFill="1" applyBorder="1" applyAlignment="1">
      <alignment horizontal="center" vertical="center"/>
    </xf>
    <xf numFmtId="2" fontId="19" fillId="0" borderId="1" xfId="26" applyNumberFormat="1" applyFont="1" applyFill="1" applyBorder="1" applyAlignment="1">
      <alignment horizontal="center" vertical="center"/>
    </xf>
    <xf numFmtId="165" fontId="20" fillId="0" borderId="1" xfId="35" applyNumberFormat="1" applyFont="1" applyFill="1" applyBorder="1" applyAlignment="1">
      <alignment horizontal="left" vertical="center" wrapText="1"/>
    </xf>
    <xf numFmtId="165" fontId="20" fillId="0" borderId="1" xfId="26" applyNumberFormat="1" applyFont="1" applyFill="1" applyBorder="1" applyAlignment="1">
      <alignment horizontal="left" vertical="center" wrapText="1"/>
    </xf>
    <xf numFmtId="165" fontId="19" fillId="0" borderId="1" xfId="26" applyNumberFormat="1" applyFont="1" applyFill="1" applyBorder="1" applyAlignment="1">
      <alignment horizontal="left" vertical="center" wrapText="1"/>
    </xf>
    <xf numFmtId="49" fontId="20" fillId="11" borderId="1" xfId="37" applyNumberFormat="1" applyFont="1" applyFill="1" applyBorder="1" applyAlignment="1">
      <alignment horizontal="center" vertical="center" wrapText="1"/>
    </xf>
    <xf numFmtId="0" fontId="20" fillId="11" borderId="1" xfId="29" applyFont="1" applyFill="1" applyBorder="1" applyAlignment="1">
      <alignment horizontal="center" vertical="center" wrapText="1"/>
    </xf>
    <xf numFmtId="0" fontId="20" fillId="11" borderId="1" xfId="38" applyFont="1" applyFill="1" applyBorder="1" applyAlignment="1">
      <alignment horizontal="center" vertical="center" wrapText="1"/>
    </xf>
    <xf numFmtId="0" fontId="20" fillId="11" borderId="0" xfId="29" applyFont="1" applyFill="1"/>
    <xf numFmtId="0" fontId="40" fillId="11" borderId="0" xfId="29" applyFont="1" applyFill="1"/>
    <xf numFmtId="0" fontId="20" fillId="2" borderId="1" xfId="29" applyFont="1" applyFill="1" applyBorder="1" applyAlignment="1">
      <alignment horizontal="center" vertical="center" wrapText="1"/>
    </xf>
    <xf numFmtId="0" fontId="20" fillId="2" borderId="1" xfId="38" applyFont="1" applyFill="1" applyBorder="1" applyAlignment="1">
      <alignment horizontal="center" vertical="center" wrapText="1"/>
    </xf>
    <xf numFmtId="178" fontId="20" fillId="11" borderId="1" xfId="37" applyNumberFormat="1" applyFont="1" applyFill="1" applyBorder="1" applyAlignment="1">
      <alignment horizontal="left" vertical="center" wrapText="1"/>
    </xf>
    <xf numFmtId="178" fontId="20" fillId="0" borderId="1" xfId="37" applyNumberFormat="1" applyFont="1" applyFill="1" applyBorder="1" applyAlignment="1">
      <alignment horizontal="left" vertical="center" wrapText="1"/>
    </xf>
    <xf numFmtId="178" fontId="20" fillId="0" borderId="1" xfId="35" applyNumberFormat="1" applyFont="1" applyFill="1" applyBorder="1" applyAlignment="1">
      <alignment horizontal="left" vertical="center" wrapText="1"/>
    </xf>
    <xf numFmtId="178" fontId="19" fillId="0" borderId="1" xfId="35" applyNumberFormat="1" applyFont="1" applyFill="1" applyBorder="1" applyAlignment="1">
      <alignment horizontal="left" vertical="center" wrapText="1"/>
    </xf>
    <xf numFmtId="1" fontId="20" fillId="11" borderId="1" xfId="26" applyNumberFormat="1" applyFont="1" applyFill="1" applyBorder="1" applyAlignment="1">
      <alignment horizontal="center" vertical="center" wrapText="1"/>
    </xf>
    <xf numFmtId="2" fontId="20" fillId="11" borderId="1" xfId="26" applyNumberFormat="1" applyFont="1" applyFill="1" applyBorder="1" applyAlignment="1">
      <alignment horizontal="center" vertical="center" wrapText="1"/>
    </xf>
    <xf numFmtId="178" fontId="19" fillId="0" borderId="1" xfId="37" applyNumberFormat="1" applyFont="1" applyFill="1" applyBorder="1" applyAlignment="1">
      <alignment horizontal="left" vertical="center" wrapText="1"/>
    </xf>
    <xf numFmtId="0" fontId="19" fillId="2" borderId="1" xfId="38" applyFont="1" applyFill="1" applyBorder="1" applyAlignment="1">
      <alignment horizontal="center" vertical="center" wrapText="1"/>
    </xf>
    <xf numFmtId="4" fontId="19" fillId="0" borderId="1" xfId="26" applyNumberFormat="1" applyFont="1" applyFill="1" applyBorder="1" applyAlignment="1">
      <alignment horizontal="right" vertical="center" wrapText="1"/>
    </xf>
    <xf numFmtId="165" fontId="20" fillId="11" borderId="1" xfId="26" applyNumberFormat="1" applyFont="1" applyFill="1" applyBorder="1" applyAlignment="1">
      <alignment horizontal="right" vertical="center" wrapText="1"/>
    </xf>
    <xf numFmtId="0" fontId="19" fillId="11" borderId="1" xfId="29" applyFont="1" applyFill="1" applyBorder="1" applyAlignment="1">
      <alignment horizontal="center" vertical="center" wrapText="1"/>
    </xf>
    <xf numFmtId="165" fontId="20" fillId="11" borderId="1" xfId="38" applyNumberFormat="1" applyFont="1" applyFill="1" applyBorder="1" applyAlignment="1">
      <alignment horizontal="center" vertical="center" wrapText="1"/>
    </xf>
    <xf numFmtId="165" fontId="19" fillId="11" borderId="1" xfId="26" applyNumberFormat="1" applyFont="1" applyFill="1" applyBorder="1" applyAlignment="1">
      <alignment horizontal="right" vertical="center" wrapText="1"/>
    </xf>
    <xf numFmtId="165" fontId="20" fillId="11" borderId="1" xfId="37" applyNumberFormat="1" applyFont="1" applyFill="1" applyBorder="1" applyAlignment="1">
      <alignment horizontal="center" vertical="center" wrapText="1"/>
    </xf>
    <xf numFmtId="0" fontId="19" fillId="11" borderId="0" xfId="29" applyFont="1" applyFill="1"/>
    <xf numFmtId="0" fontId="41" fillId="11" borderId="0" xfId="29" applyFont="1" applyFill="1"/>
    <xf numFmtId="165" fontId="20" fillId="11" borderId="1" xfId="38" applyNumberFormat="1" applyFont="1" applyFill="1" applyBorder="1" applyAlignment="1">
      <alignment horizontal="right" vertical="center" wrapText="1"/>
    </xf>
    <xf numFmtId="178" fontId="20" fillId="5" borderId="1" xfId="37" applyNumberFormat="1" applyFont="1" applyFill="1" applyBorder="1" applyAlignment="1">
      <alignment horizontal="left" vertical="center" wrapText="1"/>
    </xf>
    <xf numFmtId="0" fontId="19" fillId="0" borderId="1" xfId="38" applyFont="1" applyFill="1" applyBorder="1" applyAlignment="1">
      <alignment wrapText="1"/>
    </xf>
    <xf numFmtId="49" fontId="19" fillId="11" borderId="1" xfId="35" applyNumberFormat="1" applyFont="1" applyFill="1" applyBorder="1" applyAlignment="1">
      <alignment horizontal="center" vertical="center" wrapText="1"/>
    </xf>
    <xf numFmtId="165" fontId="19" fillId="11" borderId="1" xfId="26" applyNumberFormat="1" applyFont="1" applyFill="1" applyBorder="1" applyAlignment="1">
      <alignment horizontal="center" vertical="center" wrapText="1"/>
    </xf>
    <xf numFmtId="0" fontId="19" fillId="11" borderId="1" xfId="38" applyFont="1" applyFill="1" applyBorder="1" applyAlignment="1">
      <alignment wrapText="1"/>
    </xf>
    <xf numFmtId="0" fontId="19" fillId="18" borderId="1" xfId="38" applyFont="1" applyFill="1" applyBorder="1" applyAlignment="1">
      <alignment wrapText="1"/>
    </xf>
    <xf numFmtId="165" fontId="20" fillId="0" borderId="1" xfId="26" applyNumberFormat="1" applyFont="1" applyFill="1" applyBorder="1" applyAlignment="1">
      <alignment vertical="center" wrapText="1"/>
    </xf>
    <xf numFmtId="165" fontId="19" fillId="0" borderId="1" xfId="26" applyNumberFormat="1" applyFont="1" applyFill="1" applyBorder="1" applyAlignment="1">
      <alignment vertical="center"/>
    </xf>
    <xf numFmtId="0" fontId="19" fillId="0" borderId="1" xfId="26" applyFont="1" applyFill="1" applyBorder="1" applyAlignment="1">
      <alignment vertical="top" wrapText="1"/>
    </xf>
    <xf numFmtId="0" fontId="19" fillId="0" borderId="1" xfId="38" applyFont="1" applyFill="1" applyBorder="1" applyAlignment="1">
      <alignment vertical="top" wrapText="1"/>
    </xf>
    <xf numFmtId="0" fontId="19" fillId="18" borderId="1" xfId="29" applyFont="1" applyFill="1" applyBorder="1" applyAlignment="1">
      <alignment horizontal="left" vertical="top"/>
    </xf>
    <xf numFmtId="0" fontId="19" fillId="0" borderId="1" xfId="29" applyFont="1" applyFill="1" applyBorder="1" applyAlignment="1">
      <alignment vertical="center" wrapText="1"/>
    </xf>
    <xf numFmtId="165" fontId="20" fillId="18" borderId="1" xfId="35" applyNumberFormat="1" applyFont="1" applyFill="1" applyBorder="1" applyAlignment="1">
      <alignment vertical="center" wrapText="1"/>
    </xf>
    <xf numFmtId="49" fontId="20" fillId="18" borderId="1" xfId="35" applyNumberFormat="1" applyFont="1" applyFill="1" applyBorder="1" applyAlignment="1">
      <alignment horizontal="center" vertical="center" wrapText="1"/>
    </xf>
    <xf numFmtId="4" fontId="20" fillId="0" borderId="1" xfId="38" applyNumberFormat="1" applyFont="1" applyFill="1" applyBorder="1" applyAlignment="1">
      <alignment horizontal="right" vertical="center" wrapText="1"/>
    </xf>
    <xf numFmtId="0" fontId="19" fillId="5" borderId="1" xfId="38" applyFont="1" applyFill="1" applyBorder="1" applyAlignment="1">
      <alignment wrapText="1"/>
    </xf>
    <xf numFmtId="165" fontId="19" fillId="2" borderId="1" xfId="26" applyNumberFormat="1" applyFont="1" applyFill="1" applyBorder="1" applyAlignment="1">
      <alignment horizontal="right" vertical="center" wrapText="1"/>
    </xf>
    <xf numFmtId="0" fontId="19" fillId="5" borderId="1" xfId="38" applyFont="1" applyFill="1" applyBorder="1"/>
    <xf numFmtId="0" fontId="20" fillId="0" borderId="1" xfId="38" applyFont="1" applyFill="1" applyBorder="1"/>
    <xf numFmtId="1" fontId="19" fillId="18" borderId="1" xfId="29" applyNumberFormat="1" applyFont="1" applyFill="1" applyBorder="1" applyAlignment="1">
      <alignment horizontal="center" vertical="center" wrapText="1"/>
    </xf>
    <xf numFmtId="2" fontId="19" fillId="18" borderId="1" xfId="29" applyNumberFormat="1" applyFont="1" applyFill="1" applyBorder="1" applyAlignment="1">
      <alignment horizontal="center" vertical="center" wrapText="1"/>
    </xf>
    <xf numFmtId="165" fontId="19" fillId="18" borderId="1" xfId="29" applyNumberFormat="1" applyFont="1" applyFill="1" applyBorder="1" applyAlignment="1">
      <alignment vertical="center" wrapText="1"/>
    </xf>
    <xf numFmtId="0" fontId="19" fillId="18" borderId="1" xfId="38" applyFont="1" applyFill="1" applyBorder="1" applyAlignment="1">
      <alignment horizontal="left" vertical="top" wrapText="1"/>
    </xf>
    <xf numFmtId="165" fontId="20" fillId="18" borderId="1" xfId="29" applyNumberFormat="1" applyFont="1" applyFill="1" applyBorder="1" applyAlignment="1">
      <alignment vertical="center" wrapText="1"/>
    </xf>
    <xf numFmtId="165" fontId="20" fillId="23" borderId="1" xfId="37" applyNumberFormat="1" applyFont="1" applyFill="1" applyBorder="1" applyAlignment="1">
      <alignment horizontal="left" vertical="center" wrapText="1"/>
    </xf>
    <xf numFmtId="165" fontId="20" fillId="11" borderId="1" xfId="37" applyNumberFormat="1" applyFont="1" applyFill="1" applyBorder="1" applyAlignment="1">
      <alignment horizontal="left" vertical="center" wrapText="1"/>
    </xf>
    <xf numFmtId="1" fontId="20" fillId="11" borderId="1" xfId="38" applyNumberFormat="1" applyFont="1" applyFill="1" applyBorder="1" applyAlignment="1">
      <alignment horizontal="center" vertical="center" wrapText="1"/>
    </xf>
    <xf numFmtId="2" fontId="20" fillId="11" borderId="1" xfId="38" applyNumberFormat="1" applyFont="1" applyFill="1" applyBorder="1" applyAlignment="1">
      <alignment horizontal="center" vertical="center" wrapText="1"/>
    </xf>
    <xf numFmtId="0" fontId="20" fillId="11" borderId="0" xfId="29" applyFont="1" applyFill="1" applyAlignment="1">
      <alignment horizontal="left" vertical="center"/>
    </xf>
    <xf numFmtId="0" fontId="19" fillId="0" borderId="1" xfId="38" applyFont="1" applyFill="1" applyBorder="1"/>
    <xf numFmtId="165" fontId="20" fillId="11" borderId="1" xfId="26" applyNumberFormat="1" applyFont="1" applyFill="1" applyBorder="1" applyAlignment="1">
      <alignment horizontal="left" vertical="center" wrapText="1"/>
    </xf>
    <xf numFmtId="49" fontId="20" fillId="11" borderId="1" xfId="26" applyNumberFormat="1" applyFont="1" applyFill="1" applyBorder="1" applyAlignment="1">
      <alignment horizontal="center" vertical="center" wrapText="1"/>
    </xf>
    <xf numFmtId="1" fontId="19" fillId="0" borderId="0" xfId="29" applyNumberFormat="1" applyFont="1" applyAlignment="1">
      <alignment horizontal="center" vertical="center" wrapText="1"/>
    </xf>
    <xf numFmtId="2" fontId="19" fillId="0" borderId="0" xfId="29" applyNumberFormat="1" applyFont="1" applyAlignment="1">
      <alignment horizontal="center" vertical="center" wrapText="1"/>
    </xf>
    <xf numFmtId="165" fontId="19" fillId="0" borderId="0" xfId="29" applyNumberFormat="1" applyFont="1" applyAlignment="1">
      <alignment horizontal="left" vertical="center"/>
    </xf>
    <xf numFmtId="165" fontId="19" fillId="5" borderId="0" xfId="29" applyNumberFormat="1" applyFont="1" applyFill="1"/>
    <xf numFmtId="165" fontId="41" fillId="0" borderId="1" xfId="29" applyNumberFormat="1" applyFont="1" applyFill="1" applyBorder="1"/>
    <xf numFmtId="165" fontId="41" fillId="0" borderId="1" xfId="29" applyNumberFormat="1" applyFont="1" applyFill="1" applyBorder="1" applyAlignment="1">
      <alignment horizontal="center"/>
    </xf>
    <xf numFmtId="0" fontId="117" fillId="2" borderId="0" xfId="31" applyNumberFormat="1" applyFont="1" applyFill="1" applyBorder="1" applyAlignment="1" applyProtection="1">
      <alignment vertical="center"/>
    </xf>
    <xf numFmtId="0" fontId="117" fillId="2" borderId="0" xfId="31" applyNumberFormat="1" applyFont="1" applyFill="1" applyBorder="1" applyAlignment="1" applyProtection="1">
      <alignment vertical="top"/>
    </xf>
    <xf numFmtId="0" fontId="20" fillId="0" borderId="1" xfId="29" applyFont="1" applyFill="1" applyBorder="1" applyAlignment="1">
      <alignment vertical="center" wrapText="1"/>
    </xf>
    <xf numFmtId="0" fontId="47" fillId="0" borderId="0" xfId="29" applyFont="1" applyFill="1" applyAlignment="1">
      <alignment horizontal="center"/>
    </xf>
    <xf numFmtId="0" fontId="47" fillId="0" borderId="0" xfId="29" applyFont="1" applyAlignment="1">
      <alignment horizontal="center"/>
    </xf>
    <xf numFmtId="14" fontId="51" fillId="0" borderId="0" xfId="29" applyNumberFormat="1" applyFont="1" applyFill="1"/>
    <xf numFmtId="0" fontId="78" fillId="0" borderId="0" xfId="25" applyFont="1" applyFill="1" applyBorder="1" applyAlignment="1">
      <alignment vertical="center" wrapText="1"/>
    </xf>
    <xf numFmtId="0" fontId="78" fillId="0" borderId="0" xfId="25" applyFont="1" applyFill="1" applyBorder="1" applyAlignment="1">
      <alignment vertical="center"/>
    </xf>
    <xf numFmtId="0" fontId="78" fillId="0" borderId="0" xfId="25" applyFont="1" applyFill="1"/>
    <xf numFmtId="0" fontId="159" fillId="0" borderId="0" xfId="25" applyFont="1" applyFill="1" applyBorder="1" applyAlignment="1">
      <alignment vertical="center" wrapText="1"/>
    </xf>
    <xf numFmtId="0" fontId="78" fillId="0" borderId="1" xfId="25" applyFont="1" applyFill="1" applyBorder="1" applyAlignment="1">
      <alignment horizontal="center" vertical="center" textRotation="90" wrapText="1"/>
    </xf>
    <xf numFmtId="0" fontId="78" fillId="0" borderId="1" xfId="25" applyFont="1" applyFill="1" applyBorder="1" applyAlignment="1">
      <alignment vertical="center" wrapText="1"/>
    </xf>
    <xf numFmtId="4" fontId="77" fillId="0" borderId="1" xfId="25" applyNumberFormat="1" applyFont="1" applyFill="1" applyBorder="1" applyAlignment="1">
      <alignment horizontal="center" vertical="center" wrapText="1"/>
    </xf>
    <xf numFmtId="168" fontId="78" fillId="0" borderId="1" xfId="25" applyNumberFormat="1" applyFont="1" applyFill="1" applyBorder="1" applyAlignment="1">
      <alignment horizontal="center" vertical="center" wrapText="1"/>
    </xf>
    <xf numFmtId="4" fontId="159" fillId="0" borderId="1" xfId="25" applyNumberFormat="1" applyFont="1" applyFill="1" applyBorder="1" applyAlignment="1">
      <alignment horizontal="center" vertical="center" wrapText="1"/>
    </xf>
    <xf numFmtId="16" fontId="77" fillId="0" borderId="0" xfId="25" applyNumberFormat="1" applyFont="1" applyFill="1" applyBorder="1" applyAlignment="1">
      <alignment horizontal="center" vertical="center" wrapText="1"/>
    </xf>
    <xf numFmtId="0" fontId="77" fillId="0" borderId="0" xfId="25" applyFont="1" applyFill="1" applyBorder="1" applyAlignment="1">
      <alignment vertical="center" wrapText="1"/>
    </xf>
    <xf numFmtId="0" fontId="77" fillId="0" borderId="0" xfId="25" applyFont="1" applyFill="1" applyBorder="1" applyAlignment="1">
      <alignment horizontal="center" vertical="center" wrapText="1"/>
    </xf>
    <xf numFmtId="4" fontId="78" fillId="0" borderId="0" xfId="25" applyNumberFormat="1" applyFont="1" applyFill="1" applyBorder="1" applyAlignment="1">
      <alignment horizontal="center" vertical="center" wrapText="1"/>
    </xf>
    <xf numFmtId="0" fontId="78" fillId="0" borderId="0" xfId="25" applyFont="1" applyFill="1" applyBorder="1" applyAlignment="1">
      <alignment horizontal="center" vertical="center" wrapText="1"/>
    </xf>
    <xf numFmtId="4" fontId="78" fillId="0" borderId="0" xfId="25" applyNumberFormat="1" applyFont="1" applyFill="1" applyBorder="1" applyAlignment="1">
      <alignment vertical="center" wrapText="1"/>
    </xf>
    <xf numFmtId="14" fontId="78" fillId="0" borderId="0" xfId="25" applyNumberFormat="1" applyFont="1" applyFill="1" applyBorder="1" applyAlignment="1">
      <alignment vertical="center"/>
    </xf>
    <xf numFmtId="168" fontId="78" fillId="24" borderId="1" xfId="25" applyNumberFormat="1" applyFont="1" applyFill="1" applyBorder="1" applyAlignment="1">
      <alignment horizontal="center" vertical="center" wrapText="1"/>
    </xf>
    <xf numFmtId="4" fontId="76" fillId="24" borderId="1" xfId="25" applyNumberFormat="1" applyFont="1" applyFill="1" applyBorder="1" applyAlignment="1">
      <alignment horizontal="center" vertical="center" wrapText="1"/>
    </xf>
    <xf numFmtId="4" fontId="138" fillId="0" borderId="1" xfId="25" applyNumberFormat="1" applyFont="1" applyFill="1" applyBorder="1" applyAlignment="1">
      <alignment horizontal="left" vertical="center" wrapText="1"/>
    </xf>
    <xf numFmtId="0" fontId="79" fillId="0" borderId="1" xfId="25" applyFont="1" applyFill="1" applyBorder="1" applyAlignment="1">
      <alignment horizontal="right" vertical="center" wrapText="1"/>
    </xf>
    <xf numFmtId="179" fontId="162" fillId="0" borderId="0" xfId="25" applyNumberFormat="1" applyFont="1" applyFill="1" applyBorder="1" applyAlignment="1">
      <alignment vertical="center" wrapText="1"/>
    </xf>
    <xf numFmtId="14" fontId="51" fillId="2" borderId="0" xfId="25" applyNumberFormat="1" applyFont="1" applyFill="1" applyBorder="1" applyAlignment="1">
      <alignment horizontal="center"/>
    </xf>
    <xf numFmtId="4" fontId="51" fillId="2" borderId="0" xfId="25" applyNumberFormat="1" applyFont="1" applyFill="1"/>
    <xf numFmtId="4" fontId="11" fillId="2" borderId="1" xfId="25" applyNumberFormat="1" applyFont="1" applyFill="1" applyBorder="1" applyAlignment="1">
      <alignment horizontal="center" vertical="center" wrapText="1"/>
    </xf>
    <xf numFmtId="0" fontId="75" fillId="2" borderId="0" xfId="25" applyFill="1" applyBorder="1" applyAlignment="1">
      <alignment horizontal="center"/>
    </xf>
    <xf numFmtId="0" fontId="15" fillId="2" borderId="1" xfId="25" applyFont="1" applyFill="1" applyBorder="1" applyAlignment="1">
      <alignment horizontal="center" vertical="center" wrapText="1"/>
    </xf>
    <xf numFmtId="0" fontId="19" fillId="0" borderId="1" xfId="29" applyFont="1" applyFill="1" applyBorder="1" applyAlignment="1">
      <alignment horizontal="center" vertical="center" wrapText="1"/>
    </xf>
    <xf numFmtId="4" fontId="75" fillId="2" borderId="0" xfId="25" applyNumberFormat="1" applyFill="1" applyAlignment="1">
      <alignment horizontal="center"/>
    </xf>
    <xf numFmtId="4" fontId="46" fillId="2" borderId="2" xfId="25" applyNumberFormat="1" applyFont="1" applyFill="1" applyBorder="1" applyAlignment="1">
      <alignment horizontal="center" vertical="center" wrapText="1"/>
    </xf>
    <xf numFmtId="4" fontId="46" fillId="0" borderId="0" xfId="25" applyNumberFormat="1" applyFont="1"/>
    <xf numFmtId="0" fontId="42" fillId="2" borderId="0" xfId="51" applyFont="1" applyFill="1" applyAlignment="1">
      <alignment horizontal="center" vertical="center"/>
    </xf>
    <xf numFmtId="0" fontId="42" fillId="2" borderId="0" xfId="51" applyFont="1" applyFill="1" applyBorder="1" applyAlignment="1">
      <alignment horizontal="right" vertical="center"/>
    </xf>
    <xf numFmtId="0" fontId="42" fillId="2" borderId="0" xfId="51" applyFont="1" applyFill="1" applyAlignment="1">
      <alignment horizontal="right" vertical="center"/>
    </xf>
    <xf numFmtId="0" fontId="37" fillId="2" borderId="0" xfId="0" applyFont="1" applyFill="1" applyBorder="1" applyAlignment="1">
      <alignment vertical="center" wrapText="1"/>
    </xf>
    <xf numFmtId="0" fontId="42" fillId="2" borderId="0" xfId="51" applyFont="1" applyFill="1" applyAlignment="1">
      <alignment horizontal="left" vertical="center" wrapText="1"/>
    </xf>
    <xf numFmtId="0" fontId="42" fillId="2" borderId="0" xfId="51" applyFont="1" applyFill="1" applyAlignment="1">
      <alignment horizontal="center" vertical="center" wrapText="1"/>
    </xf>
    <xf numFmtId="0" fontId="42" fillId="2" borderId="0" xfId="51" applyFont="1" applyFill="1" applyAlignment="1">
      <alignment horizontal="left" vertical="center"/>
    </xf>
    <xf numFmtId="4" fontId="42" fillId="2" borderId="0" xfId="51" applyNumberFormat="1" applyFont="1" applyFill="1" applyAlignment="1">
      <alignment horizontal="left" vertical="center"/>
    </xf>
    <xf numFmtId="0" fontId="42" fillId="2" borderId="0" xfId="51" applyFont="1" applyFill="1" applyBorder="1" applyAlignment="1">
      <alignment horizontal="right" vertical="center"/>
    </xf>
    <xf numFmtId="0" fontId="42" fillId="2" borderId="1" xfId="51" applyFont="1" applyFill="1" applyBorder="1" applyAlignment="1">
      <alignment horizontal="center" vertical="center" wrapText="1"/>
    </xf>
    <xf numFmtId="0" fontId="42" fillId="2" borderId="0" xfId="51" applyFont="1" applyFill="1" applyBorder="1" applyAlignment="1">
      <alignment horizontal="center" vertical="center"/>
    </xf>
    <xf numFmtId="0" fontId="50" fillId="2" borderId="1" xfId="25" applyFont="1" applyFill="1" applyBorder="1" applyAlignment="1">
      <alignment horizontal="center" vertical="center" wrapText="1"/>
    </xf>
    <xf numFmtId="0" fontId="37" fillId="2" borderId="0" xfId="0" applyFont="1" applyFill="1" applyBorder="1" applyAlignment="1">
      <alignment horizontal="center" vertical="center" wrapText="1"/>
    </xf>
    <xf numFmtId="0" fontId="25" fillId="2" borderId="0" xfId="71" applyFont="1" applyFill="1" applyAlignment="1">
      <alignment vertical="center" wrapText="1"/>
    </xf>
    <xf numFmtId="0" fontId="25" fillId="2" borderId="1" xfId="71" applyFont="1" applyFill="1" applyBorder="1" applyAlignment="1">
      <alignment horizontal="center" vertical="center" wrapText="1"/>
    </xf>
    <xf numFmtId="0" fontId="25" fillId="2" borderId="1" xfId="16" applyFont="1" applyFill="1" applyBorder="1" applyAlignment="1">
      <alignment vertical="center" wrapText="1"/>
    </xf>
    <xf numFmtId="4" fontId="25" fillId="2" borderId="1" xfId="71" applyNumberFormat="1" applyFont="1" applyFill="1" applyBorder="1" applyAlignment="1">
      <alignment vertical="center" wrapText="1"/>
    </xf>
    <xf numFmtId="4" fontId="25" fillId="2" borderId="1" xfId="71" applyNumberFormat="1" applyFont="1" applyFill="1" applyBorder="1" applyAlignment="1">
      <alignment horizontal="right" vertical="center" wrapText="1"/>
    </xf>
    <xf numFmtId="1" fontId="25" fillId="2" borderId="1" xfId="71" applyNumberFormat="1" applyFont="1" applyFill="1" applyBorder="1" applyAlignment="1">
      <alignment horizontal="center" vertical="center" wrapText="1"/>
    </xf>
    <xf numFmtId="4" fontId="25" fillId="2" borderId="1" xfId="71" applyNumberFormat="1" applyFont="1" applyFill="1" applyBorder="1" applyAlignment="1">
      <alignment horizontal="center" vertical="center" wrapText="1"/>
    </xf>
    <xf numFmtId="165" fontId="25" fillId="2" borderId="0" xfId="71" applyNumberFormat="1" applyFont="1" applyFill="1" applyAlignment="1">
      <alignment vertical="center" wrapText="1"/>
    </xf>
    <xf numFmtId="166" fontId="25" fillId="2" borderId="0" xfId="71" applyNumberFormat="1" applyFont="1" applyFill="1" applyAlignment="1">
      <alignment vertical="center" wrapText="1"/>
    </xf>
    <xf numFmtId="49" fontId="19" fillId="2" borderId="0" xfId="3" applyNumberFormat="1" applyFont="1" applyFill="1" applyAlignment="1">
      <alignment horizontal="right"/>
    </xf>
    <xf numFmtId="165" fontId="19" fillId="0" borderId="18" xfId="3" applyNumberFormat="1" applyFont="1" applyBorder="1"/>
    <xf numFmtId="165" fontId="19" fillId="0" borderId="1" xfId="3" applyNumberFormat="1" applyFont="1" applyBorder="1"/>
    <xf numFmtId="165" fontId="19" fillId="0" borderId="19" xfId="3" applyNumberFormat="1" applyFont="1" applyBorder="1"/>
    <xf numFmtId="165" fontId="20" fillId="0" borderId="36" xfId="3" applyNumberFormat="1" applyFont="1" applyBorder="1"/>
    <xf numFmtId="165" fontId="20" fillId="0" borderId="40" xfId="3" applyNumberFormat="1" applyFont="1" applyBorder="1"/>
    <xf numFmtId="165" fontId="20" fillId="0" borderId="37" xfId="3" applyNumberFormat="1" applyFont="1" applyBorder="1"/>
    <xf numFmtId="165" fontId="19" fillId="0" borderId="73" xfId="3" applyNumberFormat="1" applyFont="1" applyBorder="1"/>
    <xf numFmtId="165" fontId="19" fillId="0" borderId="4" xfId="3" applyNumberFormat="1" applyFont="1" applyBorder="1"/>
    <xf numFmtId="165" fontId="19" fillId="0" borderId="20" xfId="3" applyNumberFormat="1" applyFont="1" applyBorder="1"/>
    <xf numFmtId="165" fontId="20" fillId="0" borderId="18" xfId="3" applyNumberFormat="1" applyFont="1" applyBorder="1"/>
    <xf numFmtId="165" fontId="20" fillId="0" borderId="1" xfId="3" applyNumberFormat="1" applyFont="1" applyBorder="1"/>
    <xf numFmtId="165" fontId="19" fillId="0" borderId="36" xfId="3" applyNumberFormat="1" applyFont="1" applyBorder="1"/>
    <xf numFmtId="165" fontId="19" fillId="0" borderId="40" xfId="3" applyNumberFormat="1" applyFont="1" applyBorder="1"/>
    <xf numFmtId="165" fontId="19" fillId="0" borderId="37" xfId="3" applyNumberFormat="1" applyFont="1" applyBorder="1"/>
    <xf numFmtId="0" fontId="19" fillId="0" borderId="0" xfId="26" applyFont="1" applyAlignment="1">
      <alignment horizontal="right"/>
    </xf>
    <xf numFmtId="0" fontId="19" fillId="0" borderId="1" xfId="26" applyFont="1" applyBorder="1"/>
    <xf numFmtId="0" fontId="19" fillId="0" borderId="1" xfId="26" applyFont="1" applyFill="1" applyBorder="1" applyAlignment="1">
      <alignment horizontal="center"/>
    </xf>
    <xf numFmtId="0" fontId="59" fillId="2" borderId="1" xfId="26" applyFont="1" applyFill="1" applyBorder="1" applyAlignment="1">
      <alignment wrapText="1"/>
    </xf>
    <xf numFmtId="0" fontId="19" fillId="2" borderId="1" xfId="26" applyFont="1" applyFill="1" applyBorder="1" applyAlignment="1">
      <alignment wrapText="1"/>
    </xf>
    <xf numFmtId="165" fontId="19" fillId="0" borderId="1" xfId="26" applyNumberFormat="1" applyFont="1" applyFill="1" applyBorder="1" applyAlignment="1">
      <alignment horizontal="center"/>
    </xf>
    <xf numFmtId="4" fontId="19" fillId="2" borderId="1" xfId="26" applyNumberFormat="1" applyFont="1" applyFill="1" applyBorder="1" applyAlignment="1">
      <alignment horizontal="center"/>
    </xf>
    <xf numFmtId="181" fontId="19" fillId="0" borderId="1" xfId="26" applyNumberFormat="1" applyFont="1" applyBorder="1"/>
    <xf numFmtId="0" fontId="75" fillId="2" borderId="1" xfId="25" applyFill="1" applyBorder="1" applyAlignment="1">
      <alignment horizontal="center" vertical="center" wrapText="1"/>
    </xf>
    <xf numFmtId="0" fontId="50" fillId="2" borderId="1" xfId="0" applyFont="1" applyFill="1" applyBorder="1" applyAlignment="1">
      <alignment vertical="center" wrapText="1"/>
    </xf>
    <xf numFmtId="0" fontId="50" fillId="2" borderId="1" xfId="0" applyFont="1" applyFill="1" applyBorder="1" applyAlignment="1">
      <alignment horizontal="center" vertical="center" wrapText="1"/>
    </xf>
    <xf numFmtId="0" fontId="50" fillId="2" borderId="1" xfId="0" applyFont="1" applyFill="1" applyBorder="1"/>
    <xf numFmtId="0" fontId="50" fillId="2" borderId="0" xfId="0" applyFont="1" applyFill="1"/>
    <xf numFmtId="0" fontId="42" fillId="2" borderId="1" xfId="0" applyFont="1" applyFill="1" applyBorder="1" applyAlignment="1">
      <alignment horizontal="center" vertical="center" wrapText="1"/>
    </xf>
    <xf numFmtId="4" fontId="50" fillId="2" borderId="1" xfId="0" applyNumberFormat="1" applyFont="1" applyFill="1" applyBorder="1" applyAlignment="1">
      <alignment horizontal="center" vertical="center" wrapText="1"/>
    </xf>
    <xf numFmtId="2" fontId="50" fillId="2" borderId="1" xfId="0" applyNumberFormat="1" applyFont="1" applyFill="1" applyBorder="1" applyAlignment="1">
      <alignment horizontal="center" vertical="center" wrapText="1"/>
    </xf>
    <xf numFmtId="0" fontId="50" fillId="2" borderId="1" xfId="0" applyFont="1" applyFill="1" applyBorder="1" applyAlignment="1">
      <alignment horizontal="center"/>
    </xf>
    <xf numFmtId="0" fontId="63" fillId="2" borderId="1" xfId="0" applyFont="1" applyFill="1" applyBorder="1" applyAlignment="1">
      <alignment vertical="center" wrapText="1"/>
    </xf>
    <xf numFmtId="0" fontId="63" fillId="2" borderId="1" xfId="0" applyFont="1" applyFill="1" applyBorder="1" applyAlignment="1">
      <alignment horizontal="center" vertical="center" wrapText="1"/>
    </xf>
    <xf numFmtId="4" fontId="63" fillId="2" borderId="1" xfId="0" applyNumberFormat="1" applyFont="1" applyFill="1" applyBorder="1" applyAlignment="1">
      <alignment horizontal="center" vertical="center" wrapText="1"/>
    </xf>
    <xf numFmtId="0" fontId="63" fillId="2" borderId="0" xfId="0" applyFont="1" applyFill="1"/>
    <xf numFmtId="0" fontId="42" fillId="2" borderId="0" xfId="25" applyFont="1" applyFill="1"/>
    <xf numFmtId="0" fontId="50" fillId="2" borderId="1" xfId="25" applyFont="1" applyFill="1" applyBorder="1" applyAlignment="1">
      <alignment horizontal="center" vertical="center"/>
    </xf>
    <xf numFmtId="0" fontId="50" fillId="2" borderId="0" xfId="25" applyFont="1" applyFill="1" applyAlignment="1">
      <alignment horizontal="center" vertical="center"/>
    </xf>
    <xf numFmtId="0" fontId="11" fillId="2" borderId="1" xfId="25" applyFont="1" applyFill="1" applyBorder="1" applyAlignment="1">
      <alignment horizontal="center" vertical="center" wrapText="1"/>
    </xf>
    <xf numFmtId="4" fontId="11" fillId="2" borderId="1" xfId="25" applyNumberFormat="1" applyFont="1" applyFill="1" applyBorder="1" applyAlignment="1">
      <alignment horizontal="center" vertical="center" wrapText="1"/>
    </xf>
    <xf numFmtId="0" fontId="19" fillId="0" borderId="1" xfId="26" applyFont="1" applyFill="1" applyBorder="1" applyAlignment="1">
      <alignment horizontal="left" vertical="top" wrapText="1"/>
    </xf>
    <xf numFmtId="165" fontId="19" fillId="0" borderId="1" xfId="26" applyNumberFormat="1" applyFont="1" applyFill="1" applyBorder="1" applyAlignment="1">
      <alignment vertical="center" wrapText="1"/>
    </xf>
    <xf numFmtId="0" fontId="19" fillId="0" borderId="1" xfId="38" applyFont="1" applyFill="1" applyBorder="1" applyAlignment="1">
      <alignment horizontal="center" vertical="center" wrapText="1"/>
    </xf>
    <xf numFmtId="0" fontId="47" fillId="0" borderId="1" xfId="29" applyFont="1" applyBorder="1" applyAlignment="1">
      <alignment horizontal="center" vertical="center" wrapText="1"/>
    </xf>
    <xf numFmtId="0" fontId="130" fillId="0" borderId="0" xfId="29" applyFont="1" applyAlignment="1">
      <alignment horizontal="center" vertical="center" wrapText="1"/>
    </xf>
    <xf numFmtId="0" fontId="19" fillId="2" borderId="0" xfId="29" applyFont="1" applyFill="1" applyAlignment="1">
      <alignment horizontal="center" vertical="center" wrapText="1"/>
    </xf>
    <xf numFmtId="0" fontId="46" fillId="0" borderId="0" xfId="29" applyFont="1" applyAlignment="1">
      <alignment horizontal="center" vertical="center" wrapText="1"/>
    </xf>
    <xf numFmtId="165" fontId="19" fillId="2" borderId="1" xfId="29" applyNumberFormat="1" applyFont="1" applyFill="1" applyBorder="1" applyAlignment="1">
      <alignment horizontal="center" vertical="center" wrapText="1"/>
    </xf>
    <xf numFmtId="0" fontId="20" fillId="0" borderId="0" xfId="26" applyNumberFormat="1" applyFont="1" applyFill="1" applyBorder="1" applyAlignment="1">
      <alignment horizontal="left" vertical="center"/>
    </xf>
    <xf numFmtId="0" fontId="19" fillId="0" borderId="1" xfId="26" applyFont="1" applyFill="1" applyBorder="1" applyAlignment="1">
      <alignment vertical="center"/>
    </xf>
    <xf numFmtId="0" fontId="20" fillId="11" borderId="1" xfId="29" applyFont="1" applyFill="1" applyBorder="1" applyAlignment="1">
      <alignment vertical="center" wrapText="1"/>
    </xf>
    <xf numFmtId="165" fontId="19" fillId="2" borderId="1" xfId="37" applyNumberFormat="1" applyFont="1" applyFill="1" applyBorder="1" applyAlignment="1">
      <alignment horizontal="center" vertical="center" wrapText="1"/>
    </xf>
    <xf numFmtId="165" fontId="19" fillId="0" borderId="1" xfId="37" applyNumberFormat="1" applyFont="1" applyFill="1" applyBorder="1" applyAlignment="1">
      <alignment horizontal="left" vertical="top" wrapText="1"/>
    </xf>
    <xf numFmtId="165" fontId="20" fillId="0" borderId="1" xfId="37" applyNumberFormat="1" applyFont="1" applyFill="1" applyBorder="1" applyAlignment="1">
      <alignment vertical="center" wrapText="1"/>
    </xf>
    <xf numFmtId="165" fontId="19" fillId="0" borderId="1" xfId="37" applyNumberFormat="1" applyFont="1" applyFill="1" applyBorder="1" applyAlignment="1">
      <alignment vertical="center" wrapText="1"/>
    </xf>
    <xf numFmtId="0" fontId="112" fillId="2" borderId="0" xfId="31" applyNumberFormat="1" applyFont="1" applyFill="1" applyBorder="1" applyAlignment="1" applyProtection="1">
      <alignment vertical="top"/>
    </xf>
    <xf numFmtId="14" fontId="28" fillId="2" borderId="0" xfId="31" applyNumberFormat="1" applyFont="1" applyFill="1" applyBorder="1" applyAlignment="1" applyProtection="1">
      <alignment vertical="top"/>
    </xf>
    <xf numFmtId="180" fontId="159" fillId="0" borderId="1" xfId="25" applyNumberFormat="1" applyFont="1" applyFill="1" applyBorder="1" applyAlignment="1">
      <alignment horizontal="center" vertical="center" wrapText="1"/>
    </xf>
    <xf numFmtId="179" fontId="159" fillId="0" borderId="0" xfId="25" applyNumberFormat="1" applyFont="1" applyFill="1" applyBorder="1" applyAlignment="1">
      <alignment vertical="center" wrapText="1"/>
    </xf>
    <xf numFmtId="0" fontId="101" fillId="0" borderId="0" xfId="3" applyFont="1"/>
    <xf numFmtId="0" fontId="18" fillId="0" borderId="0" xfId="3"/>
    <xf numFmtId="0" fontId="102" fillId="0" borderId="0" xfId="3" applyFont="1"/>
    <xf numFmtId="0" fontId="102" fillId="10" borderId="0" xfId="3" applyFont="1" applyFill="1" applyAlignment="1">
      <alignment wrapText="1"/>
    </xf>
    <xf numFmtId="0" fontId="101" fillId="0" borderId="11" xfId="3" applyFont="1" applyBorder="1"/>
    <xf numFmtId="0" fontId="101" fillId="0" borderId="17" xfId="3" applyFont="1" applyBorder="1"/>
    <xf numFmtId="0" fontId="101" fillId="0" borderId="28" xfId="3" applyFont="1" applyBorder="1" applyAlignment="1">
      <alignment horizontal="center"/>
    </xf>
    <xf numFmtId="0" fontId="101" fillId="0" borderId="77" xfId="3" applyFont="1" applyBorder="1" applyAlignment="1">
      <alignment horizontal="center"/>
    </xf>
    <xf numFmtId="0" fontId="101" fillId="0" borderId="16" xfId="3" applyFont="1" applyBorder="1" applyAlignment="1">
      <alignment horizontal="center"/>
    </xf>
    <xf numFmtId="0" fontId="101" fillId="0" borderId="78" xfId="3" applyFont="1" applyBorder="1" applyAlignment="1">
      <alignment horizontal="center"/>
    </xf>
    <xf numFmtId="0" fontId="101" fillId="0" borderId="79" xfId="3" applyFont="1" applyBorder="1" applyAlignment="1">
      <alignment horizontal="center"/>
    </xf>
    <xf numFmtId="0" fontId="101" fillId="0" borderId="31" xfId="3" applyFont="1" applyBorder="1" applyAlignment="1">
      <alignment horizontal="center"/>
    </xf>
    <xf numFmtId="0" fontId="101" fillId="0" borderId="80" xfId="3" applyFont="1" applyBorder="1" applyAlignment="1">
      <alignment horizontal="center"/>
    </xf>
    <xf numFmtId="0" fontId="101" fillId="0" borderId="81" xfId="3" applyFont="1" applyBorder="1" applyAlignment="1">
      <alignment horizontal="center"/>
    </xf>
    <xf numFmtId="0" fontId="101" fillId="0" borderId="30" xfId="3" applyFont="1" applyBorder="1" applyAlignment="1">
      <alignment horizontal="center"/>
    </xf>
    <xf numFmtId="0" fontId="19" fillId="0" borderId="31" xfId="3" applyFont="1" applyFill="1" applyBorder="1" applyAlignment="1">
      <alignment horizontal="center" vertical="center" wrapText="1"/>
    </xf>
    <xf numFmtId="0" fontId="19" fillId="0" borderId="30" xfId="3" applyFont="1" applyFill="1" applyBorder="1" applyAlignment="1">
      <alignment horizontal="center" vertical="center" wrapText="1"/>
    </xf>
    <xf numFmtId="0" fontId="19" fillId="0" borderId="28" xfId="3" applyFont="1" applyBorder="1" applyAlignment="1">
      <alignment horizontal="center" vertical="center" wrapText="1"/>
    </xf>
    <xf numFmtId="0" fontId="101" fillId="0" borderId="12" xfId="3" applyFont="1" applyBorder="1" applyAlignment="1">
      <alignment horizontal="center"/>
    </xf>
    <xf numFmtId="0" fontId="101" fillId="0" borderId="13" xfId="3" applyFont="1" applyBorder="1" applyAlignment="1">
      <alignment horizontal="center"/>
    </xf>
    <xf numFmtId="166" fontId="101" fillId="0" borderId="12" xfId="3" applyNumberFormat="1" applyFont="1" applyFill="1" applyBorder="1" applyAlignment="1">
      <alignment horizontal="center"/>
    </xf>
    <xf numFmtId="2" fontId="101" fillId="0" borderId="13" xfId="3" applyNumberFormat="1" applyFont="1" applyFill="1" applyBorder="1" applyAlignment="1">
      <alignment horizontal="center"/>
    </xf>
    <xf numFmtId="0" fontId="101" fillId="0" borderId="14" xfId="3" applyFont="1" applyBorder="1" applyAlignment="1">
      <alignment horizontal="center"/>
    </xf>
    <xf numFmtId="166" fontId="101" fillId="0" borderId="33" xfId="3" applyNumberFormat="1" applyFont="1" applyBorder="1" applyAlignment="1">
      <alignment horizontal="center"/>
    </xf>
    <xf numFmtId="0" fontId="19" fillId="0" borderId="14" xfId="3" applyFont="1" applyBorder="1" applyAlignment="1">
      <alignment horizontal="center"/>
    </xf>
    <xf numFmtId="4" fontId="101" fillId="0" borderId="15" xfId="3" applyNumberFormat="1" applyFont="1" applyBorder="1" applyAlignment="1">
      <alignment horizontal="center"/>
    </xf>
    <xf numFmtId="4" fontId="101" fillId="0" borderId="13" xfId="3" applyNumberFormat="1" applyFont="1" applyBorder="1" applyAlignment="1">
      <alignment horizontal="center"/>
    </xf>
    <xf numFmtId="4" fontId="160" fillId="0" borderId="14" xfId="3" applyNumberFormat="1" applyFont="1" applyFill="1" applyBorder="1" applyAlignment="1">
      <alignment vertical="center" wrapText="1"/>
    </xf>
    <xf numFmtId="4" fontId="160" fillId="0" borderId="13" xfId="3" applyNumberFormat="1" applyFont="1" applyFill="1" applyBorder="1" applyAlignment="1">
      <alignment vertical="center" wrapText="1"/>
    </xf>
    <xf numFmtId="4" fontId="18" fillId="0" borderId="0" xfId="3" applyNumberFormat="1"/>
    <xf numFmtId="4" fontId="101" fillId="0" borderId="34" xfId="3" applyNumberFormat="1" applyFont="1" applyBorder="1" applyAlignment="1">
      <alignment horizontal="center"/>
    </xf>
    <xf numFmtId="0" fontId="101" fillId="0" borderId="18" xfId="3" applyFont="1" applyBorder="1" applyAlignment="1">
      <alignment horizontal="center"/>
    </xf>
    <xf numFmtId="2" fontId="101" fillId="0" borderId="19" xfId="3" applyNumberFormat="1" applyFont="1" applyBorder="1" applyAlignment="1">
      <alignment horizontal="center"/>
    </xf>
    <xf numFmtId="166" fontId="101" fillId="0" borderId="18" xfId="3" applyNumberFormat="1" applyFont="1" applyFill="1" applyBorder="1" applyAlignment="1">
      <alignment horizontal="center"/>
    </xf>
    <xf numFmtId="2" fontId="101" fillId="0" borderId="19" xfId="3" applyNumberFormat="1" applyFont="1" applyFill="1" applyBorder="1" applyAlignment="1">
      <alignment horizontal="center"/>
    </xf>
    <xf numFmtId="0" fontId="101" fillId="0" borderId="1" xfId="3" applyFont="1" applyBorder="1" applyAlignment="1">
      <alignment horizontal="center"/>
    </xf>
    <xf numFmtId="166" fontId="101" fillId="0" borderId="6" xfId="3" applyNumberFormat="1" applyFont="1" applyBorder="1" applyAlignment="1">
      <alignment horizontal="center"/>
    </xf>
    <xf numFmtId="0" fontId="19" fillId="0" borderId="1" xfId="3" applyFont="1" applyBorder="1" applyAlignment="1">
      <alignment horizontal="center"/>
    </xf>
    <xf numFmtId="4" fontId="101" fillId="0" borderId="52" xfId="3" applyNumberFormat="1" applyFont="1" applyBorder="1" applyAlignment="1">
      <alignment horizontal="center"/>
    </xf>
    <xf numFmtId="4" fontId="101" fillId="0" borderId="20" xfId="3" applyNumberFormat="1" applyFont="1" applyBorder="1" applyAlignment="1">
      <alignment horizontal="center"/>
    </xf>
    <xf numFmtId="4" fontId="160" fillId="0" borderId="1" xfId="3" applyNumberFormat="1" applyFont="1" applyFill="1" applyBorder="1" applyAlignment="1">
      <alignment vertical="center" wrapText="1"/>
    </xf>
    <xf numFmtId="4" fontId="160" fillId="0" borderId="19" xfId="3" applyNumberFormat="1" applyFont="1" applyFill="1" applyBorder="1" applyAlignment="1">
      <alignment vertical="center" wrapText="1"/>
    </xf>
    <xf numFmtId="4" fontId="101" fillId="0" borderId="35" xfId="3" applyNumberFormat="1" applyFont="1" applyBorder="1" applyAlignment="1">
      <alignment horizontal="center"/>
    </xf>
    <xf numFmtId="0" fontId="101" fillId="0" borderId="36" xfId="3" applyFont="1" applyBorder="1" applyAlignment="1">
      <alignment horizontal="center"/>
    </xf>
    <xf numFmtId="2" fontId="101" fillId="0" borderId="37" xfId="3" applyNumberFormat="1" applyFont="1" applyBorder="1" applyAlignment="1">
      <alignment horizontal="center"/>
    </xf>
    <xf numFmtId="166" fontId="101" fillId="0" borderId="36" xfId="3" applyNumberFormat="1" applyFont="1" applyFill="1" applyBorder="1" applyAlignment="1">
      <alignment horizontal="center"/>
    </xf>
    <xf numFmtId="2" fontId="101" fillId="0" borderId="37" xfId="3" applyNumberFormat="1" applyFont="1" applyFill="1" applyBorder="1" applyAlignment="1">
      <alignment horizontal="center"/>
    </xf>
    <xf numFmtId="0" fontId="101" fillId="0" borderId="40" xfId="3" applyFont="1" applyBorder="1" applyAlignment="1">
      <alignment horizontal="center"/>
    </xf>
    <xf numFmtId="166" fontId="101" fillId="0" borderId="23" xfId="3" applyNumberFormat="1" applyFont="1" applyBorder="1" applyAlignment="1">
      <alignment horizontal="center"/>
    </xf>
    <xf numFmtId="0" fontId="101" fillId="0" borderId="8" xfId="3" applyFont="1" applyBorder="1" applyAlignment="1">
      <alignment horizontal="center"/>
    </xf>
    <xf numFmtId="0" fontId="19" fillId="0" borderId="7" xfId="3" applyFont="1" applyBorder="1" applyAlignment="1">
      <alignment horizontal="center"/>
    </xf>
    <xf numFmtId="4" fontId="101" fillId="0" borderId="26" xfId="3" applyNumberFormat="1" applyFont="1" applyBorder="1" applyAlignment="1">
      <alignment horizontal="center"/>
    </xf>
    <xf numFmtId="4" fontId="101" fillId="0" borderId="76" xfId="3" applyNumberFormat="1" applyFont="1" applyBorder="1" applyAlignment="1">
      <alignment horizontal="center"/>
    </xf>
    <xf numFmtId="4" fontId="160" fillId="0" borderId="40" xfId="3" applyNumberFormat="1" applyFont="1" applyFill="1" applyBorder="1" applyAlignment="1">
      <alignment vertical="center" wrapText="1"/>
    </xf>
    <xf numFmtId="4" fontId="160" fillId="0" borderId="37" xfId="3" applyNumberFormat="1" applyFont="1" applyFill="1" applyBorder="1" applyAlignment="1">
      <alignment vertical="center" wrapText="1"/>
    </xf>
    <xf numFmtId="4" fontId="101" fillId="0" borderId="44" xfId="3" applyNumberFormat="1" applyFont="1" applyBorder="1" applyAlignment="1">
      <alignment horizontal="center"/>
    </xf>
    <xf numFmtId="175" fontId="101" fillId="0" borderId="14" xfId="3" applyNumberFormat="1" applyFont="1" applyBorder="1" applyAlignment="1">
      <alignment horizontal="center"/>
    </xf>
    <xf numFmtId="0" fontId="19" fillId="0" borderId="14" xfId="3" applyFont="1" applyBorder="1" applyAlignment="1">
      <alignment horizontal="center" wrapText="1"/>
    </xf>
    <xf numFmtId="166" fontId="101" fillId="0" borderId="27" xfId="3" applyNumberFormat="1" applyFont="1" applyBorder="1" applyAlignment="1">
      <alignment horizontal="center"/>
    </xf>
    <xf numFmtId="0" fontId="19" fillId="0" borderId="1" xfId="3" applyFont="1" applyBorder="1" applyAlignment="1">
      <alignment horizontal="center" wrapText="1"/>
    </xf>
    <xf numFmtId="4" fontId="101" fillId="0" borderId="17" xfId="3" applyNumberFormat="1" applyFont="1" applyBorder="1" applyAlignment="1">
      <alignment horizontal="center"/>
    </xf>
    <xf numFmtId="166" fontId="101" fillId="0" borderId="39" xfId="3" applyNumberFormat="1" applyFont="1" applyBorder="1" applyAlignment="1">
      <alignment horizontal="center"/>
    </xf>
    <xf numFmtId="0" fontId="101" fillId="0" borderId="45" xfId="3" applyFont="1" applyBorder="1" applyAlignment="1">
      <alignment horizontal="center"/>
    </xf>
    <xf numFmtId="0" fontId="19" fillId="0" borderId="40" xfId="3" applyFont="1" applyBorder="1" applyAlignment="1">
      <alignment horizontal="center"/>
    </xf>
    <xf numFmtId="4" fontId="101" fillId="0" borderId="41" xfId="3" applyNumberFormat="1" applyFont="1" applyBorder="1" applyAlignment="1">
      <alignment horizontal="center"/>
    </xf>
    <xf numFmtId="4" fontId="101" fillId="0" borderId="43" xfId="3" applyNumberFormat="1" applyFont="1" applyBorder="1" applyAlignment="1">
      <alignment horizontal="center"/>
    </xf>
    <xf numFmtId="0" fontId="101" fillId="0" borderId="4" xfId="3" applyFont="1" applyBorder="1" applyAlignment="1">
      <alignment horizontal="center"/>
    </xf>
    <xf numFmtId="0" fontId="19" fillId="0" borderId="4" xfId="3" applyFont="1" applyBorder="1" applyAlignment="1">
      <alignment horizontal="center" wrapText="1"/>
    </xf>
    <xf numFmtId="0" fontId="101" fillId="0" borderId="7" xfId="3" applyFont="1" applyBorder="1" applyAlignment="1">
      <alignment horizontal="center"/>
    </xf>
    <xf numFmtId="4" fontId="101" fillId="0" borderId="47" xfId="3" applyNumberFormat="1" applyFont="1" applyBorder="1" applyAlignment="1">
      <alignment horizontal="center"/>
    </xf>
    <xf numFmtId="0" fontId="19" fillId="0" borderId="33" xfId="3" applyFont="1" applyBorder="1" applyAlignment="1">
      <alignment horizontal="center"/>
    </xf>
    <xf numFmtId="0" fontId="19" fillId="0" borderId="6" xfId="3" applyFont="1" applyBorder="1" applyAlignment="1">
      <alignment horizontal="center"/>
    </xf>
    <xf numFmtId="0" fontId="101" fillId="0" borderId="48" xfId="3" applyFont="1" applyBorder="1" applyAlignment="1">
      <alignment horizontal="center"/>
    </xf>
    <xf numFmtId="0" fontId="19" fillId="0" borderId="39" xfId="3" applyFont="1" applyBorder="1" applyAlignment="1">
      <alignment horizontal="center"/>
    </xf>
    <xf numFmtId="0" fontId="19" fillId="0" borderId="4" xfId="3" applyFont="1" applyBorder="1" applyAlignment="1">
      <alignment horizontal="center"/>
    </xf>
    <xf numFmtId="0" fontId="101" fillId="0" borderId="36" xfId="3" applyFont="1" applyFill="1" applyBorder="1" applyAlignment="1">
      <alignment horizontal="center"/>
    </xf>
    <xf numFmtId="0" fontId="101" fillId="0" borderId="40" xfId="3" applyFont="1" applyFill="1" applyBorder="1" applyAlignment="1">
      <alignment horizontal="center"/>
    </xf>
    <xf numFmtId="0" fontId="101" fillId="0" borderId="18" xfId="3" applyFont="1" applyFill="1" applyBorder="1" applyAlignment="1">
      <alignment horizontal="center"/>
    </xf>
    <xf numFmtId="0" fontId="101" fillId="0" borderId="1" xfId="3" applyFont="1" applyFill="1" applyBorder="1" applyAlignment="1">
      <alignment horizontal="center"/>
    </xf>
    <xf numFmtId="0" fontId="102" fillId="0" borderId="28" xfId="3" applyFont="1" applyBorder="1"/>
    <xf numFmtId="0" fontId="101" fillId="0" borderId="77" xfId="3" applyFont="1" applyBorder="1"/>
    <xf numFmtId="0" fontId="101" fillId="0" borderId="42" xfId="3" applyFont="1" applyBorder="1" applyAlignment="1">
      <alignment horizontal="center"/>
    </xf>
    <xf numFmtId="2" fontId="102" fillId="0" borderId="43" xfId="3" applyNumberFormat="1" applyFont="1" applyFill="1" applyBorder="1" applyAlignment="1">
      <alignment horizontal="center"/>
    </xf>
    <xf numFmtId="0" fontId="101" fillId="0" borderId="42" xfId="3" applyFont="1" applyFill="1" applyBorder="1" applyAlignment="1">
      <alignment horizontal="center"/>
    </xf>
    <xf numFmtId="166" fontId="102" fillId="0" borderId="42" xfId="3" applyNumberFormat="1" applyFont="1" applyFill="1" applyBorder="1" applyAlignment="1">
      <alignment horizontal="center"/>
    </xf>
    <xf numFmtId="0" fontId="102" fillId="0" borderId="42" xfId="3" applyFont="1" applyFill="1" applyBorder="1" applyAlignment="1">
      <alignment horizontal="center"/>
    </xf>
    <xf numFmtId="0" fontId="102" fillId="0" borderId="48" xfId="3" applyFont="1" applyFill="1" applyBorder="1" applyAlignment="1">
      <alignment horizontal="center"/>
    </xf>
    <xf numFmtId="0" fontId="102" fillId="0" borderId="31" xfId="3" applyFont="1" applyBorder="1"/>
    <xf numFmtId="0" fontId="102" fillId="0" borderId="80" xfId="3" applyFont="1" applyBorder="1" applyAlignment="1">
      <alignment horizontal="center"/>
    </xf>
    <xf numFmtId="0" fontId="102" fillId="0" borderId="81" xfId="3" applyFont="1" applyBorder="1"/>
    <xf numFmtId="4" fontId="102" fillId="0" borderId="81" xfId="3" applyNumberFormat="1" applyFont="1" applyBorder="1"/>
    <xf numFmtId="4" fontId="102" fillId="0" borderId="30" xfId="3" applyNumberFormat="1" applyFont="1" applyFill="1" applyBorder="1" applyAlignment="1">
      <alignment horizontal="center"/>
    </xf>
    <xf numFmtId="4" fontId="161" fillId="0" borderId="48" xfId="3" applyNumberFormat="1" applyFont="1" applyFill="1" applyBorder="1" applyAlignment="1">
      <alignment vertical="center" wrapText="1"/>
    </xf>
    <xf numFmtId="4" fontId="161" fillId="0" borderId="43" xfId="3" applyNumberFormat="1" applyFont="1" applyFill="1" applyBorder="1" applyAlignment="1">
      <alignment vertical="center" wrapText="1"/>
    </xf>
    <xf numFmtId="4" fontId="102" fillId="0" borderId="28" xfId="3" applyNumberFormat="1" applyFont="1" applyBorder="1" applyAlignment="1">
      <alignment horizontal="center"/>
    </xf>
    <xf numFmtId="0" fontId="47" fillId="0" borderId="0" xfId="3" applyFont="1"/>
    <xf numFmtId="0" fontId="107" fillId="0" borderId="0" xfId="3" applyFont="1"/>
    <xf numFmtId="0" fontId="106" fillId="0" borderId="0" xfId="3" applyFont="1"/>
    <xf numFmtId="0" fontId="46" fillId="0" borderId="0" xfId="3" applyFont="1"/>
    <xf numFmtId="0" fontId="20" fillId="0" borderId="1" xfId="3" applyFont="1" applyFill="1" applyBorder="1" applyAlignment="1">
      <alignment horizontal="center" vertical="center"/>
    </xf>
    <xf numFmtId="1" fontId="20" fillId="0" borderId="1" xfId="3" applyNumberFormat="1" applyFont="1" applyFill="1" applyBorder="1" applyAlignment="1">
      <alignment horizontal="center" vertical="center"/>
    </xf>
    <xf numFmtId="0" fontId="133" fillId="0" borderId="1" xfId="3" applyFont="1" applyFill="1" applyBorder="1" applyAlignment="1">
      <alignment horizontal="center" vertical="center"/>
    </xf>
    <xf numFmtId="0" fontId="105" fillId="0" borderId="1" xfId="3" applyFont="1" applyFill="1" applyBorder="1" applyAlignment="1">
      <alignment horizontal="center" vertical="center"/>
    </xf>
    <xf numFmtId="0" fontId="105" fillId="0" borderId="1" xfId="3" applyFont="1" applyFill="1" applyBorder="1" applyAlignment="1">
      <alignment horizontal="center" vertical="center" wrapText="1"/>
    </xf>
    <xf numFmtId="0" fontId="19" fillId="0" borderId="1" xfId="3" applyFont="1" applyFill="1" applyBorder="1" applyAlignment="1">
      <alignment horizontal="center" vertical="center"/>
    </xf>
    <xf numFmtId="168" fontId="19" fillId="0" borderId="1" xfId="3" applyNumberFormat="1" applyFont="1" applyFill="1" applyBorder="1" applyAlignment="1">
      <alignment horizontal="center" vertical="center"/>
    </xf>
    <xf numFmtId="180" fontId="133" fillId="0" borderId="1" xfId="3" applyNumberFormat="1" applyFont="1" applyFill="1" applyBorder="1" applyAlignment="1">
      <alignment horizontal="center" vertical="center"/>
    </xf>
    <xf numFmtId="168" fontId="105" fillId="0" borderId="1" xfId="3" applyNumberFormat="1" applyFont="1" applyFill="1" applyBorder="1" applyAlignment="1">
      <alignment horizontal="center" vertical="center"/>
    </xf>
    <xf numFmtId="0" fontId="102" fillId="0" borderId="0" xfId="3" applyFont="1" applyFill="1" applyAlignment="1">
      <alignment vertical="center"/>
    </xf>
    <xf numFmtId="4" fontId="102" fillId="0" borderId="0" xfId="3" applyNumberFormat="1" applyFont="1" applyFill="1" applyAlignment="1">
      <alignment horizontal="center" vertical="center"/>
    </xf>
    <xf numFmtId="4" fontId="171" fillId="0" borderId="0" xfId="3" applyNumberFormat="1" applyFont="1" applyFill="1" applyAlignment="1">
      <alignment horizontal="center" vertical="center"/>
    </xf>
    <xf numFmtId="4" fontId="105" fillId="0" borderId="0" xfId="3" applyNumberFormat="1" applyFont="1" applyFill="1" applyAlignment="1">
      <alignment horizontal="center" vertical="center"/>
    </xf>
    <xf numFmtId="0" fontId="18" fillId="0" borderId="0" xfId="3" applyFont="1"/>
    <xf numFmtId="0" fontId="102" fillId="0" borderId="1" xfId="3" applyFont="1" applyFill="1" applyBorder="1" applyAlignment="1">
      <alignment vertical="center"/>
    </xf>
    <xf numFmtId="168" fontId="102" fillId="0" borderId="1" xfId="3" applyNumberFormat="1" applyFont="1" applyFill="1" applyBorder="1" applyAlignment="1">
      <alignment vertical="center"/>
    </xf>
    <xf numFmtId="0" fontId="50" fillId="0" borderId="0" xfId="75" applyFont="1"/>
    <xf numFmtId="0" fontId="5" fillId="0" borderId="0" xfId="75"/>
    <xf numFmtId="0" fontId="66" fillId="0" borderId="0" xfId="75" applyFont="1" applyAlignment="1"/>
    <xf numFmtId="0" fontId="51" fillId="0" borderId="1" xfId="75" applyFont="1" applyBorder="1" applyAlignment="1">
      <alignment horizontal="center" vertical="center" wrapText="1"/>
    </xf>
    <xf numFmtId="0" fontId="137" fillId="0" borderId="1" xfId="75" applyFont="1" applyBorder="1" applyAlignment="1">
      <alignment horizontal="center"/>
    </xf>
    <xf numFmtId="0" fontId="137" fillId="0" borderId="0" xfId="75" applyFont="1" applyAlignment="1">
      <alignment horizontal="center"/>
    </xf>
    <xf numFmtId="0" fontId="138" fillId="0" borderId="0" xfId="75" applyFont="1" applyAlignment="1">
      <alignment horizontal="center"/>
    </xf>
    <xf numFmtId="0" fontId="51" fillId="0" borderId="1" xfId="75" applyFont="1" applyBorder="1" applyAlignment="1">
      <alignment horizontal="center"/>
    </xf>
    <xf numFmtId="0" fontId="83" fillId="0" borderId="1" xfId="75" applyFont="1" applyFill="1" applyBorder="1" applyAlignment="1">
      <alignment horizontal="center" vertical="center" wrapText="1"/>
    </xf>
    <xf numFmtId="0" fontId="51" fillId="0" borderId="1" xfId="75" applyFont="1" applyBorder="1" applyAlignment="1">
      <alignment horizontal="center" vertical="center"/>
    </xf>
    <xf numFmtId="4" fontId="51" fillId="0" borderId="1" xfId="75" applyNumberFormat="1" applyFont="1" applyBorder="1" applyAlignment="1">
      <alignment horizontal="center" vertical="center"/>
    </xf>
    <xf numFmtId="0" fontId="48" fillId="0" borderId="1" xfId="75" applyFont="1" applyBorder="1" applyAlignment="1">
      <alignment horizontal="center" vertical="center"/>
    </xf>
    <xf numFmtId="2" fontId="48" fillId="0" borderId="1" xfId="75" applyNumberFormat="1" applyFont="1" applyBorder="1" applyAlignment="1">
      <alignment horizontal="center" vertical="center"/>
    </xf>
    <xf numFmtId="0" fontId="51" fillId="0" borderId="1" xfId="75" applyFont="1" applyBorder="1"/>
    <xf numFmtId="0" fontId="51" fillId="0" borderId="0" xfId="75" applyFont="1"/>
    <xf numFmtId="0" fontId="51" fillId="0" borderId="0" xfId="75" applyFont="1" applyBorder="1"/>
    <xf numFmtId="0" fontId="50" fillId="0" borderId="0" xfId="75" applyFont="1" applyBorder="1"/>
    <xf numFmtId="0" fontId="5" fillId="0" borderId="0" xfId="75" applyBorder="1"/>
    <xf numFmtId="0" fontId="50" fillId="0" borderId="0" xfId="75" applyFont="1" applyAlignment="1">
      <alignment horizontal="left"/>
    </xf>
    <xf numFmtId="0" fontId="50" fillId="0" borderId="0" xfId="75" applyFont="1" applyAlignment="1">
      <alignment horizontal="center"/>
    </xf>
    <xf numFmtId="0" fontId="46" fillId="0" borderId="0" xfId="75" applyFont="1"/>
    <xf numFmtId="179" fontId="63" fillId="0" borderId="0" xfId="75" applyNumberFormat="1" applyFont="1" applyAlignment="1">
      <alignment horizontal="center"/>
    </xf>
    <xf numFmtId="0" fontId="46" fillId="0" borderId="0" xfId="75" applyFont="1" applyAlignment="1">
      <alignment vertical="center"/>
    </xf>
    <xf numFmtId="179" fontId="124" fillId="0" borderId="0" xfId="75" applyNumberFormat="1" applyFont="1" applyAlignment="1">
      <alignment horizontal="center"/>
    </xf>
    <xf numFmtId="14" fontId="50" fillId="0" borderId="0" xfId="75" applyNumberFormat="1" applyFont="1"/>
    <xf numFmtId="4" fontId="78" fillId="24" borderId="1" xfId="25" applyNumberFormat="1" applyFont="1" applyFill="1" applyBorder="1" applyAlignment="1">
      <alignment horizontal="center" vertical="center" wrapText="1"/>
    </xf>
    <xf numFmtId="166" fontId="163" fillId="0" borderId="0" xfId="25" applyNumberFormat="1" applyFont="1" applyFill="1" applyBorder="1" applyAlignment="1">
      <alignment vertical="center" wrapText="1"/>
    </xf>
    <xf numFmtId="0" fontId="42" fillId="2" borderId="0" xfId="51" applyFont="1" applyFill="1" applyAlignment="1">
      <alignment horizontal="center" vertical="center"/>
    </xf>
    <xf numFmtId="0" fontId="42" fillId="2" borderId="0" xfId="51" applyFont="1" applyFill="1" applyBorder="1" applyAlignment="1">
      <alignment horizontal="center" vertical="center"/>
    </xf>
    <xf numFmtId="0" fontId="42" fillId="2" borderId="0" xfId="51" applyFont="1" applyFill="1" applyBorder="1" applyAlignment="1">
      <alignment horizontal="right" vertical="center"/>
    </xf>
    <xf numFmtId="0" fontId="42" fillId="2" borderId="0" xfId="51" applyFont="1" applyFill="1" applyAlignment="1">
      <alignment horizontal="right" vertical="center"/>
    </xf>
    <xf numFmtId="0" fontId="50" fillId="2" borderId="1" xfId="25" applyFont="1" applyFill="1" applyBorder="1" applyAlignment="1">
      <alignment horizontal="center" vertical="center" wrapText="1"/>
    </xf>
    <xf numFmtId="0" fontId="75" fillId="2" borderId="0" xfId="25" applyFill="1" applyAlignment="1">
      <alignment horizontal="center"/>
    </xf>
    <xf numFmtId="0" fontId="75" fillId="2" borderId="7" xfId="25" applyFill="1" applyBorder="1" applyAlignment="1">
      <alignment horizontal="center" vertical="center" wrapText="1"/>
    </xf>
    <xf numFmtId="0" fontId="56" fillId="2" borderId="1" xfId="25" applyFont="1" applyFill="1" applyBorder="1" applyAlignment="1">
      <alignment horizontal="left" vertical="center" wrapText="1"/>
    </xf>
    <xf numFmtId="0" fontId="88" fillId="0" borderId="0" xfId="24" applyFont="1" applyFill="1" applyAlignment="1">
      <alignment horizontal="left" wrapText="1"/>
    </xf>
    <xf numFmtId="165" fontId="20" fillId="2" borderId="1" xfId="3" applyNumberFormat="1" applyFont="1" applyFill="1" applyBorder="1" applyAlignment="1">
      <alignment horizontal="center"/>
    </xf>
    <xf numFmtId="0" fontId="19" fillId="0" borderId="4" xfId="26" applyFont="1" applyBorder="1" applyAlignment="1">
      <alignment horizontal="center" vertical="center" wrapText="1"/>
    </xf>
    <xf numFmtId="0" fontId="19" fillId="0" borderId="1" xfId="26" applyFont="1" applyFill="1" applyBorder="1" applyAlignment="1">
      <alignment horizontal="center" vertical="center" wrapText="1"/>
    </xf>
    <xf numFmtId="0" fontId="131" fillId="0" borderId="0" xfId="29" applyFont="1" applyFill="1" applyAlignment="1">
      <alignment horizontal="center" vertical="center" wrapText="1"/>
    </xf>
    <xf numFmtId="0" fontId="132" fillId="14" borderId="1" xfId="29" applyFont="1" applyFill="1" applyBorder="1" applyAlignment="1">
      <alignment horizontal="left" vertical="center" wrapText="1"/>
    </xf>
    <xf numFmtId="0" fontId="132" fillId="14" borderId="1" xfId="29" applyFont="1" applyFill="1" applyBorder="1" applyAlignment="1">
      <alignment horizontal="center"/>
    </xf>
    <xf numFmtId="0" fontId="132" fillId="14" borderId="0" xfId="29" applyFont="1" applyFill="1" applyAlignment="1">
      <alignment horizontal="center"/>
    </xf>
    <xf numFmtId="0" fontId="20" fillId="16" borderId="1" xfId="62" applyFont="1" applyFill="1" applyBorder="1" applyAlignment="1">
      <alignment horizontal="left" vertical="center" wrapText="1"/>
    </xf>
    <xf numFmtId="0" fontId="20" fillId="16" borderId="1" xfId="26" applyFont="1" applyFill="1" applyBorder="1" applyAlignment="1">
      <alignment horizontal="center" vertical="center" wrapText="1"/>
    </xf>
    <xf numFmtId="165" fontId="20" fillId="16" borderId="1" xfId="26" applyNumberFormat="1" applyFont="1" applyFill="1" applyBorder="1" applyAlignment="1">
      <alignment horizontal="center" vertical="center" wrapText="1"/>
    </xf>
    <xf numFmtId="165" fontId="19" fillId="16" borderId="1" xfId="26" applyNumberFormat="1" applyFont="1" applyFill="1" applyBorder="1" applyAlignment="1">
      <alignment horizontal="left" vertical="center" wrapText="1"/>
    </xf>
    <xf numFmtId="0" fontId="20" fillId="0" borderId="1" xfId="26" applyFont="1" applyFill="1" applyBorder="1" applyAlignment="1">
      <alignment horizontal="center" vertical="center" wrapText="1"/>
    </xf>
    <xf numFmtId="167" fontId="19" fillId="0" borderId="1" xfId="26" applyNumberFormat="1" applyFont="1" applyFill="1" applyBorder="1" applyAlignment="1">
      <alignment horizontal="center" vertical="center"/>
    </xf>
    <xf numFmtId="0" fontId="19" fillId="0" borderId="1" xfId="26" applyFont="1" applyFill="1" applyBorder="1" applyAlignment="1">
      <alignment horizontal="left" vertical="justify" wrapText="1"/>
    </xf>
    <xf numFmtId="0" fontId="46" fillId="0" borderId="0" xfId="29" applyFont="1" applyAlignment="1">
      <alignment vertical="center" wrapText="1"/>
    </xf>
    <xf numFmtId="0" fontId="46" fillId="0" borderId="1" xfId="29" applyFont="1" applyBorder="1" applyAlignment="1">
      <alignment vertical="center" wrapText="1"/>
    </xf>
    <xf numFmtId="165" fontId="46" fillId="0" borderId="1" xfId="29" applyNumberFormat="1" applyFont="1" applyBorder="1" applyAlignment="1">
      <alignment vertical="center" wrapText="1"/>
    </xf>
    <xf numFmtId="0" fontId="46" fillId="0" borderId="0" xfId="29" applyFont="1" applyFill="1" applyAlignment="1">
      <alignment vertical="center" wrapText="1"/>
    </xf>
    <xf numFmtId="0" fontId="46" fillId="0" borderId="0" xfId="29" applyFont="1" applyFill="1" applyAlignment="1"/>
    <xf numFmtId="0" fontId="46" fillId="0" borderId="0" xfId="29" applyFont="1" applyAlignment="1"/>
    <xf numFmtId="1" fontId="41" fillId="0" borderId="1" xfId="29" applyNumberFormat="1" applyFont="1" applyFill="1" applyBorder="1" applyAlignment="1">
      <alignment horizontal="center"/>
    </xf>
    <xf numFmtId="0" fontId="119" fillId="0" borderId="1" xfId="24" applyFont="1" applyFill="1" applyBorder="1" applyAlignment="1">
      <alignment horizontal="center" vertical="center" wrapText="1"/>
    </xf>
    <xf numFmtId="0" fontId="173" fillId="0" borderId="1" xfId="24" applyFont="1" applyFill="1" applyBorder="1" applyAlignment="1">
      <alignment horizontal="center" wrapText="1"/>
    </xf>
    <xf numFmtId="0" fontId="173" fillId="0" borderId="1" xfId="24" applyFont="1" applyFill="1" applyBorder="1" applyAlignment="1">
      <alignment horizontal="left" wrapText="1"/>
    </xf>
    <xf numFmtId="2" fontId="173" fillId="0" borderId="1" xfId="24" applyNumberFormat="1" applyFont="1" applyFill="1" applyBorder="1" applyAlignment="1">
      <alignment horizontal="right" wrapText="1"/>
    </xf>
    <xf numFmtId="2" fontId="173" fillId="2" borderId="1" xfId="24" applyNumberFormat="1" applyFont="1" applyFill="1" applyBorder="1" applyAlignment="1">
      <alignment horizontal="right" wrapText="1"/>
    </xf>
    <xf numFmtId="0" fontId="173" fillId="0" borderId="1" xfId="24" applyFont="1" applyFill="1" applyBorder="1" applyAlignment="1">
      <alignment wrapText="1"/>
    </xf>
    <xf numFmtId="0" fontId="173" fillId="0" borderId="0" xfId="24" applyFont="1" applyFill="1" applyAlignment="1">
      <alignment wrapText="1"/>
    </xf>
    <xf numFmtId="0" fontId="174" fillId="0" borderId="0" xfId="24" applyFont="1" applyFill="1" applyAlignment="1">
      <alignment horizontal="center" wrapText="1"/>
    </xf>
    <xf numFmtId="0" fontId="174" fillId="0" borderId="0" xfId="24" applyFont="1" applyFill="1" applyAlignment="1">
      <alignment wrapText="1"/>
    </xf>
    <xf numFmtId="0" fontId="165" fillId="2" borderId="1" xfId="67" applyFont="1" applyFill="1" applyBorder="1" applyAlignment="1">
      <alignment horizontal="center" vertical="center" wrapText="1"/>
    </xf>
    <xf numFmtId="0" fontId="27" fillId="2" borderId="1" xfId="67" applyFont="1" applyFill="1" applyBorder="1" applyAlignment="1">
      <alignment vertical="center" wrapText="1"/>
    </xf>
    <xf numFmtId="0" fontId="125" fillId="2" borderId="1" xfId="25" applyFont="1" applyFill="1" applyBorder="1" applyAlignment="1">
      <alignment vertical="center" wrapText="1"/>
    </xf>
    <xf numFmtId="0" fontId="125" fillId="2" borderId="0" xfId="25" applyFont="1" applyFill="1"/>
    <xf numFmtId="0" fontId="33" fillId="2" borderId="0" xfId="0" applyFont="1" applyFill="1" applyAlignment="1">
      <alignment horizontal="center" vertical="center" wrapText="1"/>
    </xf>
    <xf numFmtId="0" fontId="25" fillId="2"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17" fillId="2" borderId="0" xfId="0" applyFont="1" applyFill="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textRotation="90" wrapText="1"/>
    </xf>
    <xf numFmtId="0" fontId="46" fillId="2" borderId="1" xfId="8" applyFont="1" applyFill="1" applyBorder="1" applyAlignment="1">
      <alignment horizontal="center" vertical="center" textRotation="90" wrapText="1"/>
    </xf>
    <xf numFmtId="0" fontId="20" fillId="0" borderId="1" xfId="29" applyFont="1" applyFill="1" applyBorder="1" applyAlignment="1">
      <alignment horizontal="center" vertical="center" wrapText="1"/>
    </xf>
    <xf numFmtId="1" fontId="19" fillId="0" borderId="1" xfId="29" applyNumberFormat="1" applyFont="1" applyFill="1" applyBorder="1" applyAlignment="1">
      <alignment horizontal="center" vertical="center" wrapText="1"/>
    </xf>
    <xf numFmtId="2" fontId="19" fillId="0" borderId="1" xfId="29" applyNumberFormat="1" applyFont="1" applyFill="1" applyBorder="1" applyAlignment="1">
      <alignment horizontal="center" vertical="center" wrapText="1"/>
    </xf>
    <xf numFmtId="165" fontId="19" fillId="0" borderId="1" xfId="29" applyNumberFormat="1" applyFont="1" applyFill="1" applyBorder="1" applyAlignment="1">
      <alignment horizontal="center" vertical="center" wrapText="1"/>
    </xf>
    <xf numFmtId="0" fontId="94" fillId="2" borderId="0" xfId="29" applyFont="1" applyFill="1" applyAlignment="1">
      <alignment horizontal="center" vertical="center" wrapText="1"/>
    </xf>
    <xf numFmtId="165" fontId="19" fillId="0" borderId="1" xfId="26" applyNumberFormat="1" applyFont="1" applyFill="1" applyBorder="1" applyAlignment="1">
      <alignment horizontal="center" vertical="center" wrapText="1"/>
    </xf>
    <xf numFmtId="0" fontId="19" fillId="0" borderId="7" xfId="38" applyFont="1" applyFill="1" applyBorder="1" applyAlignment="1">
      <alignment horizontal="left" vertical="top" wrapText="1"/>
    </xf>
    <xf numFmtId="0" fontId="19" fillId="0" borderId="4" xfId="38" applyFont="1" applyFill="1" applyBorder="1" applyAlignment="1">
      <alignment horizontal="left" vertical="top" wrapText="1"/>
    </xf>
    <xf numFmtId="0" fontId="78" fillId="0" borderId="1" xfId="25" applyFont="1" applyFill="1" applyBorder="1" applyAlignment="1">
      <alignment horizontal="center" vertical="center" wrapText="1"/>
    </xf>
    <xf numFmtId="0" fontId="102" fillId="2" borderId="0" xfId="3" applyFont="1" applyFill="1" applyAlignment="1">
      <alignment horizontal="center" wrapText="1"/>
    </xf>
    <xf numFmtId="0" fontId="131" fillId="0" borderId="0" xfId="29" applyFont="1" applyAlignment="1">
      <alignment horizontal="center" vertical="center" wrapText="1"/>
    </xf>
    <xf numFmtId="165" fontId="42" fillId="0" borderId="1" xfId="29" applyNumberFormat="1" applyFont="1" applyBorder="1" applyAlignment="1">
      <alignment horizontal="center" vertical="center" wrapText="1"/>
    </xf>
    <xf numFmtId="0" fontId="19" fillId="0" borderId="1" xfId="26" applyFont="1" applyFill="1" applyBorder="1" applyAlignment="1">
      <alignment horizontal="center" vertical="center" wrapText="1"/>
    </xf>
    <xf numFmtId="43" fontId="42" fillId="2" borderId="0" xfId="51" applyNumberFormat="1" applyFont="1" applyFill="1" applyAlignment="1">
      <alignment vertical="center"/>
    </xf>
    <xf numFmtId="0" fontId="43" fillId="0" borderId="0" xfId="71" applyAlignment="1">
      <alignment horizontal="center" vertical="center" wrapText="1"/>
    </xf>
    <xf numFmtId="0" fontId="43" fillId="0" borderId="0" xfId="71" applyAlignment="1">
      <alignment vertical="center" wrapText="1"/>
    </xf>
    <xf numFmtId="0" fontId="43" fillId="0" borderId="0" xfId="71" applyFill="1" applyAlignment="1">
      <alignment vertical="center" wrapText="1"/>
    </xf>
    <xf numFmtId="0" fontId="43" fillId="0" borderId="0" xfId="71" applyFill="1" applyAlignment="1">
      <alignment horizontal="right" vertical="center" wrapText="1"/>
    </xf>
    <xf numFmtId="0" fontId="43" fillId="27" borderId="0" xfId="71" applyFill="1" applyAlignment="1">
      <alignment vertical="center" wrapText="1"/>
    </xf>
    <xf numFmtId="0" fontId="44" fillId="0" borderId="0" xfId="71" applyFont="1" applyFill="1" applyAlignment="1">
      <alignment horizontal="right" vertical="center" wrapText="1"/>
    </xf>
    <xf numFmtId="0" fontId="46" fillId="0" borderId="1" xfId="8" applyFont="1" applyFill="1" applyBorder="1" applyAlignment="1">
      <alignment horizontal="center" vertical="center" textRotation="90" wrapText="1"/>
    </xf>
    <xf numFmtId="0" fontId="43" fillId="0" borderId="1" xfId="71" applyFill="1" applyBorder="1" applyAlignment="1">
      <alignment horizontal="center" vertical="center" textRotation="90" wrapText="1"/>
    </xf>
    <xf numFmtId="0" fontId="43" fillId="0" borderId="1" xfId="71" applyBorder="1" applyAlignment="1">
      <alignment horizontal="center" vertical="center" textRotation="90" wrapText="1"/>
    </xf>
    <xf numFmtId="0" fontId="43" fillId="8" borderId="0" xfId="71" applyFill="1" applyAlignment="1">
      <alignment horizontal="center" vertical="center" wrapText="1"/>
    </xf>
    <xf numFmtId="0" fontId="43" fillId="0" borderId="1" xfId="71" applyBorder="1" applyAlignment="1">
      <alignment horizontal="center" vertical="center" wrapText="1"/>
    </xf>
    <xf numFmtId="0" fontId="43" fillId="0" borderId="1" xfId="71" applyFill="1" applyBorder="1" applyAlignment="1">
      <alignment horizontal="center" vertical="center" wrapText="1"/>
    </xf>
    <xf numFmtId="0" fontId="43" fillId="8" borderId="0" xfId="71" applyFill="1" applyAlignment="1">
      <alignment vertical="center" wrapText="1"/>
    </xf>
    <xf numFmtId="168" fontId="25" fillId="2" borderId="1" xfId="71" applyNumberFormat="1" applyFont="1" applyFill="1" applyBorder="1" applyAlignment="1">
      <alignment horizontal="right"/>
    </xf>
    <xf numFmtId="165" fontId="29" fillId="0" borderId="1" xfId="71" applyNumberFormat="1" applyFont="1" applyBorder="1" applyAlignment="1">
      <alignment horizontal="center" vertical="center" wrapText="1"/>
    </xf>
    <xf numFmtId="165" fontId="29" fillId="0" borderId="1" xfId="71" applyNumberFormat="1" applyFont="1" applyFill="1" applyBorder="1" applyAlignment="1">
      <alignment horizontal="center" vertical="center" wrapText="1"/>
    </xf>
    <xf numFmtId="0" fontId="43" fillId="0" borderId="0" xfId="71" applyFill="1" applyAlignment="1">
      <alignment horizontal="center" vertical="center" wrapText="1"/>
    </xf>
    <xf numFmtId="4" fontId="43" fillId="0" borderId="0" xfId="71" applyNumberFormat="1" applyFill="1" applyAlignment="1">
      <alignment vertical="center" wrapText="1"/>
    </xf>
    <xf numFmtId="4" fontId="43" fillId="0" borderId="0" xfId="71" applyNumberFormat="1" applyAlignment="1">
      <alignment vertical="center" wrapText="1"/>
    </xf>
    <xf numFmtId="0" fontId="175" fillId="0" borderId="0" xfId="71" applyFont="1" applyFill="1" applyAlignment="1">
      <alignment horizontal="center" vertical="top"/>
    </xf>
    <xf numFmtId="0" fontId="176" fillId="0" borderId="0" xfId="71" applyFont="1" applyAlignment="1">
      <alignment vertical="center" wrapText="1"/>
    </xf>
    <xf numFmtId="0" fontId="176" fillId="0" borderId="0" xfId="8" applyFont="1" applyFill="1" applyAlignment="1">
      <alignment vertical="center" wrapText="1"/>
    </xf>
    <xf numFmtId="0" fontId="175" fillId="0" borderId="0" xfId="71" applyFont="1" applyFill="1" applyAlignment="1">
      <alignment horizontal="center"/>
    </xf>
    <xf numFmtId="0" fontId="175" fillId="0" borderId="0" xfId="71" applyFont="1" applyFill="1"/>
    <xf numFmtId="165" fontId="43" fillId="0" borderId="0" xfId="71" applyNumberFormat="1" applyFill="1" applyAlignment="1">
      <alignment vertical="center" wrapText="1"/>
    </xf>
    <xf numFmtId="1" fontId="83" fillId="0" borderId="1" xfId="71" applyNumberFormat="1" applyFont="1" applyFill="1" applyBorder="1" applyAlignment="1">
      <alignment horizontal="center" vertical="center" wrapText="1"/>
    </xf>
    <xf numFmtId="165" fontId="43" fillId="0" borderId="0" xfId="71" applyNumberFormat="1" applyAlignment="1">
      <alignment vertical="center" wrapText="1"/>
    </xf>
    <xf numFmtId="165" fontId="83" fillId="0" borderId="1" xfId="71" applyNumberFormat="1" applyFont="1" applyFill="1" applyBorder="1" applyAlignment="1">
      <alignment horizontal="center" vertical="center" wrapText="1"/>
    </xf>
    <xf numFmtId="0" fontId="43" fillId="0" borderId="0" xfId="71" applyFill="1" applyAlignment="1">
      <alignment vertical="center"/>
    </xf>
    <xf numFmtId="0" fontId="43" fillId="0" borderId="0" xfId="71" applyAlignment="1">
      <alignment vertical="center"/>
    </xf>
    <xf numFmtId="14" fontId="43" fillId="0" borderId="0" xfId="71" applyNumberFormat="1" applyAlignment="1">
      <alignment vertical="center" wrapText="1"/>
    </xf>
    <xf numFmtId="0" fontId="19" fillId="0" borderId="0" xfId="80" applyFont="1"/>
    <xf numFmtId="0" fontId="46" fillId="0" borderId="0" xfId="80" applyFont="1"/>
    <xf numFmtId="0" fontId="178" fillId="0" borderId="0" xfId="80" applyFont="1" applyAlignment="1">
      <alignment horizontal="center"/>
    </xf>
    <xf numFmtId="0" fontId="46" fillId="0" borderId="0" xfId="80" applyFont="1" applyAlignment="1">
      <alignment horizontal="right"/>
    </xf>
    <xf numFmtId="0" fontId="20" fillId="0" borderId="1" xfId="80" applyFont="1" applyBorder="1" applyAlignment="1">
      <alignment horizontal="center" vertical="center" wrapText="1"/>
    </xf>
    <xf numFmtId="0" fontId="20" fillId="0" borderId="1" xfId="80" applyFont="1" applyBorder="1" applyAlignment="1">
      <alignment horizontal="center" vertical="center"/>
    </xf>
    <xf numFmtId="49" fontId="20" fillId="4" borderId="1" xfId="80" applyNumberFormat="1" applyFont="1" applyFill="1" applyBorder="1" applyAlignment="1">
      <alignment horizontal="center" vertical="distributed"/>
    </xf>
    <xf numFmtId="0" fontId="20" fillId="4" borderId="1" xfId="80" applyFont="1" applyFill="1" applyBorder="1" applyAlignment="1">
      <alignment vertical="distributed"/>
    </xf>
    <xf numFmtId="0" fontId="58" fillId="4" borderId="1" xfId="80" applyFont="1" applyFill="1" applyBorder="1"/>
    <xf numFmtId="43" fontId="20" fillId="4" borderId="1" xfId="80" applyNumberFormat="1" applyFont="1" applyFill="1" applyBorder="1" applyAlignment="1">
      <alignment horizontal="center" vertical="center"/>
    </xf>
    <xf numFmtId="43" fontId="20" fillId="4" borderId="1" xfId="80" applyNumberFormat="1" applyFont="1" applyFill="1" applyBorder="1" applyAlignment="1">
      <alignment horizontal="center" vertical="distributed"/>
    </xf>
    <xf numFmtId="0" fontId="46" fillId="4" borderId="1" xfId="80" applyFont="1" applyFill="1" applyBorder="1" applyAlignment="1"/>
    <xf numFmtId="0" fontId="46" fillId="4" borderId="0" xfId="80" applyFont="1" applyFill="1"/>
    <xf numFmtId="49" fontId="20" fillId="2" borderId="1" xfId="80" applyNumberFormat="1" applyFont="1" applyFill="1" applyBorder="1" applyAlignment="1">
      <alignment horizontal="center" vertical="distributed"/>
    </xf>
    <xf numFmtId="0" fontId="20" fillId="2" borderId="1" xfId="80" applyFont="1" applyFill="1" applyBorder="1" applyAlignment="1">
      <alignment vertical="distributed"/>
    </xf>
    <xf numFmtId="0" fontId="58" fillId="2" borderId="1" xfId="80" applyFont="1" applyFill="1" applyBorder="1" applyAlignment="1">
      <alignment vertical="center"/>
    </xf>
    <xf numFmtId="43" fontId="20" fillId="2" borderId="1" xfId="80" applyNumberFormat="1" applyFont="1" applyFill="1" applyBorder="1" applyAlignment="1">
      <alignment horizontal="center" vertical="center"/>
    </xf>
    <xf numFmtId="43" fontId="20" fillId="2" borderId="1" xfId="80" applyNumberFormat="1" applyFont="1" applyFill="1" applyBorder="1" applyAlignment="1">
      <alignment horizontal="center" vertical="distributed"/>
    </xf>
    <xf numFmtId="0" fontId="46" fillId="0" borderId="1" xfId="80" applyFont="1" applyBorder="1" applyAlignment="1"/>
    <xf numFmtId="0" fontId="20" fillId="2" borderId="0" xfId="80" applyFont="1" applyFill="1"/>
    <xf numFmtId="49" fontId="19" fillId="2" borderId="1" xfId="80" applyNumberFormat="1" applyFont="1" applyFill="1" applyBorder="1"/>
    <xf numFmtId="0" fontId="19" fillId="2" borderId="1" xfId="80" applyFont="1" applyFill="1" applyBorder="1"/>
    <xf numFmtId="0" fontId="59" fillId="2" borderId="1" xfId="80" applyFont="1" applyFill="1" applyBorder="1" applyAlignment="1">
      <alignment horizontal="left" vertical="center" wrapText="1"/>
    </xf>
    <xf numFmtId="2" fontId="19" fillId="2" borderId="1" xfId="80" applyNumberFormat="1" applyFont="1" applyFill="1" applyBorder="1" applyAlignment="1">
      <alignment horizontal="center" vertical="center"/>
    </xf>
    <xf numFmtId="0" fontId="19" fillId="2" borderId="1" xfId="80" applyFont="1" applyFill="1" applyBorder="1" applyAlignment="1">
      <alignment horizontal="center" vertical="center"/>
    </xf>
    <xf numFmtId="43" fontId="19" fillId="2" borderId="1" xfId="80" applyNumberFormat="1" applyFont="1" applyFill="1" applyBorder="1" applyAlignment="1">
      <alignment vertical="center" wrapText="1"/>
    </xf>
    <xf numFmtId="2" fontId="19" fillId="2" borderId="1" xfId="80" applyNumberFormat="1" applyFont="1" applyFill="1" applyBorder="1" applyAlignment="1">
      <alignment vertical="center"/>
    </xf>
    <xf numFmtId="0" fontId="42" fillId="0" borderId="1" xfId="80" applyFont="1" applyBorder="1" applyAlignment="1">
      <alignment wrapText="1"/>
    </xf>
    <xf numFmtId="0" fontId="46" fillId="2" borderId="0" xfId="80" applyFont="1" applyFill="1"/>
    <xf numFmtId="43" fontId="19" fillId="2" borderId="1" xfId="80" applyNumberFormat="1" applyFont="1" applyFill="1" applyBorder="1" applyAlignment="1">
      <alignment horizontal="center" vertical="center"/>
    </xf>
    <xf numFmtId="43" fontId="19" fillId="2" borderId="4" xfId="80" applyNumberFormat="1" applyFont="1" applyFill="1" applyBorder="1" applyAlignment="1">
      <alignment vertical="center" wrapText="1"/>
    </xf>
    <xf numFmtId="43" fontId="19" fillId="2" borderId="1" xfId="80" applyNumberFormat="1" applyFont="1" applyFill="1" applyBorder="1" applyAlignment="1">
      <alignment horizontal="center" vertical="distributed"/>
    </xf>
    <xf numFmtId="0" fontId="46" fillId="2" borderId="1" xfId="80" applyFont="1" applyFill="1" applyBorder="1"/>
    <xf numFmtId="43" fontId="19" fillId="2" borderId="4" xfId="80" applyNumberFormat="1" applyFont="1" applyFill="1" applyBorder="1" applyAlignment="1">
      <alignment horizontal="center" vertical="center" wrapText="1"/>
    </xf>
    <xf numFmtId="49" fontId="20" fillId="2" borderId="1" xfId="80" applyNumberFormat="1" applyFont="1" applyFill="1" applyBorder="1"/>
    <xf numFmtId="0" fontId="20" fillId="2" borderId="1" xfId="80" applyFont="1" applyFill="1" applyBorder="1"/>
    <xf numFmtId="0" fontId="58" fillId="2" borderId="1" xfId="80" applyFont="1" applyFill="1" applyBorder="1" applyAlignment="1">
      <alignment vertical="distributed"/>
    </xf>
    <xf numFmtId="2" fontId="20" fillId="2" borderId="1" xfId="80" applyNumberFormat="1" applyFont="1" applyFill="1" applyBorder="1" applyAlignment="1">
      <alignment horizontal="center" vertical="center"/>
    </xf>
    <xf numFmtId="2" fontId="46" fillId="2" borderId="1" xfId="80" applyNumberFormat="1" applyFont="1" applyFill="1" applyBorder="1" applyAlignment="1">
      <alignment horizontal="center" vertical="center"/>
    </xf>
    <xf numFmtId="0" fontId="19" fillId="0" borderId="1" xfId="80" applyFont="1" applyBorder="1" applyAlignment="1"/>
    <xf numFmtId="43" fontId="19" fillId="2" borderId="1" xfId="80" applyNumberFormat="1" applyFont="1" applyFill="1" applyBorder="1" applyAlignment="1">
      <alignment horizontal="center" wrapText="1"/>
    </xf>
    <xf numFmtId="2" fontId="47" fillId="2" borderId="1" xfId="80" applyNumberFormat="1" applyFont="1" applyFill="1" applyBorder="1" applyAlignment="1">
      <alignment horizontal="center" vertical="center"/>
    </xf>
    <xf numFmtId="43" fontId="19" fillId="2" borderId="1" xfId="80" applyNumberFormat="1" applyFont="1" applyFill="1" applyBorder="1" applyAlignment="1">
      <alignment horizontal="center" vertical="center" wrapText="1"/>
    </xf>
    <xf numFmtId="49" fontId="19" fillId="6" borderId="0" xfId="80" applyNumberFormat="1" applyFont="1" applyFill="1" applyBorder="1"/>
    <xf numFmtId="0" fontId="19" fillId="6" borderId="0" xfId="80" applyFont="1" applyFill="1" applyBorder="1"/>
    <xf numFmtId="0" fontId="58" fillId="6" borderId="0" xfId="80" applyFont="1" applyFill="1" applyBorder="1"/>
    <xf numFmtId="0" fontId="59" fillId="6" borderId="0" xfId="80" applyFont="1" applyFill="1" applyBorder="1" applyAlignment="1">
      <alignment vertical="distributed"/>
    </xf>
    <xf numFmtId="43" fontId="19" fillId="6" borderId="0" xfId="80" applyNumberFormat="1" applyFont="1" applyFill="1" applyBorder="1" applyAlignment="1">
      <alignment horizontal="center" vertical="distributed"/>
    </xf>
    <xf numFmtId="43" fontId="19" fillId="6" borderId="0" xfId="80" applyNumberFormat="1" applyFont="1" applyFill="1" applyBorder="1" applyAlignment="1">
      <alignment horizontal="center"/>
    </xf>
    <xf numFmtId="43" fontId="19" fillId="6" borderId="0" xfId="80" applyNumberFormat="1" applyFont="1" applyFill="1" applyBorder="1" applyAlignment="1">
      <alignment horizontal="center" vertical="center" wrapText="1"/>
    </xf>
    <xf numFmtId="0" fontId="46" fillId="6" borderId="0" xfId="80" applyFont="1" applyFill="1"/>
    <xf numFmtId="0" fontId="46" fillId="0" borderId="0" xfId="80" applyFont="1" applyAlignment="1">
      <alignment vertical="center"/>
    </xf>
    <xf numFmtId="0" fontId="46" fillId="0" borderId="0" xfId="80" applyFont="1" applyFill="1"/>
    <xf numFmtId="0" fontId="46" fillId="0" borderId="1" xfId="80" applyFont="1" applyFill="1" applyBorder="1" applyAlignment="1">
      <alignment horizontal="center" vertical="center" wrapText="1"/>
    </xf>
    <xf numFmtId="182" fontId="46" fillId="0" borderId="1" xfId="81" applyNumberFormat="1" applyFont="1" applyFill="1" applyBorder="1" applyAlignment="1">
      <alignment horizontal="center" vertical="center" wrapText="1"/>
    </xf>
    <xf numFmtId="0" fontId="21" fillId="0" borderId="0" xfId="80" applyFont="1" applyBorder="1" applyAlignment="1">
      <alignment horizontal="left" vertical="center" wrapText="1"/>
    </xf>
    <xf numFmtId="0" fontId="21" fillId="0" borderId="0" xfId="80" applyFont="1" applyBorder="1" applyAlignment="1">
      <alignment horizontal="left" vertical="center"/>
    </xf>
    <xf numFmtId="0" fontId="83" fillId="0" borderId="0" xfId="80" applyFont="1" applyAlignment="1">
      <alignment vertical="center" wrapText="1"/>
    </xf>
    <xf numFmtId="0" fontId="60" fillId="0" borderId="0" xfId="80" applyFont="1" applyAlignment="1">
      <alignment vertical="center" wrapText="1"/>
    </xf>
    <xf numFmtId="0" fontId="60" fillId="0" borderId="10" xfId="80" applyFont="1" applyBorder="1" applyAlignment="1"/>
    <xf numFmtId="0" fontId="61" fillId="0" borderId="0" xfId="80" applyFont="1" applyAlignment="1">
      <alignment horizontal="center" vertical="top" wrapText="1"/>
    </xf>
    <xf numFmtId="0" fontId="21" fillId="0" borderId="0" xfId="80" applyFont="1" applyAlignment="1">
      <alignment horizontal="center" vertical="center" wrapText="1"/>
    </xf>
    <xf numFmtId="0" fontId="21" fillId="0" borderId="0" xfId="80" applyFont="1" applyBorder="1" applyAlignment="1">
      <alignment horizontal="center" vertical="top"/>
    </xf>
    <xf numFmtId="0" fontId="21" fillId="0" borderId="0" xfId="80" applyFont="1" applyAlignment="1">
      <alignment vertical="center" wrapText="1"/>
    </xf>
    <xf numFmtId="0" fontId="62" fillId="0" borderId="0" xfId="80" applyFont="1"/>
    <xf numFmtId="0" fontId="19" fillId="0" borderId="0" xfId="80" applyFont="1" applyAlignment="1">
      <alignment horizontal="left"/>
    </xf>
    <xf numFmtId="0" fontId="42" fillId="0" borderId="0" xfId="82" applyFont="1" applyFill="1"/>
    <xf numFmtId="0" fontId="42" fillId="0" borderId="0" xfId="82" applyFont="1" applyFill="1" applyAlignment="1">
      <alignment horizontal="left" vertical="center"/>
    </xf>
    <xf numFmtId="165" fontId="42" fillId="0" borderId="0" xfId="82" applyNumberFormat="1" applyFont="1" applyFill="1" applyAlignment="1">
      <alignment horizontal="right" vertical="center"/>
    </xf>
    <xf numFmtId="0" fontId="42" fillId="0" borderId="0" xfId="82" applyFont="1" applyFill="1" applyBorder="1"/>
    <xf numFmtId="165" fontId="42" fillId="0" borderId="0" xfId="82" applyNumberFormat="1" applyFont="1" applyFill="1" applyBorder="1" applyAlignment="1">
      <alignment horizontal="center" vertical="center"/>
    </xf>
    <xf numFmtId="165" fontId="42" fillId="15" borderId="0" xfId="82" applyNumberFormat="1" applyFont="1" applyFill="1" applyBorder="1"/>
    <xf numFmtId="165" fontId="42" fillId="0" borderId="0" xfId="82" applyNumberFormat="1" applyFont="1" applyFill="1" applyBorder="1"/>
    <xf numFmtId="0" fontId="42" fillId="0" borderId="0" xfId="82" applyFont="1" applyFill="1" applyAlignment="1">
      <alignment horizontal="right" vertical="center"/>
    </xf>
    <xf numFmtId="0" fontId="42" fillId="0" borderId="0" xfId="82" applyFont="1"/>
    <xf numFmtId="165" fontId="42" fillId="0" borderId="0" xfId="82" applyNumberFormat="1" applyFont="1"/>
    <xf numFmtId="165" fontId="41" fillId="15" borderId="1" xfId="82" applyNumberFormat="1" applyFont="1" applyFill="1" applyBorder="1" applyAlignment="1">
      <alignment horizontal="center" vertical="center" wrapText="1"/>
    </xf>
    <xf numFmtId="165" fontId="41" fillId="0" borderId="1" xfId="82" applyNumberFormat="1" applyFont="1" applyBorder="1" applyAlignment="1">
      <alignment horizontal="center" vertical="center" wrapText="1"/>
    </xf>
    <xf numFmtId="0" fontId="84" fillId="0" borderId="1" xfId="82" applyFont="1" applyBorder="1" applyAlignment="1">
      <alignment horizontal="center" vertical="center" wrapText="1"/>
    </xf>
    <xf numFmtId="0" fontId="84" fillId="15" borderId="1" xfId="82" applyFont="1" applyFill="1" applyBorder="1" applyAlignment="1">
      <alignment horizontal="center" vertical="center" wrapText="1"/>
    </xf>
    <xf numFmtId="0" fontId="42" fillId="0" borderId="1" xfId="82" applyFont="1" applyBorder="1" applyAlignment="1">
      <alignment horizontal="center" vertical="center"/>
    </xf>
    <xf numFmtId="0" fontId="42" fillId="0" borderId="0" xfId="82" applyFont="1" applyAlignment="1">
      <alignment horizontal="center"/>
    </xf>
    <xf numFmtId="0" fontId="57" fillId="0" borderId="7" xfId="82" applyFont="1" applyBorder="1" applyAlignment="1">
      <alignment horizontal="center" vertical="center" wrapText="1"/>
    </xf>
    <xf numFmtId="0" fontId="19" fillId="2" borderId="7" xfId="82" applyFont="1" applyFill="1" applyBorder="1" applyAlignment="1">
      <alignment horizontal="left" vertical="center" wrapText="1"/>
    </xf>
    <xf numFmtId="0" fontId="57" fillId="2" borderId="7" xfId="82" applyFont="1" applyFill="1" applyBorder="1" applyAlignment="1">
      <alignment horizontal="left" vertical="center" wrapText="1"/>
    </xf>
    <xf numFmtId="165" fontId="57" fillId="2" borderId="7" xfId="82" applyNumberFormat="1" applyFont="1" applyFill="1" applyBorder="1" applyAlignment="1">
      <alignment horizontal="right" vertical="center" wrapText="1"/>
    </xf>
    <xf numFmtId="0" fontId="57" fillId="0" borderId="7" xfId="82" applyFont="1" applyFill="1" applyBorder="1" applyAlignment="1">
      <alignment horizontal="center" vertical="center" wrapText="1"/>
    </xf>
    <xf numFmtId="165" fontId="57" fillId="0" borderId="7" xfId="82" applyNumberFormat="1" applyFont="1" applyFill="1" applyBorder="1" applyAlignment="1">
      <alignment horizontal="center" vertical="center"/>
    </xf>
    <xf numFmtId="165" fontId="57" fillId="15" borderId="7" xfId="82" applyNumberFormat="1" applyFont="1" applyFill="1" applyBorder="1" applyAlignment="1">
      <alignment horizontal="center" vertical="center"/>
    </xf>
    <xf numFmtId="165" fontId="57" fillId="0" borderId="7" xfId="82" applyNumberFormat="1" applyFont="1" applyFill="1" applyBorder="1"/>
    <xf numFmtId="165" fontId="42" fillId="0" borderId="7" xfId="82" applyNumberFormat="1" applyFont="1" applyFill="1" applyBorder="1"/>
    <xf numFmtId="165" fontId="42" fillId="0" borderId="7" xfId="82" applyNumberFormat="1" applyFont="1" applyFill="1" applyBorder="1" applyAlignment="1">
      <alignment horizontal="right"/>
    </xf>
    <xf numFmtId="0" fontId="42" fillId="0" borderId="1" xfId="82" applyFont="1" applyBorder="1" applyAlignment="1">
      <alignment horizontal="left" vertical="center" wrapText="1"/>
    </xf>
    <xf numFmtId="0" fontId="57" fillId="0" borderId="0" xfId="82" applyFont="1"/>
    <xf numFmtId="0" fontId="57" fillId="6" borderId="1" xfId="82" applyFont="1" applyFill="1" applyBorder="1" applyAlignment="1">
      <alignment horizontal="center" vertical="center" wrapText="1"/>
    </xf>
    <xf numFmtId="0" fontId="57" fillId="6" borderId="1" xfId="82" applyFont="1" applyFill="1" applyBorder="1" applyAlignment="1">
      <alignment horizontal="left" vertical="center" wrapText="1"/>
    </xf>
    <xf numFmtId="165" fontId="57" fillId="6" borderId="1" xfId="82" applyNumberFormat="1" applyFont="1" applyFill="1" applyBorder="1" applyAlignment="1">
      <alignment horizontal="right" vertical="center" wrapText="1"/>
    </xf>
    <xf numFmtId="165" fontId="57" fillId="6" borderId="1" xfId="82" applyNumberFormat="1" applyFont="1" applyFill="1" applyBorder="1" applyAlignment="1">
      <alignment horizontal="center" vertical="center"/>
    </xf>
    <xf numFmtId="165" fontId="57" fillId="6" borderId="1" xfId="82" applyNumberFormat="1" applyFont="1" applyFill="1" applyBorder="1"/>
    <xf numFmtId="0" fontId="42" fillId="6" borderId="1" xfId="82" applyFont="1" applyFill="1" applyBorder="1" applyAlignment="1">
      <alignment horizontal="left" vertical="center"/>
    </xf>
    <xf numFmtId="0" fontId="57" fillId="6" borderId="0" xfId="82" applyFont="1" applyFill="1"/>
    <xf numFmtId="0" fontId="42" fillId="0" borderId="0" xfId="82" applyFont="1" applyAlignment="1">
      <alignment horizontal="left" vertical="center"/>
    </xf>
    <xf numFmtId="165" fontId="42" fillId="0" borderId="0" xfId="82" applyNumberFormat="1" applyFont="1" applyAlignment="1">
      <alignment horizontal="right" vertical="center"/>
    </xf>
    <xf numFmtId="165" fontId="42" fillId="0" borderId="0" xfId="82" applyNumberFormat="1" applyFont="1" applyFill="1" applyAlignment="1">
      <alignment horizontal="center" vertical="center"/>
    </xf>
    <xf numFmtId="165" fontId="42" fillId="15" borderId="0" xfId="82" applyNumberFormat="1" applyFont="1" applyFill="1"/>
    <xf numFmtId="165" fontId="42" fillId="0" borderId="0" xfId="82" applyNumberFormat="1" applyFont="1" applyFill="1"/>
    <xf numFmtId="0" fontId="134" fillId="0" borderId="0" xfId="82" applyFont="1"/>
    <xf numFmtId="0" fontId="134" fillId="0" borderId="0" xfId="82" applyFont="1" applyAlignment="1">
      <alignment horizontal="left" vertical="center"/>
    </xf>
    <xf numFmtId="0" fontId="50" fillId="0" borderId="0" xfId="80" applyFont="1"/>
    <xf numFmtId="0" fontId="50" fillId="0" borderId="0" xfId="80" applyFont="1" applyAlignment="1">
      <alignment wrapText="1"/>
    </xf>
    <xf numFmtId="3" fontId="50" fillId="0" borderId="0" xfId="80" applyNumberFormat="1" applyFont="1"/>
    <xf numFmtId="165" fontId="50" fillId="0" borderId="0" xfId="80" applyNumberFormat="1" applyFont="1"/>
    <xf numFmtId="165" fontId="63" fillId="0" borderId="0" xfId="80" applyNumberFormat="1" applyFont="1"/>
    <xf numFmtId="0" fontId="50" fillId="0" borderId="0" xfId="80" applyFont="1" applyAlignment="1">
      <alignment horizontal="right"/>
    </xf>
    <xf numFmtId="0" fontId="50" fillId="2" borderId="0" xfId="80" applyFont="1" applyFill="1"/>
    <xf numFmtId="0" fontId="63" fillId="0" borderId="0" xfId="80" applyFont="1" applyAlignment="1">
      <alignment horizontal="center"/>
    </xf>
    <xf numFmtId="165" fontId="63" fillId="0" borderId="0" xfId="80" applyNumberFormat="1" applyFont="1" applyAlignment="1">
      <alignment horizontal="center"/>
    </xf>
    <xf numFmtId="14" fontId="50" fillId="0" borderId="0" xfId="80" applyNumberFormat="1" applyFont="1" applyAlignment="1">
      <alignment horizontal="right"/>
    </xf>
    <xf numFmtId="165" fontId="63" fillId="0" borderId="0" xfId="80" applyNumberFormat="1" applyFont="1" applyFill="1"/>
    <xf numFmtId="0" fontId="50" fillId="0" borderId="0" xfId="80" applyFont="1" applyFill="1"/>
    <xf numFmtId="1" fontId="42" fillId="0" borderId="1" xfId="80" applyNumberFormat="1" applyFont="1" applyBorder="1" applyAlignment="1">
      <alignment horizontal="center" vertical="center" wrapText="1"/>
    </xf>
    <xf numFmtId="1" fontId="50" fillId="2" borderId="10" xfId="80" applyNumberFormat="1" applyFont="1" applyFill="1" applyBorder="1"/>
    <xf numFmtId="1" fontId="50" fillId="0" borderId="10" xfId="80" applyNumberFormat="1" applyFont="1" applyBorder="1"/>
    <xf numFmtId="0" fontId="50" fillId="2" borderId="1" xfId="80" applyFont="1" applyFill="1" applyBorder="1" applyAlignment="1">
      <alignment horizontal="center" vertical="center"/>
    </xf>
    <xf numFmtId="3" fontId="42" fillId="2" borderId="1" xfId="80" applyNumberFormat="1" applyFont="1" applyFill="1" applyBorder="1" applyAlignment="1">
      <alignment horizontal="center" vertical="center" wrapText="1"/>
    </xf>
    <xf numFmtId="165" fontId="42" fillId="2" borderId="1" xfId="80" applyNumberFormat="1" applyFont="1" applyFill="1" applyBorder="1" applyAlignment="1">
      <alignment horizontal="center" vertical="center" wrapText="1"/>
    </xf>
    <xf numFmtId="0" fontId="50" fillId="6" borderId="1" xfId="80" applyFont="1" applyFill="1" applyBorder="1" applyAlignment="1">
      <alignment vertical="center"/>
    </xf>
    <xf numFmtId="165" fontId="63" fillId="6" borderId="1" xfId="80" applyNumberFormat="1" applyFont="1" applyFill="1" applyBorder="1" applyAlignment="1">
      <alignment horizontal="center" vertical="center"/>
    </xf>
    <xf numFmtId="0" fontId="50" fillId="6" borderId="0" xfId="80" applyFont="1" applyFill="1"/>
    <xf numFmtId="0" fontId="50" fillId="0" borderId="0" xfId="80" applyFont="1" applyBorder="1"/>
    <xf numFmtId="0" fontId="63" fillId="0" borderId="0" xfId="80" applyFont="1" applyBorder="1" applyAlignment="1">
      <alignment wrapText="1"/>
    </xf>
    <xf numFmtId="3" fontId="50" fillId="0" borderId="0" xfId="80" applyNumberFormat="1" applyFont="1" applyBorder="1"/>
    <xf numFmtId="165" fontId="50" fillId="0" borderId="0" xfId="80" applyNumberFormat="1" applyFont="1" applyBorder="1"/>
    <xf numFmtId="165" fontId="63" fillId="0" borderId="0" xfId="80" applyNumberFormat="1" applyFont="1" applyBorder="1"/>
    <xf numFmtId="0" fontId="62" fillId="0" borderId="0" xfId="80" applyFont="1" applyAlignment="1">
      <alignment wrapText="1"/>
    </xf>
    <xf numFmtId="4" fontId="50" fillId="0" borderId="0" xfId="80" applyNumberFormat="1" applyFont="1"/>
    <xf numFmtId="4" fontId="63" fillId="0" borderId="0" xfId="80" applyNumberFormat="1" applyFont="1"/>
    <xf numFmtId="0" fontId="137" fillId="0" borderId="0" xfId="80" applyFont="1" applyAlignment="1">
      <alignment wrapText="1"/>
    </xf>
    <xf numFmtId="0" fontId="60" fillId="0" borderId="0" xfId="80" applyFont="1" applyAlignment="1">
      <alignment wrapText="1"/>
    </xf>
    <xf numFmtId="3" fontId="65" fillId="0" borderId="0" xfId="80" applyNumberFormat="1" applyFont="1"/>
    <xf numFmtId="165" fontId="65" fillId="0" borderId="0" xfId="80" applyNumberFormat="1" applyFont="1"/>
    <xf numFmtId="165" fontId="66" fillId="0" borderId="0" xfId="80" applyNumberFormat="1" applyFont="1"/>
    <xf numFmtId="0" fontId="65" fillId="0" borderId="0" xfId="80" applyFont="1"/>
    <xf numFmtId="0" fontId="65" fillId="2" borderId="0" xfId="80" applyFont="1" applyFill="1"/>
    <xf numFmtId="0" fontId="60" fillId="0" borderId="0" xfId="80" applyFont="1" applyAlignment="1"/>
    <xf numFmtId="0" fontId="67" fillId="2" borderId="0" xfId="80" applyNumberFormat="1" applyFont="1" applyFill="1" applyBorder="1" applyAlignment="1" applyProtection="1">
      <alignment vertical="center"/>
    </xf>
    <xf numFmtId="0" fontId="68" fillId="2" borderId="0" xfId="80" applyNumberFormat="1" applyFont="1" applyFill="1" applyBorder="1" applyAlignment="1" applyProtection="1">
      <alignment vertical="top" wrapText="1"/>
    </xf>
    <xf numFmtId="0" fontId="68" fillId="2" borderId="0" xfId="80" applyNumberFormat="1" applyFont="1" applyFill="1" applyBorder="1" applyAlignment="1" applyProtection="1">
      <alignment horizontal="center" vertical="center"/>
    </xf>
    <xf numFmtId="0" fontId="68" fillId="2" borderId="0" xfId="80" applyNumberFormat="1" applyFont="1" applyFill="1" applyBorder="1" applyAlignment="1" applyProtection="1">
      <alignment vertical="top"/>
    </xf>
    <xf numFmtId="4" fontId="68" fillId="2" borderId="0" xfId="80" applyNumberFormat="1" applyFont="1" applyFill="1" applyBorder="1" applyAlignment="1" applyProtection="1">
      <alignment vertical="top"/>
    </xf>
    <xf numFmtId="0" fontId="108" fillId="2" borderId="0" xfId="80" applyNumberFormat="1" applyFont="1" applyFill="1" applyBorder="1" applyAlignment="1" applyProtection="1">
      <alignment horizontal="center" vertical="top"/>
    </xf>
    <xf numFmtId="0" fontId="68" fillId="2" borderId="0" xfId="80" applyNumberFormat="1" applyFont="1" applyFill="1" applyBorder="1" applyAlignment="1" applyProtection="1">
      <alignment horizontal="right" vertical="top"/>
    </xf>
    <xf numFmtId="0" fontId="68" fillId="2" borderId="0" xfId="80" applyNumberFormat="1" applyFont="1" applyFill="1" applyBorder="1" applyAlignment="1" applyProtection="1">
      <alignment horizontal="right"/>
    </xf>
    <xf numFmtId="0" fontId="109" fillId="2" borderId="1" xfId="80" applyNumberFormat="1" applyFont="1" applyFill="1" applyBorder="1" applyAlignment="1" applyProtection="1">
      <alignment horizontal="center" vertical="center" wrapText="1"/>
    </xf>
    <xf numFmtId="4" fontId="109" fillId="2" borderId="5" xfId="80" applyNumberFormat="1" applyFont="1" applyFill="1" applyBorder="1" applyAlignment="1" applyProtection="1">
      <alignment horizontal="center" vertical="center"/>
    </xf>
    <xf numFmtId="4" fontId="109" fillId="2" borderId="2" xfId="80" applyNumberFormat="1" applyFont="1" applyFill="1" applyBorder="1" applyAlignment="1" applyProtection="1">
      <alignment horizontal="center" vertical="center"/>
    </xf>
    <xf numFmtId="0" fontId="68" fillId="2" borderId="0" xfId="80" applyNumberFormat="1" applyFont="1" applyFill="1" applyBorder="1" applyAlignment="1" applyProtection="1">
      <alignment horizontal="center" vertical="center" wrapText="1"/>
    </xf>
    <xf numFmtId="0" fontId="73" fillId="2" borderId="1" xfId="80" applyNumberFormat="1" applyFont="1" applyFill="1" applyBorder="1" applyAlignment="1" applyProtection="1">
      <alignment horizontal="left" vertical="center" indent="1"/>
    </xf>
    <xf numFmtId="0" fontId="71" fillId="2" borderId="1" xfId="80" applyNumberFormat="1" applyFont="1" applyFill="1" applyBorder="1" applyAlignment="1" applyProtection="1">
      <alignment vertical="top" wrapText="1"/>
    </xf>
    <xf numFmtId="0" fontId="73" fillId="2" borderId="1" xfId="80" applyNumberFormat="1" applyFont="1" applyFill="1" applyBorder="1" applyAlignment="1" applyProtection="1">
      <alignment horizontal="center" vertical="center"/>
    </xf>
    <xf numFmtId="0" fontId="73" fillId="2" borderId="1" xfId="80" applyNumberFormat="1" applyFont="1" applyFill="1" applyBorder="1" applyAlignment="1" applyProtection="1">
      <alignment vertical="top"/>
    </xf>
    <xf numFmtId="4" fontId="73" fillId="2" borderId="1" xfId="80" applyNumberFormat="1" applyFont="1" applyFill="1" applyBorder="1" applyAlignment="1" applyProtection="1">
      <alignment vertical="top"/>
    </xf>
    <xf numFmtId="0" fontId="73" fillId="2" borderId="0" xfId="80" applyNumberFormat="1" applyFont="1" applyFill="1" applyBorder="1" applyAlignment="1" applyProtection="1">
      <alignment vertical="top"/>
    </xf>
    <xf numFmtId="0" fontId="68" fillId="2" borderId="1" xfId="80" applyNumberFormat="1" applyFont="1" applyFill="1" applyBorder="1" applyAlignment="1" applyProtection="1">
      <alignment horizontal="left" vertical="center" indent="1"/>
    </xf>
    <xf numFmtId="0" fontId="68" fillId="2" borderId="1" xfId="80" applyNumberFormat="1" applyFont="1" applyFill="1" applyBorder="1" applyAlignment="1" applyProtection="1">
      <alignment vertical="top" wrapText="1"/>
    </xf>
    <xf numFmtId="0" fontId="68" fillId="2" borderId="1" xfId="80" applyNumberFormat="1" applyFont="1" applyFill="1" applyBorder="1" applyAlignment="1" applyProtection="1">
      <alignment horizontal="center" vertical="center"/>
    </xf>
    <xf numFmtId="0" fontId="68" fillId="2" borderId="1" xfId="80" applyNumberFormat="1" applyFont="1" applyFill="1" applyBorder="1" applyAlignment="1" applyProtection="1">
      <alignment vertical="top"/>
    </xf>
    <xf numFmtId="4" fontId="68" fillId="2" borderId="1" xfId="80" applyNumberFormat="1" applyFont="1" applyFill="1" applyBorder="1" applyAlignment="1" applyProtection="1">
      <alignment vertical="top"/>
    </xf>
    <xf numFmtId="0" fontId="68" fillId="24" borderId="1" xfId="80" applyNumberFormat="1" applyFont="1" applyFill="1" applyBorder="1" applyAlignment="1" applyProtection="1">
      <alignment vertical="top" wrapText="1"/>
    </xf>
    <xf numFmtId="4" fontId="68" fillId="2" borderId="1" xfId="80" applyNumberFormat="1" applyFont="1" applyFill="1" applyBorder="1" applyAlignment="1" applyProtection="1">
      <alignment horizontal="center" vertical="top"/>
    </xf>
    <xf numFmtId="0" fontId="113" fillId="2" borderId="1" xfId="80" applyNumberFormat="1" applyFont="1" applyFill="1" applyBorder="1" applyAlignment="1" applyProtection="1">
      <alignment horizontal="left" vertical="center" indent="1"/>
    </xf>
    <xf numFmtId="0" fontId="113" fillId="2" borderId="1" xfId="80" applyNumberFormat="1" applyFont="1" applyFill="1" applyBorder="1" applyAlignment="1" applyProtection="1">
      <alignment vertical="top" wrapText="1"/>
    </xf>
    <xf numFmtId="0" fontId="113" fillId="2" borderId="1" xfId="80" applyNumberFormat="1" applyFont="1" applyFill="1" applyBorder="1" applyAlignment="1" applyProtection="1">
      <alignment horizontal="center" vertical="center"/>
    </xf>
    <xf numFmtId="0" fontId="113" fillId="2" borderId="1" xfId="80" applyNumberFormat="1" applyFont="1" applyFill="1" applyBorder="1" applyAlignment="1" applyProtection="1">
      <alignment vertical="top"/>
    </xf>
    <xf numFmtId="4" fontId="113" fillId="2" borderId="1" xfId="80" applyNumberFormat="1" applyFont="1" applyFill="1" applyBorder="1" applyAlignment="1" applyProtection="1">
      <alignment vertical="top"/>
    </xf>
    <xf numFmtId="4" fontId="113" fillId="2" borderId="1" xfId="80" applyNumberFormat="1" applyFont="1" applyFill="1" applyBorder="1" applyAlignment="1" applyProtection="1">
      <alignment horizontal="center" vertical="top"/>
    </xf>
    <xf numFmtId="4" fontId="73" fillId="2" borderId="1" xfId="80" applyNumberFormat="1" applyFont="1" applyFill="1" applyBorder="1" applyAlignment="1" applyProtection="1">
      <alignment horizontal="center" vertical="top"/>
    </xf>
    <xf numFmtId="0" fontId="114" fillId="2" borderId="1" xfId="80" applyNumberFormat="1" applyFont="1" applyFill="1" applyBorder="1" applyAlignment="1" applyProtection="1">
      <alignment vertical="top" wrapText="1"/>
    </xf>
    <xf numFmtId="0" fontId="68" fillId="2" borderId="1" xfId="80" applyNumberFormat="1" applyFont="1" applyFill="1" applyBorder="1" applyAlignment="1" applyProtection="1">
      <alignment vertical="center" wrapText="1"/>
    </xf>
    <xf numFmtId="0" fontId="73" fillId="2" borderId="1" xfId="80" applyNumberFormat="1" applyFont="1" applyFill="1" applyBorder="1" applyAlignment="1" applyProtection="1">
      <alignment vertical="center" wrapText="1"/>
    </xf>
    <xf numFmtId="0" fontId="114" fillId="2" borderId="1" xfId="80" applyNumberFormat="1" applyFont="1" applyFill="1" applyBorder="1" applyAlignment="1" applyProtection="1">
      <alignment vertical="center" wrapText="1"/>
    </xf>
    <xf numFmtId="0" fontId="112" fillId="2" borderId="1" xfId="80" applyNumberFormat="1" applyFont="1" applyFill="1" applyBorder="1" applyAlignment="1" applyProtection="1">
      <alignment vertical="top"/>
    </xf>
    <xf numFmtId="4" fontId="112" fillId="2" borderId="1" xfId="80" applyNumberFormat="1" applyFont="1" applyFill="1" applyBorder="1" applyAlignment="1" applyProtection="1">
      <alignment vertical="top"/>
    </xf>
    <xf numFmtId="0" fontId="115" fillId="2" borderId="1" xfId="80" applyNumberFormat="1" applyFont="1" applyFill="1" applyBorder="1" applyAlignment="1" applyProtection="1">
      <alignment vertical="top" wrapText="1"/>
    </xf>
    <xf numFmtId="1" fontId="112" fillId="2" borderId="1" xfId="80" applyNumberFormat="1" applyFont="1" applyFill="1" applyBorder="1" applyAlignment="1" applyProtection="1">
      <alignment vertical="top"/>
    </xf>
    <xf numFmtId="4" fontId="112" fillId="2" borderId="1" xfId="80" applyNumberFormat="1" applyFont="1" applyFill="1" applyBorder="1" applyAlignment="1" applyProtection="1">
      <alignment horizontal="center" vertical="top"/>
    </xf>
    <xf numFmtId="4" fontId="112" fillId="2" borderId="1" xfId="80" applyNumberFormat="1" applyFont="1" applyFill="1" applyBorder="1" applyAlignment="1" applyProtection="1">
      <alignment horizontal="right" vertical="top"/>
    </xf>
    <xf numFmtId="0" fontId="116" fillId="2" borderId="1" xfId="80" applyNumberFormat="1" applyFont="1" applyFill="1" applyBorder="1" applyAlignment="1" applyProtection="1">
      <alignment horizontal="left" vertical="center" indent="1"/>
    </xf>
    <xf numFmtId="0" fontId="116" fillId="2" borderId="1" xfId="80" applyNumberFormat="1" applyFont="1" applyFill="1" applyBorder="1" applyAlignment="1" applyProtection="1">
      <alignment vertical="top" wrapText="1"/>
    </xf>
    <xf numFmtId="0" fontId="64" fillId="2" borderId="1" xfId="80" applyNumberFormat="1" applyFont="1" applyFill="1" applyBorder="1" applyAlignment="1" applyProtection="1">
      <alignment vertical="top" wrapText="1"/>
    </xf>
    <xf numFmtId="0" fontId="112" fillId="2" borderId="1" xfId="80" applyNumberFormat="1" applyFont="1" applyFill="1" applyBorder="1" applyAlignment="1" applyProtection="1">
      <alignment vertical="top" wrapText="1"/>
    </xf>
    <xf numFmtId="0" fontId="68" fillId="7" borderId="1" xfId="80" applyNumberFormat="1" applyFont="1" applyFill="1" applyBorder="1" applyAlignment="1" applyProtection="1">
      <alignment vertical="center"/>
    </xf>
    <xf numFmtId="0" fontId="116" fillId="7" borderId="1" xfId="80" applyNumberFormat="1" applyFont="1" applyFill="1" applyBorder="1" applyAlignment="1" applyProtection="1">
      <alignment vertical="top" wrapText="1"/>
    </xf>
    <xf numFmtId="0" fontId="116" fillId="7" borderId="1" xfId="80" applyNumberFormat="1" applyFont="1" applyFill="1" applyBorder="1" applyAlignment="1" applyProtection="1">
      <alignment horizontal="center" vertical="center"/>
    </xf>
    <xf numFmtId="0" fontId="116" fillId="7" borderId="1" xfId="80" applyNumberFormat="1" applyFont="1" applyFill="1" applyBorder="1" applyAlignment="1" applyProtection="1">
      <alignment vertical="top"/>
    </xf>
    <xf numFmtId="4" fontId="116" fillId="7" borderId="1" xfId="80" applyNumberFormat="1" applyFont="1" applyFill="1" applyBorder="1" applyAlignment="1" applyProtection="1">
      <alignment vertical="top"/>
    </xf>
    <xf numFmtId="4" fontId="116" fillId="7" borderId="1" xfId="80" applyNumberFormat="1" applyFont="1" applyFill="1" applyBorder="1" applyAlignment="1" applyProtection="1">
      <alignment horizontal="center" vertical="top"/>
    </xf>
    <xf numFmtId="0" fontId="68" fillId="7" borderId="1" xfId="80" applyNumberFormat="1" applyFont="1" applyFill="1" applyBorder="1" applyAlignment="1" applyProtection="1">
      <alignment vertical="top"/>
    </xf>
    <xf numFmtId="0" fontId="68" fillId="7" borderId="0" xfId="80" applyNumberFormat="1" applyFont="1" applyFill="1" applyBorder="1" applyAlignment="1" applyProtection="1">
      <alignment vertical="top"/>
    </xf>
    <xf numFmtId="0" fontId="68" fillId="2" borderId="0" xfId="80" applyNumberFormat="1" applyFont="1" applyFill="1" applyBorder="1" applyAlignment="1" applyProtection="1">
      <alignment vertical="center"/>
    </xf>
    <xf numFmtId="0" fontId="72" fillId="2" borderId="0" xfId="80" applyNumberFormat="1" applyFont="1" applyFill="1" applyBorder="1" applyAlignment="1" applyProtection="1">
      <alignment vertical="center"/>
    </xf>
    <xf numFmtId="0" fontId="62" fillId="2" borderId="0" xfId="80" applyFont="1" applyFill="1" applyAlignment="1">
      <alignment wrapText="1"/>
    </xf>
    <xf numFmtId="0" fontId="50" fillId="2" borderId="0" xfId="80" applyFont="1" applyFill="1" applyAlignment="1">
      <alignment horizontal="center" vertical="center" wrapText="1"/>
    </xf>
    <xf numFmtId="0" fontId="50" fillId="2" borderId="0" xfId="80" applyFont="1" applyFill="1" applyBorder="1" applyAlignment="1">
      <alignment vertical="center"/>
    </xf>
    <xf numFmtId="4" fontId="62" fillId="2" borderId="0" xfId="80" applyNumberFormat="1" applyFont="1" applyFill="1" applyBorder="1" applyAlignment="1"/>
    <xf numFmtId="2" fontId="72" fillId="2" borderId="0" xfId="80" applyNumberFormat="1" applyFont="1" applyFill="1" applyBorder="1" applyAlignment="1" applyProtection="1">
      <alignment vertical="top"/>
    </xf>
    <xf numFmtId="0" fontId="72" fillId="2" borderId="0" xfId="80" applyNumberFormat="1" applyFont="1" applyFill="1" applyBorder="1" applyAlignment="1" applyProtection="1">
      <alignment vertical="top"/>
    </xf>
    <xf numFmtId="0" fontId="62" fillId="2" borderId="0" xfId="80" applyFont="1" applyFill="1" applyBorder="1" applyAlignment="1">
      <alignment vertical="top"/>
    </xf>
    <xf numFmtId="4" fontId="62" fillId="2" borderId="0" xfId="80" applyNumberFormat="1" applyFont="1" applyFill="1" applyBorder="1" applyAlignment="1">
      <alignment vertical="top"/>
    </xf>
    <xf numFmtId="0" fontId="50" fillId="2" borderId="0" xfId="80" applyFont="1" applyFill="1" applyBorder="1" applyAlignment="1">
      <alignment horizontal="center" vertical="center"/>
    </xf>
    <xf numFmtId="0" fontId="167" fillId="2" borderId="0" xfId="80" applyFont="1" applyFill="1" applyAlignment="1">
      <alignment wrapText="1"/>
    </xf>
    <xf numFmtId="0" fontId="72" fillId="2" borderId="0" xfId="80" applyNumberFormat="1" applyFont="1" applyFill="1" applyBorder="1" applyAlignment="1" applyProtection="1">
      <alignment horizontal="center" vertical="center"/>
    </xf>
    <xf numFmtId="4" fontId="19" fillId="0" borderId="1" xfId="3" applyNumberFormat="1" applyFont="1" applyBorder="1" applyAlignment="1">
      <alignment horizontal="right"/>
    </xf>
    <xf numFmtId="4" fontId="20" fillId="0" borderId="40" xfId="3" applyNumberFormat="1" applyFont="1" applyBorder="1" applyAlignment="1">
      <alignment horizontal="right"/>
    </xf>
    <xf numFmtId="4" fontId="19" fillId="0" borderId="4" xfId="3" applyNumberFormat="1" applyFont="1" applyBorder="1" applyAlignment="1">
      <alignment horizontal="right"/>
    </xf>
    <xf numFmtId="4" fontId="20" fillId="0" borderId="1" xfId="3" applyNumberFormat="1" applyFont="1" applyBorder="1" applyAlignment="1">
      <alignment horizontal="right"/>
    </xf>
    <xf numFmtId="0" fontId="76" fillId="2" borderId="0" xfId="25" applyFont="1" applyFill="1" applyBorder="1" applyAlignment="1">
      <alignment vertical="center" wrapText="1"/>
    </xf>
    <xf numFmtId="0" fontId="76" fillId="2" borderId="0" xfId="25" applyFont="1" applyFill="1" applyBorder="1" applyAlignment="1">
      <alignment vertical="center"/>
    </xf>
    <xf numFmtId="0" fontId="76" fillId="2" borderId="0" xfId="25" applyFont="1" applyFill="1"/>
    <xf numFmtId="4" fontId="76" fillId="2" borderId="0" xfId="25" applyNumberFormat="1" applyFont="1" applyFill="1" applyBorder="1" applyAlignment="1">
      <alignment vertical="center" wrapText="1"/>
    </xf>
    <xf numFmtId="0" fontId="79" fillId="2" borderId="0" xfId="25" applyFont="1" applyFill="1" applyBorder="1" applyAlignment="1">
      <alignment vertical="center" wrapText="1"/>
    </xf>
    <xf numFmtId="4" fontId="76" fillId="2" borderId="0" xfId="25" applyNumberFormat="1" applyFont="1" applyFill="1" applyBorder="1" applyAlignment="1">
      <alignment horizontal="center" vertical="center" wrapText="1"/>
    </xf>
    <xf numFmtId="0" fontId="51" fillId="0" borderId="0" xfId="80" applyFont="1"/>
    <xf numFmtId="0" fontId="51" fillId="0" borderId="0" xfId="80" applyFont="1" applyAlignment="1">
      <alignment horizontal="center"/>
    </xf>
    <xf numFmtId="0" fontId="48" fillId="2" borderId="0" xfId="80" applyFont="1" applyFill="1" applyAlignment="1"/>
    <xf numFmtId="0" fontId="51" fillId="2" borderId="0" xfId="80" applyFont="1" applyFill="1" applyAlignment="1"/>
    <xf numFmtId="0" fontId="51" fillId="2" borderId="0" xfId="80" applyFont="1" applyFill="1" applyAlignment="1">
      <alignment horizontal="right"/>
    </xf>
    <xf numFmtId="0" fontId="51" fillId="2" borderId="0" xfId="80" applyFont="1" applyFill="1"/>
    <xf numFmtId="0" fontId="51" fillId="0" borderId="1" xfId="80" applyFont="1" applyBorder="1" applyAlignment="1">
      <alignment horizontal="center" vertical="center" wrapText="1"/>
    </xf>
    <xf numFmtId="0" fontId="51" fillId="0" borderId="1" xfId="80" applyFont="1" applyBorder="1" applyAlignment="1">
      <alignment vertical="center" wrapText="1"/>
    </xf>
    <xf numFmtId="165" fontId="51" fillId="0" borderId="1" xfId="80" applyNumberFormat="1" applyFont="1" applyBorder="1" applyAlignment="1">
      <alignment horizontal="center" vertical="center" wrapText="1"/>
    </xf>
    <xf numFmtId="0" fontId="48" fillId="0" borderId="1" xfId="80" applyFont="1" applyBorder="1" applyAlignment="1">
      <alignment horizontal="center" vertical="center" wrapText="1"/>
    </xf>
    <xf numFmtId="0" fontId="48" fillId="0" borderId="1" xfId="80" applyFont="1" applyBorder="1" applyAlignment="1">
      <alignment vertical="center" wrapText="1"/>
    </xf>
    <xf numFmtId="165" fontId="48" fillId="0" borderId="1" xfId="80" applyNumberFormat="1" applyFont="1" applyBorder="1" applyAlignment="1">
      <alignment horizontal="center" vertical="center" wrapText="1"/>
    </xf>
    <xf numFmtId="0" fontId="48" fillId="0" borderId="0" xfId="80" applyFont="1"/>
    <xf numFmtId="0" fontId="50" fillId="0" borderId="10" xfId="80" applyFont="1" applyBorder="1" applyAlignment="1">
      <alignment horizontal="center"/>
    </xf>
    <xf numFmtId="0" fontId="50" fillId="0" borderId="10" xfId="80" applyFont="1" applyBorder="1"/>
    <xf numFmtId="0" fontId="176" fillId="0" borderId="0" xfId="80" applyFont="1"/>
    <xf numFmtId="0" fontId="137" fillId="0" borderId="0" xfId="80" applyFont="1"/>
    <xf numFmtId="0" fontId="46" fillId="0" borderId="0" xfId="80" applyFont="1" applyAlignment="1">
      <alignment horizontal="center" vertical="center" wrapText="1"/>
    </xf>
    <xf numFmtId="0" fontId="19" fillId="0" borderId="0" xfId="80" applyFont="1" applyAlignment="1">
      <alignment horizontal="center" vertical="center" wrapText="1"/>
    </xf>
    <xf numFmtId="0" fontId="46" fillId="0" borderId="0" xfId="80" applyFont="1" applyAlignment="1">
      <alignment vertical="center" wrapText="1"/>
    </xf>
    <xf numFmtId="4" fontId="19" fillId="0" borderId="0" xfId="80" applyNumberFormat="1" applyFont="1" applyAlignment="1">
      <alignment horizontal="center" vertical="center" wrapText="1"/>
    </xf>
    <xf numFmtId="0" fontId="46" fillId="0" borderId="0" xfId="80" applyFont="1" applyAlignment="1">
      <alignment horizontal="right" vertical="center" wrapText="1"/>
    </xf>
    <xf numFmtId="0" fontId="21" fillId="0" borderId="1" xfId="80" applyFont="1" applyBorder="1" applyAlignment="1">
      <alignment horizontal="center" vertical="center" wrapText="1"/>
    </xf>
    <xf numFmtId="0" fontId="46" fillId="0" borderId="1" xfId="80" applyFont="1" applyBorder="1" applyAlignment="1">
      <alignment horizontal="center" vertical="center" wrapText="1"/>
    </xf>
    <xf numFmtId="0" fontId="19" fillId="0" borderId="1" xfId="80" applyFont="1" applyBorder="1" applyAlignment="1">
      <alignment horizontal="center" vertical="center" wrapText="1"/>
    </xf>
    <xf numFmtId="0" fontId="82" fillId="0" borderId="1" xfId="80" applyFont="1" applyFill="1" applyBorder="1" applyAlignment="1">
      <alignment horizontal="center" vertical="center" wrapText="1"/>
    </xf>
    <xf numFmtId="0" fontId="19" fillId="0" borderId="1" xfId="80" applyFont="1" applyFill="1" applyBorder="1" applyAlignment="1">
      <alignment horizontal="left" vertical="center"/>
    </xf>
    <xf numFmtId="3" fontId="46" fillId="0" borderId="1" xfId="80" applyNumberFormat="1" applyFont="1" applyFill="1" applyBorder="1" applyAlignment="1">
      <alignment horizontal="center" vertical="center" wrapText="1"/>
    </xf>
    <xf numFmtId="4" fontId="46" fillId="0" borderId="1" xfId="80" applyNumberFormat="1" applyFont="1" applyFill="1" applyBorder="1" applyAlignment="1">
      <alignment horizontal="center" vertical="center" wrapText="1"/>
    </xf>
    <xf numFmtId="4" fontId="19" fillId="0" borderId="1" xfId="80" applyNumberFormat="1" applyFont="1" applyFill="1" applyBorder="1" applyAlignment="1">
      <alignment horizontal="center" vertical="center" wrapText="1"/>
    </xf>
    <xf numFmtId="0" fontId="82" fillId="0" borderId="0" xfId="80" applyFont="1" applyFill="1" applyAlignment="1">
      <alignment horizontal="center" vertical="center" wrapText="1"/>
    </xf>
    <xf numFmtId="0" fontId="82" fillId="8" borderId="1" xfId="80" applyFont="1" applyFill="1" applyBorder="1" applyAlignment="1">
      <alignment vertical="center" wrapText="1"/>
    </xf>
    <xf numFmtId="0" fontId="82" fillId="8" borderId="1" xfId="80" applyFont="1" applyFill="1" applyBorder="1" applyAlignment="1">
      <alignment horizontal="center" vertical="center" wrapText="1"/>
    </xf>
    <xf numFmtId="1" fontId="47" fillId="8" borderId="1" xfId="80" applyNumberFormat="1" applyFont="1" applyFill="1" applyBorder="1" applyAlignment="1">
      <alignment horizontal="center" vertical="center" wrapText="1"/>
    </xf>
    <xf numFmtId="2" fontId="20" fillId="8" borderId="1" xfId="80" applyNumberFormat="1" applyFont="1" applyFill="1" applyBorder="1" applyAlignment="1">
      <alignment horizontal="center" vertical="center" wrapText="1"/>
    </xf>
    <xf numFmtId="2" fontId="47" fillId="8" borderId="1" xfId="80" applyNumberFormat="1" applyFont="1" applyFill="1" applyBorder="1" applyAlignment="1">
      <alignment horizontal="center" vertical="center" wrapText="1"/>
    </xf>
    <xf numFmtId="0" fontId="82" fillId="0" borderId="0" xfId="80" applyFont="1" applyAlignment="1">
      <alignment vertical="center" wrapText="1"/>
    </xf>
    <xf numFmtId="0" fontId="21" fillId="0" borderId="1" xfId="80" applyFont="1" applyFill="1" applyBorder="1" applyAlignment="1">
      <alignment horizontal="center" vertical="center" wrapText="1"/>
    </xf>
    <xf numFmtId="3" fontId="46" fillId="2" borderId="1" xfId="80" applyNumberFormat="1" applyFont="1" applyFill="1" applyBorder="1" applyAlignment="1">
      <alignment horizontal="center" vertical="center" wrapText="1"/>
    </xf>
    <xf numFmtId="4" fontId="46" fillId="2" borderId="1" xfId="80" applyNumberFormat="1" applyFont="1" applyFill="1" applyBorder="1" applyAlignment="1">
      <alignment horizontal="center" vertical="center" wrapText="1"/>
    </xf>
    <xf numFmtId="4" fontId="19" fillId="2" borderId="1" xfId="80" applyNumberFormat="1" applyFont="1" applyFill="1" applyBorder="1" applyAlignment="1">
      <alignment horizontal="center" vertical="center" wrapText="1"/>
    </xf>
    <xf numFmtId="0" fontId="82" fillId="9" borderId="1" xfId="80" applyFont="1" applyFill="1" applyBorder="1" applyAlignment="1">
      <alignment horizontal="center" vertical="center" wrapText="1"/>
    </xf>
    <xf numFmtId="0" fontId="82" fillId="9" borderId="1" xfId="80" applyFont="1" applyFill="1" applyBorder="1" applyAlignment="1">
      <alignment vertical="center" wrapText="1"/>
    </xf>
    <xf numFmtId="4" fontId="47" fillId="9" borderId="1" xfId="80" applyNumberFormat="1" applyFont="1" applyFill="1" applyBorder="1" applyAlignment="1">
      <alignment horizontal="center" vertical="center" wrapText="1"/>
    </xf>
    <xf numFmtId="165" fontId="20" fillId="9" borderId="1" xfId="80" applyNumberFormat="1" applyFont="1" applyFill="1" applyBorder="1" applyAlignment="1">
      <alignment horizontal="center" vertical="center" wrapText="1"/>
    </xf>
    <xf numFmtId="4" fontId="47" fillId="9" borderId="1" xfId="80" applyNumberFormat="1" applyFont="1" applyFill="1" applyBorder="1" applyAlignment="1">
      <alignment vertical="center" wrapText="1"/>
    </xf>
    <xf numFmtId="165" fontId="47" fillId="9" borderId="1" xfId="80" applyNumberFormat="1" applyFont="1" applyFill="1" applyBorder="1" applyAlignment="1">
      <alignment horizontal="center" vertical="center" wrapText="1"/>
    </xf>
    <xf numFmtId="0" fontId="82" fillId="0" borderId="0" xfId="80" applyFont="1" applyAlignment="1">
      <alignment horizontal="center" vertical="center" wrapText="1"/>
    </xf>
    <xf numFmtId="0" fontId="82" fillId="0" borderId="0" xfId="80" applyFont="1" applyBorder="1" applyAlignment="1">
      <alignment horizontal="center" vertical="center" wrapText="1"/>
    </xf>
    <xf numFmtId="0" fontId="47" fillId="0" borderId="0" xfId="80" applyFont="1" applyFill="1" applyBorder="1" applyAlignment="1">
      <alignment vertical="center" wrapText="1"/>
    </xf>
    <xf numFmtId="0" fontId="20" fillId="0" borderId="0" xfId="80" applyFont="1" applyFill="1" applyBorder="1" applyAlignment="1">
      <alignment horizontal="center" vertical="center" wrapText="1"/>
    </xf>
    <xf numFmtId="4" fontId="20" fillId="0" borderId="0" xfId="80" applyNumberFormat="1" applyFont="1" applyFill="1" applyBorder="1" applyAlignment="1">
      <alignment horizontal="center" vertical="center" wrapText="1"/>
    </xf>
    <xf numFmtId="2" fontId="20" fillId="0" borderId="0" xfId="80" applyNumberFormat="1" applyFont="1" applyFill="1" applyAlignment="1">
      <alignment horizontal="center"/>
    </xf>
    <xf numFmtId="2" fontId="47" fillId="0" borderId="0" xfId="80" applyNumberFormat="1" applyFont="1" applyFill="1" applyAlignment="1">
      <alignment horizontal="center"/>
    </xf>
    <xf numFmtId="0" fontId="47" fillId="0" borderId="0" xfId="80" applyFont="1" applyFill="1"/>
    <xf numFmtId="4" fontId="20" fillId="2" borderId="0" xfId="80" applyNumberFormat="1" applyFont="1" applyFill="1" applyBorder="1" applyAlignment="1">
      <alignment horizontal="center"/>
    </xf>
    <xf numFmtId="4" fontId="47" fillId="0" borderId="0" xfId="80" applyNumberFormat="1" applyFont="1" applyFill="1" applyAlignment="1">
      <alignment horizontal="center"/>
    </xf>
    <xf numFmtId="165" fontId="20" fillId="2" borderId="0" xfId="80" applyNumberFormat="1" applyFont="1" applyFill="1" applyBorder="1" applyAlignment="1">
      <alignment horizontal="center" vertical="center" wrapText="1"/>
    </xf>
    <xf numFmtId="0" fontId="21" fillId="0" borderId="0" xfId="80" applyFont="1" applyAlignment="1">
      <alignment vertical="center"/>
    </xf>
    <xf numFmtId="0" fontId="21" fillId="0" borderId="0" xfId="80" applyFont="1" applyAlignment="1">
      <alignment horizontal="left" vertical="center" wrapText="1"/>
    </xf>
    <xf numFmtId="0" fontId="51" fillId="0" borderId="0" xfId="80" applyFont="1" applyFill="1"/>
    <xf numFmtId="0" fontId="51" fillId="0" borderId="0" xfId="80" applyFont="1" applyFill="1" applyAlignment="1">
      <alignment horizontal="right"/>
    </xf>
    <xf numFmtId="0" fontId="51" fillId="0" borderId="2" xfId="80" applyFont="1" applyBorder="1" applyAlignment="1">
      <alignment horizontal="center" vertical="center" wrapText="1"/>
    </xf>
    <xf numFmtId="0" fontId="51" fillId="0" borderId="6" xfId="80" applyFont="1" applyBorder="1" applyAlignment="1">
      <alignment horizontal="center" vertical="center" wrapText="1"/>
    </xf>
    <xf numFmtId="0" fontId="51" fillId="0" borderId="1" xfId="80" applyFont="1" applyFill="1" applyBorder="1" applyAlignment="1">
      <alignment horizontal="center" vertical="center" wrapText="1"/>
    </xf>
    <xf numFmtId="0" fontId="41" fillId="0" borderId="1" xfId="80" applyFont="1" applyFill="1" applyBorder="1" applyAlignment="1">
      <alignment vertical="center" wrapText="1"/>
    </xf>
    <xf numFmtId="0" fontId="51" fillId="0" borderId="2" xfId="80" applyFont="1" applyFill="1" applyBorder="1" applyAlignment="1">
      <alignment horizontal="center" vertical="center" wrapText="1"/>
    </xf>
    <xf numFmtId="165" fontId="51" fillId="0" borderId="1" xfId="80" applyNumberFormat="1" applyFont="1" applyFill="1" applyBorder="1" applyAlignment="1">
      <alignment horizontal="center" vertical="center" wrapText="1"/>
    </xf>
    <xf numFmtId="165" fontId="51" fillId="0" borderId="2" xfId="80" applyNumberFormat="1" applyFont="1" applyFill="1" applyBorder="1" applyAlignment="1">
      <alignment horizontal="center" vertical="center" wrapText="1"/>
    </xf>
    <xf numFmtId="0" fontId="51" fillId="0" borderId="1" xfId="80" applyFont="1" applyBorder="1" applyAlignment="1">
      <alignment wrapText="1"/>
    </xf>
    <xf numFmtId="0" fontId="51" fillId="0" borderId="1" xfId="80" applyFont="1" applyBorder="1"/>
    <xf numFmtId="165" fontId="51" fillId="0" borderId="2" xfId="80" applyNumberFormat="1" applyFont="1" applyBorder="1" applyAlignment="1">
      <alignment horizontal="center" vertical="center" wrapText="1"/>
    </xf>
    <xf numFmtId="0" fontId="48" fillId="4" borderId="1" xfId="80" applyFont="1" applyFill="1" applyBorder="1" applyAlignment="1">
      <alignment horizontal="center" vertical="center" wrapText="1"/>
    </xf>
    <xf numFmtId="0" fontId="48" fillId="4" borderId="1" xfId="80" applyFont="1" applyFill="1" applyBorder="1" applyAlignment="1">
      <alignment vertical="center" wrapText="1"/>
    </xf>
    <xf numFmtId="0" fontId="48" fillId="4" borderId="2" xfId="80" applyFont="1" applyFill="1" applyBorder="1" applyAlignment="1">
      <alignment horizontal="center" vertical="center" wrapText="1"/>
    </xf>
    <xf numFmtId="165" fontId="48" fillId="4" borderId="1" xfId="80" applyNumberFormat="1" applyFont="1" applyFill="1" applyBorder="1" applyAlignment="1">
      <alignment horizontal="center" vertical="center" wrapText="1"/>
    </xf>
    <xf numFmtId="165" fontId="48" fillId="4" borderId="2" xfId="80" applyNumberFormat="1" applyFont="1" applyFill="1" applyBorder="1" applyAlignment="1">
      <alignment horizontal="center" vertical="center" wrapText="1"/>
    </xf>
    <xf numFmtId="0" fontId="51" fillId="4" borderId="1" xfId="80" applyFont="1" applyFill="1" applyBorder="1"/>
    <xf numFmtId="0" fontId="51" fillId="4" borderId="0" xfId="80" applyFont="1" applyFill="1"/>
    <xf numFmtId="0" fontId="167" fillId="0" borderId="0" xfId="80" applyFont="1" applyAlignment="1">
      <alignment vertical="center" wrapText="1"/>
    </xf>
    <xf numFmtId="0" fontId="51" fillId="0" borderId="0" xfId="80" applyFont="1" applyAlignment="1">
      <alignment horizontal="right"/>
    </xf>
    <xf numFmtId="0" fontId="19" fillId="0" borderId="1" xfId="83" applyFont="1" applyFill="1" applyBorder="1" applyAlignment="1">
      <alignment horizontal="left" vertical="center" wrapText="1"/>
    </xf>
    <xf numFmtId="165" fontId="19" fillId="2" borderId="1" xfId="26" applyNumberFormat="1" applyFont="1" applyFill="1" applyBorder="1" applyAlignment="1">
      <alignment horizontal="center"/>
    </xf>
    <xf numFmtId="0" fontId="83" fillId="0" borderId="0" xfId="80" applyFont="1" applyAlignment="1">
      <alignment vertical="center"/>
    </xf>
    <xf numFmtId="0" fontId="60" fillId="0" borderId="0" xfId="80" applyFont="1" applyBorder="1" applyAlignment="1"/>
    <xf numFmtId="0" fontId="61" fillId="0" borderId="0" xfId="80" applyFont="1" applyBorder="1" applyAlignment="1">
      <alignment horizontal="center" vertical="top"/>
    </xf>
    <xf numFmtId="0" fontId="61" fillId="0" borderId="0" xfId="80" applyFont="1" applyBorder="1" applyAlignment="1">
      <alignment vertical="top"/>
    </xf>
    <xf numFmtId="0" fontId="21" fillId="0" borderId="0" xfId="80" applyFont="1" applyBorder="1" applyAlignment="1"/>
    <xf numFmtId="0" fontId="62" fillId="0" borderId="0" xfId="80" applyFont="1" applyBorder="1"/>
    <xf numFmtId="0" fontId="80" fillId="0" borderId="0" xfId="80" applyFont="1" applyAlignment="1">
      <alignment horizontal="center"/>
    </xf>
    <xf numFmtId="0" fontId="62" fillId="0" borderId="0" xfId="80" applyFont="1" applyAlignment="1">
      <alignment horizontal="center" vertical="top"/>
    </xf>
    <xf numFmtId="0" fontId="62" fillId="0" borderId="0" xfId="80" applyFont="1" applyAlignment="1">
      <alignment horizontal="right" vertical="top"/>
    </xf>
    <xf numFmtId="0" fontId="62" fillId="0" borderId="0" xfId="80" applyFont="1" applyAlignment="1">
      <alignment horizontal="right"/>
    </xf>
    <xf numFmtId="0" fontId="42" fillId="0" borderId="1" xfId="80" applyFont="1" applyBorder="1" applyAlignment="1">
      <alignment horizontal="center" vertical="center" wrapText="1"/>
    </xf>
    <xf numFmtId="0" fontId="42" fillId="0" borderId="1" xfId="80" applyFont="1" applyFill="1" applyBorder="1" applyAlignment="1">
      <alignment horizontal="center" vertical="center" wrapText="1"/>
    </xf>
    <xf numFmtId="0" fontId="42" fillId="0" borderId="1" xfId="80" applyFont="1" applyFill="1" applyBorder="1" applyAlignment="1">
      <alignment horizontal="left" vertical="center" wrapText="1"/>
    </xf>
    <xf numFmtId="4" fontId="42" fillId="0" borderId="1" xfId="80" applyNumberFormat="1" applyFont="1" applyFill="1" applyBorder="1" applyAlignment="1">
      <alignment horizontal="center" vertical="center" wrapText="1"/>
    </xf>
    <xf numFmtId="3" fontId="42" fillId="0" borderId="1" xfId="80" applyNumberFormat="1" applyFont="1" applyFill="1" applyBorder="1" applyAlignment="1">
      <alignment horizontal="center" vertical="center" wrapText="1"/>
    </xf>
    <xf numFmtId="165" fontId="42" fillId="0" borderId="1" xfId="80" applyNumberFormat="1" applyFont="1" applyFill="1" applyBorder="1" applyAlignment="1">
      <alignment horizontal="center" vertical="center" wrapText="1"/>
    </xf>
    <xf numFmtId="0" fontId="80" fillId="0" borderId="0" xfId="80" applyFont="1" applyFill="1"/>
    <xf numFmtId="0" fontId="80" fillId="20" borderId="1" xfId="80" applyFont="1" applyFill="1" applyBorder="1"/>
    <xf numFmtId="4" fontId="80" fillId="20" borderId="1" xfId="80" applyNumberFormat="1" applyFont="1" applyFill="1" applyBorder="1" applyAlignment="1">
      <alignment horizontal="center"/>
    </xf>
    <xf numFmtId="0" fontId="80" fillId="20" borderId="0" xfId="80" applyFont="1" applyFill="1"/>
    <xf numFmtId="0" fontId="60" fillId="0" borderId="0" xfId="80" applyFont="1" applyBorder="1"/>
    <xf numFmtId="0" fontId="167" fillId="0" borderId="0" xfId="80" applyFont="1"/>
    <xf numFmtId="0" fontId="42" fillId="0" borderId="0" xfId="83" applyFont="1" applyFill="1"/>
    <xf numFmtId="0" fontId="42" fillId="0" borderId="0" xfId="83" applyFont="1" applyFill="1" applyAlignment="1">
      <alignment horizontal="left" vertical="center"/>
    </xf>
    <xf numFmtId="165" fontId="42" fillId="0" borderId="0" xfId="83" applyNumberFormat="1" applyFont="1" applyFill="1" applyAlignment="1">
      <alignment horizontal="right" vertical="center"/>
    </xf>
    <xf numFmtId="0" fontId="42" fillId="0" borderId="0" xfId="83" applyFont="1" applyFill="1" applyBorder="1"/>
    <xf numFmtId="165" fontId="42" fillId="0" borderId="0" xfId="83" applyNumberFormat="1" applyFont="1" applyFill="1" applyBorder="1" applyAlignment="1">
      <alignment horizontal="center" vertical="center"/>
    </xf>
    <xf numFmtId="165" fontId="42" fillId="15" borderId="0" xfId="83" applyNumberFormat="1" applyFont="1" applyFill="1" applyBorder="1"/>
    <xf numFmtId="165" fontId="42" fillId="0" borderId="0" xfId="83" applyNumberFormat="1" applyFont="1" applyFill="1" applyBorder="1"/>
    <xf numFmtId="0" fontId="42" fillId="0" borderId="0" xfId="83" applyFont="1" applyFill="1" applyAlignment="1">
      <alignment horizontal="right" vertical="center"/>
    </xf>
    <xf numFmtId="0" fontId="42" fillId="0" borderId="0" xfId="83" applyFont="1"/>
    <xf numFmtId="165" fontId="42" fillId="0" borderId="0" xfId="83" applyNumberFormat="1" applyFont="1"/>
    <xf numFmtId="165" fontId="41" fillId="15" borderId="1" xfId="83" applyNumberFormat="1" applyFont="1" applyFill="1" applyBorder="1" applyAlignment="1">
      <alignment horizontal="center" vertical="center" wrapText="1"/>
    </xf>
    <xf numFmtId="165" fontId="41" fillId="0" borderId="1" xfId="83" applyNumberFormat="1" applyFont="1" applyBorder="1" applyAlignment="1">
      <alignment horizontal="center" vertical="center" wrapText="1"/>
    </xf>
    <xf numFmtId="0" fontId="84" fillId="0" borderId="1" xfId="83" applyFont="1" applyBorder="1" applyAlignment="1">
      <alignment horizontal="center" vertical="center" wrapText="1"/>
    </xf>
    <xf numFmtId="0" fontId="84" fillId="15" borderId="1" xfId="83" applyFont="1" applyFill="1" applyBorder="1" applyAlignment="1">
      <alignment horizontal="center" vertical="center" wrapText="1"/>
    </xf>
    <xf numFmtId="0" fontId="42" fillId="0" borderId="1" xfId="83" applyFont="1" applyBorder="1" applyAlignment="1">
      <alignment horizontal="center" vertical="center"/>
    </xf>
    <xf numFmtId="0" fontId="42" fillId="0" borderId="0" xfId="83" applyFont="1" applyAlignment="1">
      <alignment horizontal="center"/>
    </xf>
    <xf numFmtId="0" fontId="42" fillId="0" borderId="7" xfId="83" applyFont="1" applyBorder="1" applyAlignment="1">
      <alignment horizontal="center" vertical="center" wrapText="1"/>
    </xf>
    <xf numFmtId="0" fontId="42" fillId="2" borderId="7" xfId="83" applyFont="1" applyFill="1" applyBorder="1" applyAlignment="1">
      <alignment horizontal="left" vertical="center" wrapText="1"/>
    </xf>
    <xf numFmtId="165" fontId="42" fillId="2" borderId="7" xfId="83" applyNumberFormat="1" applyFont="1" applyFill="1" applyBorder="1" applyAlignment="1">
      <alignment horizontal="right" vertical="center" wrapText="1"/>
    </xf>
    <xf numFmtId="0" fontId="42" fillId="0" borderId="7" xfId="83" applyFont="1" applyFill="1" applyBorder="1" applyAlignment="1">
      <alignment horizontal="center" vertical="center" wrapText="1"/>
    </xf>
    <xf numFmtId="165" fontId="42" fillId="0" borderId="7" xfId="83" applyNumberFormat="1" applyFont="1" applyFill="1" applyBorder="1" applyAlignment="1">
      <alignment horizontal="center" vertical="center"/>
    </xf>
    <xf numFmtId="165" fontId="42" fillId="15" borderId="7" xfId="83" applyNumberFormat="1" applyFont="1" applyFill="1" applyBorder="1" applyAlignment="1">
      <alignment horizontal="center" vertical="center"/>
    </xf>
    <xf numFmtId="165" fontId="42" fillId="0" borderId="7" xfId="83" applyNumberFormat="1" applyFont="1" applyFill="1" applyBorder="1"/>
    <xf numFmtId="165" fontId="42" fillId="0" borderId="7" xfId="83" applyNumberFormat="1" applyFont="1" applyFill="1" applyBorder="1" applyAlignment="1">
      <alignment horizontal="right"/>
    </xf>
    <xf numFmtId="0" fontId="42" fillId="0" borderId="1" xfId="83" applyFont="1" applyBorder="1" applyAlignment="1">
      <alignment horizontal="left" vertical="center" wrapText="1"/>
    </xf>
    <xf numFmtId="0" fontId="57" fillId="0" borderId="0" xfId="83" applyFont="1"/>
    <xf numFmtId="49" fontId="42" fillId="0" borderId="1" xfId="83" applyNumberFormat="1" applyFont="1" applyFill="1" applyBorder="1" applyAlignment="1">
      <alignment horizontal="left" vertical="center" wrapText="1"/>
    </xf>
    <xf numFmtId="0" fontId="57" fillId="6" borderId="1" xfId="83" applyFont="1" applyFill="1" applyBorder="1" applyAlignment="1">
      <alignment horizontal="center" vertical="center" wrapText="1"/>
    </xf>
    <xf numFmtId="0" fontId="57" fillId="6" borderId="1" xfId="83" applyFont="1" applyFill="1" applyBorder="1" applyAlignment="1">
      <alignment horizontal="left" vertical="center" wrapText="1"/>
    </xf>
    <xf numFmtId="165" fontId="57" fillId="6" borderId="1" xfId="83" applyNumberFormat="1" applyFont="1" applyFill="1" applyBorder="1" applyAlignment="1">
      <alignment horizontal="right" vertical="center" wrapText="1"/>
    </xf>
    <xf numFmtId="165" fontId="57" fillId="6" borderId="1" xfId="83" applyNumberFormat="1" applyFont="1" applyFill="1" applyBorder="1" applyAlignment="1">
      <alignment horizontal="center" vertical="center"/>
    </xf>
    <xf numFmtId="165" fontId="57" fillId="6" borderId="1" xfId="83" applyNumberFormat="1" applyFont="1" applyFill="1" applyBorder="1"/>
    <xf numFmtId="0" fontId="42" fillId="6" borderId="1" xfId="83" applyFont="1" applyFill="1" applyBorder="1" applyAlignment="1">
      <alignment horizontal="left" vertical="center"/>
    </xf>
    <xf numFmtId="0" fontId="57" fillId="6" borderId="0" xfId="83" applyFont="1" applyFill="1"/>
    <xf numFmtId="0" fontId="42" fillId="0" borderId="0" xfId="83" applyFont="1" applyAlignment="1">
      <alignment horizontal="left" vertical="center"/>
    </xf>
    <xf numFmtId="165" fontId="42" fillId="0" borderId="0" xfId="83" applyNumberFormat="1" applyFont="1" applyAlignment="1">
      <alignment horizontal="right" vertical="center"/>
    </xf>
    <xf numFmtId="165" fontId="42" fillId="0" borderId="0" xfId="83" applyNumberFormat="1" applyFont="1" applyFill="1" applyAlignment="1">
      <alignment horizontal="center" vertical="center"/>
    </xf>
    <xf numFmtId="165" fontId="42" fillId="15" borderId="0" xfId="83" applyNumberFormat="1" applyFont="1" applyFill="1"/>
    <xf numFmtId="165" fontId="42" fillId="0" borderId="0" xfId="83" applyNumberFormat="1" applyFont="1" applyFill="1"/>
    <xf numFmtId="0" fontId="134" fillId="0" borderId="0" xfId="83" applyFont="1"/>
    <xf numFmtId="0" fontId="134" fillId="0" borderId="0" xfId="83" applyFont="1" applyAlignment="1">
      <alignment horizontal="left" vertical="center"/>
    </xf>
    <xf numFmtId="0" fontId="85" fillId="0" borderId="0" xfId="80" applyFont="1" applyAlignment="1">
      <alignment horizontal="center" wrapText="1"/>
    </xf>
    <xf numFmtId="0" fontId="62" fillId="0" borderId="1" xfId="80" applyFont="1" applyBorder="1" applyAlignment="1">
      <alignment horizontal="center" vertical="center" wrapText="1"/>
    </xf>
    <xf numFmtId="0" fontId="62" fillId="0" borderId="2" xfId="80" applyFont="1" applyBorder="1" applyAlignment="1">
      <alignment horizontal="center" vertical="center" wrapText="1"/>
    </xf>
    <xf numFmtId="0" fontId="80" fillId="0" borderId="1" xfId="80" applyFont="1" applyBorder="1" applyAlignment="1">
      <alignment wrapText="1"/>
    </xf>
    <xf numFmtId="0" fontId="80" fillId="0" borderId="1" xfId="80" applyFont="1" applyBorder="1"/>
    <xf numFmtId="0" fontId="80" fillId="0" borderId="2" xfId="80" applyFont="1" applyBorder="1"/>
    <xf numFmtId="0" fontId="80" fillId="0" borderId="0" xfId="80" applyFont="1"/>
    <xf numFmtId="0" fontId="62" fillId="0" borderId="1" xfId="80" applyFont="1" applyBorder="1" applyAlignment="1">
      <alignment wrapText="1"/>
    </xf>
    <xf numFmtId="0" fontId="62" fillId="0" borderId="1" xfId="80" applyFont="1" applyBorder="1"/>
    <xf numFmtId="0" fontId="62" fillId="0" borderId="2" xfId="80" applyFont="1" applyBorder="1"/>
    <xf numFmtId="164" fontId="62" fillId="0" borderId="1" xfId="84" applyFont="1" applyBorder="1" applyAlignment="1">
      <alignment wrapText="1"/>
    </xf>
    <xf numFmtId="164" fontId="62" fillId="0" borderId="1" xfId="84" applyFont="1" applyBorder="1"/>
    <xf numFmtId="164" fontId="62" fillId="0" borderId="1" xfId="84" applyFont="1" applyBorder="1" applyAlignment="1">
      <alignment horizontal="right"/>
    </xf>
    <xf numFmtId="183" fontId="62" fillId="0" borderId="1" xfId="84" applyNumberFormat="1" applyFont="1" applyBorder="1"/>
    <xf numFmtId="183" fontId="62" fillId="0" borderId="2" xfId="84" applyNumberFormat="1" applyFont="1" applyBorder="1"/>
    <xf numFmtId="164" fontId="62" fillId="0" borderId="0" xfId="84" applyFont="1"/>
    <xf numFmtId="167" fontId="62" fillId="0" borderId="1" xfId="80" applyNumberFormat="1" applyFont="1" applyBorder="1"/>
    <xf numFmtId="167" fontId="62" fillId="0" borderId="1" xfId="80" applyNumberFormat="1" applyFont="1" applyBorder="1" applyAlignment="1">
      <alignment horizontal="center"/>
    </xf>
    <xf numFmtId="167" fontId="62" fillId="0" borderId="2" xfId="80" applyNumberFormat="1" applyFont="1" applyBorder="1" applyAlignment="1">
      <alignment horizontal="center"/>
    </xf>
    <xf numFmtId="167" fontId="62" fillId="0" borderId="2" xfId="80" applyNumberFormat="1" applyFont="1" applyBorder="1"/>
    <xf numFmtId="167" fontId="80" fillId="0" borderId="1" xfId="80" applyNumberFormat="1" applyFont="1" applyBorder="1"/>
    <xf numFmtId="167" fontId="80" fillId="0" borderId="2" xfId="80" applyNumberFormat="1" applyFont="1" applyBorder="1"/>
    <xf numFmtId="0" fontId="62" fillId="0" borderId="1" xfId="80" applyFont="1" applyBorder="1" applyAlignment="1">
      <alignment horizontal="left"/>
    </xf>
    <xf numFmtId="0" fontId="62" fillId="0" borderId="1" xfId="80" applyFont="1" applyBorder="1" applyAlignment="1">
      <alignment horizontal="center"/>
    </xf>
    <xf numFmtId="0" fontId="62" fillId="0" borderId="0" xfId="80" applyFont="1" applyBorder="1" applyAlignment="1">
      <alignment horizontal="center"/>
    </xf>
    <xf numFmtId="0" fontId="85" fillId="0" borderId="0" xfId="80" applyFont="1"/>
    <xf numFmtId="0" fontId="167" fillId="0" borderId="0" xfId="80" applyFont="1" applyAlignment="1">
      <alignment horizontal="left"/>
    </xf>
    <xf numFmtId="0" fontId="63" fillId="0" borderId="0" xfId="80" applyFont="1"/>
    <xf numFmtId="0" fontId="63" fillId="0" borderId="0" xfId="80" applyFont="1" applyAlignment="1">
      <alignment horizontal="center" wrapText="1"/>
    </xf>
    <xf numFmtId="0" fontId="42" fillId="0" borderId="4" xfId="80" applyFont="1" applyBorder="1" applyAlignment="1">
      <alignment horizontal="center" vertical="center" wrapText="1"/>
    </xf>
    <xf numFmtId="0" fontId="57" fillId="0" borderId="4" xfId="80" applyFont="1" applyBorder="1" applyAlignment="1">
      <alignment horizontal="center" vertical="center" wrapText="1"/>
    </xf>
    <xf numFmtId="0" fontId="50" fillId="0" borderId="1" xfId="80" applyFont="1" applyBorder="1" applyAlignment="1">
      <alignment horizontal="center"/>
    </xf>
    <xf numFmtId="0" fontId="63" fillId="0" borderId="1" xfId="80" applyFont="1" applyBorder="1" applyAlignment="1">
      <alignment horizontal="center" vertical="center"/>
    </xf>
    <xf numFmtId="0" fontId="57" fillId="0" borderId="1" xfId="80" applyFont="1" applyBorder="1" applyAlignment="1">
      <alignment horizontal="left" vertical="center"/>
    </xf>
    <xf numFmtId="0" fontId="42" fillId="0" borderId="7" xfId="80" applyFont="1" applyBorder="1" applyAlignment="1">
      <alignment horizontal="center" vertical="center" wrapText="1"/>
    </xf>
    <xf numFmtId="2" fontId="57" fillId="2" borderId="7" xfId="80" applyNumberFormat="1" applyFont="1" applyFill="1" applyBorder="1" applyAlignment="1">
      <alignment horizontal="center" vertical="center" wrapText="1"/>
    </xf>
    <xf numFmtId="2" fontId="57" fillId="0" borderId="7" xfId="80" applyNumberFormat="1" applyFont="1" applyBorder="1" applyAlignment="1">
      <alignment horizontal="center" vertical="center" wrapText="1"/>
    </xf>
    <xf numFmtId="0" fontId="50" fillId="0" borderId="1" xfId="80" applyFont="1" applyBorder="1" applyAlignment="1">
      <alignment wrapText="1"/>
    </xf>
    <xf numFmtId="0" fontId="19" fillId="0" borderId="1" xfId="80" applyFont="1" applyBorder="1" applyAlignment="1">
      <alignment horizontal="left" vertical="center" wrapText="1"/>
    </xf>
    <xf numFmtId="2" fontId="42" fillId="0" borderId="7" xfId="80" applyNumberFormat="1" applyFont="1" applyBorder="1" applyAlignment="1">
      <alignment horizontal="center" vertical="center" wrapText="1"/>
    </xf>
    <xf numFmtId="0" fontId="57" fillId="0" borderId="7" xfId="80" applyFont="1" applyBorder="1" applyAlignment="1">
      <alignment horizontal="center" vertical="center" wrapText="1"/>
    </xf>
    <xf numFmtId="0" fontId="50" fillId="0" borderId="1" xfId="80" applyFont="1" applyBorder="1"/>
    <xf numFmtId="167" fontId="57" fillId="0" borderId="7" xfId="80" applyNumberFormat="1" applyFont="1" applyBorder="1" applyAlignment="1">
      <alignment horizontal="center" vertical="center" wrapText="1"/>
    </xf>
    <xf numFmtId="0" fontId="42" fillId="0" borderId="1" xfId="80" applyFont="1" applyBorder="1" applyAlignment="1">
      <alignment horizontal="left" vertical="center" wrapText="1"/>
    </xf>
    <xf numFmtId="0" fontId="86" fillId="0" borderId="1" xfId="23" applyFont="1" applyFill="1" applyBorder="1" applyAlignment="1">
      <alignment wrapText="1"/>
    </xf>
    <xf numFmtId="0" fontId="57" fillId="0" borderId="1" xfId="80" applyFont="1" applyBorder="1" applyAlignment="1">
      <alignment horizontal="center" vertical="center" wrapText="1"/>
    </xf>
    <xf numFmtId="0" fontId="57" fillId="0" borderId="1" xfId="80" applyFont="1" applyBorder="1" applyAlignment="1">
      <alignment horizontal="left" vertical="center" wrapText="1"/>
    </xf>
    <xf numFmtId="4" fontId="19" fillId="2" borderId="7" xfId="80" applyNumberFormat="1" applyFont="1" applyFill="1" applyBorder="1" applyAlignment="1">
      <alignment horizontal="center" vertical="center" wrapText="1"/>
    </xf>
    <xf numFmtId="4" fontId="20" fillId="2" borderId="7" xfId="80" applyNumberFormat="1" applyFont="1" applyFill="1" applyBorder="1" applyAlignment="1">
      <alignment horizontal="center" vertical="center" wrapText="1"/>
    </xf>
    <xf numFmtId="0" fontId="50" fillId="0" borderId="2" xfId="80" applyFont="1" applyBorder="1" applyAlignment="1">
      <alignment horizontal="center" vertical="center"/>
    </xf>
    <xf numFmtId="0" fontId="19" fillId="0" borderId="1" xfId="80" applyFont="1" applyBorder="1" applyAlignment="1">
      <alignment horizontal="left" vertical="center"/>
    </xf>
    <xf numFmtId="0" fontId="42" fillId="0" borderId="6" xfId="80" applyFont="1" applyBorder="1" applyAlignment="1">
      <alignment horizontal="center" vertical="center" wrapText="1"/>
    </xf>
    <xf numFmtId="0" fontId="42" fillId="0" borderId="9" xfId="80" applyFont="1" applyBorder="1" applyAlignment="1">
      <alignment horizontal="center" vertical="center" wrapText="1"/>
    </xf>
    <xf numFmtId="0" fontId="19" fillId="2" borderId="1" xfId="80" applyFont="1" applyFill="1" applyBorder="1" applyAlignment="1">
      <alignment horizontal="center" vertical="center" wrapText="1"/>
    </xf>
    <xf numFmtId="0" fontId="19" fillId="2" borderId="1" xfId="80" applyFont="1" applyFill="1" applyBorder="1" applyAlignment="1">
      <alignment horizontal="left" vertical="center" wrapText="1"/>
    </xf>
    <xf numFmtId="0" fontId="19" fillId="2" borderId="35" xfId="80" applyFont="1" applyFill="1" applyBorder="1" applyAlignment="1">
      <alignment horizontal="left" vertical="center" wrapText="1"/>
    </xf>
    <xf numFmtId="0" fontId="42" fillId="0" borderId="2" xfId="80" applyFont="1" applyBorder="1" applyAlignment="1">
      <alignment horizontal="center" vertical="center" wrapText="1"/>
    </xf>
    <xf numFmtId="167" fontId="57" fillId="2" borderId="7" xfId="80" applyNumberFormat="1" applyFont="1" applyFill="1" applyBorder="1" applyAlignment="1">
      <alignment horizontal="center" vertical="center" wrapText="1"/>
    </xf>
    <xf numFmtId="167" fontId="42" fillId="0" borderId="7" xfId="80" applyNumberFormat="1" applyFont="1" applyBorder="1" applyAlignment="1">
      <alignment horizontal="center" vertical="center" wrapText="1"/>
    </xf>
    <xf numFmtId="49" fontId="19" fillId="0" borderId="1" xfId="85" applyNumberFormat="1" applyFont="1" applyFill="1" applyBorder="1" applyAlignment="1">
      <alignment horizontal="center" vertical="center" wrapText="1"/>
    </xf>
    <xf numFmtId="0" fontId="42" fillId="0" borderId="1" xfId="83" applyFont="1" applyFill="1" applyBorder="1" applyAlignment="1">
      <alignment horizontal="left" vertical="center" wrapText="1"/>
    </xf>
    <xf numFmtId="0" fontId="42" fillId="0" borderId="1" xfId="83" applyNumberFormat="1" applyFont="1" applyFill="1" applyBorder="1" applyAlignment="1" applyProtection="1">
      <alignment horizontal="left" vertical="center" wrapText="1"/>
    </xf>
    <xf numFmtId="167" fontId="42" fillId="2" borderId="7" xfId="80" applyNumberFormat="1" applyFont="1" applyFill="1" applyBorder="1" applyAlignment="1">
      <alignment horizontal="center" vertical="center" wrapText="1"/>
    </xf>
    <xf numFmtId="0" fontId="63" fillId="0" borderId="1" xfId="80" applyFont="1" applyBorder="1"/>
    <xf numFmtId="2" fontId="57" fillId="0" borderId="1" xfId="80" applyNumberFormat="1" applyFont="1" applyBorder="1" applyAlignment="1">
      <alignment horizontal="center" vertical="center" wrapText="1"/>
    </xf>
    <xf numFmtId="0" fontId="66" fillId="0" borderId="0" xfId="80" applyFont="1"/>
    <xf numFmtId="0" fontId="50" fillId="0" borderId="1" xfId="80" applyFont="1" applyBorder="1" applyAlignment="1">
      <alignment horizontal="center" vertical="center" wrapText="1"/>
    </xf>
    <xf numFmtId="0" fontId="50" fillId="0" borderId="1" xfId="80" applyFont="1" applyBorder="1" applyAlignment="1">
      <alignment horizontal="center" vertical="center"/>
    </xf>
    <xf numFmtId="167" fontId="50" fillId="0" borderId="1" xfId="80" applyNumberFormat="1" applyFont="1" applyBorder="1" applyAlignment="1">
      <alignment horizontal="center"/>
    </xf>
    <xf numFmtId="0" fontId="63" fillId="0" borderId="0" xfId="80" applyFont="1" applyBorder="1"/>
    <xf numFmtId="0" fontId="66" fillId="2" borderId="0" xfId="80" applyFont="1" applyFill="1" applyBorder="1"/>
    <xf numFmtId="0" fontId="63" fillId="2" borderId="0" xfId="80" applyFont="1" applyFill="1" applyBorder="1"/>
    <xf numFmtId="0" fontId="50" fillId="2" borderId="0" xfId="80" applyFont="1" applyFill="1" applyBorder="1"/>
    <xf numFmtId="0" fontId="62" fillId="0" borderId="0" xfId="80" applyFont="1" applyFill="1"/>
    <xf numFmtId="0" fontId="61" fillId="0" borderId="0" xfId="80" applyFont="1" applyFill="1" applyBorder="1" applyAlignment="1">
      <alignment vertical="top"/>
    </xf>
    <xf numFmtId="0" fontId="167" fillId="0" borderId="0" xfId="80" applyFont="1" applyFill="1"/>
    <xf numFmtId="0" fontId="137" fillId="0" borderId="0" xfId="80" applyFont="1" applyAlignment="1">
      <alignment horizontal="left"/>
    </xf>
    <xf numFmtId="0" fontId="42" fillId="0" borderId="1" xfId="80" applyFont="1" applyBorder="1" applyAlignment="1">
      <alignment horizontal="left" vertical="center"/>
    </xf>
    <xf numFmtId="167" fontId="42" fillId="0" borderId="1" xfId="80" applyNumberFormat="1" applyFont="1" applyBorder="1" applyAlignment="1">
      <alignment horizontal="center" vertical="center" wrapText="1"/>
    </xf>
    <xf numFmtId="167" fontId="57" fillId="0" borderId="1" xfId="80" applyNumberFormat="1" applyFont="1" applyBorder="1" applyAlignment="1">
      <alignment horizontal="center" vertical="center" wrapText="1"/>
    </xf>
    <xf numFmtId="0" fontId="42" fillId="0" borderId="1" xfId="0" applyFont="1" applyBorder="1" applyAlignment="1">
      <alignment vertical="center" wrapText="1"/>
    </xf>
    <xf numFmtId="0" fontId="42" fillId="0" borderId="1" xfId="0" applyFont="1" applyBorder="1" applyAlignment="1">
      <alignment horizontal="center" vertical="center" wrapText="1"/>
    </xf>
    <xf numFmtId="4" fontId="42" fillId="0" borderId="1" xfId="0" applyNumberFormat="1" applyFont="1" applyBorder="1" applyAlignment="1">
      <alignment horizontal="center" vertical="center" wrapText="1"/>
    </xf>
    <xf numFmtId="2" fontId="42" fillId="0" borderId="1" xfId="0" applyNumberFormat="1" applyFont="1" applyBorder="1" applyAlignment="1">
      <alignment horizontal="center" vertical="center" wrapText="1"/>
    </xf>
    <xf numFmtId="2" fontId="42" fillId="0" borderId="1" xfId="0" applyNumberFormat="1" applyFont="1" applyBorder="1" applyAlignment="1">
      <alignment horizontal="center" vertical="center"/>
    </xf>
    <xf numFmtId="0" fontId="124" fillId="0" borderId="0" xfId="0" applyFont="1"/>
    <xf numFmtId="0" fontId="46" fillId="2" borderId="1" xfId="0" applyFont="1" applyFill="1" applyBorder="1" applyAlignment="1">
      <alignment vertical="center" wrapText="1"/>
    </xf>
    <xf numFmtId="4" fontId="50" fillId="2" borderId="1" xfId="0" applyNumberFormat="1" applyFont="1" applyFill="1" applyBorder="1" applyAlignment="1">
      <alignment vertical="center" wrapText="1"/>
    </xf>
    <xf numFmtId="0" fontId="75" fillId="2" borderId="7" xfId="25" applyFill="1" applyBorder="1" applyAlignment="1">
      <alignment horizontal="left" vertical="center" wrapText="1"/>
    </xf>
    <xf numFmtId="0" fontId="75" fillId="2" borderId="1" xfId="25" applyFill="1" applyBorder="1" applyAlignment="1">
      <alignment vertical="center" wrapText="1"/>
    </xf>
    <xf numFmtId="3" fontId="75" fillId="2" borderId="1" xfId="25" applyNumberFormat="1" applyFill="1" applyBorder="1" applyAlignment="1">
      <alignment horizontal="center" vertical="center" wrapText="1"/>
    </xf>
    <xf numFmtId="2" fontId="75" fillId="2" borderId="1" xfId="25" applyNumberFormat="1" applyFill="1" applyBorder="1" applyAlignment="1">
      <alignment horizontal="center" vertical="center" wrapText="1"/>
    </xf>
    <xf numFmtId="4" fontId="75" fillId="2" borderId="1" xfId="25" applyNumberFormat="1" applyFill="1" applyBorder="1" applyAlignment="1">
      <alignment horizontal="center" vertical="center" wrapText="1"/>
    </xf>
    <xf numFmtId="167" fontId="75" fillId="2" borderId="1" xfId="25" applyNumberFormat="1" applyFill="1" applyBorder="1" applyAlignment="1">
      <alignment horizontal="center" vertical="center" wrapText="1"/>
    </xf>
    <xf numFmtId="0" fontId="181" fillId="2" borderId="1" xfId="25" applyFont="1" applyFill="1" applyBorder="1" applyAlignment="1">
      <alignment vertical="center" wrapText="1"/>
    </xf>
    <xf numFmtId="1" fontId="75" fillId="2" borderId="1" xfId="25" applyNumberFormat="1" applyFill="1" applyBorder="1" applyAlignment="1">
      <alignment horizontal="center" vertical="center" wrapText="1"/>
    </xf>
    <xf numFmtId="165" fontId="75" fillId="2" borderId="1" xfId="25" applyNumberFormat="1" applyFill="1" applyBorder="1" applyAlignment="1">
      <alignment horizontal="center" vertical="center" wrapText="1"/>
    </xf>
    <xf numFmtId="0" fontId="75" fillId="28" borderId="0" xfId="25" applyFill="1"/>
    <xf numFmtId="3" fontId="56" fillId="2" borderId="1" xfId="25" applyNumberFormat="1" applyFont="1" applyFill="1" applyBorder="1" applyAlignment="1">
      <alignment horizontal="center" vertical="center" wrapText="1"/>
    </xf>
    <xf numFmtId="165" fontId="56" fillId="2" borderId="1" xfId="25" applyNumberFormat="1" applyFont="1" applyFill="1" applyBorder="1" applyAlignment="1">
      <alignment horizontal="center" vertical="center" wrapText="1"/>
    </xf>
    <xf numFmtId="2" fontId="56" fillId="2" borderId="0" xfId="25" applyNumberFormat="1" applyFont="1" applyFill="1"/>
    <xf numFmtId="166" fontId="56" fillId="2" borderId="0" xfId="25" applyNumberFormat="1" applyFont="1" applyFill="1"/>
    <xf numFmtId="0" fontId="75" fillId="2" borderId="0" xfId="25" applyFill="1" applyAlignment="1">
      <alignment vertical="top"/>
    </xf>
    <xf numFmtId="0" fontId="75" fillId="2" borderId="0" xfId="25" applyFill="1" applyBorder="1" applyAlignment="1">
      <alignment horizontal="center" vertical="center" wrapText="1"/>
    </xf>
    <xf numFmtId="0" fontId="75" fillId="2" borderId="0" xfId="25" applyFill="1" applyAlignment="1">
      <alignment vertical="top" wrapText="1"/>
    </xf>
    <xf numFmtId="0" fontId="182" fillId="2" borderId="0" xfId="25" applyFont="1" applyFill="1"/>
    <xf numFmtId="3" fontId="75" fillId="2" borderId="0" xfId="25" applyNumberFormat="1" applyFill="1"/>
    <xf numFmtId="165" fontId="75" fillId="2" borderId="0" xfId="25" applyNumberFormat="1" applyFill="1"/>
    <xf numFmtId="0" fontId="183" fillId="2" borderId="0" xfId="25" applyFont="1" applyFill="1"/>
    <xf numFmtId="0" fontId="75" fillId="2" borderId="7" xfId="25" applyFill="1" applyBorder="1" applyAlignment="1">
      <alignment vertical="center" wrapText="1"/>
    </xf>
    <xf numFmtId="0" fontId="42" fillId="2" borderId="1" xfId="51" applyFont="1" applyFill="1" applyBorder="1" applyAlignment="1">
      <alignment horizontal="center" vertical="center" wrapText="1"/>
    </xf>
    <xf numFmtId="0" fontId="125" fillId="0" borderId="10" xfId="25" applyFont="1" applyBorder="1" applyAlignment="1">
      <alignment horizontal="center"/>
    </xf>
    <xf numFmtId="0" fontId="46" fillId="2" borderId="1" xfId="25" applyFont="1" applyFill="1" applyBorder="1" applyAlignment="1">
      <alignment horizontal="center" vertical="center" wrapText="1"/>
    </xf>
    <xf numFmtId="4" fontId="11" fillId="2" borderId="1" xfId="25" applyNumberFormat="1" applyFont="1" applyFill="1" applyBorder="1" applyAlignment="1">
      <alignment horizontal="center" vertical="center" wrapText="1"/>
    </xf>
    <xf numFmtId="0" fontId="51" fillId="2" borderId="1" xfId="25" applyFont="1" applyFill="1" applyBorder="1" applyAlignment="1">
      <alignment horizontal="center" vertical="center" wrapText="1"/>
    </xf>
    <xf numFmtId="0" fontId="51" fillId="2" borderId="0" xfId="25" applyFont="1" applyFill="1" applyBorder="1" applyAlignment="1">
      <alignment horizontal="center"/>
    </xf>
    <xf numFmtId="165" fontId="19" fillId="0" borderId="1" xfId="29" applyNumberFormat="1" applyFont="1" applyFill="1" applyBorder="1" applyAlignment="1">
      <alignment horizontal="center" vertical="center" wrapText="1"/>
    </xf>
    <xf numFmtId="165" fontId="19" fillId="0" borderId="1" xfId="26" applyNumberFormat="1" applyFont="1" applyFill="1" applyBorder="1" applyAlignment="1">
      <alignment horizontal="center" vertical="center" wrapText="1"/>
    </xf>
    <xf numFmtId="0" fontId="20" fillId="0" borderId="1" xfId="29" applyFont="1" applyFill="1" applyBorder="1" applyAlignment="1">
      <alignment horizontal="center" vertical="center" wrapText="1"/>
    </xf>
    <xf numFmtId="1" fontId="19" fillId="0" borderId="1" xfId="29" applyNumberFormat="1" applyFont="1" applyFill="1" applyBorder="1" applyAlignment="1">
      <alignment horizontal="center" vertical="center" wrapText="1"/>
    </xf>
    <xf numFmtId="2" fontId="19" fillId="0" borderId="1" xfId="29" applyNumberFormat="1" applyFont="1" applyFill="1" applyBorder="1" applyAlignment="1">
      <alignment horizontal="center" vertical="center" wrapText="1"/>
    </xf>
    <xf numFmtId="165" fontId="42" fillId="0" borderId="1" xfId="29" applyNumberFormat="1" applyFont="1" applyBorder="1" applyAlignment="1">
      <alignment horizontal="center" vertical="center" wrapText="1"/>
    </xf>
    <xf numFmtId="0" fontId="110" fillId="0" borderId="0" xfId="24" applyFont="1" applyFill="1" applyBorder="1" applyAlignment="1">
      <alignment horizontal="left" wrapText="1"/>
    </xf>
    <xf numFmtId="0" fontId="110" fillId="0" borderId="1" xfId="24" applyFont="1" applyFill="1" applyBorder="1" applyAlignment="1">
      <alignment horizontal="center" vertical="center" wrapText="1"/>
    </xf>
    <xf numFmtId="0" fontId="166" fillId="2" borderId="1" xfId="67" applyFont="1" applyFill="1" applyBorder="1" applyAlignment="1">
      <alignment horizontal="center" vertical="center" wrapText="1"/>
    </xf>
    <xf numFmtId="14" fontId="0" fillId="2" borderId="0" xfId="0" applyNumberFormat="1" applyFill="1" applyAlignment="1">
      <alignment vertical="center" wrapText="1"/>
    </xf>
    <xf numFmtId="170" fontId="38" fillId="2" borderId="0" xfId="0" applyNumberFormat="1" applyFont="1" applyFill="1" applyAlignment="1">
      <alignment horizontal="center" vertical="center" wrapText="1"/>
    </xf>
    <xf numFmtId="0" fontId="19" fillId="0" borderId="0" xfId="31" applyFont="1" applyFill="1"/>
    <xf numFmtId="0" fontId="41" fillId="0" borderId="0" xfId="24" applyFont="1" applyFill="1"/>
    <xf numFmtId="0" fontId="90" fillId="0" borderId="0" xfId="24" applyFont="1" applyFill="1" applyAlignment="1">
      <alignment horizontal="center"/>
    </xf>
    <xf numFmtId="0" fontId="41" fillId="0" borderId="0" xfId="24" applyFont="1" applyFill="1" applyAlignment="1">
      <alignment horizontal="center"/>
    </xf>
    <xf numFmtId="0" fontId="65" fillId="0" borderId="1" xfId="31" applyFont="1" applyFill="1" applyBorder="1" applyAlignment="1">
      <alignment horizontal="center" vertical="center" wrapText="1"/>
    </xf>
    <xf numFmtId="0" fontId="41" fillId="2" borderId="0" xfId="24" applyFont="1" applyFill="1"/>
    <xf numFmtId="0" fontId="184" fillId="2" borderId="0" xfId="24" applyFont="1" applyFill="1" applyAlignment="1">
      <alignment horizontal="right"/>
    </xf>
    <xf numFmtId="0" fontId="184" fillId="2" borderId="0" xfId="24" applyFont="1" applyFill="1" applyBorder="1" applyAlignment="1">
      <alignment horizontal="right"/>
    </xf>
    <xf numFmtId="0" fontId="91" fillId="0" borderId="1" xfId="31" applyFont="1" applyFill="1" applyBorder="1" applyAlignment="1">
      <alignment horizontal="left" vertical="center" wrapText="1" indent="1"/>
    </xf>
    <xf numFmtId="182" fontId="65" fillId="0" borderId="1" xfId="27" applyNumberFormat="1" applyFont="1" applyFill="1" applyBorder="1" applyAlignment="1">
      <alignment horizontal="center" vertical="center" wrapText="1"/>
    </xf>
    <xf numFmtId="0" fontId="184" fillId="2" borderId="1" xfId="24" applyFont="1" applyFill="1" applyBorder="1" applyAlignment="1">
      <alignment horizontal="center" vertical="center" wrapText="1"/>
    </xf>
    <xf numFmtId="0" fontId="19" fillId="0" borderId="0" xfId="24" applyFont="1" applyFill="1"/>
    <xf numFmtId="0" fontId="184" fillId="0" borderId="0" xfId="24" applyFont="1" applyFill="1" applyAlignment="1">
      <alignment horizontal="center"/>
    </xf>
    <xf numFmtId="167" fontId="184" fillId="0" borderId="0" xfId="24" applyNumberFormat="1" applyFont="1" applyFill="1"/>
    <xf numFmtId="0" fontId="184" fillId="0" borderId="0" xfId="24" applyFont="1" applyFill="1"/>
    <xf numFmtId="0" fontId="19" fillId="2" borderId="0" xfId="31" applyFont="1" applyFill="1" applyAlignment="1">
      <alignment horizontal="left" vertical="center" wrapText="1" indent="1"/>
    </xf>
    <xf numFmtId="0" fontId="184" fillId="2" borderId="1" xfId="31" applyFont="1" applyFill="1" applyBorder="1" applyAlignment="1">
      <alignment horizontal="center" vertical="center" wrapText="1"/>
    </xf>
    <xf numFmtId="0" fontId="19" fillId="11" borderId="1" xfId="31" applyFont="1" applyFill="1" applyBorder="1"/>
    <xf numFmtId="0" fontId="19" fillId="0" borderId="0" xfId="31" applyFont="1" applyFill="1" applyBorder="1"/>
    <xf numFmtId="0" fontId="19" fillId="2" borderId="1" xfId="31" applyFont="1" applyFill="1" applyBorder="1" applyAlignment="1">
      <alignment wrapText="1"/>
    </xf>
    <xf numFmtId="3" fontId="19" fillId="2" borderId="1" xfId="31" applyNumberFormat="1" applyFont="1" applyFill="1" applyBorder="1" applyAlignment="1">
      <alignment horizontal="right" vertical="center"/>
    </xf>
    <xf numFmtId="0" fontId="20" fillId="2" borderId="1" xfId="31" applyFont="1" applyFill="1" applyBorder="1" applyAlignment="1">
      <alignment horizontal="center" wrapText="1"/>
    </xf>
    <xf numFmtId="0" fontId="20" fillId="2" borderId="1" xfId="31" applyFont="1" applyFill="1" applyBorder="1" applyAlignment="1">
      <alignment wrapText="1"/>
    </xf>
    <xf numFmtId="0" fontId="20" fillId="11" borderId="1" xfId="31" applyFont="1" applyFill="1" applyBorder="1" applyAlignment="1">
      <alignment horizontal="center" wrapText="1"/>
    </xf>
    <xf numFmtId="0" fontId="20" fillId="11" borderId="1" xfId="31" applyFont="1" applyFill="1" applyBorder="1" applyAlignment="1">
      <alignment wrapText="1"/>
    </xf>
    <xf numFmtId="3" fontId="19" fillId="11" borderId="1" xfId="31" applyNumberFormat="1" applyFont="1" applyFill="1" applyBorder="1" applyAlignment="1">
      <alignment horizontal="right" vertical="center"/>
    </xf>
    <xf numFmtId="0" fontId="184" fillId="2" borderId="1" xfId="31" applyFont="1" applyFill="1" applyBorder="1" applyAlignment="1">
      <alignment vertical="center" wrapText="1"/>
    </xf>
    <xf numFmtId="3" fontId="20" fillId="0" borderId="1" xfId="31" applyNumberFormat="1" applyFont="1" applyFill="1" applyBorder="1" applyAlignment="1">
      <alignment horizontal="right" vertical="center"/>
    </xf>
    <xf numFmtId="3" fontId="19" fillId="0" borderId="0" xfId="31" applyNumberFormat="1" applyFont="1" applyFill="1"/>
    <xf numFmtId="0" fontId="20" fillId="0" borderId="0" xfId="31" applyFont="1" applyFill="1" applyAlignment="1">
      <alignment horizontal="center"/>
    </xf>
    <xf numFmtId="181" fontId="19" fillId="0" borderId="0" xfId="31" applyNumberFormat="1" applyFont="1" applyFill="1"/>
    <xf numFmtId="185" fontId="19" fillId="0" borderId="0" xfId="31" applyNumberFormat="1" applyFont="1" applyFill="1"/>
    <xf numFmtId="181" fontId="41" fillId="0" borderId="0" xfId="24" applyNumberFormat="1" applyFont="1" applyFill="1"/>
    <xf numFmtId="181" fontId="41" fillId="0" borderId="0" xfId="24" applyNumberFormat="1" applyFont="1" applyFill="1" applyAlignment="1">
      <alignment horizontal="center"/>
    </xf>
    <xf numFmtId="184" fontId="41" fillId="0" borderId="0" xfId="27" applyNumberFormat="1" applyFont="1" applyFill="1" applyAlignment="1"/>
    <xf numFmtId="49" fontId="185" fillId="0" borderId="0" xfId="31" applyNumberFormat="1" applyFont="1" applyBorder="1" applyAlignment="1" applyProtection="1">
      <alignment horizontal="center" vertical="center" wrapText="1"/>
    </xf>
    <xf numFmtId="49" fontId="39" fillId="0" borderId="0" xfId="31" applyNumberFormat="1" applyFont="1" applyBorder="1" applyAlignment="1" applyProtection="1">
      <alignment horizontal="left" vertical="center" wrapText="1"/>
    </xf>
    <xf numFmtId="49" fontId="39" fillId="0" borderId="0" xfId="31" applyNumberFormat="1" applyFont="1" applyBorder="1" applyAlignment="1" applyProtection="1">
      <alignment horizontal="center" vertical="center" wrapText="1"/>
    </xf>
    <xf numFmtId="4" fontId="39" fillId="0" borderId="0" xfId="31" applyNumberFormat="1" applyFont="1" applyBorder="1" applyAlignment="1" applyProtection="1">
      <alignment horizontal="right" vertical="center" wrapText="1"/>
    </xf>
    <xf numFmtId="49" fontId="186" fillId="0" borderId="0" xfId="31" applyNumberFormat="1" applyFont="1" applyBorder="1" applyAlignment="1" applyProtection="1">
      <alignment horizontal="left"/>
    </xf>
    <xf numFmtId="4" fontId="186" fillId="0" borderId="0" xfId="31" applyNumberFormat="1" applyFont="1" applyBorder="1" applyAlignment="1" applyProtection="1">
      <alignment horizontal="right"/>
    </xf>
    <xf numFmtId="0" fontId="40" fillId="0" borderId="0" xfId="24" applyFont="1" applyFill="1" applyBorder="1" applyAlignment="1">
      <alignment vertical="center"/>
    </xf>
    <xf numFmtId="0" fontId="20" fillId="0" borderId="0" xfId="37" applyNumberFormat="1" applyFont="1" applyFill="1" applyBorder="1" applyAlignment="1">
      <alignment horizontal="left" vertical="center"/>
    </xf>
    <xf numFmtId="0" fontId="20" fillId="0" borderId="0" xfId="35" applyNumberFormat="1" applyFont="1" applyFill="1" applyBorder="1" applyAlignment="1">
      <alignment horizontal="left" vertical="center"/>
    </xf>
    <xf numFmtId="49" fontId="19" fillId="0" borderId="1" xfId="35" applyNumberFormat="1" applyFont="1" applyFill="1" applyBorder="1" applyAlignment="1">
      <alignment horizontal="left" vertical="center" wrapText="1"/>
    </xf>
    <xf numFmtId="165" fontId="20" fillId="0" borderId="1" xfId="26" applyNumberFormat="1" applyFont="1" applyFill="1" applyBorder="1" applyAlignment="1">
      <alignment horizontal="right" vertical="center"/>
    </xf>
    <xf numFmtId="165" fontId="20" fillId="0" borderId="1" xfId="26" applyNumberFormat="1" applyFont="1" applyFill="1" applyBorder="1" applyAlignment="1">
      <alignment horizontal="center" vertical="center"/>
    </xf>
    <xf numFmtId="4" fontId="20" fillId="0" borderId="1" xfId="26" applyNumberFormat="1" applyFont="1" applyFill="1" applyBorder="1" applyAlignment="1">
      <alignment horizontal="right" vertical="center"/>
    </xf>
    <xf numFmtId="0" fontId="19" fillId="0" borderId="4" xfId="26" applyFont="1" applyFill="1" applyBorder="1" applyAlignment="1">
      <alignment horizontal="left" vertical="center" wrapText="1"/>
    </xf>
    <xf numFmtId="1" fontId="20" fillId="0" borderId="1" xfId="37" applyNumberFormat="1" applyFont="1" applyFill="1" applyBorder="1" applyAlignment="1">
      <alignment horizontal="center" vertical="center" wrapText="1"/>
    </xf>
    <xf numFmtId="2" fontId="20" fillId="0" borderId="1" xfId="37" applyNumberFormat="1" applyFont="1" applyFill="1" applyBorder="1" applyAlignment="1">
      <alignment horizontal="center" vertical="center" wrapText="1"/>
    </xf>
    <xf numFmtId="165" fontId="20" fillId="0" borderId="1" xfId="37" applyNumberFormat="1" applyFont="1" applyFill="1" applyBorder="1" applyAlignment="1">
      <alignment horizontal="right" vertical="center" wrapText="1"/>
    </xf>
    <xf numFmtId="49" fontId="19" fillId="0" borderId="1" xfId="26" applyNumberFormat="1" applyFont="1" applyFill="1" applyBorder="1" applyAlignment="1">
      <alignment horizontal="center" vertical="center"/>
    </xf>
    <xf numFmtId="0" fontId="19" fillId="5" borderId="1" xfId="38" applyFont="1" applyFill="1" applyBorder="1" applyAlignment="1">
      <alignment vertical="top" wrapText="1"/>
    </xf>
    <xf numFmtId="1" fontId="19" fillId="0" borderId="1" xfId="35" applyNumberFormat="1" applyFont="1" applyFill="1" applyBorder="1" applyAlignment="1">
      <alignment horizontal="center" vertical="center"/>
    </xf>
    <xf numFmtId="165" fontId="19" fillId="0" borderId="1" xfId="35" applyNumberFormat="1" applyFont="1" applyFill="1" applyBorder="1" applyAlignment="1">
      <alignment horizontal="right" vertical="center"/>
    </xf>
    <xf numFmtId="4" fontId="20" fillId="0" borderId="1" xfId="26" applyNumberFormat="1" applyFont="1" applyFill="1" applyBorder="1" applyAlignment="1">
      <alignment horizontal="right" vertical="center" wrapText="1"/>
    </xf>
    <xf numFmtId="0" fontId="19" fillId="0" borderId="1" xfId="29" applyFont="1" applyFill="1" applyBorder="1" applyAlignment="1">
      <alignment wrapText="1"/>
    </xf>
    <xf numFmtId="178" fontId="19" fillId="0" borderId="1" xfId="26" applyNumberFormat="1" applyFont="1" applyFill="1" applyBorder="1" applyAlignment="1">
      <alignment vertical="top" wrapText="1"/>
    </xf>
    <xf numFmtId="178" fontId="19" fillId="0" borderId="1" xfId="26" applyNumberFormat="1" applyFont="1" applyFill="1" applyBorder="1" applyAlignment="1">
      <alignment horizontal="left" vertical="top" wrapText="1"/>
    </xf>
    <xf numFmtId="165" fontId="19" fillId="0" borderId="6" xfId="35" applyNumberFormat="1" applyFont="1" applyFill="1" applyBorder="1" applyAlignment="1">
      <alignment horizontal="left" vertical="top" wrapText="1"/>
    </xf>
    <xf numFmtId="165" fontId="20" fillId="0" borderId="6" xfId="35" applyNumberFormat="1" applyFont="1" applyFill="1" applyBorder="1" applyAlignment="1">
      <alignment horizontal="left" vertical="top" wrapText="1"/>
    </xf>
    <xf numFmtId="0" fontId="19" fillId="11" borderId="1" xfId="38" applyFont="1" applyFill="1" applyBorder="1"/>
    <xf numFmtId="168" fontId="20" fillId="11" borderId="1" xfId="26" applyNumberFormat="1" applyFont="1" applyFill="1" applyBorder="1" applyAlignment="1">
      <alignment horizontal="center" vertical="center" wrapText="1"/>
    </xf>
    <xf numFmtId="0" fontId="19" fillId="0" borderId="7" xfId="38" applyFont="1" applyFill="1" applyBorder="1" applyAlignment="1">
      <alignment horizontal="left" wrapText="1"/>
    </xf>
    <xf numFmtId="0" fontId="19" fillId="0" borderId="4" xfId="38" applyFont="1" applyFill="1" applyBorder="1" applyAlignment="1">
      <alignment horizontal="left" wrapText="1"/>
    </xf>
    <xf numFmtId="2" fontId="20" fillId="0" borderId="1" xfId="36" applyNumberFormat="1" applyFont="1" applyFill="1" applyBorder="1" applyAlignment="1">
      <alignment horizontal="center" vertical="center" wrapText="1"/>
    </xf>
    <xf numFmtId="165" fontId="20" fillId="0" borderId="1" xfId="36" applyNumberFormat="1" applyFont="1" applyFill="1" applyBorder="1" applyAlignment="1">
      <alignment horizontal="right" vertical="center" wrapText="1"/>
    </xf>
    <xf numFmtId="1" fontId="20" fillId="0" borderId="1" xfId="37" applyNumberFormat="1" applyFont="1" applyFill="1" applyBorder="1" applyAlignment="1">
      <alignment horizontal="center" vertical="center"/>
    </xf>
    <xf numFmtId="165" fontId="20" fillId="0" borderId="1" xfId="37" applyNumberFormat="1" applyFont="1" applyFill="1" applyBorder="1" applyAlignment="1">
      <alignment horizontal="right" vertical="center"/>
    </xf>
    <xf numFmtId="0" fontId="19" fillId="0" borderId="1" xfId="35" applyFont="1" applyFill="1" applyBorder="1" applyAlignment="1">
      <alignment horizontal="left" vertical="center" wrapText="1"/>
    </xf>
    <xf numFmtId="165" fontId="19" fillId="0" borderId="1" xfId="36" applyNumberFormat="1" applyFont="1" applyFill="1" applyBorder="1" applyAlignment="1">
      <alignment horizontal="center" vertical="center" wrapText="1"/>
    </xf>
    <xf numFmtId="165" fontId="19" fillId="0" borderId="1" xfId="36" applyNumberFormat="1" applyFont="1" applyFill="1" applyBorder="1" applyAlignment="1">
      <alignment horizontal="right" vertical="center" wrapText="1"/>
    </xf>
    <xf numFmtId="0" fontId="19" fillId="0" borderId="7" xfId="38" applyFont="1" applyFill="1" applyBorder="1" applyAlignment="1">
      <alignment horizontal="center" vertical="center" wrapText="1"/>
    </xf>
    <xf numFmtId="0" fontId="19" fillId="0" borderId="4" xfId="38" applyFont="1" applyFill="1" applyBorder="1" applyAlignment="1">
      <alignment horizontal="center" vertical="center" wrapText="1"/>
    </xf>
    <xf numFmtId="0" fontId="19" fillId="0" borderId="1" xfId="35" applyFont="1" applyFill="1" applyBorder="1" applyAlignment="1">
      <alignment vertical="center" wrapText="1"/>
    </xf>
    <xf numFmtId="178" fontId="20" fillId="11" borderId="1" xfId="35" applyNumberFormat="1" applyFont="1" applyFill="1" applyBorder="1" applyAlignment="1">
      <alignment horizontal="left" vertical="center" wrapText="1"/>
    </xf>
    <xf numFmtId="49" fontId="20" fillId="11" borderId="1" xfId="35" applyNumberFormat="1" applyFont="1" applyFill="1" applyBorder="1" applyAlignment="1">
      <alignment horizontal="center" vertical="center" wrapText="1"/>
    </xf>
    <xf numFmtId="1" fontId="20" fillId="11" borderId="1" xfId="37" applyNumberFormat="1" applyFont="1" applyFill="1" applyBorder="1" applyAlignment="1">
      <alignment horizontal="center" vertical="center"/>
    </xf>
    <xf numFmtId="2" fontId="20" fillId="11" borderId="1" xfId="37" applyNumberFormat="1" applyFont="1" applyFill="1" applyBorder="1" applyAlignment="1">
      <alignment horizontal="center" vertical="center" wrapText="1"/>
    </xf>
    <xf numFmtId="165" fontId="20" fillId="11" borderId="1" xfId="37" applyNumberFormat="1" applyFont="1" applyFill="1" applyBorder="1" applyAlignment="1">
      <alignment horizontal="center" vertical="center"/>
    </xf>
    <xf numFmtId="178" fontId="20" fillId="0" borderId="1" xfId="35" applyNumberFormat="1" applyFont="1" applyFill="1" applyBorder="1" applyAlignment="1">
      <alignment vertical="center" wrapText="1"/>
    </xf>
    <xf numFmtId="178" fontId="19" fillId="0" borderId="1" xfId="35" applyNumberFormat="1" applyFont="1" applyFill="1" applyBorder="1" applyAlignment="1">
      <alignment vertical="center" wrapText="1"/>
    </xf>
    <xf numFmtId="178" fontId="19" fillId="0" borderId="1" xfId="26" applyNumberFormat="1" applyFont="1" applyFill="1" applyBorder="1" applyAlignment="1">
      <alignment horizontal="left" vertical="center" wrapText="1"/>
    </xf>
    <xf numFmtId="165" fontId="19" fillId="0" borderId="1" xfId="26" applyNumberFormat="1" applyFont="1" applyFill="1" applyBorder="1" applyAlignment="1">
      <alignment horizontal="right"/>
    </xf>
    <xf numFmtId="165" fontId="19" fillId="0" borderId="1" xfId="38" applyNumberFormat="1" applyFont="1" applyFill="1" applyBorder="1" applyAlignment="1">
      <alignment horizontal="right" wrapText="1"/>
    </xf>
    <xf numFmtId="165" fontId="20" fillId="11" borderId="1" xfId="35" applyNumberFormat="1" applyFont="1" applyFill="1" applyBorder="1" applyAlignment="1">
      <alignment horizontal="left" vertical="center" wrapText="1"/>
    </xf>
    <xf numFmtId="165" fontId="19" fillId="11" borderId="1" xfId="37" applyNumberFormat="1" applyFont="1" applyFill="1" applyBorder="1" applyAlignment="1">
      <alignment horizontal="center" vertical="center" wrapText="1"/>
    </xf>
    <xf numFmtId="165" fontId="19" fillId="11" borderId="1" xfId="26" applyNumberFormat="1" applyFont="1" applyFill="1" applyBorder="1" applyAlignment="1">
      <alignment horizontal="right" vertical="center"/>
    </xf>
    <xf numFmtId="0" fontId="19" fillId="11" borderId="1" xfId="38" applyFont="1" applyFill="1" applyBorder="1" applyAlignment="1">
      <alignment horizontal="left" vertical="center" wrapText="1"/>
    </xf>
    <xf numFmtId="0" fontId="19" fillId="2" borderId="4" xfId="38" applyFont="1" applyFill="1" applyBorder="1" applyAlignment="1">
      <alignment horizontal="left" vertical="center" wrapText="1"/>
    </xf>
    <xf numFmtId="178" fontId="19" fillId="2" borderId="1" xfId="35" applyNumberFormat="1" applyFont="1" applyFill="1" applyBorder="1" applyAlignment="1">
      <alignment vertical="center" wrapText="1"/>
    </xf>
    <xf numFmtId="49" fontId="19" fillId="2" borderId="1" xfId="35" applyNumberFormat="1" applyFont="1" applyFill="1" applyBorder="1" applyAlignment="1">
      <alignment horizontal="center" vertical="center" wrapText="1"/>
    </xf>
    <xf numFmtId="165" fontId="19" fillId="2" borderId="1" xfId="26" applyNumberFormat="1" applyFont="1" applyFill="1" applyBorder="1" applyAlignment="1">
      <alignment horizontal="right" vertical="center"/>
    </xf>
    <xf numFmtId="165" fontId="19" fillId="2" borderId="1" xfId="26" applyNumberFormat="1" applyFont="1" applyFill="1" applyBorder="1" applyAlignment="1">
      <alignment horizontal="center" vertical="center" wrapText="1"/>
    </xf>
    <xf numFmtId="0" fontId="20" fillId="2" borderId="0" xfId="29" applyFont="1" applyFill="1" applyAlignment="1">
      <alignment horizontal="left" vertical="center"/>
    </xf>
    <xf numFmtId="0" fontId="19" fillId="2" borderId="0" xfId="29" applyFont="1" applyFill="1"/>
    <xf numFmtId="0" fontId="40" fillId="2" borderId="0" xfId="29" applyFont="1" applyFill="1"/>
    <xf numFmtId="165" fontId="41" fillId="2" borderId="0" xfId="29" applyNumberFormat="1" applyFont="1" applyFill="1"/>
    <xf numFmtId="165" fontId="19" fillId="2" borderId="1" xfId="35" applyNumberFormat="1" applyFont="1" applyFill="1" applyBorder="1" applyAlignment="1">
      <alignment horizontal="left" vertical="center" wrapText="1"/>
    </xf>
    <xf numFmtId="178" fontId="19" fillId="2" borderId="1" xfId="37" applyNumberFormat="1" applyFont="1" applyFill="1" applyBorder="1" applyAlignment="1">
      <alignment horizontal="left" vertical="center" wrapText="1"/>
    </xf>
    <xf numFmtId="165" fontId="19" fillId="2" borderId="4" xfId="26" applyNumberFormat="1" applyFont="1" applyFill="1" applyBorder="1" applyAlignment="1">
      <alignment horizontal="center" vertical="center" wrapText="1"/>
    </xf>
    <xf numFmtId="49" fontId="20" fillId="13" borderId="1" xfId="35" applyNumberFormat="1" applyFont="1" applyFill="1" applyBorder="1" applyAlignment="1">
      <alignment horizontal="center" vertical="center" wrapText="1"/>
    </xf>
    <xf numFmtId="0" fontId="19" fillId="5" borderId="1" xfId="29" applyFont="1" applyFill="1" applyBorder="1" applyAlignment="1">
      <alignment horizontal="left" vertical="top" wrapText="1"/>
    </xf>
    <xf numFmtId="0" fontId="19" fillId="0" borderId="1" xfId="29" applyFont="1" applyFill="1" applyBorder="1" applyAlignment="1">
      <alignment horizontal="left" vertical="top" wrapText="1"/>
    </xf>
    <xf numFmtId="0" fontId="19" fillId="0" borderId="1" xfId="87" applyFont="1" applyFill="1" applyBorder="1" applyAlignment="1">
      <alignment vertical="top" wrapText="1"/>
    </xf>
    <xf numFmtId="0" fontId="19" fillId="0" borderId="1" xfId="87" applyFont="1" applyFill="1" applyBorder="1" applyAlignment="1">
      <alignment horizontal="center" vertical="top" wrapText="1"/>
    </xf>
    <xf numFmtId="0" fontId="19" fillId="0" borderId="1" xfId="38" applyFont="1" applyFill="1" applyBorder="1" applyAlignment="1">
      <alignment vertical="center" wrapText="1"/>
    </xf>
    <xf numFmtId="0" fontId="20" fillId="5" borderId="1" xfId="29" applyFont="1" applyFill="1" applyBorder="1" applyAlignment="1">
      <alignment wrapText="1"/>
    </xf>
    <xf numFmtId="165" fontId="19" fillId="5" borderId="1" xfId="38" applyNumberFormat="1" applyFont="1" applyFill="1" applyBorder="1" applyAlignment="1">
      <alignment horizontal="center" vertical="center" wrapText="1"/>
    </xf>
    <xf numFmtId="0" fontId="19" fillId="5" borderId="1" xfId="29" applyFont="1" applyFill="1" applyBorder="1" applyAlignment="1">
      <alignment horizontal="left" vertical="top"/>
    </xf>
    <xf numFmtId="0" fontId="19" fillId="5" borderId="0" xfId="29" applyFont="1" applyFill="1"/>
    <xf numFmtId="0" fontId="41" fillId="5" borderId="0" xfId="29" applyFont="1" applyFill="1"/>
    <xf numFmtId="0" fontId="19" fillId="0" borderId="1" xfId="29" applyFont="1" applyFill="1" applyBorder="1" applyAlignment="1">
      <alignment horizontal="left" vertical="top"/>
    </xf>
    <xf numFmtId="1" fontId="20" fillId="5" borderId="1" xfId="26" applyNumberFormat="1" applyFont="1" applyFill="1" applyBorder="1" applyAlignment="1">
      <alignment horizontal="center"/>
    </xf>
    <xf numFmtId="2" fontId="20" fillId="5" borderId="1" xfId="26" applyNumberFormat="1" applyFont="1" applyFill="1" applyBorder="1" applyAlignment="1">
      <alignment horizontal="center"/>
    </xf>
    <xf numFmtId="165" fontId="20" fillId="5" borderId="1" xfId="26" applyNumberFormat="1" applyFont="1" applyFill="1" applyBorder="1" applyAlignment="1">
      <alignment horizontal="center"/>
    </xf>
    <xf numFmtId="0" fontId="19" fillId="5" borderId="1" xfId="26" applyFont="1" applyFill="1" applyBorder="1" applyAlignment="1">
      <alignment vertical="top" wrapText="1"/>
    </xf>
    <xf numFmtId="1" fontId="20" fillId="0" borderId="1" xfId="26" applyNumberFormat="1" applyFont="1" applyFill="1" applyBorder="1" applyAlignment="1">
      <alignment horizontal="center"/>
    </xf>
    <xf numFmtId="2" fontId="20" fillId="0" borderId="1" xfId="26" applyNumberFormat="1" applyFont="1" applyFill="1" applyBorder="1" applyAlignment="1">
      <alignment horizontal="center"/>
    </xf>
    <xf numFmtId="165" fontId="20" fillId="0" borderId="1" xfId="26" applyNumberFormat="1" applyFont="1" applyFill="1" applyBorder="1" applyAlignment="1">
      <alignment horizontal="right"/>
    </xf>
    <xf numFmtId="165" fontId="19" fillId="0" borderId="1" xfId="37" applyNumberFormat="1" applyFont="1" applyFill="1" applyBorder="1" applyAlignment="1">
      <alignment horizontal="left" vertical="justify" wrapText="1"/>
    </xf>
    <xf numFmtId="49" fontId="19" fillId="0" borderId="1" xfId="37" applyNumberFormat="1" applyFont="1" applyFill="1" applyBorder="1" applyAlignment="1">
      <alignment horizontal="center" vertical="justify" wrapText="1"/>
    </xf>
    <xf numFmtId="165" fontId="19" fillId="0" borderId="1" xfId="26" applyNumberFormat="1" applyFont="1" applyFill="1" applyBorder="1" applyAlignment="1">
      <alignment wrapText="1"/>
    </xf>
    <xf numFmtId="49" fontId="19" fillId="0" borderId="1" xfId="26" applyNumberFormat="1" applyFont="1" applyFill="1" applyBorder="1" applyAlignment="1">
      <alignment horizontal="center" wrapText="1"/>
    </xf>
    <xf numFmtId="165" fontId="19" fillId="0" borderId="1" xfId="37" applyNumberFormat="1" applyFont="1" applyFill="1" applyBorder="1" applyAlignment="1">
      <alignment horizontal="right" vertical="center" wrapText="1"/>
    </xf>
    <xf numFmtId="4" fontId="19" fillId="0" borderId="1" xfId="26" applyNumberFormat="1" applyFont="1" applyFill="1" applyBorder="1" applyAlignment="1">
      <alignment horizontal="right" vertical="center"/>
    </xf>
    <xf numFmtId="1" fontId="19" fillId="0" borderId="1" xfId="26" applyNumberFormat="1" applyFont="1" applyFill="1" applyBorder="1" applyAlignment="1">
      <alignment horizontal="center"/>
    </xf>
    <xf numFmtId="2" fontId="19" fillId="0" borderId="1" xfId="26" applyNumberFormat="1" applyFont="1" applyFill="1" applyBorder="1" applyAlignment="1">
      <alignment horizontal="center"/>
    </xf>
    <xf numFmtId="0" fontId="20" fillId="0" borderId="1" xfId="29" applyFont="1" applyFill="1" applyBorder="1" applyAlignment="1">
      <alignment horizontal="center" vertical="center"/>
    </xf>
    <xf numFmtId="0" fontId="19" fillId="0" borderId="1" xfId="26" applyFont="1" applyFill="1" applyBorder="1" applyAlignment="1">
      <alignment horizontal="left" vertical="top"/>
    </xf>
    <xf numFmtId="0" fontId="19" fillId="5" borderId="1" xfId="38" applyNumberFormat="1" applyFont="1" applyFill="1" applyBorder="1" applyAlignment="1">
      <alignment vertical="top"/>
    </xf>
    <xf numFmtId="0" fontId="19" fillId="2" borderId="1" xfId="38" applyFont="1" applyFill="1" applyBorder="1" applyAlignment="1">
      <alignment horizontal="left" vertical="top" wrapText="1"/>
    </xf>
    <xf numFmtId="165" fontId="19" fillId="0" borderId="1" xfId="38" applyNumberFormat="1" applyFont="1" applyFill="1" applyBorder="1" applyAlignment="1">
      <alignment horizontal="right" vertical="top"/>
    </xf>
    <xf numFmtId="168" fontId="19" fillId="0" borderId="1" xfId="26" applyNumberFormat="1" applyFont="1" applyFill="1" applyBorder="1" applyAlignment="1">
      <alignment horizontal="right"/>
    </xf>
    <xf numFmtId="165" fontId="20" fillId="0" borderId="1" xfId="29" applyNumberFormat="1" applyFont="1" applyFill="1" applyBorder="1"/>
    <xf numFmtId="165" fontId="20" fillId="0" borderId="1" xfId="38" applyNumberFormat="1" applyFont="1" applyFill="1" applyBorder="1" applyAlignment="1">
      <alignment horizontal="right" wrapText="1"/>
    </xf>
    <xf numFmtId="165" fontId="20" fillId="2" borderId="1" xfId="37" applyNumberFormat="1" applyFont="1" applyFill="1" applyBorder="1" applyAlignment="1">
      <alignment horizontal="left" vertical="center" wrapText="1"/>
    </xf>
    <xf numFmtId="0" fontId="19" fillId="18" borderId="1" xfId="29" applyFont="1" applyFill="1" applyBorder="1" applyAlignment="1">
      <alignment vertical="center" wrapText="1"/>
    </xf>
    <xf numFmtId="165" fontId="19" fillId="18" borderId="1" xfId="29" applyNumberFormat="1" applyFont="1" applyFill="1" applyBorder="1"/>
    <xf numFmtId="0" fontId="129" fillId="18" borderId="1" xfId="87" applyNumberFormat="1" applyFont="1" applyFill="1" applyBorder="1" applyAlignment="1"/>
    <xf numFmtId="165" fontId="20" fillId="5" borderId="1" xfId="26" applyNumberFormat="1" applyFont="1" applyFill="1" applyBorder="1" applyAlignment="1">
      <alignment horizontal="right" vertical="center" wrapText="1"/>
    </xf>
    <xf numFmtId="0" fontId="19" fillId="5" borderId="1" xfId="87" applyNumberFormat="1" applyFont="1" applyFill="1" applyBorder="1" applyAlignment="1"/>
    <xf numFmtId="0" fontId="19" fillId="0" borderId="4" xfId="38" applyFont="1" applyFill="1" applyBorder="1" applyAlignment="1">
      <alignment vertical="top" wrapText="1"/>
    </xf>
    <xf numFmtId="0" fontId="19" fillId="0" borderId="1" xfId="38" applyFont="1" applyFill="1" applyBorder="1" applyAlignment="1">
      <alignment horizontal="left" wrapText="1"/>
    </xf>
    <xf numFmtId="49" fontId="19" fillId="0" borderId="1" xfId="26" applyNumberFormat="1" applyFont="1" applyFill="1" applyBorder="1" applyAlignment="1">
      <alignment horizontal="center" vertical="top" wrapText="1"/>
    </xf>
    <xf numFmtId="0" fontId="19" fillId="0" borderId="1" xfId="29" applyFont="1" applyFill="1" applyBorder="1" applyAlignment="1">
      <alignment vertical="top" wrapText="1"/>
    </xf>
    <xf numFmtId="165" fontId="19" fillId="0" borderId="1" xfId="37" applyNumberFormat="1" applyFont="1" applyFill="1" applyBorder="1" applyAlignment="1">
      <alignment horizontal="center" vertical="top" wrapText="1"/>
    </xf>
    <xf numFmtId="165" fontId="19" fillId="0" borderId="1" xfId="26" applyNumberFormat="1" applyFont="1" applyFill="1" applyBorder="1" applyAlignment="1">
      <alignment horizontal="right" vertical="top"/>
    </xf>
    <xf numFmtId="165" fontId="19" fillId="0" borderId="1" xfId="38" applyNumberFormat="1" applyFont="1" applyFill="1" applyBorder="1" applyAlignment="1">
      <alignment horizontal="right" vertical="top" wrapText="1"/>
    </xf>
    <xf numFmtId="0" fontId="19" fillId="0" borderId="1" xfId="38" applyFont="1" applyFill="1" applyBorder="1" applyAlignment="1">
      <alignment horizontal="center" vertical="top" wrapText="1"/>
    </xf>
    <xf numFmtId="0" fontId="19" fillId="5" borderId="0" xfId="29" applyFont="1" applyFill="1" applyAlignment="1">
      <alignment horizontal="left" vertical="center"/>
    </xf>
    <xf numFmtId="0" fontId="19" fillId="0" borderId="7" xfId="38" applyFont="1" applyFill="1" applyBorder="1" applyAlignment="1">
      <alignment horizontal="center" vertical="top" wrapText="1"/>
    </xf>
    <xf numFmtId="0" fontId="19" fillId="0" borderId="8" xfId="38" applyFont="1" applyFill="1" applyBorder="1" applyAlignment="1">
      <alignment horizontal="center" vertical="top" wrapText="1"/>
    </xf>
    <xf numFmtId="0" fontId="19" fillId="0" borderId="4" xfId="38" applyFont="1" applyFill="1" applyBorder="1" applyAlignment="1">
      <alignment horizontal="center" vertical="top" wrapText="1"/>
    </xf>
    <xf numFmtId="165" fontId="20" fillId="23" borderId="1" xfId="37" applyNumberFormat="1" applyFont="1" applyFill="1" applyBorder="1" applyAlignment="1">
      <alignment horizontal="center" vertical="center" wrapText="1"/>
    </xf>
    <xf numFmtId="0" fontId="19" fillId="5" borderId="7" xfId="38" applyFont="1" applyFill="1" applyBorder="1" applyAlignment="1">
      <alignment horizontal="center" vertical="top" wrapText="1"/>
    </xf>
    <xf numFmtId="0" fontId="19" fillId="0" borderId="4" xfId="26" applyFont="1" applyFill="1" applyBorder="1" applyAlignment="1">
      <alignment vertical="top" wrapText="1"/>
    </xf>
    <xf numFmtId="0" fontId="20" fillId="5" borderId="1" xfId="38" applyFont="1" applyFill="1" applyBorder="1" applyAlignment="1">
      <alignment vertical="center" wrapText="1"/>
    </xf>
    <xf numFmtId="49" fontId="20" fillId="5" borderId="1" xfId="38" applyNumberFormat="1" applyFont="1" applyFill="1" applyBorder="1" applyAlignment="1">
      <alignment horizontal="center" vertical="center" wrapText="1"/>
    </xf>
    <xf numFmtId="0" fontId="19" fillId="2" borderId="1" xfId="38" applyFont="1" applyFill="1" applyBorder="1" applyAlignment="1">
      <alignment wrapText="1"/>
    </xf>
    <xf numFmtId="168" fontId="19" fillId="0" borderId="1" xfId="38" applyNumberFormat="1" applyFont="1" applyFill="1" applyBorder="1" applyAlignment="1">
      <alignment horizontal="right" vertical="top" wrapText="1"/>
    </xf>
    <xf numFmtId="4" fontId="19" fillId="0" borderId="1" xfId="38" applyNumberFormat="1" applyFont="1" applyFill="1" applyBorder="1" applyAlignment="1">
      <alignment horizontal="right" vertical="top" wrapText="1"/>
    </xf>
    <xf numFmtId="0" fontId="19" fillId="0" borderId="1" xfId="38" applyFont="1" applyFill="1" applyBorder="1" applyAlignment="1">
      <alignment vertical="top"/>
    </xf>
    <xf numFmtId="165" fontId="20" fillId="18" borderId="1" xfId="26" applyNumberFormat="1" applyFont="1" applyFill="1" applyBorder="1" applyAlignment="1">
      <alignment horizontal="left" vertical="center" wrapText="1"/>
    </xf>
    <xf numFmtId="49" fontId="19" fillId="18" borderId="1" xfId="26" applyNumberFormat="1" applyFont="1" applyFill="1" applyBorder="1" applyAlignment="1">
      <alignment horizontal="center" vertical="center" wrapText="1"/>
    </xf>
    <xf numFmtId="165" fontId="19" fillId="18" borderId="1" xfId="26" applyNumberFormat="1" applyFont="1" applyFill="1" applyBorder="1" applyAlignment="1">
      <alignment horizontal="center" vertical="center" wrapText="1"/>
    </xf>
    <xf numFmtId="165" fontId="19" fillId="18" borderId="1" xfId="38" applyNumberFormat="1" applyFont="1" applyFill="1" applyBorder="1" applyAlignment="1">
      <alignment horizontal="right" vertical="center" wrapText="1"/>
    </xf>
    <xf numFmtId="165" fontId="20" fillId="18" borderId="1" xfId="38" applyNumberFormat="1" applyFont="1" applyFill="1" applyBorder="1" applyAlignment="1">
      <alignment horizontal="right" vertical="center" wrapText="1"/>
    </xf>
    <xf numFmtId="0" fontId="20" fillId="18" borderId="1" xfId="87" applyFont="1" applyFill="1" applyBorder="1" applyAlignment="1">
      <alignment vertical="top" wrapText="1"/>
    </xf>
    <xf numFmtId="1" fontId="19" fillId="18" borderId="1" xfId="26" applyNumberFormat="1" applyFont="1" applyFill="1" applyBorder="1" applyAlignment="1">
      <alignment horizontal="center" vertical="center" wrapText="1"/>
    </xf>
    <xf numFmtId="2" fontId="19" fillId="18" borderId="1" xfId="26" applyNumberFormat="1" applyFont="1" applyFill="1" applyBorder="1" applyAlignment="1">
      <alignment horizontal="center" vertical="center" wrapText="1"/>
    </xf>
    <xf numFmtId="165" fontId="19" fillId="18" borderId="1" xfId="26" applyNumberFormat="1" applyFont="1" applyFill="1" applyBorder="1" applyAlignment="1">
      <alignment horizontal="right" vertical="center" wrapText="1"/>
    </xf>
    <xf numFmtId="0" fontId="19" fillId="11" borderId="1" xfId="29" applyFont="1" applyFill="1" applyBorder="1" applyAlignment="1">
      <alignment horizontal="left" vertical="top" wrapText="1"/>
    </xf>
    <xf numFmtId="178" fontId="19" fillId="0" borderId="1" xfId="26" applyNumberFormat="1" applyFont="1" applyFill="1" applyBorder="1" applyAlignment="1">
      <alignment vertical="center" wrapText="1"/>
    </xf>
    <xf numFmtId="165" fontId="20" fillId="0" borderId="0" xfId="29" applyNumberFormat="1" applyFont="1" applyAlignment="1">
      <alignment horizontal="center" vertical="center" wrapText="1"/>
    </xf>
    <xf numFmtId="165" fontId="20" fillId="0" borderId="0" xfId="29" applyNumberFormat="1" applyFont="1" applyAlignment="1">
      <alignment horizontal="center" vertical="center"/>
    </xf>
    <xf numFmtId="165" fontId="20" fillId="0" borderId="0" xfId="29" applyNumberFormat="1" applyFont="1" applyAlignment="1">
      <alignment horizontal="center"/>
    </xf>
    <xf numFmtId="165" fontId="40" fillId="0" borderId="0" xfId="29" applyNumberFormat="1" applyFont="1" applyAlignment="1">
      <alignment horizontal="center"/>
    </xf>
    <xf numFmtId="165" fontId="20" fillId="0" borderId="0" xfId="29" applyNumberFormat="1" applyFont="1" applyFill="1" applyAlignment="1">
      <alignment horizontal="center"/>
    </xf>
    <xf numFmtId="165" fontId="19" fillId="0" borderId="0" xfId="29" applyNumberFormat="1" applyFont="1" applyAlignment="1">
      <alignment horizontal="center"/>
    </xf>
    <xf numFmtId="165" fontId="19" fillId="0" borderId="0" xfId="29" applyNumberFormat="1" applyFont="1" applyFill="1" applyAlignment="1">
      <alignment horizontal="center"/>
    </xf>
    <xf numFmtId="180" fontId="19" fillId="2" borderId="1" xfId="29" applyNumberFormat="1" applyFont="1" applyFill="1" applyBorder="1" applyAlignment="1">
      <alignment horizontal="center" vertical="center" wrapText="1"/>
    </xf>
    <xf numFmtId="186" fontId="41" fillId="0" borderId="0" xfId="29" applyNumberFormat="1" applyFont="1" applyFill="1"/>
    <xf numFmtId="165" fontId="19" fillId="6" borderId="0" xfId="29" applyNumberFormat="1" applyFont="1" applyFill="1" applyAlignment="1">
      <alignment horizontal="center" vertical="center" wrapText="1"/>
    </xf>
    <xf numFmtId="165" fontId="19" fillId="6" borderId="1" xfId="29" applyNumberFormat="1" applyFont="1" applyFill="1" applyBorder="1" applyAlignment="1">
      <alignment horizontal="center" vertical="center" wrapText="1"/>
    </xf>
    <xf numFmtId="165" fontId="19" fillId="6" borderId="0" xfId="29" applyNumberFormat="1" applyFont="1" applyFill="1"/>
    <xf numFmtId="165" fontId="19" fillId="6" borderId="0" xfId="29" applyNumberFormat="1" applyFont="1" applyFill="1" applyAlignment="1">
      <alignment horizontal="center" vertical="center"/>
    </xf>
    <xf numFmtId="165" fontId="19" fillId="6" borderId="0" xfId="29" applyNumberFormat="1" applyFont="1" applyFill="1" applyAlignment="1">
      <alignment horizontal="center"/>
    </xf>
    <xf numFmtId="165" fontId="40" fillId="6" borderId="0" xfId="29" applyNumberFormat="1" applyFont="1" applyFill="1" applyAlignment="1">
      <alignment horizontal="center"/>
    </xf>
    <xf numFmtId="165" fontId="41" fillId="6" borderId="0" xfId="29" applyNumberFormat="1" applyFont="1" applyFill="1" applyAlignment="1">
      <alignment horizontal="center"/>
    </xf>
    <xf numFmtId="165" fontId="19" fillId="26" borderId="0" xfId="29" applyNumberFormat="1" applyFont="1" applyFill="1" applyAlignment="1">
      <alignment horizontal="center" vertical="center" wrapText="1"/>
    </xf>
    <xf numFmtId="165" fontId="19" fillId="26" borderId="1" xfId="29" applyNumberFormat="1" applyFont="1" applyFill="1" applyBorder="1" applyAlignment="1">
      <alignment horizontal="center" vertical="center" wrapText="1"/>
    </xf>
    <xf numFmtId="165" fontId="19" fillId="26" borderId="0" xfId="29" applyNumberFormat="1" applyFont="1" applyFill="1"/>
    <xf numFmtId="165" fontId="19" fillId="26" borderId="0" xfId="29" applyNumberFormat="1" applyFont="1" applyFill="1" applyAlignment="1">
      <alignment horizontal="center" vertical="center"/>
    </xf>
    <xf numFmtId="165" fontId="19" fillId="26" borderId="0" xfId="29" applyNumberFormat="1" applyFont="1" applyFill="1" applyAlignment="1">
      <alignment horizontal="center"/>
    </xf>
    <xf numFmtId="165" fontId="40" fillId="26" borderId="0" xfId="29" applyNumberFormat="1" applyFont="1" applyFill="1" applyAlignment="1">
      <alignment horizontal="center"/>
    </xf>
    <xf numFmtId="165" fontId="41" fillId="26" borderId="0" xfId="29" applyNumberFormat="1" applyFont="1" applyFill="1" applyAlignment="1">
      <alignment horizontal="center"/>
    </xf>
    <xf numFmtId="165" fontId="19" fillId="10" borderId="0" xfId="29" applyNumberFormat="1" applyFont="1" applyFill="1" applyAlignment="1">
      <alignment horizontal="center" vertical="center" wrapText="1"/>
    </xf>
    <xf numFmtId="165" fontId="19" fillId="10" borderId="1" xfId="29" applyNumberFormat="1" applyFont="1" applyFill="1" applyBorder="1" applyAlignment="1">
      <alignment horizontal="center" vertical="center" wrapText="1"/>
    </xf>
    <xf numFmtId="165" fontId="19" fillId="10" borderId="0" xfId="29" applyNumberFormat="1" applyFont="1" applyFill="1"/>
    <xf numFmtId="165" fontId="19" fillId="10" borderId="0" xfId="29" applyNumberFormat="1" applyFont="1" applyFill="1" applyAlignment="1">
      <alignment horizontal="center" vertical="center"/>
    </xf>
    <xf numFmtId="165" fontId="19" fillId="10" borderId="0" xfId="29" applyNumberFormat="1" applyFont="1" applyFill="1" applyAlignment="1">
      <alignment horizontal="center"/>
    </xf>
    <xf numFmtId="165" fontId="40" fillId="10" borderId="0" xfId="29" applyNumberFormat="1" applyFont="1" applyFill="1" applyAlignment="1">
      <alignment horizontal="center"/>
    </xf>
    <xf numFmtId="165" fontId="41" fillId="10" borderId="0" xfId="29" applyNumberFormat="1" applyFont="1" applyFill="1" applyAlignment="1">
      <alignment horizontal="center"/>
    </xf>
    <xf numFmtId="0" fontId="73" fillId="0" borderId="1" xfId="31" applyNumberFormat="1" applyFont="1" applyFill="1" applyBorder="1" applyAlignment="1" applyProtection="1">
      <alignment horizontal="left" vertical="center" indent="1"/>
    </xf>
    <xf numFmtId="0" fontId="71" fillId="0" borderId="1" xfId="31" applyNumberFormat="1" applyFont="1" applyFill="1" applyBorder="1" applyAlignment="1" applyProtection="1">
      <alignment vertical="top" wrapText="1"/>
    </xf>
    <xf numFmtId="0" fontId="73" fillId="0" borderId="1" xfId="31" applyNumberFormat="1" applyFont="1" applyFill="1" applyBorder="1" applyAlignment="1" applyProtection="1">
      <alignment horizontal="center" vertical="center"/>
    </xf>
    <xf numFmtId="0" fontId="73" fillId="0" borderId="1" xfId="31" applyNumberFormat="1" applyFont="1" applyFill="1" applyBorder="1" applyAlignment="1" applyProtection="1">
      <alignment vertical="top"/>
    </xf>
    <xf numFmtId="4" fontId="73" fillId="0" borderId="1" xfId="31" applyNumberFormat="1" applyFont="1" applyFill="1" applyBorder="1" applyAlignment="1" applyProtection="1">
      <alignment vertical="top"/>
    </xf>
    <xf numFmtId="0" fontId="68" fillId="0" borderId="1" xfId="31" applyNumberFormat="1" applyFont="1" applyFill="1" applyBorder="1" applyAlignment="1" applyProtection="1">
      <alignment horizontal="left" vertical="center" indent="1"/>
    </xf>
    <xf numFmtId="0" fontId="68" fillId="0" borderId="1" xfId="31" applyNumberFormat="1" applyFont="1" applyFill="1" applyBorder="1" applyAlignment="1" applyProtection="1">
      <alignment vertical="top" wrapText="1"/>
    </xf>
    <xf numFmtId="0" fontId="68" fillId="0" borderId="1" xfId="31" applyNumberFormat="1" applyFont="1" applyFill="1" applyBorder="1" applyAlignment="1" applyProtection="1">
      <alignment horizontal="center" vertical="center"/>
    </xf>
    <xf numFmtId="0" fontId="112" fillId="0" borderId="1" xfId="31" applyNumberFormat="1" applyFont="1" applyFill="1" applyBorder="1" applyAlignment="1" applyProtection="1">
      <alignment vertical="top"/>
    </xf>
    <xf numFmtId="4" fontId="112" fillId="0" borderId="1" xfId="31" applyNumberFormat="1" applyFont="1" applyFill="1" applyBorder="1" applyAlignment="1" applyProtection="1">
      <alignment vertical="top" wrapText="1"/>
    </xf>
    <xf numFmtId="0" fontId="113" fillId="0" borderId="1" xfId="31" applyNumberFormat="1" applyFont="1" applyFill="1" applyBorder="1" applyAlignment="1" applyProtection="1">
      <alignment horizontal="left" vertical="center" indent="1"/>
    </xf>
    <xf numFmtId="0" fontId="113" fillId="0" borderId="1" xfId="31" applyNumberFormat="1" applyFont="1" applyFill="1" applyBorder="1" applyAlignment="1" applyProtection="1">
      <alignment vertical="top" wrapText="1"/>
    </xf>
    <xf numFmtId="0" fontId="113" fillId="0" borderId="1" xfId="31" applyNumberFormat="1" applyFont="1" applyFill="1" applyBorder="1" applyAlignment="1" applyProtection="1">
      <alignment horizontal="center" vertical="center"/>
    </xf>
    <xf numFmtId="0" fontId="113" fillId="0" borderId="1" xfId="31" applyNumberFormat="1" applyFont="1" applyFill="1" applyBorder="1" applyAlignment="1" applyProtection="1">
      <alignment vertical="top"/>
    </xf>
    <xf numFmtId="4" fontId="113" fillId="0" borderId="1" xfId="31" applyNumberFormat="1" applyFont="1" applyFill="1" applyBorder="1" applyAlignment="1" applyProtection="1">
      <alignment vertical="top"/>
    </xf>
    <xf numFmtId="0" fontId="114" fillId="0" borderId="1" xfId="31" applyNumberFormat="1" applyFont="1" applyFill="1" applyBorder="1" applyAlignment="1" applyProtection="1">
      <alignment vertical="top" wrapText="1"/>
    </xf>
    <xf numFmtId="0" fontId="68" fillId="0" borderId="1" xfId="31" applyNumberFormat="1" applyFont="1" applyFill="1" applyBorder="1" applyAlignment="1" applyProtection="1">
      <alignment vertical="center" wrapText="1"/>
    </xf>
    <xf numFmtId="0" fontId="73" fillId="0" borderId="1" xfId="31" applyNumberFormat="1" applyFont="1" applyFill="1" applyBorder="1" applyAlignment="1" applyProtection="1">
      <alignment vertical="center" wrapText="1"/>
    </xf>
    <xf numFmtId="0" fontId="114" fillId="0" borderId="1" xfId="31" applyNumberFormat="1" applyFont="1" applyFill="1" applyBorder="1" applyAlignment="1" applyProtection="1">
      <alignment vertical="center" wrapText="1"/>
    </xf>
    <xf numFmtId="0" fontId="115" fillId="0" borderId="1" xfId="31" applyNumberFormat="1" applyFont="1" applyFill="1" applyBorder="1" applyAlignment="1" applyProtection="1">
      <alignment vertical="top" wrapText="1"/>
    </xf>
    <xf numFmtId="1" fontId="112" fillId="0" borderId="1" xfId="31" applyNumberFormat="1" applyFont="1" applyFill="1" applyBorder="1" applyAlignment="1" applyProtection="1">
      <alignment vertical="top"/>
    </xf>
    <xf numFmtId="4" fontId="112" fillId="0" borderId="1" xfId="31" applyNumberFormat="1" applyFont="1" applyFill="1" applyBorder="1" applyAlignment="1" applyProtection="1">
      <alignment horizontal="right" vertical="top"/>
    </xf>
    <xf numFmtId="0" fontId="68" fillId="0" borderId="1" xfId="31" applyNumberFormat="1" applyFont="1" applyFill="1" applyBorder="1" applyAlignment="1" applyProtection="1">
      <alignment vertical="top"/>
    </xf>
    <xf numFmtId="4" fontId="68" fillId="0" borderId="1" xfId="31" applyNumberFormat="1" applyFont="1" applyFill="1" applyBorder="1" applyAlignment="1" applyProtection="1">
      <alignment vertical="top"/>
    </xf>
    <xf numFmtId="4" fontId="68" fillId="0" borderId="1" xfId="31" applyNumberFormat="1" applyFont="1" applyFill="1" applyBorder="1" applyAlignment="1" applyProtection="1">
      <alignment horizontal="right" vertical="top"/>
    </xf>
    <xf numFmtId="0" fontId="116" fillId="0" borderId="1" xfId="31" applyNumberFormat="1" applyFont="1" applyFill="1" applyBorder="1" applyAlignment="1" applyProtection="1">
      <alignment horizontal="left" vertical="center" indent="1"/>
    </xf>
    <xf numFmtId="0" fontId="116" fillId="0" borderId="1" xfId="31" applyNumberFormat="1" applyFont="1" applyFill="1" applyBorder="1" applyAlignment="1" applyProtection="1">
      <alignment vertical="top" wrapText="1"/>
    </xf>
    <xf numFmtId="4" fontId="73" fillId="0" borderId="1" xfId="31" applyNumberFormat="1" applyFont="1" applyFill="1" applyBorder="1" applyAlignment="1" applyProtection="1">
      <alignment horizontal="right" vertical="top"/>
    </xf>
    <xf numFmtId="0" fontId="64" fillId="0" borderId="1" xfId="31" applyNumberFormat="1" applyFont="1" applyFill="1" applyBorder="1" applyAlignment="1" applyProtection="1">
      <alignment vertical="top" wrapText="1"/>
    </xf>
    <xf numFmtId="0" fontId="112" fillId="0" borderId="1" xfId="31" applyNumberFormat="1" applyFont="1" applyFill="1" applyBorder="1" applyAlignment="1" applyProtection="1">
      <alignment vertical="top" wrapText="1"/>
    </xf>
    <xf numFmtId="0" fontId="112" fillId="0" borderId="1" xfId="31" applyNumberFormat="1" applyFont="1" applyFill="1" applyBorder="1" applyAlignment="1" applyProtection="1">
      <alignment horizontal="left" vertical="center" indent="1"/>
    </xf>
    <xf numFmtId="0" fontId="112" fillId="0" borderId="1" xfId="31" applyNumberFormat="1" applyFont="1" applyFill="1" applyBorder="1" applyAlignment="1" applyProtection="1">
      <alignment horizontal="center" vertical="center"/>
    </xf>
    <xf numFmtId="0" fontId="111" fillId="0" borderId="1" xfId="31" applyNumberFormat="1" applyFont="1" applyFill="1" applyBorder="1" applyAlignment="1" applyProtection="1">
      <alignment vertical="top" wrapText="1"/>
    </xf>
    <xf numFmtId="0" fontId="116" fillId="0" borderId="1" xfId="31" applyNumberFormat="1" applyFont="1" applyFill="1" applyBorder="1" applyAlignment="1" applyProtection="1">
      <alignment horizontal="center" vertical="center"/>
    </xf>
    <xf numFmtId="0" fontId="116" fillId="0" borderId="1" xfId="31" applyNumberFormat="1" applyFont="1" applyFill="1" applyBorder="1" applyAlignment="1" applyProtection="1">
      <alignment vertical="top"/>
    </xf>
    <xf numFmtId="0" fontId="116" fillId="2" borderId="0" xfId="31" applyNumberFormat="1" applyFont="1" applyFill="1" applyBorder="1" applyAlignment="1" applyProtection="1">
      <alignment vertical="top"/>
    </xf>
    <xf numFmtId="0" fontId="62" fillId="2" borderId="0" xfId="31" applyFont="1" applyFill="1" applyAlignment="1">
      <alignment wrapText="1"/>
    </xf>
    <xf numFmtId="0" fontId="50" fillId="2" borderId="0" xfId="31" applyFont="1" applyFill="1" applyAlignment="1">
      <alignment horizontal="center" vertical="center" wrapText="1"/>
    </xf>
    <xf numFmtId="2" fontId="50" fillId="2" borderId="0" xfId="31" applyNumberFormat="1" applyFont="1" applyFill="1" applyAlignment="1">
      <alignment horizontal="center" vertical="center" wrapText="1"/>
    </xf>
    <xf numFmtId="0" fontId="62" fillId="2" borderId="0" xfId="31" applyFont="1" applyFill="1" applyAlignment="1"/>
    <xf numFmtId="4" fontId="78" fillId="0" borderId="0" xfId="25" applyNumberFormat="1" applyFont="1" applyFill="1" applyAlignment="1">
      <alignment horizontal="center"/>
    </xf>
    <xf numFmtId="4" fontId="78" fillId="0" borderId="1" xfId="25" applyNumberFormat="1" applyFont="1" applyFill="1" applyBorder="1" applyAlignment="1">
      <alignment horizontal="left" vertical="center" wrapText="1"/>
    </xf>
    <xf numFmtId="0" fontId="169" fillId="0" borderId="0" xfId="3" applyFont="1" applyAlignment="1">
      <alignment horizontal="center" wrapText="1"/>
    </xf>
    <xf numFmtId="0" fontId="169" fillId="0" borderId="0" xfId="3" applyFont="1" applyAlignment="1">
      <alignment horizontal="center"/>
    </xf>
    <xf numFmtId="0" fontId="101" fillId="0" borderId="12" xfId="3" applyFont="1" applyFill="1" applyBorder="1" applyAlignment="1">
      <alignment horizontal="center"/>
    </xf>
    <xf numFmtId="166" fontId="169" fillId="0" borderId="0" xfId="3" applyNumberFormat="1" applyFont="1" applyAlignment="1">
      <alignment horizontal="center"/>
    </xf>
    <xf numFmtId="166" fontId="101" fillId="0" borderId="50" xfId="3" applyNumberFormat="1" applyFont="1" applyBorder="1" applyAlignment="1">
      <alignment horizontal="center"/>
    </xf>
    <xf numFmtId="166" fontId="101" fillId="0" borderId="45" xfId="3" applyNumberFormat="1" applyFont="1" applyBorder="1" applyAlignment="1">
      <alignment horizontal="center"/>
    </xf>
    <xf numFmtId="0" fontId="18" fillId="0" borderId="0" xfId="3" applyAlignment="1">
      <alignment horizontal="left"/>
    </xf>
    <xf numFmtId="166" fontId="101" fillId="0" borderId="10" xfId="3" applyNumberFormat="1" applyFont="1" applyBorder="1" applyAlignment="1">
      <alignment horizontal="center"/>
    </xf>
    <xf numFmtId="166" fontId="101" fillId="0" borderId="49" xfId="3" applyNumberFormat="1" applyFont="1" applyBorder="1" applyAlignment="1">
      <alignment horizontal="center"/>
    </xf>
    <xf numFmtId="0" fontId="101" fillId="0" borderId="13" xfId="3" applyFont="1" applyFill="1" applyBorder="1" applyAlignment="1">
      <alignment horizontal="center"/>
    </xf>
    <xf numFmtId="0" fontId="101" fillId="0" borderId="14" xfId="3" applyFont="1" applyFill="1" applyBorder="1" applyAlignment="1">
      <alignment horizontal="center"/>
    </xf>
    <xf numFmtId="0" fontId="101" fillId="0" borderId="39" xfId="3" applyFont="1" applyBorder="1" applyAlignment="1">
      <alignment horizontal="center"/>
    </xf>
    <xf numFmtId="0" fontId="102" fillId="0" borderId="29" xfId="3" applyFont="1" applyBorder="1" applyAlignment="1">
      <alignment horizontal="center"/>
    </xf>
    <xf numFmtId="0" fontId="19" fillId="0" borderId="0" xfId="3" applyFont="1" applyFill="1" applyAlignment="1">
      <alignment vertical="center"/>
    </xf>
    <xf numFmtId="0" fontId="170" fillId="0" borderId="0" xfId="3" applyFont="1" applyFill="1" applyAlignment="1">
      <alignment vertical="center"/>
    </xf>
    <xf numFmtId="0" fontId="18" fillId="0" borderId="0" xfId="3" applyFill="1" applyAlignment="1">
      <alignment vertical="center"/>
    </xf>
    <xf numFmtId="0" fontId="105" fillId="0" borderId="0" xfId="3" applyFont="1" applyFill="1" applyAlignment="1">
      <alignment horizontal="left" vertical="center" wrapText="1"/>
    </xf>
    <xf numFmtId="0" fontId="105" fillId="0" borderId="0" xfId="3" applyFont="1" applyFill="1" applyAlignment="1">
      <alignment vertical="center"/>
    </xf>
    <xf numFmtId="4" fontId="170" fillId="0" borderId="0" xfId="3" applyNumberFormat="1" applyFont="1" applyFill="1" applyBorder="1" applyAlignment="1">
      <alignment vertical="center"/>
    </xf>
    <xf numFmtId="0" fontId="170" fillId="0" borderId="0" xfId="3" applyFont="1" applyFill="1" applyBorder="1" applyAlignment="1">
      <alignment vertical="center"/>
    </xf>
    <xf numFmtId="0" fontId="18" fillId="0" borderId="0" xfId="3" applyFill="1" applyBorder="1" applyAlignment="1">
      <alignment vertical="center"/>
    </xf>
    <xf numFmtId="0" fontId="101" fillId="0" borderId="0" xfId="3" applyFont="1" applyFill="1" applyAlignment="1">
      <alignment vertical="center"/>
    </xf>
    <xf numFmtId="0" fontId="104" fillId="0" borderId="0" xfId="3" applyFont="1"/>
    <xf numFmtId="0" fontId="102" fillId="0" borderId="10" xfId="3" applyFont="1" applyBorder="1"/>
    <xf numFmtId="0" fontId="19" fillId="0" borderId="10" xfId="3" applyFont="1" applyBorder="1"/>
    <xf numFmtId="14" fontId="101" fillId="0" borderId="0" xfId="3" applyNumberFormat="1" applyFont="1"/>
    <xf numFmtId="0" fontId="50" fillId="0" borderId="0" xfId="86" applyFont="1"/>
    <xf numFmtId="0" fontId="51" fillId="0" borderId="1" xfId="86" applyFont="1" applyBorder="1" applyAlignment="1">
      <alignment horizontal="center" vertical="center" wrapText="1"/>
    </xf>
    <xf numFmtId="4" fontId="48" fillId="0" borderId="1" xfId="75" applyNumberFormat="1" applyFont="1" applyBorder="1" applyAlignment="1">
      <alignment horizontal="center" vertical="center"/>
    </xf>
    <xf numFmtId="2" fontId="78" fillId="0" borderId="0" xfId="25" applyNumberFormat="1" applyFont="1" applyFill="1"/>
    <xf numFmtId="0" fontId="180" fillId="0" borderId="1" xfId="25" applyFont="1" applyFill="1" applyBorder="1" applyAlignment="1">
      <alignment horizontal="center" vertical="center" wrapText="1"/>
    </xf>
    <xf numFmtId="0" fontId="76" fillId="0" borderId="0" xfId="25" applyFont="1" applyFill="1"/>
    <xf numFmtId="0" fontId="21" fillId="0" borderId="0" xfId="86" applyFont="1" applyFill="1" applyAlignment="1">
      <alignment horizontal="center" vertical="center" wrapText="1"/>
    </xf>
    <xf numFmtId="0" fontId="46" fillId="0" borderId="0" xfId="86" applyFont="1" applyFill="1" applyAlignment="1">
      <alignment horizontal="center" vertical="center" wrapText="1"/>
    </xf>
    <xf numFmtId="0" fontId="46" fillId="0" borderId="0" xfId="86" applyFont="1" applyFill="1" applyAlignment="1">
      <alignment horizontal="left" vertical="center" wrapText="1"/>
    </xf>
    <xf numFmtId="0" fontId="46" fillId="0" borderId="0" xfId="86" applyFont="1" applyFill="1" applyAlignment="1">
      <alignment vertical="center" wrapText="1"/>
    </xf>
    <xf numFmtId="2" fontId="46" fillId="0" borderId="0" xfId="86" applyNumberFormat="1" applyFont="1" applyFill="1" applyAlignment="1">
      <alignment horizontal="center" vertical="center" wrapText="1"/>
    </xf>
    <xf numFmtId="43" fontId="46" fillId="0" borderId="0" xfId="86" applyNumberFormat="1" applyFont="1" applyFill="1" applyAlignment="1">
      <alignment horizontal="center" vertical="center" wrapText="1"/>
    </xf>
    <xf numFmtId="4" fontId="46" fillId="0" borderId="0" xfId="86" applyNumberFormat="1" applyFont="1" applyFill="1" applyAlignment="1">
      <alignment horizontal="center" vertical="center" wrapText="1"/>
    </xf>
    <xf numFmtId="165" fontId="46" fillId="0" borderId="0" xfId="86" applyNumberFormat="1" applyFont="1" applyFill="1" applyAlignment="1">
      <alignment horizontal="center" vertical="center" wrapText="1"/>
    </xf>
    <xf numFmtId="0" fontId="21" fillId="0" borderId="1" xfId="86" applyFont="1" applyFill="1" applyBorder="1" applyAlignment="1">
      <alignment horizontal="center" vertical="center" wrapText="1"/>
    </xf>
    <xf numFmtId="0" fontId="46" fillId="0" borderId="1" xfId="86" applyFont="1" applyFill="1" applyBorder="1" applyAlignment="1">
      <alignment horizontal="center" vertical="center" wrapText="1"/>
    </xf>
    <xf numFmtId="0" fontId="82" fillId="8" borderId="1" xfId="86" applyFont="1" applyFill="1" applyBorder="1" applyAlignment="1">
      <alignment horizontal="center" vertical="center" wrapText="1"/>
    </xf>
    <xf numFmtId="0" fontId="82" fillId="8" borderId="1" xfId="86" applyFont="1" applyFill="1" applyBorder="1" applyAlignment="1">
      <alignment vertical="center" wrapText="1"/>
    </xf>
    <xf numFmtId="4" fontId="47" fillId="8" borderId="1" xfId="86" applyNumberFormat="1" applyFont="1" applyFill="1" applyBorder="1" applyAlignment="1">
      <alignment horizontal="center" vertical="center" wrapText="1"/>
    </xf>
    <xf numFmtId="180" fontId="47" fillId="8" borderId="1" xfId="86" applyNumberFormat="1" applyFont="1" applyFill="1" applyBorder="1" applyAlignment="1">
      <alignment horizontal="center" vertical="center" wrapText="1"/>
    </xf>
    <xf numFmtId="4" fontId="46" fillId="8" borderId="1" xfId="86" applyNumberFormat="1" applyFont="1" applyFill="1" applyBorder="1" applyAlignment="1">
      <alignment horizontal="left" vertical="center" wrapText="1"/>
    </xf>
    <xf numFmtId="4" fontId="47" fillId="8" borderId="1" xfId="86" applyNumberFormat="1" applyFont="1" applyFill="1" applyBorder="1" applyAlignment="1">
      <alignment vertical="center" wrapText="1"/>
    </xf>
    <xf numFmtId="0" fontId="82" fillId="0" borderId="0" xfId="86" applyFont="1" applyFill="1" applyAlignment="1">
      <alignment horizontal="center" vertical="center" wrapText="1"/>
    </xf>
    <xf numFmtId="0" fontId="82" fillId="0" borderId="1" xfId="86" applyFont="1" applyFill="1" applyBorder="1" applyAlignment="1">
      <alignment horizontal="center" vertical="center" wrapText="1"/>
    </xf>
    <xf numFmtId="0" fontId="19" fillId="0" borderId="1" xfId="86" applyFont="1" applyFill="1" applyBorder="1" applyAlignment="1">
      <alignment horizontal="left" vertical="center"/>
    </xf>
    <xf numFmtId="4" fontId="46" fillId="0" borderId="1" xfId="86" applyNumberFormat="1" applyFont="1" applyFill="1" applyBorder="1" applyAlignment="1">
      <alignment horizontal="center" vertical="center" wrapText="1"/>
    </xf>
    <xf numFmtId="3" fontId="46" fillId="0" borderId="1" xfId="86" applyNumberFormat="1" applyFont="1" applyFill="1" applyBorder="1" applyAlignment="1">
      <alignment horizontal="center" vertical="center" wrapText="1"/>
    </xf>
    <xf numFmtId="180" fontId="46" fillId="0" borderId="1" xfId="86" applyNumberFormat="1" applyFont="1" applyFill="1" applyBorder="1" applyAlignment="1">
      <alignment horizontal="center" vertical="center" wrapText="1"/>
    </xf>
    <xf numFmtId="4" fontId="46" fillId="0" borderId="1" xfId="86" applyNumberFormat="1" applyFont="1" applyFill="1" applyBorder="1" applyAlignment="1">
      <alignment horizontal="left" vertical="center" wrapText="1"/>
    </xf>
    <xf numFmtId="165" fontId="47" fillId="8" borderId="1" xfId="86" applyNumberFormat="1" applyFont="1" applyFill="1" applyBorder="1" applyAlignment="1">
      <alignment horizontal="center" vertical="center" wrapText="1"/>
    </xf>
    <xf numFmtId="165" fontId="46" fillId="0" borderId="1" xfId="86" applyNumberFormat="1" applyFont="1" applyFill="1" applyBorder="1" applyAlignment="1">
      <alignment horizontal="center" vertical="center" wrapText="1"/>
    </xf>
    <xf numFmtId="41" fontId="46" fillId="0" borderId="1" xfId="86" applyNumberFormat="1" applyFont="1" applyFill="1" applyBorder="1" applyAlignment="1">
      <alignment horizontal="center" vertical="center" wrapText="1"/>
    </xf>
    <xf numFmtId="173" fontId="46" fillId="0" borderId="1" xfId="86" applyNumberFormat="1" applyFont="1" applyFill="1" applyBorder="1" applyAlignment="1">
      <alignment horizontal="center" vertical="center" wrapText="1"/>
    </xf>
    <xf numFmtId="41" fontId="47" fillId="8" borderId="1" xfId="86" applyNumberFormat="1" applyFont="1" applyFill="1" applyBorder="1" applyAlignment="1">
      <alignment horizontal="center" vertical="center" wrapText="1"/>
    </xf>
    <xf numFmtId="173" fontId="47" fillId="8" borderId="1" xfId="86" applyNumberFormat="1" applyFont="1" applyFill="1" applyBorder="1" applyAlignment="1">
      <alignment horizontal="center" vertical="center" wrapText="1"/>
    </xf>
    <xf numFmtId="3" fontId="47" fillId="8" borderId="1" xfId="86" applyNumberFormat="1" applyFont="1" applyFill="1" applyBorder="1" applyAlignment="1">
      <alignment horizontal="center" vertical="center" wrapText="1"/>
    </xf>
    <xf numFmtId="3" fontId="47" fillId="8" borderId="1" xfId="86" applyNumberFormat="1" applyFont="1" applyFill="1" applyBorder="1" applyAlignment="1">
      <alignment vertical="center" wrapText="1"/>
    </xf>
    <xf numFmtId="2" fontId="46" fillId="0" borderId="1" xfId="86" applyNumberFormat="1" applyFont="1" applyFill="1" applyBorder="1" applyAlignment="1">
      <alignment horizontal="center" vertical="center" wrapText="1"/>
    </xf>
    <xf numFmtId="1" fontId="46" fillId="0" borderId="1" xfId="86" applyNumberFormat="1" applyFont="1" applyFill="1" applyBorder="1" applyAlignment="1">
      <alignment horizontal="center" vertical="center" wrapText="1"/>
    </xf>
    <xf numFmtId="4" fontId="46" fillId="0" borderId="1" xfId="86" applyNumberFormat="1" applyFont="1" applyFill="1" applyBorder="1" applyAlignment="1">
      <alignment vertical="center" wrapText="1"/>
    </xf>
    <xf numFmtId="180" fontId="82" fillId="0" borderId="1" xfId="86" applyNumberFormat="1" applyFont="1" applyFill="1" applyBorder="1" applyAlignment="1">
      <alignment horizontal="center" vertical="center" wrapText="1"/>
    </xf>
    <xf numFmtId="172" fontId="46" fillId="0" borderId="1" xfId="86" applyNumberFormat="1" applyFont="1" applyFill="1" applyBorder="1" applyAlignment="1">
      <alignment horizontal="center" vertical="center" wrapText="1"/>
    </xf>
    <xf numFmtId="177" fontId="46" fillId="0" borderId="1" xfId="86" applyNumberFormat="1" applyFont="1" applyFill="1" applyBorder="1" applyAlignment="1">
      <alignment horizontal="center" vertical="center" wrapText="1"/>
    </xf>
    <xf numFmtId="4" fontId="46" fillId="8" borderId="7" xfId="86" applyNumberFormat="1" applyFont="1" applyFill="1" applyBorder="1" applyAlignment="1">
      <alignment horizontal="left" vertical="center" wrapText="1"/>
    </xf>
    <xf numFmtId="2" fontId="47" fillId="8" borderId="1" xfId="86" applyNumberFormat="1" applyFont="1" applyFill="1" applyBorder="1" applyAlignment="1">
      <alignment horizontal="center" vertical="center" wrapText="1"/>
    </xf>
    <xf numFmtId="1" fontId="47" fillId="8" borderId="1" xfId="86" applyNumberFormat="1" applyFont="1" applyFill="1" applyBorder="1" applyAlignment="1">
      <alignment horizontal="center" vertical="center" wrapText="1"/>
    </xf>
    <xf numFmtId="0" fontId="82" fillId="0" borderId="0" xfId="86" applyFont="1" applyFill="1" applyAlignment="1">
      <alignment vertical="center" wrapText="1"/>
    </xf>
    <xf numFmtId="0" fontId="82" fillId="29" borderId="1" xfId="86" applyFont="1" applyFill="1" applyBorder="1" applyAlignment="1">
      <alignment horizontal="center" vertical="center" wrapText="1"/>
    </xf>
    <xf numFmtId="0" fontId="82" fillId="29" borderId="1" xfId="86" applyFont="1" applyFill="1" applyBorder="1" applyAlignment="1">
      <alignment vertical="center" wrapText="1"/>
    </xf>
    <xf numFmtId="4" fontId="47" fillId="29" borderId="1" xfId="86" applyNumberFormat="1" applyFont="1" applyFill="1" applyBorder="1" applyAlignment="1">
      <alignment horizontal="center" vertical="center" wrapText="1"/>
    </xf>
    <xf numFmtId="1" fontId="47" fillId="29" borderId="1" xfId="86" applyNumberFormat="1" applyFont="1" applyFill="1" applyBorder="1" applyAlignment="1">
      <alignment horizontal="center" vertical="center" wrapText="1"/>
    </xf>
    <xf numFmtId="165" fontId="47" fillId="29" borderId="1" xfId="86" applyNumberFormat="1" applyFont="1" applyFill="1" applyBorder="1" applyAlignment="1">
      <alignment horizontal="center" vertical="center" wrapText="1"/>
    </xf>
    <xf numFmtId="0" fontId="47" fillId="29" borderId="1" xfId="86" applyFont="1" applyFill="1" applyBorder="1" applyAlignment="1">
      <alignment horizontal="center" vertical="center" wrapText="1"/>
    </xf>
    <xf numFmtId="180" fontId="47" fillId="29" borderId="1" xfId="86" applyNumberFormat="1" applyFont="1" applyFill="1" applyBorder="1" applyAlignment="1">
      <alignment horizontal="center" vertical="center" wrapText="1"/>
    </xf>
    <xf numFmtId="4" fontId="47" fillId="29" borderId="1" xfId="86" applyNumberFormat="1" applyFont="1" applyFill="1" applyBorder="1" applyAlignment="1">
      <alignment horizontal="left" vertical="center" wrapText="1"/>
    </xf>
    <xf numFmtId="4" fontId="47" fillId="29" borderId="1" xfId="86" applyNumberFormat="1" applyFont="1" applyFill="1" applyBorder="1" applyAlignment="1">
      <alignment vertical="center" wrapText="1"/>
    </xf>
    <xf numFmtId="0" fontId="21" fillId="0" borderId="1" xfId="86" applyFont="1" applyFill="1" applyBorder="1" applyAlignment="1">
      <alignment vertical="center" wrapText="1"/>
    </xf>
    <xf numFmtId="0" fontId="82" fillId="0" borderId="1" xfId="86" applyFont="1" applyFill="1" applyBorder="1" applyAlignment="1">
      <alignment vertical="center" wrapText="1"/>
    </xf>
    <xf numFmtId="165" fontId="47" fillId="0" borderId="1" xfId="86" applyNumberFormat="1" applyFont="1" applyFill="1" applyBorder="1" applyAlignment="1">
      <alignment horizontal="center" vertical="center" wrapText="1"/>
    </xf>
    <xf numFmtId="0" fontId="47" fillId="0" borderId="1" xfId="86" applyFont="1" applyFill="1" applyBorder="1" applyAlignment="1">
      <alignment horizontal="center" vertical="center" wrapText="1"/>
    </xf>
    <xf numFmtId="4" fontId="47" fillId="0" borderId="1" xfId="86" applyNumberFormat="1" applyFont="1" applyFill="1" applyBorder="1" applyAlignment="1">
      <alignment horizontal="center" vertical="center" wrapText="1"/>
    </xf>
    <xf numFmtId="180" fontId="47" fillId="0" borderId="1" xfId="86" applyNumberFormat="1" applyFont="1" applyFill="1" applyBorder="1" applyAlignment="1">
      <alignment horizontal="center" vertical="center" wrapText="1"/>
    </xf>
    <xf numFmtId="4" fontId="47" fillId="0" borderId="1" xfId="86" applyNumberFormat="1" applyFont="1" applyFill="1" applyBorder="1" applyAlignment="1">
      <alignment vertical="center" wrapText="1"/>
    </xf>
    <xf numFmtId="0" fontId="82" fillId="0" borderId="0" xfId="86" applyFont="1" applyFill="1" applyBorder="1" applyAlignment="1">
      <alignment horizontal="center" vertical="center" wrapText="1"/>
    </xf>
    <xf numFmtId="0" fontId="47" fillId="0" borderId="0" xfId="86" applyFont="1" applyFill="1" applyBorder="1" applyAlignment="1">
      <alignment vertical="center" wrapText="1"/>
    </xf>
    <xf numFmtId="0" fontId="20" fillId="0" borderId="0" xfId="86" applyFont="1" applyFill="1" applyBorder="1" applyAlignment="1">
      <alignment horizontal="center" vertical="center" wrapText="1"/>
    </xf>
    <xf numFmtId="165" fontId="20" fillId="0" borderId="0" xfId="86" applyNumberFormat="1" applyFont="1" applyFill="1" applyBorder="1" applyAlignment="1">
      <alignment horizontal="center" vertical="center" wrapText="1"/>
    </xf>
    <xf numFmtId="4" fontId="20" fillId="0" borderId="0" xfId="86" applyNumberFormat="1" applyFont="1" applyFill="1" applyBorder="1" applyAlignment="1">
      <alignment horizontal="center" vertical="center" wrapText="1"/>
    </xf>
    <xf numFmtId="2" fontId="47" fillId="0" borderId="0" xfId="86" applyNumberFormat="1" applyFont="1" applyFill="1" applyAlignment="1">
      <alignment horizontal="center"/>
    </xf>
    <xf numFmtId="4" fontId="134" fillId="0" borderId="0" xfId="86" applyNumberFormat="1" applyFont="1" applyFill="1" applyBorder="1" applyAlignment="1">
      <alignment horizontal="center" vertical="center" wrapText="1"/>
    </xf>
    <xf numFmtId="0" fontId="46" fillId="0" borderId="0" xfId="86" applyFont="1" applyFill="1"/>
    <xf numFmtId="4" fontId="47" fillId="0" borderId="0" xfId="86" applyNumberFormat="1" applyFont="1" applyFill="1" applyAlignment="1">
      <alignment horizontal="center"/>
    </xf>
    <xf numFmtId="0" fontId="62" fillId="0" borderId="0" xfId="86" applyFont="1" applyFill="1" applyAlignment="1">
      <alignment vertical="center" wrapText="1"/>
    </xf>
    <xf numFmtId="165" fontId="133" fillId="0" borderId="0" xfId="86" applyNumberFormat="1" applyFont="1" applyFill="1" applyAlignment="1">
      <alignment horizontal="center" vertical="center" wrapText="1"/>
    </xf>
    <xf numFmtId="0" fontId="21" fillId="0" borderId="0" xfId="86" applyFont="1" applyFill="1" applyAlignment="1">
      <alignment vertical="center"/>
    </xf>
    <xf numFmtId="4" fontId="47" fillId="0" borderId="0" xfId="86" applyNumberFormat="1" applyFont="1" applyFill="1" applyAlignment="1">
      <alignment horizontal="center" vertical="center" wrapText="1"/>
    </xf>
    <xf numFmtId="0" fontId="21" fillId="0" borderId="0" xfId="86" applyFont="1" applyFill="1" applyAlignment="1">
      <alignment vertical="center" wrapText="1"/>
    </xf>
    <xf numFmtId="179" fontId="47" fillId="0" borderId="0" xfId="86" applyNumberFormat="1" applyFont="1" applyFill="1" applyAlignment="1">
      <alignment horizontal="center" vertical="center" wrapText="1"/>
    </xf>
    <xf numFmtId="0" fontId="47" fillId="0" borderId="0" xfId="86" applyFont="1" applyFill="1" applyAlignment="1">
      <alignment horizontal="center" vertical="center" wrapText="1"/>
    </xf>
    <xf numFmtId="0" fontId="133" fillId="0" borderId="0" xfId="86" applyFont="1" applyFill="1" applyAlignment="1">
      <alignment horizontal="center" vertical="center" wrapText="1"/>
    </xf>
    <xf numFmtId="0" fontId="133" fillId="0" borderId="0" xfId="86" applyFont="1" applyFill="1" applyAlignment="1">
      <alignment vertical="center" wrapText="1"/>
    </xf>
    <xf numFmtId="179" fontId="133" fillId="0" borderId="0" xfId="86" applyNumberFormat="1" applyFont="1" applyFill="1" applyAlignment="1">
      <alignment horizontal="center" vertical="center" wrapText="1"/>
    </xf>
    <xf numFmtId="0" fontId="41" fillId="0" borderId="0" xfId="86" applyFont="1"/>
    <xf numFmtId="0" fontId="41" fillId="0" borderId="0" xfId="86" applyFont="1" applyAlignment="1">
      <alignment horizontal="right"/>
    </xf>
    <xf numFmtId="0" fontId="41" fillId="0" borderId="18" xfId="86" applyFont="1" applyBorder="1" applyAlignment="1">
      <alignment horizontal="center" vertical="center" wrapText="1"/>
    </xf>
    <xf numFmtId="0" fontId="41" fillId="0" borderId="1" xfId="86" applyFont="1" applyBorder="1" applyAlignment="1">
      <alignment horizontal="center" vertical="center" wrapText="1"/>
    </xf>
    <xf numFmtId="0" fontId="41" fillId="0" borderId="19" xfId="86" applyFont="1" applyBorder="1" applyAlignment="1">
      <alignment horizontal="center" vertical="center" wrapText="1"/>
    </xf>
    <xf numFmtId="0" fontId="41" fillId="0" borderId="6" xfId="86" applyFont="1" applyBorder="1" applyAlignment="1">
      <alignment horizontal="center" vertical="center" wrapText="1"/>
    </xf>
    <xf numFmtId="3" fontId="41" fillId="0" borderId="1" xfId="86" applyNumberFormat="1" applyFont="1" applyBorder="1" applyAlignment="1">
      <alignment horizontal="center" vertical="center" wrapText="1"/>
    </xf>
    <xf numFmtId="0" fontId="40" fillId="3" borderId="18" xfId="86" applyFont="1" applyFill="1" applyBorder="1" applyAlignment="1">
      <alignment horizontal="center" vertical="center" wrapText="1"/>
    </xf>
    <xf numFmtId="0" fontId="40" fillId="3" borderId="1" xfId="86" applyFont="1" applyFill="1" applyBorder="1" applyAlignment="1">
      <alignment vertical="center" wrapText="1"/>
    </xf>
    <xf numFmtId="0" fontId="40" fillId="3" borderId="19" xfId="86" applyFont="1" applyFill="1" applyBorder="1" applyAlignment="1">
      <alignment horizontal="center" vertical="center" wrapText="1"/>
    </xf>
    <xf numFmtId="165" fontId="40" fillId="3" borderId="18" xfId="86" applyNumberFormat="1" applyFont="1" applyFill="1" applyBorder="1" applyAlignment="1">
      <alignment horizontal="center" vertical="center" wrapText="1"/>
    </xf>
    <xf numFmtId="0" fontId="40" fillId="3" borderId="1" xfId="86" applyFont="1" applyFill="1" applyBorder="1" applyAlignment="1">
      <alignment horizontal="center" vertical="center" wrapText="1"/>
    </xf>
    <xf numFmtId="165" fontId="40" fillId="3" borderId="1" xfId="86" applyNumberFormat="1" applyFont="1" applyFill="1" applyBorder="1" applyAlignment="1">
      <alignment horizontal="center" vertical="center" wrapText="1"/>
    </xf>
    <xf numFmtId="165" fontId="40" fillId="3" borderId="19" xfId="86" applyNumberFormat="1" applyFont="1" applyFill="1" applyBorder="1" applyAlignment="1">
      <alignment horizontal="center" vertical="center" wrapText="1"/>
    </xf>
    <xf numFmtId="0" fontId="40" fillId="3" borderId="6" xfId="86" applyFont="1" applyFill="1" applyBorder="1" applyAlignment="1">
      <alignment horizontal="center" vertical="center" wrapText="1"/>
    </xf>
    <xf numFmtId="180" fontId="40" fillId="3" borderId="1" xfId="86" applyNumberFormat="1" applyFont="1" applyFill="1" applyBorder="1" applyAlignment="1">
      <alignment horizontal="center" vertical="center" wrapText="1"/>
    </xf>
    <xf numFmtId="0" fontId="40" fillId="3" borderId="19" xfId="86" applyFont="1" applyFill="1" applyBorder="1" applyAlignment="1">
      <alignment horizontal="left" vertical="center" wrapText="1"/>
    </xf>
    <xf numFmtId="0" fontId="40" fillId="0" borderId="18" xfId="86" applyFont="1" applyFill="1" applyBorder="1" applyAlignment="1">
      <alignment horizontal="center" vertical="center" wrapText="1"/>
    </xf>
    <xf numFmtId="0" fontId="40" fillId="0" borderId="1" xfId="86" applyFont="1" applyFill="1" applyBorder="1" applyAlignment="1">
      <alignment vertical="center" wrapText="1"/>
    </xf>
    <xf numFmtId="0" fontId="40" fillId="0" borderId="19" xfId="86" applyFont="1" applyFill="1" applyBorder="1" applyAlignment="1">
      <alignment horizontal="center" vertical="center" wrapText="1"/>
    </xf>
    <xf numFmtId="165" fontId="40" fillId="0" borderId="18" xfId="86" applyNumberFormat="1" applyFont="1" applyFill="1" applyBorder="1" applyAlignment="1">
      <alignment horizontal="center" vertical="center" wrapText="1"/>
    </xf>
    <xf numFmtId="0" fontId="40" fillId="0" borderId="1" xfId="86" applyFont="1" applyFill="1" applyBorder="1" applyAlignment="1">
      <alignment horizontal="center" vertical="center" wrapText="1"/>
    </xf>
    <xf numFmtId="165" fontId="40" fillId="0" borderId="1" xfId="86" applyNumberFormat="1" applyFont="1" applyFill="1" applyBorder="1" applyAlignment="1">
      <alignment horizontal="center" vertical="center" wrapText="1"/>
    </xf>
    <xf numFmtId="165" fontId="40" fillId="0" borderId="19" xfId="86" applyNumberFormat="1" applyFont="1" applyFill="1" applyBorder="1" applyAlignment="1">
      <alignment horizontal="center" vertical="center" wrapText="1"/>
    </xf>
    <xf numFmtId="165" fontId="40" fillId="0" borderId="51" xfId="86" applyNumberFormat="1" applyFont="1" applyFill="1" applyBorder="1" applyAlignment="1">
      <alignment horizontal="center" vertical="center" wrapText="1"/>
    </xf>
    <xf numFmtId="0" fontId="40" fillId="0" borderId="6" xfId="86" applyFont="1" applyFill="1" applyBorder="1" applyAlignment="1">
      <alignment horizontal="center" vertical="center" wrapText="1"/>
    </xf>
    <xf numFmtId="180" fontId="40" fillId="0" borderId="1" xfId="86" applyNumberFormat="1" applyFont="1" applyFill="1" applyBorder="1" applyAlignment="1">
      <alignment horizontal="center" vertical="center" wrapText="1"/>
    </xf>
    <xf numFmtId="0" fontId="40" fillId="0" borderId="19" xfId="86" applyFont="1" applyFill="1" applyBorder="1" applyAlignment="1">
      <alignment horizontal="left" vertical="center" wrapText="1"/>
    </xf>
    <xf numFmtId="0" fontId="40" fillId="0" borderId="0" xfId="86" applyFont="1"/>
    <xf numFmtId="0" fontId="41" fillId="0" borderId="18" xfId="86" applyFont="1" applyFill="1" applyBorder="1" applyAlignment="1">
      <alignment horizontal="center" vertical="center" wrapText="1"/>
    </xf>
    <xf numFmtId="0" fontId="41" fillId="0" borderId="1" xfId="86" applyFont="1" applyFill="1" applyBorder="1" applyAlignment="1">
      <alignment vertical="center" wrapText="1"/>
    </xf>
    <xf numFmtId="0" fontId="41" fillId="0" borderId="19" xfId="86" applyFont="1" applyFill="1" applyBorder="1" applyAlignment="1">
      <alignment horizontal="center" vertical="center" wrapText="1"/>
    </xf>
    <xf numFmtId="165" fontId="41" fillId="0" borderId="18" xfId="86" applyNumberFormat="1" applyFont="1" applyFill="1" applyBorder="1" applyAlignment="1">
      <alignment horizontal="center" vertical="center" wrapText="1"/>
    </xf>
    <xf numFmtId="165" fontId="41" fillId="0" borderId="1" xfId="86" applyNumberFormat="1" applyFont="1" applyFill="1" applyBorder="1" applyAlignment="1">
      <alignment horizontal="center" vertical="center" wrapText="1"/>
    </xf>
    <xf numFmtId="165" fontId="41" fillId="0" borderId="19" xfId="86" applyNumberFormat="1" applyFont="1" applyFill="1" applyBorder="1" applyAlignment="1">
      <alignment horizontal="center" vertical="center" wrapText="1"/>
    </xf>
    <xf numFmtId="165" fontId="41" fillId="0" borderId="51" xfId="86" applyNumberFormat="1" applyFont="1" applyFill="1" applyBorder="1" applyAlignment="1">
      <alignment horizontal="center" vertical="center" wrapText="1"/>
    </xf>
    <xf numFmtId="3" fontId="41" fillId="0" borderId="1" xfId="86" applyNumberFormat="1" applyFont="1" applyFill="1" applyBorder="1" applyAlignment="1">
      <alignment horizontal="center" vertical="center" wrapText="1"/>
    </xf>
    <xf numFmtId="165" fontId="41" fillId="0" borderId="6" xfId="86" applyNumberFormat="1" applyFont="1" applyFill="1" applyBorder="1" applyAlignment="1">
      <alignment horizontal="center" vertical="center" wrapText="1"/>
    </xf>
    <xf numFmtId="180" fontId="41" fillId="0" borderId="1" xfId="86" applyNumberFormat="1" applyFont="1" applyFill="1" applyBorder="1" applyAlignment="1">
      <alignment horizontal="center" vertical="center" wrapText="1"/>
    </xf>
    <xf numFmtId="165" fontId="41" fillId="0" borderId="19" xfId="86" applyNumberFormat="1" applyFont="1" applyFill="1" applyBorder="1" applyAlignment="1">
      <alignment horizontal="left" vertical="center" wrapText="1"/>
    </xf>
    <xf numFmtId="180" fontId="40" fillId="0" borderId="2" xfId="86" applyNumberFormat="1" applyFont="1" applyFill="1" applyBorder="1" applyAlignment="1">
      <alignment horizontal="center" vertical="center" wrapText="1"/>
    </xf>
    <xf numFmtId="0" fontId="40" fillId="0" borderId="0" xfId="86" applyFont="1" applyFill="1"/>
    <xf numFmtId="3" fontId="41" fillId="0" borderId="6" xfId="86" applyNumberFormat="1" applyFont="1" applyFill="1" applyBorder="1" applyAlignment="1">
      <alignment horizontal="center" vertical="center" wrapText="1"/>
    </xf>
    <xf numFmtId="3" fontId="41" fillId="0" borderId="18" xfId="86" applyNumberFormat="1" applyFont="1" applyFill="1" applyBorder="1" applyAlignment="1">
      <alignment horizontal="center" vertical="center" wrapText="1"/>
    </xf>
    <xf numFmtId="0" fontId="41" fillId="0" borderId="19" xfId="86" applyFont="1" applyFill="1" applyBorder="1" applyAlignment="1">
      <alignment horizontal="left" vertical="center" wrapText="1"/>
    </xf>
    <xf numFmtId="0" fontId="41" fillId="0" borderId="1" xfId="86" applyFont="1" applyFill="1" applyBorder="1" applyAlignment="1">
      <alignment horizontal="center" vertical="center" wrapText="1"/>
    </xf>
    <xf numFmtId="165" fontId="40" fillId="3" borderId="51" xfId="86" applyNumberFormat="1" applyFont="1" applyFill="1" applyBorder="1" applyAlignment="1">
      <alignment horizontal="center" vertical="center" wrapText="1"/>
    </xf>
    <xf numFmtId="3" fontId="19" fillId="0" borderId="1" xfId="86" applyNumberFormat="1" applyFont="1" applyFill="1" applyBorder="1" applyAlignment="1">
      <alignment horizontal="center" vertical="center" wrapText="1"/>
    </xf>
    <xf numFmtId="0" fontId="41" fillId="2" borderId="19" xfId="86" applyFont="1" applyFill="1" applyBorder="1" applyAlignment="1">
      <alignment horizontal="left" vertical="center" wrapText="1"/>
    </xf>
    <xf numFmtId="0" fontId="40" fillId="5" borderId="18" xfId="86" applyFont="1" applyFill="1" applyBorder="1" applyAlignment="1">
      <alignment horizontal="center" vertical="center" wrapText="1"/>
    </xf>
    <xf numFmtId="0" fontId="40" fillId="5" borderId="1" xfId="86" applyFont="1" applyFill="1" applyBorder="1" applyAlignment="1">
      <alignment vertical="center" wrapText="1"/>
    </xf>
    <xf numFmtId="0" fontId="40" fillId="5" borderId="19" xfId="86" applyFont="1" applyFill="1" applyBorder="1" applyAlignment="1">
      <alignment horizontal="center" vertical="center" wrapText="1"/>
    </xf>
    <xf numFmtId="165" fontId="40" fillId="5" borderId="18" xfId="86" applyNumberFormat="1" applyFont="1" applyFill="1" applyBorder="1" applyAlignment="1">
      <alignment horizontal="center" vertical="center" wrapText="1"/>
    </xf>
    <xf numFmtId="0" fontId="40" fillId="5" borderId="1" xfId="86" applyFont="1" applyFill="1" applyBorder="1" applyAlignment="1">
      <alignment horizontal="center" vertical="center" wrapText="1"/>
    </xf>
    <xf numFmtId="165" fontId="40" fillId="5" borderId="1" xfId="86" applyNumberFormat="1" applyFont="1" applyFill="1" applyBorder="1" applyAlignment="1">
      <alignment horizontal="center" vertical="center" wrapText="1"/>
    </xf>
    <xf numFmtId="165" fontId="40" fillId="5" borderId="19" xfId="86" applyNumberFormat="1" applyFont="1" applyFill="1" applyBorder="1" applyAlignment="1">
      <alignment horizontal="center" vertical="center" wrapText="1"/>
    </xf>
    <xf numFmtId="0" fontId="40" fillId="5" borderId="6" xfId="86" applyFont="1" applyFill="1" applyBorder="1" applyAlignment="1">
      <alignment horizontal="center" vertical="center" wrapText="1"/>
    </xf>
    <xf numFmtId="180" fontId="40" fillId="5" borderId="1" xfId="86" applyNumberFormat="1" applyFont="1" applyFill="1" applyBorder="1" applyAlignment="1">
      <alignment horizontal="center" vertical="center" wrapText="1"/>
    </xf>
    <xf numFmtId="0" fontId="40" fillId="5" borderId="19" xfId="86" applyFont="1" applyFill="1" applyBorder="1" applyAlignment="1">
      <alignment horizontal="left" vertical="center" wrapText="1"/>
    </xf>
    <xf numFmtId="0" fontId="41" fillId="0" borderId="0" xfId="86" applyFont="1" applyFill="1"/>
    <xf numFmtId="165" fontId="51" fillId="0" borderId="25" xfId="86" applyNumberFormat="1" applyFont="1" applyFill="1" applyBorder="1" applyAlignment="1">
      <alignment horizontal="center" vertical="center" wrapText="1"/>
    </xf>
    <xf numFmtId="0" fontId="51" fillId="0" borderId="8" xfId="86" applyFont="1" applyFill="1" applyBorder="1" applyAlignment="1">
      <alignment horizontal="center" vertical="center" wrapText="1"/>
    </xf>
    <xf numFmtId="165" fontId="51" fillId="0" borderId="8" xfId="86" applyNumberFormat="1" applyFont="1" applyFill="1" applyBorder="1" applyAlignment="1">
      <alignment horizontal="center" vertical="center" wrapText="1"/>
    </xf>
    <xf numFmtId="4" fontId="51" fillId="0" borderId="19" xfId="86" applyNumberFormat="1" applyFont="1" applyFill="1" applyBorder="1" applyAlignment="1">
      <alignment horizontal="center" vertical="center" wrapText="1"/>
    </xf>
    <xf numFmtId="168" fontId="41" fillId="0" borderId="1" xfId="86" applyNumberFormat="1" applyFont="1" applyFill="1" applyBorder="1" applyAlignment="1">
      <alignment horizontal="center" vertical="center" wrapText="1"/>
    </xf>
    <xf numFmtId="0" fontId="41" fillId="0" borderId="6" xfId="86" applyFont="1" applyFill="1" applyBorder="1" applyAlignment="1">
      <alignment horizontal="center" vertical="center" wrapText="1"/>
    </xf>
    <xf numFmtId="0" fontId="172" fillId="0" borderId="18" xfId="86" applyFont="1" applyFill="1" applyBorder="1" applyAlignment="1">
      <alignment horizontal="center" vertical="center" wrapText="1"/>
    </xf>
    <xf numFmtId="0" fontId="172" fillId="0" borderId="1" xfId="86" applyFont="1" applyFill="1" applyBorder="1" applyAlignment="1">
      <alignment vertical="center" wrapText="1"/>
    </xf>
    <xf numFmtId="0" fontId="172" fillId="0" borderId="19" xfId="86" applyFont="1" applyFill="1" applyBorder="1" applyAlignment="1">
      <alignment horizontal="center" vertical="center" wrapText="1"/>
    </xf>
    <xf numFmtId="165" fontId="172" fillId="0" borderId="18" xfId="86" applyNumberFormat="1" applyFont="1" applyFill="1" applyBorder="1" applyAlignment="1">
      <alignment horizontal="center" vertical="center" wrapText="1"/>
    </xf>
    <xf numFmtId="0" fontId="172" fillId="0" borderId="1" xfId="86" applyFont="1" applyFill="1" applyBorder="1" applyAlignment="1">
      <alignment horizontal="center" vertical="center" wrapText="1"/>
    </xf>
    <xf numFmtId="165" fontId="172" fillId="0" borderId="1" xfId="86" applyNumberFormat="1" applyFont="1" applyFill="1" applyBorder="1" applyAlignment="1">
      <alignment horizontal="center" vertical="center" wrapText="1"/>
    </xf>
    <xf numFmtId="165" fontId="172" fillId="0" borderId="51" xfId="86" applyNumberFormat="1" applyFont="1" applyFill="1" applyBorder="1" applyAlignment="1">
      <alignment horizontal="center" vertical="center" wrapText="1"/>
    </xf>
    <xf numFmtId="165" fontId="172" fillId="0" borderId="19" xfId="86" applyNumberFormat="1" applyFont="1" applyFill="1" applyBorder="1" applyAlignment="1">
      <alignment horizontal="center" vertical="center" wrapText="1"/>
    </xf>
    <xf numFmtId="0" fontId="172" fillId="0" borderId="6" xfId="86" applyFont="1" applyFill="1" applyBorder="1" applyAlignment="1">
      <alignment horizontal="center" vertical="center" wrapText="1"/>
    </xf>
    <xf numFmtId="0" fontId="172" fillId="0" borderId="19" xfId="86" applyFont="1" applyFill="1" applyBorder="1" applyAlignment="1">
      <alignment horizontal="left" vertical="center" wrapText="1"/>
    </xf>
    <xf numFmtId="0" fontId="172" fillId="0" borderId="0" xfId="86" applyFont="1" applyFill="1"/>
    <xf numFmtId="4" fontId="51" fillId="0" borderId="18" xfId="86" applyNumberFormat="1" applyFont="1" applyFill="1" applyBorder="1" applyAlignment="1">
      <alignment horizontal="center" vertical="center" wrapText="1"/>
    </xf>
    <xf numFmtId="0" fontId="51" fillId="0" borderId="1" xfId="86" applyFont="1" applyFill="1" applyBorder="1" applyAlignment="1">
      <alignment horizontal="center" vertical="center" wrapText="1"/>
    </xf>
    <xf numFmtId="165" fontId="51" fillId="0" borderId="1" xfId="86" applyNumberFormat="1" applyFont="1" applyFill="1" applyBorder="1" applyAlignment="1">
      <alignment horizontal="center" vertical="center" wrapText="1"/>
    </xf>
    <xf numFmtId="0" fontId="51" fillId="0" borderId="18" xfId="86" applyFont="1" applyFill="1" applyBorder="1" applyAlignment="1">
      <alignment horizontal="center" vertical="center" wrapText="1"/>
    </xf>
    <xf numFmtId="165" fontId="51" fillId="0" borderId="19" xfId="86" applyNumberFormat="1" applyFont="1" applyFill="1" applyBorder="1" applyAlignment="1">
      <alignment horizontal="center" vertical="center" wrapText="1"/>
    </xf>
    <xf numFmtId="165" fontId="51" fillId="0" borderId="18" xfId="86" applyNumberFormat="1" applyFont="1" applyBorder="1" applyAlignment="1">
      <alignment horizontal="center" vertical="center" wrapText="1"/>
    </xf>
    <xf numFmtId="165" fontId="51" fillId="0" borderId="1" xfId="86" applyNumberFormat="1" applyFont="1" applyBorder="1" applyAlignment="1">
      <alignment horizontal="center" vertical="center" wrapText="1"/>
    </xf>
    <xf numFmtId="4" fontId="51" fillId="0" borderId="19" xfId="86" applyNumberFormat="1" applyFont="1" applyBorder="1" applyAlignment="1">
      <alignment horizontal="center" vertical="center" wrapText="1"/>
    </xf>
    <xf numFmtId="0" fontId="51" fillId="0" borderId="0" xfId="86" applyFont="1" applyFill="1" applyBorder="1" applyAlignment="1">
      <alignment vertical="center" wrapText="1"/>
    </xf>
    <xf numFmtId="0" fontId="51" fillId="0" borderId="19" xfId="86" applyFont="1" applyFill="1" applyBorder="1" applyAlignment="1">
      <alignment horizontal="center" vertical="center" wrapText="1"/>
    </xf>
    <xf numFmtId="165" fontId="51" fillId="0" borderId="18" xfId="86" applyNumberFormat="1" applyFont="1" applyFill="1" applyBorder="1" applyAlignment="1">
      <alignment horizontal="center" vertical="center" wrapText="1"/>
    </xf>
    <xf numFmtId="0" fontId="51" fillId="0" borderId="6" xfId="86" applyFont="1" applyFill="1" applyBorder="1" applyAlignment="1">
      <alignment horizontal="center" vertical="center" wrapText="1"/>
    </xf>
    <xf numFmtId="0" fontId="51" fillId="0" borderId="51" xfId="86" applyFont="1" applyFill="1" applyBorder="1" applyAlignment="1">
      <alignment horizontal="center" vertical="center" wrapText="1"/>
    </xf>
    <xf numFmtId="0" fontId="137" fillId="0" borderId="84" xfId="86" applyFont="1" applyFill="1" applyBorder="1" applyAlignment="1">
      <alignment wrapText="1"/>
    </xf>
    <xf numFmtId="0" fontId="51" fillId="0" borderId="0" xfId="86" applyFont="1" applyFill="1"/>
    <xf numFmtId="0" fontId="51" fillId="0" borderId="1" xfId="86" applyFont="1" applyFill="1" applyBorder="1" applyAlignment="1">
      <alignment vertical="center" wrapText="1"/>
    </xf>
    <xf numFmtId="3" fontId="51" fillId="0" borderId="1" xfId="86" applyNumberFormat="1" applyFont="1" applyFill="1" applyBorder="1" applyAlignment="1">
      <alignment horizontal="center" vertical="center" wrapText="1"/>
    </xf>
    <xf numFmtId="165" fontId="51" fillId="0" borderId="6" xfId="86" applyNumberFormat="1" applyFont="1" applyFill="1" applyBorder="1" applyAlignment="1">
      <alignment horizontal="center" vertical="center" wrapText="1"/>
    </xf>
    <xf numFmtId="165" fontId="51" fillId="0" borderId="51" xfId="86" applyNumberFormat="1" applyFont="1" applyFill="1" applyBorder="1" applyAlignment="1">
      <alignment horizontal="center" vertical="center" wrapText="1"/>
    </xf>
    <xf numFmtId="0" fontId="51" fillId="0" borderId="57" xfId="86" applyFont="1" applyFill="1" applyBorder="1" applyAlignment="1">
      <alignment horizontal="left" vertical="center" wrapText="1"/>
    </xf>
    <xf numFmtId="4" fontId="40" fillId="5" borderId="1" xfId="86" applyNumberFormat="1" applyFont="1" applyFill="1" applyBorder="1" applyAlignment="1">
      <alignment horizontal="center" vertical="center" wrapText="1"/>
    </xf>
    <xf numFmtId="0" fontId="41" fillId="0" borderId="1" xfId="86" applyFont="1" applyBorder="1" applyAlignment="1">
      <alignment vertical="center" wrapText="1"/>
    </xf>
    <xf numFmtId="4" fontId="41" fillId="0" borderId="18" xfId="86" applyNumberFormat="1" applyFont="1" applyBorder="1" applyAlignment="1">
      <alignment horizontal="center" vertical="center" wrapText="1"/>
    </xf>
    <xf numFmtId="4" fontId="41" fillId="0" borderId="1" xfId="86" applyNumberFormat="1" applyFont="1" applyBorder="1" applyAlignment="1">
      <alignment horizontal="center" vertical="center" wrapText="1"/>
    </xf>
    <xf numFmtId="4" fontId="41" fillId="0" borderId="19" xfId="86" applyNumberFormat="1" applyFont="1" applyBorder="1" applyAlignment="1">
      <alignment horizontal="center" vertical="center" wrapText="1"/>
    </xf>
    <xf numFmtId="165" fontId="41" fillId="0" borderId="1" xfId="86" applyNumberFormat="1" applyFont="1" applyBorder="1" applyAlignment="1">
      <alignment horizontal="center" vertical="center" wrapText="1"/>
    </xf>
    <xf numFmtId="165" fontId="41" fillId="0" borderId="19" xfId="86" applyNumberFormat="1" applyFont="1" applyBorder="1" applyAlignment="1">
      <alignment horizontal="center" vertical="center" wrapText="1"/>
    </xf>
    <xf numFmtId="0" fontId="41" fillId="0" borderId="36" xfId="86" applyFont="1" applyBorder="1" applyAlignment="1">
      <alignment horizontal="center" vertical="center" wrapText="1"/>
    </xf>
    <xf numFmtId="0" fontId="41" fillId="0" borderId="40" xfId="86" applyFont="1" applyBorder="1" applyAlignment="1">
      <alignment vertical="center" wrapText="1"/>
    </xf>
    <xf numFmtId="0" fontId="41" fillId="0" borderId="37" xfId="86" applyFont="1" applyBorder="1" applyAlignment="1">
      <alignment horizontal="center" vertical="center" wrapText="1"/>
    </xf>
    <xf numFmtId="4" fontId="41" fillId="0" borderId="36" xfId="86" applyNumberFormat="1" applyFont="1" applyBorder="1" applyAlignment="1">
      <alignment horizontal="center" vertical="center" wrapText="1"/>
    </xf>
    <xf numFmtId="0" fontId="41" fillId="0" borderId="40" xfId="86" applyFont="1" applyBorder="1" applyAlignment="1">
      <alignment horizontal="center" vertical="center" wrapText="1"/>
    </xf>
    <xf numFmtId="4" fontId="41" fillId="0" borderId="40" xfId="86" applyNumberFormat="1" applyFont="1" applyBorder="1" applyAlignment="1">
      <alignment horizontal="center" vertical="center" wrapText="1"/>
    </xf>
    <xf numFmtId="4" fontId="41" fillId="0" borderId="37" xfId="86" applyNumberFormat="1" applyFont="1" applyBorder="1" applyAlignment="1">
      <alignment horizontal="center" vertical="center" wrapText="1"/>
    </xf>
    <xf numFmtId="0" fontId="41" fillId="0" borderId="39" xfId="86" applyFont="1" applyBorder="1" applyAlignment="1">
      <alignment horizontal="center" vertical="center" wrapText="1"/>
    </xf>
    <xf numFmtId="165" fontId="41" fillId="0" borderId="0" xfId="86" applyNumberFormat="1" applyFont="1"/>
    <xf numFmtId="0" fontId="40" fillId="0" borderId="0" xfId="86" applyFont="1" applyAlignment="1">
      <alignment horizontal="center"/>
    </xf>
    <xf numFmtId="179" fontId="40" fillId="0" borderId="0" xfId="86" applyNumberFormat="1" applyFont="1" applyAlignment="1">
      <alignment horizontal="center"/>
    </xf>
    <xf numFmtId="0" fontId="135" fillId="0" borderId="0" xfId="86" applyFont="1"/>
    <xf numFmtId="179" fontId="164" fillId="0" borderId="0" xfId="86" applyNumberFormat="1" applyFont="1" applyAlignment="1">
      <alignment horizontal="center"/>
    </xf>
    <xf numFmtId="0" fontId="121" fillId="0" borderId="0" xfId="86" applyFont="1"/>
    <xf numFmtId="14" fontId="41" fillId="0" borderId="0" xfId="86" applyNumberFormat="1" applyFont="1"/>
    <xf numFmtId="1" fontId="41" fillId="0" borderId="18" xfId="86" applyNumberFormat="1" applyFont="1" applyFill="1" applyBorder="1" applyAlignment="1">
      <alignment horizontal="center" vertical="center" wrapText="1"/>
    </xf>
    <xf numFmtId="0" fontId="41" fillId="2" borderId="0" xfId="86" applyFont="1" applyFill="1"/>
    <xf numFmtId="0" fontId="41" fillId="2" borderId="1" xfId="86" applyFont="1" applyFill="1" applyBorder="1" applyAlignment="1">
      <alignment horizontal="center" vertical="center" wrapText="1"/>
    </xf>
    <xf numFmtId="165" fontId="41" fillId="2" borderId="1" xfId="86" applyNumberFormat="1" applyFont="1" applyFill="1" applyBorder="1" applyAlignment="1">
      <alignment horizontal="center" vertical="center" wrapText="1"/>
    </xf>
    <xf numFmtId="165" fontId="172" fillId="2" borderId="1" xfId="86" applyNumberFormat="1" applyFont="1" applyFill="1" applyBorder="1" applyAlignment="1">
      <alignment horizontal="center" vertical="center" wrapText="1"/>
    </xf>
    <xf numFmtId="165" fontId="51" fillId="2" borderId="1" xfId="86" applyNumberFormat="1" applyFont="1" applyFill="1" applyBorder="1" applyAlignment="1">
      <alignment horizontal="center" vertical="center" wrapText="1"/>
    </xf>
    <xf numFmtId="165" fontId="40" fillId="2" borderId="1" xfId="86" applyNumberFormat="1" applyFont="1" applyFill="1" applyBorder="1" applyAlignment="1">
      <alignment horizontal="center" vertical="center" wrapText="1"/>
    </xf>
    <xf numFmtId="4" fontId="41" fillId="2" borderId="1" xfId="86" applyNumberFormat="1" applyFont="1" applyFill="1" applyBorder="1" applyAlignment="1">
      <alignment horizontal="center" vertical="center" wrapText="1"/>
    </xf>
    <xf numFmtId="4" fontId="41" fillId="2" borderId="40" xfId="86" applyNumberFormat="1" applyFont="1" applyFill="1" applyBorder="1" applyAlignment="1">
      <alignment horizontal="center" vertical="center" wrapText="1"/>
    </xf>
    <xf numFmtId="165" fontId="41" fillId="2" borderId="0" xfId="86" applyNumberFormat="1" applyFont="1" applyFill="1"/>
    <xf numFmtId="0" fontId="121" fillId="2" borderId="0" xfId="86" applyFont="1" applyFill="1"/>
    <xf numFmtId="0" fontId="21" fillId="16" borderId="1" xfId="26" applyFont="1" applyFill="1" applyBorder="1" applyAlignment="1">
      <alignment horizontal="center" vertical="center" wrapText="1"/>
    </xf>
    <xf numFmtId="167" fontId="58" fillId="0" borderId="1" xfId="26" applyNumberFormat="1" applyFont="1" applyFill="1" applyBorder="1" applyAlignment="1">
      <alignment horizontal="center" vertical="center"/>
    </xf>
    <xf numFmtId="187" fontId="20" fillId="0" borderId="1" xfId="88" applyNumberFormat="1" applyFont="1" applyFill="1" applyBorder="1" applyAlignment="1">
      <alignment horizontal="center" vertical="center" wrapText="1"/>
    </xf>
    <xf numFmtId="183" fontId="20" fillId="0" borderId="1" xfId="88" applyNumberFormat="1" applyFont="1" applyFill="1" applyBorder="1" applyAlignment="1">
      <alignment horizontal="center" vertical="center" wrapText="1"/>
    </xf>
    <xf numFmtId="183" fontId="19" fillId="0" borderId="1" xfId="26" applyNumberFormat="1" applyFont="1" applyFill="1" applyBorder="1" applyAlignment="1">
      <alignment horizontal="right" vertical="center" wrapText="1"/>
    </xf>
    <xf numFmtId="168" fontId="19" fillId="0" borderId="1" xfId="26" applyNumberFormat="1" applyFont="1" applyFill="1" applyBorder="1" applyAlignment="1">
      <alignment horizontal="center" vertical="center" wrapText="1"/>
    </xf>
    <xf numFmtId="183" fontId="19" fillId="0" borderId="1" xfId="88" applyNumberFormat="1" applyFont="1" applyFill="1" applyBorder="1" applyAlignment="1">
      <alignment horizontal="right" vertical="center" wrapText="1"/>
    </xf>
    <xf numFmtId="0" fontId="20" fillId="0" borderId="1" xfId="26" applyFont="1" applyFill="1" applyBorder="1" applyAlignment="1">
      <alignment wrapText="1"/>
    </xf>
    <xf numFmtId="0" fontId="19" fillId="0" borderId="1" xfId="26" applyFont="1" applyFill="1" applyBorder="1" applyAlignment="1">
      <alignment horizontal="center" vertical="center"/>
    </xf>
    <xf numFmtId="0" fontId="19" fillId="0" borderId="1" xfId="89" applyFont="1" applyFill="1" applyBorder="1" applyAlignment="1">
      <alignment horizontal="left" vertical="center" wrapText="1"/>
    </xf>
    <xf numFmtId="0" fontId="58" fillId="0" borderId="1" xfId="26" applyFont="1" applyFill="1" applyBorder="1" applyAlignment="1">
      <alignment horizontal="center" vertical="center" wrapText="1"/>
    </xf>
    <xf numFmtId="183" fontId="20" fillId="0" borderId="1" xfId="88" applyNumberFormat="1" applyFont="1" applyFill="1" applyBorder="1" applyAlignment="1">
      <alignment horizontal="right" vertical="center" wrapText="1"/>
    </xf>
    <xf numFmtId="0" fontId="20" fillId="0" borderId="1" xfId="26" applyFont="1" applyFill="1" applyBorder="1" applyAlignment="1">
      <alignment horizontal="center" vertical="center"/>
    </xf>
    <xf numFmtId="168" fontId="20" fillId="0" borderId="1" xfId="26" applyNumberFormat="1" applyFont="1" applyFill="1" applyBorder="1" applyAlignment="1">
      <alignment horizontal="center" vertical="center" wrapText="1"/>
    </xf>
    <xf numFmtId="183" fontId="20" fillId="0" borderId="1" xfId="26" applyNumberFormat="1" applyFont="1" applyFill="1" applyBorder="1" applyAlignment="1">
      <alignment horizontal="right" vertical="center" wrapText="1"/>
    </xf>
    <xf numFmtId="165" fontId="19" fillId="0" borderId="7" xfId="26" applyNumberFormat="1" applyFont="1" applyFill="1" applyBorder="1" applyAlignment="1">
      <alignment horizontal="left" vertical="center" wrapText="1"/>
    </xf>
    <xf numFmtId="165" fontId="19" fillId="0" borderId="8" xfId="26" applyNumberFormat="1" applyFont="1" applyFill="1" applyBorder="1" applyAlignment="1">
      <alignment horizontal="left" vertical="center" wrapText="1"/>
    </xf>
    <xf numFmtId="165" fontId="19" fillId="0" borderId="4" xfId="26" applyNumberFormat="1" applyFont="1" applyFill="1" applyBorder="1" applyAlignment="1">
      <alignment horizontal="left" vertical="center" wrapText="1"/>
    </xf>
    <xf numFmtId="1" fontId="19" fillId="16" borderId="1" xfId="26" applyNumberFormat="1" applyFont="1" applyFill="1" applyBorder="1" applyAlignment="1">
      <alignment horizontal="center" vertical="center" wrapText="1"/>
    </xf>
    <xf numFmtId="183" fontId="20" fillId="0" borderId="1" xfId="26" applyNumberFormat="1" applyFont="1" applyFill="1" applyBorder="1" applyAlignment="1">
      <alignment horizontal="center" vertical="center" wrapText="1"/>
    </xf>
    <xf numFmtId="164" fontId="19" fillId="0" borderId="1" xfId="26" applyNumberFormat="1" applyFont="1" applyFill="1" applyBorder="1" applyAlignment="1">
      <alignment horizontal="right" vertical="center" wrapText="1"/>
    </xf>
    <xf numFmtId="183" fontId="19" fillId="0" borderId="1" xfId="88" applyNumberFormat="1" applyFont="1" applyFill="1" applyBorder="1" applyAlignment="1">
      <alignment horizontal="center" vertical="center" wrapText="1"/>
    </xf>
    <xf numFmtId="165" fontId="47" fillId="0" borderId="1" xfId="29" applyNumberFormat="1" applyFont="1" applyBorder="1" applyAlignment="1">
      <alignment horizontal="center" vertical="center" wrapText="1"/>
    </xf>
    <xf numFmtId="1" fontId="46" fillId="0" borderId="1" xfId="29" applyNumberFormat="1" applyFont="1" applyBorder="1" applyAlignment="1">
      <alignment vertical="center" wrapText="1"/>
    </xf>
    <xf numFmtId="175" fontId="46" fillId="0" borderId="1" xfId="29" applyNumberFormat="1" applyFont="1" applyBorder="1" applyAlignment="1">
      <alignment vertical="center" wrapText="1"/>
    </xf>
    <xf numFmtId="0" fontId="42" fillId="0" borderId="0" xfId="89" applyFont="1" applyFill="1"/>
    <xf numFmtId="0" fontId="42" fillId="0" borderId="0" xfId="89" applyFont="1" applyFill="1" applyAlignment="1">
      <alignment horizontal="center" vertical="center"/>
    </xf>
    <xf numFmtId="0" fontId="42" fillId="0" borderId="0" xfId="89" applyFont="1" applyFill="1" applyAlignment="1">
      <alignment horizontal="left" vertical="center"/>
    </xf>
    <xf numFmtId="165" fontId="42" fillId="0" borderId="0" xfId="89" applyNumberFormat="1" applyFont="1" applyFill="1" applyBorder="1"/>
    <xf numFmtId="4" fontId="42" fillId="0" borderId="0" xfId="89" applyNumberFormat="1" applyFont="1" applyFill="1" applyBorder="1"/>
    <xf numFmtId="165" fontId="42" fillId="2" borderId="0" xfId="89" applyNumberFormat="1" applyFont="1" applyFill="1" applyBorder="1"/>
    <xf numFmtId="0" fontId="42" fillId="0" borderId="0" xfId="89" applyFont="1" applyAlignment="1">
      <alignment horizontal="left" vertical="center"/>
    </xf>
    <xf numFmtId="0" fontId="42" fillId="0" borderId="0" xfId="89" applyFont="1"/>
    <xf numFmtId="165" fontId="42" fillId="0" borderId="0" xfId="89" applyNumberFormat="1" applyFont="1"/>
    <xf numFmtId="165" fontId="42" fillId="0" borderId="1" xfId="89" applyNumberFormat="1" applyFont="1" applyBorder="1" applyAlignment="1">
      <alignment horizontal="center" vertical="center" wrapText="1"/>
    </xf>
    <xf numFmtId="165" fontId="41" fillId="0" borderId="1" xfId="89" applyNumberFormat="1" applyFont="1" applyFill="1" applyBorder="1" applyAlignment="1">
      <alignment horizontal="center" vertical="center" wrapText="1"/>
    </xf>
    <xf numFmtId="165" fontId="41" fillId="0" borderId="1" xfId="89" applyNumberFormat="1" applyFont="1" applyBorder="1" applyAlignment="1">
      <alignment horizontal="center" vertical="center" wrapText="1"/>
    </xf>
    <xf numFmtId="0" fontId="84" fillId="0" borderId="1" xfId="89" applyFont="1" applyBorder="1" applyAlignment="1">
      <alignment horizontal="center" vertical="center" wrapText="1"/>
    </xf>
    <xf numFmtId="4" fontId="84" fillId="0" borderId="1" xfId="89" applyNumberFormat="1" applyFont="1" applyBorder="1" applyAlignment="1">
      <alignment horizontal="center" vertical="center" wrapText="1"/>
    </xf>
    <xf numFmtId="0" fontId="84" fillId="0" borderId="1" xfId="89" applyFont="1" applyFill="1" applyBorder="1" applyAlignment="1">
      <alignment horizontal="center" vertical="center" wrapText="1"/>
    </xf>
    <xf numFmtId="3" fontId="84" fillId="0" borderId="1" xfId="89" applyNumberFormat="1" applyFont="1" applyFill="1" applyBorder="1" applyAlignment="1">
      <alignment horizontal="center" vertical="center" wrapText="1"/>
    </xf>
    <xf numFmtId="49" fontId="84" fillId="0" borderId="1" xfId="89" applyNumberFormat="1" applyFont="1" applyFill="1" applyBorder="1" applyAlignment="1">
      <alignment horizontal="center" vertical="center" wrapText="1"/>
    </xf>
    <xf numFmtId="165" fontId="84" fillId="0" borderId="1" xfId="89" applyNumberFormat="1" applyFont="1" applyBorder="1" applyAlignment="1">
      <alignment horizontal="center" vertical="center" wrapText="1"/>
    </xf>
    <xf numFmtId="0" fontId="42" fillId="0" borderId="0" xfId="89" applyFont="1" applyAlignment="1">
      <alignment horizontal="center"/>
    </xf>
    <xf numFmtId="0" fontId="136" fillId="0" borderId="6" xfId="89" applyFont="1" applyBorder="1" applyAlignment="1">
      <alignment vertical="center" wrapText="1"/>
    </xf>
    <xf numFmtId="0" fontId="57" fillId="0" borderId="23" xfId="89" applyFont="1" applyBorder="1" applyAlignment="1">
      <alignment vertical="center" wrapText="1"/>
    </xf>
    <xf numFmtId="0" fontId="57" fillId="3" borderId="1" xfId="89" applyFont="1" applyFill="1" applyBorder="1" applyAlignment="1">
      <alignment horizontal="center" vertical="center" wrapText="1"/>
    </xf>
    <xf numFmtId="0" fontId="57" fillId="3" borderId="1" xfId="89" applyFont="1" applyFill="1" applyBorder="1" applyAlignment="1">
      <alignment horizontal="left" vertical="center" wrapText="1"/>
    </xf>
    <xf numFmtId="165" fontId="57" fillId="3" borderId="1" xfId="89" applyNumberFormat="1" applyFont="1" applyFill="1" applyBorder="1" applyAlignment="1">
      <alignment horizontal="center" vertical="center" wrapText="1"/>
    </xf>
    <xf numFmtId="4" fontId="57" fillId="3" borderId="1" xfId="89" applyNumberFormat="1" applyFont="1" applyFill="1" applyBorder="1" applyAlignment="1">
      <alignment horizontal="center" vertical="center" wrapText="1"/>
    </xf>
    <xf numFmtId="165" fontId="57" fillId="3" borderId="2" xfId="89" applyNumberFormat="1" applyFont="1" applyFill="1" applyBorder="1" applyAlignment="1">
      <alignment horizontal="center" vertical="center" wrapText="1"/>
    </xf>
    <xf numFmtId="0" fontId="42" fillId="3" borderId="1" xfId="89" applyFont="1" applyFill="1" applyBorder="1" applyAlignment="1">
      <alignment horizontal="left" vertical="center" wrapText="1"/>
    </xf>
    <xf numFmtId="0" fontId="57" fillId="3" borderId="0" xfId="89" applyFont="1" applyFill="1" applyAlignment="1">
      <alignment horizontal="center" vertical="center"/>
    </xf>
    <xf numFmtId="0" fontId="57" fillId="0" borderId="1" xfId="89" applyFont="1" applyFill="1" applyBorder="1" applyAlignment="1">
      <alignment horizontal="center" wrapText="1"/>
    </xf>
    <xf numFmtId="0" fontId="57" fillId="0" borderId="1" xfId="89" applyFont="1" applyFill="1" applyBorder="1" applyAlignment="1">
      <alignment horizontal="center" vertical="center" wrapText="1"/>
    </xf>
    <xf numFmtId="0" fontId="57" fillId="0" borderId="1" xfId="89" applyFont="1" applyFill="1" applyBorder="1" applyAlignment="1">
      <alignment horizontal="left" vertical="center" wrapText="1"/>
    </xf>
    <xf numFmtId="0" fontId="57" fillId="0" borderId="1" xfId="89" applyFont="1" applyFill="1" applyBorder="1" applyAlignment="1">
      <alignment horizontal="right" vertical="center" wrapText="1"/>
    </xf>
    <xf numFmtId="4" fontId="57" fillId="0" borderId="1" xfId="89" applyNumberFormat="1" applyFont="1" applyFill="1" applyBorder="1" applyAlignment="1">
      <alignment horizontal="right" vertical="center" wrapText="1"/>
    </xf>
    <xf numFmtId="165" fontId="57" fillId="0" borderId="1" xfId="89" applyNumberFormat="1" applyFont="1" applyFill="1" applyBorder="1" applyAlignment="1">
      <alignment horizontal="right" vertical="center" wrapText="1"/>
    </xf>
    <xf numFmtId="165" fontId="57" fillId="0" borderId="2" xfId="89" applyNumberFormat="1" applyFont="1" applyFill="1" applyBorder="1" applyAlignment="1">
      <alignment horizontal="right" vertical="center" wrapText="1"/>
    </xf>
    <xf numFmtId="0" fontId="42" fillId="0" borderId="1" xfId="89" applyFont="1" applyFill="1" applyBorder="1" applyAlignment="1">
      <alignment horizontal="center" vertical="center" wrapText="1"/>
    </xf>
    <xf numFmtId="0" fontId="57" fillId="0" borderId="0" xfId="89" applyFont="1" applyFill="1"/>
    <xf numFmtId="0" fontId="42" fillId="0" borderId="1" xfId="89" applyFont="1" applyFill="1" applyBorder="1" applyAlignment="1">
      <alignment horizontal="center" wrapText="1"/>
    </xf>
    <xf numFmtId="0" fontId="42" fillId="0" borderId="1" xfId="89" applyFont="1" applyFill="1" applyBorder="1" applyAlignment="1">
      <alignment horizontal="left" vertical="center" wrapText="1"/>
    </xf>
    <xf numFmtId="0" fontId="42" fillId="0" borderId="1" xfId="89" applyFont="1" applyFill="1" applyBorder="1" applyAlignment="1">
      <alignment horizontal="right" vertical="center" wrapText="1"/>
    </xf>
    <xf numFmtId="4" fontId="42" fillId="0" borderId="1" xfId="89" applyNumberFormat="1" applyFont="1" applyFill="1" applyBorder="1" applyAlignment="1">
      <alignment horizontal="right" vertical="center" wrapText="1"/>
    </xf>
    <xf numFmtId="165" fontId="42" fillId="0" borderId="1" xfId="89" applyNumberFormat="1" applyFont="1" applyFill="1" applyBorder="1" applyAlignment="1">
      <alignment horizontal="right" vertical="center" wrapText="1"/>
    </xf>
    <xf numFmtId="165" fontId="42" fillId="0" borderId="2" xfId="89" applyNumberFormat="1" applyFont="1" applyFill="1" applyBorder="1" applyAlignment="1">
      <alignment horizontal="right" vertical="center" wrapText="1"/>
    </xf>
    <xf numFmtId="165" fontId="42" fillId="0" borderId="1" xfId="89" applyNumberFormat="1" applyFont="1" applyFill="1" applyBorder="1" applyAlignment="1">
      <alignment horizontal="right" vertical="center"/>
    </xf>
    <xf numFmtId="0" fontId="42" fillId="0" borderId="1" xfId="38" applyFont="1" applyFill="1" applyBorder="1" applyAlignment="1">
      <alignment horizontal="left" wrapText="1"/>
    </xf>
    <xf numFmtId="49" fontId="42" fillId="0" borderId="1" xfId="89" applyNumberFormat="1" applyFont="1" applyFill="1" applyBorder="1" applyAlignment="1">
      <alignment horizontal="left" vertical="center" wrapText="1"/>
    </xf>
    <xf numFmtId="165" fontId="57" fillId="0" borderId="1" xfId="89" applyNumberFormat="1" applyFont="1" applyFill="1" applyBorder="1" applyAlignment="1">
      <alignment horizontal="right" vertical="center"/>
    </xf>
    <xf numFmtId="0" fontId="41" fillId="0" borderId="1" xfId="89" applyFont="1" applyFill="1" applyBorder="1" applyAlignment="1">
      <alignment horizontal="left" vertical="center" wrapText="1"/>
    </xf>
    <xf numFmtId="49" fontId="42" fillId="0" borderId="2" xfId="89" applyNumberFormat="1" applyFont="1" applyFill="1" applyBorder="1" applyAlignment="1">
      <alignment horizontal="left" vertical="center" wrapText="1"/>
    </xf>
    <xf numFmtId="49" fontId="57" fillId="0" borderId="2" xfId="89" applyNumberFormat="1" applyFont="1" applyFill="1" applyBorder="1" applyAlignment="1">
      <alignment horizontal="left" vertical="center" wrapText="1"/>
    </xf>
    <xf numFmtId="49" fontId="57" fillId="0" borderId="1" xfId="89" applyNumberFormat="1" applyFont="1" applyFill="1" applyBorder="1" applyAlignment="1">
      <alignment horizontal="left" vertical="center" wrapText="1"/>
    </xf>
    <xf numFmtId="0" fontId="41" fillId="0" borderId="1" xfId="89" applyFont="1" applyFill="1" applyBorder="1" applyAlignment="1">
      <alignment vertical="center" wrapText="1"/>
    </xf>
    <xf numFmtId="165" fontId="42" fillId="0" borderId="1" xfId="89" applyNumberFormat="1" applyFont="1" applyFill="1" applyBorder="1"/>
    <xf numFmtId="0" fontId="41" fillId="0" borderId="1" xfId="89" applyFont="1" applyFill="1" applyBorder="1" applyAlignment="1">
      <alignment horizontal="center" vertical="center" wrapText="1"/>
    </xf>
    <xf numFmtId="0" fontId="41" fillId="0" borderId="1" xfId="26" applyFont="1" applyFill="1" applyBorder="1" applyAlignment="1">
      <alignment vertical="top" wrapText="1"/>
    </xf>
    <xf numFmtId="0" fontId="42" fillId="0" borderId="1" xfId="89" applyFont="1" applyFill="1" applyBorder="1"/>
    <xf numFmtId="0" fontId="42" fillId="0" borderId="1" xfId="89" applyFont="1" applyFill="1" applyBorder="1" applyAlignment="1">
      <alignment wrapText="1"/>
    </xf>
    <xf numFmtId="0" fontId="42" fillId="3" borderId="1" xfId="89" applyFont="1" applyFill="1" applyBorder="1" applyAlignment="1">
      <alignment horizontal="center" vertical="center" wrapText="1"/>
    </xf>
    <xf numFmtId="4" fontId="57" fillId="3" borderId="1" xfId="89" applyNumberFormat="1" applyFont="1" applyFill="1" applyBorder="1" applyAlignment="1">
      <alignment horizontal="center" vertical="center"/>
    </xf>
    <xf numFmtId="165" fontId="57" fillId="3" borderId="1" xfId="89" applyNumberFormat="1" applyFont="1" applyFill="1" applyBorder="1" applyAlignment="1">
      <alignment horizontal="center" vertical="center"/>
    </xf>
    <xf numFmtId="0" fontId="42" fillId="3" borderId="0" xfId="89" applyFont="1" applyFill="1" applyAlignment="1">
      <alignment horizontal="center" vertical="center"/>
    </xf>
    <xf numFmtId="4" fontId="57" fillId="0" borderId="1" xfId="89" applyNumberFormat="1" applyFont="1" applyFill="1" applyBorder="1" applyAlignment="1">
      <alignment horizontal="right" vertical="center"/>
    </xf>
    <xf numFmtId="165" fontId="57" fillId="0" borderId="2" xfId="89" applyNumberFormat="1" applyFont="1" applyFill="1" applyBorder="1" applyAlignment="1">
      <alignment horizontal="right" vertical="center"/>
    </xf>
    <xf numFmtId="0" fontId="42" fillId="0" borderId="55" xfId="89" applyFont="1" applyFill="1" applyBorder="1" applyAlignment="1">
      <alignment vertical="top" wrapText="1"/>
    </xf>
    <xf numFmtId="4" fontId="42" fillId="0" borderId="1" xfId="89" applyNumberFormat="1" applyFont="1" applyFill="1" applyBorder="1" applyAlignment="1">
      <alignment horizontal="right" vertical="center"/>
    </xf>
    <xf numFmtId="165" fontId="42" fillId="0" borderId="2" xfId="89" applyNumberFormat="1" applyFont="1" applyFill="1" applyBorder="1" applyAlignment="1">
      <alignment horizontal="right" vertical="center"/>
    </xf>
    <xf numFmtId="168" fontId="42" fillId="0" borderId="1" xfId="89" applyNumberFormat="1" applyFont="1" applyFill="1" applyBorder="1" applyAlignment="1">
      <alignment horizontal="right" vertical="center"/>
    </xf>
    <xf numFmtId="0" fontId="42" fillId="0" borderId="57" xfId="89" applyFont="1" applyFill="1" applyBorder="1" applyAlignment="1">
      <alignment horizontal="left" vertical="center" wrapText="1"/>
    </xf>
    <xf numFmtId="0" fontId="42" fillId="0" borderId="2" xfId="89" applyFont="1" applyFill="1" applyBorder="1" applyAlignment="1">
      <alignment horizontal="left" vertical="center" wrapText="1"/>
    </xf>
    <xf numFmtId="0" fontId="42" fillId="0" borderId="46" xfId="89" applyFont="1" applyFill="1" applyBorder="1" applyAlignment="1">
      <alignment horizontal="left" vertical="center" wrapText="1"/>
    </xf>
    <xf numFmtId="0" fontId="42" fillId="0" borderId="46" xfId="89" applyFont="1" applyFill="1" applyBorder="1" applyAlignment="1">
      <alignment vertical="top" wrapText="1"/>
    </xf>
    <xf numFmtId="165" fontId="57" fillId="0" borderId="1" xfId="89" applyNumberFormat="1" applyFont="1" applyFill="1" applyBorder="1" applyAlignment="1">
      <alignment horizontal="center" vertical="center" wrapText="1"/>
    </xf>
    <xf numFmtId="4" fontId="57" fillId="0" borderId="1" xfId="89" applyNumberFormat="1" applyFont="1" applyFill="1" applyBorder="1" applyAlignment="1">
      <alignment horizontal="center" vertical="center" wrapText="1"/>
    </xf>
    <xf numFmtId="0" fontId="42" fillId="0" borderId="1" xfId="89" applyFont="1" applyFill="1" applyBorder="1" applyAlignment="1">
      <alignment vertical="center" wrapText="1"/>
    </xf>
    <xf numFmtId="165" fontId="42" fillId="0" borderId="1" xfId="89" applyNumberFormat="1" applyFont="1" applyFill="1" applyBorder="1" applyAlignment="1">
      <alignment horizontal="center" vertical="center" wrapText="1"/>
    </xf>
    <xf numFmtId="0" fontId="42" fillId="0" borderId="7" xfId="89" applyFont="1" applyFill="1" applyBorder="1" applyAlignment="1">
      <alignment vertical="center" wrapText="1"/>
    </xf>
    <xf numFmtId="0" fontId="57" fillId="3" borderId="1" xfId="89" applyNumberFormat="1" applyFont="1" applyFill="1" applyBorder="1" applyAlignment="1" applyProtection="1">
      <alignment horizontal="center" vertical="center" wrapText="1"/>
    </xf>
    <xf numFmtId="0" fontId="57" fillId="3" borderId="1" xfId="89" applyNumberFormat="1" applyFont="1" applyFill="1" applyBorder="1" applyAlignment="1" applyProtection="1">
      <alignment horizontal="left" vertical="center" wrapText="1"/>
    </xf>
    <xf numFmtId="0" fontId="42" fillId="3" borderId="1" xfId="89" applyNumberFormat="1" applyFont="1" applyFill="1" applyBorder="1" applyAlignment="1" applyProtection="1">
      <alignment vertical="top" wrapText="1"/>
    </xf>
    <xf numFmtId="165" fontId="57" fillId="3" borderId="1" xfId="89" applyNumberFormat="1" applyFont="1" applyFill="1" applyBorder="1" applyAlignment="1">
      <alignment horizontal="left" vertical="center"/>
    </xf>
    <xf numFmtId="0" fontId="57" fillId="0" borderId="1" xfId="89" applyNumberFormat="1" applyFont="1" applyFill="1" applyBorder="1" applyAlignment="1" applyProtection="1">
      <alignment horizontal="center" wrapText="1"/>
    </xf>
    <xf numFmtId="0" fontId="57" fillId="0" borderId="1" xfId="89" applyNumberFormat="1" applyFont="1" applyFill="1" applyBorder="1" applyAlignment="1" applyProtection="1">
      <alignment horizontal="center" vertical="center" wrapText="1"/>
    </xf>
    <xf numFmtId="0" fontId="57" fillId="0" borderId="1" xfId="89" applyNumberFormat="1" applyFont="1" applyFill="1" applyBorder="1" applyAlignment="1" applyProtection="1">
      <alignment horizontal="left" vertical="center" wrapText="1"/>
    </xf>
    <xf numFmtId="165" fontId="57" fillId="0" borderId="1" xfId="89" applyNumberFormat="1" applyFont="1" applyFill="1" applyBorder="1"/>
    <xf numFmtId="4" fontId="57" fillId="0" borderId="1" xfId="89" applyNumberFormat="1" applyFont="1" applyFill="1" applyBorder="1"/>
    <xf numFmtId="0" fontId="57" fillId="0" borderId="1" xfId="89" applyNumberFormat="1" applyFont="1" applyFill="1" applyBorder="1" applyAlignment="1" applyProtection="1">
      <alignment vertical="top" wrapText="1"/>
    </xf>
    <xf numFmtId="165" fontId="57" fillId="0" borderId="1" xfId="89" applyNumberFormat="1" applyFont="1" applyFill="1" applyBorder="1" applyAlignment="1">
      <alignment horizontal="left" vertical="center"/>
    </xf>
    <xf numFmtId="165" fontId="57" fillId="0" borderId="1" xfId="89" applyNumberFormat="1" applyFont="1" applyFill="1" applyBorder="1" applyAlignment="1">
      <alignment horizontal="center"/>
    </xf>
    <xf numFmtId="165" fontId="57" fillId="0" borderId="2" xfId="89" applyNumberFormat="1" applyFont="1" applyFill="1" applyBorder="1" applyAlignment="1">
      <alignment horizontal="center"/>
    </xf>
    <xf numFmtId="165" fontId="57" fillId="0" borderId="6" xfId="89" applyNumberFormat="1" applyFont="1" applyFill="1" applyBorder="1"/>
    <xf numFmtId="0" fontId="42" fillId="0" borderId="1" xfId="89" applyNumberFormat="1" applyFont="1" applyFill="1" applyBorder="1" applyAlignment="1" applyProtection="1">
      <alignment horizontal="center" wrapText="1"/>
    </xf>
    <xf numFmtId="0" fontId="42" fillId="0" borderId="1" xfId="89" applyNumberFormat="1" applyFont="1" applyFill="1" applyBorder="1" applyAlignment="1" applyProtection="1">
      <alignment horizontal="center" vertical="center" wrapText="1"/>
    </xf>
    <xf numFmtId="4" fontId="42" fillId="0" borderId="1" xfId="89" applyNumberFormat="1" applyFont="1" applyFill="1" applyBorder="1"/>
    <xf numFmtId="0" fontId="42" fillId="0" borderId="1" xfId="89" applyNumberFormat="1" applyFont="1" applyFill="1" applyBorder="1" applyAlignment="1" applyProtection="1">
      <alignment horizontal="right" vertical="top" wrapText="1"/>
    </xf>
    <xf numFmtId="165" fontId="42" fillId="0" borderId="1" xfId="89" applyNumberFormat="1" applyFont="1" applyFill="1" applyBorder="1" applyAlignment="1">
      <alignment horizontal="center"/>
    </xf>
    <xf numFmtId="165" fontId="42" fillId="0" borderId="2" xfId="89" applyNumberFormat="1" applyFont="1" applyFill="1" applyBorder="1" applyAlignment="1">
      <alignment horizontal="center"/>
    </xf>
    <xf numFmtId="165" fontId="42" fillId="0" borderId="6" xfId="89" applyNumberFormat="1" applyFont="1" applyFill="1" applyBorder="1"/>
    <xf numFmtId="0" fontId="42" fillId="0" borderId="1" xfId="89" applyNumberFormat="1" applyFont="1" applyFill="1" applyBorder="1" applyAlignment="1" applyProtection="1">
      <alignment vertical="top" wrapText="1"/>
    </xf>
    <xf numFmtId="0" fontId="42" fillId="0" borderId="1" xfId="89" applyNumberFormat="1" applyFont="1" applyFill="1" applyBorder="1" applyAlignment="1" applyProtection="1">
      <alignment horizontal="right" vertical="center" wrapText="1"/>
    </xf>
    <xf numFmtId="165" fontId="57" fillId="0" borderId="1" xfId="89" applyNumberFormat="1" applyFont="1" applyFill="1" applyBorder="1" applyAlignment="1" applyProtection="1">
      <alignment horizontal="center" vertical="center" wrapText="1"/>
    </xf>
    <xf numFmtId="0" fontId="57" fillId="0" borderId="1" xfId="89" applyNumberFormat="1" applyFont="1" applyFill="1" applyBorder="1" applyAlignment="1" applyProtection="1">
      <alignment horizontal="right" vertical="center" wrapText="1"/>
    </xf>
    <xf numFmtId="0" fontId="42" fillId="0" borderId="1" xfId="89" applyNumberFormat="1" applyFont="1" applyFill="1" applyBorder="1" applyAlignment="1" applyProtection="1">
      <alignment horizontal="left" vertical="center" wrapText="1"/>
    </xf>
    <xf numFmtId="167" fontId="42" fillId="0" borderId="1" xfId="89" applyNumberFormat="1" applyFont="1" applyFill="1" applyBorder="1" applyAlignment="1" applyProtection="1">
      <alignment vertical="top" wrapText="1"/>
    </xf>
    <xf numFmtId="0" fontId="57" fillId="0" borderId="4" xfId="89" applyNumberFormat="1" applyFont="1" applyFill="1" applyBorder="1" applyAlignment="1" applyProtection="1">
      <alignment horizontal="left" vertical="top" wrapText="1"/>
    </xf>
    <xf numFmtId="165" fontId="42" fillId="0" borderId="7" xfId="89" applyNumberFormat="1" applyFont="1" applyFill="1" applyBorder="1"/>
    <xf numFmtId="4" fontId="42" fillId="0" borderId="7" xfId="89" applyNumberFormat="1" applyFont="1" applyFill="1" applyBorder="1"/>
    <xf numFmtId="165" fontId="42" fillId="0" borderId="23" xfId="89" applyNumberFormat="1" applyFont="1" applyFill="1" applyBorder="1"/>
    <xf numFmtId="4" fontId="57" fillId="0" borderId="1" xfId="89" applyNumberFormat="1" applyFont="1" applyFill="1" applyBorder="1" applyAlignment="1" applyProtection="1">
      <alignment horizontal="center" vertical="center" wrapText="1"/>
    </xf>
    <xf numFmtId="0" fontId="42" fillId="0" borderId="1" xfId="89" applyFont="1" applyFill="1" applyBorder="1" applyAlignment="1">
      <alignment horizontal="center" vertical="center"/>
    </xf>
    <xf numFmtId="0" fontId="57" fillId="0" borderId="1" xfId="89" applyNumberFormat="1" applyFont="1" applyFill="1" applyBorder="1" applyAlignment="1" applyProtection="1">
      <alignment horizontal="right" vertical="top" wrapText="1"/>
    </xf>
    <xf numFmtId="0" fontId="57" fillId="0" borderId="1" xfId="89" applyFont="1" applyFill="1" applyBorder="1"/>
    <xf numFmtId="0" fontId="42" fillId="3" borderId="1" xfId="89" applyNumberFormat="1" applyFont="1" applyFill="1" applyBorder="1" applyAlignment="1" applyProtection="1">
      <alignment horizontal="center" vertical="center" wrapText="1"/>
    </xf>
    <xf numFmtId="0" fontId="42" fillId="3" borderId="1" xfId="89" applyFont="1" applyFill="1" applyBorder="1" applyAlignment="1">
      <alignment wrapText="1"/>
    </xf>
    <xf numFmtId="4" fontId="42" fillId="3" borderId="1" xfId="89" applyNumberFormat="1" applyFont="1" applyFill="1" applyBorder="1" applyAlignment="1">
      <alignment horizontal="center" vertical="center"/>
    </xf>
    <xf numFmtId="165" fontId="57" fillId="3" borderId="1" xfId="89" applyNumberFormat="1" applyFont="1" applyFill="1" applyBorder="1" applyAlignment="1" applyProtection="1">
      <alignment horizontal="center" vertical="center" wrapText="1"/>
    </xf>
    <xf numFmtId="165" fontId="42" fillId="3" borderId="1" xfId="89" applyNumberFormat="1" applyFont="1" applyFill="1" applyBorder="1" applyAlignment="1">
      <alignment horizontal="center" vertical="center"/>
    </xf>
    <xf numFmtId="165" fontId="57" fillId="3" borderId="2" xfId="89" applyNumberFormat="1" applyFont="1" applyFill="1" applyBorder="1" applyAlignment="1" applyProtection="1">
      <alignment horizontal="center" vertical="center" wrapText="1"/>
    </xf>
    <xf numFmtId="165" fontId="57" fillId="3" borderId="6" xfId="89" applyNumberFormat="1" applyFont="1" applyFill="1" applyBorder="1" applyAlignment="1">
      <alignment horizontal="center" vertical="center"/>
    </xf>
    <xf numFmtId="0" fontId="42" fillId="3" borderId="0" xfId="89" applyFont="1" applyFill="1"/>
    <xf numFmtId="165" fontId="57" fillId="0" borderId="1" xfId="89" applyNumberFormat="1" applyFont="1" applyFill="1" applyBorder="1" applyAlignment="1" applyProtection="1">
      <alignment horizontal="right" vertical="center" wrapText="1"/>
    </xf>
    <xf numFmtId="165" fontId="57" fillId="0" borderId="2" xfId="89" applyNumberFormat="1" applyFont="1" applyFill="1" applyBorder="1" applyAlignment="1" applyProtection="1">
      <alignment horizontal="center" vertical="center" wrapText="1"/>
    </xf>
    <xf numFmtId="165" fontId="42" fillId="0" borderId="1" xfId="89" applyNumberFormat="1" applyFont="1" applyFill="1" applyBorder="1" applyAlignment="1" applyProtection="1">
      <alignment horizontal="right" vertical="center" wrapText="1"/>
    </xf>
    <xf numFmtId="165" fontId="42" fillId="0" borderId="1" xfId="89" applyNumberFormat="1" applyFont="1" applyFill="1" applyBorder="1" applyAlignment="1" applyProtection="1">
      <alignment horizontal="center" vertical="center" wrapText="1"/>
    </xf>
    <xf numFmtId="165" fontId="42" fillId="0" borderId="2" xfId="89" applyNumberFormat="1" applyFont="1" applyFill="1" applyBorder="1" applyAlignment="1" applyProtection="1">
      <alignment horizontal="center" vertical="center" wrapText="1"/>
    </xf>
    <xf numFmtId="165" fontId="57" fillId="3" borderId="2" xfId="89" applyNumberFormat="1" applyFont="1" applyFill="1" applyBorder="1" applyAlignment="1">
      <alignment horizontal="center" vertical="center"/>
    </xf>
    <xf numFmtId="4" fontId="57" fillId="0" borderId="1" xfId="89" applyNumberFormat="1" applyFont="1" applyFill="1" applyBorder="1" applyAlignment="1">
      <alignment horizontal="center" vertical="center"/>
    </xf>
    <xf numFmtId="165" fontId="57" fillId="0" borderId="1" xfId="89" applyNumberFormat="1" applyFont="1" applyFill="1" applyBorder="1" applyAlignment="1">
      <alignment horizontal="center" vertical="center"/>
    </xf>
    <xf numFmtId="165" fontId="42" fillId="0" borderId="1" xfId="89" applyNumberFormat="1" applyFont="1" applyFill="1" applyBorder="1" applyAlignment="1">
      <alignment horizontal="center" vertical="center"/>
    </xf>
    <xf numFmtId="165" fontId="57" fillId="0" borderId="2" xfId="89" applyNumberFormat="1" applyFont="1" applyFill="1" applyBorder="1" applyAlignment="1">
      <alignment horizontal="center" vertical="center"/>
    </xf>
    <xf numFmtId="165" fontId="57" fillId="0" borderId="6" xfId="89" applyNumberFormat="1" applyFont="1" applyFill="1" applyBorder="1" applyAlignment="1">
      <alignment horizontal="center" vertical="center"/>
    </xf>
    <xf numFmtId="4" fontId="42" fillId="0" borderId="1" xfId="89" applyNumberFormat="1" applyFont="1" applyFill="1" applyBorder="1" applyAlignment="1">
      <alignment horizontal="center" vertical="center"/>
    </xf>
    <xf numFmtId="165" fontId="42" fillId="0" borderId="2" xfId="89" applyNumberFormat="1" applyFont="1" applyFill="1" applyBorder="1" applyAlignment="1">
      <alignment horizontal="center" vertical="center"/>
    </xf>
    <xf numFmtId="165" fontId="42" fillId="0" borderId="6" xfId="89" applyNumberFormat="1" applyFont="1" applyFill="1" applyBorder="1" applyAlignment="1">
      <alignment horizontal="center" vertical="center"/>
    </xf>
    <xf numFmtId="0" fontId="42" fillId="0" borderId="1" xfId="89" applyNumberFormat="1" applyFont="1" applyFill="1" applyBorder="1" applyAlignment="1" applyProtection="1">
      <alignment vertical="center" wrapText="1"/>
    </xf>
    <xf numFmtId="0" fontId="57" fillId="0" borderId="8" xfId="89" applyNumberFormat="1" applyFont="1" applyFill="1" applyBorder="1" applyAlignment="1" applyProtection="1">
      <alignment horizontal="left" vertical="top" wrapText="1"/>
    </xf>
    <xf numFmtId="0" fontId="42" fillId="3" borderId="6" xfId="89" applyNumberFormat="1" applyFont="1" applyFill="1" applyBorder="1" applyAlignment="1" applyProtection="1">
      <alignment horizontal="center" vertical="top" wrapText="1"/>
    </xf>
    <xf numFmtId="0" fontId="42" fillId="10" borderId="1" xfId="89" applyNumberFormat="1" applyFont="1" applyFill="1" applyBorder="1" applyAlignment="1" applyProtection="1">
      <alignment horizontal="center" wrapText="1"/>
    </xf>
    <xf numFmtId="0" fontId="42" fillId="10" borderId="1" xfId="89" applyFont="1" applyFill="1" applyBorder="1" applyAlignment="1">
      <alignment horizontal="center" vertical="center" wrapText="1"/>
    </xf>
    <xf numFmtId="0" fontId="42" fillId="10" borderId="1" xfId="89" applyFont="1" applyFill="1" applyBorder="1" applyAlignment="1">
      <alignment horizontal="left" vertical="center" wrapText="1"/>
    </xf>
    <xf numFmtId="165" fontId="42" fillId="10" borderId="1" xfId="89" applyNumberFormat="1" applyFont="1" applyFill="1" applyBorder="1" applyAlignment="1">
      <alignment horizontal="center" vertical="center"/>
    </xf>
    <xf numFmtId="0" fontId="42" fillId="10" borderId="0" xfId="89" applyFont="1" applyFill="1" applyAlignment="1">
      <alignment horizontal="left" vertical="center"/>
    </xf>
    <xf numFmtId="0" fontId="42" fillId="10" borderId="0" xfId="89" applyFont="1" applyFill="1"/>
    <xf numFmtId="0" fontId="57" fillId="25" borderId="1" xfId="89" applyNumberFormat="1" applyFont="1" applyFill="1" applyBorder="1" applyAlignment="1" applyProtection="1">
      <alignment horizontal="center" vertical="center" wrapText="1"/>
    </xf>
    <xf numFmtId="0" fontId="42" fillId="25" borderId="1" xfId="89" applyNumberFormat="1" applyFont="1" applyFill="1" applyBorder="1" applyAlignment="1" applyProtection="1">
      <alignment horizontal="center" vertical="center" wrapText="1"/>
    </xf>
    <xf numFmtId="0" fontId="57" fillId="25" borderId="1" xfId="89" applyNumberFormat="1" applyFont="1" applyFill="1" applyBorder="1" applyAlignment="1" applyProtection="1">
      <alignment horizontal="left" vertical="center" wrapText="1"/>
    </xf>
    <xf numFmtId="165" fontId="57" fillId="25" borderId="1" xfId="89" applyNumberFormat="1" applyFont="1" applyFill="1" applyBorder="1" applyAlignment="1">
      <alignment horizontal="center" vertical="center"/>
    </xf>
    <xf numFmtId="4" fontId="57" fillId="25" borderId="1" xfId="89" applyNumberFormat="1" applyFont="1" applyFill="1" applyBorder="1" applyAlignment="1">
      <alignment horizontal="center" vertical="center"/>
    </xf>
    <xf numFmtId="165" fontId="57" fillId="25" borderId="2" xfId="89" applyNumberFormat="1" applyFont="1" applyFill="1" applyBorder="1" applyAlignment="1">
      <alignment horizontal="center" vertical="center"/>
    </xf>
    <xf numFmtId="0" fontId="57" fillId="25" borderId="55" xfId="89" applyFont="1" applyFill="1" applyBorder="1" applyAlignment="1">
      <alignment horizontal="left" vertical="center" wrapText="1"/>
    </xf>
    <xf numFmtId="0" fontId="42" fillId="25" borderId="0" xfId="89" applyFont="1" applyFill="1" applyAlignment="1">
      <alignment horizontal="center" vertical="center"/>
    </xf>
    <xf numFmtId="0" fontId="42" fillId="0" borderId="55" xfId="89" applyFont="1" applyFill="1" applyBorder="1" applyAlignment="1">
      <alignment horizontal="left" vertical="center" wrapText="1"/>
    </xf>
    <xf numFmtId="4" fontId="42" fillId="0" borderId="1" xfId="89" applyNumberFormat="1" applyFont="1" applyFill="1" applyBorder="1" applyAlignment="1" applyProtection="1">
      <alignment horizontal="center" vertical="center" wrapText="1"/>
    </xf>
    <xf numFmtId="0" fontId="42" fillId="0" borderId="55" xfId="29" applyFont="1" applyFill="1" applyBorder="1" applyAlignment="1">
      <alignment horizontal="left" vertical="center" wrapText="1"/>
    </xf>
    <xf numFmtId="0" fontId="42" fillId="0" borderId="57" xfId="29" applyFont="1" applyFill="1" applyBorder="1" applyAlignment="1">
      <alignment horizontal="left" vertical="center" wrapText="1"/>
    </xf>
    <xf numFmtId="0" fontId="42" fillId="0" borderId="55" xfId="89" applyNumberFormat="1" applyFont="1" applyFill="1" applyBorder="1" applyAlignment="1" applyProtection="1">
      <alignment vertical="center" wrapText="1"/>
    </xf>
    <xf numFmtId="0" fontId="57" fillId="0" borderId="0" xfId="89" applyFont="1" applyFill="1" applyAlignment="1">
      <alignment horizontal="center"/>
    </xf>
    <xf numFmtId="165" fontId="42" fillId="3" borderId="1" xfId="89" applyNumberFormat="1" applyFont="1" applyFill="1" applyBorder="1" applyAlignment="1">
      <alignment horizontal="center" vertical="center" wrapText="1"/>
    </xf>
    <xf numFmtId="4" fontId="42" fillId="3" borderId="1" xfId="89" applyNumberFormat="1" applyFont="1" applyFill="1" applyBorder="1" applyAlignment="1" applyProtection="1">
      <alignment horizontal="center" vertical="center" wrapText="1"/>
    </xf>
    <xf numFmtId="0" fontId="42" fillId="3" borderId="6" xfId="89" applyFont="1" applyFill="1" applyBorder="1" applyAlignment="1">
      <alignment horizontal="center" vertical="center" wrapText="1"/>
    </xf>
    <xf numFmtId="165" fontId="57" fillId="0" borderId="2" xfId="89" applyNumberFormat="1" applyFont="1" applyFill="1" applyBorder="1" applyAlignment="1">
      <alignment horizontal="center" vertical="center" wrapText="1"/>
    </xf>
    <xf numFmtId="0" fontId="42" fillId="0" borderId="6" xfId="89" applyFont="1" applyFill="1" applyBorder="1" applyAlignment="1">
      <alignment horizontal="center" vertical="center" wrapText="1"/>
    </xf>
    <xf numFmtId="165" fontId="42" fillId="0" borderId="2" xfId="89" applyNumberFormat="1" applyFont="1" applyFill="1" applyBorder="1" applyAlignment="1">
      <alignment horizontal="center" vertical="center" wrapText="1"/>
    </xf>
    <xf numFmtId="0" fontId="40" fillId="0" borderId="1" xfId="89" applyFont="1" applyFill="1" applyBorder="1" applyAlignment="1">
      <alignment horizontal="center" vertical="center" wrapText="1"/>
    </xf>
    <xf numFmtId="0" fontId="42" fillId="0" borderId="55" xfId="89" applyFont="1" applyFill="1" applyBorder="1" applyAlignment="1">
      <alignment horizontal="center" vertical="center" wrapText="1"/>
    </xf>
    <xf numFmtId="0" fontId="42" fillId="0" borderId="55" xfId="89" applyFont="1" applyFill="1" applyBorder="1" applyAlignment="1">
      <alignment vertical="center" wrapText="1"/>
    </xf>
    <xf numFmtId="0" fontId="42" fillId="3" borderId="18" xfId="89" applyNumberFormat="1" applyFont="1" applyFill="1" applyBorder="1" applyAlignment="1" applyProtection="1">
      <alignment horizontal="center" wrapText="1"/>
    </xf>
    <xf numFmtId="0" fontId="63" fillId="3" borderId="1" xfId="87" applyFont="1" applyFill="1" applyBorder="1" applyAlignment="1">
      <alignment vertical="top" wrapText="1"/>
    </xf>
    <xf numFmtId="3" fontId="42" fillId="3" borderId="18" xfId="89" applyNumberFormat="1" applyFont="1" applyFill="1" applyBorder="1" applyAlignment="1">
      <alignment horizontal="center" vertical="center" wrapText="1"/>
    </xf>
    <xf numFmtId="165" fontId="42" fillId="3" borderId="1" xfId="89" applyNumberFormat="1" applyFont="1" applyFill="1" applyBorder="1" applyAlignment="1" applyProtection="1">
      <alignment horizontal="center" vertical="center" wrapText="1"/>
    </xf>
    <xf numFmtId="165" fontId="42" fillId="3" borderId="19" xfId="89" applyNumberFormat="1" applyFont="1" applyFill="1" applyBorder="1" applyAlignment="1">
      <alignment horizontal="center" vertical="center"/>
    </xf>
    <xf numFmtId="165" fontId="42" fillId="3" borderId="18" xfId="89" applyNumberFormat="1" applyFont="1" applyFill="1" applyBorder="1" applyAlignment="1">
      <alignment horizontal="center" vertical="center"/>
    </xf>
    <xf numFmtId="165" fontId="42" fillId="3" borderId="2" xfId="89" applyNumberFormat="1" applyFont="1" applyFill="1" applyBorder="1" applyAlignment="1">
      <alignment horizontal="center" vertical="center"/>
    </xf>
    <xf numFmtId="0" fontId="42" fillId="2" borderId="18" xfId="89" applyNumberFormat="1" applyFont="1" applyFill="1" applyBorder="1" applyAlignment="1" applyProtection="1">
      <alignment horizontal="center" wrapText="1"/>
    </xf>
    <xf numFmtId="0" fontId="42" fillId="2" borderId="1" xfId="89" applyFont="1" applyFill="1" applyBorder="1" applyAlignment="1">
      <alignment horizontal="center" vertical="center" wrapText="1"/>
    </xf>
    <xf numFmtId="49" fontId="57" fillId="2" borderId="2" xfId="89" applyNumberFormat="1" applyFont="1" applyFill="1" applyBorder="1" applyAlignment="1">
      <alignment horizontal="left" vertical="center" wrapText="1"/>
    </xf>
    <xf numFmtId="3" fontId="42" fillId="2" borderId="18" xfId="89" applyNumberFormat="1" applyFont="1" applyFill="1" applyBorder="1" applyAlignment="1">
      <alignment horizontal="center" vertical="center" wrapText="1"/>
    </xf>
    <xf numFmtId="165" fontId="42" fillId="2" borderId="1" xfId="89" applyNumberFormat="1" applyFont="1" applyFill="1" applyBorder="1" applyAlignment="1" applyProtection="1">
      <alignment horizontal="center" vertical="center" wrapText="1"/>
    </xf>
    <xf numFmtId="165" fontId="42" fillId="2" borderId="19" xfId="89" applyNumberFormat="1" applyFont="1" applyFill="1" applyBorder="1" applyAlignment="1">
      <alignment horizontal="center" vertical="center"/>
    </xf>
    <xf numFmtId="165" fontId="42" fillId="2" borderId="18" xfId="89" applyNumberFormat="1" applyFont="1" applyFill="1" applyBorder="1" applyAlignment="1">
      <alignment horizontal="center" vertical="center"/>
    </xf>
    <xf numFmtId="165" fontId="42" fillId="2" borderId="1" xfId="89" applyNumberFormat="1" applyFont="1" applyFill="1" applyBorder="1" applyAlignment="1">
      <alignment horizontal="center" vertical="center"/>
    </xf>
    <xf numFmtId="165" fontId="42" fillId="2" borderId="2" xfId="89" applyNumberFormat="1" applyFont="1" applyFill="1" applyBorder="1" applyAlignment="1">
      <alignment horizontal="center" vertical="center"/>
    </xf>
    <xf numFmtId="165" fontId="57" fillId="2" borderId="1" xfId="89" applyNumberFormat="1" applyFont="1" applyFill="1" applyBorder="1" applyAlignment="1">
      <alignment horizontal="center" vertical="center"/>
    </xf>
    <xf numFmtId="0" fontId="50" fillId="2" borderId="1" xfId="87" applyFont="1" applyFill="1" applyBorder="1" applyAlignment="1">
      <alignment vertical="top" wrapText="1"/>
    </xf>
    <xf numFmtId="165" fontId="19" fillId="2" borderId="1" xfId="38" applyNumberFormat="1" applyFont="1" applyFill="1" applyBorder="1" applyAlignment="1">
      <alignment horizontal="center" wrapText="1"/>
    </xf>
    <xf numFmtId="0" fontId="57" fillId="3" borderId="18" xfId="89" applyNumberFormat="1" applyFont="1" applyFill="1" applyBorder="1" applyAlignment="1" applyProtection="1">
      <alignment horizontal="center" wrapText="1"/>
    </xf>
    <xf numFmtId="3" fontId="57" fillId="3" borderId="18" xfId="89" applyNumberFormat="1" applyFont="1" applyFill="1" applyBorder="1" applyAlignment="1">
      <alignment horizontal="center" vertical="center" wrapText="1"/>
    </xf>
    <xf numFmtId="165" fontId="57" fillId="3" borderId="19" xfId="89" applyNumberFormat="1" applyFont="1" applyFill="1" applyBorder="1" applyAlignment="1">
      <alignment horizontal="center" vertical="center"/>
    </xf>
    <xf numFmtId="165" fontId="57" fillId="3" borderId="18" xfId="89" applyNumberFormat="1" applyFont="1" applyFill="1" applyBorder="1" applyAlignment="1">
      <alignment horizontal="center" vertical="center"/>
    </xf>
    <xf numFmtId="165" fontId="57" fillId="3" borderId="1" xfId="87" applyNumberFormat="1" applyFont="1" applyFill="1" applyBorder="1" applyAlignment="1">
      <alignment horizontal="center" vertical="top" wrapText="1"/>
    </xf>
    <xf numFmtId="165" fontId="57" fillId="3" borderId="1" xfId="89" applyNumberFormat="1" applyFont="1" applyFill="1" applyBorder="1" applyAlignment="1">
      <alignment horizontal="center"/>
    </xf>
    <xf numFmtId="165" fontId="57" fillId="2" borderId="1" xfId="87" applyNumberFormat="1" applyFont="1" applyFill="1" applyBorder="1" applyAlignment="1">
      <alignment horizontal="center" vertical="top" wrapText="1"/>
    </xf>
    <xf numFmtId="165" fontId="42" fillId="2" borderId="1" xfId="87" applyNumberFormat="1" applyFont="1" applyFill="1" applyBorder="1" applyAlignment="1">
      <alignment horizontal="center" vertical="top" wrapText="1"/>
    </xf>
    <xf numFmtId="0" fontId="57" fillId="3" borderId="18" xfId="89" applyNumberFormat="1" applyFont="1" applyFill="1" applyBorder="1" applyAlignment="1" applyProtection="1">
      <alignment horizontal="center" vertical="center" wrapText="1"/>
    </xf>
    <xf numFmtId="0" fontId="57" fillId="3" borderId="1" xfId="87" applyFont="1" applyFill="1" applyBorder="1" applyAlignment="1">
      <alignment vertical="center" wrapText="1"/>
    </xf>
    <xf numFmtId="165" fontId="57" fillId="3" borderId="1" xfId="87" applyNumberFormat="1" applyFont="1" applyFill="1" applyBorder="1" applyAlignment="1">
      <alignment horizontal="center" vertical="center" wrapText="1"/>
    </xf>
    <xf numFmtId="0" fontId="57" fillId="3" borderId="1" xfId="87" applyFont="1" applyFill="1" applyBorder="1" applyAlignment="1">
      <alignment horizontal="center" vertical="center" wrapText="1"/>
    </xf>
    <xf numFmtId="165" fontId="42" fillId="2" borderId="18" xfId="89" applyNumberFormat="1" applyFont="1" applyFill="1" applyBorder="1" applyAlignment="1">
      <alignment horizontal="center" vertical="center" wrapText="1"/>
    </xf>
    <xf numFmtId="0" fontId="57" fillId="5" borderId="1" xfId="89" applyFont="1" applyFill="1" applyBorder="1" applyAlignment="1">
      <alignment horizontal="center" vertical="center" wrapText="1"/>
    </xf>
    <xf numFmtId="0" fontId="57" fillId="5" borderId="1" xfId="89" applyFont="1" applyFill="1" applyBorder="1" applyAlignment="1">
      <alignment horizontal="left" vertical="center" wrapText="1"/>
    </xf>
    <xf numFmtId="165" fontId="57" fillId="5" borderId="1" xfId="89" applyNumberFormat="1" applyFont="1" applyFill="1" applyBorder="1" applyAlignment="1">
      <alignment horizontal="center" vertical="center" wrapText="1"/>
    </xf>
    <xf numFmtId="4" fontId="57" fillId="5" borderId="1" xfId="89" applyNumberFormat="1" applyFont="1" applyFill="1" applyBorder="1" applyAlignment="1">
      <alignment horizontal="center" vertical="center" wrapText="1"/>
    </xf>
    <xf numFmtId="0" fontId="57" fillId="5" borderId="6" xfId="89" applyFont="1" applyFill="1" applyBorder="1" applyAlignment="1">
      <alignment horizontal="center" vertical="center" wrapText="1"/>
    </xf>
    <xf numFmtId="0" fontId="57" fillId="5" borderId="0" xfId="89" applyFont="1" applyFill="1"/>
    <xf numFmtId="165" fontId="57" fillId="5" borderId="0" xfId="89" applyNumberFormat="1" applyFont="1" applyFill="1"/>
    <xf numFmtId="165" fontId="42" fillId="3" borderId="1" xfId="89" applyNumberFormat="1" applyFont="1" applyFill="1" applyBorder="1" applyAlignment="1"/>
    <xf numFmtId="165" fontId="42" fillId="3" borderId="1" xfId="89" applyNumberFormat="1" applyFont="1" applyFill="1" applyBorder="1"/>
    <xf numFmtId="165" fontId="42" fillId="3" borderId="1" xfId="89" applyNumberFormat="1" applyFont="1" applyFill="1" applyBorder="1" applyAlignment="1">
      <alignment vertical="center"/>
    </xf>
    <xf numFmtId="0" fontId="57" fillId="0" borderId="0" xfId="89" applyFont="1" applyFill="1" applyAlignment="1">
      <alignment horizontal="left" vertical="center"/>
    </xf>
    <xf numFmtId="0" fontId="123" fillId="11" borderId="1" xfId="89" applyFont="1" applyFill="1" applyBorder="1" applyAlignment="1">
      <alignment horizontal="center" wrapText="1"/>
    </xf>
    <xf numFmtId="0" fontId="123" fillId="11" borderId="1" xfId="89" applyFont="1" applyFill="1" applyBorder="1" applyAlignment="1">
      <alignment horizontal="center" vertical="center" wrapText="1"/>
    </xf>
    <xf numFmtId="0" fontId="89" fillId="11" borderId="1" xfId="89" applyFont="1" applyFill="1" applyBorder="1" applyAlignment="1">
      <alignment horizontal="left" vertical="center" wrapText="1"/>
    </xf>
    <xf numFmtId="165" fontId="89" fillId="11" borderId="1" xfId="89" applyNumberFormat="1" applyFont="1" applyFill="1" applyBorder="1" applyAlignment="1">
      <alignment horizontal="right" vertical="center" wrapText="1"/>
    </xf>
    <xf numFmtId="4" fontId="89" fillId="11" borderId="1" xfId="89" applyNumberFormat="1" applyFont="1" applyFill="1" applyBorder="1" applyAlignment="1">
      <alignment horizontal="right" vertical="center" wrapText="1"/>
    </xf>
    <xf numFmtId="0" fontId="123" fillId="11" borderId="1" xfId="89" applyFont="1" applyFill="1" applyBorder="1" applyAlignment="1">
      <alignment horizontal="center"/>
    </xf>
    <xf numFmtId="0" fontId="123" fillId="11" borderId="0" xfId="89" applyFont="1" applyFill="1" applyAlignment="1">
      <alignment horizontal="left" vertical="center"/>
    </xf>
    <xf numFmtId="0" fontId="123" fillId="11" borderId="0" xfId="89" applyFont="1" applyFill="1" applyAlignment="1">
      <alignment horizontal="center"/>
    </xf>
    <xf numFmtId="165" fontId="123" fillId="5" borderId="0" xfId="89" applyNumberFormat="1" applyFont="1" applyFill="1" applyAlignment="1">
      <alignment horizontal="center"/>
    </xf>
    <xf numFmtId="0" fontId="123" fillId="5" borderId="0" xfId="89" applyFont="1" applyFill="1" applyAlignment="1">
      <alignment horizontal="center"/>
    </xf>
    <xf numFmtId="0" fontId="123" fillId="0" borderId="0" xfId="89" applyFont="1"/>
    <xf numFmtId="0" fontId="123" fillId="0" borderId="0" xfId="89" applyFont="1" applyAlignment="1">
      <alignment horizontal="center" vertical="center"/>
    </xf>
    <xf numFmtId="0" fontId="123" fillId="0" borderId="0" xfId="89" applyFont="1" applyAlignment="1">
      <alignment horizontal="left" vertical="center"/>
    </xf>
    <xf numFmtId="165" fontId="123" fillId="0" borderId="0" xfId="89" applyNumberFormat="1" applyFont="1" applyAlignment="1">
      <alignment horizontal="right" vertical="center"/>
    </xf>
    <xf numFmtId="4" fontId="123" fillId="0" borderId="0" xfId="89" applyNumberFormat="1" applyFont="1" applyAlignment="1">
      <alignment horizontal="right" vertical="center"/>
    </xf>
    <xf numFmtId="165" fontId="123" fillId="0" borderId="0" xfId="89" applyNumberFormat="1" applyFont="1" applyFill="1" applyAlignment="1">
      <alignment horizontal="right" vertical="center"/>
    </xf>
    <xf numFmtId="0" fontId="123" fillId="0" borderId="0" xfId="89" applyFont="1" applyFill="1"/>
    <xf numFmtId="0" fontId="123" fillId="0" borderId="1" xfId="89" applyFont="1" applyFill="1" applyBorder="1" applyAlignment="1">
      <alignment horizontal="center" vertical="center"/>
    </xf>
    <xf numFmtId="0" fontId="123" fillId="0" borderId="1" xfId="89" applyFont="1" applyFill="1" applyBorder="1" applyAlignment="1">
      <alignment horizontal="left" vertical="center"/>
    </xf>
    <xf numFmtId="165" fontId="123" fillId="0" borderId="1" xfId="89" applyNumberFormat="1" applyFont="1" applyFill="1" applyBorder="1"/>
    <xf numFmtId="4" fontId="123" fillId="0" borderId="1" xfId="89" applyNumberFormat="1" applyFont="1" applyFill="1" applyBorder="1"/>
    <xf numFmtId="3" fontId="123" fillId="0" borderId="1" xfId="89" applyNumberFormat="1" applyFont="1" applyFill="1" applyBorder="1" applyAlignment="1">
      <alignment horizontal="center" vertical="center"/>
    </xf>
    <xf numFmtId="0" fontId="123" fillId="0" borderId="0" xfId="89" applyFont="1" applyFill="1" applyAlignment="1">
      <alignment horizontal="left" vertical="center"/>
    </xf>
    <xf numFmtId="0" fontId="42" fillId="0" borderId="1" xfId="89" applyFont="1" applyFill="1" applyBorder="1" applyAlignment="1">
      <alignment horizontal="left" vertical="center"/>
    </xf>
    <xf numFmtId="0" fontId="57" fillId="0" borderId="0" xfId="89" applyFont="1" applyAlignment="1">
      <alignment horizontal="center" vertical="center"/>
    </xf>
    <xf numFmtId="0" fontId="57" fillId="3" borderId="1" xfId="89" applyFont="1" applyFill="1" applyBorder="1" applyAlignment="1">
      <alignment horizontal="center" vertical="center"/>
    </xf>
    <xf numFmtId="165" fontId="57" fillId="0" borderId="0" xfId="89" applyNumberFormat="1" applyFont="1" applyAlignment="1">
      <alignment horizontal="center" vertical="center"/>
    </xf>
    <xf numFmtId="4" fontId="42" fillId="0" borderId="1" xfId="89" applyNumberFormat="1" applyFont="1" applyFill="1" applyBorder="1" applyAlignment="1">
      <alignment horizontal="center"/>
    </xf>
    <xf numFmtId="180" fontId="42" fillId="0" borderId="1" xfId="89" applyNumberFormat="1" applyFont="1" applyFill="1" applyBorder="1" applyAlignment="1">
      <alignment horizontal="center" vertical="center"/>
    </xf>
    <xf numFmtId="165" fontId="42" fillId="0" borderId="0" xfId="89" applyNumberFormat="1" applyFont="1" applyFill="1"/>
    <xf numFmtId="4" fontId="42" fillId="0" borderId="0" xfId="89" applyNumberFormat="1" applyFont="1" applyFill="1"/>
    <xf numFmtId="165" fontId="42" fillId="0" borderId="0" xfId="89" applyNumberFormat="1" applyFont="1" applyFill="1" applyAlignment="1">
      <alignment horizontal="right" vertical="center"/>
    </xf>
    <xf numFmtId="0" fontId="42" fillId="0" borderId="0" xfId="89" applyFont="1" applyAlignment="1">
      <alignment horizontal="center" vertical="center"/>
    </xf>
    <xf numFmtId="165" fontId="42" fillId="0" borderId="0" xfId="89" applyNumberFormat="1" applyFont="1" applyAlignment="1">
      <alignment horizontal="center" vertical="center"/>
    </xf>
    <xf numFmtId="180" fontId="42" fillId="0" borderId="0" xfId="89" applyNumberFormat="1" applyFont="1" applyFill="1"/>
    <xf numFmtId="49" fontId="42" fillId="0" borderId="0" xfId="89" applyNumberFormat="1" applyFont="1" applyFill="1"/>
    <xf numFmtId="49" fontId="51" fillId="0" borderId="0" xfId="29" applyNumberFormat="1" applyFont="1" applyFill="1"/>
    <xf numFmtId="0" fontId="46" fillId="26" borderId="0" xfId="29" applyFont="1" applyFill="1" applyAlignment="1">
      <alignment vertical="center" wrapText="1"/>
    </xf>
    <xf numFmtId="1" fontId="46" fillId="26" borderId="1" xfId="29" applyNumberFormat="1" applyFont="1" applyFill="1" applyBorder="1" applyAlignment="1">
      <alignment vertical="center" wrapText="1"/>
    </xf>
    <xf numFmtId="0" fontId="46" fillId="26" borderId="1" xfId="29" applyFont="1" applyFill="1" applyBorder="1" applyAlignment="1">
      <alignment vertical="center" wrapText="1"/>
    </xf>
    <xf numFmtId="165" fontId="46" fillId="26" borderId="1" xfId="29" applyNumberFormat="1" applyFont="1" applyFill="1" applyBorder="1" applyAlignment="1">
      <alignment vertical="center" wrapText="1"/>
    </xf>
    <xf numFmtId="0" fontId="46" fillId="26" borderId="0" xfId="29" applyFont="1" applyFill="1" applyAlignment="1"/>
    <xf numFmtId="0" fontId="42" fillId="26" borderId="0" xfId="89" applyFont="1" applyFill="1"/>
    <xf numFmtId="0" fontId="42" fillId="26" borderId="1" xfId="89" applyFont="1" applyFill="1" applyBorder="1" applyAlignment="1">
      <alignment horizontal="center" vertical="center"/>
    </xf>
    <xf numFmtId="0" fontId="42" fillId="26" borderId="1" xfId="89" applyFont="1" applyFill="1" applyBorder="1" applyAlignment="1">
      <alignment horizontal="left" vertical="center"/>
    </xf>
    <xf numFmtId="165" fontId="42" fillId="26" borderId="1" xfId="89" applyNumberFormat="1" applyFont="1" applyFill="1" applyBorder="1" applyAlignment="1">
      <alignment horizontal="center"/>
    </xf>
    <xf numFmtId="4" fontId="42" fillId="26" borderId="1" xfId="89" applyNumberFormat="1" applyFont="1" applyFill="1" applyBorder="1" applyAlignment="1">
      <alignment horizontal="center"/>
    </xf>
    <xf numFmtId="165" fontId="42" fillId="26" borderId="1" xfId="89" applyNumberFormat="1" applyFont="1" applyFill="1" applyBorder="1" applyAlignment="1">
      <alignment horizontal="center" vertical="center"/>
    </xf>
    <xf numFmtId="0" fontId="42" fillId="26" borderId="0" xfId="89" applyFont="1" applyFill="1" applyAlignment="1">
      <alignment horizontal="left" vertical="center"/>
    </xf>
    <xf numFmtId="165" fontId="42" fillId="26" borderId="0" xfId="89" applyNumberFormat="1" applyFont="1" applyFill="1"/>
    <xf numFmtId="165" fontId="40" fillId="0" borderId="1" xfId="29" applyNumberFormat="1" applyFont="1" applyFill="1" applyBorder="1"/>
    <xf numFmtId="1" fontId="40" fillId="0" borderId="1" xfId="29" applyNumberFormat="1" applyFont="1" applyFill="1" applyBorder="1" applyAlignment="1">
      <alignment horizontal="center"/>
    </xf>
    <xf numFmtId="14" fontId="42" fillId="0" borderId="0" xfId="89" applyNumberFormat="1" applyFont="1" applyFill="1"/>
    <xf numFmtId="1" fontId="19" fillId="6" borderId="1" xfId="29" applyNumberFormat="1" applyFont="1" applyFill="1" applyBorder="1" applyAlignment="1">
      <alignment horizontal="center" vertical="center" wrapText="1"/>
    </xf>
    <xf numFmtId="2" fontId="19" fillId="6" borderId="1" xfId="29" applyNumberFormat="1" applyFont="1" applyFill="1" applyBorder="1" applyAlignment="1">
      <alignment horizontal="center" vertical="center" wrapText="1"/>
    </xf>
    <xf numFmtId="186" fontId="41" fillId="0" borderId="1" xfId="29" applyNumberFormat="1" applyFont="1" applyFill="1" applyBorder="1"/>
    <xf numFmtId="0" fontId="42" fillId="6" borderId="0" xfId="89" applyFont="1" applyFill="1"/>
    <xf numFmtId="0" fontId="42" fillId="6" borderId="1" xfId="89" applyFont="1" applyFill="1" applyBorder="1" applyAlignment="1">
      <alignment horizontal="center" vertical="center"/>
    </xf>
    <xf numFmtId="0" fontId="42" fillId="6" borderId="1" xfId="89" applyFont="1" applyFill="1" applyBorder="1" applyAlignment="1">
      <alignment horizontal="left" vertical="center"/>
    </xf>
    <xf numFmtId="165" fontId="42" fillId="6" borderId="1" xfId="89" applyNumberFormat="1" applyFont="1" applyFill="1" applyBorder="1" applyAlignment="1">
      <alignment horizontal="center" vertical="center"/>
    </xf>
    <xf numFmtId="0" fontId="42" fillId="6" borderId="0" xfId="89" applyFont="1" applyFill="1" applyAlignment="1">
      <alignment horizontal="left" vertical="center"/>
    </xf>
    <xf numFmtId="0" fontId="42" fillId="2" borderId="0" xfId="89" applyFont="1" applyFill="1"/>
    <xf numFmtId="0" fontId="42" fillId="2" borderId="1" xfId="89" applyFont="1" applyFill="1" applyBorder="1" applyAlignment="1">
      <alignment horizontal="center" vertical="center"/>
    </xf>
    <xf numFmtId="0" fontId="42" fillId="2" borderId="1" xfId="89" applyFont="1" applyFill="1" applyBorder="1" applyAlignment="1">
      <alignment horizontal="left" vertical="center"/>
    </xf>
    <xf numFmtId="0" fontId="42" fillId="2" borderId="0" xfId="89" applyFont="1" applyFill="1" applyAlignment="1">
      <alignment horizontal="left" vertical="center"/>
    </xf>
    <xf numFmtId="0" fontId="42" fillId="21" borderId="0" xfId="89" applyFont="1" applyFill="1"/>
    <xf numFmtId="0" fontId="42" fillId="21" borderId="1" xfId="89" applyFont="1" applyFill="1" applyBorder="1" applyAlignment="1">
      <alignment horizontal="center" vertical="center"/>
    </xf>
    <xf numFmtId="0" fontId="42" fillId="21" borderId="1" xfId="89" applyFont="1" applyFill="1" applyBorder="1" applyAlignment="1">
      <alignment horizontal="left" vertical="center"/>
    </xf>
    <xf numFmtId="165" fontId="42" fillId="21" borderId="1" xfId="89" applyNumberFormat="1" applyFont="1" applyFill="1" applyBorder="1" applyAlignment="1">
      <alignment horizontal="center" vertical="center"/>
    </xf>
    <xf numFmtId="0" fontId="42" fillId="21" borderId="0" xfId="89" applyFont="1" applyFill="1" applyAlignment="1">
      <alignment horizontal="left" vertical="center"/>
    </xf>
    <xf numFmtId="165" fontId="19" fillId="2" borderId="0" xfId="29" applyNumberFormat="1" applyFont="1" applyFill="1"/>
    <xf numFmtId="165" fontId="19" fillId="2" borderId="0" xfId="29" applyNumberFormat="1" applyFont="1" applyFill="1" applyAlignment="1">
      <alignment horizontal="center" vertical="center"/>
    </xf>
    <xf numFmtId="165" fontId="19" fillId="2" borderId="0" xfId="29" applyNumberFormat="1" applyFont="1" applyFill="1" applyAlignment="1">
      <alignment horizontal="center"/>
    </xf>
    <xf numFmtId="165" fontId="40" fillId="2" borderId="0" xfId="29" applyNumberFormat="1" applyFont="1" applyFill="1" applyAlignment="1">
      <alignment horizontal="center"/>
    </xf>
    <xf numFmtId="165" fontId="41" fillId="2" borderId="0" xfId="29" applyNumberFormat="1" applyFont="1" applyFill="1" applyAlignment="1">
      <alignment horizontal="center"/>
    </xf>
    <xf numFmtId="0" fontId="50" fillId="0" borderId="0" xfId="86" applyFont="1" applyAlignment="1">
      <alignment wrapText="1"/>
    </xf>
    <xf numFmtId="3" fontId="50" fillId="0" borderId="0" xfId="86" applyNumberFormat="1" applyFont="1" applyAlignment="1">
      <alignment horizontal="center"/>
    </xf>
    <xf numFmtId="165" fontId="50" fillId="0" borderId="0" xfId="86" applyNumberFormat="1" applyFont="1" applyAlignment="1">
      <alignment horizontal="center"/>
    </xf>
    <xf numFmtId="165" fontId="63" fillId="2" borderId="0" xfId="86" applyNumberFormat="1" applyFont="1" applyFill="1" applyAlignment="1">
      <alignment horizontal="center"/>
    </xf>
    <xf numFmtId="165" fontId="63" fillId="0" borderId="0" xfId="86" applyNumberFormat="1" applyFont="1" applyAlignment="1">
      <alignment horizontal="center"/>
    </xf>
    <xf numFmtId="165" fontId="50" fillId="2" borderId="0" xfId="86" applyNumberFormat="1" applyFont="1" applyFill="1" applyAlignment="1">
      <alignment horizontal="center"/>
    </xf>
    <xf numFmtId="0" fontId="50" fillId="0" borderId="0" xfId="86" applyFont="1" applyAlignment="1">
      <alignment horizontal="right" wrapText="1"/>
    </xf>
    <xf numFmtId="165" fontId="50" fillId="2" borderId="1" xfId="86" applyNumberFormat="1" applyFont="1" applyFill="1" applyBorder="1" applyAlignment="1">
      <alignment horizontal="center"/>
    </xf>
    <xf numFmtId="165" fontId="42" fillId="0" borderId="4" xfId="86" applyNumberFormat="1" applyFont="1" applyFill="1" applyBorder="1" applyAlignment="1">
      <alignment horizontal="center" vertical="center" wrapText="1"/>
    </xf>
    <xf numFmtId="165" fontId="57" fillId="2" borderId="4" xfId="86" applyNumberFormat="1" applyFont="1" applyFill="1" applyBorder="1" applyAlignment="1">
      <alignment horizontal="center" vertical="center" wrapText="1"/>
    </xf>
    <xf numFmtId="165" fontId="57" fillId="0" borderId="4" xfId="86" applyNumberFormat="1" applyFont="1" applyFill="1" applyBorder="1" applyAlignment="1">
      <alignment horizontal="center" vertical="center" wrapText="1"/>
    </xf>
    <xf numFmtId="165" fontId="57" fillId="0" borderId="52" xfId="86" applyNumberFormat="1" applyFont="1" applyFill="1" applyBorder="1" applyAlignment="1">
      <alignment horizontal="center" vertical="center" wrapText="1"/>
    </xf>
    <xf numFmtId="0" fontId="50" fillId="0" borderId="0" xfId="86" applyFont="1" applyFill="1"/>
    <xf numFmtId="3" fontId="42" fillId="0" borderId="1" xfId="86" applyNumberFormat="1" applyFont="1" applyBorder="1" applyAlignment="1">
      <alignment horizontal="center" vertical="center" wrapText="1"/>
    </xf>
    <xf numFmtId="165" fontId="42" fillId="0" borderId="1" xfId="86" applyNumberFormat="1" applyFont="1" applyBorder="1" applyAlignment="1">
      <alignment horizontal="center" vertical="center" wrapText="1"/>
    </xf>
    <xf numFmtId="165" fontId="57" fillId="2" borderId="1" xfId="86" applyNumberFormat="1" applyFont="1" applyFill="1" applyBorder="1" applyAlignment="1">
      <alignment horizontal="center" vertical="center" wrapText="1"/>
    </xf>
    <xf numFmtId="1" fontId="57" fillId="0" borderId="1" xfId="86" applyNumberFormat="1" applyFont="1" applyBorder="1" applyAlignment="1">
      <alignment horizontal="center" vertical="center" wrapText="1"/>
    </xf>
    <xf numFmtId="0" fontId="63" fillId="14" borderId="1" xfId="86" applyFont="1" applyFill="1" applyBorder="1" applyAlignment="1">
      <alignment horizontal="center" vertical="center"/>
    </xf>
    <xf numFmtId="0" fontId="57" fillId="14" borderId="1" xfId="86" applyFont="1" applyFill="1" applyBorder="1" applyAlignment="1">
      <alignment horizontal="left" vertical="center" wrapText="1"/>
    </xf>
    <xf numFmtId="3" fontId="42" fillId="14" borderId="1" xfId="86" applyNumberFormat="1" applyFont="1" applyFill="1" applyBorder="1" applyAlignment="1">
      <alignment horizontal="center" vertical="center" wrapText="1"/>
    </xf>
    <xf numFmtId="165" fontId="42" fillId="14" borderId="1" xfId="86" applyNumberFormat="1" applyFont="1" applyFill="1" applyBorder="1" applyAlignment="1">
      <alignment horizontal="center" vertical="center" wrapText="1"/>
    </xf>
    <xf numFmtId="165" fontId="57" fillId="14" borderId="1" xfId="86" applyNumberFormat="1" applyFont="1" applyFill="1" applyBorder="1" applyAlignment="1">
      <alignment horizontal="center" vertical="center" wrapText="1"/>
    </xf>
    <xf numFmtId="165" fontId="42" fillId="14" borderId="7" xfId="86" applyNumberFormat="1" applyFont="1" applyFill="1" applyBorder="1" applyAlignment="1">
      <alignment horizontal="center" vertical="center" wrapText="1"/>
    </xf>
    <xf numFmtId="165" fontId="57" fillId="14" borderId="7" xfId="86" applyNumberFormat="1" applyFont="1" applyFill="1" applyBorder="1" applyAlignment="1">
      <alignment horizontal="center" vertical="center" wrapText="1"/>
    </xf>
    <xf numFmtId="0" fontId="50" fillId="14" borderId="1" xfId="86" applyFont="1" applyFill="1" applyBorder="1" applyAlignment="1">
      <alignment horizontal="center" vertical="center"/>
    </xf>
    <xf numFmtId="0" fontId="63" fillId="2" borderId="1" xfId="86" applyFont="1" applyFill="1" applyBorder="1" applyAlignment="1">
      <alignment horizontal="center" vertical="center"/>
    </xf>
    <xf numFmtId="0" fontId="42" fillId="2" borderId="1" xfId="86" applyFont="1" applyFill="1" applyBorder="1" applyAlignment="1">
      <alignment horizontal="left" vertical="center" wrapText="1"/>
    </xf>
    <xf numFmtId="3" fontId="42" fillId="2" borderId="1" xfId="86" applyNumberFormat="1" applyFont="1" applyFill="1" applyBorder="1" applyAlignment="1">
      <alignment horizontal="center" vertical="center" wrapText="1"/>
    </xf>
    <xf numFmtId="165" fontId="42" fillId="2" borderId="1" xfId="86" applyNumberFormat="1" applyFont="1" applyFill="1" applyBorder="1" applyAlignment="1">
      <alignment horizontal="center" vertical="center" wrapText="1"/>
    </xf>
    <xf numFmtId="165" fontId="42" fillId="2" borderId="7" xfId="86" applyNumberFormat="1" applyFont="1" applyFill="1" applyBorder="1" applyAlignment="1">
      <alignment horizontal="center" vertical="center" wrapText="1"/>
    </xf>
    <xf numFmtId="165" fontId="57" fillId="2" borderId="7" xfId="86" applyNumberFormat="1" applyFont="1" applyFill="1" applyBorder="1" applyAlignment="1">
      <alignment horizontal="center" vertical="center" wrapText="1"/>
    </xf>
    <xf numFmtId="165" fontId="57" fillId="0" borderId="7" xfId="86" applyNumberFormat="1" applyFont="1" applyFill="1" applyBorder="1" applyAlignment="1">
      <alignment horizontal="center" vertical="center" wrapText="1"/>
    </xf>
    <xf numFmtId="0" fontId="42" fillId="0" borderId="1" xfId="86" applyFont="1" applyFill="1" applyBorder="1" applyAlignment="1">
      <alignment horizontal="left" vertical="center" wrapText="1"/>
    </xf>
    <xf numFmtId="3" fontId="42" fillId="0" borderId="1" xfId="86" applyNumberFormat="1" applyFont="1" applyFill="1" applyBorder="1" applyAlignment="1">
      <alignment horizontal="center" vertical="center" wrapText="1"/>
    </xf>
    <xf numFmtId="165" fontId="42" fillId="0" borderId="1" xfId="86" applyNumberFormat="1" applyFont="1" applyFill="1" applyBorder="1" applyAlignment="1">
      <alignment horizontal="center" vertical="center" wrapText="1"/>
    </xf>
    <xf numFmtId="165" fontId="42" fillId="0" borderId="7" xfId="86" applyNumberFormat="1" applyFont="1" applyFill="1" applyBorder="1" applyAlignment="1">
      <alignment horizontal="center" vertical="center" wrapText="1"/>
    </xf>
    <xf numFmtId="0" fontId="42" fillId="0" borderId="1" xfId="86" applyFont="1" applyBorder="1" applyAlignment="1">
      <alignment horizontal="center" vertical="center" wrapText="1"/>
    </xf>
    <xf numFmtId="0" fontId="42" fillId="0" borderId="1" xfId="86" applyFont="1" applyBorder="1" applyAlignment="1">
      <alignment horizontal="left" vertical="center" wrapText="1"/>
    </xf>
    <xf numFmtId="165" fontId="42" fillId="0" borderId="7" xfId="86" applyNumberFormat="1" applyFont="1" applyBorder="1" applyAlignment="1">
      <alignment horizontal="center" vertical="center" wrapText="1"/>
    </xf>
    <xf numFmtId="0" fontId="50" fillId="2" borderId="0" xfId="86" applyFont="1" applyFill="1"/>
    <xf numFmtId="0" fontId="50" fillId="0" borderId="1" xfId="86" applyFont="1" applyBorder="1" applyAlignment="1">
      <alignment horizontal="center" vertical="center"/>
    </xf>
    <xf numFmtId="0" fontId="57" fillId="14" borderId="1" xfId="86" applyFont="1" applyFill="1" applyBorder="1" applyAlignment="1">
      <alignment horizontal="center" vertical="center" wrapText="1"/>
    </xf>
    <xf numFmtId="0" fontId="57" fillId="2" borderId="1" xfId="86" applyFont="1" applyFill="1" applyBorder="1" applyAlignment="1">
      <alignment horizontal="center" vertical="center" wrapText="1"/>
    </xf>
    <xf numFmtId="0" fontId="50" fillId="2" borderId="1" xfId="86" applyFont="1" applyFill="1" applyBorder="1" applyAlignment="1">
      <alignment horizontal="center" vertical="center"/>
    </xf>
    <xf numFmtId="0" fontId="57" fillId="2" borderId="7" xfId="86" applyFont="1" applyFill="1" applyBorder="1" applyAlignment="1">
      <alignment horizontal="center" vertical="center" wrapText="1"/>
    </xf>
    <xf numFmtId="0" fontId="42" fillId="2" borderId="7" xfId="86" applyFont="1" applyFill="1" applyBorder="1" applyAlignment="1">
      <alignment horizontal="left" vertical="center" wrapText="1"/>
    </xf>
    <xf numFmtId="3" fontId="42" fillId="2" borderId="7" xfId="86" applyNumberFormat="1" applyFont="1" applyFill="1" applyBorder="1" applyAlignment="1">
      <alignment horizontal="center" vertical="center" wrapText="1"/>
    </xf>
    <xf numFmtId="0" fontId="50" fillId="2" borderId="7" xfId="86" applyFont="1" applyFill="1" applyBorder="1" applyAlignment="1">
      <alignment horizontal="center" vertical="center"/>
    </xf>
    <xf numFmtId="0" fontId="42" fillId="3" borderId="1" xfId="86" applyFont="1" applyFill="1" applyBorder="1" applyAlignment="1">
      <alignment horizontal="center" vertical="center" wrapText="1"/>
    </xf>
    <xf numFmtId="0" fontId="57" fillId="3" borderId="1" xfId="86" applyFont="1" applyFill="1" applyBorder="1" applyAlignment="1">
      <alignment horizontal="center" vertical="center" wrapText="1"/>
    </xf>
    <xf numFmtId="3" fontId="42" fillId="3" borderId="1" xfId="86" applyNumberFormat="1" applyFont="1" applyFill="1" applyBorder="1" applyAlignment="1">
      <alignment horizontal="center" vertical="center" wrapText="1"/>
    </xf>
    <xf numFmtId="165" fontId="42" fillId="3" borderId="1" xfId="86" applyNumberFormat="1" applyFont="1" applyFill="1" applyBorder="1" applyAlignment="1">
      <alignment horizontal="center" vertical="center" wrapText="1"/>
    </xf>
    <xf numFmtId="165" fontId="57" fillId="3" borderId="1" xfId="86" applyNumberFormat="1" applyFont="1" applyFill="1" applyBorder="1" applyAlignment="1">
      <alignment horizontal="center" vertical="center" wrapText="1"/>
    </xf>
    <xf numFmtId="0" fontId="42" fillId="2" borderId="1" xfId="86" applyFont="1" applyFill="1" applyBorder="1" applyAlignment="1">
      <alignment horizontal="center" vertical="center" wrapText="1"/>
    </xf>
    <xf numFmtId="165" fontId="57" fillId="0" borderId="7" xfId="86" applyNumberFormat="1" applyFont="1" applyBorder="1" applyAlignment="1">
      <alignment horizontal="center" vertical="center" wrapText="1"/>
    </xf>
    <xf numFmtId="0" fontId="50" fillId="3" borderId="1" xfId="86" applyFont="1" applyFill="1" applyBorder="1" applyAlignment="1">
      <alignment horizontal="center" vertical="center"/>
    </xf>
    <xf numFmtId="0" fontId="50" fillId="0" borderId="7" xfId="86" applyFont="1" applyBorder="1" applyAlignment="1">
      <alignment horizontal="center" vertical="center"/>
    </xf>
    <xf numFmtId="0" fontId="42" fillId="0" borderId="1" xfId="86" applyFont="1" applyBorder="1" applyAlignment="1">
      <alignment horizontal="left" vertical="center"/>
    </xf>
    <xf numFmtId="3" fontId="57" fillId="14" borderId="1" xfId="86" applyNumberFormat="1" applyFont="1" applyFill="1" applyBorder="1" applyAlignment="1">
      <alignment horizontal="center" vertical="center" wrapText="1"/>
    </xf>
    <xf numFmtId="0" fontId="50" fillId="2" borderId="1" xfId="86" applyFont="1" applyFill="1" applyBorder="1" applyAlignment="1">
      <alignment vertical="center" wrapText="1"/>
    </xf>
    <xf numFmtId="0" fontId="50" fillId="0" borderId="1" xfId="86" applyFont="1" applyBorder="1"/>
    <xf numFmtId="3" fontId="50" fillId="0" borderId="1" xfId="86" applyNumberFormat="1" applyFont="1" applyBorder="1" applyAlignment="1">
      <alignment horizontal="center"/>
    </xf>
    <xf numFmtId="165" fontId="50" fillId="0" borderId="1" xfId="86" applyNumberFormat="1" applyFont="1" applyBorder="1" applyAlignment="1">
      <alignment horizontal="center"/>
    </xf>
    <xf numFmtId="0" fontId="50" fillId="2" borderId="1" xfId="86" applyFont="1" applyFill="1" applyBorder="1" applyAlignment="1">
      <alignment horizontal="center" vertical="center" wrapText="1"/>
    </xf>
    <xf numFmtId="0" fontId="134" fillId="2" borderId="1" xfId="86" applyFont="1" applyFill="1" applyBorder="1" applyAlignment="1">
      <alignment horizontal="center" vertical="center" wrapText="1"/>
    </xf>
    <xf numFmtId="0" fontId="137" fillId="2" borderId="1" xfId="86" applyFont="1" applyFill="1" applyBorder="1" applyAlignment="1">
      <alignment horizontal="center" vertical="center" wrapText="1"/>
    </xf>
    <xf numFmtId="0" fontId="134" fillId="2" borderId="7" xfId="86" applyFont="1" applyFill="1" applyBorder="1" applyAlignment="1">
      <alignment horizontal="center" vertical="center" wrapText="1"/>
    </xf>
    <xf numFmtId="0" fontId="57" fillId="2" borderId="0" xfId="86" applyFont="1" applyFill="1" applyBorder="1" applyAlignment="1">
      <alignment horizontal="center" vertical="center" wrapText="1"/>
    </xf>
    <xf numFmtId="3" fontId="42" fillId="2" borderId="0" xfId="86" applyNumberFormat="1" applyFont="1" applyFill="1" applyBorder="1" applyAlignment="1">
      <alignment horizontal="center" vertical="center" wrapText="1"/>
    </xf>
    <xf numFmtId="165" fontId="42" fillId="2" borderId="0" xfId="86" applyNumberFormat="1" applyFont="1" applyFill="1" applyBorder="1" applyAlignment="1">
      <alignment horizontal="center" vertical="center" wrapText="1"/>
    </xf>
    <xf numFmtId="165" fontId="57" fillId="2" borderId="0" xfId="86" applyNumberFormat="1" applyFont="1" applyFill="1" applyBorder="1" applyAlignment="1">
      <alignment horizontal="center" vertical="center" wrapText="1"/>
    </xf>
    <xf numFmtId="0" fontId="52" fillId="0" borderId="0" xfId="86" applyFont="1"/>
    <xf numFmtId="165" fontId="52" fillId="0" borderId="0" xfId="86" applyNumberFormat="1" applyFont="1" applyAlignment="1">
      <alignment horizontal="center"/>
    </xf>
    <xf numFmtId="165" fontId="190" fillId="2" borderId="0" xfId="86" applyNumberFormat="1" applyFont="1" applyFill="1" applyAlignment="1">
      <alignment horizontal="center"/>
    </xf>
    <xf numFmtId="3" fontId="52" fillId="0" borderId="0" xfId="86" applyNumberFormat="1" applyFont="1" applyAlignment="1">
      <alignment horizontal="center"/>
    </xf>
    <xf numFmtId="165" fontId="190" fillId="0" borderId="0" xfId="86" applyNumberFormat="1" applyFont="1" applyAlignment="1">
      <alignment horizontal="center"/>
    </xf>
    <xf numFmtId="0" fontId="52" fillId="2" borderId="0" xfId="86" applyFont="1" applyFill="1" applyAlignment="1">
      <alignment horizontal="center"/>
    </xf>
    <xf numFmtId="0" fontId="65" fillId="0" borderId="0" xfId="86" applyFont="1"/>
    <xf numFmtId="165" fontId="65" fillId="0" borderId="0" xfId="86" applyNumberFormat="1" applyFont="1" applyAlignment="1">
      <alignment horizontal="center"/>
    </xf>
    <xf numFmtId="165" fontId="66" fillId="2" borderId="0" xfId="86" applyNumberFormat="1" applyFont="1" applyFill="1" applyAlignment="1">
      <alignment horizontal="center"/>
    </xf>
    <xf numFmtId="3" fontId="65" fillId="0" borderId="0" xfId="86" applyNumberFormat="1" applyFont="1" applyAlignment="1">
      <alignment horizontal="center"/>
    </xf>
    <xf numFmtId="165" fontId="66" fillId="0" borderId="0" xfId="86" applyNumberFormat="1" applyFont="1" applyAlignment="1">
      <alignment horizontal="center"/>
    </xf>
    <xf numFmtId="0" fontId="65" fillId="2" borderId="0" xfId="86" applyFont="1" applyFill="1" applyAlignment="1">
      <alignment horizontal="center"/>
    </xf>
    <xf numFmtId="3" fontId="65" fillId="2" borderId="0" xfId="86" applyNumberFormat="1" applyFont="1" applyFill="1" applyAlignment="1">
      <alignment horizontal="center"/>
    </xf>
    <xf numFmtId="165" fontId="65" fillId="2" borderId="0" xfId="86" applyNumberFormat="1" applyFont="1" applyFill="1" applyAlignment="1">
      <alignment horizontal="center"/>
    </xf>
    <xf numFmtId="165" fontId="63" fillId="14" borderId="0" xfId="86" applyNumberFormat="1" applyFont="1" applyFill="1" applyAlignment="1">
      <alignment horizontal="center"/>
    </xf>
    <xf numFmtId="165" fontId="50" fillId="14" borderId="0" xfId="86" applyNumberFormat="1" applyFont="1" applyFill="1" applyAlignment="1">
      <alignment horizontal="center"/>
    </xf>
    <xf numFmtId="14" fontId="50" fillId="0" borderId="0" xfId="86" applyNumberFormat="1" applyFont="1"/>
    <xf numFmtId="0" fontId="57" fillId="2" borderId="0" xfId="86" applyFont="1" applyFill="1" applyBorder="1" applyAlignment="1">
      <alignment wrapText="1"/>
    </xf>
    <xf numFmtId="0" fontId="57" fillId="2" borderId="0" xfId="86" applyFont="1" applyFill="1" applyBorder="1" applyAlignment="1">
      <alignment horizontal="center" vertical="center"/>
    </xf>
    <xf numFmtId="0" fontId="42" fillId="2" borderId="0" xfId="86" applyFont="1" applyFill="1"/>
    <xf numFmtId="1" fontId="42" fillId="2" borderId="1" xfId="86" applyNumberFormat="1" applyFont="1" applyFill="1" applyBorder="1" applyAlignment="1">
      <alignment horizontal="center" vertical="center" wrapText="1"/>
    </xf>
    <xf numFmtId="0" fontId="42" fillId="2" borderId="1" xfId="89" applyNumberFormat="1" applyFont="1" applyFill="1" applyBorder="1" applyAlignment="1" applyProtection="1">
      <alignment horizontal="center" wrapText="1"/>
    </xf>
    <xf numFmtId="0" fontId="42" fillId="2" borderId="1" xfId="89" applyFont="1" applyFill="1" applyBorder="1" applyAlignment="1">
      <alignment horizontal="left" vertical="center" wrapText="1"/>
    </xf>
    <xf numFmtId="0" fontId="42" fillId="2" borderId="1" xfId="89" applyFont="1" applyFill="1" applyBorder="1" applyAlignment="1">
      <alignment horizontal="right" vertical="center" wrapText="1"/>
    </xf>
    <xf numFmtId="4" fontId="42" fillId="2" borderId="1" xfId="89" applyNumberFormat="1" applyFont="1" applyFill="1" applyBorder="1" applyAlignment="1">
      <alignment horizontal="right" vertical="center" wrapText="1"/>
    </xf>
    <xf numFmtId="165" fontId="42" fillId="2" borderId="1" xfId="89" applyNumberFormat="1" applyFont="1" applyFill="1" applyBorder="1" applyAlignment="1">
      <alignment horizontal="right" vertical="center"/>
    </xf>
    <xf numFmtId="3" fontId="19" fillId="26" borderId="1" xfId="29" applyNumberFormat="1" applyFont="1" applyFill="1" applyBorder="1" applyAlignment="1">
      <alignment horizontal="center" vertical="center" wrapText="1"/>
    </xf>
    <xf numFmtId="175" fontId="46" fillId="26" borderId="1" xfId="29" applyNumberFormat="1" applyFont="1" applyFill="1" applyBorder="1" applyAlignment="1">
      <alignment vertical="center" wrapText="1"/>
    </xf>
    <xf numFmtId="0" fontId="20" fillId="26" borderId="1" xfId="29" applyFont="1" applyFill="1" applyBorder="1" applyAlignment="1">
      <alignment horizontal="center" vertical="center" wrapText="1"/>
    </xf>
    <xf numFmtId="178" fontId="20" fillId="26" borderId="1" xfId="37" applyNumberFormat="1" applyFont="1" applyFill="1" applyBorder="1" applyAlignment="1">
      <alignment horizontal="left" vertical="center" wrapText="1"/>
    </xf>
    <xf numFmtId="49" fontId="20" fillId="26" borderId="1" xfId="37" applyNumberFormat="1" applyFont="1" applyFill="1" applyBorder="1" applyAlignment="1">
      <alignment horizontal="center" vertical="center" wrapText="1"/>
    </xf>
    <xf numFmtId="165" fontId="20" fillId="26" borderId="1" xfId="26" applyNumberFormat="1" applyFont="1" applyFill="1" applyBorder="1" applyAlignment="1">
      <alignment horizontal="right" vertical="center" wrapText="1"/>
    </xf>
    <xf numFmtId="165" fontId="20" fillId="26" borderId="1" xfId="26" applyNumberFormat="1" applyFont="1" applyFill="1" applyBorder="1" applyAlignment="1">
      <alignment horizontal="center" vertical="center" wrapText="1"/>
    </xf>
    <xf numFmtId="0" fontId="19" fillId="26" borderId="1" xfId="38" applyFont="1" applyFill="1" applyBorder="1" applyAlignment="1">
      <alignment wrapText="1"/>
    </xf>
    <xf numFmtId="0" fontId="20" fillId="26" borderId="0" xfId="29" applyFont="1" applyFill="1" applyAlignment="1">
      <alignment horizontal="left" vertical="center"/>
    </xf>
    <xf numFmtId="0" fontId="20" fillId="26" borderId="0" xfId="29" applyFont="1" applyFill="1"/>
    <xf numFmtId="0" fontId="40" fillId="26" borderId="0" xfId="29" applyFont="1" applyFill="1"/>
    <xf numFmtId="165" fontId="20" fillId="26" borderId="1" xfId="37" applyNumberFormat="1" applyFont="1" applyFill="1" applyBorder="1" applyAlignment="1">
      <alignment horizontal="right" vertical="center"/>
    </xf>
    <xf numFmtId="165" fontId="20" fillId="26" borderId="1" xfId="37" applyNumberFormat="1" applyFont="1" applyFill="1" applyBorder="1" applyAlignment="1">
      <alignment horizontal="right" vertical="center" wrapText="1"/>
    </xf>
    <xf numFmtId="165" fontId="20" fillId="26" borderId="1" xfId="38" applyNumberFormat="1" applyFont="1" applyFill="1" applyBorder="1" applyAlignment="1">
      <alignment horizontal="right" vertical="center" wrapText="1"/>
    </xf>
    <xf numFmtId="165" fontId="20" fillId="26" borderId="1" xfId="38" applyNumberFormat="1" applyFont="1" applyFill="1" applyBorder="1" applyAlignment="1">
      <alignment horizontal="center" vertical="center" wrapText="1"/>
    </xf>
    <xf numFmtId="0" fontId="89" fillId="21" borderId="1" xfId="86" applyFont="1" applyFill="1" applyBorder="1" applyAlignment="1">
      <alignment horizontal="left" vertical="center" wrapText="1"/>
    </xf>
    <xf numFmtId="3" fontId="123" fillId="21" borderId="1" xfId="86" applyNumberFormat="1" applyFont="1" applyFill="1" applyBorder="1" applyAlignment="1">
      <alignment horizontal="center" vertical="center" wrapText="1"/>
    </xf>
    <xf numFmtId="165" fontId="123" fillId="21" borderId="1" xfId="86" applyNumberFormat="1" applyFont="1" applyFill="1" applyBorder="1" applyAlignment="1">
      <alignment horizontal="center" vertical="center" wrapText="1"/>
    </xf>
    <xf numFmtId="165" fontId="89" fillId="21" borderId="1" xfId="86" applyNumberFormat="1" applyFont="1" applyFill="1" applyBorder="1" applyAlignment="1">
      <alignment horizontal="center" vertical="center" wrapText="1"/>
    </xf>
    <xf numFmtId="0" fontId="50" fillId="21" borderId="0" xfId="86" applyFont="1" applyFill="1"/>
    <xf numFmtId="1" fontId="42" fillId="0" borderId="1" xfId="86" applyNumberFormat="1" applyFont="1" applyBorder="1" applyAlignment="1">
      <alignment horizontal="center" vertical="center" wrapText="1"/>
    </xf>
    <xf numFmtId="1" fontId="57" fillId="2" borderId="1" xfId="86" applyNumberFormat="1" applyFont="1" applyFill="1" applyBorder="1" applyAlignment="1">
      <alignment horizontal="center" vertical="center" wrapText="1"/>
    </xf>
    <xf numFmtId="1" fontId="50" fillId="0" borderId="10" xfId="86" applyNumberFormat="1" applyFont="1" applyBorder="1"/>
    <xf numFmtId="165" fontId="42" fillId="10" borderId="4" xfId="86" applyNumberFormat="1" applyFont="1" applyFill="1" applyBorder="1" applyAlignment="1">
      <alignment horizontal="center" vertical="center" wrapText="1"/>
    </xf>
    <xf numFmtId="0" fontId="113" fillId="0" borderId="1" xfId="24" applyFont="1" applyFill="1" applyBorder="1" applyAlignment="1">
      <alignment horizontal="left" wrapText="1"/>
    </xf>
    <xf numFmtId="0" fontId="50" fillId="0" borderId="0" xfId="91" applyFont="1"/>
    <xf numFmtId="4" fontId="50" fillId="0" borderId="0" xfId="91" applyNumberFormat="1" applyFont="1"/>
    <xf numFmtId="4" fontId="63" fillId="0" borderId="0" xfId="91" applyNumberFormat="1" applyFont="1"/>
    <xf numFmtId="4" fontId="50" fillId="0" borderId="1" xfId="91" applyNumberFormat="1" applyFont="1" applyBorder="1" applyAlignment="1">
      <alignment horizontal="center"/>
    </xf>
    <xf numFmtId="4" fontId="42" fillId="0" borderId="4" xfId="91" applyNumberFormat="1" applyFont="1" applyBorder="1" applyAlignment="1">
      <alignment horizontal="center" vertical="center" wrapText="1"/>
    </xf>
    <xf numFmtId="4" fontId="57" fillId="0" borderId="4" xfId="91" applyNumberFormat="1" applyFont="1" applyBorder="1" applyAlignment="1">
      <alignment horizontal="center" vertical="center" wrapText="1"/>
    </xf>
    <xf numFmtId="4" fontId="42" fillId="0" borderId="4" xfId="91" applyNumberFormat="1" applyFont="1" applyFill="1" applyBorder="1" applyAlignment="1">
      <alignment horizontal="center" vertical="center" wrapText="1"/>
    </xf>
    <xf numFmtId="4" fontId="62" fillId="0" borderId="1" xfId="91" applyNumberFormat="1" applyFont="1" applyBorder="1" applyAlignment="1">
      <alignment horizontal="center" vertical="center" wrapText="1"/>
    </xf>
    <xf numFmtId="1" fontId="42" fillId="0" borderId="1" xfId="91" applyNumberFormat="1" applyFont="1" applyBorder="1" applyAlignment="1">
      <alignment horizontal="center" vertical="center" wrapText="1"/>
    </xf>
    <xf numFmtId="1" fontId="57" fillId="0" borderId="1" xfId="91" applyNumberFormat="1" applyFont="1" applyBorder="1" applyAlignment="1">
      <alignment horizontal="center" vertical="center" wrapText="1"/>
    </xf>
    <xf numFmtId="1" fontId="50" fillId="0" borderId="0" xfId="91" applyNumberFormat="1" applyFont="1"/>
    <xf numFmtId="0" fontId="57" fillId="16" borderId="1" xfId="91" applyFont="1" applyFill="1" applyBorder="1" applyAlignment="1">
      <alignment horizontal="center" vertical="center" wrapText="1"/>
    </xf>
    <xf numFmtId="4" fontId="57" fillId="16" borderId="1" xfId="91" applyNumberFormat="1" applyFont="1" applyFill="1" applyBorder="1" applyAlignment="1">
      <alignment horizontal="center" vertical="center" wrapText="1"/>
    </xf>
    <xf numFmtId="0" fontId="63" fillId="16" borderId="1" xfId="91" applyFont="1" applyFill="1" applyBorder="1" applyAlignment="1">
      <alignment horizontal="center" vertical="center"/>
    </xf>
    <xf numFmtId="0" fontId="63" fillId="0" borderId="0" xfId="91" applyFont="1"/>
    <xf numFmtId="0" fontId="63" fillId="14" borderId="1" xfId="91" applyFont="1" applyFill="1" applyBorder="1" applyAlignment="1">
      <alignment horizontal="center" vertical="center"/>
    </xf>
    <xf numFmtId="0" fontId="57" fillId="14" borderId="1" xfId="91" applyFont="1" applyFill="1" applyBorder="1" applyAlignment="1">
      <alignment horizontal="left" vertical="center"/>
    </xf>
    <xf numFmtId="4" fontId="57" fillId="14" borderId="1" xfId="91" applyNumberFormat="1" applyFont="1" applyFill="1" applyBorder="1" applyAlignment="1">
      <alignment horizontal="center" vertical="center" wrapText="1"/>
    </xf>
    <xf numFmtId="4" fontId="57" fillId="14" borderId="7" xfId="91" applyNumberFormat="1" applyFont="1" applyFill="1" applyBorder="1" applyAlignment="1">
      <alignment horizontal="center" vertical="center" wrapText="1"/>
    </xf>
    <xf numFmtId="4" fontId="42" fillId="0" borderId="1" xfId="91" applyNumberFormat="1" applyFont="1" applyFill="1" applyBorder="1" applyAlignment="1">
      <alignment horizontal="center" vertical="center" wrapText="1"/>
    </xf>
    <xf numFmtId="4" fontId="42" fillId="0" borderId="7" xfId="91" applyNumberFormat="1" applyFont="1" applyFill="1" applyBorder="1" applyAlignment="1">
      <alignment horizontal="center" vertical="center" wrapText="1"/>
    </xf>
    <xf numFmtId="4" fontId="57" fillId="0" borderId="7" xfId="91" applyNumberFormat="1" applyFont="1" applyFill="1" applyBorder="1" applyAlignment="1">
      <alignment horizontal="center" vertical="center" wrapText="1"/>
    </xf>
    <xf numFmtId="3" fontId="42" fillId="2" borderId="1" xfId="91" applyNumberFormat="1" applyFont="1" applyFill="1" applyBorder="1" applyAlignment="1">
      <alignment horizontal="center" vertical="center" wrapText="1"/>
    </xf>
    <xf numFmtId="4" fontId="42" fillId="2" borderId="1" xfId="91" applyNumberFormat="1" applyFont="1" applyFill="1" applyBorder="1" applyAlignment="1">
      <alignment horizontal="center" vertical="center" wrapText="1"/>
    </xf>
    <xf numFmtId="4" fontId="42" fillId="2" borderId="7" xfId="91" applyNumberFormat="1" applyFont="1" applyFill="1" applyBorder="1" applyAlignment="1">
      <alignment horizontal="center" vertical="center" wrapText="1"/>
    </xf>
    <xf numFmtId="4" fontId="57" fillId="2" borderId="7" xfId="91" applyNumberFormat="1" applyFont="1" applyFill="1" applyBorder="1" applyAlignment="1">
      <alignment horizontal="center" vertical="center" wrapText="1"/>
    </xf>
    <xf numFmtId="0" fontId="50" fillId="0" borderId="0" xfId="91" applyFont="1" applyFill="1"/>
    <xf numFmtId="0" fontId="57" fillId="14" borderId="1" xfId="91" applyFont="1" applyFill="1" applyBorder="1" applyAlignment="1">
      <alignment horizontal="center" vertical="center" wrapText="1"/>
    </xf>
    <xf numFmtId="0" fontId="57" fillId="14" borderId="1" xfId="91" applyFont="1" applyFill="1" applyBorder="1" applyAlignment="1">
      <alignment horizontal="left" vertical="center" wrapText="1"/>
    </xf>
    <xf numFmtId="0" fontId="57" fillId="2" borderId="1" xfId="91" applyFont="1" applyFill="1" applyBorder="1" applyAlignment="1">
      <alignment horizontal="center" vertical="center" wrapText="1"/>
    </xf>
    <xf numFmtId="0" fontId="42" fillId="2" borderId="1" xfId="91" applyFont="1" applyFill="1" applyBorder="1" applyAlignment="1">
      <alignment horizontal="left" vertical="center" wrapText="1"/>
    </xf>
    <xf numFmtId="4" fontId="57" fillId="2" borderId="1" xfId="91" applyNumberFormat="1" applyFont="1" applyFill="1" applyBorder="1" applyAlignment="1">
      <alignment horizontal="center" vertical="center" wrapText="1"/>
    </xf>
    <xf numFmtId="0" fontId="42" fillId="0" borderId="1" xfId="91" applyFont="1" applyBorder="1" applyAlignment="1">
      <alignment horizontal="left" vertical="center" wrapText="1"/>
    </xf>
    <xf numFmtId="0" fontId="63" fillId="16" borderId="0" xfId="91" applyFont="1" applyFill="1"/>
    <xf numFmtId="0" fontId="46" fillId="2" borderId="1" xfId="91" applyFont="1" applyFill="1" applyBorder="1" applyAlignment="1">
      <alignment horizontal="center" vertical="center" wrapText="1"/>
    </xf>
    <xf numFmtId="4" fontId="184" fillId="0" borderId="7" xfId="91" applyNumberFormat="1" applyFont="1" applyFill="1" applyBorder="1" applyAlignment="1">
      <alignment horizontal="center" vertical="center" wrapText="1"/>
    </xf>
    <xf numFmtId="0" fontId="63" fillId="0" borderId="1" xfId="91" applyFont="1" applyBorder="1" applyAlignment="1">
      <alignment horizontal="center" vertical="center"/>
    </xf>
    <xf numFmtId="0" fontId="125" fillId="2" borderId="1" xfId="91" applyFont="1" applyFill="1" applyBorder="1" applyAlignment="1">
      <alignment horizontal="center" vertical="center" wrapText="1"/>
    </xf>
    <xf numFmtId="4" fontId="42" fillId="0" borderId="7" xfId="91" applyNumberFormat="1" applyFont="1" applyBorder="1" applyAlignment="1">
      <alignment horizontal="center" vertical="center" wrapText="1"/>
    </xf>
    <xf numFmtId="0" fontId="125" fillId="0" borderId="1" xfId="91" applyFont="1" applyBorder="1" applyAlignment="1">
      <alignment horizontal="center" vertical="center" wrapText="1"/>
    </xf>
    <xf numFmtId="4" fontId="57" fillId="0" borderId="1" xfId="91" applyNumberFormat="1" applyFont="1" applyFill="1" applyBorder="1" applyAlignment="1">
      <alignment horizontal="center" vertical="center" wrapText="1"/>
    </xf>
    <xf numFmtId="165" fontId="57" fillId="16" borderId="1" xfId="91" applyNumberFormat="1" applyFont="1" applyFill="1" applyBorder="1" applyAlignment="1">
      <alignment horizontal="center" vertical="center" wrapText="1"/>
    </xf>
    <xf numFmtId="0" fontId="50" fillId="0" borderId="0" xfId="91" applyFont="1" applyBorder="1"/>
    <xf numFmtId="0" fontId="63" fillId="0" borderId="0" xfId="91" applyFont="1" applyBorder="1"/>
    <xf numFmtId="4" fontId="50" fillId="0" borderId="0" xfId="91" applyNumberFormat="1" applyFont="1" applyBorder="1"/>
    <xf numFmtId="4" fontId="63" fillId="0" borderId="0" xfId="91" applyNumberFormat="1" applyFont="1" applyBorder="1"/>
    <xf numFmtId="0" fontId="66" fillId="2" borderId="0" xfId="91" applyFont="1" applyFill="1" applyBorder="1"/>
    <xf numFmtId="0" fontId="63" fillId="2" borderId="0" xfId="91" applyFont="1" applyFill="1" applyBorder="1"/>
    <xf numFmtId="4" fontId="50" fillId="2" borderId="0" xfId="91" applyNumberFormat="1" applyFont="1" applyFill="1" applyBorder="1"/>
    <xf numFmtId="4" fontId="63" fillId="2" borderId="0" xfId="91" applyNumberFormat="1" applyFont="1" applyFill="1" applyBorder="1"/>
    <xf numFmtId="0" fontId="50" fillId="2" borderId="0" xfId="91" applyFont="1" applyFill="1" applyBorder="1"/>
    <xf numFmtId="0" fontId="50" fillId="2" borderId="0" xfId="91" applyFont="1" applyFill="1"/>
    <xf numFmtId="0" fontId="66" fillId="0" borderId="0" xfId="91" applyFont="1" applyBorder="1"/>
    <xf numFmtId="0" fontId="85" fillId="0" borderId="0" xfId="91" applyFont="1"/>
    <xf numFmtId="0" fontId="52" fillId="0" borderId="0" xfId="91" applyFont="1"/>
    <xf numFmtId="0" fontId="188" fillId="0" borderId="0" xfId="91" applyFont="1" applyAlignment="1">
      <alignment wrapText="1"/>
    </xf>
    <xf numFmtId="4" fontId="188" fillId="0" borderId="0" xfId="91" applyNumberFormat="1" applyFont="1"/>
    <xf numFmtId="4" fontId="189" fillId="0" borderId="0" xfId="91" applyNumberFormat="1" applyFont="1"/>
    <xf numFmtId="4" fontId="52" fillId="0" borderId="0" xfId="91" applyNumberFormat="1" applyFont="1"/>
    <xf numFmtId="4" fontId="190" fillId="0" borderId="0" xfId="91" applyNumberFormat="1" applyFont="1"/>
    <xf numFmtId="0" fontId="65" fillId="0" borderId="0" xfId="91" applyFont="1"/>
    <xf numFmtId="0" fontId="60" fillId="0" borderId="0" xfId="91" applyFont="1" applyAlignment="1">
      <alignment wrapText="1"/>
    </xf>
    <xf numFmtId="4" fontId="60" fillId="0" borderId="0" xfId="91" applyNumberFormat="1" applyFont="1"/>
    <xf numFmtId="4" fontId="85" fillId="0" borderId="0" xfId="91" applyNumberFormat="1" applyFont="1"/>
    <xf numFmtId="4" fontId="65" fillId="0" borderId="0" xfId="91" applyNumberFormat="1" applyFont="1"/>
    <xf numFmtId="4" fontId="66" fillId="0" borderId="0" xfId="91" applyNumberFormat="1" applyFont="1"/>
    <xf numFmtId="3" fontId="60" fillId="0" borderId="0" xfId="91" applyNumberFormat="1" applyFont="1"/>
    <xf numFmtId="165" fontId="60" fillId="0" borderId="0" xfId="91" applyNumberFormat="1" applyFont="1" applyAlignment="1">
      <alignment horizontal="center"/>
    </xf>
    <xf numFmtId="0" fontId="60" fillId="0" borderId="0" xfId="91" applyFont="1" applyAlignment="1"/>
    <xf numFmtId="3" fontId="50" fillId="0" borderId="0" xfId="91" applyNumberFormat="1" applyFont="1"/>
    <xf numFmtId="165" fontId="50" fillId="0" borderId="0" xfId="91" applyNumberFormat="1" applyFont="1" applyAlignment="1">
      <alignment horizontal="center"/>
    </xf>
    <xf numFmtId="4" fontId="184" fillId="0" borderId="1" xfId="91" applyNumberFormat="1" applyFont="1" applyFill="1" applyBorder="1" applyAlignment="1">
      <alignment horizontal="center" vertical="center" wrapText="1"/>
    </xf>
    <xf numFmtId="4" fontId="42" fillId="0" borderId="1" xfId="91" applyNumberFormat="1" applyFont="1" applyBorder="1" applyAlignment="1">
      <alignment horizontal="center" vertical="center" wrapText="1"/>
    </xf>
    <xf numFmtId="14" fontId="50" fillId="0" borderId="0" xfId="91" applyNumberFormat="1" applyFont="1"/>
    <xf numFmtId="165" fontId="57" fillId="14" borderId="1" xfId="91" applyNumberFormat="1" applyFont="1" applyFill="1" applyBorder="1" applyAlignment="1">
      <alignment horizontal="center" vertical="center" wrapText="1"/>
    </xf>
    <xf numFmtId="165" fontId="57" fillId="14" borderId="7" xfId="91" applyNumberFormat="1" applyFont="1" applyFill="1" applyBorder="1" applyAlignment="1">
      <alignment horizontal="center" vertical="center" wrapText="1"/>
    </xf>
    <xf numFmtId="0" fontId="50" fillId="0" borderId="0" xfId="91" applyFont="1" applyAlignment="1">
      <alignment wrapText="1"/>
    </xf>
    <xf numFmtId="3" fontId="50" fillId="0" borderId="0" xfId="91" applyNumberFormat="1" applyFont="1" applyAlignment="1">
      <alignment horizontal="center"/>
    </xf>
    <xf numFmtId="165" fontId="63" fillId="2" borderId="0" xfId="91" applyNumberFormat="1" applyFont="1" applyFill="1" applyAlignment="1">
      <alignment horizontal="center"/>
    </xf>
    <xf numFmtId="165" fontId="63" fillId="0" borderId="0" xfId="91" applyNumberFormat="1" applyFont="1" applyAlignment="1">
      <alignment horizontal="center"/>
    </xf>
    <xf numFmtId="165" fontId="50" fillId="2" borderId="0" xfId="91" applyNumberFormat="1" applyFont="1" applyFill="1" applyAlignment="1">
      <alignment horizontal="center"/>
    </xf>
    <xf numFmtId="0" fontId="50" fillId="0" borderId="0" xfId="91" applyFont="1" applyAlignment="1">
      <alignment horizontal="right" wrapText="1"/>
    </xf>
    <xf numFmtId="165" fontId="50" fillId="2" borderId="1" xfId="91" applyNumberFormat="1" applyFont="1" applyFill="1" applyBorder="1" applyAlignment="1">
      <alignment horizontal="center"/>
    </xf>
    <xf numFmtId="165" fontId="42" fillId="0" borderId="4" xfId="91" applyNumberFormat="1" applyFont="1" applyFill="1" applyBorder="1" applyAlignment="1">
      <alignment horizontal="center" vertical="center" wrapText="1"/>
    </xf>
    <xf numFmtId="165" fontId="57" fillId="2" borderId="4" xfId="91" applyNumberFormat="1" applyFont="1" applyFill="1" applyBorder="1" applyAlignment="1">
      <alignment horizontal="center" vertical="center" wrapText="1"/>
    </xf>
    <xf numFmtId="165" fontId="57" fillId="0" borderId="4" xfId="91" applyNumberFormat="1" applyFont="1" applyFill="1" applyBorder="1" applyAlignment="1">
      <alignment horizontal="center" vertical="center" wrapText="1"/>
    </xf>
    <xf numFmtId="165" fontId="57" fillId="0" borderId="52" xfId="91" applyNumberFormat="1" applyFont="1" applyFill="1" applyBorder="1" applyAlignment="1">
      <alignment horizontal="center" vertical="center" wrapText="1"/>
    </xf>
    <xf numFmtId="0" fontId="57" fillId="0" borderId="1" xfId="91" applyNumberFormat="1" applyFont="1" applyBorder="1" applyAlignment="1">
      <alignment horizontal="center" vertical="center" wrapText="1"/>
    </xf>
    <xf numFmtId="3" fontId="42" fillId="0" borderId="1" xfId="91" applyNumberFormat="1" applyFont="1" applyBorder="1" applyAlignment="1">
      <alignment horizontal="center" vertical="center" wrapText="1"/>
    </xf>
    <xf numFmtId="165" fontId="42" fillId="0" borderId="1" xfId="91" applyNumberFormat="1" applyFont="1" applyBorder="1" applyAlignment="1">
      <alignment horizontal="center" vertical="center" wrapText="1"/>
    </xf>
    <xf numFmtId="165" fontId="57" fillId="2" borderId="1" xfId="91" applyNumberFormat="1" applyFont="1" applyFill="1" applyBorder="1" applyAlignment="1">
      <alignment horizontal="center" vertical="center" wrapText="1"/>
    </xf>
    <xf numFmtId="165" fontId="57" fillId="0" borderId="1" xfId="91" applyNumberFormat="1" applyFont="1" applyBorder="1" applyAlignment="1">
      <alignment horizontal="center" vertical="center" wrapText="1"/>
    </xf>
    <xf numFmtId="0" fontId="57" fillId="2" borderId="1" xfId="91" applyNumberFormat="1" applyFont="1" applyFill="1" applyBorder="1" applyAlignment="1">
      <alignment horizontal="center" vertical="center" wrapText="1"/>
    </xf>
    <xf numFmtId="0" fontId="50" fillId="0" borderId="10" xfId="91" applyFont="1" applyBorder="1"/>
    <xf numFmtId="3" fontId="42" fillId="14" borderId="1" xfId="91" applyNumberFormat="1" applyFont="1" applyFill="1" applyBorder="1" applyAlignment="1">
      <alignment horizontal="center" vertical="center" wrapText="1"/>
    </xf>
    <xf numFmtId="165" fontId="42" fillId="14" borderId="1" xfId="91" applyNumberFormat="1" applyFont="1" applyFill="1" applyBorder="1" applyAlignment="1">
      <alignment horizontal="center" vertical="center" wrapText="1"/>
    </xf>
    <xf numFmtId="165" fontId="42" fillId="2" borderId="1" xfId="91" applyNumberFormat="1" applyFont="1" applyFill="1" applyBorder="1" applyAlignment="1">
      <alignment horizontal="center" vertical="center" wrapText="1"/>
    </xf>
    <xf numFmtId="0" fontId="89" fillId="15" borderId="7" xfId="91" applyFont="1" applyFill="1" applyBorder="1" applyAlignment="1">
      <alignment horizontal="left" vertical="center" wrapText="1"/>
    </xf>
    <xf numFmtId="0" fontId="89" fillId="15" borderId="1" xfId="91" applyFont="1" applyFill="1" applyBorder="1" applyAlignment="1">
      <alignment horizontal="left" vertical="center" wrapText="1"/>
    </xf>
    <xf numFmtId="0" fontId="57" fillId="2" borderId="1" xfId="91" applyFont="1" applyFill="1" applyBorder="1" applyAlignment="1">
      <alignment horizontal="left" vertical="center" wrapText="1"/>
    </xf>
    <xf numFmtId="0" fontId="42" fillId="3" borderId="1" xfId="91" applyFont="1" applyFill="1" applyBorder="1" applyAlignment="1">
      <alignment horizontal="center" vertical="center" wrapText="1"/>
    </xf>
    <xf numFmtId="0" fontId="57" fillId="3" borderId="1" xfId="91" applyFont="1" applyFill="1" applyBorder="1" applyAlignment="1">
      <alignment horizontal="center" vertical="center" wrapText="1"/>
    </xf>
    <xf numFmtId="3" fontId="42" fillId="3" borderId="1" xfId="91" applyNumberFormat="1" applyFont="1" applyFill="1" applyBorder="1" applyAlignment="1">
      <alignment horizontal="center" vertical="center" wrapText="1"/>
    </xf>
    <xf numFmtId="165" fontId="42" fillId="3" borderId="1" xfId="91" applyNumberFormat="1" applyFont="1" applyFill="1" applyBorder="1" applyAlignment="1">
      <alignment horizontal="center" vertical="center" wrapText="1"/>
    </xf>
    <xf numFmtId="165" fontId="57" fillId="3" borderId="1" xfId="91" applyNumberFormat="1" applyFont="1" applyFill="1" applyBorder="1" applyAlignment="1">
      <alignment horizontal="center" vertical="center" wrapText="1"/>
    </xf>
    <xf numFmtId="0" fontId="42" fillId="2" borderId="1" xfId="91" applyFont="1" applyFill="1" applyBorder="1" applyAlignment="1">
      <alignment horizontal="center" vertical="center" wrapText="1"/>
    </xf>
    <xf numFmtId="0" fontId="57" fillId="5" borderId="1" xfId="91" applyFont="1" applyFill="1" applyBorder="1" applyAlignment="1">
      <alignment horizontal="left" vertical="center" wrapText="1"/>
    </xf>
    <xf numFmtId="3" fontId="123" fillId="15" borderId="1" xfId="91" applyNumberFormat="1" applyFont="1" applyFill="1" applyBorder="1" applyAlignment="1">
      <alignment horizontal="center" vertical="center" wrapText="1"/>
    </xf>
    <xf numFmtId="165" fontId="123" fillId="15" borderId="1" xfId="91" applyNumberFormat="1" applyFont="1" applyFill="1" applyBorder="1" applyAlignment="1">
      <alignment horizontal="center" vertical="center" wrapText="1"/>
    </xf>
    <xf numFmtId="165" fontId="89" fillId="15" borderId="1" xfId="91" applyNumberFormat="1" applyFont="1" applyFill="1" applyBorder="1" applyAlignment="1">
      <alignment horizontal="center" vertical="center" wrapText="1"/>
    </xf>
    <xf numFmtId="3" fontId="89" fillId="15" borderId="1" xfId="91" applyNumberFormat="1" applyFont="1" applyFill="1" applyBorder="1" applyAlignment="1">
      <alignment horizontal="left" vertical="center" wrapText="1"/>
    </xf>
    <xf numFmtId="0" fontId="50" fillId="14" borderId="4" xfId="91" applyFont="1" applyFill="1" applyBorder="1" applyAlignment="1">
      <alignment horizontal="center" vertical="center" wrapText="1"/>
    </xf>
    <xf numFmtId="0" fontId="50" fillId="3" borderId="1" xfId="91" applyFont="1" applyFill="1" applyBorder="1" applyAlignment="1">
      <alignment horizontal="center" vertical="center"/>
    </xf>
    <xf numFmtId="0" fontId="50" fillId="2" borderId="4" xfId="91" applyFont="1" applyFill="1" applyBorder="1" applyAlignment="1">
      <alignment horizontal="center" vertical="center" wrapText="1"/>
    </xf>
    <xf numFmtId="0" fontId="137" fillId="2" borderId="1" xfId="91" applyFont="1" applyFill="1" applyBorder="1" applyAlignment="1">
      <alignment horizontal="center" vertical="center" wrapText="1"/>
    </xf>
    <xf numFmtId="0" fontId="57" fillId="2" borderId="0" xfId="91" applyFont="1" applyFill="1" applyBorder="1" applyAlignment="1">
      <alignment horizontal="center" vertical="center" wrapText="1"/>
    </xf>
    <xf numFmtId="0" fontId="63" fillId="2" borderId="0" xfId="91" applyFont="1" applyFill="1" applyBorder="1" applyAlignment="1">
      <alignment wrapText="1"/>
    </xf>
    <xf numFmtId="3" fontId="42" fillId="2" borderId="0" xfId="91" applyNumberFormat="1" applyFont="1" applyFill="1" applyBorder="1" applyAlignment="1">
      <alignment horizontal="center" vertical="center" wrapText="1"/>
    </xf>
    <xf numFmtId="165" fontId="42" fillId="2" borderId="0" xfId="91" applyNumberFormat="1" applyFont="1" applyFill="1" applyBorder="1" applyAlignment="1">
      <alignment horizontal="center" vertical="center" wrapText="1"/>
    </xf>
    <xf numFmtId="165" fontId="57" fillId="2" borderId="0" xfId="91" applyNumberFormat="1" applyFont="1" applyFill="1" applyBorder="1" applyAlignment="1">
      <alignment horizontal="center" vertical="center" wrapText="1"/>
    </xf>
    <xf numFmtId="0" fontId="63" fillId="2" borderId="0" xfId="91" applyFont="1" applyFill="1" applyBorder="1" applyAlignment="1">
      <alignment horizontal="center" vertical="center"/>
    </xf>
    <xf numFmtId="0" fontId="192" fillId="2" borderId="0" xfId="91" applyFont="1" applyFill="1" applyBorder="1" applyAlignment="1">
      <alignment horizontal="center" vertical="center" wrapText="1"/>
    </xf>
    <xf numFmtId="0" fontId="192" fillId="2" borderId="0" xfId="91" applyFont="1" applyFill="1" applyBorder="1" applyAlignment="1">
      <alignment wrapText="1"/>
    </xf>
    <xf numFmtId="3" fontId="193" fillId="2" borderId="0" xfId="91" applyNumberFormat="1" applyFont="1" applyFill="1" applyBorder="1" applyAlignment="1">
      <alignment horizontal="center" vertical="center" wrapText="1"/>
    </xf>
    <xf numFmtId="165" fontId="193" fillId="2" borderId="0" xfId="91" applyNumberFormat="1" applyFont="1" applyFill="1" applyBorder="1" applyAlignment="1">
      <alignment horizontal="center" vertical="center" wrapText="1"/>
    </xf>
    <xf numFmtId="165" fontId="192" fillId="2" borderId="0" xfId="91" applyNumberFormat="1" applyFont="1" applyFill="1" applyBorder="1" applyAlignment="1">
      <alignment horizontal="center" vertical="center" wrapText="1"/>
    </xf>
    <xf numFmtId="0" fontId="192" fillId="2" borderId="0" xfId="91" applyFont="1" applyFill="1" applyBorder="1" applyAlignment="1">
      <alignment horizontal="center" vertical="center"/>
    </xf>
    <xf numFmtId="165" fontId="188" fillId="0" borderId="0" xfId="91" applyNumberFormat="1" applyFont="1" applyAlignment="1">
      <alignment horizontal="center"/>
    </xf>
    <xf numFmtId="165" fontId="189" fillId="2" borderId="0" xfId="91" applyNumberFormat="1" applyFont="1" applyFill="1" applyAlignment="1">
      <alignment horizontal="center"/>
    </xf>
    <xf numFmtId="165" fontId="52" fillId="0" borderId="0" xfId="91" applyNumberFormat="1" applyFont="1" applyAlignment="1">
      <alignment horizontal="center"/>
    </xf>
    <xf numFmtId="165" fontId="190" fillId="2" borderId="0" xfId="91" applyNumberFormat="1" applyFont="1" applyFill="1" applyAlignment="1">
      <alignment horizontal="center"/>
    </xf>
    <xf numFmtId="3" fontId="52" fillId="0" borderId="0" xfId="91" applyNumberFormat="1" applyFont="1" applyAlignment="1">
      <alignment horizontal="center"/>
    </xf>
    <xf numFmtId="165" fontId="190" fillId="0" borderId="0" xfId="91" applyNumberFormat="1" applyFont="1" applyAlignment="1">
      <alignment horizontal="center"/>
    </xf>
    <xf numFmtId="0" fontId="52" fillId="2" borderId="0" xfId="91" applyFont="1" applyFill="1" applyAlignment="1">
      <alignment horizontal="center"/>
    </xf>
    <xf numFmtId="165" fontId="85" fillId="2" borderId="0" xfId="91" applyNumberFormat="1" applyFont="1" applyFill="1" applyAlignment="1">
      <alignment horizontal="center"/>
    </xf>
    <xf numFmtId="165" fontId="65" fillId="0" borderId="0" xfId="91" applyNumberFormat="1" applyFont="1" applyAlignment="1">
      <alignment horizontal="center"/>
    </xf>
    <xf numFmtId="165" fontId="66" fillId="2" borderId="0" xfId="91" applyNumberFormat="1" applyFont="1" applyFill="1" applyAlignment="1">
      <alignment horizontal="center"/>
    </xf>
    <xf numFmtId="3" fontId="65" fillId="0" borderId="0" xfId="91" applyNumberFormat="1" applyFont="1" applyAlignment="1">
      <alignment horizontal="center"/>
    </xf>
    <xf numFmtId="165" fontId="66" fillId="0" borderId="0" xfId="91" applyNumberFormat="1" applyFont="1" applyAlignment="1">
      <alignment horizontal="center"/>
    </xf>
    <xf numFmtId="0" fontId="65" fillId="2" borderId="0" xfId="91" applyFont="1" applyFill="1" applyAlignment="1">
      <alignment horizontal="center"/>
    </xf>
    <xf numFmtId="3" fontId="60" fillId="0" borderId="0" xfId="91" applyNumberFormat="1" applyFont="1" applyAlignment="1">
      <alignment horizontal="center"/>
    </xf>
    <xf numFmtId="3" fontId="65" fillId="2" borderId="0" xfId="91" applyNumberFormat="1" applyFont="1" applyFill="1" applyAlignment="1">
      <alignment horizontal="center"/>
    </xf>
    <xf numFmtId="165" fontId="65" fillId="2" borderId="0" xfId="91" applyNumberFormat="1" applyFont="1" applyFill="1" applyAlignment="1">
      <alignment horizontal="center"/>
    </xf>
    <xf numFmtId="0" fontId="60" fillId="2" borderId="0" xfId="91" applyFont="1" applyFill="1" applyAlignment="1"/>
    <xf numFmtId="3" fontId="60" fillId="2" borderId="0" xfId="91" applyNumberFormat="1" applyFont="1" applyFill="1" applyAlignment="1">
      <alignment horizontal="center"/>
    </xf>
    <xf numFmtId="165" fontId="60" fillId="2" borderId="0" xfId="91" applyNumberFormat="1" applyFont="1" applyFill="1" applyAlignment="1">
      <alignment horizontal="center"/>
    </xf>
    <xf numFmtId="165" fontId="63" fillId="14" borderId="0" xfId="91" applyNumberFormat="1" applyFont="1" applyFill="1" applyAlignment="1">
      <alignment horizontal="center"/>
    </xf>
    <xf numFmtId="165" fontId="50" fillId="14" borderId="0" xfId="91" applyNumberFormat="1" applyFont="1" applyFill="1" applyAlignment="1">
      <alignment horizontal="center"/>
    </xf>
    <xf numFmtId="0" fontId="165" fillId="2" borderId="0" xfId="67" applyFont="1" applyFill="1" applyAlignment="1">
      <alignment vertical="center" wrapText="1"/>
    </xf>
    <xf numFmtId="2" fontId="165" fillId="2" borderId="0" xfId="67" applyNumberFormat="1" applyFont="1" applyFill="1" applyAlignment="1">
      <alignment vertical="center" wrapText="1"/>
    </xf>
    <xf numFmtId="0" fontId="19" fillId="2" borderId="0" xfId="91" applyFont="1" applyFill="1" applyAlignment="1">
      <alignment horizontal="right" vertical="center"/>
    </xf>
    <xf numFmtId="0" fontId="166" fillId="2" borderId="0" xfId="67" applyFont="1" applyFill="1" applyAlignment="1">
      <alignment vertical="center" wrapText="1"/>
    </xf>
    <xf numFmtId="2" fontId="166" fillId="2" borderId="1" xfId="67" applyNumberFormat="1" applyFont="1" applyFill="1" applyBorder="1" applyAlignment="1">
      <alignment horizontal="center" vertical="center" wrapText="1"/>
    </xf>
    <xf numFmtId="2" fontId="165" fillId="2" borderId="1" xfId="67" applyNumberFormat="1" applyFont="1" applyFill="1" applyBorder="1" applyAlignment="1">
      <alignment horizontal="center" vertical="center" wrapText="1"/>
    </xf>
    <xf numFmtId="0" fontId="165" fillId="7" borderId="1" xfId="67" applyFont="1" applyFill="1" applyBorder="1" applyAlignment="1">
      <alignment horizontal="center" vertical="center" wrapText="1"/>
    </xf>
    <xf numFmtId="0" fontId="166" fillId="7" borderId="1" xfId="67" applyFont="1" applyFill="1" applyBorder="1" applyAlignment="1">
      <alignment horizontal="center" vertical="center" wrapText="1"/>
    </xf>
    <xf numFmtId="1" fontId="166" fillId="7" borderId="1" xfId="67" applyNumberFormat="1" applyFont="1" applyFill="1" applyBorder="1" applyAlignment="1">
      <alignment horizontal="center" vertical="center" wrapText="1"/>
    </xf>
    <xf numFmtId="4" fontId="166" fillId="7" borderId="1" xfId="67" applyNumberFormat="1" applyFont="1" applyFill="1" applyBorder="1" applyAlignment="1">
      <alignment horizontal="center" vertical="center" wrapText="1"/>
    </xf>
    <xf numFmtId="2" fontId="166" fillId="7" borderId="1" xfId="67" applyNumberFormat="1" applyFont="1" applyFill="1" applyBorder="1" applyAlignment="1">
      <alignment horizontal="center" vertical="center" wrapText="1"/>
    </xf>
    <xf numFmtId="0" fontId="165" fillId="7" borderId="0" xfId="67" applyFont="1" applyFill="1" applyAlignment="1">
      <alignment vertical="center" wrapText="1"/>
    </xf>
    <xf numFmtId="1" fontId="165" fillId="2" borderId="1" xfId="67" applyNumberFormat="1" applyFont="1" applyFill="1" applyBorder="1" applyAlignment="1">
      <alignment horizontal="center" vertical="center" wrapText="1"/>
    </xf>
    <xf numFmtId="4" fontId="165" fillId="2" borderId="1" xfId="67" applyNumberFormat="1" applyFont="1" applyFill="1" applyBorder="1" applyAlignment="1">
      <alignment horizontal="center" vertical="center" wrapText="1"/>
    </xf>
    <xf numFmtId="4" fontId="27" fillId="2" borderId="1" xfId="67" applyNumberFormat="1" applyFont="1" applyFill="1" applyBorder="1" applyAlignment="1">
      <alignment horizontal="center" vertical="center" wrapText="1"/>
    </xf>
    <xf numFmtId="0" fontId="27" fillId="7" borderId="1" xfId="67" applyFont="1" applyFill="1" applyBorder="1" applyAlignment="1">
      <alignment vertical="center" wrapText="1"/>
    </xf>
    <xf numFmtId="3" fontId="166" fillId="7" borderId="1" xfId="67" applyNumberFormat="1" applyFont="1" applyFill="1" applyBorder="1" applyAlignment="1">
      <alignment horizontal="center" vertical="center" wrapText="1"/>
    </xf>
    <xf numFmtId="4" fontId="165" fillId="7" borderId="0" xfId="67" applyNumberFormat="1" applyFont="1" applyFill="1" applyAlignment="1">
      <alignment vertical="center" wrapText="1"/>
    </xf>
    <xf numFmtId="3" fontId="165" fillId="2" borderId="1" xfId="67" applyNumberFormat="1" applyFont="1" applyFill="1" applyBorder="1" applyAlignment="1">
      <alignment horizontal="center" vertical="center" wrapText="1"/>
    </xf>
    <xf numFmtId="4" fontId="165" fillId="2" borderId="0" xfId="67" applyNumberFormat="1" applyFont="1" applyFill="1" applyBorder="1" applyAlignment="1">
      <alignment horizontal="center" vertical="center" wrapText="1"/>
    </xf>
    <xf numFmtId="4" fontId="165" fillId="2" borderId="0" xfId="67" applyNumberFormat="1" applyFont="1" applyFill="1" applyAlignment="1">
      <alignment horizontal="center" vertical="center" wrapText="1"/>
    </xf>
    <xf numFmtId="4" fontId="165" fillId="2" borderId="0" xfId="67" applyNumberFormat="1" applyFont="1" applyFill="1" applyAlignment="1">
      <alignment vertical="center" wrapText="1"/>
    </xf>
    <xf numFmtId="0" fontId="195" fillId="7" borderId="1" xfId="67" applyFont="1" applyFill="1" applyBorder="1" applyAlignment="1">
      <alignment horizontal="center" vertical="center" wrapText="1"/>
    </xf>
    <xf numFmtId="2" fontId="165" fillId="7" borderId="0" xfId="67" applyNumberFormat="1" applyFont="1" applyFill="1" applyAlignment="1">
      <alignment horizontal="center" vertical="center" wrapText="1"/>
    </xf>
    <xf numFmtId="4" fontId="27" fillId="7" borderId="1" xfId="67" applyNumberFormat="1" applyFont="1" applyFill="1" applyBorder="1" applyAlignment="1">
      <alignment horizontal="center" vertical="center" wrapText="1"/>
    </xf>
    <xf numFmtId="4" fontId="165" fillId="7" borderId="1" xfId="67" applyNumberFormat="1" applyFont="1" applyFill="1" applyBorder="1" applyAlignment="1">
      <alignment horizontal="center" vertical="center" wrapText="1"/>
    </xf>
    <xf numFmtId="165" fontId="165" fillId="2" borderId="1" xfId="67" applyNumberFormat="1" applyFont="1" applyFill="1" applyBorder="1" applyAlignment="1">
      <alignment horizontal="center" vertical="center" wrapText="1"/>
    </xf>
    <xf numFmtId="0" fontId="165" fillId="2" borderId="1" xfId="67" applyFont="1" applyFill="1" applyBorder="1" applyAlignment="1">
      <alignment vertical="center" wrapText="1"/>
    </xf>
    <xf numFmtId="4" fontId="166" fillId="4" borderId="0" xfId="67" applyNumberFormat="1" applyFont="1" applyFill="1" applyAlignment="1">
      <alignment horizontal="center" vertical="center" wrapText="1"/>
    </xf>
    <xf numFmtId="4" fontId="166" fillId="4" borderId="0" xfId="67" applyNumberFormat="1" applyFont="1" applyFill="1" applyBorder="1" applyAlignment="1">
      <alignment horizontal="center" vertical="center" wrapText="1"/>
    </xf>
    <xf numFmtId="4" fontId="166" fillId="4" borderId="1" xfId="67" applyNumberFormat="1" applyFont="1" applyFill="1" applyBorder="1" applyAlignment="1">
      <alignment vertical="center" wrapText="1"/>
    </xf>
    <xf numFmtId="4" fontId="166" fillId="4" borderId="1" xfId="67" applyNumberFormat="1" applyFont="1" applyFill="1" applyBorder="1" applyAlignment="1">
      <alignment horizontal="center" vertical="center" wrapText="1"/>
    </xf>
    <xf numFmtId="165" fontId="166" fillId="4" borderId="1" xfId="67" applyNumberFormat="1" applyFont="1" applyFill="1" applyBorder="1" applyAlignment="1">
      <alignment horizontal="center" vertical="center" wrapText="1"/>
    </xf>
    <xf numFmtId="4" fontId="166" fillId="4" borderId="0" xfId="67" applyNumberFormat="1" applyFont="1" applyFill="1" applyAlignment="1">
      <alignment vertical="center" wrapText="1"/>
    </xf>
    <xf numFmtId="0" fontId="165" fillId="2" borderId="0" xfId="67" applyFont="1" applyFill="1" applyBorder="1" applyAlignment="1">
      <alignment vertical="center" wrapText="1"/>
    </xf>
    <xf numFmtId="0" fontId="42" fillId="2" borderId="0" xfId="91" applyFont="1" applyFill="1"/>
    <xf numFmtId="0" fontId="41" fillId="2" borderId="0" xfId="91" applyFont="1" applyFill="1"/>
    <xf numFmtId="0" fontId="184" fillId="2" borderId="10" xfId="91" applyFont="1" applyFill="1" applyBorder="1" applyAlignment="1">
      <alignment vertical="top"/>
    </xf>
    <xf numFmtId="0" fontId="42" fillId="2" borderId="10" xfId="91" applyFont="1" applyFill="1" applyBorder="1"/>
    <xf numFmtId="0" fontId="42" fillId="2" borderId="0" xfId="91" applyFont="1" applyFill="1" applyBorder="1" applyAlignment="1">
      <alignment horizontal="center"/>
    </xf>
    <xf numFmtId="0" fontId="184" fillId="2" borderId="0" xfId="91" applyFont="1" applyFill="1" applyBorder="1" applyAlignment="1">
      <alignment vertical="top"/>
    </xf>
    <xf numFmtId="0" fontId="184" fillId="2" borderId="0" xfId="91" applyFont="1" applyFill="1" applyBorder="1" applyAlignment="1">
      <alignment horizontal="center" vertical="top"/>
    </xf>
    <xf numFmtId="14" fontId="165" fillId="2" borderId="0" xfId="67" applyNumberFormat="1" applyFont="1" applyFill="1" applyAlignment="1">
      <alignment vertical="center" wrapText="1"/>
    </xf>
    <xf numFmtId="165" fontId="42" fillId="30" borderId="1" xfId="86" applyNumberFormat="1" applyFont="1" applyFill="1" applyBorder="1" applyAlignment="1">
      <alignment horizontal="center" vertical="center" wrapText="1"/>
    </xf>
    <xf numFmtId="0" fontId="50" fillId="30" borderId="1" xfId="86" applyFont="1" applyFill="1" applyBorder="1" applyAlignment="1">
      <alignment horizontal="center" vertical="center" wrapText="1"/>
    </xf>
    <xf numFmtId="0" fontId="50" fillId="0" borderId="1" xfId="86" applyFont="1" applyBorder="1" applyAlignment="1">
      <alignment vertical="center" wrapText="1"/>
    </xf>
    <xf numFmtId="4" fontId="89" fillId="21" borderId="1" xfId="86" applyNumberFormat="1" applyFont="1" applyFill="1" applyBorder="1" applyAlignment="1">
      <alignment horizontal="center" vertical="center" wrapText="1"/>
    </xf>
    <xf numFmtId="0" fontId="89" fillId="2" borderId="9" xfId="86" applyFont="1" applyFill="1" applyBorder="1" applyAlignment="1">
      <alignment horizontal="left" vertical="center" wrapText="1"/>
    </xf>
    <xf numFmtId="0" fontId="89" fillId="2" borderId="3" xfId="86" applyFont="1" applyFill="1" applyBorder="1" applyAlignment="1">
      <alignment horizontal="left" vertical="center" wrapText="1"/>
    </xf>
    <xf numFmtId="3" fontId="123" fillId="2" borderId="3" xfId="86" applyNumberFormat="1" applyFont="1" applyFill="1" applyBorder="1" applyAlignment="1">
      <alignment horizontal="center" vertical="center" wrapText="1"/>
    </xf>
    <xf numFmtId="165" fontId="123" fillId="2" borderId="3" xfId="86" applyNumberFormat="1" applyFont="1" applyFill="1" applyBorder="1" applyAlignment="1">
      <alignment horizontal="center" vertical="center" wrapText="1"/>
    </xf>
    <xf numFmtId="165" fontId="89" fillId="2" borderId="3" xfId="86" applyNumberFormat="1" applyFont="1" applyFill="1" applyBorder="1" applyAlignment="1">
      <alignment horizontal="center" vertical="center" wrapText="1"/>
    </xf>
    <xf numFmtId="4" fontId="89" fillId="2" borderId="3" xfId="86" applyNumberFormat="1" applyFont="1" applyFill="1" applyBorder="1" applyAlignment="1">
      <alignment horizontal="center" vertical="center" wrapText="1"/>
    </xf>
    <xf numFmtId="0" fontId="89" fillId="2" borderId="23" xfId="86" applyFont="1" applyFill="1" applyBorder="1" applyAlignment="1">
      <alignment horizontal="left" vertical="center" wrapText="1"/>
    </xf>
    <xf numFmtId="165" fontId="42" fillId="10" borderId="4" xfId="91" applyNumberFormat="1" applyFont="1" applyFill="1" applyBorder="1" applyAlignment="1">
      <alignment horizontal="center" vertical="center" wrapText="1"/>
    </xf>
    <xf numFmtId="165" fontId="50" fillId="0" borderId="0" xfId="91" applyNumberFormat="1" applyFont="1" applyAlignment="1">
      <alignment vertical="center" wrapText="1"/>
    </xf>
    <xf numFmtId="165" fontId="50" fillId="0" borderId="0" xfId="91" applyNumberFormat="1" applyFont="1" applyAlignment="1">
      <alignment horizontal="left" vertical="center" wrapText="1"/>
    </xf>
    <xf numFmtId="14" fontId="46" fillId="0" borderId="0" xfId="91" applyNumberFormat="1" applyFont="1" applyAlignment="1">
      <alignment horizontal="left" vertical="center" wrapText="1"/>
    </xf>
    <xf numFmtId="14" fontId="46" fillId="0" borderId="0" xfId="91" applyNumberFormat="1" applyFont="1" applyAlignment="1">
      <alignment vertical="center" wrapText="1"/>
    </xf>
    <xf numFmtId="165" fontId="124" fillId="0" borderId="0" xfId="91" applyNumberFormat="1" applyFont="1" applyAlignment="1">
      <alignment vertical="center" wrapText="1"/>
    </xf>
    <xf numFmtId="165" fontId="50" fillId="0" borderId="0" xfId="91" applyNumberFormat="1" applyFont="1" applyAlignment="1">
      <alignment horizontal="right" vertical="center" wrapText="1"/>
    </xf>
    <xf numFmtId="14" fontId="105" fillId="0" borderId="0" xfId="91" applyNumberFormat="1" applyFont="1" applyAlignment="1">
      <alignment vertical="center" wrapText="1"/>
    </xf>
    <xf numFmtId="165" fontId="21" fillId="2" borderId="18" xfId="91" applyNumberFormat="1" applyFont="1" applyFill="1" applyBorder="1" applyAlignment="1">
      <alignment horizontal="center" vertical="center" wrapText="1"/>
    </xf>
    <xf numFmtId="165" fontId="21" fillId="2" borderId="1" xfId="91" applyNumberFormat="1" applyFont="1" applyFill="1" applyBorder="1" applyAlignment="1">
      <alignment horizontal="center" vertical="center" wrapText="1"/>
    </xf>
    <xf numFmtId="165" fontId="21" fillId="2" borderId="19" xfId="91" applyNumberFormat="1" applyFont="1" applyFill="1" applyBorder="1" applyAlignment="1">
      <alignment horizontal="center" vertical="center" wrapText="1"/>
    </xf>
    <xf numFmtId="14" fontId="21" fillId="2" borderId="1" xfId="91" applyNumberFormat="1" applyFont="1" applyFill="1" applyBorder="1" applyAlignment="1">
      <alignment horizontal="center" vertical="center" wrapText="1"/>
    </xf>
    <xf numFmtId="165" fontId="19" fillId="2" borderId="19" xfId="91" applyNumberFormat="1" applyFont="1" applyFill="1" applyBorder="1" applyAlignment="1">
      <alignment horizontal="center" vertical="center" wrapText="1"/>
    </xf>
    <xf numFmtId="14" fontId="19" fillId="2" borderId="1" xfId="91" applyNumberFormat="1" applyFont="1" applyFill="1" applyBorder="1" applyAlignment="1">
      <alignment horizontal="center" vertical="center" wrapText="1"/>
    </xf>
    <xf numFmtId="49" fontId="19" fillId="2" borderId="1" xfId="91" applyNumberFormat="1" applyFont="1" applyFill="1" applyBorder="1" applyAlignment="1">
      <alignment horizontal="center" vertical="center" wrapText="1"/>
    </xf>
    <xf numFmtId="165" fontId="50" fillId="0" borderId="0" xfId="91" applyNumberFormat="1" applyFont="1" applyAlignment="1">
      <alignment horizontal="center" vertical="center" wrapText="1"/>
    </xf>
    <xf numFmtId="165" fontId="50" fillId="0" borderId="0" xfId="91" applyNumberFormat="1" applyFont="1" applyFill="1" applyAlignment="1">
      <alignment horizontal="center" vertical="center" wrapText="1"/>
    </xf>
    <xf numFmtId="3" fontId="46" fillId="2" borderId="18" xfId="91" applyNumberFormat="1" applyFont="1" applyFill="1" applyBorder="1" applyAlignment="1">
      <alignment horizontal="center" vertical="center" wrapText="1"/>
    </xf>
    <xf numFmtId="165" fontId="46" fillId="2" borderId="1" xfId="91" applyNumberFormat="1" applyFont="1" applyFill="1" applyBorder="1" applyAlignment="1">
      <alignment horizontal="center" vertical="center" wrapText="1"/>
    </xf>
    <xf numFmtId="3" fontId="47" fillId="5" borderId="18" xfId="91" applyNumberFormat="1" applyFont="1" applyFill="1" applyBorder="1" applyAlignment="1">
      <alignment vertical="center" wrapText="1"/>
    </xf>
    <xf numFmtId="165" fontId="47" fillId="5" borderId="19" xfId="91" applyNumberFormat="1" applyFont="1" applyFill="1" applyBorder="1" applyAlignment="1">
      <alignment horizontal="center" vertical="center" wrapText="1"/>
    </xf>
    <xf numFmtId="165" fontId="47" fillId="5" borderId="1" xfId="91" applyNumberFormat="1" applyFont="1" applyFill="1" applyBorder="1" applyAlignment="1">
      <alignment horizontal="center" vertical="center" wrapText="1"/>
    </xf>
    <xf numFmtId="165" fontId="63" fillId="0" borderId="0" xfId="91" applyNumberFormat="1" applyFont="1" applyAlignment="1">
      <alignment horizontal="center" vertical="center" wrapText="1"/>
    </xf>
    <xf numFmtId="165" fontId="47" fillId="2" borderId="19" xfId="91" applyNumberFormat="1" applyFont="1" applyFill="1" applyBorder="1" applyAlignment="1">
      <alignment horizontal="center" vertical="center" wrapText="1"/>
    </xf>
    <xf numFmtId="165" fontId="47" fillId="2" borderId="7" xfId="91" applyNumberFormat="1" applyFont="1" applyFill="1" applyBorder="1" applyAlignment="1">
      <alignment horizontal="center" vertical="center" wrapText="1"/>
    </xf>
    <xf numFmtId="165" fontId="46" fillId="2" borderId="7" xfId="91" applyNumberFormat="1" applyFont="1" applyFill="1" applyBorder="1" applyAlignment="1">
      <alignment horizontal="center" vertical="center" wrapText="1"/>
    </xf>
    <xf numFmtId="165" fontId="42" fillId="0" borderId="0" xfId="91" applyNumberFormat="1" applyFont="1" applyAlignment="1">
      <alignment horizontal="center" vertical="center" wrapText="1"/>
    </xf>
    <xf numFmtId="3" fontId="47" fillId="2" borderId="1" xfId="91" applyNumberFormat="1" applyFont="1" applyFill="1" applyBorder="1" applyAlignment="1">
      <alignment horizontal="center" vertical="center" wrapText="1"/>
    </xf>
    <xf numFmtId="165" fontId="47" fillId="2" borderId="6" xfId="91" applyNumberFormat="1" applyFont="1" applyFill="1" applyBorder="1" applyAlignment="1">
      <alignment horizontal="center" vertical="center" wrapText="1"/>
    </xf>
    <xf numFmtId="165" fontId="47" fillId="2" borderId="1" xfId="91" applyNumberFormat="1" applyFont="1" applyFill="1" applyBorder="1" applyAlignment="1">
      <alignment horizontal="center" vertical="center" wrapText="1"/>
    </xf>
    <xf numFmtId="14" fontId="47" fillId="2" borderId="1" xfId="91" applyNumberFormat="1" applyFont="1" applyFill="1" applyBorder="1" applyAlignment="1">
      <alignment horizontal="center" vertical="center" wrapText="1"/>
    </xf>
    <xf numFmtId="165" fontId="47" fillId="2" borderId="18" xfId="91" applyNumberFormat="1" applyFont="1" applyFill="1" applyBorder="1" applyAlignment="1">
      <alignment horizontal="center" vertical="center" wrapText="1"/>
    </xf>
    <xf numFmtId="49" fontId="47" fillId="2" borderId="1" xfId="91" applyNumberFormat="1" applyFont="1" applyFill="1" applyBorder="1" applyAlignment="1">
      <alignment horizontal="center" vertical="center" wrapText="1"/>
    </xf>
    <xf numFmtId="3" fontId="46" fillId="2" borderId="1" xfId="91" applyNumberFormat="1" applyFont="1" applyFill="1" applyBorder="1" applyAlignment="1">
      <alignment horizontal="center" vertical="center" wrapText="1"/>
    </xf>
    <xf numFmtId="0" fontId="47" fillId="2" borderId="46" xfId="91" applyFont="1" applyFill="1" applyBorder="1" applyAlignment="1">
      <alignment horizontal="left" vertical="center" wrapText="1"/>
    </xf>
    <xf numFmtId="0" fontId="46" fillId="2" borderId="73" xfId="91" applyFont="1" applyFill="1" applyBorder="1" applyAlignment="1">
      <alignment horizontal="center" vertical="center" wrapText="1"/>
    </xf>
    <xf numFmtId="14" fontId="125" fillId="2" borderId="4" xfId="91" applyNumberFormat="1" applyFont="1" applyFill="1" applyBorder="1" applyAlignment="1">
      <alignment horizontal="center" vertical="center" wrapText="1"/>
    </xf>
    <xf numFmtId="0" fontId="137" fillId="2" borderId="4" xfId="91" applyFont="1" applyFill="1" applyBorder="1" applyAlignment="1">
      <alignment horizontal="center" vertical="center" wrapText="1"/>
    </xf>
    <xf numFmtId="0" fontId="46" fillId="2" borderId="4" xfId="91" applyFont="1" applyFill="1" applyBorder="1" applyAlignment="1">
      <alignment horizontal="center" vertical="center" wrapText="1"/>
    </xf>
    <xf numFmtId="2" fontId="46" fillId="2" borderId="4" xfId="91" applyNumberFormat="1" applyFont="1" applyFill="1" applyBorder="1" applyAlignment="1">
      <alignment horizontal="center" vertical="center" wrapText="1"/>
    </xf>
    <xf numFmtId="4" fontId="125" fillId="2" borderId="20" xfId="91" applyNumberFormat="1" applyFont="1" applyFill="1" applyBorder="1" applyAlignment="1">
      <alignment horizontal="center" vertical="center" wrapText="1"/>
    </xf>
    <xf numFmtId="165" fontId="196" fillId="2" borderId="1" xfId="91" applyNumberFormat="1" applyFont="1" applyFill="1" applyBorder="1" applyAlignment="1">
      <alignment horizontal="center" vertical="center" wrapText="1"/>
    </xf>
    <xf numFmtId="0" fontId="196" fillId="2" borderId="4" xfId="91" applyFont="1" applyFill="1" applyBorder="1" applyAlignment="1">
      <alignment horizontal="center" vertical="center" wrapText="1"/>
    </xf>
    <xf numFmtId="167" fontId="46" fillId="2" borderId="4" xfId="91" applyNumberFormat="1" applyFont="1" applyFill="1" applyBorder="1" applyAlignment="1">
      <alignment horizontal="center" vertical="center" wrapText="1"/>
    </xf>
    <xf numFmtId="0" fontId="47" fillId="2" borderId="55" xfId="91" applyFont="1" applyFill="1" applyBorder="1" applyAlignment="1">
      <alignment horizontal="left" vertical="center" wrapText="1"/>
    </xf>
    <xf numFmtId="0" fontId="46" fillId="2" borderId="18" xfId="91" applyFont="1" applyFill="1" applyBorder="1" applyAlignment="1">
      <alignment horizontal="center" vertical="center" wrapText="1"/>
    </xf>
    <xf numFmtId="14" fontId="125" fillId="2" borderId="1" xfId="91" applyNumberFormat="1" applyFont="1" applyFill="1" applyBorder="1" applyAlignment="1">
      <alignment horizontal="center" vertical="center" wrapText="1"/>
    </xf>
    <xf numFmtId="2" fontId="46" fillId="2" borderId="1" xfId="91" applyNumberFormat="1" applyFont="1" applyFill="1" applyBorder="1" applyAlignment="1">
      <alignment horizontal="center" vertical="center" wrapText="1"/>
    </xf>
    <xf numFmtId="14" fontId="125" fillId="2" borderId="7" xfId="91" applyNumberFormat="1" applyFont="1" applyFill="1" applyBorder="1" applyAlignment="1">
      <alignment horizontal="center" vertical="center" wrapText="1"/>
    </xf>
    <xf numFmtId="165" fontId="196" fillId="2" borderId="7" xfId="91" applyNumberFormat="1" applyFont="1" applyFill="1" applyBorder="1" applyAlignment="1">
      <alignment horizontal="center" vertical="center" wrapText="1"/>
    </xf>
    <xf numFmtId="4" fontId="125" fillId="2" borderId="19" xfId="91" applyNumberFormat="1" applyFont="1" applyFill="1" applyBorder="1" applyAlignment="1">
      <alignment horizontal="center" vertical="center" wrapText="1"/>
    </xf>
    <xf numFmtId="0" fontId="196" fillId="2" borderId="1" xfId="91" applyFont="1" applyFill="1" applyBorder="1" applyAlignment="1">
      <alignment horizontal="center" vertical="center" wrapText="1"/>
    </xf>
    <xf numFmtId="167" fontId="46" fillId="2" borderId="1" xfId="91" applyNumberFormat="1" applyFont="1" applyFill="1" applyBorder="1" applyAlignment="1">
      <alignment horizontal="center" vertical="center" wrapText="1"/>
    </xf>
    <xf numFmtId="3" fontId="46" fillId="0" borderId="18" xfId="91" applyNumberFormat="1" applyFont="1" applyFill="1" applyBorder="1" applyAlignment="1">
      <alignment horizontal="center" vertical="center" wrapText="1"/>
    </xf>
    <xf numFmtId="16" fontId="46" fillId="2" borderId="1" xfId="91" applyNumberFormat="1" applyFont="1" applyFill="1" applyBorder="1" applyAlignment="1">
      <alignment horizontal="center" vertical="center" wrapText="1"/>
    </xf>
    <xf numFmtId="2" fontId="125" fillId="2" borderId="1" xfId="91" applyNumberFormat="1" applyFont="1" applyFill="1" applyBorder="1" applyAlignment="1">
      <alignment horizontal="center" vertical="center" wrapText="1"/>
    </xf>
    <xf numFmtId="0" fontId="137" fillId="2" borderId="0" xfId="91" applyFont="1" applyFill="1" applyBorder="1" applyAlignment="1">
      <alignment horizontal="center" vertical="center" wrapText="1"/>
    </xf>
    <xf numFmtId="165" fontId="50" fillId="0" borderId="0" xfId="91" applyNumberFormat="1" applyFont="1" applyAlignment="1">
      <alignment vertical="center"/>
    </xf>
    <xf numFmtId="14" fontId="46" fillId="0" borderId="0" xfId="91" applyNumberFormat="1" applyFont="1" applyAlignment="1">
      <alignment vertical="center"/>
    </xf>
    <xf numFmtId="49" fontId="50" fillId="0" borderId="0" xfId="91" applyNumberFormat="1" applyFont="1" applyAlignment="1">
      <alignment vertical="center"/>
    </xf>
    <xf numFmtId="49" fontId="50" fillId="0" borderId="0" xfId="91" applyNumberFormat="1" applyFont="1" applyAlignment="1">
      <alignment vertical="center" wrapText="1"/>
    </xf>
    <xf numFmtId="165" fontId="50" fillId="0" borderId="0" xfId="91" applyNumberFormat="1" applyFont="1" applyAlignment="1">
      <alignment horizontal="center" vertical="center"/>
    </xf>
    <xf numFmtId="165" fontId="50" fillId="0" borderId="0" xfId="91" applyNumberFormat="1" applyFont="1" applyAlignment="1"/>
    <xf numFmtId="14" fontId="46" fillId="0" borderId="0" xfId="91" applyNumberFormat="1" applyFont="1" applyAlignment="1"/>
    <xf numFmtId="49" fontId="50" fillId="0" borderId="0" xfId="91" applyNumberFormat="1" applyFont="1" applyAlignment="1"/>
    <xf numFmtId="165" fontId="65" fillId="0" borderId="0" xfId="91" applyNumberFormat="1" applyFont="1" applyAlignment="1"/>
    <xf numFmtId="49" fontId="65" fillId="0" borderId="0" xfId="91" applyNumberFormat="1" applyFont="1" applyAlignment="1"/>
    <xf numFmtId="165" fontId="62" fillId="0" borderId="0" xfId="91" applyNumberFormat="1" applyFont="1" applyBorder="1" applyAlignment="1">
      <alignment horizontal="center" vertical="center" wrapText="1"/>
    </xf>
    <xf numFmtId="14" fontId="21" fillId="0" borderId="0" xfId="91" applyNumberFormat="1" applyFont="1" applyBorder="1" applyAlignment="1">
      <alignment horizontal="center" vertical="center" wrapText="1"/>
    </xf>
    <xf numFmtId="49" fontId="62" fillId="0" borderId="0" xfId="91" applyNumberFormat="1" applyFont="1" applyBorder="1" applyAlignment="1">
      <alignment horizontal="center" vertical="center" wrapText="1"/>
    </xf>
    <xf numFmtId="165" fontId="47" fillId="5" borderId="18" xfId="91" applyNumberFormat="1" applyFont="1" applyFill="1" applyBorder="1" applyAlignment="1">
      <alignment vertical="center" wrapText="1"/>
    </xf>
    <xf numFmtId="165" fontId="47" fillId="5" borderId="1" xfId="91" applyNumberFormat="1" applyFont="1" applyFill="1" applyBorder="1" applyAlignment="1">
      <alignment vertical="center" wrapText="1"/>
    </xf>
    <xf numFmtId="165" fontId="47" fillId="5" borderId="19" xfId="91" applyNumberFormat="1" applyFont="1" applyFill="1" applyBorder="1" applyAlignment="1">
      <alignment vertical="center" wrapText="1"/>
    </xf>
    <xf numFmtId="14" fontId="47" fillId="5" borderId="1" xfId="91" applyNumberFormat="1" applyFont="1" applyFill="1" applyBorder="1" applyAlignment="1">
      <alignment vertical="center" wrapText="1"/>
    </xf>
    <xf numFmtId="49" fontId="47" fillId="5" borderId="1" xfId="91" applyNumberFormat="1" applyFont="1" applyFill="1" applyBorder="1" applyAlignment="1">
      <alignment vertical="center" wrapText="1"/>
    </xf>
    <xf numFmtId="4" fontId="51" fillId="2" borderId="1" xfId="25" applyNumberFormat="1" applyFont="1" applyFill="1" applyBorder="1" applyAlignment="1">
      <alignment horizontal="center"/>
    </xf>
    <xf numFmtId="0" fontId="42" fillId="0" borderId="0" xfId="93" applyFont="1" applyFill="1"/>
    <xf numFmtId="0" fontId="42" fillId="0" borderId="0" xfId="93" applyFont="1" applyFill="1" applyAlignment="1">
      <alignment horizontal="center" vertical="center"/>
    </xf>
    <xf numFmtId="0" fontId="42" fillId="0" borderId="0" xfId="93" applyFont="1" applyFill="1" applyAlignment="1">
      <alignment horizontal="left" vertical="center"/>
    </xf>
    <xf numFmtId="165" fontId="42" fillId="0" borderId="0" xfId="93" applyNumberFormat="1" applyFont="1" applyFill="1" applyBorder="1"/>
    <xf numFmtId="4" fontId="42" fillId="0" borderId="0" xfId="93" applyNumberFormat="1" applyFont="1" applyFill="1" applyBorder="1"/>
    <xf numFmtId="165" fontId="42" fillId="2" borderId="0" xfId="93" applyNumberFormat="1" applyFont="1" applyFill="1" applyBorder="1"/>
    <xf numFmtId="0" fontId="42" fillId="0" borderId="0" xfId="93" applyFont="1" applyAlignment="1">
      <alignment horizontal="left" vertical="center"/>
    </xf>
    <xf numFmtId="0" fontId="42" fillId="0" borderId="0" xfId="93" applyFont="1"/>
    <xf numFmtId="165" fontId="42" fillId="0" borderId="0" xfId="93" applyNumberFormat="1" applyFont="1"/>
    <xf numFmtId="165" fontId="42" fillId="0" borderId="1" xfId="93" applyNumberFormat="1" applyFont="1" applyBorder="1" applyAlignment="1">
      <alignment horizontal="center" vertical="center" wrapText="1"/>
    </xf>
    <xf numFmtId="165" fontId="41" fillId="0" borderId="1" xfId="93" applyNumberFormat="1" applyFont="1" applyFill="1" applyBorder="1" applyAlignment="1">
      <alignment horizontal="center" vertical="center" wrapText="1"/>
    </xf>
    <xf numFmtId="165" fontId="41" fillId="0" borderId="1" xfId="93" applyNumberFormat="1" applyFont="1" applyBorder="1" applyAlignment="1">
      <alignment horizontal="center" vertical="center" wrapText="1"/>
    </xf>
    <xf numFmtId="0" fontId="84" fillId="0" borderId="1" xfId="93" applyFont="1" applyBorder="1" applyAlignment="1">
      <alignment horizontal="center" vertical="center" wrapText="1"/>
    </xf>
    <xf numFmtId="4" fontId="84" fillId="0" borderId="1" xfId="93" applyNumberFormat="1" applyFont="1" applyBorder="1" applyAlignment="1">
      <alignment horizontal="center" vertical="center" wrapText="1"/>
    </xf>
    <xf numFmtId="0" fontId="84" fillId="0" borderId="1" xfId="93" applyFont="1" applyFill="1" applyBorder="1" applyAlignment="1">
      <alignment horizontal="center" vertical="center" wrapText="1"/>
    </xf>
    <xf numFmtId="3" fontId="84" fillId="0" borderId="1" xfId="93" applyNumberFormat="1" applyFont="1" applyFill="1" applyBorder="1" applyAlignment="1">
      <alignment horizontal="center" vertical="center" wrapText="1"/>
    </xf>
    <xf numFmtId="49" fontId="84" fillId="0" borderId="1" xfId="93" applyNumberFormat="1" applyFont="1" applyFill="1" applyBorder="1" applyAlignment="1">
      <alignment horizontal="center" vertical="center" wrapText="1"/>
    </xf>
    <xf numFmtId="165" fontId="84" fillId="0" borderId="1" xfId="93" applyNumberFormat="1" applyFont="1" applyBorder="1" applyAlignment="1">
      <alignment horizontal="center" vertical="center" wrapText="1"/>
    </xf>
    <xf numFmtId="0" fontId="42" fillId="0" borderId="0" xfId="93" applyFont="1" applyAlignment="1">
      <alignment horizontal="center"/>
    </xf>
    <xf numFmtId="0" fontId="57" fillId="0" borderId="1" xfId="93" applyFont="1" applyFill="1" applyBorder="1" applyAlignment="1">
      <alignment horizontal="center" vertical="center" wrapText="1"/>
    </xf>
    <xf numFmtId="0" fontId="57" fillId="0" borderId="1" xfId="93" applyFont="1" applyFill="1" applyBorder="1" applyAlignment="1">
      <alignment horizontal="left" vertical="center" wrapText="1"/>
    </xf>
    <xf numFmtId="0" fontId="42" fillId="0" borderId="1" xfId="93" applyFont="1" applyFill="1" applyBorder="1" applyAlignment="1">
      <alignment horizontal="center" vertical="center" wrapText="1"/>
    </xf>
    <xf numFmtId="0" fontId="57" fillId="0" borderId="0" xfId="93" applyFont="1" applyFill="1"/>
    <xf numFmtId="0" fontId="42" fillId="0" borderId="1" xfId="93" applyFont="1" applyFill="1" applyBorder="1" applyAlignment="1">
      <alignment horizontal="left" vertical="center" wrapText="1"/>
    </xf>
    <xf numFmtId="165" fontId="42" fillId="0" borderId="1" xfId="93" applyNumberFormat="1" applyFont="1" applyFill="1" applyBorder="1" applyAlignment="1">
      <alignment horizontal="right" vertical="center"/>
    </xf>
    <xf numFmtId="165" fontId="42" fillId="0" borderId="1" xfId="93" applyNumberFormat="1" applyFont="1" applyFill="1" applyBorder="1"/>
    <xf numFmtId="4" fontId="57" fillId="3" borderId="1" xfId="93" applyNumberFormat="1" applyFont="1" applyFill="1" applyBorder="1" applyAlignment="1">
      <alignment horizontal="center" vertical="center"/>
    </xf>
    <xf numFmtId="165" fontId="57" fillId="3" borderId="1" xfId="93" applyNumberFormat="1" applyFont="1" applyFill="1" applyBorder="1" applyAlignment="1">
      <alignment horizontal="center" vertical="center"/>
    </xf>
    <xf numFmtId="0" fontId="42" fillId="0" borderId="2" xfId="93" applyFont="1" applyFill="1" applyBorder="1" applyAlignment="1">
      <alignment horizontal="left" vertical="center" wrapText="1"/>
    </xf>
    <xf numFmtId="165" fontId="57" fillId="0" borderId="1" xfId="93" applyNumberFormat="1" applyFont="1" applyFill="1" applyBorder="1" applyAlignment="1">
      <alignment horizontal="center" vertical="center" wrapText="1"/>
    </xf>
    <xf numFmtId="165" fontId="42" fillId="0" borderId="1" xfId="93" applyNumberFormat="1" applyFont="1" applyFill="1" applyBorder="1" applyAlignment="1">
      <alignment horizontal="center" vertical="center" wrapText="1"/>
    </xf>
    <xf numFmtId="0" fontId="57" fillId="0" borderId="1" xfId="93" applyNumberFormat="1" applyFont="1" applyFill="1" applyBorder="1" applyAlignment="1" applyProtection="1">
      <alignment horizontal="center" wrapText="1"/>
    </xf>
    <xf numFmtId="0" fontId="42" fillId="0" borderId="1" xfId="93" applyNumberFormat="1" applyFont="1" applyFill="1" applyBorder="1" applyAlignment="1" applyProtection="1">
      <alignment horizontal="center" wrapText="1"/>
    </xf>
    <xf numFmtId="4" fontId="42" fillId="0" borderId="1" xfId="93" applyNumberFormat="1" applyFont="1" applyFill="1" applyBorder="1"/>
    <xf numFmtId="165" fontId="42" fillId="0" borderId="1" xfId="93" applyNumberFormat="1" applyFont="1" applyFill="1" applyBorder="1" applyAlignment="1">
      <alignment horizontal="center"/>
    </xf>
    <xf numFmtId="165" fontId="57" fillId="0" borderId="1" xfId="93" applyNumberFormat="1" applyFont="1" applyFill="1" applyBorder="1" applyAlignment="1" applyProtection="1">
      <alignment horizontal="center" vertical="center" wrapText="1"/>
    </xf>
    <xf numFmtId="4" fontId="57" fillId="0" borderId="1" xfId="93" applyNumberFormat="1" applyFont="1" applyFill="1" applyBorder="1" applyAlignment="1" applyProtection="1">
      <alignment horizontal="center" vertical="center" wrapText="1"/>
    </xf>
    <xf numFmtId="0" fontId="42" fillId="0" borderId="1" xfId="93" applyFont="1" applyFill="1" applyBorder="1" applyAlignment="1">
      <alignment horizontal="center" vertical="center"/>
    </xf>
    <xf numFmtId="165" fontId="42" fillId="0" borderId="1" xfId="93" applyNumberFormat="1" applyFont="1" applyFill="1" applyBorder="1" applyAlignment="1" applyProtection="1">
      <alignment horizontal="center" vertical="center" wrapText="1"/>
    </xf>
    <xf numFmtId="165" fontId="57" fillId="0" borderId="1" xfId="93" applyNumberFormat="1" applyFont="1" applyFill="1" applyBorder="1" applyAlignment="1">
      <alignment horizontal="center" vertical="center"/>
    </xf>
    <xf numFmtId="165" fontId="42" fillId="0" borderId="1" xfId="93" applyNumberFormat="1" applyFont="1" applyFill="1" applyBorder="1" applyAlignment="1">
      <alignment horizontal="center" vertical="center"/>
    </xf>
    <xf numFmtId="165" fontId="57" fillId="0" borderId="2" xfId="93" applyNumberFormat="1" applyFont="1" applyFill="1" applyBorder="1" applyAlignment="1">
      <alignment horizontal="center" vertical="center"/>
    </xf>
    <xf numFmtId="165" fontId="42" fillId="0" borderId="2" xfId="93" applyNumberFormat="1" applyFont="1" applyFill="1" applyBorder="1" applyAlignment="1">
      <alignment horizontal="center" vertical="center"/>
    </xf>
    <xf numFmtId="0" fontId="57" fillId="25" borderId="1" xfId="93" applyNumberFormat="1" applyFont="1" applyFill="1" applyBorder="1" applyAlignment="1" applyProtection="1">
      <alignment horizontal="center" vertical="center" wrapText="1"/>
    </xf>
    <xf numFmtId="0" fontId="42" fillId="25" borderId="1" xfId="93" applyNumberFormat="1" applyFont="1" applyFill="1" applyBorder="1" applyAlignment="1" applyProtection="1">
      <alignment horizontal="center" vertical="center" wrapText="1"/>
    </xf>
    <xf numFmtId="0" fontId="57" fillId="25" borderId="1" xfId="93" applyNumberFormat="1" applyFont="1" applyFill="1" applyBorder="1" applyAlignment="1" applyProtection="1">
      <alignment horizontal="left" vertical="center" wrapText="1"/>
    </xf>
    <xf numFmtId="165" fontId="57" fillId="25" borderId="1" xfId="93" applyNumberFormat="1" applyFont="1" applyFill="1" applyBorder="1" applyAlignment="1">
      <alignment horizontal="center" vertical="center"/>
    </xf>
    <xf numFmtId="4" fontId="57" fillId="25" borderId="1" xfId="93" applyNumberFormat="1" applyFont="1" applyFill="1" applyBorder="1" applyAlignment="1">
      <alignment horizontal="center" vertical="center"/>
    </xf>
    <xf numFmtId="165" fontId="57" fillId="25" borderId="2" xfId="93" applyNumberFormat="1" applyFont="1" applyFill="1" applyBorder="1" applyAlignment="1">
      <alignment horizontal="center" vertical="center"/>
    </xf>
    <xf numFmtId="0" fontId="57" fillId="25" borderId="55" xfId="93" applyFont="1" applyFill="1" applyBorder="1" applyAlignment="1">
      <alignment horizontal="left" vertical="center" wrapText="1"/>
    </xf>
    <xf numFmtId="0" fontId="42" fillId="25" borderId="0" xfId="93" applyFont="1" applyFill="1" applyAlignment="1">
      <alignment horizontal="center" vertical="center"/>
    </xf>
    <xf numFmtId="0" fontId="42" fillId="0" borderId="55" xfId="93" applyFont="1" applyFill="1" applyBorder="1" applyAlignment="1">
      <alignment horizontal="left" vertical="center" wrapText="1"/>
    </xf>
    <xf numFmtId="4" fontId="42" fillId="0" borderId="1" xfId="93" applyNumberFormat="1" applyFont="1" applyFill="1" applyBorder="1" applyAlignment="1" applyProtection="1">
      <alignment horizontal="center" vertical="center" wrapText="1"/>
    </xf>
    <xf numFmtId="0" fontId="42" fillId="0" borderId="55" xfId="93" applyNumberFormat="1" applyFont="1" applyFill="1" applyBorder="1" applyAlignment="1" applyProtection="1">
      <alignment vertical="center" wrapText="1"/>
    </xf>
    <xf numFmtId="0" fontId="57" fillId="0" borderId="0" xfId="93" applyFont="1" applyFill="1" applyAlignment="1">
      <alignment horizontal="center"/>
    </xf>
    <xf numFmtId="165" fontId="42" fillId="2" borderId="1" xfId="93" applyNumberFormat="1" applyFont="1" applyFill="1" applyBorder="1" applyAlignment="1">
      <alignment horizontal="center" vertical="center"/>
    </xf>
    <xf numFmtId="0" fontId="123" fillId="0" borderId="0" xfId="93" applyFont="1"/>
    <xf numFmtId="0" fontId="123" fillId="0" borderId="0" xfId="93" applyFont="1" applyAlignment="1">
      <alignment horizontal="center" vertical="center"/>
    </xf>
    <xf numFmtId="0" fontId="123" fillId="0" borderId="0" xfId="93" applyFont="1" applyAlignment="1">
      <alignment horizontal="left" vertical="center"/>
    </xf>
    <xf numFmtId="165" fontId="123" fillId="0" borderId="0" xfId="93" applyNumberFormat="1" applyFont="1" applyAlignment="1">
      <alignment horizontal="right" vertical="center"/>
    </xf>
    <xf numFmtId="4" fontId="123" fillId="0" borderId="0" xfId="93" applyNumberFormat="1" applyFont="1" applyAlignment="1">
      <alignment horizontal="right" vertical="center"/>
    </xf>
    <xf numFmtId="165" fontId="123" fillId="0" borderId="0" xfId="93" applyNumberFormat="1" applyFont="1" applyFill="1" applyAlignment="1">
      <alignment horizontal="right" vertical="center"/>
    </xf>
    <xf numFmtId="0" fontId="123" fillId="0" borderId="0" xfId="93" applyFont="1" applyFill="1"/>
    <xf numFmtId="0" fontId="123" fillId="0" borderId="1" xfId="93" applyFont="1" applyFill="1" applyBorder="1" applyAlignment="1">
      <alignment horizontal="center" vertical="center"/>
    </xf>
    <xf numFmtId="0" fontId="123" fillId="0" borderId="1" xfId="93" applyFont="1" applyFill="1" applyBorder="1" applyAlignment="1">
      <alignment horizontal="left" vertical="center"/>
    </xf>
    <xf numFmtId="165" fontId="123" fillId="0" borderId="1" xfId="93" applyNumberFormat="1" applyFont="1" applyFill="1" applyBorder="1"/>
    <xf numFmtId="4" fontId="123" fillId="0" borderId="1" xfId="93" applyNumberFormat="1" applyFont="1" applyFill="1" applyBorder="1"/>
    <xf numFmtId="3" fontId="123" fillId="0" borderId="1" xfId="93" applyNumberFormat="1" applyFont="1" applyFill="1" applyBorder="1" applyAlignment="1">
      <alignment horizontal="center" vertical="center"/>
    </xf>
    <xf numFmtId="0" fontId="123" fillId="0" borderId="0" xfId="93" applyFont="1" applyFill="1" applyAlignment="1">
      <alignment horizontal="left" vertical="center"/>
    </xf>
    <xf numFmtId="0" fontId="42" fillId="0" borderId="1" xfId="93" applyFont="1" applyFill="1" applyBorder="1" applyAlignment="1">
      <alignment horizontal="left" vertical="center"/>
    </xf>
    <xf numFmtId="0" fontId="57" fillId="0" borderId="0" xfId="93" applyFont="1" applyAlignment="1">
      <alignment horizontal="center" vertical="center"/>
    </xf>
    <xf numFmtId="0" fontId="57" fillId="3" borderId="1" xfId="93" applyFont="1" applyFill="1" applyBorder="1" applyAlignment="1">
      <alignment horizontal="center" vertical="center"/>
    </xf>
    <xf numFmtId="165" fontId="57" fillId="0" borderId="0" xfId="93" applyNumberFormat="1" applyFont="1" applyAlignment="1">
      <alignment horizontal="center" vertical="center"/>
    </xf>
    <xf numFmtId="4" fontId="42" fillId="0" borderId="1" xfId="93" applyNumberFormat="1" applyFont="1" applyFill="1" applyBorder="1" applyAlignment="1">
      <alignment horizontal="center"/>
    </xf>
    <xf numFmtId="165" fontId="42" fillId="0" borderId="0" xfId="93" applyNumberFormat="1" applyFont="1" applyFill="1"/>
    <xf numFmtId="4" fontId="42" fillId="0" borderId="0" xfId="93" applyNumberFormat="1" applyFont="1" applyFill="1"/>
    <xf numFmtId="165" fontId="42" fillId="0" borderId="0" xfId="93" applyNumberFormat="1" applyFont="1" applyFill="1" applyAlignment="1">
      <alignment horizontal="right" vertical="center"/>
    </xf>
    <xf numFmtId="0" fontId="42" fillId="0" borderId="0" xfId="93" applyFont="1" applyAlignment="1">
      <alignment horizontal="center" vertical="center"/>
    </xf>
    <xf numFmtId="165" fontId="42" fillId="0" borderId="0" xfId="93" applyNumberFormat="1" applyFont="1" applyAlignment="1">
      <alignment horizontal="center" vertical="center"/>
    </xf>
    <xf numFmtId="180" fontId="42" fillId="0" borderId="0" xfId="93" applyNumberFormat="1" applyFont="1" applyFill="1"/>
    <xf numFmtId="14" fontId="42" fillId="0" borderId="0" xfId="93" applyNumberFormat="1" applyFont="1" applyFill="1"/>
    <xf numFmtId="0" fontId="42" fillId="2" borderId="0" xfId="93" applyFont="1" applyFill="1"/>
    <xf numFmtId="0" fontId="42" fillId="2" borderId="1" xfId="93" applyFont="1" applyFill="1" applyBorder="1" applyAlignment="1">
      <alignment horizontal="center" vertical="center"/>
    </xf>
    <xf numFmtId="0" fontId="42" fillId="2" borderId="1" xfId="93" applyFont="1" applyFill="1" applyBorder="1" applyAlignment="1">
      <alignment horizontal="left" vertical="center"/>
    </xf>
    <xf numFmtId="165" fontId="42" fillId="2" borderId="1" xfId="93" applyNumberFormat="1" applyFont="1" applyFill="1" applyBorder="1" applyAlignment="1">
      <alignment horizontal="center"/>
    </xf>
    <xf numFmtId="4" fontId="42" fillId="2" borderId="1" xfId="93" applyNumberFormat="1" applyFont="1" applyFill="1" applyBorder="1" applyAlignment="1">
      <alignment horizontal="center"/>
    </xf>
    <xf numFmtId="0" fontId="42" fillId="2" borderId="0" xfId="93" applyFont="1" applyFill="1" applyAlignment="1">
      <alignment horizontal="left" vertical="center"/>
    </xf>
    <xf numFmtId="0" fontId="42" fillId="0" borderId="0" xfId="91" applyFont="1" applyAlignment="1">
      <alignment vertical="center"/>
    </xf>
    <xf numFmtId="165" fontId="42" fillId="0" borderId="0" xfId="91" applyNumberFormat="1" applyFont="1" applyAlignment="1">
      <alignment horizontal="center" vertical="center"/>
    </xf>
    <xf numFmtId="165" fontId="42" fillId="0" borderId="0" xfId="91" applyNumberFormat="1" applyFont="1" applyAlignment="1">
      <alignment vertical="center" wrapText="1"/>
    </xf>
    <xf numFmtId="0" fontId="42" fillId="0" borderId="0" xfId="91" applyFont="1" applyAlignment="1">
      <alignment horizontal="left" vertical="center" wrapText="1"/>
    </xf>
    <xf numFmtId="165" fontId="41" fillId="0" borderId="1" xfId="91" applyNumberFormat="1" applyFont="1" applyBorder="1" applyAlignment="1">
      <alignment horizontal="center" vertical="center" wrapText="1"/>
    </xf>
    <xf numFmtId="165" fontId="19" fillId="0" borderId="1" xfId="91" applyNumberFormat="1" applyFont="1" applyBorder="1" applyAlignment="1">
      <alignment horizontal="center" vertical="center" wrapText="1"/>
    </xf>
    <xf numFmtId="1" fontId="42" fillId="0" borderId="0" xfId="91" applyNumberFormat="1" applyFont="1" applyAlignment="1">
      <alignment vertical="center"/>
    </xf>
    <xf numFmtId="0" fontId="57" fillId="12" borderId="1" xfId="91" applyFont="1" applyFill="1" applyBorder="1" applyAlignment="1">
      <alignment horizontal="left" vertical="center" wrapText="1"/>
    </xf>
    <xf numFmtId="165" fontId="57" fillId="12" borderId="1" xfId="91" applyNumberFormat="1" applyFont="1" applyFill="1" applyBorder="1" applyAlignment="1">
      <alignment horizontal="center" vertical="center" wrapText="1"/>
    </xf>
    <xf numFmtId="0" fontId="57" fillId="12" borderId="1" xfId="91" applyFont="1" applyFill="1" applyBorder="1" applyAlignment="1">
      <alignment horizontal="center" vertical="center" wrapText="1"/>
    </xf>
    <xf numFmtId="165" fontId="57" fillId="5" borderId="1" xfId="91" applyNumberFormat="1" applyFont="1" applyFill="1" applyBorder="1" applyAlignment="1">
      <alignment horizontal="center" vertical="center" wrapText="1"/>
    </xf>
    <xf numFmtId="0" fontId="57" fillId="5" borderId="1" xfId="91" applyFont="1" applyFill="1" applyBorder="1" applyAlignment="1">
      <alignment horizontal="center" vertical="center" wrapText="1"/>
    </xf>
    <xf numFmtId="0" fontId="57" fillId="5" borderId="0" xfId="91" applyFont="1" applyFill="1" applyAlignment="1">
      <alignment horizontal="center" vertical="center"/>
    </xf>
    <xf numFmtId="0" fontId="42" fillId="2" borderId="1" xfId="91" applyFont="1" applyFill="1" applyBorder="1" applyAlignment="1">
      <alignment vertical="center" wrapText="1"/>
    </xf>
    <xf numFmtId="165" fontId="42" fillId="2" borderId="1" xfId="91" applyNumberFormat="1" applyFont="1" applyFill="1" applyBorder="1" applyAlignment="1">
      <alignment horizontal="center" vertical="center"/>
    </xf>
    <xf numFmtId="165" fontId="42" fillId="2" borderId="1" xfId="91" applyNumberFormat="1" applyFont="1" applyFill="1" applyBorder="1" applyAlignment="1">
      <alignment vertical="center" wrapText="1"/>
    </xf>
    <xf numFmtId="0" fontId="42" fillId="2" borderId="0" xfId="91" applyFont="1" applyFill="1" applyAlignment="1">
      <alignment vertical="center"/>
    </xf>
    <xf numFmtId="165" fontId="57" fillId="2" borderId="1" xfId="91" applyNumberFormat="1" applyFont="1" applyFill="1" applyBorder="1" applyAlignment="1">
      <alignment horizontal="center" vertical="center"/>
    </xf>
    <xf numFmtId="0" fontId="57" fillId="2" borderId="0" xfId="91" applyFont="1" applyFill="1" applyAlignment="1">
      <alignment horizontal="center" vertical="center"/>
    </xf>
    <xf numFmtId="165" fontId="57" fillId="5" borderId="1" xfId="91" applyNumberFormat="1" applyFont="1" applyFill="1" applyBorder="1" applyAlignment="1">
      <alignment horizontal="center" vertical="center"/>
    </xf>
    <xf numFmtId="0" fontId="57" fillId="12" borderId="0" xfId="91" applyFont="1" applyFill="1" applyBorder="1" applyAlignment="1">
      <alignment vertical="center" wrapText="1"/>
    </xf>
    <xf numFmtId="0" fontId="57" fillId="12" borderId="5" xfId="91" applyFont="1" applyFill="1" applyBorder="1" applyAlignment="1">
      <alignment vertical="center" wrapText="1"/>
    </xf>
    <xf numFmtId="0" fontId="89" fillId="0" borderId="0" xfId="91" applyFont="1" applyAlignment="1">
      <alignment vertical="center"/>
    </xf>
    <xf numFmtId="165" fontId="42" fillId="0" borderId="0" xfId="91" applyNumberFormat="1" applyFont="1" applyAlignment="1">
      <alignment vertical="center"/>
    </xf>
    <xf numFmtId="14" fontId="42" fillId="0" borderId="0" xfId="91" applyNumberFormat="1" applyFont="1" applyAlignment="1">
      <alignment horizontal="left" vertical="center" wrapText="1"/>
    </xf>
    <xf numFmtId="0" fontId="197" fillId="2" borderId="0" xfId="29" applyFont="1" applyFill="1"/>
    <xf numFmtId="4" fontId="125" fillId="2" borderId="2" xfId="25" applyNumberFormat="1" applyFont="1" applyFill="1" applyBorder="1" applyAlignment="1">
      <alignment horizontal="center" vertical="center" wrapText="1"/>
    </xf>
    <xf numFmtId="14" fontId="125" fillId="0" borderId="0" xfId="25" applyNumberFormat="1" applyFont="1" applyBorder="1" applyAlignment="1">
      <alignment horizontal="center"/>
    </xf>
    <xf numFmtId="14" fontId="50" fillId="2" borderId="0" xfId="25" applyNumberFormat="1" applyFont="1" applyFill="1"/>
    <xf numFmtId="14" fontId="46" fillId="0" borderId="0" xfId="25" applyNumberFormat="1" applyFont="1"/>
    <xf numFmtId="4" fontId="125" fillId="2" borderId="0" xfId="25" applyNumberFormat="1" applyFont="1" applyFill="1"/>
    <xf numFmtId="4" fontId="125" fillId="2" borderId="1" xfId="25" applyNumberFormat="1" applyFont="1" applyFill="1" applyBorder="1" applyAlignment="1">
      <alignment horizontal="center" vertical="center" wrapText="1"/>
    </xf>
    <xf numFmtId="43" fontId="193" fillId="2" borderId="0" xfId="51" applyNumberFormat="1" applyFont="1" applyFill="1" applyAlignment="1">
      <alignment vertical="center"/>
    </xf>
    <xf numFmtId="0" fontId="193" fillId="2" borderId="0" xfId="51" applyFont="1" applyFill="1" applyAlignment="1">
      <alignment vertical="center"/>
    </xf>
    <xf numFmtId="43" fontId="193" fillId="2" borderId="0" xfId="51" applyNumberFormat="1" applyFont="1" applyFill="1" applyBorder="1" applyAlignment="1">
      <alignment vertical="center"/>
    </xf>
    <xf numFmtId="0" fontId="193" fillId="2" borderId="0" xfId="51" applyFont="1" applyFill="1" applyBorder="1" applyAlignment="1">
      <alignment horizontal="center" vertical="center"/>
    </xf>
    <xf numFmtId="4" fontId="193" fillId="2" borderId="0" xfId="51" applyNumberFormat="1" applyFont="1" applyFill="1" applyBorder="1" applyAlignment="1">
      <alignment vertical="center"/>
    </xf>
    <xf numFmtId="0" fontId="193" fillId="2" borderId="0" xfId="51" applyFont="1" applyFill="1" applyBorder="1" applyAlignment="1">
      <alignment vertical="center"/>
    </xf>
    <xf numFmtId="43" fontId="193" fillId="2" borderId="0" xfId="51" applyNumberFormat="1" applyFont="1" applyFill="1" applyBorder="1" applyAlignment="1">
      <alignment horizontal="right" vertical="center"/>
    </xf>
    <xf numFmtId="0" fontId="42" fillId="31" borderId="1" xfId="31" applyFont="1" applyFill="1" applyBorder="1" applyAlignment="1">
      <alignment vertical="center" wrapText="1"/>
    </xf>
    <xf numFmtId="4" fontId="123" fillId="15" borderId="1" xfId="91" applyNumberFormat="1" applyFont="1" applyFill="1" applyBorder="1" applyAlignment="1">
      <alignment horizontal="center" vertical="center" wrapText="1"/>
    </xf>
    <xf numFmtId="0" fontId="150" fillId="2" borderId="0" xfId="54" applyNumberFormat="1" applyFont="1" applyFill="1" applyBorder="1" applyAlignment="1">
      <alignment horizontal="left"/>
    </xf>
    <xf numFmtId="0" fontId="153" fillId="2" borderId="0" xfId="54" applyNumberFormat="1" applyFont="1" applyFill="1" applyBorder="1" applyAlignment="1">
      <alignment horizontal="left"/>
    </xf>
    <xf numFmtId="0" fontId="153" fillId="2" borderId="0" xfId="54" applyNumberFormat="1" applyFont="1" applyFill="1" applyBorder="1" applyAlignment="1">
      <alignment horizontal="center" vertical="top"/>
    </xf>
    <xf numFmtId="0" fontId="134" fillId="2" borderId="61" xfId="54" applyNumberFormat="1" applyFont="1" applyFill="1" applyBorder="1" applyAlignment="1">
      <alignment horizontal="left"/>
    </xf>
    <xf numFmtId="0" fontId="134" fillId="2" borderId="62" xfId="54" applyNumberFormat="1" applyFont="1" applyFill="1" applyBorder="1" applyAlignment="1">
      <alignment horizontal="left"/>
    </xf>
    <xf numFmtId="0" fontId="134" fillId="2" borderId="63" xfId="54" applyNumberFormat="1" applyFont="1" applyFill="1" applyBorder="1" applyAlignment="1">
      <alignment horizontal="left"/>
    </xf>
    <xf numFmtId="0" fontId="134" fillId="2" borderId="64" xfId="54" applyNumberFormat="1" applyFont="1" applyFill="1" applyBorder="1" applyAlignment="1">
      <alignment horizontal="left"/>
    </xf>
    <xf numFmtId="0" fontId="153" fillId="2" borderId="63" xfId="54" applyNumberFormat="1" applyFont="1" applyFill="1" applyBorder="1" applyAlignment="1">
      <alignment horizontal="center" vertical="top"/>
    </xf>
    <xf numFmtId="0" fontId="153" fillId="2" borderId="64" xfId="54" applyNumberFormat="1" applyFont="1" applyFill="1" applyBorder="1" applyAlignment="1">
      <alignment horizontal="center" vertical="top"/>
    </xf>
    <xf numFmtId="0" fontId="134" fillId="2" borderId="69" xfId="54" applyNumberFormat="1" applyFont="1" applyFill="1" applyBorder="1" applyAlignment="1">
      <alignment horizontal="left"/>
    </xf>
    <xf numFmtId="0" fontId="134" fillId="2" borderId="70" xfId="54" applyNumberFormat="1" applyFont="1" applyFill="1" applyBorder="1" applyAlignment="1">
      <alignment horizontal="left"/>
    </xf>
    <xf numFmtId="0" fontId="134" fillId="2" borderId="71" xfId="54" applyNumberFormat="1" applyFont="1" applyFill="1" applyBorder="1" applyAlignment="1">
      <alignment horizontal="left"/>
    </xf>
    <xf numFmtId="0" fontId="134" fillId="2" borderId="72" xfId="54" applyNumberFormat="1" applyFont="1" applyFill="1" applyBorder="1" applyAlignment="1">
      <alignment horizontal="left"/>
    </xf>
    <xf numFmtId="0" fontId="51" fillId="2" borderId="1" xfId="25" applyFont="1" applyFill="1" applyBorder="1" applyAlignment="1">
      <alignment horizontal="center" vertical="center" wrapText="1"/>
    </xf>
    <xf numFmtId="0" fontId="51" fillId="0" borderId="0" xfId="25" applyFont="1" applyBorder="1" applyAlignment="1">
      <alignment horizontal="center" wrapText="1"/>
    </xf>
    <xf numFmtId="0" fontId="51" fillId="0" borderId="1" xfId="25" applyFont="1" applyBorder="1" applyAlignment="1">
      <alignment horizontal="center" vertical="center" wrapText="1"/>
    </xf>
    <xf numFmtId="0" fontId="51" fillId="2" borderId="0" xfId="25" applyFont="1" applyFill="1" applyBorder="1" applyAlignment="1">
      <alignment horizontal="center"/>
    </xf>
    <xf numFmtId="0" fontId="134" fillId="2" borderId="0" xfId="54" applyNumberFormat="1" applyFont="1" applyFill="1" applyBorder="1" applyAlignment="1">
      <alignment horizontal="left"/>
    </xf>
    <xf numFmtId="0" fontId="154" fillId="2" borderId="0" xfId="54" applyNumberFormat="1" applyFont="1" applyFill="1" applyBorder="1" applyAlignment="1">
      <alignment horizontal="left"/>
    </xf>
    <xf numFmtId="14" fontId="51" fillId="2" borderId="0" xfId="25" applyNumberFormat="1" applyFont="1" applyFill="1"/>
    <xf numFmtId="0" fontId="91" fillId="2" borderId="0" xfId="25" applyFont="1" applyFill="1"/>
    <xf numFmtId="0" fontId="52" fillId="0" borderId="0" xfId="86" applyFont="1" applyBorder="1"/>
    <xf numFmtId="0" fontId="188" fillId="0" borderId="0" xfId="86" applyFont="1" applyBorder="1" applyAlignment="1">
      <alignment wrapText="1"/>
    </xf>
    <xf numFmtId="165" fontId="188" fillId="0" borderId="0" xfId="86" applyNumberFormat="1" applyFont="1" applyBorder="1" applyAlignment="1">
      <alignment horizontal="center"/>
    </xf>
    <xf numFmtId="165" fontId="189" fillId="2" borderId="0" xfId="86" applyNumberFormat="1" applyFont="1" applyFill="1" applyBorder="1" applyAlignment="1">
      <alignment horizontal="center"/>
    </xf>
    <xf numFmtId="165" fontId="52" fillId="0" borderId="0" xfId="86" applyNumberFormat="1" applyFont="1" applyBorder="1" applyAlignment="1">
      <alignment horizontal="center"/>
    </xf>
    <xf numFmtId="0" fontId="65" fillId="0" borderId="0" xfId="86" applyFont="1" applyBorder="1"/>
    <xf numFmtId="0" fontId="60" fillId="0" borderId="0" xfId="86" applyFont="1" applyBorder="1" applyAlignment="1">
      <alignment wrapText="1"/>
    </xf>
    <xf numFmtId="165" fontId="60" fillId="0" borderId="0" xfId="86" applyNumberFormat="1" applyFont="1" applyBorder="1" applyAlignment="1">
      <alignment horizontal="center"/>
    </xf>
    <xf numFmtId="165" fontId="85" fillId="2" borderId="0" xfId="86" applyNumberFormat="1" applyFont="1" applyFill="1" applyBorder="1" applyAlignment="1">
      <alignment horizontal="center"/>
    </xf>
    <xf numFmtId="165" fontId="65" fillId="0" borderId="0" xfId="86" applyNumberFormat="1" applyFont="1" applyBorder="1" applyAlignment="1">
      <alignment horizontal="center"/>
    </xf>
    <xf numFmtId="0" fontId="50" fillId="0" borderId="0" xfId="86" applyFont="1" applyBorder="1"/>
    <xf numFmtId="0" fontId="50" fillId="0" borderId="0" xfId="86" applyFont="1" applyBorder="1" applyAlignment="1">
      <alignment wrapText="1"/>
    </xf>
    <xf numFmtId="3" fontId="50" fillId="0" borderId="0" xfId="86" applyNumberFormat="1" applyFont="1" applyBorder="1" applyAlignment="1">
      <alignment horizontal="center"/>
    </xf>
    <xf numFmtId="165" fontId="50" fillId="0" borderId="0" xfId="86" applyNumberFormat="1" applyFont="1" applyBorder="1" applyAlignment="1">
      <alignment horizontal="center"/>
    </xf>
    <xf numFmtId="165" fontId="63" fillId="2" borderId="0" xfId="86" applyNumberFormat="1" applyFont="1" applyFill="1" applyBorder="1" applyAlignment="1">
      <alignment horizontal="center"/>
    </xf>
    <xf numFmtId="3" fontId="60" fillId="0" borderId="0" xfId="86" applyNumberFormat="1" applyFont="1" applyBorder="1" applyAlignment="1">
      <alignment horizontal="center"/>
    </xf>
    <xf numFmtId="0" fontId="60" fillId="2" borderId="0" xfId="86" applyFont="1" applyFill="1" applyBorder="1" applyAlignment="1"/>
    <xf numFmtId="3" fontId="60" fillId="2" borderId="0" xfId="86" applyNumberFormat="1" applyFont="1" applyFill="1" applyBorder="1" applyAlignment="1">
      <alignment horizontal="center"/>
    </xf>
    <xf numFmtId="165" fontId="60" fillId="2" borderId="0" xfId="86" applyNumberFormat="1" applyFont="1" applyFill="1" applyBorder="1" applyAlignment="1">
      <alignment horizontal="center"/>
    </xf>
    <xf numFmtId="0" fontId="60" fillId="0" borderId="0" xfId="86" applyFont="1" applyBorder="1" applyAlignment="1"/>
    <xf numFmtId="0" fontId="91" fillId="0" borderId="0" xfId="91" applyFont="1"/>
    <xf numFmtId="0" fontId="91" fillId="0" borderId="0" xfId="91" applyFont="1" applyAlignment="1">
      <alignment wrapText="1"/>
    </xf>
    <xf numFmtId="3" fontId="91" fillId="0" borderId="0" xfId="91" applyNumberFormat="1" applyFont="1" applyAlignment="1">
      <alignment horizontal="center"/>
    </xf>
    <xf numFmtId="165" fontId="91" fillId="0" borderId="0" xfId="91" applyNumberFormat="1" applyFont="1" applyAlignment="1">
      <alignment horizontal="center"/>
    </xf>
    <xf numFmtId="165" fontId="132" fillId="2" borderId="0" xfId="91" applyNumberFormat="1" applyFont="1" applyFill="1" applyAlignment="1">
      <alignment horizontal="center"/>
    </xf>
    <xf numFmtId="165" fontId="132" fillId="0" borderId="0" xfId="91" applyNumberFormat="1" applyFont="1" applyAlignment="1">
      <alignment horizontal="center"/>
    </xf>
    <xf numFmtId="165" fontId="91" fillId="2" borderId="0" xfId="91" applyNumberFormat="1" applyFont="1" applyFill="1" applyAlignment="1">
      <alignment horizontal="center"/>
    </xf>
    <xf numFmtId="0" fontId="19" fillId="2" borderId="0" xfId="25" applyFont="1" applyFill="1" applyBorder="1" applyAlignment="1">
      <alignment vertical="center" wrapText="1"/>
    </xf>
    <xf numFmtId="0" fontId="19" fillId="2" borderId="0" xfId="25" applyFont="1" applyFill="1" applyBorder="1" applyAlignment="1">
      <alignment vertical="center"/>
    </xf>
    <xf numFmtId="0" fontId="19" fillId="2" borderId="0" xfId="25" applyFont="1" applyFill="1" applyBorder="1" applyAlignment="1">
      <alignment horizontal="right" vertical="center"/>
    </xf>
    <xf numFmtId="0" fontId="19" fillId="2" borderId="1" xfId="25" applyFont="1" applyFill="1" applyBorder="1" applyAlignment="1">
      <alignment horizontal="center" vertical="center" textRotation="90" wrapText="1"/>
    </xf>
    <xf numFmtId="0" fontId="19" fillId="2" borderId="1" xfId="25" applyFont="1" applyFill="1" applyBorder="1" applyAlignment="1">
      <alignment horizontal="center" vertical="center" wrapText="1"/>
    </xf>
    <xf numFmtId="0" fontId="19" fillId="2" borderId="1" xfId="25" applyFont="1" applyFill="1" applyBorder="1" applyAlignment="1">
      <alignment vertical="center" wrapText="1"/>
    </xf>
    <xf numFmtId="4" fontId="19" fillId="2" borderId="1" xfId="25" applyNumberFormat="1" applyFont="1" applyFill="1" applyBorder="1" applyAlignment="1">
      <alignment horizontal="center" vertical="center" wrapText="1"/>
    </xf>
    <xf numFmtId="4" fontId="134" fillId="2" borderId="1" xfId="25" applyNumberFormat="1" applyFont="1" applyFill="1" applyBorder="1" applyAlignment="1">
      <alignment horizontal="left" vertical="center" wrapText="1"/>
    </xf>
    <xf numFmtId="0" fontId="125" fillId="2" borderId="1" xfId="25" applyFont="1" applyFill="1" applyBorder="1" applyAlignment="1">
      <alignment horizontal="center" vertical="center" wrapText="1"/>
    </xf>
    <xf numFmtId="16" fontId="125" fillId="2" borderId="1" xfId="25" applyNumberFormat="1" applyFont="1" applyFill="1" applyBorder="1" applyAlignment="1">
      <alignment horizontal="center" vertical="center" wrapText="1"/>
    </xf>
    <xf numFmtId="0" fontId="140" fillId="2" borderId="1" xfId="25" applyFont="1" applyFill="1" applyBorder="1" applyAlignment="1">
      <alignment horizontal="center" vertical="center" wrapText="1"/>
    </xf>
    <xf numFmtId="0" fontId="140" fillId="2" borderId="1" xfId="25" applyFont="1" applyFill="1" applyBorder="1" applyAlignment="1">
      <alignment vertical="center" wrapText="1"/>
    </xf>
    <xf numFmtId="4" fontId="20" fillId="2" borderId="1" xfId="25" applyNumberFormat="1" applyFont="1" applyFill="1" applyBorder="1" applyAlignment="1">
      <alignment horizontal="center" vertical="center" wrapText="1"/>
    </xf>
    <xf numFmtId="4" fontId="19" fillId="2" borderId="0" xfId="25" applyNumberFormat="1" applyFont="1" applyFill="1" applyBorder="1" applyAlignment="1">
      <alignment horizontal="center" vertical="center" wrapText="1"/>
    </xf>
    <xf numFmtId="0" fontId="51" fillId="0" borderId="0" xfId="12" applyFont="1" applyAlignment="1">
      <alignment horizontal="center"/>
    </xf>
    <xf numFmtId="0" fontId="48" fillId="0" borderId="1" xfId="12" applyFont="1" applyBorder="1" applyAlignment="1">
      <alignment horizontal="center" vertical="center"/>
    </xf>
    <xf numFmtId="0" fontId="48" fillId="0" borderId="7" xfId="12" applyFont="1" applyBorder="1" applyAlignment="1">
      <alignment horizontal="center" vertical="center"/>
    </xf>
    <xf numFmtId="0" fontId="48" fillId="0" borderId="4" xfId="12" applyFont="1" applyBorder="1" applyAlignment="1">
      <alignment horizontal="center" vertical="center"/>
    </xf>
    <xf numFmtId="0" fontId="48" fillId="0" borderId="2" xfId="12" applyFont="1" applyBorder="1" applyAlignment="1">
      <alignment horizontal="center" vertical="center" wrapText="1"/>
    </xf>
    <xf numFmtId="0" fontId="48" fillId="0" borderId="5" xfId="12" applyFont="1" applyBorder="1" applyAlignment="1">
      <alignment horizontal="center" vertical="center" wrapText="1"/>
    </xf>
    <xf numFmtId="0" fontId="48" fillId="0" borderId="6" xfId="12" applyFont="1" applyBorder="1" applyAlignment="1">
      <alignment horizontal="center" vertical="center" wrapText="1"/>
    </xf>
    <xf numFmtId="0" fontId="48" fillId="5" borderId="2" xfId="12" applyFont="1" applyFill="1" applyBorder="1" applyAlignment="1">
      <alignment horizontal="center" vertical="center" wrapText="1"/>
    </xf>
    <xf numFmtId="0" fontId="48" fillId="5" borderId="5" xfId="12" applyFont="1" applyFill="1" applyBorder="1" applyAlignment="1">
      <alignment horizontal="center" vertical="center" wrapText="1"/>
    </xf>
    <xf numFmtId="0" fontId="48" fillId="5" borderId="6" xfId="12" applyFont="1" applyFill="1" applyBorder="1" applyAlignment="1">
      <alignment horizontal="center" vertical="center" wrapText="1"/>
    </xf>
    <xf numFmtId="0" fontId="48" fillId="0" borderId="1" xfId="12" applyFont="1" applyBorder="1" applyAlignment="1">
      <alignment horizontal="center" vertical="center" wrapText="1"/>
    </xf>
    <xf numFmtId="170" fontId="51" fillId="5" borderId="7" xfId="12" applyNumberFormat="1" applyFont="1" applyFill="1" applyBorder="1" applyAlignment="1">
      <alignment horizontal="center" vertical="center"/>
    </xf>
    <xf numFmtId="170" fontId="51" fillId="5" borderId="8" xfId="12" applyNumberFormat="1" applyFont="1" applyFill="1" applyBorder="1" applyAlignment="1">
      <alignment horizontal="center" vertical="center"/>
    </xf>
    <xf numFmtId="170" fontId="51" fillId="5" borderId="4" xfId="12" applyNumberFormat="1" applyFont="1" applyFill="1" applyBorder="1" applyAlignment="1">
      <alignment horizontal="center" vertical="center"/>
    </xf>
    <xf numFmtId="170" fontId="51" fillId="2" borderId="7" xfId="12" applyNumberFormat="1" applyFont="1" applyFill="1" applyBorder="1" applyAlignment="1">
      <alignment horizontal="center" vertical="center"/>
    </xf>
    <xf numFmtId="170" fontId="51" fillId="2" borderId="8" xfId="12" applyNumberFormat="1" applyFont="1" applyFill="1" applyBorder="1" applyAlignment="1">
      <alignment horizontal="center" vertical="center"/>
    </xf>
    <xf numFmtId="170" fontId="51" fillId="2" borderId="4" xfId="12" applyNumberFormat="1" applyFont="1" applyFill="1" applyBorder="1" applyAlignment="1">
      <alignment horizontal="center" vertical="center"/>
    </xf>
    <xf numFmtId="0" fontId="32" fillId="2" borderId="0" xfId="0" applyFont="1" applyFill="1" applyAlignment="1">
      <alignment horizontal="left" vertical="center"/>
    </xf>
    <xf numFmtId="0" fontId="33" fillId="2" borderId="0" xfId="0" applyFont="1" applyFill="1" applyAlignment="1">
      <alignment horizontal="center" vertical="center" wrapText="1"/>
    </xf>
    <xf numFmtId="0" fontId="35" fillId="2" borderId="0" xfId="0" applyFont="1" applyFill="1" applyAlignment="1">
      <alignment horizontal="center" vertical="center" wrapText="1"/>
    </xf>
    <xf numFmtId="0" fontId="36"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1" xfId="0" applyFont="1" applyFill="1" applyBorder="1" applyAlignment="1">
      <alignment horizontal="center" vertical="center" textRotation="90" wrapText="1"/>
    </xf>
    <xf numFmtId="0" fontId="25" fillId="2" borderId="1" xfId="8" applyFont="1" applyFill="1" applyBorder="1" applyAlignment="1">
      <alignment horizontal="center" vertical="center" textRotation="90" wrapText="1"/>
    </xf>
    <xf numFmtId="0" fontId="25" fillId="2" borderId="1" xfId="8"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36" fillId="2" borderId="0" xfId="0" applyFont="1" applyFill="1" applyAlignment="1">
      <alignment horizontal="left" vertical="center" wrapText="1"/>
    </xf>
    <xf numFmtId="0" fontId="37" fillId="2" borderId="1" xfId="0" applyFont="1" applyFill="1" applyBorder="1" applyAlignment="1">
      <alignment horizontal="center" vertical="center" wrapText="1"/>
    </xf>
    <xf numFmtId="168" fontId="25" fillId="2" borderId="7" xfId="0" applyNumberFormat="1" applyFont="1" applyFill="1" applyBorder="1" applyAlignment="1">
      <alignment horizontal="center" vertical="center" wrapText="1"/>
    </xf>
    <xf numFmtId="168" fontId="25" fillId="2" borderId="8" xfId="0" applyNumberFormat="1" applyFont="1" applyFill="1" applyBorder="1" applyAlignment="1">
      <alignment horizontal="center" vertical="center" wrapText="1"/>
    </xf>
    <xf numFmtId="0" fontId="37" fillId="2" borderId="2" xfId="0" applyFont="1" applyFill="1" applyBorder="1" applyAlignment="1">
      <alignment horizontal="center" vertical="center"/>
    </xf>
    <xf numFmtId="0" fontId="37" fillId="2" borderId="6" xfId="0" applyFont="1" applyFill="1" applyBorder="1" applyAlignment="1">
      <alignment horizontal="center" vertical="center"/>
    </xf>
    <xf numFmtId="0" fontId="22" fillId="2" borderId="0" xfId="0" applyFont="1" applyFill="1" applyAlignment="1">
      <alignment horizontal="left" vertical="center"/>
    </xf>
    <xf numFmtId="0" fontId="23" fillId="2" borderId="0" xfId="0" applyFont="1" applyFill="1" applyAlignment="1">
      <alignment horizontal="center" vertical="center" wrapText="1"/>
    </xf>
    <xf numFmtId="0" fontId="17" fillId="2" borderId="0" xfId="0" applyFont="1" applyFill="1" applyAlignment="1">
      <alignment horizontal="center" vertical="center" wrapText="1"/>
    </xf>
    <xf numFmtId="0" fontId="30"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textRotation="90" wrapText="1"/>
    </xf>
    <xf numFmtId="0" fontId="29" fillId="2" borderId="1" xfId="0" applyFont="1" applyFill="1" applyBorder="1" applyAlignment="1">
      <alignment horizontal="center" vertical="center" wrapText="1"/>
    </xf>
    <xf numFmtId="0" fontId="46" fillId="2" borderId="1" xfId="8" applyFont="1" applyFill="1" applyBorder="1" applyAlignment="1">
      <alignment horizontal="center" vertical="center" textRotation="90" wrapText="1"/>
    </xf>
    <xf numFmtId="0" fontId="46" fillId="2" borderId="1" xfId="8" applyFont="1" applyFill="1" applyBorder="1" applyAlignment="1">
      <alignment horizontal="center" vertical="center" wrapText="1"/>
    </xf>
    <xf numFmtId="168" fontId="21" fillId="2" borderId="7" xfId="0" applyNumberFormat="1" applyFont="1" applyFill="1" applyBorder="1" applyAlignment="1">
      <alignment horizontal="center" vertical="center" wrapText="1"/>
    </xf>
    <xf numFmtId="168" fontId="21" fillId="2" borderId="8" xfId="0" applyNumberFormat="1" applyFont="1" applyFill="1" applyBorder="1" applyAlignment="1">
      <alignment horizontal="center" vertical="center" wrapText="1"/>
    </xf>
    <xf numFmtId="0" fontId="42" fillId="2" borderId="2" xfId="51" applyFont="1" applyFill="1" applyBorder="1" applyAlignment="1">
      <alignment horizontal="center" vertical="center" wrapText="1"/>
    </xf>
    <xf numFmtId="0" fontId="42" fillId="2" borderId="5" xfId="51" applyFont="1" applyFill="1" applyBorder="1" applyAlignment="1">
      <alignment horizontal="center" vertical="center" wrapText="1"/>
    </xf>
    <xf numFmtId="0" fontId="42" fillId="2" borderId="6" xfId="51" applyFont="1" applyFill="1" applyBorder="1" applyAlignment="1">
      <alignment horizontal="center" vertical="center" wrapText="1"/>
    </xf>
    <xf numFmtId="0" fontId="42" fillId="2" borderId="0" xfId="51" applyFont="1" applyFill="1" applyBorder="1" applyAlignment="1">
      <alignment horizontal="center" vertical="center"/>
    </xf>
    <xf numFmtId="0" fontId="42" fillId="2" borderId="0" xfId="51" applyFont="1" applyFill="1" applyBorder="1" applyAlignment="1">
      <alignment horizontal="right" vertical="center"/>
    </xf>
    <xf numFmtId="0" fontId="42" fillId="2" borderId="1" xfId="51" applyFont="1" applyFill="1" applyBorder="1" applyAlignment="1">
      <alignment horizontal="center" vertical="center" wrapText="1"/>
    </xf>
    <xf numFmtId="0" fontId="42" fillId="2" borderId="0" xfId="51" applyFont="1" applyFill="1" applyAlignment="1">
      <alignment horizontal="left" vertical="center" wrapText="1"/>
    </xf>
    <xf numFmtId="0" fontId="42" fillId="2" borderId="0" xfId="51" applyFont="1" applyFill="1" applyAlignment="1">
      <alignment horizontal="center" vertical="center" wrapText="1"/>
    </xf>
    <xf numFmtId="0" fontId="42" fillId="2" borderId="0" xfId="51" applyFont="1" applyFill="1" applyAlignment="1">
      <alignment horizontal="left" vertical="center"/>
    </xf>
    <xf numFmtId="0" fontId="42" fillId="2" borderId="0" xfId="51" applyFont="1" applyFill="1" applyAlignment="1">
      <alignment horizontal="center" vertical="center"/>
    </xf>
    <xf numFmtId="0" fontId="149" fillId="2" borderId="26" xfId="53" applyFont="1" applyFill="1" applyBorder="1" applyAlignment="1">
      <alignment horizontal="center" vertical="center"/>
    </xf>
    <xf numFmtId="0" fontId="149" fillId="2" borderId="0" xfId="53" applyFont="1" applyFill="1" applyAlignment="1">
      <alignment horizontal="center" vertical="center"/>
    </xf>
    <xf numFmtId="0" fontId="42" fillId="2" borderId="3" xfId="31" applyFont="1" applyFill="1" applyBorder="1" applyAlignment="1">
      <alignment horizontal="left" vertical="center" wrapText="1"/>
    </xf>
    <xf numFmtId="4" fontId="42" fillId="2" borderId="0" xfId="51" applyNumberFormat="1" applyFont="1" applyFill="1" applyAlignment="1">
      <alignment horizontal="left" vertical="center"/>
    </xf>
    <xf numFmtId="0" fontId="42" fillId="2" borderId="7" xfId="51" applyFont="1" applyFill="1" applyBorder="1" applyAlignment="1">
      <alignment horizontal="center" vertical="center"/>
    </xf>
    <xf numFmtId="0" fontId="42" fillId="2" borderId="8" xfId="51" applyFont="1" applyFill="1" applyBorder="1" applyAlignment="1">
      <alignment horizontal="center" vertical="center"/>
    </xf>
    <xf numFmtId="0" fontId="42" fillId="2" borderId="4" xfId="51" applyFont="1" applyFill="1" applyBorder="1" applyAlignment="1">
      <alignment horizontal="center" vertical="center"/>
    </xf>
    <xf numFmtId="0" fontId="42" fillId="2" borderId="7" xfId="51" applyFont="1" applyFill="1" applyBorder="1" applyAlignment="1">
      <alignment horizontal="center" vertical="center" wrapText="1"/>
    </xf>
    <xf numFmtId="0" fontId="42" fillId="2" borderId="8" xfId="51" applyFont="1" applyFill="1" applyBorder="1" applyAlignment="1">
      <alignment horizontal="center" vertical="center" wrapText="1"/>
    </xf>
    <xf numFmtId="0" fontId="42" fillId="2" borderId="4" xfId="51" applyFont="1" applyFill="1" applyBorder="1" applyAlignment="1">
      <alignment horizontal="center" vertical="center" wrapText="1"/>
    </xf>
    <xf numFmtId="0" fontId="89" fillId="2" borderId="0" xfId="51" applyFont="1" applyFill="1" applyAlignment="1">
      <alignment horizontal="center" vertical="center"/>
    </xf>
    <xf numFmtId="0" fontId="57" fillId="2" borderId="0" xfId="51" applyFont="1" applyFill="1" applyAlignment="1">
      <alignment horizontal="center" vertical="center"/>
    </xf>
    <xf numFmtId="0" fontId="42" fillId="2" borderId="0" xfId="51" applyFont="1" applyFill="1" applyAlignment="1">
      <alignment horizontal="right" vertical="center"/>
    </xf>
    <xf numFmtId="0" fontId="42" fillId="2" borderId="10" xfId="51" applyFont="1" applyFill="1" applyBorder="1" applyAlignment="1">
      <alignment horizontal="center" vertical="center"/>
    </xf>
    <xf numFmtId="0" fontId="42" fillId="2" borderId="3" xfId="51" applyFont="1" applyFill="1" applyBorder="1" applyAlignment="1">
      <alignment horizontal="center" vertical="center"/>
    </xf>
    <xf numFmtId="0" fontId="154" fillId="2" borderId="0" xfId="54" applyNumberFormat="1" applyFont="1" applyFill="1" applyBorder="1" applyAlignment="1">
      <alignment horizontal="left"/>
    </xf>
    <xf numFmtId="0" fontId="155" fillId="2" borderId="0" xfId="54" applyNumberFormat="1" applyFont="1" applyFill="1" applyBorder="1" applyAlignment="1">
      <alignment horizontal="left"/>
    </xf>
    <xf numFmtId="0" fontId="154" fillId="2" borderId="0" xfId="54" applyNumberFormat="1" applyFont="1" applyFill="1" applyBorder="1" applyAlignment="1">
      <alignment horizontal="justify" vertical="top"/>
    </xf>
    <xf numFmtId="0" fontId="154" fillId="2" borderId="0" xfId="54" applyNumberFormat="1" applyFont="1" applyFill="1" applyBorder="1" applyAlignment="1">
      <alignment horizontal="justify" wrapText="1"/>
    </xf>
    <xf numFmtId="0" fontId="155" fillId="2" borderId="0" xfId="54" applyNumberFormat="1" applyFont="1" applyFill="1" applyBorder="1" applyAlignment="1">
      <alignment horizontal="justify" wrapText="1"/>
    </xf>
    <xf numFmtId="0" fontId="154" fillId="2" borderId="0" xfId="54" applyNumberFormat="1" applyFont="1" applyFill="1" applyBorder="1" applyAlignment="1">
      <alignment horizontal="justify"/>
    </xf>
    <xf numFmtId="0" fontId="134" fillId="2" borderId="63" xfId="54" applyNumberFormat="1" applyFont="1" applyFill="1" applyBorder="1" applyAlignment="1">
      <alignment horizontal="right"/>
    </xf>
    <xf numFmtId="0" fontId="134" fillId="2" borderId="0" xfId="54" applyNumberFormat="1" applyFont="1" applyFill="1" applyBorder="1" applyAlignment="1">
      <alignment horizontal="right"/>
    </xf>
    <xf numFmtId="49" fontId="134" fillId="2" borderId="10" xfId="54" applyNumberFormat="1" applyFont="1" applyFill="1" applyBorder="1" applyAlignment="1">
      <alignment horizontal="center"/>
    </xf>
    <xf numFmtId="0" fontId="134" fillId="2" borderId="0" xfId="54" applyNumberFormat="1" applyFont="1" applyFill="1" applyBorder="1" applyAlignment="1">
      <alignment horizontal="left"/>
    </xf>
    <xf numFmtId="49" fontId="134" fillId="2" borderId="10" xfId="54" applyNumberFormat="1" applyFont="1" applyFill="1" applyBorder="1" applyAlignment="1">
      <alignment horizontal="left"/>
    </xf>
    <xf numFmtId="0" fontId="134" fillId="2" borderId="65" xfId="54" applyNumberFormat="1" applyFont="1" applyFill="1" applyBorder="1" applyAlignment="1">
      <alignment horizontal="center"/>
    </xf>
    <xf numFmtId="0" fontId="134" fillId="2" borderId="10" xfId="54" applyNumberFormat="1" applyFont="1" applyFill="1" applyBorder="1" applyAlignment="1">
      <alignment horizontal="center"/>
    </xf>
    <xf numFmtId="0" fontId="134" fillId="2" borderId="66" xfId="54" applyNumberFormat="1" applyFont="1" applyFill="1" applyBorder="1" applyAlignment="1">
      <alignment horizontal="center"/>
    </xf>
    <xf numFmtId="0" fontId="153" fillId="2" borderId="67" xfId="54" applyNumberFormat="1" applyFont="1" applyFill="1" applyBorder="1" applyAlignment="1">
      <alignment horizontal="center" vertical="top"/>
    </xf>
    <xf numFmtId="0" fontId="153" fillId="2" borderId="3" xfId="54" applyNumberFormat="1" applyFont="1" applyFill="1" applyBorder="1" applyAlignment="1">
      <alignment horizontal="center" vertical="top"/>
    </xf>
    <xf numFmtId="0" fontId="153" fillId="2" borderId="68" xfId="54" applyNumberFormat="1" applyFont="1" applyFill="1" applyBorder="1" applyAlignment="1">
      <alignment horizontal="center" vertical="top"/>
    </xf>
    <xf numFmtId="2" fontId="150" fillId="2" borderId="2" xfId="54" applyNumberFormat="1" applyFont="1" applyFill="1" applyBorder="1" applyAlignment="1">
      <alignment horizontal="center"/>
    </xf>
    <xf numFmtId="2" fontId="150" fillId="2" borderId="5" xfId="54" applyNumberFormat="1" applyFont="1" applyFill="1" applyBorder="1" applyAlignment="1">
      <alignment horizontal="center"/>
    </xf>
    <xf numFmtId="2" fontId="150" fillId="2" borderId="6" xfId="54" applyNumberFormat="1" applyFont="1" applyFill="1" applyBorder="1" applyAlignment="1">
      <alignment horizontal="center"/>
    </xf>
    <xf numFmtId="49" fontId="134" fillId="2" borderId="3" xfId="54" applyNumberFormat="1" applyFont="1" applyFill="1" applyBorder="1" applyAlignment="1">
      <alignment horizontal="center"/>
    </xf>
    <xf numFmtId="49" fontId="134" fillId="2" borderId="23" xfId="54" applyNumberFormat="1" applyFont="1" applyFill="1" applyBorder="1" applyAlignment="1">
      <alignment horizontal="center"/>
    </xf>
    <xf numFmtId="49" fontId="134" fillId="2" borderId="50" xfId="54" applyNumberFormat="1" applyFont="1" applyFill="1" applyBorder="1" applyAlignment="1">
      <alignment horizontal="center"/>
    </xf>
    <xf numFmtId="0" fontId="134" fillId="2" borderId="9" xfId="54" applyNumberFormat="1" applyFont="1" applyFill="1" applyBorder="1" applyAlignment="1">
      <alignment horizontal="left" wrapText="1" indent="4"/>
    </xf>
    <xf numFmtId="0" fontId="134" fillId="2" borderId="3" xfId="54" applyNumberFormat="1" applyFont="1" applyFill="1" applyBorder="1" applyAlignment="1">
      <alignment horizontal="left" indent="4"/>
    </xf>
    <xf numFmtId="0" fontId="134" fillId="2" borderId="57" xfId="54" applyNumberFormat="1" applyFont="1" applyFill="1" applyBorder="1" applyAlignment="1">
      <alignment horizontal="left" indent="4"/>
    </xf>
    <xf numFmtId="49" fontId="134" fillId="2" borderId="24" xfId="54" applyNumberFormat="1" applyFont="1" applyFill="1" applyBorder="1" applyAlignment="1">
      <alignment horizontal="center"/>
    </xf>
    <xf numFmtId="49" fontId="134" fillId="2" borderId="59" xfId="54" applyNumberFormat="1" applyFont="1" applyFill="1" applyBorder="1" applyAlignment="1">
      <alignment horizontal="center"/>
    </xf>
    <xf numFmtId="49" fontId="134" fillId="2" borderId="49" xfId="54" applyNumberFormat="1" applyFont="1" applyFill="1" applyBorder="1" applyAlignment="1">
      <alignment horizontal="center"/>
    </xf>
    <xf numFmtId="49" fontId="134" fillId="2" borderId="45" xfId="54" applyNumberFormat="1" applyFont="1" applyFill="1" applyBorder="1" applyAlignment="1">
      <alignment horizontal="center"/>
    </xf>
    <xf numFmtId="49" fontId="134" fillId="2" borderId="9" xfId="54" applyNumberFormat="1" applyFont="1" applyFill="1" applyBorder="1" applyAlignment="1">
      <alignment horizontal="center"/>
    </xf>
    <xf numFmtId="49" fontId="134" fillId="2" borderId="41" xfId="54" applyNumberFormat="1" applyFont="1" applyFill="1" applyBorder="1" applyAlignment="1">
      <alignment horizontal="center"/>
    </xf>
    <xf numFmtId="4" fontId="134" fillId="2" borderId="9" xfId="54" applyNumberFormat="1" applyFont="1" applyFill="1" applyBorder="1" applyAlignment="1">
      <alignment horizontal="center"/>
    </xf>
    <xf numFmtId="4" fontId="134" fillId="2" borderId="3" xfId="54" applyNumberFormat="1" applyFont="1" applyFill="1" applyBorder="1" applyAlignment="1">
      <alignment horizontal="center"/>
    </xf>
    <xf numFmtId="4" fontId="134" fillId="2" borderId="23" xfId="54" applyNumberFormat="1" applyFont="1" applyFill="1" applyBorder="1" applyAlignment="1">
      <alignment horizontal="center"/>
    </xf>
    <xf numFmtId="4" fontId="134" fillId="2" borderId="41" xfId="54" applyNumberFormat="1" applyFont="1" applyFill="1" applyBorder="1" applyAlignment="1">
      <alignment horizontal="center"/>
    </xf>
    <xf numFmtId="4" fontId="134" fillId="2" borderId="49" xfId="54" applyNumberFormat="1" applyFont="1" applyFill="1" applyBorder="1" applyAlignment="1">
      <alignment horizontal="center"/>
    </xf>
    <xf numFmtId="4" fontId="134" fillId="2" borderId="45" xfId="54" applyNumberFormat="1" applyFont="1" applyFill="1" applyBorder="1" applyAlignment="1">
      <alignment horizontal="center"/>
    </xf>
    <xf numFmtId="2" fontId="134" fillId="2" borderId="9" xfId="54" applyNumberFormat="1" applyFont="1" applyFill="1" applyBorder="1" applyAlignment="1">
      <alignment horizontal="center"/>
    </xf>
    <xf numFmtId="2" fontId="134" fillId="2" borderId="3" xfId="54" applyNumberFormat="1" applyFont="1" applyFill="1" applyBorder="1" applyAlignment="1">
      <alignment horizontal="center"/>
    </xf>
    <xf numFmtId="2" fontId="134" fillId="2" borderId="57" xfId="54" applyNumberFormat="1" applyFont="1" applyFill="1" applyBorder="1" applyAlignment="1">
      <alignment horizontal="center"/>
    </xf>
    <xf numFmtId="2" fontId="134" fillId="2" borderId="41" xfId="54" applyNumberFormat="1" applyFont="1" applyFill="1" applyBorder="1" applyAlignment="1">
      <alignment horizontal="center"/>
    </xf>
    <xf numFmtId="2" fontId="134" fillId="2" borderId="49" xfId="54" applyNumberFormat="1" applyFont="1" applyFill="1" applyBorder="1" applyAlignment="1">
      <alignment horizontal="center"/>
    </xf>
    <xf numFmtId="2" fontId="134" fillId="2" borderId="60" xfId="54" applyNumberFormat="1" applyFont="1" applyFill="1" applyBorder="1" applyAlignment="1">
      <alignment horizontal="center"/>
    </xf>
    <xf numFmtId="0" fontId="134" fillId="2" borderId="52" xfId="54" applyNumberFormat="1" applyFont="1" applyFill="1" applyBorder="1" applyAlignment="1">
      <alignment horizontal="left" wrapText="1" indent="4"/>
    </xf>
    <xf numFmtId="0" fontId="134" fillId="2" borderId="10" xfId="54" applyNumberFormat="1" applyFont="1" applyFill="1" applyBorder="1" applyAlignment="1">
      <alignment horizontal="left" indent="4"/>
    </xf>
    <xf numFmtId="4" fontId="134" fillId="2" borderId="52" xfId="54" applyNumberFormat="1" applyFont="1" applyFill="1" applyBorder="1" applyAlignment="1">
      <alignment horizontal="center"/>
    </xf>
    <xf numFmtId="4" fontId="134" fillId="2" borderId="10" xfId="54" applyNumberFormat="1" applyFont="1" applyFill="1" applyBorder="1" applyAlignment="1">
      <alignment horizontal="center"/>
    </xf>
    <xf numFmtId="4" fontId="134" fillId="2" borderId="50" xfId="54" applyNumberFormat="1" applyFont="1" applyFill="1" applyBorder="1" applyAlignment="1">
      <alignment horizontal="center"/>
    </xf>
    <xf numFmtId="2" fontId="134" fillId="2" borderId="52" xfId="54" applyNumberFormat="1" applyFont="1" applyFill="1" applyBorder="1" applyAlignment="1">
      <alignment horizontal="center"/>
    </xf>
    <xf numFmtId="2" fontId="134" fillId="2" borderId="10" xfId="54" applyNumberFormat="1" applyFont="1" applyFill="1" applyBorder="1" applyAlignment="1">
      <alignment horizontal="center"/>
    </xf>
    <xf numFmtId="2" fontId="134" fillId="2" borderId="46" xfId="54" applyNumberFormat="1" applyFont="1" applyFill="1" applyBorder="1" applyAlignment="1">
      <alignment horizontal="center"/>
    </xf>
    <xf numFmtId="49" fontId="134" fillId="2" borderId="5" xfId="54" applyNumberFormat="1" applyFont="1" applyFill="1" applyBorder="1" applyAlignment="1">
      <alignment horizontal="center"/>
    </xf>
    <xf numFmtId="49" fontId="134" fillId="2" borderId="6" xfId="54" applyNumberFormat="1" applyFont="1" applyFill="1" applyBorder="1" applyAlignment="1">
      <alignment horizontal="center"/>
    </xf>
    <xf numFmtId="0" fontId="134" fillId="2" borderId="2" xfId="54" applyNumberFormat="1" applyFont="1" applyFill="1" applyBorder="1" applyAlignment="1">
      <alignment horizontal="left" wrapText="1"/>
    </xf>
    <xf numFmtId="0" fontId="134" fillId="2" borderId="5" xfId="54" applyNumberFormat="1" applyFont="1" applyFill="1" applyBorder="1" applyAlignment="1">
      <alignment horizontal="left"/>
    </xf>
    <xf numFmtId="49" fontId="134" fillId="2" borderId="51" xfId="54" applyNumberFormat="1" applyFont="1" applyFill="1" applyBorder="1" applyAlignment="1">
      <alignment horizontal="center"/>
    </xf>
    <xf numFmtId="49" fontId="134" fillId="2" borderId="2" xfId="54" applyNumberFormat="1" applyFont="1" applyFill="1" applyBorder="1" applyAlignment="1">
      <alignment horizontal="center"/>
    </xf>
    <xf numFmtId="4" fontId="150" fillId="2" borderId="2" xfId="54" applyNumberFormat="1" applyFont="1" applyFill="1" applyBorder="1" applyAlignment="1">
      <alignment horizontal="center"/>
    </xf>
    <xf numFmtId="4" fontId="150" fillId="2" borderId="5" xfId="54" applyNumberFormat="1" applyFont="1" applyFill="1" applyBorder="1" applyAlignment="1">
      <alignment horizontal="center"/>
    </xf>
    <xf numFmtId="4" fontId="150" fillId="2" borderId="6" xfId="54" applyNumberFormat="1" applyFont="1" applyFill="1" applyBorder="1" applyAlignment="1">
      <alignment horizontal="center"/>
    </xf>
    <xf numFmtId="49" fontId="134" fillId="2" borderId="58" xfId="54" applyNumberFormat="1" applyFont="1" applyFill="1" applyBorder="1" applyAlignment="1">
      <alignment horizontal="center"/>
    </xf>
    <xf numFmtId="49" fontId="134" fillId="2" borderId="52" xfId="54" applyNumberFormat="1" applyFont="1" applyFill="1" applyBorder="1" applyAlignment="1">
      <alignment horizontal="center"/>
    </xf>
    <xf numFmtId="4" fontId="134" fillId="2" borderId="2" xfId="54" applyNumberFormat="1" applyFont="1" applyFill="1" applyBorder="1" applyAlignment="1">
      <alignment horizontal="center"/>
    </xf>
    <xf numFmtId="4" fontId="134" fillId="2" borderId="5" xfId="54" applyNumberFormat="1" applyFont="1" applyFill="1" applyBorder="1" applyAlignment="1">
      <alignment horizontal="center"/>
    </xf>
    <xf numFmtId="4" fontId="134" fillId="2" borderId="6" xfId="54" applyNumberFormat="1" applyFont="1" applyFill="1" applyBorder="1" applyAlignment="1">
      <alignment horizontal="center"/>
    </xf>
    <xf numFmtId="0" fontId="134" fillId="2" borderId="2" xfId="54" applyNumberFormat="1" applyFont="1" applyFill="1" applyBorder="1" applyAlignment="1">
      <alignment horizontal="left" wrapText="1" indent="3"/>
    </xf>
    <xf numFmtId="0" fontId="134" fillId="2" borderId="5" xfId="54" applyNumberFormat="1" applyFont="1" applyFill="1" applyBorder="1" applyAlignment="1">
      <alignment horizontal="left" indent="3"/>
    </xf>
    <xf numFmtId="4" fontId="134" fillId="2" borderId="38" xfId="54" applyNumberFormat="1" applyFont="1" applyFill="1" applyBorder="1" applyAlignment="1">
      <alignment horizontal="center"/>
    </xf>
    <xf numFmtId="4" fontId="134" fillId="2" borderId="56" xfId="54" applyNumberFormat="1" applyFont="1" applyFill="1" applyBorder="1" applyAlignment="1">
      <alignment horizontal="center"/>
    </xf>
    <xf numFmtId="4" fontId="134" fillId="2" borderId="39" xfId="54" applyNumberFormat="1" applyFont="1" applyFill="1" applyBorder="1" applyAlignment="1">
      <alignment horizontal="center"/>
    </xf>
    <xf numFmtId="49" fontId="134" fillId="2" borderId="53" xfId="54" applyNumberFormat="1" applyFont="1" applyFill="1" applyBorder="1" applyAlignment="1">
      <alignment horizontal="center"/>
    </xf>
    <xf numFmtId="49" fontId="134" fillId="2" borderId="32" xfId="54" applyNumberFormat="1" applyFont="1" applyFill="1" applyBorder="1" applyAlignment="1">
      <alignment horizontal="center"/>
    </xf>
    <xf numFmtId="49" fontId="134" fillId="2" borderId="33" xfId="54" applyNumberFormat="1" applyFont="1" applyFill="1" applyBorder="1" applyAlignment="1">
      <alignment horizontal="center"/>
    </xf>
    <xf numFmtId="49" fontId="134" fillId="2" borderId="15" xfId="54" applyNumberFormat="1" applyFont="1" applyFill="1" applyBorder="1" applyAlignment="1">
      <alignment horizontal="center"/>
    </xf>
    <xf numFmtId="4" fontId="134" fillId="2" borderId="15" xfId="54" applyNumberFormat="1" applyFont="1" applyFill="1" applyBorder="1" applyAlignment="1">
      <alignment horizontal="center"/>
    </xf>
    <xf numFmtId="4" fontId="134" fillId="2" borderId="32" xfId="54" applyNumberFormat="1" applyFont="1" applyFill="1" applyBorder="1" applyAlignment="1">
      <alignment horizontal="center"/>
    </xf>
    <xf numFmtId="4" fontId="134" fillId="2" borderId="33" xfId="54" applyNumberFormat="1" applyFont="1" applyFill="1" applyBorder="1" applyAlignment="1">
      <alignment horizontal="center"/>
    </xf>
    <xf numFmtId="0" fontId="134" fillId="2" borderId="2" xfId="54" applyNumberFormat="1" applyFont="1" applyFill="1" applyBorder="1" applyAlignment="1">
      <alignment horizontal="left" wrapText="1" indent="2"/>
    </xf>
    <xf numFmtId="0" fontId="134" fillId="2" borderId="5" xfId="54" applyNumberFormat="1" applyFont="1" applyFill="1" applyBorder="1" applyAlignment="1">
      <alignment horizontal="left" indent="2"/>
    </xf>
    <xf numFmtId="49" fontId="134" fillId="2" borderId="54" xfId="54" applyNumberFormat="1" applyFont="1" applyFill="1" applyBorder="1" applyAlignment="1">
      <alignment horizontal="center"/>
    </xf>
    <xf numFmtId="49" fontId="134" fillId="2" borderId="56" xfId="54" applyNumberFormat="1" applyFont="1" applyFill="1" applyBorder="1" applyAlignment="1">
      <alignment horizontal="center"/>
    </xf>
    <xf numFmtId="49" fontId="134" fillId="2" borderId="39" xfId="54" applyNumberFormat="1" applyFont="1" applyFill="1" applyBorder="1" applyAlignment="1">
      <alignment horizontal="center"/>
    </xf>
    <xf numFmtId="49" fontId="134" fillId="2" borderId="38" xfId="54" applyNumberFormat="1" applyFont="1" applyFill="1" applyBorder="1" applyAlignment="1">
      <alignment horizontal="center"/>
    </xf>
    <xf numFmtId="4" fontId="134" fillId="2" borderId="55" xfId="54" applyNumberFormat="1" applyFont="1" applyFill="1" applyBorder="1" applyAlignment="1">
      <alignment horizontal="center"/>
    </xf>
    <xf numFmtId="0" fontId="134" fillId="2" borderId="2" xfId="54" applyNumberFormat="1" applyFont="1" applyFill="1" applyBorder="1" applyAlignment="1">
      <alignment horizontal="left" wrapText="1" indent="1"/>
    </xf>
    <xf numFmtId="0" fontId="134" fillId="2" borderId="5" xfId="54" applyNumberFormat="1" applyFont="1" applyFill="1" applyBorder="1" applyAlignment="1">
      <alignment horizontal="left" indent="1"/>
    </xf>
    <xf numFmtId="49" fontId="134" fillId="2" borderId="9" xfId="54" applyNumberFormat="1" applyFont="1" applyFill="1" applyBorder="1" applyAlignment="1">
      <alignment horizontal="center" vertical="top"/>
    </xf>
    <xf numFmtId="49" fontId="134" fillId="2" borderId="3" xfId="54" applyNumberFormat="1" applyFont="1" applyFill="1" applyBorder="1" applyAlignment="1">
      <alignment horizontal="center" vertical="top"/>
    </xf>
    <xf numFmtId="49" fontId="150" fillId="2" borderId="5" xfId="54" applyNumberFormat="1" applyFont="1" applyFill="1" applyBorder="1" applyAlignment="1">
      <alignment horizontal="center"/>
    </xf>
    <xf numFmtId="49" fontId="150" fillId="2" borderId="6" xfId="54" applyNumberFormat="1" applyFont="1" applyFill="1" applyBorder="1" applyAlignment="1">
      <alignment horizontal="center"/>
    </xf>
    <xf numFmtId="0" fontId="150" fillId="2" borderId="2" xfId="54" applyNumberFormat="1" applyFont="1" applyFill="1" applyBorder="1" applyAlignment="1">
      <alignment horizontal="left"/>
    </xf>
    <xf numFmtId="0" fontId="150" fillId="2" borderId="5" xfId="54" applyNumberFormat="1" applyFont="1" applyFill="1" applyBorder="1" applyAlignment="1">
      <alignment horizontal="left"/>
    </xf>
    <xf numFmtId="49" fontId="150" fillId="2" borderId="53" xfId="54" applyNumberFormat="1" applyFont="1" applyFill="1" applyBorder="1" applyAlignment="1">
      <alignment horizontal="center"/>
    </xf>
    <xf numFmtId="49" fontId="150" fillId="2" borderId="32" xfId="54" applyNumberFormat="1" applyFont="1" applyFill="1" applyBorder="1" applyAlignment="1">
      <alignment horizontal="center"/>
    </xf>
    <xf numFmtId="49" fontId="150" fillId="2" borderId="33" xfId="54" applyNumberFormat="1" applyFont="1" applyFill="1" applyBorder="1" applyAlignment="1">
      <alignment horizontal="center"/>
    </xf>
    <xf numFmtId="4" fontId="150" fillId="2" borderId="15" xfId="54" applyNumberFormat="1" applyFont="1" applyFill="1" applyBorder="1" applyAlignment="1">
      <alignment horizontal="center"/>
    </xf>
    <xf numFmtId="4" fontId="150" fillId="2" borderId="32" xfId="54" applyNumberFormat="1" applyFont="1" applyFill="1" applyBorder="1" applyAlignment="1">
      <alignment horizontal="center"/>
    </xf>
    <xf numFmtId="4" fontId="150" fillId="2" borderId="33" xfId="54" applyNumberFormat="1" applyFont="1" applyFill="1" applyBorder="1" applyAlignment="1">
      <alignment horizontal="center"/>
    </xf>
    <xf numFmtId="0" fontId="134" fillId="2" borderId="52" xfId="54" applyNumberFormat="1" applyFont="1" applyFill="1" applyBorder="1" applyAlignment="1">
      <alignment horizontal="center" vertical="top" wrapText="1"/>
    </xf>
    <xf numFmtId="0" fontId="134" fillId="2" borderId="10" xfId="54" applyNumberFormat="1" applyFont="1" applyFill="1" applyBorder="1" applyAlignment="1">
      <alignment horizontal="center" vertical="top" wrapText="1"/>
    </xf>
    <xf numFmtId="0" fontId="134" fillId="2" borderId="50" xfId="54" applyNumberFormat="1" applyFont="1" applyFill="1" applyBorder="1" applyAlignment="1">
      <alignment horizontal="center" vertical="top" wrapText="1"/>
    </xf>
    <xf numFmtId="49" fontId="134" fillId="2" borderId="5" xfId="54" applyNumberFormat="1" applyFont="1" applyFill="1" applyBorder="1" applyAlignment="1">
      <alignment horizontal="center" vertical="top"/>
    </xf>
    <xf numFmtId="49" fontId="134" fillId="2" borderId="6" xfId="54" applyNumberFormat="1" applyFont="1" applyFill="1" applyBorder="1" applyAlignment="1">
      <alignment horizontal="center" vertical="top"/>
    </xf>
    <xf numFmtId="49" fontId="134" fillId="2" borderId="23" xfId="54" applyNumberFormat="1" applyFont="1" applyFill="1" applyBorder="1" applyAlignment="1">
      <alignment horizontal="center" vertical="top"/>
    </xf>
    <xf numFmtId="49" fontId="134" fillId="2" borderId="5" xfId="54" applyNumberFormat="1" applyFont="1" applyFill="1" applyBorder="1" applyAlignment="1">
      <alignment horizontal="left"/>
    </xf>
    <xf numFmtId="0" fontId="134" fillId="2" borderId="3" xfId="54" applyNumberFormat="1" applyFont="1" applyFill="1" applyBorder="1" applyAlignment="1">
      <alignment horizontal="left"/>
    </xf>
    <xf numFmtId="0" fontId="134" fillId="2" borderId="23" xfId="54" applyNumberFormat="1" applyFont="1" applyFill="1" applyBorder="1" applyAlignment="1">
      <alignment horizontal="left"/>
    </xf>
    <xf numFmtId="0" fontId="134" fillId="2" borderId="9" xfId="54" applyNumberFormat="1" applyFont="1" applyFill="1" applyBorder="1" applyAlignment="1">
      <alignment horizontal="right"/>
    </xf>
    <xf numFmtId="0" fontId="134" fillId="2" borderId="3" xfId="54" applyNumberFormat="1" applyFont="1" applyFill="1" applyBorder="1" applyAlignment="1">
      <alignment horizontal="right"/>
    </xf>
    <xf numFmtId="0" fontId="134" fillId="2" borderId="9" xfId="54" applyNumberFormat="1" applyFont="1" applyFill="1" applyBorder="1" applyAlignment="1">
      <alignment horizontal="center" vertical="center" wrapText="1"/>
    </xf>
    <xf numFmtId="0" fontId="134" fillId="2" borderId="3" xfId="54" applyNumberFormat="1" applyFont="1" applyFill="1" applyBorder="1" applyAlignment="1">
      <alignment horizontal="center" vertical="center" wrapText="1"/>
    </xf>
    <xf numFmtId="0" fontId="134" fillId="2" borderId="52" xfId="54" applyNumberFormat="1" applyFont="1" applyFill="1" applyBorder="1" applyAlignment="1">
      <alignment horizontal="center" vertical="center" wrapText="1"/>
    </xf>
    <xf numFmtId="0" fontId="134" fillId="2" borderId="10" xfId="54" applyNumberFormat="1" applyFont="1" applyFill="1" applyBorder="1" applyAlignment="1">
      <alignment horizontal="center" vertical="center" wrapText="1"/>
    </xf>
    <xf numFmtId="0" fontId="150" fillId="2" borderId="0" xfId="54" applyNumberFormat="1" applyFont="1" applyFill="1" applyBorder="1" applyAlignment="1">
      <alignment horizontal="center"/>
    </xf>
    <xf numFmtId="0" fontId="134" fillId="2" borderId="23" xfId="54" applyNumberFormat="1" applyFont="1" applyFill="1" applyBorder="1" applyAlignment="1">
      <alignment horizontal="center" vertical="center" wrapText="1"/>
    </xf>
    <xf numFmtId="0" fontId="134" fillId="2" borderId="0" xfId="54" applyNumberFormat="1" applyFont="1" applyFill="1" applyBorder="1" applyAlignment="1">
      <alignment horizontal="center" vertical="center" wrapText="1"/>
    </xf>
    <xf numFmtId="0" fontId="134" fillId="2" borderId="27" xfId="54" applyNumberFormat="1" applyFont="1" applyFill="1" applyBorder="1" applyAlignment="1">
      <alignment horizontal="center" vertical="center" wrapText="1"/>
    </xf>
    <xf numFmtId="0" fontId="134" fillId="2" borderId="50" xfId="54" applyNumberFormat="1" applyFont="1" applyFill="1" applyBorder="1" applyAlignment="1">
      <alignment horizontal="center" vertical="center" wrapText="1"/>
    </xf>
    <xf numFmtId="0" fontId="134" fillId="2" borderId="3" xfId="54" applyNumberFormat="1" applyFont="1" applyFill="1" applyBorder="1" applyAlignment="1">
      <alignment horizontal="center" vertical="center"/>
    </xf>
    <xf numFmtId="0" fontId="134" fillId="2" borderId="23" xfId="54" applyNumberFormat="1" applyFont="1" applyFill="1" applyBorder="1" applyAlignment="1">
      <alignment horizontal="center" vertical="center"/>
    </xf>
    <xf numFmtId="0" fontId="134" fillId="2" borderId="0" xfId="54" applyNumberFormat="1" applyFont="1" applyFill="1" applyBorder="1" applyAlignment="1">
      <alignment horizontal="center" vertical="center"/>
    </xf>
    <xf numFmtId="0" fontId="134" fillId="2" borderId="27" xfId="54" applyNumberFormat="1" applyFont="1" applyFill="1" applyBorder="1" applyAlignment="1">
      <alignment horizontal="center" vertical="center"/>
    </xf>
    <xf numFmtId="0" fontId="134" fillId="2" borderId="10" xfId="54" applyNumberFormat="1" applyFont="1" applyFill="1" applyBorder="1" applyAlignment="1">
      <alignment horizontal="center" vertical="center"/>
    </xf>
    <xf numFmtId="0" fontId="134" fillId="2" borderId="50" xfId="54" applyNumberFormat="1" applyFont="1" applyFill="1" applyBorder="1" applyAlignment="1">
      <alignment horizontal="center" vertical="center"/>
    </xf>
    <xf numFmtId="0" fontId="134" fillId="2" borderId="26" xfId="54" applyNumberFormat="1" applyFont="1" applyFill="1" applyBorder="1" applyAlignment="1">
      <alignment horizontal="center" vertical="center" wrapText="1"/>
    </xf>
    <xf numFmtId="0" fontId="134" fillId="2" borderId="2" xfId="54" applyNumberFormat="1" applyFont="1" applyFill="1" applyBorder="1" applyAlignment="1">
      <alignment horizontal="center" vertical="center"/>
    </xf>
    <xf numFmtId="0" fontId="134" fillId="2" borderId="5" xfId="54" applyNumberFormat="1" applyFont="1" applyFill="1" applyBorder="1" applyAlignment="1">
      <alignment horizontal="center" vertical="center"/>
    </xf>
    <xf numFmtId="0" fontId="125" fillId="0" borderId="1" xfId="25" applyFont="1" applyBorder="1" applyAlignment="1">
      <alignment horizontal="center" vertical="center" wrapText="1"/>
    </xf>
    <xf numFmtId="0" fontId="125" fillId="0" borderId="0" xfId="25" applyFont="1" applyAlignment="1">
      <alignment horizontal="center"/>
    </xf>
    <xf numFmtId="0" fontId="125" fillId="0" borderId="10" xfId="25" applyFont="1" applyBorder="1" applyAlignment="1">
      <alignment horizontal="center"/>
    </xf>
    <xf numFmtId="0" fontId="125" fillId="0" borderId="7" xfId="25" applyFont="1" applyBorder="1" applyAlignment="1">
      <alignment horizontal="center" vertical="center" wrapText="1"/>
    </xf>
    <xf numFmtId="0" fontId="125" fillId="0" borderId="8" xfId="25" applyFont="1" applyBorder="1" applyAlignment="1">
      <alignment horizontal="center" vertical="center" wrapText="1"/>
    </xf>
    <xf numFmtId="0" fontId="125" fillId="0" borderId="4" xfId="25" applyFont="1" applyBorder="1" applyAlignment="1">
      <alignment horizontal="center" vertical="center" wrapText="1"/>
    </xf>
    <xf numFmtId="0" fontId="50" fillId="2" borderId="7" xfId="25" applyFont="1" applyFill="1" applyBorder="1" applyAlignment="1">
      <alignment horizontal="center" vertical="center" wrapText="1"/>
    </xf>
    <xf numFmtId="0" fontId="50" fillId="2" borderId="8" xfId="25" applyFont="1" applyFill="1" applyBorder="1" applyAlignment="1">
      <alignment horizontal="center" vertical="center" wrapText="1"/>
    </xf>
    <xf numFmtId="0" fontId="50" fillId="2" borderId="4" xfId="25" applyFont="1" applyFill="1" applyBorder="1" applyAlignment="1">
      <alignment horizontal="center" vertical="center" wrapText="1"/>
    </xf>
    <xf numFmtId="0" fontId="91" fillId="2" borderId="0" xfId="25" applyFont="1" applyFill="1" applyAlignment="1">
      <alignment horizontal="center" vertical="center" wrapText="1"/>
    </xf>
    <xf numFmtId="0" fontId="50" fillId="2" borderId="10" xfId="25" applyFont="1" applyFill="1" applyBorder="1" applyAlignment="1">
      <alignment horizontal="center" vertical="center"/>
    </xf>
    <xf numFmtId="0" fontId="50" fillId="2" borderId="3" xfId="25" applyFont="1" applyFill="1" applyBorder="1" applyAlignment="1">
      <alignment horizontal="center" vertical="center"/>
    </xf>
    <xf numFmtId="0" fontId="50" fillId="2" borderId="1" xfId="25" applyFont="1" applyFill="1" applyBorder="1" applyAlignment="1">
      <alignment horizontal="center" vertical="center" wrapText="1"/>
    </xf>
    <xf numFmtId="0" fontId="42" fillId="2" borderId="1" xfId="25" applyFont="1" applyFill="1" applyBorder="1" applyAlignment="1">
      <alignment horizontal="center" vertical="center" wrapText="1"/>
    </xf>
    <xf numFmtId="0" fontId="46" fillId="2" borderId="1" xfId="25" applyFont="1" applyFill="1" applyBorder="1" applyAlignment="1">
      <alignment horizontal="center" vertical="center" wrapText="1"/>
    </xf>
    <xf numFmtId="0" fontId="46" fillId="0" borderId="0" xfId="25" applyFont="1" applyAlignment="1">
      <alignment horizontal="center" wrapText="1"/>
    </xf>
    <xf numFmtId="0" fontId="46" fillId="0" borderId="1" xfId="25" applyFont="1" applyBorder="1" applyAlignment="1">
      <alignment horizontal="center" vertical="center" wrapText="1"/>
    </xf>
    <xf numFmtId="0" fontId="46" fillId="0" borderId="7" xfId="25" applyFont="1" applyBorder="1" applyAlignment="1">
      <alignment horizontal="center" vertical="center" wrapText="1"/>
    </xf>
    <xf numFmtId="0" fontId="46" fillId="0" borderId="8" xfId="25" applyFont="1" applyBorder="1" applyAlignment="1">
      <alignment horizontal="center" vertical="center" wrapText="1"/>
    </xf>
    <xf numFmtId="0" fontId="46" fillId="0" borderId="4" xfId="25" applyFont="1" applyBorder="1" applyAlignment="1">
      <alignment horizontal="center" vertical="center" wrapText="1"/>
    </xf>
    <xf numFmtId="0" fontId="11" fillId="0" borderId="2" xfId="25" applyFont="1" applyBorder="1" applyAlignment="1">
      <alignment horizontal="center" vertical="center" wrapText="1"/>
    </xf>
    <xf numFmtId="0" fontId="11" fillId="0" borderId="5" xfId="25" applyFont="1" applyBorder="1" applyAlignment="1">
      <alignment horizontal="center" vertical="center" wrapText="1"/>
    </xf>
    <xf numFmtId="0" fontId="11" fillId="0" borderId="6" xfId="25" applyFont="1" applyBorder="1" applyAlignment="1">
      <alignment horizontal="center" vertical="center" wrapText="1"/>
    </xf>
    <xf numFmtId="0" fontId="75" fillId="0" borderId="7" xfId="25" applyBorder="1" applyAlignment="1">
      <alignment horizontal="center" vertical="center"/>
    </xf>
    <xf numFmtId="0" fontId="75" fillId="0" borderId="8" xfId="25" applyBorder="1" applyAlignment="1">
      <alignment horizontal="center" vertical="center"/>
    </xf>
    <xf numFmtId="0" fontId="75" fillId="0" borderId="4" xfId="25" applyBorder="1" applyAlignment="1">
      <alignment horizontal="center" vertical="center"/>
    </xf>
    <xf numFmtId="0" fontId="75" fillId="0" borderId="10" xfId="25" applyBorder="1" applyAlignment="1">
      <alignment horizontal="center"/>
    </xf>
    <xf numFmtId="0" fontId="75" fillId="0" borderId="0" xfId="25" applyAlignment="1">
      <alignment horizontal="center" wrapText="1"/>
    </xf>
    <xf numFmtId="0" fontId="66" fillId="2" borderId="0" xfId="25" applyFont="1" applyFill="1" applyAlignment="1">
      <alignment horizontal="center"/>
    </xf>
    <xf numFmtId="0" fontId="56" fillId="2" borderId="7" xfId="25" applyFont="1" applyFill="1" applyBorder="1" applyAlignment="1">
      <alignment horizontal="center" vertical="center" wrapText="1"/>
    </xf>
    <xf numFmtId="0" fontId="56" fillId="2" borderId="8" xfId="25" applyFont="1" applyFill="1" applyBorder="1" applyAlignment="1">
      <alignment horizontal="center" vertical="center" wrapText="1"/>
    </xf>
    <xf numFmtId="0" fontId="56" fillId="2" borderId="4" xfId="25" applyFont="1" applyFill="1" applyBorder="1" applyAlignment="1">
      <alignment horizontal="center" vertical="center" wrapText="1"/>
    </xf>
    <xf numFmtId="0" fontId="56" fillId="2" borderId="9" xfId="25" applyFont="1" applyFill="1" applyBorder="1" applyAlignment="1">
      <alignment horizontal="center" vertical="center" wrapText="1"/>
    </xf>
    <xf numFmtId="0" fontId="56" fillId="2" borderId="23" xfId="25" applyFont="1" applyFill="1" applyBorder="1" applyAlignment="1">
      <alignment horizontal="center" vertical="center" wrapText="1"/>
    </xf>
    <xf numFmtId="0" fontId="56" fillId="2" borderId="26" xfId="25" applyFont="1" applyFill="1" applyBorder="1" applyAlignment="1">
      <alignment horizontal="center" vertical="center" wrapText="1"/>
    </xf>
    <xf numFmtId="0" fontId="56" fillId="2" borderId="27" xfId="25" applyFont="1" applyFill="1" applyBorder="1" applyAlignment="1">
      <alignment horizontal="center" vertical="center" wrapText="1"/>
    </xf>
    <xf numFmtId="0" fontId="56" fillId="2" borderId="52" xfId="25" applyFont="1" applyFill="1" applyBorder="1" applyAlignment="1">
      <alignment horizontal="center" vertical="center" wrapText="1"/>
    </xf>
    <xf numFmtId="0" fontId="56" fillId="2" borderId="50" xfId="25" applyFont="1" applyFill="1" applyBorder="1" applyAlignment="1">
      <alignment horizontal="center" vertical="center" wrapText="1"/>
    </xf>
    <xf numFmtId="0" fontId="56" fillId="2" borderId="2" xfId="25" applyFont="1" applyFill="1" applyBorder="1" applyAlignment="1">
      <alignment horizontal="center" vertical="center" wrapText="1"/>
    </xf>
    <xf numFmtId="0" fontId="56" fillId="2" borderId="5" xfId="25" applyFont="1" applyFill="1" applyBorder="1" applyAlignment="1">
      <alignment horizontal="center" vertical="center" wrapText="1"/>
    </xf>
    <xf numFmtId="0" fontId="56" fillId="2" borderId="6" xfId="25" applyFont="1" applyFill="1" applyBorder="1" applyAlignment="1">
      <alignment horizontal="center" vertical="center" wrapText="1"/>
    </xf>
    <xf numFmtId="0" fontId="75" fillId="2" borderId="7" xfId="25" applyFill="1" applyBorder="1" applyAlignment="1">
      <alignment horizontal="center" vertical="center" wrapText="1"/>
    </xf>
    <xf numFmtId="0" fontId="75" fillId="2" borderId="8" xfId="25" applyFill="1" applyBorder="1" applyAlignment="1">
      <alignment horizontal="center" vertical="center" wrapText="1"/>
    </xf>
    <xf numFmtId="0" fontId="75" fillId="2" borderId="4" xfId="25" applyFill="1" applyBorder="1" applyAlignment="1">
      <alignment horizontal="center" vertical="center" wrapText="1"/>
    </xf>
    <xf numFmtId="0" fontId="56" fillId="2" borderId="1" xfId="25" applyFont="1" applyFill="1" applyBorder="1" applyAlignment="1">
      <alignment horizontal="left" vertical="center" wrapText="1"/>
    </xf>
    <xf numFmtId="0" fontId="42" fillId="2" borderId="7" xfId="25" applyFont="1" applyFill="1" applyBorder="1" applyAlignment="1">
      <alignment horizontal="center" vertical="center" wrapText="1"/>
    </xf>
    <xf numFmtId="0" fontId="42" fillId="2" borderId="4" xfId="25" applyFont="1" applyFill="1" applyBorder="1" applyAlignment="1">
      <alignment horizontal="center" vertical="center" wrapText="1"/>
    </xf>
    <xf numFmtId="0" fontId="42" fillId="2" borderId="7" xfId="25" applyFont="1" applyFill="1" applyBorder="1" applyAlignment="1">
      <alignment horizontal="center" wrapText="1"/>
    </xf>
    <xf numFmtId="0" fontId="42" fillId="2" borderId="4" xfId="25" applyFont="1" applyFill="1" applyBorder="1" applyAlignment="1">
      <alignment horizontal="center" wrapText="1"/>
    </xf>
    <xf numFmtId="0" fontId="11" fillId="0" borderId="1" xfId="25" applyFont="1" applyBorder="1" applyAlignment="1">
      <alignment horizontal="center" vertical="center" wrapText="1"/>
    </xf>
    <xf numFmtId="0" fontId="75" fillId="0" borderId="0" xfId="25" applyBorder="1" applyAlignment="1">
      <alignment horizontal="center"/>
    </xf>
    <xf numFmtId="0" fontId="91" fillId="0" borderId="0" xfId="25" applyFont="1" applyAlignment="1">
      <alignment horizontal="center" wrapText="1"/>
    </xf>
    <xf numFmtId="0" fontId="50" fillId="0" borderId="1" xfId="25" applyFont="1" applyBorder="1" applyAlignment="1">
      <alignment horizontal="center" vertical="center" wrapText="1"/>
    </xf>
    <xf numFmtId="4" fontId="50" fillId="0" borderId="1" xfId="25" applyNumberFormat="1" applyFont="1" applyBorder="1" applyAlignment="1">
      <alignment horizontal="center" vertical="center" wrapText="1"/>
    </xf>
    <xf numFmtId="0" fontId="50" fillId="0" borderId="7" xfId="25" applyFont="1" applyBorder="1" applyAlignment="1">
      <alignment horizontal="center" vertical="center" wrapText="1"/>
    </xf>
    <xf numFmtId="0" fontId="50" fillId="0" borderId="8" xfId="25" applyFont="1" applyBorder="1" applyAlignment="1">
      <alignment horizontal="center" vertical="center" wrapText="1"/>
    </xf>
    <xf numFmtId="0" fontId="50" fillId="0" borderId="4" xfId="25" applyFont="1" applyBorder="1" applyAlignment="1">
      <alignment horizontal="center" vertical="center" wrapText="1"/>
    </xf>
    <xf numFmtId="0" fontId="11" fillId="2" borderId="1" xfId="25" applyFont="1" applyFill="1" applyBorder="1" applyAlignment="1">
      <alignment horizontal="center" vertical="center" wrapText="1"/>
    </xf>
    <xf numFmtId="4" fontId="11" fillId="2" borderId="1" xfId="25" applyNumberFormat="1" applyFont="1" applyFill="1" applyBorder="1" applyAlignment="1">
      <alignment horizontal="center" vertical="center" wrapText="1"/>
    </xf>
    <xf numFmtId="0" fontId="51" fillId="2" borderId="0" xfId="25" applyFont="1" applyFill="1" applyBorder="1" applyAlignment="1">
      <alignment horizontal="center"/>
    </xf>
    <xf numFmtId="0" fontId="75" fillId="2" borderId="10" xfId="25" applyFill="1" applyBorder="1" applyAlignment="1">
      <alignment horizontal="center"/>
    </xf>
    <xf numFmtId="0" fontId="51" fillId="2" borderId="0" xfId="25" applyFont="1" applyFill="1" applyBorder="1" applyAlignment="1">
      <alignment horizontal="center" wrapText="1"/>
    </xf>
    <xf numFmtId="0" fontId="51" fillId="2" borderId="1" xfId="25" applyFont="1" applyFill="1" applyBorder="1" applyAlignment="1">
      <alignment horizontal="center" vertical="center" wrapText="1"/>
    </xf>
    <xf numFmtId="0" fontId="51" fillId="0" borderId="0" xfId="25" applyFont="1" applyAlignment="1">
      <alignment horizontal="center" wrapText="1"/>
    </xf>
    <xf numFmtId="0" fontId="51" fillId="0" borderId="10" xfId="25" applyFont="1" applyBorder="1" applyAlignment="1">
      <alignment horizontal="center"/>
    </xf>
    <xf numFmtId="0" fontId="51" fillId="0" borderId="0" xfId="25" applyFont="1" applyBorder="1" applyAlignment="1">
      <alignment horizontal="center" wrapText="1"/>
    </xf>
    <xf numFmtId="0" fontId="51" fillId="0" borderId="1" xfId="25" applyFont="1" applyBorder="1" applyAlignment="1">
      <alignment horizontal="center" vertical="center" wrapText="1"/>
    </xf>
    <xf numFmtId="0" fontId="51" fillId="0" borderId="10" xfId="25" applyFont="1" applyBorder="1" applyAlignment="1">
      <alignment horizontal="center" wrapText="1"/>
    </xf>
    <xf numFmtId="0" fontId="37" fillId="2" borderId="5" xfId="0" applyFont="1" applyFill="1" applyBorder="1" applyAlignment="1">
      <alignment horizontal="center" vertical="center" wrapText="1"/>
    </xf>
    <xf numFmtId="168" fontId="46" fillId="2" borderId="7" xfId="0" applyNumberFormat="1" applyFont="1" applyFill="1" applyBorder="1" applyAlignment="1">
      <alignment horizontal="center" vertical="center" wrapText="1"/>
    </xf>
    <xf numFmtId="168" fontId="46" fillId="2" borderId="8"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88" fillId="2" borderId="0" xfId="24" applyFont="1" applyFill="1" applyAlignment="1">
      <alignment horizontal="left" wrapText="1"/>
    </xf>
    <xf numFmtId="0" fontId="14" fillId="2" borderId="0" xfId="30" applyFill="1" applyAlignment="1">
      <alignment wrapText="1"/>
    </xf>
    <xf numFmtId="0" fontId="60" fillId="2" borderId="0" xfId="30" applyFont="1" applyFill="1" applyAlignment="1">
      <alignment horizontal="left" vertical="center" wrapText="1"/>
    </xf>
    <xf numFmtId="0" fontId="60" fillId="2" borderId="10" xfId="30" applyFont="1" applyFill="1" applyBorder="1" applyAlignment="1">
      <alignment horizontal="center"/>
    </xf>
    <xf numFmtId="4" fontId="60" fillId="2" borderId="10" xfId="30" applyNumberFormat="1" applyFont="1" applyFill="1" applyBorder="1" applyAlignment="1">
      <alignment horizontal="center"/>
    </xf>
    <xf numFmtId="0" fontId="80" fillId="2" borderId="0" xfId="30" applyFont="1" applyFill="1" applyAlignment="1">
      <alignment horizontal="center" vertical="center" wrapText="1"/>
    </xf>
    <xf numFmtId="0" fontId="81" fillId="2" borderId="0" xfId="30" applyFont="1" applyFill="1" applyAlignment="1">
      <alignment horizontal="center" vertical="center" wrapText="1"/>
    </xf>
    <xf numFmtId="0" fontId="21" fillId="2" borderId="1" xfId="30" applyFont="1" applyFill="1" applyBorder="1" applyAlignment="1">
      <alignment horizontal="center" vertical="center" wrapText="1"/>
    </xf>
    <xf numFmtId="0" fontId="83" fillId="2" borderId="1" xfId="30" applyFont="1" applyFill="1" applyBorder="1" applyAlignment="1">
      <alignment horizontal="center" vertical="center" wrapText="1"/>
    </xf>
    <xf numFmtId="0" fontId="21" fillId="2" borderId="0" xfId="30" applyFont="1" applyFill="1" applyAlignment="1">
      <alignment horizontal="center"/>
    </xf>
    <xf numFmtId="0" fontId="21" fillId="2" borderId="3" xfId="30" applyFont="1" applyFill="1" applyBorder="1" applyAlignment="1">
      <alignment horizontal="center"/>
    </xf>
    <xf numFmtId="0" fontId="41" fillId="2" borderId="1" xfId="30" applyFont="1" applyFill="1" applyBorder="1" applyAlignment="1">
      <alignment horizontal="center" vertical="center" wrapText="1"/>
    </xf>
    <xf numFmtId="0" fontId="89" fillId="0" borderId="0" xfId="31" applyFont="1" applyFill="1" applyAlignment="1">
      <alignment horizontal="center"/>
    </xf>
    <xf numFmtId="0" fontId="41" fillId="0" borderId="0" xfId="24" applyFont="1" applyFill="1" applyAlignment="1">
      <alignment horizontal="center"/>
    </xf>
    <xf numFmtId="0" fontId="41" fillId="0" borderId="0" xfId="24" applyFont="1" applyFill="1" applyAlignment="1">
      <alignment horizontal="left"/>
    </xf>
    <xf numFmtId="0" fontId="40" fillId="0" borderId="0" xfId="24" applyFont="1" applyFill="1" applyBorder="1" applyAlignment="1">
      <alignment horizontal="center" vertical="center" wrapText="1"/>
    </xf>
    <xf numFmtId="0" fontId="90" fillId="2" borderId="0" xfId="24" applyFont="1" applyFill="1" applyAlignment="1">
      <alignment horizontal="center"/>
    </xf>
    <xf numFmtId="0" fontId="184" fillId="2" borderId="7" xfId="31" applyFont="1" applyFill="1" applyBorder="1" applyAlignment="1">
      <alignment horizontal="center" vertical="center" wrapText="1"/>
    </xf>
    <xf numFmtId="0" fontId="184" fillId="2" borderId="4" xfId="31" applyFont="1" applyFill="1" applyBorder="1" applyAlignment="1">
      <alignment horizontal="center" vertical="center" wrapText="1"/>
    </xf>
    <xf numFmtId="0" fontId="184" fillId="2" borderId="2" xfId="24" applyFont="1" applyFill="1" applyBorder="1" applyAlignment="1">
      <alignment horizontal="center" vertical="center" wrapText="1"/>
    </xf>
    <xf numFmtId="0" fontId="184" fillId="2" borderId="6" xfId="24" applyFont="1" applyFill="1" applyBorder="1" applyAlignment="1">
      <alignment horizontal="center" vertical="center" wrapText="1"/>
    </xf>
    <xf numFmtId="0" fontId="184" fillId="2" borderId="2" xfId="31" applyFont="1" applyFill="1" applyBorder="1" applyAlignment="1">
      <alignment horizontal="center" vertical="center" wrapText="1"/>
    </xf>
    <xf numFmtId="0" fontId="184" fillId="2" borderId="5" xfId="31" applyFont="1" applyFill="1" applyBorder="1" applyAlignment="1">
      <alignment horizontal="center" vertical="center" wrapText="1"/>
    </xf>
    <xf numFmtId="0" fontId="184" fillId="2" borderId="6" xfId="31" applyFont="1" applyFill="1" applyBorder="1" applyAlignment="1">
      <alignment horizontal="center" vertical="center" wrapText="1"/>
    </xf>
    <xf numFmtId="49" fontId="90" fillId="2" borderId="7" xfId="31" applyNumberFormat="1" applyFont="1" applyFill="1" applyBorder="1" applyAlignment="1">
      <alignment horizontal="center" vertical="center" wrapText="1"/>
    </xf>
    <xf numFmtId="49" fontId="90" fillId="2" borderId="4" xfId="31" applyNumberFormat="1" applyFont="1" applyFill="1" applyBorder="1" applyAlignment="1">
      <alignment horizontal="center" vertical="center" wrapText="1"/>
    </xf>
    <xf numFmtId="0" fontId="42" fillId="0" borderId="0" xfId="89" applyFont="1" applyFill="1" applyAlignment="1">
      <alignment horizontal="center" wrapText="1"/>
    </xf>
    <xf numFmtId="0" fontId="42" fillId="0" borderId="0" xfId="89" applyFont="1" applyFill="1" applyAlignment="1">
      <alignment horizontal="center"/>
    </xf>
    <xf numFmtId="0" fontId="42" fillId="2" borderId="1" xfId="89" applyNumberFormat="1" applyFont="1" applyFill="1" applyBorder="1" applyAlignment="1" applyProtection="1">
      <alignment horizontal="left" vertical="center" wrapText="1"/>
    </xf>
    <xf numFmtId="0" fontId="42" fillId="0" borderId="7" xfId="89" applyNumberFormat="1" applyFont="1" applyFill="1" applyBorder="1" applyAlignment="1" applyProtection="1">
      <alignment horizontal="left" vertical="top" wrapText="1"/>
    </xf>
    <xf numFmtId="0" fontId="57" fillId="0" borderId="4" xfId="89" applyNumberFormat="1" applyFont="1" applyFill="1" applyBorder="1" applyAlignment="1" applyProtection="1">
      <alignment horizontal="left" vertical="top" wrapText="1"/>
    </xf>
    <xf numFmtId="0" fontId="42" fillId="0" borderId="8" xfId="89" applyNumberFormat="1" applyFont="1" applyFill="1" applyBorder="1" applyAlignment="1" applyProtection="1">
      <alignment horizontal="left" vertical="top" wrapText="1"/>
    </xf>
    <xf numFmtId="0" fontId="42" fillId="0" borderId="4" xfId="89" applyNumberFormat="1" applyFont="1" applyFill="1" applyBorder="1" applyAlignment="1" applyProtection="1">
      <alignment horizontal="left" vertical="top" wrapText="1"/>
    </xf>
    <xf numFmtId="0" fontId="42" fillId="0" borderId="23" xfId="89" applyNumberFormat="1" applyFont="1" applyFill="1" applyBorder="1" applyAlignment="1" applyProtection="1">
      <alignment horizontal="left" vertical="center" wrapText="1"/>
    </xf>
    <xf numFmtId="0" fontId="42" fillId="0" borderId="27" xfId="89" applyNumberFormat="1" applyFont="1" applyFill="1" applyBorder="1" applyAlignment="1" applyProtection="1">
      <alignment horizontal="left" vertical="center" wrapText="1"/>
    </xf>
    <xf numFmtId="0" fontId="42" fillId="10" borderId="27" xfId="89" applyNumberFormat="1" applyFont="1" applyFill="1" applyBorder="1" applyAlignment="1" applyProtection="1">
      <alignment horizontal="left" vertical="center" wrapText="1"/>
    </xf>
    <xf numFmtId="0" fontId="42" fillId="0" borderId="50" xfId="89" applyNumberFormat="1" applyFont="1" applyFill="1" applyBorder="1" applyAlignment="1" applyProtection="1">
      <alignment horizontal="left" vertical="center" wrapText="1"/>
    </xf>
    <xf numFmtId="0" fontId="42" fillId="0" borderId="23" xfId="89" applyFont="1" applyFill="1" applyBorder="1" applyAlignment="1">
      <alignment horizontal="center" vertical="center" wrapText="1"/>
    </xf>
    <xf numFmtId="0" fontId="42" fillId="0" borderId="27" xfId="89" applyFont="1" applyFill="1" applyBorder="1" applyAlignment="1">
      <alignment horizontal="center" vertical="center" wrapText="1"/>
    </xf>
    <xf numFmtId="0" fontId="42" fillId="0" borderId="50" xfId="89" applyFont="1" applyFill="1" applyBorder="1" applyAlignment="1">
      <alignment horizontal="center" vertical="center" wrapText="1"/>
    </xf>
    <xf numFmtId="0" fontId="136" fillId="0" borderId="2" xfId="89" applyFont="1" applyBorder="1" applyAlignment="1">
      <alignment horizontal="center" vertical="center" wrapText="1"/>
    </xf>
    <xf numFmtId="0" fontId="136" fillId="0" borderId="5" xfId="89" applyFont="1" applyBorder="1" applyAlignment="1">
      <alignment horizontal="center" vertical="center" wrapText="1"/>
    </xf>
    <xf numFmtId="0" fontId="57" fillId="0" borderId="2" xfId="89" applyFont="1" applyBorder="1" applyAlignment="1">
      <alignment horizontal="center" vertical="center" wrapText="1"/>
    </xf>
    <xf numFmtId="0" fontId="57" fillId="0" borderId="5" xfId="89" applyFont="1" applyBorder="1" applyAlignment="1">
      <alignment horizontal="center" vertical="center" wrapText="1"/>
    </xf>
    <xf numFmtId="0" fontId="57" fillId="0" borderId="3" xfId="89" applyFont="1" applyBorder="1" applyAlignment="1">
      <alignment horizontal="center" vertical="center" wrapText="1"/>
    </xf>
    <xf numFmtId="0" fontId="42" fillId="0" borderId="7" xfId="89" applyFont="1" applyFill="1" applyBorder="1" applyAlignment="1">
      <alignment horizontal="left" vertical="center" wrapText="1"/>
    </xf>
    <xf numFmtId="0" fontId="42" fillId="0" borderId="8" xfId="89" applyFont="1" applyFill="1" applyBorder="1" applyAlignment="1">
      <alignment horizontal="left" vertical="center" wrapText="1"/>
    </xf>
    <xf numFmtId="0" fontId="42" fillId="0" borderId="4" xfId="89" applyFont="1" applyFill="1" applyBorder="1" applyAlignment="1">
      <alignment horizontal="left" vertical="center" wrapText="1"/>
    </xf>
    <xf numFmtId="0" fontId="50" fillId="2" borderId="1" xfId="87" applyFont="1" applyFill="1" applyBorder="1" applyAlignment="1">
      <alignment horizontal="left" vertical="top" wrapText="1"/>
    </xf>
    <xf numFmtId="3" fontId="123" fillId="0" borderId="1" xfId="89" applyNumberFormat="1" applyFont="1" applyFill="1" applyBorder="1" applyAlignment="1">
      <alignment horizontal="center" vertical="center"/>
    </xf>
    <xf numFmtId="3" fontId="123" fillId="0" borderId="1" xfId="89" applyNumberFormat="1" applyFont="1" applyFill="1" applyBorder="1" applyAlignment="1">
      <alignment horizontal="center" vertical="center" wrapText="1"/>
    </xf>
    <xf numFmtId="165" fontId="123" fillId="0" borderId="1" xfId="89" applyNumberFormat="1" applyFont="1" applyFill="1" applyBorder="1" applyAlignment="1">
      <alignment horizontal="center" vertical="center"/>
    </xf>
    <xf numFmtId="165" fontId="19" fillId="0" borderId="1" xfId="24" applyNumberFormat="1" applyFont="1" applyFill="1" applyBorder="1" applyAlignment="1">
      <alignment horizontal="center" vertical="center" wrapText="1"/>
    </xf>
    <xf numFmtId="165" fontId="42" fillId="0" borderId="1" xfId="89" applyNumberFormat="1" applyFont="1" applyBorder="1" applyAlignment="1">
      <alignment horizontal="center" vertical="center" wrapText="1"/>
    </xf>
    <xf numFmtId="165" fontId="41" fillId="0" borderId="7" xfId="89" applyNumberFormat="1" applyFont="1" applyFill="1" applyBorder="1" applyAlignment="1">
      <alignment horizontal="center" vertical="center" wrapText="1"/>
    </xf>
    <xf numFmtId="165" fontId="41" fillId="0" borderId="4" xfId="89" applyNumberFormat="1" applyFont="1" applyFill="1" applyBorder="1" applyAlignment="1">
      <alignment horizontal="center" vertical="center" wrapText="1"/>
    </xf>
    <xf numFmtId="165" fontId="42" fillId="0" borderId="2" xfId="29" applyNumberFormat="1" applyFont="1" applyBorder="1" applyAlignment="1">
      <alignment horizontal="center" vertical="center" wrapText="1"/>
    </xf>
    <xf numFmtId="165" fontId="42" fillId="0" borderId="6" xfId="29" applyNumberFormat="1" applyFont="1" applyBorder="1" applyAlignment="1">
      <alignment horizontal="center" vertical="center" wrapText="1"/>
    </xf>
    <xf numFmtId="165" fontId="41" fillId="0" borderId="7" xfId="89" applyNumberFormat="1" applyFont="1" applyBorder="1" applyAlignment="1">
      <alignment horizontal="center" vertical="center" wrapText="1"/>
    </xf>
    <xf numFmtId="165" fontId="41" fillId="0" borderId="4" xfId="89" applyNumberFormat="1" applyFont="1" applyBorder="1" applyAlignment="1">
      <alignment horizontal="center" vertical="center" wrapText="1"/>
    </xf>
    <xf numFmtId="165" fontId="41" fillId="0" borderId="1" xfId="89" applyNumberFormat="1" applyFont="1" applyFill="1" applyBorder="1" applyAlignment="1">
      <alignment horizontal="center" vertical="center" wrapText="1"/>
    </xf>
    <xf numFmtId="165" fontId="42" fillId="0" borderId="1" xfId="89" applyNumberFormat="1" applyFont="1" applyFill="1" applyBorder="1" applyAlignment="1">
      <alignment horizontal="center" vertical="center" wrapText="1"/>
    </xf>
    <xf numFmtId="0" fontId="42" fillId="0" borderId="1" xfId="89" applyFont="1" applyBorder="1" applyAlignment="1">
      <alignment horizontal="center" vertical="center" wrapText="1"/>
    </xf>
    <xf numFmtId="0" fontId="57" fillId="0" borderId="6" xfId="89" applyFont="1" applyBorder="1" applyAlignment="1">
      <alignment horizontal="center" vertical="center" wrapText="1"/>
    </xf>
    <xf numFmtId="0" fontId="84" fillId="0" borderId="1" xfId="89" applyFont="1" applyBorder="1" applyAlignment="1">
      <alignment horizontal="center" vertical="center" wrapText="1"/>
    </xf>
    <xf numFmtId="165" fontId="84" fillId="0" borderId="7" xfId="89" applyNumberFormat="1" applyFont="1" applyBorder="1" applyAlignment="1">
      <alignment horizontal="center" vertical="center" wrapText="1"/>
    </xf>
    <xf numFmtId="165" fontId="84" fillId="0" borderId="8" xfId="89" applyNumberFormat="1" applyFont="1" applyBorder="1" applyAlignment="1">
      <alignment horizontal="center" vertical="center" wrapText="1"/>
    </xf>
    <xf numFmtId="165" fontId="84" fillId="0" borderId="4" xfId="89" applyNumberFormat="1" applyFont="1" applyBorder="1" applyAlignment="1">
      <alignment horizontal="center" vertical="center" wrapText="1"/>
    </xf>
    <xf numFmtId="165" fontId="42" fillId="0" borderId="1" xfId="29" applyNumberFormat="1" applyFont="1" applyBorder="1" applyAlignment="1">
      <alignment horizontal="center" vertical="center" wrapText="1"/>
    </xf>
    <xf numFmtId="0" fontId="84" fillId="0" borderId="7" xfId="89" applyFont="1" applyBorder="1" applyAlignment="1">
      <alignment horizontal="center" vertical="center" wrapText="1"/>
    </xf>
    <xf numFmtId="0" fontId="84" fillId="0" borderId="8" xfId="89" applyFont="1" applyBorder="1" applyAlignment="1">
      <alignment horizontal="center" vertical="center" wrapText="1"/>
    </xf>
    <xf numFmtId="0" fontId="84" fillId="0" borderId="4" xfId="89" applyFont="1" applyBorder="1" applyAlignment="1">
      <alignment horizontal="center" vertical="center" wrapText="1"/>
    </xf>
    <xf numFmtId="0" fontId="42" fillId="0" borderId="9" xfId="89" applyFont="1" applyBorder="1" applyAlignment="1">
      <alignment horizontal="center" vertical="center" wrapText="1"/>
    </xf>
    <xf numFmtId="0" fontId="42" fillId="0" borderId="3" xfId="89" applyFont="1" applyBorder="1" applyAlignment="1">
      <alignment horizontal="center" vertical="center" wrapText="1"/>
    </xf>
    <xf numFmtId="0" fontId="42" fillId="0" borderId="23" xfId="89" applyFont="1" applyBorder="1" applyAlignment="1">
      <alignment horizontal="center" vertical="center" wrapText="1"/>
    </xf>
    <xf numFmtId="0" fontId="42" fillId="0" borderId="52" xfId="89" applyFont="1" applyBorder="1" applyAlignment="1">
      <alignment horizontal="center" vertical="center" wrapText="1"/>
    </xf>
    <xf numFmtId="0" fontId="42" fillId="0" borderId="10" xfId="89" applyFont="1" applyBorder="1" applyAlignment="1">
      <alignment horizontal="center" vertical="center" wrapText="1"/>
    </xf>
    <xf numFmtId="0" fontId="42" fillId="0" borderId="50" xfId="89" applyFont="1" applyBorder="1" applyAlignment="1">
      <alignment horizontal="center" vertical="center" wrapText="1"/>
    </xf>
    <xf numFmtId="4" fontId="84" fillId="0" borderId="1" xfId="89" applyNumberFormat="1" applyFont="1" applyBorder="1" applyAlignment="1">
      <alignment horizontal="center" vertical="center" wrapText="1"/>
    </xf>
    <xf numFmtId="0" fontId="75" fillId="0" borderId="0" xfId="25" applyBorder="1" applyAlignment="1">
      <alignment horizontal="center" wrapText="1"/>
    </xf>
    <xf numFmtId="0" fontId="13" fillId="0" borderId="1" xfId="25" applyFont="1" applyBorder="1" applyAlignment="1">
      <alignment horizontal="center" vertical="center" wrapText="1"/>
    </xf>
    <xf numFmtId="0" fontId="94" fillId="2" borderId="0" xfId="29" applyFont="1" applyFill="1" applyAlignment="1">
      <alignment horizontal="center" vertical="center" wrapText="1"/>
    </xf>
    <xf numFmtId="0" fontId="19" fillId="0" borderId="7" xfId="38" applyFont="1" applyFill="1" applyBorder="1" applyAlignment="1">
      <alignment horizontal="center" vertical="top" wrapText="1"/>
    </xf>
    <xf numFmtId="0" fontId="19" fillId="0" borderId="8" xfId="38" applyFont="1" applyFill="1" applyBorder="1" applyAlignment="1">
      <alignment horizontal="center" vertical="top" wrapText="1"/>
    </xf>
    <xf numFmtId="0" fontId="19" fillId="0" borderId="4" xfId="38" applyFont="1" applyFill="1" applyBorder="1" applyAlignment="1">
      <alignment horizontal="center" vertical="top" wrapText="1"/>
    </xf>
    <xf numFmtId="0" fontId="19" fillId="0" borderId="7" xfId="38" applyFont="1" applyFill="1" applyBorder="1" applyAlignment="1">
      <alignment horizontal="center" vertical="top"/>
    </xf>
    <xf numFmtId="0" fontId="19" fillId="0" borderId="8" xfId="38" applyFont="1" applyFill="1" applyBorder="1" applyAlignment="1">
      <alignment horizontal="center" vertical="top"/>
    </xf>
    <xf numFmtId="0" fontId="19" fillId="0" borderId="4" xfId="38" applyFont="1" applyFill="1" applyBorder="1" applyAlignment="1">
      <alignment horizontal="center" vertical="top"/>
    </xf>
    <xf numFmtId="165" fontId="19" fillId="0" borderId="1" xfId="29" applyNumberFormat="1" applyFont="1" applyFill="1" applyBorder="1" applyAlignment="1">
      <alignment horizontal="center" vertical="center" wrapText="1"/>
    </xf>
    <xf numFmtId="165" fontId="19" fillId="0" borderId="7" xfId="29" applyNumberFormat="1" applyFont="1" applyFill="1" applyBorder="1" applyAlignment="1">
      <alignment horizontal="center" vertical="center" wrapText="1"/>
    </xf>
    <xf numFmtId="165" fontId="19" fillId="0" borderId="4" xfId="29" applyNumberFormat="1" applyFont="1" applyFill="1" applyBorder="1" applyAlignment="1">
      <alignment horizontal="center" vertical="center" wrapText="1"/>
    </xf>
    <xf numFmtId="165" fontId="19" fillId="0" borderId="7" xfId="26" applyNumberFormat="1" applyFont="1" applyFill="1" applyBorder="1" applyAlignment="1">
      <alignment horizontal="center" vertical="top" wrapText="1"/>
    </xf>
    <xf numFmtId="165" fontId="19" fillId="0" borderId="8" xfId="26" applyNumberFormat="1" applyFont="1" applyFill="1" applyBorder="1" applyAlignment="1">
      <alignment horizontal="center" vertical="top" wrapText="1"/>
    </xf>
    <xf numFmtId="165" fontId="19" fillId="0" borderId="4" xfId="26" applyNumberFormat="1" applyFont="1" applyFill="1" applyBorder="1" applyAlignment="1">
      <alignment horizontal="center" vertical="top" wrapText="1"/>
    </xf>
    <xf numFmtId="165" fontId="19" fillId="0" borderId="1" xfId="26" applyNumberFormat="1" applyFont="1" applyFill="1" applyBorder="1" applyAlignment="1">
      <alignment horizontal="center" vertical="center" wrapText="1"/>
    </xf>
    <xf numFmtId="165" fontId="19" fillId="2" borderId="7" xfId="26" applyNumberFormat="1" applyFont="1" applyFill="1" applyBorder="1" applyAlignment="1">
      <alignment horizontal="center" vertical="center" wrapText="1"/>
    </xf>
    <xf numFmtId="165" fontId="19" fillId="2" borderId="8" xfId="26" applyNumberFormat="1" applyFont="1" applyFill="1" applyBorder="1" applyAlignment="1">
      <alignment horizontal="center" vertical="center" wrapText="1"/>
    </xf>
    <xf numFmtId="165" fontId="19" fillId="2" borderId="4" xfId="26" applyNumberFormat="1" applyFont="1" applyFill="1" applyBorder="1" applyAlignment="1">
      <alignment horizontal="center" vertical="center" wrapText="1"/>
    </xf>
    <xf numFmtId="0" fontId="90" fillId="0" borderId="1" xfId="29" applyFont="1" applyFill="1" applyBorder="1" applyAlignment="1">
      <alignment horizontal="center" vertical="center" wrapText="1"/>
    </xf>
    <xf numFmtId="165" fontId="96" fillId="0" borderId="2" xfId="29" applyNumberFormat="1" applyFont="1" applyFill="1" applyBorder="1" applyAlignment="1">
      <alignment horizontal="center" vertical="center" wrapText="1"/>
    </xf>
    <xf numFmtId="165" fontId="96" fillId="0" borderId="6" xfId="29" applyNumberFormat="1" applyFont="1" applyFill="1" applyBorder="1" applyAlignment="1">
      <alignment horizontal="center" vertical="center" wrapText="1"/>
    </xf>
    <xf numFmtId="165" fontId="96" fillId="0" borderId="1" xfId="29" applyNumberFormat="1" applyFont="1" applyFill="1" applyBorder="1" applyAlignment="1">
      <alignment horizontal="center" vertical="center"/>
    </xf>
    <xf numFmtId="165" fontId="96" fillId="0" borderId="2" xfId="29" applyNumberFormat="1" applyFont="1" applyFill="1" applyBorder="1" applyAlignment="1">
      <alignment horizontal="center" vertical="center"/>
    </xf>
    <xf numFmtId="165" fontId="96" fillId="0" borderId="5" xfId="29" applyNumberFormat="1" applyFont="1" applyFill="1" applyBorder="1" applyAlignment="1">
      <alignment horizontal="center" vertical="center"/>
    </xf>
    <xf numFmtId="165" fontId="96" fillId="0" borderId="6" xfId="29" applyNumberFormat="1" applyFont="1" applyFill="1" applyBorder="1" applyAlignment="1">
      <alignment horizontal="center" vertical="center"/>
    </xf>
    <xf numFmtId="165" fontId="96" fillId="0" borderId="1" xfId="29" applyNumberFormat="1" applyFont="1" applyFill="1" applyBorder="1" applyAlignment="1">
      <alignment horizontal="center" vertical="center" wrapText="1"/>
    </xf>
    <xf numFmtId="0" fontId="95" fillId="2" borderId="0" xfId="29" applyFont="1" applyFill="1" applyAlignment="1">
      <alignment horizontal="center" vertical="center" wrapText="1"/>
    </xf>
    <xf numFmtId="0" fontId="20" fillId="0" borderId="1" xfId="29" applyFont="1" applyBorder="1" applyAlignment="1">
      <alignment horizontal="center" vertical="center" wrapText="1"/>
    </xf>
    <xf numFmtId="0" fontId="20" fillId="0" borderId="1" xfId="29" applyFont="1" applyFill="1" applyBorder="1" applyAlignment="1">
      <alignment horizontal="center" vertical="center" wrapText="1"/>
    </xf>
    <xf numFmtId="0" fontId="96" fillId="0" borderId="2" xfId="29" applyNumberFormat="1" applyFont="1" applyFill="1" applyBorder="1" applyAlignment="1">
      <alignment horizontal="center" vertical="center"/>
    </xf>
    <xf numFmtId="0" fontId="96" fillId="0" borderId="5" xfId="29" applyNumberFormat="1" applyFont="1" applyFill="1" applyBorder="1" applyAlignment="1">
      <alignment horizontal="center" vertical="center"/>
    </xf>
    <xf numFmtId="0" fontId="96" fillId="0" borderId="6" xfId="29" applyNumberFormat="1" applyFont="1" applyFill="1" applyBorder="1" applyAlignment="1">
      <alignment horizontal="center" vertical="center"/>
    </xf>
    <xf numFmtId="1" fontId="19" fillId="0" borderId="1" xfId="29" applyNumberFormat="1" applyFont="1" applyFill="1" applyBorder="1" applyAlignment="1">
      <alignment horizontal="center" vertical="center" wrapText="1"/>
    </xf>
    <xf numFmtId="2" fontId="19" fillId="0" borderId="1" xfId="29" applyNumberFormat="1" applyFont="1" applyFill="1" applyBorder="1" applyAlignment="1">
      <alignment horizontal="center" vertical="center" wrapText="1"/>
    </xf>
    <xf numFmtId="0" fontId="50" fillId="2" borderId="10" xfId="31" applyFont="1" applyFill="1" applyBorder="1" applyAlignment="1">
      <alignment horizontal="center" vertical="center" wrapText="1"/>
    </xf>
    <xf numFmtId="4" fontId="62" fillId="2" borderId="10" xfId="31" applyNumberFormat="1" applyFont="1" applyFill="1" applyBorder="1" applyAlignment="1">
      <alignment horizontal="center"/>
    </xf>
    <xf numFmtId="0" fontId="62" fillId="2" borderId="3" xfId="31" applyFont="1" applyFill="1" applyBorder="1" applyAlignment="1">
      <alignment horizontal="center" vertical="top"/>
    </xf>
    <xf numFmtId="4" fontId="62" fillId="2" borderId="3" xfId="31" applyNumberFormat="1" applyFont="1" applyFill="1" applyBorder="1" applyAlignment="1">
      <alignment horizontal="center" vertical="top"/>
    </xf>
    <xf numFmtId="0" fontId="68" fillId="2" borderId="1" xfId="31" applyNumberFormat="1" applyFont="1" applyFill="1" applyBorder="1" applyAlignment="1" applyProtection="1">
      <alignment horizontal="center" vertical="center" wrapText="1"/>
    </xf>
    <xf numFmtId="0" fontId="68" fillId="2" borderId="7" xfId="31" applyNumberFormat="1" applyFont="1" applyFill="1" applyBorder="1" applyAlignment="1" applyProtection="1">
      <alignment horizontal="center" vertical="center" wrapText="1"/>
    </xf>
    <xf numFmtId="0" fontId="68" fillId="2" borderId="8" xfId="31" applyNumberFormat="1" applyFont="1" applyFill="1" applyBorder="1" applyAlignment="1" applyProtection="1">
      <alignment horizontal="center" vertical="center" wrapText="1"/>
    </xf>
    <xf numFmtId="0" fontId="68" fillId="2" borderId="4" xfId="31" applyNumberFormat="1" applyFont="1" applyFill="1" applyBorder="1" applyAlignment="1" applyProtection="1">
      <alignment horizontal="center" vertical="center" wrapText="1"/>
    </xf>
    <xf numFmtId="4" fontId="112" fillId="0" borderId="7" xfId="31" applyNumberFormat="1" applyFont="1" applyFill="1" applyBorder="1" applyAlignment="1" applyProtection="1">
      <alignment horizontal="center" vertical="center" wrapText="1"/>
    </xf>
    <xf numFmtId="4" fontId="112" fillId="0" borderId="4" xfId="31" applyNumberFormat="1" applyFont="1" applyFill="1" applyBorder="1" applyAlignment="1" applyProtection="1">
      <alignment horizontal="center" vertical="center" wrapText="1"/>
    </xf>
    <xf numFmtId="0" fontId="118" fillId="2" borderId="0" xfId="31" applyNumberFormat="1" applyFont="1" applyFill="1" applyBorder="1" applyAlignment="1" applyProtection="1">
      <alignment horizontal="left" vertical="top" wrapText="1"/>
    </xf>
    <xf numFmtId="0" fontId="110" fillId="2" borderId="1" xfId="31" applyNumberFormat="1" applyFont="1" applyFill="1" applyBorder="1" applyAlignment="1" applyProtection="1">
      <alignment horizontal="center" vertical="center" wrapText="1"/>
    </xf>
    <xf numFmtId="4" fontId="70" fillId="2" borderId="0" xfId="24" applyNumberFormat="1" applyFont="1" applyFill="1" applyAlignment="1">
      <alignment horizontal="right" wrapText="1"/>
    </xf>
    <xf numFmtId="4" fontId="70" fillId="2" borderId="0" xfId="24" applyNumberFormat="1" applyFont="1" applyFill="1" applyAlignment="1">
      <alignment horizontal="right"/>
    </xf>
    <xf numFmtId="0" fontId="187" fillId="2" borderId="0" xfId="31" applyNumberFormat="1" applyFont="1" applyFill="1" applyBorder="1" applyAlignment="1" applyProtection="1">
      <alignment horizontal="center" vertical="top" wrapText="1"/>
    </xf>
    <xf numFmtId="49" fontId="71" fillId="2" borderId="1" xfId="31" applyNumberFormat="1" applyFont="1" applyFill="1" applyBorder="1" applyAlignment="1" applyProtection="1">
      <alignment horizontal="center" vertical="center"/>
    </xf>
    <xf numFmtId="0" fontId="71" fillId="2" borderId="1" xfId="31" applyNumberFormat="1" applyFont="1" applyFill="1" applyBorder="1" applyAlignment="1" applyProtection="1">
      <alignment horizontal="center" vertical="center" wrapText="1"/>
    </xf>
    <xf numFmtId="0" fontId="73" fillId="2" borderId="1" xfId="31" applyNumberFormat="1" applyFont="1" applyFill="1" applyBorder="1" applyAlignment="1" applyProtection="1">
      <alignment horizontal="center" vertical="center" wrapText="1"/>
    </xf>
    <xf numFmtId="0" fontId="109" fillId="2" borderId="1" xfId="31" applyNumberFormat="1" applyFont="1" applyFill="1" applyBorder="1" applyAlignment="1" applyProtection="1">
      <alignment horizontal="center" vertical="top"/>
    </xf>
    <xf numFmtId="0" fontId="109" fillId="2" borderId="1" xfId="31" applyNumberFormat="1" applyFont="1" applyFill="1" applyBorder="1" applyAlignment="1" applyProtection="1">
      <alignment horizontal="center" vertical="top" wrapText="1"/>
    </xf>
    <xf numFmtId="0" fontId="78" fillId="0" borderId="1" xfId="25" applyFont="1" applyFill="1" applyBorder="1" applyAlignment="1">
      <alignment horizontal="center" vertical="center" wrapText="1"/>
    </xf>
    <xf numFmtId="0" fontId="78" fillId="0" borderId="0" xfId="25" applyFont="1" applyFill="1" applyBorder="1" applyAlignment="1">
      <alignment horizontal="left" vertical="center" wrapText="1"/>
    </xf>
    <xf numFmtId="0" fontId="78" fillId="0" borderId="0" xfId="25" applyFont="1" applyFill="1" applyBorder="1" applyAlignment="1">
      <alignment horizontal="left" vertical="center"/>
    </xf>
    <xf numFmtId="0" fontId="168" fillId="0" borderId="0" xfId="25" applyFont="1" applyFill="1" applyAlignment="1">
      <alignment horizontal="center" vertical="center" wrapText="1"/>
    </xf>
    <xf numFmtId="0" fontId="159" fillId="0" borderId="0" xfId="25" applyFont="1" applyFill="1" applyAlignment="1">
      <alignment horizontal="center" vertical="center" wrapText="1"/>
    </xf>
    <xf numFmtId="0" fontId="102" fillId="0" borderId="11" xfId="3" applyFont="1" applyBorder="1" applyAlignment="1">
      <alignment horizontal="left" vertical="center" wrapText="1"/>
    </xf>
    <xf numFmtId="0" fontId="102" fillId="0" borderId="83" xfId="3" applyFont="1" applyBorder="1" applyAlignment="1">
      <alignment horizontal="left" vertical="center" wrapText="1"/>
    </xf>
    <xf numFmtId="0" fontId="20" fillId="0" borderId="74" xfId="3" applyFont="1" applyBorder="1" applyAlignment="1">
      <alignment horizontal="center" vertical="center"/>
    </xf>
    <xf numFmtId="0" fontId="20" fillId="0" borderId="59" xfId="3" applyFont="1" applyBorder="1" applyAlignment="1">
      <alignment horizontal="center" vertical="center"/>
    </xf>
    <xf numFmtId="0" fontId="102" fillId="0" borderId="17" xfId="3" applyFont="1" applyBorder="1" applyAlignment="1">
      <alignment horizontal="left" vertical="center" wrapText="1"/>
    </xf>
    <xf numFmtId="0" fontId="20" fillId="0" borderId="0" xfId="3" applyFont="1" applyBorder="1" applyAlignment="1">
      <alignment horizontal="center" vertical="center"/>
    </xf>
    <xf numFmtId="0" fontId="20" fillId="0" borderId="3" xfId="3" applyFont="1" applyBorder="1" applyAlignment="1">
      <alignment horizontal="center"/>
    </xf>
    <xf numFmtId="0" fontId="102" fillId="2" borderId="0" xfId="3" applyFont="1" applyFill="1" applyAlignment="1">
      <alignment horizontal="center" wrapText="1"/>
    </xf>
    <xf numFmtId="0" fontId="20" fillId="0" borderId="82" xfId="3" applyFont="1" applyBorder="1" applyAlignment="1">
      <alignment horizontal="center" vertical="center"/>
    </xf>
    <xf numFmtId="0" fontId="20" fillId="0" borderId="49" xfId="3" applyFont="1" applyBorder="1" applyAlignment="1">
      <alignment horizontal="center" vertical="center"/>
    </xf>
    <xf numFmtId="4" fontId="20" fillId="0" borderId="1" xfId="3" applyNumberFormat="1" applyFont="1" applyFill="1" applyBorder="1" applyAlignment="1">
      <alignment horizontal="center" vertical="center" wrapText="1"/>
    </xf>
    <xf numFmtId="4" fontId="20" fillId="0" borderId="7" xfId="3" applyNumberFormat="1" applyFont="1" applyFill="1" applyBorder="1" applyAlignment="1">
      <alignment horizontal="center" vertical="center" wrapText="1"/>
    </xf>
    <xf numFmtId="4" fontId="20" fillId="0" borderId="19" xfId="3" applyNumberFormat="1" applyFont="1" applyFill="1" applyBorder="1" applyAlignment="1">
      <alignment horizontal="center" vertical="center" wrapText="1"/>
    </xf>
    <xf numFmtId="4" fontId="20" fillId="0" borderId="22" xfId="3" applyNumberFormat="1" applyFont="1" applyFill="1" applyBorder="1" applyAlignment="1">
      <alignment horizontal="center" vertical="center" wrapText="1"/>
    </xf>
    <xf numFmtId="0" fontId="102" fillId="0" borderId="18" xfId="3" applyFont="1" applyBorder="1" applyAlignment="1">
      <alignment horizontal="center" vertical="center" wrapText="1"/>
    </xf>
    <xf numFmtId="0" fontId="102" fillId="0" borderId="1" xfId="3" applyFont="1" applyBorder="1" applyAlignment="1">
      <alignment horizontal="center" vertical="center" wrapText="1"/>
    </xf>
    <xf numFmtId="0" fontId="102" fillId="0" borderId="19" xfId="3" applyFont="1" applyBorder="1" applyAlignment="1">
      <alignment horizontal="center" vertical="center" wrapText="1"/>
    </xf>
    <xf numFmtId="0" fontId="20" fillId="0" borderId="22" xfId="3" applyFont="1" applyBorder="1" applyAlignment="1">
      <alignment horizontal="center" vertical="center" wrapText="1"/>
    </xf>
    <xf numFmtId="0" fontId="20" fillId="0" borderId="76" xfId="3" applyFont="1" applyBorder="1" applyAlignment="1">
      <alignment horizontal="center" vertical="center" wrapText="1"/>
    </xf>
    <xf numFmtId="0" fontId="20" fillId="0" borderId="21" xfId="3" applyFont="1" applyBorder="1" applyAlignment="1">
      <alignment horizontal="center" vertical="center" wrapText="1"/>
    </xf>
    <xf numFmtId="0" fontId="20" fillId="0" borderId="25" xfId="3" applyFont="1" applyBorder="1" applyAlignment="1">
      <alignment horizontal="center" vertical="center" wrapText="1"/>
    </xf>
    <xf numFmtId="0" fontId="20" fillId="0" borderId="7" xfId="3" applyFont="1" applyBorder="1" applyAlignment="1">
      <alignment horizontal="center" vertical="center" wrapText="1"/>
    </xf>
    <xf numFmtId="0" fontId="20" fillId="0" borderId="8" xfId="3" applyFont="1" applyBorder="1" applyAlignment="1">
      <alignment horizontal="center" vertical="center" wrapText="1"/>
    </xf>
    <xf numFmtId="0" fontId="102" fillId="0" borderId="74" xfId="3" applyFont="1" applyBorder="1" applyAlignment="1">
      <alignment horizontal="center" vertical="center"/>
    </xf>
    <xf numFmtId="0" fontId="102" fillId="0" borderId="75" xfId="3" applyFont="1" applyBorder="1" applyAlignment="1">
      <alignment horizontal="center" vertical="center"/>
    </xf>
    <xf numFmtId="0" fontId="20" fillId="0" borderId="75" xfId="3" applyFont="1" applyBorder="1" applyAlignment="1">
      <alignment horizontal="center" vertical="center"/>
    </xf>
    <xf numFmtId="4" fontId="20" fillId="0" borderId="22" xfId="3" applyNumberFormat="1" applyFont="1" applyBorder="1" applyAlignment="1">
      <alignment horizontal="center" vertical="center" wrapText="1"/>
    </xf>
    <xf numFmtId="4" fontId="20" fillId="0" borderId="76" xfId="3" applyNumberFormat="1" applyFont="1" applyBorder="1" applyAlignment="1">
      <alignment horizontal="center" vertical="center" wrapText="1"/>
    </xf>
    <xf numFmtId="0" fontId="20" fillId="0" borderId="23" xfId="3" applyFont="1" applyBorder="1" applyAlignment="1">
      <alignment horizontal="center" vertical="center" wrapText="1"/>
    </xf>
    <xf numFmtId="0" fontId="20" fillId="0" borderId="27" xfId="3" applyFont="1" applyBorder="1" applyAlignment="1">
      <alignment horizontal="center" vertical="center" wrapText="1"/>
    </xf>
    <xf numFmtId="0" fontId="20" fillId="0" borderId="14" xfId="3" applyFont="1" applyFill="1" applyBorder="1" applyAlignment="1">
      <alignment horizontal="center" vertical="center" wrapText="1"/>
    </xf>
    <xf numFmtId="0" fontId="20" fillId="0" borderId="1" xfId="3" applyFont="1" applyFill="1" applyBorder="1" applyAlignment="1">
      <alignment horizontal="center" vertical="center" wrapText="1"/>
    </xf>
    <xf numFmtId="0" fontId="20" fillId="0" borderId="13"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11" xfId="3" applyFont="1" applyBorder="1" applyAlignment="1">
      <alignment horizontal="center" vertical="center" wrapText="1"/>
    </xf>
    <xf numFmtId="0" fontId="20" fillId="0" borderId="17" xfId="3" applyFont="1" applyBorder="1" applyAlignment="1">
      <alignment horizontal="center" vertical="center" wrapText="1"/>
    </xf>
    <xf numFmtId="0" fontId="102" fillId="0" borderId="12" xfId="3" applyFont="1" applyBorder="1" applyAlignment="1">
      <alignment horizontal="center" vertical="center" wrapText="1"/>
    </xf>
    <xf numFmtId="0" fontId="102" fillId="0" borderId="13" xfId="3" applyFont="1" applyBorder="1" applyAlignment="1">
      <alignment horizontal="center" vertical="center" wrapText="1"/>
    </xf>
    <xf numFmtId="0" fontId="102" fillId="0" borderId="14" xfId="3" applyFont="1" applyBorder="1" applyAlignment="1">
      <alignment horizontal="center" vertical="center" wrapText="1"/>
    </xf>
    <xf numFmtId="0" fontId="102" fillId="0" borderId="33" xfId="3" applyFont="1" applyBorder="1" applyAlignment="1">
      <alignment horizontal="center" vertical="center" wrapText="1"/>
    </xf>
    <xf numFmtId="0" fontId="102" fillId="0" borderId="15" xfId="3" applyFont="1" applyBorder="1" applyAlignment="1">
      <alignment horizontal="center" vertical="center" wrapText="1"/>
    </xf>
    <xf numFmtId="0" fontId="102" fillId="0" borderId="6" xfId="3" applyFont="1" applyBorder="1" applyAlignment="1">
      <alignment horizontal="center" vertical="center" wrapText="1"/>
    </xf>
    <xf numFmtId="0" fontId="102" fillId="0" borderId="2" xfId="3" applyFont="1" applyBorder="1" applyAlignment="1">
      <alignment horizontal="center" vertical="center" wrapText="1"/>
    </xf>
    <xf numFmtId="0" fontId="88" fillId="0" borderId="0" xfId="24" applyFont="1" applyFill="1" applyAlignment="1">
      <alignment horizontal="left" wrapText="1"/>
    </xf>
    <xf numFmtId="0" fontId="66" fillId="0" borderId="0" xfId="75" applyFont="1" applyAlignment="1">
      <alignment horizontal="center" wrapText="1"/>
    </xf>
    <xf numFmtId="0" fontId="50" fillId="0" borderId="0" xfId="75" applyFont="1" applyBorder="1" applyAlignment="1">
      <alignment horizontal="left"/>
    </xf>
    <xf numFmtId="0" fontId="51" fillId="0" borderId="7" xfId="75" applyFont="1" applyBorder="1" applyAlignment="1">
      <alignment horizontal="center" vertical="center" wrapText="1"/>
    </xf>
    <xf numFmtId="0" fontId="51" fillId="0" borderId="4" xfId="75" applyFont="1" applyBorder="1" applyAlignment="1">
      <alignment horizontal="center" vertical="center" wrapText="1"/>
    </xf>
    <xf numFmtId="0" fontId="51" fillId="0" borderId="2" xfId="75" applyFont="1" applyBorder="1" applyAlignment="1">
      <alignment horizontal="center" vertical="center" wrapText="1"/>
    </xf>
    <xf numFmtId="0" fontId="51" fillId="0" borderId="6" xfId="75" applyFont="1" applyBorder="1" applyAlignment="1">
      <alignment horizontal="center" vertical="center" wrapText="1"/>
    </xf>
    <xf numFmtId="0" fontId="63" fillId="0" borderId="10" xfId="75" applyFont="1" applyBorder="1" applyAlignment="1">
      <alignment horizontal="center"/>
    </xf>
    <xf numFmtId="0" fontId="51" fillId="0" borderId="1" xfId="75" applyFont="1" applyBorder="1" applyAlignment="1">
      <alignment horizontal="center" vertical="center" wrapText="1"/>
    </xf>
    <xf numFmtId="0" fontId="51" fillId="0" borderId="2" xfId="75" applyFont="1" applyBorder="1" applyAlignment="1">
      <alignment horizontal="left"/>
    </xf>
    <xf numFmtId="0" fontId="51" fillId="0" borderId="5" xfId="75" applyFont="1" applyBorder="1" applyAlignment="1">
      <alignment horizontal="left"/>
    </xf>
    <xf numFmtId="0" fontId="51" fillId="0" borderId="6" xfId="75" applyFont="1" applyBorder="1" applyAlignment="1">
      <alignment horizontal="left"/>
    </xf>
    <xf numFmtId="0" fontId="47" fillId="0" borderId="0" xfId="25" applyFont="1" applyAlignment="1">
      <alignment horizontal="center" vertical="center" wrapText="1"/>
    </xf>
    <xf numFmtId="0" fontId="47" fillId="0" borderId="0" xfId="25" applyFont="1" applyFill="1" applyAlignment="1">
      <alignment horizontal="center" vertical="center" wrapText="1"/>
    </xf>
    <xf numFmtId="0" fontId="46" fillId="0" borderId="1" xfId="86" applyFont="1" applyFill="1" applyBorder="1" applyAlignment="1">
      <alignment horizontal="center" vertical="center" wrapText="1"/>
    </xf>
    <xf numFmtId="0" fontId="47" fillId="0" borderId="1" xfId="86" applyFont="1" applyFill="1" applyBorder="1" applyAlignment="1">
      <alignment horizontal="center" vertical="center" wrapText="1"/>
    </xf>
    <xf numFmtId="0" fontId="51" fillId="0" borderId="1" xfId="86" applyFont="1" applyFill="1" applyBorder="1" applyAlignment="1">
      <alignment horizontal="center" vertical="center" wrapText="1"/>
    </xf>
    <xf numFmtId="0" fontId="21" fillId="0" borderId="1" xfId="86" applyFont="1" applyFill="1" applyBorder="1" applyAlignment="1">
      <alignment horizontal="center" vertical="center" wrapText="1"/>
    </xf>
    <xf numFmtId="0" fontId="91" fillId="0" borderId="10" xfId="86" applyFont="1" applyFill="1" applyBorder="1" applyAlignment="1">
      <alignment horizontal="center" vertical="center" wrapText="1"/>
    </xf>
    <xf numFmtId="0" fontId="51" fillId="0" borderId="0" xfId="24" applyFont="1" applyFill="1" applyAlignment="1">
      <alignment horizontal="left" wrapText="1"/>
    </xf>
    <xf numFmtId="0" fontId="80" fillId="0" borderId="0" xfId="86" applyFont="1" applyFill="1" applyAlignment="1">
      <alignment horizontal="center" vertical="center" wrapText="1"/>
    </xf>
    <xf numFmtId="0" fontId="81" fillId="0" borderId="0" xfId="86" applyFont="1" applyFill="1" applyAlignment="1">
      <alignment horizontal="center" vertical="center" wrapText="1"/>
    </xf>
    <xf numFmtId="0" fontId="41" fillId="0" borderId="12" xfId="86" applyFont="1" applyBorder="1" applyAlignment="1">
      <alignment horizontal="center" vertical="center" wrapText="1"/>
    </xf>
    <xf numFmtId="0" fontId="41" fillId="0" borderId="14" xfId="86" applyFont="1" applyBorder="1" applyAlignment="1">
      <alignment horizontal="center" vertical="center" wrapText="1"/>
    </xf>
    <xf numFmtId="0" fontId="41" fillId="0" borderId="13" xfId="86" applyFont="1" applyBorder="1" applyAlignment="1">
      <alignment horizontal="center" vertical="center" wrapText="1"/>
    </xf>
    <xf numFmtId="0" fontId="57" fillId="0" borderId="0" xfId="86" applyFont="1" applyFill="1" applyAlignment="1">
      <alignment horizontal="center" vertical="center" wrapText="1"/>
    </xf>
    <xf numFmtId="0" fontId="120" fillId="0" borderId="0" xfId="86" applyFont="1" applyFill="1" applyAlignment="1">
      <alignment horizontal="center" vertical="center" wrapText="1"/>
    </xf>
    <xf numFmtId="0" fontId="41" fillId="0" borderId="18" xfId="86" applyFont="1" applyBorder="1" applyAlignment="1">
      <alignment horizontal="center" vertical="center" wrapText="1"/>
    </xf>
    <xf numFmtId="0" fontId="41" fillId="0" borderId="1" xfId="86" applyFont="1" applyBorder="1" applyAlignment="1">
      <alignment horizontal="center" vertical="center" wrapText="1"/>
    </xf>
    <xf numFmtId="0" fontId="41" fillId="0" borderId="19" xfId="86" applyFont="1" applyBorder="1" applyAlignment="1">
      <alignment horizontal="center" vertical="center" wrapText="1"/>
    </xf>
    <xf numFmtId="0" fontId="41" fillId="0" borderId="33" xfId="86" applyFont="1" applyBorder="1" applyAlignment="1">
      <alignment horizontal="center" vertical="center" wrapText="1"/>
    </xf>
    <xf numFmtId="165" fontId="19" fillId="0" borderId="1" xfId="26" applyNumberFormat="1" applyFont="1" applyFill="1" applyBorder="1" applyAlignment="1">
      <alignment horizontal="center" vertical="top" wrapText="1"/>
    </xf>
    <xf numFmtId="0" fontId="46" fillId="0" borderId="1" xfId="29" applyFont="1" applyFill="1" applyBorder="1" applyAlignment="1">
      <alignment horizontal="center" vertical="center" wrapText="1"/>
    </xf>
    <xf numFmtId="165" fontId="46" fillId="0" borderId="1" xfId="29" applyNumberFormat="1" applyFont="1" applyFill="1" applyBorder="1" applyAlignment="1">
      <alignment horizontal="center" vertical="center" wrapText="1"/>
    </xf>
    <xf numFmtId="167" fontId="19" fillId="0" borderId="1" xfId="26" applyNumberFormat="1" applyFont="1" applyFill="1" applyBorder="1" applyAlignment="1">
      <alignment horizontal="center" vertical="center" wrapText="1"/>
    </xf>
    <xf numFmtId="0" fontId="132" fillId="0" borderId="1" xfId="29" applyFont="1" applyFill="1" applyBorder="1" applyAlignment="1">
      <alignment horizontal="center" vertical="center" wrapText="1"/>
    </xf>
    <xf numFmtId="0" fontId="131" fillId="0" borderId="0" xfId="29" applyFont="1" applyAlignment="1">
      <alignment horizontal="center" vertical="center" wrapText="1"/>
    </xf>
    <xf numFmtId="0" fontId="48" fillId="0" borderId="1" xfId="29" applyFont="1" applyFill="1" applyBorder="1" applyAlignment="1">
      <alignment horizontal="center" vertical="center" wrapText="1"/>
    </xf>
    <xf numFmtId="0" fontId="47" fillId="0" borderId="1" xfId="29" applyFont="1" applyFill="1" applyBorder="1" applyAlignment="1">
      <alignment horizontal="center" vertical="center" wrapText="1"/>
    </xf>
    <xf numFmtId="0" fontId="132" fillId="0" borderId="1" xfId="29" applyFont="1" applyFill="1" applyBorder="1" applyAlignment="1">
      <alignment horizontal="center" vertical="center"/>
    </xf>
    <xf numFmtId="0" fontId="96" fillId="0" borderId="2" xfId="29" applyNumberFormat="1" applyFont="1" applyFill="1" applyBorder="1" applyAlignment="1">
      <alignment horizontal="center" vertical="center" wrapText="1"/>
    </xf>
    <xf numFmtId="0" fontId="96" fillId="0" borderId="5" xfId="29" applyNumberFormat="1" applyFont="1" applyFill="1" applyBorder="1" applyAlignment="1">
      <alignment horizontal="center" vertical="center" wrapText="1"/>
    </xf>
    <xf numFmtId="0" fontId="96" fillId="0" borderId="6" xfId="29" applyNumberFormat="1" applyFont="1" applyFill="1" applyBorder="1" applyAlignment="1">
      <alignment horizontal="center" vertical="center" wrapText="1"/>
    </xf>
    <xf numFmtId="0" fontId="42" fillId="0" borderId="7" xfId="89" applyFont="1" applyFill="1" applyBorder="1" applyAlignment="1">
      <alignment horizontal="center" vertical="center" wrapText="1"/>
    </xf>
    <xf numFmtId="0" fontId="42" fillId="0" borderId="8" xfId="89" applyFont="1" applyFill="1" applyBorder="1" applyAlignment="1">
      <alignment horizontal="center" vertical="center" wrapText="1"/>
    </xf>
    <xf numFmtId="0" fontId="42" fillId="0" borderId="4" xfId="89" applyFont="1" applyFill="1" applyBorder="1" applyAlignment="1">
      <alignment horizontal="center" vertical="center" wrapText="1"/>
    </xf>
    <xf numFmtId="0" fontId="42" fillId="2" borderId="7" xfId="89" applyNumberFormat="1" applyFont="1" applyFill="1" applyBorder="1" applyAlignment="1" applyProtection="1">
      <alignment horizontal="left" vertical="center" wrapText="1"/>
    </xf>
    <xf numFmtId="0" fontId="42" fillId="2" borderId="8" xfId="89" applyNumberFormat="1" applyFont="1" applyFill="1" applyBorder="1" applyAlignment="1" applyProtection="1">
      <alignment horizontal="left" vertical="center" wrapText="1"/>
    </xf>
    <xf numFmtId="0" fontId="42" fillId="2" borderId="4" xfId="89" applyNumberFormat="1" applyFont="1" applyFill="1" applyBorder="1" applyAlignment="1" applyProtection="1">
      <alignment horizontal="left" vertical="center" wrapText="1"/>
    </xf>
    <xf numFmtId="0" fontId="50" fillId="2" borderId="7" xfId="87" applyFont="1" applyFill="1" applyBorder="1" applyAlignment="1">
      <alignment horizontal="left" vertical="top" wrapText="1"/>
    </xf>
    <xf numFmtId="0" fontId="50" fillId="2" borderId="8" xfId="87" applyFont="1" applyFill="1" applyBorder="1" applyAlignment="1">
      <alignment horizontal="left" vertical="top" wrapText="1"/>
    </xf>
    <xf numFmtId="0" fontId="50" fillId="2" borderId="4" xfId="87" applyFont="1" applyFill="1" applyBorder="1" applyAlignment="1">
      <alignment horizontal="left" vertical="top" wrapText="1"/>
    </xf>
    <xf numFmtId="4" fontId="60" fillId="0" borderId="0" xfId="86" applyNumberFormat="1" applyFont="1" applyBorder="1" applyAlignment="1">
      <alignment horizontal="center" vertical="top"/>
    </xf>
    <xf numFmtId="165" fontId="60" fillId="0" borderId="0" xfId="86" applyNumberFormat="1" applyFont="1" applyBorder="1" applyAlignment="1">
      <alignment horizontal="center" vertical="top"/>
    </xf>
    <xf numFmtId="0" fontId="63" fillId="0" borderId="0" xfId="86" applyFont="1" applyAlignment="1">
      <alignment horizontal="center"/>
    </xf>
    <xf numFmtId="4" fontId="188" fillId="0" borderId="0" xfId="86" applyNumberFormat="1" applyFont="1" applyBorder="1" applyAlignment="1">
      <alignment horizontal="center"/>
    </xf>
    <xf numFmtId="165" fontId="188" fillId="0" borderId="0" xfId="86" applyNumberFormat="1" applyFont="1" applyBorder="1" applyAlignment="1">
      <alignment horizontal="center"/>
    </xf>
    <xf numFmtId="0" fontId="137" fillId="2" borderId="1" xfId="86" applyFont="1" applyFill="1" applyBorder="1" applyAlignment="1">
      <alignment horizontal="center" vertical="center" wrapText="1"/>
    </xf>
    <xf numFmtId="0" fontId="89" fillId="3" borderId="2" xfId="86" applyFont="1" applyFill="1" applyBorder="1" applyAlignment="1">
      <alignment horizontal="center" vertical="center" wrapText="1"/>
    </xf>
    <xf numFmtId="0" fontId="89" fillId="3" borderId="5" xfId="86" applyFont="1" applyFill="1" applyBorder="1" applyAlignment="1">
      <alignment horizontal="center" vertical="center" wrapText="1"/>
    </xf>
    <xf numFmtId="165" fontId="89" fillId="3" borderId="5" xfId="86" applyNumberFormat="1" applyFont="1" applyFill="1" applyBorder="1" applyAlignment="1">
      <alignment horizontal="center" vertical="center" wrapText="1"/>
    </xf>
    <xf numFmtId="0" fontId="89" fillId="3" borderId="6" xfId="86" applyFont="1" applyFill="1" applyBorder="1" applyAlignment="1">
      <alignment horizontal="center" vertical="center" wrapText="1"/>
    </xf>
    <xf numFmtId="165" fontId="42" fillId="0" borderId="7" xfId="86" applyNumberFormat="1" applyFont="1" applyFill="1" applyBorder="1" applyAlignment="1">
      <alignment horizontal="center" vertical="center" wrapText="1"/>
    </xf>
    <xf numFmtId="165" fontId="42" fillId="0" borderId="4" xfId="86" applyNumberFormat="1" applyFont="1" applyFill="1" applyBorder="1" applyAlignment="1">
      <alignment horizontal="center" vertical="center" wrapText="1"/>
    </xf>
    <xf numFmtId="165" fontId="42" fillId="0" borderId="1" xfId="86" applyNumberFormat="1" applyFont="1" applyFill="1" applyBorder="1" applyAlignment="1">
      <alignment horizontal="center" vertical="center" wrapText="1"/>
    </xf>
    <xf numFmtId="165" fontId="57" fillId="0" borderId="1" xfId="86" applyNumberFormat="1" applyFont="1" applyFill="1" applyBorder="1" applyAlignment="1">
      <alignment horizontal="center" vertical="center" wrapText="1"/>
    </xf>
    <xf numFmtId="3" fontId="42" fillId="0" borderId="7" xfId="86" applyNumberFormat="1" applyFont="1" applyFill="1" applyBorder="1" applyAlignment="1">
      <alignment horizontal="center" vertical="center" wrapText="1"/>
    </xf>
    <xf numFmtId="3" fontId="42" fillId="0" borderId="4" xfId="86" applyNumberFormat="1" applyFont="1" applyFill="1" applyBorder="1" applyAlignment="1">
      <alignment horizontal="center" vertical="center" wrapText="1"/>
    </xf>
    <xf numFmtId="165" fontId="42" fillId="2" borderId="2" xfId="86" applyNumberFormat="1" applyFont="1" applyFill="1" applyBorder="1" applyAlignment="1">
      <alignment horizontal="center" vertical="center" wrapText="1"/>
    </xf>
    <xf numFmtId="165" fontId="42" fillId="2" borderId="6" xfId="86" applyNumberFormat="1" applyFont="1" applyFill="1" applyBorder="1" applyAlignment="1">
      <alignment horizontal="center" vertical="center" wrapText="1"/>
    </xf>
    <xf numFmtId="165" fontId="63" fillId="0" borderId="0" xfId="86" applyNumberFormat="1" applyFont="1" applyAlignment="1">
      <alignment horizontal="center"/>
    </xf>
    <xf numFmtId="0" fontId="42" fillId="0" borderId="1" xfId="86" applyFont="1" applyBorder="1" applyAlignment="1">
      <alignment horizontal="center" vertical="center" wrapText="1"/>
    </xf>
    <xf numFmtId="0" fontId="42" fillId="0" borderId="7" xfId="86" applyFont="1" applyBorder="1" applyAlignment="1">
      <alignment horizontal="center" vertical="center" wrapText="1"/>
    </xf>
    <xf numFmtId="0" fontId="42" fillId="0" borderId="8" xfId="86" applyFont="1" applyBorder="1" applyAlignment="1">
      <alignment horizontal="center" vertical="center" wrapText="1"/>
    </xf>
    <xf numFmtId="0" fontId="42" fillId="0" borderId="4" xfId="86" applyFont="1" applyBorder="1" applyAlignment="1">
      <alignment horizontal="center" vertical="center" wrapText="1"/>
    </xf>
    <xf numFmtId="0" fontId="50" fillId="0" borderId="2" xfId="86" applyFont="1" applyBorder="1" applyAlignment="1">
      <alignment horizontal="center"/>
    </xf>
    <xf numFmtId="165" fontId="50" fillId="0" borderId="5" xfId="86" applyNumberFormat="1" applyFont="1" applyBorder="1" applyAlignment="1">
      <alignment horizontal="center"/>
    </xf>
    <xf numFmtId="165" fontId="63" fillId="0" borderId="6" xfId="86" applyNumberFormat="1" applyFont="1" applyBorder="1" applyAlignment="1">
      <alignment horizontal="center"/>
    </xf>
    <xf numFmtId="0" fontId="50" fillId="0" borderId="2" xfId="86" applyFont="1" applyFill="1" applyBorder="1" applyAlignment="1">
      <alignment horizontal="center"/>
    </xf>
    <xf numFmtId="165" fontId="50" fillId="0" borderId="5" xfId="86" applyNumberFormat="1" applyFont="1" applyFill="1" applyBorder="1" applyAlignment="1">
      <alignment horizontal="center"/>
    </xf>
    <xf numFmtId="165" fontId="63" fillId="0" borderId="6" xfId="86" applyNumberFormat="1" applyFont="1" applyFill="1" applyBorder="1" applyAlignment="1">
      <alignment horizontal="center"/>
    </xf>
    <xf numFmtId="165" fontId="63" fillId="0" borderId="9" xfId="86" applyNumberFormat="1" applyFont="1" applyFill="1" applyBorder="1" applyAlignment="1">
      <alignment horizontal="center" wrapText="1"/>
    </xf>
    <xf numFmtId="165" fontId="63" fillId="0" borderId="23" xfId="86" applyNumberFormat="1" applyFont="1" applyFill="1" applyBorder="1" applyAlignment="1">
      <alignment horizontal="center" wrapText="1"/>
    </xf>
    <xf numFmtId="165" fontId="63" fillId="0" borderId="52" xfId="86" applyNumberFormat="1" applyFont="1" applyFill="1" applyBorder="1" applyAlignment="1">
      <alignment horizontal="center" wrapText="1"/>
    </xf>
    <xf numFmtId="165" fontId="63" fillId="0" borderId="50" xfId="86" applyNumberFormat="1" applyFont="1" applyFill="1" applyBorder="1" applyAlignment="1">
      <alignment horizontal="center" wrapText="1"/>
    </xf>
    <xf numFmtId="0" fontId="50" fillId="0" borderId="7" xfId="86" applyFont="1" applyBorder="1" applyAlignment="1">
      <alignment horizontal="center" vertical="center"/>
    </xf>
    <xf numFmtId="0" fontId="50" fillId="0" borderId="8" xfId="86" applyFont="1" applyBorder="1" applyAlignment="1">
      <alignment horizontal="center" vertical="center"/>
    </xf>
    <xf numFmtId="0" fontId="50" fillId="0" borderId="4" xfId="86" applyFont="1" applyBorder="1" applyAlignment="1">
      <alignment horizontal="center" vertical="center"/>
    </xf>
    <xf numFmtId="3" fontId="42" fillId="0" borderId="7" xfId="86" applyNumberFormat="1" applyFont="1" applyBorder="1" applyAlignment="1">
      <alignment horizontal="center" vertical="center" wrapText="1"/>
    </xf>
    <xf numFmtId="3" fontId="42" fillId="0" borderId="4" xfId="86" applyNumberFormat="1" applyFont="1" applyBorder="1" applyAlignment="1">
      <alignment horizontal="center" vertical="center" wrapText="1"/>
    </xf>
    <xf numFmtId="165" fontId="42" fillId="0" borderId="7" xfId="86" applyNumberFormat="1" applyFont="1" applyBorder="1" applyAlignment="1">
      <alignment horizontal="center" vertical="center" wrapText="1"/>
    </xf>
    <xf numFmtId="165" fontId="42" fillId="0" borderId="4" xfId="86" applyNumberFormat="1" applyFont="1" applyBorder="1" applyAlignment="1">
      <alignment horizontal="center" vertical="center" wrapText="1"/>
    </xf>
    <xf numFmtId="165" fontId="42" fillId="0" borderId="1" xfId="86" applyNumberFormat="1" applyFont="1" applyBorder="1" applyAlignment="1">
      <alignment horizontal="center" vertical="center" wrapText="1"/>
    </xf>
    <xf numFmtId="165" fontId="57" fillId="0" borderId="1" xfId="86" applyNumberFormat="1" applyFont="1" applyBorder="1" applyAlignment="1">
      <alignment horizontal="center" vertical="center" wrapText="1"/>
    </xf>
    <xf numFmtId="0" fontId="70" fillId="0" borderId="0" xfId="24" applyFont="1" applyFill="1" applyAlignment="1">
      <alignment horizontal="right" wrapText="1"/>
    </xf>
    <xf numFmtId="0" fontId="110" fillId="0" borderId="1" xfId="24" applyFont="1" applyFill="1" applyBorder="1" applyAlignment="1">
      <alignment horizontal="center" vertical="center" wrapText="1"/>
    </xf>
    <xf numFmtId="49" fontId="110" fillId="2" borderId="1" xfId="24" applyNumberFormat="1" applyFont="1" applyFill="1" applyBorder="1" applyAlignment="1">
      <alignment horizontal="center" vertical="center" wrapText="1"/>
    </xf>
    <xf numFmtId="49" fontId="110" fillId="0" borderId="1" xfId="24" applyNumberFormat="1" applyFont="1" applyFill="1" applyBorder="1" applyAlignment="1">
      <alignment horizontal="center" vertical="center" wrapText="1"/>
    </xf>
    <xf numFmtId="0" fontId="110" fillId="0" borderId="0" xfId="24" applyFont="1" applyFill="1" applyBorder="1" applyAlignment="1">
      <alignment horizontal="left" wrapText="1"/>
    </xf>
    <xf numFmtId="0" fontId="127" fillId="0" borderId="0" xfId="24" applyFont="1" applyFill="1" applyBorder="1" applyAlignment="1">
      <alignment horizontal="center" vertical="center" wrapText="1"/>
    </xf>
    <xf numFmtId="4" fontId="111" fillId="0" borderId="10" xfId="24" applyNumberFormat="1" applyFont="1" applyFill="1" applyBorder="1" applyAlignment="1">
      <alignment horizontal="center" wrapText="1"/>
    </xf>
    <xf numFmtId="4" fontId="42" fillId="0" borderId="1" xfId="91" applyNumberFormat="1" applyFont="1" applyBorder="1" applyAlignment="1">
      <alignment horizontal="center" vertical="center" wrapText="1"/>
    </xf>
    <xf numFmtId="4" fontId="50" fillId="0" borderId="0" xfId="91" applyNumberFormat="1" applyFont="1" applyAlignment="1">
      <alignment horizontal="right" wrapText="1"/>
    </xf>
    <xf numFmtId="4" fontId="50" fillId="0" borderId="0" xfId="91" applyNumberFormat="1" applyFont="1" applyAlignment="1">
      <alignment horizontal="right"/>
    </xf>
    <xf numFmtId="0" fontId="50" fillId="0" borderId="0" xfId="91" applyFont="1" applyAlignment="1">
      <alignment horizontal="right"/>
    </xf>
    <xf numFmtId="0" fontId="63" fillId="0" borderId="0" xfId="91" applyFont="1" applyAlignment="1">
      <alignment horizontal="center"/>
    </xf>
    <xf numFmtId="4" fontId="63" fillId="0" borderId="0" xfId="91" applyNumberFormat="1" applyFont="1" applyAlignment="1">
      <alignment horizontal="center"/>
    </xf>
    <xf numFmtId="0" fontId="42" fillId="0" borderId="1" xfId="91" applyFont="1" applyBorder="1" applyAlignment="1">
      <alignment horizontal="center" vertical="center" wrapText="1"/>
    </xf>
    <xf numFmtId="0" fontId="42" fillId="0" borderId="7" xfId="91" applyFont="1" applyBorder="1" applyAlignment="1">
      <alignment horizontal="center" vertical="center" wrapText="1"/>
    </xf>
    <xf numFmtId="0" fontId="42" fillId="0" borderId="8" xfId="91" applyFont="1" applyBorder="1" applyAlignment="1">
      <alignment horizontal="center" vertical="center" wrapText="1"/>
    </xf>
    <xf numFmtId="0" fontId="42" fillId="0" borderId="4" xfId="91" applyFont="1" applyBorder="1" applyAlignment="1">
      <alignment horizontal="center" vertical="center" wrapText="1"/>
    </xf>
    <xf numFmtId="4" fontId="50" fillId="0" borderId="2" xfId="91" applyNumberFormat="1" applyFont="1" applyBorder="1" applyAlignment="1">
      <alignment horizontal="center"/>
    </xf>
    <xf numFmtId="4" fontId="50" fillId="0" borderId="5" xfId="91" applyNumberFormat="1" applyFont="1" applyBorder="1" applyAlignment="1">
      <alignment horizontal="center"/>
    </xf>
    <xf numFmtId="4" fontId="50" fillId="0" borderId="6" xfId="91" applyNumberFormat="1" applyFont="1" applyBorder="1" applyAlignment="1">
      <alignment horizontal="center"/>
    </xf>
    <xf numFmtId="4" fontId="50" fillId="0" borderId="7" xfId="91" applyNumberFormat="1" applyFont="1" applyBorder="1" applyAlignment="1">
      <alignment horizontal="center" vertical="center" wrapText="1"/>
    </xf>
    <xf numFmtId="4" fontId="50" fillId="0" borderId="8" xfId="91" applyNumberFormat="1" applyFont="1" applyBorder="1" applyAlignment="1">
      <alignment horizontal="center" vertical="center"/>
    </xf>
    <xf numFmtId="4" fontId="50" fillId="0" borderId="4" xfId="91" applyNumberFormat="1" applyFont="1" applyBorder="1" applyAlignment="1">
      <alignment horizontal="center" vertical="center"/>
    </xf>
    <xf numFmtId="4" fontId="50" fillId="0" borderId="1" xfId="91" applyNumberFormat="1" applyFont="1" applyBorder="1" applyAlignment="1">
      <alignment horizontal="center" vertical="center" wrapText="1"/>
    </xf>
    <xf numFmtId="0" fontId="50" fillId="0" borderId="7" xfId="91" applyFont="1" applyBorder="1" applyAlignment="1">
      <alignment horizontal="center" vertical="center"/>
    </xf>
    <xf numFmtId="0" fontId="50" fillId="0" borderId="8" xfId="91" applyFont="1" applyBorder="1" applyAlignment="1">
      <alignment horizontal="center" vertical="center"/>
    </xf>
    <xf numFmtId="0" fontId="50" fillId="0" borderId="4" xfId="91" applyFont="1" applyBorder="1" applyAlignment="1">
      <alignment horizontal="center" vertical="center"/>
    </xf>
    <xf numFmtId="4" fontId="42" fillId="0" borderId="7" xfId="91" applyNumberFormat="1" applyFont="1" applyBorder="1" applyAlignment="1">
      <alignment horizontal="center" vertical="center" wrapText="1"/>
    </xf>
    <xf numFmtId="4" fontId="42" fillId="0" borderId="4" xfId="91" applyNumberFormat="1" applyFont="1" applyBorder="1" applyAlignment="1">
      <alignment horizontal="center" vertical="center" wrapText="1"/>
    </xf>
    <xf numFmtId="4" fontId="50" fillId="0" borderId="9" xfId="91" applyNumberFormat="1" applyFont="1" applyBorder="1" applyAlignment="1">
      <alignment horizontal="center" vertical="center" wrapText="1"/>
    </xf>
    <xf numFmtId="4" fontId="50" fillId="0" borderId="23" xfId="91" applyNumberFormat="1" applyFont="1" applyBorder="1" applyAlignment="1">
      <alignment horizontal="center" vertical="center" wrapText="1"/>
    </xf>
    <xf numFmtId="4" fontId="50" fillId="0" borderId="52" xfId="91" applyNumberFormat="1" applyFont="1" applyBorder="1" applyAlignment="1">
      <alignment horizontal="center" vertical="center" wrapText="1"/>
    </xf>
    <xf numFmtId="4" fontId="50" fillId="0" borderId="50" xfId="91" applyNumberFormat="1" applyFont="1" applyBorder="1" applyAlignment="1">
      <alignment horizontal="center" vertical="center" wrapText="1"/>
    </xf>
    <xf numFmtId="4" fontId="188" fillId="0" borderId="10" xfId="91" applyNumberFormat="1" applyFont="1" applyBorder="1" applyAlignment="1">
      <alignment horizontal="center"/>
    </xf>
    <xf numFmtId="4" fontId="60" fillId="0" borderId="3" xfId="91" applyNumberFormat="1" applyFont="1" applyBorder="1" applyAlignment="1">
      <alignment horizontal="center" vertical="top"/>
    </xf>
    <xf numFmtId="0" fontId="132" fillId="0" borderId="0" xfId="91" applyFont="1" applyAlignment="1">
      <alignment horizontal="center"/>
    </xf>
    <xf numFmtId="165" fontId="132" fillId="0" borderId="0" xfId="91" applyNumberFormat="1" applyFont="1" applyAlignment="1">
      <alignment horizontal="center"/>
    </xf>
    <xf numFmtId="0" fontId="50" fillId="0" borderId="2" xfId="91" applyFont="1" applyBorder="1" applyAlignment="1">
      <alignment horizontal="center"/>
    </xf>
    <xf numFmtId="165" fontId="50" fillId="0" borderId="5" xfId="91" applyNumberFormat="1" applyFont="1" applyBorder="1" applyAlignment="1">
      <alignment horizontal="center"/>
    </xf>
    <xf numFmtId="165" fontId="63" fillId="0" borderId="6" xfId="91" applyNumberFormat="1" applyFont="1" applyBorder="1" applyAlignment="1">
      <alignment horizontal="center"/>
    </xf>
    <xf numFmtId="0" fontId="50" fillId="0" borderId="2" xfId="91" applyFont="1" applyFill="1" applyBorder="1" applyAlignment="1">
      <alignment horizontal="center"/>
    </xf>
    <xf numFmtId="165" fontId="50" fillId="0" borderId="5" xfId="91" applyNumberFormat="1" applyFont="1" applyFill="1" applyBorder="1" applyAlignment="1">
      <alignment horizontal="center"/>
    </xf>
    <xf numFmtId="165" fontId="63" fillId="0" borderId="6" xfId="91" applyNumberFormat="1" applyFont="1" applyFill="1" applyBorder="1" applyAlignment="1">
      <alignment horizontal="center"/>
    </xf>
    <xf numFmtId="165" fontId="63" fillId="0" borderId="9" xfId="91" applyNumberFormat="1" applyFont="1" applyFill="1" applyBorder="1" applyAlignment="1">
      <alignment horizontal="center" wrapText="1"/>
    </xf>
    <xf numFmtId="165" fontId="63" fillId="0" borderId="23" xfId="91" applyNumberFormat="1" applyFont="1" applyFill="1" applyBorder="1" applyAlignment="1">
      <alignment horizontal="center" wrapText="1"/>
    </xf>
    <xf numFmtId="165" fontId="63" fillId="0" borderId="52" xfId="91" applyNumberFormat="1" applyFont="1" applyFill="1" applyBorder="1" applyAlignment="1">
      <alignment horizontal="center" wrapText="1"/>
    </xf>
    <xf numFmtId="165" fontId="63" fillId="0" borderId="50" xfId="91" applyNumberFormat="1" applyFont="1" applyFill="1" applyBorder="1" applyAlignment="1">
      <alignment horizontal="center" wrapText="1"/>
    </xf>
    <xf numFmtId="3" fontId="42" fillId="0" borderId="7" xfId="91" applyNumberFormat="1" applyFont="1" applyBorder="1" applyAlignment="1">
      <alignment horizontal="center" vertical="center" wrapText="1"/>
    </xf>
    <xf numFmtId="3" fontId="42" fillId="0" borderId="4" xfId="91" applyNumberFormat="1" applyFont="1" applyBorder="1" applyAlignment="1">
      <alignment horizontal="center" vertical="center" wrapText="1"/>
    </xf>
    <xf numFmtId="165" fontId="42" fillId="2" borderId="2" xfId="91" applyNumberFormat="1" applyFont="1" applyFill="1" applyBorder="1" applyAlignment="1">
      <alignment horizontal="center" vertical="center" wrapText="1"/>
    </xf>
    <xf numFmtId="165" fontId="42" fillId="2" borderId="6" xfId="91" applyNumberFormat="1" applyFont="1" applyFill="1" applyBorder="1" applyAlignment="1">
      <alignment horizontal="center" vertical="center" wrapText="1"/>
    </xf>
    <xf numFmtId="165" fontId="42" fillId="0" borderId="7" xfId="91" applyNumberFormat="1" applyFont="1" applyBorder="1" applyAlignment="1">
      <alignment horizontal="center" vertical="center" wrapText="1"/>
    </xf>
    <xf numFmtId="165" fontId="42" fillId="0" borderId="4" xfId="91" applyNumberFormat="1" applyFont="1" applyBorder="1" applyAlignment="1">
      <alignment horizontal="center" vertical="center" wrapText="1"/>
    </xf>
    <xf numFmtId="165" fontId="42" fillId="0" borderId="1" xfId="91" applyNumberFormat="1" applyFont="1" applyBorder="1" applyAlignment="1">
      <alignment horizontal="center" vertical="center" wrapText="1"/>
    </xf>
    <xf numFmtId="165" fontId="57" fillId="0" borderId="1" xfId="91" applyNumberFormat="1" applyFont="1" applyBorder="1" applyAlignment="1">
      <alignment horizontal="center" vertical="center" wrapText="1"/>
    </xf>
    <xf numFmtId="3" fontId="42" fillId="0" borderId="7" xfId="91" applyNumberFormat="1" applyFont="1" applyFill="1" applyBorder="1" applyAlignment="1">
      <alignment horizontal="center" vertical="center" wrapText="1"/>
    </xf>
    <xf numFmtId="3" fontId="42" fillId="0" borderId="4" xfId="91" applyNumberFormat="1" applyFont="1" applyFill="1" applyBorder="1" applyAlignment="1">
      <alignment horizontal="center" vertical="center" wrapText="1"/>
    </xf>
    <xf numFmtId="165" fontId="42" fillId="0" borderId="7" xfId="91" applyNumberFormat="1" applyFont="1" applyFill="1" applyBorder="1" applyAlignment="1">
      <alignment horizontal="center" vertical="center" wrapText="1"/>
    </xf>
    <xf numFmtId="165" fontId="42" fillId="0" borderId="4" xfId="91" applyNumberFormat="1" applyFont="1" applyFill="1" applyBorder="1" applyAlignment="1">
      <alignment horizontal="center" vertical="center" wrapText="1"/>
    </xf>
    <xf numFmtId="165" fontId="42" fillId="0" borderId="1" xfId="91" applyNumberFormat="1" applyFont="1" applyFill="1" applyBorder="1" applyAlignment="1">
      <alignment horizontal="center" vertical="center" wrapText="1"/>
    </xf>
    <xf numFmtId="165" fontId="57" fillId="0" borderId="1" xfId="91" applyNumberFormat="1" applyFont="1" applyFill="1" applyBorder="1" applyAlignment="1">
      <alignment horizontal="center" vertical="center" wrapText="1"/>
    </xf>
    <xf numFmtId="165" fontId="60" fillId="0" borderId="3" xfId="91" applyNumberFormat="1" applyFont="1" applyBorder="1" applyAlignment="1">
      <alignment horizontal="center" vertical="top"/>
    </xf>
    <xf numFmtId="165" fontId="188" fillId="0" borderId="10" xfId="91" applyNumberFormat="1" applyFont="1" applyBorder="1" applyAlignment="1">
      <alignment horizontal="center"/>
    </xf>
    <xf numFmtId="0" fontId="89" fillId="3" borderId="2" xfId="91" applyFont="1" applyFill="1" applyBorder="1" applyAlignment="1">
      <alignment horizontal="center" vertical="center" wrapText="1"/>
    </xf>
    <xf numFmtId="0" fontId="123" fillId="3" borderId="5" xfId="91" applyFont="1" applyFill="1" applyBorder="1" applyAlignment="1">
      <alignment horizontal="center" vertical="center" wrapText="1"/>
    </xf>
    <xf numFmtId="165" fontId="123" fillId="3" borderId="5" xfId="91" applyNumberFormat="1" applyFont="1" applyFill="1" applyBorder="1" applyAlignment="1">
      <alignment horizontal="center" vertical="center" wrapText="1"/>
    </xf>
    <xf numFmtId="165" fontId="89" fillId="3" borderId="5" xfId="91" applyNumberFormat="1" applyFont="1" applyFill="1" applyBorder="1" applyAlignment="1">
      <alignment horizontal="center" vertical="center" wrapText="1"/>
    </xf>
    <xf numFmtId="0" fontId="123" fillId="3" borderId="6" xfId="91" applyFont="1" applyFill="1" applyBorder="1" applyAlignment="1">
      <alignment horizontal="center" vertical="center" wrapText="1"/>
    </xf>
    <xf numFmtId="0" fontId="166" fillId="2" borderId="0" xfId="67" applyFont="1" applyFill="1" applyAlignment="1">
      <alignment horizontal="center" vertical="center" wrapText="1"/>
    </xf>
    <xf numFmtId="0" fontId="194" fillId="2" borderId="0" xfId="67" applyFont="1" applyFill="1" applyAlignment="1">
      <alignment horizontal="center" vertical="center" wrapText="1"/>
    </xf>
    <xf numFmtId="0" fontId="165" fillId="2" borderId="10" xfId="67" applyFont="1" applyFill="1" applyBorder="1" applyAlignment="1">
      <alignment horizontal="left" vertical="center" wrapText="1"/>
    </xf>
    <xf numFmtId="0" fontId="165" fillId="2" borderId="1" xfId="67" applyFont="1" applyFill="1" applyBorder="1" applyAlignment="1">
      <alignment horizontal="center" vertical="center" wrapText="1"/>
    </xf>
    <xf numFmtId="0" fontId="166" fillId="2" borderId="1" xfId="67" applyFont="1" applyFill="1" applyBorder="1" applyAlignment="1">
      <alignment horizontal="center" vertical="center" wrapText="1"/>
    </xf>
    <xf numFmtId="0" fontId="165" fillId="2" borderId="0" xfId="67" applyFont="1" applyFill="1" applyAlignment="1">
      <alignment horizontal="center" vertical="center" wrapText="1"/>
    </xf>
    <xf numFmtId="0" fontId="165" fillId="2" borderId="27" xfId="67" applyFont="1" applyFill="1" applyBorder="1" applyAlignment="1">
      <alignment horizontal="center" vertical="center" wrapText="1"/>
    </xf>
    <xf numFmtId="0" fontId="166" fillId="2" borderId="7" xfId="67" applyFont="1" applyFill="1" applyBorder="1" applyAlignment="1">
      <alignment horizontal="center" vertical="center" wrapText="1"/>
    </xf>
    <xf numFmtId="0" fontId="166" fillId="2" borderId="8" xfId="67" applyFont="1" applyFill="1" applyBorder="1" applyAlignment="1">
      <alignment horizontal="center" vertical="center" wrapText="1"/>
    </xf>
    <xf numFmtId="0" fontId="166" fillId="2" borderId="4" xfId="67" applyFont="1" applyFill="1" applyBorder="1" applyAlignment="1">
      <alignment horizontal="center" vertical="center" wrapText="1"/>
    </xf>
    <xf numFmtId="0" fontId="165" fillId="2" borderId="26" xfId="67" applyFont="1" applyFill="1" applyBorder="1" applyAlignment="1">
      <alignment horizontal="left" vertical="top" wrapText="1"/>
    </xf>
    <xf numFmtId="0" fontId="165" fillId="2" borderId="0" xfId="67" applyFont="1" applyFill="1" applyAlignment="1">
      <alignment horizontal="left" vertical="top" wrapText="1"/>
    </xf>
    <xf numFmtId="4" fontId="165" fillId="7" borderId="26" xfId="67" applyNumberFormat="1" applyFont="1" applyFill="1" applyBorder="1" applyAlignment="1">
      <alignment horizontal="center" vertical="center" wrapText="1"/>
    </xf>
    <xf numFmtId="4" fontId="165" fillId="7" borderId="0" xfId="67" applyNumberFormat="1" applyFont="1" applyFill="1" applyAlignment="1">
      <alignment horizontal="center" vertical="center" wrapText="1"/>
    </xf>
    <xf numFmtId="4" fontId="165" fillId="2" borderId="26" xfId="67" applyNumberFormat="1" applyFont="1" applyFill="1" applyBorder="1" applyAlignment="1">
      <alignment horizontal="left" vertical="top" wrapText="1"/>
    </xf>
    <xf numFmtId="4" fontId="165" fillId="2" borderId="0" xfId="67" applyNumberFormat="1" applyFont="1" applyFill="1" applyBorder="1" applyAlignment="1">
      <alignment horizontal="left" vertical="top" wrapText="1"/>
    </xf>
    <xf numFmtId="4" fontId="165" fillId="2" borderId="0" xfId="67" applyNumberFormat="1" applyFont="1" applyFill="1" applyAlignment="1">
      <alignment horizontal="left" vertical="top" wrapText="1"/>
    </xf>
    <xf numFmtId="4" fontId="165" fillId="2" borderId="26" xfId="67" applyNumberFormat="1" applyFont="1" applyFill="1" applyBorder="1" applyAlignment="1">
      <alignment horizontal="left" vertical="center" wrapText="1"/>
    </xf>
    <xf numFmtId="4" fontId="165" fillId="2" borderId="0" xfId="67" applyNumberFormat="1" applyFont="1" applyFill="1" applyAlignment="1">
      <alignment horizontal="left" vertical="center" wrapText="1"/>
    </xf>
    <xf numFmtId="0" fontId="184" fillId="2" borderId="3" xfId="91" applyFont="1" applyFill="1" applyBorder="1" applyAlignment="1">
      <alignment horizontal="center" vertical="top"/>
    </xf>
    <xf numFmtId="0" fontId="184" fillId="2" borderId="0" xfId="91" applyFont="1" applyFill="1" applyBorder="1" applyAlignment="1">
      <alignment horizontal="center" vertical="top"/>
    </xf>
    <xf numFmtId="0" fontId="165" fillId="2" borderId="0" xfId="67" applyFont="1" applyFill="1" applyBorder="1" applyAlignment="1">
      <alignment vertical="center" wrapText="1"/>
    </xf>
    <xf numFmtId="0" fontId="41" fillId="2" borderId="10" xfId="91" applyFont="1" applyFill="1" applyBorder="1" applyAlignment="1">
      <alignment horizontal="center"/>
    </xf>
    <xf numFmtId="165" fontId="50" fillId="0" borderId="0" xfId="91" applyNumberFormat="1" applyFont="1" applyAlignment="1">
      <alignment horizontal="left" vertical="center" wrapText="1"/>
    </xf>
    <xf numFmtId="14" fontId="46" fillId="0" borderId="0" xfId="91" applyNumberFormat="1" applyFont="1" applyAlignment="1">
      <alignment horizontal="left" vertical="center" wrapText="1"/>
    </xf>
    <xf numFmtId="165" fontId="50" fillId="0" borderId="0" xfId="91" applyNumberFormat="1" applyFont="1" applyAlignment="1">
      <alignment horizontal="left" wrapText="1"/>
    </xf>
    <xf numFmtId="165" fontId="21" fillId="2" borderId="12" xfId="91" applyNumberFormat="1" applyFont="1" applyFill="1" applyBorder="1" applyAlignment="1">
      <alignment horizontal="center" vertical="center" wrapText="1"/>
    </xf>
    <xf numFmtId="14" fontId="21" fillId="2" borderId="14" xfId="91" applyNumberFormat="1" applyFont="1" applyFill="1" applyBorder="1" applyAlignment="1">
      <alignment horizontal="center" vertical="center" wrapText="1"/>
    </xf>
    <xf numFmtId="165" fontId="21" fillId="2" borderId="14" xfId="91" applyNumberFormat="1" applyFont="1" applyFill="1" applyBorder="1" applyAlignment="1">
      <alignment horizontal="center" vertical="center" wrapText="1"/>
    </xf>
    <xf numFmtId="165" fontId="21" fillId="2" borderId="13" xfId="91" applyNumberFormat="1" applyFont="1" applyFill="1" applyBorder="1" applyAlignment="1">
      <alignment horizontal="center" vertical="center" wrapText="1"/>
    </xf>
    <xf numFmtId="165" fontId="50" fillId="0" borderId="0" xfId="91" applyNumberFormat="1" applyFont="1" applyAlignment="1">
      <alignment horizontal="right" vertical="center" wrapText="1"/>
    </xf>
    <xf numFmtId="165" fontId="80" fillId="0" borderId="0" xfId="91" applyNumberFormat="1" applyFont="1" applyAlignment="1">
      <alignment horizontal="center" vertical="center" wrapText="1"/>
    </xf>
    <xf numFmtId="14" fontId="82" fillId="0" borderId="0" xfId="91" applyNumberFormat="1" applyFont="1" applyAlignment="1">
      <alignment horizontal="center" vertical="center" wrapText="1"/>
    </xf>
    <xf numFmtId="165" fontId="81" fillId="0" borderId="0" xfId="91" applyNumberFormat="1" applyFont="1" applyAlignment="1">
      <alignment horizontal="center" vertical="center" wrapText="1"/>
    </xf>
    <xf numFmtId="14" fontId="126" fillId="0" borderId="0" xfId="91" applyNumberFormat="1" applyFont="1" applyAlignment="1">
      <alignment horizontal="center" vertical="center" wrapText="1"/>
    </xf>
    <xf numFmtId="165" fontId="62" fillId="0" borderId="0" xfId="91" applyNumberFormat="1" applyFont="1" applyBorder="1" applyAlignment="1">
      <alignment horizontal="center" vertical="center" wrapText="1"/>
    </xf>
    <xf numFmtId="14" fontId="21" fillId="0" borderId="0" xfId="91" applyNumberFormat="1" applyFont="1" applyBorder="1" applyAlignment="1">
      <alignment horizontal="center" vertical="center" wrapText="1"/>
    </xf>
    <xf numFmtId="165" fontId="21" fillId="2" borderId="18" xfId="91" applyNumberFormat="1" applyFont="1" applyFill="1" applyBorder="1" applyAlignment="1">
      <alignment horizontal="center" vertical="center" wrapText="1"/>
    </xf>
    <xf numFmtId="165" fontId="21" fillId="2" borderId="19" xfId="91" applyNumberFormat="1" applyFont="1" applyFill="1" applyBorder="1" applyAlignment="1">
      <alignment horizontal="center" vertical="center" wrapText="1"/>
    </xf>
    <xf numFmtId="0" fontId="84" fillId="0" borderId="1" xfId="93" applyFont="1" applyBorder="1" applyAlignment="1">
      <alignment horizontal="center" vertical="center" wrapText="1"/>
    </xf>
    <xf numFmtId="0" fontId="84" fillId="0" borderId="7" xfId="93" applyFont="1" applyBorder="1" applyAlignment="1">
      <alignment horizontal="center" vertical="center" wrapText="1"/>
    </xf>
    <xf numFmtId="0" fontId="84" fillId="0" borderId="8" xfId="93" applyFont="1" applyBorder="1" applyAlignment="1">
      <alignment horizontal="center" vertical="center" wrapText="1"/>
    </xf>
    <xf numFmtId="0" fontId="84" fillId="0" borderId="4" xfId="93" applyFont="1" applyBorder="1" applyAlignment="1">
      <alignment horizontal="center" vertical="center" wrapText="1"/>
    </xf>
    <xf numFmtId="0" fontId="42" fillId="0" borderId="9" xfId="93" applyFont="1" applyBorder="1" applyAlignment="1">
      <alignment horizontal="center" vertical="center" wrapText="1"/>
    </xf>
    <xf numFmtId="0" fontId="42" fillId="0" borderId="3" xfId="93" applyFont="1" applyBorder="1" applyAlignment="1">
      <alignment horizontal="center" vertical="center" wrapText="1"/>
    </xf>
    <xf numFmtId="0" fontId="42" fillId="0" borderId="23" xfId="93" applyFont="1" applyBorder="1" applyAlignment="1">
      <alignment horizontal="center" vertical="center" wrapText="1"/>
    </xf>
    <xf numFmtId="0" fontId="42" fillId="0" borderId="52" xfId="93" applyFont="1" applyBorder="1" applyAlignment="1">
      <alignment horizontal="center" vertical="center" wrapText="1"/>
    </xf>
    <xf numFmtId="0" fontId="42" fillId="0" borderId="10" xfId="93" applyFont="1" applyBorder="1" applyAlignment="1">
      <alignment horizontal="center" vertical="center" wrapText="1"/>
    </xf>
    <xf numFmtId="0" fontId="42" fillId="0" borderId="50" xfId="93" applyFont="1" applyBorder="1" applyAlignment="1">
      <alignment horizontal="center" vertical="center" wrapText="1"/>
    </xf>
    <xf numFmtId="0" fontId="57" fillId="0" borderId="2" xfId="93" applyFont="1" applyBorder="1" applyAlignment="1">
      <alignment horizontal="center" vertical="center" wrapText="1"/>
    </xf>
    <xf numFmtId="0" fontId="57" fillId="0" borderId="5" xfId="93" applyFont="1" applyBorder="1" applyAlignment="1">
      <alignment horizontal="center" vertical="center" wrapText="1"/>
    </xf>
    <xf numFmtId="0" fontId="57" fillId="0" borderId="6" xfId="93" applyFont="1" applyBorder="1" applyAlignment="1">
      <alignment horizontal="center" vertical="center" wrapText="1"/>
    </xf>
    <xf numFmtId="4" fontId="84" fillId="0" borderId="1" xfId="93" applyNumberFormat="1" applyFont="1" applyBorder="1" applyAlignment="1">
      <alignment horizontal="center" vertical="center" wrapText="1"/>
    </xf>
    <xf numFmtId="0" fontId="42" fillId="0" borderId="1" xfId="93" applyFont="1" applyBorder="1" applyAlignment="1">
      <alignment horizontal="center" vertical="center" wrapText="1"/>
    </xf>
    <xf numFmtId="165" fontId="84" fillId="0" borderId="7" xfId="93" applyNumberFormat="1" applyFont="1" applyBorder="1" applyAlignment="1">
      <alignment horizontal="center" vertical="center" wrapText="1"/>
    </xf>
    <xf numFmtId="165" fontId="84" fillId="0" borderId="8" xfId="93" applyNumberFormat="1" applyFont="1" applyBorder="1" applyAlignment="1">
      <alignment horizontal="center" vertical="center" wrapText="1"/>
    </xf>
    <xf numFmtId="165" fontId="84" fillId="0" borderId="4" xfId="93" applyNumberFormat="1" applyFont="1" applyBorder="1" applyAlignment="1">
      <alignment horizontal="center" vertical="center" wrapText="1"/>
    </xf>
    <xf numFmtId="165" fontId="42" fillId="0" borderId="1" xfId="93" applyNumberFormat="1" applyFont="1" applyBorder="1" applyAlignment="1">
      <alignment horizontal="center" vertical="center" wrapText="1"/>
    </xf>
    <xf numFmtId="165" fontId="42" fillId="0" borderId="1" xfId="93" applyNumberFormat="1" applyFont="1" applyFill="1" applyBorder="1" applyAlignment="1">
      <alignment horizontal="center" vertical="center" wrapText="1"/>
    </xf>
    <xf numFmtId="0" fontId="42" fillId="0" borderId="0" xfId="93" applyFont="1" applyFill="1" applyAlignment="1">
      <alignment horizontal="center"/>
    </xf>
    <xf numFmtId="3" fontId="123" fillId="0" borderId="1" xfId="93" applyNumberFormat="1" applyFont="1" applyFill="1" applyBorder="1" applyAlignment="1">
      <alignment horizontal="center" vertical="center"/>
    </xf>
    <xf numFmtId="3" fontId="123" fillId="0" borderId="1" xfId="93" applyNumberFormat="1" applyFont="1" applyFill="1" applyBorder="1" applyAlignment="1">
      <alignment horizontal="center" vertical="center" wrapText="1"/>
    </xf>
    <xf numFmtId="165" fontId="123" fillId="0" borderId="1" xfId="93" applyNumberFormat="1" applyFont="1" applyFill="1" applyBorder="1" applyAlignment="1">
      <alignment horizontal="center" vertical="center"/>
    </xf>
    <xf numFmtId="165" fontId="41" fillId="0" borderId="7" xfId="93" applyNumberFormat="1" applyFont="1" applyFill="1" applyBorder="1" applyAlignment="1">
      <alignment horizontal="center" vertical="center" wrapText="1"/>
    </xf>
    <xf numFmtId="165" fontId="41" fillId="0" borderId="4" xfId="93" applyNumberFormat="1" applyFont="1" applyFill="1" applyBorder="1" applyAlignment="1">
      <alignment horizontal="center" vertical="center" wrapText="1"/>
    </xf>
    <xf numFmtId="165" fontId="41" fillId="0" borderId="7" xfId="93" applyNumberFormat="1" applyFont="1" applyBorder="1" applyAlignment="1">
      <alignment horizontal="center" vertical="center" wrapText="1"/>
    </xf>
    <xf numFmtId="165" fontId="41" fillId="0" borderId="4" xfId="93" applyNumberFormat="1" applyFont="1" applyBorder="1" applyAlignment="1">
      <alignment horizontal="center" vertical="center" wrapText="1"/>
    </xf>
    <xf numFmtId="165" fontId="41" fillId="0" borderId="1" xfId="93" applyNumberFormat="1" applyFont="1" applyFill="1" applyBorder="1" applyAlignment="1">
      <alignment horizontal="center" vertical="center" wrapText="1"/>
    </xf>
    <xf numFmtId="0" fontId="75" fillId="2" borderId="0" xfId="25" applyFill="1" applyBorder="1" applyAlignment="1">
      <alignment horizontal="center" wrapText="1"/>
    </xf>
    <xf numFmtId="0" fontId="75" fillId="2" borderId="0" xfId="25" applyFill="1" applyBorder="1" applyAlignment="1">
      <alignment horizontal="center"/>
    </xf>
    <xf numFmtId="0" fontId="15" fillId="2" borderId="1" xfId="25" applyFont="1" applyFill="1" applyBorder="1" applyAlignment="1">
      <alignment horizontal="center" vertical="center" wrapText="1"/>
    </xf>
    <xf numFmtId="0" fontId="42" fillId="0" borderId="0" xfId="91" applyFont="1" applyAlignment="1">
      <alignment horizontal="right" vertical="center" wrapText="1"/>
    </xf>
    <xf numFmtId="0" fontId="42" fillId="0" borderId="0" xfId="91" applyFont="1" applyAlignment="1">
      <alignment horizontal="right" vertical="center"/>
    </xf>
    <xf numFmtId="0" fontId="89" fillId="0" borderId="0" xfId="91" applyFont="1" applyAlignment="1">
      <alignment horizontal="center" vertical="center" wrapText="1"/>
    </xf>
    <xf numFmtId="165" fontId="42" fillId="0" borderId="5" xfId="91" applyNumberFormat="1" applyFont="1" applyBorder="1" applyAlignment="1">
      <alignment horizontal="center" vertical="center" wrapText="1"/>
    </xf>
    <xf numFmtId="165" fontId="42" fillId="0" borderId="6" xfId="91" applyNumberFormat="1" applyFont="1" applyBorder="1" applyAlignment="1">
      <alignment horizontal="center" vertical="center" wrapText="1"/>
    </xf>
    <xf numFmtId="165" fontId="42" fillId="24" borderId="1" xfId="91" applyNumberFormat="1" applyFont="1" applyFill="1" applyBorder="1" applyAlignment="1">
      <alignment horizontal="center" vertical="center" wrapText="1"/>
    </xf>
    <xf numFmtId="165" fontId="42" fillId="0" borderId="9" xfId="91" applyNumberFormat="1" applyFont="1" applyBorder="1" applyAlignment="1">
      <alignment horizontal="center" vertical="center" wrapText="1"/>
    </xf>
    <xf numFmtId="165" fontId="42" fillId="0" borderId="23" xfId="91" applyNumberFormat="1" applyFont="1" applyBorder="1" applyAlignment="1">
      <alignment horizontal="center" vertical="center" wrapText="1"/>
    </xf>
    <xf numFmtId="165" fontId="42" fillId="0" borderId="26" xfId="91" applyNumberFormat="1" applyFont="1" applyBorder="1" applyAlignment="1">
      <alignment horizontal="center" vertical="center" wrapText="1"/>
    </xf>
    <xf numFmtId="165" fontId="42" fillId="0" borderId="27" xfId="91" applyNumberFormat="1" applyFont="1" applyBorder="1" applyAlignment="1">
      <alignment horizontal="center" vertical="center" wrapText="1"/>
    </xf>
    <xf numFmtId="165" fontId="42" fillId="0" borderId="52" xfId="91" applyNumberFormat="1" applyFont="1" applyBorder="1" applyAlignment="1">
      <alignment horizontal="center" vertical="center" wrapText="1"/>
    </xf>
    <xf numFmtId="165" fontId="42" fillId="0" borderId="50" xfId="91" applyNumberFormat="1" applyFont="1" applyBorder="1" applyAlignment="1">
      <alignment horizontal="center" vertical="center" wrapText="1"/>
    </xf>
    <xf numFmtId="165" fontId="42" fillId="0" borderId="2" xfId="91" applyNumberFormat="1" applyFont="1" applyBorder="1" applyAlignment="1">
      <alignment horizontal="center" vertical="center" wrapText="1"/>
    </xf>
    <xf numFmtId="165" fontId="42" fillId="2" borderId="7" xfId="91" applyNumberFormat="1" applyFont="1" applyFill="1" applyBorder="1" applyAlignment="1">
      <alignment horizontal="center" vertical="center" wrapText="1"/>
    </xf>
    <xf numFmtId="165" fontId="42" fillId="2" borderId="4" xfId="91" applyNumberFormat="1" applyFont="1" applyFill="1" applyBorder="1" applyAlignment="1">
      <alignment horizontal="center" vertical="center" wrapText="1"/>
    </xf>
    <xf numFmtId="0" fontId="42" fillId="2" borderId="7" xfId="91" applyFont="1" applyFill="1" applyBorder="1" applyAlignment="1">
      <alignment horizontal="center" vertical="center" wrapText="1"/>
    </xf>
    <xf numFmtId="0" fontId="42" fillId="2" borderId="4" xfId="91" applyFont="1" applyFill="1" applyBorder="1" applyAlignment="1">
      <alignment horizontal="center" vertical="center" wrapText="1"/>
    </xf>
    <xf numFmtId="0" fontId="22" fillId="0" borderId="0" xfId="71" applyFont="1" applyFill="1" applyAlignment="1">
      <alignment horizontal="left" vertical="center"/>
    </xf>
    <xf numFmtId="0" fontId="23" fillId="0" borderId="0" xfId="71" applyFont="1" applyAlignment="1">
      <alignment horizontal="center" vertical="center" wrapText="1"/>
    </xf>
    <xf numFmtId="0" fontId="17" fillId="0" borderId="0" xfId="71" applyFont="1" applyAlignment="1">
      <alignment horizontal="center" vertical="center" wrapText="1"/>
    </xf>
    <xf numFmtId="0" fontId="30" fillId="2" borderId="1" xfId="71" applyFont="1" applyFill="1" applyBorder="1" applyAlignment="1">
      <alignment horizontal="center" vertical="center" wrapText="1"/>
    </xf>
    <xf numFmtId="0" fontId="43" fillId="0" borderId="1" xfId="71" applyBorder="1" applyAlignment="1">
      <alignment horizontal="center" vertical="center" wrapText="1"/>
    </xf>
    <xf numFmtId="0" fontId="43" fillId="0" borderId="1" xfId="71" applyFill="1" applyBorder="1" applyAlignment="1">
      <alignment horizontal="center" vertical="center" textRotation="90" wrapText="1"/>
    </xf>
    <xf numFmtId="0" fontId="43" fillId="0" borderId="1" xfId="71" applyFill="1" applyBorder="1" applyAlignment="1">
      <alignment horizontal="center" vertical="center" wrapText="1"/>
    </xf>
    <xf numFmtId="168" fontId="25" fillId="2" borderId="7" xfId="71" applyNumberFormat="1" applyFont="1" applyFill="1" applyBorder="1" applyAlignment="1">
      <alignment horizontal="center" vertical="center" wrapText="1"/>
    </xf>
    <xf numFmtId="168" fontId="25" fillId="2" borderId="8" xfId="71" applyNumberFormat="1" applyFont="1" applyFill="1" applyBorder="1" applyAlignment="1">
      <alignment horizontal="center" vertical="center" wrapText="1"/>
    </xf>
    <xf numFmtId="0" fontId="29" fillId="0" borderId="1" xfId="71" applyFont="1" applyBorder="1" applyAlignment="1">
      <alignment horizontal="center" vertical="center" wrapText="1"/>
    </xf>
    <xf numFmtId="0" fontId="46" fillId="0" borderId="1" xfId="8" applyFont="1" applyFill="1" applyBorder="1" applyAlignment="1">
      <alignment horizontal="center" vertical="center" textRotation="90" wrapText="1"/>
    </xf>
    <xf numFmtId="0" fontId="43" fillId="0" borderId="1" xfId="71" applyBorder="1" applyAlignment="1">
      <alignment horizontal="center" vertical="center" textRotation="90" wrapText="1"/>
    </xf>
    <xf numFmtId="0" fontId="46" fillId="0" borderId="1" xfId="8" applyFont="1" applyFill="1" applyBorder="1" applyAlignment="1">
      <alignment horizontal="center" vertical="center" wrapText="1"/>
    </xf>
    <xf numFmtId="3" fontId="83" fillId="0" borderId="1" xfId="71" applyNumberFormat="1" applyFont="1" applyFill="1" applyBorder="1" applyAlignment="1">
      <alignment horizontal="center" vertical="center" wrapText="1"/>
    </xf>
    <xf numFmtId="0" fontId="177" fillId="0" borderId="0" xfId="80" applyFont="1" applyAlignment="1">
      <alignment horizontal="center"/>
    </xf>
    <xf numFmtId="0" fontId="19" fillId="0" borderId="0" xfId="80" applyFont="1" applyAlignment="1">
      <alignment horizontal="center"/>
    </xf>
    <xf numFmtId="0" fontId="19" fillId="0" borderId="0" xfId="80" applyFont="1" applyAlignment="1">
      <alignment horizontal="center" vertical="top"/>
    </xf>
    <xf numFmtId="0" fontId="20" fillId="0" borderId="7" xfId="80" applyFont="1" applyBorder="1" applyAlignment="1">
      <alignment horizontal="center" vertical="center"/>
    </xf>
    <xf numFmtId="0" fontId="20" fillId="0" borderId="4" xfId="80" applyFont="1" applyBorder="1" applyAlignment="1">
      <alignment horizontal="center" vertical="center"/>
    </xf>
    <xf numFmtId="0" fontId="20" fillId="0" borderId="1" xfId="80" applyFont="1" applyBorder="1" applyAlignment="1">
      <alignment horizontal="center" vertical="center" wrapText="1"/>
    </xf>
    <xf numFmtId="0" fontId="20" fillId="0" borderId="1" xfId="80" applyFont="1" applyBorder="1" applyAlignment="1">
      <alignment horizontal="center" vertical="center"/>
    </xf>
    <xf numFmtId="0" fontId="20" fillId="0" borderId="1" xfId="80" applyFont="1" applyBorder="1" applyAlignment="1">
      <alignment horizontal="center" vertical="distributed" wrapText="1"/>
    </xf>
    <xf numFmtId="0" fontId="47" fillId="0" borderId="7" xfId="80" applyFont="1" applyBorder="1" applyAlignment="1">
      <alignment horizontal="center" vertical="center"/>
    </xf>
    <xf numFmtId="0" fontId="47" fillId="0" borderId="4" xfId="80" applyFont="1" applyBorder="1" applyAlignment="1">
      <alignment horizontal="center" vertical="center"/>
    </xf>
    <xf numFmtId="0" fontId="46" fillId="0" borderId="2" xfId="80" applyFont="1" applyFill="1" applyBorder="1" applyAlignment="1">
      <alignment horizontal="left" vertical="center" wrapText="1"/>
    </xf>
    <xf numFmtId="0" fontId="46" fillId="0" borderId="6" xfId="80" applyFont="1" applyFill="1" applyBorder="1" applyAlignment="1">
      <alignment horizontal="left" vertical="center" wrapText="1"/>
    </xf>
    <xf numFmtId="0" fontId="61" fillId="0" borderId="3" xfId="80" applyFont="1" applyBorder="1" applyAlignment="1">
      <alignment horizontal="center" vertical="top"/>
    </xf>
    <xf numFmtId="0" fontId="46" fillId="0" borderId="7" xfId="80" applyFont="1" applyBorder="1" applyAlignment="1">
      <alignment horizontal="center"/>
    </xf>
    <xf numFmtId="0" fontId="46" fillId="0" borderId="4" xfId="80" applyFont="1" applyBorder="1" applyAlignment="1">
      <alignment horizontal="center"/>
    </xf>
    <xf numFmtId="0" fontId="46" fillId="0" borderId="2" xfId="80" applyFont="1" applyFill="1" applyBorder="1" applyAlignment="1">
      <alignment horizontal="center" vertical="center" wrapText="1"/>
    </xf>
    <xf numFmtId="0" fontId="46" fillId="0" borderId="6" xfId="80" applyFont="1" applyFill="1" applyBorder="1" applyAlignment="1">
      <alignment horizontal="center" vertical="center" wrapText="1"/>
    </xf>
    <xf numFmtId="0" fontId="57" fillId="0" borderId="0" xfId="82" applyFont="1" applyFill="1" applyAlignment="1">
      <alignment horizontal="center" wrapText="1"/>
    </xf>
    <xf numFmtId="0" fontId="42" fillId="0" borderId="0" xfId="82" applyFont="1" applyFill="1" applyAlignment="1">
      <alignment horizontal="center"/>
    </xf>
    <xf numFmtId="0" fontId="84" fillId="0" borderId="1" xfId="82" applyFont="1" applyBorder="1" applyAlignment="1">
      <alignment horizontal="center" vertical="center" wrapText="1"/>
    </xf>
    <xf numFmtId="0" fontId="42" fillId="0" borderId="1" xfId="29" applyFont="1" applyBorder="1" applyAlignment="1">
      <alignment horizontal="center" vertical="center" wrapText="1"/>
    </xf>
    <xf numFmtId="0" fontId="42" fillId="0" borderId="1" xfId="82" applyFont="1" applyBorder="1" applyAlignment="1">
      <alignment horizontal="center" vertical="center" wrapText="1"/>
    </xf>
    <xf numFmtId="165" fontId="42" fillId="0" borderId="7" xfId="82" applyNumberFormat="1" applyFont="1" applyBorder="1" applyAlignment="1">
      <alignment horizontal="center" vertical="center" wrapText="1"/>
    </xf>
    <xf numFmtId="165" fontId="42" fillId="0" borderId="8" xfId="82" applyNumberFormat="1" applyFont="1" applyBorder="1" applyAlignment="1">
      <alignment horizontal="center" vertical="center" wrapText="1"/>
    </xf>
    <xf numFmtId="165" fontId="42" fillId="0" borderId="4" xfId="82" applyNumberFormat="1" applyFont="1" applyBorder="1" applyAlignment="1">
      <alignment horizontal="center" vertical="center" wrapText="1"/>
    </xf>
    <xf numFmtId="0" fontId="42" fillId="0" borderId="1" xfId="82" applyFont="1" applyBorder="1" applyAlignment="1">
      <alignment horizontal="center" vertical="center"/>
    </xf>
    <xf numFmtId="0" fontId="42" fillId="0" borderId="2" xfId="29" applyFont="1" applyBorder="1" applyAlignment="1">
      <alignment horizontal="center" vertical="center" wrapText="1"/>
    </xf>
    <xf numFmtId="0" fontId="42" fillId="0" borderId="5" xfId="29" applyFont="1" applyBorder="1" applyAlignment="1">
      <alignment horizontal="center" vertical="center" wrapText="1"/>
    </xf>
    <xf numFmtId="0" fontId="84" fillId="0" borderId="1" xfId="29" applyFont="1" applyBorder="1" applyAlignment="1">
      <alignment horizontal="center" vertical="center" wrapText="1"/>
    </xf>
    <xf numFmtId="165" fontId="84" fillId="0" borderId="1" xfId="29" applyNumberFormat="1" applyFont="1" applyBorder="1" applyAlignment="1">
      <alignment horizontal="center" vertical="center" wrapText="1"/>
    </xf>
    <xf numFmtId="0" fontId="134" fillId="0" borderId="0" xfId="82" applyFont="1" applyAlignment="1">
      <alignment horizontal="left"/>
    </xf>
    <xf numFmtId="165" fontId="84" fillId="0" borderId="1" xfId="82" applyNumberFormat="1" applyFont="1" applyBorder="1" applyAlignment="1">
      <alignment horizontal="center" vertical="center" wrapText="1"/>
    </xf>
    <xf numFmtId="0" fontId="42" fillId="0" borderId="0" xfId="82" applyFont="1" applyBorder="1" applyAlignment="1">
      <alignment horizontal="left" vertical="center"/>
    </xf>
    <xf numFmtId="165" fontId="42" fillId="0" borderId="7" xfId="29" applyNumberFormat="1" applyFont="1" applyBorder="1" applyAlignment="1">
      <alignment horizontal="center" vertical="center" wrapText="1"/>
    </xf>
    <xf numFmtId="165" fontId="42" fillId="0" borderId="4" xfId="29" applyNumberFormat="1" applyFont="1" applyBorder="1" applyAlignment="1">
      <alignment horizontal="center" vertical="center" wrapText="1"/>
    </xf>
    <xf numFmtId="165" fontId="42" fillId="0" borderId="7" xfId="80" applyNumberFormat="1" applyFont="1" applyFill="1" applyBorder="1" applyAlignment="1">
      <alignment horizontal="center" vertical="center" wrapText="1"/>
    </xf>
    <xf numFmtId="165" fontId="42" fillId="0" borderId="4" xfId="80" applyNumberFormat="1" applyFont="1" applyFill="1" applyBorder="1" applyAlignment="1">
      <alignment horizontal="center" vertical="center" wrapText="1"/>
    </xf>
    <xf numFmtId="0" fontId="42" fillId="0" borderId="3" xfId="80" applyFont="1" applyBorder="1" applyAlignment="1">
      <alignment horizontal="left" vertical="center" wrapText="1"/>
    </xf>
    <xf numFmtId="0" fontId="63" fillId="0" borderId="0" xfId="80" applyFont="1" applyAlignment="1">
      <alignment horizontal="center" wrapText="1"/>
    </xf>
    <xf numFmtId="165" fontId="63" fillId="0" borderId="0" xfId="80" applyNumberFormat="1" applyFont="1" applyAlignment="1">
      <alignment horizontal="center" wrapText="1"/>
    </xf>
    <xf numFmtId="0" fontId="63" fillId="0" borderId="0" xfId="80" applyFont="1" applyAlignment="1">
      <alignment horizontal="center"/>
    </xf>
    <xf numFmtId="0" fontId="42" fillId="0" borderId="1" xfId="80" applyFont="1" applyBorder="1" applyAlignment="1">
      <alignment horizontal="center" vertical="center" wrapText="1"/>
    </xf>
    <xf numFmtId="0" fontId="42" fillId="0" borderId="7" xfId="80" applyFont="1" applyBorder="1" applyAlignment="1">
      <alignment horizontal="center" vertical="center" wrapText="1"/>
    </xf>
    <xf numFmtId="0" fontId="42" fillId="0" borderId="8" xfId="80" applyFont="1" applyBorder="1" applyAlignment="1">
      <alignment horizontal="center" vertical="center" wrapText="1"/>
    </xf>
    <xf numFmtId="0" fontId="42" fillId="0" borderId="4" xfId="80" applyFont="1" applyBorder="1" applyAlignment="1">
      <alignment horizontal="center" vertical="center" wrapText="1"/>
    </xf>
    <xf numFmtId="0" fontId="50" fillId="0" borderId="2" xfId="80" applyFont="1" applyFill="1" applyBorder="1" applyAlignment="1">
      <alignment horizontal="center"/>
    </xf>
    <xf numFmtId="165" fontId="50" fillId="0" borderId="5" xfId="80" applyNumberFormat="1" applyFont="1" applyFill="1" applyBorder="1" applyAlignment="1">
      <alignment horizontal="center"/>
    </xf>
    <xf numFmtId="165" fontId="63" fillId="0" borderId="6" xfId="80" applyNumberFormat="1" applyFont="1" applyFill="1" applyBorder="1" applyAlignment="1">
      <alignment horizontal="center"/>
    </xf>
    <xf numFmtId="165" fontId="50" fillId="0" borderId="1" xfId="80" applyNumberFormat="1" applyFont="1" applyFill="1" applyBorder="1" applyAlignment="1">
      <alignment horizontal="center" vertical="center"/>
    </xf>
    <xf numFmtId="0" fontId="50" fillId="0" borderId="7" xfId="80" applyFont="1" applyBorder="1" applyAlignment="1">
      <alignment horizontal="center" vertical="center"/>
    </xf>
    <xf numFmtId="0" fontId="50" fillId="0" borderId="8" xfId="80" applyFont="1" applyBorder="1" applyAlignment="1">
      <alignment horizontal="center" vertical="center"/>
    </xf>
    <xf numFmtId="0" fontId="50" fillId="0" borderId="4" xfId="80" applyFont="1" applyBorder="1" applyAlignment="1">
      <alignment horizontal="center" vertical="center"/>
    </xf>
    <xf numFmtId="3" fontId="42" fillId="0" borderId="7" xfId="80" applyNumberFormat="1" applyFont="1" applyFill="1" applyBorder="1" applyAlignment="1">
      <alignment horizontal="center" vertical="center" wrapText="1"/>
    </xf>
    <xf numFmtId="3" fontId="42" fillId="0" borderId="4" xfId="80" applyNumberFormat="1" applyFont="1" applyFill="1" applyBorder="1" applyAlignment="1">
      <alignment horizontal="center" vertical="center" wrapText="1"/>
    </xf>
    <xf numFmtId="0" fontId="158" fillId="2" borderId="0" xfId="80" applyNumberFormat="1" applyFont="1" applyFill="1" applyBorder="1" applyAlignment="1" applyProtection="1">
      <alignment horizontal="center" vertical="top" wrapText="1"/>
    </xf>
    <xf numFmtId="0" fontId="108" fillId="2" borderId="0" xfId="80" applyNumberFormat="1" applyFont="1" applyFill="1" applyBorder="1" applyAlignment="1" applyProtection="1">
      <alignment horizontal="center" vertical="top"/>
    </xf>
    <xf numFmtId="0" fontId="71" fillId="2" borderId="0" xfId="80" applyNumberFormat="1" applyFont="1" applyFill="1" applyBorder="1" applyAlignment="1" applyProtection="1">
      <alignment horizontal="center" vertical="top"/>
    </xf>
    <xf numFmtId="49" fontId="71" fillId="2" borderId="1" xfId="80" applyNumberFormat="1" applyFont="1" applyFill="1" applyBorder="1" applyAlignment="1" applyProtection="1">
      <alignment horizontal="center" vertical="center"/>
    </xf>
    <xf numFmtId="0" fontId="71" fillId="2" borderId="1" xfId="80" applyNumberFormat="1" applyFont="1" applyFill="1" applyBorder="1" applyAlignment="1" applyProtection="1">
      <alignment horizontal="center" vertical="center" wrapText="1"/>
    </xf>
    <xf numFmtId="0" fontId="73" fillId="2" borderId="7" xfId="80" applyNumberFormat="1" applyFont="1" applyFill="1" applyBorder="1" applyAlignment="1" applyProtection="1">
      <alignment horizontal="center" vertical="center" wrapText="1"/>
    </xf>
    <xf numFmtId="0" fontId="73" fillId="2" borderId="8" xfId="80" applyNumberFormat="1" applyFont="1" applyFill="1" applyBorder="1" applyAlignment="1" applyProtection="1">
      <alignment horizontal="center" vertical="center" wrapText="1"/>
    </xf>
    <xf numFmtId="0" fontId="73" fillId="2" borderId="4" xfId="80" applyNumberFormat="1" applyFont="1" applyFill="1" applyBorder="1" applyAlignment="1" applyProtection="1">
      <alignment horizontal="center" vertical="center" wrapText="1"/>
    </xf>
    <xf numFmtId="4" fontId="110" fillId="2" borderId="1" xfId="80" applyNumberFormat="1" applyFont="1" applyFill="1" applyBorder="1" applyAlignment="1" applyProtection="1">
      <alignment horizontal="center" vertical="center" wrapText="1"/>
    </xf>
    <xf numFmtId="0" fontId="68" fillId="2" borderId="7" xfId="80" applyNumberFormat="1" applyFont="1" applyFill="1" applyBorder="1" applyAlignment="1" applyProtection="1">
      <alignment horizontal="center" vertical="center" wrapText="1"/>
    </xf>
    <xf numFmtId="0" fontId="68" fillId="2" borderId="8" xfId="80" applyNumberFormat="1" applyFont="1" applyFill="1" applyBorder="1" applyAlignment="1" applyProtection="1">
      <alignment horizontal="center" vertical="center" wrapText="1"/>
    </xf>
    <xf numFmtId="0" fontId="68" fillId="2" borderId="4" xfId="80" applyNumberFormat="1" applyFont="1" applyFill="1" applyBorder="1" applyAlignment="1" applyProtection="1">
      <alignment horizontal="center" vertical="center" wrapText="1"/>
    </xf>
    <xf numFmtId="4" fontId="68" fillId="2" borderId="1" xfId="80" applyNumberFormat="1" applyFont="1" applyFill="1" applyBorder="1" applyAlignment="1" applyProtection="1">
      <alignment horizontal="center" vertical="center" wrapText="1"/>
    </xf>
    <xf numFmtId="4" fontId="68" fillId="2" borderId="1" xfId="80" applyNumberFormat="1" applyFont="1" applyFill="1" applyBorder="1" applyAlignment="1" applyProtection="1">
      <alignment horizontal="center" vertical="top"/>
    </xf>
    <xf numFmtId="165" fontId="20" fillId="2" borderId="1" xfId="3" applyNumberFormat="1" applyFont="1" applyFill="1" applyBorder="1" applyAlignment="1">
      <alignment horizontal="center"/>
    </xf>
    <xf numFmtId="165" fontId="20" fillId="2" borderId="0" xfId="3" applyNumberFormat="1" applyFont="1" applyFill="1" applyAlignment="1">
      <alignment horizontal="center" wrapText="1"/>
    </xf>
    <xf numFmtId="165" fontId="19" fillId="2" borderId="0" xfId="3" applyNumberFormat="1" applyFont="1" applyFill="1" applyAlignment="1">
      <alignment horizontal="center"/>
    </xf>
    <xf numFmtId="165" fontId="20" fillId="2" borderId="1" xfId="3" applyNumberFormat="1" applyFont="1" applyFill="1" applyBorder="1" applyAlignment="1">
      <alignment horizontal="center" vertical="center"/>
    </xf>
    <xf numFmtId="0" fontId="76" fillId="2" borderId="0" xfId="25" applyFont="1" applyFill="1" applyBorder="1" applyAlignment="1">
      <alignment horizontal="left" vertical="center" wrapText="1"/>
    </xf>
    <xf numFmtId="4" fontId="76" fillId="2" borderId="0" xfId="25" applyNumberFormat="1" applyFont="1" applyFill="1" applyBorder="1" applyAlignment="1">
      <alignment horizontal="center" vertical="center" wrapText="1"/>
    </xf>
    <xf numFmtId="0" fontId="179" fillId="2" borderId="0" xfId="25" applyFont="1" applyFill="1" applyBorder="1" applyAlignment="1">
      <alignment horizontal="left" vertical="center" wrapText="1"/>
    </xf>
    <xf numFmtId="0" fontId="76" fillId="2" borderId="0" xfId="25" applyFont="1" applyFill="1" applyBorder="1" applyAlignment="1">
      <alignment horizontal="right" vertical="center" wrapText="1"/>
    </xf>
    <xf numFmtId="0" fontId="76" fillId="2" borderId="0" xfId="25" applyFont="1" applyFill="1" applyBorder="1" applyAlignment="1">
      <alignment horizontal="right" vertical="center"/>
    </xf>
    <xf numFmtId="0" fontId="19" fillId="2" borderId="0" xfId="25" applyFont="1" applyFill="1" applyAlignment="1">
      <alignment horizontal="center" vertical="center" wrapText="1"/>
    </xf>
    <xf numFmtId="0" fontId="19" fillId="2" borderId="1" xfId="25" applyFont="1" applyFill="1" applyBorder="1" applyAlignment="1">
      <alignment horizontal="center" vertical="center" wrapText="1"/>
    </xf>
    <xf numFmtId="0" fontId="19" fillId="2" borderId="7" xfId="25" applyFont="1" applyFill="1" applyBorder="1" applyAlignment="1">
      <alignment horizontal="center" vertical="center" wrapText="1"/>
    </xf>
    <xf numFmtId="0" fontId="19" fillId="2" borderId="4" xfId="25" applyFont="1" applyFill="1" applyBorder="1" applyAlignment="1">
      <alignment horizontal="center" vertical="center" wrapText="1"/>
    </xf>
    <xf numFmtId="0" fontId="50" fillId="0" borderId="0" xfId="80" applyFont="1" applyAlignment="1">
      <alignment horizontal="center" wrapText="1"/>
    </xf>
    <xf numFmtId="0" fontId="51" fillId="0" borderId="0" xfId="80" applyFont="1" applyAlignment="1">
      <alignment horizontal="center" wrapText="1"/>
    </xf>
    <xf numFmtId="0" fontId="51" fillId="0" borderId="0" xfId="80" applyFont="1" applyAlignment="1">
      <alignment horizontal="center"/>
    </xf>
    <xf numFmtId="0" fontId="51" fillId="0" borderId="1" xfId="80" applyFont="1" applyBorder="1" applyAlignment="1">
      <alignment horizontal="center" vertical="center" wrapText="1"/>
    </xf>
    <xf numFmtId="0" fontId="51" fillId="2" borderId="1" xfId="80" applyFont="1" applyFill="1" applyBorder="1" applyAlignment="1">
      <alignment horizontal="center" vertical="center" wrapText="1"/>
    </xf>
    <xf numFmtId="0" fontId="80" fillId="0" borderId="0" xfId="80" applyFont="1" applyAlignment="1">
      <alignment horizontal="center" vertical="center" wrapText="1"/>
    </xf>
    <xf numFmtId="0" fontId="81" fillId="0" borderId="0" xfId="80" applyFont="1" applyAlignment="1">
      <alignment horizontal="center" vertical="center" wrapText="1"/>
    </xf>
    <xf numFmtId="0" fontId="21" fillId="0" borderId="1" xfId="80" applyFont="1" applyBorder="1" applyAlignment="1">
      <alignment horizontal="center" vertical="center" wrapText="1"/>
    </xf>
    <xf numFmtId="0" fontId="47" fillId="2" borderId="1" xfId="80" applyFont="1" applyFill="1" applyBorder="1" applyAlignment="1">
      <alignment horizontal="center" vertical="center" wrapText="1"/>
    </xf>
    <xf numFmtId="0" fontId="47" fillId="0" borderId="1" xfId="80" applyFont="1" applyBorder="1" applyAlignment="1">
      <alignment horizontal="center" vertical="center" wrapText="1"/>
    </xf>
    <xf numFmtId="0" fontId="46" fillId="0" borderId="1" xfId="80" applyFont="1" applyBorder="1" applyAlignment="1">
      <alignment horizontal="center" vertical="center" wrapText="1"/>
    </xf>
    <xf numFmtId="0" fontId="62" fillId="0" borderId="0" xfId="80" applyFont="1" applyAlignment="1">
      <alignment horizontal="left" vertical="center" wrapText="1"/>
    </xf>
    <xf numFmtId="0" fontId="41" fillId="0" borderId="1" xfId="80" applyFont="1" applyBorder="1" applyAlignment="1">
      <alignment horizontal="center" vertical="center" wrapText="1"/>
    </xf>
    <xf numFmtId="0" fontId="51" fillId="0" borderId="7" xfId="80" applyFont="1" applyBorder="1" applyAlignment="1">
      <alignment horizontal="center" vertical="center"/>
    </xf>
    <xf numFmtId="0" fontId="51" fillId="0" borderId="4" xfId="80" applyFont="1" applyBorder="1" applyAlignment="1">
      <alignment horizontal="center" vertical="center"/>
    </xf>
    <xf numFmtId="0" fontId="80" fillId="0" borderId="0" xfId="80" applyFont="1" applyFill="1" applyAlignment="1">
      <alignment horizontal="center" vertical="center" wrapText="1"/>
    </xf>
    <xf numFmtId="0" fontId="81" fillId="0" borderId="0" xfId="80" applyFont="1" applyFill="1" applyAlignment="1">
      <alignment horizontal="center" vertical="center" wrapText="1"/>
    </xf>
    <xf numFmtId="0" fontId="48" fillId="0" borderId="0" xfId="80" applyFont="1" applyFill="1" applyAlignment="1">
      <alignment horizontal="center" vertical="top"/>
    </xf>
    <xf numFmtId="0" fontId="51" fillId="0" borderId="2" xfId="80" applyFont="1" applyBorder="1" applyAlignment="1">
      <alignment horizontal="center" vertical="center" wrapText="1"/>
    </xf>
    <xf numFmtId="0" fontId="51" fillId="0" borderId="6" xfId="80" applyFont="1" applyBorder="1" applyAlignment="1">
      <alignment horizontal="center" vertical="center" wrapText="1"/>
    </xf>
    <xf numFmtId="0" fontId="20" fillId="0" borderId="0" xfId="26" applyFont="1" applyAlignment="1">
      <alignment horizontal="center"/>
    </xf>
    <xf numFmtId="0" fontId="19" fillId="0" borderId="7" xfId="26" applyFont="1" applyBorder="1" applyAlignment="1">
      <alignment horizontal="center" vertical="center" wrapText="1"/>
    </xf>
    <xf numFmtId="0" fontId="19" fillId="0" borderId="4" xfId="26" applyFont="1" applyBorder="1" applyAlignment="1">
      <alignment horizontal="center" vertical="center" wrapText="1"/>
    </xf>
    <xf numFmtId="0" fontId="19" fillId="0" borderId="1" xfId="26" applyFont="1" applyBorder="1" applyAlignment="1">
      <alignment horizontal="center" vertical="center" wrapText="1"/>
    </xf>
    <xf numFmtId="0" fontId="19" fillId="0" borderId="1" xfId="26" applyFont="1" applyFill="1" applyBorder="1" applyAlignment="1">
      <alignment horizontal="center" vertical="center" wrapText="1"/>
    </xf>
    <xf numFmtId="0" fontId="19" fillId="0" borderId="7" xfId="26" applyFont="1" applyBorder="1" applyAlignment="1">
      <alignment horizontal="center" vertical="center"/>
    </xf>
    <xf numFmtId="0" fontId="19" fillId="0" borderId="4" xfId="26" applyFont="1" applyBorder="1" applyAlignment="1">
      <alignment horizontal="center" vertical="center"/>
    </xf>
    <xf numFmtId="0" fontId="83" fillId="0" borderId="10" xfId="80" applyFont="1" applyBorder="1" applyAlignment="1">
      <alignment horizontal="center"/>
    </xf>
    <xf numFmtId="0" fontId="61" fillId="0" borderId="0" xfId="80" applyFont="1" applyBorder="1" applyAlignment="1">
      <alignment horizontal="center" vertical="top"/>
    </xf>
    <xf numFmtId="0" fontId="19" fillId="0" borderId="0" xfId="26" applyFont="1" applyAlignment="1">
      <alignment horizontal="left"/>
    </xf>
    <xf numFmtId="0" fontId="62" fillId="0" borderId="10" xfId="80" applyFont="1" applyBorder="1" applyAlignment="1">
      <alignment horizontal="center"/>
    </xf>
    <xf numFmtId="0" fontId="88" fillId="0" borderId="0" xfId="24" applyFont="1" applyFill="1" applyAlignment="1">
      <alignment horizontal="right" wrapText="1"/>
    </xf>
    <xf numFmtId="0" fontId="80" fillId="0" borderId="0" xfId="80" applyFont="1" applyAlignment="1">
      <alignment horizontal="center"/>
    </xf>
    <xf numFmtId="0" fontId="62" fillId="0" borderId="0" xfId="80" applyFont="1" applyAlignment="1">
      <alignment horizontal="center" vertical="top"/>
    </xf>
    <xf numFmtId="0" fontId="62" fillId="0" borderId="1" xfId="80" applyFont="1" applyBorder="1" applyAlignment="1">
      <alignment horizontal="center" vertical="center" wrapText="1"/>
    </xf>
    <xf numFmtId="0" fontId="3" fillId="0" borderId="1" xfId="80" applyBorder="1" applyAlignment="1">
      <alignment horizontal="center" vertical="center" wrapText="1"/>
    </xf>
    <xf numFmtId="0" fontId="61" fillId="0" borderId="0" xfId="80" applyFont="1" applyAlignment="1">
      <alignment horizontal="center" vertical="top"/>
    </xf>
    <xf numFmtId="0" fontId="57" fillId="0" borderId="0" xfId="83" applyFont="1" applyFill="1" applyAlignment="1">
      <alignment horizontal="center" wrapText="1"/>
    </xf>
    <xf numFmtId="0" fontId="42" fillId="0" borderId="0" xfId="83" applyFont="1" applyFill="1" applyAlignment="1">
      <alignment horizontal="center"/>
    </xf>
    <xf numFmtId="0" fontId="84" fillId="0" borderId="1" xfId="83" applyFont="1" applyBorder="1" applyAlignment="1">
      <alignment horizontal="center" vertical="center" wrapText="1"/>
    </xf>
    <xf numFmtId="0" fontId="42" fillId="0" borderId="1" xfId="83" applyFont="1" applyBorder="1" applyAlignment="1">
      <alignment horizontal="center" vertical="center" wrapText="1"/>
    </xf>
    <xf numFmtId="165" fontId="42" fillId="0" borderId="7" xfId="83" applyNumberFormat="1" applyFont="1" applyBorder="1" applyAlignment="1">
      <alignment horizontal="center" vertical="center" wrapText="1"/>
    </xf>
    <xf numFmtId="165" fontId="42" fillId="0" borderId="8" xfId="83" applyNumberFormat="1" applyFont="1" applyBorder="1" applyAlignment="1">
      <alignment horizontal="center" vertical="center" wrapText="1"/>
    </xf>
    <xf numFmtId="165" fontId="42" fillId="0" borderId="4" xfId="83" applyNumberFormat="1" applyFont="1" applyBorder="1" applyAlignment="1">
      <alignment horizontal="center" vertical="center" wrapText="1"/>
    </xf>
    <xf numFmtId="0" fontId="42" fillId="0" borderId="1" xfId="83" applyFont="1" applyBorder="1" applyAlignment="1">
      <alignment horizontal="center" vertical="center"/>
    </xf>
    <xf numFmtId="0" fontId="134" fillId="0" borderId="0" xfId="83" applyFont="1" applyAlignment="1">
      <alignment horizontal="left"/>
    </xf>
    <xf numFmtId="165" fontId="84" fillId="0" borderId="1" xfId="83" applyNumberFormat="1" applyFont="1" applyBorder="1" applyAlignment="1">
      <alignment horizontal="center" vertical="center" wrapText="1"/>
    </xf>
    <xf numFmtId="0" fontId="42" fillId="0" borderId="0" xfId="83" applyFont="1" applyBorder="1" applyAlignment="1">
      <alignment horizontal="left" vertical="center"/>
    </xf>
    <xf numFmtId="0" fontId="85" fillId="0" borderId="0" xfId="80" applyFont="1" applyAlignment="1">
      <alignment horizontal="center" wrapText="1"/>
    </xf>
    <xf numFmtId="0" fontId="62" fillId="0" borderId="2" xfId="80" applyFont="1" applyBorder="1" applyAlignment="1">
      <alignment horizontal="center" vertical="center" wrapText="1"/>
    </xf>
    <xf numFmtId="0" fontId="62" fillId="0" borderId="5" xfId="80" applyFont="1" applyBorder="1" applyAlignment="1">
      <alignment horizontal="center" vertical="center" wrapText="1"/>
    </xf>
    <xf numFmtId="0" fontId="62" fillId="0" borderId="6" xfId="80" applyFont="1" applyBorder="1" applyAlignment="1">
      <alignment horizontal="center" vertical="center" wrapText="1"/>
    </xf>
    <xf numFmtId="0" fontId="62" fillId="0" borderId="7" xfId="80" applyFont="1" applyBorder="1" applyAlignment="1">
      <alignment horizontal="center"/>
    </xf>
    <xf numFmtId="0" fontId="62" fillId="0" borderId="8" xfId="80" applyFont="1" applyBorder="1" applyAlignment="1">
      <alignment horizontal="center"/>
    </xf>
    <xf numFmtId="0" fontId="62" fillId="0" borderId="4" xfId="80" applyFont="1" applyBorder="1" applyAlignment="1">
      <alignment horizontal="center"/>
    </xf>
    <xf numFmtId="0" fontId="62" fillId="0" borderId="7" xfId="80" applyFont="1" applyBorder="1" applyAlignment="1">
      <alignment horizontal="center" vertical="center" wrapText="1"/>
    </xf>
    <xf numFmtId="0" fontId="62" fillId="0" borderId="4" xfId="80" applyFont="1" applyBorder="1" applyAlignment="1">
      <alignment horizontal="center" vertical="center" wrapText="1"/>
    </xf>
    <xf numFmtId="0" fontId="85" fillId="0" borderId="0" xfId="80" applyFont="1" applyAlignment="1">
      <alignment horizontal="left" wrapText="1"/>
    </xf>
    <xf numFmtId="0" fontId="62" fillId="0" borderId="0" xfId="80" applyFont="1" applyAlignment="1">
      <alignment horizontal="center"/>
    </xf>
    <xf numFmtId="0" fontId="50" fillId="6" borderId="3" xfId="80" applyFont="1" applyFill="1" applyBorder="1" applyAlignment="1">
      <alignment horizontal="left" wrapText="1"/>
    </xf>
    <xf numFmtId="0" fontId="50" fillId="0" borderId="2" xfId="80" applyFont="1" applyBorder="1" applyAlignment="1">
      <alignment horizontal="center"/>
    </xf>
    <xf numFmtId="0" fontId="50" fillId="0" borderId="5" xfId="80" applyFont="1" applyBorder="1" applyAlignment="1">
      <alignment horizontal="center"/>
    </xf>
    <xf numFmtId="0" fontId="50" fillId="0" borderId="6" xfId="80" applyFont="1" applyBorder="1" applyAlignment="1">
      <alignment horizontal="center"/>
    </xf>
    <xf numFmtId="0" fontId="50" fillId="0" borderId="1" xfId="80" applyFont="1" applyBorder="1" applyAlignment="1">
      <alignment horizontal="center" vertical="center" wrapText="1"/>
    </xf>
    <xf numFmtId="0" fontId="50" fillId="0" borderId="7" xfId="80" applyFont="1" applyBorder="1" applyAlignment="1">
      <alignment horizontal="center" vertical="center" wrapText="1"/>
    </xf>
    <xf numFmtId="0" fontId="50" fillId="0" borderId="8" xfId="80" applyFont="1" applyBorder="1" applyAlignment="1">
      <alignment horizontal="center" vertical="center" wrapText="1"/>
    </xf>
    <xf numFmtId="0" fontId="50" fillId="0" borderId="4" xfId="80" applyFont="1" applyBorder="1" applyAlignment="1">
      <alignment horizontal="center" vertical="center" wrapText="1"/>
    </xf>
    <xf numFmtId="0" fontId="50" fillId="0" borderId="3" xfId="80" applyFont="1" applyBorder="1" applyAlignment="1">
      <alignment horizontal="left" wrapText="1"/>
    </xf>
    <xf numFmtId="0" fontId="66" fillId="0" borderId="0" xfId="80" applyFont="1" applyBorder="1" applyAlignment="1">
      <alignment horizontal="left" wrapText="1"/>
    </xf>
    <xf numFmtId="0" fontId="50" fillId="0" borderId="0" xfId="80" applyFont="1" applyAlignment="1">
      <alignment horizontal="center"/>
    </xf>
    <xf numFmtId="0" fontId="48" fillId="2" borderId="1" xfId="0" applyFont="1" applyFill="1" applyBorder="1" applyAlignment="1">
      <alignment horizontal="center" vertical="center" wrapText="1"/>
    </xf>
    <xf numFmtId="168" fontId="46" fillId="2" borderId="4" xfId="0" applyNumberFormat="1" applyFont="1" applyFill="1" applyBorder="1" applyAlignment="1">
      <alignment horizontal="center" vertical="center" wrapText="1"/>
    </xf>
    <xf numFmtId="168" fontId="19" fillId="2" borderId="7" xfId="0" applyNumberFormat="1" applyFont="1" applyFill="1" applyBorder="1" applyAlignment="1">
      <alignment horizontal="center" vertical="center" wrapText="1"/>
    </xf>
    <xf numFmtId="168" fontId="19" fillId="2" borderId="8" xfId="0" applyNumberFormat="1" applyFont="1" applyFill="1" applyBorder="1" applyAlignment="1">
      <alignment horizontal="center" vertical="center" wrapText="1"/>
    </xf>
    <xf numFmtId="168" fontId="19" fillId="2" borderId="4" xfId="0" applyNumberFormat="1" applyFont="1" applyFill="1" applyBorder="1" applyAlignment="1">
      <alignment horizontal="center" vertical="center" wrapText="1"/>
    </xf>
    <xf numFmtId="0" fontId="40" fillId="2" borderId="1" xfId="0" applyFont="1" applyFill="1" applyBorder="1" applyAlignment="1">
      <alignment horizontal="center" vertical="center" wrapText="1"/>
    </xf>
    <xf numFmtId="0" fontId="19" fillId="2" borderId="1" xfId="8" applyFont="1" applyFill="1" applyBorder="1" applyAlignment="1">
      <alignment horizontal="center" vertical="center" textRotation="90" wrapText="1"/>
    </xf>
    <xf numFmtId="0" fontId="19" fillId="2" borderId="1" xfId="8" applyFont="1" applyFill="1" applyBorder="1" applyAlignment="1">
      <alignment horizontal="center" vertical="center" wrapText="1"/>
    </xf>
  </cellXfs>
  <cellStyles count="95">
    <cellStyle name="Excel Built-in Normal" xfId="59"/>
    <cellStyle name="Гиперссылка" xfId="53" builtinId="8"/>
    <cellStyle name="Денежный 2" xfId="1"/>
    <cellStyle name="Денежный 3" xfId="2"/>
    <cellStyle name="Денежный 3 2" xfId="43"/>
    <cellStyle name="Обычный" xfId="0" builtinId="0"/>
    <cellStyle name="Обычный 10" xfId="25"/>
    <cellStyle name="Обычный 10 2" xfId="31"/>
    <cellStyle name="Обычный 10 3" xfId="34"/>
    <cellStyle name="Обычный 10 4" xfId="44"/>
    <cellStyle name="Обычный 10 5" xfId="50"/>
    <cellStyle name="Обычный 10 6" xfId="75"/>
    <cellStyle name="Обычный 10 7" xfId="77"/>
    <cellStyle name="Обычный 11" xfId="40"/>
    <cellStyle name="Обычный 11 2" xfId="46"/>
    <cellStyle name="Обычный 12" xfId="55"/>
    <cellStyle name="Обычный 13" xfId="72"/>
    <cellStyle name="Обычный 14" xfId="74"/>
    <cellStyle name="Обычный 15" xfId="76"/>
    <cellStyle name="Обычный 16" xfId="80"/>
    <cellStyle name="Обычный 17" xfId="91"/>
    <cellStyle name="Обычный 2" xfId="3"/>
    <cellStyle name="Обычный 2 2" xfId="4"/>
    <cellStyle name="Обычный 2 2 2" xfId="36"/>
    <cellStyle name="Обычный 2 2 3" xfId="62"/>
    <cellStyle name="Обычный 2 3" xfId="5"/>
    <cellStyle name="Обычный 2 3 2" xfId="61"/>
    <cellStyle name="Обычный 2 4" xfId="6"/>
    <cellStyle name="Обычный 2 5" xfId="26"/>
    <cellStyle name="Обычный 2 5 2" xfId="33"/>
    <cellStyle name="Обычный 2 6" xfId="71"/>
    <cellStyle name="Обычный 2 7" xfId="85"/>
    <cellStyle name="Обычный 2 8" xfId="86"/>
    <cellStyle name="Обычный 3" xfId="7"/>
    <cellStyle name="Обычный 3 2" xfId="42"/>
    <cellStyle name="Обычный 4" xfId="8"/>
    <cellStyle name="Обычный 4 2" xfId="9"/>
    <cellStyle name="Обычный 4 3" xfId="10"/>
    <cellStyle name="Обычный 4_Норильск" xfId="11"/>
    <cellStyle name="Обычный 5" xfId="12"/>
    <cellStyle name="Обычный 5 2" xfId="37"/>
    <cellStyle name="Обычный 5 3" xfId="54"/>
    <cellStyle name="Обычный 5 3 3 2" xfId="47"/>
    <cellStyle name="Обычный 5 4" xfId="67"/>
    <cellStyle name="Обычный 6" xfId="13"/>
    <cellStyle name="Обычный 6 2" xfId="63"/>
    <cellStyle name="Обычный 6 2 2" xfId="35"/>
    <cellStyle name="Обычный 6 3" xfId="70"/>
    <cellStyle name="Обычный 6 4" xfId="87"/>
    <cellStyle name="Обычный 6 5" xfId="94"/>
    <cellStyle name="Обычный 7" xfId="14"/>
    <cellStyle name="Обычный 7 2" xfId="29"/>
    <cellStyle name="Обычный 7 2 2" xfId="38"/>
    <cellStyle name="Обычный 8" xfId="15"/>
    <cellStyle name="Обычный 8 2" xfId="28"/>
    <cellStyle name="Обычный 8 2 2" xfId="57"/>
    <cellStyle name="Обычный 8 2 2 2" xfId="39"/>
    <cellStyle name="Обычный 8 2 2 2 10" xfId="93"/>
    <cellStyle name="Обычный 8 2 2 2 2" xfId="45"/>
    <cellStyle name="Обычный 8 2 2 2 3" xfId="48"/>
    <cellStyle name="Обычный 8 2 2 2 4" xfId="58"/>
    <cellStyle name="Обычный 8 2 2 2 5" xfId="65"/>
    <cellStyle name="Обычный 8 2 2 2 6" xfId="68"/>
    <cellStyle name="Обычный 8 2 2 2 7" xfId="78"/>
    <cellStyle name="Обычный 8 2 2 2 8" xfId="83"/>
    <cellStyle name="Обычный 8 2 2 2 9" xfId="89"/>
    <cellStyle name="Обычный 8 2 3" xfId="73"/>
    <cellStyle name="Обычный 8 2 3 2" xfId="49"/>
    <cellStyle name="Обычный 8 2 4" xfId="82"/>
    <cellStyle name="Обычный 9" xfId="21"/>
    <cellStyle name="Обычный 9 2" xfId="30"/>
    <cellStyle name="Обычный_310 (972)" xfId="23"/>
    <cellStyle name="Обычный_бредятина" xfId="24"/>
    <cellStyle name="Обычный_План ФХД на 15.12.2011 г." xfId="51"/>
    <cellStyle name="Обычный_ШР рязр. культ." xfId="16"/>
    <cellStyle name="Процентный 2" xfId="17"/>
    <cellStyle name="Процентный 3" xfId="18"/>
    <cellStyle name="Финансовый 10" xfId="84"/>
    <cellStyle name="Финансовый 11" xfId="90"/>
    <cellStyle name="Финансовый 12" xfId="92"/>
    <cellStyle name="Финансовый 2" xfId="19"/>
    <cellStyle name="Финансовый 2 2" xfId="27"/>
    <cellStyle name="Финансовый 2 2 2" xfId="64"/>
    <cellStyle name="Финансовый 2 3" xfId="88"/>
    <cellStyle name="Финансовый 3" xfId="20"/>
    <cellStyle name="Финансовый 3 2" xfId="60"/>
    <cellStyle name="Финансовый 3 3" xfId="66"/>
    <cellStyle name="Финансовый 3 4" xfId="69"/>
    <cellStyle name="Финансовый 4" xfId="22"/>
    <cellStyle name="Финансовый 4 2" xfId="32"/>
    <cellStyle name="Финансовый 5" xfId="41"/>
    <cellStyle name="Финансовый 6" xfId="52"/>
    <cellStyle name="Финансовый 7" xfId="56"/>
    <cellStyle name="Финансовый 8" xfId="79"/>
    <cellStyle name="Финансовый 9" xfId="81"/>
  </cellStyles>
  <dxfs count="0"/>
  <tableStyles count="0" defaultTableStyle="TableStyleMedium9" defaultPivotStyle="PivotStyleLight16"/>
  <colors>
    <mruColors>
      <color rgb="FFFFFFCC"/>
      <color rgb="FF00FFFF"/>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7.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externalLink" Target="externalLinks/externalLink1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externalLink" Target="externalLinks/externalLink18.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externalLink" Target="externalLinks/externalLink1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4.xml"/><Relationship Id="rId125" Type="http://schemas.openxmlformats.org/officeDocument/2006/relationships/externalLink" Target="externalLinks/externalLink1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nts4\userland\&#1041;&#1072;&#1083;&#1072;&#1085;&#1089;\An(EsMon)\SC_W\&#1055;&#1088;&#1086;&#1075;&#1085;&#1086;&#1079;\&#1055;&#1088;&#1086;&#1075;05_00(27.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050;&#1091;&#1088;&#1072;&#1085;&#1086;&#1074;\Pr(2000)Tabl\9&#1072;&#1087;&#1088;2003\V&#1094;&#1077;&#1083;2.1_2002.1.04.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nts4\userland\&#1041;&#1072;&#1083;&#1072;&#1085;&#1089;\An(EsMon)\7.02.01\V&#1045;&#1052;_2001.5.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nts4\userland\SC_W\&#1055;&#1088;&#1086;&#1075;&#1085;&#1086;&#1079;\&#1055;&#1088;&#1086;&#1075;05_00(27.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1061;&#1072;&#1085;&#1086;&#1074;&#1072;\&#1043;&#1088;(27.07.00)5&#106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1055;&#1051;&#1040;&#1053;&#1067;%20&#1060;&#1061;&#1044;%20&#1085;&#1072;%202020\&#1055;&#1060;&#1061;&#1044;%20&#1085;&#1072;%2001.01.2020\11.%20&#1043;&#1062;&#1050;\&#1043;&#1062;&#1050;%20&#1086;&#1073;&#1086;&#1089;&#1085;&#1086;&#1074;&#1072;&#1085;&#1080;&#1077;%20&#1076;&#1086;&#1093;&#1086;&#1076;&#1099;%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1055;&#1051;&#1040;&#1053;&#1067;%20&#1060;&#1061;&#1044;%20&#1085;&#1072;%202020\&#1055;&#1060;&#1061;&#1044;%20&#1085;&#1072;%2001.01.2020\8.%20&#1062;&#1041;&#1057;\&#1073;&#1102;&#1076;&#1078;&#1077;&#109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1055;&#1088;&#1086;&#1077;&#1082;&#1090;%20&#1073;&#1102;&#1076;&#1078;&#1077;&#1090;&#1072;%202020-2022\&#1057;&#1042;&#1054;&#1044;%202020-2022\&#1057;&#1042;&#1054;&#1044;%20-%20&#1060;&#1069;&#1054;%202020-2022%20&#1059;&#1090;&#1074;&#1077;&#1088;&#1078;&#1076;&#1077;&#1085;&#1086;%20-%20&#1082;&#1086;&#1087;&#1080;&#110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lt11\&#1057;&#1042;&#1054;&#1044;%202020-2022\&#1086;&#1090;%20&#1060;&#1048;&#1053;&#1059;\75%20&#1083;&#1077;&#1090;%20&#1042;&#1054;&#1042;%20&#1059;&#105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1047;&#1040;&#1043;&#1056;&#1059;&#1047;&#1050;&#1048;\&#1090;&#1077;&#1093;%20&#1086;&#1090;&#1076;&#1077;&#1083;\01.01.20\&#1042;&#1067;&#1057;%2092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1047;&#1040;&#1043;&#1056;&#1059;&#1047;&#1050;&#1048;\&#1090;&#1077;&#1093;%20&#1086;&#1090;&#1076;&#1077;&#1083;\01.01.20\&#1042;&#1067;&#1057;%20931,932,9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nts4\userland\&#1041;&#1072;&#1083;&#1072;&#1085;&#1089;\An(EsMon)\7.02.01\SC_W\&#1055;&#1088;&#1086;&#1075;&#1085;&#1086;&#1079;\&#1055;&#1088;&#1086;&#1075;05_00(27.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1047;&#1040;&#1043;&#1056;&#1059;&#1047;&#1050;&#1048;\&#1090;&#1077;&#1093;%20&#1086;&#1090;&#1076;&#1077;&#1083;\01.01.20\&#1042;&#1067;&#1057;%2094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1055;&#1088;&#1086;&#1077;&#1082;&#1090;%20&#1073;&#1102;&#1076;&#1078;&#1077;&#1090;&#1072;%202020-2022\&#1101;&#1082;&#1086;&#1085;&#1086;&#1084;&#1080;&#1082;&#1072;\995\&#1086;&#1090;%20&#1091;&#1095;&#1088;&#1077;&#1078;&#1076;&#1077;&#1085;&#1080;&#1081;\&#1042;&#1099;&#1089;&#1086;&#1094;%20&#1055;&#1088;&#1080;&#1083;&#1086;&#1078;&#1077;&#1085;&#1080;&#1077;%2016%20(995)%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nts4\userland\&#1041;&#1072;&#1083;&#1072;&#1085;&#1089;\An(EsMon)\7.02.01\&#1061;&#1072;&#1085;&#1086;&#1074;&#1072;\&#1043;&#1088;(27.07.00)5&#10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nts4\userland\&#1041;&#1072;&#1083;&#1072;&#1085;&#1089;\An(EsMon)\&#1061;&#1072;&#1085;&#1086;&#1074;&#1072;\&#1043;&#1088;(27.07.00)5&#1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nts4\userland\&#1061;&#1072;&#1085;&#1086;&#1074;&#1072;\&#1043;&#1088;(27.07.00)5&#10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3.21.7\&#1087;&#1088;&#1080;&#1077;&#1084;&#1085;&#1072;&#1103;\&#1050;&#1091;&#1088;&#1072;&#1085;&#1086;&#1074;\Pr(2000)Tabl\9&#1072;&#1087;&#1088;2003\V&#1094;&#1077;&#1083;2.1_2002.1.04.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2)"/>
      <sheetName val="2004(v2) "/>
      <sheetName val="Печ"/>
      <sheetName val="2002(v1) "/>
      <sheetName val="2004(v1)  "/>
      <sheetName val="2002-03(v2) "/>
      <sheetName val="2002-03(v1)  "/>
      <sheetName val="I"/>
      <sheetName val="динамика цвет мет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2002(v2)"/>
      <sheetName val="I"/>
      <sheetName val="Печv1"/>
      <sheetName val="Печv2 "/>
      <sheetName val="ПечМОНv1"/>
      <sheetName val="2002_v1_"/>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ока 1100 (120)"/>
      <sheetName val="строка 1110 (121) аренда"/>
      <sheetName val="строка 1200(130)"/>
      <sheetName val="субсидии стр1210(130)культ"/>
      <sheetName val="субсидии стр1210(130)туризм"/>
      <sheetName val="платные строка 1220 (131)"/>
      <sheetName val="штрафы строка 1300 (140)"/>
      <sheetName val="безвозм1400(150)"/>
      <sheetName val="безвозм1400(155)"/>
      <sheetName val="прочие строка 1500 (150)"/>
      <sheetName val="прочие поступ строка 1980 (510)"/>
    </sheetNames>
    <sheetDataSet>
      <sheetData sheetId="0" refreshError="1"/>
      <sheetData sheetId="1">
        <row r="20">
          <cell r="L20">
            <v>0</v>
          </cell>
          <cell r="M20">
            <v>0</v>
          </cell>
          <cell r="N2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992,911 (01.01.20) 2020"/>
      <sheetName val="991,992,911 (01.01.20) 2021"/>
      <sheetName val="991,992,911 (01.01.20) 2022"/>
      <sheetName val="914 (01.01.20)"/>
      <sheetName val="919 (01.01.20)"/>
      <sheetName val="921 (01.01.20)"/>
    </sheetNames>
    <sheetDataSet>
      <sheetData sheetId="0">
        <row r="12">
          <cell r="K12">
            <v>283.8</v>
          </cell>
        </row>
        <row r="30">
          <cell r="K30" t="str">
            <v>А.Ю. Касьяненко</v>
          </cell>
        </row>
      </sheetData>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мая"/>
      <sheetName val="ПГ "/>
      <sheetName val="РМС"/>
      <sheetName val="СПЖ"/>
      <sheetName val="ОД"/>
      <sheetName val="Наркомания"/>
      <sheetName val="Молодежь"/>
      <sheetName val="Стимулирование"/>
    </sheetNames>
    <sheetDataSet>
      <sheetData sheetId="0">
        <row r="9">
          <cell r="Q9">
            <v>7980.2389750000011</v>
          </cell>
        </row>
      </sheetData>
      <sheetData sheetId="1"/>
      <sheetData sheetId="2">
        <row r="9">
          <cell r="X9">
            <v>0.37040000000001783</v>
          </cell>
        </row>
      </sheetData>
      <sheetData sheetId="3">
        <row r="9">
          <cell r="X9">
            <v>-11.800000000000068</v>
          </cell>
        </row>
      </sheetData>
      <sheetData sheetId="4">
        <row r="9">
          <cell r="X9">
            <v>642.90959999999995</v>
          </cell>
        </row>
      </sheetData>
      <sheetData sheetId="5">
        <row r="9">
          <cell r="X9">
            <v>-0.56355000000000643</v>
          </cell>
        </row>
      </sheetData>
      <sheetData sheetId="6">
        <row r="9">
          <cell r="X9">
            <v>0</v>
          </cell>
        </row>
      </sheetData>
      <sheetData sheetId="7">
        <row r="873">
          <cell r="R873">
            <v>199.84822500000001</v>
          </cell>
          <cell r="T873">
            <v>199.84822500000001</v>
          </cell>
        </row>
        <row r="1392">
          <cell r="V1392">
            <v>612.68172499999855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Г"/>
    </sheetNames>
    <sheetDataSet>
      <sheetData sheetId="0">
        <row r="187">
          <cell r="Q187">
            <v>72.63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С, свод"/>
      <sheetName val="Выс,С17"/>
      <sheetName val="Выс,Т24"/>
      <sheetName val="Выс,С25"/>
    </sheetNames>
    <sheetDataSet>
      <sheetData sheetId="0" refreshError="1"/>
      <sheetData sheetId="1">
        <row r="10">
          <cell r="N10">
            <v>1647.1</v>
          </cell>
          <cell r="P10">
            <v>533.42321759999993</v>
          </cell>
          <cell r="R10">
            <v>1647.1</v>
          </cell>
          <cell r="T10">
            <v>554.29526879999992</v>
          </cell>
          <cell r="U10">
            <v>1647.1</v>
          </cell>
          <cell r="W10">
            <v>576.35323199999993</v>
          </cell>
        </row>
        <row r="12">
          <cell r="N12">
            <v>20</v>
          </cell>
          <cell r="P12">
            <v>51.18983999999999</v>
          </cell>
          <cell r="R12">
            <v>20</v>
          </cell>
          <cell r="T12">
            <v>53.186160000000001</v>
          </cell>
          <cell r="U12">
            <v>20</v>
          </cell>
          <cell r="W12">
            <v>55.313519999999997</v>
          </cell>
        </row>
        <row r="13">
          <cell r="N13">
            <v>0.15</v>
          </cell>
          <cell r="P13">
            <v>1.4758866000000002</v>
          </cell>
          <cell r="R13">
            <v>0.15</v>
          </cell>
          <cell r="T13">
            <v>1.533447</v>
          </cell>
          <cell r="U13">
            <v>0.15</v>
          </cell>
          <cell r="W13">
            <v>1.5947856</v>
          </cell>
        </row>
        <row r="14">
          <cell r="N14">
            <v>5</v>
          </cell>
          <cell r="P14">
            <v>49.454639999999991</v>
          </cell>
          <cell r="R14">
            <v>5</v>
          </cell>
          <cell r="T14">
            <v>51.383519999999997</v>
          </cell>
          <cell r="U14">
            <v>5</v>
          </cell>
          <cell r="W14">
            <v>53.439120000000003</v>
          </cell>
        </row>
        <row r="15">
          <cell r="N15">
            <v>10</v>
          </cell>
          <cell r="P15">
            <v>60.654239999999987</v>
          </cell>
          <cell r="R15">
            <v>10</v>
          </cell>
          <cell r="T15">
            <v>63.02015999999999</v>
          </cell>
          <cell r="U15">
            <v>10</v>
          </cell>
          <cell r="W15">
            <v>65.541599999999988</v>
          </cell>
        </row>
        <row r="16">
          <cell r="N16">
            <v>2</v>
          </cell>
          <cell r="P16">
            <v>35.826911999999993</v>
          </cell>
          <cell r="R16">
            <v>2</v>
          </cell>
          <cell r="T16">
            <v>37.224288000000001</v>
          </cell>
          <cell r="U16">
            <v>2</v>
          </cell>
          <cell r="W16">
            <v>38.713248000000007</v>
          </cell>
        </row>
        <row r="17">
          <cell r="N17">
            <v>1647.1</v>
          </cell>
          <cell r="P17">
            <v>64.276430399999995</v>
          </cell>
          <cell r="R17">
            <v>1647.1</v>
          </cell>
          <cell r="T17">
            <v>66.885436799999994</v>
          </cell>
          <cell r="U17">
            <v>1647.1</v>
          </cell>
          <cell r="W17">
            <v>69.494443200000006</v>
          </cell>
        </row>
        <row r="18">
          <cell r="N18">
            <v>4</v>
          </cell>
          <cell r="P18">
            <v>240.61651199999997</v>
          </cell>
          <cell r="R18">
            <v>4</v>
          </cell>
          <cell r="T18">
            <v>250.00070399999998</v>
          </cell>
          <cell r="U18">
            <v>4</v>
          </cell>
          <cell r="W18">
            <v>260.00063999999998</v>
          </cell>
        </row>
        <row r="19">
          <cell r="N19">
            <v>3</v>
          </cell>
          <cell r="P19">
            <v>71.738351999999992</v>
          </cell>
          <cell r="R19">
            <v>3</v>
          </cell>
          <cell r="T19">
            <v>74.535983999999999</v>
          </cell>
          <cell r="U19">
            <v>3</v>
          </cell>
          <cell r="W19">
            <v>77.517216000000005</v>
          </cell>
        </row>
        <row r="21">
          <cell r="N21">
            <v>6</v>
          </cell>
          <cell r="P21">
            <v>17.597951999999999</v>
          </cell>
          <cell r="R21">
            <v>6</v>
          </cell>
          <cell r="T21">
            <v>18.283967999999998</v>
          </cell>
          <cell r="U21">
            <v>6</v>
          </cell>
          <cell r="W21">
            <v>19.014911999999999</v>
          </cell>
        </row>
        <row r="22">
          <cell r="N22">
            <v>1</v>
          </cell>
          <cell r="P22">
            <v>3.1756319999999998</v>
          </cell>
          <cell r="R22">
            <v>1</v>
          </cell>
          <cell r="T22">
            <v>3.2994719999999997</v>
          </cell>
          <cell r="U22">
            <v>1</v>
          </cell>
          <cell r="W22">
            <v>3.4315199999999999</v>
          </cell>
        </row>
        <row r="23">
          <cell r="N23">
            <v>1</v>
          </cell>
          <cell r="P23">
            <v>3.3228</v>
          </cell>
          <cell r="R23">
            <v>1</v>
          </cell>
          <cell r="T23">
            <v>3.4523999999999999</v>
          </cell>
          <cell r="U23">
            <v>1</v>
          </cell>
          <cell r="W23">
            <v>3.5904959999999999</v>
          </cell>
        </row>
        <row r="24">
          <cell r="P24">
            <v>0</v>
          </cell>
          <cell r="T24">
            <v>0</v>
          </cell>
          <cell r="W24">
            <v>0</v>
          </cell>
        </row>
        <row r="25">
          <cell r="P25">
            <v>0</v>
          </cell>
          <cell r="T25">
            <v>0</v>
          </cell>
          <cell r="W25">
            <v>0</v>
          </cell>
        </row>
        <row r="27">
          <cell r="N27">
            <v>3</v>
          </cell>
          <cell r="P27">
            <v>49.694999999999993</v>
          </cell>
          <cell r="R27">
            <v>3</v>
          </cell>
          <cell r="T27">
            <v>51.679552000000001</v>
          </cell>
          <cell r="U27">
            <v>3</v>
          </cell>
          <cell r="W27">
            <v>53.748512000000012</v>
          </cell>
        </row>
        <row r="28">
          <cell r="N28">
            <v>1</v>
          </cell>
          <cell r="P28">
            <v>16.584623999999998</v>
          </cell>
          <cell r="R28">
            <v>1</v>
          </cell>
          <cell r="T28">
            <v>17.231472000000004</v>
          </cell>
          <cell r="U28">
            <v>1</v>
          </cell>
          <cell r="W28">
            <v>17.9208</v>
          </cell>
        </row>
        <row r="29">
          <cell r="P29">
            <v>0</v>
          </cell>
          <cell r="T29">
            <v>0</v>
          </cell>
          <cell r="W29">
            <v>0</v>
          </cell>
        </row>
        <row r="30">
          <cell r="P30">
            <v>0</v>
          </cell>
          <cell r="T30">
            <v>0</v>
          </cell>
          <cell r="W30">
            <v>0</v>
          </cell>
        </row>
        <row r="31">
          <cell r="P31">
            <v>0</v>
          </cell>
          <cell r="T31">
            <v>0</v>
          </cell>
          <cell r="W31">
            <v>0</v>
          </cell>
        </row>
        <row r="33">
          <cell r="P33">
            <v>0</v>
          </cell>
          <cell r="T33">
            <v>0</v>
          </cell>
          <cell r="W33">
            <v>0</v>
          </cell>
        </row>
        <row r="34">
          <cell r="P34">
            <v>0</v>
          </cell>
          <cell r="T34">
            <v>0</v>
          </cell>
          <cell r="W34">
            <v>0</v>
          </cell>
        </row>
        <row r="35">
          <cell r="P35">
            <v>0</v>
          </cell>
          <cell r="T35">
            <v>0</v>
          </cell>
          <cell r="W35">
            <v>0</v>
          </cell>
        </row>
        <row r="36">
          <cell r="P36">
            <v>0</v>
          </cell>
          <cell r="T36">
            <v>0</v>
          </cell>
          <cell r="W36">
            <v>0</v>
          </cell>
        </row>
      </sheetData>
      <sheetData sheetId="2">
        <row r="10">
          <cell r="N10">
            <v>39.1</v>
          </cell>
          <cell r="P10">
            <v>12.662769599999999</v>
          </cell>
          <cell r="R10">
            <v>39.1</v>
          </cell>
          <cell r="T10">
            <v>13.158244800000002</v>
          </cell>
          <cell r="U10">
            <v>39.1</v>
          </cell>
          <cell r="W10">
            <v>13.681872000000002</v>
          </cell>
        </row>
        <row r="12">
          <cell r="P12">
            <v>0</v>
          </cell>
          <cell r="T12">
            <v>0</v>
          </cell>
          <cell r="W12">
            <v>0</v>
          </cell>
        </row>
        <row r="13">
          <cell r="P13">
            <v>0</v>
          </cell>
          <cell r="T13">
            <v>0</v>
          </cell>
          <cell r="W13">
            <v>0</v>
          </cell>
        </row>
        <row r="14">
          <cell r="P14">
            <v>0</v>
          </cell>
          <cell r="T14">
            <v>0</v>
          </cell>
          <cell r="W14">
            <v>0</v>
          </cell>
        </row>
        <row r="15">
          <cell r="P15">
            <v>0</v>
          </cell>
          <cell r="T15">
            <v>0</v>
          </cell>
          <cell r="W15">
            <v>0</v>
          </cell>
        </row>
        <row r="16">
          <cell r="P16">
            <v>0</v>
          </cell>
          <cell r="T16">
            <v>0</v>
          </cell>
          <cell r="W16">
            <v>0</v>
          </cell>
        </row>
        <row r="17">
          <cell r="N17">
            <v>39.1</v>
          </cell>
          <cell r="P17">
            <v>1.5258384</v>
          </cell>
          <cell r="R17">
            <v>39.1</v>
          </cell>
          <cell r="T17">
            <v>1.5877728</v>
          </cell>
          <cell r="U17">
            <v>39.1</v>
          </cell>
          <cell r="W17">
            <v>1.6497071999999999</v>
          </cell>
        </row>
        <row r="18">
          <cell r="P18">
            <v>0</v>
          </cell>
          <cell r="T18">
            <v>0</v>
          </cell>
          <cell r="W18">
            <v>0</v>
          </cell>
        </row>
        <row r="21">
          <cell r="P21">
            <v>0</v>
          </cell>
          <cell r="T21">
            <v>0</v>
          </cell>
          <cell r="W21">
            <v>0</v>
          </cell>
        </row>
        <row r="22">
          <cell r="P22">
            <v>0</v>
          </cell>
          <cell r="T22">
            <v>0</v>
          </cell>
          <cell r="W22">
            <v>0</v>
          </cell>
        </row>
        <row r="23">
          <cell r="P23">
            <v>0</v>
          </cell>
          <cell r="T23">
            <v>0</v>
          </cell>
          <cell r="W23">
            <v>0</v>
          </cell>
        </row>
        <row r="24">
          <cell r="P24">
            <v>0</v>
          </cell>
          <cell r="T24">
            <v>0</v>
          </cell>
          <cell r="W24">
            <v>0</v>
          </cell>
        </row>
        <row r="25">
          <cell r="P25">
            <v>0</v>
          </cell>
          <cell r="T25">
            <v>0</v>
          </cell>
          <cell r="W25">
            <v>0</v>
          </cell>
        </row>
        <row r="27">
          <cell r="P27">
            <v>0</v>
          </cell>
          <cell r="T27">
            <v>0</v>
          </cell>
          <cell r="W27">
            <v>0</v>
          </cell>
        </row>
        <row r="28">
          <cell r="P28">
            <v>0</v>
          </cell>
          <cell r="T28">
            <v>0</v>
          </cell>
          <cell r="W28">
            <v>0</v>
          </cell>
        </row>
        <row r="29">
          <cell r="P29">
            <v>0</v>
          </cell>
          <cell r="T29">
            <v>0</v>
          </cell>
          <cell r="W29">
            <v>0</v>
          </cell>
        </row>
        <row r="30">
          <cell r="P30">
            <v>0</v>
          </cell>
          <cell r="T30">
            <v>0</v>
          </cell>
          <cell r="W30">
            <v>0</v>
          </cell>
        </row>
        <row r="31">
          <cell r="P31">
            <v>0</v>
          </cell>
          <cell r="T31">
            <v>0</v>
          </cell>
          <cell r="W31">
            <v>0</v>
          </cell>
        </row>
        <row r="33">
          <cell r="P33">
            <v>0</v>
          </cell>
          <cell r="T33">
            <v>0</v>
          </cell>
          <cell r="W33">
            <v>0</v>
          </cell>
        </row>
        <row r="34">
          <cell r="P34">
            <v>0</v>
          </cell>
          <cell r="T34">
            <v>0</v>
          </cell>
          <cell r="W34">
            <v>0</v>
          </cell>
        </row>
        <row r="35">
          <cell r="P35">
            <v>0</v>
          </cell>
          <cell r="T35">
            <v>0</v>
          </cell>
          <cell r="W35">
            <v>0</v>
          </cell>
        </row>
        <row r="36">
          <cell r="P36">
            <v>0</v>
          </cell>
          <cell r="T36">
            <v>0</v>
          </cell>
          <cell r="W36">
            <v>0</v>
          </cell>
        </row>
      </sheetData>
      <sheetData sheetId="3">
        <row r="10">
          <cell r="N10">
            <v>670.8</v>
          </cell>
          <cell r="P10">
            <v>217.24260479999995</v>
          </cell>
          <cell r="R10">
            <v>670.8</v>
          </cell>
          <cell r="T10">
            <v>225.74298239999996</v>
          </cell>
          <cell r="U10">
            <v>670.8</v>
          </cell>
          <cell r="W10">
            <v>234.72633599999998</v>
          </cell>
        </row>
        <row r="12">
          <cell r="N12">
            <v>1</v>
          </cell>
          <cell r="P12">
            <v>2.5594919999999997</v>
          </cell>
          <cell r="R12">
            <v>1</v>
          </cell>
          <cell r="T12">
            <v>2.6593080000000002</v>
          </cell>
          <cell r="U12">
            <v>1</v>
          </cell>
          <cell r="W12">
            <v>2.765676</v>
          </cell>
        </row>
        <row r="13">
          <cell r="P13">
            <v>0</v>
          </cell>
          <cell r="T13">
            <v>0</v>
          </cell>
          <cell r="W13">
            <v>0</v>
          </cell>
        </row>
        <row r="14">
          <cell r="P14">
            <v>0</v>
          </cell>
          <cell r="T14">
            <v>0</v>
          </cell>
          <cell r="W14">
            <v>0</v>
          </cell>
        </row>
        <row r="15">
          <cell r="P15">
            <v>0</v>
          </cell>
          <cell r="T15">
            <v>0</v>
          </cell>
          <cell r="W15">
            <v>0</v>
          </cell>
        </row>
        <row r="16">
          <cell r="P16">
            <v>0</v>
          </cell>
          <cell r="T16">
            <v>0</v>
          </cell>
          <cell r="W16">
            <v>0</v>
          </cell>
        </row>
        <row r="17">
          <cell r="N17">
            <v>670.8</v>
          </cell>
          <cell r="P17">
            <v>26.1772992</v>
          </cell>
          <cell r="R17">
            <v>670.8</v>
          </cell>
          <cell r="T17">
            <v>27.239846399999998</v>
          </cell>
          <cell r="U17">
            <v>670.8</v>
          </cell>
          <cell r="W17">
            <v>28.302393599999998</v>
          </cell>
        </row>
        <row r="18">
          <cell r="P18">
            <v>0</v>
          </cell>
          <cell r="T18">
            <v>0</v>
          </cell>
          <cell r="W18">
            <v>0</v>
          </cell>
        </row>
        <row r="21">
          <cell r="P21">
            <v>0</v>
          </cell>
          <cell r="T21">
            <v>0</v>
          </cell>
          <cell r="W21">
            <v>0</v>
          </cell>
        </row>
        <row r="22">
          <cell r="P22">
            <v>0</v>
          </cell>
          <cell r="T22">
            <v>0</v>
          </cell>
          <cell r="W22">
            <v>0</v>
          </cell>
        </row>
        <row r="23">
          <cell r="P23">
            <v>0</v>
          </cell>
          <cell r="T23">
            <v>0</v>
          </cell>
          <cell r="W23">
            <v>0</v>
          </cell>
        </row>
        <row r="24">
          <cell r="P24">
            <v>0</v>
          </cell>
          <cell r="T24">
            <v>0</v>
          </cell>
          <cell r="W24">
            <v>0</v>
          </cell>
        </row>
        <row r="25">
          <cell r="P25">
            <v>0</v>
          </cell>
          <cell r="T25">
            <v>0</v>
          </cell>
          <cell r="W25">
            <v>0</v>
          </cell>
        </row>
        <row r="27">
          <cell r="P27">
            <v>0</v>
          </cell>
          <cell r="T27">
            <v>0</v>
          </cell>
          <cell r="W27">
            <v>0</v>
          </cell>
        </row>
        <row r="28">
          <cell r="P28">
            <v>0</v>
          </cell>
          <cell r="T28">
            <v>0</v>
          </cell>
          <cell r="W28">
            <v>0</v>
          </cell>
        </row>
        <row r="29">
          <cell r="P29">
            <v>0</v>
          </cell>
          <cell r="T29">
            <v>0</v>
          </cell>
          <cell r="W29">
            <v>0</v>
          </cell>
        </row>
        <row r="30">
          <cell r="P30">
            <v>0</v>
          </cell>
          <cell r="T30">
            <v>0</v>
          </cell>
          <cell r="W30">
            <v>0</v>
          </cell>
        </row>
        <row r="31">
          <cell r="P31">
            <v>0</v>
          </cell>
          <cell r="T31">
            <v>0</v>
          </cell>
          <cell r="W31">
            <v>0</v>
          </cell>
        </row>
        <row r="33">
          <cell r="P33">
            <v>0</v>
          </cell>
          <cell r="T33">
            <v>0</v>
          </cell>
          <cell r="W33">
            <v>0</v>
          </cell>
        </row>
        <row r="34">
          <cell r="P34">
            <v>0</v>
          </cell>
          <cell r="T34">
            <v>0</v>
          </cell>
          <cell r="W34">
            <v>0</v>
          </cell>
        </row>
        <row r="35">
          <cell r="P35">
            <v>0</v>
          </cell>
          <cell r="T35">
            <v>0</v>
          </cell>
          <cell r="W35">
            <v>0</v>
          </cell>
        </row>
        <row r="36">
          <cell r="P36">
            <v>0</v>
          </cell>
          <cell r="T36">
            <v>0</v>
          </cell>
          <cell r="W36">
            <v>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С свод"/>
      <sheetName val="ВЫС, С17"/>
      <sheetName val="ВЫС, С25"/>
      <sheetName val="ВЫС, Т24"/>
    </sheetNames>
    <sheetDataSet>
      <sheetData sheetId="0"/>
      <sheetData sheetId="1">
        <row r="9">
          <cell r="C9">
            <v>572.34</v>
          </cell>
          <cell r="D9">
            <v>640.55399999999997</v>
          </cell>
          <cell r="E9">
            <v>714.96</v>
          </cell>
          <cell r="F9">
            <v>827.77300000000002</v>
          </cell>
          <cell r="G9">
            <v>656.09860000000003</v>
          </cell>
          <cell r="H9">
            <v>787.13900000000001</v>
          </cell>
          <cell r="I9">
            <v>647.17999999999995</v>
          </cell>
          <cell r="J9">
            <v>838.07</v>
          </cell>
          <cell r="K9">
            <v>581.22</v>
          </cell>
          <cell r="L9">
            <v>734.98099999999999</v>
          </cell>
          <cell r="M9">
            <v>313.76900000000001</v>
          </cell>
          <cell r="O9">
            <v>219.52</v>
          </cell>
          <cell r="W9">
            <v>838.07</v>
          </cell>
        </row>
        <row r="12">
          <cell r="C12">
            <v>235.9</v>
          </cell>
          <cell r="D12">
            <v>693.2</v>
          </cell>
          <cell r="E12">
            <v>211.76</v>
          </cell>
          <cell r="F12">
            <v>660.76</v>
          </cell>
          <cell r="G12">
            <v>220.12100000000001</v>
          </cell>
          <cell r="H12">
            <v>712.75900000000001</v>
          </cell>
          <cell r="I12">
            <v>235.09299999999999</v>
          </cell>
          <cell r="J12">
            <v>819.28</v>
          </cell>
          <cell r="K12">
            <v>232.37</v>
          </cell>
          <cell r="L12">
            <v>749.19</v>
          </cell>
          <cell r="M12">
            <v>87.341800000000006</v>
          </cell>
          <cell r="O12">
            <v>97.647000000000006</v>
          </cell>
          <cell r="W12">
            <v>652.94000000000005</v>
          </cell>
        </row>
        <row r="15">
          <cell r="C15">
            <v>1.125</v>
          </cell>
          <cell r="D15">
            <v>38.159999999999997</v>
          </cell>
          <cell r="E15">
            <v>1.1240000000000001</v>
          </cell>
          <cell r="F15">
            <v>48.981000000000002</v>
          </cell>
          <cell r="G15">
            <v>0.81299999999999994</v>
          </cell>
          <cell r="H15">
            <v>35.978999999999999</v>
          </cell>
          <cell r="I15">
            <v>1.117</v>
          </cell>
          <cell r="J15">
            <v>53.14</v>
          </cell>
          <cell r="K15">
            <v>0.98951</v>
          </cell>
          <cell r="L15">
            <v>46.72</v>
          </cell>
          <cell r="M15">
            <v>0.36870000000000003</v>
          </cell>
          <cell r="O15">
            <v>0.437</v>
          </cell>
          <cell r="W15">
            <v>43.04</v>
          </cell>
        </row>
        <row r="18">
          <cell r="C18">
            <v>8.89</v>
          </cell>
          <cell r="D18">
            <v>9.9309999999999992</v>
          </cell>
          <cell r="E18">
            <v>8.2509999999999994</v>
          </cell>
          <cell r="F18">
            <v>9.3559999999999999</v>
          </cell>
          <cell r="G18">
            <v>7.6063999999999998</v>
          </cell>
          <cell r="H18">
            <v>9.2249999999999996</v>
          </cell>
          <cell r="I18">
            <v>9.2639999999999993</v>
          </cell>
          <cell r="J18">
            <v>12</v>
          </cell>
          <cell r="K18">
            <v>7.92</v>
          </cell>
          <cell r="L18">
            <v>10.086</v>
          </cell>
          <cell r="M18">
            <v>3.87</v>
          </cell>
          <cell r="O18">
            <v>4.056</v>
          </cell>
          <cell r="W18">
            <v>12</v>
          </cell>
        </row>
        <row r="21">
          <cell r="C21">
            <v>0.155</v>
          </cell>
          <cell r="D21">
            <v>1.42</v>
          </cell>
          <cell r="E21">
            <v>0.15</v>
          </cell>
          <cell r="F21">
            <v>1.4259999999999999</v>
          </cell>
          <cell r="G21">
            <v>0.10453</v>
          </cell>
          <cell r="H21">
            <v>1.04</v>
          </cell>
          <cell r="I21">
            <v>0.15378</v>
          </cell>
          <cell r="J21">
            <v>1.64</v>
          </cell>
          <cell r="K21">
            <v>0.13184000000000001</v>
          </cell>
          <cell r="L21">
            <v>1.38</v>
          </cell>
          <cell r="M21">
            <v>6.5000000000000002E-2</v>
          </cell>
          <cell r="O21">
            <v>6.4000000000000001E-2</v>
          </cell>
          <cell r="W21">
            <v>1.64</v>
          </cell>
        </row>
        <row r="23">
          <cell r="C23">
            <v>1.2809999999999999</v>
          </cell>
          <cell r="D23">
            <v>33.518000000000001</v>
          </cell>
          <cell r="E23">
            <v>1.1000000000000001</v>
          </cell>
          <cell r="F23">
            <v>30.613</v>
          </cell>
          <cell r="G23">
            <v>0.92900000000000005</v>
          </cell>
          <cell r="H23">
            <v>27.044</v>
          </cell>
          <cell r="I23">
            <v>1.27078</v>
          </cell>
          <cell r="J23">
            <v>39.729999999999997</v>
          </cell>
          <cell r="K23">
            <v>1.1213500000000001</v>
          </cell>
          <cell r="L23">
            <v>35.567999999999998</v>
          </cell>
          <cell r="M23">
            <v>0.43370000000000003</v>
          </cell>
          <cell r="O23">
            <v>0.501</v>
          </cell>
          <cell r="W23">
            <v>29.03</v>
          </cell>
        </row>
      </sheetData>
      <sheetData sheetId="2">
        <row r="9">
          <cell r="G9">
            <v>106.4016</v>
          </cell>
          <cell r="H9">
            <v>128.536</v>
          </cell>
          <cell r="I9">
            <v>148.55000000000001</v>
          </cell>
          <cell r="J9">
            <v>192.37</v>
          </cell>
          <cell r="K9">
            <v>105.51</v>
          </cell>
          <cell r="L9">
            <v>133.74299999999999</v>
          </cell>
          <cell r="M9">
            <v>62.91</v>
          </cell>
          <cell r="O9">
            <v>43.045999999999999</v>
          </cell>
          <cell r="W9">
            <v>136.11000000000001</v>
          </cell>
        </row>
        <row r="12">
          <cell r="G12">
            <v>9.1669999999999998</v>
          </cell>
          <cell r="H12">
            <v>30.187999999999999</v>
          </cell>
          <cell r="I12">
            <v>3.49</v>
          </cell>
          <cell r="J12">
            <v>12.16</v>
          </cell>
          <cell r="K12">
            <v>9.86</v>
          </cell>
          <cell r="L12">
            <v>33.409999999999997</v>
          </cell>
          <cell r="M12">
            <v>9.9</v>
          </cell>
          <cell r="O12">
            <v>9.1199999999999992</v>
          </cell>
          <cell r="W12">
            <v>12.16</v>
          </cell>
        </row>
        <row r="15">
          <cell r="G15">
            <v>2.7E-2</v>
          </cell>
          <cell r="H15">
            <v>1.2054800000000001</v>
          </cell>
          <cell r="I15">
            <v>3.6999999999999998E-2</v>
          </cell>
          <cell r="J15">
            <v>1.76</v>
          </cell>
          <cell r="K15">
            <v>6.5960000000000005E-2</v>
          </cell>
          <cell r="L15">
            <v>3.0639699999999999</v>
          </cell>
          <cell r="M15">
            <v>2.5000000000000001E-2</v>
          </cell>
          <cell r="O15">
            <v>2.1000000000000001E-2</v>
          </cell>
          <cell r="W15">
            <v>1.76</v>
          </cell>
        </row>
        <row r="18">
          <cell r="G18">
            <v>0.40189999999999998</v>
          </cell>
          <cell r="H18">
            <v>0.49099999999999999</v>
          </cell>
          <cell r="I18">
            <v>6.65</v>
          </cell>
          <cell r="J18">
            <v>8.61</v>
          </cell>
          <cell r="K18">
            <v>4.1100000000000003</v>
          </cell>
          <cell r="L18">
            <v>5.2560000000000002</v>
          </cell>
          <cell r="M18">
            <v>1.1399999999999999</v>
          </cell>
          <cell r="O18">
            <v>1.1160000000000001</v>
          </cell>
          <cell r="W18">
            <v>8.61</v>
          </cell>
        </row>
        <row r="21">
          <cell r="G21">
            <v>6.803E-3</v>
          </cell>
          <cell r="H21">
            <v>6.8029999999999993E-2</v>
          </cell>
          <cell r="I21">
            <v>0.11039</v>
          </cell>
          <cell r="J21">
            <v>1.17</v>
          </cell>
          <cell r="K21">
            <v>6.8640000000000007E-2</v>
          </cell>
          <cell r="L21">
            <v>0.72282000000000002</v>
          </cell>
          <cell r="M21">
            <v>1.9E-2</v>
          </cell>
          <cell r="O21">
            <v>1.9E-2</v>
          </cell>
          <cell r="W21">
            <v>1.17</v>
          </cell>
        </row>
        <row r="23">
          <cell r="G23">
            <v>3.3000000000000002E-2</v>
          </cell>
          <cell r="H23">
            <v>0.96987000000000001</v>
          </cell>
          <cell r="I23">
            <v>0.14738999999999999</v>
          </cell>
          <cell r="J23">
            <v>4.57</v>
          </cell>
          <cell r="K23">
            <v>0.1346</v>
          </cell>
          <cell r="L23">
            <v>4.2486899999999999</v>
          </cell>
          <cell r="M23">
            <v>4.3999999999999997E-2</v>
          </cell>
          <cell r="O23">
            <v>0.04</v>
          </cell>
          <cell r="W23">
            <v>4.57</v>
          </cell>
        </row>
      </sheetData>
      <sheetData sheetId="3">
        <row r="9">
          <cell r="C9">
            <v>180.44</v>
          </cell>
          <cell r="D9">
            <v>201.50800000000001</v>
          </cell>
          <cell r="E9">
            <v>117.977</v>
          </cell>
          <cell r="F9">
            <v>68.926000000000002</v>
          </cell>
          <cell r="G9">
            <v>0</v>
          </cell>
          <cell r="H9">
            <v>0</v>
          </cell>
          <cell r="I9">
            <v>161.49</v>
          </cell>
          <cell r="J9">
            <v>209.12</v>
          </cell>
        </row>
        <row r="12">
          <cell r="C12">
            <v>4.4980000000000002</v>
          </cell>
          <cell r="D12">
            <v>13.292</v>
          </cell>
          <cell r="E12">
            <v>2.6080000000000001</v>
          </cell>
          <cell r="F12">
            <v>5.976</v>
          </cell>
          <cell r="G12">
            <v>0</v>
          </cell>
          <cell r="H12">
            <v>0</v>
          </cell>
          <cell r="I12">
            <v>3.03</v>
          </cell>
          <cell r="J12">
            <v>10.58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С, свод"/>
      <sheetName val="Выс,С17"/>
      <sheetName val="Выс,Т24"/>
      <sheetName val="Выс,С25"/>
    </sheetNames>
    <sheetDataSet>
      <sheetData sheetId="0"/>
      <sheetData sheetId="1">
        <row r="10">
          <cell r="N10">
            <v>11</v>
          </cell>
          <cell r="P10">
            <v>37.939968</v>
          </cell>
          <cell r="R10">
            <v>11</v>
          </cell>
          <cell r="T10">
            <v>37.939968</v>
          </cell>
          <cell r="U10">
            <v>11</v>
          </cell>
          <cell r="W10">
            <v>37.939968</v>
          </cell>
        </row>
        <row r="11">
          <cell r="N11">
            <v>1</v>
          </cell>
          <cell r="P11">
            <v>24.499991999999999</v>
          </cell>
          <cell r="R11">
            <v>1</v>
          </cell>
          <cell r="T11">
            <v>24.499991999999999</v>
          </cell>
          <cell r="U11">
            <v>1</v>
          </cell>
          <cell r="W11">
            <v>24.499991999999999</v>
          </cell>
        </row>
        <row r="13">
          <cell r="N13">
            <v>1</v>
          </cell>
          <cell r="P13">
            <v>10.779996000000001</v>
          </cell>
          <cell r="R13">
            <v>1</v>
          </cell>
          <cell r="T13">
            <v>10.779996000000001</v>
          </cell>
          <cell r="U13">
            <v>1</v>
          </cell>
          <cell r="W13">
            <v>10.779996000000001</v>
          </cell>
        </row>
        <row r="14">
          <cell r="P14">
            <v>0</v>
          </cell>
          <cell r="T14">
            <v>0</v>
          </cell>
          <cell r="W14">
            <v>0</v>
          </cell>
        </row>
        <row r="15">
          <cell r="N15">
            <v>1</v>
          </cell>
          <cell r="P15">
            <v>4.4099999999999993</v>
          </cell>
          <cell r="R15">
            <v>1</v>
          </cell>
          <cell r="T15">
            <v>4.4099999999999993</v>
          </cell>
          <cell r="U15">
            <v>1</v>
          </cell>
          <cell r="W15">
            <v>4.4099999999999993</v>
          </cell>
        </row>
        <row r="16">
          <cell r="N16">
            <v>2</v>
          </cell>
          <cell r="P16">
            <v>8.8199999999999985</v>
          </cell>
          <cell r="R16">
            <v>2</v>
          </cell>
          <cell r="T16">
            <v>8.8199999999999985</v>
          </cell>
          <cell r="U16">
            <v>2</v>
          </cell>
          <cell r="W16">
            <v>8.8199999999999985</v>
          </cell>
        </row>
        <row r="17">
          <cell r="N17">
            <v>1</v>
          </cell>
          <cell r="P17">
            <v>5.5860000000000003</v>
          </cell>
          <cell r="R17">
            <v>1</v>
          </cell>
          <cell r="T17">
            <v>5.5860000000000003</v>
          </cell>
          <cell r="U17">
            <v>1</v>
          </cell>
          <cell r="W17">
            <v>5.5860000000000003</v>
          </cell>
        </row>
        <row r="18">
          <cell r="N18">
            <v>1</v>
          </cell>
          <cell r="P18">
            <v>37.464044000000001</v>
          </cell>
          <cell r="R18">
            <v>1</v>
          </cell>
          <cell r="T18">
            <v>37.464044000000001</v>
          </cell>
          <cell r="U18">
            <v>1</v>
          </cell>
          <cell r="W18">
            <v>37.464044000000001</v>
          </cell>
        </row>
        <row r="22">
          <cell r="N22">
            <v>1020.3</v>
          </cell>
          <cell r="P22">
            <v>244.72875119999998</v>
          </cell>
          <cell r="R22">
            <v>1020.3</v>
          </cell>
          <cell r="T22">
            <v>244.72875119999998</v>
          </cell>
          <cell r="U22">
            <v>1020.3</v>
          </cell>
          <cell r="W22">
            <v>244.72875119999998</v>
          </cell>
        </row>
        <row r="23">
          <cell r="N23">
            <v>768.7</v>
          </cell>
          <cell r="P23">
            <v>0</v>
          </cell>
          <cell r="R23">
            <v>768.7</v>
          </cell>
          <cell r="T23">
            <v>0</v>
          </cell>
          <cell r="U23">
            <v>768.7</v>
          </cell>
          <cell r="W23">
            <v>0</v>
          </cell>
        </row>
        <row r="25">
          <cell r="P25">
            <v>374.22875119999998</v>
          </cell>
          <cell r="T25">
            <v>374.22875119999998</v>
          </cell>
          <cell r="W25">
            <v>374.22875119999998</v>
          </cell>
        </row>
        <row r="26">
          <cell r="P26">
            <v>0</v>
          </cell>
          <cell r="T26">
            <v>0</v>
          </cell>
          <cell r="W26">
            <v>0</v>
          </cell>
        </row>
        <row r="27">
          <cell r="P27">
            <v>0</v>
          </cell>
          <cell r="T27">
            <v>0</v>
          </cell>
          <cell r="W27">
            <v>0</v>
          </cell>
        </row>
        <row r="28">
          <cell r="P28">
            <v>374.22875119999998</v>
          </cell>
          <cell r="T28">
            <v>374.22875119999998</v>
          </cell>
          <cell r="W28">
            <v>374.22875119999998</v>
          </cell>
        </row>
        <row r="30">
          <cell r="N30">
            <v>845</v>
          </cell>
          <cell r="P30">
            <v>17.041199999999996</v>
          </cell>
          <cell r="R30">
            <v>845</v>
          </cell>
          <cell r="T30">
            <v>17.041199999999996</v>
          </cell>
          <cell r="U30">
            <v>845</v>
          </cell>
          <cell r="W30">
            <v>17.041199999999996</v>
          </cell>
        </row>
        <row r="31">
          <cell r="N31">
            <v>317</v>
          </cell>
          <cell r="P31">
            <v>3.0051600000000001</v>
          </cell>
          <cell r="R31">
            <v>317</v>
          </cell>
          <cell r="T31">
            <v>3.0051600000000001</v>
          </cell>
          <cell r="U31">
            <v>317</v>
          </cell>
          <cell r="W31">
            <v>3.0051600000000001</v>
          </cell>
        </row>
        <row r="32">
          <cell r="N32">
            <v>114.5</v>
          </cell>
          <cell r="P32">
            <v>75.600000000000009</v>
          </cell>
          <cell r="R32">
            <v>114.5</v>
          </cell>
          <cell r="T32">
            <v>75.600000000000009</v>
          </cell>
          <cell r="U32">
            <v>114.5</v>
          </cell>
          <cell r="W32">
            <v>75.600000000000009</v>
          </cell>
        </row>
      </sheetData>
      <sheetData sheetId="2">
        <row r="10">
          <cell r="P10">
            <v>0</v>
          </cell>
          <cell r="T10">
            <v>0</v>
          </cell>
          <cell r="W10">
            <v>0</v>
          </cell>
        </row>
        <row r="11">
          <cell r="P11">
            <v>0</v>
          </cell>
          <cell r="T11">
            <v>0</v>
          </cell>
          <cell r="W11">
            <v>0</v>
          </cell>
        </row>
        <row r="12">
          <cell r="P12">
            <v>0</v>
          </cell>
          <cell r="T12">
            <v>0</v>
          </cell>
          <cell r="W12">
            <v>0</v>
          </cell>
        </row>
        <row r="13">
          <cell r="P13">
            <v>0</v>
          </cell>
          <cell r="T13">
            <v>0</v>
          </cell>
          <cell r="W13">
            <v>0</v>
          </cell>
        </row>
        <row r="14">
          <cell r="P14">
            <v>0</v>
          </cell>
          <cell r="T14">
            <v>0</v>
          </cell>
          <cell r="W14">
            <v>0</v>
          </cell>
        </row>
        <row r="15">
          <cell r="P15">
            <v>0</v>
          </cell>
          <cell r="T15">
            <v>0</v>
          </cell>
          <cell r="W15">
            <v>0</v>
          </cell>
        </row>
        <row r="16">
          <cell r="P16">
            <v>0</v>
          </cell>
          <cell r="T16">
            <v>0</v>
          </cell>
          <cell r="W16">
            <v>0</v>
          </cell>
        </row>
        <row r="17">
          <cell r="P17">
            <v>0</v>
          </cell>
          <cell r="T17">
            <v>0</v>
          </cell>
          <cell r="W17">
            <v>0</v>
          </cell>
        </row>
        <row r="18">
          <cell r="P18">
            <v>0</v>
          </cell>
          <cell r="T18">
            <v>0</v>
          </cell>
          <cell r="W18">
            <v>0</v>
          </cell>
        </row>
        <row r="25">
          <cell r="P25">
            <v>0</v>
          </cell>
          <cell r="T25">
            <v>0</v>
          </cell>
          <cell r="W25">
            <v>0</v>
          </cell>
        </row>
        <row r="26">
          <cell r="P26">
            <v>0</v>
          </cell>
          <cell r="T26">
            <v>0</v>
          </cell>
          <cell r="W26">
            <v>0</v>
          </cell>
        </row>
        <row r="27">
          <cell r="P27">
            <v>0</v>
          </cell>
          <cell r="T27">
            <v>0</v>
          </cell>
          <cell r="W27">
            <v>0</v>
          </cell>
        </row>
        <row r="28">
          <cell r="P28">
            <v>0</v>
          </cell>
          <cell r="T28">
            <v>0</v>
          </cell>
          <cell r="W28">
            <v>0</v>
          </cell>
        </row>
        <row r="30">
          <cell r="N30">
            <v>39.1</v>
          </cell>
          <cell r="P30">
            <v>0.78825600000000007</v>
          </cell>
          <cell r="R30">
            <v>39.1</v>
          </cell>
          <cell r="T30">
            <v>0.78825600000000007</v>
          </cell>
          <cell r="U30">
            <v>39.1</v>
          </cell>
          <cell r="W30">
            <v>0.78825600000000007</v>
          </cell>
        </row>
        <row r="31">
          <cell r="N31">
            <v>0</v>
          </cell>
          <cell r="P31">
            <v>0</v>
          </cell>
          <cell r="R31">
            <v>0</v>
          </cell>
          <cell r="T31">
            <v>0</v>
          </cell>
          <cell r="U31">
            <v>0</v>
          </cell>
          <cell r="W31">
            <v>0</v>
          </cell>
        </row>
        <row r="32">
          <cell r="N32">
            <v>0</v>
          </cell>
          <cell r="P32">
            <v>0</v>
          </cell>
          <cell r="R32">
            <v>0</v>
          </cell>
          <cell r="T32">
            <v>0</v>
          </cell>
          <cell r="U32">
            <v>0</v>
          </cell>
          <cell r="W32">
            <v>0</v>
          </cell>
        </row>
      </sheetData>
      <sheetData sheetId="3">
        <row r="10">
          <cell r="P10">
            <v>0</v>
          </cell>
          <cell r="T10">
            <v>0</v>
          </cell>
          <cell r="W10">
            <v>0</v>
          </cell>
        </row>
        <row r="11">
          <cell r="P11">
            <v>0</v>
          </cell>
          <cell r="T11">
            <v>0</v>
          </cell>
          <cell r="W11">
            <v>0</v>
          </cell>
        </row>
        <row r="12">
          <cell r="P12">
            <v>0</v>
          </cell>
          <cell r="T12">
            <v>0</v>
          </cell>
          <cell r="W12">
            <v>0</v>
          </cell>
        </row>
        <row r="13">
          <cell r="P13">
            <v>0</v>
          </cell>
          <cell r="T13">
            <v>0</v>
          </cell>
          <cell r="W13">
            <v>0</v>
          </cell>
        </row>
        <row r="14">
          <cell r="P14">
            <v>0</v>
          </cell>
          <cell r="T14">
            <v>0</v>
          </cell>
          <cell r="W14">
            <v>0</v>
          </cell>
        </row>
        <row r="15">
          <cell r="P15">
            <v>0</v>
          </cell>
          <cell r="T15">
            <v>0</v>
          </cell>
          <cell r="W15">
            <v>0</v>
          </cell>
        </row>
        <row r="16">
          <cell r="P16">
            <v>0</v>
          </cell>
          <cell r="T16">
            <v>0</v>
          </cell>
          <cell r="W16">
            <v>0</v>
          </cell>
        </row>
        <row r="17">
          <cell r="P17">
            <v>0</v>
          </cell>
          <cell r="T17">
            <v>0</v>
          </cell>
          <cell r="W17">
            <v>0</v>
          </cell>
        </row>
        <row r="18">
          <cell r="P18">
            <v>0</v>
          </cell>
          <cell r="T18">
            <v>0</v>
          </cell>
          <cell r="W18">
            <v>0</v>
          </cell>
        </row>
        <row r="22">
          <cell r="N22">
            <v>300</v>
          </cell>
          <cell r="P22">
            <v>71.971199999999982</v>
          </cell>
          <cell r="R22">
            <v>300</v>
          </cell>
          <cell r="T22">
            <v>71.971199999999982</v>
          </cell>
          <cell r="U22">
            <v>300</v>
          </cell>
          <cell r="W22">
            <v>71.971199999999982</v>
          </cell>
        </row>
        <row r="23">
          <cell r="N23">
            <v>624.70000000000005</v>
          </cell>
          <cell r="P23">
            <v>0</v>
          </cell>
          <cell r="R23">
            <v>624.70000000000005</v>
          </cell>
          <cell r="T23">
            <v>0</v>
          </cell>
          <cell r="U23">
            <v>0</v>
          </cell>
          <cell r="W23">
            <v>0</v>
          </cell>
        </row>
        <row r="25">
          <cell r="P25">
            <v>71.971199999999982</v>
          </cell>
          <cell r="T25">
            <v>71.971199999999982</v>
          </cell>
          <cell r="W25">
            <v>71.971199999999982</v>
          </cell>
        </row>
        <row r="26">
          <cell r="P26">
            <v>0</v>
          </cell>
          <cell r="T26">
            <v>0</v>
          </cell>
          <cell r="W26">
            <v>0</v>
          </cell>
        </row>
        <row r="27">
          <cell r="P27">
            <v>0</v>
          </cell>
          <cell r="T27">
            <v>0</v>
          </cell>
          <cell r="W27">
            <v>0</v>
          </cell>
        </row>
        <row r="28">
          <cell r="P28">
            <v>71.971199999999982</v>
          </cell>
          <cell r="T28">
            <v>71.971199999999982</v>
          </cell>
          <cell r="W28">
            <v>71.971199999999982</v>
          </cell>
        </row>
        <row r="30">
          <cell r="N30">
            <v>660.1</v>
          </cell>
          <cell r="P30">
            <v>13.307616000000001</v>
          </cell>
          <cell r="R30">
            <v>660.1</v>
          </cell>
          <cell r="T30">
            <v>13.307616000000001</v>
          </cell>
          <cell r="U30">
            <v>660.1</v>
          </cell>
          <cell r="W30">
            <v>13.307616000000001</v>
          </cell>
        </row>
        <row r="31">
          <cell r="N31">
            <v>660.1</v>
          </cell>
          <cell r="P31">
            <v>6.2577480000000003</v>
          </cell>
          <cell r="R31">
            <v>660.1</v>
          </cell>
          <cell r="T31">
            <v>6.2577480000000003</v>
          </cell>
          <cell r="U31">
            <v>660.1</v>
          </cell>
          <cell r="W31">
            <v>6.2577480000000003</v>
          </cell>
        </row>
        <row r="32">
          <cell r="N32">
            <v>0</v>
          </cell>
          <cell r="P32">
            <v>0</v>
          </cell>
          <cell r="R32">
            <v>0</v>
          </cell>
          <cell r="T32">
            <v>0</v>
          </cell>
          <cell r="U32">
            <v>0</v>
          </cell>
          <cell r="W32">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5_1"/>
      <sheetName val="995_2"/>
    </sheetNames>
    <sheetDataSet>
      <sheetData sheetId="0" refreshError="1">
        <row r="78">
          <cell r="F78">
            <v>5.4490000000000007</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2)"/>
      <sheetName val="2004(v2) "/>
      <sheetName val="Печ"/>
      <sheetName val="2002(v1) "/>
      <sheetName val="2004(v1)  "/>
      <sheetName val="2002-03(v2) "/>
      <sheetName val="2002-03(v1)  "/>
      <sheetName val="I"/>
      <sheetName val="динамика цвет мет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CCC"/>
    <pageSetUpPr fitToPage="1"/>
  </sheetPr>
  <dimension ref="A2:W46"/>
  <sheetViews>
    <sheetView view="pageBreakPreview" zoomScale="80" zoomScaleNormal="100" zoomScaleSheetLayoutView="80" workbookViewId="0">
      <pane xSplit="1" ySplit="9" topLeftCell="B10"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5"/>
  <cols>
    <col min="1" max="1" width="59.6640625" style="7" customWidth="1"/>
    <col min="2" max="2" width="11.6640625" style="7" customWidth="1"/>
    <col min="3" max="3" width="14.6640625" style="7" customWidth="1"/>
    <col min="4" max="4" width="14" style="7" customWidth="1"/>
    <col min="5" max="20" width="14.83203125" style="13" customWidth="1"/>
    <col min="21" max="21" width="12.5" style="7" customWidth="1"/>
    <col min="22" max="22" width="15.5" style="7" bestFit="1" customWidth="1"/>
    <col min="23" max="23" width="14.33203125" style="7" customWidth="1"/>
    <col min="24" max="24" width="11.5" style="7" bestFit="1" customWidth="1"/>
    <col min="25" max="16384" width="9.33203125" style="7"/>
  </cols>
  <sheetData>
    <row r="2" spans="1:23" x14ac:dyDescent="0.25">
      <c r="A2" s="3163" t="s">
        <v>168</v>
      </c>
      <c r="B2" s="3163"/>
      <c r="C2" s="3163"/>
      <c r="D2" s="3163"/>
      <c r="E2" s="3163"/>
      <c r="F2" s="3163"/>
      <c r="G2" s="3163"/>
      <c r="H2" s="3163"/>
      <c r="I2" s="3163"/>
      <c r="J2" s="3163"/>
      <c r="K2" s="3163"/>
      <c r="L2" s="3163"/>
      <c r="M2" s="3163"/>
      <c r="N2" s="3163"/>
      <c r="O2" s="3163"/>
      <c r="P2" s="3163"/>
      <c r="Q2" s="3163"/>
      <c r="R2" s="3163"/>
      <c r="S2" s="3163"/>
      <c r="T2" s="3163"/>
      <c r="U2" s="3163"/>
      <c r="V2" s="3163"/>
      <c r="W2" s="3163"/>
    </row>
    <row r="4" spans="1:23" x14ac:dyDescent="0.25">
      <c r="A4" s="3163" t="s">
        <v>169</v>
      </c>
      <c r="B4" s="3163"/>
      <c r="C4" s="3163"/>
      <c r="D4" s="3163"/>
      <c r="E4" s="3163"/>
      <c r="F4" s="3163"/>
      <c r="G4" s="3163"/>
      <c r="H4" s="3163"/>
      <c r="I4" s="3163"/>
      <c r="J4" s="3163"/>
      <c r="K4" s="3163"/>
      <c r="L4" s="3163"/>
      <c r="M4" s="3163"/>
      <c r="N4" s="3163"/>
      <c r="O4" s="3163"/>
      <c r="P4" s="3163"/>
      <c r="Q4" s="3163"/>
      <c r="R4" s="3163"/>
      <c r="S4" s="3163"/>
      <c r="T4" s="3163"/>
      <c r="U4" s="3163"/>
      <c r="V4" s="3163"/>
      <c r="W4" s="3163"/>
    </row>
    <row r="5" spans="1:23" x14ac:dyDescent="0.25">
      <c r="A5" s="291"/>
      <c r="B5" s="291"/>
      <c r="C5" s="291"/>
      <c r="D5" s="291"/>
      <c r="E5" s="291"/>
      <c r="F5" s="291"/>
      <c r="G5" s="291"/>
      <c r="H5" s="291"/>
      <c r="I5" s="291"/>
      <c r="J5" s="291"/>
      <c r="K5" s="291"/>
      <c r="L5" s="291"/>
      <c r="M5" s="291"/>
      <c r="N5" s="291"/>
      <c r="O5" s="291"/>
      <c r="P5" s="291"/>
      <c r="Q5" s="291"/>
      <c r="R5" s="291"/>
      <c r="S5" s="291"/>
      <c r="T5" s="291"/>
      <c r="U5" s="291"/>
      <c r="V5" s="291"/>
      <c r="W5" s="291"/>
    </row>
    <row r="6" spans="1:23" x14ac:dyDescent="0.25">
      <c r="A6" s="291"/>
      <c r="B6" s="291"/>
      <c r="C6" s="291"/>
      <c r="D6" s="291"/>
      <c r="E6" s="291"/>
      <c r="F6" s="291"/>
      <c r="G6" s="291"/>
      <c r="H6" s="291"/>
      <c r="I6" s="291"/>
      <c r="J6" s="291"/>
      <c r="K6" s="291"/>
      <c r="L6" s="291"/>
      <c r="M6" s="291"/>
      <c r="N6" s="291"/>
      <c r="O6" s="291"/>
      <c r="P6" s="291"/>
      <c r="Q6" s="291"/>
      <c r="R6" s="291"/>
      <c r="S6" s="291"/>
      <c r="T6" s="291"/>
      <c r="U6" s="291"/>
      <c r="V6" s="291"/>
      <c r="W6" s="291"/>
    </row>
    <row r="7" spans="1:23" x14ac:dyDescent="0.25">
      <c r="A7" s="7" t="s">
        <v>170</v>
      </c>
    </row>
    <row r="8" spans="1:23" ht="42.75" customHeight="1" x14ac:dyDescent="0.25">
      <c r="A8" s="3164" t="s">
        <v>95</v>
      </c>
      <c r="B8" s="3165" t="s">
        <v>98</v>
      </c>
      <c r="C8" s="3167" t="s">
        <v>140</v>
      </c>
      <c r="D8" s="3168"/>
      <c r="E8" s="3169"/>
      <c r="F8" s="3167" t="s">
        <v>152</v>
      </c>
      <c r="G8" s="3168"/>
      <c r="H8" s="3169"/>
      <c r="I8" s="3170" t="s">
        <v>165</v>
      </c>
      <c r="J8" s="3171"/>
      <c r="K8" s="3172"/>
      <c r="L8" s="3170" t="s">
        <v>172</v>
      </c>
      <c r="M8" s="3171"/>
      <c r="N8" s="3172"/>
      <c r="O8" s="3170" t="s">
        <v>8</v>
      </c>
      <c r="P8" s="3171"/>
      <c r="Q8" s="3172"/>
      <c r="R8" s="3170" t="s">
        <v>173</v>
      </c>
      <c r="S8" s="3171"/>
      <c r="T8" s="3172"/>
      <c r="U8" s="3173" t="s">
        <v>174</v>
      </c>
      <c r="V8" s="3173"/>
      <c r="W8" s="3173"/>
    </row>
    <row r="9" spans="1:23" ht="27.75" customHeight="1" x14ac:dyDescent="0.25">
      <c r="A9" s="3164"/>
      <c r="B9" s="3166"/>
      <c r="C9" s="292">
        <v>991</v>
      </c>
      <c r="D9" s="292">
        <v>992</v>
      </c>
      <c r="E9" s="15">
        <v>911</v>
      </c>
      <c r="F9" s="292">
        <v>991</v>
      </c>
      <c r="G9" s="292">
        <v>992</v>
      </c>
      <c r="H9" s="15">
        <v>911</v>
      </c>
      <c r="I9" s="294">
        <v>991</v>
      </c>
      <c r="J9" s="294">
        <v>992</v>
      </c>
      <c r="K9" s="294">
        <v>911</v>
      </c>
      <c r="L9" s="294">
        <v>991</v>
      </c>
      <c r="M9" s="294">
        <v>992</v>
      </c>
      <c r="N9" s="294"/>
      <c r="O9" s="294">
        <v>991</v>
      </c>
      <c r="P9" s="294">
        <v>992</v>
      </c>
      <c r="Q9" s="294">
        <v>911</v>
      </c>
      <c r="R9" s="294">
        <v>991</v>
      </c>
      <c r="S9" s="294">
        <v>992</v>
      </c>
      <c r="T9" s="294">
        <v>911</v>
      </c>
      <c r="U9" s="292">
        <v>991</v>
      </c>
      <c r="V9" s="293">
        <v>992</v>
      </c>
      <c r="W9" s="292">
        <v>911</v>
      </c>
    </row>
    <row r="10" spans="1:23" s="13" customFormat="1" ht="38.25" customHeight="1" x14ac:dyDescent="0.25">
      <c r="A10" s="273" t="s">
        <v>111</v>
      </c>
      <c r="B10" s="8">
        <f>'музей 2020'!C28</f>
        <v>64.5</v>
      </c>
      <c r="C10" s="10">
        <f>'музей 2020'!G34</f>
        <v>39360.400000000001</v>
      </c>
      <c r="D10" s="10">
        <f>'музей 2020'!H34</f>
        <v>11661.7</v>
      </c>
      <c r="E10" s="10">
        <v>897</v>
      </c>
      <c r="F10" s="10"/>
      <c r="G10" s="10"/>
      <c r="H10" s="10"/>
      <c r="I10" s="295">
        <f>'музей 2020'!V28</f>
        <v>39360.400000000001</v>
      </c>
      <c r="J10" s="295">
        <f>'музей 2020'!W28</f>
        <v>11654.6</v>
      </c>
      <c r="K10" s="295">
        <f>'музей 2020'!AH28</f>
        <v>1677</v>
      </c>
      <c r="L10" s="295">
        <v>12072.6</v>
      </c>
      <c r="M10" s="295">
        <v>3617.2</v>
      </c>
      <c r="N10" s="295"/>
      <c r="O10" s="295">
        <f>I10+L10</f>
        <v>51433</v>
      </c>
      <c r="P10" s="295">
        <f t="shared" ref="P10:Q10" si="0">J10+M10</f>
        <v>15271.8</v>
      </c>
      <c r="Q10" s="295">
        <f t="shared" si="0"/>
        <v>1677</v>
      </c>
      <c r="R10" s="295">
        <v>51466.7</v>
      </c>
      <c r="S10" s="295">
        <v>15317.8</v>
      </c>
      <c r="T10" s="295">
        <v>1677</v>
      </c>
      <c r="U10" s="10">
        <f>R10-O10</f>
        <v>33.700000000000003</v>
      </c>
      <c r="V10" s="10">
        <f t="shared" ref="V10:W10" si="1">S10-P10</f>
        <v>46</v>
      </c>
      <c r="W10" s="10">
        <f t="shared" si="1"/>
        <v>0</v>
      </c>
    </row>
    <row r="11" spans="1:23" s="13" customFormat="1" x14ac:dyDescent="0.25">
      <c r="A11" s="273" t="s">
        <v>133</v>
      </c>
      <c r="B11" s="9" t="e">
        <f>#REF!</f>
        <v>#REF!</v>
      </c>
      <c r="C11" s="10" t="e">
        <f>#REF!</f>
        <v>#REF!</v>
      </c>
      <c r="D11" s="10" t="e">
        <f>#REF!</f>
        <v>#REF!</v>
      </c>
      <c r="E11" s="10">
        <v>3224</v>
      </c>
      <c r="F11" s="10" t="e">
        <f>#REF!</f>
        <v>#REF!</v>
      </c>
      <c r="G11" s="10" t="e">
        <f>#REF!</f>
        <v>#REF!</v>
      </c>
      <c r="H11" s="10"/>
      <c r="I11" s="295" t="e">
        <f>#REF!</f>
        <v>#REF!</v>
      </c>
      <c r="J11" s="295" t="e">
        <f>#REF!</f>
        <v>#REF!</v>
      </c>
      <c r="K11" s="295" t="e">
        <f>#REF!</f>
        <v>#REF!</v>
      </c>
      <c r="L11" s="295">
        <v>24676.400000000001</v>
      </c>
      <c r="M11" s="295">
        <v>7431.5</v>
      </c>
      <c r="N11" s="295"/>
      <c r="O11" s="295" t="e">
        <f t="shared" ref="O11:O15" si="2">I11+L11</f>
        <v>#REF!</v>
      </c>
      <c r="P11" s="295" t="e">
        <f t="shared" ref="P11:P15" si="3">J11+M11</f>
        <v>#REF!</v>
      </c>
      <c r="Q11" s="295" t="e">
        <f t="shared" ref="Q11:Q15" si="4">K11+N11</f>
        <v>#REF!</v>
      </c>
      <c r="R11" s="295">
        <v>104789.4</v>
      </c>
      <c r="S11" s="295">
        <v>31487.5</v>
      </c>
      <c r="T11" s="295">
        <v>4140.5</v>
      </c>
      <c r="U11" s="10" t="e">
        <f>R11-O11</f>
        <v>#REF!</v>
      </c>
      <c r="V11" s="10" t="e">
        <f t="shared" ref="V11" si="5">S11-P11</f>
        <v>#REF!</v>
      </c>
      <c r="W11" s="10" t="e">
        <f t="shared" ref="W11" si="6">T11-Q11</f>
        <v>#REF!</v>
      </c>
    </row>
    <row r="12" spans="1:23" s="13" customFormat="1" x14ac:dyDescent="0.25">
      <c r="A12" s="273" t="s">
        <v>112</v>
      </c>
      <c r="B12" s="8">
        <f>'Родина 2020'!C21</f>
        <v>15.5</v>
      </c>
      <c r="C12" s="10">
        <f>'Родина 2020'!G28</f>
        <v>8874.7000000000007</v>
      </c>
      <c r="D12" s="10">
        <f>'Родина 2020'!H28</f>
        <v>2640.7</v>
      </c>
      <c r="E12" s="10">
        <v>546</v>
      </c>
      <c r="F12" s="10"/>
      <c r="G12" s="10"/>
      <c r="H12" s="10"/>
      <c r="I12" s="295">
        <f>'Родина 2020'!V21</f>
        <v>8874.7000000000007</v>
      </c>
      <c r="J12" s="295">
        <f>'Родина 2020'!W21</f>
        <v>2635.8</v>
      </c>
      <c r="K12" s="295">
        <f>'Родина 2020'!AH21</f>
        <v>253.5</v>
      </c>
      <c r="L12" s="295">
        <v>2722.1</v>
      </c>
      <c r="M12" s="295">
        <v>816</v>
      </c>
      <c r="N12" s="295"/>
      <c r="O12" s="295">
        <f t="shared" ref="O12" si="7">I12+L12</f>
        <v>11596.8</v>
      </c>
      <c r="P12" s="295">
        <f t="shared" ref="P12" si="8">J12+M12</f>
        <v>3451.8</v>
      </c>
      <c r="Q12" s="295">
        <f t="shared" ref="Q12" si="9">K12+N12</f>
        <v>253.5</v>
      </c>
      <c r="R12" s="3174">
        <v>114402.6</v>
      </c>
      <c r="S12" s="3174">
        <v>33648.800000000003</v>
      </c>
      <c r="T12" s="3174">
        <v>2996.5</v>
      </c>
      <c r="U12" s="3177">
        <f>R12-O12-O13-O14-O15</f>
        <v>-133</v>
      </c>
      <c r="V12" s="3177">
        <f>S12-P12-P13-P14-P15</f>
        <v>-94.1</v>
      </c>
      <c r="W12" s="3177">
        <f>T12-Q12-Q13-Q14-Q15</f>
        <v>0</v>
      </c>
    </row>
    <row r="13" spans="1:23" s="13" customFormat="1" x14ac:dyDescent="0.25">
      <c r="A13" s="273" t="s">
        <v>113</v>
      </c>
      <c r="B13" s="9">
        <f>'ГЦК+Энергия 2020'!C52</f>
        <v>59.75</v>
      </c>
      <c r="C13" s="10">
        <f>'ГЦК+Энергия 2020'!G57</f>
        <v>46179.199999999997</v>
      </c>
      <c r="D13" s="10">
        <f>'ГЦК+Энергия 2020'!H57</f>
        <v>13446.9</v>
      </c>
      <c r="E13" s="10">
        <v>1351.3</v>
      </c>
      <c r="F13" s="10">
        <f>'ГЦК+Энергия 2020'!I57</f>
        <v>678.3</v>
      </c>
      <c r="G13" s="10">
        <f>'ГЦК+Энергия 2020'!J57</f>
        <v>204.8</v>
      </c>
      <c r="H13" s="10"/>
      <c r="I13" s="295">
        <f>'ГЦК+Энергия 2020'!V52</f>
        <v>45500.9</v>
      </c>
      <c r="J13" s="295">
        <f>'ГЦК+Энергия 2020'!W52</f>
        <v>13348.7</v>
      </c>
      <c r="K13" s="295">
        <f>'ГЦК+Энергия 2020'!AH52</f>
        <v>1924</v>
      </c>
      <c r="L13" s="295">
        <v>14164.1</v>
      </c>
      <c r="M13" s="295">
        <v>4215.2</v>
      </c>
      <c r="N13" s="295"/>
      <c r="O13" s="295">
        <f t="shared" si="2"/>
        <v>59665</v>
      </c>
      <c r="P13" s="295">
        <f t="shared" si="3"/>
        <v>17563.900000000001</v>
      </c>
      <c r="Q13" s="295">
        <f t="shared" si="4"/>
        <v>1924</v>
      </c>
      <c r="R13" s="3175"/>
      <c r="S13" s="3175"/>
      <c r="T13" s="3175"/>
      <c r="U13" s="3178"/>
      <c r="V13" s="3178"/>
      <c r="W13" s="3178"/>
    </row>
    <row r="14" spans="1:23" s="13" customFormat="1" ht="19.5" customHeight="1" x14ac:dyDescent="0.25">
      <c r="A14" s="273" t="s">
        <v>114</v>
      </c>
      <c r="B14" s="9">
        <f>'Юбилейный 2020'!C25</f>
        <v>19</v>
      </c>
      <c r="C14" s="10">
        <f>'Юбилейный 2020'!G31</f>
        <v>14722.5</v>
      </c>
      <c r="D14" s="10">
        <f>'Юбилейный 2020'!H31</f>
        <v>4245.1000000000004</v>
      </c>
      <c r="E14" s="10">
        <v>429</v>
      </c>
      <c r="F14" s="10"/>
      <c r="G14" s="10"/>
      <c r="H14" s="10"/>
      <c r="I14" s="295">
        <f>'Юбилейный 2020'!V25</f>
        <v>14722.5</v>
      </c>
      <c r="J14" s="295">
        <f>'Юбилейный 2020'!W25</f>
        <v>4305.6000000000004</v>
      </c>
      <c r="K14" s="295">
        <f>'Юбилейный 2020'!AH25</f>
        <v>370.5</v>
      </c>
      <c r="L14" s="295">
        <v>4515.6000000000004</v>
      </c>
      <c r="M14" s="295">
        <v>1337.9</v>
      </c>
      <c r="N14" s="295"/>
      <c r="O14" s="295">
        <f t="shared" si="2"/>
        <v>19238.099999999999</v>
      </c>
      <c r="P14" s="295">
        <f t="shared" si="3"/>
        <v>5643.5</v>
      </c>
      <c r="Q14" s="295">
        <f t="shared" si="4"/>
        <v>370.5</v>
      </c>
      <c r="R14" s="3175"/>
      <c r="S14" s="3175"/>
      <c r="T14" s="3175"/>
      <c r="U14" s="3178"/>
      <c r="V14" s="3178"/>
      <c r="W14" s="3178"/>
    </row>
    <row r="15" spans="1:23" s="13" customFormat="1" ht="32.25" customHeight="1" x14ac:dyDescent="0.25">
      <c r="A15" s="273" t="s">
        <v>115</v>
      </c>
      <c r="B15" s="9">
        <f>'Высоцкий 2020'!C28</f>
        <v>25</v>
      </c>
      <c r="C15" s="10">
        <f>'Высоцкий 2020'!G33</f>
        <v>18394</v>
      </c>
      <c r="D15" s="10">
        <f>'Высоцкий 2020'!H33</f>
        <v>5393.9</v>
      </c>
      <c r="E15" s="10">
        <v>799.5</v>
      </c>
      <c r="F15" s="10"/>
      <c r="G15" s="10"/>
      <c r="H15" s="10"/>
      <c r="I15" s="295">
        <f>'Высоцкий 2020'!V28</f>
        <v>18394</v>
      </c>
      <c r="J15" s="295">
        <f>'Высоцкий 2020'!W28</f>
        <v>5400.8</v>
      </c>
      <c r="K15" s="295">
        <f>'Высоцкий 2020'!AH28</f>
        <v>448.5</v>
      </c>
      <c r="L15" s="295">
        <v>5641.7</v>
      </c>
      <c r="M15" s="295">
        <v>1682.9</v>
      </c>
      <c r="N15" s="295"/>
      <c r="O15" s="295">
        <f t="shared" si="2"/>
        <v>24035.7</v>
      </c>
      <c r="P15" s="295">
        <f t="shared" si="3"/>
        <v>7083.7</v>
      </c>
      <c r="Q15" s="295">
        <f t="shared" si="4"/>
        <v>448.5</v>
      </c>
      <c r="R15" s="3176"/>
      <c r="S15" s="3176"/>
      <c r="T15" s="3176"/>
      <c r="U15" s="3179"/>
      <c r="V15" s="3179"/>
      <c r="W15" s="3179"/>
    </row>
    <row r="16" spans="1:23" x14ac:dyDescent="0.25">
      <c r="A16" s="16" t="s">
        <v>99</v>
      </c>
      <c r="B16" s="17" t="e">
        <f t="shared" ref="B16:W16" si="10">SUM(B10:B15)</f>
        <v>#REF!</v>
      </c>
      <c r="C16" s="18" t="e">
        <f t="shared" si="10"/>
        <v>#REF!</v>
      </c>
      <c r="D16" s="18" t="e">
        <f t="shared" si="10"/>
        <v>#REF!</v>
      </c>
      <c r="E16" s="18">
        <f t="shared" si="10"/>
        <v>7246.8</v>
      </c>
      <c r="F16" s="18" t="e">
        <f t="shared" si="10"/>
        <v>#REF!</v>
      </c>
      <c r="G16" s="18" t="e">
        <f t="shared" si="10"/>
        <v>#REF!</v>
      </c>
      <c r="H16" s="18">
        <f t="shared" si="10"/>
        <v>0</v>
      </c>
      <c r="I16" s="18" t="e">
        <f t="shared" si="10"/>
        <v>#REF!</v>
      </c>
      <c r="J16" s="18" t="e">
        <f t="shared" si="10"/>
        <v>#REF!</v>
      </c>
      <c r="K16" s="18" t="e">
        <f t="shared" si="10"/>
        <v>#REF!</v>
      </c>
      <c r="L16" s="18">
        <f t="shared" si="10"/>
        <v>63792.5</v>
      </c>
      <c r="M16" s="18">
        <f t="shared" si="10"/>
        <v>19100.7</v>
      </c>
      <c r="N16" s="18">
        <f t="shared" si="10"/>
        <v>0</v>
      </c>
      <c r="O16" s="18" t="e">
        <f t="shared" si="10"/>
        <v>#REF!</v>
      </c>
      <c r="P16" s="18" t="e">
        <f t="shared" si="10"/>
        <v>#REF!</v>
      </c>
      <c r="Q16" s="18" t="e">
        <f t="shared" si="10"/>
        <v>#REF!</v>
      </c>
      <c r="R16" s="18">
        <f t="shared" si="10"/>
        <v>270658.7</v>
      </c>
      <c r="S16" s="18">
        <f t="shared" si="10"/>
        <v>80454.100000000006</v>
      </c>
      <c r="T16" s="18">
        <f t="shared" si="10"/>
        <v>8814</v>
      </c>
      <c r="U16" s="18" t="e">
        <f t="shared" si="10"/>
        <v>#REF!</v>
      </c>
      <c r="V16" s="18" t="e">
        <f t="shared" si="10"/>
        <v>#REF!</v>
      </c>
      <c r="W16" s="18" t="e">
        <f t="shared" si="10"/>
        <v>#REF!</v>
      </c>
    </row>
    <row r="17" spans="1:23" x14ac:dyDescent="0.25">
      <c r="C17" s="11"/>
      <c r="D17" s="11"/>
      <c r="E17" s="12"/>
      <c r="F17" s="12"/>
      <c r="G17" s="12"/>
      <c r="H17" s="12"/>
      <c r="I17" s="12"/>
      <c r="J17" s="12"/>
      <c r="K17" s="12"/>
      <c r="L17" s="12"/>
      <c r="M17" s="12"/>
      <c r="N17" s="12"/>
      <c r="O17" s="12"/>
      <c r="P17" s="12"/>
      <c r="Q17" s="12"/>
      <c r="R17" s="12"/>
      <c r="S17" s="12"/>
      <c r="T17" s="12"/>
    </row>
    <row r="18" spans="1:23" x14ac:dyDescent="0.25">
      <c r="U18" s="3163" t="s">
        <v>171</v>
      </c>
      <c r="V18" s="3163"/>
      <c r="W18" s="3163"/>
    </row>
    <row r="19" spans="1:23" s="20" customFormat="1" ht="20.25" x14ac:dyDescent="0.3">
      <c r="A19" s="1" t="s">
        <v>138</v>
      </c>
      <c r="C19" s="2"/>
      <c r="D19" s="6" t="s">
        <v>166</v>
      </c>
      <c r="E19" s="3"/>
      <c r="F19" s="4"/>
      <c r="G19" s="4"/>
      <c r="H19" s="5"/>
      <c r="I19" s="5"/>
      <c r="J19" s="4"/>
    </row>
    <row r="21" spans="1:23" x14ac:dyDescent="0.25">
      <c r="A21" s="7" t="s">
        <v>151</v>
      </c>
    </row>
    <row r="22" spans="1:23" s="11" customFormat="1" x14ac:dyDescent="0.25">
      <c r="D22" s="11" t="e">
        <f>D16-G16</f>
        <v>#REF!</v>
      </c>
      <c r="E22" s="12"/>
      <c r="F22" s="12"/>
      <c r="G22" s="12"/>
      <c r="H22" s="12"/>
      <c r="I22" s="12"/>
      <c r="J22" s="12"/>
      <c r="K22" s="12"/>
      <c r="L22" s="12"/>
      <c r="M22" s="12"/>
      <c r="N22" s="12"/>
      <c r="O22" s="12"/>
      <c r="P22" s="12"/>
      <c r="Q22" s="12"/>
      <c r="R22" s="12"/>
      <c r="S22" s="12"/>
      <c r="T22" s="12"/>
    </row>
    <row r="23" spans="1:23" s="11" customFormat="1" x14ac:dyDescent="0.25">
      <c r="E23" s="12"/>
      <c r="F23" s="12"/>
      <c r="G23" s="12"/>
      <c r="H23" s="12"/>
      <c r="I23" s="12"/>
      <c r="J23" s="12"/>
      <c r="K23" s="12"/>
      <c r="L23" s="12"/>
      <c r="M23" s="12"/>
      <c r="N23" s="12"/>
      <c r="O23" s="12"/>
      <c r="P23" s="12"/>
      <c r="Q23" s="12"/>
      <c r="R23" s="12"/>
      <c r="S23" s="12"/>
      <c r="T23" s="12"/>
    </row>
    <row r="24" spans="1:23" s="11" customFormat="1" x14ac:dyDescent="0.25">
      <c r="E24" s="12"/>
      <c r="F24" s="12"/>
      <c r="G24" s="12"/>
      <c r="H24" s="12"/>
      <c r="I24" s="12"/>
      <c r="J24" s="12"/>
      <c r="K24" s="12"/>
      <c r="L24" s="12"/>
      <c r="M24" s="12"/>
      <c r="N24" s="12"/>
      <c r="O24" s="12"/>
      <c r="P24" s="12"/>
      <c r="Q24" s="12"/>
      <c r="R24" s="12"/>
      <c r="S24" s="12"/>
      <c r="T24" s="12"/>
    </row>
    <row r="25" spans="1:23" s="11" customFormat="1" x14ac:dyDescent="0.25">
      <c r="E25" s="12"/>
      <c r="F25" s="12"/>
      <c r="G25" s="12"/>
      <c r="H25" s="12"/>
      <c r="I25" s="12"/>
      <c r="J25" s="12"/>
      <c r="K25" s="12"/>
      <c r="L25" s="12"/>
      <c r="M25" s="12"/>
      <c r="N25" s="12"/>
      <c r="O25" s="12"/>
      <c r="P25" s="12"/>
      <c r="Q25" s="12"/>
      <c r="R25" s="12"/>
      <c r="S25" s="12"/>
      <c r="T25" s="12"/>
    </row>
    <row r="26" spans="1:23" s="11" customFormat="1" x14ac:dyDescent="0.25">
      <c r="E26" s="12"/>
      <c r="F26" s="12"/>
      <c r="G26" s="12"/>
      <c r="H26" s="12"/>
      <c r="I26" s="12"/>
      <c r="J26" s="12"/>
      <c r="K26" s="12"/>
      <c r="L26" s="12"/>
      <c r="M26" s="12"/>
      <c r="N26" s="12"/>
      <c r="O26" s="12"/>
      <c r="P26" s="12"/>
      <c r="Q26" s="12"/>
      <c r="R26" s="12"/>
      <c r="S26" s="12"/>
      <c r="T26" s="12"/>
    </row>
    <row r="27" spans="1:23" s="11" customFormat="1" x14ac:dyDescent="0.25">
      <c r="E27" s="12"/>
      <c r="F27" s="12"/>
      <c r="G27" s="12"/>
      <c r="H27" s="12"/>
      <c r="I27" s="12"/>
      <c r="J27" s="12"/>
      <c r="K27" s="12"/>
      <c r="L27" s="12"/>
      <c r="M27" s="12"/>
      <c r="N27" s="12"/>
      <c r="O27" s="12"/>
      <c r="P27" s="12"/>
      <c r="Q27" s="12"/>
      <c r="R27" s="12"/>
      <c r="S27" s="12"/>
      <c r="T27" s="12"/>
    </row>
    <row r="28" spans="1:23" s="11" customFormat="1" x14ac:dyDescent="0.25">
      <c r="E28" s="12"/>
      <c r="F28" s="12"/>
      <c r="G28" s="12"/>
      <c r="H28" s="12"/>
      <c r="I28" s="12"/>
      <c r="J28" s="12"/>
      <c r="K28" s="12"/>
      <c r="L28" s="12"/>
      <c r="M28" s="12"/>
      <c r="N28" s="12"/>
      <c r="O28" s="12"/>
      <c r="P28" s="12"/>
      <c r="Q28" s="12"/>
      <c r="R28" s="12"/>
      <c r="S28" s="12"/>
      <c r="T28" s="12"/>
    </row>
    <row r="29" spans="1:23" s="11" customFormat="1" x14ac:dyDescent="0.25">
      <c r="E29" s="12"/>
      <c r="F29" s="12"/>
      <c r="G29" s="12"/>
      <c r="H29" s="12"/>
      <c r="I29" s="12"/>
      <c r="J29" s="12"/>
      <c r="K29" s="12"/>
      <c r="L29" s="12"/>
      <c r="M29" s="12"/>
      <c r="N29" s="12"/>
      <c r="O29" s="12"/>
      <c r="P29" s="12"/>
      <c r="Q29" s="12"/>
      <c r="R29" s="12"/>
      <c r="S29" s="12"/>
      <c r="T29" s="12"/>
    </row>
    <row r="30" spans="1:23" s="11" customFormat="1" x14ac:dyDescent="0.25">
      <c r="E30" s="12"/>
      <c r="F30" s="12"/>
      <c r="G30" s="12"/>
      <c r="H30" s="12"/>
      <c r="I30" s="12"/>
      <c r="J30" s="12"/>
      <c r="K30" s="12"/>
      <c r="L30" s="12"/>
      <c r="M30" s="12"/>
      <c r="N30" s="12"/>
      <c r="O30" s="12"/>
      <c r="P30" s="12"/>
      <c r="Q30" s="12"/>
      <c r="R30" s="12"/>
      <c r="S30" s="12"/>
      <c r="T30" s="12"/>
    </row>
    <row r="31" spans="1:23" s="11" customFormat="1" x14ac:dyDescent="0.25">
      <c r="E31" s="12"/>
      <c r="F31" s="12"/>
      <c r="G31" s="12"/>
      <c r="H31" s="12"/>
      <c r="I31" s="12"/>
      <c r="J31" s="12"/>
      <c r="K31" s="12"/>
      <c r="L31" s="12"/>
      <c r="M31" s="12"/>
      <c r="N31" s="12"/>
      <c r="O31" s="12"/>
      <c r="P31" s="12"/>
      <c r="Q31" s="12"/>
      <c r="R31" s="12"/>
      <c r="S31" s="12"/>
      <c r="T31" s="12"/>
    </row>
    <row r="32" spans="1:23" s="11" customFormat="1" x14ac:dyDescent="0.25">
      <c r="E32" s="12"/>
      <c r="F32" s="12"/>
      <c r="G32" s="12"/>
      <c r="H32" s="12"/>
      <c r="I32" s="12"/>
      <c r="J32" s="12"/>
      <c r="K32" s="12"/>
      <c r="L32" s="12"/>
      <c r="M32" s="12"/>
      <c r="N32" s="12"/>
      <c r="O32" s="12"/>
      <c r="P32" s="12"/>
      <c r="Q32" s="12"/>
      <c r="R32" s="12"/>
      <c r="S32" s="12"/>
      <c r="T32" s="12"/>
    </row>
    <row r="33" spans="5:20" s="11" customFormat="1" x14ac:dyDescent="0.25">
      <c r="E33" s="12"/>
      <c r="F33" s="12"/>
      <c r="G33" s="12"/>
      <c r="H33" s="12"/>
      <c r="I33" s="12"/>
      <c r="J33" s="12"/>
      <c r="K33" s="12"/>
      <c r="L33" s="12"/>
      <c r="M33" s="12"/>
      <c r="N33" s="12"/>
      <c r="O33" s="12"/>
      <c r="P33" s="12"/>
      <c r="Q33" s="12"/>
      <c r="R33" s="12"/>
      <c r="S33" s="12"/>
      <c r="T33" s="12"/>
    </row>
    <row r="34" spans="5:20" s="11" customFormat="1" x14ac:dyDescent="0.25">
      <c r="E34" s="12"/>
      <c r="F34" s="12"/>
      <c r="G34" s="12"/>
      <c r="H34" s="12"/>
      <c r="I34" s="12"/>
      <c r="J34" s="12"/>
      <c r="K34" s="12"/>
      <c r="L34" s="12"/>
      <c r="M34" s="12"/>
      <c r="N34" s="12"/>
      <c r="O34" s="12"/>
      <c r="P34" s="12"/>
      <c r="Q34" s="12"/>
      <c r="R34" s="12"/>
      <c r="S34" s="12"/>
      <c r="T34" s="12"/>
    </row>
    <row r="35" spans="5:20" s="11" customFormat="1" x14ac:dyDescent="0.25">
      <c r="E35" s="12"/>
      <c r="F35" s="12"/>
      <c r="G35" s="12"/>
      <c r="H35" s="12"/>
      <c r="I35" s="12"/>
      <c r="J35" s="12"/>
      <c r="K35" s="12"/>
      <c r="L35" s="12"/>
      <c r="M35" s="12"/>
      <c r="N35" s="12"/>
      <c r="O35" s="12"/>
      <c r="P35" s="12"/>
      <c r="Q35" s="12"/>
      <c r="R35" s="12"/>
      <c r="S35" s="12"/>
      <c r="T35" s="12"/>
    </row>
    <row r="36" spans="5:20" s="11" customFormat="1" x14ac:dyDescent="0.25">
      <c r="E36" s="12"/>
      <c r="F36" s="12"/>
      <c r="G36" s="12"/>
      <c r="H36" s="12"/>
      <c r="I36" s="12"/>
      <c r="J36" s="12"/>
      <c r="K36" s="12"/>
      <c r="L36" s="12"/>
      <c r="M36" s="12"/>
      <c r="N36" s="12"/>
      <c r="O36" s="12"/>
      <c r="P36" s="12"/>
      <c r="Q36" s="12"/>
      <c r="R36" s="12"/>
      <c r="S36" s="12"/>
      <c r="T36" s="12"/>
    </row>
    <row r="37" spans="5:20" s="11" customFormat="1" x14ac:dyDescent="0.25">
      <c r="E37" s="12"/>
      <c r="F37" s="12"/>
      <c r="G37" s="12"/>
      <c r="H37" s="12"/>
      <c r="I37" s="12"/>
      <c r="J37" s="12"/>
      <c r="K37" s="12"/>
      <c r="L37" s="12"/>
      <c r="M37" s="12"/>
      <c r="N37" s="12"/>
      <c r="O37" s="12"/>
      <c r="P37" s="12"/>
      <c r="Q37" s="12"/>
      <c r="R37" s="12"/>
      <c r="S37" s="12"/>
      <c r="T37" s="12"/>
    </row>
    <row r="38" spans="5:20" s="11" customFormat="1" x14ac:dyDescent="0.25">
      <c r="E38" s="12"/>
      <c r="F38" s="12"/>
      <c r="G38" s="12"/>
      <c r="H38" s="12"/>
      <c r="I38" s="12"/>
      <c r="J38" s="12"/>
      <c r="K38" s="12"/>
      <c r="L38" s="12"/>
      <c r="M38" s="12"/>
      <c r="N38" s="12"/>
      <c r="O38" s="12"/>
      <c r="P38" s="12"/>
      <c r="Q38" s="12"/>
      <c r="R38" s="12"/>
      <c r="S38" s="12"/>
      <c r="T38" s="12"/>
    </row>
    <row r="39" spans="5:20" s="11" customFormat="1" x14ac:dyDescent="0.25">
      <c r="E39" s="12"/>
      <c r="F39" s="12"/>
      <c r="G39" s="12"/>
      <c r="H39" s="12"/>
      <c r="I39" s="12"/>
      <c r="J39" s="12"/>
      <c r="K39" s="12"/>
      <c r="L39" s="12"/>
      <c r="M39" s="12"/>
      <c r="N39" s="12"/>
      <c r="O39" s="12"/>
      <c r="P39" s="12"/>
      <c r="Q39" s="12"/>
      <c r="R39" s="12"/>
      <c r="S39" s="12"/>
      <c r="T39" s="12"/>
    </row>
    <row r="40" spans="5:20" s="11" customFormat="1" x14ac:dyDescent="0.25">
      <c r="E40" s="12"/>
      <c r="F40" s="12"/>
      <c r="G40" s="12"/>
      <c r="H40" s="12"/>
      <c r="I40" s="12"/>
      <c r="J40" s="12"/>
      <c r="K40" s="12"/>
      <c r="L40" s="12"/>
      <c r="M40" s="12"/>
      <c r="N40" s="12"/>
      <c r="O40" s="12"/>
      <c r="P40" s="12"/>
      <c r="Q40" s="12"/>
      <c r="R40" s="12"/>
      <c r="S40" s="12"/>
      <c r="T40" s="12"/>
    </row>
    <row r="41" spans="5:20" s="11" customFormat="1" x14ac:dyDescent="0.25">
      <c r="E41" s="12"/>
      <c r="F41" s="12"/>
      <c r="G41" s="12"/>
      <c r="H41" s="12"/>
      <c r="I41" s="12"/>
      <c r="J41" s="12"/>
      <c r="K41" s="12"/>
      <c r="L41" s="12"/>
      <c r="M41" s="12"/>
      <c r="N41" s="12"/>
      <c r="O41" s="12"/>
      <c r="P41" s="12"/>
      <c r="Q41" s="12"/>
      <c r="R41" s="12"/>
      <c r="S41" s="12"/>
      <c r="T41" s="12"/>
    </row>
    <row r="42" spans="5:20" s="11" customFormat="1" x14ac:dyDescent="0.25">
      <c r="E42" s="12"/>
      <c r="F42" s="12"/>
      <c r="G42" s="12"/>
      <c r="H42" s="12"/>
      <c r="I42" s="12"/>
      <c r="J42" s="12"/>
      <c r="K42" s="12"/>
      <c r="L42" s="12"/>
      <c r="M42" s="12"/>
      <c r="N42" s="12"/>
      <c r="O42" s="12"/>
      <c r="P42" s="12"/>
      <c r="Q42" s="12"/>
      <c r="R42" s="12"/>
      <c r="S42" s="12"/>
      <c r="T42" s="12"/>
    </row>
    <row r="43" spans="5:20" s="11" customFormat="1" x14ac:dyDescent="0.25">
      <c r="E43" s="12"/>
      <c r="F43" s="12"/>
      <c r="G43" s="12"/>
      <c r="H43" s="12"/>
      <c r="I43" s="12"/>
      <c r="J43" s="12"/>
      <c r="K43" s="12"/>
      <c r="L43" s="12"/>
      <c r="M43" s="12"/>
      <c r="N43" s="12"/>
      <c r="O43" s="12"/>
      <c r="P43" s="12"/>
      <c r="Q43" s="12"/>
      <c r="R43" s="12"/>
      <c r="S43" s="12"/>
      <c r="T43" s="12"/>
    </row>
    <row r="44" spans="5:20" s="11" customFormat="1" x14ac:dyDescent="0.25">
      <c r="E44" s="12"/>
      <c r="F44" s="12"/>
      <c r="G44" s="12"/>
      <c r="H44" s="12"/>
      <c r="I44" s="12"/>
      <c r="J44" s="12"/>
      <c r="K44" s="12"/>
      <c r="L44" s="12"/>
      <c r="M44" s="12"/>
      <c r="N44" s="12"/>
      <c r="O44" s="12"/>
      <c r="P44" s="12"/>
      <c r="Q44" s="12"/>
      <c r="R44" s="12"/>
      <c r="S44" s="12"/>
      <c r="T44" s="12"/>
    </row>
    <row r="45" spans="5:20" s="11" customFormat="1" x14ac:dyDescent="0.25">
      <c r="E45" s="12"/>
      <c r="F45" s="12"/>
      <c r="G45" s="12"/>
      <c r="H45" s="12"/>
      <c r="I45" s="12"/>
      <c r="J45" s="12"/>
      <c r="K45" s="12"/>
      <c r="L45" s="12"/>
      <c r="M45" s="12"/>
      <c r="N45" s="12"/>
      <c r="O45" s="12"/>
      <c r="P45" s="12"/>
      <c r="Q45" s="12"/>
      <c r="R45" s="12"/>
      <c r="S45" s="12"/>
      <c r="T45" s="12"/>
    </row>
    <row r="46" spans="5:20" s="11" customFormat="1" x14ac:dyDescent="0.25">
      <c r="E46" s="12"/>
      <c r="F46" s="12"/>
      <c r="G46" s="12"/>
      <c r="H46" s="12"/>
      <c r="I46" s="12"/>
      <c r="J46" s="12"/>
      <c r="K46" s="12"/>
      <c r="L46" s="12"/>
      <c r="M46" s="12"/>
      <c r="N46" s="12"/>
      <c r="O46" s="12"/>
      <c r="P46" s="12"/>
      <c r="Q46" s="12"/>
      <c r="R46" s="12"/>
      <c r="S46" s="12"/>
      <c r="T46" s="12"/>
    </row>
  </sheetData>
  <mergeCells count="18">
    <mergeCell ref="U18:W18"/>
    <mergeCell ref="L8:N8"/>
    <mergeCell ref="O8:Q8"/>
    <mergeCell ref="R8:T8"/>
    <mergeCell ref="R12:R15"/>
    <mergeCell ref="S12:S15"/>
    <mergeCell ref="T12:T15"/>
    <mergeCell ref="U12:U15"/>
    <mergeCell ref="V12:V15"/>
    <mergeCell ref="W12:W15"/>
    <mergeCell ref="A2:W2"/>
    <mergeCell ref="A4:W4"/>
    <mergeCell ref="A8:A9"/>
    <mergeCell ref="B8:B9"/>
    <mergeCell ref="C8:E8"/>
    <mergeCell ref="F8:H8"/>
    <mergeCell ref="I8:K8"/>
    <mergeCell ref="U8:W8"/>
  </mergeCells>
  <pageMargins left="0.19685039370078741" right="0.19685039370078741" top="0.74803149606299213" bottom="0.74803149606299213" header="0.31496062992125984" footer="0.31496062992125984"/>
  <pageSetup paperSize="9" scale="4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7" tint="0.39997558519241921"/>
  </sheetPr>
  <dimension ref="A1:G21"/>
  <sheetViews>
    <sheetView view="pageBreakPreview" topLeftCell="A4" zoomScale="90" zoomScaleNormal="100" zoomScaleSheetLayoutView="90" workbookViewId="0">
      <selection activeCell="E15" sqref="E15"/>
    </sheetView>
  </sheetViews>
  <sheetFormatPr defaultRowHeight="39" customHeight="1" x14ac:dyDescent="0.2"/>
  <cols>
    <col min="1" max="1" width="69.1640625" style="655" customWidth="1"/>
    <col min="2" max="2" width="9.83203125" style="655" customWidth="1"/>
    <col min="3" max="5" width="22" style="655" customWidth="1"/>
    <col min="6" max="6" width="22.1640625" style="655" customWidth="1"/>
    <col min="7" max="16384" width="9.33203125" style="655"/>
  </cols>
  <sheetData>
    <row r="1" spans="1:7" ht="39" customHeight="1" x14ac:dyDescent="0.2">
      <c r="A1" s="3375" t="s">
        <v>899</v>
      </c>
      <c r="B1" s="3375"/>
      <c r="C1" s="3375"/>
      <c r="D1" s="3375"/>
      <c r="E1" s="3375"/>
      <c r="F1" s="3375"/>
    </row>
    <row r="2" spans="1:7" ht="21" customHeight="1" x14ac:dyDescent="0.2">
      <c r="A2" s="3375" t="s">
        <v>1442</v>
      </c>
      <c r="B2" s="3375"/>
      <c r="C2" s="3375"/>
      <c r="D2" s="3375"/>
      <c r="E2" s="3375"/>
      <c r="F2" s="3375"/>
    </row>
    <row r="3" spans="1:7" ht="17.25" customHeight="1" x14ac:dyDescent="0.2">
      <c r="F3" s="3089">
        <v>43831</v>
      </c>
    </row>
    <row r="4" spans="1:7" ht="18.75" customHeight="1" x14ac:dyDescent="0.2">
      <c r="A4" s="3376" t="s">
        <v>386</v>
      </c>
      <c r="B4" s="3376" t="s">
        <v>387</v>
      </c>
      <c r="C4" s="3376" t="s">
        <v>388</v>
      </c>
      <c r="D4" s="3376"/>
      <c r="E4" s="3376"/>
      <c r="F4" s="3377" t="s">
        <v>874</v>
      </c>
    </row>
    <row r="5" spans="1:7" ht="25.5" customHeight="1" x14ac:dyDescent="0.2">
      <c r="A5" s="3376"/>
      <c r="B5" s="3376"/>
      <c r="C5" s="657" t="s">
        <v>397</v>
      </c>
      <c r="D5" s="657" t="s">
        <v>398</v>
      </c>
      <c r="E5" s="657" t="s">
        <v>398</v>
      </c>
      <c r="F5" s="3378"/>
    </row>
    <row r="6" spans="1:7" ht="45.75" customHeight="1" x14ac:dyDescent="0.2">
      <c r="A6" s="3376"/>
      <c r="B6" s="3376"/>
      <c r="C6" s="657" t="s">
        <v>389</v>
      </c>
      <c r="D6" s="657" t="s">
        <v>390</v>
      </c>
      <c r="E6" s="657" t="s">
        <v>391</v>
      </c>
      <c r="F6" s="3379"/>
    </row>
    <row r="7" spans="1:7" ht="15.75" customHeight="1" x14ac:dyDescent="0.2">
      <c r="A7" s="657">
        <v>1</v>
      </c>
      <c r="B7" s="657">
        <v>2</v>
      </c>
      <c r="C7" s="657">
        <v>3</v>
      </c>
      <c r="D7" s="657">
        <v>4</v>
      </c>
      <c r="E7" s="657">
        <v>5</v>
      </c>
      <c r="F7" s="657">
        <v>6</v>
      </c>
    </row>
    <row r="8" spans="1:7" ht="39" customHeight="1" x14ac:dyDescent="0.2">
      <c r="A8" s="658" t="s">
        <v>875</v>
      </c>
      <c r="B8" s="657">
        <v>100</v>
      </c>
      <c r="C8" s="660"/>
      <c r="D8" s="660"/>
      <c r="E8" s="660"/>
      <c r="F8" s="661"/>
    </row>
    <row r="9" spans="1:7" ht="46.5" customHeight="1" x14ac:dyDescent="0.2">
      <c r="A9" s="658" t="s">
        <v>876</v>
      </c>
      <c r="B9" s="657">
        <v>200</v>
      </c>
      <c r="C9" s="660"/>
      <c r="D9" s="660"/>
      <c r="E9" s="660"/>
      <c r="F9" s="661"/>
    </row>
    <row r="10" spans="1:7" s="674" customFormat="1" ht="28.5" customHeight="1" x14ac:dyDescent="0.2">
      <c r="A10" s="671" t="s">
        <v>900</v>
      </c>
      <c r="B10" s="672">
        <v>300</v>
      </c>
      <c r="C10" s="673">
        <f>C12+C14+C15+C16+C13</f>
        <v>51301400</v>
      </c>
      <c r="D10" s="673">
        <f>D12+D14+D15+D16+D13</f>
        <v>51170700</v>
      </c>
      <c r="E10" s="673">
        <f>E12+E14+E15+E16+E13</f>
        <v>51231100</v>
      </c>
      <c r="F10" s="673">
        <f>F12+F14+F15+F16+F13</f>
        <v>0</v>
      </c>
    </row>
    <row r="11" spans="1:7" s="656" customFormat="1" ht="15.75" customHeight="1" x14ac:dyDescent="0.2">
      <c r="A11" s="662" t="s">
        <v>408</v>
      </c>
      <c r="B11" s="3374">
        <v>310</v>
      </c>
      <c r="C11" s="784"/>
      <c r="D11" s="784"/>
      <c r="E11" s="785"/>
      <c r="F11" s="785"/>
    </row>
    <row r="12" spans="1:7" s="656" customFormat="1" ht="28.5" customHeight="1" x14ac:dyDescent="0.2">
      <c r="A12" s="662" t="s">
        <v>901</v>
      </c>
      <c r="B12" s="3374"/>
      <c r="C12" s="659">
        <f>'субсидии стр1210(130)культ'!B8</f>
        <v>38510500</v>
      </c>
      <c r="D12" s="964">
        <f>'субсидии стр1210(130)культ'!C8</f>
        <v>38379800</v>
      </c>
      <c r="E12" s="659">
        <f>'субсидии стр1210(130)культ'!D8</f>
        <v>38440200</v>
      </c>
      <c r="F12" s="690">
        <v>0</v>
      </c>
    </row>
    <row r="13" spans="1:7" s="656" customFormat="1" ht="28.5" customHeight="1" x14ac:dyDescent="0.2">
      <c r="A13" s="662" t="s">
        <v>902</v>
      </c>
      <c r="B13" s="1765">
        <v>311</v>
      </c>
      <c r="C13" s="659">
        <f>'субсидии стр1210(130)культ'!B9</f>
        <v>103100</v>
      </c>
      <c r="D13" s="659">
        <f>'субсидии стр1210(130)культ'!C9</f>
        <v>103100</v>
      </c>
      <c r="E13" s="659">
        <f>'субсидии стр1210(130)культ'!D9</f>
        <v>103100</v>
      </c>
      <c r="F13" s="659">
        <v>0</v>
      </c>
      <c r="G13" s="659"/>
    </row>
    <row r="14" spans="1:7" s="656" customFormat="1" ht="32.25" customHeight="1" x14ac:dyDescent="0.2">
      <c r="A14" s="662" t="s">
        <v>903</v>
      </c>
      <c r="B14" s="1765">
        <v>320</v>
      </c>
      <c r="C14" s="659">
        <f>'платные строка 1220 (132)'!H22*1000-'строка 1200(130)'!C16-'строка 1100 (120)+'!C13</f>
        <v>12664600</v>
      </c>
      <c r="D14" s="659">
        <f>'платные строка 1220 (132)'!K22*1000-'строка 1100 (120)+'!D13-'строка 1200(130)'!D16</f>
        <v>12664600</v>
      </c>
      <c r="E14" s="659">
        <f>'платные строка 1220 (132)'!N22*1000-'строка 1100 (120)+'!E13-'строка 1200(130)'!E16</f>
        <v>12664600</v>
      </c>
      <c r="F14" s="690">
        <v>0</v>
      </c>
    </row>
    <row r="15" spans="1:7" s="656" customFormat="1" ht="46.5" customHeight="1" x14ac:dyDescent="0.2">
      <c r="A15" s="662" t="s">
        <v>904</v>
      </c>
      <c r="B15" s="1765">
        <v>330</v>
      </c>
      <c r="C15" s="659"/>
      <c r="D15" s="659"/>
      <c r="E15" s="659"/>
      <c r="F15" s="690"/>
    </row>
    <row r="16" spans="1:7" s="656" customFormat="1" ht="48" customHeight="1" x14ac:dyDescent="0.2">
      <c r="A16" s="662" t="s">
        <v>905</v>
      </c>
      <c r="B16" s="1765">
        <v>340</v>
      </c>
      <c r="C16" s="659">
        <f>'возмещ ком услуг 1230 (135)'!O17</f>
        <v>23200</v>
      </c>
      <c r="D16" s="659">
        <f>'возмещ ком услуг 1230 (135)'!P17</f>
        <v>23200</v>
      </c>
      <c r="E16" s="659">
        <f>'возмещ ком услуг 1230 (135)'!Q17</f>
        <v>23200</v>
      </c>
      <c r="F16" s="659"/>
    </row>
    <row r="17" spans="1:6" s="656" customFormat="1" ht="29.25" customHeight="1" x14ac:dyDescent="0.2">
      <c r="A17" s="662" t="s">
        <v>887</v>
      </c>
      <c r="B17" s="1765">
        <v>400</v>
      </c>
      <c r="C17" s="659"/>
      <c r="D17" s="659"/>
      <c r="E17" s="659"/>
      <c r="F17" s="690"/>
    </row>
    <row r="18" spans="1:6" ht="34.5" customHeight="1" x14ac:dyDescent="0.2">
      <c r="A18" s="658" t="s">
        <v>888</v>
      </c>
      <c r="B18" s="657">
        <v>500</v>
      </c>
      <c r="C18" s="660"/>
      <c r="D18" s="660"/>
      <c r="E18" s="660"/>
      <c r="F18" s="661"/>
    </row>
    <row r="19" spans="1:6" s="665" customFormat="1" ht="44.25" customHeight="1" x14ac:dyDescent="0.2">
      <c r="A19" s="663" t="s">
        <v>962</v>
      </c>
      <c r="B19" s="666">
        <v>600</v>
      </c>
      <c r="C19" s="664">
        <f>C8-C9+C10-C17+C18</f>
        <v>51301400</v>
      </c>
      <c r="D19" s="664">
        <f t="shared" ref="D19:F19" si="0">D8-D9+D10-D17+D18</f>
        <v>51170700</v>
      </c>
      <c r="E19" s="664">
        <f t="shared" si="0"/>
        <v>51231100</v>
      </c>
      <c r="F19" s="664">
        <f t="shared" si="0"/>
        <v>0</v>
      </c>
    </row>
    <row r="20" spans="1:6" ht="22.5" customHeight="1" x14ac:dyDescent="0.2">
      <c r="C20" s="965"/>
      <c r="D20" s="965"/>
      <c r="E20" s="965"/>
    </row>
    <row r="21" spans="1:6" ht="39" customHeight="1" x14ac:dyDescent="0.2">
      <c r="C21" s="965"/>
    </row>
  </sheetData>
  <mergeCells count="7">
    <mergeCell ref="B11:B12"/>
    <mergeCell ref="A1:F1"/>
    <mergeCell ref="A2:F2"/>
    <mergeCell ref="A4:A6"/>
    <mergeCell ref="B4:B6"/>
    <mergeCell ref="C4:E4"/>
    <mergeCell ref="F4:F6"/>
  </mergeCells>
  <pageMargins left="0.7" right="0.7" top="0.75" bottom="0.75" header="0.3" footer="0.3"/>
  <pageSetup paperSize="9" scale="58"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6">
    <tabColor rgb="FFFFFF00"/>
    <pageSetUpPr fitToPage="1"/>
  </sheetPr>
  <dimension ref="A1:AS68"/>
  <sheetViews>
    <sheetView view="pageBreakPreview" zoomScale="80" zoomScaleNormal="70" zoomScaleSheetLayoutView="80" workbookViewId="0">
      <pane xSplit="3" ySplit="8" topLeftCell="D21"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0.664062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3196"/>
      <c r="AF1" s="3196"/>
      <c r="AG1" s="3196"/>
      <c r="AH1" s="3196"/>
    </row>
    <row r="2" spans="1:45" ht="24" customHeight="1" x14ac:dyDescent="0.2">
      <c r="A2" s="3197" t="s">
        <v>163</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287"/>
    </row>
    <row r="4" spans="1:45" x14ac:dyDescent="0.2">
      <c r="L4" s="38">
        <v>0.27208500000000002</v>
      </c>
      <c r="M4" s="38"/>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286" t="s">
        <v>80</v>
      </c>
      <c r="O7" s="286" t="s">
        <v>81</v>
      </c>
      <c r="P7" s="3204"/>
      <c r="Q7" s="3203"/>
      <c r="R7" s="3201"/>
      <c r="S7" s="3203" t="s">
        <v>67</v>
      </c>
      <c r="T7" s="3201"/>
      <c r="U7" s="3201"/>
      <c r="V7" s="3201"/>
      <c r="W7" s="3201"/>
      <c r="X7" s="285" t="s">
        <v>5</v>
      </c>
      <c r="Y7" s="285" t="s">
        <v>6</v>
      </c>
      <c r="Z7" s="285" t="s">
        <v>74</v>
      </c>
      <c r="AA7" s="285" t="s">
        <v>5</v>
      </c>
      <c r="AB7" s="285" t="s">
        <v>6</v>
      </c>
      <c r="AC7" s="285" t="s">
        <v>75</v>
      </c>
      <c r="AD7" s="285" t="s">
        <v>5</v>
      </c>
      <c r="AE7" s="285" t="s">
        <v>6</v>
      </c>
      <c r="AF7" s="285" t="s">
        <v>76</v>
      </c>
      <c r="AG7" s="3200"/>
      <c r="AH7" s="3200"/>
      <c r="AK7" s="99" t="s">
        <v>64</v>
      </c>
      <c r="AL7" s="99" t="s">
        <v>62</v>
      </c>
      <c r="AM7" s="99" t="s">
        <v>63</v>
      </c>
    </row>
    <row r="8" spans="1:45" ht="18"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212" t="s">
        <v>116</v>
      </c>
      <c r="AO8" s="212" t="s">
        <v>117</v>
      </c>
      <c r="AP8" s="212" t="s">
        <v>118</v>
      </c>
      <c r="AQ8" s="212" t="s">
        <v>119</v>
      </c>
    </row>
    <row r="9" spans="1:45" ht="16.5" customHeight="1" x14ac:dyDescent="0.2">
      <c r="A9" s="284">
        <v>1</v>
      </c>
      <c r="B9" s="236" t="s">
        <v>14</v>
      </c>
      <c r="C9" s="259">
        <v>1</v>
      </c>
      <c r="D9" s="237">
        <v>25.873000000000001</v>
      </c>
      <c r="E9" s="260">
        <f t="shared" ref="E9:E27" si="0">C9*D9</f>
        <v>25.87</v>
      </c>
      <c r="F9" s="185">
        <f t="shared" ref="F9:F27" si="1">E9*12</f>
        <v>310.39999999999998</v>
      </c>
      <c r="G9" s="95"/>
      <c r="H9" s="95"/>
      <c r="I9" s="95"/>
      <c r="J9" s="95"/>
      <c r="K9" s="95"/>
      <c r="L9" s="95">
        <f>F9*$L$4</f>
        <v>84.5</v>
      </c>
      <c r="M9" s="95">
        <f t="shared" ref="M9:M27" si="2">F9+G9+H9+I9+J9+K9+L9</f>
        <v>394.9</v>
      </c>
      <c r="N9" s="111">
        <v>0.47</v>
      </c>
      <c r="O9" s="95">
        <f t="shared" ref="O9:O27" si="3">M9*N9</f>
        <v>185.6</v>
      </c>
      <c r="P9" s="95">
        <f t="shared" ref="P9:P27" si="4">M9+O9</f>
        <v>580.5</v>
      </c>
      <c r="Q9" s="95">
        <f t="shared" ref="Q9:Q27" si="5">P9*0.8</f>
        <v>464.4</v>
      </c>
      <c r="R9" s="95">
        <f t="shared" ref="R9:R27" si="6">P9*0.8</f>
        <v>464.4</v>
      </c>
      <c r="S9" s="95">
        <f t="shared" ref="S9:S27" si="7">(P9+Q9+R9)*0.032</f>
        <v>48.3</v>
      </c>
      <c r="T9" s="95">
        <f t="shared" ref="T9:T27" si="8">P9+Q9+R9+S9</f>
        <v>1557.6</v>
      </c>
      <c r="U9" s="3429">
        <v>1</v>
      </c>
      <c r="V9" s="95">
        <f t="shared" ref="V9:V26" si="9">T9*$U$9</f>
        <v>1557.6</v>
      </c>
      <c r="W9" s="95">
        <f>AQ9</f>
        <v>401.5</v>
      </c>
      <c r="X9" s="284">
        <v>1</v>
      </c>
      <c r="Y9" s="112">
        <v>30</v>
      </c>
      <c r="Z9" s="113">
        <f t="shared" ref="Z9:Z27" si="10">X9*Y9</f>
        <v>30</v>
      </c>
      <c r="AA9" s="284"/>
      <c r="AB9" s="112">
        <v>15</v>
      </c>
      <c r="AC9" s="113">
        <f t="shared" ref="AC9:AC27" si="11">AA9*AB9</f>
        <v>0</v>
      </c>
      <c r="AD9" s="284"/>
      <c r="AE9" s="112">
        <v>30</v>
      </c>
      <c r="AF9" s="113">
        <f t="shared" ref="AF9:AF27" si="12">AD9*AE9</f>
        <v>0</v>
      </c>
      <c r="AG9" s="113">
        <f t="shared" ref="AG9:AG27" si="13">(Z9+AC9+AF9)*1%*30</f>
        <v>9</v>
      </c>
      <c r="AH9" s="113">
        <f t="shared" ref="AH9:AH27" si="14">Z9+AC9+AF9+AG9</f>
        <v>39</v>
      </c>
      <c r="AI9" s="131">
        <f t="shared" ref="AI9:AI23" si="15">V9/12/C9*1000</f>
        <v>129800</v>
      </c>
      <c r="AK9" s="114">
        <f t="shared" ref="AK9:AK23" si="16">V9/C9</f>
        <v>1557.6</v>
      </c>
      <c r="AL9" s="114">
        <f>((979*0.302)+((AK9-979)*0.182))</f>
        <v>401</v>
      </c>
      <c r="AM9" s="115">
        <f>AL9/AK9</f>
        <v>0.25700000000000001</v>
      </c>
      <c r="AN9" s="50">
        <f>1150*0.22+(AK9-1150)*0.1</f>
        <v>293.8</v>
      </c>
      <c r="AO9" s="50">
        <f>865*0.029</f>
        <v>25.1</v>
      </c>
      <c r="AP9" s="50">
        <f>AK9*0.053</f>
        <v>82.6</v>
      </c>
      <c r="AQ9" s="50">
        <f>SUM(AN9:AP9)*C9</f>
        <v>401.5</v>
      </c>
      <c r="AS9" s="99">
        <f t="shared" ref="AS9:AS27" si="17">D9*1.5</f>
        <v>38.8095</v>
      </c>
    </row>
    <row r="10" spans="1:45" x14ac:dyDescent="0.2">
      <c r="A10" s="284">
        <v>2</v>
      </c>
      <c r="B10" s="236" t="s">
        <v>127</v>
      </c>
      <c r="C10" s="259">
        <v>2</v>
      </c>
      <c r="D10" s="237">
        <v>18.111000000000001</v>
      </c>
      <c r="E10" s="260">
        <f t="shared" si="0"/>
        <v>36.22</v>
      </c>
      <c r="F10" s="185">
        <f t="shared" si="1"/>
        <v>434.6</v>
      </c>
      <c r="G10" s="95"/>
      <c r="H10" s="95">
        <f>7.062+7.945</f>
        <v>15</v>
      </c>
      <c r="I10" s="95"/>
      <c r="J10" s="95"/>
      <c r="K10" s="95">
        <f>(D10*0.4+D10*0.2)*12</f>
        <v>130.4</v>
      </c>
      <c r="L10" s="95">
        <f t="shared" ref="L10:L25" si="18">F10*$L$4</f>
        <v>118.2</v>
      </c>
      <c r="M10" s="95">
        <f t="shared" si="2"/>
        <v>698.2</v>
      </c>
      <c r="N10" s="111">
        <v>0.47</v>
      </c>
      <c r="O10" s="95">
        <f t="shared" si="3"/>
        <v>328.2</v>
      </c>
      <c r="P10" s="95">
        <f t="shared" si="4"/>
        <v>1026.4000000000001</v>
      </c>
      <c r="Q10" s="95">
        <f t="shared" si="5"/>
        <v>821.1</v>
      </c>
      <c r="R10" s="95">
        <f t="shared" si="6"/>
        <v>821.1</v>
      </c>
      <c r="S10" s="95">
        <f t="shared" si="7"/>
        <v>85.4</v>
      </c>
      <c r="T10" s="95">
        <f t="shared" si="8"/>
        <v>2754</v>
      </c>
      <c r="U10" s="3430"/>
      <c r="V10" s="95">
        <f t="shared" si="9"/>
        <v>2754</v>
      </c>
      <c r="W10" s="95">
        <f>AQ10</f>
        <v>747.6</v>
      </c>
      <c r="X10" s="284"/>
      <c r="Y10" s="112">
        <v>30</v>
      </c>
      <c r="Z10" s="113">
        <f t="shared" si="10"/>
        <v>0</v>
      </c>
      <c r="AA10" s="284"/>
      <c r="AB10" s="112">
        <v>15</v>
      </c>
      <c r="AC10" s="113">
        <f t="shared" si="11"/>
        <v>0</v>
      </c>
      <c r="AD10" s="284"/>
      <c r="AE10" s="112">
        <v>30</v>
      </c>
      <c r="AF10" s="113">
        <f t="shared" si="12"/>
        <v>0</v>
      </c>
      <c r="AG10" s="113">
        <f t="shared" si="13"/>
        <v>0</v>
      </c>
      <c r="AH10" s="113">
        <f t="shared" si="14"/>
        <v>0</v>
      </c>
      <c r="AI10" s="131">
        <f t="shared" si="15"/>
        <v>114750</v>
      </c>
      <c r="AK10" s="114">
        <f t="shared" si="16"/>
        <v>1377</v>
      </c>
      <c r="AL10" s="114">
        <f t="shared" ref="AL10:AL27" si="19">((979*0.302)+((AK10-979)*0.182))</f>
        <v>368.1</v>
      </c>
      <c r="AM10" s="115">
        <f>AL10/AK10</f>
        <v>0.26700000000000002</v>
      </c>
      <c r="AN10" s="50">
        <f>1150*0.22+(AK10-1150)*0.1</f>
        <v>275.7</v>
      </c>
      <c r="AO10" s="50">
        <f>865*0.029</f>
        <v>25.1</v>
      </c>
      <c r="AP10" s="50">
        <f>AK10*0.053</f>
        <v>73</v>
      </c>
      <c r="AQ10" s="50">
        <f>SUM(AN10:AP10)*C10</f>
        <v>747.6</v>
      </c>
      <c r="AS10" s="99">
        <f t="shared" si="17"/>
        <v>27.166499999999999</v>
      </c>
    </row>
    <row r="11" spans="1:45" ht="15.75" customHeight="1" x14ac:dyDescent="0.2">
      <c r="A11" s="284">
        <v>3</v>
      </c>
      <c r="B11" s="261" t="s">
        <v>23</v>
      </c>
      <c r="C11" s="262">
        <v>4</v>
      </c>
      <c r="D11" s="237">
        <v>11.061999999999999</v>
      </c>
      <c r="E11" s="111">
        <f t="shared" si="0"/>
        <v>44.25</v>
      </c>
      <c r="F11" s="95">
        <f t="shared" si="1"/>
        <v>531</v>
      </c>
      <c r="G11" s="95"/>
      <c r="H11" s="95">
        <f>2.757+7.01+7.01+7.789</f>
        <v>24.6</v>
      </c>
      <c r="I11" s="95"/>
      <c r="J11" s="95"/>
      <c r="K11" s="95">
        <f>(D11*0.4*3+D11*0.25)*12</f>
        <v>192.5</v>
      </c>
      <c r="L11" s="95">
        <f t="shared" si="18"/>
        <v>144.5</v>
      </c>
      <c r="M11" s="95">
        <f t="shared" si="2"/>
        <v>892.6</v>
      </c>
      <c r="N11" s="111">
        <v>0.43</v>
      </c>
      <c r="O11" s="95">
        <f t="shared" si="3"/>
        <v>383.8</v>
      </c>
      <c r="P11" s="95">
        <f t="shared" si="4"/>
        <v>1276.4000000000001</v>
      </c>
      <c r="Q11" s="95">
        <f t="shared" si="5"/>
        <v>1021.1</v>
      </c>
      <c r="R11" s="95">
        <f t="shared" si="6"/>
        <v>1021.1</v>
      </c>
      <c r="S11" s="95">
        <f t="shared" si="7"/>
        <v>106.2</v>
      </c>
      <c r="T11" s="95">
        <f t="shared" si="8"/>
        <v>3424.8</v>
      </c>
      <c r="U11" s="3430"/>
      <c r="V11" s="95">
        <f>T11*$U$9</f>
        <v>3424.8</v>
      </c>
      <c r="W11" s="95">
        <f>V11*0.302</f>
        <v>1034.3</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71350</v>
      </c>
      <c r="AK11" s="114">
        <f t="shared" si="16"/>
        <v>856.2</v>
      </c>
      <c r="AL11" s="114">
        <f t="shared" si="19"/>
        <v>273.3</v>
      </c>
      <c r="AM11" s="115">
        <v>0.30199999999999999</v>
      </c>
      <c r="AN11" s="50"/>
      <c r="AO11" s="50"/>
      <c r="AP11" s="50"/>
      <c r="AQ11" s="50"/>
      <c r="AS11" s="99">
        <f t="shared" si="17"/>
        <v>16.593</v>
      </c>
    </row>
    <row r="12" spans="1:45" x14ac:dyDescent="0.2">
      <c r="A12" s="284">
        <v>4</v>
      </c>
      <c r="B12" s="261" t="s">
        <v>47</v>
      </c>
      <c r="C12" s="262">
        <v>1</v>
      </c>
      <c r="D12" s="237">
        <v>6.2859999999999996</v>
      </c>
      <c r="E12" s="111">
        <f t="shared" si="0"/>
        <v>6.29</v>
      </c>
      <c r="F12" s="95">
        <f t="shared" si="1"/>
        <v>75.5</v>
      </c>
      <c r="G12" s="95"/>
      <c r="H12" s="95">
        <f>3064.3/1000</f>
        <v>3.1</v>
      </c>
      <c r="I12" s="95"/>
      <c r="J12" s="95"/>
      <c r="K12" s="95">
        <f>F12*0.25</f>
        <v>18.899999999999999</v>
      </c>
      <c r="L12" s="95">
        <f t="shared" si="18"/>
        <v>20.5</v>
      </c>
      <c r="M12" s="95">
        <f t="shared" si="2"/>
        <v>118</v>
      </c>
      <c r="N12" s="111">
        <v>0.45</v>
      </c>
      <c r="O12" s="95">
        <f t="shared" si="3"/>
        <v>53.1</v>
      </c>
      <c r="P12" s="95">
        <f t="shared" si="4"/>
        <v>171.1</v>
      </c>
      <c r="Q12" s="95">
        <f t="shared" si="5"/>
        <v>136.9</v>
      </c>
      <c r="R12" s="95">
        <f t="shared" si="6"/>
        <v>136.9</v>
      </c>
      <c r="S12" s="95">
        <f t="shared" si="7"/>
        <v>14.2</v>
      </c>
      <c r="T12" s="95">
        <f t="shared" si="8"/>
        <v>459.1</v>
      </c>
      <c r="U12" s="3430"/>
      <c r="V12" s="95">
        <f t="shared" si="9"/>
        <v>459.1</v>
      </c>
      <c r="W12" s="95">
        <f t="shared" ref="W12:W27" si="20">V12*0.302</f>
        <v>138.6</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38258.33</v>
      </c>
      <c r="AK12" s="114">
        <f t="shared" si="16"/>
        <v>459.1</v>
      </c>
      <c r="AL12" s="114">
        <f t="shared" si="19"/>
        <v>201</v>
      </c>
      <c r="AM12" s="115">
        <v>0.30199999999999999</v>
      </c>
      <c r="AO12" s="50"/>
      <c r="AP12" s="50"/>
      <c r="AQ12" s="50"/>
      <c r="AS12" s="99">
        <f t="shared" si="17"/>
        <v>9.4290000000000003</v>
      </c>
    </row>
    <row r="13" spans="1:45" x14ac:dyDescent="0.2">
      <c r="A13" s="284">
        <v>5</v>
      </c>
      <c r="B13" s="236" t="s">
        <v>15</v>
      </c>
      <c r="C13" s="262">
        <v>1</v>
      </c>
      <c r="D13" s="237">
        <v>11.061999999999999</v>
      </c>
      <c r="E13" s="111">
        <f t="shared" si="0"/>
        <v>11.06</v>
      </c>
      <c r="F13" s="95">
        <f t="shared" si="1"/>
        <v>132.69999999999999</v>
      </c>
      <c r="G13" s="95"/>
      <c r="H13" s="95"/>
      <c r="I13" s="95"/>
      <c r="J13" s="95"/>
      <c r="K13" s="95">
        <f>D11*0.25*4.6+D11*0.3*7.4</f>
        <v>37.299999999999997</v>
      </c>
      <c r="L13" s="95">
        <f t="shared" si="18"/>
        <v>36.1</v>
      </c>
      <c r="M13" s="95">
        <f t="shared" si="2"/>
        <v>206.1</v>
      </c>
      <c r="N13" s="111">
        <v>0.43</v>
      </c>
      <c r="O13" s="95">
        <f t="shared" si="3"/>
        <v>88.6</v>
      </c>
      <c r="P13" s="95">
        <f t="shared" si="4"/>
        <v>294.7</v>
      </c>
      <c r="Q13" s="95">
        <f t="shared" si="5"/>
        <v>235.8</v>
      </c>
      <c r="R13" s="95">
        <f t="shared" si="6"/>
        <v>235.8</v>
      </c>
      <c r="S13" s="95">
        <f t="shared" si="7"/>
        <v>24.5</v>
      </c>
      <c r="T13" s="95">
        <f t="shared" si="8"/>
        <v>790.8</v>
      </c>
      <c r="U13" s="3430"/>
      <c r="V13" s="95">
        <f t="shared" si="9"/>
        <v>790.8</v>
      </c>
      <c r="W13" s="95">
        <f t="shared" si="20"/>
        <v>238.8</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65900</v>
      </c>
      <c r="AK13" s="114">
        <f t="shared" si="16"/>
        <v>790.8</v>
      </c>
      <c r="AL13" s="114">
        <f t="shared" si="19"/>
        <v>261.39999999999998</v>
      </c>
      <c r="AM13" s="115">
        <v>0.30199999999999999</v>
      </c>
      <c r="AN13" s="50"/>
      <c r="AO13" s="50"/>
      <c r="AP13" s="50"/>
      <c r="AQ13" s="50"/>
      <c r="AS13" s="99">
        <f t="shared" si="17"/>
        <v>16.593</v>
      </c>
    </row>
    <row r="14" spans="1:45" s="245" customFormat="1" x14ac:dyDescent="0.2">
      <c r="A14" s="284">
        <v>6</v>
      </c>
      <c r="B14" s="261" t="s">
        <v>48</v>
      </c>
      <c r="C14" s="262">
        <v>1</v>
      </c>
      <c r="D14" s="237">
        <v>11.061999999999999</v>
      </c>
      <c r="E14" s="249">
        <f t="shared" si="0"/>
        <v>11.06</v>
      </c>
      <c r="F14" s="248">
        <f t="shared" si="1"/>
        <v>132.69999999999999</v>
      </c>
      <c r="G14" s="248"/>
      <c r="H14" s="248">
        <v>7</v>
      </c>
      <c r="I14" s="248"/>
      <c r="J14" s="248"/>
      <c r="K14" s="248">
        <f>F14*0.4</f>
        <v>53.1</v>
      </c>
      <c r="L14" s="95">
        <f t="shared" si="18"/>
        <v>36.1</v>
      </c>
      <c r="M14" s="248">
        <f t="shared" si="2"/>
        <v>228.9</v>
      </c>
      <c r="N14" s="111">
        <v>0.47</v>
      </c>
      <c r="O14" s="248">
        <f t="shared" si="3"/>
        <v>107.6</v>
      </c>
      <c r="P14" s="248">
        <f t="shared" si="4"/>
        <v>336.5</v>
      </c>
      <c r="Q14" s="248">
        <f t="shared" si="5"/>
        <v>269.2</v>
      </c>
      <c r="R14" s="248">
        <f t="shared" si="6"/>
        <v>269.2</v>
      </c>
      <c r="S14" s="248">
        <f t="shared" si="7"/>
        <v>28</v>
      </c>
      <c r="T14" s="248">
        <f t="shared" si="8"/>
        <v>902.9</v>
      </c>
      <c r="U14" s="3430"/>
      <c r="V14" s="248">
        <f t="shared" si="9"/>
        <v>902.9</v>
      </c>
      <c r="W14" s="95">
        <f>AQ14</f>
        <v>271.60000000000002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75241.67</v>
      </c>
      <c r="AK14" s="114">
        <f t="shared" si="16"/>
        <v>902.9</v>
      </c>
      <c r="AL14" s="114">
        <f t="shared" si="19"/>
        <v>281.8</v>
      </c>
      <c r="AM14" s="115">
        <v>0.30199999999999999</v>
      </c>
      <c r="AN14" s="50">
        <f>AK14*0.22</f>
        <v>198.6</v>
      </c>
      <c r="AO14" s="50">
        <f>865*0.029</f>
        <v>25.1</v>
      </c>
      <c r="AP14" s="50">
        <f>AK14*0.053</f>
        <v>47.9</v>
      </c>
      <c r="AQ14" s="50">
        <f>SUM(AN14:AP14)*C14</f>
        <v>271.60000000000002</v>
      </c>
      <c r="AS14" s="99">
        <f t="shared" si="17"/>
        <v>16.593</v>
      </c>
    </row>
    <row r="15" spans="1:45" x14ac:dyDescent="0.2">
      <c r="A15" s="284">
        <v>7</v>
      </c>
      <c r="B15" s="236" t="s">
        <v>49</v>
      </c>
      <c r="C15" s="259">
        <v>1</v>
      </c>
      <c r="D15" s="237">
        <v>8.4730000000000008</v>
      </c>
      <c r="E15" s="111">
        <f t="shared" si="0"/>
        <v>8.4700000000000006</v>
      </c>
      <c r="F15" s="95">
        <f t="shared" si="1"/>
        <v>101.6</v>
      </c>
      <c r="G15" s="95"/>
      <c r="H15" s="95">
        <v>6</v>
      </c>
      <c r="I15" s="95"/>
      <c r="J15" s="95"/>
      <c r="K15" s="95">
        <f>F15*0.2</f>
        <v>20.3</v>
      </c>
      <c r="L15" s="95">
        <f t="shared" si="18"/>
        <v>27.6</v>
      </c>
      <c r="M15" s="95">
        <f t="shared" si="2"/>
        <v>155.5</v>
      </c>
      <c r="N15" s="111">
        <v>0.41</v>
      </c>
      <c r="O15" s="95">
        <f t="shared" si="3"/>
        <v>63.8</v>
      </c>
      <c r="P15" s="95">
        <f t="shared" si="4"/>
        <v>219.3</v>
      </c>
      <c r="Q15" s="95">
        <f t="shared" si="5"/>
        <v>175.4</v>
      </c>
      <c r="R15" s="95">
        <f t="shared" si="6"/>
        <v>175.4</v>
      </c>
      <c r="S15" s="95">
        <f t="shared" si="7"/>
        <v>18.2</v>
      </c>
      <c r="T15" s="95">
        <f t="shared" si="8"/>
        <v>588.29999999999995</v>
      </c>
      <c r="U15" s="3430"/>
      <c r="V15" s="95">
        <f t="shared" si="9"/>
        <v>588.29999999999995</v>
      </c>
      <c r="W15" s="95">
        <f t="shared" si="20"/>
        <v>177.7</v>
      </c>
      <c r="X15" s="284"/>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49025</v>
      </c>
      <c r="AK15" s="114">
        <f t="shared" si="16"/>
        <v>588.29999999999995</v>
      </c>
      <c r="AL15" s="114">
        <f t="shared" si="19"/>
        <v>224.6</v>
      </c>
      <c r="AM15" s="115">
        <v>0.30199999999999999</v>
      </c>
      <c r="AO15" s="50"/>
      <c r="AP15" s="50"/>
      <c r="AQ15" s="50"/>
      <c r="AS15" s="99">
        <f t="shared" si="17"/>
        <v>12.7095</v>
      </c>
    </row>
    <row r="16" spans="1:45" x14ac:dyDescent="0.2">
      <c r="A16" s="284">
        <v>8</v>
      </c>
      <c r="B16" s="236" t="s">
        <v>59</v>
      </c>
      <c r="C16" s="259">
        <v>1</v>
      </c>
      <c r="D16" s="237">
        <v>8.4730000000000008</v>
      </c>
      <c r="E16" s="111">
        <f t="shared" si="0"/>
        <v>8.4700000000000006</v>
      </c>
      <c r="F16" s="95">
        <f t="shared" si="1"/>
        <v>101.6</v>
      </c>
      <c r="G16" s="95"/>
      <c r="H16" s="95">
        <v>5.4</v>
      </c>
      <c r="I16" s="95"/>
      <c r="J16" s="95"/>
      <c r="K16" s="95">
        <f>F16*0.4</f>
        <v>40.6</v>
      </c>
      <c r="L16" s="95">
        <f t="shared" si="18"/>
        <v>27.6</v>
      </c>
      <c r="M16" s="95">
        <f t="shared" si="2"/>
        <v>175.2</v>
      </c>
      <c r="N16" s="111">
        <v>0.41</v>
      </c>
      <c r="O16" s="95">
        <f t="shared" si="3"/>
        <v>71.8</v>
      </c>
      <c r="P16" s="95">
        <f t="shared" si="4"/>
        <v>247</v>
      </c>
      <c r="Q16" s="95">
        <f t="shared" si="5"/>
        <v>197.6</v>
      </c>
      <c r="R16" s="95">
        <f t="shared" si="6"/>
        <v>197.6</v>
      </c>
      <c r="S16" s="95">
        <f t="shared" si="7"/>
        <v>20.6</v>
      </c>
      <c r="T16" s="95">
        <f t="shared" si="8"/>
        <v>662.8</v>
      </c>
      <c r="U16" s="3430"/>
      <c r="V16" s="95">
        <f t="shared" si="9"/>
        <v>662.8</v>
      </c>
      <c r="W16" s="95">
        <f t="shared" si="20"/>
        <v>200.2</v>
      </c>
      <c r="X16" s="284"/>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55233.33</v>
      </c>
      <c r="AK16" s="114">
        <f t="shared" si="16"/>
        <v>662.8</v>
      </c>
      <c r="AL16" s="114">
        <f t="shared" si="19"/>
        <v>238.1</v>
      </c>
      <c r="AM16" s="115">
        <v>0.30199999999999999</v>
      </c>
      <c r="AN16" s="50"/>
      <c r="AO16" s="50"/>
      <c r="AP16" s="50"/>
      <c r="AQ16" s="50"/>
      <c r="AS16" s="99">
        <f t="shared" si="17"/>
        <v>12.7095</v>
      </c>
    </row>
    <row r="17" spans="1:45" x14ac:dyDescent="0.2">
      <c r="A17" s="284">
        <v>9</v>
      </c>
      <c r="B17" s="261" t="s">
        <v>40</v>
      </c>
      <c r="C17" s="259">
        <v>1</v>
      </c>
      <c r="D17" s="237">
        <v>11.061999999999999</v>
      </c>
      <c r="E17" s="111">
        <f t="shared" si="0"/>
        <v>11.06</v>
      </c>
      <c r="F17" s="95">
        <f t="shared" si="1"/>
        <v>132.69999999999999</v>
      </c>
      <c r="G17" s="95"/>
      <c r="H17" s="95">
        <f>5392.4/1000</f>
        <v>5.4</v>
      </c>
      <c r="I17" s="95"/>
      <c r="J17" s="95"/>
      <c r="K17" s="95"/>
      <c r="L17" s="95">
        <f t="shared" si="18"/>
        <v>36.1</v>
      </c>
      <c r="M17" s="95">
        <f t="shared" si="2"/>
        <v>174.2</v>
      </c>
      <c r="N17" s="111">
        <v>0.43</v>
      </c>
      <c r="O17" s="95">
        <f t="shared" si="3"/>
        <v>74.900000000000006</v>
      </c>
      <c r="P17" s="95">
        <f t="shared" si="4"/>
        <v>249.1</v>
      </c>
      <c r="Q17" s="95">
        <f t="shared" si="5"/>
        <v>199.3</v>
      </c>
      <c r="R17" s="95">
        <f t="shared" si="6"/>
        <v>199.3</v>
      </c>
      <c r="S17" s="95">
        <f t="shared" si="7"/>
        <v>20.7</v>
      </c>
      <c r="T17" s="95">
        <f t="shared" si="8"/>
        <v>668.4</v>
      </c>
      <c r="U17" s="3430"/>
      <c r="V17" s="95">
        <f t="shared" si="9"/>
        <v>668.4</v>
      </c>
      <c r="W17" s="95">
        <f t="shared" si="20"/>
        <v>201.9</v>
      </c>
      <c r="X17" s="284"/>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55700</v>
      </c>
      <c r="AK17" s="114">
        <f t="shared" si="16"/>
        <v>668.4</v>
      </c>
      <c r="AL17" s="114">
        <f t="shared" si="19"/>
        <v>239.1</v>
      </c>
      <c r="AM17" s="115">
        <v>0.30199999999999999</v>
      </c>
      <c r="AN17" s="50"/>
      <c r="AO17" s="50"/>
      <c r="AP17" s="50"/>
      <c r="AQ17" s="50"/>
      <c r="AS17" s="99">
        <f t="shared" si="17"/>
        <v>16.593</v>
      </c>
    </row>
    <row r="18" spans="1:45" x14ac:dyDescent="0.2">
      <c r="A18" s="284">
        <v>10</v>
      </c>
      <c r="B18" s="261" t="s">
        <v>29</v>
      </c>
      <c r="C18" s="259">
        <v>2</v>
      </c>
      <c r="D18" s="237">
        <v>8.4730000000000008</v>
      </c>
      <c r="E18" s="111">
        <f t="shared" si="0"/>
        <v>16.95</v>
      </c>
      <c r="F18" s="95">
        <f t="shared" si="1"/>
        <v>203.4</v>
      </c>
      <c r="G18" s="95"/>
      <c r="H18" s="95">
        <f>2065.2/1000</f>
        <v>2.1</v>
      </c>
      <c r="I18" s="95"/>
      <c r="J18" s="95"/>
      <c r="K18" s="95">
        <f>(D18*0.25+D18*0.3)*12</f>
        <v>55.9</v>
      </c>
      <c r="L18" s="95">
        <f t="shared" si="18"/>
        <v>55.3</v>
      </c>
      <c r="M18" s="95">
        <f t="shared" si="2"/>
        <v>316.7</v>
      </c>
      <c r="N18" s="111">
        <v>0.41</v>
      </c>
      <c r="O18" s="95">
        <f t="shared" si="3"/>
        <v>129.80000000000001</v>
      </c>
      <c r="P18" s="95">
        <f t="shared" si="4"/>
        <v>446.5</v>
      </c>
      <c r="Q18" s="95">
        <f t="shared" si="5"/>
        <v>357.2</v>
      </c>
      <c r="R18" s="95">
        <f t="shared" si="6"/>
        <v>357.2</v>
      </c>
      <c r="S18" s="95">
        <f t="shared" si="7"/>
        <v>37.1</v>
      </c>
      <c r="T18" s="95">
        <f t="shared" si="8"/>
        <v>1198</v>
      </c>
      <c r="U18" s="3430"/>
      <c r="V18" s="95">
        <f t="shared" si="9"/>
        <v>1198</v>
      </c>
      <c r="W18" s="95">
        <f t="shared" si="20"/>
        <v>361.8</v>
      </c>
      <c r="X18" s="284"/>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49916.67</v>
      </c>
      <c r="AK18" s="114">
        <f t="shared" si="16"/>
        <v>599</v>
      </c>
      <c r="AL18" s="114">
        <f t="shared" si="19"/>
        <v>226.5</v>
      </c>
      <c r="AM18" s="115">
        <v>0.30199999999999999</v>
      </c>
      <c r="AN18" s="263"/>
      <c r="AO18" s="263"/>
      <c r="AP18" s="263"/>
      <c r="AS18" s="99">
        <f t="shared" si="17"/>
        <v>12.7095</v>
      </c>
    </row>
    <row r="19" spans="1:45" x14ac:dyDescent="0.2">
      <c r="A19" s="284">
        <v>11</v>
      </c>
      <c r="B19" s="261" t="s">
        <v>58</v>
      </c>
      <c r="C19" s="259">
        <v>1</v>
      </c>
      <c r="D19" s="237">
        <v>11.061999999999999</v>
      </c>
      <c r="E19" s="111">
        <f t="shared" si="0"/>
        <v>11.06</v>
      </c>
      <c r="F19" s="95">
        <f t="shared" si="1"/>
        <v>132.69999999999999</v>
      </c>
      <c r="G19" s="95"/>
      <c r="H19" s="95">
        <f>5392.4/1000</f>
        <v>5.4</v>
      </c>
      <c r="I19" s="95"/>
      <c r="J19" s="95"/>
      <c r="K19" s="95">
        <f>F19*0.4</f>
        <v>53.1</v>
      </c>
      <c r="L19" s="95">
        <f t="shared" si="18"/>
        <v>36.1</v>
      </c>
      <c r="M19" s="95">
        <f t="shared" si="2"/>
        <v>227.3</v>
      </c>
      <c r="N19" s="111">
        <v>0.43</v>
      </c>
      <c r="O19" s="95">
        <f t="shared" si="3"/>
        <v>97.7</v>
      </c>
      <c r="P19" s="95">
        <f t="shared" si="4"/>
        <v>325</v>
      </c>
      <c r="Q19" s="95">
        <f t="shared" si="5"/>
        <v>260</v>
      </c>
      <c r="R19" s="95">
        <f t="shared" si="6"/>
        <v>260</v>
      </c>
      <c r="S19" s="95">
        <f t="shared" si="7"/>
        <v>27</v>
      </c>
      <c r="T19" s="95">
        <f t="shared" si="8"/>
        <v>872</v>
      </c>
      <c r="U19" s="3430"/>
      <c r="V19" s="95">
        <f t="shared" si="9"/>
        <v>872</v>
      </c>
      <c r="W19" s="95">
        <f t="shared" si="20"/>
        <v>263.3</v>
      </c>
      <c r="X19" s="284"/>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72666.67</v>
      </c>
      <c r="AK19" s="114">
        <f t="shared" si="16"/>
        <v>872</v>
      </c>
      <c r="AL19" s="114">
        <f t="shared" si="19"/>
        <v>276.2</v>
      </c>
      <c r="AM19" s="115">
        <v>0.30199999999999999</v>
      </c>
      <c r="AN19" s="50"/>
      <c r="AO19" s="50"/>
      <c r="AP19" s="50"/>
      <c r="AQ19" s="50"/>
      <c r="AS19" s="99">
        <f t="shared" si="17"/>
        <v>16.593</v>
      </c>
    </row>
    <row r="20" spans="1:45" x14ac:dyDescent="0.2">
      <c r="A20" s="284">
        <v>12</v>
      </c>
      <c r="B20" s="236" t="s">
        <v>42</v>
      </c>
      <c r="C20" s="259">
        <v>1</v>
      </c>
      <c r="D20" s="237">
        <v>11.061999999999999</v>
      </c>
      <c r="E20" s="111">
        <f t="shared" si="0"/>
        <v>11.06</v>
      </c>
      <c r="F20" s="95">
        <f t="shared" si="1"/>
        <v>132.69999999999999</v>
      </c>
      <c r="G20" s="95"/>
      <c r="H20" s="95">
        <v>7.8</v>
      </c>
      <c r="I20" s="95"/>
      <c r="J20" s="95"/>
      <c r="K20" s="95">
        <f>F20*0.2</f>
        <v>26.5</v>
      </c>
      <c r="L20" s="95">
        <f t="shared" si="18"/>
        <v>36.1</v>
      </c>
      <c r="M20" s="95">
        <f t="shared" si="2"/>
        <v>203.1</v>
      </c>
      <c r="N20" s="111">
        <v>0.43</v>
      </c>
      <c r="O20" s="95">
        <f t="shared" si="3"/>
        <v>87.3</v>
      </c>
      <c r="P20" s="95">
        <f t="shared" si="4"/>
        <v>290.39999999999998</v>
      </c>
      <c r="Q20" s="95">
        <f t="shared" si="5"/>
        <v>232.3</v>
      </c>
      <c r="R20" s="95">
        <f t="shared" si="6"/>
        <v>232.3</v>
      </c>
      <c r="S20" s="95">
        <f t="shared" si="7"/>
        <v>24.2</v>
      </c>
      <c r="T20" s="95">
        <f t="shared" si="8"/>
        <v>779.2</v>
      </c>
      <c r="U20" s="3430"/>
      <c r="V20" s="95">
        <f t="shared" si="9"/>
        <v>779.2</v>
      </c>
      <c r="W20" s="95">
        <f t="shared" si="20"/>
        <v>235.3</v>
      </c>
      <c r="X20" s="284"/>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64933.33</v>
      </c>
      <c r="AK20" s="114">
        <f t="shared" si="16"/>
        <v>779.2</v>
      </c>
      <c r="AL20" s="114">
        <f t="shared" si="19"/>
        <v>259.3</v>
      </c>
      <c r="AM20" s="115">
        <v>0.30199999999999999</v>
      </c>
      <c r="AN20" s="50"/>
      <c r="AO20" s="50"/>
      <c r="AP20" s="50"/>
      <c r="AQ20" s="50"/>
      <c r="AS20" s="99">
        <f t="shared" si="17"/>
        <v>16.593</v>
      </c>
    </row>
    <row r="21" spans="1:45" s="22" customFormat="1" ht="25.5" x14ac:dyDescent="0.2">
      <c r="A21" s="284">
        <v>13</v>
      </c>
      <c r="B21" s="52" t="s">
        <v>132</v>
      </c>
      <c r="C21" s="167">
        <v>1</v>
      </c>
      <c r="D21" s="177">
        <v>8.4730000000000008</v>
      </c>
      <c r="E21" s="171">
        <f t="shared" si="0"/>
        <v>8.4700000000000006</v>
      </c>
      <c r="F21" s="154">
        <f>E21*12</f>
        <v>101.6</v>
      </c>
      <c r="G21" s="154"/>
      <c r="H21" s="154">
        <f>4130.4/1000</f>
        <v>4.0999999999999996</v>
      </c>
      <c r="I21" s="154"/>
      <c r="J21" s="154"/>
      <c r="K21" s="154"/>
      <c r="L21" s="154">
        <f t="shared" si="18"/>
        <v>27.6</v>
      </c>
      <c r="M21" s="154">
        <f t="shared" si="2"/>
        <v>133.30000000000001</v>
      </c>
      <c r="N21" s="171">
        <v>0.47</v>
      </c>
      <c r="O21" s="154">
        <f t="shared" si="3"/>
        <v>62.7</v>
      </c>
      <c r="P21" s="154">
        <f t="shared" si="4"/>
        <v>196</v>
      </c>
      <c r="Q21" s="154">
        <f t="shared" si="5"/>
        <v>156.80000000000001</v>
      </c>
      <c r="R21" s="154">
        <f t="shared" si="6"/>
        <v>156.80000000000001</v>
      </c>
      <c r="S21" s="154">
        <f t="shared" si="7"/>
        <v>16.3</v>
      </c>
      <c r="T21" s="154">
        <f t="shared" si="8"/>
        <v>525.9</v>
      </c>
      <c r="U21" s="3430"/>
      <c r="V21" s="154">
        <f>T21*$U$9</f>
        <v>525.9</v>
      </c>
      <c r="W21" s="95">
        <f t="shared" si="20"/>
        <v>158.80000000000001</v>
      </c>
      <c r="X21" s="278"/>
      <c r="Y21" s="24">
        <v>30</v>
      </c>
      <c r="Z21" s="48">
        <f t="shared" si="10"/>
        <v>0</v>
      </c>
      <c r="AA21" s="54"/>
      <c r="AB21" s="24">
        <v>15</v>
      </c>
      <c r="AC21" s="48">
        <f t="shared" si="11"/>
        <v>0</v>
      </c>
      <c r="AD21" s="54"/>
      <c r="AE21" s="24">
        <v>30</v>
      </c>
      <c r="AF21" s="48">
        <f t="shared" si="12"/>
        <v>0</v>
      </c>
      <c r="AG21" s="48">
        <f t="shared" si="13"/>
        <v>0</v>
      </c>
      <c r="AH21" s="48">
        <f t="shared" si="14"/>
        <v>0</v>
      </c>
      <c r="AI21" s="39">
        <f t="shared" si="15"/>
        <v>43825</v>
      </c>
      <c r="AK21" s="34">
        <f t="shared" si="16"/>
        <v>525.9</v>
      </c>
      <c r="AL21" s="34">
        <f t="shared" si="19"/>
        <v>213.2</v>
      </c>
      <c r="AM21" s="51">
        <v>0.30199999999999999</v>
      </c>
      <c r="AN21" s="211"/>
      <c r="AO21" s="211"/>
      <c r="AP21" s="211"/>
      <c r="AQ21" s="211"/>
      <c r="AS21" s="22">
        <f t="shared" si="17"/>
        <v>12.7095</v>
      </c>
    </row>
    <row r="22" spans="1:45" x14ac:dyDescent="0.2">
      <c r="A22" s="284">
        <v>14</v>
      </c>
      <c r="B22" s="261" t="s">
        <v>44</v>
      </c>
      <c r="C22" s="259">
        <v>1</v>
      </c>
      <c r="D22" s="237">
        <v>11.061999999999999</v>
      </c>
      <c r="E22" s="111">
        <f t="shared" si="0"/>
        <v>11.06</v>
      </c>
      <c r="F22" s="95">
        <f t="shared" si="1"/>
        <v>132.69999999999999</v>
      </c>
      <c r="G22" s="95"/>
      <c r="H22" s="95">
        <v>7</v>
      </c>
      <c r="I22" s="95"/>
      <c r="J22" s="95"/>
      <c r="K22" s="95">
        <f>F22*0.4</f>
        <v>53.1</v>
      </c>
      <c r="L22" s="95">
        <f t="shared" si="18"/>
        <v>36.1</v>
      </c>
      <c r="M22" s="95">
        <f t="shared" si="2"/>
        <v>228.9</v>
      </c>
      <c r="N22" s="111">
        <v>0.43</v>
      </c>
      <c r="O22" s="95">
        <f t="shared" si="3"/>
        <v>98.4</v>
      </c>
      <c r="P22" s="95">
        <f t="shared" si="4"/>
        <v>327.3</v>
      </c>
      <c r="Q22" s="95">
        <f t="shared" si="5"/>
        <v>261.8</v>
      </c>
      <c r="R22" s="95">
        <f t="shared" si="6"/>
        <v>261.8</v>
      </c>
      <c r="S22" s="95">
        <f t="shared" si="7"/>
        <v>27.2</v>
      </c>
      <c r="T22" s="95">
        <f t="shared" si="8"/>
        <v>878.1</v>
      </c>
      <c r="U22" s="3430"/>
      <c r="V22" s="95">
        <f t="shared" si="9"/>
        <v>878.1</v>
      </c>
      <c r="W22" s="95">
        <f t="shared" si="20"/>
        <v>265.2</v>
      </c>
      <c r="X22" s="284">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73175</v>
      </c>
      <c r="AK22" s="114">
        <f t="shared" si="16"/>
        <v>878.1</v>
      </c>
      <c r="AL22" s="114">
        <f t="shared" si="19"/>
        <v>277.3</v>
      </c>
      <c r="AM22" s="115">
        <v>0.30199999999999999</v>
      </c>
      <c r="AN22" s="50"/>
      <c r="AO22" s="50"/>
      <c r="AP22" s="50"/>
      <c r="AQ22" s="50"/>
      <c r="AS22" s="99">
        <f t="shared" si="17"/>
        <v>16.593</v>
      </c>
    </row>
    <row r="23" spans="1:45" x14ac:dyDescent="0.2">
      <c r="A23" s="284">
        <v>15</v>
      </c>
      <c r="B23" s="236" t="s">
        <v>33</v>
      </c>
      <c r="C23" s="174">
        <v>1</v>
      </c>
      <c r="D23" s="237">
        <v>8.4730000000000008</v>
      </c>
      <c r="E23" s="111">
        <f t="shared" si="0"/>
        <v>8.4700000000000006</v>
      </c>
      <c r="F23" s="95">
        <f t="shared" si="1"/>
        <v>101.6</v>
      </c>
      <c r="G23" s="95">
        <f>4015.6/1000</f>
        <v>4</v>
      </c>
      <c r="H23" s="95">
        <f>5782.5/1000</f>
        <v>5.8</v>
      </c>
      <c r="I23" s="95"/>
      <c r="J23" s="95"/>
      <c r="K23" s="95">
        <f>D23*0.2*7.6+D23*0.25*4.4</f>
        <v>22.2</v>
      </c>
      <c r="L23" s="95">
        <f t="shared" si="18"/>
        <v>27.6</v>
      </c>
      <c r="M23" s="95">
        <f t="shared" si="2"/>
        <v>161.19999999999999</v>
      </c>
      <c r="N23" s="111">
        <v>0.41</v>
      </c>
      <c r="O23" s="95">
        <f t="shared" si="3"/>
        <v>66.099999999999994</v>
      </c>
      <c r="P23" s="95">
        <f t="shared" si="4"/>
        <v>227.3</v>
      </c>
      <c r="Q23" s="95">
        <f t="shared" si="5"/>
        <v>181.8</v>
      </c>
      <c r="R23" s="95">
        <f t="shared" si="6"/>
        <v>181.8</v>
      </c>
      <c r="S23" s="95">
        <f t="shared" si="7"/>
        <v>18.899999999999999</v>
      </c>
      <c r="T23" s="95">
        <f t="shared" si="8"/>
        <v>609.79999999999995</v>
      </c>
      <c r="U23" s="3430"/>
      <c r="V23" s="95">
        <f t="shared" si="9"/>
        <v>609.79999999999995</v>
      </c>
      <c r="W23" s="95">
        <f t="shared" si="20"/>
        <v>184.2</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50816.67</v>
      </c>
      <c r="AK23" s="114">
        <f t="shared" si="16"/>
        <v>609.79999999999995</v>
      </c>
      <c r="AL23" s="114">
        <f t="shared" si="19"/>
        <v>228.5</v>
      </c>
      <c r="AM23" s="115">
        <v>0.30199999999999999</v>
      </c>
      <c r="AN23" s="263"/>
      <c r="AO23" s="263"/>
      <c r="AP23" s="263"/>
      <c r="AS23" s="99">
        <f t="shared" si="17"/>
        <v>12.7095</v>
      </c>
    </row>
    <row r="24" spans="1:45" ht="25.5" x14ac:dyDescent="0.2">
      <c r="A24" s="284">
        <v>16</v>
      </c>
      <c r="B24" s="236" t="s">
        <v>102</v>
      </c>
      <c r="C24" s="174">
        <v>0.5</v>
      </c>
      <c r="D24" s="237">
        <v>4.3769999999999998</v>
      </c>
      <c r="E24" s="111">
        <f t="shared" si="0"/>
        <v>2.19</v>
      </c>
      <c r="F24" s="95">
        <f t="shared" si="1"/>
        <v>26.3</v>
      </c>
      <c r="G24" s="95"/>
      <c r="H24" s="95"/>
      <c r="I24" s="95"/>
      <c r="J24" s="95"/>
      <c r="K24" s="95"/>
      <c r="L24" s="95">
        <f t="shared" si="18"/>
        <v>7.2</v>
      </c>
      <c r="M24" s="95">
        <f t="shared" si="2"/>
        <v>33.5</v>
      </c>
      <c r="N24" s="111">
        <v>0.49</v>
      </c>
      <c r="O24" s="95">
        <f t="shared" si="3"/>
        <v>16.399999999999999</v>
      </c>
      <c r="P24" s="95">
        <f t="shared" si="4"/>
        <v>49.9</v>
      </c>
      <c r="Q24" s="95">
        <f t="shared" si="5"/>
        <v>39.9</v>
      </c>
      <c r="R24" s="95">
        <f t="shared" si="6"/>
        <v>39.9</v>
      </c>
      <c r="S24" s="95">
        <f t="shared" si="7"/>
        <v>4.2</v>
      </c>
      <c r="T24" s="95">
        <f t="shared" si="8"/>
        <v>133.9</v>
      </c>
      <c r="U24" s="3430"/>
      <c r="V24" s="95">
        <f t="shared" si="9"/>
        <v>133.9</v>
      </c>
      <c r="W24" s="95">
        <f t="shared" si="20"/>
        <v>40.4</v>
      </c>
      <c r="X24" s="238"/>
      <c r="Y24" s="240"/>
      <c r="Z24" s="241"/>
      <c r="AA24" s="238"/>
      <c r="AB24" s="240"/>
      <c r="AC24" s="241"/>
      <c r="AD24" s="238"/>
      <c r="AE24" s="240"/>
      <c r="AF24" s="241"/>
      <c r="AG24" s="241"/>
      <c r="AH24" s="241"/>
      <c r="AI24" s="131"/>
      <c r="AK24" s="114"/>
      <c r="AL24" s="114"/>
      <c r="AM24" s="115"/>
      <c r="AN24" s="263"/>
      <c r="AO24" s="263"/>
      <c r="AP24" s="263"/>
      <c r="AS24" s="99">
        <f t="shared" si="17"/>
        <v>6.5655000000000001</v>
      </c>
    </row>
    <row r="25" spans="1:45" x14ac:dyDescent="0.2">
      <c r="A25" s="284">
        <v>17</v>
      </c>
      <c r="B25" s="236" t="s">
        <v>136</v>
      </c>
      <c r="C25" s="174">
        <v>0.5</v>
      </c>
      <c r="D25" s="237">
        <v>4.3769999999999998</v>
      </c>
      <c r="E25" s="111">
        <f t="shared" si="0"/>
        <v>2.19</v>
      </c>
      <c r="F25" s="95">
        <f t="shared" si="1"/>
        <v>26.3</v>
      </c>
      <c r="G25" s="95"/>
      <c r="H25" s="95"/>
      <c r="I25" s="95"/>
      <c r="J25" s="95"/>
      <c r="K25" s="95"/>
      <c r="L25" s="95">
        <f t="shared" si="18"/>
        <v>7.2</v>
      </c>
      <c r="M25" s="95">
        <f t="shared" si="2"/>
        <v>33.5</v>
      </c>
      <c r="N25" s="111">
        <v>0.49</v>
      </c>
      <c r="O25" s="95">
        <f t="shared" si="3"/>
        <v>16.399999999999999</v>
      </c>
      <c r="P25" s="95">
        <f t="shared" si="4"/>
        <v>49.9</v>
      </c>
      <c r="Q25" s="95">
        <f t="shared" si="5"/>
        <v>39.9</v>
      </c>
      <c r="R25" s="95">
        <f t="shared" si="6"/>
        <v>39.9</v>
      </c>
      <c r="S25" s="95">
        <f t="shared" si="7"/>
        <v>4.2</v>
      </c>
      <c r="T25" s="95">
        <f t="shared" si="8"/>
        <v>133.9</v>
      </c>
      <c r="U25" s="3430"/>
      <c r="V25" s="95">
        <f t="shared" si="9"/>
        <v>133.9</v>
      </c>
      <c r="W25" s="95">
        <f t="shared" si="20"/>
        <v>40.4</v>
      </c>
      <c r="X25" s="238"/>
      <c r="Y25" s="240"/>
      <c r="Z25" s="241"/>
      <c r="AA25" s="238"/>
      <c r="AB25" s="240"/>
      <c r="AC25" s="241"/>
      <c r="AD25" s="238"/>
      <c r="AE25" s="240"/>
      <c r="AF25" s="241"/>
      <c r="AG25" s="241"/>
      <c r="AH25" s="241"/>
      <c r="AI25" s="131"/>
      <c r="AK25" s="114"/>
      <c r="AL25" s="114"/>
      <c r="AM25" s="115"/>
      <c r="AN25" s="263"/>
      <c r="AO25" s="263"/>
      <c r="AP25" s="263"/>
      <c r="AS25" s="99">
        <f t="shared" si="17"/>
        <v>6.5655000000000001</v>
      </c>
    </row>
    <row r="26" spans="1:45" s="245" customFormat="1" x14ac:dyDescent="0.2">
      <c r="A26" s="284">
        <v>18</v>
      </c>
      <c r="B26" s="236" t="s">
        <v>60</v>
      </c>
      <c r="C26" s="262">
        <v>2</v>
      </c>
      <c r="D26" s="247">
        <v>4.3769999999999998</v>
      </c>
      <c r="E26" s="249">
        <f t="shared" si="0"/>
        <v>8.75</v>
      </c>
      <c r="F26" s="248">
        <f t="shared" si="1"/>
        <v>105</v>
      </c>
      <c r="G26" s="248">
        <f>12446.4/1000</f>
        <v>12.4</v>
      </c>
      <c r="H26" s="248">
        <f>5974.3/1000</f>
        <v>6</v>
      </c>
      <c r="I26" s="248"/>
      <c r="J26" s="248"/>
      <c r="K26" s="248"/>
      <c r="L26" s="95">
        <v>59</v>
      </c>
      <c r="M26" s="248">
        <f t="shared" si="2"/>
        <v>182.4</v>
      </c>
      <c r="N26" s="111">
        <v>0.49</v>
      </c>
      <c r="O26" s="248">
        <f t="shared" si="3"/>
        <v>89.4</v>
      </c>
      <c r="P26" s="248">
        <f t="shared" si="4"/>
        <v>271.8</v>
      </c>
      <c r="Q26" s="248">
        <f t="shared" si="5"/>
        <v>217.4</v>
      </c>
      <c r="R26" s="248">
        <f t="shared" si="6"/>
        <v>217.4</v>
      </c>
      <c r="S26" s="248">
        <f t="shared" si="7"/>
        <v>22.6</v>
      </c>
      <c r="T26" s="248">
        <f t="shared" si="8"/>
        <v>729.2</v>
      </c>
      <c r="U26" s="3430"/>
      <c r="V26" s="248">
        <f t="shared" si="9"/>
        <v>729.2</v>
      </c>
      <c r="W26" s="95">
        <f t="shared" si="20"/>
        <v>220.2</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30383.33</v>
      </c>
      <c r="AK26" s="114">
        <f>V26/C26</f>
        <v>364.6</v>
      </c>
      <c r="AL26" s="114">
        <f t="shared" si="19"/>
        <v>183.8</v>
      </c>
      <c r="AM26" s="115">
        <v>0.30199999999999999</v>
      </c>
      <c r="AN26" s="211"/>
      <c r="AO26" s="211"/>
      <c r="AP26" s="211"/>
      <c r="AQ26" s="211"/>
      <c r="AS26" s="99">
        <f t="shared" si="17"/>
        <v>6.5655000000000001</v>
      </c>
    </row>
    <row r="27" spans="1:45" x14ac:dyDescent="0.2">
      <c r="A27" s="284">
        <v>19</v>
      </c>
      <c r="B27" s="261" t="s">
        <v>94</v>
      </c>
      <c r="C27" s="264">
        <v>2</v>
      </c>
      <c r="D27" s="237">
        <v>4.3769999999999998</v>
      </c>
      <c r="E27" s="111">
        <f t="shared" si="0"/>
        <v>8.75</v>
      </c>
      <c r="F27" s="95">
        <f t="shared" si="1"/>
        <v>105</v>
      </c>
      <c r="G27" s="95">
        <f>2074.4/1000</f>
        <v>2.1</v>
      </c>
      <c r="H27" s="95">
        <f>5.974</f>
        <v>6</v>
      </c>
      <c r="I27" s="95"/>
      <c r="J27" s="95"/>
      <c r="K27" s="95"/>
      <c r="L27" s="95">
        <v>70.8</v>
      </c>
      <c r="M27" s="95">
        <f t="shared" si="2"/>
        <v>183.9</v>
      </c>
      <c r="N27" s="111">
        <v>0.47</v>
      </c>
      <c r="O27" s="95">
        <f t="shared" si="3"/>
        <v>86.4</v>
      </c>
      <c r="P27" s="95">
        <f t="shared" si="4"/>
        <v>270.3</v>
      </c>
      <c r="Q27" s="95">
        <f t="shared" si="5"/>
        <v>216.2</v>
      </c>
      <c r="R27" s="95">
        <f t="shared" si="6"/>
        <v>216.2</v>
      </c>
      <c r="S27" s="95">
        <f t="shared" si="7"/>
        <v>22.5</v>
      </c>
      <c r="T27" s="95">
        <f t="shared" si="8"/>
        <v>725.2</v>
      </c>
      <c r="U27" s="3430"/>
      <c r="V27" s="95">
        <f>T27*$U$9+0.1</f>
        <v>725.3</v>
      </c>
      <c r="W27" s="95">
        <f t="shared" si="20"/>
        <v>219</v>
      </c>
      <c r="X27" s="284">
        <v>1</v>
      </c>
      <c r="Y27" s="112">
        <v>30</v>
      </c>
      <c r="Z27" s="113">
        <f t="shared" si="10"/>
        <v>30</v>
      </c>
      <c r="AA27" s="284"/>
      <c r="AB27" s="112">
        <v>15</v>
      </c>
      <c r="AC27" s="113">
        <f t="shared" si="11"/>
        <v>0</v>
      </c>
      <c r="AD27" s="284"/>
      <c r="AE27" s="112">
        <v>30</v>
      </c>
      <c r="AF27" s="113">
        <f t="shared" si="12"/>
        <v>0</v>
      </c>
      <c r="AG27" s="113">
        <f t="shared" si="13"/>
        <v>9</v>
      </c>
      <c r="AH27" s="113">
        <f t="shared" si="14"/>
        <v>39</v>
      </c>
      <c r="AI27" s="131">
        <f>V27/12/C27*1000</f>
        <v>30220.83</v>
      </c>
      <c r="AK27" s="114">
        <f>V27/C27</f>
        <v>362.7</v>
      </c>
      <c r="AL27" s="114">
        <f t="shared" si="19"/>
        <v>183.5</v>
      </c>
      <c r="AM27" s="115">
        <v>0.30199999999999999</v>
      </c>
      <c r="AS27" s="99">
        <f t="shared" si="17"/>
        <v>6.5655000000000001</v>
      </c>
    </row>
    <row r="28" spans="1:45" s="98" customFormat="1" ht="20.25" customHeight="1" x14ac:dyDescent="0.2">
      <c r="A28" s="3431" t="s">
        <v>8</v>
      </c>
      <c r="B28" s="3431"/>
      <c r="C28" s="265">
        <f>SUM(C9:C27)</f>
        <v>25</v>
      </c>
      <c r="D28" s="266">
        <f t="shared" ref="D28:T28" si="21">SUM(D9:D27)</f>
        <v>187.6</v>
      </c>
      <c r="E28" s="266">
        <f t="shared" si="21"/>
        <v>251.7</v>
      </c>
      <c r="F28" s="266">
        <f t="shared" si="21"/>
        <v>3020.1</v>
      </c>
      <c r="G28" s="266">
        <f t="shared" si="21"/>
        <v>18.5</v>
      </c>
      <c r="H28" s="266">
        <f t="shared" si="21"/>
        <v>110.7</v>
      </c>
      <c r="I28" s="266">
        <f t="shared" si="21"/>
        <v>0</v>
      </c>
      <c r="J28" s="266">
        <f t="shared" si="21"/>
        <v>0</v>
      </c>
      <c r="K28" s="266">
        <f t="shared" si="21"/>
        <v>703.9</v>
      </c>
      <c r="L28" s="266">
        <f t="shared" si="21"/>
        <v>894.2</v>
      </c>
      <c r="M28" s="266">
        <f t="shared" si="21"/>
        <v>4747.3999999999996</v>
      </c>
      <c r="N28" s="266">
        <f t="shared" si="21"/>
        <v>8.5</v>
      </c>
      <c r="O28" s="266">
        <f t="shared" si="21"/>
        <v>2108</v>
      </c>
      <c r="P28" s="266">
        <f t="shared" si="21"/>
        <v>6855.4</v>
      </c>
      <c r="Q28" s="266">
        <f t="shared" si="21"/>
        <v>5484.1</v>
      </c>
      <c r="R28" s="266">
        <f t="shared" si="21"/>
        <v>5484.1</v>
      </c>
      <c r="S28" s="266">
        <f t="shared" si="21"/>
        <v>570.29999999999995</v>
      </c>
      <c r="T28" s="266">
        <f t="shared" si="21"/>
        <v>18393.900000000001</v>
      </c>
      <c r="U28" s="266"/>
      <c r="V28" s="266">
        <f t="shared" ref="V28:AH28" si="22">SUM(V9:V27)</f>
        <v>18394</v>
      </c>
      <c r="W28" s="266">
        <f>SUM(W9:W27)</f>
        <v>5400.8</v>
      </c>
      <c r="X28" s="266">
        <f t="shared" si="22"/>
        <v>8</v>
      </c>
      <c r="Y28" s="266">
        <f t="shared" si="22"/>
        <v>510</v>
      </c>
      <c r="Z28" s="266">
        <f t="shared" si="22"/>
        <v>240</v>
      </c>
      <c r="AA28" s="266">
        <f t="shared" si="22"/>
        <v>1</v>
      </c>
      <c r="AB28" s="266">
        <f t="shared" si="22"/>
        <v>255</v>
      </c>
      <c r="AC28" s="266">
        <f t="shared" si="22"/>
        <v>15</v>
      </c>
      <c r="AD28" s="266">
        <f t="shared" si="22"/>
        <v>3</v>
      </c>
      <c r="AE28" s="266">
        <f t="shared" si="22"/>
        <v>510</v>
      </c>
      <c r="AF28" s="266">
        <f t="shared" si="22"/>
        <v>90</v>
      </c>
      <c r="AG28" s="266">
        <f t="shared" si="22"/>
        <v>103.5</v>
      </c>
      <c r="AH28" s="266">
        <f t="shared" si="22"/>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66"/>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x14ac:dyDescent="0.2">
      <c r="A30" s="70"/>
      <c r="B30" s="70"/>
      <c r="C30" s="71"/>
      <c r="D30" s="271"/>
      <c r="E30" s="72"/>
      <c r="F30" s="72"/>
      <c r="G30" s="72"/>
      <c r="H30" s="73"/>
      <c r="I30" s="73"/>
      <c r="J30" s="27"/>
      <c r="K30" s="27"/>
      <c r="L30" s="27"/>
      <c r="M30" s="27"/>
      <c r="N30" s="74"/>
      <c r="O30" s="27"/>
      <c r="P30" s="27"/>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ht="58.5" customHeight="1" x14ac:dyDescent="0.2">
      <c r="A31" s="70"/>
      <c r="B31" s="70"/>
      <c r="C31" s="71"/>
      <c r="D31" s="77"/>
      <c r="E31" s="77"/>
      <c r="F31" s="27"/>
      <c r="G31" s="3191" t="s">
        <v>140</v>
      </c>
      <c r="H31" s="3191"/>
      <c r="I31" s="3191" t="s">
        <v>145</v>
      </c>
      <c r="J31" s="3191"/>
      <c r="K31" s="3191" t="s">
        <v>128</v>
      </c>
      <c r="L31" s="3191"/>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9">
        <v>991</v>
      </c>
      <c r="H32" s="279">
        <v>992</v>
      </c>
      <c r="I32" s="279">
        <v>991</v>
      </c>
      <c r="J32" s="279">
        <v>992</v>
      </c>
      <c r="K32" s="279">
        <v>991</v>
      </c>
      <c r="L32" s="279">
        <v>992</v>
      </c>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9">
        <v>18394</v>
      </c>
      <c r="H33" s="29">
        <v>5393.9</v>
      </c>
      <c r="I33" s="29">
        <f>V28</f>
        <v>18394</v>
      </c>
      <c r="J33" s="29">
        <f>W28</f>
        <v>5400.8</v>
      </c>
      <c r="K33" s="29">
        <f>G33-I33</f>
        <v>0</v>
      </c>
      <c r="L33" s="29">
        <f>H33-J33</f>
        <v>-6.9</v>
      </c>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8" spans="1:44" s="282" customFormat="1" ht="20.25" x14ac:dyDescent="0.2">
      <c r="A38" s="81"/>
      <c r="B38" s="82" t="s">
        <v>138</v>
      </c>
      <c r="C38" s="83"/>
      <c r="D38" s="84"/>
      <c r="E38" s="84"/>
      <c r="F38" s="85"/>
      <c r="G38" s="85"/>
      <c r="H38" s="86"/>
      <c r="I38" s="86"/>
      <c r="J38" s="85"/>
      <c r="K38" s="30" t="s">
        <v>166</v>
      </c>
      <c r="L38" s="85"/>
      <c r="M38" s="85"/>
      <c r="N38" s="87"/>
      <c r="O38" s="85"/>
      <c r="P38" s="85"/>
      <c r="Q38" s="85"/>
      <c r="R38" s="85"/>
      <c r="S38" s="85"/>
      <c r="T38" s="85"/>
      <c r="U38" s="85"/>
      <c r="V38" s="85"/>
      <c r="W38" s="85"/>
      <c r="X38" s="85"/>
      <c r="Y38" s="85"/>
      <c r="Z38" s="85"/>
      <c r="AA38" s="85"/>
      <c r="AB38" s="85"/>
      <c r="AC38" s="85"/>
      <c r="AD38" s="85"/>
      <c r="AE38" s="85"/>
      <c r="AF38" s="85"/>
      <c r="AG38" s="85"/>
      <c r="AH38" s="85"/>
      <c r="AI38" s="85"/>
      <c r="AK38" s="88"/>
      <c r="AL38" s="88"/>
      <c r="AM38" s="88"/>
      <c r="AN38" s="88"/>
      <c r="AO38" s="88"/>
    </row>
    <row r="39" spans="1:44" s="143" customFormat="1" x14ac:dyDescent="0.2">
      <c r="A39" s="136"/>
      <c r="B39" s="136"/>
      <c r="C39" s="137"/>
      <c r="D39" s="144"/>
      <c r="E39" s="144"/>
      <c r="F39" s="140"/>
      <c r="G39" s="140"/>
      <c r="H39" s="139"/>
      <c r="I39" s="139"/>
      <c r="J39" s="140"/>
      <c r="K39" s="140"/>
      <c r="L39" s="140"/>
      <c r="M39" s="140"/>
      <c r="N39" s="141"/>
      <c r="O39" s="140"/>
      <c r="P39" s="140"/>
      <c r="Q39" s="140"/>
      <c r="R39" s="140"/>
      <c r="S39" s="140"/>
      <c r="T39" s="140"/>
      <c r="U39" s="140"/>
      <c r="V39" s="140"/>
      <c r="W39" s="140"/>
      <c r="X39" s="140"/>
      <c r="Y39" s="140"/>
      <c r="Z39" s="140"/>
      <c r="AA39" s="140"/>
      <c r="AB39" s="140"/>
      <c r="AC39" s="140"/>
      <c r="AD39" s="140"/>
      <c r="AE39" s="140"/>
      <c r="AF39" s="142"/>
      <c r="AK39" s="142"/>
      <c r="AL39" s="142"/>
      <c r="AM39" s="142"/>
      <c r="AN39" s="76"/>
      <c r="AO39" s="76"/>
      <c r="AP39" s="76"/>
      <c r="AQ39" s="76"/>
      <c r="AR39" s="99"/>
    </row>
    <row r="40" spans="1:44" s="143" customFormat="1" x14ac:dyDescent="0.2">
      <c r="A40" s="136"/>
      <c r="B40" s="136"/>
      <c r="C40" s="137"/>
      <c r="D40" s="144"/>
      <c r="E40" s="144"/>
      <c r="F40" s="140"/>
      <c r="G40" s="140"/>
      <c r="H40" s="139"/>
      <c r="I40" s="139"/>
      <c r="J40" s="140"/>
      <c r="K40" s="140"/>
      <c r="L40" s="140"/>
      <c r="M40" s="140"/>
      <c r="N40" s="202"/>
      <c r="O40" s="203"/>
      <c r="P40" s="140"/>
      <c r="Q40" s="140"/>
      <c r="R40" s="140"/>
      <c r="S40" s="140"/>
      <c r="T40" s="140"/>
      <c r="U40" s="140"/>
      <c r="V40" s="140"/>
      <c r="W40" s="140"/>
      <c r="X40" s="140"/>
      <c r="Y40" s="140"/>
      <c r="Z40" s="140"/>
      <c r="AA40" s="140"/>
      <c r="AB40" s="140"/>
      <c r="AC40" s="140"/>
      <c r="AD40" s="140"/>
      <c r="AE40" s="140"/>
      <c r="AF40" s="142"/>
      <c r="AK40" s="142"/>
      <c r="AL40" s="142"/>
      <c r="AM40" s="142"/>
      <c r="AN40" s="76"/>
      <c r="AO40" s="76"/>
      <c r="AP40" s="76"/>
      <c r="AQ40" s="76"/>
      <c r="AR40" s="252"/>
    </row>
    <row r="41" spans="1:44" s="143" customFormat="1" ht="20.25" customHeight="1" x14ac:dyDescent="0.2">
      <c r="A41" s="145" t="s">
        <v>96</v>
      </c>
      <c r="B41" s="145"/>
      <c r="C41" s="146"/>
      <c r="D41" s="146"/>
      <c r="E41" s="146"/>
      <c r="F41" s="146"/>
      <c r="G41" s="146"/>
      <c r="H41" s="146"/>
      <c r="I41" s="146"/>
      <c r="J41" s="146"/>
      <c r="K41" s="146"/>
      <c r="L41" s="147"/>
      <c r="M41" s="147"/>
      <c r="N41" s="202"/>
      <c r="O41" s="203"/>
      <c r="P41" s="147"/>
      <c r="Q41" s="147"/>
      <c r="R41" s="147"/>
      <c r="S41" s="147"/>
      <c r="T41" s="147"/>
      <c r="U41" s="147"/>
      <c r="V41" s="147"/>
      <c r="W41" s="147"/>
      <c r="X41" s="147"/>
      <c r="Y41" s="147"/>
      <c r="Z41" s="147"/>
      <c r="AA41" s="147"/>
      <c r="AB41" s="147"/>
      <c r="AC41" s="147"/>
      <c r="AD41" s="147"/>
      <c r="AE41" s="147"/>
      <c r="AF41" s="142"/>
      <c r="AK41" s="142"/>
      <c r="AL41" s="142"/>
      <c r="AM41" s="142"/>
      <c r="AN41" s="76"/>
      <c r="AO41" s="76"/>
      <c r="AP41" s="76"/>
      <c r="AQ41" s="76"/>
      <c r="AR41" s="99"/>
    </row>
    <row r="42" spans="1:44" s="143" customFormat="1" ht="20.25" customHeight="1" x14ac:dyDescent="0.2">
      <c r="A42" s="145" t="s">
        <v>139</v>
      </c>
      <c r="B42" s="149"/>
      <c r="C42" s="150"/>
      <c r="D42" s="150"/>
      <c r="E42" s="151"/>
      <c r="F42" s="151"/>
      <c r="G42" s="151"/>
      <c r="H42" s="151"/>
      <c r="I42" s="151"/>
      <c r="J42" s="151"/>
      <c r="K42" s="151"/>
      <c r="L42" s="147"/>
      <c r="M42" s="147"/>
      <c r="N42" s="202"/>
      <c r="O42" s="203"/>
      <c r="P42" s="147"/>
      <c r="Q42" s="147"/>
      <c r="R42" s="147"/>
      <c r="S42" s="147"/>
      <c r="T42" s="147"/>
      <c r="U42" s="147"/>
      <c r="V42" s="147"/>
      <c r="W42" s="147"/>
      <c r="X42" s="147"/>
      <c r="Y42" s="147"/>
      <c r="Z42" s="147"/>
      <c r="AA42" s="147"/>
      <c r="AB42" s="147"/>
      <c r="AC42" s="147"/>
      <c r="AD42" s="147"/>
      <c r="AE42" s="147"/>
      <c r="AF42" s="142"/>
      <c r="AK42" s="142"/>
      <c r="AL42" s="142"/>
      <c r="AM42" s="142"/>
      <c r="AN42" s="76"/>
      <c r="AO42" s="76"/>
      <c r="AP42" s="76"/>
      <c r="AQ42" s="76"/>
      <c r="AR42" s="252"/>
    </row>
    <row r="44" spans="1:44" x14ac:dyDescent="0.2">
      <c r="E44" s="115"/>
    </row>
    <row r="45" spans="1:44" x14ac:dyDescent="0.2">
      <c r="E45" s="115"/>
    </row>
    <row r="46" spans="1:44" x14ac:dyDescent="0.2">
      <c r="E46" s="115"/>
      <c r="Y46" s="99" t="s">
        <v>124</v>
      </c>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row r="65" spans="5:5" x14ac:dyDescent="0.2">
      <c r="E65" s="115"/>
    </row>
    <row r="66" spans="5:5" x14ac:dyDescent="0.2">
      <c r="E66" s="115"/>
    </row>
    <row r="67" spans="5:5" x14ac:dyDescent="0.2">
      <c r="E67" s="115"/>
    </row>
    <row r="68" spans="5:5" x14ac:dyDescent="0.2">
      <c r="E68" s="115"/>
    </row>
  </sheetData>
  <autoFilter ref="A8:AS28"/>
  <mergeCells count="37">
    <mergeCell ref="G31:H31"/>
    <mergeCell ref="I31:J31"/>
    <mergeCell ref="K31:L31"/>
    <mergeCell ref="AA6:AC6"/>
    <mergeCell ref="AD6:AF6"/>
    <mergeCell ref="K6:K7"/>
    <mergeCell ref="AH6:AH7"/>
    <mergeCell ref="U9:U27"/>
    <mergeCell ref="A28:B28"/>
    <mergeCell ref="S6:S7"/>
    <mergeCell ref="T6:T7"/>
    <mergeCell ref="U6:U7"/>
    <mergeCell ref="V6:V7"/>
    <mergeCell ref="W6:W7"/>
    <mergeCell ref="X6:Z6"/>
    <mergeCell ref="L6:L7"/>
    <mergeCell ref="M6:M7"/>
    <mergeCell ref="N6:O6"/>
    <mergeCell ref="P6:P7"/>
    <mergeCell ref="Q6:Q7"/>
    <mergeCell ref="R6:R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s>
  <printOptions horizontalCentered="1"/>
  <pageMargins left="0" right="0" top="0" bottom="0" header="0.31496062992125984" footer="0.31496062992125984"/>
  <pageSetup paperSize="9" scale="37" orientation="landscape" r:id="rId1"/>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7">
    <tabColor rgb="FF00B050"/>
  </sheetPr>
  <dimension ref="A1:AP74"/>
  <sheetViews>
    <sheetView view="pageBreakPreview" zoomScale="70" zoomScaleNormal="80" zoomScaleSheetLayoutView="70" workbookViewId="0">
      <pane xSplit="3" ySplit="8" topLeftCell="D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8" style="33" customWidth="1"/>
    <col min="2" max="2" width="30.83203125" style="22" customWidth="1"/>
    <col min="3" max="3" width="13.83203125" style="22" customWidth="1"/>
    <col min="4" max="4" width="13.1640625" style="22" customWidth="1"/>
    <col min="5" max="5" width="13" style="22" customWidth="1"/>
    <col min="6" max="6" width="14.6640625" style="22" customWidth="1"/>
    <col min="7" max="7" width="13.1640625" style="22" customWidth="1"/>
    <col min="8" max="8" width="15.6640625" style="22" customWidth="1"/>
    <col min="9" max="9" width="13.5" style="22" customWidth="1"/>
    <col min="10" max="10" width="20.33203125" style="22" customWidth="1"/>
    <col min="11" max="11" width="13" style="22" customWidth="1"/>
    <col min="12" max="16" width="14.83203125" style="22" customWidth="1"/>
    <col min="17" max="17" width="12.33203125" style="22" customWidth="1"/>
    <col min="18" max="18" width="13" style="22" customWidth="1"/>
    <col min="19" max="19" width="18.1640625" style="22" customWidth="1"/>
    <col min="20" max="20" width="14.83203125" style="22" customWidth="1"/>
    <col min="21" max="21" width="14" style="22" customWidth="1"/>
    <col min="22" max="22" width="15.6640625" style="22" customWidth="1"/>
    <col min="23" max="23" width="14.5" style="22" customWidth="1"/>
    <col min="24" max="24" width="11.33203125" style="22" customWidth="1"/>
    <col min="25" max="25" width="11" style="22" customWidth="1"/>
    <col min="26" max="26" width="11.5" style="22" customWidth="1"/>
    <col min="27" max="28" width="9.33203125" style="22" customWidth="1"/>
    <col min="29" max="29" width="10.1640625" style="22" customWidth="1"/>
    <col min="30" max="30" width="8.5" style="22" customWidth="1"/>
    <col min="31" max="31" width="10.83203125" style="22" customWidth="1"/>
    <col min="32" max="32" width="10.33203125" style="22" customWidth="1"/>
    <col min="33" max="33" width="11.5" style="22" customWidth="1"/>
    <col min="34" max="34" width="13.83203125" style="22" customWidth="1"/>
    <col min="35" max="35" width="12" style="34" customWidth="1"/>
    <col min="36" max="36" width="17.83203125" style="22" customWidth="1"/>
    <col min="37" max="37" width="14" style="22" bestFit="1" customWidth="1"/>
    <col min="38" max="39" width="9.5" style="22" bestFit="1" customWidth="1"/>
    <col min="40" max="40" width="11.5" style="22" bestFit="1" customWidth="1"/>
    <col min="41" max="41" width="9.33203125" style="22"/>
    <col min="42" max="42" width="9.5" style="22" bestFit="1" customWidth="1"/>
    <col min="43" max="16384" width="9.33203125" style="22"/>
  </cols>
  <sheetData>
    <row r="1" spans="1:42" ht="21.75" customHeight="1" x14ac:dyDescent="0.2">
      <c r="AE1" s="3180"/>
      <c r="AF1" s="3180"/>
      <c r="AG1" s="3180"/>
      <c r="AH1" s="3180"/>
    </row>
    <row r="2" spans="1:42" ht="33" customHeight="1" x14ac:dyDescent="0.2">
      <c r="A2" s="3181" t="s">
        <v>154</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2"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283"/>
    </row>
    <row r="4" spans="1:42" x14ac:dyDescent="0.2">
      <c r="L4" s="22">
        <v>0.32216</v>
      </c>
      <c r="O4" s="39"/>
      <c r="P4" s="39"/>
    </row>
    <row r="5" spans="1:42" ht="38.25" customHeight="1" x14ac:dyDescent="0.2">
      <c r="A5" s="3183" t="s">
        <v>78</v>
      </c>
      <c r="B5" s="3183"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2" ht="60" customHeight="1" x14ac:dyDescent="0.2">
      <c r="A6" s="3183"/>
      <c r="B6" s="3183"/>
      <c r="C6" s="3184"/>
      <c r="D6" s="3185" t="s">
        <v>79</v>
      </c>
      <c r="E6" s="3185" t="s">
        <v>69</v>
      </c>
      <c r="F6" s="3185" t="s">
        <v>89</v>
      </c>
      <c r="G6" s="3185" t="s">
        <v>1</v>
      </c>
      <c r="H6" s="3185" t="s">
        <v>2</v>
      </c>
      <c r="I6" s="3185" t="s">
        <v>70</v>
      </c>
      <c r="J6" s="3185" t="s">
        <v>61</v>
      </c>
      <c r="K6" s="3185" t="s">
        <v>27</v>
      </c>
      <c r="L6" s="3186" t="s">
        <v>65</v>
      </c>
      <c r="M6" s="3186" t="s">
        <v>86</v>
      </c>
      <c r="N6" s="3187" t="s">
        <v>90</v>
      </c>
      <c r="O6" s="3187"/>
      <c r="P6" s="3187" t="s">
        <v>88</v>
      </c>
      <c r="Q6" s="3186" t="s">
        <v>82</v>
      </c>
      <c r="R6" s="3185" t="s">
        <v>83</v>
      </c>
      <c r="S6" s="3186"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2" ht="57" customHeight="1" x14ac:dyDescent="0.2">
      <c r="A7" s="3183"/>
      <c r="B7" s="3183"/>
      <c r="C7" s="3184"/>
      <c r="D7" s="3185"/>
      <c r="E7" s="3185"/>
      <c r="F7" s="3185"/>
      <c r="G7" s="3185"/>
      <c r="H7" s="3185"/>
      <c r="I7" s="3185"/>
      <c r="J7" s="3185"/>
      <c r="K7" s="3185"/>
      <c r="L7" s="3186" t="s">
        <v>66</v>
      </c>
      <c r="M7" s="3186"/>
      <c r="N7" s="281" t="s">
        <v>80</v>
      </c>
      <c r="O7" s="281" t="s">
        <v>81</v>
      </c>
      <c r="P7" s="3187"/>
      <c r="Q7" s="3186"/>
      <c r="R7" s="3185"/>
      <c r="S7" s="3186" t="s">
        <v>67</v>
      </c>
      <c r="T7" s="3185"/>
      <c r="U7" s="3185"/>
      <c r="V7" s="3185"/>
      <c r="W7" s="3185"/>
      <c r="X7" s="280" t="s">
        <v>5</v>
      </c>
      <c r="Y7" s="280" t="s">
        <v>6</v>
      </c>
      <c r="Z7" s="280" t="s">
        <v>74</v>
      </c>
      <c r="AA7" s="280" t="s">
        <v>5</v>
      </c>
      <c r="AB7" s="280" t="s">
        <v>6</v>
      </c>
      <c r="AC7" s="280" t="s">
        <v>75</v>
      </c>
      <c r="AD7" s="280" t="s">
        <v>5</v>
      </c>
      <c r="AE7" s="280" t="s">
        <v>6</v>
      </c>
      <c r="AF7" s="280" t="s">
        <v>76</v>
      </c>
      <c r="AG7" s="3184"/>
      <c r="AH7" s="3184"/>
      <c r="AJ7" s="33" t="s">
        <v>64</v>
      </c>
    </row>
    <row r="8" spans="1:42" ht="12.75" customHeight="1"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K8" s="43" t="s">
        <v>116</v>
      </c>
      <c r="AL8" s="43" t="s">
        <v>117</v>
      </c>
      <c r="AM8" s="43" t="s">
        <v>118</v>
      </c>
      <c r="AN8" s="43" t="s">
        <v>119</v>
      </c>
    </row>
    <row r="9" spans="1:42" ht="27" customHeight="1" x14ac:dyDescent="0.2">
      <c r="A9" s="278">
        <v>1</v>
      </c>
      <c r="B9" s="44" t="s">
        <v>21</v>
      </c>
      <c r="C9" s="278">
        <v>1</v>
      </c>
      <c r="D9" s="45">
        <v>21.991</v>
      </c>
      <c r="E9" s="46">
        <f>C9*D9</f>
        <v>21.99</v>
      </c>
      <c r="F9" s="47">
        <f>E9*12</f>
        <v>263.89999999999998</v>
      </c>
      <c r="G9" s="24"/>
      <c r="H9" s="24"/>
      <c r="I9" s="24"/>
      <c r="J9" s="24"/>
      <c r="K9" s="24">
        <f>D9*0.3*12+0.05*9</f>
        <v>79.599999999999994</v>
      </c>
      <c r="L9" s="24">
        <f>F9*$L$4</f>
        <v>85</v>
      </c>
      <c r="M9" s="24">
        <f t="shared" ref="M9:M27" si="0">F9+G9+H9+I9+J9+K9+L9</f>
        <v>428.5</v>
      </c>
      <c r="N9" s="48">
        <v>1.1100000000000001</v>
      </c>
      <c r="O9" s="24">
        <f t="shared" ref="O9:O27" si="1">M9*N9</f>
        <v>475.6</v>
      </c>
      <c r="P9" s="24">
        <f>M9+O9</f>
        <v>904.1</v>
      </c>
      <c r="Q9" s="24">
        <f>P9*0.8</f>
        <v>723.3</v>
      </c>
      <c r="R9" s="24">
        <f t="shared" ref="R9:R27" si="2">P9*0.8</f>
        <v>723.3</v>
      </c>
      <c r="S9" s="24">
        <f>(P9+Q9+R9)*0.032</f>
        <v>75.2</v>
      </c>
      <c r="T9" s="49">
        <f t="shared" ref="T9:T27" si="3">P9+Q9+R9+S9</f>
        <v>2425.9</v>
      </c>
      <c r="U9" s="3192">
        <v>1</v>
      </c>
      <c r="V9" s="49">
        <f>T9*$U$9</f>
        <v>2425.9</v>
      </c>
      <c r="W9" s="49">
        <f>AN9</f>
        <v>534.29999999999995</v>
      </c>
      <c r="X9" s="278">
        <v>1</v>
      </c>
      <c r="Y9" s="24">
        <v>30</v>
      </c>
      <c r="Z9" s="48">
        <f t="shared" ref="Z9:Z25" si="4">X9*Y9</f>
        <v>30</v>
      </c>
      <c r="AA9" s="278"/>
      <c r="AB9" s="24">
        <v>15</v>
      </c>
      <c r="AC9" s="48">
        <f t="shared" ref="AC9:AC25" si="5">AA9*AB9</f>
        <v>0</v>
      </c>
      <c r="AD9" s="278"/>
      <c r="AE9" s="24">
        <v>30</v>
      </c>
      <c r="AF9" s="48">
        <f t="shared" ref="AF9:AF25" si="6">AD9*AE9</f>
        <v>0</v>
      </c>
      <c r="AG9" s="48">
        <f t="shared" ref="AG9:AG25" si="7">(Z9+AC9+AF9)*1%*30</f>
        <v>9</v>
      </c>
      <c r="AH9" s="48">
        <f t="shared" ref="AH9:AH25" si="8">Z9+AC9+AF9+AG9</f>
        <v>39</v>
      </c>
      <c r="AI9" s="34">
        <f t="shared" ref="AI9:AI27" si="9">V9/12/C9*1000</f>
        <v>202158.3</v>
      </c>
      <c r="AJ9" s="34">
        <f t="shared" ref="AJ9:AJ27" si="10">V9/C9</f>
        <v>2425.9</v>
      </c>
      <c r="AK9" s="50">
        <f>1150*0.22*C9+(V9-1150*C9)*0.1</f>
        <v>380.6</v>
      </c>
      <c r="AL9" s="50">
        <f>865*0.029*C9</f>
        <v>25.1</v>
      </c>
      <c r="AM9" s="50">
        <f t="shared" ref="AM9:AM27" si="11">V9*0.053</f>
        <v>128.6</v>
      </c>
      <c r="AN9" s="50">
        <f>SUM(AK9:AM9)</f>
        <v>534.29999999999995</v>
      </c>
      <c r="AP9" s="51"/>
    </row>
    <row r="10" spans="1:42" ht="27" customHeight="1" x14ac:dyDescent="0.2">
      <c r="A10" s="278">
        <v>2</v>
      </c>
      <c r="B10" s="44" t="s">
        <v>125</v>
      </c>
      <c r="C10" s="278">
        <v>3</v>
      </c>
      <c r="D10" s="45">
        <v>15.394</v>
      </c>
      <c r="E10" s="46">
        <f>C10*D10</f>
        <v>46.18</v>
      </c>
      <c r="F10" s="47">
        <f>E10*12</f>
        <v>554.20000000000005</v>
      </c>
      <c r="G10" s="24"/>
      <c r="H10" s="24"/>
      <c r="I10" s="24"/>
      <c r="J10" s="24"/>
      <c r="K10" s="24">
        <f>D10*0.2*2*12+D10*0.4*12+D10*0.05*3</f>
        <v>150.1</v>
      </c>
      <c r="L10" s="24">
        <f t="shared" ref="L10:L25" si="12">F10*$L$4</f>
        <v>178.5</v>
      </c>
      <c r="M10" s="24">
        <f>F10+G10+H10+I10+J10+K10+L10</f>
        <v>882.8</v>
      </c>
      <c r="N10" s="48">
        <v>0.47</v>
      </c>
      <c r="O10" s="24">
        <f>M10*N10</f>
        <v>414.9</v>
      </c>
      <c r="P10" s="24">
        <f>M10+O10</f>
        <v>1297.7</v>
      </c>
      <c r="Q10" s="24">
        <f>P10*0.8</f>
        <v>1038.2</v>
      </c>
      <c r="R10" s="24">
        <f>P10*0.8</f>
        <v>1038.2</v>
      </c>
      <c r="S10" s="24">
        <f>(P10+Q10+R10)*0.032</f>
        <v>108</v>
      </c>
      <c r="T10" s="49">
        <f>P10+Q10+R10+S10</f>
        <v>3482.1</v>
      </c>
      <c r="U10" s="3193"/>
      <c r="V10" s="49">
        <f>T10*$U$9</f>
        <v>3482.1</v>
      </c>
      <c r="W10" s="49">
        <f>AN10</f>
        <v>1022.1</v>
      </c>
      <c r="X10" s="278">
        <v>2</v>
      </c>
      <c r="Y10" s="24">
        <v>30</v>
      </c>
      <c r="Z10" s="48">
        <f>X10*Y10</f>
        <v>60</v>
      </c>
      <c r="AA10" s="278">
        <v>1</v>
      </c>
      <c r="AB10" s="24">
        <v>15</v>
      </c>
      <c r="AC10" s="48">
        <f>AA10*AB10</f>
        <v>15</v>
      </c>
      <c r="AD10" s="278">
        <v>3</v>
      </c>
      <c r="AE10" s="24">
        <v>30</v>
      </c>
      <c r="AF10" s="48">
        <f>AD10*AE10</f>
        <v>90</v>
      </c>
      <c r="AG10" s="48">
        <f>(Z10+AC10+AF10)*1%*30</f>
        <v>49.5</v>
      </c>
      <c r="AH10" s="48">
        <f>Z10+AC10+AF10+AG10</f>
        <v>214.5</v>
      </c>
      <c r="AI10" s="34">
        <f t="shared" si="9"/>
        <v>96725</v>
      </c>
      <c r="AJ10" s="34">
        <f t="shared" si="10"/>
        <v>1160.7</v>
      </c>
      <c r="AK10" s="50">
        <f>1150*0.22*C10+(V10-1150*C10)*0.1</f>
        <v>762.2</v>
      </c>
      <c r="AL10" s="50">
        <f>865*0.029*C10</f>
        <v>75.3</v>
      </c>
      <c r="AM10" s="50">
        <f t="shared" si="11"/>
        <v>184.6</v>
      </c>
      <c r="AN10" s="50">
        <f>SUM(AK10:AM10)</f>
        <v>1022.1</v>
      </c>
      <c r="AP10" s="51"/>
    </row>
    <row r="11" spans="1:42" ht="27" customHeight="1" x14ac:dyDescent="0.2">
      <c r="A11" s="278">
        <v>3</v>
      </c>
      <c r="B11" s="52" t="s">
        <v>23</v>
      </c>
      <c r="C11" s="278">
        <v>7</v>
      </c>
      <c r="D11" s="53">
        <v>11.061999999999999</v>
      </c>
      <c r="E11" s="46">
        <f t="shared" ref="E11:E27" si="13">C11*D11</f>
        <v>77.430000000000007</v>
      </c>
      <c r="F11" s="47">
        <f t="shared" ref="F11:F27" si="14">E11*12</f>
        <v>929.2</v>
      </c>
      <c r="G11" s="24"/>
      <c r="H11" s="24">
        <f>(6470.9+1198.32)/1000</f>
        <v>7.7</v>
      </c>
      <c r="I11" s="24"/>
      <c r="J11" s="24"/>
      <c r="K11" s="24">
        <f>D11*0.25*12+D11*0.35*12+D11*0.4*4*12</f>
        <v>292</v>
      </c>
      <c r="L11" s="24">
        <f t="shared" si="12"/>
        <v>299.39999999999998</v>
      </c>
      <c r="M11" s="24">
        <f t="shared" si="0"/>
        <v>1528.3</v>
      </c>
      <c r="N11" s="48">
        <v>0.43</v>
      </c>
      <c r="O11" s="24">
        <f t="shared" si="1"/>
        <v>657.2</v>
      </c>
      <c r="P11" s="24">
        <f t="shared" ref="P11:P27" si="15">M11+O11</f>
        <v>2185.5</v>
      </c>
      <c r="Q11" s="24">
        <f t="shared" ref="Q11:Q27" si="16">P11*0.8</f>
        <v>1748.4</v>
      </c>
      <c r="R11" s="24">
        <f t="shared" si="2"/>
        <v>1748.4</v>
      </c>
      <c r="S11" s="24">
        <f t="shared" ref="S11:S27" si="17">(P11+Q11+R11)*0.032</f>
        <v>181.8</v>
      </c>
      <c r="T11" s="49">
        <f t="shared" si="3"/>
        <v>5864.1</v>
      </c>
      <c r="U11" s="3193"/>
      <c r="V11" s="49">
        <f t="shared" ref="V11:V25" si="18">T11*$U$9</f>
        <v>5864.1</v>
      </c>
      <c r="W11" s="49">
        <f>V11*0.302</f>
        <v>1771</v>
      </c>
      <c r="X11" s="278">
        <v>2</v>
      </c>
      <c r="Y11" s="24">
        <v>30</v>
      </c>
      <c r="Z11" s="48">
        <f t="shared" si="4"/>
        <v>60</v>
      </c>
      <c r="AA11" s="278">
        <v>3</v>
      </c>
      <c r="AB11" s="24">
        <v>15</v>
      </c>
      <c r="AC11" s="48">
        <f t="shared" si="5"/>
        <v>45</v>
      </c>
      <c r="AD11" s="278"/>
      <c r="AE11" s="24">
        <v>30</v>
      </c>
      <c r="AF11" s="48">
        <f t="shared" si="6"/>
        <v>0</v>
      </c>
      <c r="AG11" s="48">
        <f>(Z11+AC11+AF11)*1%*30</f>
        <v>31.5</v>
      </c>
      <c r="AH11" s="48">
        <f t="shared" si="8"/>
        <v>136.5</v>
      </c>
      <c r="AI11" s="34">
        <f t="shared" si="9"/>
        <v>69810.7</v>
      </c>
      <c r="AJ11" s="34">
        <f t="shared" si="10"/>
        <v>837.7</v>
      </c>
      <c r="AK11" s="50">
        <f t="shared" ref="AK11:AK27" si="19">V11*0.22</f>
        <v>1290.0999999999999</v>
      </c>
      <c r="AL11" s="50">
        <f>865*0.029*C11</f>
        <v>175.6</v>
      </c>
      <c r="AM11" s="50">
        <f t="shared" si="11"/>
        <v>310.8</v>
      </c>
      <c r="AN11" s="50">
        <f t="shared" ref="AN11:AN27" si="20">SUM(AK11:AM11)</f>
        <v>1776.5</v>
      </c>
      <c r="AP11" s="51"/>
    </row>
    <row r="12" spans="1:42" ht="27" customHeight="1" x14ac:dyDescent="0.2">
      <c r="A12" s="278">
        <v>4</v>
      </c>
      <c r="B12" s="52" t="s">
        <v>134</v>
      </c>
      <c r="C12" s="278">
        <v>1</v>
      </c>
      <c r="D12" s="53">
        <v>11.061999999999999</v>
      </c>
      <c r="E12" s="46">
        <f t="shared" si="13"/>
        <v>11.06</v>
      </c>
      <c r="F12" s="47">
        <f t="shared" si="14"/>
        <v>132.69999999999999</v>
      </c>
      <c r="G12" s="24"/>
      <c r="H12" s="24">
        <f>1078.5/1000</f>
        <v>1.1000000000000001</v>
      </c>
      <c r="I12" s="24"/>
      <c r="J12" s="24"/>
      <c r="K12" s="24"/>
      <c r="L12" s="24">
        <f t="shared" si="12"/>
        <v>42.8</v>
      </c>
      <c r="M12" s="24">
        <f t="shared" si="0"/>
        <v>176.6</v>
      </c>
      <c r="N12" s="48">
        <v>0.43</v>
      </c>
      <c r="O12" s="24">
        <f t="shared" si="1"/>
        <v>75.900000000000006</v>
      </c>
      <c r="P12" s="24">
        <f t="shared" si="15"/>
        <v>252.5</v>
      </c>
      <c r="Q12" s="24">
        <f t="shared" si="16"/>
        <v>202</v>
      </c>
      <c r="R12" s="24">
        <f t="shared" si="2"/>
        <v>202</v>
      </c>
      <c r="S12" s="24">
        <f t="shared" si="17"/>
        <v>21</v>
      </c>
      <c r="T12" s="49">
        <f t="shared" si="3"/>
        <v>677.5</v>
      </c>
      <c r="U12" s="3193"/>
      <c r="V12" s="49">
        <f t="shared" si="18"/>
        <v>677.5</v>
      </c>
      <c r="W12" s="49">
        <f t="shared" ref="W12:W26" si="21">V12*0.302</f>
        <v>204.6</v>
      </c>
      <c r="X12" s="278"/>
      <c r="Y12" s="24">
        <v>30</v>
      </c>
      <c r="Z12" s="48">
        <f t="shared" si="4"/>
        <v>0</v>
      </c>
      <c r="AA12" s="278"/>
      <c r="AB12" s="24">
        <v>15</v>
      </c>
      <c r="AC12" s="48">
        <f t="shared" si="5"/>
        <v>0</v>
      </c>
      <c r="AD12" s="278"/>
      <c r="AE12" s="24">
        <v>30</v>
      </c>
      <c r="AF12" s="48">
        <f t="shared" si="6"/>
        <v>0</v>
      </c>
      <c r="AG12" s="48">
        <f>(Z12+AC12+AF12)*1%*30</f>
        <v>0</v>
      </c>
      <c r="AH12" s="48">
        <f t="shared" si="8"/>
        <v>0</v>
      </c>
      <c r="AI12" s="34">
        <f t="shared" si="9"/>
        <v>56458.3</v>
      </c>
      <c r="AJ12" s="34">
        <f t="shared" si="10"/>
        <v>677.5</v>
      </c>
      <c r="AK12" s="50">
        <f t="shared" si="19"/>
        <v>149.1</v>
      </c>
      <c r="AL12" s="50">
        <f t="shared" ref="AL12:AL27" si="22">912*0.029*C12</f>
        <v>26.4</v>
      </c>
      <c r="AM12" s="50">
        <f t="shared" si="11"/>
        <v>35.9</v>
      </c>
      <c r="AN12" s="50">
        <f t="shared" si="20"/>
        <v>211.4</v>
      </c>
      <c r="AP12" s="51"/>
    </row>
    <row r="13" spans="1:42" ht="27" customHeight="1" x14ac:dyDescent="0.2">
      <c r="A13" s="278">
        <v>5</v>
      </c>
      <c r="B13" s="52" t="s">
        <v>17</v>
      </c>
      <c r="C13" s="278">
        <v>1</v>
      </c>
      <c r="D13" s="53">
        <v>12.335000000000001</v>
      </c>
      <c r="E13" s="46">
        <f t="shared" si="13"/>
        <v>12.34</v>
      </c>
      <c r="F13" s="47">
        <f t="shared" si="14"/>
        <v>148.1</v>
      </c>
      <c r="G13" s="24"/>
      <c r="H13" s="24">
        <f>1202.6/1000</f>
        <v>1.2</v>
      </c>
      <c r="I13" s="24"/>
      <c r="J13" s="24"/>
      <c r="K13" s="24">
        <f>F13*0.4</f>
        <v>59.2</v>
      </c>
      <c r="L13" s="24">
        <f t="shared" si="12"/>
        <v>47.7</v>
      </c>
      <c r="M13" s="24">
        <f t="shared" si="0"/>
        <v>256.2</v>
      </c>
      <c r="N13" s="48">
        <v>0.47</v>
      </c>
      <c r="O13" s="24">
        <f t="shared" si="1"/>
        <v>120.4</v>
      </c>
      <c r="P13" s="24">
        <f t="shared" si="15"/>
        <v>376.6</v>
      </c>
      <c r="Q13" s="24">
        <f t="shared" si="16"/>
        <v>301.3</v>
      </c>
      <c r="R13" s="24">
        <f t="shared" si="2"/>
        <v>301.3</v>
      </c>
      <c r="S13" s="24">
        <f t="shared" si="17"/>
        <v>31.3</v>
      </c>
      <c r="T13" s="49">
        <f t="shared" si="3"/>
        <v>1010.5</v>
      </c>
      <c r="U13" s="3193"/>
      <c r="V13" s="49">
        <f t="shared" si="18"/>
        <v>1010.5</v>
      </c>
      <c r="W13" s="49">
        <f>AN13</f>
        <v>301</v>
      </c>
      <c r="X13" s="278">
        <v>1</v>
      </c>
      <c r="Y13" s="24">
        <v>30</v>
      </c>
      <c r="Z13" s="48">
        <f t="shared" si="4"/>
        <v>30</v>
      </c>
      <c r="AA13" s="278">
        <v>1</v>
      </c>
      <c r="AB13" s="24">
        <v>15</v>
      </c>
      <c r="AC13" s="48">
        <f t="shared" si="5"/>
        <v>15</v>
      </c>
      <c r="AD13" s="278">
        <v>1</v>
      </c>
      <c r="AE13" s="24">
        <v>30</v>
      </c>
      <c r="AF13" s="48">
        <f t="shared" si="6"/>
        <v>30</v>
      </c>
      <c r="AG13" s="48">
        <f t="shared" si="7"/>
        <v>22.5</v>
      </c>
      <c r="AH13" s="48">
        <f t="shared" si="8"/>
        <v>97.5</v>
      </c>
      <c r="AI13" s="34">
        <f t="shared" si="9"/>
        <v>84208.3</v>
      </c>
      <c r="AJ13" s="34">
        <f t="shared" si="10"/>
        <v>1010.5</v>
      </c>
      <c r="AK13" s="50">
        <f t="shared" si="19"/>
        <v>222.3</v>
      </c>
      <c r="AL13" s="50">
        <f>865*0.029*C13</f>
        <v>25.1</v>
      </c>
      <c r="AM13" s="50">
        <f t="shared" si="11"/>
        <v>53.6</v>
      </c>
      <c r="AN13" s="50">
        <f t="shared" ref="AN13" si="23">SUM(AK13:AM13)</f>
        <v>301</v>
      </c>
      <c r="AP13" s="51"/>
    </row>
    <row r="14" spans="1:42" ht="34.5" customHeight="1" x14ac:dyDescent="0.2">
      <c r="A14" s="278">
        <v>6</v>
      </c>
      <c r="B14" s="52" t="s">
        <v>129</v>
      </c>
      <c r="C14" s="54">
        <v>1</v>
      </c>
      <c r="D14" s="53">
        <v>8.4730000000000008</v>
      </c>
      <c r="E14" s="46">
        <f>C14*D14</f>
        <v>8.4700000000000006</v>
      </c>
      <c r="F14" s="47">
        <f>E14*11</f>
        <v>93.2</v>
      </c>
      <c r="G14" s="24"/>
      <c r="H14" s="24">
        <f>826.1/1000</f>
        <v>0.8</v>
      </c>
      <c r="I14" s="24"/>
      <c r="J14" s="24"/>
      <c r="K14" s="24">
        <f>F14*0.2</f>
        <v>18.600000000000001</v>
      </c>
      <c r="L14" s="24">
        <f t="shared" si="12"/>
        <v>30</v>
      </c>
      <c r="M14" s="24">
        <f t="shared" si="0"/>
        <v>142.6</v>
      </c>
      <c r="N14" s="48">
        <v>0.41</v>
      </c>
      <c r="O14" s="24">
        <f t="shared" si="1"/>
        <v>58.5</v>
      </c>
      <c r="P14" s="24">
        <f t="shared" si="15"/>
        <v>201.1</v>
      </c>
      <c r="Q14" s="24">
        <f t="shared" si="16"/>
        <v>160.9</v>
      </c>
      <c r="R14" s="24">
        <f t="shared" si="2"/>
        <v>160.9</v>
      </c>
      <c r="S14" s="24">
        <f t="shared" si="17"/>
        <v>16.7</v>
      </c>
      <c r="T14" s="49">
        <f t="shared" si="3"/>
        <v>539.6</v>
      </c>
      <c r="U14" s="3193"/>
      <c r="V14" s="49">
        <f>T14*$U$9</f>
        <v>539.6</v>
      </c>
      <c r="W14" s="49">
        <f t="shared" si="21"/>
        <v>163</v>
      </c>
      <c r="X14" s="278">
        <v>1</v>
      </c>
      <c r="Y14" s="24">
        <v>30</v>
      </c>
      <c r="Z14" s="48">
        <f t="shared" si="4"/>
        <v>30</v>
      </c>
      <c r="AA14" s="278">
        <v>1</v>
      </c>
      <c r="AB14" s="24">
        <v>15</v>
      </c>
      <c r="AC14" s="48">
        <f t="shared" si="5"/>
        <v>15</v>
      </c>
      <c r="AD14" s="278">
        <v>1</v>
      </c>
      <c r="AE14" s="24">
        <v>30</v>
      </c>
      <c r="AF14" s="48">
        <f t="shared" si="6"/>
        <v>30</v>
      </c>
      <c r="AG14" s="48">
        <f t="shared" si="7"/>
        <v>22.5</v>
      </c>
      <c r="AH14" s="48">
        <f t="shared" si="8"/>
        <v>97.5</v>
      </c>
      <c r="AI14" s="34">
        <f t="shared" si="9"/>
        <v>44966.7</v>
      </c>
      <c r="AJ14" s="34">
        <f t="shared" si="10"/>
        <v>539.6</v>
      </c>
      <c r="AK14" s="50">
        <f t="shared" si="19"/>
        <v>118.7</v>
      </c>
      <c r="AL14" s="50">
        <f t="shared" si="22"/>
        <v>26.4</v>
      </c>
      <c r="AM14" s="50">
        <f t="shared" si="11"/>
        <v>28.6</v>
      </c>
      <c r="AN14" s="50">
        <f t="shared" si="20"/>
        <v>173.7</v>
      </c>
      <c r="AP14" s="51"/>
    </row>
    <row r="15" spans="1:42" ht="27" customHeight="1" x14ac:dyDescent="0.2">
      <c r="A15" s="278">
        <v>7</v>
      </c>
      <c r="B15" s="52" t="s">
        <v>22</v>
      </c>
      <c r="C15" s="278">
        <v>1</v>
      </c>
      <c r="D15" s="53">
        <v>11.061999999999999</v>
      </c>
      <c r="E15" s="46">
        <f>C15*D15</f>
        <v>11.06</v>
      </c>
      <c r="F15" s="47">
        <f>E15*12</f>
        <v>132.69999999999999</v>
      </c>
      <c r="G15" s="24"/>
      <c r="H15" s="24">
        <f>1078.5/1000</f>
        <v>1.1000000000000001</v>
      </c>
      <c r="I15" s="24"/>
      <c r="J15" s="24"/>
      <c r="K15" s="24">
        <f>F15*0.4</f>
        <v>53.1</v>
      </c>
      <c r="L15" s="24">
        <f t="shared" si="12"/>
        <v>42.8</v>
      </c>
      <c r="M15" s="24">
        <f>F15+G15+H15+I15+J15+K15+L15</f>
        <v>229.7</v>
      </c>
      <c r="N15" s="48">
        <v>0.43</v>
      </c>
      <c r="O15" s="24">
        <f>M15*N15</f>
        <v>98.8</v>
      </c>
      <c r="P15" s="24">
        <f>M15+O15</f>
        <v>328.5</v>
      </c>
      <c r="Q15" s="24">
        <f>P15*0.8</f>
        <v>262.8</v>
      </c>
      <c r="R15" s="24">
        <f>P15*0.8</f>
        <v>262.8</v>
      </c>
      <c r="S15" s="24">
        <f>(P15+Q15+R15)*0.032</f>
        <v>27.3</v>
      </c>
      <c r="T15" s="49">
        <f>P15+Q15+R15+S15</f>
        <v>881.4</v>
      </c>
      <c r="U15" s="3193"/>
      <c r="V15" s="49">
        <f>T15*$U$9</f>
        <v>881.4</v>
      </c>
      <c r="W15" s="49">
        <f>AN15</f>
        <v>265.7</v>
      </c>
      <c r="X15" s="278">
        <v>1</v>
      </c>
      <c r="Y15" s="24">
        <v>30</v>
      </c>
      <c r="Z15" s="48">
        <f>X15*Y15</f>
        <v>30</v>
      </c>
      <c r="AA15" s="278"/>
      <c r="AB15" s="24">
        <v>15</v>
      </c>
      <c r="AC15" s="48">
        <f>AA15*AB15</f>
        <v>0</v>
      </c>
      <c r="AD15" s="278"/>
      <c r="AE15" s="24">
        <v>30</v>
      </c>
      <c r="AF15" s="48">
        <f>AD15*AE15</f>
        <v>0</v>
      </c>
      <c r="AG15" s="48">
        <f>(Z15+AC15+AF15)*1%*30</f>
        <v>9</v>
      </c>
      <c r="AH15" s="48">
        <f>Z15+AC15+AF15+AG15</f>
        <v>39</v>
      </c>
      <c r="AI15" s="34">
        <f t="shared" si="9"/>
        <v>73450</v>
      </c>
      <c r="AJ15" s="34">
        <f t="shared" si="10"/>
        <v>881.4</v>
      </c>
      <c r="AK15" s="50">
        <f t="shared" si="19"/>
        <v>193.9</v>
      </c>
      <c r="AL15" s="50">
        <f>865*0.029*C15</f>
        <v>25.1</v>
      </c>
      <c r="AM15" s="50">
        <f t="shared" si="11"/>
        <v>46.7</v>
      </c>
      <c r="AN15" s="50">
        <f t="shared" ref="AN15" si="24">SUM(AK15:AM15)</f>
        <v>265.7</v>
      </c>
      <c r="AP15" s="51"/>
    </row>
    <row r="16" spans="1:42" ht="27" customHeight="1" x14ac:dyDescent="0.2">
      <c r="A16" s="278">
        <v>8</v>
      </c>
      <c r="B16" s="52" t="s">
        <v>28</v>
      </c>
      <c r="C16" s="54">
        <v>5</v>
      </c>
      <c r="D16" s="53">
        <v>9.593</v>
      </c>
      <c r="E16" s="46">
        <f t="shared" si="13"/>
        <v>47.97</v>
      </c>
      <c r="F16" s="47">
        <f t="shared" si="14"/>
        <v>575.6</v>
      </c>
      <c r="G16" s="24"/>
      <c r="H16" s="24">
        <f>4.78</f>
        <v>4.8</v>
      </c>
      <c r="I16" s="24"/>
      <c r="J16" s="24"/>
      <c r="K16" s="24">
        <f>D16*0.2*2*12+D16*0.05*5.5+D16*0.2*7.5</f>
        <v>63.1</v>
      </c>
      <c r="L16" s="24">
        <f t="shared" si="12"/>
        <v>185.4</v>
      </c>
      <c r="M16" s="24">
        <f t="shared" si="0"/>
        <v>828.9</v>
      </c>
      <c r="N16" s="48">
        <v>0.43</v>
      </c>
      <c r="O16" s="24">
        <f t="shared" si="1"/>
        <v>356.4</v>
      </c>
      <c r="P16" s="24">
        <f t="shared" si="15"/>
        <v>1185.3</v>
      </c>
      <c r="Q16" s="24">
        <f t="shared" si="16"/>
        <v>948.2</v>
      </c>
      <c r="R16" s="24">
        <f t="shared" si="2"/>
        <v>948.2</v>
      </c>
      <c r="S16" s="24">
        <f t="shared" si="17"/>
        <v>98.6</v>
      </c>
      <c r="T16" s="49">
        <f t="shared" si="3"/>
        <v>3180.3</v>
      </c>
      <c r="U16" s="3193"/>
      <c r="V16" s="49">
        <f>T16*$U$9</f>
        <v>3180.3</v>
      </c>
      <c r="W16" s="49">
        <f t="shared" si="21"/>
        <v>960.5</v>
      </c>
      <c r="X16" s="278"/>
      <c r="Y16" s="24">
        <v>30</v>
      </c>
      <c r="Z16" s="48">
        <f t="shared" si="4"/>
        <v>0</v>
      </c>
      <c r="AA16" s="278"/>
      <c r="AB16" s="24">
        <v>15</v>
      </c>
      <c r="AC16" s="48">
        <f t="shared" si="5"/>
        <v>0</v>
      </c>
      <c r="AD16" s="278"/>
      <c r="AE16" s="24">
        <v>30</v>
      </c>
      <c r="AF16" s="48">
        <f t="shared" si="6"/>
        <v>0</v>
      </c>
      <c r="AG16" s="48">
        <f t="shared" si="7"/>
        <v>0</v>
      </c>
      <c r="AH16" s="48">
        <f t="shared" si="8"/>
        <v>0</v>
      </c>
      <c r="AI16" s="34">
        <f t="shared" si="9"/>
        <v>53005</v>
      </c>
      <c r="AJ16" s="34">
        <f t="shared" si="10"/>
        <v>636.1</v>
      </c>
      <c r="AK16" s="50">
        <f t="shared" si="19"/>
        <v>699.7</v>
      </c>
      <c r="AL16" s="50">
        <f t="shared" si="22"/>
        <v>132.19999999999999</v>
      </c>
      <c r="AM16" s="50">
        <f t="shared" si="11"/>
        <v>168.6</v>
      </c>
      <c r="AN16" s="50">
        <f t="shared" si="20"/>
        <v>1000.5</v>
      </c>
      <c r="AP16" s="51"/>
    </row>
    <row r="17" spans="1:42" ht="27" customHeight="1" x14ac:dyDescent="0.2">
      <c r="A17" s="278">
        <v>9</v>
      </c>
      <c r="B17" s="52" t="s">
        <v>24</v>
      </c>
      <c r="C17" s="54">
        <v>15</v>
      </c>
      <c r="D17" s="53">
        <v>8.5419999999999998</v>
      </c>
      <c r="E17" s="46">
        <f t="shared" si="13"/>
        <v>128.13</v>
      </c>
      <c r="F17" s="47">
        <f t="shared" si="14"/>
        <v>1537.6</v>
      </c>
      <c r="G17" s="24"/>
      <c r="H17" s="24">
        <f>14.25</f>
        <v>14.3</v>
      </c>
      <c r="I17" s="24"/>
      <c r="J17" s="24"/>
      <c r="K17" s="24">
        <f>D17*0.2*8*12+D17*0.25*12+D17*0.05*12+D17*0.3*12</f>
        <v>225.5</v>
      </c>
      <c r="L17" s="24">
        <f t="shared" si="12"/>
        <v>495.4</v>
      </c>
      <c r="M17" s="24">
        <f t="shared" si="0"/>
        <v>2272.8000000000002</v>
      </c>
      <c r="N17" s="48">
        <v>0.4</v>
      </c>
      <c r="O17" s="24">
        <f t="shared" si="1"/>
        <v>909.1</v>
      </c>
      <c r="P17" s="24">
        <f t="shared" si="15"/>
        <v>3181.9</v>
      </c>
      <c r="Q17" s="24">
        <f t="shared" si="16"/>
        <v>2545.5</v>
      </c>
      <c r="R17" s="24">
        <f t="shared" si="2"/>
        <v>2545.5</v>
      </c>
      <c r="S17" s="24">
        <f t="shared" si="17"/>
        <v>264.7</v>
      </c>
      <c r="T17" s="49">
        <f t="shared" si="3"/>
        <v>8537.6</v>
      </c>
      <c r="U17" s="3193"/>
      <c r="V17" s="49">
        <f t="shared" si="18"/>
        <v>8537.6</v>
      </c>
      <c r="W17" s="49">
        <f t="shared" si="21"/>
        <v>2578.4</v>
      </c>
      <c r="X17" s="278">
        <v>10</v>
      </c>
      <c r="Y17" s="24">
        <v>30</v>
      </c>
      <c r="Z17" s="48">
        <f t="shared" si="4"/>
        <v>300</v>
      </c>
      <c r="AA17" s="278">
        <v>3</v>
      </c>
      <c r="AB17" s="24">
        <v>15</v>
      </c>
      <c r="AC17" s="48">
        <f t="shared" si="5"/>
        <v>45</v>
      </c>
      <c r="AD17" s="278">
        <v>2</v>
      </c>
      <c r="AE17" s="24">
        <v>30</v>
      </c>
      <c r="AF17" s="48">
        <f t="shared" si="6"/>
        <v>60</v>
      </c>
      <c r="AG17" s="48">
        <f>(Z17+AC17+AF17)*1%*30</f>
        <v>121.5</v>
      </c>
      <c r="AH17" s="48">
        <f t="shared" si="8"/>
        <v>526.5</v>
      </c>
      <c r="AI17" s="34">
        <f t="shared" si="9"/>
        <v>47431.1</v>
      </c>
      <c r="AJ17" s="34">
        <f t="shared" si="10"/>
        <v>569.20000000000005</v>
      </c>
      <c r="AK17" s="50">
        <f t="shared" si="19"/>
        <v>1878.3</v>
      </c>
      <c r="AL17" s="50">
        <f t="shared" si="22"/>
        <v>396.7</v>
      </c>
      <c r="AM17" s="50">
        <f t="shared" si="11"/>
        <v>452.5</v>
      </c>
      <c r="AN17" s="50">
        <f t="shared" si="20"/>
        <v>2727.5</v>
      </c>
      <c r="AP17" s="51"/>
    </row>
    <row r="18" spans="1:42" ht="27" customHeight="1" x14ac:dyDescent="0.2">
      <c r="A18" s="278">
        <v>10</v>
      </c>
      <c r="B18" s="55" t="s">
        <v>26</v>
      </c>
      <c r="C18" s="56">
        <v>16</v>
      </c>
      <c r="D18" s="53">
        <v>4.3109999999999999</v>
      </c>
      <c r="E18" s="46">
        <f>C18*D18</f>
        <v>68.98</v>
      </c>
      <c r="F18" s="47">
        <f>E18*12</f>
        <v>827.8</v>
      </c>
      <c r="G18" s="24"/>
      <c r="H18" s="24">
        <f>27739.8/1000</f>
        <v>27.7</v>
      </c>
      <c r="I18" s="24"/>
      <c r="J18" s="24"/>
      <c r="K18" s="24"/>
      <c r="L18" s="24">
        <v>390</v>
      </c>
      <c r="M18" s="24">
        <f>F18+G18+H18+I18+J18+K18+L18</f>
        <v>1245.5</v>
      </c>
      <c r="N18" s="48">
        <v>0.75</v>
      </c>
      <c r="O18" s="24">
        <f>M18*N18</f>
        <v>934.1</v>
      </c>
      <c r="P18" s="24">
        <f>M18+O18</f>
        <v>2179.6</v>
      </c>
      <c r="Q18" s="24">
        <f>P18*0.8</f>
        <v>1743.7</v>
      </c>
      <c r="R18" s="24">
        <f>P18*0.8</f>
        <v>1743.7</v>
      </c>
      <c r="S18" s="24">
        <f>(P18+Q18+R18)*0.032</f>
        <v>181.3</v>
      </c>
      <c r="T18" s="49">
        <f>P18+Q18+R18+S18</f>
        <v>5848.3</v>
      </c>
      <c r="U18" s="3193"/>
      <c r="V18" s="49">
        <f>T18*$U$9</f>
        <v>5848.3</v>
      </c>
      <c r="W18" s="49">
        <f t="shared" si="21"/>
        <v>1766.2</v>
      </c>
      <c r="X18" s="278">
        <v>7</v>
      </c>
      <c r="Y18" s="24">
        <v>30</v>
      </c>
      <c r="Z18" s="48">
        <f>X18*Y18</f>
        <v>210</v>
      </c>
      <c r="AA18" s="278">
        <v>2</v>
      </c>
      <c r="AB18" s="24">
        <v>15</v>
      </c>
      <c r="AC18" s="48">
        <f>AA18*AB18</f>
        <v>30</v>
      </c>
      <c r="AD18" s="278">
        <v>1</v>
      </c>
      <c r="AE18" s="24">
        <v>30</v>
      </c>
      <c r="AF18" s="48">
        <f>AD18*AE18</f>
        <v>30</v>
      </c>
      <c r="AG18" s="48">
        <f>(Z18+AC18+AF18)*1%*30</f>
        <v>81</v>
      </c>
      <c r="AH18" s="48">
        <f>Z18+AC18+AF18+AG18</f>
        <v>351</v>
      </c>
      <c r="AI18" s="34">
        <f t="shared" si="9"/>
        <v>30459.9</v>
      </c>
      <c r="AJ18" s="34">
        <f t="shared" si="10"/>
        <v>365.5</v>
      </c>
      <c r="AK18" s="50">
        <f t="shared" si="19"/>
        <v>1286.5999999999999</v>
      </c>
      <c r="AL18" s="50">
        <f t="shared" si="22"/>
        <v>423.2</v>
      </c>
      <c r="AM18" s="50">
        <f t="shared" si="11"/>
        <v>310</v>
      </c>
      <c r="AN18" s="50">
        <f t="shared" si="20"/>
        <v>2019.8</v>
      </c>
      <c r="AP18" s="51"/>
    </row>
    <row r="19" spans="1:42" ht="27" customHeight="1" x14ac:dyDescent="0.2">
      <c r="A19" s="278">
        <v>11</v>
      </c>
      <c r="B19" s="55" t="s">
        <v>50</v>
      </c>
      <c r="C19" s="57">
        <v>2</v>
      </c>
      <c r="D19" s="53">
        <v>8.4730000000000008</v>
      </c>
      <c r="E19" s="46">
        <f t="shared" si="13"/>
        <v>16.95</v>
      </c>
      <c r="F19" s="47">
        <f t="shared" si="14"/>
        <v>203.4</v>
      </c>
      <c r="G19" s="24"/>
      <c r="H19" s="24">
        <f>1652.1/1000</f>
        <v>1.7</v>
      </c>
      <c r="I19" s="24"/>
      <c r="J19" s="24"/>
      <c r="K19" s="24">
        <f>D19*0.25*12+D19*0.2*12</f>
        <v>45.8</v>
      </c>
      <c r="L19" s="24">
        <f t="shared" si="12"/>
        <v>65.5</v>
      </c>
      <c r="M19" s="24">
        <f t="shared" si="0"/>
        <v>316.39999999999998</v>
      </c>
      <c r="N19" s="48">
        <v>0.41</v>
      </c>
      <c r="O19" s="24">
        <f t="shared" si="1"/>
        <v>129.69999999999999</v>
      </c>
      <c r="P19" s="24">
        <f t="shared" si="15"/>
        <v>446.1</v>
      </c>
      <c r="Q19" s="24">
        <f t="shared" si="16"/>
        <v>356.9</v>
      </c>
      <c r="R19" s="24">
        <f t="shared" si="2"/>
        <v>356.9</v>
      </c>
      <c r="S19" s="24">
        <f t="shared" si="17"/>
        <v>37.1</v>
      </c>
      <c r="T19" s="49">
        <f t="shared" si="3"/>
        <v>1197</v>
      </c>
      <c r="U19" s="3193"/>
      <c r="V19" s="49">
        <f t="shared" si="18"/>
        <v>1197</v>
      </c>
      <c r="W19" s="49">
        <f t="shared" si="21"/>
        <v>361.5</v>
      </c>
      <c r="X19" s="278">
        <v>2</v>
      </c>
      <c r="Y19" s="24">
        <v>30</v>
      </c>
      <c r="Z19" s="48">
        <f t="shared" si="4"/>
        <v>60</v>
      </c>
      <c r="AA19" s="278"/>
      <c r="AB19" s="24">
        <v>15</v>
      </c>
      <c r="AC19" s="48">
        <f t="shared" si="5"/>
        <v>0</v>
      </c>
      <c r="AD19" s="278"/>
      <c r="AE19" s="24">
        <v>30</v>
      </c>
      <c r="AF19" s="48">
        <f t="shared" si="6"/>
        <v>0</v>
      </c>
      <c r="AG19" s="48">
        <f t="shared" si="7"/>
        <v>18</v>
      </c>
      <c r="AH19" s="48">
        <f t="shared" si="8"/>
        <v>78</v>
      </c>
      <c r="AI19" s="34">
        <f t="shared" si="9"/>
        <v>49875</v>
      </c>
      <c r="AJ19" s="34">
        <f t="shared" si="10"/>
        <v>598.5</v>
      </c>
      <c r="AK19" s="50">
        <f t="shared" si="19"/>
        <v>263.3</v>
      </c>
      <c r="AL19" s="50">
        <f t="shared" si="22"/>
        <v>52.9</v>
      </c>
      <c r="AM19" s="50">
        <f t="shared" si="11"/>
        <v>63.4</v>
      </c>
      <c r="AN19" s="50">
        <f t="shared" si="20"/>
        <v>379.6</v>
      </c>
      <c r="AP19" s="51"/>
    </row>
    <row r="20" spans="1:42" ht="27" customHeight="1" x14ac:dyDescent="0.2">
      <c r="A20" s="278">
        <v>12</v>
      </c>
      <c r="B20" s="52" t="s">
        <v>18</v>
      </c>
      <c r="C20" s="47">
        <v>1</v>
      </c>
      <c r="D20" s="53">
        <v>8.4730000000000008</v>
      </c>
      <c r="E20" s="46">
        <f t="shared" si="13"/>
        <v>8.4700000000000006</v>
      </c>
      <c r="F20" s="47">
        <f t="shared" si="14"/>
        <v>101.6</v>
      </c>
      <c r="G20" s="24"/>
      <c r="H20" s="24">
        <f>826.1/1000</f>
        <v>0.8</v>
      </c>
      <c r="I20" s="24"/>
      <c r="J20" s="24"/>
      <c r="K20" s="24">
        <f>D20*0.35*12+D20*0.05*9</f>
        <v>39.4</v>
      </c>
      <c r="L20" s="24">
        <f t="shared" si="12"/>
        <v>32.700000000000003</v>
      </c>
      <c r="M20" s="24">
        <f t="shared" si="0"/>
        <v>174.5</v>
      </c>
      <c r="N20" s="48">
        <v>0.41</v>
      </c>
      <c r="O20" s="24">
        <f t="shared" si="1"/>
        <v>71.5</v>
      </c>
      <c r="P20" s="24">
        <f t="shared" si="15"/>
        <v>246</v>
      </c>
      <c r="Q20" s="24">
        <f t="shared" si="16"/>
        <v>196.8</v>
      </c>
      <c r="R20" s="24">
        <f t="shared" si="2"/>
        <v>196.8</v>
      </c>
      <c r="S20" s="24">
        <f t="shared" si="17"/>
        <v>20.5</v>
      </c>
      <c r="T20" s="49">
        <f t="shared" si="3"/>
        <v>660.1</v>
      </c>
      <c r="U20" s="3193"/>
      <c r="V20" s="49">
        <f t="shared" si="18"/>
        <v>660.1</v>
      </c>
      <c r="W20" s="49">
        <f t="shared" si="21"/>
        <v>199.4</v>
      </c>
      <c r="X20" s="278"/>
      <c r="Y20" s="24">
        <v>30</v>
      </c>
      <c r="Z20" s="48">
        <f t="shared" si="4"/>
        <v>0</v>
      </c>
      <c r="AA20" s="278"/>
      <c r="AB20" s="24">
        <v>15</v>
      </c>
      <c r="AC20" s="48">
        <f t="shared" si="5"/>
        <v>0</v>
      </c>
      <c r="AD20" s="278"/>
      <c r="AE20" s="24">
        <v>30</v>
      </c>
      <c r="AF20" s="48">
        <f t="shared" si="6"/>
        <v>0</v>
      </c>
      <c r="AG20" s="48">
        <f t="shared" si="7"/>
        <v>0</v>
      </c>
      <c r="AH20" s="48">
        <f t="shared" si="8"/>
        <v>0</v>
      </c>
      <c r="AI20" s="34">
        <f t="shared" si="9"/>
        <v>55008.3</v>
      </c>
      <c r="AJ20" s="34">
        <f t="shared" si="10"/>
        <v>660.1</v>
      </c>
      <c r="AK20" s="50">
        <f t="shared" si="19"/>
        <v>145.19999999999999</v>
      </c>
      <c r="AL20" s="50">
        <f t="shared" si="22"/>
        <v>26.4</v>
      </c>
      <c r="AM20" s="50">
        <f t="shared" si="11"/>
        <v>35</v>
      </c>
      <c r="AN20" s="50">
        <f t="shared" si="20"/>
        <v>206.6</v>
      </c>
      <c r="AP20" s="51"/>
    </row>
    <row r="21" spans="1:42" ht="27" customHeight="1" x14ac:dyDescent="0.2">
      <c r="A21" s="278">
        <v>13</v>
      </c>
      <c r="B21" s="52" t="s">
        <v>106</v>
      </c>
      <c r="C21" s="47">
        <v>1</v>
      </c>
      <c r="D21" s="53">
        <v>8.4730000000000008</v>
      </c>
      <c r="E21" s="46">
        <f t="shared" si="13"/>
        <v>8.4700000000000006</v>
      </c>
      <c r="F21" s="47">
        <f t="shared" si="14"/>
        <v>101.6</v>
      </c>
      <c r="G21" s="24"/>
      <c r="H21" s="24">
        <f>917.9/1000</f>
        <v>0.9</v>
      </c>
      <c r="I21" s="24"/>
      <c r="J21" s="24"/>
      <c r="K21" s="24"/>
      <c r="L21" s="24">
        <f t="shared" si="12"/>
        <v>32.700000000000003</v>
      </c>
      <c r="M21" s="24">
        <f t="shared" si="0"/>
        <v>135.19999999999999</v>
      </c>
      <c r="N21" s="48">
        <v>0.47</v>
      </c>
      <c r="O21" s="24">
        <f t="shared" si="1"/>
        <v>63.5</v>
      </c>
      <c r="P21" s="24">
        <f t="shared" si="15"/>
        <v>198.7</v>
      </c>
      <c r="Q21" s="24">
        <f t="shared" si="16"/>
        <v>159</v>
      </c>
      <c r="R21" s="24">
        <f t="shared" si="2"/>
        <v>159</v>
      </c>
      <c r="S21" s="24">
        <f t="shared" si="17"/>
        <v>16.5</v>
      </c>
      <c r="T21" s="49">
        <f t="shared" si="3"/>
        <v>533.20000000000005</v>
      </c>
      <c r="U21" s="3193"/>
      <c r="V21" s="49">
        <f t="shared" si="18"/>
        <v>533.20000000000005</v>
      </c>
      <c r="W21" s="49">
        <f t="shared" si="21"/>
        <v>161</v>
      </c>
      <c r="X21" s="278"/>
      <c r="Y21" s="24">
        <v>30</v>
      </c>
      <c r="Z21" s="48">
        <f t="shared" si="4"/>
        <v>0</v>
      </c>
      <c r="AA21" s="278"/>
      <c r="AB21" s="24">
        <v>15</v>
      </c>
      <c r="AC21" s="48">
        <f t="shared" si="5"/>
        <v>0</v>
      </c>
      <c r="AD21" s="278"/>
      <c r="AE21" s="24">
        <v>30</v>
      </c>
      <c r="AF21" s="48">
        <f t="shared" si="6"/>
        <v>0</v>
      </c>
      <c r="AG21" s="48">
        <f t="shared" si="7"/>
        <v>0</v>
      </c>
      <c r="AH21" s="48">
        <f t="shared" si="8"/>
        <v>0</v>
      </c>
      <c r="AI21" s="34">
        <f t="shared" si="9"/>
        <v>44433.3</v>
      </c>
      <c r="AJ21" s="34">
        <f t="shared" si="10"/>
        <v>533.20000000000005</v>
      </c>
      <c r="AK21" s="50">
        <f t="shared" si="19"/>
        <v>117.3</v>
      </c>
      <c r="AL21" s="50">
        <f t="shared" si="22"/>
        <v>26.4</v>
      </c>
      <c r="AM21" s="50">
        <f t="shared" si="11"/>
        <v>28.3</v>
      </c>
      <c r="AN21" s="50">
        <f t="shared" si="20"/>
        <v>172</v>
      </c>
      <c r="AP21" s="51"/>
    </row>
    <row r="22" spans="1:42" ht="23.25" customHeight="1" x14ac:dyDescent="0.2">
      <c r="A22" s="278">
        <v>14</v>
      </c>
      <c r="B22" s="52" t="s">
        <v>29</v>
      </c>
      <c r="C22" s="57">
        <v>1</v>
      </c>
      <c r="D22" s="53">
        <v>8.4730000000000008</v>
      </c>
      <c r="E22" s="46">
        <f>C22*D22</f>
        <v>8.4700000000000006</v>
      </c>
      <c r="F22" s="47">
        <f>E22*12</f>
        <v>101.6</v>
      </c>
      <c r="G22" s="24"/>
      <c r="H22" s="24">
        <f>1239.1/1000</f>
        <v>1.2</v>
      </c>
      <c r="I22" s="24"/>
      <c r="J22" s="24"/>
      <c r="K22" s="24">
        <f>D22*0.4*12</f>
        <v>40.700000000000003</v>
      </c>
      <c r="L22" s="24">
        <f t="shared" si="12"/>
        <v>32.700000000000003</v>
      </c>
      <c r="M22" s="24">
        <f>F22+G22+H22+I22+J22+K22+L22</f>
        <v>176.2</v>
      </c>
      <c r="N22" s="48">
        <v>0.41</v>
      </c>
      <c r="O22" s="24">
        <f t="shared" si="1"/>
        <v>72.2</v>
      </c>
      <c r="P22" s="24">
        <f t="shared" si="15"/>
        <v>248.4</v>
      </c>
      <c r="Q22" s="24">
        <f t="shared" si="16"/>
        <v>198.7</v>
      </c>
      <c r="R22" s="24">
        <f t="shared" si="2"/>
        <v>198.7</v>
      </c>
      <c r="S22" s="24">
        <f t="shared" si="17"/>
        <v>20.7</v>
      </c>
      <c r="T22" s="49">
        <f t="shared" si="3"/>
        <v>666.5</v>
      </c>
      <c r="U22" s="3193"/>
      <c r="V22" s="49">
        <f t="shared" si="18"/>
        <v>666.5</v>
      </c>
      <c r="W22" s="49">
        <f t="shared" si="21"/>
        <v>201.3</v>
      </c>
      <c r="X22" s="278">
        <v>2</v>
      </c>
      <c r="Y22" s="24">
        <v>30</v>
      </c>
      <c r="Z22" s="48">
        <f t="shared" si="4"/>
        <v>60</v>
      </c>
      <c r="AA22" s="278">
        <v>1</v>
      </c>
      <c r="AB22" s="24">
        <v>15</v>
      </c>
      <c r="AC22" s="48">
        <f t="shared" si="5"/>
        <v>15</v>
      </c>
      <c r="AD22" s="278"/>
      <c r="AE22" s="24">
        <v>30</v>
      </c>
      <c r="AF22" s="48">
        <f t="shared" si="6"/>
        <v>0</v>
      </c>
      <c r="AG22" s="48">
        <f t="shared" si="7"/>
        <v>22.5</v>
      </c>
      <c r="AH22" s="48">
        <f t="shared" si="8"/>
        <v>97.5</v>
      </c>
      <c r="AI22" s="34">
        <f t="shared" si="9"/>
        <v>55541.7</v>
      </c>
      <c r="AJ22" s="34">
        <f t="shared" si="10"/>
        <v>666.5</v>
      </c>
      <c r="AK22" s="50">
        <f t="shared" si="19"/>
        <v>146.6</v>
      </c>
      <c r="AL22" s="50">
        <f t="shared" si="22"/>
        <v>26.4</v>
      </c>
      <c r="AM22" s="50">
        <f t="shared" si="11"/>
        <v>35.299999999999997</v>
      </c>
      <c r="AN22" s="50">
        <f t="shared" si="20"/>
        <v>208.3</v>
      </c>
      <c r="AP22" s="51"/>
    </row>
    <row r="23" spans="1:42" ht="23.25" customHeight="1" x14ac:dyDescent="0.2">
      <c r="A23" s="278">
        <v>15</v>
      </c>
      <c r="B23" s="52" t="s">
        <v>20</v>
      </c>
      <c r="C23" s="47">
        <v>0.5</v>
      </c>
      <c r="D23" s="53">
        <v>8.4730000000000008</v>
      </c>
      <c r="E23" s="46">
        <f>C23*D23</f>
        <v>4.24</v>
      </c>
      <c r="F23" s="47">
        <f>E23*12</f>
        <v>50.9</v>
      </c>
      <c r="G23" s="24"/>
      <c r="H23" s="24"/>
      <c r="I23" s="24"/>
      <c r="J23" s="24"/>
      <c r="K23" s="24"/>
      <c r="L23" s="24">
        <f t="shared" si="12"/>
        <v>16.399999999999999</v>
      </c>
      <c r="M23" s="24">
        <f>F23+G23+H23+I23+J23+K23+L23</f>
        <v>67.3</v>
      </c>
      <c r="N23" s="48">
        <v>0.41</v>
      </c>
      <c r="O23" s="24">
        <f t="shared" si="1"/>
        <v>27.6</v>
      </c>
      <c r="P23" s="24">
        <f t="shared" si="15"/>
        <v>94.9</v>
      </c>
      <c r="Q23" s="24">
        <f t="shared" si="16"/>
        <v>75.900000000000006</v>
      </c>
      <c r="R23" s="24">
        <f t="shared" si="2"/>
        <v>75.900000000000006</v>
      </c>
      <c r="S23" s="24">
        <f t="shared" si="17"/>
        <v>7.9</v>
      </c>
      <c r="T23" s="49">
        <f t="shared" si="3"/>
        <v>254.6</v>
      </c>
      <c r="U23" s="3193"/>
      <c r="V23" s="49">
        <f t="shared" si="18"/>
        <v>254.6</v>
      </c>
      <c r="W23" s="49">
        <f t="shared" si="21"/>
        <v>76.900000000000006</v>
      </c>
      <c r="X23" s="278"/>
      <c r="Y23" s="24">
        <v>30</v>
      </c>
      <c r="Z23" s="48">
        <f t="shared" si="4"/>
        <v>0</v>
      </c>
      <c r="AA23" s="278"/>
      <c r="AB23" s="24">
        <v>15</v>
      </c>
      <c r="AC23" s="48">
        <f t="shared" si="5"/>
        <v>0</v>
      </c>
      <c r="AD23" s="278"/>
      <c r="AE23" s="24">
        <v>30</v>
      </c>
      <c r="AF23" s="48">
        <f t="shared" si="6"/>
        <v>0</v>
      </c>
      <c r="AG23" s="48">
        <f t="shared" si="7"/>
        <v>0</v>
      </c>
      <c r="AH23" s="48">
        <f t="shared" si="8"/>
        <v>0</v>
      </c>
      <c r="AI23" s="34">
        <f t="shared" si="9"/>
        <v>42433.3</v>
      </c>
      <c r="AJ23" s="34">
        <f t="shared" si="10"/>
        <v>509.2</v>
      </c>
      <c r="AK23" s="50">
        <f t="shared" si="19"/>
        <v>56</v>
      </c>
      <c r="AL23" s="50">
        <f t="shared" si="22"/>
        <v>13.2</v>
      </c>
      <c r="AM23" s="50">
        <f t="shared" si="11"/>
        <v>13.5</v>
      </c>
      <c r="AN23" s="50">
        <f t="shared" si="20"/>
        <v>82.7</v>
      </c>
      <c r="AP23" s="51"/>
    </row>
    <row r="24" spans="1:42" ht="23.25" customHeight="1" x14ac:dyDescent="0.2">
      <c r="A24" s="278">
        <v>16</v>
      </c>
      <c r="B24" s="52" t="s">
        <v>30</v>
      </c>
      <c r="C24" s="57">
        <v>2</v>
      </c>
      <c r="D24" s="53">
        <v>8.4730000000000008</v>
      </c>
      <c r="E24" s="46">
        <f>C24*D24</f>
        <v>16.95</v>
      </c>
      <c r="F24" s="47">
        <f>E24*12</f>
        <v>203.4</v>
      </c>
      <c r="G24" s="24"/>
      <c r="H24" s="24">
        <f>1652.1/1000</f>
        <v>1.7</v>
      </c>
      <c r="I24" s="24"/>
      <c r="J24" s="24"/>
      <c r="K24" s="24">
        <f>D24*0.3*12+D24*0.25*12+D24*0.05*1</f>
        <v>56.3</v>
      </c>
      <c r="L24" s="24">
        <f t="shared" si="12"/>
        <v>65.5</v>
      </c>
      <c r="M24" s="24">
        <f>F24+G24+H24+I24+J24+K24+L24</f>
        <v>326.89999999999998</v>
      </c>
      <c r="N24" s="48">
        <v>0.41</v>
      </c>
      <c r="O24" s="24">
        <f t="shared" si="1"/>
        <v>134</v>
      </c>
      <c r="P24" s="24">
        <f t="shared" si="15"/>
        <v>460.9</v>
      </c>
      <c r="Q24" s="24">
        <f t="shared" si="16"/>
        <v>368.7</v>
      </c>
      <c r="R24" s="24">
        <f t="shared" si="2"/>
        <v>368.7</v>
      </c>
      <c r="S24" s="24">
        <f t="shared" si="17"/>
        <v>38.299999999999997</v>
      </c>
      <c r="T24" s="49">
        <f t="shared" si="3"/>
        <v>1236.5999999999999</v>
      </c>
      <c r="U24" s="3193"/>
      <c r="V24" s="49">
        <f t="shared" si="18"/>
        <v>1236.5999999999999</v>
      </c>
      <c r="W24" s="49">
        <f t="shared" si="21"/>
        <v>373.5</v>
      </c>
      <c r="X24" s="278"/>
      <c r="Y24" s="24">
        <v>30</v>
      </c>
      <c r="Z24" s="48">
        <f t="shared" si="4"/>
        <v>0</v>
      </c>
      <c r="AA24" s="278"/>
      <c r="AB24" s="24">
        <v>15</v>
      </c>
      <c r="AC24" s="48">
        <f t="shared" si="5"/>
        <v>0</v>
      </c>
      <c r="AD24" s="278"/>
      <c r="AE24" s="24">
        <v>30</v>
      </c>
      <c r="AF24" s="48">
        <f t="shared" si="6"/>
        <v>0</v>
      </c>
      <c r="AG24" s="48">
        <f t="shared" si="7"/>
        <v>0</v>
      </c>
      <c r="AH24" s="48">
        <f t="shared" si="8"/>
        <v>0</v>
      </c>
      <c r="AI24" s="34">
        <f t="shared" si="9"/>
        <v>51525</v>
      </c>
      <c r="AJ24" s="34">
        <f t="shared" si="10"/>
        <v>618.29999999999995</v>
      </c>
      <c r="AK24" s="50">
        <f t="shared" si="19"/>
        <v>272.10000000000002</v>
      </c>
      <c r="AL24" s="50">
        <f t="shared" si="22"/>
        <v>52.9</v>
      </c>
      <c r="AM24" s="50">
        <f t="shared" si="11"/>
        <v>65.5</v>
      </c>
      <c r="AN24" s="50">
        <f t="shared" si="20"/>
        <v>390.5</v>
      </c>
      <c r="AP24" s="51"/>
    </row>
    <row r="25" spans="1:42" ht="27" customHeight="1" x14ac:dyDescent="0.2">
      <c r="A25" s="278">
        <v>17</v>
      </c>
      <c r="B25" s="52" t="s">
        <v>33</v>
      </c>
      <c r="C25" s="57">
        <v>1</v>
      </c>
      <c r="D25" s="53">
        <v>8.4730000000000008</v>
      </c>
      <c r="E25" s="46">
        <f t="shared" si="13"/>
        <v>8.4700000000000006</v>
      </c>
      <c r="F25" s="47">
        <f t="shared" si="14"/>
        <v>101.6</v>
      </c>
      <c r="G25" s="24"/>
      <c r="H25" s="24">
        <f>826.1/1000</f>
        <v>0.8</v>
      </c>
      <c r="I25" s="24"/>
      <c r="J25" s="24"/>
      <c r="K25" s="24">
        <f>F25*0.2</f>
        <v>20.3</v>
      </c>
      <c r="L25" s="24">
        <f t="shared" si="12"/>
        <v>32.700000000000003</v>
      </c>
      <c r="M25" s="24">
        <f>F25+G25+H25+I25+J25+K25+L25</f>
        <v>155.4</v>
      </c>
      <c r="N25" s="48">
        <v>0.41</v>
      </c>
      <c r="O25" s="24">
        <f t="shared" si="1"/>
        <v>63.7</v>
      </c>
      <c r="P25" s="24">
        <f t="shared" si="15"/>
        <v>219.1</v>
      </c>
      <c r="Q25" s="24">
        <f t="shared" si="16"/>
        <v>175.3</v>
      </c>
      <c r="R25" s="24">
        <f t="shared" si="2"/>
        <v>175.3</v>
      </c>
      <c r="S25" s="24">
        <f t="shared" si="17"/>
        <v>18.2</v>
      </c>
      <c r="T25" s="49">
        <f t="shared" si="3"/>
        <v>587.9</v>
      </c>
      <c r="U25" s="3193"/>
      <c r="V25" s="49">
        <f t="shared" si="18"/>
        <v>587.9</v>
      </c>
      <c r="W25" s="49">
        <f t="shared" si="21"/>
        <v>177.5</v>
      </c>
      <c r="X25" s="278"/>
      <c r="Y25" s="24">
        <v>30</v>
      </c>
      <c r="Z25" s="48">
        <f t="shared" si="4"/>
        <v>0</v>
      </c>
      <c r="AA25" s="278"/>
      <c r="AB25" s="24">
        <v>15</v>
      </c>
      <c r="AC25" s="48">
        <f t="shared" si="5"/>
        <v>0</v>
      </c>
      <c r="AD25" s="278"/>
      <c r="AE25" s="24">
        <v>30</v>
      </c>
      <c r="AF25" s="48">
        <f t="shared" si="6"/>
        <v>0</v>
      </c>
      <c r="AG25" s="48">
        <f t="shared" si="7"/>
        <v>0</v>
      </c>
      <c r="AH25" s="48">
        <f t="shared" si="8"/>
        <v>0</v>
      </c>
      <c r="AI25" s="34">
        <f t="shared" si="9"/>
        <v>48991.7</v>
      </c>
      <c r="AJ25" s="34">
        <f t="shared" si="10"/>
        <v>587.9</v>
      </c>
      <c r="AK25" s="50">
        <f t="shared" si="19"/>
        <v>129.30000000000001</v>
      </c>
      <c r="AL25" s="50">
        <f t="shared" si="22"/>
        <v>26.4</v>
      </c>
      <c r="AM25" s="50">
        <f t="shared" si="11"/>
        <v>31.2</v>
      </c>
      <c r="AN25" s="50">
        <f t="shared" si="20"/>
        <v>186.9</v>
      </c>
      <c r="AP25" s="51"/>
    </row>
    <row r="26" spans="1:42" ht="27" customHeight="1" x14ac:dyDescent="0.2">
      <c r="A26" s="278">
        <v>18</v>
      </c>
      <c r="B26" s="55" t="s">
        <v>92</v>
      </c>
      <c r="C26" s="56">
        <v>3</v>
      </c>
      <c r="D26" s="53">
        <v>4.3769999999999998</v>
      </c>
      <c r="E26" s="46">
        <f t="shared" si="13"/>
        <v>13.13</v>
      </c>
      <c r="F26" s="47">
        <f t="shared" si="14"/>
        <v>157.6</v>
      </c>
      <c r="G26" s="24"/>
      <c r="H26" s="24">
        <f>7681.2/1000</f>
        <v>7.7</v>
      </c>
      <c r="I26" s="24"/>
      <c r="J26" s="24"/>
      <c r="K26" s="24"/>
      <c r="L26" s="24">
        <v>105</v>
      </c>
      <c r="M26" s="24">
        <f t="shared" si="0"/>
        <v>270.3</v>
      </c>
      <c r="N26" s="48">
        <v>0.47</v>
      </c>
      <c r="O26" s="24">
        <f t="shared" si="1"/>
        <v>127</v>
      </c>
      <c r="P26" s="24">
        <f t="shared" si="15"/>
        <v>397.3</v>
      </c>
      <c r="Q26" s="24">
        <f t="shared" si="16"/>
        <v>317.8</v>
      </c>
      <c r="R26" s="24">
        <f t="shared" si="2"/>
        <v>317.8</v>
      </c>
      <c r="S26" s="24">
        <f t="shared" si="17"/>
        <v>33.1</v>
      </c>
      <c r="T26" s="49">
        <f t="shared" si="3"/>
        <v>1066</v>
      </c>
      <c r="U26" s="3193"/>
      <c r="V26" s="49">
        <f>T26*$U$9</f>
        <v>1066</v>
      </c>
      <c r="W26" s="49">
        <f t="shared" si="21"/>
        <v>321.89999999999998</v>
      </c>
      <c r="X26" s="278"/>
      <c r="Y26" s="24">
        <v>30</v>
      </c>
      <c r="Z26" s="48">
        <f>X26*Y26</f>
        <v>0</v>
      </c>
      <c r="AA26" s="278"/>
      <c r="AB26" s="24">
        <v>15</v>
      </c>
      <c r="AC26" s="48">
        <f>AA26*AB26</f>
        <v>0</v>
      </c>
      <c r="AD26" s="278"/>
      <c r="AE26" s="24">
        <v>30</v>
      </c>
      <c r="AF26" s="48">
        <f>AD26*AE26</f>
        <v>0</v>
      </c>
      <c r="AG26" s="48">
        <f>(Z26+AC26+AF26)*1%*30</f>
        <v>0</v>
      </c>
      <c r="AH26" s="48">
        <f>Z26+AC26+AF26+AG26</f>
        <v>0</v>
      </c>
      <c r="AI26" s="34">
        <f t="shared" si="9"/>
        <v>29611.1</v>
      </c>
      <c r="AJ26" s="34">
        <f t="shared" si="10"/>
        <v>355.3</v>
      </c>
      <c r="AK26" s="50">
        <f t="shared" si="19"/>
        <v>234.5</v>
      </c>
      <c r="AL26" s="50">
        <f t="shared" si="22"/>
        <v>79.3</v>
      </c>
      <c r="AM26" s="50">
        <f t="shared" si="11"/>
        <v>56.5</v>
      </c>
      <c r="AN26" s="50">
        <f t="shared" si="20"/>
        <v>370.3</v>
      </c>
      <c r="AP26" s="51"/>
    </row>
    <row r="27" spans="1:42" ht="27" customHeight="1" x14ac:dyDescent="0.2">
      <c r="A27" s="278">
        <v>19</v>
      </c>
      <c r="B27" s="44" t="s">
        <v>102</v>
      </c>
      <c r="C27" s="58">
        <v>2</v>
      </c>
      <c r="D27" s="53">
        <v>4.3769999999999998</v>
      </c>
      <c r="E27" s="46">
        <f t="shared" si="13"/>
        <v>8.75</v>
      </c>
      <c r="F27" s="47">
        <f t="shared" si="14"/>
        <v>105</v>
      </c>
      <c r="G27" s="24"/>
      <c r="H27" s="24">
        <f>948.3/1000</f>
        <v>0.9</v>
      </c>
      <c r="I27" s="24"/>
      <c r="J27" s="24"/>
      <c r="K27" s="24"/>
      <c r="L27" s="24">
        <v>72</v>
      </c>
      <c r="M27" s="24">
        <f t="shared" si="0"/>
        <v>177.9</v>
      </c>
      <c r="N27" s="48">
        <v>0.49</v>
      </c>
      <c r="O27" s="24">
        <f t="shared" si="1"/>
        <v>87.2</v>
      </c>
      <c r="P27" s="24">
        <f t="shared" si="15"/>
        <v>265.10000000000002</v>
      </c>
      <c r="Q27" s="24">
        <f t="shared" si="16"/>
        <v>212.1</v>
      </c>
      <c r="R27" s="24">
        <f t="shared" si="2"/>
        <v>212.1</v>
      </c>
      <c r="S27" s="24">
        <f t="shared" si="17"/>
        <v>22.1</v>
      </c>
      <c r="T27" s="49">
        <f t="shared" si="3"/>
        <v>711.4</v>
      </c>
      <c r="U27" s="3193"/>
      <c r="V27" s="49">
        <f>T27*$U$9-0.2</f>
        <v>711.2</v>
      </c>
      <c r="W27" s="49">
        <f>V27*0.302</f>
        <v>214.8</v>
      </c>
      <c r="X27" s="278"/>
      <c r="Y27" s="24">
        <v>30</v>
      </c>
      <c r="Z27" s="48">
        <f>X27*Y27</f>
        <v>0</v>
      </c>
      <c r="AA27" s="278"/>
      <c r="AB27" s="24">
        <v>15</v>
      </c>
      <c r="AC27" s="48">
        <f>AA27*AB27</f>
        <v>0</v>
      </c>
      <c r="AD27" s="278"/>
      <c r="AE27" s="24">
        <v>30</v>
      </c>
      <c r="AF27" s="48">
        <f>AD27*AE27</f>
        <v>0</v>
      </c>
      <c r="AG27" s="48">
        <f>(Z27+AC27+AF27)*1%*30</f>
        <v>0</v>
      </c>
      <c r="AH27" s="48">
        <f>Z27+AC27+AF27+AG27</f>
        <v>0</v>
      </c>
      <c r="AI27" s="34">
        <f t="shared" si="9"/>
        <v>29633.3</v>
      </c>
      <c r="AJ27" s="34">
        <f t="shared" si="10"/>
        <v>355.6</v>
      </c>
      <c r="AK27" s="50">
        <f t="shared" si="19"/>
        <v>156.5</v>
      </c>
      <c r="AL27" s="50">
        <f t="shared" si="22"/>
        <v>52.9</v>
      </c>
      <c r="AM27" s="50">
        <f t="shared" si="11"/>
        <v>37.700000000000003</v>
      </c>
      <c r="AN27" s="50">
        <f t="shared" si="20"/>
        <v>247.1</v>
      </c>
      <c r="AP27" s="51"/>
    </row>
    <row r="28" spans="1:42" s="62" customFormat="1" ht="20.25" customHeight="1" x14ac:dyDescent="0.2">
      <c r="A28" s="3194" t="s">
        <v>97</v>
      </c>
      <c r="B28" s="3195"/>
      <c r="C28" s="59">
        <f t="shared" ref="C28:AH28" si="25">SUM(C9:C27)</f>
        <v>64.5</v>
      </c>
      <c r="D28" s="25">
        <f t="shared" si="25"/>
        <v>181.9</v>
      </c>
      <c r="E28" s="25">
        <f t="shared" si="25"/>
        <v>527.5</v>
      </c>
      <c r="F28" s="25">
        <f t="shared" si="25"/>
        <v>6321.7</v>
      </c>
      <c r="G28" s="25">
        <f t="shared" si="25"/>
        <v>0</v>
      </c>
      <c r="H28" s="25">
        <f>SUM(H9:H27)</f>
        <v>74.400000000000006</v>
      </c>
      <c r="I28" s="25">
        <f t="shared" si="25"/>
        <v>0</v>
      </c>
      <c r="J28" s="25">
        <f t="shared" si="25"/>
        <v>0</v>
      </c>
      <c r="K28" s="25">
        <f t="shared" si="25"/>
        <v>1143.7</v>
      </c>
      <c r="L28" s="25">
        <f t="shared" si="25"/>
        <v>2252.1999999999998</v>
      </c>
      <c r="M28" s="25">
        <f t="shared" si="25"/>
        <v>9792</v>
      </c>
      <c r="N28" s="25">
        <f t="shared" si="25"/>
        <v>9.1999999999999993</v>
      </c>
      <c r="O28" s="25">
        <f t="shared" si="25"/>
        <v>4877.3</v>
      </c>
      <c r="P28" s="25">
        <f t="shared" si="25"/>
        <v>14669.3</v>
      </c>
      <c r="Q28" s="25">
        <f t="shared" si="25"/>
        <v>11735.5</v>
      </c>
      <c r="R28" s="25">
        <f t="shared" si="25"/>
        <v>11735.5</v>
      </c>
      <c r="S28" s="25">
        <f t="shared" si="25"/>
        <v>1220.3</v>
      </c>
      <c r="T28" s="25">
        <f t="shared" si="25"/>
        <v>39360.6</v>
      </c>
      <c r="U28" s="25">
        <f t="shared" si="25"/>
        <v>1</v>
      </c>
      <c r="V28" s="25">
        <f t="shared" si="25"/>
        <v>39360.400000000001</v>
      </c>
      <c r="W28" s="25">
        <f>SUM(W9:W27)</f>
        <v>11654.6</v>
      </c>
      <c r="X28" s="25">
        <f t="shared" si="25"/>
        <v>29</v>
      </c>
      <c r="Y28" s="25">
        <f t="shared" si="25"/>
        <v>570</v>
      </c>
      <c r="Z28" s="25">
        <f t="shared" si="25"/>
        <v>870</v>
      </c>
      <c r="AA28" s="25">
        <f t="shared" si="25"/>
        <v>12</v>
      </c>
      <c r="AB28" s="25">
        <f t="shared" si="25"/>
        <v>285</v>
      </c>
      <c r="AC28" s="25">
        <f t="shared" si="25"/>
        <v>180</v>
      </c>
      <c r="AD28" s="25">
        <f t="shared" si="25"/>
        <v>8</v>
      </c>
      <c r="AE28" s="25">
        <f t="shared" si="25"/>
        <v>570</v>
      </c>
      <c r="AF28" s="25">
        <f t="shared" si="25"/>
        <v>240</v>
      </c>
      <c r="AG28" s="25">
        <f t="shared" si="25"/>
        <v>387</v>
      </c>
      <c r="AH28" s="25">
        <f t="shared" si="25"/>
        <v>1677</v>
      </c>
      <c r="AI28" s="60"/>
      <c r="AJ28" s="61"/>
      <c r="AN28" s="60">
        <f>SUM(AN9:AN27)</f>
        <v>12276.5</v>
      </c>
    </row>
    <row r="29" spans="1:42" s="62" customFormat="1" ht="20.25" customHeight="1" x14ac:dyDescent="0.2">
      <c r="A29" s="63"/>
      <c r="B29" s="63"/>
      <c r="C29" s="26"/>
      <c r="D29" s="26"/>
      <c r="E29" s="26"/>
      <c r="F29" s="26"/>
      <c r="G29" s="26"/>
      <c r="H29" s="26"/>
      <c r="I29" s="26"/>
      <c r="J29" s="26"/>
      <c r="K29" s="26"/>
      <c r="L29" s="26"/>
      <c r="M29" s="26"/>
      <c r="N29" s="26"/>
      <c r="O29" s="26"/>
      <c r="P29" s="26"/>
      <c r="Q29" s="26"/>
      <c r="R29" s="26"/>
      <c r="S29" s="26"/>
      <c r="T29" s="26"/>
      <c r="U29" s="64"/>
      <c r="V29" s="65"/>
      <c r="W29" s="66"/>
      <c r="X29" s="65"/>
      <c r="Y29" s="65"/>
      <c r="Z29" s="65"/>
      <c r="AA29" s="65"/>
      <c r="AB29" s="65"/>
      <c r="AC29" s="65"/>
      <c r="AD29" s="65"/>
      <c r="AE29" s="65"/>
      <c r="AF29" s="65"/>
      <c r="AG29" s="65"/>
      <c r="AH29" s="65"/>
      <c r="AI29" s="67"/>
      <c r="AJ29" s="61"/>
    </row>
    <row r="30" spans="1:42" s="62" customFormat="1" ht="14.25" x14ac:dyDescent="0.2">
      <c r="A30" s="68"/>
      <c r="B30" s="63"/>
      <c r="C30" s="26"/>
      <c r="D30" s="26"/>
      <c r="E30" s="26"/>
      <c r="F30" s="26"/>
      <c r="G30" s="26"/>
      <c r="H30" s="26"/>
      <c r="I30" s="26"/>
      <c r="J30" s="26"/>
      <c r="K30" s="26"/>
      <c r="L30" s="26"/>
      <c r="M30" s="26"/>
      <c r="N30" s="26"/>
      <c r="O30" s="26"/>
      <c r="P30" s="26"/>
      <c r="Q30" s="26"/>
      <c r="R30" s="26"/>
      <c r="S30" s="26"/>
      <c r="T30" s="26"/>
      <c r="U30" s="64"/>
      <c r="V30" s="69"/>
      <c r="W30" s="69"/>
      <c r="X30" s="65"/>
      <c r="Y30" s="65"/>
      <c r="Z30" s="65"/>
      <c r="AA30" s="65"/>
      <c r="AB30" s="65"/>
      <c r="AC30" s="65"/>
      <c r="AD30" s="65"/>
      <c r="AE30" s="65"/>
      <c r="AF30" s="65"/>
      <c r="AG30" s="65"/>
      <c r="AH30" s="65"/>
      <c r="AI30" s="67"/>
      <c r="AJ30" s="61"/>
    </row>
    <row r="31" spans="1:42" s="75" customFormat="1" ht="15" x14ac:dyDescent="0.2">
      <c r="A31" s="70"/>
      <c r="B31" s="70"/>
      <c r="C31" s="71"/>
      <c r="D31" s="72"/>
      <c r="E31" s="72"/>
      <c r="F31" s="72"/>
      <c r="G31" s="72"/>
      <c r="H31" s="73"/>
      <c r="I31" s="73"/>
      <c r="J31" s="27"/>
      <c r="K31" s="27"/>
      <c r="L31" s="27"/>
      <c r="M31" s="27"/>
      <c r="N31" s="74"/>
      <c r="O31" s="27"/>
      <c r="P31" s="27"/>
      <c r="Q31" s="27"/>
      <c r="R31" s="27"/>
      <c r="S31" s="27"/>
      <c r="T31" s="27"/>
      <c r="U31" s="27"/>
      <c r="V31" s="27"/>
      <c r="W31" s="27"/>
      <c r="X31" s="27"/>
      <c r="Y31" s="27"/>
      <c r="Z31" s="27"/>
      <c r="AA31" s="27"/>
      <c r="AB31" s="27"/>
      <c r="AC31" s="27"/>
      <c r="AD31" s="27"/>
      <c r="AE31" s="27"/>
      <c r="AF31" s="27"/>
      <c r="AG31" s="27"/>
      <c r="AH31" s="27"/>
      <c r="AI31" s="27"/>
      <c r="AK31" s="76"/>
      <c r="AL31" s="76"/>
      <c r="AM31" s="76"/>
      <c r="AN31" s="76"/>
      <c r="AO31" s="76"/>
    </row>
    <row r="32" spans="1:42" s="75" customFormat="1" ht="39.75" customHeight="1" x14ac:dyDescent="0.2">
      <c r="A32" s="70"/>
      <c r="B32" s="70"/>
      <c r="C32" s="71"/>
      <c r="D32" s="77"/>
      <c r="E32" s="77"/>
      <c r="F32" s="27"/>
      <c r="G32" s="3191" t="s">
        <v>140</v>
      </c>
      <c r="H32" s="3191"/>
      <c r="I32" s="3188" t="s">
        <v>141</v>
      </c>
      <c r="J32" s="3189"/>
      <c r="K32" s="3188" t="s">
        <v>128</v>
      </c>
      <c r="L32" s="3189"/>
      <c r="M32" s="70"/>
      <c r="N32" s="70"/>
      <c r="O32" s="70"/>
      <c r="P32" s="70"/>
      <c r="Q32" s="27"/>
      <c r="R32" s="27"/>
      <c r="S32" s="27"/>
      <c r="T32" s="27"/>
      <c r="U32" s="27"/>
      <c r="V32" s="27"/>
      <c r="W32" s="27"/>
      <c r="X32" s="27"/>
      <c r="Y32" s="27"/>
      <c r="Z32" s="27"/>
      <c r="AA32" s="27"/>
      <c r="AB32" s="27"/>
      <c r="AC32" s="27"/>
      <c r="AD32" s="27"/>
      <c r="AE32" s="27"/>
      <c r="AF32" s="27"/>
      <c r="AG32" s="27"/>
      <c r="AH32" s="27"/>
      <c r="AI32" s="27"/>
      <c r="AK32" s="76"/>
      <c r="AL32" s="76"/>
      <c r="AM32" s="76"/>
      <c r="AN32" s="76"/>
      <c r="AO32" s="76"/>
    </row>
    <row r="33" spans="1:41" s="75" customFormat="1" ht="15" x14ac:dyDescent="0.2">
      <c r="A33" s="70"/>
      <c r="B33" s="70"/>
      <c r="C33" s="71"/>
      <c r="D33" s="77"/>
      <c r="E33" s="77"/>
      <c r="F33" s="27"/>
      <c r="G33" s="279">
        <v>991</v>
      </c>
      <c r="H33" s="279">
        <v>992</v>
      </c>
      <c r="I33" s="279">
        <v>991</v>
      </c>
      <c r="J33" s="279">
        <v>992</v>
      </c>
      <c r="K33" s="279">
        <v>991</v>
      </c>
      <c r="L33" s="279">
        <v>992</v>
      </c>
      <c r="M33" s="79"/>
      <c r="N33" s="79"/>
      <c r="O33" s="79"/>
      <c r="P33" s="79"/>
      <c r="Q33" s="27"/>
      <c r="R33" s="27"/>
      <c r="S33" s="27"/>
      <c r="T33" s="27"/>
      <c r="U33" s="27"/>
      <c r="V33" s="27"/>
      <c r="W33" s="27"/>
      <c r="X33" s="27"/>
      <c r="Y33" s="27"/>
      <c r="Z33" s="27"/>
      <c r="AA33" s="27"/>
      <c r="AB33" s="27"/>
      <c r="AC33" s="27"/>
      <c r="AD33" s="27"/>
      <c r="AE33" s="27"/>
      <c r="AF33" s="27"/>
      <c r="AG33" s="27"/>
      <c r="AH33" s="27"/>
      <c r="AI33" s="27"/>
      <c r="AK33" s="76"/>
      <c r="AL33" s="76"/>
      <c r="AM33" s="76"/>
      <c r="AN33" s="76"/>
      <c r="AO33" s="76"/>
    </row>
    <row r="34" spans="1:41" s="75" customFormat="1" ht="15" x14ac:dyDescent="0.2">
      <c r="A34" s="70"/>
      <c r="B34" s="70"/>
      <c r="C34" s="71"/>
      <c r="D34" s="77"/>
      <c r="E34" s="77"/>
      <c r="F34" s="27"/>
      <c r="G34" s="29">
        <v>39360.400000000001</v>
      </c>
      <c r="H34" s="29">
        <v>11661.7</v>
      </c>
      <c r="I34" s="29">
        <f>V28</f>
        <v>39360.400000000001</v>
      </c>
      <c r="J34" s="29">
        <f>W28</f>
        <v>11654.6</v>
      </c>
      <c r="K34" s="29">
        <f>G34-I34</f>
        <v>0</v>
      </c>
      <c r="L34" s="29">
        <f>H34-J34</f>
        <v>7.1</v>
      </c>
      <c r="M34" s="80"/>
      <c r="N34" s="80"/>
      <c r="O34" s="80"/>
      <c r="P34" s="80"/>
      <c r="Q34" s="27"/>
      <c r="R34" s="27"/>
      <c r="S34" s="27"/>
      <c r="T34" s="27"/>
      <c r="U34" s="27"/>
      <c r="V34" s="27"/>
      <c r="W34" s="27"/>
      <c r="X34" s="27"/>
      <c r="Y34" s="27"/>
      <c r="Z34" s="27"/>
      <c r="AA34" s="27"/>
      <c r="AB34" s="27"/>
      <c r="AC34" s="27"/>
      <c r="AD34" s="27"/>
      <c r="AE34" s="27"/>
      <c r="AF34" s="27"/>
      <c r="AG34" s="27"/>
      <c r="AH34" s="27"/>
      <c r="AI34" s="27"/>
      <c r="AK34" s="76"/>
      <c r="AL34" s="76"/>
      <c r="AM34" s="76"/>
      <c r="AN34" s="76"/>
      <c r="AO34" s="76"/>
    </row>
    <row r="35" spans="1:41" s="75" customFormat="1" ht="15" x14ac:dyDescent="0.2">
      <c r="A35" s="70"/>
      <c r="B35" s="70"/>
      <c r="C35" s="71"/>
      <c r="D35" s="77"/>
      <c r="E35" s="77"/>
      <c r="F35" s="27"/>
      <c r="G35" s="27"/>
      <c r="H35" s="73"/>
      <c r="I35" s="73"/>
      <c r="J35" s="27"/>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K35" s="76"/>
      <c r="AL35" s="76"/>
      <c r="AM35" s="76"/>
      <c r="AN35" s="76"/>
      <c r="AO35" s="76"/>
    </row>
    <row r="36" spans="1:41" s="75" customFormat="1" ht="15" x14ac:dyDescent="0.2">
      <c r="A36" s="70"/>
      <c r="B36" s="70"/>
      <c r="C36" s="71"/>
      <c r="D36" s="77"/>
      <c r="E36" s="77"/>
      <c r="F36" s="27"/>
      <c r="G36" s="27"/>
      <c r="H36" s="73"/>
      <c r="I36" s="73"/>
      <c r="J36" s="27"/>
      <c r="K36" s="27"/>
      <c r="L36" s="27"/>
      <c r="M36" s="27"/>
      <c r="N36" s="74"/>
      <c r="O36" s="27"/>
      <c r="P36" s="27"/>
      <c r="Q36" s="27"/>
      <c r="R36" s="27"/>
      <c r="S36" s="27"/>
      <c r="T36" s="27"/>
      <c r="U36" s="27"/>
      <c r="V36" s="27"/>
      <c r="W36" s="27"/>
      <c r="X36" s="27"/>
      <c r="Y36" s="27"/>
      <c r="Z36" s="27"/>
      <c r="AA36" s="27"/>
      <c r="AB36" s="27"/>
      <c r="AC36" s="27"/>
      <c r="AD36" s="27"/>
      <c r="AE36" s="27"/>
      <c r="AF36" s="27"/>
      <c r="AG36" s="27"/>
      <c r="AH36" s="27"/>
      <c r="AI36" s="27"/>
      <c r="AK36" s="76"/>
      <c r="AL36" s="76"/>
      <c r="AM36" s="76"/>
      <c r="AN36" s="76"/>
      <c r="AO36" s="76"/>
    </row>
    <row r="37" spans="1:41" s="282" customFormat="1" ht="20.25" x14ac:dyDescent="0.2">
      <c r="A37" s="81"/>
      <c r="B37" s="82" t="s">
        <v>138</v>
      </c>
      <c r="C37" s="83"/>
      <c r="D37" s="84"/>
      <c r="E37" s="84"/>
      <c r="F37" s="85"/>
      <c r="G37" s="85"/>
      <c r="H37" s="86"/>
      <c r="I37" s="86"/>
      <c r="J37" s="85"/>
      <c r="K37" s="30" t="s">
        <v>166</v>
      </c>
      <c r="L37" s="85"/>
      <c r="M37" s="85"/>
      <c r="N37" s="87"/>
      <c r="O37" s="85"/>
      <c r="P37" s="85"/>
      <c r="Q37" s="85"/>
      <c r="R37" s="85"/>
      <c r="S37" s="85"/>
      <c r="T37" s="85"/>
      <c r="U37" s="85"/>
      <c r="V37" s="85"/>
      <c r="W37" s="85"/>
      <c r="X37" s="85"/>
      <c r="Y37" s="85"/>
      <c r="Z37" s="85"/>
      <c r="AA37" s="85"/>
      <c r="AB37" s="85"/>
      <c r="AC37" s="85"/>
      <c r="AD37" s="85"/>
      <c r="AE37" s="85"/>
      <c r="AF37" s="85"/>
      <c r="AG37" s="85"/>
      <c r="AH37" s="85"/>
      <c r="AI37" s="85"/>
      <c r="AK37" s="88"/>
      <c r="AL37" s="88"/>
      <c r="AM37" s="88"/>
      <c r="AN37" s="88"/>
      <c r="AO37" s="88"/>
    </row>
    <row r="38" spans="1:41" s="75" customFormat="1" ht="15" x14ac:dyDescent="0.2">
      <c r="A38" s="70"/>
      <c r="B38" s="70"/>
      <c r="C38" s="71"/>
      <c r="D38" s="77"/>
      <c r="E38" s="77"/>
      <c r="F38" s="27"/>
      <c r="G38" s="27"/>
      <c r="H38" s="73"/>
      <c r="I38" s="73"/>
      <c r="J38" s="27"/>
      <c r="K38" s="27"/>
      <c r="L38" s="27"/>
      <c r="M38" s="27"/>
      <c r="N38" s="74"/>
      <c r="O38" s="27"/>
      <c r="P38" s="27"/>
      <c r="Q38" s="27"/>
      <c r="R38" s="27"/>
      <c r="S38" s="27"/>
      <c r="T38" s="27"/>
      <c r="U38" s="27"/>
      <c r="V38" s="27"/>
      <c r="W38" s="27"/>
      <c r="X38" s="27"/>
      <c r="Y38" s="27"/>
      <c r="Z38" s="27"/>
      <c r="AA38" s="27"/>
      <c r="AB38" s="27"/>
      <c r="AC38" s="27"/>
      <c r="AD38" s="27"/>
      <c r="AE38" s="27"/>
      <c r="AF38" s="27"/>
      <c r="AG38" s="27"/>
      <c r="AH38" s="27"/>
      <c r="AI38" s="27"/>
      <c r="AK38" s="76"/>
      <c r="AL38" s="76"/>
      <c r="AM38" s="76"/>
      <c r="AN38" s="76"/>
      <c r="AO38" s="76"/>
    </row>
    <row r="39" spans="1:41" s="75" customFormat="1" ht="20.25" customHeight="1" x14ac:dyDescent="0.2">
      <c r="A39" s="89" t="s">
        <v>96</v>
      </c>
      <c r="B39" s="89"/>
      <c r="C39" s="31"/>
      <c r="D39" s="31"/>
      <c r="E39" s="31"/>
      <c r="F39" s="31"/>
      <c r="G39" s="31"/>
      <c r="H39" s="31"/>
      <c r="I39" s="31"/>
      <c r="J39" s="31"/>
      <c r="K39" s="31"/>
      <c r="L39" s="90"/>
      <c r="M39" s="90"/>
      <c r="N39" s="91"/>
      <c r="O39" s="90"/>
      <c r="P39" s="90"/>
      <c r="Q39" s="90"/>
      <c r="R39" s="90"/>
      <c r="S39" s="90"/>
      <c r="T39" s="90"/>
      <c r="U39" s="90"/>
      <c r="V39" s="90"/>
      <c r="W39" s="90"/>
      <c r="X39" s="90"/>
      <c r="Y39" s="90"/>
      <c r="Z39" s="90"/>
      <c r="AA39" s="90"/>
      <c r="AB39" s="90"/>
      <c r="AC39" s="90"/>
      <c r="AD39" s="90"/>
      <c r="AE39" s="90"/>
      <c r="AF39" s="90"/>
      <c r="AG39" s="90"/>
      <c r="AH39" s="90"/>
      <c r="AI39" s="90"/>
      <c r="AK39" s="76"/>
      <c r="AL39" s="76"/>
      <c r="AM39" s="76"/>
      <c r="AN39" s="76"/>
      <c r="AO39" s="76"/>
    </row>
    <row r="40" spans="1:41" s="75" customFormat="1" ht="20.25" customHeight="1" x14ac:dyDescent="0.2">
      <c r="A40" s="89" t="s">
        <v>139</v>
      </c>
      <c r="B40" s="92"/>
      <c r="C40" s="93"/>
      <c r="D40" s="93"/>
      <c r="E40" s="32"/>
      <c r="F40" s="32"/>
      <c r="G40" s="32"/>
      <c r="H40" s="32"/>
      <c r="I40" s="32"/>
      <c r="J40" s="32"/>
      <c r="K40" s="32"/>
      <c r="L40" s="90"/>
      <c r="M40" s="90"/>
      <c r="N40" s="90"/>
      <c r="O40" s="90"/>
      <c r="P40" s="90"/>
      <c r="Q40" s="90"/>
      <c r="R40" s="90"/>
      <c r="S40" s="90"/>
      <c r="T40" s="90"/>
      <c r="U40" s="90"/>
      <c r="V40" s="90"/>
      <c r="W40" s="90"/>
      <c r="X40" s="90"/>
      <c r="Y40" s="90"/>
      <c r="Z40" s="90"/>
      <c r="AA40" s="90"/>
      <c r="AB40" s="90"/>
      <c r="AC40" s="90"/>
      <c r="AD40" s="90"/>
      <c r="AE40" s="90"/>
      <c r="AF40" s="90"/>
      <c r="AG40" s="90"/>
      <c r="AH40" s="90"/>
      <c r="AI40" s="90"/>
      <c r="AK40" s="76"/>
      <c r="AL40" s="76"/>
      <c r="AM40" s="76"/>
      <c r="AN40" s="76"/>
      <c r="AO40" s="76"/>
    </row>
    <row r="41" spans="1:41" ht="15.75" x14ac:dyDescent="0.2">
      <c r="A41" s="3190"/>
      <c r="B41" s="3190"/>
      <c r="C41" s="3190"/>
    </row>
    <row r="43" spans="1:41" x14ac:dyDescent="0.2">
      <c r="E43" s="51"/>
    </row>
    <row r="44" spans="1:41" x14ac:dyDescent="0.2">
      <c r="E44" s="51"/>
    </row>
    <row r="45" spans="1:41" x14ac:dyDescent="0.2">
      <c r="E45" s="51"/>
    </row>
    <row r="46" spans="1:41" x14ac:dyDescent="0.2">
      <c r="E46" s="51"/>
    </row>
    <row r="47" spans="1:41" x14ac:dyDescent="0.2">
      <c r="E47" s="51"/>
    </row>
    <row r="48" spans="1:41" x14ac:dyDescent="0.2">
      <c r="E48" s="51"/>
    </row>
    <row r="49" spans="5:5" x14ac:dyDescent="0.2">
      <c r="E49" s="51"/>
    </row>
    <row r="50" spans="5:5" x14ac:dyDescent="0.2">
      <c r="E50" s="51"/>
    </row>
    <row r="51" spans="5:5" x14ac:dyDescent="0.2">
      <c r="E51" s="51"/>
    </row>
    <row r="52" spans="5:5" x14ac:dyDescent="0.2">
      <c r="E52" s="51"/>
    </row>
    <row r="53" spans="5:5" x14ac:dyDescent="0.2">
      <c r="E53" s="51"/>
    </row>
    <row r="54" spans="5:5" x14ac:dyDescent="0.2">
      <c r="E54" s="51"/>
    </row>
    <row r="55" spans="5:5" x14ac:dyDescent="0.2">
      <c r="E55" s="51"/>
    </row>
    <row r="56" spans="5:5" x14ac:dyDescent="0.2">
      <c r="E56" s="51"/>
    </row>
    <row r="57" spans="5:5" x14ac:dyDescent="0.2">
      <c r="E57" s="51"/>
    </row>
    <row r="58" spans="5:5" x14ac:dyDescent="0.2">
      <c r="E58" s="51"/>
    </row>
    <row r="59" spans="5:5" x14ac:dyDescent="0.2">
      <c r="E59" s="51"/>
    </row>
    <row r="60" spans="5:5" x14ac:dyDescent="0.2">
      <c r="E60" s="51"/>
    </row>
    <row r="61" spans="5:5" x14ac:dyDescent="0.2">
      <c r="E61" s="51"/>
    </row>
    <row r="62" spans="5:5" x14ac:dyDescent="0.2">
      <c r="E62" s="51"/>
    </row>
    <row r="63" spans="5:5" x14ac:dyDescent="0.2">
      <c r="E63" s="51"/>
    </row>
    <row r="64" spans="5:5" x14ac:dyDescent="0.2">
      <c r="E64" s="51"/>
    </row>
    <row r="65" spans="5:5" x14ac:dyDescent="0.2">
      <c r="E65" s="51"/>
    </row>
    <row r="66" spans="5:5" x14ac:dyDescent="0.2">
      <c r="E66" s="51"/>
    </row>
    <row r="67" spans="5:5" x14ac:dyDescent="0.2">
      <c r="E67" s="51"/>
    </row>
    <row r="68" spans="5:5" x14ac:dyDescent="0.2">
      <c r="E68" s="51"/>
    </row>
    <row r="69" spans="5:5" x14ac:dyDescent="0.2">
      <c r="E69" s="51"/>
    </row>
    <row r="70" spans="5:5" x14ac:dyDescent="0.2">
      <c r="E70" s="51"/>
    </row>
    <row r="71" spans="5:5" x14ac:dyDescent="0.2">
      <c r="E71" s="51"/>
    </row>
    <row r="72" spans="5:5" x14ac:dyDescent="0.2">
      <c r="E72" s="51"/>
    </row>
    <row r="73" spans="5:5" x14ac:dyDescent="0.2">
      <c r="E73" s="51"/>
    </row>
    <row r="74" spans="5:5" x14ac:dyDescent="0.2">
      <c r="E74" s="51"/>
    </row>
  </sheetData>
  <autoFilter ref="A8:AP30"/>
  <mergeCells count="38">
    <mergeCell ref="G32:H32"/>
    <mergeCell ref="I32:J32"/>
    <mergeCell ref="K32:L32"/>
    <mergeCell ref="A41:C41"/>
    <mergeCell ref="AA6:AC6"/>
    <mergeCell ref="R6:R7"/>
    <mergeCell ref="F6:F7"/>
    <mergeCell ref="G6:G7"/>
    <mergeCell ref="H6:H7"/>
    <mergeCell ref="I6:I7"/>
    <mergeCell ref="J6:J7"/>
    <mergeCell ref="K6:K7"/>
    <mergeCell ref="U9:U27"/>
    <mergeCell ref="A28:B28"/>
    <mergeCell ref="S6:S7"/>
    <mergeCell ref="T6:T7"/>
    <mergeCell ref="U6:U7"/>
    <mergeCell ref="L6:L7"/>
    <mergeCell ref="M6:M7"/>
    <mergeCell ref="N6:O6"/>
    <mergeCell ref="P6:P7"/>
    <mergeCell ref="Q6:Q7"/>
    <mergeCell ref="AE1:AH1"/>
    <mergeCell ref="A2:AH2"/>
    <mergeCell ref="A3:AH3"/>
    <mergeCell ref="A5:A7"/>
    <mergeCell ref="B5:B7"/>
    <mergeCell ref="C5:C7"/>
    <mergeCell ref="D5:W5"/>
    <mergeCell ref="X5:AH5"/>
    <mergeCell ref="D6:D7"/>
    <mergeCell ref="E6:E7"/>
    <mergeCell ref="AD6:AF6"/>
    <mergeCell ref="AG6:AG7"/>
    <mergeCell ref="AH6:AH7"/>
    <mergeCell ref="V6:V7"/>
    <mergeCell ref="W6:W7"/>
    <mergeCell ref="X6:Z6"/>
  </mergeCells>
  <printOptions horizontalCentered="1"/>
  <pageMargins left="0.25" right="0.25" top="0.75" bottom="0.75" header="0.3" footer="0.3"/>
  <pageSetup paperSize="9" scale="33" orientation="landscape"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8">
    <tabColor rgb="FF00B050"/>
    <pageSetUpPr fitToPage="1"/>
  </sheetPr>
  <dimension ref="A1:AS43"/>
  <sheetViews>
    <sheetView view="pageBreakPreview" zoomScale="80" zoomScaleNormal="100" zoomScaleSheetLayoutView="80" workbookViewId="0">
      <pane xSplit="3" ySplit="8" topLeftCell="U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12.83203125" style="98" customWidth="1"/>
    <col min="2" max="2" width="30.83203125" style="99" customWidth="1"/>
    <col min="3" max="3" width="13.83203125" style="99" customWidth="1"/>
    <col min="4" max="4" width="11.5" style="99" customWidth="1"/>
    <col min="5" max="5" width="13" style="99" customWidth="1"/>
    <col min="6" max="6" width="14.6640625" style="99" customWidth="1"/>
    <col min="7" max="8" width="13.1640625" style="99" customWidth="1"/>
    <col min="9" max="9" width="11.6640625" style="99" customWidth="1"/>
    <col min="10" max="10" width="16.83203125" style="99" customWidth="1"/>
    <col min="11" max="11" width="12" style="99" customWidth="1"/>
    <col min="12" max="17" width="11.5" style="100" customWidth="1"/>
    <col min="18" max="18" width="14.1640625" style="99" customWidth="1"/>
    <col min="19" max="19" width="15.5" style="99" customWidth="1"/>
    <col min="20" max="20" width="12.33203125" style="99" customWidth="1"/>
    <col min="21" max="21" width="11.6640625" style="99" customWidth="1"/>
    <col min="22" max="23" width="12" style="99" customWidth="1"/>
    <col min="24" max="24" width="12.6640625" style="99" customWidth="1"/>
    <col min="25" max="25" width="12" style="99" customWidth="1"/>
    <col min="26" max="26" width="9.6640625" style="99" customWidth="1"/>
    <col min="27" max="31" width="8.5" style="99" customWidth="1"/>
    <col min="32" max="32" width="9.6640625" style="99" customWidth="1"/>
    <col min="33" max="33" width="9.33203125" style="99" customWidth="1"/>
    <col min="34" max="34" width="12" style="99" customWidth="1"/>
    <col min="35" max="36" width="11.1640625" style="99" customWidth="1"/>
    <col min="37" max="37" width="12.6640625" style="99" customWidth="1"/>
    <col min="38" max="38" width="11.83203125" style="99" hidden="1" customWidth="1"/>
    <col min="39" max="39" width="13" style="99" hidden="1" customWidth="1"/>
    <col min="40" max="42" width="9.33203125" style="22"/>
    <col min="43" max="43" width="11.33203125" style="22" bestFit="1" customWidth="1"/>
    <col min="44" max="16384" width="9.33203125" style="99"/>
  </cols>
  <sheetData>
    <row r="1" spans="1:45" ht="21" customHeight="1" x14ac:dyDescent="0.2">
      <c r="AE1" s="3196"/>
      <c r="AF1" s="3196"/>
      <c r="AG1" s="3196"/>
      <c r="AH1" s="3196"/>
    </row>
    <row r="2" spans="1:45" ht="24" customHeight="1" x14ac:dyDescent="0.2">
      <c r="A2" s="3197" t="s">
        <v>156</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row>
    <row r="4" spans="1:45" x14ac:dyDescent="0.2">
      <c r="L4" s="102">
        <v>3.8399999999999997E-2</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79</v>
      </c>
      <c r="E6" s="3201" t="s">
        <v>69</v>
      </c>
      <c r="F6" s="3201" t="s">
        <v>89</v>
      </c>
      <c r="G6" s="3201" t="s">
        <v>1</v>
      </c>
      <c r="H6" s="3201" t="s">
        <v>2</v>
      </c>
      <c r="I6" s="3201" t="s">
        <v>70</v>
      </c>
      <c r="J6" s="3201" t="s">
        <v>61</v>
      </c>
      <c r="K6" s="3201" t="s">
        <v>27</v>
      </c>
      <c r="L6" s="3203" t="s">
        <v>65</v>
      </c>
      <c r="M6" s="3203" t="s">
        <v>86</v>
      </c>
      <c r="N6" s="3204" t="s">
        <v>91</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286" t="s">
        <v>80</v>
      </c>
      <c r="O7" s="286" t="s">
        <v>81</v>
      </c>
      <c r="P7" s="3204"/>
      <c r="Q7" s="3203"/>
      <c r="R7" s="3201"/>
      <c r="S7" s="3203" t="s">
        <v>67</v>
      </c>
      <c r="T7" s="3201"/>
      <c r="U7" s="3201"/>
      <c r="V7" s="3201"/>
      <c r="W7" s="3201"/>
      <c r="X7" s="285" t="s">
        <v>5</v>
      </c>
      <c r="Y7" s="285" t="s">
        <v>6</v>
      </c>
      <c r="Z7" s="285" t="s">
        <v>74</v>
      </c>
      <c r="AA7" s="285" t="s">
        <v>5</v>
      </c>
      <c r="AB7" s="285" t="s">
        <v>6</v>
      </c>
      <c r="AC7" s="285" t="s">
        <v>75</v>
      </c>
      <c r="AD7" s="285" t="s">
        <v>5</v>
      </c>
      <c r="AE7" s="285" t="s">
        <v>6</v>
      </c>
      <c r="AF7" s="285" t="s">
        <v>76</v>
      </c>
      <c r="AG7" s="3200"/>
      <c r="AH7" s="3200"/>
      <c r="AK7" s="98" t="s">
        <v>64</v>
      </c>
      <c r="AL7" s="98" t="s">
        <v>62</v>
      </c>
      <c r="AM7" s="98" t="s">
        <v>63</v>
      </c>
    </row>
    <row r="8" spans="1:45"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43" t="s">
        <v>116</v>
      </c>
      <c r="AO8" s="43" t="s">
        <v>117</v>
      </c>
      <c r="AP8" s="43" t="s">
        <v>118</v>
      </c>
      <c r="AQ8" s="43" t="s">
        <v>119</v>
      </c>
    </row>
    <row r="9" spans="1:45" ht="16.5" customHeight="1" x14ac:dyDescent="0.2">
      <c r="A9" s="284">
        <v>1</v>
      </c>
      <c r="B9" s="106" t="s">
        <v>21</v>
      </c>
      <c r="C9" s="284">
        <v>1</v>
      </c>
      <c r="D9" s="107">
        <v>22.465</v>
      </c>
      <c r="E9" s="108">
        <f t="shared" ref="E9:E20" si="0">C9*D9</f>
        <v>22.47</v>
      </c>
      <c r="F9" s="109">
        <f t="shared" ref="F9:F19" si="1">E9*12</f>
        <v>269.60000000000002</v>
      </c>
      <c r="G9" s="110"/>
      <c r="H9" s="110"/>
      <c r="I9" s="110"/>
      <c r="J9" s="110"/>
      <c r="K9" s="95">
        <f>D9*0.2*5+D9*0.25*7</f>
        <v>61.8</v>
      </c>
      <c r="L9" s="95">
        <f>$L$4*F9</f>
        <v>10.4</v>
      </c>
      <c r="M9" s="95">
        <f t="shared" ref="M9:M19" si="2">F9+G9+H9+I9+J9+K9+L9</f>
        <v>341.8</v>
      </c>
      <c r="N9" s="111">
        <v>0.47</v>
      </c>
      <c r="O9" s="95">
        <f t="shared" ref="O9:O19" si="3">M9*N9</f>
        <v>160.6</v>
      </c>
      <c r="P9" s="95">
        <f t="shared" ref="P9:P19" si="4">M9+O9</f>
        <v>502.4</v>
      </c>
      <c r="Q9" s="95">
        <f t="shared" ref="Q9:Q19" si="5">P9*0.8</f>
        <v>401.9</v>
      </c>
      <c r="R9" s="95">
        <f t="shared" ref="R9:R19" si="6">P9*0.8</f>
        <v>401.9</v>
      </c>
      <c r="S9" s="95">
        <f t="shared" ref="S9:S19" si="7">(P9+Q9+R9)*0.032</f>
        <v>41.8</v>
      </c>
      <c r="T9" s="95">
        <f>P9+Q9+R9+S9</f>
        <v>1348</v>
      </c>
      <c r="U9" s="3205">
        <v>1</v>
      </c>
      <c r="V9" s="95">
        <f>T9*$U$9</f>
        <v>1348</v>
      </c>
      <c r="W9" s="95">
        <f>AQ9</f>
        <v>369.3</v>
      </c>
      <c r="X9" s="284">
        <v>1</v>
      </c>
      <c r="Y9" s="112">
        <v>30</v>
      </c>
      <c r="Z9" s="113">
        <f t="shared" ref="Z9:Z20" si="8">X9*Y9</f>
        <v>30</v>
      </c>
      <c r="AA9" s="284"/>
      <c r="AB9" s="112">
        <v>15</v>
      </c>
      <c r="AC9" s="113">
        <f t="shared" ref="AC9:AC20" si="9">AA9*AB9</f>
        <v>0</v>
      </c>
      <c r="AD9" s="284"/>
      <c r="AE9" s="112">
        <v>30</v>
      </c>
      <c r="AF9" s="113">
        <f>AD9*AE9</f>
        <v>0</v>
      </c>
      <c r="AG9" s="113">
        <f>(Z9+AC9+AF9)*1%*30</f>
        <v>9</v>
      </c>
      <c r="AH9" s="113">
        <f>Z9+AC9+AF9+AG9</f>
        <v>39</v>
      </c>
      <c r="AI9" s="114">
        <f t="shared" ref="AI9:AI19" si="10">V9/12/C9*1000</f>
        <v>112333.3</v>
      </c>
      <c r="AJ9" s="114"/>
      <c r="AK9" s="114">
        <f t="shared" ref="AK9:AK20" si="11">V9/C9</f>
        <v>1348</v>
      </c>
      <c r="AL9" s="114">
        <f>((979*0.302)+((AK9-979)*0.182))</f>
        <v>362.8</v>
      </c>
      <c r="AM9" s="115">
        <f>AL9/AK9</f>
        <v>0.26900000000000002</v>
      </c>
      <c r="AN9" s="50">
        <f>1150*0.22*C9+(V9-1150*C9)*0.1</f>
        <v>272.8</v>
      </c>
      <c r="AO9" s="116">
        <f>865*0.029</f>
        <v>25.1</v>
      </c>
      <c r="AP9" s="116">
        <f>AK9*0.053</f>
        <v>71.400000000000006</v>
      </c>
      <c r="AQ9" s="50">
        <f>SUM(AN9:AP9)</f>
        <v>369.3</v>
      </c>
      <c r="AS9" s="115"/>
    </row>
    <row r="10" spans="1:45" ht="15" x14ac:dyDescent="0.2">
      <c r="A10" s="284">
        <v>2</v>
      </c>
      <c r="B10" s="106" t="s">
        <v>125</v>
      </c>
      <c r="C10" s="284">
        <v>1</v>
      </c>
      <c r="D10" s="107">
        <v>17.972000000000001</v>
      </c>
      <c r="E10" s="108">
        <f t="shared" si="0"/>
        <v>17.97</v>
      </c>
      <c r="F10" s="109">
        <f t="shared" si="1"/>
        <v>215.6</v>
      </c>
      <c r="G10" s="110"/>
      <c r="H10" s="110"/>
      <c r="I10" s="110"/>
      <c r="J10" s="110"/>
      <c r="K10" s="95">
        <f>F10*0.3</f>
        <v>64.7</v>
      </c>
      <c r="L10" s="95">
        <f t="shared" ref="L10:L20" si="12">$L$4*F10</f>
        <v>8.3000000000000007</v>
      </c>
      <c r="M10" s="95">
        <f t="shared" si="2"/>
        <v>288.60000000000002</v>
      </c>
      <c r="N10" s="111">
        <v>0.47</v>
      </c>
      <c r="O10" s="95">
        <f t="shared" si="3"/>
        <v>135.6</v>
      </c>
      <c r="P10" s="95">
        <f t="shared" si="4"/>
        <v>424.2</v>
      </c>
      <c r="Q10" s="95">
        <f t="shared" si="5"/>
        <v>339.4</v>
      </c>
      <c r="R10" s="95">
        <f t="shared" si="6"/>
        <v>339.4</v>
      </c>
      <c r="S10" s="95">
        <f t="shared" si="7"/>
        <v>35.299999999999997</v>
      </c>
      <c r="T10" s="95">
        <f t="shared" ref="T10:T19" si="13">P10+Q10+R10+S10</f>
        <v>1138.3</v>
      </c>
      <c r="U10" s="3206"/>
      <c r="V10" s="95">
        <f>T10*$U$9</f>
        <v>1138.3</v>
      </c>
      <c r="W10" s="95">
        <f>AQ10</f>
        <v>337.2</v>
      </c>
      <c r="X10" s="284"/>
      <c r="Y10" s="112">
        <v>30</v>
      </c>
      <c r="Z10" s="113">
        <f t="shared" si="8"/>
        <v>0</v>
      </c>
      <c r="AA10" s="284"/>
      <c r="AB10" s="112">
        <v>15</v>
      </c>
      <c r="AC10" s="113">
        <f t="shared" si="9"/>
        <v>0</v>
      </c>
      <c r="AD10" s="284"/>
      <c r="AE10" s="112">
        <v>30</v>
      </c>
      <c r="AF10" s="113">
        <f t="shared" ref="AF10:AF20" si="14">AD10*AE10</f>
        <v>0</v>
      </c>
      <c r="AG10" s="113">
        <f t="shared" ref="AG10:AG20" si="15">(Z10+AC10+AF10)*1%*30</f>
        <v>0</v>
      </c>
      <c r="AH10" s="113">
        <f t="shared" ref="AH10:AH20" si="16">Z10+AC10+AF10+AG10</f>
        <v>0</v>
      </c>
      <c r="AI10" s="114">
        <f t="shared" si="10"/>
        <v>94858.3</v>
      </c>
      <c r="AJ10" s="114"/>
      <c r="AK10" s="114">
        <f t="shared" si="11"/>
        <v>1138.3</v>
      </c>
      <c r="AL10" s="114">
        <f t="shared" ref="AL10:AL20" si="17">((979*0.302)+((AK10-979)*0.182))</f>
        <v>324.7</v>
      </c>
      <c r="AM10" s="115">
        <f>AL10/AK10</f>
        <v>0.28499999999999998</v>
      </c>
      <c r="AN10" s="50">
        <f>1150*0.22*C10+(V10-1150*C10)*0.1</f>
        <v>251.8</v>
      </c>
      <c r="AO10" s="116">
        <f>865*0.029</f>
        <v>25.1</v>
      </c>
      <c r="AP10" s="116">
        <f>AK10*0.053</f>
        <v>60.3</v>
      </c>
      <c r="AQ10" s="50">
        <f>SUM(AN10:AP10)</f>
        <v>337.2</v>
      </c>
      <c r="AS10" s="115"/>
    </row>
    <row r="11" spans="1:45" ht="15" x14ac:dyDescent="0.2">
      <c r="A11" s="284">
        <v>3</v>
      </c>
      <c r="B11" s="117" t="s">
        <v>29</v>
      </c>
      <c r="C11" s="118">
        <v>1</v>
      </c>
      <c r="D11" s="107">
        <v>8.4730000000000008</v>
      </c>
      <c r="E11" s="119">
        <f t="shared" si="0"/>
        <v>8.4700000000000006</v>
      </c>
      <c r="F11" s="110">
        <f t="shared" si="1"/>
        <v>101.6</v>
      </c>
      <c r="G11" s="110"/>
      <c r="H11" s="110"/>
      <c r="I11" s="110"/>
      <c r="J11" s="110"/>
      <c r="K11" s="95"/>
      <c r="L11" s="95">
        <f t="shared" si="12"/>
        <v>3.9</v>
      </c>
      <c r="M11" s="95">
        <f t="shared" si="2"/>
        <v>105.5</v>
      </c>
      <c r="N11" s="111">
        <v>0.41</v>
      </c>
      <c r="O11" s="95">
        <f t="shared" si="3"/>
        <v>43.3</v>
      </c>
      <c r="P11" s="95">
        <f t="shared" si="4"/>
        <v>148.80000000000001</v>
      </c>
      <c r="Q11" s="95">
        <f t="shared" si="5"/>
        <v>119</v>
      </c>
      <c r="R11" s="95">
        <f t="shared" si="6"/>
        <v>119</v>
      </c>
      <c r="S11" s="95">
        <f t="shared" si="7"/>
        <v>12.4</v>
      </c>
      <c r="T11" s="95">
        <f t="shared" si="13"/>
        <v>399.2</v>
      </c>
      <c r="U11" s="3206"/>
      <c r="V11" s="95">
        <f t="shared" ref="V11:V19" si="18">T11*$U$9</f>
        <v>399.2</v>
      </c>
      <c r="W11" s="95">
        <f t="shared" ref="W11:W20" si="19">V11*0.302</f>
        <v>120.6</v>
      </c>
      <c r="X11" s="120"/>
      <c r="Y11" s="112">
        <v>30</v>
      </c>
      <c r="Z11" s="113">
        <f t="shared" si="8"/>
        <v>0</v>
      </c>
      <c r="AA11" s="120"/>
      <c r="AB11" s="112">
        <v>15</v>
      </c>
      <c r="AC11" s="113">
        <f t="shared" si="9"/>
        <v>0</v>
      </c>
      <c r="AD11" s="120"/>
      <c r="AE11" s="112">
        <v>30</v>
      </c>
      <c r="AF11" s="113">
        <f t="shared" si="14"/>
        <v>0</v>
      </c>
      <c r="AG11" s="113">
        <f t="shared" si="15"/>
        <v>0</v>
      </c>
      <c r="AH11" s="113">
        <f t="shared" si="16"/>
        <v>0</v>
      </c>
      <c r="AI11" s="114">
        <f t="shared" si="10"/>
        <v>33266.699999999997</v>
      </c>
      <c r="AJ11" s="114"/>
      <c r="AK11" s="114">
        <f t="shared" si="11"/>
        <v>399.2</v>
      </c>
      <c r="AL11" s="114">
        <f t="shared" si="17"/>
        <v>190.1</v>
      </c>
      <c r="AM11" s="115">
        <v>0.30199999999999999</v>
      </c>
      <c r="AN11" s="116"/>
      <c r="AO11" s="116"/>
      <c r="AP11" s="116"/>
      <c r="AQ11" s="116"/>
      <c r="AS11" s="115"/>
    </row>
    <row r="12" spans="1:45" s="126" customFormat="1" ht="25.5" x14ac:dyDescent="0.2">
      <c r="A12" s="284">
        <v>4</v>
      </c>
      <c r="B12" s="121" t="s">
        <v>31</v>
      </c>
      <c r="C12" s="122">
        <v>1</v>
      </c>
      <c r="D12" s="107">
        <v>11.061999999999999</v>
      </c>
      <c r="E12" s="123">
        <f t="shared" si="0"/>
        <v>11.06</v>
      </c>
      <c r="F12" s="124">
        <f t="shared" si="1"/>
        <v>132.69999999999999</v>
      </c>
      <c r="G12" s="124"/>
      <c r="H12" s="124"/>
      <c r="I12" s="124"/>
      <c r="J12" s="125"/>
      <c r="K12" s="96"/>
      <c r="L12" s="95">
        <f t="shared" si="12"/>
        <v>5.0999999999999996</v>
      </c>
      <c r="M12" s="96">
        <f t="shared" si="2"/>
        <v>137.80000000000001</v>
      </c>
      <c r="N12" s="111">
        <v>0.47</v>
      </c>
      <c r="O12" s="96">
        <f t="shared" si="3"/>
        <v>64.8</v>
      </c>
      <c r="P12" s="96">
        <f t="shared" si="4"/>
        <v>202.6</v>
      </c>
      <c r="Q12" s="96">
        <f t="shared" si="5"/>
        <v>162.1</v>
      </c>
      <c r="R12" s="96">
        <f t="shared" si="6"/>
        <v>162.1</v>
      </c>
      <c r="S12" s="96">
        <f t="shared" si="7"/>
        <v>16.899999999999999</v>
      </c>
      <c r="T12" s="96">
        <f t="shared" si="13"/>
        <v>543.70000000000005</v>
      </c>
      <c r="U12" s="3206"/>
      <c r="V12" s="96">
        <f t="shared" si="18"/>
        <v>543.70000000000005</v>
      </c>
      <c r="W12" s="95">
        <f t="shared" si="19"/>
        <v>164.2</v>
      </c>
      <c r="X12" s="122">
        <v>1</v>
      </c>
      <c r="Y12" s="112">
        <v>30</v>
      </c>
      <c r="Z12" s="113">
        <f t="shared" si="8"/>
        <v>30</v>
      </c>
      <c r="AA12" s="122"/>
      <c r="AB12" s="112">
        <v>15</v>
      </c>
      <c r="AC12" s="113">
        <f t="shared" si="9"/>
        <v>0</v>
      </c>
      <c r="AD12" s="122"/>
      <c r="AE12" s="112">
        <v>30</v>
      </c>
      <c r="AF12" s="113">
        <f t="shared" si="14"/>
        <v>0</v>
      </c>
      <c r="AG12" s="113">
        <f t="shared" si="15"/>
        <v>9</v>
      </c>
      <c r="AH12" s="113">
        <f t="shared" si="16"/>
        <v>39</v>
      </c>
      <c r="AI12" s="114">
        <f t="shared" si="10"/>
        <v>45308.3</v>
      </c>
      <c r="AJ12" s="114"/>
      <c r="AK12" s="114">
        <f t="shared" si="11"/>
        <v>543.70000000000005</v>
      </c>
      <c r="AL12" s="114">
        <f t="shared" si="17"/>
        <v>216.4</v>
      </c>
      <c r="AM12" s="115">
        <v>0.30199999999999999</v>
      </c>
      <c r="AN12" s="22"/>
      <c r="AO12" s="116"/>
      <c r="AP12" s="116"/>
      <c r="AQ12" s="116"/>
      <c r="AS12" s="115"/>
    </row>
    <row r="13" spans="1:45" ht="25.5" x14ac:dyDescent="0.2">
      <c r="A13" s="284">
        <v>5</v>
      </c>
      <c r="B13" s="117" t="s">
        <v>108</v>
      </c>
      <c r="C13" s="127">
        <v>2</v>
      </c>
      <c r="D13" s="107">
        <v>8.4730000000000008</v>
      </c>
      <c r="E13" s="119">
        <f t="shared" si="0"/>
        <v>16.95</v>
      </c>
      <c r="F13" s="110">
        <f t="shared" si="1"/>
        <v>203.4</v>
      </c>
      <c r="G13" s="110"/>
      <c r="H13" s="110"/>
      <c r="I13" s="110"/>
      <c r="J13" s="110"/>
      <c r="K13" s="95">
        <f>F13*0.25</f>
        <v>50.9</v>
      </c>
      <c r="L13" s="95">
        <f t="shared" si="12"/>
        <v>7.8</v>
      </c>
      <c r="M13" s="95">
        <f t="shared" si="2"/>
        <v>262.10000000000002</v>
      </c>
      <c r="N13" s="111">
        <v>0.47</v>
      </c>
      <c r="O13" s="95">
        <f t="shared" si="3"/>
        <v>123.2</v>
      </c>
      <c r="P13" s="95">
        <f t="shared" si="4"/>
        <v>385.3</v>
      </c>
      <c r="Q13" s="95">
        <f t="shared" si="5"/>
        <v>308.2</v>
      </c>
      <c r="R13" s="95">
        <f t="shared" si="6"/>
        <v>308.2</v>
      </c>
      <c r="S13" s="95">
        <f t="shared" si="7"/>
        <v>32.1</v>
      </c>
      <c r="T13" s="95">
        <f t="shared" si="13"/>
        <v>1033.8</v>
      </c>
      <c r="U13" s="3206"/>
      <c r="V13" s="95">
        <f>T13*$U$9</f>
        <v>1033.8</v>
      </c>
      <c r="W13" s="95">
        <f t="shared" si="19"/>
        <v>312.2</v>
      </c>
      <c r="X13" s="284">
        <v>1</v>
      </c>
      <c r="Y13" s="112">
        <v>30</v>
      </c>
      <c r="Z13" s="113">
        <f t="shared" si="8"/>
        <v>30</v>
      </c>
      <c r="AA13" s="127">
        <v>1</v>
      </c>
      <c r="AB13" s="112">
        <v>15</v>
      </c>
      <c r="AC13" s="113">
        <f t="shared" si="9"/>
        <v>15</v>
      </c>
      <c r="AD13" s="127"/>
      <c r="AE13" s="112">
        <v>30</v>
      </c>
      <c r="AF13" s="113">
        <f t="shared" si="14"/>
        <v>0</v>
      </c>
      <c r="AG13" s="113">
        <f t="shared" si="15"/>
        <v>13.5</v>
      </c>
      <c r="AH13" s="113">
        <f t="shared" si="16"/>
        <v>58.5</v>
      </c>
      <c r="AI13" s="114">
        <f t="shared" si="10"/>
        <v>43075</v>
      </c>
      <c r="AJ13" s="114"/>
      <c r="AK13" s="114">
        <f t="shared" si="11"/>
        <v>516.9</v>
      </c>
      <c r="AL13" s="114">
        <f t="shared" si="17"/>
        <v>211.6</v>
      </c>
      <c r="AM13" s="115">
        <v>0.30199999999999999</v>
      </c>
      <c r="AQ13" s="116"/>
      <c r="AS13" s="115"/>
    </row>
    <row r="14" spans="1:45" ht="15" x14ac:dyDescent="0.2">
      <c r="A14" s="284">
        <v>6</v>
      </c>
      <c r="B14" s="117" t="s">
        <v>32</v>
      </c>
      <c r="C14" s="128">
        <v>1</v>
      </c>
      <c r="D14" s="107">
        <v>11.061999999999999</v>
      </c>
      <c r="E14" s="119">
        <f t="shared" si="0"/>
        <v>11.06</v>
      </c>
      <c r="F14" s="110">
        <f t="shared" si="1"/>
        <v>132.69999999999999</v>
      </c>
      <c r="G14" s="110"/>
      <c r="H14" s="110"/>
      <c r="I14" s="110"/>
      <c r="J14" s="110"/>
      <c r="K14" s="95"/>
      <c r="L14" s="95">
        <f t="shared" si="12"/>
        <v>5.0999999999999996</v>
      </c>
      <c r="M14" s="95">
        <f t="shared" si="2"/>
        <v>137.80000000000001</v>
      </c>
      <c r="N14" s="111">
        <v>0.43</v>
      </c>
      <c r="O14" s="95">
        <f t="shared" si="3"/>
        <v>59.3</v>
      </c>
      <c r="P14" s="95">
        <f t="shared" si="4"/>
        <v>197.1</v>
      </c>
      <c r="Q14" s="95">
        <f t="shared" si="5"/>
        <v>157.69999999999999</v>
      </c>
      <c r="R14" s="95">
        <f t="shared" si="6"/>
        <v>157.69999999999999</v>
      </c>
      <c r="S14" s="95">
        <f t="shared" si="7"/>
        <v>16.399999999999999</v>
      </c>
      <c r="T14" s="95">
        <f t="shared" si="13"/>
        <v>528.9</v>
      </c>
      <c r="U14" s="3206"/>
      <c r="V14" s="95">
        <f t="shared" si="18"/>
        <v>528.9</v>
      </c>
      <c r="W14" s="95">
        <f t="shared" si="19"/>
        <v>159.69999999999999</v>
      </c>
      <c r="X14" s="284">
        <v>1</v>
      </c>
      <c r="Y14" s="112">
        <v>30</v>
      </c>
      <c r="Z14" s="113">
        <f t="shared" si="8"/>
        <v>30</v>
      </c>
      <c r="AA14" s="127"/>
      <c r="AB14" s="112">
        <v>15</v>
      </c>
      <c r="AC14" s="113">
        <f t="shared" si="9"/>
        <v>0</v>
      </c>
      <c r="AD14" s="127"/>
      <c r="AE14" s="112">
        <v>30</v>
      </c>
      <c r="AF14" s="113">
        <f t="shared" si="14"/>
        <v>0</v>
      </c>
      <c r="AG14" s="113">
        <f t="shared" si="15"/>
        <v>9</v>
      </c>
      <c r="AH14" s="113">
        <f t="shared" si="16"/>
        <v>39</v>
      </c>
      <c r="AI14" s="114">
        <f t="shared" si="10"/>
        <v>44075</v>
      </c>
      <c r="AJ14" s="114"/>
      <c r="AK14" s="114">
        <f t="shared" si="11"/>
        <v>528.9</v>
      </c>
      <c r="AL14" s="114">
        <f t="shared" si="17"/>
        <v>213.7</v>
      </c>
      <c r="AM14" s="115">
        <v>0.30199999999999999</v>
      </c>
      <c r="AO14" s="116"/>
      <c r="AP14" s="116"/>
      <c r="AQ14" s="116"/>
      <c r="AS14" s="115"/>
    </row>
    <row r="15" spans="1:45" x14ac:dyDescent="0.2">
      <c r="A15" s="284">
        <v>7</v>
      </c>
      <c r="B15" s="129" t="s">
        <v>23</v>
      </c>
      <c r="C15" s="128">
        <v>1</v>
      </c>
      <c r="D15" s="107">
        <v>11.061999999999999</v>
      </c>
      <c r="E15" s="119">
        <f t="shared" si="0"/>
        <v>11.06</v>
      </c>
      <c r="F15" s="110">
        <f t="shared" si="1"/>
        <v>132.69999999999999</v>
      </c>
      <c r="G15" s="110"/>
      <c r="H15" s="110"/>
      <c r="I15" s="110"/>
      <c r="J15" s="110"/>
      <c r="K15" s="95">
        <f>D15*0.3*9+D15*0.35*3</f>
        <v>41.5</v>
      </c>
      <c r="L15" s="95">
        <f t="shared" si="12"/>
        <v>5.0999999999999996</v>
      </c>
      <c r="M15" s="95">
        <f t="shared" si="2"/>
        <v>179.3</v>
      </c>
      <c r="N15" s="111">
        <v>0.43</v>
      </c>
      <c r="O15" s="95">
        <f t="shared" si="3"/>
        <v>77.099999999999994</v>
      </c>
      <c r="P15" s="95">
        <f t="shared" si="4"/>
        <v>256.39999999999998</v>
      </c>
      <c r="Q15" s="95">
        <f t="shared" si="5"/>
        <v>205.1</v>
      </c>
      <c r="R15" s="95">
        <f t="shared" si="6"/>
        <v>205.1</v>
      </c>
      <c r="S15" s="95">
        <f t="shared" si="7"/>
        <v>21.3</v>
      </c>
      <c r="T15" s="95">
        <f t="shared" si="13"/>
        <v>687.9</v>
      </c>
      <c r="U15" s="3206"/>
      <c r="V15" s="95">
        <f t="shared" si="18"/>
        <v>687.9</v>
      </c>
      <c r="W15" s="95">
        <f t="shared" si="19"/>
        <v>207.7</v>
      </c>
      <c r="X15" s="118"/>
      <c r="Y15" s="112">
        <v>30</v>
      </c>
      <c r="Z15" s="113">
        <f t="shared" si="8"/>
        <v>0</v>
      </c>
      <c r="AA15" s="118"/>
      <c r="AB15" s="112">
        <v>15</v>
      </c>
      <c r="AC15" s="113">
        <f t="shared" si="9"/>
        <v>0</v>
      </c>
      <c r="AD15" s="118"/>
      <c r="AE15" s="112">
        <v>30</v>
      </c>
      <c r="AF15" s="113">
        <f t="shared" si="14"/>
        <v>0</v>
      </c>
      <c r="AG15" s="113">
        <f t="shared" si="15"/>
        <v>0</v>
      </c>
      <c r="AH15" s="113">
        <f t="shared" si="16"/>
        <v>0</v>
      </c>
      <c r="AI15" s="114">
        <f t="shared" si="10"/>
        <v>57325</v>
      </c>
      <c r="AJ15" s="114"/>
      <c r="AK15" s="114">
        <f t="shared" si="11"/>
        <v>687.9</v>
      </c>
      <c r="AL15" s="114">
        <f t="shared" si="17"/>
        <v>242.7</v>
      </c>
      <c r="AM15" s="115">
        <v>0.30199999999999999</v>
      </c>
      <c r="AS15" s="115"/>
    </row>
    <row r="16" spans="1:45" ht="15" x14ac:dyDescent="0.2">
      <c r="A16" s="284">
        <v>8</v>
      </c>
      <c r="B16" s="129" t="s">
        <v>33</v>
      </c>
      <c r="C16" s="128">
        <v>2</v>
      </c>
      <c r="D16" s="107">
        <v>8.4730000000000008</v>
      </c>
      <c r="E16" s="119">
        <f t="shared" si="0"/>
        <v>16.95</v>
      </c>
      <c r="F16" s="110">
        <f t="shared" si="1"/>
        <v>203.4</v>
      </c>
      <c r="G16" s="124">
        <f>29314.2/1000</f>
        <v>29.3</v>
      </c>
      <c r="H16" s="110">
        <f>9637.5/1000</f>
        <v>9.6</v>
      </c>
      <c r="I16" s="110"/>
      <c r="J16" s="110"/>
      <c r="K16" s="95">
        <f>D16*0.25*10+D16*0.3*2+F16*0.35</f>
        <v>97.5</v>
      </c>
      <c r="L16" s="95">
        <f t="shared" si="12"/>
        <v>7.8</v>
      </c>
      <c r="M16" s="95">
        <f t="shared" si="2"/>
        <v>347.6</v>
      </c>
      <c r="N16" s="111">
        <v>0.41</v>
      </c>
      <c r="O16" s="95">
        <f t="shared" si="3"/>
        <v>142.5</v>
      </c>
      <c r="P16" s="95">
        <f t="shared" si="4"/>
        <v>490.1</v>
      </c>
      <c r="Q16" s="95">
        <f t="shared" si="5"/>
        <v>392.1</v>
      </c>
      <c r="R16" s="95">
        <f t="shared" si="6"/>
        <v>392.1</v>
      </c>
      <c r="S16" s="95">
        <f t="shared" si="7"/>
        <v>40.799999999999997</v>
      </c>
      <c r="T16" s="95">
        <f t="shared" si="13"/>
        <v>1315.1</v>
      </c>
      <c r="U16" s="3206"/>
      <c r="V16" s="95">
        <f t="shared" si="18"/>
        <v>1315.1</v>
      </c>
      <c r="W16" s="95">
        <f t="shared" si="19"/>
        <v>397.2</v>
      </c>
      <c r="X16" s="118">
        <v>1</v>
      </c>
      <c r="Y16" s="112">
        <v>30</v>
      </c>
      <c r="Z16" s="113">
        <f t="shared" si="8"/>
        <v>30</v>
      </c>
      <c r="AA16" s="118"/>
      <c r="AB16" s="112">
        <v>15</v>
      </c>
      <c r="AC16" s="113">
        <f t="shared" si="9"/>
        <v>0</v>
      </c>
      <c r="AD16" s="118"/>
      <c r="AE16" s="112">
        <v>30</v>
      </c>
      <c r="AF16" s="113">
        <f t="shared" si="14"/>
        <v>0</v>
      </c>
      <c r="AG16" s="113">
        <f t="shared" si="15"/>
        <v>9</v>
      </c>
      <c r="AH16" s="113">
        <f t="shared" si="16"/>
        <v>39</v>
      </c>
      <c r="AI16" s="114">
        <f t="shared" si="10"/>
        <v>54795.8</v>
      </c>
      <c r="AJ16" s="114"/>
      <c r="AK16" s="114">
        <f t="shared" si="11"/>
        <v>657.6</v>
      </c>
      <c r="AL16" s="114">
        <f t="shared" si="17"/>
        <v>237.2</v>
      </c>
      <c r="AM16" s="115">
        <v>0.30199999999999999</v>
      </c>
      <c r="AO16" s="116"/>
      <c r="AP16" s="116"/>
      <c r="AQ16" s="116"/>
      <c r="AS16" s="115"/>
    </row>
    <row r="17" spans="1:45" ht="51" x14ac:dyDescent="0.2">
      <c r="A17" s="284">
        <v>9</v>
      </c>
      <c r="B17" s="117" t="s">
        <v>103</v>
      </c>
      <c r="C17" s="128">
        <v>1</v>
      </c>
      <c r="D17" s="107">
        <v>4.4569999999999999</v>
      </c>
      <c r="E17" s="119">
        <f t="shared" si="0"/>
        <v>4.46</v>
      </c>
      <c r="F17" s="110">
        <f t="shared" si="1"/>
        <v>53.5</v>
      </c>
      <c r="G17" s="110"/>
      <c r="H17" s="110"/>
      <c r="I17" s="110"/>
      <c r="J17" s="110"/>
      <c r="K17" s="95"/>
      <c r="L17" s="95">
        <f t="shared" si="12"/>
        <v>2.1</v>
      </c>
      <c r="M17" s="95">
        <f t="shared" si="2"/>
        <v>55.6</v>
      </c>
      <c r="N17" s="111">
        <v>0.61</v>
      </c>
      <c r="O17" s="95">
        <f t="shared" si="3"/>
        <v>33.9</v>
      </c>
      <c r="P17" s="95">
        <f t="shared" si="4"/>
        <v>89.5</v>
      </c>
      <c r="Q17" s="95">
        <f t="shared" si="5"/>
        <v>71.599999999999994</v>
      </c>
      <c r="R17" s="95">
        <f t="shared" si="6"/>
        <v>71.599999999999994</v>
      </c>
      <c r="S17" s="95">
        <f t="shared" si="7"/>
        <v>7.4</v>
      </c>
      <c r="T17" s="95">
        <f t="shared" si="13"/>
        <v>240.1</v>
      </c>
      <c r="U17" s="3206"/>
      <c r="V17" s="95">
        <f>T17*$U$9</f>
        <v>240.1</v>
      </c>
      <c r="W17" s="95">
        <f t="shared" si="19"/>
        <v>72.5</v>
      </c>
      <c r="X17" s="118"/>
      <c r="Y17" s="112">
        <v>30</v>
      </c>
      <c r="Z17" s="113">
        <f t="shared" si="8"/>
        <v>0</v>
      </c>
      <c r="AA17" s="118"/>
      <c r="AB17" s="112">
        <v>15</v>
      </c>
      <c r="AC17" s="113">
        <f t="shared" si="9"/>
        <v>0</v>
      </c>
      <c r="AD17" s="118"/>
      <c r="AE17" s="112">
        <v>30</v>
      </c>
      <c r="AF17" s="113">
        <f t="shared" si="14"/>
        <v>0</v>
      </c>
      <c r="AG17" s="113">
        <f t="shared" si="15"/>
        <v>0</v>
      </c>
      <c r="AH17" s="113">
        <f t="shared" si="16"/>
        <v>0</v>
      </c>
      <c r="AI17" s="114">
        <f t="shared" si="10"/>
        <v>20008.3</v>
      </c>
      <c r="AJ17" s="114"/>
      <c r="AK17" s="114">
        <f t="shared" si="11"/>
        <v>240.1</v>
      </c>
      <c r="AL17" s="114">
        <f t="shared" si="17"/>
        <v>161.19999999999999</v>
      </c>
      <c r="AM17" s="115">
        <v>0.30199999999999999</v>
      </c>
      <c r="AN17" s="130"/>
      <c r="AO17" s="130"/>
      <c r="AP17" s="130"/>
      <c r="AS17" s="115"/>
    </row>
    <row r="18" spans="1:45" s="126" customFormat="1" ht="25.5" x14ac:dyDescent="0.2">
      <c r="A18" s="284">
        <v>10</v>
      </c>
      <c r="B18" s="129" t="s">
        <v>34</v>
      </c>
      <c r="C18" s="122">
        <v>3</v>
      </c>
      <c r="D18" s="107">
        <v>7.1950000000000003</v>
      </c>
      <c r="E18" s="123">
        <f t="shared" si="0"/>
        <v>21.59</v>
      </c>
      <c r="F18" s="124">
        <f t="shared" si="1"/>
        <v>259.10000000000002</v>
      </c>
      <c r="G18" s="124">
        <f>44329.4/1000</f>
        <v>44.3</v>
      </c>
      <c r="H18" s="124">
        <f>16367.8/1000</f>
        <v>16.399999999999999</v>
      </c>
      <c r="I18" s="124"/>
      <c r="J18" s="125"/>
      <c r="K18" s="96"/>
      <c r="L18" s="95">
        <f t="shared" si="12"/>
        <v>9.9</v>
      </c>
      <c r="M18" s="96">
        <f t="shared" si="2"/>
        <v>329.7</v>
      </c>
      <c r="N18" s="111">
        <v>0.41</v>
      </c>
      <c r="O18" s="96">
        <f t="shared" si="3"/>
        <v>135.19999999999999</v>
      </c>
      <c r="P18" s="96">
        <f t="shared" si="4"/>
        <v>464.9</v>
      </c>
      <c r="Q18" s="96">
        <f t="shared" si="5"/>
        <v>371.9</v>
      </c>
      <c r="R18" s="96">
        <f t="shared" si="6"/>
        <v>371.9</v>
      </c>
      <c r="S18" s="96">
        <f t="shared" si="7"/>
        <v>38.700000000000003</v>
      </c>
      <c r="T18" s="96">
        <f t="shared" si="13"/>
        <v>1247.4000000000001</v>
      </c>
      <c r="U18" s="3206"/>
      <c r="V18" s="96">
        <f t="shared" si="18"/>
        <v>1247.4000000000001</v>
      </c>
      <c r="W18" s="95">
        <f t="shared" si="19"/>
        <v>376.7</v>
      </c>
      <c r="X18" s="284">
        <v>1</v>
      </c>
      <c r="Y18" s="112">
        <v>30</v>
      </c>
      <c r="Z18" s="113">
        <f t="shared" si="8"/>
        <v>30</v>
      </c>
      <c r="AA18" s="284"/>
      <c r="AB18" s="112">
        <v>15</v>
      </c>
      <c r="AC18" s="113">
        <f t="shared" si="9"/>
        <v>0</v>
      </c>
      <c r="AD18" s="284"/>
      <c r="AE18" s="112">
        <v>30</v>
      </c>
      <c r="AF18" s="113">
        <f t="shared" si="14"/>
        <v>0</v>
      </c>
      <c r="AG18" s="113">
        <f t="shared" si="15"/>
        <v>9</v>
      </c>
      <c r="AH18" s="113">
        <f t="shared" si="16"/>
        <v>39</v>
      </c>
      <c r="AI18" s="114">
        <f t="shared" si="10"/>
        <v>34650</v>
      </c>
      <c r="AJ18" s="114"/>
      <c r="AK18" s="114">
        <f t="shared" si="11"/>
        <v>415.8</v>
      </c>
      <c r="AL18" s="114">
        <f t="shared" si="17"/>
        <v>193.2</v>
      </c>
      <c r="AM18" s="115">
        <v>0.30199999999999999</v>
      </c>
      <c r="AN18" s="130"/>
      <c r="AO18" s="130"/>
      <c r="AP18" s="130"/>
      <c r="AQ18" s="22"/>
      <c r="AS18" s="115"/>
    </row>
    <row r="19" spans="1:45" s="126" customFormat="1" x14ac:dyDescent="0.2">
      <c r="A19" s="284">
        <v>11</v>
      </c>
      <c r="B19" s="129" t="s">
        <v>35</v>
      </c>
      <c r="C19" s="122">
        <v>1</v>
      </c>
      <c r="D19" s="107">
        <v>4.4569999999999999</v>
      </c>
      <c r="E19" s="123">
        <f t="shared" si="0"/>
        <v>4.46</v>
      </c>
      <c r="F19" s="124">
        <f t="shared" si="1"/>
        <v>53.5</v>
      </c>
      <c r="G19" s="124"/>
      <c r="H19" s="124"/>
      <c r="I19" s="124"/>
      <c r="J19" s="125"/>
      <c r="K19" s="96"/>
      <c r="L19" s="95">
        <f t="shared" si="12"/>
        <v>2.1</v>
      </c>
      <c r="M19" s="96">
        <f t="shared" si="2"/>
        <v>55.6</v>
      </c>
      <c r="N19" s="111">
        <v>0.61</v>
      </c>
      <c r="O19" s="96">
        <f t="shared" si="3"/>
        <v>33.9</v>
      </c>
      <c r="P19" s="96">
        <f t="shared" si="4"/>
        <v>89.5</v>
      </c>
      <c r="Q19" s="96">
        <f t="shared" si="5"/>
        <v>71.599999999999994</v>
      </c>
      <c r="R19" s="96">
        <f t="shared" si="6"/>
        <v>71.599999999999994</v>
      </c>
      <c r="S19" s="96">
        <f t="shared" si="7"/>
        <v>7.4</v>
      </c>
      <c r="T19" s="96">
        <f t="shared" si="13"/>
        <v>240.1</v>
      </c>
      <c r="U19" s="3206"/>
      <c r="V19" s="96">
        <f t="shared" si="18"/>
        <v>240.1</v>
      </c>
      <c r="W19" s="95">
        <f t="shared" si="19"/>
        <v>72.5</v>
      </c>
      <c r="X19" s="284"/>
      <c r="Y19" s="112">
        <v>30</v>
      </c>
      <c r="Z19" s="113">
        <f t="shared" si="8"/>
        <v>0</v>
      </c>
      <c r="AA19" s="284"/>
      <c r="AB19" s="112">
        <v>15</v>
      </c>
      <c r="AC19" s="113">
        <f t="shared" si="9"/>
        <v>0</v>
      </c>
      <c r="AD19" s="284"/>
      <c r="AE19" s="112">
        <v>30</v>
      </c>
      <c r="AF19" s="113">
        <f t="shared" si="14"/>
        <v>0</v>
      </c>
      <c r="AG19" s="113">
        <f t="shared" si="15"/>
        <v>0</v>
      </c>
      <c r="AH19" s="113">
        <f t="shared" si="16"/>
        <v>0</v>
      </c>
      <c r="AI19" s="114">
        <f t="shared" si="10"/>
        <v>20008.3</v>
      </c>
      <c r="AJ19" s="114"/>
      <c r="AK19" s="114">
        <f t="shared" si="11"/>
        <v>240.1</v>
      </c>
      <c r="AL19" s="114">
        <f t="shared" si="17"/>
        <v>161.19999999999999</v>
      </c>
      <c r="AM19" s="115">
        <v>0.30199999999999999</v>
      </c>
      <c r="AN19" s="130"/>
      <c r="AO19" s="130"/>
      <c r="AP19" s="130"/>
      <c r="AQ19" s="22"/>
      <c r="AS19" s="115"/>
    </row>
    <row r="20" spans="1:45" s="126" customFormat="1" x14ac:dyDescent="0.2">
      <c r="A20" s="284">
        <v>12</v>
      </c>
      <c r="B20" s="129" t="s">
        <v>25</v>
      </c>
      <c r="C20" s="125">
        <v>0.5</v>
      </c>
      <c r="D20" s="107">
        <v>4.3109999999999999</v>
      </c>
      <c r="E20" s="123">
        <f t="shared" si="0"/>
        <v>2.16</v>
      </c>
      <c r="F20" s="124">
        <f>E20*12</f>
        <v>25.9</v>
      </c>
      <c r="G20" s="124">
        <f>5056.7/1000</f>
        <v>5.0999999999999996</v>
      </c>
      <c r="H20" s="124">
        <f>437.8/1000</f>
        <v>0.4</v>
      </c>
      <c r="I20" s="124"/>
      <c r="J20" s="125"/>
      <c r="K20" s="96"/>
      <c r="L20" s="95">
        <f t="shared" si="12"/>
        <v>1</v>
      </c>
      <c r="M20" s="96">
        <f>F20+G20+H20+I20+J20+K20+L20</f>
        <v>32.4</v>
      </c>
      <c r="N20" s="111">
        <v>0.75</v>
      </c>
      <c r="O20" s="96">
        <f>M20*N20</f>
        <v>24.3</v>
      </c>
      <c r="P20" s="96">
        <f>M20+O20</f>
        <v>56.7</v>
      </c>
      <c r="Q20" s="96">
        <f>P20*0.8</f>
        <v>45.4</v>
      </c>
      <c r="R20" s="96">
        <f>P20*0.8</f>
        <v>45.4</v>
      </c>
      <c r="S20" s="96">
        <f>(P20+Q20+R20)*0.032</f>
        <v>4.7</v>
      </c>
      <c r="T20" s="96">
        <f>P20+Q20+R20+S20</f>
        <v>152.19999999999999</v>
      </c>
      <c r="U20" s="3206"/>
      <c r="V20" s="96">
        <f>T20*$U$9</f>
        <v>152.19999999999999</v>
      </c>
      <c r="W20" s="95">
        <f t="shared" si="19"/>
        <v>46</v>
      </c>
      <c r="X20" s="284"/>
      <c r="Y20" s="112">
        <v>30</v>
      </c>
      <c r="Z20" s="113">
        <f t="shared" si="8"/>
        <v>0</v>
      </c>
      <c r="AA20" s="284"/>
      <c r="AB20" s="112">
        <v>15</v>
      </c>
      <c r="AC20" s="113">
        <f t="shared" si="9"/>
        <v>0</v>
      </c>
      <c r="AD20" s="284"/>
      <c r="AE20" s="112">
        <v>30</v>
      </c>
      <c r="AF20" s="113">
        <f t="shared" si="14"/>
        <v>0</v>
      </c>
      <c r="AG20" s="113">
        <f t="shared" si="15"/>
        <v>0</v>
      </c>
      <c r="AH20" s="113">
        <f t="shared" si="16"/>
        <v>0</v>
      </c>
      <c r="AI20" s="114">
        <f>V20/12*1000</f>
        <v>12683.3</v>
      </c>
      <c r="AJ20" s="114"/>
      <c r="AK20" s="114">
        <f t="shared" si="11"/>
        <v>304.39999999999998</v>
      </c>
      <c r="AL20" s="114">
        <f t="shared" si="17"/>
        <v>172.9</v>
      </c>
      <c r="AM20" s="115">
        <v>0.30199999999999999</v>
      </c>
      <c r="AN20" s="130"/>
      <c r="AO20" s="130"/>
      <c r="AP20" s="130"/>
      <c r="AQ20" s="22"/>
      <c r="AS20" s="115"/>
    </row>
    <row r="21" spans="1:45" s="98" customFormat="1" ht="20.25" customHeight="1" x14ac:dyDescent="0.2">
      <c r="A21" s="3202" t="s">
        <v>8</v>
      </c>
      <c r="B21" s="3202"/>
      <c r="C21" s="97">
        <f t="shared" ref="C21:M21" si="20">SUM(C9:C20)</f>
        <v>15.5</v>
      </c>
      <c r="D21" s="97">
        <f t="shared" si="20"/>
        <v>119.5</v>
      </c>
      <c r="E21" s="97">
        <f t="shared" si="20"/>
        <v>148.69999999999999</v>
      </c>
      <c r="F21" s="97">
        <f t="shared" si="20"/>
        <v>1783.7</v>
      </c>
      <c r="G21" s="97">
        <f t="shared" si="20"/>
        <v>78.7</v>
      </c>
      <c r="H21" s="97">
        <f t="shared" si="20"/>
        <v>26.4</v>
      </c>
      <c r="I21" s="97">
        <f t="shared" si="20"/>
        <v>0</v>
      </c>
      <c r="J21" s="97">
        <f t="shared" si="20"/>
        <v>0</v>
      </c>
      <c r="K21" s="97">
        <f t="shared" si="20"/>
        <v>316.39999999999998</v>
      </c>
      <c r="L21" s="97">
        <f t="shared" si="20"/>
        <v>68.599999999999994</v>
      </c>
      <c r="M21" s="97">
        <f t="shared" si="20"/>
        <v>2273.8000000000002</v>
      </c>
      <c r="N21" s="97"/>
      <c r="O21" s="97">
        <f t="shared" ref="O21:AH21" si="21">SUM(O9:O20)</f>
        <v>1033.7</v>
      </c>
      <c r="P21" s="97">
        <f t="shared" si="21"/>
        <v>3307.5</v>
      </c>
      <c r="Q21" s="97">
        <f t="shared" si="21"/>
        <v>2646</v>
      </c>
      <c r="R21" s="97">
        <f t="shared" si="21"/>
        <v>2646</v>
      </c>
      <c r="S21" s="97">
        <f t="shared" si="21"/>
        <v>275.2</v>
      </c>
      <c r="T21" s="97">
        <f t="shared" si="21"/>
        <v>8874.7000000000007</v>
      </c>
      <c r="U21" s="97">
        <f t="shared" si="21"/>
        <v>1</v>
      </c>
      <c r="V21" s="97">
        <f t="shared" si="21"/>
        <v>8874.7000000000007</v>
      </c>
      <c r="W21" s="97">
        <f t="shared" si="21"/>
        <v>2635.8</v>
      </c>
      <c r="X21" s="97">
        <f t="shared" si="21"/>
        <v>6</v>
      </c>
      <c r="Y21" s="97">
        <f t="shared" si="21"/>
        <v>360</v>
      </c>
      <c r="Z21" s="97">
        <f t="shared" si="21"/>
        <v>180</v>
      </c>
      <c r="AA21" s="97">
        <f t="shared" si="21"/>
        <v>1</v>
      </c>
      <c r="AB21" s="97">
        <f t="shared" si="21"/>
        <v>180</v>
      </c>
      <c r="AC21" s="97">
        <f t="shared" si="21"/>
        <v>15</v>
      </c>
      <c r="AD21" s="97">
        <f t="shared" si="21"/>
        <v>0</v>
      </c>
      <c r="AE21" s="97">
        <f t="shared" si="21"/>
        <v>360</v>
      </c>
      <c r="AF21" s="97">
        <f t="shared" si="21"/>
        <v>0</v>
      </c>
      <c r="AG21" s="97">
        <f t="shared" si="21"/>
        <v>58.5</v>
      </c>
      <c r="AH21" s="97">
        <f t="shared" si="21"/>
        <v>253.5</v>
      </c>
      <c r="AN21" s="130"/>
      <c r="AO21" s="130"/>
      <c r="AP21" s="130"/>
      <c r="AQ21" s="22"/>
    </row>
    <row r="22" spans="1:45" x14ac:dyDescent="0.2">
      <c r="G22" s="131"/>
      <c r="H22" s="131"/>
      <c r="I22" s="131"/>
      <c r="J22" s="131"/>
      <c r="K22" s="131"/>
      <c r="L22" s="131"/>
      <c r="M22" s="131"/>
      <c r="N22" s="131"/>
      <c r="O22" s="131"/>
      <c r="P22" s="131"/>
      <c r="Q22" s="131"/>
      <c r="R22" s="131"/>
      <c r="S22" s="131"/>
      <c r="T22" s="131"/>
      <c r="V22" s="114"/>
      <c r="W22" s="66"/>
      <c r="X22" s="132"/>
      <c r="Y22" s="132"/>
      <c r="Z22" s="132"/>
      <c r="AA22" s="131"/>
      <c r="AD22" s="131"/>
      <c r="AG22" s="131"/>
      <c r="AH22" s="131"/>
      <c r="AN22" s="130"/>
      <c r="AO22" s="130"/>
      <c r="AP22" s="130"/>
    </row>
    <row r="23" spans="1:45" x14ac:dyDescent="0.2">
      <c r="G23" s="131"/>
      <c r="H23" s="131"/>
      <c r="I23" s="131"/>
      <c r="J23" s="131"/>
      <c r="K23" s="131"/>
      <c r="L23" s="131"/>
      <c r="M23" s="131"/>
      <c r="N23" s="131"/>
      <c r="O23" s="131"/>
      <c r="P23" s="131"/>
      <c r="Q23" s="131"/>
      <c r="R23" s="131"/>
      <c r="S23" s="131"/>
      <c r="T23" s="131"/>
      <c r="V23" s="114"/>
      <c r="W23" s="114"/>
      <c r="X23" s="133"/>
      <c r="Y23" s="133"/>
      <c r="Z23" s="133"/>
      <c r="AA23" s="131"/>
      <c r="AD23" s="131"/>
      <c r="AG23" s="131"/>
      <c r="AH23" s="131"/>
      <c r="AN23" s="130"/>
      <c r="AO23" s="130"/>
      <c r="AP23" s="130"/>
    </row>
    <row r="24" spans="1:45" s="62" customFormat="1" ht="14.25" x14ac:dyDescent="0.2">
      <c r="A24" s="68"/>
      <c r="B24" s="63"/>
      <c r="C24" s="26"/>
      <c r="D24" s="26"/>
      <c r="E24" s="26"/>
      <c r="F24" s="26"/>
      <c r="G24" s="26"/>
      <c r="H24" s="26"/>
      <c r="I24" s="26"/>
      <c r="J24" s="26"/>
      <c r="K24" s="26"/>
      <c r="L24" s="26"/>
      <c r="M24" s="26"/>
      <c r="N24" s="26"/>
      <c r="O24" s="26"/>
      <c r="P24" s="26"/>
      <c r="Q24" s="26"/>
      <c r="R24" s="26"/>
      <c r="S24" s="26"/>
      <c r="T24" s="26"/>
      <c r="U24" s="64"/>
      <c r="V24" s="69"/>
      <c r="W24" s="69"/>
      <c r="X24" s="65"/>
      <c r="Y24" s="65"/>
      <c r="Z24" s="65"/>
      <c r="AA24" s="65"/>
      <c r="AB24" s="65"/>
      <c r="AC24" s="65"/>
      <c r="AD24" s="65"/>
      <c r="AE24" s="65"/>
      <c r="AF24" s="65"/>
      <c r="AG24" s="65"/>
      <c r="AH24" s="65"/>
      <c r="AI24" s="67"/>
      <c r="AJ24" s="61"/>
      <c r="AK24" s="61"/>
      <c r="AL24" s="134"/>
      <c r="AM24" s="135"/>
    </row>
    <row r="25" spans="1:45" s="75" customFormat="1" ht="15" x14ac:dyDescent="0.2">
      <c r="A25" s="70"/>
      <c r="B25" s="70"/>
      <c r="C25" s="71"/>
      <c r="D25" s="72"/>
      <c r="E25" s="72"/>
      <c r="F25" s="72"/>
      <c r="G25" s="72"/>
      <c r="H25" s="73"/>
      <c r="I25" s="73"/>
      <c r="J25" s="27"/>
      <c r="K25" s="27"/>
      <c r="L25" s="27"/>
      <c r="M25" s="27"/>
      <c r="N25" s="74"/>
      <c r="O25" s="27"/>
      <c r="P25" s="27"/>
      <c r="Q25" s="27"/>
      <c r="R25" s="27"/>
      <c r="S25" s="27"/>
      <c r="T25" s="27"/>
      <c r="U25" s="27"/>
      <c r="V25" s="27"/>
      <c r="W25" s="27"/>
      <c r="X25" s="27"/>
      <c r="Y25" s="27"/>
      <c r="Z25" s="27"/>
      <c r="AA25" s="27"/>
      <c r="AB25" s="27"/>
      <c r="AC25" s="27"/>
      <c r="AD25" s="27"/>
      <c r="AE25" s="27"/>
      <c r="AF25" s="27"/>
      <c r="AG25" s="27"/>
      <c r="AH25" s="27"/>
      <c r="AI25" s="27"/>
      <c r="AJ25" s="76"/>
      <c r="AN25" s="76"/>
      <c r="AO25" s="76"/>
      <c r="AP25" s="76"/>
      <c r="AQ25" s="76"/>
      <c r="AR25" s="76"/>
    </row>
    <row r="26" spans="1:45" s="75" customFormat="1" ht="55.5" customHeight="1" x14ac:dyDescent="0.2">
      <c r="A26" s="70"/>
      <c r="B26" s="70"/>
      <c r="C26" s="71"/>
      <c r="D26" s="77"/>
      <c r="E26" s="77"/>
      <c r="F26" s="27"/>
      <c r="G26" s="3191" t="s">
        <v>140</v>
      </c>
      <c r="H26" s="3191"/>
      <c r="I26" s="3191" t="s">
        <v>141</v>
      </c>
      <c r="J26" s="3191"/>
      <c r="K26" s="3191" t="s">
        <v>128</v>
      </c>
      <c r="L26" s="3191"/>
      <c r="Q26" s="27"/>
      <c r="R26" s="27"/>
      <c r="S26" s="27"/>
      <c r="T26" s="27"/>
      <c r="U26" s="27"/>
      <c r="V26" s="27"/>
      <c r="W26" s="27"/>
      <c r="X26" s="27"/>
      <c r="Y26" s="27"/>
      <c r="Z26" s="27"/>
      <c r="AA26" s="27"/>
      <c r="AB26" s="27"/>
      <c r="AC26" s="27"/>
      <c r="AD26" s="27"/>
      <c r="AE26" s="27"/>
      <c r="AF26" s="27"/>
      <c r="AG26" s="27"/>
      <c r="AH26" s="27"/>
      <c r="AI26" s="27"/>
      <c r="AJ26" s="76"/>
      <c r="AN26" s="76"/>
      <c r="AO26" s="76"/>
      <c r="AP26" s="76"/>
      <c r="AQ26" s="76"/>
      <c r="AR26" s="76"/>
    </row>
    <row r="27" spans="1:45" s="75" customFormat="1" ht="15" x14ac:dyDescent="0.2">
      <c r="A27" s="70"/>
      <c r="B27" s="70"/>
      <c r="C27" s="71"/>
      <c r="D27" s="77"/>
      <c r="E27" s="77"/>
      <c r="F27" s="27"/>
      <c r="G27" s="279">
        <v>991</v>
      </c>
      <c r="H27" s="279">
        <v>992</v>
      </c>
      <c r="I27" s="279">
        <v>991</v>
      </c>
      <c r="J27" s="279">
        <v>992</v>
      </c>
      <c r="K27" s="279">
        <v>991</v>
      </c>
      <c r="L27" s="279">
        <v>992</v>
      </c>
      <c r="Q27" s="27"/>
      <c r="R27" s="27"/>
      <c r="S27" s="27"/>
      <c r="T27" s="27"/>
      <c r="U27" s="27"/>
      <c r="V27" s="27"/>
      <c r="W27" s="27"/>
      <c r="X27" s="27"/>
      <c r="Y27" s="27"/>
      <c r="Z27" s="27"/>
      <c r="AA27" s="27"/>
      <c r="AB27" s="27"/>
      <c r="AC27" s="27"/>
      <c r="AD27" s="27"/>
      <c r="AE27" s="27"/>
      <c r="AF27" s="27"/>
      <c r="AG27" s="27"/>
      <c r="AH27" s="27"/>
      <c r="AI27" s="27"/>
      <c r="AJ27" s="76"/>
      <c r="AN27" s="76"/>
      <c r="AO27" s="76"/>
      <c r="AP27" s="76"/>
      <c r="AQ27" s="76"/>
      <c r="AR27" s="76"/>
    </row>
    <row r="28" spans="1:45" s="75" customFormat="1" ht="15" x14ac:dyDescent="0.2">
      <c r="A28" s="70"/>
      <c r="B28" s="70"/>
      <c r="C28" s="71"/>
      <c r="D28" s="77"/>
      <c r="E28" s="77"/>
      <c r="F28" s="27"/>
      <c r="G28" s="29">
        <v>8874.7000000000007</v>
      </c>
      <c r="H28" s="29">
        <v>2640.7</v>
      </c>
      <c r="I28" s="29">
        <f>V21</f>
        <v>8874.7000000000007</v>
      </c>
      <c r="J28" s="29">
        <f>W21</f>
        <v>2635.8</v>
      </c>
      <c r="K28" s="29">
        <f>G28-I28</f>
        <v>0</v>
      </c>
      <c r="L28" s="29">
        <f>H28-J28</f>
        <v>4.9000000000000004</v>
      </c>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143" customFormat="1" ht="15" x14ac:dyDescent="0.2">
      <c r="A29" s="136"/>
      <c r="B29" s="136"/>
      <c r="C29" s="137"/>
      <c r="D29" s="138"/>
      <c r="E29" s="138"/>
      <c r="F29" s="138"/>
      <c r="G29" s="138"/>
      <c r="H29" s="139"/>
      <c r="I29" s="139"/>
      <c r="J29" s="140"/>
      <c r="K29" s="140"/>
      <c r="L29" s="140"/>
      <c r="M29" s="140"/>
      <c r="N29" s="141"/>
      <c r="O29" s="140"/>
      <c r="P29" s="140"/>
      <c r="Q29" s="140"/>
      <c r="R29" s="140"/>
      <c r="S29" s="140"/>
      <c r="T29" s="140"/>
      <c r="U29" s="140"/>
      <c r="V29" s="140"/>
      <c r="W29" s="140"/>
      <c r="X29" s="140"/>
      <c r="Y29" s="140"/>
      <c r="Z29" s="140"/>
      <c r="AA29" s="140"/>
      <c r="AB29" s="140"/>
      <c r="AC29" s="140"/>
      <c r="AD29" s="140"/>
      <c r="AE29" s="140"/>
      <c r="AF29" s="140"/>
      <c r="AG29" s="140"/>
      <c r="AH29" s="140"/>
      <c r="AI29" s="142"/>
      <c r="AN29" s="22"/>
      <c r="AO29" s="22"/>
      <c r="AP29" s="22"/>
      <c r="AQ29" s="22"/>
    </row>
    <row r="30" spans="1:45" s="143" customFormat="1" ht="15" x14ac:dyDescent="0.2">
      <c r="A30" s="136"/>
      <c r="B30" s="136"/>
      <c r="C30" s="137"/>
      <c r="D30" s="138"/>
      <c r="E30" s="138"/>
      <c r="F30" s="138"/>
      <c r="G30" s="138"/>
      <c r="H30" s="139"/>
      <c r="I30" s="139"/>
      <c r="J30" s="140"/>
      <c r="K30" s="140"/>
      <c r="L30" s="140"/>
      <c r="M30" s="140"/>
      <c r="N30" s="141"/>
      <c r="O30" s="140"/>
      <c r="P30" s="140"/>
      <c r="Q30" s="140"/>
      <c r="R30" s="140"/>
      <c r="S30" s="140"/>
      <c r="T30" s="140"/>
      <c r="U30" s="140"/>
      <c r="V30" s="140"/>
      <c r="W30" s="140"/>
      <c r="X30" s="140"/>
      <c r="Y30" s="140"/>
      <c r="Z30" s="140"/>
      <c r="AA30" s="140"/>
      <c r="AB30" s="140"/>
      <c r="AC30" s="140"/>
      <c r="AD30" s="140"/>
      <c r="AE30" s="140"/>
      <c r="AF30" s="140"/>
      <c r="AG30" s="140"/>
      <c r="AH30" s="140"/>
      <c r="AI30" s="142"/>
      <c r="AN30" s="22"/>
      <c r="AO30" s="22"/>
      <c r="AP30" s="22"/>
      <c r="AQ30" s="22"/>
    </row>
    <row r="31" spans="1:45" s="143" customFormat="1" ht="15" x14ac:dyDescent="0.2">
      <c r="A31" s="136"/>
      <c r="B31" s="136"/>
      <c r="C31" s="137"/>
      <c r="D31" s="144"/>
      <c r="E31" s="144"/>
      <c r="F31" s="140"/>
      <c r="G31" s="140"/>
      <c r="H31" s="139"/>
      <c r="I31" s="139"/>
      <c r="J31" s="140"/>
      <c r="K31" s="140"/>
      <c r="L31" s="140"/>
      <c r="M31" s="140"/>
      <c r="N31" s="141"/>
      <c r="O31" s="140"/>
      <c r="P31" s="140"/>
      <c r="Q31" s="140"/>
      <c r="R31" s="140"/>
      <c r="S31" s="140"/>
      <c r="T31" s="140"/>
      <c r="U31" s="140"/>
      <c r="V31" s="140"/>
      <c r="W31" s="140"/>
      <c r="X31" s="140"/>
      <c r="Y31" s="140"/>
      <c r="Z31" s="140"/>
      <c r="AA31" s="140"/>
      <c r="AB31" s="140"/>
      <c r="AC31" s="140"/>
      <c r="AD31" s="140"/>
      <c r="AE31" s="140"/>
      <c r="AF31" s="140"/>
      <c r="AG31" s="140"/>
      <c r="AH31" s="140"/>
      <c r="AI31" s="142"/>
      <c r="AN31" s="22"/>
      <c r="AO31" s="22"/>
      <c r="AP31" s="22"/>
      <c r="AQ31" s="22"/>
    </row>
    <row r="32" spans="1:45" s="282" customFormat="1" ht="20.25" x14ac:dyDescent="0.2">
      <c r="A32" s="81"/>
      <c r="B32" s="82" t="s">
        <v>138</v>
      </c>
      <c r="C32" s="83"/>
      <c r="D32" s="84"/>
      <c r="E32" s="84"/>
      <c r="F32" s="85"/>
      <c r="G32" s="85"/>
      <c r="H32" s="86"/>
      <c r="I32" s="86"/>
      <c r="J32" s="85"/>
      <c r="K32" s="30" t="s">
        <v>166</v>
      </c>
      <c r="L32" s="85"/>
      <c r="M32" s="85"/>
      <c r="N32" s="87"/>
      <c r="O32" s="85"/>
      <c r="P32" s="85"/>
      <c r="Q32" s="85"/>
      <c r="R32" s="85"/>
      <c r="S32" s="85"/>
      <c r="T32" s="85"/>
      <c r="U32" s="85"/>
      <c r="V32" s="85"/>
      <c r="W32" s="85"/>
      <c r="X32" s="85"/>
      <c r="Y32" s="85"/>
      <c r="Z32" s="85"/>
      <c r="AA32" s="85"/>
      <c r="AB32" s="85"/>
      <c r="AC32" s="85"/>
      <c r="AD32" s="85"/>
      <c r="AE32" s="85"/>
      <c r="AF32" s="85"/>
      <c r="AG32" s="85"/>
      <c r="AH32" s="85"/>
      <c r="AI32" s="85"/>
      <c r="AK32" s="88"/>
      <c r="AL32" s="88"/>
      <c r="AM32" s="88"/>
      <c r="AN32" s="88"/>
      <c r="AO32" s="88"/>
    </row>
    <row r="33" spans="1:43" s="143" customFormat="1" ht="15" x14ac:dyDescent="0.2">
      <c r="A33" s="136"/>
      <c r="B33" s="136"/>
      <c r="C33" s="137"/>
      <c r="D33" s="144"/>
      <c r="E33" s="144"/>
      <c r="F33" s="140"/>
      <c r="G33" s="140"/>
      <c r="H33" s="139"/>
      <c r="I33" s="139"/>
      <c r="J33" s="140"/>
      <c r="K33" s="140"/>
      <c r="L33" s="140"/>
      <c r="M33" s="140"/>
      <c r="N33" s="141"/>
      <c r="O33" s="140"/>
      <c r="P33" s="140"/>
      <c r="Q33" s="140"/>
      <c r="R33" s="140"/>
      <c r="S33" s="140"/>
      <c r="T33" s="140"/>
      <c r="U33" s="140"/>
      <c r="V33" s="140"/>
      <c r="W33" s="140"/>
      <c r="X33" s="140"/>
      <c r="Y33" s="140"/>
      <c r="Z33" s="140"/>
      <c r="AA33" s="140"/>
      <c r="AB33" s="140"/>
      <c r="AC33" s="140"/>
      <c r="AD33" s="140"/>
      <c r="AE33" s="140"/>
      <c r="AF33" s="140"/>
      <c r="AG33" s="140"/>
      <c r="AH33" s="140"/>
      <c r="AI33" s="142"/>
      <c r="AN33" s="22"/>
      <c r="AO33" s="22"/>
      <c r="AP33" s="22"/>
      <c r="AQ33" s="22"/>
    </row>
    <row r="34" spans="1:43" s="143" customFormat="1" ht="20.25" customHeight="1" x14ac:dyDescent="0.2">
      <c r="A34" s="145" t="s">
        <v>96</v>
      </c>
      <c r="B34" s="145"/>
      <c r="C34" s="146"/>
      <c r="D34" s="146"/>
      <c r="E34" s="146"/>
      <c r="F34" s="146"/>
      <c r="G34" s="146"/>
      <c r="H34" s="146"/>
      <c r="I34" s="146"/>
      <c r="J34" s="146"/>
      <c r="K34" s="146"/>
      <c r="L34" s="147"/>
      <c r="M34" s="147"/>
      <c r="N34" s="148"/>
      <c r="O34" s="147"/>
      <c r="P34" s="147"/>
      <c r="Q34" s="147"/>
      <c r="R34" s="147"/>
      <c r="S34" s="147"/>
      <c r="T34" s="147"/>
      <c r="U34" s="147"/>
      <c r="V34" s="147"/>
      <c r="W34" s="147"/>
      <c r="X34" s="147"/>
      <c r="Y34" s="147"/>
      <c r="Z34" s="147"/>
      <c r="AA34" s="147"/>
      <c r="AB34" s="147"/>
      <c r="AC34" s="147"/>
      <c r="AD34" s="147"/>
      <c r="AE34" s="147"/>
      <c r="AF34" s="147"/>
      <c r="AG34" s="147"/>
      <c r="AH34" s="147"/>
      <c r="AI34" s="142"/>
      <c r="AN34" s="62"/>
      <c r="AO34" s="62"/>
      <c r="AP34" s="62"/>
      <c r="AQ34" s="60"/>
    </row>
    <row r="35" spans="1:43" s="143" customFormat="1" ht="20.25" customHeight="1" x14ac:dyDescent="0.2">
      <c r="A35" s="145" t="s">
        <v>139</v>
      </c>
      <c r="B35" s="149"/>
      <c r="C35" s="150"/>
      <c r="D35" s="150"/>
      <c r="E35" s="151"/>
      <c r="F35" s="151"/>
      <c r="G35" s="151"/>
      <c r="H35" s="151"/>
      <c r="I35" s="151"/>
      <c r="J35" s="151"/>
      <c r="K35" s="151"/>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2"/>
      <c r="AN35" s="62"/>
      <c r="AO35" s="62"/>
      <c r="AP35" s="62"/>
      <c r="AQ35" s="62"/>
    </row>
    <row r="36" spans="1:43" ht="16.5" x14ac:dyDescent="0.2">
      <c r="A36" s="152"/>
      <c r="I36" s="153"/>
      <c r="L36" s="99"/>
      <c r="M36" s="99"/>
      <c r="N36" s="99"/>
      <c r="O36" s="99"/>
      <c r="P36" s="99"/>
      <c r="Q36" s="99"/>
      <c r="W36" s="131"/>
      <c r="X36" s="131"/>
      <c r="AA36" s="131"/>
      <c r="AD36" s="131"/>
      <c r="AG36" s="131"/>
      <c r="AH36" s="131"/>
      <c r="AN36" s="62"/>
      <c r="AO36" s="62"/>
      <c r="AP36" s="62"/>
      <c r="AQ36" s="62"/>
    </row>
    <row r="37" spans="1:43" ht="16.5" x14ac:dyDescent="0.2">
      <c r="A37" s="152"/>
      <c r="E37" s="115"/>
      <c r="L37" s="99"/>
      <c r="M37" s="99"/>
      <c r="N37" s="99"/>
      <c r="O37" s="99"/>
      <c r="P37" s="99"/>
      <c r="Q37" s="99"/>
      <c r="W37" s="131"/>
      <c r="X37" s="131"/>
      <c r="AA37" s="131"/>
      <c r="AD37" s="131"/>
      <c r="AG37" s="131"/>
      <c r="AH37" s="131"/>
      <c r="AN37" s="62"/>
      <c r="AO37" s="62"/>
      <c r="AP37" s="62"/>
      <c r="AQ37" s="62"/>
    </row>
    <row r="38" spans="1:43" x14ac:dyDescent="0.2">
      <c r="E38" s="115"/>
    </row>
    <row r="39" spans="1:43" x14ac:dyDescent="0.2">
      <c r="E39" s="115"/>
    </row>
    <row r="40" spans="1:43" x14ac:dyDescent="0.2">
      <c r="E40" s="115"/>
    </row>
    <row r="41" spans="1:43" x14ac:dyDescent="0.2">
      <c r="E41" s="115"/>
    </row>
    <row r="42" spans="1:43" x14ac:dyDescent="0.2">
      <c r="E42" s="115"/>
    </row>
    <row r="43" spans="1:43" x14ac:dyDescent="0.2">
      <c r="E43" s="115"/>
    </row>
  </sheetData>
  <autoFilter ref="A8:AS8"/>
  <mergeCells count="37">
    <mergeCell ref="G26:H26"/>
    <mergeCell ref="I26:J26"/>
    <mergeCell ref="K26:L26"/>
    <mergeCell ref="AA6:AC6"/>
    <mergeCell ref="AD6:AF6"/>
    <mergeCell ref="K6:K7"/>
    <mergeCell ref="AH6:AH7"/>
    <mergeCell ref="U9:U20"/>
    <mergeCell ref="A21:B21"/>
    <mergeCell ref="S6:S7"/>
    <mergeCell ref="T6:T7"/>
    <mergeCell ref="U6:U7"/>
    <mergeCell ref="V6:V7"/>
    <mergeCell ref="W6:W7"/>
    <mergeCell ref="X6:Z6"/>
    <mergeCell ref="L6:L7"/>
    <mergeCell ref="M6:M7"/>
    <mergeCell ref="N6:O6"/>
    <mergeCell ref="P6:P7"/>
    <mergeCell ref="Q6:Q7"/>
    <mergeCell ref="R6:R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s>
  <printOptions horizontalCentered="1"/>
  <pageMargins left="0" right="0" top="0" bottom="0" header="0.31496062992125984" footer="0.31496062992125984"/>
  <pageSetup paperSize="9" scale="38" orientation="landscape" r:id="rId1"/>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9">
    <tabColor rgb="FF00B050"/>
    <pageSetUpPr fitToPage="1"/>
  </sheetPr>
  <dimension ref="A1:AS57"/>
  <sheetViews>
    <sheetView view="pageBreakPreview" zoomScale="80" zoomScaleNormal="80" zoomScaleSheetLayoutView="80" workbookViewId="0">
      <pane xSplit="3" ySplit="8" topLeftCell="V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6.83203125" style="33" customWidth="1"/>
    <col min="2" max="2" width="30.83203125" style="22" customWidth="1"/>
    <col min="3" max="3" width="13.83203125" style="22" customWidth="1"/>
    <col min="4" max="4" width="12.83203125" style="22" customWidth="1"/>
    <col min="5" max="5" width="13" style="22" customWidth="1"/>
    <col min="6" max="6" width="14.6640625" style="22" customWidth="1"/>
    <col min="7" max="7" width="12.33203125" style="22" customWidth="1"/>
    <col min="8" max="8" width="13.33203125" style="22" customWidth="1"/>
    <col min="9" max="9" width="15.83203125" style="22" customWidth="1"/>
    <col min="10" max="11" width="13.83203125" style="22" customWidth="1"/>
    <col min="12" max="12" width="13.33203125" style="22" customWidth="1"/>
    <col min="13" max="13" width="12.83203125" style="22" customWidth="1"/>
    <col min="14" max="14" width="11.5" style="22" customWidth="1"/>
    <col min="15" max="15" width="14.83203125" style="22" customWidth="1"/>
    <col min="16" max="16" width="15.33203125" style="22" customWidth="1"/>
    <col min="17" max="17" width="14.83203125" style="22" customWidth="1"/>
    <col min="18" max="18" width="13.6640625" style="22" customWidth="1"/>
    <col min="19" max="19" width="15.33203125" style="22" customWidth="1"/>
    <col min="20" max="20" width="12.33203125" style="22" customWidth="1"/>
    <col min="21" max="21" width="11.6640625" style="22" customWidth="1"/>
    <col min="22" max="22" width="13" style="22" customWidth="1"/>
    <col min="23" max="23" width="12.6640625" style="22" customWidth="1"/>
    <col min="24" max="24" width="13.33203125" style="22" customWidth="1"/>
    <col min="25" max="25" width="12.83203125" style="22" customWidth="1"/>
    <col min="26" max="26" width="13" style="22" customWidth="1"/>
    <col min="27" max="27" width="12.33203125" style="22" customWidth="1"/>
    <col min="28" max="28" width="11.33203125" style="22" customWidth="1"/>
    <col min="29" max="29" width="9.6640625" style="22" customWidth="1"/>
    <col min="30" max="30" width="11" style="22" customWidth="1"/>
    <col min="31" max="31" width="9.33203125" style="22" customWidth="1"/>
    <col min="32" max="32" width="9.83203125" style="22" customWidth="1"/>
    <col min="33" max="33" width="14" style="22" customWidth="1"/>
    <col min="34" max="34" width="12.33203125" style="22" customWidth="1"/>
    <col min="35" max="35" width="11.1640625" style="34" customWidth="1"/>
    <col min="36" max="36" width="9.33203125" style="22"/>
    <col min="37" max="37" width="12.6640625" style="22" customWidth="1"/>
    <col min="38" max="38" width="11.6640625" style="22" hidden="1" customWidth="1"/>
    <col min="39" max="39" width="13.6640625" style="22" hidden="1" customWidth="1"/>
    <col min="40" max="42" width="9.33203125" style="22"/>
    <col min="43" max="43" width="14" style="22" bestFit="1" customWidth="1"/>
    <col min="44" max="16384" width="9.33203125" style="22"/>
  </cols>
  <sheetData>
    <row r="1" spans="1:45" ht="12.75" customHeight="1" x14ac:dyDescent="0.2">
      <c r="AE1" s="3196"/>
      <c r="AF1" s="3196"/>
      <c r="AG1" s="3196"/>
      <c r="AH1" s="3196"/>
    </row>
    <row r="2" spans="1:45" ht="24" customHeight="1" x14ac:dyDescent="0.2">
      <c r="A2" s="3181" t="s">
        <v>158</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5"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283"/>
    </row>
    <row r="4" spans="1:45" x14ac:dyDescent="0.2">
      <c r="L4" s="38">
        <v>0.34311000000000003</v>
      </c>
    </row>
    <row r="5" spans="1:45" ht="38.25" customHeight="1" x14ac:dyDescent="0.2">
      <c r="A5" s="3199" t="s">
        <v>78</v>
      </c>
      <c r="B5" s="3199"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5" ht="60" customHeight="1" x14ac:dyDescent="0.2">
      <c r="A6" s="3199"/>
      <c r="B6" s="3199"/>
      <c r="C6" s="3184"/>
      <c r="D6" s="3185" t="s">
        <v>68</v>
      </c>
      <c r="E6" s="3185" t="s">
        <v>69</v>
      </c>
      <c r="F6" s="3185" t="s">
        <v>89</v>
      </c>
      <c r="G6" s="3185" t="s">
        <v>1</v>
      </c>
      <c r="H6" s="3185" t="s">
        <v>2</v>
      </c>
      <c r="I6" s="3185" t="s">
        <v>70</v>
      </c>
      <c r="J6" s="3185" t="s">
        <v>61</v>
      </c>
      <c r="K6" s="3185" t="s">
        <v>27</v>
      </c>
      <c r="L6" s="4035" t="s">
        <v>65</v>
      </c>
      <c r="M6" s="4035" t="s">
        <v>86</v>
      </c>
      <c r="N6" s="4036" t="s">
        <v>91</v>
      </c>
      <c r="O6" s="4036"/>
      <c r="P6" s="4036" t="s">
        <v>88</v>
      </c>
      <c r="Q6" s="4035" t="s">
        <v>82</v>
      </c>
      <c r="R6" s="3185" t="s">
        <v>83</v>
      </c>
      <c r="S6" s="4035"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5" ht="107.25" customHeight="1" x14ac:dyDescent="0.2">
      <c r="A7" s="3199"/>
      <c r="B7" s="3199"/>
      <c r="C7" s="3184"/>
      <c r="D7" s="3185"/>
      <c r="E7" s="3185"/>
      <c r="F7" s="3185"/>
      <c r="G7" s="3185"/>
      <c r="H7" s="3185"/>
      <c r="I7" s="3185"/>
      <c r="J7" s="3185"/>
      <c r="K7" s="3185"/>
      <c r="L7" s="4035" t="s">
        <v>66</v>
      </c>
      <c r="M7" s="4035"/>
      <c r="N7" s="288" t="s">
        <v>80</v>
      </c>
      <c r="O7" s="288" t="s">
        <v>81</v>
      </c>
      <c r="P7" s="4036"/>
      <c r="Q7" s="4035"/>
      <c r="R7" s="3185"/>
      <c r="S7" s="4035" t="s">
        <v>67</v>
      </c>
      <c r="T7" s="3185"/>
      <c r="U7" s="3185"/>
      <c r="V7" s="3185"/>
      <c r="W7" s="3185"/>
      <c r="X7" s="280" t="s">
        <v>5</v>
      </c>
      <c r="Y7" s="280" t="s">
        <v>6</v>
      </c>
      <c r="Z7" s="280" t="s">
        <v>74</v>
      </c>
      <c r="AA7" s="280" t="s">
        <v>5</v>
      </c>
      <c r="AB7" s="280" t="s">
        <v>6</v>
      </c>
      <c r="AC7" s="280" t="s">
        <v>75</v>
      </c>
      <c r="AD7" s="280" t="s">
        <v>5</v>
      </c>
      <c r="AE7" s="280" t="s">
        <v>6</v>
      </c>
      <c r="AF7" s="280" t="s">
        <v>76</v>
      </c>
      <c r="AG7" s="3184"/>
      <c r="AH7" s="3184"/>
      <c r="AK7" s="22" t="s">
        <v>64</v>
      </c>
      <c r="AL7" s="22" t="s">
        <v>62</v>
      </c>
      <c r="AM7" s="165"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43" t="s">
        <v>116</v>
      </c>
      <c r="AO8" s="43" t="s">
        <v>117</v>
      </c>
      <c r="AP8" s="43" t="s">
        <v>118</v>
      </c>
      <c r="AQ8" s="43" t="s">
        <v>119</v>
      </c>
    </row>
    <row r="9" spans="1:45" ht="16.5" customHeight="1" x14ac:dyDescent="0.2">
      <c r="A9" s="278">
        <v>1</v>
      </c>
      <c r="B9" s="166" t="s">
        <v>14</v>
      </c>
      <c r="C9" s="167">
        <v>1</v>
      </c>
      <c r="D9" s="168">
        <v>22.876999999999999</v>
      </c>
      <c r="E9" s="169">
        <f>C9*D9</f>
        <v>22.88</v>
      </c>
      <c r="F9" s="170">
        <f>E9*12</f>
        <v>274.60000000000002</v>
      </c>
      <c r="G9" s="154"/>
      <c r="H9" s="154"/>
      <c r="I9" s="154"/>
      <c r="J9" s="154"/>
      <c r="K9" s="154">
        <f>F9*0.4</f>
        <v>109.8</v>
      </c>
      <c r="L9" s="154">
        <f>F9*$L$4</f>
        <v>94.2</v>
      </c>
      <c r="M9" s="154">
        <f>F9+G9+H9+I9+J9+K9+L9</f>
        <v>478.6</v>
      </c>
      <c r="N9" s="171">
        <v>0.47</v>
      </c>
      <c r="O9" s="154">
        <f>M9*N9</f>
        <v>224.9</v>
      </c>
      <c r="P9" s="154">
        <f>M9+O9</f>
        <v>703.5</v>
      </c>
      <c r="Q9" s="154">
        <f>P9*0.8</f>
        <v>562.79999999999995</v>
      </c>
      <c r="R9" s="154">
        <f>P9*0.8</f>
        <v>562.79999999999995</v>
      </c>
      <c r="S9" s="154">
        <f>(P9+Q9+R9)*0.032</f>
        <v>58.5</v>
      </c>
      <c r="T9" s="154">
        <f>P9+Q9+R9+S9</f>
        <v>1887.6</v>
      </c>
      <c r="U9" s="4031">
        <v>1</v>
      </c>
      <c r="V9" s="155">
        <f t="shared" ref="V9:V21" si="0">T9*$U$9</f>
        <v>1887.6</v>
      </c>
      <c r="W9" s="155">
        <f>AQ9</f>
        <v>451.9</v>
      </c>
      <c r="X9" s="278"/>
      <c r="Y9" s="24">
        <v>30</v>
      </c>
      <c r="Z9" s="48">
        <f t="shared" ref="Z9:Z22" si="1">X9*Y9</f>
        <v>0</v>
      </c>
      <c r="AA9" s="278"/>
      <c r="AB9" s="24">
        <v>15</v>
      </c>
      <c r="AC9" s="48">
        <f t="shared" ref="AC9:AC22" si="2">AA9*AB9</f>
        <v>0</v>
      </c>
      <c r="AD9" s="278"/>
      <c r="AE9" s="24">
        <v>30</v>
      </c>
      <c r="AF9" s="48">
        <f t="shared" ref="AF9:AF22" si="3">AD9*AE9</f>
        <v>0</v>
      </c>
      <c r="AG9" s="48">
        <f t="shared" ref="AG9:AG22" si="4">(Z9+AC9+AF9)*1%*30</f>
        <v>0</v>
      </c>
      <c r="AH9" s="48">
        <f t="shared" ref="AH9:AH22" si="5">Z9+AC9+AF9+AG9</f>
        <v>0</v>
      </c>
      <c r="AI9" s="34">
        <f t="shared" ref="AI9:AI22" si="6">V9/12/C9*1000</f>
        <v>157300</v>
      </c>
      <c r="AJ9" s="34"/>
      <c r="AK9" s="34">
        <f t="shared" ref="AK9:AK22" si="7">V9/C9</f>
        <v>1887.6</v>
      </c>
      <c r="AL9" s="34">
        <f>((979*0.302)+((AK9-979)*0.182))</f>
        <v>461</v>
      </c>
      <c r="AM9" s="51">
        <f>AL9/AK9</f>
        <v>0.24399999999999999</v>
      </c>
      <c r="AN9" s="116">
        <f>1150*0.22*C9+(V9-1150*C9)*0.1</f>
        <v>326.8</v>
      </c>
      <c r="AO9" s="116">
        <f>865*0.029*C9</f>
        <v>25.1</v>
      </c>
      <c r="AP9" s="116">
        <f>AK9*0.053</f>
        <v>100</v>
      </c>
      <c r="AQ9" s="116">
        <f>SUM(AN9:AP9)</f>
        <v>451.9</v>
      </c>
      <c r="AS9" s="51">
        <f t="shared" ref="AS9:AS22" si="8">D9*1.5</f>
        <v>34.316000000000003</v>
      </c>
    </row>
    <row r="10" spans="1:45" ht="15" x14ac:dyDescent="0.2">
      <c r="A10" s="278">
        <v>2</v>
      </c>
      <c r="B10" s="166" t="s">
        <v>125</v>
      </c>
      <c r="C10" s="167">
        <v>2</v>
      </c>
      <c r="D10" s="168">
        <v>16.013999999999999</v>
      </c>
      <c r="E10" s="169">
        <f>C10*D10</f>
        <v>32.03</v>
      </c>
      <c r="F10" s="170">
        <f t="shared" ref="F10:F22" si="9">E10*12</f>
        <v>384.4</v>
      </c>
      <c r="G10" s="154"/>
      <c r="H10" s="154"/>
      <c r="I10" s="154">
        <f>D10*0.25*12</f>
        <v>48</v>
      </c>
      <c r="J10" s="154"/>
      <c r="K10" s="154">
        <f>D10*0.25*12+D10*0.4*12+D10*0.05*4</f>
        <v>128.1</v>
      </c>
      <c r="L10" s="154">
        <f t="shared" ref="L10:L21" si="10">F10*$L$4</f>
        <v>131.9</v>
      </c>
      <c r="M10" s="154">
        <f t="shared" ref="M10:M22" si="11">F10+G10+H10+I10+J10+K10+L10</f>
        <v>692.4</v>
      </c>
      <c r="N10" s="171">
        <v>0.47</v>
      </c>
      <c r="O10" s="154">
        <f t="shared" ref="O10:O22" si="12">M10*N10</f>
        <v>325.39999999999998</v>
      </c>
      <c r="P10" s="154">
        <f t="shared" ref="P10:P22" si="13">M10+O10</f>
        <v>1017.8</v>
      </c>
      <c r="Q10" s="154">
        <f t="shared" ref="Q10:Q22" si="14">P10*0.8</f>
        <v>814.2</v>
      </c>
      <c r="R10" s="154">
        <f t="shared" ref="R10:R22" si="15">P10*0.8</f>
        <v>814.2</v>
      </c>
      <c r="S10" s="154">
        <f t="shared" ref="S10:S22" si="16">(P10+Q10+R10)*0.032</f>
        <v>84.7</v>
      </c>
      <c r="T10" s="154">
        <f t="shared" ref="T10:T22" si="17">P10+Q10+R10+S10</f>
        <v>2730.9</v>
      </c>
      <c r="U10" s="4032"/>
      <c r="V10" s="155">
        <f t="shared" si="0"/>
        <v>2730.9</v>
      </c>
      <c r="W10" s="155">
        <f>AQ10</f>
        <v>744</v>
      </c>
      <c r="X10" s="278"/>
      <c r="Y10" s="24">
        <v>30</v>
      </c>
      <c r="Z10" s="48">
        <f t="shared" si="1"/>
        <v>0</v>
      </c>
      <c r="AA10" s="278">
        <v>1</v>
      </c>
      <c r="AB10" s="24">
        <v>15</v>
      </c>
      <c r="AC10" s="48">
        <f t="shared" si="2"/>
        <v>15</v>
      </c>
      <c r="AD10" s="278"/>
      <c r="AE10" s="24">
        <v>30</v>
      </c>
      <c r="AF10" s="48">
        <f t="shared" si="3"/>
        <v>0</v>
      </c>
      <c r="AG10" s="48">
        <f t="shared" si="4"/>
        <v>4.5</v>
      </c>
      <c r="AH10" s="48">
        <f t="shared" si="5"/>
        <v>19.5</v>
      </c>
      <c r="AI10" s="34">
        <f t="shared" si="6"/>
        <v>113787.5</v>
      </c>
      <c r="AJ10" s="34"/>
      <c r="AK10" s="34">
        <f t="shared" si="7"/>
        <v>1365.5</v>
      </c>
      <c r="AL10" s="34">
        <f t="shared" ref="AL10:AL22" si="18">((979*0.302)+((AK10-979)*0.182))</f>
        <v>366</v>
      </c>
      <c r="AM10" s="51">
        <f>AL10/AK10</f>
        <v>0.26800000000000002</v>
      </c>
      <c r="AN10" s="116">
        <f>1150*0.22*C10+(V10-1150*C10)*0.1</f>
        <v>549.1</v>
      </c>
      <c r="AO10" s="116">
        <f>865*0.029*C10</f>
        <v>50.2</v>
      </c>
      <c r="AP10" s="116">
        <f>AK10*0.053*2</f>
        <v>144.69999999999999</v>
      </c>
      <c r="AQ10" s="116">
        <f>SUM(AN10:AP10)</f>
        <v>744</v>
      </c>
      <c r="AS10" s="51">
        <f t="shared" si="8"/>
        <v>24.021000000000001</v>
      </c>
    </row>
    <row r="11" spans="1:45" ht="15" x14ac:dyDescent="0.2">
      <c r="A11" s="278">
        <v>3</v>
      </c>
      <c r="B11" s="106" t="s">
        <v>33</v>
      </c>
      <c r="C11" s="172">
        <v>1</v>
      </c>
      <c r="D11" s="173">
        <v>8.4730000000000008</v>
      </c>
      <c r="E11" s="171">
        <f t="shared" ref="E11:E22" si="19">C11*D11</f>
        <v>8.4700000000000006</v>
      </c>
      <c r="F11" s="154">
        <f t="shared" si="9"/>
        <v>101.6</v>
      </c>
      <c r="G11" s="154"/>
      <c r="H11" s="154"/>
      <c r="I11" s="154"/>
      <c r="J11" s="154"/>
      <c r="K11" s="154">
        <f>D11*0.2*5</f>
        <v>8.5</v>
      </c>
      <c r="L11" s="154">
        <f t="shared" si="10"/>
        <v>34.9</v>
      </c>
      <c r="M11" s="154">
        <f t="shared" si="11"/>
        <v>145</v>
      </c>
      <c r="N11" s="171">
        <v>0.41</v>
      </c>
      <c r="O11" s="154">
        <f t="shared" si="12"/>
        <v>59.5</v>
      </c>
      <c r="P11" s="154">
        <f t="shared" si="13"/>
        <v>204.5</v>
      </c>
      <c r="Q11" s="154">
        <f t="shared" si="14"/>
        <v>163.6</v>
      </c>
      <c r="R11" s="154">
        <f t="shared" si="15"/>
        <v>163.6</v>
      </c>
      <c r="S11" s="154">
        <f t="shared" si="16"/>
        <v>17</v>
      </c>
      <c r="T11" s="154">
        <f t="shared" si="17"/>
        <v>548.70000000000005</v>
      </c>
      <c r="U11" s="4032"/>
      <c r="V11" s="155">
        <f t="shared" si="0"/>
        <v>548.70000000000005</v>
      </c>
      <c r="W11" s="155">
        <f>V11*0.302</f>
        <v>165.7</v>
      </c>
      <c r="X11" s="162"/>
      <c r="Y11" s="163">
        <v>30</v>
      </c>
      <c r="Z11" s="164">
        <f t="shared" si="1"/>
        <v>0</v>
      </c>
      <c r="AA11" s="162"/>
      <c r="AB11" s="163">
        <v>15</v>
      </c>
      <c r="AC11" s="164">
        <f t="shared" si="2"/>
        <v>0</v>
      </c>
      <c r="AD11" s="162"/>
      <c r="AE11" s="163">
        <v>30</v>
      </c>
      <c r="AF11" s="164">
        <f t="shared" si="3"/>
        <v>0</v>
      </c>
      <c r="AG11" s="164">
        <f t="shared" si="4"/>
        <v>0</v>
      </c>
      <c r="AH11" s="164">
        <f t="shared" si="5"/>
        <v>0</v>
      </c>
      <c r="AI11" s="34">
        <f t="shared" si="6"/>
        <v>45725</v>
      </c>
      <c r="AJ11" s="34"/>
      <c r="AK11" s="34">
        <f t="shared" si="7"/>
        <v>548.70000000000005</v>
      </c>
      <c r="AL11" s="34">
        <f t="shared" si="18"/>
        <v>217.3</v>
      </c>
      <c r="AM11" s="51">
        <v>0.30199999999999999</v>
      </c>
      <c r="AO11" s="116"/>
      <c r="AP11" s="116"/>
      <c r="AQ11" s="116"/>
      <c r="AS11" s="51">
        <f t="shared" si="8"/>
        <v>12.71</v>
      </c>
    </row>
    <row r="12" spans="1:45" ht="15" x14ac:dyDescent="0.2">
      <c r="A12" s="278">
        <v>4</v>
      </c>
      <c r="B12" s="106" t="s">
        <v>105</v>
      </c>
      <c r="C12" s="172">
        <v>2</v>
      </c>
      <c r="D12" s="173">
        <v>8.4730000000000008</v>
      </c>
      <c r="E12" s="171">
        <f t="shared" si="19"/>
        <v>16.95</v>
      </c>
      <c r="F12" s="154">
        <f t="shared" si="9"/>
        <v>203.4</v>
      </c>
      <c r="G12" s="154"/>
      <c r="H12" s="154"/>
      <c r="I12" s="154"/>
      <c r="J12" s="154"/>
      <c r="K12" s="154">
        <f>F12*0.35</f>
        <v>71.2</v>
      </c>
      <c r="L12" s="154">
        <f t="shared" si="10"/>
        <v>69.8</v>
      </c>
      <c r="M12" s="154">
        <f t="shared" si="11"/>
        <v>344.4</v>
      </c>
      <c r="N12" s="171">
        <v>0.41</v>
      </c>
      <c r="O12" s="154">
        <f t="shared" si="12"/>
        <v>141.19999999999999</v>
      </c>
      <c r="P12" s="154">
        <f t="shared" si="13"/>
        <v>485.6</v>
      </c>
      <c r="Q12" s="154">
        <f t="shared" si="14"/>
        <v>388.5</v>
      </c>
      <c r="R12" s="154">
        <f t="shared" si="15"/>
        <v>388.5</v>
      </c>
      <c r="S12" s="154">
        <f t="shared" si="16"/>
        <v>40.4</v>
      </c>
      <c r="T12" s="154">
        <f t="shared" si="17"/>
        <v>1303</v>
      </c>
      <c r="U12" s="4032"/>
      <c r="V12" s="155">
        <f t="shared" si="0"/>
        <v>1303</v>
      </c>
      <c r="W12" s="155">
        <f t="shared" ref="W12:W22" si="20">V12*0.302</f>
        <v>393.5</v>
      </c>
      <c r="X12" s="162">
        <v>2</v>
      </c>
      <c r="Y12" s="163">
        <v>30</v>
      </c>
      <c r="Z12" s="164">
        <f t="shared" si="1"/>
        <v>60</v>
      </c>
      <c r="AA12" s="162"/>
      <c r="AB12" s="163">
        <v>15</v>
      </c>
      <c r="AC12" s="164">
        <f t="shared" si="2"/>
        <v>0</v>
      </c>
      <c r="AD12" s="162"/>
      <c r="AE12" s="163">
        <v>30</v>
      </c>
      <c r="AF12" s="164">
        <f t="shared" si="3"/>
        <v>0</v>
      </c>
      <c r="AG12" s="164">
        <f t="shared" si="4"/>
        <v>18</v>
      </c>
      <c r="AH12" s="164">
        <f t="shared" si="5"/>
        <v>78</v>
      </c>
      <c r="AI12" s="34">
        <f t="shared" si="6"/>
        <v>54291.7</v>
      </c>
      <c r="AJ12" s="34"/>
      <c r="AK12" s="34">
        <f t="shared" si="7"/>
        <v>651.5</v>
      </c>
      <c r="AL12" s="34">
        <f t="shared" si="18"/>
        <v>236.1</v>
      </c>
      <c r="AM12" s="51">
        <v>0.30199999999999999</v>
      </c>
      <c r="AQ12" s="116"/>
      <c r="AS12" s="51">
        <f t="shared" si="8"/>
        <v>12.71</v>
      </c>
    </row>
    <row r="13" spans="1:45" ht="15" x14ac:dyDescent="0.2">
      <c r="A13" s="278">
        <v>5</v>
      </c>
      <c r="B13" s="166" t="s">
        <v>15</v>
      </c>
      <c r="C13" s="174">
        <v>6</v>
      </c>
      <c r="D13" s="175">
        <v>11.061999999999999</v>
      </c>
      <c r="E13" s="171">
        <f t="shared" si="19"/>
        <v>66.37</v>
      </c>
      <c r="F13" s="154">
        <f t="shared" si="9"/>
        <v>796.4</v>
      </c>
      <c r="G13" s="154"/>
      <c r="H13" s="154"/>
      <c r="I13" s="154"/>
      <c r="J13" s="154"/>
      <c r="K13" s="154">
        <f>D13*0.2*12+D13*0.3*12+D13*0.35*12+D13*0.4*3*12</f>
        <v>272.10000000000002</v>
      </c>
      <c r="L13" s="154">
        <f t="shared" si="10"/>
        <v>273.3</v>
      </c>
      <c r="M13" s="154">
        <f t="shared" si="11"/>
        <v>1341.8</v>
      </c>
      <c r="N13" s="171">
        <v>0.43</v>
      </c>
      <c r="O13" s="154">
        <f t="shared" si="12"/>
        <v>577</v>
      </c>
      <c r="P13" s="154">
        <f t="shared" si="13"/>
        <v>1918.8</v>
      </c>
      <c r="Q13" s="154">
        <f t="shared" si="14"/>
        <v>1535</v>
      </c>
      <c r="R13" s="154">
        <f t="shared" si="15"/>
        <v>1535</v>
      </c>
      <c r="S13" s="154">
        <f t="shared" si="16"/>
        <v>159.6</v>
      </c>
      <c r="T13" s="154">
        <f t="shared" si="17"/>
        <v>5148.3999999999996</v>
      </c>
      <c r="U13" s="4032"/>
      <c r="V13" s="155">
        <f t="shared" si="0"/>
        <v>5148.3999999999996</v>
      </c>
      <c r="W13" s="155">
        <f t="shared" si="20"/>
        <v>1554.8</v>
      </c>
      <c r="X13" s="162">
        <v>5</v>
      </c>
      <c r="Y13" s="163">
        <v>30</v>
      </c>
      <c r="Z13" s="164">
        <f t="shared" si="1"/>
        <v>150</v>
      </c>
      <c r="AA13" s="162">
        <v>2</v>
      </c>
      <c r="AB13" s="163">
        <v>15</v>
      </c>
      <c r="AC13" s="164">
        <f t="shared" si="2"/>
        <v>30</v>
      </c>
      <c r="AD13" s="162"/>
      <c r="AE13" s="163">
        <v>30</v>
      </c>
      <c r="AF13" s="164">
        <f t="shared" si="3"/>
        <v>0</v>
      </c>
      <c r="AG13" s="164">
        <f t="shared" si="4"/>
        <v>54</v>
      </c>
      <c r="AH13" s="164">
        <f t="shared" si="5"/>
        <v>234</v>
      </c>
      <c r="AI13" s="34">
        <f t="shared" si="6"/>
        <v>71505.600000000006</v>
      </c>
      <c r="AJ13" s="34"/>
      <c r="AK13" s="34">
        <f t="shared" si="7"/>
        <v>858.1</v>
      </c>
      <c r="AL13" s="34">
        <f t="shared" si="18"/>
        <v>273.7</v>
      </c>
      <c r="AM13" s="51">
        <v>0.30199999999999999</v>
      </c>
      <c r="AO13" s="116"/>
      <c r="AP13" s="116"/>
      <c r="AQ13" s="116"/>
      <c r="AS13" s="51">
        <f t="shared" si="8"/>
        <v>16.593</v>
      </c>
    </row>
    <row r="14" spans="1:45" x14ac:dyDescent="0.2">
      <c r="A14" s="278">
        <v>6</v>
      </c>
      <c r="B14" s="166" t="s">
        <v>16</v>
      </c>
      <c r="C14" s="174">
        <v>17</v>
      </c>
      <c r="D14" s="175">
        <v>11.061999999999999</v>
      </c>
      <c r="E14" s="171">
        <f t="shared" si="19"/>
        <v>188.05</v>
      </c>
      <c r="F14" s="154">
        <f t="shared" si="9"/>
        <v>2256.6</v>
      </c>
      <c r="G14" s="154"/>
      <c r="H14" s="154"/>
      <c r="I14" s="154"/>
      <c r="J14" s="154"/>
      <c r="K14" s="154">
        <f>D14*0.3*12+D14*0.4*12</f>
        <v>92.9</v>
      </c>
      <c r="L14" s="154">
        <f t="shared" si="10"/>
        <v>774.3</v>
      </c>
      <c r="M14" s="154">
        <f t="shared" si="11"/>
        <v>3123.8</v>
      </c>
      <c r="N14" s="171">
        <v>0.43</v>
      </c>
      <c r="O14" s="154">
        <f t="shared" si="12"/>
        <v>1343.2</v>
      </c>
      <c r="P14" s="154">
        <f t="shared" si="13"/>
        <v>4467</v>
      </c>
      <c r="Q14" s="154">
        <f t="shared" si="14"/>
        <v>3573.6</v>
      </c>
      <c r="R14" s="154">
        <f t="shared" si="15"/>
        <v>3573.6</v>
      </c>
      <c r="S14" s="154">
        <f t="shared" si="16"/>
        <v>371.7</v>
      </c>
      <c r="T14" s="154">
        <f t="shared" si="17"/>
        <v>11985.9</v>
      </c>
      <c r="U14" s="4032"/>
      <c r="V14" s="155">
        <f t="shared" si="0"/>
        <v>11985.9</v>
      </c>
      <c r="W14" s="155">
        <f t="shared" si="20"/>
        <v>3619.7</v>
      </c>
      <c r="X14" s="162">
        <v>10</v>
      </c>
      <c r="Y14" s="163">
        <v>30</v>
      </c>
      <c r="Z14" s="164">
        <f t="shared" si="1"/>
        <v>300</v>
      </c>
      <c r="AA14" s="162">
        <v>3</v>
      </c>
      <c r="AB14" s="163">
        <v>15</v>
      </c>
      <c r="AC14" s="164">
        <f t="shared" si="2"/>
        <v>45</v>
      </c>
      <c r="AD14" s="162">
        <v>3</v>
      </c>
      <c r="AE14" s="163">
        <v>30</v>
      </c>
      <c r="AF14" s="164">
        <f t="shared" si="3"/>
        <v>90</v>
      </c>
      <c r="AG14" s="164">
        <f t="shared" si="4"/>
        <v>130.5</v>
      </c>
      <c r="AH14" s="164">
        <f t="shared" si="5"/>
        <v>565.5</v>
      </c>
      <c r="AI14" s="34">
        <f t="shared" si="6"/>
        <v>58754.400000000001</v>
      </c>
      <c r="AJ14" s="34"/>
      <c r="AK14" s="34">
        <f t="shared" si="7"/>
        <v>705.1</v>
      </c>
      <c r="AL14" s="34">
        <f t="shared" si="18"/>
        <v>245.8</v>
      </c>
      <c r="AM14" s="51">
        <v>0.30199999999999999</v>
      </c>
      <c r="AS14" s="51">
        <f t="shared" si="8"/>
        <v>16.593</v>
      </c>
    </row>
    <row r="15" spans="1:45" ht="15" x14ac:dyDescent="0.2">
      <c r="A15" s="278">
        <v>7</v>
      </c>
      <c r="B15" s="176" t="s">
        <v>36</v>
      </c>
      <c r="C15" s="167">
        <f>69.5-0.5</f>
        <v>69</v>
      </c>
      <c r="D15" s="177">
        <v>8.4730000000000008</v>
      </c>
      <c r="E15" s="171">
        <f>C15*D15</f>
        <v>584.64</v>
      </c>
      <c r="F15" s="154">
        <f t="shared" si="9"/>
        <v>7015.7</v>
      </c>
      <c r="G15" s="154"/>
      <c r="H15" s="154"/>
      <c r="I15" s="154"/>
      <c r="J15" s="154">
        <f>D15*5.05*12</f>
        <v>513.5</v>
      </c>
      <c r="K15" s="154">
        <f>D15*0.2*12+D15*0.05*4+D15*0.25*8+D15*0.05*16+D15*0.3*11+D15*0.05*31+D15*0.35*12+D15*0.4*12*12</f>
        <v>610.5</v>
      </c>
      <c r="L15" s="154">
        <f t="shared" si="10"/>
        <v>2407.1999999999998</v>
      </c>
      <c r="M15" s="154">
        <f t="shared" si="11"/>
        <v>10546.9</v>
      </c>
      <c r="N15" s="171">
        <v>0.41</v>
      </c>
      <c r="O15" s="154">
        <f t="shared" si="12"/>
        <v>4324.2</v>
      </c>
      <c r="P15" s="154">
        <f t="shared" si="13"/>
        <v>14871.1</v>
      </c>
      <c r="Q15" s="154">
        <f t="shared" si="14"/>
        <v>11896.9</v>
      </c>
      <c r="R15" s="154">
        <f t="shared" si="15"/>
        <v>11896.9</v>
      </c>
      <c r="S15" s="154">
        <f t="shared" si="16"/>
        <v>1237.3</v>
      </c>
      <c r="T15" s="154">
        <f t="shared" si="17"/>
        <v>39902.199999999997</v>
      </c>
      <c r="U15" s="4032"/>
      <c r="V15" s="155">
        <f>T15*$U$9</f>
        <v>39902.199999999997</v>
      </c>
      <c r="W15" s="155">
        <f t="shared" si="20"/>
        <v>12050.5</v>
      </c>
      <c r="X15" s="278">
        <v>41</v>
      </c>
      <c r="Y15" s="24">
        <v>30</v>
      </c>
      <c r="Z15" s="48">
        <f t="shared" si="1"/>
        <v>1230</v>
      </c>
      <c r="AA15" s="54">
        <v>15</v>
      </c>
      <c r="AB15" s="24">
        <v>15</v>
      </c>
      <c r="AC15" s="48">
        <f t="shared" si="2"/>
        <v>225</v>
      </c>
      <c r="AD15" s="54">
        <v>12</v>
      </c>
      <c r="AE15" s="24">
        <v>30</v>
      </c>
      <c r="AF15" s="48">
        <f t="shared" si="3"/>
        <v>360</v>
      </c>
      <c r="AG15" s="48">
        <f t="shared" si="4"/>
        <v>544.5</v>
      </c>
      <c r="AH15" s="48">
        <f t="shared" si="5"/>
        <v>2359.5</v>
      </c>
      <c r="AI15" s="34">
        <f t="shared" si="6"/>
        <v>48191.1</v>
      </c>
      <c r="AJ15" s="34"/>
      <c r="AK15" s="34">
        <f t="shared" si="7"/>
        <v>578.29999999999995</v>
      </c>
      <c r="AL15" s="34">
        <f t="shared" si="18"/>
        <v>222.7</v>
      </c>
      <c r="AM15" s="51">
        <v>0.30199999999999999</v>
      </c>
      <c r="AO15" s="116"/>
      <c r="AP15" s="116"/>
      <c r="AQ15" s="116"/>
      <c r="AS15" s="51">
        <f t="shared" si="8"/>
        <v>12.71</v>
      </c>
    </row>
    <row r="16" spans="1:45" ht="15" x14ac:dyDescent="0.2">
      <c r="A16" s="278">
        <v>8</v>
      </c>
      <c r="B16" s="176" t="s">
        <v>37</v>
      </c>
      <c r="C16" s="167">
        <v>6</v>
      </c>
      <c r="D16" s="177">
        <v>8.4730000000000008</v>
      </c>
      <c r="E16" s="171">
        <f>C16*D16</f>
        <v>50.84</v>
      </c>
      <c r="F16" s="154">
        <f t="shared" si="9"/>
        <v>610.1</v>
      </c>
      <c r="G16" s="154"/>
      <c r="H16" s="154"/>
      <c r="I16" s="154"/>
      <c r="J16" s="154">
        <f>D16*0.2*12</f>
        <v>20.3</v>
      </c>
      <c r="K16" s="154">
        <f>D16*0.4*12</f>
        <v>40.700000000000003</v>
      </c>
      <c r="L16" s="154">
        <f t="shared" si="10"/>
        <v>209.3</v>
      </c>
      <c r="M16" s="154">
        <f t="shared" si="11"/>
        <v>880.4</v>
      </c>
      <c r="N16" s="171">
        <v>0.41</v>
      </c>
      <c r="O16" s="154">
        <f t="shared" si="12"/>
        <v>361</v>
      </c>
      <c r="P16" s="154">
        <f t="shared" si="13"/>
        <v>1241.4000000000001</v>
      </c>
      <c r="Q16" s="154">
        <f t="shared" si="14"/>
        <v>993.1</v>
      </c>
      <c r="R16" s="154">
        <f t="shared" si="15"/>
        <v>993.1</v>
      </c>
      <c r="S16" s="154">
        <f t="shared" si="16"/>
        <v>103.3</v>
      </c>
      <c r="T16" s="154">
        <f t="shared" si="17"/>
        <v>3330.9</v>
      </c>
      <c r="U16" s="4032"/>
      <c r="V16" s="155">
        <f t="shared" si="0"/>
        <v>3330.9</v>
      </c>
      <c r="W16" s="155">
        <f t="shared" si="20"/>
        <v>1005.9</v>
      </c>
      <c r="X16" s="278"/>
      <c r="Y16" s="24">
        <v>30</v>
      </c>
      <c r="Z16" s="48">
        <f t="shared" si="1"/>
        <v>0</v>
      </c>
      <c r="AA16" s="54"/>
      <c r="AB16" s="24">
        <v>15</v>
      </c>
      <c r="AC16" s="48">
        <f t="shared" si="2"/>
        <v>0</v>
      </c>
      <c r="AD16" s="54"/>
      <c r="AE16" s="24">
        <v>30</v>
      </c>
      <c r="AF16" s="48">
        <f t="shared" si="3"/>
        <v>0</v>
      </c>
      <c r="AG16" s="48">
        <f t="shared" si="4"/>
        <v>0</v>
      </c>
      <c r="AH16" s="48">
        <f t="shared" si="5"/>
        <v>0</v>
      </c>
      <c r="AI16" s="34">
        <f t="shared" si="6"/>
        <v>46262.5</v>
      </c>
      <c r="AJ16" s="34"/>
      <c r="AK16" s="34">
        <f t="shared" si="7"/>
        <v>555.20000000000005</v>
      </c>
      <c r="AL16" s="34">
        <f t="shared" si="18"/>
        <v>218.5</v>
      </c>
      <c r="AM16" s="51">
        <v>0.30199999999999999</v>
      </c>
      <c r="AN16" s="116"/>
      <c r="AO16" s="116"/>
      <c r="AP16" s="116"/>
      <c r="AQ16" s="116"/>
      <c r="AS16" s="51">
        <f t="shared" si="8"/>
        <v>12.71</v>
      </c>
    </row>
    <row r="17" spans="1:45" x14ac:dyDescent="0.2">
      <c r="A17" s="278">
        <v>9</v>
      </c>
      <c r="B17" s="176" t="s">
        <v>19</v>
      </c>
      <c r="C17" s="167">
        <v>5</v>
      </c>
      <c r="D17" s="177">
        <v>8.4730000000000008</v>
      </c>
      <c r="E17" s="171">
        <f>C17*D17</f>
        <v>42.37</v>
      </c>
      <c r="F17" s="154">
        <f t="shared" si="9"/>
        <v>508.4</v>
      </c>
      <c r="G17" s="154"/>
      <c r="H17" s="154"/>
      <c r="I17" s="154"/>
      <c r="J17" s="154">
        <f>D17*1.25*12</f>
        <v>127.1</v>
      </c>
      <c r="K17" s="154">
        <f>D17*0.3*12+D17*0.35*2*12+D17*0.05*11+D17*0.4*2</f>
        <v>113.1</v>
      </c>
      <c r="L17" s="154">
        <f t="shared" si="10"/>
        <v>174.4</v>
      </c>
      <c r="M17" s="154">
        <f t="shared" si="11"/>
        <v>923</v>
      </c>
      <c r="N17" s="171">
        <v>0.41</v>
      </c>
      <c r="O17" s="154">
        <f t="shared" si="12"/>
        <v>378.4</v>
      </c>
      <c r="P17" s="154">
        <f t="shared" si="13"/>
        <v>1301.4000000000001</v>
      </c>
      <c r="Q17" s="154">
        <f t="shared" si="14"/>
        <v>1041.0999999999999</v>
      </c>
      <c r="R17" s="154">
        <f t="shared" si="15"/>
        <v>1041.0999999999999</v>
      </c>
      <c r="S17" s="154">
        <f t="shared" si="16"/>
        <v>108.3</v>
      </c>
      <c r="T17" s="154">
        <f t="shared" si="17"/>
        <v>3491.9</v>
      </c>
      <c r="U17" s="4032"/>
      <c r="V17" s="155">
        <f t="shared" si="0"/>
        <v>3491.9</v>
      </c>
      <c r="W17" s="155">
        <f t="shared" si="20"/>
        <v>1054.5999999999999</v>
      </c>
      <c r="X17" s="278">
        <v>3</v>
      </c>
      <c r="Y17" s="24">
        <v>30</v>
      </c>
      <c r="Z17" s="48">
        <f t="shared" si="1"/>
        <v>90</v>
      </c>
      <c r="AA17" s="54">
        <v>2</v>
      </c>
      <c r="AB17" s="24">
        <v>15</v>
      </c>
      <c r="AC17" s="48">
        <f t="shared" si="2"/>
        <v>30</v>
      </c>
      <c r="AD17" s="54"/>
      <c r="AE17" s="24">
        <v>30</v>
      </c>
      <c r="AF17" s="48">
        <f t="shared" si="3"/>
        <v>0</v>
      </c>
      <c r="AG17" s="48">
        <f t="shared" si="4"/>
        <v>36</v>
      </c>
      <c r="AH17" s="48">
        <f t="shared" si="5"/>
        <v>156</v>
      </c>
      <c r="AI17" s="34">
        <f t="shared" si="6"/>
        <v>58198.3</v>
      </c>
      <c r="AJ17" s="34"/>
      <c r="AK17" s="34">
        <f t="shared" si="7"/>
        <v>698.4</v>
      </c>
      <c r="AL17" s="34">
        <f t="shared" si="18"/>
        <v>244.6</v>
      </c>
      <c r="AM17" s="51">
        <v>0.30199999999999999</v>
      </c>
      <c r="AS17" s="51">
        <f t="shared" si="8"/>
        <v>12.71</v>
      </c>
    </row>
    <row r="18" spans="1:45" ht="25.5" x14ac:dyDescent="0.2">
      <c r="A18" s="278">
        <v>10</v>
      </c>
      <c r="B18" s="44" t="s">
        <v>131</v>
      </c>
      <c r="C18" s="167">
        <v>1</v>
      </c>
      <c r="D18" s="177">
        <v>8.4730000000000008</v>
      </c>
      <c r="E18" s="171">
        <f>C18*D18</f>
        <v>8.4700000000000006</v>
      </c>
      <c r="F18" s="154">
        <f t="shared" si="9"/>
        <v>101.6</v>
      </c>
      <c r="G18" s="154"/>
      <c r="H18" s="154"/>
      <c r="I18" s="154"/>
      <c r="J18" s="154"/>
      <c r="K18" s="154">
        <f>F18*0.4</f>
        <v>40.6</v>
      </c>
      <c r="L18" s="154">
        <f t="shared" si="10"/>
        <v>34.9</v>
      </c>
      <c r="M18" s="154">
        <f t="shared" si="11"/>
        <v>177.1</v>
      </c>
      <c r="N18" s="171">
        <v>0.41</v>
      </c>
      <c r="O18" s="154">
        <f t="shared" si="12"/>
        <v>72.599999999999994</v>
      </c>
      <c r="P18" s="154">
        <f t="shared" si="13"/>
        <v>249.7</v>
      </c>
      <c r="Q18" s="154">
        <f t="shared" si="14"/>
        <v>199.8</v>
      </c>
      <c r="R18" s="154">
        <f t="shared" si="15"/>
        <v>199.8</v>
      </c>
      <c r="S18" s="154">
        <f t="shared" si="16"/>
        <v>20.8</v>
      </c>
      <c r="T18" s="154">
        <f t="shared" si="17"/>
        <v>670.1</v>
      </c>
      <c r="U18" s="4032"/>
      <c r="V18" s="155">
        <f t="shared" si="0"/>
        <v>670.1</v>
      </c>
      <c r="W18" s="155">
        <f t="shared" si="20"/>
        <v>202.4</v>
      </c>
      <c r="X18" s="278">
        <v>1</v>
      </c>
      <c r="Y18" s="24">
        <v>35</v>
      </c>
      <c r="Z18" s="48">
        <f t="shared" si="1"/>
        <v>35</v>
      </c>
      <c r="AA18" s="54"/>
      <c r="AB18" s="24">
        <v>17.5</v>
      </c>
      <c r="AC18" s="48">
        <f t="shared" si="2"/>
        <v>0</v>
      </c>
      <c r="AD18" s="54"/>
      <c r="AE18" s="24">
        <v>35</v>
      </c>
      <c r="AF18" s="48">
        <f t="shared" si="3"/>
        <v>0</v>
      </c>
      <c r="AG18" s="48">
        <f t="shared" si="4"/>
        <v>10.5</v>
      </c>
      <c r="AH18" s="48">
        <f t="shared" si="5"/>
        <v>45.5</v>
      </c>
      <c r="AI18" s="34">
        <f t="shared" si="6"/>
        <v>55841.7</v>
      </c>
      <c r="AJ18" s="34"/>
      <c r="AK18" s="34">
        <f t="shared" si="7"/>
        <v>670.1</v>
      </c>
      <c r="AL18" s="34">
        <f t="shared" si="18"/>
        <v>239.4</v>
      </c>
      <c r="AM18" s="51">
        <v>0.30199999999999999</v>
      </c>
      <c r="AS18" s="51">
        <f t="shared" si="8"/>
        <v>12.71</v>
      </c>
    </row>
    <row r="19" spans="1:45" x14ac:dyDescent="0.2">
      <c r="A19" s="278">
        <v>11</v>
      </c>
      <c r="B19" s="178" t="s">
        <v>104</v>
      </c>
      <c r="C19" s="179">
        <v>1</v>
      </c>
      <c r="D19" s="177">
        <v>8.4730000000000008</v>
      </c>
      <c r="E19" s="171">
        <f t="shared" si="19"/>
        <v>8.4700000000000006</v>
      </c>
      <c r="F19" s="154">
        <f t="shared" si="9"/>
        <v>101.6</v>
      </c>
      <c r="G19" s="154"/>
      <c r="H19" s="154"/>
      <c r="I19" s="154"/>
      <c r="J19" s="154"/>
      <c r="K19" s="154">
        <f>F19*0.4</f>
        <v>40.6</v>
      </c>
      <c r="L19" s="154">
        <f t="shared" si="10"/>
        <v>34.9</v>
      </c>
      <c r="M19" s="154">
        <f t="shared" si="11"/>
        <v>177.1</v>
      </c>
      <c r="N19" s="171">
        <v>0.41</v>
      </c>
      <c r="O19" s="154">
        <f t="shared" si="12"/>
        <v>72.599999999999994</v>
      </c>
      <c r="P19" s="154">
        <f t="shared" si="13"/>
        <v>249.7</v>
      </c>
      <c r="Q19" s="154">
        <f t="shared" si="14"/>
        <v>199.8</v>
      </c>
      <c r="R19" s="154">
        <f t="shared" si="15"/>
        <v>199.8</v>
      </c>
      <c r="S19" s="154">
        <f t="shared" si="16"/>
        <v>20.8</v>
      </c>
      <c r="T19" s="154">
        <f t="shared" si="17"/>
        <v>670.1</v>
      </c>
      <c r="U19" s="4032"/>
      <c r="V19" s="155">
        <f t="shared" si="0"/>
        <v>670.1</v>
      </c>
      <c r="W19" s="155">
        <f t="shared" si="20"/>
        <v>202.4</v>
      </c>
      <c r="X19" s="278">
        <v>1</v>
      </c>
      <c r="Y19" s="24">
        <v>30</v>
      </c>
      <c r="Z19" s="48">
        <f t="shared" si="1"/>
        <v>30</v>
      </c>
      <c r="AA19" s="54"/>
      <c r="AB19" s="24">
        <v>15</v>
      </c>
      <c r="AC19" s="48">
        <f t="shared" si="2"/>
        <v>0</v>
      </c>
      <c r="AD19" s="54"/>
      <c r="AE19" s="24">
        <v>30</v>
      </c>
      <c r="AF19" s="48">
        <f t="shared" si="3"/>
        <v>0</v>
      </c>
      <c r="AG19" s="48">
        <f t="shared" si="4"/>
        <v>9</v>
      </c>
      <c r="AH19" s="48">
        <f t="shared" si="5"/>
        <v>39</v>
      </c>
      <c r="AI19" s="34">
        <f t="shared" si="6"/>
        <v>55841.7</v>
      </c>
      <c r="AJ19" s="34"/>
      <c r="AK19" s="34">
        <f t="shared" si="7"/>
        <v>670.1</v>
      </c>
      <c r="AL19" s="34">
        <f t="shared" si="18"/>
        <v>239.4</v>
      </c>
      <c r="AM19" s="51">
        <v>0.30199999999999999</v>
      </c>
      <c r="AS19" s="51">
        <f t="shared" si="8"/>
        <v>12.71</v>
      </c>
    </row>
    <row r="20" spans="1:45" x14ac:dyDescent="0.2">
      <c r="A20" s="278">
        <v>12</v>
      </c>
      <c r="B20" s="176" t="s">
        <v>20</v>
      </c>
      <c r="C20" s="180">
        <v>2</v>
      </c>
      <c r="D20" s="177">
        <v>8.4730000000000008</v>
      </c>
      <c r="E20" s="171">
        <f t="shared" si="19"/>
        <v>16.95</v>
      </c>
      <c r="F20" s="154">
        <f t="shared" si="9"/>
        <v>203.4</v>
      </c>
      <c r="G20" s="154"/>
      <c r="H20" s="154"/>
      <c r="I20" s="154"/>
      <c r="J20" s="154">
        <f>D20*0.1*12</f>
        <v>10.199999999999999</v>
      </c>
      <c r="K20" s="154">
        <f>D20*0.35*12</f>
        <v>35.6</v>
      </c>
      <c r="L20" s="154">
        <f t="shared" si="10"/>
        <v>69.8</v>
      </c>
      <c r="M20" s="154">
        <f t="shared" si="11"/>
        <v>319</v>
      </c>
      <c r="N20" s="171">
        <v>0.41</v>
      </c>
      <c r="O20" s="154">
        <f t="shared" si="12"/>
        <v>130.80000000000001</v>
      </c>
      <c r="P20" s="154">
        <f t="shared" si="13"/>
        <v>449.8</v>
      </c>
      <c r="Q20" s="154">
        <f t="shared" si="14"/>
        <v>359.8</v>
      </c>
      <c r="R20" s="154">
        <f t="shared" si="15"/>
        <v>359.8</v>
      </c>
      <c r="S20" s="154">
        <f t="shared" si="16"/>
        <v>37.4</v>
      </c>
      <c r="T20" s="154">
        <f t="shared" si="17"/>
        <v>1206.8</v>
      </c>
      <c r="U20" s="4032"/>
      <c r="V20" s="155">
        <f t="shared" si="0"/>
        <v>1206.8</v>
      </c>
      <c r="W20" s="155">
        <f t="shared" si="20"/>
        <v>364.5</v>
      </c>
      <c r="X20" s="278">
        <v>1</v>
      </c>
      <c r="Y20" s="24">
        <v>30</v>
      </c>
      <c r="Z20" s="48">
        <f t="shared" si="1"/>
        <v>30</v>
      </c>
      <c r="AA20" s="278">
        <v>1</v>
      </c>
      <c r="AB20" s="24">
        <v>15</v>
      </c>
      <c r="AC20" s="48">
        <f t="shared" si="2"/>
        <v>15</v>
      </c>
      <c r="AD20" s="278"/>
      <c r="AE20" s="24">
        <v>30</v>
      </c>
      <c r="AF20" s="48">
        <f t="shared" si="3"/>
        <v>0</v>
      </c>
      <c r="AG20" s="48">
        <f t="shared" si="4"/>
        <v>13.5</v>
      </c>
      <c r="AH20" s="48">
        <f t="shared" si="5"/>
        <v>58.5</v>
      </c>
      <c r="AI20" s="34">
        <f t="shared" si="6"/>
        <v>50283.3</v>
      </c>
      <c r="AJ20" s="34"/>
      <c r="AK20" s="34">
        <f t="shared" si="7"/>
        <v>603.4</v>
      </c>
      <c r="AL20" s="34">
        <f t="shared" si="18"/>
        <v>227.3</v>
      </c>
      <c r="AM20" s="51">
        <v>0.30199999999999999</v>
      </c>
      <c r="AS20" s="51">
        <f t="shared" si="8"/>
        <v>12.71</v>
      </c>
    </row>
    <row r="21" spans="1:45" ht="25.5" x14ac:dyDescent="0.2">
      <c r="A21" s="278">
        <v>13</v>
      </c>
      <c r="B21" s="181" t="s">
        <v>106</v>
      </c>
      <c r="C21" s="172">
        <v>12</v>
      </c>
      <c r="D21" s="182">
        <v>8.4730000000000008</v>
      </c>
      <c r="E21" s="171">
        <f t="shared" si="19"/>
        <v>101.68</v>
      </c>
      <c r="F21" s="154">
        <f t="shared" si="9"/>
        <v>1220.2</v>
      </c>
      <c r="G21" s="154"/>
      <c r="H21" s="154"/>
      <c r="I21" s="154"/>
      <c r="J21" s="154"/>
      <c r="K21" s="154">
        <f>D21*0.2*12+D21*0.4*12+D21*0.2*30</f>
        <v>111.8</v>
      </c>
      <c r="L21" s="154">
        <f t="shared" si="10"/>
        <v>418.7</v>
      </c>
      <c r="M21" s="154">
        <f t="shared" si="11"/>
        <v>1750.7</v>
      </c>
      <c r="N21" s="171">
        <v>0.47</v>
      </c>
      <c r="O21" s="154">
        <f t="shared" si="12"/>
        <v>822.8</v>
      </c>
      <c r="P21" s="154">
        <f t="shared" si="13"/>
        <v>2573.5</v>
      </c>
      <c r="Q21" s="154">
        <f t="shared" si="14"/>
        <v>2058.8000000000002</v>
      </c>
      <c r="R21" s="154">
        <f t="shared" si="15"/>
        <v>2058.8000000000002</v>
      </c>
      <c r="S21" s="154">
        <f t="shared" si="16"/>
        <v>214.1</v>
      </c>
      <c r="T21" s="154">
        <f t="shared" si="17"/>
        <v>6905.2</v>
      </c>
      <c r="U21" s="4032"/>
      <c r="V21" s="155">
        <f t="shared" si="0"/>
        <v>6905.2</v>
      </c>
      <c r="W21" s="155">
        <f t="shared" si="20"/>
        <v>2085.4</v>
      </c>
      <c r="X21" s="272">
        <v>10</v>
      </c>
      <c r="Y21" s="163">
        <v>30</v>
      </c>
      <c r="Z21" s="164">
        <f t="shared" si="1"/>
        <v>300</v>
      </c>
      <c r="AA21" s="272">
        <v>6</v>
      </c>
      <c r="AB21" s="163">
        <v>15</v>
      </c>
      <c r="AC21" s="164">
        <f t="shared" si="2"/>
        <v>90</v>
      </c>
      <c r="AD21" s="272"/>
      <c r="AE21" s="163">
        <v>30</v>
      </c>
      <c r="AF21" s="164">
        <f t="shared" si="3"/>
        <v>0</v>
      </c>
      <c r="AG21" s="164">
        <f t="shared" si="4"/>
        <v>117</v>
      </c>
      <c r="AH21" s="164">
        <f t="shared" si="5"/>
        <v>507</v>
      </c>
      <c r="AI21" s="34">
        <f t="shared" si="6"/>
        <v>47952.800000000003</v>
      </c>
      <c r="AJ21" s="34"/>
      <c r="AK21" s="34">
        <f t="shared" si="7"/>
        <v>575.4</v>
      </c>
      <c r="AL21" s="34">
        <f t="shared" si="18"/>
        <v>222.2</v>
      </c>
      <c r="AM21" s="51">
        <v>0.30199999999999999</v>
      </c>
      <c r="AS21" s="51">
        <f t="shared" si="8"/>
        <v>12.71</v>
      </c>
    </row>
    <row r="22" spans="1:45" s="188" customFormat="1" x14ac:dyDescent="0.2">
      <c r="A22" s="278">
        <v>14</v>
      </c>
      <c r="B22" s="106" t="s">
        <v>107</v>
      </c>
      <c r="C22" s="172">
        <f>2-1</f>
        <v>1</v>
      </c>
      <c r="D22" s="183">
        <v>4.3769999999999998</v>
      </c>
      <c r="E22" s="184">
        <f t="shared" si="19"/>
        <v>4.38</v>
      </c>
      <c r="F22" s="185">
        <f t="shared" si="9"/>
        <v>52.6</v>
      </c>
      <c r="G22" s="155"/>
      <c r="H22" s="155"/>
      <c r="I22" s="155"/>
      <c r="J22" s="155"/>
      <c r="K22" s="155"/>
      <c r="L22" s="154">
        <v>38.299999999999997</v>
      </c>
      <c r="M22" s="186">
        <f t="shared" si="11"/>
        <v>90.9</v>
      </c>
      <c r="N22" s="184">
        <v>0.47</v>
      </c>
      <c r="O22" s="186">
        <f t="shared" si="12"/>
        <v>42.7</v>
      </c>
      <c r="P22" s="186">
        <f t="shared" si="13"/>
        <v>133.6</v>
      </c>
      <c r="Q22" s="186">
        <f t="shared" si="14"/>
        <v>106.9</v>
      </c>
      <c r="R22" s="155">
        <f t="shared" si="15"/>
        <v>106.9</v>
      </c>
      <c r="S22" s="186">
        <f t="shared" si="16"/>
        <v>11.1</v>
      </c>
      <c r="T22" s="186">
        <f t="shared" si="17"/>
        <v>358.5</v>
      </c>
      <c r="U22" s="4033"/>
      <c r="V22" s="186">
        <f>T22*$U$9</f>
        <v>358.5</v>
      </c>
      <c r="W22" s="155">
        <f t="shared" si="20"/>
        <v>108.3</v>
      </c>
      <c r="X22" s="278">
        <v>1</v>
      </c>
      <c r="Y22" s="24">
        <v>30</v>
      </c>
      <c r="Z22" s="48">
        <f t="shared" si="1"/>
        <v>30</v>
      </c>
      <c r="AA22" s="278"/>
      <c r="AB22" s="24">
        <v>15</v>
      </c>
      <c r="AC22" s="48">
        <f t="shared" si="2"/>
        <v>0</v>
      </c>
      <c r="AD22" s="278">
        <v>1</v>
      </c>
      <c r="AE22" s="24">
        <v>30</v>
      </c>
      <c r="AF22" s="48">
        <f t="shared" si="3"/>
        <v>30</v>
      </c>
      <c r="AG22" s="48">
        <f t="shared" si="4"/>
        <v>18</v>
      </c>
      <c r="AH22" s="48">
        <f t="shared" si="5"/>
        <v>78</v>
      </c>
      <c r="AI22" s="34">
        <f t="shared" si="6"/>
        <v>29875</v>
      </c>
      <c r="AJ22" s="187"/>
      <c r="AK22" s="34">
        <f t="shared" si="7"/>
        <v>358.5</v>
      </c>
      <c r="AL22" s="34">
        <f t="shared" si="18"/>
        <v>182.7</v>
      </c>
      <c r="AM22" s="51">
        <v>0.30199999999999999</v>
      </c>
      <c r="AN22" s="22"/>
      <c r="AO22" s="22"/>
      <c r="AP22" s="22"/>
      <c r="AQ22" s="22"/>
      <c r="AS22" s="51">
        <f t="shared" si="8"/>
        <v>6.5659999999999998</v>
      </c>
    </row>
    <row r="23" spans="1:45" s="33" customFormat="1" ht="20.25" customHeight="1" x14ac:dyDescent="0.2">
      <c r="A23" s="4034" t="s">
        <v>72</v>
      </c>
      <c r="B23" s="4034"/>
      <c r="C23" s="189">
        <f t="shared" ref="C23:AH23" si="21">SUM(C9:C22)</f>
        <v>126</v>
      </c>
      <c r="D23" s="156">
        <f t="shared" si="21"/>
        <v>141.6</v>
      </c>
      <c r="E23" s="156">
        <f t="shared" si="21"/>
        <v>1152.5999999999999</v>
      </c>
      <c r="F23" s="156">
        <f t="shared" si="21"/>
        <v>13830.6</v>
      </c>
      <c r="G23" s="156">
        <f t="shared" si="21"/>
        <v>0</v>
      </c>
      <c r="H23" s="156">
        <f t="shared" si="21"/>
        <v>0</v>
      </c>
      <c r="I23" s="156">
        <f t="shared" si="21"/>
        <v>48</v>
      </c>
      <c r="J23" s="156">
        <f t="shared" si="21"/>
        <v>671.1</v>
      </c>
      <c r="K23" s="156">
        <f t="shared" si="21"/>
        <v>1675.5</v>
      </c>
      <c r="L23" s="156">
        <f t="shared" si="21"/>
        <v>4765.8999999999996</v>
      </c>
      <c r="M23" s="156">
        <f t="shared" si="21"/>
        <v>20991.1</v>
      </c>
      <c r="N23" s="156"/>
      <c r="O23" s="156">
        <f t="shared" si="21"/>
        <v>8876.2999999999993</v>
      </c>
      <c r="P23" s="156">
        <f t="shared" si="21"/>
        <v>29867.4</v>
      </c>
      <c r="Q23" s="156">
        <f t="shared" si="21"/>
        <v>23893.9</v>
      </c>
      <c r="R23" s="156">
        <f t="shared" si="21"/>
        <v>23893.9</v>
      </c>
      <c r="S23" s="156">
        <f t="shared" si="21"/>
        <v>2485</v>
      </c>
      <c r="T23" s="156">
        <f t="shared" si="21"/>
        <v>80140.2</v>
      </c>
      <c r="U23" s="156">
        <f t="shared" si="21"/>
        <v>1</v>
      </c>
      <c r="V23" s="156">
        <f t="shared" si="21"/>
        <v>80140.2</v>
      </c>
      <c r="W23" s="156">
        <f>SUM(W9:W22)</f>
        <v>24003.599999999999</v>
      </c>
      <c r="X23" s="156">
        <f>SUM(X9:X22)</f>
        <v>75</v>
      </c>
      <c r="Y23" s="156">
        <f t="shared" si="21"/>
        <v>425</v>
      </c>
      <c r="Z23" s="190">
        <f t="shared" si="21"/>
        <v>2255</v>
      </c>
      <c r="AA23" s="156">
        <f t="shared" si="21"/>
        <v>30</v>
      </c>
      <c r="AB23" s="156">
        <f t="shared" si="21"/>
        <v>212.5</v>
      </c>
      <c r="AC23" s="190">
        <f t="shared" si="21"/>
        <v>450</v>
      </c>
      <c r="AD23" s="156">
        <f t="shared" si="21"/>
        <v>16</v>
      </c>
      <c r="AE23" s="156">
        <f t="shared" si="21"/>
        <v>425</v>
      </c>
      <c r="AF23" s="190">
        <f t="shared" si="21"/>
        <v>480</v>
      </c>
      <c r="AG23" s="190">
        <f t="shared" si="21"/>
        <v>955.5</v>
      </c>
      <c r="AH23" s="190">
        <f t="shared" si="21"/>
        <v>4140.5</v>
      </c>
      <c r="AI23" s="34"/>
      <c r="AJ23" s="187"/>
      <c r="AK23" s="34"/>
      <c r="AL23" s="34"/>
      <c r="AM23" s="51"/>
      <c r="AN23" s="22"/>
      <c r="AO23" s="22"/>
      <c r="AP23" s="22"/>
      <c r="AQ23" s="22"/>
      <c r="AS23" s="51"/>
    </row>
    <row r="24" spans="1:45" s="192" customFormat="1" ht="14.25" customHeight="1" x14ac:dyDescent="0.2">
      <c r="A24" s="33"/>
      <c r="B24" s="22"/>
      <c r="C24" s="191"/>
      <c r="D24" s="22"/>
      <c r="E24" s="22"/>
      <c r="F24" s="22"/>
      <c r="G24" s="39"/>
      <c r="H24" s="39"/>
      <c r="I24" s="39"/>
      <c r="J24" s="39"/>
      <c r="K24" s="39"/>
      <c r="L24" s="39"/>
      <c r="M24" s="39"/>
      <c r="N24" s="39"/>
      <c r="O24" s="39"/>
      <c r="P24" s="39"/>
      <c r="Q24" s="39"/>
      <c r="R24" s="39"/>
      <c r="S24" s="39"/>
      <c r="T24" s="39"/>
      <c r="U24" s="22"/>
      <c r="V24" s="34"/>
      <c r="W24" s="66"/>
      <c r="X24" s="39"/>
      <c r="Y24" s="22"/>
      <c r="Z24" s="22"/>
      <c r="AA24" s="39"/>
      <c r="AB24" s="22"/>
      <c r="AC24" s="22"/>
      <c r="AD24" s="39"/>
      <c r="AE24" s="22"/>
      <c r="AF24" s="22"/>
      <c r="AG24" s="39"/>
      <c r="AH24" s="39"/>
      <c r="AI24" s="34"/>
      <c r="AJ24" s="187"/>
      <c r="AK24" s="34"/>
      <c r="AL24" s="34"/>
      <c r="AM24" s="51"/>
      <c r="AN24" s="22"/>
      <c r="AO24" s="22"/>
      <c r="AP24" s="22"/>
      <c r="AQ24" s="22"/>
      <c r="AS24" s="51"/>
    </row>
    <row r="25" spans="1:45" s="192" customFormat="1" ht="14.25" customHeight="1" x14ac:dyDescent="0.2">
      <c r="A25" s="33"/>
      <c r="B25" s="22"/>
      <c r="C25" s="191"/>
      <c r="D25" s="22"/>
      <c r="E25" s="22"/>
      <c r="F25" s="22"/>
      <c r="G25" s="39"/>
      <c r="H25" s="39"/>
      <c r="I25" s="39"/>
      <c r="J25" s="39"/>
      <c r="K25" s="39"/>
      <c r="L25" s="39"/>
      <c r="M25" s="39"/>
      <c r="N25" s="39"/>
      <c r="O25" s="39"/>
      <c r="P25" s="39"/>
      <c r="Q25" s="39"/>
      <c r="R25" s="39"/>
      <c r="S25" s="39"/>
      <c r="T25" s="39"/>
      <c r="U25" s="22"/>
      <c r="V25" s="66"/>
      <c r="W25" s="34"/>
      <c r="X25" s="39"/>
      <c r="Y25" s="22"/>
      <c r="Z25" s="22"/>
      <c r="AA25" s="39"/>
      <c r="AB25" s="22"/>
      <c r="AC25" s="22"/>
      <c r="AD25" s="39"/>
      <c r="AE25" s="22"/>
      <c r="AF25" s="22"/>
      <c r="AG25" s="39"/>
      <c r="AH25" s="39"/>
      <c r="AI25" s="34"/>
      <c r="AJ25" s="187"/>
      <c r="AK25" s="34"/>
      <c r="AL25" s="34"/>
      <c r="AM25" s="51"/>
      <c r="AN25" s="22"/>
      <c r="AO25" s="22"/>
      <c r="AP25" s="22"/>
      <c r="AQ25" s="22"/>
      <c r="AS25" s="51"/>
    </row>
    <row r="26" spans="1:45" s="192" customFormat="1" ht="58.5" customHeight="1" x14ac:dyDescent="0.2">
      <c r="A26" s="33"/>
      <c r="B26" s="22"/>
      <c r="C26" s="191"/>
      <c r="D26" s="22"/>
      <c r="E26" s="22"/>
      <c r="F26" s="22"/>
      <c r="G26" s="3191" t="s">
        <v>140</v>
      </c>
      <c r="H26" s="3191"/>
      <c r="I26" s="3191" t="s">
        <v>143</v>
      </c>
      <c r="J26" s="3191"/>
      <c r="K26" s="3188" t="s">
        <v>135</v>
      </c>
      <c r="L26" s="3189"/>
      <c r="M26" s="3191" t="s">
        <v>128</v>
      </c>
      <c r="N26" s="3191"/>
      <c r="Q26" s="39"/>
      <c r="R26" s="39"/>
      <c r="S26" s="39"/>
      <c r="T26" s="39"/>
      <c r="U26" s="22"/>
      <c r="V26" s="34"/>
      <c r="W26" s="34"/>
      <c r="X26" s="39"/>
      <c r="Y26" s="22"/>
      <c r="Z26" s="22"/>
      <c r="AA26" s="39"/>
      <c r="AB26" s="22"/>
      <c r="AC26" s="22"/>
      <c r="AD26" s="39"/>
      <c r="AE26" s="22"/>
      <c r="AF26" s="22"/>
      <c r="AG26" s="39"/>
      <c r="AH26" s="39"/>
      <c r="AI26" s="34"/>
      <c r="AJ26" s="187"/>
      <c r="AK26" s="34"/>
      <c r="AL26" s="34"/>
      <c r="AM26" s="51"/>
      <c r="AN26" s="22"/>
      <c r="AO26" s="22"/>
      <c r="AP26" s="22"/>
      <c r="AQ26" s="22"/>
      <c r="AS26" s="51"/>
    </row>
    <row r="27" spans="1:45" s="192" customFormat="1" ht="14.25" customHeight="1" x14ac:dyDescent="0.2">
      <c r="A27" s="33"/>
      <c r="B27" s="22"/>
      <c r="C27" s="191"/>
      <c r="D27" s="22"/>
      <c r="E27" s="22"/>
      <c r="F27" s="22"/>
      <c r="G27" s="279">
        <v>991</v>
      </c>
      <c r="H27" s="279">
        <v>992</v>
      </c>
      <c r="I27" s="279">
        <v>991</v>
      </c>
      <c r="J27" s="279">
        <v>992</v>
      </c>
      <c r="K27" s="279">
        <v>991</v>
      </c>
      <c r="L27" s="279">
        <v>992</v>
      </c>
      <c r="M27" s="279">
        <v>991</v>
      </c>
      <c r="N27" s="279">
        <v>992</v>
      </c>
      <c r="Q27" s="39"/>
      <c r="R27" s="39"/>
      <c r="S27" s="39"/>
      <c r="T27" s="39"/>
      <c r="U27" s="22"/>
      <c r="V27" s="34"/>
      <c r="W27" s="34"/>
      <c r="X27" s="39"/>
      <c r="Y27" s="22"/>
      <c r="Z27" s="22"/>
      <c r="AA27" s="39"/>
      <c r="AB27" s="22"/>
      <c r="AC27" s="22"/>
      <c r="AD27" s="39"/>
      <c r="AE27" s="22"/>
      <c r="AF27" s="22"/>
      <c r="AG27" s="39"/>
      <c r="AH27" s="39"/>
      <c r="AI27" s="34"/>
      <c r="AJ27" s="187"/>
      <c r="AK27" s="34"/>
      <c r="AL27" s="34"/>
      <c r="AM27" s="51"/>
      <c r="AN27" s="22"/>
      <c r="AO27" s="22"/>
      <c r="AP27" s="22"/>
      <c r="AQ27" s="22"/>
      <c r="AS27" s="51"/>
    </row>
    <row r="28" spans="1:45" s="192" customFormat="1" ht="14.25" customHeight="1" x14ac:dyDescent="0.2">
      <c r="A28" s="33"/>
      <c r="B28" s="22"/>
      <c r="C28" s="191"/>
      <c r="D28" s="22"/>
      <c r="E28" s="22"/>
      <c r="F28" s="22"/>
      <c r="G28" s="29">
        <f>76536+3092.6+824.1</f>
        <v>80452.7</v>
      </c>
      <c r="H28" s="29">
        <v>24137.9</v>
      </c>
      <c r="I28" s="29">
        <v>312.5</v>
      </c>
      <c r="J28" s="29">
        <v>94.4</v>
      </c>
      <c r="K28" s="29">
        <f>V23</f>
        <v>80140.2</v>
      </c>
      <c r="L28" s="29">
        <f>W23</f>
        <v>24003.599999999999</v>
      </c>
      <c r="M28" s="29">
        <f>G28-I28-K28</f>
        <v>0</v>
      </c>
      <c r="N28" s="29">
        <f>H28-J28-L28</f>
        <v>39.9</v>
      </c>
      <c r="Q28" s="39"/>
      <c r="R28" s="39"/>
      <c r="S28" s="39"/>
      <c r="T28" s="39"/>
      <c r="U28" s="22"/>
      <c r="V28" s="34"/>
      <c r="W28" s="34"/>
      <c r="X28" s="39"/>
      <c r="Y28" s="22"/>
      <c r="Z28" s="22"/>
      <c r="AA28" s="39"/>
      <c r="AB28" s="22"/>
      <c r="AC28" s="22"/>
      <c r="AD28" s="39"/>
      <c r="AE28" s="22"/>
      <c r="AF28" s="22"/>
      <c r="AG28" s="39"/>
      <c r="AH28" s="39"/>
      <c r="AI28" s="34"/>
      <c r="AJ28" s="187"/>
      <c r="AK28" s="34"/>
      <c r="AL28" s="34"/>
      <c r="AM28" s="51"/>
      <c r="AN28" s="22"/>
      <c r="AO28" s="22"/>
      <c r="AP28" s="22"/>
      <c r="AQ28" s="22"/>
      <c r="AS28" s="51"/>
    </row>
    <row r="29" spans="1:45" s="192" customFormat="1" ht="14.25" customHeight="1" x14ac:dyDescent="0.2">
      <c r="A29" s="33"/>
      <c r="B29" s="22"/>
      <c r="C29" s="191"/>
      <c r="D29" s="22"/>
      <c r="E29" s="22"/>
      <c r="F29" s="22"/>
      <c r="G29" s="39"/>
      <c r="H29" s="39"/>
      <c r="I29" s="157"/>
      <c r="J29" s="157"/>
      <c r="K29" s="157"/>
      <c r="L29" s="157"/>
      <c r="M29" s="39"/>
      <c r="N29" s="39"/>
      <c r="O29" s="39"/>
      <c r="P29" s="39"/>
      <c r="Q29" s="39"/>
      <c r="R29" s="39"/>
      <c r="S29" s="39"/>
      <c r="T29" s="39"/>
      <c r="U29" s="22"/>
      <c r="V29" s="34"/>
      <c r="W29" s="34"/>
      <c r="X29" s="39"/>
      <c r="Y29" s="22"/>
      <c r="Z29" s="22"/>
      <c r="AA29" s="39"/>
      <c r="AB29" s="22"/>
      <c r="AC29" s="22"/>
      <c r="AD29" s="39"/>
      <c r="AE29" s="22"/>
      <c r="AF29" s="22"/>
      <c r="AG29" s="39"/>
      <c r="AH29" s="39"/>
      <c r="AI29" s="34"/>
      <c r="AJ29" s="187"/>
      <c r="AK29" s="34"/>
      <c r="AL29" s="34"/>
      <c r="AM29" s="51"/>
      <c r="AN29" s="22"/>
      <c r="AO29" s="22"/>
      <c r="AP29" s="22"/>
      <c r="AQ29" s="22"/>
      <c r="AS29" s="51"/>
    </row>
    <row r="30" spans="1:45" s="192" customFormat="1" ht="14.25" customHeight="1" x14ac:dyDescent="0.2">
      <c r="A30" s="33"/>
      <c r="B30" s="22"/>
      <c r="C30" s="191"/>
      <c r="D30" s="22"/>
      <c r="E30" s="22"/>
      <c r="F30" s="22"/>
      <c r="G30" s="39"/>
      <c r="H30" s="39"/>
      <c r="I30" s="157"/>
      <c r="J30" s="157"/>
      <c r="K30" s="157"/>
      <c r="L30" s="157"/>
      <c r="M30" s="39"/>
      <c r="N30" s="39"/>
      <c r="O30" s="39"/>
      <c r="P30" s="39"/>
      <c r="Q30" s="39"/>
      <c r="R30" s="39"/>
      <c r="S30" s="39"/>
      <c r="T30" s="39"/>
      <c r="U30" s="22"/>
      <c r="V30" s="34"/>
      <c r="W30" s="34"/>
      <c r="X30" s="39"/>
      <c r="Y30" s="22"/>
      <c r="Z30" s="22"/>
      <c r="AA30" s="39"/>
      <c r="AB30" s="22"/>
      <c r="AC30" s="22"/>
      <c r="AD30" s="39"/>
      <c r="AE30" s="22"/>
      <c r="AF30" s="22"/>
      <c r="AG30" s="39"/>
      <c r="AH30" s="39"/>
      <c r="AI30" s="34"/>
      <c r="AJ30" s="187"/>
      <c r="AK30" s="34"/>
      <c r="AL30" s="34"/>
      <c r="AM30" s="51"/>
      <c r="AN30" s="22"/>
      <c r="AO30" s="22"/>
      <c r="AP30" s="22"/>
      <c r="AQ30" s="22"/>
      <c r="AS30" s="51"/>
    </row>
    <row r="31" spans="1:45" s="192" customFormat="1" ht="14.25" customHeight="1" x14ac:dyDescent="0.2">
      <c r="A31" s="33"/>
      <c r="B31" s="22"/>
      <c r="C31" s="191"/>
      <c r="D31" s="22"/>
      <c r="E31" s="22"/>
      <c r="F31" s="22"/>
      <c r="G31" s="39"/>
      <c r="H31" s="39"/>
      <c r="I31" s="39"/>
      <c r="J31" s="39"/>
      <c r="K31" s="39"/>
      <c r="L31" s="39"/>
      <c r="M31" s="39"/>
      <c r="N31" s="39"/>
      <c r="O31" s="39"/>
      <c r="P31" s="39"/>
      <c r="Q31" s="39"/>
      <c r="R31" s="39"/>
      <c r="S31" s="39"/>
      <c r="T31" s="39"/>
      <c r="U31" s="22"/>
      <c r="V31" s="34"/>
      <c r="W31" s="34"/>
      <c r="X31" s="39"/>
      <c r="Y31" s="22"/>
      <c r="Z31" s="22"/>
      <c r="AA31" s="39"/>
      <c r="AB31" s="22"/>
      <c r="AC31" s="22"/>
      <c r="AD31" s="39"/>
      <c r="AE31" s="22"/>
      <c r="AF31" s="22"/>
      <c r="AG31" s="39"/>
      <c r="AH31" s="39"/>
      <c r="AI31" s="34"/>
      <c r="AJ31" s="187"/>
      <c r="AK31" s="34"/>
      <c r="AL31" s="34"/>
      <c r="AM31" s="51"/>
      <c r="AN31" s="22"/>
      <c r="AO31" s="22"/>
      <c r="AP31" s="22"/>
      <c r="AQ31" s="22"/>
      <c r="AS31" s="51"/>
    </row>
    <row r="32" spans="1:45" s="192" customFormat="1" ht="14.25" customHeight="1" x14ac:dyDescent="0.2">
      <c r="A32" s="33"/>
      <c r="B32" s="22"/>
      <c r="C32" s="191"/>
      <c r="D32" s="22"/>
      <c r="E32" s="22"/>
      <c r="F32" s="22"/>
      <c r="G32" s="39"/>
      <c r="H32" s="39"/>
      <c r="I32" s="39"/>
      <c r="J32" s="39"/>
      <c r="K32" s="39"/>
      <c r="L32" s="39"/>
      <c r="M32" s="39"/>
      <c r="N32" s="39"/>
      <c r="O32" s="39"/>
      <c r="P32" s="39"/>
      <c r="Q32" s="39"/>
      <c r="R32" s="39"/>
      <c r="S32" s="39"/>
      <c r="T32" s="39"/>
      <c r="U32" s="22"/>
      <c r="V32" s="39"/>
      <c r="W32" s="39"/>
      <c r="X32" s="39"/>
      <c r="Y32" s="22"/>
      <c r="Z32" s="22"/>
      <c r="AA32" s="39"/>
      <c r="AB32" s="22"/>
      <c r="AC32" s="22"/>
      <c r="AD32" s="39"/>
      <c r="AE32" s="22"/>
      <c r="AF32" s="22"/>
      <c r="AG32" s="39"/>
      <c r="AH32" s="39"/>
      <c r="AI32" s="34"/>
      <c r="AJ32" s="187"/>
      <c r="AK32" s="34"/>
      <c r="AL32" s="34"/>
      <c r="AM32" s="51"/>
      <c r="AN32" s="22"/>
      <c r="AO32" s="22"/>
      <c r="AP32" s="22"/>
      <c r="AQ32" s="22"/>
    </row>
    <row r="33" spans="1:43" s="195" customFormat="1" ht="14.25" x14ac:dyDescent="0.2">
      <c r="A33" s="165"/>
      <c r="B33" s="193"/>
      <c r="C33" s="194"/>
      <c r="D33" s="194"/>
      <c r="E33" s="158"/>
      <c r="F33" s="158"/>
      <c r="G33" s="158"/>
      <c r="H33" s="158"/>
      <c r="I33" s="158"/>
      <c r="J33" s="158"/>
      <c r="K33" s="158"/>
      <c r="L33" s="158"/>
      <c r="M33" s="157"/>
      <c r="N33" s="157"/>
      <c r="O33" s="157"/>
      <c r="P33" s="157"/>
      <c r="Q33" s="157"/>
      <c r="R33" s="157"/>
      <c r="S33" s="157"/>
      <c r="T33" s="157"/>
      <c r="V33" s="157"/>
      <c r="W33" s="157"/>
      <c r="Z33" s="157"/>
      <c r="AC33" s="157"/>
      <c r="AF33" s="157"/>
      <c r="AG33" s="157"/>
      <c r="AI33" s="196"/>
      <c r="AN33" s="62"/>
      <c r="AO33" s="62"/>
      <c r="AP33" s="62"/>
      <c r="AQ33" s="62"/>
    </row>
    <row r="34" spans="1:43" s="195" customFormat="1" ht="14.25" x14ac:dyDescent="0.2">
      <c r="A34" s="165"/>
      <c r="B34" s="193"/>
      <c r="C34" s="194"/>
      <c r="D34" s="194"/>
      <c r="E34" s="158"/>
      <c r="F34" s="158"/>
      <c r="G34" s="158"/>
      <c r="H34" s="158"/>
      <c r="I34" s="158"/>
      <c r="J34" s="158"/>
      <c r="K34" s="158"/>
      <c r="L34" s="158"/>
      <c r="M34" s="157"/>
      <c r="N34" s="157"/>
      <c r="O34" s="157"/>
      <c r="P34" s="157"/>
      <c r="Q34" s="157"/>
      <c r="R34" s="157"/>
      <c r="S34" s="157"/>
      <c r="T34" s="157"/>
      <c r="V34" s="157"/>
      <c r="W34" s="157"/>
      <c r="Z34" s="157"/>
      <c r="AC34" s="157"/>
      <c r="AF34" s="157"/>
      <c r="AG34" s="157"/>
      <c r="AI34" s="196"/>
      <c r="AN34" s="62"/>
      <c r="AO34" s="62"/>
      <c r="AP34" s="62"/>
      <c r="AQ34" s="62"/>
    </row>
    <row r="35" spans="1:43" s="282" customFormat="1" ht="20.25" x14ac:dyDescent="0.2">
      <c r="A35" s="81"/>
      <c r="B35" s="82" t="s">
        <v>138</v>
      </c>
      <c r="C35" s="83"/>
      <c r="D35" s="84"/>
      <c r="E35" s="84"/>
      <c r="F35" s="85"/>
      <c r="G35" s="85"/>
      <c r="H35" s="86"/>
      <c r="I35" s="86"/>
      <c r="J35" s="85"/>
      <c r="K35" s="30" t="s">
        <v>166</v>
      </c>
      <c r="L35" s="85"/>
      <c r="M35" s="85"/>
      <c r="N35" s="87"/>
      <c r="O35" s="85"/>
      <c r="P35" s="85"/>
      <c r="Q35" s="85"/>
      <c r="R35" s="85"/>
      <c r="S35" s="85"/>
      <c r="T35" s="85"/>
      <c r="U35" s="85"/>
      <c r="V35" s="85"/>
      <c r="W35" s="85"/>
      <c r="X35" s="85"/>
      <c r="Y35" s="85"/>
      <c r="Z35" s="85"/>
      <c r="AA35" s="85"/>
      <c r="AB35" s="85"/>
      <c r="AC35" s="85"/>
      <c r="AD35" s="85"/>
      <c r="AE35" s="85"/>
      <c r="AF35" s="85"/>
      <c r="AG35" s="85"/>
      <c r="AH35" s="85"/>
      <c r="AI35" s="85"/>
      <c r="AK35" s="88"/>
      <c r="AL35" s="88"/>
      <c r="AM35" s="88"/>
      <c r="AN35" s="88"/>
      <c r="AO35" s="88"/>
    </row>
    <row r="36" spans="1:43" s="205" customFormat="1" ht="15" x14ac:dyDescent="0.2">
      <c r="A36" s="197"/>
      <c r="B36" s="197"/>
      <c r="C36" s="198"/>
      <c r="D36" s="199"/>
      <c r="E36" s="199"/>
      <c r="F36" s="159"/>
      <c r="G36" s="159"/>
      <c r="H36" s="200"/>
      <c r="I36" s="200"/>
      <c r="J36" s="159"/>
      <c r="K36" s="159"/>
      <c r="L36" s="159"/>
      <c r="M36" s="159"/>
      <c r="N36" s="201"/>
      <c r="O36" s="159"/>
      <c r="P36" s="159"/>
      <c r="Q36" s="159"/>
      <c r="R36" s="159"/>
      <c r="S36" s="159"/>
      <c r="T36" s="159"/>
      <c r="U36" s="159"/>
      <c r="V36" s="202"/>
      <c r="W36" s="202"/>
      <c r="X36" s="203"/>
      <c r="Y36" s="159"/>
      <c r="Z36" s="159"/>
      <c r="AA36" s="159"/>
      <c r="AB36" s="159"/>
      <c r="AC36" s="159"/>
      <c r="AD36" s="159"/>
      <c r="AE36" s="159"/>
      <c r="AF36" s="159"/>
      <c r="AG36" s="159"/>
      <c r="AH36" s="204"/>
      <c r="AM36" s="204"/>
      <c r="AN36" s="76"/>
      <c r="AO36" s="76"/>
      <c r="AP36" s="76"/>
      <c r="AQ36" s="76"/>
    </row>
    <row r="37" spans="1:43" s="205" customFormat="1" ht="15.75" x14ac:dyDescent="0.2">
      <c r="A37" s="206" t="s">
        <v>96</v>
      </c>
      <c r="B37" s="206"/>
      <c r="C37" s="160"/>
      <c r="D37" s="160"/>
      <c r="E37" s="160"/>
      <c r="F37" s="160"/>
      <c r="G37" s="160"/>
      <c r="H37" s="160"/>
      <c r="I37" s="160"/>
      <c r="J37" s="160"/>
      <c r="K37" s="160"/>
      <c r="L37" s="207"/>
      <c r="M37" s="207"/>
      <c r="N37" s="208"/>
      <c r="O37" s="207"/>
      <c r="P37" s="207"/>
      <c r="Q37" s="207"/>
      <c r="R37" s="207"/>
      <c r="S37" s="207"/>
      <c r="T37" s="207"/>
      <c r="U37" s="207"/>
      <c r="V37" s="207"/>
      <c r="W37" s="207"/>
      <c r="X37" s="207"/>
      <c r="Y37" s="207"/>
      <c r="Z37" s="207"/>
      <c r="AA37" s="207"/>
      <c r="AB37" s="207"/>
      <c r="AC37" s="207"/>
      <c r="AD37" s="207"/>
      <c r="AE37" s="207"/>
      <c r="AF37" s="207"/>
      <c r="AG37" s="207"/>
      <c r="AH37" s="204"/>
      <c r="AM37" s="204"/>
      <c r="AN37" s="76"/>
      <c r="AO37" s="76"/>
      <c r="AP37" s="76"/>
      <c r="AQ37" s="76"/>
    </row>
    <row r="38" spans="1:43" s="205" customFormat="1" ht="15.75" x14ac:dyDescent="0.2">
      <c r="A38" s="206" t="s">
        <v>139</v>
      </c>
      <c r="B38" s="209"/>
      <c r="C38" s="210"/>
      <c r="D38" s="210"/>
      <c r="E38" s="161"/>
      <c r="F38" s="161"/>
      <c r="G38" s="161"/>
      <c r="H38" s="161"/>
      <c r="I38" s="161"/>
      <c r="J38" s="161"/>
      <c r="K38" s="161"/>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4"/>
      <c r="AM38" s="204"/>
      <c r="AN38" s="76"/>
      <c r="AO38" s="76"/>
      <c r="AP38" s="76"/>
      <c r="AQ38" s="76"/>
    </row>
    <row r="39" spans="1:43" ht="20.25" x14ac:dyDescent="0.2">
      <c r="AN39" s="88"/>
      <c r="AO39" s="88"/>
      <c r="AP39" s="88"/>
      <c r="AQ39" s="88"/>
    </row>
    <row r="40" spans="1:43" x14ac:dyDescent="0.2">
      <c r="E40" s="51"/>
      <c r="F40" s="51"/>
    </row>
    <row r="41" spans="1:43" x14ac:dyDescent="0.2">
      <c r="E41" s="51"/>
      <c r="F41" s="51"/>
    </row>
    <row r="42" spans="1:43" x14ac:dyDescent="0.2">
      <c r="E42" s="51"/>
      <c r="F42" s="51"/>
    </row>
    <row r="43" spans="1:43" x14ac:dyDescent="0.2">
      <c r="E43" s="51"/>
      <c r="F43" s="51"/>
    </row>
    <row r="44" spans="1:43" x14ac:dyDescent="0.2">
      <c r="E44" s="51"/>
      <c r="F44" s="51"/>
    </row>
    <row r="45" spans="1:43" x14ac:dyDescent="0.2">
      <c r="E45" s="51"/>
      <c r="F45" s="51"/>
    </row>
    <row r="46" spans="1:43" x14ac:dyDescent="0.2">
      <c r="E46" s="51"/>
      <c r="F46" s="51"/>
    </row>
    <row r="47" spans="1:43" x14ac:dyDescent="0.2">
      <c r="E47" s="51"/>
      <c r="F47" s="51"/>
    </row>
    <row r="48" spans="1:43" x14ac:dyDescent="0.2">
      <c r="E48" s="51"/>
      <c r="F48" s="51"/>
    </row>
    <row r="49" spans="5:6" x14ac:dyDescent="0.2">
      <c r="E49" s="51"/>
      <c r="F49" s="51"/>
    </row>
    <row r="50" spans="5:6" x14ac:dyDescent="0.2">
      <c r="E50" s="51"/>
      <c r="F50" s="51"/>
    </row>
    <row r="51" spans="5:6" x14ac:dyDescent="0.2">
      <c r="E51" s="51"/>
      <c r="F51" s="51"/>
    </row>
    <row r="52" spans="5:6" x14ac:dyDescent="0.2">
      <c r="E52" s="51"/>
      <c r="F52" s="51"/>
    </row>
    <row r="53" spans="5:6" x14ac:dyDescent="0.2">
      <c r="E53" s="51"/>
    </row>
    <row r="54" spans="5:6" x14ac:dyDescent="0.2">
      <c r="E54" s="51"/>
    </row>
    <row r="55" spans="5:6" x14ac:dyDescent="0.2">
      <c r="E55" s="51"/>
    </row>
    <row r="56" spans="5:6" x14ac:dyDescent="0.2">
      <c r="E56" s="51"/>
    </row>
    <row r="57" spans="5:6" x14ac:dyDescent="0.2">
      <c r="E57" s="51"/>
    </row>
  </sheetData>
  <autoFilter ref="A8:AS24"/>
  <mergeCells count="38">
    <mergeCell ref="G26:H26"/>
    <mergeCell ref="I26:J26"/>
    <mergeCell ref="K26:L26"/>
    <mergeCell ref="M26:N26"/>
    <mergeCell ref="AA6:AC6"/>
    <mergeCell ref="R6:R7"/>
    <mergeCell ref="K6:K7"/>
    <mergeCell ref="AG6:AG7"/>
    <mergeCell ref="AH6:AH7"/>
    <mergeCell ref="U9:U22"/>
    <mergeCell ref="A23:B23"/>
    <mergeCell ref="S6:S7"/>
    <mergeCell ref="T6:T7"/>
    <mergeCell ref="U6:U7"/>
    <mergeCell ref="V6:V7"/>
    <mergeCell ref="W6:W7"/>
    <mergeCell ref="X6:Z6"/>
    <mergeCell ref="L6:L7"/>
    <mergeCell ref="M6:M7"/>
    <mergeCell ref="N6:O6"/>
    <mergeCell ref="P6:P7"/>
    <mergeCell ref="Q6:Q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s>
  <printOptions horizontalCentered="1"/>
  <pageMargins left="0" right="0" top="0" bottom="0" header="0.31496062992125984" footer="0.31496062992125984"/>
  <pageSetup paperSize="9" scale="35" orientation="landscape" r:id="rId1"/>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0">
    <tabColor rgb="FF00B050"/>
    <pageSetUpPr fitToPage="1"/>
  </sheetPr>
  <dimension ref="A1:AS105"/>
  <sheetViews>
    <sheetView view="pageBreakPreview" zoomScale="80" zoomScaleNormal="80" zoomScaleSheetLayoutView="80" workbookViewId="0">
      <pane xSplit="3" ySplit="8" topLeftCell="D45"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7.83203125" style="33" customWidth="1"/>
    <col min="2" max="2" width="30.83203125" style="22" customWidth="1"/>
    <col min="3" max="3" width="13.83203125" style="22" customWidth="1"/>
    <col min="4" max="4" width="14" style="22" customWidth="1"/>
    <col min="5" max="5" width="13" style="22" customWidth="1"/>
    <col min="6" max="6" width="14.6640625" style="22" customWidth="1"/>
    <col min="7" max="7" width="12.83203125" style="22" customWidth="1"/>
    <col min="8" max="8" width="15.83203125" style="22" customWidth="1"/>
    <col min="9" max="9" width="13.5" style="22" customWidth="1"/>
    <col min="10" max="10" width="16.83203125" style="22" customWidth="1"/>
    <col min="11" max="11" width="13.5" style="22" customWidth="1"/>
    <col min="12" max="12" width="13.33203125" style="22" customWidth="1"/>
    <col min="13" max="13" width="14" style="22" customWidth="1"/>
    <col min="14" max="14" width="11.5" style="22" customWidth="1"/>
    <col min="15" max="15" width="11.6640625" style="22" customWidth="1"/>
    <col min="16" max="16" width="13.33203125" style="22" customWidth="1"/>
    <col min="17" max="17" width="11.5" style="22" customWidth="1"/>
    <col min="18" max="18" width="13" style="22" customWidth="1"/>
    <col min="19" max="19" width="15.5" style="22" customWidth="1"/>
    <col min="20" max="20" width="12.33203125" style="22" customWidth="1"/>
    <col min="21" max="21" width="11.6640625" style="22" customWidth="1"/>
    <col min="22" max="22" width="14.5" style="22" customWidth="1"/>
    <col min="23" max="23" width="16" style="22" customWidth="1"/>
    <col min="24" max="24" width="14.1640625" style="22" customWidth="1"/>
    <col min="25" max="25" width="11.1640625" style="22" customWidth="1"/>
    <col min="26" max="26" width="9.83203125" style="22" customWidth="1"/>
    <col min="27" max="30" width="8.5" style="22" customWidth="1"/>
    <col min="31" max="31" width="15.1640625" style="22" bestFit="1" customWidth="1"/>
    <col min="32" max="32" width="9.6640625" style="22" customWidth="1"/>
    <col min="33" max="33" width="9.33203125" style="22" customWidth="1"/>
    <col min="34" max="34" width="13.5" style="22" customWidth="1"/>
    <col min="35" max="35" width="14.5" style="34" customWidth="1"/>
    <col min="36" max="36" width="9.33203125" style="22"/>
    <col min="37" max="37" width="12.6640625" style="211" customWidth="1"/>
    <col min="38" max="38" width="11.6640625" style="211" hidden="1" customWidth="1"/>
    <col min="39" max="39" width="13" style="211" hidden="1" customWidth="1"/>
    <col min="40" max="40" width="14.1640625" style="211" bestFit="1" customWidth="1"/>
    <col min="41" max="41" width="9.5" style="211" bestFit="1" customWidth="1"/>
    <col min="42" max="43" width="14.1640625" style="211" bestFit="1" customWidth="1"/>
    <col min="44" max="45" width="9.5" style="22" bestFit="1" customWidth="1"/>
    <col min="46" max="16384" width="9.33203125" style="22"/>
  </cols>
  <sheetData>
    <row r="1" spans="1:45" ht="18" customHeight="1" x14ac:dyDescent="0.2">
      <c r="AE1" s="3180"/>
      <c r="AF1" s="3180"/>
      <c r="AG1" s="3180"/>
      <c r="AH1" s="3180"/>
    </row>
    <row r="2" spans="1:45" ht="24" customHeight="1" x14ac:dyDescent="0.2">
      <c r="A2" s="3181" t="s">
        <v>160</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5"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283"/>
    </row>
    <row r="4" spans="1:45" x14ac:dyDescent="0.2">
      <c r="L4" s="38">
        <v>0.33837499999999998</v>
      </c>
      <c r="V4" s="39"/>
      <c r="W4" s="39"/>
    </row>
    <row r="5" spans="1:45" ht="38.25" customHeight="1" x14ac:dyDescent="0.2">
      <c r="A5" s="3183" t="s">
        <v>78</v>
      </c>
      <c r="B5" s="3183"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5" ht="60" customHeight="1" x14ac:dyDescent="0.2">
      <c r="A6" s="3183"/>
      <c r="B6" s="3183"/>
      <c r="C6" s="3184"/>
      <c r="D6" s="3185" t="s">
        <v>68</v>
      </c>
      <c r="E6" s="3185" t="s">
        <v>69</v>
      </c>
      <c r="F6" s="3185" t="s">
        <v>89</v>
      </c>
      <c r="G6" s="3185" t="s">
        <v>1</v>
      </c>
      <c r="H6" s="3185" t="s">
        <v>2</v>
      </c>
      <c r="I6" s="3185" t="s">
        <v>70</v>
      </c>
      <c r="J6" s="3185" t="s">
        <v>61</v>
      </c>
      <c r="K6" s="3185" t="s">
        <v>27</v>
      </c>
      <c r="L6" s="3186" t="s">
        <v>65</v>
      </c>
      <c r="M6" s="3186" t="s">
        <v>93</v>
      </c>
      <c r="N6" s="3187" t="s">
        <v>91</v>
      </c>
      <c r="O6" s="3187"/>
      <c r="P6" s="3187" t="s">
        <v>88</v>
      </c>
      <c r="Q6" s="3186" t="s">
        <v>82</v>
      </c>
      <c r="R6" s="3185" t="s">
        <v>83</v>
      </c>
      <c r="S6" s="3186"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5" ht="97.5" customHeight="1" x14ac:dyDescent="0.2">
      <c r="A7" s="3183"/>
      <c r="B7" s="3183"/>
      <c r="C7" s="3184"/>
      <c r="D7" s="3185"/>
      <c r="E7" s="3185"/>
      <c r="F7" s="3185"/>
      <c r="G7" s="3185"/>
      <c r="H7" s="3185"/>
      <c r="I7" s="3185"/>
      <c r="J7" s="3185"/>
      <c r="K7" s="3185"/>
      <c r="L7" s="3186" t="s">
        <v>66</v>
      </c>
      <c r="M7" s="3186"/>
      <c r="N7" s="281" t="s">
        <v>80</v>
      </c>
      <c r="O7" s="281" t="s">
        <v>81</v>
      </c>
      <c r="P7" s="3187"/>
      <c r="Q7" s="3186"/>
      <c r="R7" s="3185"/>
      <c r="S7" s="3186" t="s">
        <v>67</v>
      </c>
      <c r="T7" s="3185"/>
      <c r="U7" s="3185"/>
      <c r="V7" s="3185"/>
      <c r="W7" s="3185"/>
      <c r="X7" s="280" t="s">
        <v>5</v>
      </c>
      <c r="Y7" s="280" t="s">
        <v>6</v>
      </c>
      <c r="Z7" s="280" t="s">
        <v>74</v>
      </c>
      <c r="AA7" s="280" t="s">
        <v>5</v>
      </c>
      <c r="AB7" s="280" t="s">
        <v>6</v>
      </c>
      <c r="AC7" s="280" t="s">
        <v>75</v>
      </c>
      <c r="AD7" s="280" t="s">
        <v>5</v>
      </c>
      <c r="AE7" s="280" t="s">
        <v>6</v>
      </c>
      <c r="AF7" s="280" t="s">
        <v>76</v>
      </c>
      <c r="AG7" s="3184"/>
      <c r="AH7" s="3184"/>
      <c r="AK7" s="211" t="s">
        <v>64</v>
      </c>
      <c r="AL7" s="211" t="s">
        <v>62</v>
      </c>
      <c r="AM7" s="70"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212" t="s">
        <v>116</v>
      </c>
      <c r="AO8" s="212" t="s">
        <v>117</v>
      </c>
      <c r="AP8" s="212" t="s">
        <v>118</v>
      </c>
      <c r="AQ8" s="212" t="s">
        <v>119</v>
      </c>
    </row>
    <row r="9" spans="1:45" ht="16.5" customHeight="1" x14ac:dyDescent="0.2">
      <c r="A9" s="278">
        <v>1</v>
      </c>
      <c r="B9" s="44" t="s">
        <v>14</v>
      </c>
      <c r="C9" s="278">
        <v>1</v>
      </c>
      <c r="D9" s="213">
        <v>25.596</v>
      </c>
      <c r="E9" s="214">
        <f>C9*D9</f>
        <v>25.6</v>
      </c>
      <c r="F9" s="215">
        <f>E9*12</f>
        <v>307.2</v>
      </c>
      <c r="G9" s="154"/>
      <c r="H9" s="154"/>
      <c r="I9" s="154"/>
      <c r="J9" s="154"/>
      <c r="K9" s="154">
        <f>F9*0.4</f>
        <v>122.9</v>
      </c>
      <c r="L9" s="154">
        <f>F9*$L$4</f>
        <v>103.9</v>
      </c>
      <c r="M9" s="154">
        <f>F9+G9+H9+I9+J9+K9+L9</f>
        <v>534</v>
      </c>
      <c r="N9" s="171">
        <v>0.98</v>
      </c>
      <c r="O9" s="154">
        <f>M9*N9</f>
        <v>523.29999999999995</v>
      </c>
      <c r="P9" s="154">
        <f>M9+O9</f>
        <v>1057.3</v>
      </c>
      <c r="Q9" s="154">
        <f>P9*0.8</f>
        <v>845.8</v>
      </c>
      <c r="R9" s="154">
        <f>P9*0.8</f>
        <v>845.8</v>
      </c>
      <c r="S9" s="154">
        <f>(P9+Q9+R9)*0.032</f>
        <v>88</v>
      </c>
      <c r="T9" s="154">
        <f>P9+Q9+R9+S9</f>
        <v>2836.9</v>
      </c>
      <c r="U9" s="3192">
        <v>1</v>
      </c>
      <c r="V9" s="154">
        <f>T9*$U$9</f>
        <v>2836.9</v>
      </c>
      <c r="W9" s="154">
        <f>AQ9</f>
        <v>597.20000000000005</v>
      </c>
      <c r="X9" s="278">
        <v>1</v>
      </c>
      <c r="Y9" s="24">
        <v>30</v>
      </c>
      <c r="Z9" s="48">
        <f>X9*Y9</f>
        <v>30</v>
      </c>
      <c r="AA9" s="278"/>
      <c r="AB9" s="24">
        <v>15</v>
      </c>
      <c r="AC9" s="48">
        <f>AA9*AB9</f>
        <v>0</v>
      </c>
      <c r="AD9" s="278"/>
      <c r="AE9" s="24">
        <v>30</v>
      </c>
      <c r="AF9" s="48">
        <f>AD9*AE9</f>
        <v>0</v>
      </c>
      <c r="AG9" s="278">
        <f t="shared" ref="AG9:AG51" si="0">(Z9+AC9+AF9)*1%*30</f>
        <v>9</v>
      </c>
      <c r="AH9" s="48">
        <f t="shared" ref="AH9:AH27" si="1">Z9+AC9+AF9+AG9</f>
        <v>39</v>
      </c>
      <c r="AI9" s="34">
        <f t="shared" ref="AI9:AI36" si="2">V9/12/C9*1000</f>
        <v>236408.3</v>
      </c>
      <c r="AJ9" s="34"/>
      <c r="AK9" s="216">
        <f t="shared" ref="AK9:AK41" si="3">V9/C9</f>
        <v>2836.9</v>
      </c>
      <c r="AL9" s="216">
        <f>((979*0.302)+((AK9-979)*0.182))</f>
        <v>633.79999999999995</v>
      </c>
      <c r="AM9" s="217">
        <f>AL9/AK9</f>
        <v>0.223</v>
      </c>
      <c r="AN9" s="50">
        <f>1150*0.22*C9+(V9-1150*C9)*0.1</f>
        <v>421.7</v>
      </c>
      <c r="AO9" s="50">
        <f>865*0.029</f>
        <v>25.1</v>
      </c>
      <c r="AP9" s="50">
        <f>V9*0.053</f>
        <v>150.4</v>
      </c>
      <c r="AQ9" s="50">
        <f>SUM(AN9:AP9)</f>
        <v>597.20000000000005</v>
      </c>
      <c r="AS9" s="66"/>
    </row>
    <row r="10" spans="1:45" x14ac:dyDescent="0.2">
      <c r="A10" s="278">
        <v>2</v>
      </c>
      <c r="B10" s="44" t="s">
        <v>125</v>
      </c>
      <c r="C10" s="278">
        <v>1</v>
      </c>
      <c r="D10" s="177">
        <v>17.917000000000002</v>
      </c>
      <c r="E10" s="214">
        <f>C10*D10</f>
        <v>17.920000000000002</v>
      </c>
      <c r="F10" s="215">
        <f>E10*12</f>
        <v>215</v>
      </c>
      <c r="G10" s="154"/>
      <c r="H10" s="154">
        <v>8.6999999999999993</v>
      </c>
      <c r="I10" s="154"/>
      <c r="J10" s="154"/>
      <c r="K10" s="154">
        <f>F10*0.4</f>
        <v>86</v>
      </c>
      <c r="L10" s="154">
        <f t="shared" ref="L10:L51" si="4">F10*$L$4</f>
        <v>72.8</v>
      </c>
      <c r="M10" s="154">
        <f>F10+G10+H10+I10+J10+K10+L10</f>
        <v>382.5</v>
      </c>
      <c r="N10" s="171">
        <v>0.47</v>
      </c>
      <c r="O10" s="154">
        <f>M10*N10</f>
        <v>179.8</v>
      </c>
      <c r="P10" s="154">
        <f>M10+O10</f>
        <v>562.29999999999995</v>
      </c>
      <c r="Q10" s="154">
        <f>P10*0.8</f>
        <v>449.8</v>
      </c>
      <c r="R10" s="154">
        <f>P10*0.8</f>
        <v>449.8</v>
      </c>
      <c r="S10" s="154">
        <f>(P10+Q10+R10)*0.032</f>
        <v>46.8</v>
      </c>
      <c r="T10" s="154">
        <f>P10+Q10+R10+S10</f>
        <v>1508.7</v>
      </c>
      <c r="U10" s="3193"/>
      <c r="V10" s="154">
        <f t="shared" ref="V10:V50" si="5">T10*$U$9</f>
        <v>1508.7</v>
      </c>
      <c r="W10" s="154">
        <f t="shared" ref="W10:W11" si="6">AQ10</f>
        <v>394</v>
      </c>
      <c r="X10" s="278"/>
      <c r="Y10" s="24">
        <v>30</v>
      </c>
      <c r="Z10" s="48">
        <f>X10*Y10</f>
        <v>0</v>
      </c>
      <c r="AA10" s="278"/>
      <c r="AB10" s="24">
        <v>15</v>
      </c>
      <c r="AC10" s="48">
        <f>AA10*AB10</f>
        <v>0</v>
      </c>
      <c r="AD10" s="278"/>
      <c r="AE10" s="24">
        <v>30</v>
      </c>
      <c r="AF10" s="48">
        <f>AD10*AE10</f>
        <v>0</v>
      </c>
      <c r="AG10" s="278">
        <f t="shared" si="0"/>
        <v>0</v>
      </c>
      <c r="AH10" s="48">
        <f t="shared" si="1"/>
        <v>0</v>
      </c>
      <c r="AI10" s="34">
        <f t="shared" si="2"/>
        <v>125725</v>
      </c>
      <c r="AJ10" s="34"/>
      <c r="AK10" s="216">
        <f t="shared" si="3"/>
        <v>1508.7</v>
      </c>
      <c r="AL10" s="216">
        <f t="shared" ref="AL10:AL41" si="7">((979*0.302)+((AK10-979)*0.182))</f>
        <v>392.1</v>
      </c>
      <c r="AM10" s="217">
        <f>AL10/AK10</f>
        <v>0.26</v>
      </c>
      <c r="AN10" s="50">
        <f t="shared" ref="AN10:AN12" si="8">1150*0.22*C10+(V10-1150*C10)*0.1</f>
        <v>288.89999999999998</v>
      </c>
      <c r="AO10" s="50">
        <f t="shared" ref="AO10:AO11" si="9">865*0.029</f>
        <v>25.1</v>
      </c>
      <c r="AP10" s="50">
        <f t="shared" ref="AP10:AP11" si="10">V10*0.053</f>
        <v>80</v>
      </c>
      <c r="AQ10" s="50">
        <f t="shared" ref="AQ10:AQ52" si="11">SUM(AN10:AP10)</f>
        <v>394</v>
      </c>
      <c r="AS10" s="66"/>
    </row>
    <row r="11" spans="1:45" x14ac:dyDescent="0.2">
      <c r="A11" s="278">
        <v>3</v>
      </c>
      <c r="B11" s="44" t="s">
        <v>125</v>
      </c>
      <c r="C11" s="278">
        <v>1</v>
      </c>
      <c r="D11" s="177">
        <v>17.917000000000002</v>
      </c>
      <c r="E11" s="214">
        <f>C11*D11</f>
        <v>17.920000000000002</v>
      </c>
      <c r="F11" s="215">
        <f>E11*12</f>
        <v>215</v>
      </c>
      <c r="G11" s="154"/>
      <c r="H11" s="154">
        <v>7.9</v>
      </c>
      <c r="I11" s="154"/>
      <c r="J11" s="154"/>
      <c r="K11" s="154">
        <f>F11*0.25</f>
        <v>53.8</v>
      </c>
      <c r="L11" s="154">
        <f t="shared" si="4"/>
        <v>72.8</v>
      </c>
      <c r="M11" s="154">
        <f>F11+G11+H11+I11+J11+K11+L11</f>
        <v>349.5</v>
      </c>
      <c r="N11" s="171">
        <v>0.47</v>
      </c>
      <c r="O11" s="154">
        <f>M11*N11</f>
        <v>164.3</v>
      </c>
      <c r="P11" s="154">
        <f>M11+O11</f>
        <v>513.79999999999995</v>
      </c>
      <c r="Q11" s="154">
        <f>P11*0.8</f>
        <v>411</v>
      </c>
      <c r="R11" s="154">
        <f>P11*0.8</f>
        <v>411</v>
      </c>
      <c r="S11" s="154">
        <f>(P11+Q11+R11)*0.032</f>
        <v>42.7</v>
      </c>
      <c r="T11" s="154">
        <f>P11+Q11+R11+S11</f>
        <v>1378.5</v>
      </c>
      <c r="U11" s="3193"/>
      <c r="V11" s="154">
        <f t="shared" si="5"/>
        <v>1378.5</v>
      </c>
      <c r="W11" s="154">
        <f t="shared" si="6"/>
        <v>374.1</v>
      </c>
      <c r="X11" s="278">
        <v>1</v>
      </c>
      <c r="Y11" s="24">
        <v>30</v>
      </c>
      <c r="Z11" s="48">
        <f>X11*Y11</f>
        <v>30</v>
      </c>
      <c r="AA11" s="278"/>
      <c r="AB11" s="24">
        <v>15</v>
      </c>
      <c r="AC11" s="48">
        <f>AA11*AB11</f>
        <v>0</v>
      </c>
      <c r="AD11" s="278"/>
      <c r="AE11" s="24">
        <v>30</v>
      </c>
      <c r="AF11" s="48">
        <f>AD11*AE11</f>
        <v>0</v>
      </c>
      <c r="AG11" s="278">
        <f t="shared" si="0"/>
        <v>9</v>
      </c>
      <c r="AH11" s="48">
        <f t="shared" si="1"/>
        <v>39</v>
      </c>
      <c r="AI11" s="34">
        <f t="shared" si="2"/>
        <v>114875</v>
      </c>
      <c r="AJ11" s="34"/>
      <c r="AK11" s="216">
        <f t="shared" si="3"/>
        <v>1378.5</v>
      </c>
      <c r="AL11" s="216">
        <f t="shared" si="7"/>
        <v>368.4</v>
      </c>
      <c r="AM11" s="217">
        <f>AL11/AK11</f>
        <v>0.26700000000000002</v>
      </c>
      <c r="AN11" s="50">
        <f t="shared" si="8"/>
        <v>275.89999999999998</v>
      </c>
      <c r="AO11" s="50">
        <f t="shared" si="9"/>
        <v>25.1</v>
      </c>
      <c r="AP11" s="50">
        <f t="shared" si="10"/>
        <v>73.099999999999994</v>
      </c>
      <c r="AQ11" s="50">
        <f t="shared" si="11"/>
        <v>374.1</v>
      </c>
      <c r="AS11" s="66"/>
    </row>
    <row r="12" spans="1:45" x14ac:dyDescent="0.2">
      <c r="A12" s="278">
        <v>4</v>
      </c>
      <c r="B12" s="44" t="s">
        <v>125</v>
      </c>
      <c r="C12" s="278">
        <v>1</v>
      </c>
      <c r="D12" s="177">
        <v>17.917000000000002</v>
      </c>
      <c r="E12" s="214">
        <f>C12*D12</f>
        <v>17.920000000000002</v>
      </c>
      <c r="F12" s="215">
        <f>E12*12</f>
        <v>215</v>
      </c>
      <c r="G12" s="154"/>
      <c r="H12" s="154"/>
      <c r="I12" s="154"/>
      <c r="J12" s="154"/>
      <c r="K12" s="154"/>
      <c r="L12" s="154">
        <f t="shared" si="4"/>
        <v>72.8</v>
      </c>
      <c r="M12" s="154">
        <f>F12+G12+H12+I12+J12+K12+L12</f>
        <v>287.8</v>
      </c>
      <c r="N12" s="171">
        <v>0.47</v>
      </c>
      <c r="O12" s="154">
        <f>M12*N12</f>
        <v>135.30000000000001</v>
      </c>
      <c r="P12" s="154">
        <f>M12+O12</f>
        <v>423.1</v>
      </c>
      <c r="Q12" s="154">
        <f>P12*0.8</f>
        <v>338.5</v>
      </c>
      <c r="R12" s="154">
        <f>P12*0.8</f>
        <v>338.5</v>
      </c>
      <c r="S12" s="154">
        <f>(P12+Q12+R12)*0.032</f>
        <v>35.200000000000003</v>
      </c>
      <c r="T12" s="154">
        <f>P12+Q12+R12+S12</f>
        <v>1135.3</v>
      </c>
      <c r="U12" s="3193"/>
      <c r="V12" s="154">
        <f t="shared" si="5"/>
        <v>1135.3</v>
      </c>
      <c r="W12" s="154">
        <f>AQ12</f>
        <v>336.8</v>
      </c>
      <c r="X12" s="278">
        <v>1</v>
      </c>
      <c r="Y12" s="24">
        <v>30</v>
      </c>
      <c r="Z12" s="48">
        <f>X12*Y12</f>
        <v>30</v>
      </c>
      <c r="AA12" s="278">
        <v>2</v>
      </c>
      <c r="AB12" s="24">
        <v>15</v>
      </c>
      <c r="AC12" s="48">
        <f>AA12*AB12</f>
        <v>30</v>
      </c>
      <c r="AD12" s="278">
        <v>1</v>
      </c>
      <c r="AE12" s="24">
        <v>30</v>
      </c>
      <c r="AF12" s="48">
        <f>AD12*AE12</f>
        <v>30</v>
      </c>
      <c r="AG12" s="278">
        <f t="shared" si="0"/>
        <v>27</v>
      </c>
      <c r="AH12" s="48">
        <f t="shared" si="1"/>
        <v>117</v>
      </c>
      <c r="AI12" s="34">
        <f t="shared" si="2"/>
        <v>94608.3</v>
      </c>
      <c r="AJ12" s="34"/>
      <c r="AK12" s="216">
        <f t="shared" si="3"/>
        <v>1135.3</v>
      </c>
      <c r="AL12" s="216">
        <f t="shared" si="7"/>
        <v>324.10000000000002</v>
      </c>
      <c r="AM12" s="217">
        <f>AL12/AK12</f>
        <v>0.28499999999999998</v>
      </c>
      <c r="AN12" s="50">
        <f t="shared" si="8"/>
        <v>251.5</v>
      </c>
      <c r="AO12" s="50">
        <f>865*0.029</f>
        <v>25.1</v>
      </c>
      <c r="AP12" s="50">
        <f>AK12*0.053</f>
        <v>60.2</v>
      </c>
      <c r="AQ12" s="50">
        <f t="shared" ref="AQ12" si="12">SUM(AN12:AP12)*C12</f>
        <v>336.8</v>
      </c>
      <c r="AS12" s="66"/>
    </row>
    <row r="13" spans="1:45" ht="14.25" customHeight="1" x14ac:dyDescent="0.2">
      <c r="A13" s="278">
        <v>5</v>
      </c>
      <c r="B13" s="218" t="s">
        <v>16</v>
      </c>
      <c r="C13" s="278">
        <v>7</v>
      </c>
      <c r="D13" s="177">
        <v>11.061999999999999</v>
      </c>
      <c r="E13" s="171">
        <f t="shared" ref="E13:E19" si="13">C13*D13</f>
        <v>77.430000000000007</v>
      </c>
      <c r="F13" s="154">
        <f t="shared" ref="F13:F19" si="14">E13*12</f>
        <v>929.2</v>
      </c>
      <c r="G13" s="154"/>
      <c r="H13" s="154">
        <f>0.539+1.617+0.539+2.696+1.078</f>
        <v>6.5</v>
      </c>
      <c r="I13" s="154"/>
      <c r="J13" s="154"/>
      <c r="K13" s="154">
        <f>D13*0.2*12+D13*0.25*4*12+D13*0.4*2</f>
        <v>168.1</v>
      </c>
      <c r="L13" s="154">
        <f t="shared" si="4"/>
        <v>314.39999999999998</v>
      </c>
      <c r="M13" s="154">
        <f t="shared" ref="M13:M19" si="15">F13+G13+H13+I13+J13+K13+L13</f>
        <v>1418.2</v>
      </c>
      <c r="N13" s="171">
        <v>0.43</v>
      </c>
      <c r="O13" s="154">
        <f t="shared" ref="O13:O19" si="16">M13*N13</f>
        <v>609.79999999999995</v>
      </c>
      <c r="P13" s="154">
        <f t="shared" ref="P13:P19" si="17">M13+O13</f>
        <v>2028</v>
      </c>
      <c r="Q13" s="154">
        <f t="shared" ref="Q13:Q19" si="18">P13*0.8</f>
        <v>1622.4</v>
      </c>
      <c r="R13" s="154">
        <f t="shared" ref="R13:R19" si="19">P13*0.8</f>
        <v>1622.4</v>
      </c>
      <c r="S13" s="154">
        <f t="shared" ref="S13:S19" si="20">(P13+Q13+R13)*0.032</f>
        <v>168.7</v>
      </c>
      <c r="T13" s="154">
        <f t="shared" ref="T13:T19" si="21">P13+Q13+R13+S13</f>
        <v>5441.5</v>
      </c>
      <c r="U13" s="3193"/>
      <c r="V13" s="154">
        <f t="shared" si="5"/>
        <v>5441.5</v>
      </c>
      <c r="W13" s="154">
        <f>V13*0.302</f>
        <v>1643.3</v>
      </c>
      <c r="X13" s="54">
        <v>4</v>
      </c>
      <c r="Y13" s="24">
        <v>30</v>
      </c>
      <c r="Z13" s="48">
        <f t="shared" ref="Z13:Z19" si="22">X13*Y13</f>
        <v>120</v>
      </c>
      <c r="AA13" s="54">
        <v>1</v>
      </c>
      <c r="AB13" s="24">
        <v>15</v>
      </c>
      <c r="AC13" s="48">
        <f t="shared" ref="AC13:AC19" si="23">AA13*AB13</f>
        <v>15</v>
      </c>
      <c r="AD13" s="54"/>
      <c r="AE13" s="24">
        <v>30</v>
      </c>
      <c r="AF13" s="48">
        <f t="shared" ref="AF13:AF19" si="24">AD13*AE13</f>
        <v>0</v>
      </c>
      <c r="AG13" s="278">
        <f t="shared" si="0"/>
        <v>40.5</v>
      </c>
      <c r="AH13" s="48">
        <f t="shared" si="1"/>
        <v>175.5</v>
      </c>
      <c r="AI13" s="34">
        <f t="shared" si="2"/>
        <v>64779.8</v>
      </c>
      <c r="AJ13" s="34"/>
      <c r="AK13" s="216">
        <f t="shared" si="3"/>
        <v>777.4</v>
      </c>
      <c r="AL13" s="216">
        <f t="shared" si="7"/>
        <v>259</v>
      </c>
      <c r="AM13" s="217">
        <v>0.30199999999999999</v>
      </c>
      <c r="AN13" s="50"/>
      <c r="AQ13" s="50">
        <f t="shared" si="11"/>
        <v>0</v>
      </c>
      <c r="AS13" s="66"/>
    </row>
    <row r="14" spans="1:45" x14ac:dyDescent="0.2">
      <c r="A14" s="278">
        <v>6</v>
      </c>
      <c r="B14" s="218" t="s">
        <v>16</v>
      </c>
      <c r="C14" s="278">
        <v>1</v>
      </c>
      <c r="D14" s="177">
        <v>11.061999999999999</v>
      </c>
      <c r="E14" s="171">
        <f>C14*D14</f>
        <v>11.06</v>
      </c>
      <c r="F14" s="154">
        <f t="shared" si="14"/>
        <v>132.69999999999999</v>
      </c>
      <c r="G14" s="154"/>
      <c r="H14" s="34">
        <f>5.4+1.617</f>
        <v>7</v>
      </c>
      <c r="I14" s="154"/>
      <c r="J14" s="154"/>
      <c r="K14" s="154">
        <f>F14*0.4</f>
        <v>53.1</v>
      </c>
      <c r="L14" s="154">
        <f t="shared" si="4"/>
        <v>44.9</v>
      </c>
      <c r="M14" s="154">
        <f t="shared" si="15"/>
        <v>237.7</v>
      </c>
      <c r="N14" s="171">
        <v>0.43</v>
      </c>
      <c r="O14" s="154">
        <f t="shared" si="16"/>
        <v>102.2</v>
      </c>
      <c r="P14" s="154">
        <f t="shared" si="17"/>
        <v>339.9</v>
      </c>
      <c r="Q14" s="154">
        <f t="shared" si="18"/>
        <v>271.89999999999998</v>
      </c>
      <c r="R14" s="154">
        <f t="shared" si="19"/>
        <v>271.89999999999998</v>
      </c>
      <c r="S14" s="154">
        <f t="shared" si="20"/>
        <v>28.3</v>
      </c>
      <c r="T14" s="154">
        <f t="shared" si="21"/>
        <v>912</v>
      </c>
      <c r="U14" s="3193"/>
      <c r="V14" s="154">
        <f t="shared" si="5"/>
        <v>912</v>
      </c>
      <c r="W14" s="154">
        <f>AQ14</f>
        <v>274</v>
      </c>
      <c r="X14" s="54">
        <v>1</v>
      </c>
      <c r="Y14" s="24">
        <v>30</v>
      </c>
      <c r="Z14" s="48">
        <f t="shared" si="22"/>
        <v>30</v>
      </c>
      <c r="AA14" s="54"/>
      <c r="AB14" s="24">
        <v>15</v>
      </c>
      <c r="AC14" s="48">
        <f t="shared" si="23"/>
        <v>0</v>
      </c>
      <c r="AD14" s="54"/>
      <c r="AE14" s="24">
        <v>30</v>
      </c>
      <c r="AF14" s="48">
        <f>AD14*AE14</f>
        <v>0</v>
      </c>
      <c r="AG14" s="278">
        <f t="shared" si="0"/>
        <v>9</v>
      </c>
      <c r="AH14" s="48">
        <f t="shared" si="1"/>
        <v>39</v>
      </c>
      <c r="AI14" s="34">
        <f t="shared" si="2"/>
        <v>76000</v>
      </c>
      <c r="AJ14" s="34"/>
      <c r="AK14" s="216">
        <f t="shared" si="3"/>
        <v>912</v>
      </c>
      <c r="AL14" s="216">
        <f t="shared" si="7"/>
        <v>283.5</v>
      </c>
      <c r="AM14" s="217">
        <f>AL14/AK14</f>
        <v>0.311</v>
      </c>
      <c r="AN14" s="50">
        <f t="shared" ref="AN14:AN16" si="25">AK14*0.22</f>
        <v>200.6</v>
      </c>
      <c r="AO14" s="50">
        <f>865*0.029</f>
        <v>25.1</v>
      </c>
      <c r="AP14" s="50">
        <f>AK14*0.053</f>
        <v>48.3</v>
      </c>
      <c r="AQ14" s="50">
        <f t="shared" ref="AQ14" si="26">SUM(AN14:AP14)*C14</f>
        <v>274</v>
      </c>
      <c r="AS14" s="66"/>
    </row>
    <row r="15" spans="1:45" ht="25.5" x14ac:dyDescent="0.2">
      <c r="A15" s="278">
        <v>8</v>
      </c>
      <c r="B15" s="218" t="s">
        <v>45</v>
      </c>
      <c r="C15" s="278">
        <v>1</v>
      </c>
      <c r="D15" s="177">
        <v>11.061999999999999</v>
      </c>
      <c r="E15" s="171">
        <f t="shared" si="13"/>
        <v>11.06</v>
      </c>
      <c r="F15" s="154">
        <f t="shared" si="14"/>
        <v>132.69999999999999</v>
      </c>
      <c r="G15" s="154"/>
      <c r="H15" s="154">
        <v>2.4</v>
      </c>
      <c r="I15" s="154"/>
      <c r="J15" s="154"/>
      <c r="K15" s="154">
        <f>F15*0.4</f>
        <v>53.1</v>
      </c>
      <c r="L15" s="154">
        <f t="shared" si="4"/>
        <v>44.9</v>
      </c>
      <c r="M15" s="154">
        <f t="shared" si="15"/>
        <v>233.1</v>
      </c>
      <c r="N15" s="171">
        <v>0.43</v>
      </c>
      <c r="O15" s="154">
        <f t="shared" si="16"/>
        <v>100.2</v>
      </c>
      <c r="P15" s="154">
        <f t="shared" si="17"/>
        <v>333.3</v>
      </c>
      <c r="Q15" s="154">
        <f t="shared" si="18"/>
        <v>266.60000000000002</v>
      </c>
      <c r="R15" s="154">
        <f t="shared" si="19"/>
        <v>266.60000000000002</v>
      </c>
      <c r="S15" s="154">
        <f t="shared" si="20"/>
        <v>27.7</v>
      </c>
      <c r="T15" s="154">
        <f t="shared" si="21"/>
        <v>894.2</v>
      </c>
      <c r="U15" s="3193"/>
      <c r="V15" s="154">
        <f t="shared" si="5"/>
        <v>894.2</v>
      </c>
      <c r="W15" s="154">
        <f>AQ15</f>
        <v>269.2</v>
      </c>
      <c r="X15" s="54"/>
      <c r="Y15" s="24">
        <v>30</v>
      </c>
      <c r="Z15" s="48">
        <f t="shared" si="22"/>
        <v>0</v>
      </c>
      <c r="AA15" s="54"/>
      <c r="AB15" s="24">
        <v>15</v>
      </c>
      <c r="AC15" s="48">
        <f t="shared" si="23"/>
        <v>0</v>
      </c>
      <c r="AD15" s="54"/>
      <c r="AE15" s="24">
        <v>30</v>
      </c>
      <c r="AF15" s="48">
        <f t="shared" si="24"/>
        <v>0</v>
      </c>
      <c r="AG15" s="278">
        <f t="shared" si="0"/>
        <v>0</v>
      </c>
      <c r="AH15" s="48">
        <f t="shared" si="1"/>
        <v>0</v>
      </c>
      <c r="AI15" s="34">
        <f t="shared" si="2"/>
        <v>74516.7</v>
      </c>
      <c r="AJ15" s="34"/>
      <c r="AK15" s="216">
        <f t="shared" si="3"/>
        <v>894.2</v>
      </c>
      <c r="AL15" s="216">
        <f t="shared" si="7"/>
        <v>280.2</v>
      </c>
      <c r="AM15" s="217">
        <v>0.30199999999999999</v>
      </c>
      <c r="AN15" s="50">
        <f t="shared" si="25"/>
        <v>196.7</v>
      </c>
      <c r="AO15" s="50">
        <f>865*0.029</f>
        <v>25.1</v>
      </c>
      <c r="AP15" s="50">
        <f>AK15*0.053</f>
        <v>47.4</v>
      </c>
      <c r="AQ15" s="50">
        <f t="shared" si="11"/>
        <v>269.2</v>
      </c>
      <c r="AS15" s="66"/>
    </row>
    <row r="16" spans="1:45" ht="25.5" x14ac:dyDescent="0.2">
      <c r="A16" s="278">
        <v>9</v>
      </c>
      <c r="B16" s="218" t="s">
        <v>46</v>
      </c>
      <c r="C16" s="278">
        <v>1</v>
      </c>
      <c r="D16" s="177">
        <v>11.061999999999999</v>
      </c>
      <c r="E16" s="171">
        <f t="shared" si="13"/>
        <v>11.06</v>
      </c>
      <c r="F16" s="154">
        <f t="shared" si="14"/>
        <v>132.69999999999999</v>
      </c>
      <c r="G16" s="154"/>
      <c r="H16" s="154">
        <v>2.4</v>
      </c>
      <c r="I16" s="154"/>
      <c r="J16" s="154"/>
      <c r="K16" s="154">
        <f>F16*0.4</f>
        <v>53.1</v>
      </c>
      <c r="L16" s="154">
        <f t="shared" si="4"/>
        <v>44.9</v>
      </c>
      <c r="M16" s="154">
        <f t="shared" si="15"/>
        <v>233.1</v>
      </c>
      <c r="N16" s="171">
        <v>0.43</v>
      </c>
      <c r="O16" s="154">
        <f t="shared" si="16"/>
        <v>100.2</v>
      </c>
      <c r="P16" s="154">
        <f t="shared" si="17"/>
        <v>333.3</v>
      </c>
      <c r="Q16" s="154">
        <f t="shared" si="18"/>
        <v>266.60000000000002</v>
      </c>
      <c r="R16" s="154">
        <f t="shared" si="19"/>
        <v>266.60000000000002</v>
      </c>
      <c r="S16" s="154">
        <f t="shared" si="20"/>
        <v>27.7</v>
      </c>
      <c r="T16" s="154">
        <f t="shared" si="21"/>
        <v>894.2</v>
      </c>
      <c r="U16" s="3193"/>
      <c r="V16" s="154">
        <f t="shared" si="5"/>
        <v>894.2</v>
      </c>
      <c r="W16" s="154">
        <f>AQ16</f>
        <v>269.2</v>
      </c>
      <c r="X16" s="54">
        <v>1</v>
      </c>
      <c r="Y16" s="24">
        <v>30</v>
      </c>
      <c r="Z16" s="48">
        <f t="shared" si="22"/>
        <v>30</v>
      </c>
      <c r="AA16" s="54">
        <v>1</v>
      </c>
      <c r="AB16" s="24">
        <v>15</v>
      </c>
      <c r="AC16" s="48">
        <f t="shared" si="23"/>
        <v>15</v>
      </c>
      <c r="AD16" s="54">
        <v>1</v>
      </c>
      <c r="AE16" s="24">
        <v>30</v>
      </c>
      <c r="AF16" s="48">
        <f t="shared" si="24"/>
        <v>30</v>
      </c>
      <c r="AG16" s="278">
        <f t="shared" si="0"/>
        <v>22.5</v>
      </c>
      <c r="AH16" s="48">
        <f t="shared" si="1"/>
        <v>97.5</v>
      </c>
      <c r="AI16" s="34">
        <f t="shared" si="2"/>
        <v>74516.7</v>
      </c>
      <c r="AJ16" s="34"/>
      <c r="AK16" s="216">
        <f t="shared" si="3"/>
        <v>894.2</v>
      </c>
      <c r="AL16" s="216">
        <f t="shared" si="7"/>
        <v>280.2</v>
      </c>
      <c r="AM16" s="217">
        <f>AL16/AK16</f>
        <v>0.313</v>
      </c>
      <c r="AN16" s="50">
        <f t="shared" si="25"/>
        <v>196.7</v>
      </c>
      <c r="AO16" s="50">
        <f>865*0.029</f>
        <v>25.1</v>
      </c>
      <c r="AP16" s="50">
        <f>AK16*0.053</f>
        <v>47.4</v>
      </c>
      <c r="AQ16" s="50">
        <f t="shared" si="11"/>
        <v>269.2</v>
      </c>
      <c r="AS16" s="66"/>
    </row>
    <row r="17" spans="1:45" ht="25.5" x14ac:dyDescent="0.2">
      <c r="A17" s="278">
        <v>10</v>
      </c>
      <c r="B17" s="218" t="s">
        <v>100</v>
      </c>
      <c r="C17" s="278">
        <v>1</v>
      </c>
      <c r="D17" s="177">
        <v>11.061999999999999</v>
      </c>
      <c r="E17" s="171">
        <f>C17*D17</f>
        <v>11.06</v>
      </c>
      <c r="F17" s="154">
        <f>E17*12</f>
        <v>132.69999999999999</v>
      </c>
      <c r="G17" s="154"/>
      <c r="H17" s="154">
        <v>5.4</v>
      </c>
      <c r="I17" s="154"/>
      <c r="J17" s="154"/>
      <c r="K17" s="154"/>
      <c r="L17" s="154">
        <f t="shared" si="4"/>
        <v>44.9</v>
      </c>
      <c r="M17" s="154">
        <f>F17+G17+H17+I17+J17+K17+L17</f>
        <v>183</v>
      </c>
      <c r="N17" s="171">
        <v>0.43</v>
      </c>
      <c r="O17" s="154">
        <f>M17*N17</f>
        <v>78.7</v>
      </c>
      <c r="P17" s="154">
        <f>M17+O17</f>
        <v>261.7</v>
      </c>
      <c r="Q17" s="154">
        <f>P17*0.8</f>
        <v>209.4</v>
      </c>
      <c r="R17" s="154">
        <f>P17*0.8</f>
        <v>209.4</v>
      </c>
      <c r="S17" s="154">
        <f>(P17+Q17+R17)*0.032</f>
        <v>21.8</v>
      </c>
      <c r="T17" s="154">
        <f>P17+Q17+R17+S17</f>
        <v>702.3</v>
      </c>
      <c r="U17" s="3193"/>
      <c r="V17" s="154">
        <f t="shared" si="5"/>
        <v>702.3</v>
      </c>
      <c r="W17" s="154">
        <f t="shared" ref="W17:W19" si="27">V17*0.302</f>
        <v>212.1</v>
      </c>
      <c r="X17" s="54">
        <v>1</v>
      </c>
      <c r="Y17" s="24">
        <v>30</v>
      </c>
      <c r="Z17" s="48">
        <f>X17*Y17</f>
        <v>30</v>
      </c>
      <c r="AA17" s="54"/>
      <c r="AB17" s="24">
        <v>15</v>
      </c>
      <c r="AC17" s="48">
        <f>AA17*AB17</f>
        <v>0</v>
      </c>
      <c r="AD17" s="54"/>
      <c r="AE17" s="24">
        <v>30</v>
      </c>
      <c r="AF17" s="48">
        <f>AD17*AE17</f>
        <v>0</v>
      </c>
      <c r="AG17" s="278">
        <f t="shared" si="0"/>
        <v>9</v>
      </c>
      <c r="AH17" s="48">
        <f t="shared" si="1"/>
        <v>39</v>
      </c>
      <c r="AI17" s="34">
        <f t="shared" si="2"/>
        <v>58525</v>
      </c>
      <c r="AJ17" s="34"/>
      <c r="AK17" s="216">
        <f t="shared" si="3"/>
        <v>702.3</v>
      </c>
      <c r="AL17" s="216">
        <f t="shared" si="7"/>
        <v>245.3</v>
      </c>
      <c r="AM17" s="217">
        <f>AL17/AK17</f>
        <v>0.34899999999999998</v>
      </c>
      <c r="AN17" s="50"/>
      <c r="AO17" s="50"/>
      <c r="AP17" s="50"/>
      <c r="AQ17" s="50">
        <f t="shared" si="11"/>
        <v>0</v>
      </c>
      <c r="AS17" s="66"/>
    </row>
    <row r="18" spans="1:45" x14ac:dyDescent="0.2">
      <c r="A18" s="278">
        <v>11</v>
      </c>
      <c r="B18" s="218" t="s">
        <v>105</v>
      </c>
      <c r="C18" s="278">
        <v>2</v>
      </c>
      <c r="D18" s="177">
        <v>8.4730000000000008</v>
      </c>
      <c r="E18" s="171">
        <f t="shared" si="13"/>
        <v>16.95</v>
      </c>
      <c r="F18" s="154">
        <f t="shared" si="14"/>
        <v>203.4</v>
      </c>
      <c r="G18" s="154"/>
      <c r="H18" s="154">
        <v>2.1</v>
      </c>
      <c r="I18" s="154"/>
      <c r="J18" s="154"/>
      <c r="K18" s="154">
        <f>D18*0.35*12+D18*0.3*12+D18*9.5*0.05</f>
        <v>70.099999999999994</v>
      </c>
      <c r="L18" s="154">
        <f t="shared" si="4"/>
        <v>68.8</v>
      </c>
      <c r="M18" s="154">
        <f t="shared" si="15"/>
        <v>344.4</v>
      </c>
      <c r="N18" s="171">
        <v>0.41</v>
      </c>
      <c r="O18" s="154">
        <f t="shared" si="16"/>
        <v>141.19999999999999</v>
      </c>
      <c r="P18" s="154">
        <f t="shared" si="17"/>
        <v>485.6</v>
      </c>
      <c r="Q18" s="154">
        <f t="shared" si="18"/>
        <v>388.5</v>
      </c>
      <c r="R18" s="154">
        <f t="shared" si="19"/>
        <v>388.5</v>
      </c>
      <c r="S18" s="154">
        <f t="shared" si="20"/>
        <v>40.4</v>
      </c>
      <c r="T18" s="154">
        <f t="shared" si="21"/>
        <v>1303</v>
      </c>
      <c r="U18" s="3193"/>
      <c r="V18" s="154">
        <f t="shared" si="5"/>
        <v>1303</v>
      </c>
      <c r="W18" s="154">
        <f t="shared" si="27"/>
        <v>393.5</v>
      </c>
      <c r="X18" s="54"/>
      <c r="Y18" s="24">
        <v>30</v>
      </c>
      <c r="Z18" s="48">
        <f t="shared" si="22"/>
        <v>0</v>
      </c>
      <c r="AA18" s="54"/>
      <c r="AB18" s="24">
        <v>15</v>
      </c>
      <c r="AC18" s="48">
        <f t="shared" si="23"/>
        <v>0</v>
      </c>
      <c r="AD18" s="54"/>
      <c r="AE18" s="24">
        <v>30</v>
      </c>
      <c r="AF18" s="48">
        <f t="shared" si="24"/>
        <v>0</v>
      </c>
      <c r="AG18" s="278">
        <f t="shared" si="0"/>
        <v>0</v>
      </c>
      <c r="AH18" s="48">
        <f t="shared" si="1"/>
        <v>0</v>
      </c>
      <c r="AI18" s="34">
        <f t="shared" si="2"/>
        <v>54291.7</v>
      </c>
      <c r="AJ18" s="34"/>
      <c r="AK18" s="216">
        <f t="shared" si="3"/>
        <v>651.5</v>
      </c>
      <c r="AL18" s="216">
        <f t="shared" si="7"/>
        <v>236.1</v>
      </c>
      <c r="AM18" s="217">
        <v>0.30199999999999999</v>
      </c>
      <c r="AQ18" s="50">
        <f t="shared" si="11"/>
        <v>0</v>
      </c>
      <c r="AS18" s="66"/>
    </row>
    <row r="19" spans="1:45" x14ac:dyDescent="0.2">
      <c r="A19" s="278">
        <v>12</v>
      </c>
      <c r="B19" s="218" t="s">
        <v>47</v>
      </c>
      <c r="C19" s="219">
        <v>1</v>
      </c>
      <c r="D19" s="177">
        <v>6.2859999999999996</v>
      </c>
      <c r="E19" s="171">
        <f t="shared" si="13"/>
        <v>6.29</v>
      </c>
      <c r="F19" s="154">
        <f t="shared" si="14"/>
        <v>75.5</v>
      </c>
      <c r="G19" s="154"/>
      <c r="H19" s="154">
        <v>2.8</v>
      </c>
      <c r="I19" s="154"/>
      <c r="J19" s="154"/>
      <c r="K19" s="154">
        <f>F19*0.2+D19*0.05*9.5</f>
        <v>18.100000000000001</v>
      </c>
      <c r="L19" s="154">
        <f t="shared" si="4"/>
        <v>25.5</v>
      </c>
      <c r="M19" s="154">
        <f t="shared" si="15"/>
        <v>121.9</v>
      </c>
      <c r="N19" s="171">
        <v>0.45</v>
      </c>
      <c r="O19" s="154">
        <f t="shared" si="16"/>
        <v>54.9</v>
      </c>
      <c r="P19" s="154">
        <f t="shared" si="17"/>
        <v>176.8</v>
      </c>
      <c r="Q19" s="154">
        <f t="shared" si="18"/>
        <v>141.4</v>
      </c>
      <c r="R19" s="154">
        <f t="shared" si="19"/>
        <v>141.4</v>
      </c>
      <c r="S19" s="154">
        <f t="shared" si="20"/>
        <v>14.7</v>
      </c>
      <c r="T19" s="154">
        <f t="shared" si="21"/>
        <v>474.3</v>
      </c>
      <c r="U19" s="3193"/>
      <c r="V19" s="154">
        <f t="shared" si="5"/>
        <v>474.3</v>
      </c>
      <c r="W19" s="154">
        <f t="shared" si="27"/>
        <v>143.19999999999999</v>
      </c>
      <c r="X19" s="54">
        <v>1</v>
      </c>
      <c r="Y19" s="24">
        <v>30</v>
      </c>
      <c r="Z19" s="48">
        <f t="shared" si="22"/>
        <v>30</v>
      </c>
      <c r="AA19" s="54"/>
      <c r="AB19" s="24">
        <v>15</v>
      </c>
      <c r="AC19" s="48">
        <f t="shared" si="23"/>
        <v>0</v>
      </c>
      <c r="AD19" s="54">
        <v>1</v>
      </c>
      <c r="AE19" s="24">
        <v>30</v>
      </c>
      <c r="AF19" s="48">
        <f t="shared" si="24"/>
        <v>30</v>
      </c>
      <c r="AG19" s="278">
        <f t="shared" si="0"/>
        <v>18</v>
      </c>
      <c r="AH19" s="48">
        <f t="shared" si="1"/>
        <v>78</v>
      </c>
      <c r="AI19" s="34">
        <f t="shared" si="2"/>
        <v>39525</v>
      </c>
      <c r="AJ19" s="34"/>
      <c r="AK19" s="216">
        <f t="shared" si="3"/>
        <v>474.3</v>
      </c>
      <c r="AL19" s="216">
        <f t="shared" si="7"/>
        <v>203.8</v>
      </c>
      <c r="AM19" s="217">
        <v>0.30199999999999999</v>
      </c>
      <c r="AQ19" s="50">
        <f t="shared" si="11"/>
        <v>0</v>
      </c>
      <c r="AS19" s="66"/>
    </row>
    <row r="20" spans="1:45" s="33" customFormat="1" x14ac:dyDescent="0.2">
      <c r="A20" s="278">
        <v>13</v>
      </c>
      <c r="B20" s="218" t="s">
        <v>48</v>
      </c>
      <c r="C20" s="278">
        <v>1</v>
      </c>
      <c r="D20" s="177">
        <v>11.061999999999999</v>
      </c>
      <c r="E20" s="171">
        <f>C20*D20</f>
        <v>11.06</v>
      </c>
      <c r="F20" s="154">
        <f>E20*12</f>
        <v>132.69999999999999</v>
      </c>
      <c r="G20" s="154"/>
      <c r="H20" s="154">
        <v>1.8</v>
      </c>
      <c r="I20" s="154"/>
      <c r="J20" s="154"/>
      <c r="K20" s="154">
        <f>F20*0.35</f>
        <v>46.4</v>
      </c>
      <c r="L20" s="154">
        <f t="shared" si="4"/>
        <v>44.9</v>
      </c>
      <c r="M20" s="154">
        <f>F20+G20+H20+I20+J20+K20+L20</f>
        <v>225.8</v>
      </c>
      <c r="N20" s="171">
        <v>0.47</v>
      </c>
      <c r="O20" s="154">
        <f>M20*N20</f>
        <v>106.1</v>
      </c>
      <c r="P20" s="154">
        <f>M20+O20</f>
        <v>331.9</v>
      </c>
      <c r="Q20" s="154">
        <f>P20*0.8</f>
        <v>265.5</v>
      </c>
      <c r="R20" s="154">
        <f>P20*0.8</f>
        <v>265.5</v>
      </c>
      <c r="S20" s="154">
        <f>(P20+Q20+R20)*0.032</f>
        <v>27.6</v>
      </c>
      <c r="T20" s="154">
        <f>P20+Q20+R20+S20</f>
        <v>890.5</v>
      </c>
      <c r="U20" s="3193"/>
      <c r="V20" s="154">
        <f t="shared" si="5"/>
        <v>890.5</v>
      </c>
      <c r="W20" s="154">
        <f>AQ20</f>
        <v>268.2</v>
      </c>
      <c r="X20" s="54">
        <v>1</v>
      </c>
      <c r="Y20" s="24">
        <v>30</v>
      </c>
      <c r="Z20" s="48">
        <f>X20*Y20</f>
        <v>30</v>
      </c>
      <c r="AA20" s="54"/>
      <c r="AB20" s="24">
        <v>15</v>
      </c>
      <c r="AC20" s="48">
        <f>AA20*AB20</f>
        <v>0</v>
      </c>
      <c r="AD20" s="54"/>
      <c r="AE20" s="24">
        <v>30</v>
      </c>
      <c r="AF20" s="48">
        <f>AD20*AE20</f>
        <v>0</v>
      </c>
      <c r="AG20" s="278">
        <f t="shared" si="0"/>
        <v>9</v>
      </c>
      <c r="AH20" s="48">
        <f t="shared" si="1"/>
        <v>39</v>
      </c>
      <c r="AI20" s="34">
        <f t="shared" si="2"/>
        <v>74208.3</v>
      </c>
      <c r="AJ20" s="220"/>
      <c r="AK20" s="216">
        <f t="shared" si="3"/>
        <v>890.5</v>
      </c>
      <c r="AL20" s="216">
        <f t="shared" si="7"/>
        <v>279.60000000000002</v>
      </c>
      <c r="AM20" s="217">
        <f>AL20/AK20</f>
        <v>0.314</v>
      </c>
      <c r="AN20" s="50">
        <f t="shared" ref="AN20:AN21" si="28">AK20*0.22</f>
        <v>195.9</v>
      </c>
      <c r="AO20" s="50">
        <f t="shared" ref="AO20:AO21" si="29">865*0.029</f>
        <v>25.1</v>
      </c>
      <c r="AP20" s="50">
        <f t="shared" ref="AP20:AP21" si="30">AK20*0.053</f>
        <v>47.2</v>
      </c>
      <c r="AQ20" s="50">
        <f t="shared" si="11"/>
        <v>268.2</v>
      </c>
      <c r="AS20" s="66"/>
    </row>
    <row r="21" spans="1:45" s="33" customFormat="1" ht="25.5" x14ac:dyDescent="0.2">
      <c r="A21" s="278">
        <v>14</v>
      </c>
      <c r="B21" s="218" t="s">
        <v>31</v>
      </c>
      <c r="C21" s="278">
        <v>5</v>
      </c>
      <c r="D21" s="177">
        <v>11.061999999999999</v>
      </c>
      <c r="E21" s="171">
        <f>C21*D21</f>
        <v>55.31</v>
      </c>
      <c r="F21" s="154">
        <f>E21*12</f>
        <v>663.7</v>
      </c>
      <c r="G21" s="154"/>
      <c r="H21" s="154">
        <f>40.443+1.617+1.078</f>
        <v>43.1</v>
      </c>
      <c r="I21" s="154"/>
      <c r="J21" s="154"/>
      <c r="K21" s="154">
        <f>D21*0.4*4*12+D21*0.35*12+D21*0.05*3</f>
        <v>260.5</v>
      </c>
      <c r="L21" s="154">
        <f t="shared" si="4"/>
        <v>224.6</v>
      </c>
      <c r="M21" s="154">
        <f>F21+G21+H21+I21+J21+K21+L21</f>
        <v>1191.9000000000001</v>
      </c>
      <c r="N21" s="171">
        <v>0.47</v>
      </c>
      <c r="O21" s="154">
        <f>M21*N21</f>
        <v>560.20000000000005</v>
      </c>
      <c r="P21" s="154">
        <f>M21+O21</f>
        <v>1752.1</v>
      </c>
      <c r="Q21" s="154">
        <f>P21*0.8</f>
        <v>1401.7</v>
      </c>
      <c r="R21" s="154">
        <f>P21*0.8</f>
        <v>1401.7</v>
      </c>
      <c r="S21" s="154">
        <f>(P21+Q21+R21)*0.032</f>
        <v>145.80000000000001</v>
      </c>
      <c r="T21" s="154">
        <f>P21+Q21+R21+S21</f>
        <v>4701.3</v>
      </c>
      <c r="U21" s="3193"/>
      <c r="V21" s="154">
        <f t="shared" si="5"/>
        <v>4701.3</v>
      </c>
      <c r="W21" s="154">
        <f>AQ21*C21</f>
        <v>1409</v>
      </c>
      <c r="X21" s="54">
        <v>4</v>
      </c>
      <c r="Y21" s="24">
        <v>30</v>
      </c>
      <c r="Z21" s="48">
        <f>X21*Y21</f>
        <v>120</v>
      </c>
      <c r="AA21" s="54">
        <v>2</v>
      </c>
      <c r="AB21" s="24">
        <v>15</v>
      </c>
      <c r="AC21" s="48">
        <f>AA21*AB21</f>
        <v>30</v>
      </c>
      <c r="AD21" s="54">
        <v>1</v>
      </c>
      <c r="AE21" s="24">
        <v>30</v>
      </c>
      <c r="AF21" s="48">
        <f>AD21*AE21</f>
        <v>30</v>
      </c>
      <c r="AG21" s="278">
        <f t="shared" si="0"/>
        <v>54</v>
      </c>
      <c r="AH21" s="48">
        <f t="shared" si="1"/>
        <v>234</v>
      </c>
      <c r="AI21" s="34">
        <f t="shared" si="2"/>
        <v>78355</v>
      </c>
      <c r="AJ21" s="220"/>
      <c r="AK21" s="216">
        <f t="shared" si="3"/>
        <v>940.3</v>
      </c>
      <c r="AL21" s="216">
        <f t="shared" si="7"/>
        <v>288.60000000000002</v>
      </c>
      <c r="AM21" s="217">
        <v>0.30199999999999999</v>
      </c>
      <c r="AN21" s="211">
        <f t="shared" si="28"/>
        <v>206.86600000000001</v>
      </c>
      <c r="AO21" s="50">
        <f t="shared" si="29"/>
        <v>25.1</v>
      </c>
      <c r="AP21" s="50">
        <f t="shared" si="30"/>
        <v>49.8</v>
      </c>
      <c r="AQ21" s="50">
        <f>SUM(AN21:AP21)</f>
        <v>281.8</v>
      </c>
      <c r="AS21" s="66"/>
    </row>
    <row r="22" spans="1:45" s="33" customFormat="1" ht="25.5" x14ac:dyDescent="0.2">
      <c r="A22" s="278">
        <v>15</v>
      </c>
      <c r="B22" s="218" t="s">
        <v>110</v>
      </c>
      <c r="C22" s="278">
        <v>1</v>
      </c>
      <c r="D22" s="177">
        <v>6.2859999999999996</v>
      </c>
      <c r="E22" s="171">
        <f>C22*D22</f>
        <v>6.29</v>
      </c>
      <c r="F22" s="154">
        <f>E22*12</f>
        <v>75.5</v>
      </c>
      <c r="G22" s="154"/>
      <c r="H22" s="154"/>
      <c r="I22" s="154"/>
      <c r="J22" s="154"/>
      <c r="K22" s="154">
        <f>F22*0.2</f>
        <v>15.1</v>
      </c>
      <c r="L22" s="154">
        <f t="shared" si="4"/>
        <v>25.5</v>
      </c>
      <c r="M22" s="154">
        <f>F22+G22+H22+I22+J22+K22+L22</f>
        <v>116.1</v>
      </c>
      <c r="N22" s="171">
        <v>0.45</v>
      </c>
      <c r="O22" s="154">
        <f>M22*N22</f>
        <v>52.2</v>
      </c>
      <c r="P22" s="154">
        <f>M22+O22</f>
        <v>168.3</v>
      </c>
      <c r="Q22" s="154">
        <f>P22*0.8</f>
        <v>134.6</v>
      </c>
      <c r="R22" s="154">
        <f>P22*0.8</f>
        <v>134.6</v>
      </c>
      <c r="S22" s="154">
        <f>(P22+Q22+R22)*0.032</f>
        <v>14</v>
      </c>
      <c r="T22" s="154">
        <f>P22+Q22+R22+S22</f>
        <v>451.5</v>
      </c>
      <c r="U22" s="3193"/>
      <c r="V22" s="154">
        <f t="shared" si="5"/>
        <v>451.5</v>
      </c>
      <c r="W22" s="154">
        <f t="shared" ref="W22:W51" si="31">V22*0.302</f>
        <v>136.4</v>
      </c>
      <c r="X22" s="54">
        <v>1</v>
      </c>
      <c r="Y22" s="24">
        <v>30</v>
      </c>
      <c r="Z22" s="48">
        <f>X22*Y22</f>
        <v>30</v>
      </c>
      <c r="AA22" s="54"/>
      <c r="AB22" s="24">
        <v>15</v>
      </c>
      <c r="AC22" s="48">
        <f>AA22*AB22</f>
        <v>0</v>
      </c>
      <c r="AD22" s="54"/>
      <c r="AE22" s="24">
        <v>30</v>
      </c>
      <c r="AF22" s="48">
        <f>AD22*AE22</f>
        <v>0</v>
      </c>
      <c r="AG22" s="278">
        <f t="shared" si="0"/>
        <v>9</v>
      </c>
      <c r="AH22" s="48">
        <f t="shared" si="1"/>
        <v>39</v>
      </c>
      <c r="AI22" s="34">
        <f t="shared" si="2"/>
        <v>37625</v>
      </c>
      <c r="AJ22" s="220"/>
      <c r="AK22" s="216">
        <f t="shared" si="3"/>
        <v>451.5</v>
      </c>
      <c r="AL22" s="216">
        <f t="shared" si="7"/>
        <v>199.7</v>
      </c>
      <c r="AM22" s="217">
        <v>0.30199999999999999</v>
      </c>
      <c r="AN22" s="211"/>
      <c r="AO22" s="211"/>
      <c r="AP22" s="211"/>
      <c r="AQ22" s="50">
        <f t="shared" si="11"/>
        <v>0</v>
      </c>
      <c r="AS22" s="66"/>
    </row>
    <row r="23" spans="1:45" x14ac:dyDescent="0.2">
      <c r="A23" s="278">
        <v>16</v>
      </c>
      <c r="B23" s="218" t="s">
        <v>49</v>
      </c>
      <c r="C23" s="54">
        <v>1</v>
      </c>
      <c r="D23" s="177">
        <v>8.4730000000000008</v>
      </c>
      <c r="E23" s="171">
        <f>C23*D23</f>
        <v>8.4700000000000006</v>
      </c>
      <c r="F23" s="154">
        <f t="shared" ref="F23:F41" si="32">E23*12</f>
        <v>101.6</v>
      </c>
      <c r="G23" s="154"/>
      <c r="H23" s="154">
        <v>3.7</v>
      </c>
      <c r="I23" s="154"/>
      <c r="J23" s="154">
        <f>F23*0.1</f>
        <v>10.199999999999999</v>
      </c>
      <c r="K23" s="154">
        <f>F23*0.3</f>
        <v>30.5</v>
      </c>
      <c r="L23" s="154">
        <f t="shared" si="4"/>
        <v>34.4</v>
      </c>
      <c r="M23" s="154">
        <f t="shared" ref="M23:M41" si="33">F23+G23+H23+I23+J23+K23+L23</f>
        <v>180.4</v>
      </c>
      <c r="N23" s="171">
        <v>0.41</v>
      </c>
      <c r="O23" s="154">
        <f t="shared" ref="O23:O41" si="34">M23*N23</f>
        <v>74</v>
      </c>
      <c r="P23" s="154">
        <f t="shared" ref="P23:P41" si="35">M23+O23</f>
        <v>254.4</v>
      </c>
      <c r="Q23" s="154">
        <f t="shared" ref="Q23:Q41" si="36">P23*0.8</f>
        <v>203.5</v>
      </c>
      <c r="R23" s="154">
        <f t="shared" ref="R23:R41" si="37">P23*0.8</f>
        <v>203.5</v>
      </c>
      <c r="S23" s="154">
        <f t="shared" ref="S23:S41" si="38">(P23+Q23+R23)*0.032</f>
        <v>21.2</v>
      </c>
      <c r="T23" s="154">
        <f t="shared" ref="T23:T41" si="39">P23+Q23+R23+S23</f>
        <v>682.6</v>
      </c>
      <c r="U23" s="3193"/>
      <c r="V23" s="154">
        <f t="shared" si="5"/>
        <v>682.6</v>
      </c>
      <c r="W23" s="154">
        <f t="shared" si="31"/>
        <v>206.1</v>
      </c>
      <c r="X23" s="278">
        <v>1</v>
      </c>
      <c r="Y23" s="24">
        <v>30</v>
      </c>
      <c r="Z23" s="48">
        <f>X23*Y23</f>
        <v>30</v>
      </c>
      <c r="AA23" s="54">
        <v>1</v>
      </c>
      <c r="AB23" s="24">
        <v>15</v>
      </c>
      <c r="AC23" s="48">
        <f>AA23*AB23</f>
        <v>15</v>
      </c>
      <c r="AD23" s="54"/>
      <c r="AE23" s="24">
        <v>30</v>
      </c>
      <c r="AF23" s="48">
        <f>AD23*AE23</f>
        <v>0</v>
      </c>
      <c r="AG23" s="278">
        <f t="shared" si="0"/>
        <v>13.5</v>
      </c>
      <c r="AH23" s="48">
        <f t="shared" si="1"/>
        <v>58.5</v>
      </c>
      <c r="AI23" s="34">
        <f t="shared" si="2"/>
        <v>56883.3</v>
      </c>
      <c r="AJ23" s="34"/>
      <c r="AK23" s="216">
        <f t="shared" si="3"/>
        <v>682.6</v>
      </c>
      <c r="AL23" s="216">
        <f t="shared" si="7"/>
        <v>241.7</v>
      </c>
      <c r="AM23" s="217">
        <v>0.30199999999999999</v>
      </c>
      <c r="AQ23" s="50">
        <f t="shared" si="11"/>
        <v>0</v>
      </c>
      <c r="AS23" s="66"/>
    </row>
    <row r="24" spans="1:45" x14ac:dyDescent="0.2">
      <c r="A24" s="278">
        <v>17</v>
      </c>
      <c r="B24" s="218" t="s">
        <v>50</v>
      </c>
      <c r="C24" s="54">
        <v>1</v>
      </c>
      <c r="D24" s="177">
        <v>8.4730000000000008</v>
      </c>
      <c r="E24" s="171">
        <f>C24*D24</f>
        <v>8.4700000000000006</v>
      </c>
      <c r="F24" s="154">
        <f t="shared" si="32"/>
        <v>101.6</v>
      </c>
      <c r="G24" s="154"/>
      <c r="H24" s="154">
        <v>0.4</v>
      </c>
      <c r="I24" s="154"/>
      <c r="J24" s="154">
        <f>F24*0.1</f>
        <v>10.199999999999999</v>
      </c>
      <c r="K24" s="154">
        <f>F24*0.4</f>
        <v>40.6</v>
      </c>
      <c r="L24" s="154">
        <f t="shared" si="4"/>
        <v>34.4</v>
      </c>
      <c r="M24" s="154">
        <f t="shared" si="33"/>
        <v>187.2</v>
      </c>
      <c r="N24" s="171">
        <v>0.41</v>
      </c>
      <c r="O24" s="154">
        <f t="shared" si="34"/>
        <v>76.8</v>
      </c>
      <c r="P24" s="154">
        <f t="shared" si="35"/>
        <v>264</v>
      </c>
      <c r="Q24" s="154">
        <f t="shared" si="36"/>
        <v>211.2</v>
      </c>
      <c r="R24" s="154">
        <f t="shared" si="37"/>
        <v>211.2</v>
      </c>
      <c r="S24" s="154">
        <f t="shared" si="38"/>
        <v>22</v>
      </c>
      <c r="T24" s="154">
        <f t="shared" si="39"/>
        <v>708.4</v>
      </c>
      <c r="U24" s="3193"/>
      <c r="V24" s="154">
        <f t="shared" si="5"/>
        <v>708.4</v>
      </c>
      <c r="W24" s="154">
        <f t="shared" si="31"/>
        <v>213.9</v>
      </c>
      <c r="X24" s="278"/>
      <c r="Y24" s="24">
        <v>30</v>
      </c>
      <c r="Z24" s="48">
        <f>X24*Y24</f>
        <v>0</v>
      </c>
      <c r="AA24" s="54"/>
      <c r="AB24" s="24">
        <v>15</v>
      </c>
      <c r="AC24" s="48">
        <f>AA24*AB24</f>
        <v>0</v>
      </c>
      <c r="AD24" s="54"/>
      <c r="AE24" s="24">
        <v>30</v>
      </c>
      <c r="AF24" s="48">
        <f>AD24*AE24</f>
        <v>0</v>
      </c>
      <c r="AG24" s="278">
        <f t="shared" si="0"/>
        <v>0</v>
      </c>
      <c r="AH24" s="48">
        <f t="shared" si="1"/>
        <v>0</v>
      </c>
      <c r="AI24" s="34">
        <f t="shared" si="2"/>
        <v>59033.3</v>
      </c>
      <c r="AJ24" s="34"/>
      <c r="AK24" s="216">
        <f t="shared" si="3"/>
        <v>708.4</v>
      </c>
      <c r="AL24" s="216">
        <f t="shared" si="7"/>
        <v>246.4</v>
      </c>
      <c r="AM24" s="217">
        <v>0.30199999999999999</v>
      </c>
      <c r="AQ24" s="50">
        <f t="shared" si="11"/>
        <v>0</v>
      </c>
      <c r="AS24" s="66"/>
    </row>
    <row r="25" spans="1:45" ht="25.5" x14ac:dyDescent="0.2">
      <c r="A25" s="278">
        <v>18</v>
      </c>
      <c r="B25" s="218" t="s">
        <v>51</v>
      </c>
      <c r="C25" s="54">
        <v>1</v>
      </c>
      <c r="D25" s="177">
        <v>8.4730000000000008</v>
      </c>
      <c r="E25" s="171">
        <f t="shared" ref="E25:E40" si="40">C25*D25</f>
        <v>8.4700000000000006</v>
      </c>
      <c r="F25" s="154">
        <f t="shared" si="32"/>
        <v>101.6</v>
      </c>
      <c r="G25" s="154"/>
      <c r="H25" s="154">
        <v>2.1</v>
      </c>
      <c r="I25" s="154"/>
      <c r="J25" s="154">
        <f>F25*0.1</f>
        <v>10.199999999999999</v>
      </c>
      <c r="K25" s="154">
        <f>F25*0.4</f>
        <v>40.6</v>
      </c>
      <c r="L25" s="154">
        <f t="shared" si="4"/>
        <v>34.4</v>
      </c>
      <c r="M25" s="154">
        <f t="shared" si="33"/>
        <v>188.9</v>
      </c>
      <c r="N25" s="171">
        <v>0.41</v>
      </c>
      <c r="O25" s="154">
        <f t="shared" si="34"/>
        <v>77.400000000000006</v>
      </c>
      <c r="P25" s="154">
        <f t="shared" si="35"/>
        <v>266.3</v>
      </c>
      <c r="Q25" s="154">
        <f t="shared" si="36"/>
        <v>213</v>
      </c>
      <c r="R25" s="154">
        <f t="shared" si="37"/>
        <v>213</v>
      </c>
      <c r="S25" s="154">
        <f t="shared" si="38"/>
        <v>22.2</v>
      </c>
      <c r="T25" s="154">
        <f t="shared" si="39"/>
        <v>714.5</v>
      </c>
      <c r="U25" s="3193"/>
      <c r="V25" s="154">
        <f t="shared" si="5"/>
        <v>714.5</v>
      </c>
      <c r="W25" s="154">
        <f t="shared" si="31"/>
        <v>215.8</v>
      </c>
      <c r="X25" s="278">
        <v>1</v>
      </c>
      <c r="Y25" s="24">
        <v>30</v>
      </c>
      <c r="Z25" s="48">
        <f t="shared" ref="Z25:Z38" si="41">X25*Y25</f>
        <v>30</v>
      </c>
      <c r="AA25" s="54"/>
      <c r="AB25" s="24">
        <v>15</v>
      </c>
      <c r="AC25" s="48">
        <f t="shared" ref="AC25:AC38" si="42">AA25*AB25</f>
        <v>0</v>
      </c>
      <c r="AD25" s="54"/>
      <c r="AE25" s="24">
        <v>30</v>
      </c>
      <c r="AF25" s="48">
        <f t="shared" ref="AF25:AF41" si="43">AD25*AE25</f>
        <v>0</v>
      </c>
      <c r="AG25" s="278">
        <f t="shared" si="0"/>
        <v>9</v>
      </c>
      <c r="AH25" s="48">
        <f t="shared" si="1"/>
        <v>39</v>
      </c>
      <c r="AI25" s="34">
        <f t="shared" si="2"/>
        <v>59541.7</v>
      </c>
      <c r="AJ25" s="34"/>
      <c r="AK25" s="216">
        <f t="shared" si="3"/>
        <v>714.5</v>
      </c>
      <c r="AL25" s="216">
        <f t="shared" si="7"/>
        <v>247.5</v>
      </c>
      <c r="AM25" s="217">
        <v>0.30199999999999999</v>
      </c>
      <c r="AQ25" s="50">
        <f t="shared" si="11"/>
        <v>0</v>
      </c>
      <c r="AS25" s="66"/>
    </row>
    <row r="26" spans="1:45" x14ac:dyDescent="0.2">
      <c r="A26" s="278">
        <v>19</v>
      </c>
      <c r="B26" s="218" t="s">
        <v>52</v>
      </c>
      <c r="C26" s="54">
        <v>1</v>
      </c>
      <c r="D26" s="177">
        <v>8.4730000000000008</v>
      </c>
      <c r="E26" s="171">
        <f t="shared" si="40"/>
        <v>8.4700000000000006</v>
      </c>
      <c r="F26" s="154">
        <f t="shared" si="32"/>
        <v>101.6</v>
      </c>
      <c r="G26" s="154"/>
      <c r="H26" s="154">
        <v>1.4</v>
      </c>
      <c r="I26" s="154"/>
      <c r="J26" s="154"/>
      <c r="K26" s="154">
        <f>D26*0.25*7.7+D26*0.3*4.3</f>
        <v>27.2</v>
      </c>
      <c r="L26" s="154">
        <f t="shared" si="4"/>
        <v>34.4</v>
      </c>
      <c r="M26" s="154">
        <f t="shared" si="33"/>
        <v>164.6</v>
      </c>
      <c r="N26" s="171">
        <v>0.41</v>
      </c>
      <c r="O26" s="154">
        <f t="shared" si="34"/>
        <v>67.5</v>
      </c>
      <c r="P26" s="154">
        <f t="shared" si="35"/>
        <v>232.1</v>
      </c>
      <c r="Q26" s="154">
        <f t="shared" si="36"/>
        <v>185.7</v>
      </c>
      <c r="R26" s="154">
        <f t="shared" si="37"/>
        <v>185.7</v>
      </c>
      <c r="S26" s="154">
        <f t="shared" si="38"/>
        <v>19.3</v>
      </c>
      <c r="T26" s="154">
        <f t="shared" si="39"/>
        <v>622.79999999999995</v>
      </c>
      <c r="U26" s="3193"/>
      <c r="V26" s="154">
        <f t="shared" si="5"/>
        <v>622.79999999999995</v>
      </c>
      <c r="W26" s="154">
        <f t="shared" si="31"/>
        <v>188.1</v>
      </c>
      <c r="X26" s="278">
        <v>1</v>
      </c>
      <c r="Y26" s="24">
        <v>30</v>
      </c>
      <c r="Z26" s="48">
        <f t="shared" si="41"/>
        <v>30</v>
      </c>
      <c r="AA26" s="54"/>
      <c r="AB26" s="24">
        <v>15</v>
      </c>
      <c r="AC26" s="48">
        <f t="shared" si="42"/>
        <v>0</v>
      </c>
      <c r="AD26" s="54"/>
      <c r="AE26" s="24">
        <v>30</v>
      </c>
      <c r="AF26" s="48">
        <f t="shared" si="43"/>
        <v>0</v>
      </c>
      <c r="AG26" s="278">
        <f t="shared" si="0"/>
        <v>9</v>
      </c>
      <c r="AH26" s="48">
        <f t="shared" si="1"/>
        <v>39</v>
      </c>
      <c r="AI26" s="34">
        <f t="shared" si="2"/>
        <v>51900</v>
      </c>
      <c r="AJ26" s="34"/>
      <c r="AK26" s="216">
        <f t="shared" si="3"/>
        <v>622.79999999999995</v>
      </c>
      <c r="AL26" s="216">
        <f t="shared" si="7"/>
        <v>230.8</v>
      </c>
      <c r="AM26" s="217">
        <v>0.30199999999999999</v>
      </c>
      <c r="AQ26" s="50">
        <f t="shared" si="11"/>
        <v>0</v>
      </c>
      <c r="AS26" s="66"/>
    </row>
    <row r="27" spans="1:45" ht="26.25" customHeight="1" x14ac:dyDescent="0.2">
      <c r="A27" s="278">
        <v>20</v>
      </c>
      <c r="B27" s="218" t="s">
        <v>53</v>
      </c>
      <c r="C27" s="49">
        <f>1-0.5</f>
        <v>0.5</v>
      </c>
      <c r="D27" s="177">
        <v>8.4730000000000008</v>
      </c>
      <c r="E27" s="171">
        <f t="shared" si="40"/>
        <v>4.24</v>
      </c>
      <c r="F27" s="154">
        <f t="shared" si="32"/>
        <v>50.9</v>
      </c>
      <c r="G27" s="154"/>
      <c r="H27" s="154"/>
      <c r="I27" s="154"/>
      <c r="J27" s="154"/>
      <c r="K27" s="154"/>
      <c r="L27" s="154">
        <f t="shared" si="4"/>
        <v>17.2</v>
      </c>
      <c r="M27" s="154">
        <f t="shared" si="33"/>
        <v>68.099999999999994</v>
      </c>
      <c r="N27" s="171">
        <v>0.41</v>
      </c>
      <c r="O27" s="154">
        <f t="shared" si="34"/>
        <v>27.9</v>
      </c>
      <c r="P27" s="154">
        <f t="shared" si="35"/>
        <v>96</v>
      </c>
      <c r="Q27" s="154">
        <f t="shared" si="36"/>
        <v>76.8</v>
      </c>
      <c r="R27" s="154">
        <f t="shared" si="37"/>
        <v>76.8</v>
      </c>
      <c r="S27" s="154">
        <f t="shared" si="38"/>
        <v>8</v>
      </c>
      <c r="T27" s="154">
        <f t="shared" si="39"/>
        <v>257.60000000000002</v>
      </c>
      <c r="U27" s="3193"/>
      <c r="V27" s="154">
        <f t="shared" si="5"/>
        <v>257.60000000000002</v>
      </c>
      <c r="W27" s="154">
        <f t="shared" si="31"/>
        <v>77.8</v>
      </c>
      <c r="X27" s="278"/>
      <c r="Y27" s="24">
        <v>30</v>
      </c>
      <c r="Z27" s="48">
        <f t="shared" si="41"/>
        <v>0</v>
      </c>
      <c r="AA27" s="54"/>
      <c r="AB27" s="24">
        <v>15</v>
      </c>
      <c r="AC27" s="48">
        <f t="shared" si="42"/>
        <v>0</v>
      </c>
      <c r="AD27" s="54"/>
      <c r="AE27" s="24">
        <v>30</v>
      </c>
      <c r="AF27" s="48">
        <f t="shared" si="43"/>
        <v>0</v>
      </c>
      <c r="AG27" s="278">
        <f t="shared" si="0"/>
        <v>0</v>
      </c>
      <c r="AH27" s="48">
        <f t="shared" si="1"/>
        <v>0</v>
      </c>
      <c r="AI27" s="34">
        <f t="shared" si="2"/>
        <v>42933.3</v>
      </c>
      <c r="AJ27" s="34"/>
      <c r="AK27" s="216">
        <f t="shared" si="3"/>
        <v>515.20000000000005</v>
      </c>
      <c r="AL27" s="216">
        <f t="shared" si="7"/>
        <v>211.2</v>
      </c>
      <c r="AM27" s="217">
        <v>0.30199999999999999</v>
      </c>
      <c r="AQ27" s="50">
        <f t="shared" si="11"/>
        <v>0</v>
      </c>
      <c r="AS27" s="66"/>
    </row>
    <row r="28" spans="1:45" x14ac:dyDescent="0.2">
      <c r="A28" s="278">
        <v>21</v>
      </c>
      <c r="B28" s="218" t="s">
        <v>54</v>
      </c>
      <c r="C28" s="54">
        <v>1</v>
      </c>
      <c r="D28" s="177">
        <v>11.061999999999999</v>
      </c>
      <c r="E28" s="171">
        <f t="shared" si="40"/>
        <v>11.06</v>
      </c>
      <c r="F28" s="154">
        <f t="shared" si="32"/>
        <v>132.69999999999999</v>
      </c>
      <c r="G28" s="154"/>
      <c r="H28" s="154">
        <v>3.2</v>
      </c>
      <c r="I28" s="154"/>
      <c r="J28" s="154">
        <f>F28*0.1</f>
        <v>13.3</v>
      </c>
      <c r="K28" s="154">
        <f>F28*0.3</f>
        <v>39.799999999999997</v>
      </c>
      <c r="L28" s="154">
        <f t="shared" si="4"/>
        <v>44.9</v>
      </c>
      <c r="M28" s="154">
        <f t="shared" si="33"/>
        <v>233.9</v>
      </c>
      <c r="N28" s="171">
        <v>0.43</v>
      </c>
      <c r="O28" s="154">
        <f t="shared" si="34"/>
        <v>100.6</v>
      </c>
      <c r="P28" s="154">
        <f t="shared" si="35"/>
        <v>334.5</v>
      </c>
      <c r="Q28" s="154">
        <f t="shared" si="36"/>
        <v>267.60000000000002</v>
      </c>
      <c r="R28" s="154">
        <f t="shared" si="37"/>
        <v>267.60000000000002</v>
      </c>
      <c r="S28" s="154">
        <f t="shared" si="38"/>
        <v>27.8</v>
      </c>
      <c r="T28" s="154">
        <f t="shared" si="39"/>
        <v>897.5</v>
      </c>
      <c r="U28" s="3193"/>
      <c r="V28" s="154">
        <f t="shared" si="5"/>
        <v>897.5</v>
      </c>
      <c r="W28" s="154">
        <f>AQ28</f>
        <v>270.2</v>
      </c>
      <c r="X28" s="278"/>
      <c r="Y28" s="24">
        <v>30</v>
      </c>
      <c r="Z28" s="48">
        <f t="shared" si="41"/>
        <v>0</v>
      </c>
      <c r="AA28" s="54"/>
      <c r="AB28" s="24">
        <v>15</v>
      </c>
      <c r="AC28" s="48">
        <f t="shared" si="42"/>
        <v>0</v>
      </c>
      <c r="AD28" s="54"/>
      <c r="AE28" s="24">
        <v>30</v>
      </c>
      <c r="AF28" s="48">
        <f t="shared" si="43"/>
        <v>0</v>
      </c>
      <c r="AG28" s="278">
        <f t="shared" si="0"/>
        <v>0</v>
      </c>
      <c r="AH28" s="48">
        <f>Z28+AC28+AF28+AG28</f>
        <v>0</v>
      </c>
      <c r="AI28" s="34">
        <f t="shared" si="2"/>
        <v>74791.7</v>
      </c>
      <c r="AJ28" s="34"/>
      <c r="AK28" s="216">
        <f t="shared" si="3"/>
        <v>897.5</v>
      </c>
      <c r="AL28" s="216">
        <f t="shared" si="7"/>
        <v>280.8</v>
      </c>
      <c r="AM28" s="217">
        <v>0.30199999999999999</v>
      </c>
      <c r="AN28" s="221">
        <f t="shared" ref="AN28:AN29" si="44">AK28*0.22</f>
        <v>197.5</v>
      </c>
      <c r="AO28" s="50">
        <f t="shared" ref="AO28:AO29" si="45">865*0.029</f>
        <v>25.1</v>
      </c>
      <c r="AP28" s="50">
        <f t="shared" ref="AP28:AP29" si="46">AK28*0.053</f>
        <v>47.6</v>
      </c>
      <c r="AQ28" s="50">
        <f t="shared" si="11"/>
        <v>270.2</v>
      </c>
      <c r="AS28" s="66"/>
    </row>
    <row r="29" spans="1:45" x14ac:dyDescent="0.2">
      <c r="A29" s="278">
        <v>22</v>
      </c>
      <c r="B29" s="218" t="s">
        <v>40</v>
      </c>
      <c r="C29" s="54">
        <v>2</v>
      </c>
      <c r="D29" s="177">
        <v>11.061999999999999</v>
      </c>
      <c r="E29" s="171">
        <f t="shared" si="40"/>
        <v>22.12</v>
      </c>
      <c r="F29" s="154">
        <f t="shared" si="32"/>
        <v>265.39999999999998</v>
      </c>
      <c r="G29" s="154"/>
      <c r="H29" s="154">
        <v>3.2</v>
      </c>
      <c r="I29" s="154"/>
      <c r="J29" s="154"/>
      <c r="K29" s="154">
        <f>D29*0.4*12+D29*0.35*12</f>
        <v>99.6</v>
      </c>
      <c r="L29" s="154">
        <f t="shared" si="4"/>
        <v>89.8</v>
      </c>
      <c r="M29" s="154">
        <f t="shared" si="33"/>
        <v>458</v>
      </c>
      <c r="N29" s="171">
        <v>0.43</v>
      </c>
      <c r="O29" s="154">
        <f t="shared" si="34"/>
        <v>196.9</v>
      </c>
      <c r="P29" s="154">
        <f t="shared" si="35"/>
        <v>654.9</v>
      </c>
      <c r="Q29" s="154">
        <f t="shared" si="36"/>
        <v>523.9</v>
      </c>
      <c r="R29" s="154">
        <f t="shared" si="37"/>
        <v>523.9</v>
      </c>
      <c r="S29" s="154">
        <f t="shared" si="38"/>
        <v>54.5</v>
      </c>
      <c r="T29" s="154">
        <f t="shared" si="39"/>
        <v>1757.2</v>
      </c>
      <c r="U29" s="3193"/>
      <c r="V29" s="154">
        <f t="shared" si="5"/>
        <v>1757.2</v>
      </c>
      <c r="W29" s="154">
        <f>AQ29*C29</f>
        <v>530</v>
      </c>
      <c r="X29" s="278">
        <v>1</v>
      </c>
      <c r="Y29" s="24">
        <v>30</v>
      </c>
      <c r="Z29" s="48">
        <f t="shared" si="41"/>
        <v>30</v>
      </c>
      <c r="AA29" s="54">
        <v>2</v>
      </c>
      <c r="AB29" s="24">
        <v>15</v>
      </c>
      <c r="AC29" s="48">
        <f t="shared" si="42"/>
        <v>30</v>
      </c>
      <c r="AD29" s="54"/>
      <c r="AE29" s="24">
        <v>30</v>
      </c>
      <c r="AF29" s="48">
        <f t="shared" si="43"/>
        <v>0</v>
      </c>
      <c r="AG29" s="278">
        <f t="shared" si="0"/>
        <v>18</v>
      </c>
      <c r="AH29" s="48">
        <f t="shared" ref="AH29:AH41" si="47">Z29+AC29+AF29+AG29</f>
        <v>78</v>
      </c>
      <c r="AI29" s="34">
        <f t="shared" si="2"/>
        <v>73216.7</v>
      </c>
      <c r="AJ29" s="34"/>
      <c r="AK29" s="216">
        <f t="shared" si="3"/>
        <v>878.6</v>
      </c>
      <c r="AL29" s="216">
        <f t="shared" si="7"/>
        <v>277.39999999999998</v>
      </c>
      <c r="AM29" s="217">
        <v>0.30199999999999999</v>
      </c>
      <c r="AN29" s="221">
        <f t="shared" si="44"/>
        <v>193.3</v>
      </c>
      <c r="AO29" s="50">
        <f t="shared" si="45"/>
        <v>25.1</v>
      </c>
      <c r="AP29" s="50">
        <f t="shared" si="46"/>
        <v>46.6</v>
      </c>
      <c r="AQ29" s="50">
        <f t="shared" si="11"/>
        <v>265</v>
      </c>
      <c r="AS29" s="66"/>
    </row>
    <row r="30" spans="1:45" x14ac:dyDescent="0.2">
      <c r="A30" s="278">
        <v>23</v>
      </c>
      <c r="B30" s="218" t="s">
        <v>55</v>
      </c>
      <c r="C30" s="54">
        <v>1</v>
      </c>
      <c r="D30" s="213">
        <v>8.4730000000000008</v>
      </c>
      <c r="E30" s="171">
        <f t="shared" si="40"/>
        <v>8.4700000000000006</v>
      </c>
      <c r="F30" s="154">
        <f t="shared" si="32"/>
        <v>101.6</v>
      </c>
      <c r="G30" s="154"/>
      <c r="H30" s="154">
        <v>2.1</v>
      </c>
      <c r="I30" s="154"/>
      <c r="J30" s="154">
        <f>F30*0.1</f>
        <v>10.199999999999999</v>
      </c>
      <c r="K30" s="154">
        <f>D30*0.3*12</f>
        <v>30.5</v>
      </c>
      <c r="L30" s="154">
        <f t="shared" si="4"/>
        <v>34.4</v>
      </c>
      <c r="M30" s="154">
        <f t="shared" si="33"/>
        <v>178.8</v>
      </c>
      <c r="N30" s="171">
        <v>0.41</v>
      </c>
      <c r="O30" s="154">
        <f t="shared" si="34"/>
        <v>73.3</v>
      </c>
      <c r="P30" s="154">
        <f t="shared" si="35"/>
        <v>252.1</v>
      </c>
      <c r="Q30" s="154">
        <f t="shared" si="36"/>
        <v>201.7</v>
      </c>
      <c r="R30" s="154">
        <f t="shared" si="37"/>
        <v>201.7</v>
      </c>
      <c r="S30" s="154">
        <f t="shared" si="38"/>
        <v>21</v>
      </c>
      <c r="T30" s="154">
        <f t="shared" si="39"/>
        <v>676.5</v>
      </c>
      <c r="U30" s="3193"/>
      <c r="V30" s="154">
        <f t="shared" si="5"/>
        <v>676.5</v>
      </c>
      <c r="W30" s="154">
        <f t="shared" si="31"/>
        <v>204.3</v>
      </c>
      <c r="X30" s="278">
        <v>1</v>
      </c>
      <c r="Y30" s="24">
        <v>30</v>
      </c>
      <c r="Z30" s="48">
        <f t="shared" si="41"/>
        <v>30</v>
      </c>
      <c r="AA30" s="54">
        <v>1</v>
      </c>
      <c r="AB30" s="24">
        <v>15</v>
      </c>
      <c r="AC30" s="48">
        <f t="shared" si="42"/>
        <v>15</v>
      </c>
      <c r="AD30" s="54">
        <v>1</v>
      </c>
      <c r="AE30" s="24">
        <v>30</v>
      </c>
      <c r="AF30" s="48">
        <f t="shared" si="43"/>
        <v>30</v>
      </c>
      <c r="AG30" s="278">
        <f t="shared" si="0"/>
        <v>22.5</v>
      </c>
      <c r="AH30" s="48">
        <f t="shared" si="47"/>
        <v>97.5</v>
      </c>
      <c r="AI30" s="34">
        <f t="shared" si="2"/>
        <v>56375</v>
      </c>
      <c r="AJ30" s="34"/>
      <c r="AK30" s="216">
        <f t="shared" si="3"/>
        <v>676.5</v>
      </c>
      <c r="AL30" s="216">
        <f t="shared" si="7"/>
        <v>240.6</v>
      </c>
      <c r="AM30" s="217">
        <f>AL30/AK30</f>
        <v>0.35599999999999998</v>
      </c>
      <c r="AN30" s="222"/>
      <c r="AO30" s="50"/>
      <c r="AP30" s="50"/>
      <c r="AQ30" s="50">
        <f t="shared" si="11"/>
        <v>0</v>
      </c>
      <c r="AS30" s="66"/>
    </row>
    <row r="31" spans="1:45" x14ac:dyDescent="0.2">
      <c r="A31" s="278">
        <v>24</v>
      </c>
      <c r="B31" s="218" t="s">
        <v>29</v>
      </c>
      <c r="C31" s="54">
        <v>3</v>
      </c>
      <c r="D31" s="213">
        <v>8.4730000000000008</v>
      </c>
      <c r="E31" s="171">
        <f t="shared" si="40"/>
        <v>25.42</v>
      </c>
      <c r="F31" s="154">
        <f t="shared" si="32"/>
        <v>305</v>
      </c>
      <c r="G31" s="154"/>
      <c r="H31" s="154">
        <v>61.7</v>
      </c>
      <c r="I31" s="154"/>
      <c r="J31" s="154"/>
      <c r="K31" s="154">
        <f>D31*0.3*12+D31*0.05*2</f>
        <v>31.4</v>
      </c>
      <c r="L31" s="154">
        <f t="shared" si="4"/>
        <v>103.2</v>
      </c>
      <c r="M31" s="154">
        <f t="shared" si="33"/>
        <v>501.3</v>
      </c>
      <c r="N31" s="171">
        <v>0.41</v>
      </c>
      <c r="O31" s="154">
        <f t="shared" si="34"/>
        <v>205.5</v>
      </c>
      <c r="P31" s="154">
        <f t="shared" si="35"/>
        <v>706.8</v>
      </c>
      <c r="Q31" s="154">
        <f t="shared" si="36"/>
        <v>565.4</v>
      </c>
      <c r="R31" s="154">
        <f t="shared" si="37"/>
        <v>565.4</v>
      </c>
      <c r="S31" s="154">
        <f t="shared" si="38"/>
        <v>58.8</v>
      </c>
      <c r="T31" s="154">
        <f t="shared" si="39"/>
        <v>1896.4</v>
      </c>
      <c r="U31" s="3193"/>
      <c r="V31" s="154">
        <f t="shared" si="5"/>
        <v>1896.4</v>
      </c>
      <c r="W31" s="154">
        <f t="shared" si="31"/>
        <v>572.70000000000005</v>
      </c>
      <c r="X31" s="278">
        <v>1</v>
      </c>
      <c r="Y31" s="24">
        <v>30</v>
      </c>
      <c r="Z31" s="48">
        <f t="shared" si="41"/>
        <v>30</v>
      </c>
      <c r="AA31" s="54">
        <v>3</v>
      </c>
      <c r="AB31" s="24">
        <v>15</v>
      </c>
      <c r="AC31" s="48">
        <f t="shared" si="42"/>
        <v>45</v>
      </c>
      <c r="AD31" s="54"/>
      <c r="AE31" s="24">
        <v>30</v>
      </c>
      <c r="AF31" s="48">
        <f t="shared" si="43"/>
        <v>0</v>
      </c>
      <c r="AG31" s="278">
        <f t="shared" si="0"/>
        <v>22.5</v>
      </c>
      <c r="AH31" s="48">
        <f t="shared" si="47"/>
        <v>97.5</v>
      </c>
      <c r="AI31" s="34">
        <f t="shared" si="2"/>
        <v>52677.8</v>
      </c>
      <c r="AJ31" s="34"/>
      <c r="AK31" s="216">
        <f t="shared" si="3"/>
        <v>632.1</v>
      </c>
      <c r="AL31" s="216">
        <f t="shared" si="7"/>
        <v>232.5</v>
      </c>
      <c r="AM31" s="217">
        <v>0.30199999999999999</v>
      </c>
      <c r="AN31" s="223"/>
      <c r="AO31" s="62"/>
      <c r="AP31" s="62"/>
      <c r="AQ31" s="50">
        <f t="shared" si="11"/>
        <v>0</v>
      </c>
      <c r="AS31" s="66"/>
    </row>
    <row r="32" spans="1:45" ht="13.5" customHeight="1" x14ac:dyDescent="0.2">
      <c r="A32" s="278">
        <v>25</v>
      </c>
      <c r="B32" s="218" t="s">
        <v>42</v>
      </c>
      <c r="C32" s="54">
        <v>1</v>
      </c>
      <c r="D32" s="177">
        <v>11.061999999999999</v>
      </c>
      <c r="E32" s="171">
        <f t="shared" si="40"/>
        <v>11.06</v>
      </c>
      <c r="F32" s="154">
        <f t="shared" si="32"/>
        <v>132.69999999999999</v>
      </c>
      <c r="G32" s="154"/>
      <c r="H32" s="154">
        <v>4.8</v>
      </c>
      <c r="I32" s="154"/>
      <c r="J32" s="154">
        <f>F32*0.1</f>
        <v>13.3</v>
      </c>
      <c r="K32" s="154">
        <f>D32*0.25*12</f>
        <v>33.200000000000003</v>
      </c>
      <c r="L32" s="154">
        <f t="shared" si="4"/>
        <v>44.9</v>
      </c>
      <c r="M32" s="154">
        <f t="shared" si="33"/>
        <v>228.9</v>
      </c>
      <c r="N32" s="171">
        <v>0.43</v>
      </c>
      <c r="O32" s="154">
        <f t="shared" si="34"/>
        <v>98.4</v>
      </c>
      <c r="P32" s="154">
        <f t="shared" si="35"/>
        <v>327.3</v>
      </c>
      <c r="Q32" s="154">
        <f t="shared" si="36"/>
        <v>261.8</v>
      </c>
      <c r="R32" s="154">
        <f t="shared" si="37"/>
        <v>261.8</v>
      </c>
      <c r="S32" s="154">
        <f t="shared" si="38"/>
        <v>27.2</v>
      </c>
      <c r="T32" s="154">
        <f t="shared" si="39"/>
        <v>878.1</v>
      </c>
      <c r="U32" s="3193"/>
      <c r="V32" s="154">
        <f t="shared" si="5"/>
        <v>878.1</v>
      </c>
      <c r="W32" s="154">
        <f>AQ32</f>
        <v>264.8</v>
      </c>
      <c r="X32" s="278"/>
      <c r="Y32" s="24">
        <v>30</v>
      </c>
      <c r="Z32" s="48">
        <f t="shared" si="41"/>
        <v>0</v>
      </c>
      <c r="AA32" s="54"/>
      <c r="AB32" s="24">
        <v>15</v>
      </c>
      <c r="AC32" s="48">
        <f t="shared" si="42"/>
        <v>0</v>
      </c>
      <c r="AD32" s="54"/>
      <c r="AE32" s="24">
        <v>30</v>
      </c>
      <c r="AF32" s="48">
        <f t="shared" si="43"/>
        <v>0</v>
      </c>
      <c r="AG32" s="278">
        <f t="shared" si="0"/>
        <v>0</v>
      </c>
      <c r="AH32" s="48">
        <f t="shared" si="47"/>
        <v>0</v>
      </c>
      <c r="AI32" s="34">
        <f t="shared" si="2"/>
        <v>73175</v>
      </c>
      <c r="AJ32" s="34"/>
      <c r="AK32" s="216">
        <f t="shared" si="3"/>
        <v>878.1</v>
      </c>
      <c r="AL32" s="216">
        <f t="shared" si="7"/>
        <v>277.3</v>
      </c>
      <c r="AM32" s="217">
        <v>0.30199999999999999</v>
      </c>
      <c r="AN32" s="221">
        <f t="shared" ref="AN32" si="48">AK32*0.22</f>
        <v>193.2</v>
      </c>
      <c r="AO32" s="50">
        <f t="shared" ref="AO32" si="49">865*0.029</f>
        <v>25.1</v>
      </c>
      <c r="AP32" s="50">
        <f t="shared" ref="AP32" si="50">AK32*0.053</f>
        <v>46.5</v>
      </c>
      <c r="AQ32" s="50">
        <f t="shared" ref="AQ32" si="51">SUM(AN32:AP32)</f>
        <v>264.8</v>
      </c>
      <c r="AS32" s="66"/>
    </row>
    <row r="33" spans="1:45" ht="25.5" x14ac:dyDescent="0.2">
      <c r="A33" s="278">
        <v>26</v>
      </c>
      <c r="B33" s="218" t="s">
        <v>108</v>
      </c>
      <c r="C33" s="54">
        <v>4</v>
      </c>
      <c r="D33" s="177">
        <v>8.4730000000000008</v>
      </c>
      <c r="E33" s="171">
        <f t="shared" si="40"/>
        <v>33.89</v>
      </c>
      <c r="F33" s="154">
        <f t="shared" si="32"/>
        <v>406.7</v>
      </c>
      <c r="G33" s="154"/>
      <c r="H33" s="154">
        <v>1.2</v>
      </c>
      <c r="I33" s="154"/>
      <c r="J33" s="154"/>
      <c r="K33" s="154">
        <f>D33*0.4*12+D33*0.35*12</f>
        <v>76.3</v>
      </c>
      <c r="L33" s="154">
        <f t="shared" si="4"/>
        <v>137.6</v>
      </c>
      <c r="M33" s="154">
        <f t="shared" si="33"/>
        <v>621.79999999999995</v>
      </c>
      <c r="N33" s="171">
        <v>0.47</v>
      </c>
      <c r="O33" s="154">
        <f t="shared" si="34"/>
        <v>292.2</v>
      </c>
      <c r="P33" s="154">
        <f t="shared" si="35"/>
        <v>914</v>
      </c>
      <c r="Q33" s="154">
        <f t="shared" si="36"/>
        <v>731.2</v>
      </c>
      <c r="R33" s="154">
        <f t="shared" si="37"/>
        <v>731.2</v>
      </c>
      <c r="S33" s="154">
        <f t="shared" si="38"/>
        <v>76</v>
      </c>
      <c r="T33" s="154">
        <f t="shared" si="39"/>
        <v>2452.4</v>
      </c>
      <c r="U33" s="3193"/>
      <c r="V33" s="154">
        <f t="shared" si="5"/>
        <v>2452.4</v>
      </c>
      <c r="W33" s="154">
        <f t="shared" si="31"/>
        <v>740.6</v>
      </c>
      <c r="X33" s="278">
        <v>1</v>
      </c>
      <c r="Y33" s="24">
        <v>30</v>
      </c>
      <c r="Z33" s="48">
        <f t="shared" si="41"/>
        <v>30</v>
      </c>
      <c r="AA33" s="54">
        <v>1</v>
      </c>
      <c r="AB33" s="24">
        <v>15</v>
      </c>
      <c r="AC33" s="48">
        <f t="shared" si="42"/>
        <v>15</v>
      </c>
      <c r="AD33" s="54"/>
      <c r="AE33" s="24">
        <v>30</v>
      </c>
      <c r="AF33" s="48">
        <f t="shared" si="43"/>
        <v>0</v>
      </c>
      <c r="AG33" s="278">
        <f t="shared" si="0"/>
        <v>13.5</v>
      </c>
      <c r="AH33" s="48">
        <f t="shared" si="47"/>
        <v>58.5</v>
      </c>
      <c r="AI33" s="34">
        <f t="shared" si="2"/>
        <v>51091.7</v>
      </c>
      <c r="AJ33" s="34"/>
      <c r="AK33" s="216">
        <f t="shared" si="3"/>
        <v>613.1</v>
      </c>
      <c r="AL33" s="216">
        <f t="shared" si="7"/>
        <v>229.1</v>
      </c>
      <c r="AM33" s="217">
        <v>0.30199999999999999</v>
      </c>
      <c r="AN33" s="223"/>
      <c r="AO33" s="62"/>
      <c r="AP33" s="62"/>
      <c r="AQ33" s="50">
        <f t="shared" si="11"/>
        <v>0</v>
      </c>
      <c r="AS33" s="66"/>
    </row>
    <row r="34" spans="1:45" ht="13.5" customHeight="1" x14ac:dyDescent="0.2">
      <c r="A34" s="278">
        <v>27</v>
      </c>
      <c r="B34" s="218" t="s">
        <v>56</v>
      </c>
      <c r="C34" s="57">
        <v>2</v>
      </c>
      <c r="D34" s="177">
        <v>11.061999999999999</v>
      </c>
      <c r="E34" s="171">
        <f t="shared" si="40"/>
        <v>22.12</v>
      </c>
      <c r="F34" s="154">
        <f t="shared" si="32"/>
        <v>265.39999999999998</v>
      </c>
      <c r="G34" s="154"/>
      <c r="H34" s="154">
        <v>1.1000000000000001</v>
      </c>
      <c r="I34" s="154"/>
      <c r="J34" s="154">
        <f>D34*0.1*2*12</f>
        <v>26.5</v>
      </c>
      <c r="K34" s="154">
        <f>D34*0.4*12+D34*0.25*12</f>
        <v>86.3</v>
      </c>
      <c r="L34" s="154">
        <f t="shared" si="4"/>
        <v>89.8</v>
      </c>
      <c r="M34" s="154">
        <f t="shared" si="33"/>
        <v>469.1</v>
      </c>
      <c r="N34" s="171">
        <v>0.43</v>
      </c>
      <c r="O34" s="154">
        <f t="shared" si="34"/>
        <v>201.7</v>
      </c>
      <c r="P34" s="154">
        <f t="shared" si="35"/>
        <v>670.8</v>
      </c>
      <c r="Q34" s="154">
        <f t="shared" si="36"/>
        <v>536.6</v>
      </c>
      <c r="R34" s="154">
        <f t="shared" si="37"/>
        <v>536.6</v>
      </c>
      <c r="S34" s="154">
        <f t="shared" si="38"/>
        <v>55.8</v>
      </c>
      <c r="T34" s="154">
        <f t="shared" si="39"/>
        <v>1799.8</v>
      </c>
      <c r="U34" s="3193"/>
      <c r="V34" s="154">
        <f t="shared" si="5"/>
        <v>1799.8</v>
      </c>
      <c r="W34" s="154">
        <f>AQ34*C34</f>
        <v>541.6</v>
      </c>
      <c r="X34" s="278">
        <v>2</v>
      </c>
      <c r="Y34" s="24">
        <v>30</v>
      </c>
      <c r="Z34" s="48">
        <f t="shared" si="41"/>
        <v>60</v>
      </c>
      <c r="AA34" s="54">
        <v>2</v>
      </c>
      <c r="AB34" s="24">
        <v>15</v>
      </c>
      <c r="AC34" s="48">
        <f t="shared" si="42"/>
        <v>30</v>
      </c>
      <c r="AD34" s="54"/>
      <c r="AE34" s="24">
        <v>30</v>
      </c>
      <c r="AF34" s="48">
        <f t="shared" si="43"/>
        <v>0</v>
      </c>
      <c r="AG34" s="278">
        <f t="shared" si="0"/>
        <v>27</v>
      </c>
      <c r="AH34" s="48">
        <f t="shared" si="47"/>
        <v>117</v>
      </c>
      <c r="AI34" s="34">
        <f t="shared" si="2"/>
        <v>74991.7</v>
      </c>
      <c r="AJ34" s="34"/>
      <c r="AK34" s="216">
        <f t="shared" si="3"/>
        <v>899.9</v>
      </c>
      <c r="AL34" s="216">
        <f t="shared" si="7"/>
        <v>281.3</v>
      </c>
      <c r="AM34" s="217">
        <v>0.30199999999999999</v>
      </c>
      <c r="AN34" s="221">
        <f t="shared" ref="AN34" si="52">AK34*0.22</f>
        <v>198</v>
      </c>
      <c r="AO34" s="50">
        <f t="shared" ref="AO34" si="53">865*0.029</f>
        <v>25.1</v>
      </c>
      <c r="AP34" s="50">
        <f t="shared" ref="AP34" si="54">AK34*0.053</f>
        <v>47.7</v>
      </c>
      <c r="AQ34" s="50">
        <f t="shared" ref="AQ34" si="55">SUM(AN34:AP34)</f>
        <v>270.8</v>
      </c>
      <c r="AS34" s="66"/>
    </row>
    <row r="35" spans="1:45" ht="25.5" x14ac:dyDescent="0.2">
      <c r="A35" s="278">
        <v>28</v>
      </c>
      <c r="B35" s="218" t="s">
        <v>101</v>
      </c>
      <c r="C35" s="57">
        <v>1</v>
      </c>
      <c r="D35" s="177">
        <v>11.061999999999999</v>
      </c>
      <c r="E35" s="171">
        <f>C35*D35</f>
        <v>11.06</v>
      </c>
      <c r="F35" s="154">
        <f t="shared" si="32"/>
        <v>132.69999999999999</v>
      </c>
      <c r="G35" s="154"/>
      <c r="H35" s="154">
        <v>4.8</v>
      </c>
      <c r="I35" s="154"/>
      <c r="J35" s="154"/>
      <c r="K35" s="154">
        <f>D35*0.25*12</f>
        <v>33.200000000000003</v>
      </c>
      <c r="L35" s="154">
        <f t="shared" si="4"/>
        <v>44.9</v>
      </c>
      <c r="M35" s="154">
        <f t="shared" si="33"/>
        <v>215.6</v>
      </c>
      <c r="N35" s="171">
        <v>0.43</v>
      </c>
      <c r="O35" s="154">
        <f t="shared" si="34"/>
        <v>92.7</v>
      </c>
      <c r="P35" s="154">
        <f t="shared" si="35"/>
        <v>308.3</v>
      </c>
      <c r="Q35" s="154">
        <f t="shared" si="36"/>
        <v>246.6</v>
      </c>
      <c r="R35" s="154">
        <f t="shared" si="37"/>
        <v>246.6</v>
      </c>
      <c r="S35" s="154">
        <f t="shared" si="38"/>
        <v>25.6</v>
      </c>
      <c r="T35" s="154">
        <f t="shared" si="39"/>
        <v>827.1</v>
      </c>
      <c r="U35" s="3193"/>
      <c r="V35" s="154">
        <f t="shared" si="5"/>
        <v>827.1</v>
      </c>
      <c r="W35" s="154">
        <f t="shared" si="31"/>
        <v>249.8</v>
      </c>
      <c r="X35" s="278">
        <v>1</v>
      </c>
      <c r="Y35" s="24">
        <v>30</v>
      </c>
      <c r="Z35" s="48">
        <f t="shared" si="41"/>
        <v>30</v>
      </c>
      <c r="AA35" s="54"/>
      <c r="AB35" s="24">
        <v>15</v>
      </c>
      <c r="AC35" s="48">
        <f t="shared" si="42"/>
        <v>0</v>
      </c>
      <c r="AD35" s="54"/>
      <c r="AE35" s="24">
        <v>30</v>
      </c>
      <c r="AF35" s="48">
        <f t="shared" si="43"/>
        <v>0</v>
      </c>
      <c r="AG35" s="278">
        <f t="shared" si="0"/>
        <v>9</v>
      </c>
      <c r="AH35" s="48">
        <f t="shared" si="47"/>
        <v>39</v>
      </c>
      <c r="AI35" s="34">
        <f t="shared" si="2"/>
        <v>68925</v>
      </c>
      <c r="AJ35" s="34"/>
      <c r="AK35" s="216">
        <f t="shared" si="3"/>
        <v>827.1</v>
      </c>
      <c r="AL35" s="216">
        <f t="shared" si="7"/>
        <v>268</v>
      </c>
      <c r="AM35" s="217">
        <v>0.30199999999999999</v>
      </c>
      <c r="AN35" s="62"/>
      <c r="AO35" s="62"/>
      <c r="AP35" s="62"/>
      <c r="AQ35" s="50">
        <f t="shared" si="11"/>
        <v>0</v>
      </c>
      <c r="AS35" s="66"/>
    </row>
    <row r="36" spans="1:45" x14ac:dyDescent="0.2">
      <c r="A36" s="278">
        <v>29</v>
      </c>
      <c r="B36" s="218" t="s">
        <v>33</v>
      </c>
      <c r="C36" s="57">
        <v>1</v>
      </c>
      <c r="D36" s="177">
        <v>8.4730000000000008</v>
      </c>
      <c r="E36" s="171">
        <f>C36*D36</f>
        <v>8.4700000000000006</v>
      </c>
      <c r="F36" s="154">
        <f t="shared" si="32"/>
        <v>101.6</v>
      </c>
      <c r="G36" s="154"/>
      <c r="H36" s="154">
        <v>2.9</v>
      </c>
      <c r="I36" s="154"/>
      <c r="J36" s="154"/>
      <c r="K36" s="154"/>
      <c r="L36" s="154">
        <f t="shared" si="4"/>
        <v>34.4</v>
      </c>
      <c r="M36" s="154">
        <f t="shared" si="33"/>
        <v>138.9</v>
      </c>
      <c r="N36" s="171">
        <v>0.41</v>
      </c>
      <c r="O36" s="154">
        <f t="shared" si="34"/>
        <v>56.9</v>
      </c>
      <c r="P36" s="154">
        <f t="shared" si="35"/>
        <v>195.8</v>
      </c>
      <c r="Q36" s="154">
        <f t="shared" si="36"/>
        <v>156.6</v>
      </c>
      <c r="R36" s="154">
        <f t="shared" si="37"/>
        <v>156.6</v>
      </c>
      <c r="S36" s="154">
        <f t="shared" si="38"/>
        <v>16.3</v>
      </c>
      <c r="T36" s="154">
        <f t="shared" si="39"/>
        <v>525.29999999999995</v>
      </c>
      <c r="U36" s="3193"/>
      <c r="V36" s="154">
        <f t="shared" si="5"/>
        <v>525.29999999999995</v>
      </c>
      <c r="W36" s="154">
        <f t="shared" si="31"/>
        <v>158.6</v>
      </c>
      <c r="X36" s="278"/>
      <c r="Y36" s="24">
        <v>30</v>
      </c>
      <c r="Z36" s="48">
        <f t="shared" si="41"/>
        <v>0</v>
      </c>
      <c r="AA36" s="54"/>
      <c r="AB36" s="24">
        <v>15</v>
      </c>
      <c r="AC36" s="48">
        <f t="shared" si="42"/>
        <v>0</v>
      </c>
      <c r="AD36" s="54"/>
      <c r="AE36" s="24">
        <v>30</v>
      </c>
      <c r="AF36" s="48">
        <f t="shared" si="43"/>
        <v>0</v>
      </c>
      <c r="AG36" s="278">
        <f t="shared" si="0"/>
        <v>0</v>
      </c>
      <c r="AH36" s="48">
        <f t="shared" si="47"/>
        <v>0</v>
      </c>
      <c r="AI36" s="34">
        <f t="shared" si="2"/>
        <v>43775</v>
      </c>
      <c r="AJ36" s="34"/>
      <c r="AK36" s="216">
        <f t="shared" si="3"/>
        <v>525.29999999999995</v>
      </c>
      <c r="AL36" s="216">
        <f t="shared" si="7"/>
        <v>213.1</v>
      </c>
      <c r="AM36" s="217">
        <v>0.30199999999999999</v>
      </c>
      <c r="AN36" s="76"/>
      <c r="AO36" s="76"/>
      <c r="AP36" s="76"/>
      <c r="AQ36" s="50">
        <f t="shared" si="11"/>
        <v>0</v>
      </c>
      <c r="AS36" s="66"/>
    </row>
    <row r="37" spans="1:45" ht="25.5" x14ac:dyDescent="0.2">
      <c r="A37" s="278">
        <v>30</v>
      </c>
      <c r="B37" s="218" t="s">
        <v>130</v>
      </c>
      <c r="C37" s="57">
        <v>1</v>
      </c>
      <c r="D37" s="177">
        <v>8.4730000000000008</v>
      </c>
      <c r="E37" s="171">
        <f t="shared" ref="E37" si="56">C37*D37</f>
        <v>8.4700000000000006</v>
      </c>
      <c r="F37" s="154">
        <f>E37*12</f>
        <v>101.6</v>
      </c>
      <c r="G37" s="154"/>
      <c r="H37" s="154"/>
      <c r="I37" s="154"/>
      <c r="J37" s="154"/>
      <c r="K37" s="154"/>
      <c r="L37" s="154">
        <f t="shared" si="4"/>
        <v>34.4</v>
      </c>
      <c r="M37" s="154">
        <f t="shared" si="33"/>
        <v>136</v>
      </c>
      <c r="N37" s="171">
        <v>0.47</v>
      </c>
      <c r="O37" s="154">
        <f t="shared" si="34"/>
        <v>63.9</v>
      </c>
      <c r="P37" s="154">
        <f t="shared" si="35"/>
        <v>199.9</v>
      </c>
      <c r="Q37" s="154">
        <f t="shared" si="36"/>
        <v>159.9</v>
      </c>
      <c r="R37" s="154">
        <f t="shared" si="37"/>
        <v>159.9</v>
      </c>
      <c r="S37" s="154">
        <f t="shared" si="38"/>
        <v>16.600000000000001</v>
      </c>
      <c r="T37" s="154">
        <f t="shared" si="39"/>
        <v>536.29999999999995</v>
      </c>
      <c r="U37" s="3193"/>
      <c r="V37" s="154">
        <f t="shared" si="5"/>
        <v>536.29999999999995</v>
      </c>
      <c r="W37" s="154">
        <f t="shared" si="31"/>
        <v>162</v>
      </c>
      <c r="X37" s="278"/>
      <c r="Y37" s="24">
        <v>30</v>
      </c>
      <c r="Z37" s="48">
        <f t="shared" si="41"/>
        <v>0</v>
      </c>
      <c r="AA37" s="54"/>
      <c r="AB37" s="24">
        <v>15</v>
      </c>
      <c r="AC37" s="48">
        <f t="shared" si="42"/>
        <v>0</v>
      </c>
      <c r="AD37" s="54"/>
      <c r="AE37" s="24">
        <v>30</v>
      </c>
      <c r="AF37" s="48">
        <f t="shared" si="43"/>
        <v>0</v>
      </c>
      <c r="AG37" s="278">
        <f t="shared" si="0"/>
        <v>0</v>
      </c>
      <c r="AH37" s="48">
        <f t="shared" si="47"/>
        <v>0</v>
      </c>
      <c r="AI37" s="34">
        <f>V37/11/C37*1000</f>
        <v>48754.5</v>
      </c>
      <c r="AJ37" s="34"/>
      <c r="AK37" s="216">
        <f t="shared" si="3"/>
        <v>536.29999999999995</v>
      </c>
      <c r="AL37" s="216">
        <f t="shared" si="7"/>
        <v>215.1</v>
      </c>
      <c r="AM37" s="217">
        <v>0.30199999999999999</v>
      </c>
      <c r="AN37" s="62"/>
      <c r="AO37" s="62"/>
      <c r="AP37" s="62"/>
      <c r="AQ37" s="50">
        <f t="shared" si="11"/>
        <v>0</v>
      </c>
      <c r="AS37" s="66"/>
    </row>
    <row r="38" spans="1:45" ht="25.5" x14ac:dyDescent="0.2">
      <c r="A38" s="278">
        <v>31</v>
      </c>
      <c r="B38" s="218" t="s">
        <v>109</v>
      </c>
      <c r="C38" s="57">
        <v>1</v>
      </c>
      <c r="D38" s="177">
        <v>4.4569999999999999</v>
      </c>
      <c r="E38" s="171">
        <f t="shared" si="40"/>
        <v>4.46</v>
      </c>
      <c r="F38" s="154">
        <f t="shared" si="32"/>
        <v>53.5</v>
      </c>
      <c r="G38" s="154"/>
      <c r="H38" s="154">
        <v>1.7</v>
      </c>
      <c r="I38" s="154"/>
      <c r="J38" s="154"/>
      <c r="K38" s="154"/>
      <c r="L38" s="154">
        <v>26</v>
      </c>
      <c r="M38" s="154">
        <f t="shared" si="33"/>
        <v>81.2</v>
      </c>
      <c r="N38" s="171">
        <v>0.61</v>
      </c>
      <c r="O38" s="154">
        <f t="shared" si="34"/>
        <v>49.5</v>
      </c>
      <c r="P38" s="154">
        <f t="shared" si="35"/>
        <v>130.69999999999999</v>
      </c>
      <c r="Q38" s="154">
        <f t="shared" si="36"/>
        <v>104.6</v>
      </c>
      <c r="R38" s="154">
        <f t="shared" si="37"/>
        <v>104.6</v>
      </c>
      <c r="S38" s="154">
        <f t="shared" si="38"/>
        <v>10.9</v>
      </c>
      <c r="T38" s="154">
        <f t="shared" si="39"/>
        <v>350.8</v>
      </c>
      <c r="U38" s="3193"/>
      <c r="V38" s="154">
        <f t="shared" si="5"/>
        <v>350.8</v>
      </c>
      <c r="W38" s="154">
        <f t="shared" si="31"/>
        <v>105.9</v>
      </c>
      <c r="X38" s="278">
        <v>1</v>
      </c>
      <c r="Y38" s="24">
        <v>30</v>
      </c>
      <c r="Z38" s="48">
        <f t="shared" si="41"/>
        <v>30</v>
      </c>
      <c r="AA38" s="278">
        <v>1</v>
      </c>
      <c r="AB38" s="24">
        <v>15</v>
      </c>
      <c r="AC38" s="48">
        <f t="shared" si="42"/>
        <v>15</v>
      </c>
      <c r="AD38" s="278"/>
      <c r="AE38" s="24">
        <v>30</v>
      </c>
      <c r="AF38" s="48">
        <f t="shared" si="43"/>
        <v>0</v>
      </c>
      <c r="AG38" s="278">
        <f t="shared" si="0"/>
        <v>13.5</v>
      </c>
      <c r="AH38" s="48">
        <f t="shared" si="47"/>
        <v>58.5</v>
      </c>
      <c r="AI38" s="34">
        <f>V38/12/C38*1000</f>
        <v>29233.3</v>
      </c>
      <c r="AJ38" s="34"/>
      <c r="AK38" s="216">
        <f t="shared" si="3"/>
        <v>350.8</v>
      </c>
      <c r="AL38" s="216">
        <f t="shared" si="7"/>
        <v>181.3</v>
      </c>
      <c r="AM38" s="217">
        <v>0.30199999999999999</v>
      </c>
      <c r="AN38" s="76"/>
      <c r="AO38" s="76"/>
      <c r="AP38" s="76"/>
      <c r="AQ38" s="50">
        <f t="shared" si="11"/>
        <v>0</v>
      </c>
      <c r="AS38" s="66"/>
    </row>
    <row r="39" spans="1:45" ht="15.75" customHeight="1" x14ac:dyDescent="0.2">
      <c r="A39" s="278">
        <v>32</v>
      </c>
      <c r="B39" s="218" t="s">
        <v>57</v>
      </c>
      <c r="C39" s="49">
        <f>2-0.5</f>
        <v>1.5</v>
      </c>
      <c r="D39" s="177">
        <v>4.3769999999999998</v>
      </c>
      <c r="E39" s="171">
        <f t="shared" si="40"/>
        <v>6.57</v>
      </c>
      <c r="F39" s="215">
        <f t="shared" si="32"/>
        <v>78.8</v>
      </c>
      <c r="G39" s="154"/>
      <c r="H39" s="154">
        <v>1.4</v>
      </c>
      <c r="I39" s="154"/>
      <c r="J39" s="154"/>
      <c r="K39" s="154"/>
      <c r="L39" s="154">
        <v>70</v>
      </c>
      <c r="M39" s="154">
        <f t="shared" si="33"/>
        <v>150.19999999999999</v>
      </c>
      <c r="N39" s="171">
        <v>0.49</v>
      </c>
      <c r="O39" s="154">
        <f t="shared" si="34"/>
        <v>73.599999999999994</v>
      </c>
      <c r="P39" s="154">
        <f t="shared" si="35"/>
        <v>223.8</v>
      </c>
      <c r="Q39" s="154">
        <f t="shared" si="36"/>
        <v>179</v>
      </c>
      <c r="R39" s="154">
        <f t="shared" si="37"/>
        <v>179</v>
      </c>
      <c r="S39" s="154">
        <f t="shared" si="38"/>
        <v>18.600000000000001</v>
      </c>
      <c r="T39" s="154">
        <f t="shared" si="39"/>
        <v>600.4</v>
      </c>
      <c r="U39" s="3193"/>
      <c r="V39" s="154">
        <f t="shared" si="5"/>
        <v>600.4</v>
      </c>
      <c r="W39" s="154">
        <f t="shared" si="31"/>
        <v>181.3</v>
      </c>
      <c r="X39" s="278"/>
      <c r="Y39" s="24">
        <v>30</v>
      </c>
      <c r="Z39" s="48">
        <f>X39*Y39</f>
        <v>0</v>
      </c>
      <c r="AA39" s="278"/>
      <c r="AB39" s="24">
        <v>15</v>
      </c>
      <c r="AC39" s="48">
        <f>AA39*AB39</f>
        <v>0</v>
      </c>
      <c r="AD39" s="278"/>
      <c r="AE39" s="24">
        <v>30</v>
      </c>
      <c r="AF39" s="48">
        <f t="shared" si="43"/>
        <v>0</v>
      </c>
      <c r="AG39" s="278">
        <f t="shared" si="0"/>
        <v>0</v>
      </c>
      <c r="AH39" s="48">
        <f t="shared" si="47"/>
        <v>0</v>
      </c>
      <c r="AI39" s="34">
        <f>V39/12/C39*1000</f>
        <v>33355.599999999999</v>
      </c>
      <c r="AJ39" s="34"/>
      <c r="AK39" s="216">
        <f t="shared" si="3"/>
        <v>400.3</v>
      </c>
      <c r="AL39" s="216">
        <f t="shared" si="7"/>
        <v>190.3</v>
      </c>
      <c r="AM39" s="217">
        <v>0.30199999999999999</v>
      </c>
      <c r="AN39" s="76"/>
      <c r="AO39" s="76"/>
      <c r="AP39" s="76"/>
      <c r="AQ39" s="50">
        <f t="shared" si="11"/>
        <v>0</v>
      </c>
      <c r="AS39" s="66"/>
    </row>
    <row r="40" spans="1:45" x14ac:dyDescent="0.2">
      <c r="A40" s="278">
        <v>33</v>
      </c>
      <c r="B40" s="218" t="s">
        <v>92</v>
      </c>
      <c r="C40" s="224">
        <v>1</v>
      </c>
      <c r="D40" s="177">
        <v>4.3769999999999998</v>
      </c>
      <c r="E40" s="171">
        <f t="shared" si="40"/>
        <v>4.38</v>
      </c>
      <c r="F40" s="154">
        <f t="shared" si="32"/>
        <v>52.6</v>
      </c>
      <c r="G40" s="154"/>
      <c r="H40" s="154">
        <f>2773.8/1000</f>
        <v>2.8</v>
      </c>
      <c r="I40" s="154"/>
      <c r="J40" s="154"/>
      <c r="K40" s="154"/>
      <c r="L40" s="154">
        <v>38.1</v>
      </c>
      <c r="M40" s="154">
        <f t="shared" si="33"/>
        <v>93.5</v>
      </c>
      <c r="N40" s="171">
        <v>0.47</v>
      </c>
      <c r="O40" s="154">
        <f t="shared" si="34"/>
        <v>43.9</v>
      </c>
      <c r="P40" s="154">
        <f t="shared" si="35"/>
        <v>137.4</v>
      </c>
      <c r="Q40" s="154">
        <f t="shared" si="36"/>
        <v>109.9</v>
      </c>
      <c r="R40" s="154">
        <f t="shared" si="37"/>
        <v>109.9</v>
      </c>
      <c r="S40" s="154">
        <f t="shared" si="38"/>
        <v>11.4</v>
      </c>
      <c r="T40" s="154">
        <f t="shared" si="39"/>
        <v>368.6</v>
      </c>
      <c r="U40" s="3193"/>
      <c r="V40" s="154">
        <f t="shared" si="5"/>
        <v>368.6</v>
      </c>
      <c r="W40" s="154">
        <f t="shared" si="31"/>
        <v>111.3</v>
      </c>
      <c r="X40" s="278">
        <v>1</v>
      </c>
      <c r="Y40" s="24">
        <v>30</v>
      </c>
      <c r="Z40" s="48">
        <f>X40*Y40</f>
        <v>30</v>
      </c>
      <c r="AA40" s="278"/>
      <c r="AB40" s="24">
        <v>15</v>
      </c>
      <c r="AC40" s="48">
        <f>AA40*AB40</f>
        <v>0</v>
      </c>
      <c r="AD40" s="278"/>
      <c r="AE40" s="24">
        <v>30</v>
      </c>
      <c r="AF40" s="48">
        <f t="shared" si="43"/>
        <v>0</v>
      </c>
      <c r="AG40" s="278">
        <f t="shared" si="0"/>
        <v>9</v>
      </c>
      <c r="AH40" s="48">
        <f t="shared" si="47"/>
        <v>39</v>
      </c>
      <c r="AI40" s="34">
        <f>V40/12/C40*1000</f>
        <v>30716.7</v>
      </c>
      <c r="AJ40" s="34"/>
      <c r="AK40" s="216">
        <f t="shared" si="3"/>
        <v>368.6</v>
      </c>
      <c r="AL40" s="216">
        <f t="shared" si="7"/>
        <v>184.6</v>
      </c>
      <c r="AM40" s="217">
        <v>0.30199999999999999</v>
      </c>
      <c r="AN40" s="76"/>
      <c r="AO40" s="76"/>
      <c r="AP40" s="76"/>
      <c r="AQ40" s="50">
        <f t="shared" si="11"/>
        <v>0</v>
      </c>
      <c r="AS40" s="66"/>
    </row>
    <row r="41" spans="1:45" ht="25.5" x14ac:dyDescent="0.2">
      <c r="A41" s="278">
        <v>34</v>
      </c>
      <c r="B41" s="218" t="s">
        <v>102</v>
      </c>
      <c r="C41" s="58">
        <v>2</v>
      </c>
      <c r="D41" s="177">
        <v>4.3769999999999998</v>
      </c>
      <c r="E41" s="171">
        <f>C41*D41</f>
        <v>8.75</v>
      </c>
      <c r="F41" s="215">
        <f t="shared" si="32"/>
        <v>105</v>
      </c>
      <c r="G41" s="154"/>
      <c r="H41" s="154">
        <v>3.3</v>
      </c>
      <c r="I41" s="154"/>
      <c r="J41" s="154"/>
      <c r="K41" s="154"/>
      <c r="L41" s="154">
        <v>70</v>
      </c>
      <c r="M41" s="154">
        <f t="shared" si="33"/>
        <v>178.3</v>
      </c>
      <c r="N41" s="171">
        <v>0.49</v>
      </c>
      <c r="O41" s="154">
        <f t="shared" si="34"/>
        <v>87.4</v>
      </c>
      <c r="P41" s="154">
        <f t="shared" si="35"/>
        <v>265.7</v>
      </c>
      <c r="Q41" s="154">
        <f t="shared" si="36"/>
        <v>212.6</v>
      </c>
      <c r="R41" s="154">
        <f t="shared" si="37"/>
        <v>212.6</v>
      </c>
      <c r="S41" s="154">
        <f t="shared" si="38"/>
        <v>22.1</v>
      </c>
      <c r="T41" s="154">
        <f t="shared" si="39"/>
        <v>713</v>
      </c>
      <c r="U41" s="3193"/>
      <c r="V41" s="154">
        <f t="shared" si="5"/>
        <v>713</v>
      </c>
      <c r="W41" s="154">
        <f t="shared" si="31"/>
        <v>215.3</v>
      </c>
      <c r="X41" s="278">
        <v>1</v>
      </c>
      <c r="Y41" s="24">
        <v>30</v>
      </c>
      <c r="Z41" s="48">
        <f>X41*Y41</f>
        <v>30</v>
      </c>
      <c r="AA41" s="278"/>
      <c r="AB41" s="24">
        <v>15</v>
      </c>
      <c r="AC41" s="48">
        <f>AA41*AB41</f>
        <v>0</v>
      </c>
      <c r="AD41" s="278"/>
      <c r="AE41" s="24">
        <v>30</v>
      </c>
      <c r="AF41" s="48">
        <f t="shared" si="43"/>
        <v>0</v>
      </c>
      <c r="AG41" s="278">
        <f t="shared" si="0"/>
        <v>9</v>
      </c>
      <c r="AH41" s="48">
        <f t="shared" si="47"/>
        <v>39</v>
      </c>
      <c r="AI41" s="34">
        <f>V41/12/C41*1000</f>
        <v>29708.3</v>
      </c>
      <c r="AJ41" s="34"/>
      <c r="AK41" s="216">
        <f t="shared" si="3"/>
        <v>356.5</v>
      </c>
      <c r="AL41" s="216">
        <f t="shared" si="7"/>
        <v>182.4</v>
      </c>
      <c r="AM41" s="217">
        <v>0.30199999999999999</v>
      </c>
      <c r="AN41" s="76"/>
      <c r="AO41" s="76"/>
      <c r="AP41" s="76"/>
      <c r="AQ41" s="50">
        <f t="shared" si="11"/>
        <v>0</v>
      </c>
      <c r="AS41" s="66"/>
    </row>
    <row r="42" spans="1:45" x14ac:dyDescent="0.2">
      <c r="A42" s="225" t="s">
        <v>126</v>
      </c>
      <c r="B42" s="218"/>
      <c r="C42" s="58"/>
      <c r="D42" s="177"/>
      <c r="E42" s="171"/>
      <c r="F42" s="215"/>
      <c r="G42" s="154"/>
      <c r="H42" s="154"/>
      <c r="I42" s="154"/>
      <c r="J42" s="154"/>
      <c r="K42" s="154"/>
      <c r="L42" s="154"/>
      <c r="M42" s="154"/>
      <c r="N42" s="171"/>
      <c r="O42" s="154"/>
      <c r="P42" s="154"/>
      <c r="Q42" s="154"/>
      <c r="R42" s="154"/>
      <c r="S42" s="154"/>
      <c r="T42" s="154"/>
      <c r="U42" s="3193"/>
      <c r="V42" s="154"/>
      <c r="W42" s="154">
        <f t="shared" si="31"/>
        <v>0</v>
      </c>
      <c r="X42" s="278"/>
      <c r="Y42" s="24"/>
      <c r="Z42" s="48"/>
      <c r="AA42" s="278"/>
      <c r="AB42" s="24"/>
      <c r="AC42" s="48"/>
      <c r="AD42" s="278"/>
      <c r="AE42" s="24"/>
      <c r="AF42" s="48"/>
      <c r="AG42" s="278">
        <f t="shared" si="0"/>
        <v>0</v>
      </c>
      <c r="AH42" s="48"/>
      <c r="AJ42" s="34"/>
      <c r="AK42" s="216"/>
      <c r="AL42" s="216"/>
      <c r="AM42" s="217"/>
      <c r="AN42" s="76"/>
      <c r="AO42" s="76"/>
      <c r="AP42" s="76"/>
      <c r="AQ42" s="50">
        <f t="shared" si="11"/>
        <v>0</v>
      </c>
      <c r="AS42" s="66"/>
    </row>
    <row r="43" spans="1:45" x14ac:dyDescent="0.2">
      <c r="A43" s="278">
        <v>35</v>
      </c>
      <c r="B43" s="52" t="s">
        <v>17</v>
      </c>
      <c r="C43" s="278">
        <v>1</v>
      </c>
      <c r="D43" s="177">
        <v>12.335000000000001</v>
      </c>
      <c r="E43" s="226">
        <f>C43*D43</f>
        <v>12.34</v>
      </c>
      <c r="F43" s="227">
        <f>E43*12</f>
        <v>148.1</v>
      </c>
      <c r="G43" s="154"/>
      <c r="H43" s="154">
        <v>1.3</v>
      </c>
      <c r="I43" s="154"/>
      <c r="J43" s="154"/>
      <c r="K43" s="154">
        <f>F43*0.4</f>
        <v>59.2</v>
      </c>
      <c r="L43" s="154">
        <f t="shared" si="4"/>
        <v>50.1</v>
      </c>
      <c r="M43" s="154">
        <f>F43+G43+H43+I43+J43+K43+L43</f>
        <v>258.7</v>
      </c>
      <c r="N43" s="171">
        <v>0.47</v>
      </c>
      <c r="O43" s="154">
        <f>M43*N43</f>
        <v>121.6</v>
      </c>
      <c r="P43" s="154">
        <f>M43+O43</f>
        <v>380.3</v>
      </c>
      <c r="Q43" s="154">
        <f>P43*0.8</f>
        <v>304.2</v>
      </c>
      <c r="R43" s="154">
        <f>P43*0.8</f>
        <v>304.2</v>
      </c>
      <c r="S43" s="154">
        <f>(P43+Q43+R43)*0.032</f>
        <v>31.6</v>
      </c>
      <c r="T43" s="154">
        <f>P43+Q43+R43+S43</f>
        <v>1020.3</v>
      </c>
      <c r="U43" s="3193"/>
      <c r="V43" s="154">
        <f t="shared" si="5"/>
        <v>1020.3</v>
      </c>
      <c r="W43" s="154">
        <f>AQ43</f>
        <v>303.7</v>
      </c>
      <c r="X43" s="278">
        <v>1</v>
      </c>
      <c r="Y43" s="24">
        <v>35</v>
      </c>
      <c r="Z43" s="48">
        <f>X43*Y43</f>
        <v>35</v>
      </c>
      <c r="AA43" s="278"/>
      <c r="AB43" s="24">
        <v>17.5</v>
      </c>
      <c r="AC43" s="48">
        <f>AA43*AB43</f>
        <v>0</v>
      </c>
      <c r="AD43" s="278"/>
      <c r="AE43" s="24">
        <v>35</v>
      </c>
      <c r="AF43" s="48">
        <f>AD43*AE43</f>
        <v>0</v>
      </c>
      <c r="AG43" s="278">
        <f t="shared" si="0"/>
        <v>10.5</v>
      </c>
      <c r="AH43" s="48">
        <f>Z43+AC43+AF43+AG43</f>
        <v>45.5</v>
      </c>
      <c r="AI43" s="39">
        <f t="shared" ref="AI43:AI51" si="57">V43/12/C43*1000</f>
        <v>85025</v>
      </c>
      <c r="AJ43" s="34"/>
      <c r="AK43" s="34">
        <f t="shared" ref="AK43:AK51" si="58">V43/C43</f>
        <v>1020.3</v>
      </c>
      <c r="AL43" s="34">
        <f>((979*0.302)+((AK43-979)*0.182))</f>
        <v>303.2</v>
      </c>
      <c r="AM43" s="51">
        <f>AL43/AK43</f>
        <v>0.29699999999999999</v>
      </c>
      <c r="AN43" s="50">
        <f t="shared" ref="AN43" si="59">AK43*0.22</f>
        <v>224.5</v>
      </c>
      <c r="AO43" s="50">
        <f t="shared" ref="AO43" si="60">865*0.029</f>
        <v>25.1</v>
      </c>
      <c r="AP43" s="50">
        <f t="shared" ref="AP43" si="61">AK43*0.053</f>
        <v>54.1</v>
      </c>
      <c r="AQ43" s="50">
        <f t="shared" si="11"/>
        <v>303.7</v>
      </c>
      <c r="AR43" s="51"/>
    </row>
    <row r="44" spans="1:45" x14ac:dyDescent="0.2">
      <c r="A44" s="278">
        <v>36</v>
      </c>
      <c r="B44" s="52" t="s">
        <v>38</v>
      </c>
      <c r="C44" s="167">
        <f>2-0.25</f>
        <v>1.75</v>
      </c>
      <c r="D44" s="177">
        <v>6.2859999999999996</v>
      </c>
      <c r="E44" s="171">
        <f t="shared" ref="E44:E51" si="62">C44*D44</f>
        <v>11</v>
      </c>
      <c r="F44" s="154">
        <f t="shared" ref="F44:F51" si="63">E44*12</f>
        <v>132</v>
      </c>
      <c r="G44" s="154">
        <f>74.5/1000</f>
        <v>0.1</v>
      </c>
      <c r="H44" s="154">
        <v>2</v>
      </c>
      <c r="I44" s="154"/>
      <c r="J44" s="154"/>
      <c r="K44" s="154"/>
      <c r="L44" s="154">
        <f t="shared" si="4"/>
        <v>44.7</v>
      </c>
      <c r="M44" s="154">
        <f t="shared" ref="M44:M51" si="64">F44+G44+H44+I44+J44+K44+L44</f>
        <v>178.8</v>
      </c>
      <c r="N44" s="171">
        <v>0.45</v>
      </c>
      <c r="O44" s="154">
        <f t="shared" ref="O44:O51" si="65">M44*N44</f>
        <v>80.5</v>
      </c>
      <c r="P44" s="154">
        <f t="shared" ref="P44:P51" si="66">M44+O44</f>
        <v>259.3</v>
      </c>
      <c r="Q44" s="154">
        <f t="shared" ref="Q44:Q51" si="67">P44*0.8</f>
        <v>207.4</v>
      </c>
      <c r="R44" s="154">
        <f t="shared" ref="R44:R51" si="68">P44*0.8</f>
        <v>207.4</v>
      </c>
      <c r="S44" s="154">
        <f t="shared" ref="S44:S51" si="69">(P44+Q44+R44)*0.032</f>
        <v>21.6</v>
      </c>
      <c r="T44" s="154">
        <f t="shared" ref="T44:T51" si="70">P44+Q44+R44+S44</f>
        <v>695.7</v>
      </c>
      <c r="U44" s="3193"/>
      <c r="V44" s="154">
        <f t="shared" si="5"/>
        <v>695.7</v>
      </c>
      <c r="W44" s="154">
        <f t="shared" si="31"/>
        <v>210.1</v>
      </c>
      <c r="X44" s="278">
        <v>1</v>
      </c>
      <c r="Y44" s="24">
        <v>35</v>
      </c>
      <c r="Z44" s="48">
        <f t="shared" ref="Z44:Z51" si="71">X44*Y44</f>
        <v>35</v>
      </c>
      <c r="AA44" s="54"/>
      <c r="AB44" s="24">
        <v>17.5</v>
      </c>
      <c r="AC44" s="48">
        <f t="shared" ref="AC44:AC51" si="72">AA44*AB44</f>
        <v>0</v>
      </c>
      <c r="AD44" s="54"/>
      <c r="AE44" s="24">
        <v>35</v>
      </c>
      <c r="AF44" s="48">
        <f t="shared" ref="AF44:AF51" si="73">AD44*AE44</f>
        <v>0</v>
      </c>
      <c r="AG44" s="278">
        <f t="shared" si="0"/>
        <v>10.5</v>
      </c>
      <c r="AH44" s="48">
        <f t="shared" ref="AH44:AH51" si="74">Z44+AC44+AF44+AG44</f>
        <v>45.5</v>
      </c>
      <c r="AI44" s="39">
        <f t="shared" si="57"/>
        <v>33128.57</v>
      </c>
      <c r="AJ44" s="34"/>
      <c r="AK44" s="34">
        <f t="shared" si="58"/>
        <v>397.5</v>
      </c>
      <c r="AL44" s="34">
        <f t="shared" ref="AL44:AL51" si="75">((979*0.302)+((AK44-979)*0.182))</f>
        <v>189.8</v>
      </c>
      <c r="AM44" s="51">
        <v>0.30199999999999999</v>
      </c>
      <c r="AN44" s="50"/>
      <c r="AO44" s="50"/>
      <c r="AP44" s="50"/>
      <c r="AQ44" s="50">
        <f t="shared" si="11"/>
        <v>0</v>
      </c>
      <c r="AR44" s="51"/>
    </row>
    <row r="45" spans="1:45" ht="12" customHeight="1" x14ac:dyDescent="0.2">
      <c r="A45" s="278">
        <v>37</v>
      </c>
      <c r="B45" s="44" t="s">
        <v>104</v>
      </c>
      <c r="C45" s="54">
        <v>1</v>
      </c>
      <c r="D45" s="177">
        <v>8.4730000000000008</v>
      </c>
      <c r="E45" s="171">
        <f t="shared" si="62"/>
        <v>8.4700000000000006</v>
      </c>
      <c r="F45" s="154">
        <f t="shared" si="63"/>
        <v>101.6</v>
      </c>
      <c r="G45" s="154"/>
      <c r="H45" s="154"/>
      <c r="I45" s="154"/>
      <c r="J45" s="154"/>
      <c r="K45" s="154"/>
      <c r="L45" s="154">
        <f t="shared" si="4"/>
        <v>34.4</v>
      </c>
      <c r="M45" s="154">
        <f t="shared" si="64"/>
        <v>136</v>
      </c>
      <c r="N45" s="171">
        <v>0.41</v>
      </c>
      <c r="O45" s="154">
        <f t="shared" si="65"/>
        <v>55.8</v>
      </c>
      <c r="P45" s="154">
        <f t="shared" si="66"/>
        <v>191.8</v>
      </c>
      <c r="Q45" s="154">
        <f t="shared" si="67"/>
        <v>153.4</v>
      </c>
      <c r="R45" s="154">
        <f t="shared" si="68"/>
        <v>153.4</v>
      </c>
      <c r="S45" s="154">
        <f t="shared" si="69"/>
        <v>16</v>
      </c>
      <c r="T45" s="154">
        <f t="shared" si="70"/>
        <v>514.6</v>
      </c>
      <c r="U45" s="3193"/>
      <c r="V45" s="154">
        <f t="shared" si="5"/>
        <v>514.6</v>
      </c>
      <c r="W45" s="154">
        <f t="shared" si="31"/>
        <v>155.4</v>
      </c>
      <c r="X45" s="278">
        <v>1</v>
      </c>
      <c r="Y45" s="24">
        <v>35</v>
      </c>
      <c r="Z45" s="48">
        <f t="shared" si="71"/>
        <v>35</v>
      </c>
      <c r="AA45" s="54"/>
      <c r="AB45" s="24">
        <v>17.5</v>
      </c>
      <c r="AC45" s="48">
        <f t="shared" si="72"/>
        <v>0</v>
      </c>
      <c r="AD45" s="54">
        <v>1</v>
      </c>
      <c r="AE45" s="24">
        <v>35</v>
      </c>
      <c r="AF45" s="48">
        <f t="shared" si="73"/>
        <v>35</v>
      </c>
      <c r="AG45" s="278">
        <f t="shared" si="0"/>
        <v>21</v>
      </c>
      <c r="AH45" s="48">
        <f t="shared" si="74"/>
        <v>91</v>
      </c>
      <c r="AI45" s="39">
        <f t="shared" si="57"/>
        <v>42883.33</v>
      </c>
      <c r="AJ45" s="34"/>
      <c r="AK45" s="34">
        <f t="shared" si="58"/>
        <v>514.6</v>
      </c>
      <c r="AL45" s="34">
        <f t="shared" si="75"/>
        <v>211.1</v>
      </c>
      <c r="AM45" s="51">
        <v>0.30199999999999999</v>
      </c>
      <c r="AN45" s="50"/>
      <c r="AO45" s="50"/>
      <c r="AP45" s="50"/>
      <c r="AQ45" s="50">
        <f t="shared" si="11"/>
        <v>0</v>
      </c>
      <c r="AR45" s="51"/>
    </row>
    <row r="46" spans="1:45" x14ac:dyDescent="0.2">
      <c r="A46" s="278">
        <v>38</v>
      </c>
      <c r="B46" s="52" t="s">
        <v>39</v>
      </c>
      <c r="C46" s="24">
        <v>0.5</v>
      </c>
      <c r="D46" s="177">
        <v>6.2859999999999996</v>
      </c>
      <c r="E46" s="171">
        <f t="shared" si="62"/>
        <v>3.14</v>
      </c>
      <c r="F46" s="154">
        <f t="shared" si="63"/>
        <v>37.700000000000003</v>
      </c>
      <c r="G46" s="154"/>
      <c r="H46" s="154">
        <f>1106.5/1000</f>
        <v>1.1000000000000001</v>
      </c>
      <c r="I46" s="154"/>
      <c r="J46" s="154"/>
      <c r="K46" s="154"/>
      <c r="L46" s="154">
        <f>F46*$L$4</f>
        <v>12.8</v>
      </c>
      <c r="M46" s="154">
        <f t="shared" si="64"/>
        <v>51.6</v>
      </c>
      <c r="N46" s="171">
        <v>0.45</v>
      </c>
      <c r="O46" s="154">
        <f t="shared" si="65"/>
        <v>23.2</v>
      </c>
      <c r="P46" s="154">
        <f t="shared" si="66"/>
        <v>74.8</v>
      </c>
      <c r="Q46" s="154">
        <f t="shared" si="67"/>
        <v>59.8</v>
      </c>
      <c r="R46" s="154">
        <f t="shared" si="68"/>
        <v>59.8</v>
      </c>
      <c r="S46" s="154">
        <f t="shared" si="69"/>
        <v>6.2</v>
      </c>
      <c r="T46" s="154">
        <f t="shared" si="70"/>
        <v>200.6</v>
      </c>
      <c r="U46" s="3193"/>
      <c r="V46" s="154">
        <f t="shared" si="5"/>
        <v>200.6</v>
      </c>
      <c r="W46" s="154">
        <f t="shared" si="31"/>
        <v>60.6</v>
      </c>
      <c r="X46" s="278"/>
      <c r="Y46" s="24">
        <v>35</v>
      </c>
      <c r="Z46" s="48">
        <f t="shared" si="71"/>
        <v>0</v>
      </c>
      <c r="AA46" s="54"/>
      <c r="AB46" s="24">
        <v>17.5</v>
      </c>
      <c r="AC46" s="48">
        <f t="shared" si="72"/>
        <v>0</v>
      </c>
      <c r="AD46" s="54"/>
      <c r="AE46" s="24">
        <v>35</v>
      </c>
      <c r="AF46" s="48">
        <f t="shared" si="73"/>
        <v>0</v>
      </c>
      <c r="AG46" s="278">
        <f t="shared" si="0"/>
        <v>0</v>
      </c>
      <c r="AH46" s="48">
        <f t="shared" si="74"/>
        <v>0</v>
      </c>
      <c r="AI46" s="39">
        <f t="shared" si="57"/>
        <v>33433.33</v>
      </c>
      <c r="AJ46" s="34"/>
      <c r="AK46" s="34">
        <f t="shared" si="58"/>
        <v>401.2</v>
      </c>
      <c r="AL46" s="34">
        <f t="shared" si="75"/>
        <v>190.5</v>
      </c>
      <c r="AM46" s="51">
        <v>0.30199999999999999</v>
      </c>
      <c r="AQ46" s="50">
        <f t="shared" si="11"/>
        <v>0</v>
      </c>
      <c r="AR46" s="51"/>
    </row>
    <row r="47" spans="1:45" x14ac:dyDescent="0.2">
      <c r="A47" s="278">
        <v>39</v>
      </c>
      <c r="B47" s="218" t="s">
        <v>40</v>
      </c>
      <c r="C47" s="54">
        <v>1</v>
      </c>
      <c r="D47" s="177">
        <v>11.061999999999999</v>
      </c>
      <c r="E47" s="171">
        <f t="shared" si="62"/>
        <v>11.06</v>
      </c>
      <c r="F47" s="154">
        <f t="shared" si="63"/>
        <v>132.69999999999999</v>
      </c>
      <c r="G47" s="228">
        <f>131.07/1000</f>
        <v>0.13</v>
      </c>
      <c r="H47" s="154">
        <v>2.1</v>
      </c>
      <c r="I47" s="154"/>
      <c r="J47" s="154"/>
      <c r="K47" s="154">
        <f>D47*2*0.2</f>
        <v>4.4000000000000004</v>
      </c>
      <c r="L47" s="154">
        <f t="shared" si="4"/>
        <v>44.9</v>
      </c>
      <c r="M47" s="154">
        <f t="shared" si="64"/>
        <v>184.2</v>
      </c>
      <c r="N47" s="171">
        <v>0.43</v>
      </c>
      <c r="O47" s="154">
        <f t="shared" si="65"/>
        <v>79.2</v>
      </c>
      <c r="P47" s="154">
        <f t="shared" si="66"/>
        <v>263.39999999999998</v>
      </c>
      <c r="Q47" s="154">
        <f t="shared" si="67"/>
        <v>210.7</v>
      </c>
      <c r="R47" s="154">
        <f t="shared" si="68"/>
        <v>210.7</v>
      </c>
      <c r="S47" s="154">
        <f t="shared" si="69"/>
        <v>21.9</v>
      </c>
      <c r="T47" s="154">
        <f t="shared" si="70"/>
        <v>706.7</v>
      </c>
      <c r="U47" s="3193"/>
      <c r="V47" s="154">
        <f t="shared" si="5"/>
        <v>706.7</v>
      </c>
      <c r="W47" s="154">
        <f t="shared" si="31"/>
        <v>213.4</v>
      </c>
      <c r="X47" s="278"/>
      <c r="Y47" s="24">
        <v>35</v>
      </c>
      <c r="Z47" s="48">
        <f t="shared" si="71"/>
        <v>0</v>
      </c>
      <c r="AA47" s="54"/>
      <c r="AB47" s="24">
        <v>17.5</v>
      </c>
      <c r="AC47" s="48">
        <f t="shared" si="72"/>
        <v>0</v>
      </c>
      <c r="AD47" s="54"/>
      <c r="AE47" s="24">
        <v>35</v>
      </c>
      <c r="AF47" s="48">
        <f t="shared" si="73"/>
        <v>0</v>
      </c>
      <c r="AG47" s="278">
        <f t="shared" si="0"/>
        <v>0</v>
      </c>
      <c r="AH47" s="48">
        <f t="shared" si="74"/>
        <v>0</v>
      </c>
      <c r="AI47" s="39">
        <f t="shared" si="57"/>
        <v>58891.67</v>
      </c>
      <c r="AJ47" s="34"/>
      <c r="AK47" s="34">
        <f t="shared" si="58"/>
        <v>706.7</v>
      </c>
      <c r="AL47" s="34">
        <f t="shared" si="75"/>
        <v>246.1</v>
      </c>
      <c r="AM47" s="51">
        <v>0.30199999999999999</v>
      </c>
      <c r="AN47" s="50"/>
      <c r="AO47" s="50"/>
      <c r="AP47" s="50"/>
      <c r="AQ47" s="50">
        <f t="shared" si="11"/>
        <v>0</v>
      </c>
      <c r="AR47" s="51"/>
    </row>
    <row r="48" spans="1:45" x14ac:dyDescent="0.2">
      <c r="A48" s="278">
        <v>40</v>
      </c>
      <c r="B48" s="218" t="s">
        <v>41</v>
      </c>
      <c r="C48" s="54">
        <v>1</v>
      </c>
      <c r="D48" s="177">
        <v>8.4730000000000008</v>
      </c>
      <c r="E48" s="171">
        <f t="shared" si="62"/>
        <v>8.4700000000000006</v>
      </c>
      <c r="F48" s="154">
        <f t="shared" si="63"/>
        <v>101.6</v>
      </c>
      <c r="G48" s="154">
        <f>100.4/1000</f>
        <v>0.1</v>
      </c>
      <c r="H48" s="154">
        <v>0.5</v>
      </c>
      <c r="I48" s="154"/>
      <c r="J48" s="154"/>
      <c r="K48" s="154">
        <f>D48*8.5*0.2</f>
        <v>14.4</v>
      </c>
      <c r="L48" s="154">
        <f t="shared" si="4"/>
        <v>34.4</v>
      </c>
      <c r="M48" s="154">
        <f t="shared" si="64"/>
        <v>151</v>
      </c>
      <c r="N48" s="171">
        <v>0.41</v>
      </c>
      <c r="O48" s="154">
        <f t="shared" si="65"/>
        <v>61.9</v>
      </c>
      <c r="P48" s="154">
        <f t="shared" si="66"/>
        <v>212.9</v>
      </c>
      <c r="Q48" s="154">
        <f t="shared" si="67"/>
        <v>170.3</v>
      </c>
      <c r="R48" s="154">
        <f t="shared" si="68"/>
        <v>170.3</v>
      </c>
      <c r="S48" s="154">
        <f t="shared" si="69"/>
        <v>17.7</v>
      </c>
      <c r="T48" s="154">
        <f t="shared" si="70"/>
        <v>571.20000000000005</v>
      </c>
      <c r="U48" s="3193"/>
      <c r="V48" s="154">
        <f t="shared" si="5"/>
        <v>571.20000000000005</v>
      </c>
      <c r="W48" s="154">
        <f t="shared" si="31"/>
        <v>172.5</v>
      </c>
      <c r="X48" s="278">
        <v>1</v>
      </c>
      <c r="Y48" s="24">
        <v>35</v>
      </c>
      <c r="Z48" s="48">
        <f t="shared" si="71"/>
        <v>35</v>
      </c>
      <c r="AA48" s="54"/>
      <c r="AB48" s="24">
        <v>17.5</v>
      </c>
      <c r="AC48" s="48">
        <f>AA48*AB48</f>
        <v>0</v>
      </c>
      <c r="AD48" s="54"/>
      <c r="AE48" s="24">
        <v>35</v>
      </c>
      <c r="AF48" s="48">
        <f t="shared" si="73"/>
        <v>0</v>
      </c>
      <c r="AG48" s="278">
        <f t="shared" si="0"/>
        <v>10.5</v>
      </c>
      <c r="AH48" s="48">
        <f t="shared" si="74"/>
        <v>45.5</v>
      </c>
      <c r="AI48" s="39">
        <f t="shared" si="57"/>
        <v>47600</v>
      </c>
      <c r="AJ48" s="34"/>
      <c r="AK48" s="34">
        <f t="shared" si="58"/>
        <v>571.20000000000005</v>
      </c>
      <c r="AL48" s="34">
        <f t="shared" si="75"/>
        <v>221.4</v>
      </c>
      <c r="AM48" s="51">
        <v>0.30199999999999999</v>
      </c>
      <c r="AN48" s="50"/>
      <c r="AO48" s="50"/>
      <c r="AP48" s="50"/>
      <c r="AQ48" s="50">
        <f t="shared" si="11"/>
        <v>0</v>
      </c>
      <c r="AR48" s="51"/>
    </row>
    <row r="49" spans="1:44" x14ac:dyDescent="0.2">
      <c r="A49" s="278">
        <v>41</v>
      </c>
      <c r="B49" s="218" t="s">
        <v>42</v>
      </c>
      <c r="C49" s="24">
        <v>0.5</v>
      </c>
      <c r="D49" s="213">
        <v>11.061999999999999</v>
      </c>
      <c r="E49" s="171">
        <f t="shared" si="62"/>
        <v>5.53</v>
      </c>
      <c r="F49" s="154">
        <f t="shared" si="63"/>
        <v>66.400000000000006</v>
      </c>
      <c r="G49" s="154">
        <f>65.5/1000</f>
        <v>0.1</v>
      </c>
      <c r="H49" s="154">
        <v>3</v>
      </c>
      <c r="I49" s="154"/>
      <c r="J49" s="154"/>
      <c r="K49" s="154"/>
      <c r="L49" s="154">
        <f t="shared" si="4"/>
        <v>22.5</v>
      </c>
      <c r="M49" s="154">
        <f t="shared" si="64"/>
        <v>92</v>
      </c>
      <c r="N49" s="171">
        <v>0.43</v>
      </c>
      <c r="O49" s="154">
        <f t="shared" si="65"/>
        <v>39.6</v>
      </c>
      <c r="P49" s="154">
        <f t="shared" si="66"/>
        <v>131.6</v>
      </c>
      <c r="Q49" s="154">
        <f t="shared" si="67"/>
        <v>105.3</v>
      </c>
      <c r="R49" s="154">
        <f t="shared" si="68"/>
        <v>105.3</v>
      </c>
      <c r="S49" s="154">
        <f t="shared" si="69"/>
        <v>11</v>
      </c>
      <c r="T49" s="154">
        <f t="shared" si="70"/>
        <v>353.2</v>
      </c>
      <c r="U49" s="3193"/>
      <c r="V49" s="154">
        <f t="shared" si="5"/>
        <v>353.2</v>
      </c>
      <c r="W49" s="154">
        <f t="shared" si="31"/>
        <v>106.7</v>
      </c>
      <c r="X49" s="278"/>
      <c r="Y49" s="24">
        <v>35</v>
      </c>
      <c r="Z49" s="48">
        <f t="shared" si="71"/>
        <v>0</v>
      </c>
      <c r="AA49" s="54"/>
      <c r="AB49" s="24">
        <v>17.5</v>
      </c>
      <c r="AC49" s="48">
        <f t="shared" si="72"/>
        <v>0</v>
      </c>
      <c r="AD49" s="54"/>
      <c r="AE49" s="24">
        <v>35</v>
      </c>
      <c r="AF49" s="48">
        <f t="shared" si="73"/>
        <v>0</v>
      </c>
      <c r="AG49" s="278">
        <f t="shared" si="0"/>
        <v>0</v>
      </c>
      <c r="AH49" s="48">
        <f t="shared" si="74"/>
        <v>0</v>
      </c>
      <c r="AI49" s="39">
        <f t="shared" si="57"/>
        <v>58866.67</v>
      </c>
      <c r="AJ49" s="34"/>
      <c r="AK49" s="34">
        <f t="shared" si="58"/>
        <v>706.4</v>
      </c>
      <c r="AL49" s="34">
        <f t="shared" si="75"/>
        <v>246</v>
      </c>
      <c r="AM49" s="51">
        <v>0.30199999999999999</v>
      </c>
      <c r="AO49" s="50"/>
      <c r="AP49" s="50"/>
      <c r="AQ49" s="50">
        <f t="shared" si="11"/>
        <v>0</v>
      </c>
      <c r="AR49" s="51"/>
    </row>
    <row r="50" spans="1:44" x14ac:dyDescent="0.2">
      <c r="A50" s="278">
        <v>42</v>
      </c>
      <c r="B50" s="52" t="s">
        <v>43</v>
      </c>
      <c r="C50" s="167">
        <v>0.25</v>
      </c>
      <c r="D50" s="177">
        <v>8.4730000000000008</v>
      </c>
      <c r="E50" s="171">
        <f t="shared" si="62"/>
        <v>2.12</v>
      </c>
      <c r="F50" s="154">
        <f t="shared" si="63"/>
        <v>25.4</v>
      </c>
      <c r="G50" s="154"/>
      <c r="H50" s="154"/>
      <c r="I50" s="154"/>
      <c r="J50" s="154"/>
      <c r="K50" s="154"/>
      <c r="L50" s="154">
        <f t="shared" si="4"/>
        <v>8.6</v>
      </c>
      <c r="M50" s="154">
        <f t="shared" si="64"/>
        <v>34</v>
      </c>
      <c r="N50" s="171">
        <v>0.41</v>
      </c>
      <c r="O50" s="154">
        <f t="shared" si="65"/>
        <v>13.9</v>
      </c>
      <c r="P50" s="154">
        <f t="shared" si="66"/>
        <v>47.9</v>
      </c>
      <c r="Q50" s="154">
        <f t="shared" si="67"/>
        <v>38.299999999999997</v>
      </c>
      <c r="R50" s="154">
        <f t="shared" si="68"/>
        <v>38.299999999999997</v>
      </c>
      <c r="S50" s="154">
        <f t="shared" si="69"/>
        <v>4</v>
      </c>
      <c r="T50" s="154">
        <f t="shared" si="70"/>
        <v>128.5</v>
      </c>
      <c r="U50" s="3193"/>
      <c r="V50" s="154">
        <f t="shared" si="5"/>
        <v>128.5</v>
      </c>
      <c r="W50" s="154">
        <f t="shared" si="31"/>
        <v>38.799999999999997</v>
      </c>
      <c r="X50" s="278"/>
      <c r="Y50" s="24">
        <v>35</v>
      </c>
      <c r="Z50" s="48">
        <f t="shared" si="71"/>
        <v>0</v>
      </c>
      <c r="AA50" s="54"/>
      <c r="AB50" s="24">
        <v>17.5</v>
      </c>
      <c r="AC50" s="48">
        <f t="shared" si="72"/>
        <v>0</v>
      </c>
      <c r="AD50" s="54"/>
      <c r="AE50" s="24">
        <v>35</v>
      </c>
      <c r="AF50" s="48">
        <f t="shared" si="73"/>
        <v>0</v>
      </c>
      <c r="AG50" s="278">
        <f t="shared" si="0"/>
        <v>0</v>
      </c>
      <c r="AH50" s="48">
        <f t="shared" si="74"/>
        <v>0</v>
      </c>
      <c r="AI50" s="39">
        <f t="shared" si="57"/>
        <v>42833.33</v>
      </c>
      <c r="AJ50" s="34"/>
      <c r="AK50" s="34">
        <f t="shared" si="58"/>
        <v>514</v>
      </c>
      <c r="AL50" s="34">
        <f t="shared" si="75"/>
        <v>211</v>
      </c>
      <c r="AM50" s="51">
        <v>0.30199999999999999</v>
      </c>
      <c r="AN50" s="50"/>
      <c r="AO50" s="50"/>
      <c r="AP50" s="50"/>
      <c r="AQ50" s="50">
        <f t="shared" si="11"/>
        <v>0</v>
      </c>
      <c r="AR50" s="51"/>
    </row>
    <row r="51" spans="1:44" x14ac:dyDescent="0.2">
      <c r="A51" s="278">
        <v>43</v>
      </c>
      <c r="B51" s="229" t="s">
        <v>44</v>
      </c>
      <c r="C51" s="179">
        <f>1-0.25</f>
        <v>0.75</v>
      </c>
      <c r="D51" s="213">
        <v>11.061999999999999</v>
      </c>
      <c r="E51" s="171">
        <f t="shared" si="62"/>
        <v>8.3000000000000007</v>
      </c>
      <c r="F51" s="154">
        <f t="shared" si="63"/>
        <v>99.6</v>
      </c>
      <c r="G51" s="154"/>
      <c r="H51" s="154">
        <v>2.4</v>
      </c>
      <c r="I51" s="154"/>
      <c r="J51" s="154"/>
      <c r="K51" s="154"/>
      <c r="L51" s="154">
        <f t="shared" si="4"/>
        <v>33.700000000000003</v>
      </c>
      <c r="M51" s="154">
        <f t="shared" si="64"/>
        <v>135.69999999999999</v>
      </c>
      <c r="N51" s="171">
        <v>0.43</v>
      </c>
      <c r="O51" s="154">
        <f t="shared" si="65"/>
        <v>58.4</v>
      </c>
      <c r="P51" s="154">
        <f t="shared" si="66"/>
        <v>194.1</v>
      </c>
      <c r="Q51" s="154">
        <f t="shared" si="67"/>
        <v>155.30000000000001</v>
      </c>
      <c r="R51" s="154">
        <f t="shared" si="68"/>
        <v>155.30000000000001</v>
      </c>
      <c r="S51" s="154">
        <f t="shared" si="69"/>
        <v>16.2</v>
      </c>
      <c r="T51" s="154">
        <f t="shared" si="70"/>
        <v>520.9</v>
      </c>
      <c r="U51" s="3193"/>
      <c r="V51" s="154">
        <f>T51*$U$9-0.3</f>
        <v>520.6</v>
      </c>
      <c r="W51" s="154">
        <f t="shared" si="31"/>
        <v>157.19999999999999</v>
      </c>
      <c r="X51" s="278"/>
      <c r="Y51" s="24">
        <v>35</v>
      </c>
      <c r="Z51" s="48">
        <f t="shared" si="71"/>
        <v>0</v>
      </c>
      <c r="AA51" s="54"/>
      <c r="AB51" s="24">
        <v>17.5</v>
      </c>
      <c r="AC51" s="48">
        <f t="shared" si="72"/>
        <v>0</v>
      </c>
      <c r="AD51" s="54"/>
      <c r="AE51" s="24">
        <v>35</v>
      </c>
      <c r="AF51" s="48">
        <f t="shared" si="73"/>
        <v>0</v>
      </c>
      <c r="AG51" s="278">
        <f t="shared" si="0"/>
        <v>0</v>
      </c>
      <c r="AH51" s="48">
        <f t="shared" si="74"/>
        <v>0</v>
      </c>
      <c r="AI51" s="39">
        <f t="shared" si="57"/>
        <v>57844.44</v>
      </c>
      <c r="AJ51" s="34"/>
      <c r="AK51" s="34">
        <f t="shared" si="58"/>
        <v>694.1</v>
      </c>
      <c r="AL51" s="34">
        <f t="shared" si="75"/>
        <v>243.8</v>
      </c>
      <c r="AM51" s="51">
        <v>0.30199999999999999</v>
      </c>
      <c r="AN51" s="50"/>
      <c r="AO51" s="50"/>
      <c r="AP51" s="50"/>
      <c r="AQ51" s="50">
        <f t="shared" si="11"/>
        <v>0</v>
      </c>
      <c r="AR51" s="51"/>
    </row>
    <row r="52" spans="1:44" s="33" customFormat="1" ht="20.25" customHeight="1" x14ac:dyDescent="0.2">
      <c r="A52" s="3191" t="s">
        <v>72</v>
      </c>
      <c r="B52" s="3191"/>
      <c r="C52" s="230">
        <f t="shared" ref="C52:AG52" si="76">SUM(C9:C51)</f>
        <v>59.75</v>
      </c>
      <c r="D52" s="231">
        <f t="shared" si="76"/>
        <v>419</v>
      </c>
      <c r="E52" s="231">
        <f t="shared" si="76"/>
        <v>591.79999999999995</v>
      </c>
      <c r="F52" s="231">
        <f t="shared" si="76"/>
        <v>7100.7</v>
      </c>
      <c r="G52" s="231">
        <f t="shared" si="76"/>
        <v>0.4</v>
      </c>
      <c r="H52" s="231">
        <f t="shared" si="76"/>
        <v>204.3</v>
      </c>
      <c r="I52" s="231">
        <f t="shared" si="76"/>
        <v>0</v>
      </c>
      <c r="J52" s="231">
        <f t="shared" si="76"/>
        <v>93.9</v>
      </c>
      <c r="K52" s="231">
        <f t="shared" si="76"/>
        <v>1647.5</v>
      </c>
      <c r="L52" s="231">
        <f t="shared" si="76"/>
        <v>2508.9</v>
      </c>
      <c r="M52" s="231">
        <f t="shared" si="76"/>
        <v>11555.7</v>
      </c>
      <c r="N52" s="231">
        <f t="shared" si="76"/>
        <v>19.100000000000001</v>
      </c>
      <c r="O52" s="231">
        <f t="shared" si="76"/>
        <v>5402.6</v>
      </c>
      <c r="P52" s="231">
        <f t="shared" si="76"/>
        <v>16958.3</v>
      </c>
      <c r="Q52" s="231">
        <f t="shared" si="76"/>
        <v>13566</v>
      </c>
      <c r="R52" s="231">
        <f t="shared" si="76"/>
        <v>13566</v>
      </c>
      <c r="S52" s="231">
        <f t="shared" si="76"/>
        <v>1410.9</v>
      </c>
      <c r="T52" s="231">
        <f t="shared" si="76"/>
        <v>45501.2</v>
      </c>
      <c r="U52" s="231">
        <f t="shared" si="76"/>
        <v>1</v>
      </c>
      <c r="V52" s="231">
        <f t="shared" si="76"/>
        <v>45500.9</v>
      </c>
      <c r="W52" s="231">
        <f t="shared" si="76"/>
        <v>13348.7</v>
      </c>
      <c r="X52" s="231">
        <f t="shared" si="76"/>
        <v>34</v>
      </c>
      <c r="Y52" s="231">
        <f t="shared" si="76"/>
        <v>1305</v>
      </c>
      <c r="Z52" s="231">
        <f t="shared" si="76"/>
        <v>1040</v>
      </c>
      <c r="AA52" s="231">
        <f t="shared" si="76"/>
        <v>17</v>
      </c>
      <c r="AB52" s="231">
        <f t="shared" si="76"/>
        <v>652.5</v>
      </c>
      <c r="AC52" s="231">
        <f t="shared" si="76"/>
        <v>255</v>
      </c>
      <c r="AD52" s="231">
        <f t="shared" si="76"/>
        <v>6</v>
      </c>
      <c r="AE52" s="231">
        <f t="shared" si="76"/>
        <v>1305</v>
      </c>
      <c r="AF52" s="231">
        <f t="shared" si="76"/>
        <v>185</v>
      </c>
      <c r="AG52" s="231">
        <f t="shared" si="76"/>
        <v>444</v>
      </c>
      <c r="AH52" s="231">
        <f>SUM(AH9:AH51)</f>
        <v>1924</v>
      </c>
      <c r="AN52" s="211"/>
      <c r="AO52" s="211"/>
      <c r="AP52" s="211"/>
      <c r="AQ52" s="50">
        <f t="shared" si="11"/>
        <v>0</v>
      </c>
    </row>
    <row r="53" spans="1:44" ht="17.25" customHeight="1" x14ac:dyDescent="0.2">
      <c r="G53" s="39"/>
      <c r="H53" s="39"/>
      <c r="I53" s="39"/>
      <c r="J53" s="39"/>
      <c r="K53" s="39"/>
      <c r="L53" s="232"/>
      <c r="M53" s="232"/>
      <c r="N53" s="232"/>
      <c r="O53" s="232"/>
      <c r="P53" s="232"/>
      <c r="Q53" s="39"/>
      <c r="R53" s="39"/>
      <c r="S53" s="39"/>
      <c r="T53" s="39"/>
      <c r="V53" s="34"/>
      <c r="W53" s="66"/>
      <c r="X53" s="39"/>
      <c r="AA53" s="39"/>
      <c r="AD53" s="39"/>
      <c r="AG53" s="39"/>
      <c r="AH53" s="39"/>
    </row>
    <row r="54" spans="1:44" s="75" customFormat="1" x14ac:dyDescent="0.2">
      <c r="A54" s="70"/>
      <c r="B54" s="70"/>
      <c r="C54" s="71"/>
      <c r="D54" s="72"/>
      <c r="E54" s="72"/>
      <c r="F54" s="72"/>
      <c r="G54" s="72"/>
      <c r="H54" s="73"/>
      <c r="I54" s="73"/>
      <c r="J54" s="27"/>
      <c r="K54" s="27"/>
      <c r="L54" s="27"/>
      <c r="M54" s="27"/>
      <c r="N54" s="74"/>
      <c r="O54" s="27"/>
      <c r="P54" s="27"/>
      <c r="Q54" s="27"/>
      <c r="R54" s="27"/>
      <c r="S54" s="27"/>
      <c r="T54" s="27"/>
      <c r="U54" s="27"/>
      <c r="V54" s="27"/>
      <c r="W54" s="27"/>
      <c r="X54" s="27"/>
      <c r="Y54" s="27"/>
      <c r="Z54" s="27"/>
      <c r="AA54" s="27"/>
      <c r="AB54" s="27"/>
      <c r="AC54" s="27"/>
      <c r="AD54" s="27"/>
      <c r="AE54" s="27"/>
      <c r="AF54" s="27"/>
      <c r="AG54" s="27"/>
      <c r="AH54" s="27"/>
      <c r="AI54" s="27"/>
      <c r="AJ54" s="76"/>
      <c r="AN54" s="76"/>
      <c r="AO54" s="76"/>
      <c r="AP54" s="76"/>
      <c r="AQ54" s="76"/>
      <c r="AR54" s="76"/>
    </row>
    <row r="55" spans="1:44" s="75" customFormat="1" ht="104.25" customHeight="1" x14ac:dyDescent="0.2">
      <c r="A55" s="70"/>
      <c r="B55" s="70"/>
      <c r="C55" s="71"/>
      <c r="D55" s="77"/>
      <c r="E55" s="77"/>
      <c r="F55" s="27"/>
      <c r="G55" s="3191" t="s">
        <v>140</v>
      </c>
      <c r="H55" s="3191"/>
      <c r="I55" s="3191" t="s">
        <v>144</v>
      </c>
      <c r="J55" s="3191"/>
      <c r="K55" s="3188" t="s">
        <v>145</v>
      </c>
      <c r="L55" s="3189"/>
      <c r="M55" s="3191" t="s">
        <v>128</v>
      </c>
      <c r="N55" s="3191"/>
      <c r="O55" s="70"/>
      <c r="P55" s="70"/>
      <c r="Q55" s="27"/>
      <c r="R55" s="27"/>
      <c r="S55" s="27"/>
      <c r="T55" s="27"/>
      <c r="U55" s="27"/>
      <c r="V55" s="27"/>
      <c r="W55" s="27"/>
      <c r="X55" s="27"/>
      <c r="Y55" s="27"/>
      <c r="Z55" s="27"/>
      <c r="AA55" s="27"/>
      <c r="AB55" s="27"/>
      <c r="AC55" s="27"/>
      <c r="AD55" s="27"/>
      <c r="AE55" s="27"/>
      <c r="AF55" s="27"/>
      <c r="AG55" s="27"/>
      <c r="AH55" s="27"/>
      <c r="AI55" s="27"/>
      <c r="AJ55" s="76"/>
      <c r="AN55" s="76"/>
      <c r="AO55" s="76"/>
      <c r="AP55" s="76"/>
      <c r="AQ55" s="76"/>
      <c r="AR55" s="76"/>
    </row>
    <row r="56" spans="1:44" s="75" customFormat="1" x14ac:dyDescent="0.2">
      <c r="A56" s="70"/>
      <c r="B56" s="70"/>
      <c r="C56" s="71"/>
      <c r="D56" s="77"/>
      <c r="E56" s="77"/>
      <c r="F56" s="27"/>
      <c r="G56" s="279">
        <v>991</v>
      </c>
      <c r="H56" s="279">
        <v>992</v>
      </c>
      <c r="I56" s="279">
        <v>991</v>
      </c>
      <c r="J56" s="279">
        <v>992</v>
      </c>
      <c r="K56" s="279">
        <v>991</v>
      </c>
      <c r="L56" s="279">
        <v>992</v>
      </c>
      <c r="M56" s="279">
        <v>991</v>
      </c>
      <c r="N56" s="279">
        <v>992</v>
      </c>
      <c r="O56" s="79"/>
      <c r="P56" s="79"/>
      <c r="Q56" s="27"/>
      <c r="R56" s="27"/>
      <c r="S56" s="27"/>
      <c r="T56" s="27"/>
      <c r="U56" s="27"/>
      <c r="V56" s="27"/>
      <c r="W56" s="27"/>
      <c r="X56" s="27"/>
      <c r="Y56" s="27"/>
      <c r="Z56" s="27"/>
      <c r="AA56" s="27"/>
      <c r="AB56" s="27"/>
      <c r="AC56" s="27"/>
      <c r="AD56" s="27"/>
      <c r="AE56" s="27"/>
      <c r="AF56" s="27"/>
      <c r="AG56" s="27"/>
      <c r="AH56" s="27"/>
      <c r="AI56" s="27"/>
      <c r="AJ56" s="76"/>
      <c r="AN56" s="76"/>
      <c r="AO56" s="76"/>
      <c r="AP56" s="76"/>
      <c r="AQ56" s="76"/>
      <c r="AR56" s="76"/>
    </row>
    <row r="57" spans="1:44" s="75" customFormat="1" x14ac:dyDescent="0.2">
      <c r="A57" s="70"/>
      <c r="B57" s="70"/>
      <c r="C57" s="71"/>
      <c r="D57" s="77"/>
      <c r="E57" s="77"/>
      <c r="F57" s="27"/>
      <c r="G57" s="29">
        <v>46179.199999999997</v>
      </c>
      <c r="H57" s="29">
        <v>13446.9</v>
      </c>
      <c r="I57" s="29">
        <f>245.4+176.6+93.6+162.7</f>
        <v>678.3</v>
      </c>
      <c r="J57" s="29">
        <f>74.1+53.3+28.3+49.1</f>
        <v>204.8</v>
      </c>
      <c r="K57" s="29">
        <f>V52</f>
        <v>45500.9</v>
      </c>
      <c r="L57" s="29">
        <f>W52</f>
        <v>13348.7</v>
      </c>
      <c r="M57" s="29">
        <f>G57-I57-K57</f>
        <v>0</v>
      </c>
      <c r="N57" s="29">
        <f>H57-J57-L57</f>
        <v>-106.6</v>
      </c>
      <c r="O57" s="80"/>
      <c r="P57" s="80"/>
      <c r="Q57" s="27"/>
      <c r="R57" s="27"/>
      <c r="S57" s="27"/>
      <c r="T57" s="27"/>
      <c r="U57" s="27"/>
      <c r="V57" s="27"/>
      <c r="W57" s="27"/>
      <c r="X57" s="27"/>
      <c r="Y57" s="27"/>
      <c r="Z57" s="27"/>
      <c r="AA57" s="27"/>
      <c r="AB57" s="27"/>
      <c r="AC57" s="27"/>
      <c r="AD57" s="27"/>
      <c r="AE57" s="27"/>
      <c r="AF57" s="27"/>
      <c r="AG57" s="27"/>
      <c r="AH57" s="27"/>
      <c r="AI57" s="27"/>
      <c r="AJ57" s="76"/>
      <c r="AN57" s="76"/>
      <c r="AO57" s="76"/>
      <c r="AP57" s="76"/>
      <c r="AQ57" s="76"/>
      <c r="AR57" s="76"/>
    </row>
    <row r="58" spans="1:44" s="75" customFormat="1" x14ac:dyDescent="0.2">
      <c r="A58" s="70"/>
      <c r="B58" s="70"/>
      <c r="C58" s="71"/>
      <c r="D58" s="77"/>
      <c r="E58" s="77"/>
      <c r="F58" s="27"/>
      <c r="G58" s="27"/>
      <c r="H58" s="73"/>
      <c r="I58" s="73"/>
      <c r="J58" s="27"/>
      <c r="K58" s="27"/>
      <c r="L58" s="27"/>
      <c r="M58" s="27"/>
      <c r="N58" s="74"/>
      <c r="O58" s="27"/>
      <c r="P58" s="27"/>
      <c r="Q58" s="27"/>
      <c r="R58" s="27"/>
      <c r="S58" s="27"/>
      <c r="T58" s="27"/>
      <c r="U58" s="27"/>
      <c r="V58" s="27"/>
      <c r="W58" s="27"/>
      <c r="X58" s="27"/>
      <c r="Y58" s="27"/>
      <c r="Z58" s="27"/>
      <c r="AA58" s="27"/>
      <c r="AB58" s="27"/>
      <c r="AC58" s="27"/>
      <c r="AD58" s="27"/>
      <c r="AE58" s="27"/>
      <c r="AF58" s="27"/>
      <c r="AG58" s="27"/>
      <c r="AH58" s="76"/>
      <c r="AM58" s="76"/>
      <c r="AN58" s="211"/>
      <c r="AO58" s="211"/>
      <c r="AP58" s="211"/>
      <c r="AQ58" s="211"/>
    </row>
    <row r="59" spans="1:44" s="282" customFormat="1" ht="20.25" x14ac:dyDescent="0.2">
      <c r="A59" s="81"/>
      <c r="B59" s="82" t="s">
        <v>138</v>
      </c>
      <c r="C59" s="83"/>
      <c r="D59" s="84"/>
      <c r="E59" s="84"/>
      <c r="F59" s="85"/>
      <c r="G59" s="85"/>
      <c r="H59" s="86"/>
      <c r="I59" s="86"/>
      <c r="J59" s="85"/>
      <c r="K59" s="30" t="s">
        <v>167</v>
      </c>
      <c r="L59" s="85"/>
      <c r="M59" s="85"/>
      <c r="N59" s="87"/>
      <c r="O59" s="85"/>
      <c r="P59" s="85"/>
      <c r="Q59" s="85"/>
      <c r="R59" s="85"/>
      <c r="S59" s="85"/>
      <c r="T59" s="85"/>
      <c r="U59" s="85"/>
      <c r="V59" s="85"/>
      <c r="W59" s="85"/>
      <c r="X59" s="85"/>
      <c r="Y59" s="85"/>
      <c r="Z59" s="85"/>
      <c r="AA59" s="85"/>
      <c r="AB59" s="85"/>
      <c r="AC59" s="85"/>
      <c r="AD59" s="85"/>
      <c r="AE59" s="85"/>
      <c r="AF59" s="85"/>
      <c r="AG59" s="85"/>
      <c r="AH59" s="85"/>
      <c r="AI59" s="85"/>
      <c r="AK59" s="88"/>
      <c r="AL59" s="88"/>
      <c r="AM59" s="88"/>
      <c r="AN59" s="88"/>
      <c r="AO59" s="88"/>
    </row>
    <row r="60" spans="1:44" s="75" customFormat="1" x14ac:dyDescent="0.2">
      <c r="A60" s="70"/>
      <c r="B60" s="70"/>
      <c r="C60" s="71"/>
      <c r="D60" s="77"/>
      <c r="E60" s="77"/>
      <c r="F60" s="27"/>
      <c r="G60" s="27"/>
      <c r="H60" s="73"/>
      <c r="I60" s="73"/>
      <c r="J60" s="27"/>
      <c r="K60" s="27"/>
      <c r="L60" s="27"/>
      <c r="M60" s="27"/>
      <c r="N60" s="74"/>
      <c r="O60" s="27"/>
      <c r="P60" s="27"/>
      <c r="Q60" s="27"/>
      <c r="R60" s="27"/>
      <c r="S60" s="27"/>
      <c r="T60" s="27"/>
      <c r="U60" s="27"/>
      <c r="V60" s="27"/>
      <c r="W60" s="27"/>
      <c r="X60" s="27"/>
      <c r="Y60" s="27"/>
      <c r="Z60" s="27"/>
      <c r="AA60" s="27"/>
      <c r="AB60" s="27"/>
      <c r="AC60" s="27"/>
      <c r="AD60" s="27"/>
      <c r="AE60" s="27"/>
      <c r="AF60" s="27"/>
      <c r="AG60" s="27"/>
      <c r="AH60" s="76"/>
      <c r="AM60" s="76"/>
      <c r="AN60" s="211"/>
      <c r="AO60" s="211"/>
      <c r="AP60" s="211"/>
      <c r="AQ60" s="211"/>
    </row>
    <row r="61" spans="1:44" s="75" customFormat="1" ht="20.25" customHeight="1" x14ac:dyDescent="0.2">
      <c r="A61" s="89" t="s">
        <v>96</v>
      </c>
      <c r="B61" s="89"/>
      <c r="C61" s="31"/>
      <c r="D61" s="31"/>
      <c r="E61" s="31"/>
      <c r="F61" s="31"/>
      <c r="G61" s="31"/>
      <c r="H61" s="31"/>
      <c r="I61" s="31"/>
      <c r="J61" s="31"/>
      <c r="K61" s="31"/>
      <c r="L61" s="90"/>
      <c r="M61" s="90"/>
      <c r="N61" s="91"/>
      <c r="O61" s="90"/>
      <c r="P61" s="90"/>
      <c r="Q61" s="90"/>
      <c r="R61" s="90"/>
      <c r="S61" s="90"/>
      <c r="T61" s="90"/>
      <c r="U61" s="90"/>
      <c r="V61" s="90"/>
      <c r="W61" s="90"/>
      <c r="X61" s="90"/>
      <c r="Y61" s="90"/>
      <c r="Z61" s="90"/>
      <c r="AA61" s="90"/>
      <c r="AB61" s="90"/>
      <c r="AC61" s="90"/>
      <c r="AD61" s="90"/>
      <c r="AE61" s="90"/>
      <c r="AF61" s="90"/>
      <c r="AG61" s="90"/>
      <c r="AH61" s="76"/>
      <c r="AM61" s="76"/>
      <c r="AN61" s="211"/>
      <c r="AO61" s="211"/>
      <c r="AP61" s="211"/>
      <c r="AQ61" s="211"/>
    </row>
    <row r="62" spans="1:44" s="75" customFormat="1" ht="20.25" customHeight="1" x14ac:dyDescent="0.2">
      <c r="A62" s="89" t="s">
        <v>139</v>
      </c>
      <c r="B62" s="92"/>
      <c r="C62" s="93"/>
      <c r="D62" s="93"/>
      <c r="E62" s="32"/>
      <c r="F62" s="32"/>
      <c r="G62" s="32"/>
      <c r="H62" s="32"/>
      <c r="I62" s="32"/>
      <c r="J62" s="32"/>
      <c r="K62" s="32"/>
      <c r="L62" s="90"/>
      <c r="M62" s="90"/>
      <c r="N62" s="90"/>
      <c r="O62" s="90"/>
      <c r="P62" s="90"/>
      <c r="Q62" s="90"/>
      <c r="R62" s="90"/>
      <c r="S62" s="90"/>
      <c r="T62" s="90"/>
      <c r="U62" s="90"/>
      <c r="V62" s="90"/>
      <c r="W62" s="90"/>
      <c r="X62" s="90"/>
      <c r="Y62" s="90"/>
      <c r="Z62" s="90"/>
      <c r="AA62" s="90"/>
      <c r="AB62" s="90"/>
      <c r="AC62" s="90"/>
      <c r="AD62" s="90"/>
      <c r="AE62" s="90"/>
      <c r="AF62" s="90"/>
      <c r="AG62" s="90"/>
      <c r="AH62" s="76"/>
      <c r="AM62" s="76"/>
      <c r="AN62" s="211"/>
      <c r="AO62" s="211"/>
      <c r="AP62" s="211"/>
      <c r="AQ62" s="211"/>
    </row>
    <row r="64" spans="1:44" hidden="1" x14ac:dyDescent="0.2">
      <c r="A64" s="278"/>
      <c r="B64" s="233" t="s">
        <v>121</v>
      </c>
      <c r="C64" s="233">
        <f t="shared" ref="C64:W64" si="77">C9+C10+C12</f>
        <v>3</v>
      </c>
      <c r="D64" s="233">
        <f t="shared" si="77"/>
        <v>61.43</v>
      </c>
      <c r="E64" s="183">
        <f t="shared" si="77"/>
        <v>61.44</v>
      </c>
      <c r="F64" s="233">
        <f t="shared" si="77"/>
        <v>737.2</v>
      </c>
      <c r="G64" s="233">
        <f t="shared" si="77"/>
        <v>0</v>
      </c>
      <c r="H64" s="233">
        <f t="shared" si="77"/>
        <v>8.6999999999999993</v>
      </c>
      <c r="I64" s="233">
        <f t="shared" si="77"/>
        <v>0</v>
      </c>
      <c r="J64" s="233">
        <f t="shared" si="77"/>
        <v>0</v>
      </c>
      <c r="K64" s="233">
        <f t="shared" si="77"/>
        <v>208.9</v>
      </c>
      <c r="L64" s="233">
        <f t="shared" si="77"/>
        <v>249.5</v>
      </c>
      <c r="M64" s="233">
        <f t="shared" si="77"/>
        <v>1204.3</v>
      </c>
      <c r="N64" s="233">
        <f t="shared" si="77"/>
        <v>1.92</v>
      </c>
      <c r="O64" s="233">
        <f t="shared" si="77"/>
        <v>838.4</v>
      </c>
      <c r="P64" s="233">
        <f t="shared" si="77"/>
        <v>2042.7</v>
      </c>
      <c r="Q64" s="233">
        <f t="shared" si="77"/>
        <v>1634.1</v>
      </c>
      <c r="R64" s="233">
        <f t="shared" si="77"/>
        <v>1634.1</v>
      </c>
      <c r="S64" s="233">
        <f t="shared" si="77"/>
        <v>170</v>
      </c>
      <c r="T64" s="233">
        <f t="shared" si="77"/>
        <v>5480.9</v>
      </c>
      <c r="U64" s="233">
        <f t="shared" si="77"/>
        <v>1</v>
      </c>
      <c r="V64" s="233">
        <f t="shared" si="77"/>
        <v>5480.9</v>
      </c>
      <c r="W64" s="233">
        <f t="shared" si="77"/>
        <v>1328</v>
      </c>
      <c r="X64" s="234">
        <f>V64+W64</f>
        <v>6808.9</v>
      </c>
    </row>
    <row r="65" spans="1:26" hidden="1" x14ac:dyDescent="0.2">
      <c r="A65" s="278"/>
      <c r="B65" s="233" t="s">
        <v>122</v>
      </c>
      <c r="C65" s="233" t="e">
        <f>C13+C14+#REF!+C15+C16+C17+C19+C20+C21+C22+C23+C24+C25+C26+C27+C28+C29+C30+C31+C32+C33+C34+C35+C36+C38+#REF!+C39+C40+C41</f>
        <v>#REF!</v>
      </c>
      <c r="D65" s="233" t="e">
        <f>D13+D14+#REF!+D15+D16+D17+D19+D20+D21+D22+D23+D24+D25+D26+D27+D28+D29+D30+D31+D32+D33+D34+D35+D36+D38+#REF!+D39+D40+D41</f>
        <v>#REF!</v>
      </c>
      <c r="E65" s="183" t="e">
        <f>E13+E14+#REF!+E15+E16+E17+E19+E20+E21+E22+E23+E24+E25+E26+E27+E28+E29+E30+E31+E32+E33+E34+E35+E36+E38+#REF!+E39+E40+E41</f>
        <v>#REF!</v>
      </c>
      <c r="F65" s="233" t="e">
        <f>F13+F14+#REF!+F15+F16+F17+F19+F20+F21+F22+F23+F24+F25+F26+F27+F28+F29+F30+F31+F32+F33+F34+F35+F36+F38+#REF!+F39+F40+F41</f>
        <v>#REF!</v>
      </c>
      <c r="G65" s="233" t="e">
        <f>G13+G14+#REF!+G15+G16+G17+G19+G20+G21+G22+G23+G24+G25+G26+G27+G28+G29+G30+G31+G32+G33+G34+G35+G36+G38+#REF!+G39+G40+G41</f>
        <v>#REF!</v>
      </c>
      <c r="H65" s="233" t="e">
        <f>H13+H14+#REF!+H15+H16+H17+H19+H20+H21+H22+H23+H24+H25+H26+H27+H28+H29+H30+H31+H32+H33+H34+H35+H36+H38+#REF!+H39+H40+H41</f>
        <v>#REF!</v>
      </c>
      <c r="I65" s="233" t="e">
        <f>I13+I14+#REF!+I15+I16+I17+I19+I20+I21+I22+I23+I24+I25+I26+I27+I28+I29+I30+I31+I32+I33+I34+I35+I36+I38+#REF!+I39+I40+I41</f>
        <v>#REF!</v>
      </c>
      <c r="J65" s="233" t="e">
        <f>J13+J14+#REF!+J15+J16+J17+J19+J20+J21+J22+J23+J24+J25+J26+J27+J28+J29+J30+J31+J32+J33+J34+J35+J36+J38+#REF!+J39+J40+J41</f>
        <v>#REF!</v>
      </c>
      <c r="K65" s="233" t="e">
        <f>K13+K14+#REF!+K15+K16+K17+K19+K20+K21+K22+K23+K24+K25+K26+K27+K28+K29+K30+K31+K32+K33+K34+K35+K36+K38+#REF!+K39+K40+K41</f>
        <v>#REF!</v>
      </c>
      <c r="L65" s="233" t="e">
        <f>L13+L14+#REF!+L15+L16+L17+L19+L20+L21+L22+L23+L24+L25+L26+L27+L28+L29+L30+L31+L32+L33+L34+L35+L36+L38+#REF!+L39+L40+L41</f>
        <v>#REF!</v>
      </c>
      <c r="M65" s="233" t="e">
        <f>M13+M14+#REF!+M15+M16+M17+M19+M20+M21+M22+M23+M24+M25+M26+M27+M28+M29+M30+M31+M32+M33+M34+M35+M36+M38+#REF!+M39+M40+M41</f>
        <v>#REF!</v>
      </c>
      <c r="N65" s="233" t="e">
        <f>N13+N14+#REF!+N15+N16+N17+N19+N20+N21+N22+N23+N24+N25+N26+N27+N28+N29+N30+N31+N32+N33+N34+N35+N36+N38+#REF!+N39+N40+N41</f>
        <v>#REF!</v>
      </c>
      <c r="O65" s="233" t="e">
        <f>O13+O14+#REF!+O15+O16+O17+O19+O20+O21+O22+O23+O24+O25+O26+O27+O28+O29+O30+O31+O32+O33+O34+O35+O36+O38+#REF!+O39+O40+O41</f>
        <v>#REF!</v>
      </c>
      <c r="P65" s="233" t="e">
        <f>P13+P14+#REF!+P15+P16+P17+P19+P20+P21+P22+P23+P24+P25+P26+P27+P28+P29+P30+P31+P32+P33+P34+P35+P36+P38+#REF!+P39+P40+P41</f>
        <v>#REF!</v>
      </c>
      <c r="Q65" s="233" t="e">
        <f>Q13+Q14+#REF!+Q15+Q16+Q17+Q19+Q20+Q21+Q22+Q23+Q24+Q25+Q26+Q27+Q28+Q29+Q30+Q31+Q32+Q33+Q34+Q35+Q36+Q38+#REF!+Q39+Q40+Q41</f>
        <v>#REF!</v>
      </c>
      <c r="R65" s="233" t="e">
        <f>R13+R14+#REF!+R15+R16+R17+R19+R20+R21+R22+R23+R24+R25+R26+R27+R28+R29+R30+R31+R32+R33+R34+R35+R36+R38+#REF!+R39+R40+R41</f>
        <v>#REF!</v>
      </c>
      <c r="S65" s="233" t="e">
        <f>S13+S14+#REF!+S15+S16+S17+S19+S20+S21+S22+S23+S24+S25+S26+S27+S28+S29+S30+S31+S32+S33+S34+S35+S36+S38+#REF!+S39+S40+S41</f>
        <v>#REF!</v>
      </c>
      <c r="T65" s="233" t="e">
        <f>T13+T14+#REF!+T15+T16+T17+T19+T20+T21+T22+T23+T24+T25+T26+T27+T28+T29+T30+T31+T32+T33+T34+T35+T36+T38+#REF!+T39+T40+T41</f>
        <v>#REF!</v>
      </c>
      <c r="U65" s="233" t="e">
        <f>U13+U14+#REF!+U15+U16+U17+U19+U20+U21+U22+U23+U24+U25+U26+U27+U28+U29+U30+U31+U32+U33+U34+U35+U36+U38+#REF!+U39+U40+U41</f>
        <v>#REF!</v>
      </c>
      <c r="V65" s="233" t="e">
        <f>V13+V14+#REF!+V15+V16+V17+V19+V20+V21+V22+V23+V24+V25+V26+V27+V28+V29+V30+V31+V32+V33+V34+V35+V36+V38+#REF!+V39+V40+V41</f>
        <v>#REF!</v>
      </c>
      <c r="W65" s="233" t="e">
        <f>W13+W14+#REF!+W15+W16+W17+W19+W20+W21+W22+W23+W24+W25+W26+W27+W28+W29+W30+W31+W32+W33+W34+W35+W36+W38+#REF!+W39+W40+W41</f>
        <v>#REF!</v>
      </c>
      <c r="X65" s="234" t="e">
        <f t="shared" ref="X65:X67" si="78">V65+W65</f>
        <v>#REF!</v>
      </c>
    </row>
    <row r="66" spans="1:26" hidden="1" x14ac:dyDescent="0.2">
      <c r="A66" s="278"/>
      <c r="B66" s="233" t="s">
        <v>123</v>
      </c>
      <c r="C66" s="233" t="e">
        <f>C11+C18+#REF!</f>
        <v>#REF!</v>
      </c>
      <c r="D66" s="233" t="e">
        <f>D11+D18+#REF!</f>
        <v>#REF!</v>
      </c>
      <c r="E66" s="183" t="e">
        <f>E11+E18+#REF!</f>
        <v>#REF!</v>
      </c>
      <c r="F66" s="233" t="e">
        <f>F11+F18+#REF!</f>
        <v>#REF!</v>
      </c>
      <c r="G66" s="233" t="e">
        <f>G11+G18+#REF!</f>
        <v>#REF!</v>
      </c>
      <c r="H66" s="233" t="e">
        <f>H11+H18+#REF!</f>
        <v>#REF!</v>
      </c>
      <c r="I66" s="233" t="e">
        <f>I11+I18+#REF!</f>
        <v>#REF!</v>
      </c>
      <c r="J66" s="233" t="e">
        <f>J11+J18+#REF!</f>
        <v>#REF!</v>
      </c>
      <c r="K66" s="233" t="e">
        <f>K11+K18+#REF!</f>
        <v>#REF!</v>
      </c>
      <c r="L66" s="233" t="e">
        <f>L11+L18+#REF!</f>
        <v>#REF!</v>
      </c>
      <c r="M66" s="233" t="e">
        <f>M11+M18+#REF!</f>
        <v>#REF!</v>
      </c>
      <c r="N66" s="233" t="e">
        <f>N11+N18+#REF!</f>
        <v>#REF!</v>
      </c>
      <c r="O66" s="233" t="e">
        <f>O11+O18+#REF!</f>
        <v>#REF!</v>
      </c>
      <c r="P66" s="233" t="e">
        <f>P11+P18+#REF!</f>
        <v>#REF!</v>
      </c>
      <c r="Q66" s="233" t="e">
        <f>Q11+Q18+#REF!</f>
        <v>#REF!</v>
      </c>
      <c r="R66" s="233" t="e">
        <f>R11+R18+#REF!</f>
        <v>#REF!</v>
      </c>
      <c r="S66" s="233" t="e">
        <f>S11+S18+#REF!</f>
        <v>#REF!</v>
      </c>
      <c r="T66" s="233" t="e">
        <f>T11+T18+#REF!</f>
        <v>#REF!</v>
      </c>
      <c r="U66" s="233" t="e">
        <f>U11+U18+#REF!</f>
        <v>#REF!</v>
      </c>
      <c r="V66" s="233" t="e">
        <f>V11+V18+#REF!</f>
        <v>#REF!</v>
      </c>
      <c r="W66" s="233" t="e">
        <f>W11+W18+#REF!</f>
        <v>#REF!</v>
      </c>
      <c r="X66" s="234" t="e">
        <f t="shared" si="78"/>
        <v>#REF!</v>
      </c>
    </row>
    <row r="67" spans="1:26" hidden="1" x14ac:dyDescent="0.2">
      <c r="A67" s="278"/>
      <c r="B67" s="233"/>
      <c r="C67" s="233" t="e">
        <f>C64+C65+C66</f>
        <v>#REF!</v>
      </c>
      <c r="D67" s="233" t="e">
        <f t="shared" ref="D67:W67" si="79">D64+D65+D66</f>
        <v>#REF!</v>
      </c>
      <c r="E67" s="183" t="e">
        <f t="shared" si="79"/>
        <v>#REF!</v>
      </c>
      <c r="F67" s="233" t="e">
        <f t="shared" si="79"/>
        <v>#REF!</v>
      </c>
      <c r="G67" s="233" t="e">
        <f t="shared" si="79"/>
        <v>#REF!</v>
      </c>
      <c r="H67" s="233" t="e">
        <f t="shared" si="79"/>
        <v>#REF!</v>
      </c>
      <c r="I67" s="233" t="e">
        <f t="shared" si="79"/>
        <v>#REF!</v>
      </c>
      <c r="J67" s="233" t="e">
        <f t="shared" si="79"/>
        <v>#REF!</v>
      </c>
      <c r="K67" s="233" t="e">
        <f t="shared" si="79"/>
        <v>#REF!</v>
      </c>
      <c r="L67" s="233" t="e">
        <f t="shared" si="79"/>
        <v>#REF!</v>
      </c>
      <c r="M67" s="233" t="e">
        <f t="shared" si="79"/>
        <v>#REF!</v>
      </c>
      <c r="N67" s="233" t="e">
        <f t="shared" si="79"/>
        <v>#REF!</v>
      </c>
      <c r="O67" s="233" t="e">
        <f t="shared" si="79"/>
        <v>#REF!</v>
      </c>
      <c r="P67" s="233" t="e">
        <f t="shared" si="79"/>
        <v>#REF!</v>
      </c>
      <c r="Q67" s="233" t="e">
        <f t="shared" si="79"/>
        <v>#REF!</v>
      </c>
      <c r="R67" s="233" t="e">
        <f t="shared" si="79"/>
        <v>#REF!</v>
      </c>
      <c r="S67" s="233" t="e">
        <f t="shared" si="79"/>
        <v>#REF!</v>
      </c>
      <c r="T67" s="233" t="e">
        <f t="shared" si="79"/>
        <v>#REF!</v>
      </c>
      <c r="U67" s="233" t="e">
        <f t="shared" si="79"/>
        <v>#REF!</v>
      </c>
      <c r="V67" s="233" t="e">
        <f t="shared" si="79"/>
        <v>#REF!</v>
      </c>
      <c r="W67" s="233" t="e">
        <f t="shared" si="79"/>
        <v>#REF!</v>
      </c>
      <c r="X67" s="234" t="e">
        <f t="shared" si="78"/>
        <v>#REF!</v>
      </c>
      <c r="Y67" s="22" t="e">
        <f>V67+#REF!</f>
        <v>#REF!</v>
      </c>
      <c r="Z67" s="22" t="e">
        <f>W67+#REF!</f>
        <v>#REF!</v>
      </c>
    </row>
    <row r="68" spans="1:26" hidden="1" x14ac:dyDescent="0.2">
      <c r="A68" s="278"/>
      <c r="B68" s="233"/>
      <c r="C68" s="233"/>
      <c r="D68" s="233"/>
      <c r="E68" s="183"/>
      <c r="F68" s="233"/>
      <c r="G68" s="233"/>
      <c r="H68" s="233"/>
      <c r="I68" s="233"/>
      <c r="J68" s="233"/>
      <c r="K68" s="233"/>
      <c r="L68" s="233"/>
      <c r="M68" s="233"/>
      <c r="N68" s="233"/>
      <c r="O68" s="233"/>
      <c r="P68" s="233"/>
      <c r="Q68" s="233"/>
      <c r="R68" s="233"/>
      <c r="S68" s="233"/>
      <c r="T68" s="233"/>
      <c r="U68" s="233"/>
      <c r="V68" s="233"/>
      <c r="W68" s="233"/>
      <c r="X68" s="233"/>
    </row>
    <row r="69" spans="1:26" hidden="1" x14ac:dyDescent="0.2">
      <c r="E69" s="51"/>
    </row>
    <row r="70" spans="1:26" hidden="1" x14ac:dyDescent="0.2">
      <c r="E70" s="51"/>
    </row>
    <row r="71" spans="1:26" hidden="1" x14ac:dyDescent="0.2">
      <c r="E71" s="51"/>
    </row>
    <row r="72" spans="1:26" hidden="1" x14ac:dyDescent="0.2">
      <c r="E72" s="51"/>
    </row>
    <row r="73" spans="1:26" hidden="1" x14ac:dyDescent="0.2">
      <c r="E73" s="51"/>
    </row>
    <row r="74" spans="1:26" hidden="1" x14ac:dyDescent="0.2">
      <c r="E74" s="51"/>
    </row>
    <row r="75" spans="1:26" hidden="1" x14ac:dyDescent="0.2">
      <c r="E75" s="51"/>
    </row>
    <row r="76" spans="1:26" x14ac:dyDescent="0.2">
      <c r="E76" s="51"/>
    </row>
    <row r="77" spans="1:26" x14ac:dyDescent="0.2">
      <c r="E77" s="51"/>
    </row>
    <row r="78" spans="1:26" x14ac:dyDescent="0.2">
      <c r="E78" s="51"/>
    </row>
    <row r="79" spans="1:26" x14ac:dyDescent="0.2">
      <c r="E79" s="51"/>
    </row>
    <row r="80" spans="1:26" x14ac:dyDescent="0.2">
      <c r="E80" s="51"/>
    </row>
    <row r="81" spans="5:5" x14ac:dyDescent="0.2">
      <c r="E81" s="51"/>
    </row>
    <row r="82" spans="5:5" x14ac:dyDescent="0.2">
      <c r="E82" s="51"/>
    </row>
    <row r="83" spans="5:5" x14ac:dyDescent="0.2">
      <c r="E83" s="51"/>
    </row>
    <row r="84" spans="5:5" x14ac:dyDescent="0.2">
      <c r="E84" s="51"/>
    </row>
    <row r="85" spans="5:5" x14ac:dyDescent="0.2">
      <c r="E85" s="51"/>
    </row>
    <row r="86" spans="5:5" x14ac:dyDescent="0.2">
      <c r="E86" s="51"/>
    </row>
    <row r="87" spans="5:5" x14ac:dyDescent="0.2">
      <c r="E87" s="51"/>
    </row>
    <row r="88" spans="5:5" x14ac:dyDescent="0.2">
      <c r="E88" s="51"/>
    </row>
    <row r="89" spans="5:5" x14ac:dyDescent="0.2">
      <c r="E89" s="51"/>
    </row>
    <row r="90" spans="5:5" x14ac:dyDescent="0.2">
      <c r="E90" s="51"/>
    </row>
    <row r="91" spans="5:5" x14ac:dyDescent="0.2">
      <c r="E91" s="51"/>
    </row>
    <row r="92" spans="5:5" x14ac:dyDescent="0.2">
      <c r="E92" s="51"/>
    </row>
    <row r="93" spans="5:5" x14ac:dyDescent="0.2">
      <c r="E93" s="51"/>
    </row>
    <row r="94" spans="5:5" x14ac:dyDescent="0.2">
      <c r="E94" s="51"/>
    </row>
    <row r="95" spans="5:5" x14ac:dyDescent="0.2">
      <c r="E95" s="51"/>
    </row>
    <row r="96" spans="5:5" x14ac:dyDescent="0.2">
      <c r="E96" s="51"/>
    </row>
    <row r="97" spans="5:5" x14ac:dyDescent="0.2">
      <c r="E97" s="51"/>
    </row>
    <row r="98" spans="5:5" x14ac:dyDescent="0.2">
      <c r="E98" s="51"/>
    </row>
    <row r="99" spans="5:5" x14ac:dyDescent="0.2">
      <c r="E99" s="51"/>
    </row>
    <row r="100" spans="5:5" x14ac:dyDescent="0.2">
      <c r="E100" s="51"/>
    </row>
    <row r="101" spans="5:5" x14ac:dyDescent="0.2">
      <c r="E101" s="51"/>
    </row>
    <row r="102" spans="5:5" x14ac:dyDescent="0.2">
      <c r="E102" s="51"/>
    </row>
    <row r="103" spans="5:5" x14ac:dyDescent="0.2">
      <c r="E103" s="51"/>
    </row>
    <row r="104" spans="5:5" x14ac:dyDescent="0.2">
      <c r="E104" s="51"/>
    </row>
    <row r="105" spans="5:5" x14ac:dyDescent="0.2">
      <c r="E105" s="51"/>
    </row>
  </sheetData>
  <autoFilter ref="A8:AS57"/>
  <mergeCells count="38">
    <mergeCell ref="G55:H55"/>
    <mergeCell ref="I55:J55"/>
    <mergeCell ref="K55:L55"/>
    <mergeCell ref="M55:N55"/>
    <mergeCell ref="AA6:AC6"/>
    <mergeCell ref="R6:R7"/>
    <mergeCell ref="K6:K7"/>
    <mergeCell ref="AG6:AG7"/>
    <mergeCell ref="AH6:AH7"/>
    <mergeCell ref="U9:U51"/>
    <mergeCell ref="A52:B52"/>
    <mergeCell ref="S6:S7"/>
    <mergeCell ref="T6:T7"/>
    <mergeCell ref="U6:U7"/>
    <mergeCell ref="V6:V7"/>
    <mergeCell ref="W6:W7"/>
    <mergeCell ref="X6:Z6"/>
    <mergeCell ref="L6:L7"/>
    <mergeCell ref="M6:M7"/>
    <mergeCell ref="N6:O6"/>
    <mergeCell ref="P6:P7"/>
    <mergeCell ref="Q6:Q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s>
  <printOptions horizontalCentered="1"/>
  <pageMargins left="0" right="0" top="0" bottom="0" header="0.31496062992125984" footer="0.31496062992125984"/>
  <pageSetup paperSize="9" scale="36" orientation="landscape"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1">
    <tabColor rgb="FF00B050"/>
    <pageSetUpPr fitToPage="1"/>
  </sheetPr>
  <dimension ref="A1:AS66"/>
  <sheetViews>
    <sheetView view="pageBreakPreview" zoomScale="80" zoomScaleNormal="70" zoomScaleSheetLayoutView="80" workbookViewId="0">
      <pane xSplit="3" ySplit="8" topLeftCell="D18"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9.6640625" style="98" customWidth="1"/>
    <col min="2" max="2" width="30.83203125" style="99" customWidth="1"/>
    <col min="3" max="3" width="13.83203125" style="99" customWidth="1"/>
    <col min="4" max="4" width="13.5" style="99" customWidth="1"/>
    <col min="5" max="5" width="13" style="99" customWidth="1"/>
    <col min="6" max="6" width="14.6640625" style="99" customWidth="1"/>
    <col min="7" max="7" width="11.5" style="99" customWidth="1"/>
    <col min="8" max="8" width="11.6640625" style="99" customWidth="1"/>
    <col min="9" max="9" width="11.33203125" style="99" customWidth="1"/>
    <col min="10" max="10" width="16" style="99" customWidth="1"/>
    <col min="11" max="11" width="13.1640625" style="99" customWidth="1"/>
    <col min="12" max="17" width="11.5" style="99" customWidth="1"/>
    <col min="18" max="18" width="11.6640625" style="99" customWidth="1"/>
    <col min="19" max="19" width="14.6640625" style="99" customWidth="1"/>
    <col min="20" max="20" width="12.33203125" style="99" customWidth="1"/>
    <col min="21" max="21" width="11.6640625" style="99" customWidth="1"/>
    <col min="22" max="22" width="13.83203125" style="99" customWidth="1"/>
    <col min="23" max="23" width="13" style="99" customWidth="1"/>
    <col min="24" max="24" width="11" style="99" customWidth="1"/>
    <col min="25" max="25" width="12.1640625" style="99" customWidth="1"/>
    <col min="26" max="26" width="9.6640625" style="99" customWidth="1"/>
    <col min="27" max="27" width="8.5" style="99" customWidth="1"/>
    <col min="28" max="28" width="9.1640625" style="99" customWidth="1"/>
    <col min="29" max="29" width="9" style="99" customWidth="1"/>
    <col min="30" max="30" width="8.5" style="99" customWidth="1"/>
    <col min="31" max="31" width="9.1640625" style="99" customWidth="1"/>
    <col min="32" max="32" width="10" style="99" customWidth="1"/>
    <col min="33" max="33" width="9.33203125" style="99" customWidth="1"/>
    <col min="34" max="34" width="10.6640625" style="99" customWidth="1"/>
    <col min="35" max="35" width="11.1640625" style="99" customWidth="1"/>
    <col min="36" max="36" width="9.33203125" style="99"/>
    <col min="37" max="37" width="10.6640625" style="99" bestFit="1" customWidth="1"/>
    <col min="38" max="38" width="9.33203125" style="99" hidden="1" customWidth="1"/>
    <col min="39" max="39" width="13" style="99" hidden="1" customWidth="1"/>
    <col min="40" max="40" width="14.1640625" style="211" bestFit="1" customWidth="1"/>
    <col min="41" max="42" width="9.33203125" style="211"/>
    <col min="43" max="43" width="11.33203125" style="211" bestFit="1" customWidth="1"/>
    <col min="44" max="16384" width="9.33203125" style="99"/>
  </cols>
  <sheetData>
    <row r="1" spans="1:45" ht="23.25" customHeight="1" x14ac:dyDescent="0.2">
      <c r="AE1" s="3196"/>
      <c r="AF1" s="3196"/>
      <c r="AG1" s="3196"/>
      <c r="AH1" s="3196"/>
    </row>
    <row r="2" spans="1:45" ht="24" customHeight="1" x14ac:dyDescent="0.2">
      <c r="A2" s="3197" t="s">
        <v>162</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287"/>
    </row>
    <row r="4" spans="1:45" x14ac:dyDescent="0.2">
      <c r="L4" s="38">
        <v>0.15451000000000001</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286" t="s">
        <v>80</v>
      </c>
      <c r="O7" s="286" t="s">
        <v>81</v>
      </c>
      <c r="P7" s="3204"/>
      <c r="Q7" s="3203"/>
      <c r="R7" s="3201"/>
      <c r="S7" s="3203" t="s">
        <v>67</v>
      </c>
      <c r="T7" s="3201"/>
      <c r="U7" s="3201"/>
      <c r="V7" s="3201"/>
      <c r="W7" s="3201"/>
      <c r="X7" s="285" t="s">
        <v>5</v>
      </c>
      <c r="Y7" s="285" t="s">
        <v>6</v>
      </c>
      <c r="Z7" s="285" t="s">
        <v>74</v>
      </c>
      <c r="AA7" s="285" t="s">
        <v>5</v>
      </c>
      <c r="AB7" s="285" t="s">
        <v>6</v>
      </c>
      <c r="AC7" s="285" t="s">
        <v>75</v>
      </c>
      <c r="AD7" s="285" t="s">
        <v>5</v>
      </c>
      <c r="AE7" s="285" t="s">
        <v>6</v>
      </c>
      <c r="AF7" s="285" t="s">
        <v>76</v>
      </c>
      <c r="AG7" s="3200"/>
      <c r="AH7" s="3200"/>
      <c r="AK7" s="98" t="s">
        <v>64</v>
      </c>
      <c r="AL7" s="98" t="s">
        <v>62</v>
      </c>
      <c r="AM7" s="98" t="s">
        <v>63</v>
      </c>
    </row>
    <row r="8" spans="1:45" ht="15.75"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25</v>
      </c>
      <c r="Y8" s="284">
        <v>26</v>
      </c>
      <c r="Z8" s="284">
        <v>27</v>
      </c>
      <c r="AA8" s="284">
        <v>28</v>
      </c>
      <c r="AB8" s="284">
        <v>29</v>
      </c>
      <c r="AC8" s="284">
        <v>30</v>
      </c>
      <c r="AD8" s="284">
        <v>31</v>
      </c>
      <c r="AE8" s="284">
        <v>32</v>
      </c>
      <c r="AF8" s="284">
        <v>33</v>
      </c>
      <c r="AG8" s="284">
        <v>34</v>
      </c>
      <c r="AH8" s="284">
        <v>35</v>
      </c>
      <c r="AN8" s="212" t="s">
        <v>116</v>
      </c>
      <c r="AO8" s="212" t="s">
        <v>117</v>
      </c>
      <c r="AP8" s="212" t="s">
        <v>118</v>
      </c>
      <c r="AQ8" s="212" t="s">
        <v>119</v>
      </c>
    </row>
    <row r="9" spans="1:45" ht="16.5" customHeight="1" x14ac:dyDescent="0.2">
      <c r="A9" s="284">
        <v>1</v>
      </c>
      <c r="B9" s="236" t="s">
        <v>14</v>
      </c>
      <c r="C9" s="284">
        <v>1</v>
      </c>
      <c r="D9" s="237">
        <v>25.672999999999998</v>
      </c>
      <c r="E9" s="169">
        <f t="shared" ref="E9:E24" si="0">C9*D9</f>
        <v>25.67</v>
      </c>
      <c r="F9" s="170">
        <f t="shared" ref="F9:F24" si="1">E9*12</f>
        <v>308</v>
      </c>
      <c r="G9" s="95"/>
      <c r="H9" s="95"/>
      <c r="I9" s="95"/>
      <c r="J9" s="95"/>
      <c r="K9" s="95">
        <f>F9*0.3</f>
        <v>92.4</v>
      </c>
      <c r="L9" s="95">
        <f>F9*$L$4</f>
        <v>47.6</v>
      </c>
      <c r="M9" s="95">
        <f t="shared" ref="M9:M24" si="2">F9+G9+H9+I9+J9+K9+L9</f>
        <v>448</v>
      </c>
      <c r="N9" s="111">
        <v>0.42</v>
      </c>
      <c r="O9" s="95">
        <f t="shared" ref="O9:O24" si="3">M9*N9</f>
        <v>188.2</v>
      </c>
      <c r="P9" s="95">
        <f t="shared" ref="P9:P24" si="4">M9+O9</f>
        <v>636.20000000000005</v>
      </c>
      <c r="Q9" s="95">
        <f t="shared" ref="Q9:Q24" si="5">P9*0.8</f>
        <v>509</v>
      </c>
      <c r="R9" s="95">
        <f t="shared" ref="R9:R24" si="6">P9*0.8</f>
        <v>509</v>
      </c>
      <c r="S9" s="95">
        <f t="shared" ref="S9:S24" si="7">(P9+Q9+R9)*0.032</f>
        <v>52.9</v>
      </c>
      <c r="T9" s="95">
        <f t="shared" ref="T9:T24" si="8">P9+Q9+R9+S9</f>
        <v>1707.1</v>
      </c>
      <c r="U9" s="3429">
        <v>1</v>
      </c>
      <c r="V9" s="95">
        <f>T9*$U$9</f>
        <v>1707.1</v>
      </c>
      <c r="W9" s="95">
        <f>AQ9</f>
        <v>424.3</v>
      </c>
      <c r="X9" s="284">
        <v>1</v>
      </c>
      <c r="Y9" s="112">
        <v>30</v>
      </c>
      <c r="Z9" s="113">
        <f t="shared" ref="Z9:Z24" si="9">X9*Y9</f>
        <v>30</v>
      </c>
      <c r="AA9" s="284"/>
      <c r="AB9" s="112">
        <v>15</v>
      </c>
      <c r="AC9" s="113">
        <f t="shared" ref="AC9:AC24" si="10">AA9*AB9</f>
        <v>0</v>
      </c>
      <c r="AD9" s="284">
        <v>1</v>
      </c>
      <c r="AE9" s="112">
        <v>30</v>
      </c>
      <c r="AF9" s="113">
        <f t="shared" ref="AF9:AF24" si="11">AD9*AE9</f>
        <v>30</v>
      </c>
      <c r="AG9" s="113">
        <f t="shared" ref="AG9:AG24" si="12">(Z9+AC9+AF9)*1%*30</f>
        <v>18</v>
      </c>
      <c r="AH9" s="113">
        <f t="shared" ref="AH9:AH24" si="13">Z9+AC9+AF9+AG9</f>
        <v>78</v>
      </c>
      <c r="AI9" s="114">
        <f t="shared" ref="AI9:AI17" si="14">V9/12/C9*1000</f>
        <v>142258.29999999999</v>
      </c>
      <c r="AK9" s="114">
        <f t="shared" ref="AK9:AK24" si="15">V9/C9</f>
        <v>1707.1</v>
      </c>
      <c r="AL9" s="114">
        <f>((979*0.302)+((AK9-979)*0.182))</f>
        <v>428.2</v>
      </c>
      <c r="AM9" s="115">
        <f>AL9/AK9</f>
        <v>0.251</v>
      </c>
      <c r="AN9" s="50">
        <f>1150*0.22+(AK9-1150)*0.1</f>
        <v>308.7</v>
      </c>
      <c r="AO9" s="50">
        <f>865*0.029</f>
        <v>25.1</v>
      </c>
      <c r="AP9" s="50">
        <f>AK9*0.053</f>
        <v>90.5</v>
      </c>
      <c r="AQ9" s="50">
        <f t="shared" ref="AQ9:AQ24" si="16">SUM(AN9:AP9)*C9</f>
        <v>424.3</v>
      </c>
      <c r="AS9" s="99">
        <f t="shared" ref="AS9:AS17" si="17">D9*1.5</f>
        <v>38.509500000000003</v>
      </c>
    </row>
    <row r="10" spans="1:45" x14ac:dyDescent="0.2">
      <c r="A10" s="284">
        <v>2</v>
      </c>
      <c r="B10" s="236" t="s">
        <v>127</v>
      </c>
      <c r="C10" s="284">
        <v>1</v>
      </c>
      <c r="D10" s="237">
        <v>17.971</v>
      </c>
      <c r="E10" s="169">
        <f>C10*D10</f>
        <v>17.97</v>
      </c>
      <c r="F10" s="170">
        <f t="shared" si="1"/>
        <v>215.6</v>
      </c>
      <c r="G10" s="95"/>
      <c r="H10" s="95">
        <v>11.2</v>
      </c>
      <c r="I10" s="95"/>
      <c r="J10" s="95"/>
      <c r="K10" s="95">
        <f>F10*0.3+D10*0.05*6.5</f>
        <v>70.5</v>
      </c>
      <c r="L10" s="95">
        <f t="shared" ref="L10:L23" si="18">F10*$L$4</f>
        <v>33.299999999999997</v>
      </c>
      <c r="M10" s="95">
        <f t="shared" si="2"/>
        <v>330.6</v>
      </c>
      <c r="N10" s="111">
        <v>0.47</v>
      </c>
      <c r="O10" s="95">
        <f t="shared" si="3"/>
        <v>155.4</v>
      </c>
      <c r="P10" s="95">
        <f t="shared" si="4"/>
        <v>486</v>
      </c>
      <c r="Q10" s="95">
        <f t="shared" si="5"/>
        <v>388.8</v>
      </c>
      <c r="R10" s="95">
        <f t="shared" si="6"/>
        <v>388.8</v>
      </c>
      <c r="S10" s="95">
        <f t="shared" si="7"/>
        <v>40.4</v>
      </c>
      <c r="T10" s="95">
        <f t="shared" si="8"/>
        <v>1304</v>
      </c>
      <c r="U10" s="3430"/>
      <c r="V10" s="95">
        <f>T10*$U$9</f>
        <v>1304</v>
      </c>
      <c r="W10" s="95">
        <f>AQ10</f>
        <v>362.6</v>
      </c>
      <c r="X10" s="284">
        <v>1</v>
      </c>
      <c r="Y10" s="112">
        <v>30</v>
      </c>
      <c r="Z10" s="113">
        <f t="shared" si="9"/>
        <v>30</v>
      </c>
      <c r="AA10" s="284"/>
      <c r="AB10" s="112">
        <v>15</v>
      </c>
      <c r="AC10" s="113">
        <f t="shared" si="10"/>
        <v>0</v>
      </c>
      <c r="AD10" s="284"/>
      <c r="AE10" s="112">
        <v>30</v>
      </c>
      <c r="AF10" s="113">
        <f t="shared" si="11"/>
        <v>0</v>
      </c>
      <c r="AG10" s="113">
        <f t="shared" si="12"/>
        <v>9</v>
      </c>
      <c r="AH10" s="113">
        <f t="shared" si="13"/>
        <v>39</v>
      </c>
      <c r="AI10" s="114">
        <f t="shared" si="14"/>
        <v>108666.7</v>
      </c>
      <c r="AK10" s="114">
        <f t="shared" si="15"/>
        <v>1304</v>
      </c>
      <c r="AL10" s="114">
        <f t="shared" ref="AL10:AL24" si="19">((979*0.302)+((AK10-979)*0.182))</f>
        <v>354.8</v>
      </c>
      <c r="AM10" s="115">
        <f>AL10/AK10</f>
        <v>0.27200000000000002</v>
      </c>
      <c r="AN10" s="50">
        <f>1150*0.22+(AK10-1150)*0.1</f>
        <v>268.39999999999998</v>
      </c>
      <c r="AO10" s="50">
        <f>865*0.029</f>
        <v>25.1</v>
      </c>
      <c r="AP10" s="50">
        <f>AK10*0.053</f>
        <v>69.099999999999994</v>
      </c>
      <c r="AQ10" s="50">
        <f t="shared" si="16"/>
        <v>362.6</v>
      </c>
      <c r="AS10" s="99">
        <f t="shared" si="17"/>
        <v>26.956499999999998</v>
      </c>
    </row>
    <row r="11" spans="1:45" x14ac:dyDescent="0.2">
      <c r="A11" s="284">
        <v>3</v>
      </c>
      <c r="B11" s="236" t="s">
        <v>23</v>
      </c>
      <c r="C11" s="238">
        <v>4</v>
      </c>
      <c r="D11" s="237">
        <v>11.061999999999999</v>
      </c>
      <c r="E11" s="111">
        <f t="shared" si="0"/>
        <v>44.25</v>
      </c>
      <c r="F11" s="95">
        <f t="shared" si="1"/>
        <v>531</v>
      </c>
      <c r="G11" s="95"/>
      <c r="H11" s="95">
        <f>7.01+7.789+7.01</f>
        <v>21.8</v>
      </c>
      <c r="I11" s="95"/>
      <c r="J11" s="95"/>
      <c r="K11" s="95">
        <f>F11*0.25*2+F11*0.3+D11*0.05*11.5</f>
        <v>431.2</v>
      </c>
      <c r="L11" s="95">
        <f t="shared" si="18"/>
        <v>82</v>
      </c>
      <c r="M11" s="95">
        <f t="shared" si="2"/>
        <v>1066</v>
      </c>
      <c r="N11" s="111">
        <v>0.43</v>
      </c>
      <c r="O11" s="95">
        <f t="shared" si="3"/>
        <v>458.4</v>
      </c>
      <c r="P11" s="95">
        <f t="shared" si="4"/>
        <v>1524.4</v>
      </c>
      <c r="Q11" s="95">
        <f t="shared" si="5"/>
        <v>1219.5</v>
      </c>
      <c r="R11" s="95">
        <f t="shared" si="6"/>
        <v>1219.5</v>
      </c>
      <c r="S11" s="95">
        <f t="shared" si="7"/>
        <v>126.8</v>
      </c>
      <c r="T11" s="95">
        <f t="shared" si="8"/>
        <v>4090.2</v>
      </c>
      <c r="U11" s="3430"/>
      <c r="V11" s="95">
        <f t="shared" ref="V11:V23" si="20">T11*$U$9</f>
        <v>4090.2</v>
      </c>
      <c r="W11" s="95">
        <f>AQ11</f>
        <v>1217.2</v>
      </c>
      <c r="X11" s="239">
        <v>2</v>
      </c>
      <c r="Y11" s="240">
        <v>30</v>
      </c>
      <c r="Z11" s="241">
        <f t="shared" si="9"/>
        <v>60</v>
      </c>
      <c r="AA11" s="239">
        <v>1</v>
      </c>
      <c r="AB11" s="240">
        <v>15</v>
      </c>
      <c r="AC11" s="241">
        <f t="shared" si="10"/>
        <v>15</v>
      </c>
      <c r="AD11" s="239">
        <v>1</v>
      </c>
      <c r="AE11" s="240">
        <v>30</v>
      </c>
      <c r="AF11" s="241">
        <f t="shared" si="11"/>
        <v>30</v>
      </c>
      <c r="AG11" s="241">
        <f t="shared" si="12"/>
        <v>31.5</v>
      </c>
      <c r="AH11" s="241">
        <f t="shared" si="13"/>
        <v>136.5</v>
      </c>
      <c r="AI11" s="114">
        <f t="shared" si="14"/>
        <v>85212.5</v>
      </c>
      <c r="AK11" s="114">
        <f t="shared" si="15"/>
        <v>1022.6</v>
      </c>
      <c r="AL11" s="114">
        <f t="shared" si="19"/>
        <v>303.60000000000002</v>
      </c>
      <c r="AM11" s="115">
        <v>0.30199999999999999</v>
      </c>
      <c r="AN11" s="50">
        <f t="shared" ref="AN11:AN24" si="21">AK11*0.22</f>
        <v>225</v>
      </c>
      <c r="AO11" s="50">
        <f>865*0.029</f>
        <v>25.1</v>
      </c>
      <c r="AP11" s="50">
        <f>AK11*0.053</f>
        <v>54.2</v>
      </c>
      <c r="AQ11" s="50">
        <f t="shared" si="16"/>
        <v>1217.2</v>
      </c>
      <c r="AS11" s="99">
        <f t="shared" si="17"/>
        <v>16.593</v>
      </c>
    </row>
    <row r="12" spans="1:45" x14ac:dyDescent="0.2">
      <c r="A12" s="284">
        <v>4</v>
      </c>
      <c r="B12" s="236" t="s">
        <v>47</v>
      </c>
      <c r="C12" s="238">
        <v>1</v>
      </c>
      <c r="D12" s="237">
        <v>6.2859999999999996</v>
      </c>
      <c r="E12" s="111">
        <f t="shared" si="0"/>
        <v>6.29</v>
      </c>
      <c r="F12" s="95">
        <f t="shared" si="1"/>
        <v>75.5</v>
      </c>
      <c r="G12" s="95"/>
      <c r="H12" s="95"/>
      <c r="I12" s="95"/>
      <c r="J12" s="95"/>
      <c r="K12" s="95"/>
      <c r="L12" s="95">
        <f t="shared" si="18"/>
        <v>11.7</v>
      </c>
      <c r="M12" s="95">
        <f t="shared" si="2"/>
        <v>87.2</v>
      </c>
      <c r="N12" s="111">
        <v>0.45</v>
      </c>
      <c r="O12" s="95">
        <f t="shared" si="3"/>
        <v>39.200000000000003</v>
      </c>
      <c r="P12" s="95">
        <f t="shared" si="4"/>
        <v>126.4</v>
      </c>
      <c r="Q12" s="95">
        <f t="shared" si="5"/>
        <v>101.1</v>
      </c>
      <c r="R12" s="95">
        <f t="shared" si="6"/>
        <v>101.1</v>
      </c>
      <c r="S12" s="95">
        <f t="shared" si="7"/>
        <v>10.5</v>
      </c>
      <c r="T12" s="95">
        <f t="shared" si="8"/>
        <v>339.1</v>
      </c>
      <c r="U12" s="3430"/>
      <c r="V12" s="95">
        <f t="shared" si="20"/>
        <v>339.1</v>
      </c>
      <c r="W12" s="95">
        <f t="shared" ref="W12:W24" si="22">V12*0.302</f>
        <v>102.4</v>
      </c>
      <c r="X12" s="239"/>
      <c r="Y12" s="240">
        <v>30</v>
      </c>
      <c r="Z12" s="241">
        <f t="shared" si="9"/>
        <v>0</v>
      </c>
      <c r="AA12" s="239"/>
      <c r="AB12" s="240">
        <v>15</v>
      </c>
      <c r="AC12" s="241">
        <f t="shared" si="10"/>
        <v>0</v>
      </c>
      <c r="AD12" s="239"/>
      <c r="AE12" s="240">
        <v>30</v>
      </c>
      <c r="AF12" s="241">
        <f t="shared" si="11"/>
        <v>0</v>
      </c>
      <c r="AG12" s="241">
        <f t="shared" si="12"/>
        <v>0</v>
      </c>
      <c r="AH12" s="241">
        <f t="shared" si="13"/>
        <v>0</v>
      </c>
      <c r="AI12" s="114">
        <f t="shared" si="14"/>
        <v>28258.3</v>
      </c>
      <c r="AK12" s="114">
        <f t="shared" si="15"/>
        <v>339.1</v>
      </c>
      <c r="AL12" s="114">
        <f t="shared" si="19"/>
        <v>179.2</v>
      </c>
      <c r="AM12" s="115">
        <v>0.30199999999999999</v>
      </c>
      <c r="AN12" s="50">
        <f t="shared" si="21"/>
        <v>74.599999999999994</v>
      </c>
      <c r="AO12" s="50"/>
      <c r="AP12" s="50">
        <f t="shared" ref="AP12:AP24" si="23">AK12*0.053</f>
        <v>18</v>
      </c>
      <c r="AQ12" s="50">
        <f t="shared" si="16"/>
        <v>92.6</v>
      </c>
      <c r="AR12" s="22"/>
      <c r="AS12" s="99">
        <f t="shared" si="17"/>
        <v>9.4290000000000003</v>
      </c>
    </row>
    <row r="13" spans="1:45" s="33" customFormat="1" x14ac:dyDescent="0.2">
      <c r="A13" s="284">
        <v>5</v>
      </c>
      <c r="B13" s="52" t="s">
        <v>48</v>
      </c>
      <c r="C13" s="278">
        <v>1</v>
      </c>
      <c r="D13" s="177">
        <v>11.061999999999999</v>
      </c>
      <c r="E13" s="171">
        <f t="shared" si="0"/>
        <v>11.06</v>
      </c>
      <c r="F13" s="154">
        <f t="shared" si="1"/>
        <v>132.69999999999999</v>
      </c>
      <c r="G13" s="154"/>
      <c r="H13" s="154">
        <f>7010.2/1000</f>
        <v>7</v>
      </c>
      <c r="I13" s="154"/>
      <c r="J13" s="154"/>
      <c r="K13" s="154">
        <f>F13*0.4</f>
        <v>53.1</v>
      </c>
      <c r="L13" s="95">
        <f t="shared" si="18"/>
        <v>20.5</v>
      </c>
      <c r="M13" s="154">
        <f t="shared" si="2"/>
        <v>213.3</v>
      </c>
      <c r="N13" s="111">
        <v>0.47</v>
      </c>
      <c r="O13" s="154">
        <f t="shared" si="3"/>
        <v>100.3</v>
      </c>
      <c r="P13" s="154">
        <f t="shared" si="4"/>
        <v>313.60000000000002</v>
      </c>
      <c r="Q13" s="154">
        <f t="shared" si="5"/>
        <v>250.9</v>
      </c>
      <c r="R13" s="154">
        <f t="shared" si="6"/>
        <v>250.9</v>
      </c>
      <c r="S13" s="154">
        <f t="shared" si="7"/>
        <v>26.1</v>
      </c>
      <c r="T13" s="154">
        <f t="shared" si="8"/>
        <v>841.5</v>
      </c>
      <c r="U13" s="3430"/>
      <c r="V13" s="154">
        <f t="shared" si="20"/>
        <v>841.5</v>
      </c>
      <c r="W13" s="95">
        <f t="shared" si="22"/>
        <v>254.1</v>
      </c>
      <c r="X13" s="54"/>
      <c r="Y13" s="24">
        <v>30</v>
      </c>
      <c r="Z13" s="48">
        <f t="shared" si="9"/>
        <v>0</v>
      </c>
      <c r="AA13" s="54"/>
      <c r="AB13" s="24">
        <v>15</v>
      </c>
      <c r="AC13" s="48">
        <f t="shared" si="10"/>
        <v>0</v>
      </c>
      <c r="AD13" s="54"/>
      <c r="AE13" s="24">
        <v>30</v>
      </c>
      <c r="AF13" s="48">
        <f t="shared" si="11"/>
        <v>0</v>
      </c>
      <c r="AG13" s="48">
        <f t="shared" si="12"/>
        <v>0</v>
      </c>
      <c r="AH13" s="48">
        <f t="shared" si="13"/>
        <v>0</v>
      </c>
      <c r="AI13" s="34">
        <f t="shared" si="14"/>
        <v>70125</v>
      </c>
      <c r="AK13" s="34">
        <f t="shared" si="15"/>
        <v>841.5</v>
      </c>
      <c r="AL13" s="34">
        <f t="shared" si="19"/>
        <v>270.60000000000002</v>
      </c>
      <c r="AM13" s="51">
        <v>0.30199999999999999</v>
      </c>
      <c r="AN13" s="50">
        <f t="shared" si="21"/>
        <v>185.1</v>
      </c>
      <c r="AO13" s="50"/>
      <c r="AP13" s="50">
        <f t="shared" si="23"/>
        <v>44.6</v>
      </c>
      <c r="AQ13" s="50">
        <f t="shared" si="16"/>
        <v>229.7</v>
      </c>
      <c r="AR13" s="22"/>
      <c r="AS13" s="22">
        <f t="shared" si="17"/>
        <v>16.593</v>
      </c>
    </row>
    <row r="14" spans="1:45" x14ac:dyDescent="0.2">
      <c r="A14" s="284">
        <v>6</v>
      </c>
      <c r="B14" s="236" t="s">
        <v>49</v>
      </c>
      <c r="C14" s="127">
        <v>1</v>
      </c>
      <c r="D14" s="237">
        <v>8.4730000000000008</v>
      </c>
      <c r="E14" s="111">
        <f t="shared" si="0"/>
        <v>8.4700000000000006</v>
      </c>
      <c r="F14" s="95">
        <f t="shared" si="1"/>
        <v>101.6</v>
      </c>
      <c r="G14" s="95"/>
      <c r="H14" s="95">
        <f>5966.1/1000</f>
        <v>6</v>
      </c>
      <c r="I14" s="95"/>
      <c r="J14" s="95"/>
      <c r="K14" s="95">
        <f>F14*0.4</f>
        <v>40.6</v>
      </c>
      <c r="L14" s="95">
        <f t="shared" si="18"/>
        <v>15.7</v>
      </c>
      <c r="M14" s="95">
        <f t="shared" si="2"/>
        <v>163.9</v>
      </c>
      <c r="N14" s="111">
        <v>0.41</v>
      </c>
      <c r="O14" s="95">
        <f t="shared" si="3"/>
        <v>67.2</v>
      </c>
      <c r="P14" s="95">
        <f t="shared" si="4"/>
        <v>231.1</v>
      </c>
      <c r="Q14" s="95">
        <f t="shared" si="5"/>
        <v>184.9</v>
      </c>
      <c r="R14" s="95">
        <f t="shared" si="6"/>
        <v>184.9</v>
      </c>
      <c r="S14" s="95">
        <f t="shared" si="7"/>
        <v>19.2</v>
      </c>
      <c r="T14" s="95">
        <f t="shared" si="8"/>
        <v>620.1</v>
      </c>
      <c r="U14" s="3430"/>
      <c r="V14" s="95">
        <f>T14*$U$9</f>
        <v>620.1</v>
      </c>
      <c r="W14" s="95">
        <f t="shared" si="22"/>
        <v>187.3</v>
      </c>
      <c r="X14" s="284"/>
      <c r="Y14" s="112">
        <v>30</v>
      </c>
      <c r="Z14" s="113">
        <f t="shared" si="9"/>
        <v>0</v>
      </c>
      <c r="AA14" s="127"/>
      <c r="AB14" s="112">
        <v>15</v>
      </c>
      <c r="AC14" s="113">
        <f t="shared" si="10"/>
        <v>0</v>
      </c>
      <c r="AD14" s="127"/>
      <c r="AE14" s="112">
        <v>30</v>
      </c>
      <c r="AF14" s="113">
        <f t="shared" si="11"/>
        <v>0</v>
      </c>
      <c r="AG14" s="113">
        <f t="shared" si="12"/>
        <v>0</v>
      </c>
      <c r="AH14" s="113">
        <f t="shared" si="13"/>
        <v>0</v>
      </c>
      <c r="AI14" s="114">
        <f t="shared" si="14"/>
        <v>51675</v>
      </c>
      <c r="AK14" s="114">
        <f t="shared" si="15"/>
        <v>620.1</v>
      </c>
      <c r="AL14" s="114">
        <f t="shared" si="19"/>
        <v>230.3</v>
      </c>
      <c r="AM14" s="115">
        <v>0.30199999999999999</v>
      </c>
      <c r="AN14" s="50">
        <f t="shared" si="21"/>
        <v>136.4</v>
      </c>
      <c r="AO14" s="50"/>
      <c r="AP14" s="50">
        <f t="shared" si="23"/>
        <v>32.9</v>
      </c>
      <c r="AQ14" s="50">
        <f t="shared" si="16"/>
        <v>169.3</v>
      </c>
      <c r="AR14" s="22"/>
      <c r="AS14" s="99">
        <f t="shared" si="17"/>
        <v>12.7095</v>
      </c>
    </row>
    <row r="15" spans="1:45" x14ac:dyDescent="0.2">
      <c r="A15" s="284">
        <v>7</v>
      </c>
      <c r="B15" s="236" t="s">
        <v>52</v>
      </c>
      <c r="C15" s="127">
        <v>1</v>
      </c>
      <c r="D15" s="237">
        <v>8.4730000000000008</v>
      </c>
      <c r="E15" s="111">
        <f t="shared" si="0"/>
        <v>8.4700000000000006</v>
      </c>
      <c r="F15" s="95">
        <f t="shared" si="1"/>
        <v>101.6</v>
      </c>
      <c r="G15" s="95"/>
      <c r="H15" s="95">
        <f>5966.1/1000</f>
        <v>6</v>
      </c>
      <c r="I15" s="95"/>
      <c r="J15" s="95"/>
      <c r="K15" s="95">
        <f>F15*0.25</f>
        <v>25.4</v>
      </c>
      <c r="L15" s="95">
        <f t="shared" si="18"/>
        <v>15.7</v>
      </c>
      <c r="M15" s="95">
        <f t="shared" si="2"/>
        <v>148.69999999999999</v>
      </c>
      <c r="N15" s="111">
        <v>0.41</v>
      </c>
      <c r="O15" s="95">
        <f t="shared" si="3"/>
        <v>61</v>
      </c>
      <c r="P15" s="95">
        <f t="shared" si="4"/>
        <v>209.7</v>
      </c>
      <c r="Q15" s="95">
        <f t="shared" si="5"/>
        <v>167.8</v>
      </c>
      <c r="R15" s="95">
        <f t="shared" si="6"/>
        <v>167.8</v>
      </c>
      <c r="S15" s="95">
        <f t="shared" si="7"/>
        <v>17.399999999999999</v>
      </c>
      <c r="T15" s="95">
        <f t="shared" si="8"/>
        <v>562.70000000000005</v>
      </c>
      <c r="U15" s="3430"/>
      <c r="V15" s="95">
        <f t="shared" si="20"/>
        <v>562.70000000000005</v>
      </c>
      <c r="W15" s="95">
        <f t="shared" si="22"/>
        <v>169.9</v>
      </c>
      <c r="X15" s="284"/>
      <c r="Y15" s="112">
        <v>30</v>
      </c>
      <c r="Z15" s="113">
        <f t="shared" si="9"/>
        <v>0</v>
      </c>
      <c r="AA15" s="127"/>
      <c r="AB15" s="112">
        <v>15</v>
      </c>
      <c r="AC15" s="113">
        <f t="shared" si="10"/>
        <v>0</v>
      </c>
      <c r="AD15" s="127"/>
      <c r="AE15" s="112">
        <v>30</v>
      </c>
      <c r="AF15" s="113">
        <f t="shared" si="11"/>
        <v>0</v>
      </c>
      <c r="AG15" s="113">
        <f t="shared" si="12"/>
        <v>0</v>
      </c>
      <c r="AH15" s="113">
        <f t="shared" si="13"/>
        <v>0</v>
      </c>
      <c r="AI15" s="114">
        <f t="shared" si="14"/>
        <v>46891.7</v>
      </c>
      <c r="AK15" s="114">
        <f t="shared" si="15"/>
        <v>562.70000000000005</v>
      </c>
      <c r="AL15" s="114">
        <f t="shared" si="19"/>
        <v>219.9</v>
      </c>
      <c r="AM15" s="115">
        <v>0.30199999999999999</v>
      </c>
      <c r="AN15" s="50">
        <f t="shared" si="21"/>
        <v>123.8</v>
      </c>
      <c r="AO15" s="50"/>
      <c r="AP15" s="50">
        <f t="shared" si="23"/>
        <v>29.8</v>
      </c>
      <c r="AQ15" s="50">
        <f t="shared" si="16"/>
        <v>153.6</v>
      </c>
      <c r="AS15" s="99">
        <f t="shared" si="17"/>
        <v>12.7095</v>
      </c>
    </row>
    <row r="16" spans="1:45" x14ac:dyDescent="0.2">
      <c r="A16" s="284">
        <v>8</v>
      </c>
      <c r="B16" s="236" t="s">
        <v>40</v>
      </c>
      <c r="C16" s="127">
        <v>1</v>
      </c>
      <c r="D16" s="237">
        <v>11.061999999999999</v>
      </c>
      <c r="E16" s="111">
        <f t="shared" si="0"/>
        <v>11.06</v>
      </c>
      <c r="F16" s="95">
        <f t="shared" si="1"/>
        <v>132.69999999999999</v>
      </c>
      <c r="G16" s="95"/>
      <c r="H16" s="95">
        <f>7010.2/1000</f>
        <v>7</v>
      </c>
      <c r="I16" s="95"/>
      <c r="J16" s="95"/>
      <c r="K16" s="95">
        <f>F16*0.25</f>
        <v>33.200000000000003</v>
      </c>
      <c r="L16" s="95">
        <f t="shared" si="18"/>
        <v>20.5</v>
      </c>
      <c r="M16" s="95">
        <f t="shared" si="2"/>
        <v>193.4</v>
      </c>
      <c r="N16" s="111">
        <v>0.43</v>
      </c>
      <c r="O16" s="95">
        <f t="shared" si="3"/>
        <v>83.2</v>
      </c>
      <c r="P16" s="95">
        <f t="shared" si="4"/>
        <v>276.60000000000002</v>
      </c>
      <c r="Q16" s="95">
        <f t="shared" si="5"/>
        <v>221.3</v>
      </c>
      <c r="R16" s="95">
        <f t="shared" si="6"/>
        <v>221.3</v>
      </c>
      <c r="S16" s="95">
        <f t="shared" si="7"/>
        <v>23</v>
      </c>
      <c r="T16" s="95">
        <f t="shared" si="8"/>
        <v>742.2</v>
      </c>
      <c r="U16" s="3430"/>
      <c r="V16" s="95">
        <f t="shared" si="20"/>
        <v>742.2</v>
      </c>
      <c r="W16" s="95">
        <f t="shared" si="22"/>
        <v>224.1</v>
      </c>
      <c r="X16" s="284"/>
      <c r="Y16" s="112">
        <v>30</v>
      </c>
      <c r="Z16" s="113">
        <f t="shared" si="9"/>
        <v>0</v>
      </c>
      <c r="AA16" s="127"/>
      <c r="AB16" s="112">
        <v>15</v>
      </c>
      <c r="AC16" s="113">
        <f t="shared" si="10"/>
        <v>0</v>
      </c>
      <c r="AD16" s="127"/>
      <c r="AE16" s="112">
        <v>30</v>
      </c>
      <c r="AF16" s="113">
        <f t="shared" si="11"/>
        <v>0</v>
      </c>
      <c r="AG16" s="113">
        <f t="shared" si="12"/>
        <v>0</v>
      </c>
      <c r="AH16" s="113">
        <f t="shared" si="13"/>
        <v>0</v>
      </c>
      <c r="AI16" s="114">
        <f t="shared" si="14"/>
        <v>61850</v>
      </c>
      <c r="AK16" s="114">
        <f t="shared" si="15"/>
        <v>742.2</v>
      </c>
      <c r="AL16" s="114">
        <f t="shared" si="19"/>
        <v>252.6</v>
      </c>
      <c r="AM16" s="115">
        <v>0.30199999999999999</v>
      </c>
      <c r="AN16" s="50">
        <f t="shared" si="21"/>
        <v>163.30000000000001</v>
      </c>
      <c r="AO16" s="242"/>
      <c r="AP16" s="50">
        <f t="shared" si="23"/>
        <v>39.299999999999997</v>
      </c>
      <c r="AQ16" s="50">
        <f t="shared" si="16"/>
        <v>202.6</v>
      </c>
      <c r="AS16" s="99">
        <f t="shared" si="17"/>
        <v>16.593</v>
      </c>
    </row>
    <row r="17" spans="1:45" x14ac:dyDescent="0.2">
      <c r="A17" s="284">
        <v>9</v>
      </c>
      <c r="B17" s="236" t="s">
        <v>29</v>
      </c>
      <c r="C17" s="127">
        <v>1</v>
      </c>
      <c r="D17" s="237">
        <v>8.4730000000000008</v>
      </c>
      <c r="E17" s="111">
        <f t="shared" si="0"/>
        <v>8.4700000000000006</v>
      </c>
      <c r="F17" s="95">
        <f t="shared" si="1"/>
        <v>101.6</v>
      </c>
      <c r="G17" s="95"/>
      <c r="H17" s="95">
        <f>5369.5/1000</f>
        <v>5.4</v>
      </c>
      <c r="I17" s="95"/>
      <c r="J17" s="95">
        <f>D17*0.1*3</f>
        <v>2.5</v>
      </c>
      <c r="K17" s="95">
        <f>D17*0.25*12</f>
        <v>25.4</v>
      </c>
      <c r="L17" s="95">
        <f t="shared" si="18"/>
        <v>15.7</v>
      </c>
      <c r="M17" s="95">
        <f t="shared" si="2"/>
        <v>150.6</v>
      </c>
      <c r="N17" s="111">
        <v>0.41</v>
      </c>
      <c r="O17" s="95">
        <f t="shared" si="3"/>
        <v>61.7</v>
      </c>
      <c r="P17" s="95">
        <f t="shared" si="4"/>
        <v>212.3</v>
      </c>
      <c r="Q17" s="95">
        <f t="shared" si="5"/>
        <v>169.8</v>
      </c>
      <c r="R17" s="95">
        <f t="shared" si="6"/>
        <v>169.8</v>
      </c>
      <c r="S17" s="95">
        <f t="shared" si="7"/>
        <v>17.7</v>
      </c>
      <c r="T17" s="95">
        <f t="shared" si="8"/>
        <v>569.6</v>
      </c>
      <c r="U17" s="3430"/>
      <c r="V17" s="95">
        <f t="shared" si="20"/>
        <v>569.6</v>
      </c>
      <c r="W17" s="95">
        <f t="shared" si="22"/>
        <v>172</v>
      </c>
      <c r="X17" s="284">
        <v>1</v>
      </c>
      <c r="Y17" s="112">
        <v>30</v>
      </c>
      <c r="Z17" s="113">
        <f t="shared" si="9"/>
        <v>30</v>
      </c>
      <c r="AA17" s="127"/>
      <c r="AB17" s="112">
        <v>15</v>
      </c>
      <c r="AC17" s="113">
        <f t="shared" si="10"/>
        <v>0</v>
      </c>
      <c r="AD17" s="127"/>
      <c r="AE17" s="112">
        <v>30</v>
      </c>
      <c r="AF17" s="113">
        <f t="shared" si="11"/>
        <v>0</v>
      </c>
      <c r="AG17" s="113">
        <f t="shared" si="12"/>
        <v>9</v>
      </c>
      <c r="AH17" s="113">
        <f t="shared" si="13"/>
        <v>39</v>
      </c>
      <c r="AI17" s="114">
        <f t="shared" si="14"/>
        <v>47466.7</v>
      </c>
      <c r="AK17" s="114">
        <f t="shared" si="15"/>
        <v>569.6</v>
      </c>
      <c r="AL17" s="114">
        <f t="shared" si="19"/>
        <v>221.1</v>
      </c>
      <c r="AM17" s="115">
        <v>0.30199999999999999</v>
      </c>
      <c r="AN17" s="50">
        <f t="shared" si="21"/>
        <v>125.3</v>
      </c>
      <c r="AO17" s="242"/>
      <c r="AP17" s="50">
        <f t="shared" si="23"/>
        <v>30.2</v>
      </c>
      <c r="AQ17" s="50">
        <f t="shared" si="16"/>
        <v>155.5</v>
      </c>
      <c r="AS17" s="99">
        <f t="shared" si="17"/>
        <v>12.7095</v>
      </c>
    </row>
    <row r="18" spans="1:45" ht="25.5" x14ac:dyDescent="0.2">
      <c r="A18" s="284">
        <v>10</v>
      </c>
      <c r="B18" s="236" t="s">
        <v>148</v>
      </c>
      <c r="C18" s="127">
        <v>1</v>
      </c>
      <c r="D18" s="237">
        <v>8.4730000000000008</v>
      </c>
      <c r="E18" s="111">
        <f t="shared" si="0"/>
        <v>8.4700000000000006</v>
      </c>
      <c r="F18" s="95">
        <f t="shared" si="1"/>
        <v>101.6</v>
      </c>
      <c r="G18" s="95"/>
      <c r="H18" s="95"/>
      <c r="I18" s="95"/>
      <c r="J18" s="95"/>
      <c r="K18" s="95">
        <f>F18*0.25+D18*0.05*11</f>
        <v>30.1</v>
      </c>
      <c r="L18" s="95">
        <f t="shared" si="18"/>
        <v>15.7</v>
      </c>
      <c r="M18" s="95">
        <f t="shared" si="2"/>
        <v>147.4</v>
      </c>
      <c r="N18" s="111">
        <v>0.41</v>
      </c>
      <c r="O18" s="95">
        <f t="shared" si="3"/>
        <v>60.4</v>
      </c>
      <c r="P18" s="95">
        <f t="shared" si="4"/>
        <v>207.8</v>
      </c>
      <c r="Q18" s="95">
        <f t="shared" si="5"/>
        <v>166.2</v>
      </c>
      <c r="R18" s="95">
        <f t="shared" si="6"/>
        <v>166.2</v>
      </c>
      <c r="S18" s="95">
        <f t="shared" si="7"/>
        <v>17.3</v>
      </c>
      <c r="T18" s="95">
        <f t="shared" si="8"/>
        <v>557.5</v>
      </c>
      <c r="U18" s="3430"/>
      <c r="V18" s="95">
        <f t="shared" si="20"/>
        <v>557.5</v>
      </c>
      <c r="W18" s="95">
        <f t="shared" si="22"/>
        <v>168.4</v>
      </c>
      <c r="X18" s="284">
        <v>1</v>
      </c>
      <c r="Y18" s="112">
        <v>30</v>
      </c>
      <c r="Z18" s="113">
        <f t="shared" si="9"/>
        <v>30</v>
      </c>
      <c r="AA18" s="127"/>
      <c r="AB18" s="112">
        <v>15</v>
      </c>
      <c r="AC18" s="113">
        <f t="shared" si="10"/>
        <v>0</v>
      </c>
      <c r="AD18" s="127"/>
      <c r="AE18" s="112">
        <v>30</v>
      </c>
      <c r="AF18" s="113">
        <f t="shared" si="11"/>
        <v>0</v>
      </c>
      <c r="AG18" s="113">
        <f t="shared" si="12"/>
        <v>9</v>
      </c>
      <c r="AH18" s="113">
        <f t="shared" si="13"/>
        <v>39</v>
      </c>
      <c r="AI18" s="114"/>
      <c r="AK18" s="114">
        <f t="shared" si="15"/>
        <v>557.5</v>
      </c>
      <c r="AL18" s="114"/>
      <c r="AM18" s="115"/>
      <c r="AN18" s="50">
        <f t="shared" si="21"/>
        <v>122.7</v>
      </c>
      <c r="AO18" s="242"/>
      <c r="AP18" s="50">
        <f t="shared" si="23"/>
        <v>29.5</v>
      </c>
      <c r="AQ18" s="50">
        <f t="shared" si="16"/>
        <v>152.19999999999999</v>
      </c>
    </row>
    <row r="19" spans="1:45" ht="25.5" x14ac:dyDescent="0.2">
      <c r="A19" s="284">
        <v>11</v>
      </c>
      <c r="B19" s="236" t="s">
        <v>130</v>
      </c>
      <c r="C19" s="127">
        <v>1</v>
      </c>
      <c r="D19" s="237">
        <v>8.4730000000000008</v>
      </c>
      <c r="E19" s="111">
        <f t="shared" si="0"/>
        <v>8.4700000000000006</v>
      </c>
      <c r="F19" s="95">
        <f t="shared" si="1"/>
        <v>101.6</v>
      </c>
      <c r="G19" s="95"/>
      <c r="H19" s="95"/>
      <c r="I19" s="95"/>
      <c r="J19" s="95"/>
      <c r="K19" s="95"/>
      <c r="L19" s="95">
        <f t="shared" si="18"/>
        <v>15.7</v>
      </c>
      <c r="M19" s="95">
        <f t="shared" si="2"/>
        <v>117.3</v>
      </c>
      <c r="N19" s="111">
        <v>0.47</v>
      </c>
      <c r="O19" s="95">
        <f t="shared" si="3"/>
        <v>55.1</v>
      </c>
      <c r="P19" s="95">
        <f t="shared" si="4"/>
        <v>172.4</v>
      </c>
      <c r="Q19" s="95">
        <f t="shared" si="5"/>
        <v>137.9</v>
      </c>
      <c r="R19" s="95">
        <f t="shared" si="6"/>
        <v>137.9</v>
      </c>
      <c r="S19" s="95">
        <f t="shared" si="7"/>
        <v>14.3</v>
      </c>
      <c r="T19" s="95">
        <f t="shared" si="8"/>
        <v>462.5</v>
      </c>
      <c r="U19" s="3430"/>
      <c r="V19" s="95">
        <f t="shared" si="20"/>
        <v>462.5</v>
      </c>
      <c r="W19" s="95">
        <f t="shared" si="22"/>
        <v>139.69999999999999</v>
      </c>
      <c r="X19" s="284"/>
      <c r="Y19" s="112">
        <v>30</v>
      </c>
      <c r="Z19" s="113">
        <f t="shared" si="9"/>
        <v>0</v>
      </c>
      <c r="AA19" s="127"/>
      <c r="AB19" s="112">
        <v>15</v>
      </c>
      <c r="AC19" s="113">
        <f t="shared" si="10"/>
        <v>0</v>
      </c>
      <c r="AD19" s="127"/>
      <c r="AE19" s="112">
        <v>30</v>
      </c>
      <c r="AF19" s="113">
        <f t="shared" si="11"/>
        <v>0</v>
      </c>
      <c r="AG19" s="113">
        <f t="shared" si="12"/>
        <v>0</v>
      </c>
      <c r="AH19" s="113">
        <f t="shared" si="13"/>
        <v>0</v>
      </c>
      <c r="AI19" s="114"/>
      <c r="AK19" s="114">
        <f t="shared" si="15"/>
        <v>462.5</v>
      </c>
      <c r="AL19" s="114"/>
      <c r="AM19" s="115"/>
      <c r="AN19" s="50">
        <f t="shared" si="21"/>
        <v>101.8</v>
      </c>
      <c r="AO19" s="242"/>
      <c r="AP19" s="50">
        <f t="shared" si="23"/>
        <v>24.5</v>
      </c>
      <c r="AQ19" s="50">
        <f t="shared" si="16"/>
        <v>126.3</v>
      </c>
    </row>
    <row r="20" spans="1:45" ht="25.5" x14ac:dyDescent="0.2">
      <c r="A20" s="284">
        <v>12</v>
      </c>
      <c r="B20" s="236" t="s">
        <v>149</v>
      </c>
      <c r="C20" s="127">
        <v>1</v>
      </c>
      <c r="D20" s="237">
        <v>11.061999999999999</v>
      </c>
      <c r="E20" s="111">
        <f t="shared" si="0"/>
        <v>11.06</v>
      </c>
      <c r="F20" s="95">
        <f t="shared" si="1"/>
        <v>132.69999999999999</v>
      </c>
      <c r="G20" s="95"/>
      <c r="H20" s="95"/>
      <c r="I20" s="95"/>
      <c r="J20" s="95"/>
      <c r="K20" s="95"/>
      <c r="L20" s="95">
        <f t="shared" si="18"/>
        <v>20.5</v>
      </c>
      <c r="M20" s="95">
        <f t="shared" si="2"/>
        <v>153.19999999999999</v>
      </c>
      <c r="N20" s="111">
        <v>0.43</v>
      </c>
      <c r="O20" s="95">
        <f t="shared" si="3"/>
        <v>65.900000000000006</v>
      </c>
      <c r="P20" s="95">
        <f t="shared" si="4"/>
        <v>219.1</v>
      </c>
      <c r="Q20" s="95">
        <f t="shared" si="5"/>
        <v>175.3</v>
      </c>
      <c r="R20" s="95">
        <f t="shared" si="6"/>
        <v>175.3</v>
      </c>
      <c r="S20" s="95">
        <f t="shared" si="7"/>
        <v>18.2</v>
      </c>
      <c r="T20" s="95">
        <f t="shared" si="8"/>
        <v>587.9</v>
      </c>
      <c r="U20" s="3430"/>
      <c r="V20" s="95">
        <f t="shared" si="20"/>
        <v>587.9</v>
      </c>
      <c r="W20" s="95">
        <f t="shared" si="22"/>
        <v>177.5</v>
      </c>
      <c r="X20" s="284"/>
      <c r="Y20" s="112">
        <v>30</v>
      </c>
      <c r="Z20" s="113">
        <f t="shared" si="9"/>
        <v>0</v>
      </c>
      <c r="AA20" s="127"/>
      <c r="AB20" s="112">
        <v>15</v>
      </c>
      <c r="AC20" s="113">
        <f t="shared" si="10"/>
        <v>0</v>
      </c>
      <c r="AD20" s="127"/>
      <c r="AE20" s="112">
        <v>30</v>
      </c>
      <c r="AF20" s="113">
        <f t="shared" si="11"/>
        <v>0</v>
      </c>
      <c r="AG20" s="113">
        <f t="shared" si="12"/>
        <v>0</v>
      </c>
      <c r="AH20" s="113">
        <f t="shared" si="13"/>
        <v>0</v>
      </c>
      <c r="AI20" s="114"/>
      <c r="AK20" s="114">
        <f t="shared" si="15"/>
        <v>587.9</v>
      </c>
      <c r="AL20" s="114"/>
      <c r="AM20" s="115"/>
      <c r="AN20" s="50">
        <f t="shared" si="21"/>
        <v>129.30000000000001</v>
      </c>
      <c r="AO20" s="242"/>
      <c r="AP20" s="50">
        <f t="shared" si="23"/>
        <v>31.2</v>
      </c>
      <c r="AQ20" s="50">
        <f t="shared" si="16"/>
        <v>160.5</v>
      </c>
    </row>
    <row r="21" spans="1:45" x14ac:dyDescent="0.2">
      <c r="A21" s="284">
        <v>13</v>
      </c>
      <c r="B21" s="243" t="s">
        <v>42</v>
      </c>
      <c r="C21" s="127">
        <v>1</v>
      </c>
      <c r="D21" s="237">
        <v>11.061999999999999</v>
      </c>
      <c r="E21" s="111">
        <f t="shared" si="0"/>
        <v>11.06</v>
      </c>
      <c r="F21" s="95">
        <f t="shared" si="1"/>
        <v>132.69999999999999</v>
      </c>
      <c r="G21" s="95"/>
      <c r="H21" s="95">
        <f>7789.1/1000</f>
        <v>7.8</v>
      </c>
      <c r="I21" s="95"/>
      <c r="J21" s="95"/>
      <c r="K21" s="95">
        <f>F21*0.3+D21*0.05*2</f>
        <v>40.9</v>
      </c>
      <c r="L21" s="95">
        <f t="shared" si="18"/>
        <v>20.5</v>
      </c>
      <c r="M21" s="95">
        <f t="shared" si="2"/>
        <v>201.9</v>
      </c>
      <c r="N21" s="111">
        <v>0.43</v>
      </c>
      <c r="O21" s="95">
        <f t="shared" si="3"/>
        <v>86.8</v>
      </c>
      <c r="P21" s="95">
        <f t="shared" si="4"/>
        <v>288.7</v>
      </c>
      <c r="Q21" s="95">
        <f t="shared" si="5"/>
        <v>231</v>
      </c>
      <c r="R21" s="95">
        <f t="shared" si="6"/>
        <v>231</v>
      </c>
      <c r="S21" s="95">
        <f t="shared" si="7"/>
        <v>24</v>
      </c>
      <c r="T21" s="95">
        <f t="shared" si="8"/>
        <v>774.7</v>
      </c>
      <c r="U21" s="3430"/>
      <c r="V21" s="95">
        <f t="shared" si="20"/>
        <v>774.7</v>
      </c>
      <c r="W21" s="95">
        <f t="shared" si="22"/>
        <v>234</v>
      </c>
      <c r="X21" s="284"/>
      <c r="Y21" s="112">
        <v>30</v>
      </c>
      <c r="Z21" s="113">
        <f t="shared" si="9"/>
        <v>0</v>
      </c>
      <c r="AA21" s="127"/>
      <c r="AB21" s="112">
        <v>15</v>
      </c>
      <c r="AC21" s="113">
        <f t="shared" si="10"/>
        <v>0</v>
      </c>
      <c r="AD21" s="127"/>
      <c r="AE21" s="112">
        <v>30</v>
      </c>
      <c r="AF21" s="113">
        <f t="shared" si="11"/>
        <v>0</v>
      </c>
      <c r="AG21" s="113">
        <f t="shared" si="12"/>
        <v>0</v>
      </c>
      <c r="AH21" s="113">
        <f t="shared" si="13"/>
        <v>0</v>
      </c>
      <c r="AI21" s="114">
        <f>V21/12/C21*1000</f>
        <v>64558.3</v>
      </c>
      <c r="AK21" s="114">
        <f t="shared" si="15"/>
        <v>774.7</v>
      </c>
      <c r="AL21" s="114">
        <f t="shared" si="19"/>
        <v>258.5</v>
      </c>
      <c r="AM21" s="115">
        <v>0.30199999999999999</v>
      </c>
      <c r="AN21" s="50">
        <f t="shared" si="21"/>
        <v>170.4</v>
      </c>
      <c r="AO21" s="244"/>
      <c r="AP21" s="50">
        <f t="shared" si="23"/>
        <v>41.1</v>
      </c>
      <c r="AQ21" s="50">
        <f t="shared" si="16"/>
        <v>211.5</v>
      </c>
      <c r="AS21" s="99">
        <f>D21*1.5</f>
        <v>16.593</v>
      </c>
    </row>
    <row r="22" spans="1:45" x14ac:dyDescent="0.2">
      <c r="A22" s="284">
        <v>14</v>
      </c>
      <c r="B22" s="236" t="s">
        <v>33</v>
      </c>
      <c r="C22" s="127">
        <v>1</v>
      </c>
      <c r="D22" s="237">
        <v>8.4730000000000008</v>
      </c>
      <c r="E22" s="111">
        <f t="shared" si="0"/>
        <v>8.4700000000000006</v>
      </c>
      <c r="F22" s="95">
        <f t="shared" si="1"/>
        <v>101.6</v>
      </c>
      <c r="G22" s="95">
        <f>18010.1/1000</f>
        <v>18</v>
      </c>
      <c r="H22" s="95">
        <f>4474.6/1000</f>
        <v>4.5</v>
      </c>
      <c r="I22" s="95"/>
      <c r="J22" s="95"/>
      <c r="K22" s="95">
        <f>F22*0.25</f>
        <v>25.4</v>
      </c>
      <c r="L22" s="95">
        <f t="shared" si="18"/>
        <v>15.7</v>
      </c>
      <c r="M22" s="95">
        <f t="shared" si="2"/>
        <v>165.2</v>
      </c>
      <c r="N22" s="111">
        <v>0.41</v>
      </c>
      <c r="O22" s="95">
        <f t="shared" si="3"/>
        <v>67.7</v>
      </c>
      <c r="P22" s="95">
        <f t="shared" si="4"/>
        <v>232.9</v>
      </c>
      <c r="Q22" s="95">
        <f t="shared" si="5"/>
        <v>186.3</v>
      </c>
      <c r="R22" s="95">
        <f t="shared" si="6"/>
        <v>186.3</v>
      </c>
      <c r="S22" s="95">
        <f t="shared" si="7"/>
        <v>19.399999999999999</v>
      </c>
      <c r="T22" s="95">
        <f t="shared" si="8"/>
        <v>624.9</v>
      </c>
      <c r="U22" s="3430"/>
      <c r="V22" s="95">
        <f t="shared" si="20"/>
        <v>624.9</v>
      </c>
      <c r="W22" s="95">
        <f t="shared" si="22"/>
        <v>188.7</v>
      </c>
      <c r="X22" s="238"/>
      <c r="Y22" s="240">
        <v>30</v>
      </c>
      <c r="Z22" s="241">
        <f t="shared" si="9"/>
        <v>0</v>
      </c>
      <c r="AA22" s="238"/>
      <c r="AB22" s="240">
        <v>15</v>
      </c>
      <c r="AC22" s="241">
        <f t="shared" si="10"/>
        <v>0</v>
      </c>
      <c r="AD22" s="238"/>
      <c r="AE22" s="240">
        <v>30</v>
      </c>
      <c r="AF22" s="241">
        <f t="shared" si="11"/>
        <v>0</v>
      </c>
      <c r="AG22" s="241">
        <f t="shared" si="12"/>
        <v>0</v>
      </c>
      <c r="AH22" s="241">
        <f t="shared" si="13"/>
        <v>0</v>
      </c>
      <c r="AI22" s="114">
        <f>V22/12/C22*1000</f>
        <v>52075</v>
      </c>
      <c r="AK22" s="114">
        <f t="shared" si="15"/>
        <v>624.9</v>
      </c>
      <c r="AL22" s="114">
        <f t="shared" si="19"/>
        <v>231.2</v>
      </c>
      <c r="AM22" s="115">
        <v>0.30199999999999999</v>
      </c>
      <c r="AN22" s="50">
        <f t="shared" si="21"/>
        <v>137.5</v>
      </c>
      <c r="AO22" s="244"/>
      <c r="AP22" s="50">
        <f t="shared" si="23"/>
        <v>33.1</v>
      </c>
      <c r="AQ22" s="50">
        <f t="shared" si="16"/>
        <v>170.6</v>
      </c>
      <c r="AR22" s="245"/>
      <c r="AS22" s="99">
        <f>D22*1.5</f>
        <v>12.7095</v>
      </c>
    </row>
    <row r="23" spans="1:45" s="245" customFormat="1" x14ac:dyDescent="0.2">
      <c r="A23" s="284">
        <v>15</v>
      </c>
      <c r="B23" s="236" t="s">
        <v>58</v>
      </c>
      <c r="C23" s="246">
        <v>1</v>
      </c>
      <c r="D23" s="247">
        <v>11.061999999999999</v>
      </c>
      <c r="E23" s="111">
        <f t="shared" si="0"/>
        <v>11.06</v>
      </c>
      <c r="F23" s="95">
        <f t="shared" si="1"/>
        <v>132.69999999999999</v>
      </c>
      <c r="G23" s="248"/>
      <c r="H23" s="248"/>
      <c r="I23" s="248"/>
      <c r="J23" s="248"/>
      <c r="K23" s="248"/>
      <c r="L23" s="95">
        <f t="shared" si="18"/>
        <v>20.5</v>
      </c>
      <c r="M23" s="95">
        <f t="shared" si="2"/>
        <v>153.19999999999999</v>
      </c>
      <c r="N23" s="111">
        <v>0.43</v>
      </c>
      <c r="O23" s="95">
        <f t="shared" si="3"/>
        <v>65.900000000000006</v>
      </c>
      <c r="P23" s="95">
        <f t="shared" si="4"/>
        <v>219.1</v>
      </c>
      <c r="Q23" s="95">
        <f t="shared" si="5"/>
        <v>175.3</v>
      </c>
      <c r="R23" s="95">
        <f t="shared" si="6"/>
        <v>175.3</v>
      </c>
      <c r="S23" s="95">
        <f t="shared" si="7"/>
        <v>18.2</v>
      </c>
      <c r="T23" s="95">
        <f t="shared" si="8"/>
        <v>587.9</v>
      </c>
      <c r="U23" s="3430"/>
      <c r="V23" s="95">
        <f t="shared" si="20"/>
        <v>587.9</v>
      </c>
      <c r="W23" s="95">
        <f t="shared" si="22"/>
        <v>177.5</v>
      </c>
      <c r="X23" s="246"/>
      <c r="Y23" s="240">
        <v>30</v>
      </c>
      <c r="Z23" s="241">
        <f t="shared" si="9"/>
        <v>0</v>
      </c>
      <c r="AA23" s="246"/>
      <c r="AB23" s="240">
        <v>15</v>
      </c>
      <c r="AC23" s="241">
        <f t="shared" si="10"/>
        <v>0</v>
      </c>
      <c r="AD23" s="246"/>
      <c r="AE23" s="240">
        <v>30</v>
      </c>
      <c r="AF23" s="241">
        <f t="shared" si="11"/>
        <v>0</v>
      </c>
      <c r="AG23" s="241">
        <f t="shared" si="12"/>
        <v>0</v>
      </c>
      <c r="AH23" s="241">
        <f t="shared" si="13"/>
        <v>0</v>
      </c>
      <c r="AI23" s="114"/>
      <c r="AK23" s="114">
        <f t="shared" si="15"/>
        <v>587.9</v>
      </c>
      <c r="AL23" s="114"/>
      <c r="AM23" s="115"/>
      <c r="AN23" s="50">
        <f t="shared" si="21"/>
        <v>129.30000000000001</v>
      </c>
      <c r="AO23" s="211"/>
      <c r="AP23" s="50">
        <f t="shared" si="23"/>
        <v>31.2</v>
      </c>
      <c r="AQ23" s="50">
        <f t="shared" si="16"/>
        <v>160.5</v>
      </c>
      <c r="AR23" s="99"/>
      <c r="AS23" s="99"/>
    </row>
    <row r="24" spans="1:45" s="252" customFormat="1" ht="25.5" x14ac:dyDescent="0.2">
      <c r="A24" s="284">
        <v>16</v>
      </c>
      <c r="B24" s="236" t="s">
        <v>102</v>
      </c>
      <c r="C24" s="238">
        <v>1</v>
      </c>
      <c r="D24" s="237">
        <v>4.3769999999999998</v>
      </c>
      <c r="E24" s="249">
        <f t="shared" si="0"/>
        <v>4.38</v>
      </c>
      <c r="F24" s="170">
        <f t="shared" si="1"/>
        <v>52.6</v>
      </c>
      <c r="G24" s="248"/>
      <c r="H24" s="248"/>
      <c r="I24" s="248"/>
      <c r="J24" s="248"/>
      <c r="K24" s="248"/>
      <c r="L24" s="95">
        <v>35.200000000000003</v>
      </c>
      <c r="M24" s="248">
        <f t="shared" si="2"/>
        <v>87.8</v>
      </c>
      <c r="N24" s="111">
        <v>0.49</v>
      </c>
      <c r="O24" s="248">
        <f t="shared" si="3"/>
        <v>43</v>
      </c>
      <c r="P24" s="248">
        <f t="shared" si="4"/>
        <v>130.80000000000001</v>
      </c>
      <c r="Q24" s="248">
        <f t="shared" si="5"/>
        <v>104.6</v>
      </c>
      <c r="R24" s="95">
        <f t="shared" si="6"/>
        <v>104.6</v>
      </c>
      <c r="S24" s="248">
        <f t="shared" si="7"/>
        <v>10.9</v>
      </c>
      <c r="T24" s="248">
        <f t="shared" si="8"/>
        <v>350.9</v>
      </c>
      <c r="U24" s="4030"/>
      <c r="V24" s="250">
        <f>T24*$U$9-0.3</f>
        <v>350.6</v>
      </c>
      <c r="W24" s="95">
        <f t="shared" si="22"/>
        <v>105.9</v>
      </c>
      <c r="X24" s="251">
        <v>1</v>
      </c>
      <c r="Y24" s="112">
        <v>30</v>
      </c>
      <c r="Z24" s="113">
        <f t="shared" si="9"/>
        <v>30</v>
      </c>
      <c r="AA24" s="251"/>
      <c r="AB24" s="112">
        <v>15</v>
      </c>
      <c r="AC24" s="113">
        <f t="shared" si="10"/>
        <v>0</v>
      </c>
      <c r="AD24" s="251"/>
      <c r="AE24" s="112">
        <v>30</v>
      </c>
      <c r="AF24" s="113">
        <f t="shared" si="11"/>
        <v>0</v>
      </c>
      <c r="AG24" s="113">
        <f t="shared" si="12"/>
        <v>9</v>
      </c>
      <c r="AH24" s="113">
        <f t="shared" si="13"/>
        <v>39</v>
      </c>
      <c r="AI24" s="114">
        <f>V24/12/C24*1000</f>
        <v>29216.7</v>
      </c>
      <c r="AK24" s="114">
        <f t="shared" si="15"/>
        <v>350.6</v>
      </c>
      <c r="AL24" s="114">
        <f t="shared" si="19"/>
        <v>181.3</v>
      </c>
      <c r="AM24" s="115">
        <v>0.30199999999999999</v>
      </c>
      <c r="AN24" s="50">
        <f t="shared" si="21"/>
        <v>77.099999999999994</v>
      </c>
      <c r="AO24" s="211"/>
      <c r="AP24" s="50">
        <f t="shared" si="23"/>
        <v>18.600000000000001</v>
      </c>
      <c r="AQ24" s="50">
        <f t="shared" si="16"/>
        <v>95.7</v>
      </c>
      <c r="AR24" s="99"/>
      <c r="AS24" s="99">
        <f>D24*1.5</f>
        <v>6.5655000000000001</v>
      </c>
    </row>
    <row r="25" spans="1:45" s="98" customFormat="1" ht="20.25" customHeight="1" x14ac:dyDescent="0.2">
      <c r="A25" s="4029" t="s">
        <v>8</v>
      </c>
      <c r="B25" s="4029"/>
      <c r="C25" s="253">
        <f t="shared" ref="C25:M25" si="24">SUM(C9:C24)</f>
        <v>19</v>
      </c>
      <c r="D25" s="254">
        <f t="shared" si="24"/>
        <v>171.5</v>
      </c>
      <c r="E25" s="254">
        <f t="shared" si="24"/>
        <v>204.7</v>
      </c>
      <c r="F25" s="254">
        <f t="shared" si="24"/>
        <v>2455.8000000000002</v>
      </c>
      <c r="G25" s="254">
        <f t="shared" si="24"/>
        <v>18</v>
      </c>
      <c r="H25" s="254">
        <f t="shared" si="24"/>
        <v>76.7</v>
      </c>
      <c r="I25" s="254">
        <f t="shared" si="24"/>
        <v>0</v>
      </c>
      <c r="J25" s="254">
        <f t="shared" si="24"/>
        <v>2.5</v>
      </c>
      <c r="K25" s="254">
        <f t="shared" si="24"/>
        <v>868.2</v>
      </c>
      <c r="L25" s="254">
        <f t="shared" si="24"/>
        <v>406.5</v>
      </c>
      <c r="M25" s="254">
        <f t="shared" si="24"/>
        <v>3827.7</v>
      </c>
      <c r="N25" s="254"/>
      <c r="O25" s="254">
        <f t="shared" ref="O25:AH25" si="25">SUM(O9:O24)</f>
        <v>1659.4</v>
      </c>
      <c r="P25" s="254">
        <f t="shared" si="25"/>
        <v>5487.1</v>
      </c>
      <c r="Q25" s="254">
        <f t="shared" si="25"/>
        <v>4389.7</v>
      </c>
      <c r="R25" s="254">
        <f t="shared" si="25"/>
        <v>4389.7</v>
      </c>
      <c r="S25" s="254">
        <f t="shared" si="25"/>
        <v>456.3</v>
      </c>
      <c r="T25" s="254">
        <f t="shared" si="25"/>
        <v>14722.8</v>
      </c>
      <c r="U25" s="254">
        <f t="shared" si="25"/>
        <v>1</v>
      </c>
      <c r="V25" s="254">
        <f t="shared" si="25"/>
        <v>14722.5</v>
      </c>
      <c r="W25" s="254">
        <f t="shared" si="25"/>
        <v>4305.6000000000004</v>
      </c>
      <c r="X25" s="254">
        <f t="shared" si="25"/>
        <v>7</v>
      </c>
      <c r="Y25" s="254">
        <f t="shared" si="25"/>
        <v>480</v>
      </c>
      <c r="Z25" s="254">
        <f t="shared" si="25"/>
        <v>210</v>
      </c>
      <c r="AA25" s="254">
        <f t="shared" si="25"/>
        <v>1</v>
      </c>
      <c r="AB25" s="254">
        <f t="shared" si="25"/>
        <v>240</v>
      </c>
      <c r="AC25" s="254">
        <f t="shared" si="25"/>
        <v>15</v>
      </c>
      <c r="AD25" s="254">
        <f t="shared" si="25"/>
        <v>2</v>
      </c>
      <c r="AE25" s="254">
        <f t="shared" si="25"/>
        <v>480</v>
      </c>
      <c r="AF25" s="254">
        <f t="shared" si="25"/>
        <v>60</v>
      </c>
      <c r="AG25" s="254">
        <f t="shared" si="25"/>
        <v>85.5</v>
      </c>
      <c r="AH25" s="254">
        <f t="shared" si="25"/>
        <v>370.5</v>
      </c>
      <c r="AI25" s="114"/>
      <c r="AN25" s="211"/>
      <c r="AO25" s="211"/>
      <c r="AP25" s="211"/>
      <c r="AQ25" s="211"/>
      <c r="AR25" s="99"/>
      <c r="AS25" s="99"/>
    </row>
    <row r="26" spans="1:45" x14ac:dyDescent="0.2">
      <c r="G26" s="131"/>
      <c r="H26" s="131"/>
      <c r="I26" s="131"/>
      <c r="J26" s="131"/>
      <c r="K26" s="131"/>
      <c r="L26" s="131"/>
      <c r="M26" s="131"/>
      <c r="N26" s="131"/>
      <c r="O26" s="131"/>
      <c r="P26" s="131"/>
      <c r="Q26" s="131"/>
      <c r="R26" s="131"/>
      <c r="S26" s="131"/>
      <c r="T26" s="131"/>
      <c r="V26" s="114"/>
      <c r="W26" s="66"/>
      <c r="X26" s="131"/>
      <c r="AA26" s="131"/>
      <c r="AD26" s="131"/>
      <c r="AG26" s="131"/>
      <c r="AH26" s="131"/>
      <c r="AO26" s="50"/>
      <c r="AP26" s="50"/>
      <c r="AQ26" s="50"/>
    </row>
    <row r="27" spans="1:45" x14ac:dyDescent="0.2">
      <c r="B27" s="255"/>
      <c r="C27" s="256"/>
      <c r="D27" s="256"/>
      <c r="E27" s="257"/>
      <c r="F27" s="257"/>
      <c r="G27" s="257"/>
      <c r="H27" s="257"/>
      <c r="I27" s="133"/>
      <c r="J27" s="131"/>
      <c r="K27" s="131"/>
      <c r="L27" s="131"/>
      <c r="M27" s="131"/>
      <c r="N27" s="131"/>
      <c r="O27" s="131"/>
      <c r="P27" s="131"/>
      <c r="Q27" s="131"/>
      <c r="R27" s="131"/>
      <c r="S27" s="131"/>
      <c r="T27" s="131"/>
      <c r="V27" s="114"/>
      <c r="W27" s="114"/>
      <c r="X27" s="131"/>
      <c r="AA27" s="131"/>
      <c r="AD27" s="131"/>
      <c r="AE27" s="131"/>
    </row>
    <row r="28" spans="1:45" s="75" customFormat="1" x14ac:dyDescent="0.2">
      <c r="A28" s="70"/>
      <c r="B28" s="70"/>
      <c r="C28" s="71"/>
      <c r="D28" s="72"/>
      <c r="E28" s="72"/>
      <c r="F28" s="72"/>
      <c r="G28" s="72"/>
      <c r="H28" s="73"/>
      <c r="I28" s="73"/>
      <c r="J28" s="27"/>
      <c r="K28" s="27"/>
      <c r="L28" s="27"/>
      <c r="M28" s="27"/>
      <c r="N28" s="74"/>
      <c r="O28" s="27"/>
      <c r="P28" s="27"/>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75" customFormat="1" ht="59.25" customHeight="1" x14ac:dyDescent="0.2">
      <c r="A29" s="70"/>
      <c r="B29" s="70"/>
      <c r="C29" s="71"/>
      <c r="D29" s="77"/>
      <c r="E29" s="77"/>
      <c r="F29" s="27"/>
      <c r="G29" s="3191" t="s">
        <v>140</v>
      </c>
      <c r="H29" s="3191"/>
      <c r="I29" s="3191" t="s">
        <v>145</v>
      </c>
      <c r="J29" s="3191"/>
      <c r="K29" s="3191" t="s">
        <v>128</v>
      </c>
      <c r="L29" s="3191"/>
      <c r="Q29" s="27"/>
      <c r="R29" s="27"/>
      <c r="S29" s="27"/>
      <c r="T29" s="27"/>
      <c r="U29" s="27"/>
      <c r="V29" s="27"/>
      <c r="W29" s="27"/>
      <c r="X29" s="27"/>
      <c r="Y29" s="27"/>
      <c r="Z29" s="27"/>
      <c r="AA29" s="27"/>
      <c r="AB29" s="27"/>
      <c r="AC29" s="27"/>
      <c r="AD29" s="27"/>
      <c r="AE29" s="27"/>
      <c r="AF29" s="27"/>
      <c r="AG29" s="27"/>
      <c r="AH29" s="27"/>
      <c r="AI29" s="27"/>
      <c r="AJ29" s="76"/>
      <c r="AN29" s="76"/>
      <c r="AO29" s="76"/>
      <c r="AP29" s="76"/>
      <c r="AQ29" s="76"/>
      <c r="AR29" s="76"/>
    </row>
    <row r="30" spans="1:45" s="75" customFormat="1" x14ac:dyDescent="0.2">
      <c r="A30" s="70"/>
      <c r="B30" s="70"/>
      <c r="C30" s="71"/>
      <c r="D30" s="77"/>
      <c r="E30" s="77"/>
      <c r="F30" s="27"/>
      <c r="G30" s="279">
        <v>991</v>
      </c>
      <c r="H30" s="279">
        <v>992</v>
      </c>
      <c r="I30" s="279">
        <v>991</v>
      </c>
      <c r="J30" s="279">
        <v>992</v>
      </c>
      <c r="K30" s="279">
        <v>991</v>
      </c>
      <c r="L30" s="279">
        <v>992</v>
      </c>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29">
        <v>14722.5</v>
      </c>
      <c r="H31" s="29">
        <v>4245.1000000000004</v>
      </c>
      <c r="I31" s="29">
        <f>V25</f>
        <v>14722.5</v>
      </c>
      <c r="J31" s="29">
        <f>W25</f>
        <v>4305.6000000000004</v>
      </c>
      <c r="K31" s="29">
        <f>G31-I31</f>
        <v>0</v>
      </c>
      <c r="L31" s="29">
        <f>H31-J31</f>
        <v>-60.5</v>
      </c>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
      <c r="H32" s="80"/>
      <c r="I32" s="27"/>
      <c r="J32" s="80"/>
      <c r="K32" s="27"/>
      <c r="L32" s="27"/>
      <c r="M32" s="27"/>
      <c r="N32" s="74"/>
      <c r="O32" s="27"/>
      <c r="P32" s="27"/>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7"/>
      <c r="H33" s="80"/>
      <c r="I33" s="27"/>
      <c r="J33" s="80"/>
      <c r="K33" s="27"/>
      <c r="L33" s="27"/>
      <c r="M33" s="27"/>
      <c r="N33" s="74"/>
      <c r="O33" s="27"/>
      <c r="P33" s="27"/>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4" spans="1:44" s="75" customFormat="1" x14ac:dyDescent="0.2">
      <c r="A34" s="70"/>
      <c r="B34" s="70"/>
      <c r="C34" s="71"/>
      <c r="D34" s="77"/>
      <c r="E34" s="77"/>
      <c r="F34" s="27"/>
      <c r="G34" s="27"/>
      <c r="H34" s="80"/>
      <c r="I34" s="27"/>
      <c r="J34" s="80"/>
      <c r="K34" s="27"/>
      <c r="L34" s="27"/>
      <c r="M34" s="27"/>
      <c r="N34" s="74"/>
      <c r="O34" s="27"/>
      <c r="P34" s="27"/>
      <c r="Q34" s="27"/>
      <c r="R34" s="27"/>
      <c r="S34" s="27"/>
      <c r="T34" s="27"/>
      <c r="U34" s="27"/>
      <c r="V34" s="27"/>
      <c r="W34" s="27"/>
      <c r="X34" s="27"/>
      <c r="Y34" s="27"/>
      <c r="Z34" s="27"/>
      <c r="AA34" s="27"/>
      <c r="AB34" s="27"/>
      <c r="AC34" s="27"/>
      <c r="AD34" s="27"/>
      <c r="AE34" s="27"/>
      <c r="AF34" s="27"/>
      <c r="AG34" s="27"/>
      <c r="AH34" s="27"/>
      <c r="AI34" s="27"/>
      <c r="AJ34" s="76"/>
      <c r="AN34" s="76"/>
      <c r="AO34" s="76"/>
      <c r="AP34" s="76"/>
      <c r="AQ34" s="76"/>
      <c r="AR34" s="76"/>
    </row>
    <row r="35" spans="1:44" s="75" customFormat="1" x14ac:dyDescent="0.2">
      <c r="A35" s="70"/>
      <c r="B35" s="70"/>
      <c r="C35" s="71"/>
      <c r="D35" s="77"/>
      <c r="E35" s="77"/>
      <c r="F35" s="27"/>
      <c r="G35" s="27"/>
      <c r="H35" s="80"/>
      <c r="I35" s="27"/>
      <c r="J35" s="80"/>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J35" s="76"/>
      <c r="AN35" s="76"/>
      <c r="AO35" s="76"/>
      <c r="AP35" s="76"/>
      <c r="AQ35" s="76"/>
      <c r="AR35" s="76"/>
    </row>
    <row r="36" spans="1:44" s="282" customFormat="1" ht="20.25" x14ac:dyDescent="0.2">
      <c r="A36" s="81"/>
      <c r="B36" s="82" t="s">
        <v>138</v>
      </c>
      <c r="C36" s="83"/>
      <c r="D36" s="84"/>
      <c r="E36" s="84"/>
      <c r="F36" s="85"/>
      <c r="G36" s="85"/>
      <c r="H36" s="86"/>
      <c r="I36" s="86"/>
      <c r="J36" s="85"/>
      <c r="K36" s="30" t="s">
        <v>166</v>
      </c>
      <c r="L36" s="85"/>
      <c r="M36" s="85"/>
      <c r="N36" s="87"/>
      <c r="O36" s="85"/>
      <c r="P36" s="85"/>
      <c r="Q36" s="85"/>
      <c r="R36" s="85"/>
      <c r="S36" s="85"/>
      <c r="T36" s="85"/>
      <c r="U36" s="85"/>
      <c r="V36" s="85"/>
      <c r="W36" s="85"/>
      <c r="X36" s="85"/>
      <c r="Y36" s="85"/>
      <c r="Z36" s="85"/>
      <c r="AA36" s="85"/>
      <c r="AB36" s="85"/>
      <c r="AC36" s="85"/>
      <c r="AD36" s="85"/>
      <c r="AE36" s="85"/>
      <c r="AF36" s="85"/>
      <c r="AG36" s="85"/>
      <c r="AH36" s="85"/>
      <c r="AI36" s="85"/>
      <c r="AK36" s="88"/>
      <c r="AL36" s="88"/>
      <c r="AM36" s="88"/>
      <c r="AN36" s="88"/>
      <c r="AO36" s="88"/>
    </row>
    <row r="37" spans="1:44" s="143" customFormat="1" x14ac:dyDescent="0.2">
      <c r="A37" s="136"/>
      <c r="B37" s="136"/>
      <c r="C37" s="137"/>
      <c r="D37" s="144"/>
      <c r="E37" s="144"/>
      <c r="F37" s="140"/>
      <c r="G37" s="140"/>
      <c r="H37" s="139"/>
      <c r="I37" s="139"/>
      <c r="J37" s="140"/>
      <c r="K37" s="140"/>
      <c r="L37" s="140"/>
      <c r="M37" s="140"/>
      <c r="N37" s="141"/>
      <c r="O37" s="140"/>
      <c r="P37" s="140"/>
      <c r="Q37" s="140"/>
      <c r="R37" s="140"/>
      <c r="S37" s="140"/>
      <c r="T37" s="140"/>
      <c r="U37" s="140"/>
      <c r="V37" s="140"/>
      <c r="W37" s="140"/>
      <c r="X37" s="140"/>
      <c r="Y37" s="140"/>
      <c r="Z37" s="140"/>
      <c r="AA37" s="140"/>
      <c r="AB37" s="140"/>
      <c r="AC37" s="140"/>
      <c r="AD37" s="140"/>
      <c r="AE37" s="140"/>
      <c r="AF37" s="142"/>
      <c r="AK37" s="142"/>
      <c r="AL37" s="142"/>
      <c r="AM37" s="142"/>
      <c r="AN37" s="76"/>
      <c r="AO37" s="76"/>
      <c r="AP37" s="76"/>
      <c r="AQ37" s="76"/>
      <c r="AR37" s="99"/>
    </row>
    <row r="38" spans="1:44" s="143" customFormat="1" x14ac:dyDescent="0.2">
      <c r="A38" s="136"/>
      <c r="B38" s="136"/>
      <c r="C38" s="137"/>
      <c r="D38" s="144"/>
      <c r="E38" s="144"/>
      <c r="F38" s="140"/>
      <c r="G38" s="140"/>
      <c r="H38" s="139"/>
      <c r="I38" s="139"/>
      <c r="J38" s="140"/>
      <c r="K38" s="140"/>
      <c r="L38" s="140"/>
      <c r="M38" s="140"/>
      <c r="N38" s="202"/>
      <c r="O38" s="203"/>
      <c r="P38" s="140"/>
      <c r="Q38" s="140"/>
      <c r="R38" s="140"/>
      <c r="S38" s="140"/>
      <c r="T38" s="140"/>
      <c r="U38" s="140"/>
      <c r="V38" s="140"/>
      <c r="W38" s="140"/>
      <c r="X38" s="140"/>
      <c r="Y38" s="140"/>
      <c r="Z38" s="140"/>
      <c r="AA38" s="140"/>
      <c r="AB38" s="140"/>
      <c r="AC38" s="140"/>
      <c r="AD38" s="140"/>
      <c r="AE38" s="140"/>
      <c r="AF38" s="142"/>
      <c r="AK38" s="142"/>
      <c r="AL38" s="142"/>
      <c r="AM38" s="142"/>
      <c r="AN38" s="76"/>
      <c r="AO38" s="76"/>
      <c r="AP38" s="76"/>
      <c r="AQ38" s="76"/>
      <c r="AR38" s="252"/>
    </row>
    <row r="39" spans="1:44" s="143" customFormat="1" ht="20.25" customHeight="1" x14ac:dyDescent="0.2">
      <c r="A39" s="145" t="s">
        <v>96</v>
      </c>
      <c r="B39" s="145"/>
      <c r="C39" s="146"/>
      <c r="D39" s="146"/>
      <c r="E39" s="146"/>
      <c r="F39" s="146"/>
      <c r="G39" s="146"/>
      <c r="H39" s="146"/>
      <c r="I39" s="146"/>
      <c r="J39" s="146"/>
      <c r="K39" s="146"/>
      <c r="L39" s="147"/>
      <c r="M39" s="147"/>
      <c r="N39" s="202"/>
      <c r="O39" s="203"/>
      <c r="P39" s="147"/>
      <c r="Q39" s="147"/>
      <c r="R39" s="147"/>
      <c r="S39" s="147"/>
      <c r="T39" s="147"/>
      <c r="U39" s="147"/>
      <c r="V39" s="147"/>
      <c r="W39" s="147"/>
      <c r="X39" s="147"/>
      <c r="Y39" s="147"/>
      <c r="Z39" s="147"/>
      <c r="AA39" s="147"/>
      <c r="AB39" s="147"/>
      <c r="AC39" s="147"/>
      <c r="AD39" s="147"/>
      <c r="AE39" s="147"/>
      <c r="AF39" s="142"/>
      <c r="AK39" s="142"/>
      <c r="AL39" s="142"/>
      <c r="AM39" s="142"/>
      <c r="AN39" s="76"/>
      <c r="AO39" s="76"/>
      <c r="AP39" s="76"/>
      <c r="AQ39" s="76"/>
      <c r="AR39" s="99"/>
    </row>
    <row r="40" spans="1:44" s="143" customFormat="1" ht="20.25" customHeight="1" x14ac:dyDescent="0.2">
      <c r="A40" s="145" t="s">
        <v>139</v>
      </c>
      <c r="B40" s="149"/>
      <c r="C40" s="150"/>
      <c r="D40" s="150"/>
      <c r="E40" s="151"/>
      <c r="F40" s="151"/>
      <c r="G40" s="151"/>
      <c r="H40" s="151"/>
      <c r="I40" s="151"/>
      <c r="J40" s="151"/>
      <c r="K40" s="151"/>
      <c r="L40" s="147"/>
      <c r="M40" s="147"/>
      <c r="N40" s="202"/>
      <c r="O40" s="203"/>
      <c r="P40" s="147"/>
      <c r="Q40" s="147"/>
      <c r="R40" s="147"/>
      <c r="S40" s="147"/>
      <c r="T40" s="147"/>
      <c r="U40" s="147"/>
      <c r="V40" s="147"/>
      <c r="W40" s="147"/>
      <c r="X40" s="147"/>
      <c r="Y40" s="147"/>
      <c r="Z40" s="147"/>
      <c r="AA40" s="147"/>
      <c r="AB40" s="147"/>
      <c r="AC40" s="147"/>
      <c r="AD40" s="147"/>
      <c r="AE40" s="147"/>
      <c r="AF40" s="142"/>
      <c r="AK40" s="142"/>
      <c r="AL40" s="142"/>
      <c r="AM40" s="142"/>
      <c r="AN40" s="76"/>
      <c r="AO40" s="76"/>
      <c r="AP40" s="76"/>
      <c r="AQ40" s="76"/>
      <c r="AR40" s="252"/>
    </row>
    <row r="41" spans="1:44" x14ac:dyDescent="0.2">
      <c r="A41" s="99"/>
      <c r="I41" s="153"/>
      <c r="J41" s="153"/>
      <c r="W41" s="131"/>
      <c r="X41" s="131"/>
      <c r="AA41" s="131"/>
      <c r="AD41" s="131"/>
      <c r="AE41" s="131"/>
      <c r="AN41" s="76"/>
      <c r="AO41" s="76"/>
      <c r="AP41" s="76"/>
      <c r="AQ41" s="76"/>
      <c r="AR41" s="98"/>
    </row>
    <row r="42" spans="1:44" ht="16.5" x14ac:dyDescent="0.2">
      <c r="A42" s="258"/>
      <c r="W42" s="131"/>
      <c r="X42" s="131"/>
      <c r="AA42" s="131"/>
      <c r="AD42" s="131"/>
      <c r="AE42" s="131"/>
    </row>
    <row r="43" spans="1:44" x14ac:dyDescent="0.2">
      <c r="AG43" s="114"/>
    </row>
    <row r="45" spans="1:44" x14ac:dyDescent="0.2">
      <c r="E45" s="115"/>
    </row>
    <row r="46" spans="1:44" x14ac:dyDescent="0.2">
      <c r="E46" s="115"/>
    </row>
    <row r="47" spans="1:44" x14ac:dyDescent="0.2">
      <c r="E47" s="115"/>
      <c r="K47" s="153"/>
    </row>
    <row r="48" spans="1:44" x14ac:dyDescent="0.2">
      <c r="A48" s="99"/>
      <c r="E48" s="115"/>
    </row>
    <row r="49" spans="1:45" x14ac:dyDescent="0.2">
      <c r="A49" s="99"/>
      <c r="E49" s="115"/>
    </row>
    <row r="50" spans="1:45" x14ac:dyDescent="0.2">
      <c r="A50" s="99"/>
      <c r="E50" s="115"/>
    </row>
    <row r="51" spans="1:45" x14ac:dyDescent="0.2">
      <c r="A51" s="99"/>
      <c r="E51" s="115"/>
    </row>
    <row r="52" spans="1:45" x14ac:dyDescent="0.2">
      <c r="A52" s="99"/>
      <c r="E52" s="115"/>
    </row>
    <row r="53" spans="1:45" x14ac:dyDescent="0.2">
      <c r="A53" s="99"/>
      <c r="E53" s="115"/>
    </row>
    <row r="54" spans="1:45" x14ac:dyDescent="0.2">
      <c r="A54" s="99"/>
      <c r="E54" s="115"/>
    </row>
    <row r="55" spans="1:45" x14ac:dyDescent="0.2">
      <c r="A55" s="99"/>
      <c r="E55" s="115"/>
    </row>
    <row r="56" spans="1:45" x14ac:dyDescent="0.2">
      <c r="A56" s="99"/>
      <c r="E56" s="115"/>
    </row>
    <row r="57" spans="1:45" x14ac:dyDescent="0.2">
      <c r="A57" s="99"/>
      <c r="E57" s="115"/>
    </row>
    <row r="58" spans="1:45" x14ac:dyDescent="0.2">
      <c r="A58" s="99"/>
      <c r="E58" s="115"/>
    </row>
    <row r="59" spans="1:45" x14ac:dyDescent="0.2">
      <c r="A59" s="99"/>
      <c r="E59" s="115"/>
    </row>
    <row r="60" spans="1:45" s="211" customFormat="1" x14ac:dyDescent="0.2">
      <c r="A60" s="99"/>
      <c r="B60" s="99"/>
      <c r="C60" s="99"/>
      <c r="D60" s="99"/>
      <c r="E60" s="115"/>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R60" s="99"/>
      <c r="AS60" s="99"/>
    </row>
    <row r="61" spans="1:45" s="211" customFormat="1" x14ac:dyDescent="0.2">
      <c r="A61" s="99"/>
      <c r="B61" s="99"/>
      <c r="C61" s="99"/>
      <c r="D61" s="99"/>
      <c r="E61" s="115"/>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R61" s="99"/>
      <c r="AS61" s="99"/>
    </row>
    <row r="62" spans="1:45" s="211" customFormat="1" x14ac:dyDescent="0.2">
      <c r="A62" s="99"/>
      <c r="B62" s="99"/>
      <c r="C62" s="99"/>
      <c r="D62" s="99"/>
      <c r="E62" s="115"/>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R62" s="99"/>
      <c r="AS62" s="99"/>
    </row>
    <row r="63" spans="1:45" s="211" customFormat="1" x14ac:dyDescent="0.2">
      <c r="A63" s="99"/>
      <c r="B63" s="99"/>
      <c r="C63" s="99"/>
      <c r="D63" s="99"/>
      <c r="E63" s="115"/>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R63" s="99"/>
      <c r="AS63" s="99"/>
    </row>
    <row r="64" spans="1:45" s="211" customFormat="1" x14ac:dyDescent="0.2">
      <c r="A64" s="99"/>
      <c r="B64" s="99"/>
      <c r="C64" s="99"/>
      <c r="D64" s="99"/>
      <c r="E64" s="115"/>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R64" s="99"/>
      <c r="AS64" s="99"/>
    </row>
    <row r="65" spans="1:45" s="211" customFormat="1" x14ac:dyDescent="0.2">
      <c r="A65" s="99"/>
      <c r="B65" s="99"/>
      <c r="C65" s="99"/>
      <c r="D65" s="99"/>
      <c r="E65" s="115"/>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R65" s="99"/>
      <c r="AS65" s="99"/>
    </row>
    <row r="66" spans="1:45" s="211" customFormat="1" x14ac:dyDescent="0.2">
      <c r="A66" s="99"/>
      <c r="B66" s="99"/>
      <c r="C66" s="99"/>
      <c r="D66" s="99"/>
      <c r="E66" s="115"/>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R66" s="99"/>
      <c r="AS66" s="99"/>
    </row>
  </sheetData>
  <autoFilter ref="A8:AS25"/>
  <mergeCells count="37">
    <mergeCell ref="G29:H29"/>
    <mergeCell ref="I29:J29"/>
    <mergeCell ref="K29:L29"/>
    <mergeCell ref="AA6:AC6"/>
    <mergeCell ref="AD6:AF6"/>
    <mergeCell ref="K6:K7"/>
    <mergeCell ref="AH6:AH7"/>
    <mergeCell ref="U9:U24"/>
    <mergeCell ref="A25:B25"/>
    <mergeCell ref="S6:S7"/>
    <mergeCell ref="T6:T7"/>
    <mergeCell ref="U6:U7"/>
    <mergeCell ref="V6:V7"/>
    <mergeCell ref="W6:W7"/>
    <mergeCell ref="X6:Z6"/>
    <mergeCell ref="L6:L7"/>
    <mergeCell ref="M6:M7"/>
    <mergeCell ref="N6:O6"/>
    <mergeCell ref="P6:P7"/>
    <mergeCell ref="Q6:Q7"/>
    <mergeCell ref="R6:R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s>
  <printOptions horizontalCentered="1"/>
  <pageMargins left="0" right="0" top="0" bottom="0" header="0.31496062992125984" footer="0.31496062992125984"/>
  <pageSetup paperSize="9" scale="39" orientation="landscape"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2">
    <tabColor rgb="FF00B050"/>
    <pageSetUpPr fitToPage="1"/>
  </sheetPr>
  <dimension ref="A1:AS68"/>
  <sheetViews>
    <sheetView view="pageBreakPreview" zoomScale="80" zoomScaleNormal="70" zoomScaleSheetLayoutView="80" workbookViewId="0">
      <pane xSplit="3" ySplit="8" topLeftCell="D21"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0.664062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3196"/>
      <c r="AF1" s="3196"/>
      <c r="AG1" s="3196"/>
      <c r="AH1" s="3196"/>
    </row>
    <row r="2" spans="1:45" ht="24" customHeight="1" x14ac:dyDescent="0.2">
      <c r="A2" s="3197" t="s">
        <v>164</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287"/>
    </row>
    <row r="4" spans="1:45" x14ac:dyDescent="0.2">
      <c r="L4" s="38">
        <v>0.27208500000000002</v>
      </c>
      <c r="M4" s="38"/>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286" t="s">
        <v>80</v>
      </c>
      <c r="O7" s="286" t="s">
        <v>81</v>
      </c>
      <c r="P7" s="3204"/>
      <c r="Q7" s="3203"/>
      <c r="R7" s="3201"/>
      <c r="S7" s="3203" t="s">
        <v>67</v>
      </c>
      <c r="T7" s="3201"/>
      <c r="U7" s="3201"/>
      <c r="V7" s="3201"/>
      <c r="W7" s="3201"/>
      <c r="X7" s="285" t="s">
        <v>5</v>
      </c>
      <c r="Y7" s="285" t="s">
        <v>6</v>
      </c>
      <c r="Z7" s="285" t="s">
        <v>74</v>
      </c>
      <c r="AA7" s="285" t="s">
        <v>5</v>
      </c>
      <c r="AB7" s="285" t="s">
        <v>6</v>
      </c>
      <c r="AC7" s="285" t="s">
        <v>75</v>
      </c>
      <c r="AD7" s="285" t="s">
        <v>5</v>
      </c>
      <c r="AE7" s="285" t="s">
        <v>6</v>
      </c>
      <c r="AF7" s="285" t="s">
        <v>76</v>
      </c>
      <c r="AG7" s="3200"/>
      <c r="AH7" s="3200"/>
      <c r="AK7" s="99" t="s">
        <v>64</v>
      </c>
      <c r="AL7" s="99" t="s">
        <v>62</v>
      </c>
      <c r="AM7" s="99" t="s">
        <v>63</v>
      </c>
    </row>
    <row r="8" spans="1:45" ht="18"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212" t="s">
        <v>116</v>
      </c>
      <c r="AO8" s="212" t="s">
        <v>117</v>
      </c>
      <c r="AP8" s="212" t="s">
        <v>118</v>
      </c>
      <c r="AQ8" s="212" t="s">
        <v>119</v>
      </c>
    </row>
    <row r="9" spans="1:45" ht="16.5" customHeight="1" x14ac:dyDescent="0.2">
      <c r="A9" s="284">
        <v>1</v>
      </c>
      <c r="B9" s="236" t="s">
        <v>14</v>
      </c>
      <c r="C9" s="259">
        <v>1</v>
      </c>
      <c r="D9" s="237">
        <v>25.873000000000001</v>
      </c>
      <c r="E9" s="260">
        <f t="shared" ref="E9:E27" si="0">C9*D9</f>
        <v>25.87</v>
      </c>
      <c r="F9" s="185">
        <f t="shared" ref="F9:F27" si="1">E9*12</f>
        <v>310.39999999999998</v>
      </c>
      <c r="G9" s="95"/>
      <c r="H9" s="95"/>
      <c r="I9" s="95"/>
      <c r="J9" s="95"/>
      <c r="K9" s="95"/>
      <c r="L9" s="95">
        <f>F9*$L$4</f>
        <v>84.5</v>
      </c>
      <c r="M9" s="95">
        <f t="shared" ref="M9:M27" si="2">F9+G9+H9+I9+J9+K9+L9</f>
        <v>394.9</v>
      </c>
      <c r="N9" s="111">
        <v>0.47</v>
      </c>
      <c r="O9" s="95">
        <f t="shared" ref="O9:O27" si="3">M9*N9</f>
        <v>185.6</v>
      </c>
      <c r="P9" s="95">
        <f t="shared" ref="P9:P27" si="4">M9+O9</f>
        <v>580.5</v>
      </c>
      <c r="Q9" s="95">
        <f t="shared" ref="Q9:Q27" si="5">P9*0.8</f>
        <v>464.4</v>
      </c>
      <c r="R9" s="95">
        <f t="shared" ref="R9:R27" si="6">P9*0.8</f>
        <v>464.4</v>
      </c>
      <c r="S9" s="95">
        <f t="shared" ref="S9:S27" si="7">(P9+Q9+R9)*0.032</f>
        <v>48.3</v>
      </c>
      <c r="T9" s="95">
        <f t="shared" ref="T9:T27" si="8">P9+Q9+R9+S9</f>
        <v>1557.6</v>
      </c>
      <c r="U9" s="3429">
        <v>1</v>
      </c>
      <c r="V9" s="95">
        <f t="shared" ref="V9:V26" si="9">T9*$U$9</f>
        <v>1557.6</v>
      </c>
      <c r="W9" s="95">
        <f>AQ9</f>
        <v>401.5</v>
      </c>
      <c r="X9" s="284">
        <v>1</v>
      </c>
      <c r="Y9" s="112">
        <v>30</v>
      </c>
      <c r="Z9" s="113">
        <f t="shared" ref="Z9:Z27" si="10">X9*Y9</f>
        <v>30</v>
      </c>
      <c r="AA9" s="284"/>
      <c r="AB9" s="112">
        <v>15</v>
      </c>
      <c r="AC9" s="113">
        <f t="shared" ref="AC9:AC27" si="11">AA9*AB9</f>
        <v>0</v>
      </c>
      <c r="AD9" s="284"/>
      <c r="AE9" s="112">
        <v>30</v>
      </c>
      <c r="AF9" s="113">
        <f t="shared" ref="AF9:AF27" si="12">AD9*AE9</f>
        <v>0</v>
      </c>
      <c r="AG9" s="113">
        <f t="shared" ref="AG9:AG27" si="13">(Z9+AC9+AF9)*1%*30</f>
        <v>9</v>
      </c>
      <c r="AH9" s="113">
        <f t="shared" ref="AH9:AH27" si="14">Z9+AC9+AF9+AG9</f>
        <v>39</v>
      </c>
      <c r="AI9" s="131">
        <f t="shared" ref="AI9:AI23" si="15">V9/12/C9*1000</f>
        <v>129800</v>
      </c>
      <c r="AK9" s="114">
        <f t="shared" ref="AK9:AK23" si="16">V9/C9</f>
        <v>1557.6</v>
      </c>
      <c r="AL9" s="114">
        <f>((979*0.302)+((AK9-979)*0.182))</f>
        <v>401</v>
      </c>
      <c r="AM9" s="115">
        <f>AL9/AK9</f>
        <v>0.25700000000000001</v>
      </c>
      <c r="AN9" s="50">
        <f>1150*0.22+(AK9-1150)*0.1</f>
        <v>293.8</v>
      </c>
      <c r="AO9" s="50">
        <f>865*0.029</f>
        <v>25.1</v>
      </c>
      <c r="AP9" s="50">
        <f>AK9*0.053</f>
        <v>82.6</v>
      </c>
      <c r="AQ9" s="50">
        <f>SUM(AN9:AP9)*C9</f>
        <v>401.5</v>
      </c>
      <c r="AS9" s="99">
        <f t="shared" ref="AS9:AS27" si="17">D9*1.5</f>
        <v>38.8095</v>
      </c>
    </row>
    <row r="10" spans="1:45" x14ac:dyDescent="0.2">
      <c r="A10" s="284">
        <v>2</v>
      </c>
      <c r="B10" s="236" t="s">
        <v>127</v>
      </c>
      <c r="C10" s="259">
        <v>2</v>
      </c>
      <c r="D10" s="237">
        <v>18.111000000000001</v>
      </c>
      <c r="E10" s="260">
        <f t="shared" si="0"/>
        <v>36.22</v>
      </c>
      <c r="F10" s="185">
        <f t="shared" si="1"/>
        <v>434.6</v>
      </c>
      <c r="G10" s="95"/>
      <c r="H10" s="95">
        <f>7.062+7.945</f>
        <v>15</v>
      </c>
      <c r="I10" s="95"/>
      <c r="J10" s="95"/>
      <c r="K10" s="95">
        <f>(D10*0.4+D10*0.2)*12</f>
        <v>130.4</v>
      </c>
      <c r="L10" s="95">
        <f t="shared" ref="L10:L25" si="18">F10*$L$4</f>
        <v>118.2</v>
      </c>
      <c r="M10" s="95">
        <f t="shared" si="2"/>
        <v>698.2</v>
      </c>
      <c r="N10" s="111">
        <v>0.47</v>
      </c>
      <c r="O10" s="95">
        <f t="shared" si="3"/>
        <v>328.2</v>
      </c>
      <c r="P10" s="95">
        <f t="shared" si="4"/>
        <v>1026.4000000000001</v>
      </c>
      <c r="Q10" s="95">
        <f t="shared" si="5"/>
        <v>821.1</v>
      </c>
      <c r="R10" s="95">
        <f t="shared" si="6"/>
        <v>821.1</v>
      </c>
      <c r="S10" s="95">
        <f t="shared" si="7"/>
        <v>85.4</v>
      </c>
      <c r="T10" s="95">
        <f t="shared" si="8"/>
        <v>2754</v>
      </c>
      <c r="U10" s="3430"/>
      <c r="V10" s="95">
        <f t="shared" si="9"/>
        <v>2754</v>
      </c>
      <c r="W10" s="95">
        <f>AQ10</f>
        <v>747.6</v>
      </c>
      <c r="X10" s="284"/>
      <c r="Y10" s="112">
        <v>30</v>
      </c>
      <c r="Z10" s="113">
        <f t="shared" si="10"/>
        <v>0</v>
      </c>
      <c r="AA10" s="284"/>
      <c r="AB10" s="112">
        <v>15</v>
      </c>
      <c r="AC10" s="113">
        <f t="shared" si="11"/>
        <v>0</v>
      </c>
      <c r="AD10" s="284"/>
      <c r="AE10" s="112">
        <v>30</v>
      </c>
      <c r="AF10" s="113">
        <f t="shared" si="12"/>
        <v>0</v>
      </c>
      <c r="AG10" s="113">
        <f t="shared" si="13"/>
        <v>0</v>
      </c>
      <c r="AH10" s="113">
        <f t="shared" si="14"/>
        <v>0</v>
      </c>
      <c r="AI10" s="131">
        <f t="shared" si="15"/>
        <v>114750</v>
      </c>
      <c r="AK10" s="114">
        <f t="shared" si="16"/>
        <v>1377</v>
      </c>
      <c r="AL10" s="114">
        <f t="shared" ref="AL10:AL27" si="19">((979*0.302)+((AK10-979)*0.182))</f>
        <v>368.1</v>
      </c>
      <c r="AM10" s="115">
        <f>AL10/AK10</f>
        <v>0.26700000000000002</v>
      </c>
      <c r="AN10" s="50">
        <f>1150*0.22+(AK10-1150)*0.1</f>
        <v>275.7</v>
      </c>
      <c r="AO10" s="50">
        <f>865*0.029</f>
        <v>25.1</v>
      </c>
      <c r="AP10" s="50">
        <f>AK10*0.053</f>
        <v>73</v>
      </c>
      <c r="AQ10" s="50">
        <f>SUM(AN10:AP10)*C10</f>
        <v>747.6</v>
      </c>
      <c r="AS10" s="99">
        <f t="shared" si="17"/>
        <v>27.166499999999999</v>
      </c>
    </row>
    <row r="11" spans="1:45" ht="15.75" customHeight="1" x14ac:dyDescent="0.2">
      <c r="A11" s="284">
        <v>3</v>
      </c>
      <c r="B11" s="261" t="s">
        <v>23</v>
      </c>
      <c r="C11" s="262">
        <v>4</v>
      </c>
      <c r="D11" s="237">
        <v>11.061999999999999</v>
      </c>
      <c r="E11" s="111">
        <f t="shared" si="0"/>
        <v>44.25</v>
      </c>
      <c r="F11" s="95">
        <f t="shared" si="1"/>
        <v>531</v>
      </c>
      <c r="G11" s="95"/>
      <c r="H11" s="95">
        <f>2.757+7.01+7.01+7.789</f>
        <v>24.6</v>
      </c>
      <c r="I11" s="95"/>
      <c r="J11" s="95"/>
      <c r="K11" s="95">
        <f>(D11*0.4*3+D11*0.25)*12</f>
        <v>192.5</v>
      </c>
      <c r="L11" s="95">
        <f t="shared" si="18"/>
        <v>144.5</v>
      </c>
      <c r="M11" s="95">
        <f t="shared" si="2"/>
        <v>892.6</v>
      </c>
      <c r="N11" s="111">
        <v>0.43</v>
      </c>
      <c r="O11" s="95">
        <f t="shared" si="3"/>
        <v>383.8</v>
      </c>
      <c r="P11" s="95">
        <f t="shared" si="4"/>
        <v>1276.4000000000001</v>
      </c>
      <c r="Q11" s="95">
        <f t="shared" si="5"/>
        <v>1021.1</v>
      </c>
      <c r="R11" s="95">
        <f t="shared" si="6"/>
        <v>1021.1</v>
      </c>
      <c r="S11" s="95">
        <f t="shared" si="7"/>
        <v>106.2</v>
      </c>
      <c r="T11" s="95">
        <f t="shared" si="8"/>
        <v>3424.8</v>
      </c>
      <c r="U11" s="3430"/>
      <c r="V11" s="95">
        <f>T11*$U$9</f>
        <v>3424.8</v>
      </c>
      <c r="W11" s="95">
        <f>V11*0.302</f>
        <v>1034.3</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71350</v>
      </c>
      <c r="AK11" s="114">
        <f t="shared" si="16"/>
        <v>856.2</v>
      </c>
      <c r="AL11" s="114">
        <f t="shared" si="19"/>
        <v>273.3</v>
      </c>
      <c r="AM11" s="115">
        <v>0.30199999999999999</v>
      </c>
      <c r="AN11" s="50"/>
      <c r="AO11" s="50"/>
      <c r="AP11" s="50"/>
      <c r="AQ11" s="50"/>
      <c r="AS11" s="99">
        <f t="shared" si="17"/>
        <v>16.593</v>
      </c>
    </row>
    <row r="12" spans="1:45" x14ac:dyDescent="0.2">
      <c r="A12" s="284">
        <v>4</v>
      </c>
      <c r="B12" s="261" t="s">
        <v>47</v>
      </c>
      <c r="C12" s="262">
        <v>1</v>
      </c>
      <c r="D12" s="237">
        <v>6.2859999999999996</v>
      </c>
      <c r="E12" s="111">
        <f t="shared" si="0"/>
        <v>6.29</v>
      </c>
      <c r="F12" s="95">
        <f t="shared" si="1"/>
        <v>75.5</v>
      </c>
      <c r="G12" s="95"/>
      <c r="H12" s="95">
        <f>3064.3/1000</f>
        <v>3.1</v>
      </c>
      <c r="I12" s="95"/>
      <c r="J12" s="95"/>
      <c r="K12" s="95">
        <f>F12*0.25</f>
        <v>18.899999999999999</v>
      </c>
      <c r="L12" s="95">
        <f t="shared" si="18"/>
        <v>20.5</v>
      </c>
      <c r="M12" s="95">
        <f t="shared" si="2"/>
        <v>118</v>
      </c>
      <c r="N12" s="111">
        <v>0.45</v>
      </c>
      <c r="O12" s="95">
        <f t="shared" si="3"/>
        <v>53.1</v>
      </c>
      <c r="P12" s="95">
        <f t="shared" si="4"/>
        <v>171.1</v>
      </c>
      <c r="Q12" s="95">
        <f t="shared" si="5"/>
        <v>136.9</v>
      </c>
      <c r="R12" s="95">
        <f t="shared" si="6"/>
        <v>136.9</v>
      </c>
      <c r="S12" s="95">
        <f t="shared" si="7"/>
        <v>14.2</v>
      </c>
      <c r="T12" s="95">
        <f t="shared" si="8"/>
        <v>459.1</v>
      </c>
      <c r="U12" s="3430"/>
      <c r="V12" s="95">
        <f t="shared" si="9"/>
        <v>459.1</v>
      </c>
      <c r="W12" s="95">
        <f t="shared" ref="W12:W27" si="20">V12*0.302</f>
        <v>138.6</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38258.33</v>
      </c>
      <c r="AK12" s="114">
        <f t="shared" si="16"/>
        <v>459.1</v>
      </c>
      <c r="AL12" s="114">
        <f t="shared" si="19"/>
        <v>201</v>
      </c>
      <c r="AM12" s="115">
        <v>0.30199999999999999</v>
      </c>
      <c r="AO12" s="50"/>
      <c r="AP12" s="50"/>
      <c r="AQ12" s="50"/>
      <c r="AS12" s="99">
        <f t="shared" si="17"/>
        <v>9.4290000000000003</v>
      </c>
    </row>
    <row r="13" spans="1:45" x14ac:dyDescent="0.2">
      <c r="A13" s="284">
        <v>5</v>
      </c>
      <c r="B13" s="236" t="s">
        <v>15</v>
      </c>
      <c r="C13" s="262">
        <v>1</v>
      </c>
      <c r="D13" s="237">
        <v>11.061999999999999</v>
      </c>
      <c r="E13" s="111">
        <f t="shared" si="0"/>
        <v>11.06</v>
      </c>
      <c r="F13" s="95">
        <f t="shared" si="1"/>
        <v>132.69999999999999</v>
      </c>
      <c r="G13" s="95"/>
      <c r="H13" s="95"/>
      <c r="I13" s="95"/>
      <c r="J13" s="95"/>
      <c r="K13" s="95">
        <f>D11*0.25*4.6+D11*0.3*7.4</f>
        <v>37.299999999999997</v>
      </c>
      <c r="L13" s="95">
        <f t="shared" si="18"/>
        <v>36.1</v>
      </c>
      <c r="M13" s="95">
        <f t="shared" si="2"/>
        <v>206.1</v>
      </c>
      <c r="N13" s="111">
        <v>0.43</v>
      </c>
      <c r="O13" s="95">
        <f t="shared" si="3"/>
        <v>88.6</v>
      </c>
      <c r="P13" s="95">
        <f t="shared" si="4"/>
        <v>294.7</v>
      </c>
      <c r="Q13" s="95">
        <f t="shared" si="5"/>
        <v>235.8</v>
      </c>
      <c r="R13" s="95">
        <f t="shared" si="6"/>
        <v>235.8</v>
      </c>
      <c r="S13" s="95">
        <f t="shared" si="7"/>
        <v>24.5</v>
      </c>
      <c r="T13" s="95">
        <f t="shared" si="8"/>
        <v>790.8</v>
      </c>
      <c r="U13" s="3430"/>
      <c r="V13" s="95">
        <f t="shared" si="9"/>
        <v>790.8</v>
      </c>
      <c r="W13" s="95">
        <f t="shared" si="20"/>
        <v>238.8</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65900</v>
      </c>
      <c r="AK13" s="114">
        <f t="shared" si="16"/>
        <v>790.8</v>
      </c>
      <c r="AL13" s="114">
        <f t="shared" si="19"/>
        <v>261.39999999999998</v>
      </c>
      <c r="AM13" s="115">
        <v>0.30199999999999999</v>
      </c>
      <c r="AN13" s="50"/>
      <c r="AO13" s="50"/>
      <c r="AP13" s="50"/>
      <c r="AQ13" s="50"/>
      <c r="AS13" s="99">
        <f t="shared" si="17"/>
        <v>16.593</v>
      </c>
    </row>
    <row r="14" spans="1:45" s="245" customFormat="1" x14ac:dyDescent="0.2">
      <c r="A14" s="284">
        <v>6</v>
      </c>
      <c r="B14" s="261" t="s">
        <v>48</v>
      </c>
      <c r="C14" s="262">
        <v>1</v>
      </c>
      <c r="D14" s="237">
        <v>11.061999999999999</v>
      </c>
      <c r="E14" s="249">
        <f t="shared" si="0"/>
        <v>11.06</v>
      </c>
      <c r="F14" s="248">
        <f t="shared" si="1"/>
        <v>132.69999999999999</v>
      </c>
      <c r="G14" s="248"/>
      <c r="H14" s="248">
        <v>7</v>
      </c>
      <c r="I14" s="248"/>
      <c r="J14" s="248"/>
      <c r="K14" s="248">
        <f>F14*0.4</f>
        <v>53.1</v>
      </c>
      <c r="L14" s="95">
        <f t="shared" si="18"/>
        <v>36.1</v>
      </c>
      <c r="M14" s="248">
        <f t="shared" si="2"/>
        <v>228.9</v>
      </c>
      <c r="N14" s="111">
        <v>0.47</v>
      </c>
      <c r="O14" s="248">
        <f t="shared" si="3"/>
        <v>107.6</v>
      </c>
      <c r="P14" s="248">
        <f t="shared" si="4"/>
        <v>336.5</v>
      </c>
      <c r="Q14" s="248">
        <f t="shared" si="5"/>
        <v>269.2</v>
      </c>
      <c r="R14" s="248">
        <f t="shared" si="6"/>
        <v>269.2</v>
      </c>
      <c r="S14" s="248">
        <f t="shared" si="7"/>
        <v>28</v>
      </c>
      <c r="T14" s="248">
        <f t="shared" si="8"/>
        <v>902.9</v>
      </c>
      <c r="U14" s="3430"/>
      <c r="V14" s="248">
        <f t="shared" si="9"/>
        <v>902.9</v>
      </c>
      <c r="W14" s="95">
        <f>AQ14</f>
        <v>271.60000000000002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75241.67</v>
      </c>
      <c r="AK14" s="114">
        <f t="shared" si="16"/>
        <v>902.9</v>
      </c>
      <c r="AL14" s="114">
        <f t="shared" si="19"/>
        <v>281.8</v>
      </c>
      <c r="AM14" s="115">
        <v>0.30199999999999999</v>
      </c>
      <c r="AN14" s="50">
        <f>AK14*0.22</f>
        <v>198.6</v>
      </c>
      <c r="AO14" s="50">
        <f>865*0.029</f>
        <v>25.1</v>
      </c>
      <c r="AP14" s="50">
        <f>AK14*0.053</f>
        <v>47.9</v>
      </c>
      <c r="AQ14" s="50">
        <f>SUM(AN14:AP14)*C14</f>
        <v>271.60000000000002</v>
      </c>
      <c r="AS14" s="99">
        <f t="shared" si="17"/>
        <v>16.593</v>
      </c>
    </row>
    <row r="15" spans="1:45" x14ac:dyDescent="0.2">
      <c r="A15" s="284">
        <v>7</v>
      </c>
      <c r="B15" s="236" t="s">
        <v>49</v>
      </c>
      <c r="C15" s="259">
        <v>1</v>
      </c>
      <c r="D15" s="237">
        <v>8.4730000000000008</v>
      </c>
      <c r="E15" s="111">
        <f t="shared" si="0"/>
        <v>8.4700000000000006</v>
      </c>
      <c r="F15" s="95">
        <f t="shared" si="1"/>
        <v>101.6</v>
      </c>
      <c r="G15" s="95"/>
      <c r="H15" s="95">
        <v>6</v>
      </c>
      <c r="I15" s="95"/>
      <c r="J15" s="95"/>
      <c r="K15" s="95">
        <f>F15*0.2</f>
        <v>20.3</v>
      </c>
      <c r="L15" s="95">
        <f t="shared" si="18"/>
        <v>27.6</v>
      </c>
      <c r="M15" s="95">
        <f t="shared" si="2"/>
        <v>155.5</v>
      </c>
      <c r="N15" s="111">
        <v>0.41</v>
      </c>
      <c r="O15" s="95">
        <f t="shared" si="3"/>
        <v>63.8</v>
      </c>
      <c r="P15" s="95">
        <f t="shared" si="4"/>
        <v>219.3</v>
      </c>
      <c r="Q15" s="95">
        <f t="shared" si="5"/>
        <v>175.4</v>
      </c>
      <c r="R15" s="95">
        <f t="shared" si="6"/>
        <v>175.4</v>
      </c>
      <c r="S15" s="95">
        <f t="shared" si="7"/>
        <v>18.2</v>
      </c>
      <c r="T15" s="95">
        <f t="shared" si="8"/>
        <v>588.29999999999995</v>
      </c>
      <c r="U15" s="3430"/>
      <c r="V15" s="95">
        <f t="shared" si="9"/>
        <v>588.29999999999995</v>
      </c>
      <c r="W15" s="95">
        <f t="shared" si="20"/>
        <v>177.7</v>
      </c>
      <c r="X15" s="284"/>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49025</v>
      </c>
      <c r="AK15" s="114">
        <f t="shared" si="16"/>
        <v>588.29999999999995</v>
      </c>
      <c r="AL15" s="114">
        <f t="shared" si="19"/>
        <v>224.6</v>
      </c>
      <c r="AM15" s="115">
        <v>0.30199999999999999</v>
      </c>
      <c r="AO15" s="50"/>
      <c r="AP15" s="50"/>
      <c r="AQ15" s="50"/>
      <c r="AS15" s="99">
        <f t="shared" si="17"/>
        <v>12.7095</v>
      </c>
    </row>
    <row r="16" spans="1:45" x14ac:dyDescent="0.2">
      <c r="A16" s="284">
        <v>8</v>
      </c>
      <c r="B16" s="236" t="s">
        <v>59</v>
      </c>
      <c r="C16" s="259">
        <v>1</v>
      </c>
      <c r="D16" s="237">
        <v>8.4730000000000008</v>
      </c>
      <c r="E16" s="111">
        <f t="shared" si="0"/>
        <v>8.4700000000000006</v>
      </c>
      <c r="F16" s="95">
        <f t="shared" si="1"/>
        <v>101.6</v>
      </c>
      <c r="G16" s="95"/>
      <c r="H16" s="95">
        <v>5.4</v>
      </c>
      <c r="I16" s="95"/>
      <c r="J16" s="95"/>
      <c r="K16" s="95">
        <f>F16*0.4</f>
        <v>40.6</v>
      </c>
      <c r="L16" s="95">
        <f t="shared" si="18"/>
        <v>27.6</v>
      </c>
      <c r="M16" s="95">
        <f t="shared" si="2"/>
        <v>175.2</v>
      </c>
      <c r="N16" s="111">
        <v>0.41</v>
      </c>
      <c r="O16" s="95">
        <f t="shared" si="3"/>
        <v>71.8</v>
      </c>
      <c r="P16" s="95">
        <f t="shared" si="4"/>
        <v>247</v>
      </c>
      <c r="Q16" s="95">
        <f t="shared" si="5"/>
        <v>197.6</v>
      </c>
      <c r="R16" s="95">
        <f t="shared" si="6"/>
        <v>197.6</v>
      </c>
      <c r="S16" s="95">
        <f t="shared" si="7"/>
        <v>20.6</v>
      </c>
      <c r="T16" s="95">
        <f t="shared" si="8"/>
        <v>662.8</v>
      </c>
      <c r="U16" s="3430"/>
      <c r="V16" s="95">
        <f t="shared" si="9"/>
        <v>662.8</v>
      </c>
      <c r="W16" s="95">
        <f t="shared" si="20"/>
        <v>200.2</v>
      </c>
      <c r="X16" s="284"/>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55233.33</v>
      </c>
      <c r="AK16" s="114">
        <f t="shared" si="16"/>
        <v>662.8</v>
      </c>
      <c r="AL16" s="114">
        <f t="shared" si="19"/>
        <v>238.1</v>
      </c>
      <c r="AM16" s="115">
        <v>0.30199999999999999</v>
      </c>
      <c r="AN16" s="50"/>
      <c r="AO16" s="50"/>
      <c r="AP16" s="50"/>
      <c r="AQ16" s="50"/>
      <c r="AS16" s="99">
        <f t="shared" si="17"/>
        <v>12.7095</v>
      </c>
    </row>
    <row r="17" spans="1:45" x14ac:dyDescent="0.2">
      <c r="A17" s="284">
        <v>9</v>
      </c>
      <c r="B17" s="261" t="s">
        <v>40</v>
      </c>
      <c r="C17" s="259">
        <v>1</v>
      </c>
      <c r="D17" s="237">
        <v>11.061999999999999</v>
      </c>
      <c r="E17" s="111">
        <f t="shared" si="0"/>
        <v>11.06</v>
      </c>
      <c r="F17" s="95">
        <f t="shared" si="1"/>
        <v>132.69999999999999</v>
      </c>
      <c r="G17" s="95"/>
      <c r="H17" s="95">
        <f>5392.4/1000</f>
        <v>5.4</v>
      </c>
      <c r="I17" s="95"/>
      <c r="J17" s="95"/>
      <c r="K17" s="95"/>
      <c r="L17" s="95">
        <f t="shared" si="18"/>
        <v>36.1</v>
      </c>
      <c r="M17" s="95">
        <f t="shared" si="2"/>
        <v>174.2</v>
      </c>
      <c r="N17" s="111">
        <v>0.43</v>
      </c>
      <c r="O17" s="95">
        <f t="shared" si="3"/>
        <v>74.900000000000006</v>
      </c>
      <c r="P17" s="95">
        <f t="shared" si="4"/>
        <v>249.1</v>
      </c>
      <c r="Q17" s="95">
        <f t="shared" si="5"/>
        <v>199.3</v>
      </c>
      <c r="R17" s="95">
        <f t="shared" si="6"/>
        <v>199.3</v>
      </c>
      <c r="S17" s="95">
        <f t="shared" si="7"/>
        <v>20.7</v>
      </c>
      <c r="T17" s="95">
        <f t="shared" si="8"/>
        <v>668.4</v>
      </c>
      <c r="U17" s="3430"/>
      <c r="V17" s="95">
        <f t="shared" si="9"/>
        <v>668.4</v>
      </c>
      <c r="W17" s="95">
        <f t="shared" si="20"/>
        <v>201.9</v>
      </c>
      <c r="X17" s="284"/>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55700</v>
      </c>
      <c r="AK17" s="114">
        <f t="shared" si="16"/>
        <v>668.4</v>
      </c>
      <c r="AL17" s="114">
        <f t="shared" si="19"/>
        <v>239.1</v>
      </c>
      <c r="AM17" s="115">
        <v>0.30199999999999999</v>
      </c>
      <c r="AN17" s="50"/>
      <c r="AO17" s="50"/>
      <c r="AP17" s="50"/>
      <c r="AQ17" s="50"/>
      <c r="AS17" s="99">
        <f t="shared" si="17"/>
        <v>16.593</v>
      </c>
    </row>
    <row r="18" spans="1:45" x14ac:dyDescent="0.2">
      <c r="A18" s="284">
        <v>10</v>
      </c>
      <c r="B18" s="261" t="s">
        <v>29</v>
      </c>
      <c r="C18" s="259">
        <v>2</v>
      </c>
      <c r="D18" s="237">
        <v>8.4730000000000008</v>
      </c>
      <c r="E18" s="111">
        <f t="shared" si="0"/>
        <v>16.95</v>
      </c>
      <c r="F18" s="95">
        <f t="shared" si="1"/>
        <v>203.4</v>
      </c>
      <c r="G18" s="95"/>
      <c r="H18" s="95">
        <f>2065.2/1000</f>
        <v>2.1</v>
      </c>
      <c r="I18" s="95"/>
      <c r="J18" s="95"/>
      <c r="K18" s="95">
        <f>(D18*0.25+D18*0.3)*12</f>
        <v>55.9</v>
      </c>
      <c r="L18" s="95">
        <f t="shared" si="18"/>
        <v>55.3</v>
      </c>
      <c r="M18" s="95">
        <f t="shared" si="2"/>
        <v>316.7</v>
      </c>
      <c r="N18" s="111">
        <v>0.41</v>
      </c>
      <c r="O18" s="95">
        <f t="shared" si="3"/>
        <v>129.80000000000001</v>
      </c>
      <c r="P18" s="95">
        <f t="shared" si="4"/>
        <v>446.5</v>
      </c>
      <c r="Q18" s="95">
        <f t="shared" si="5"/>
        <v>357.2</v>
      </c>
      <c r="R18" s="95">
        <f t="shared" si="6"/>
        <v>357.2</v>
      </c>
      <c r="S18" s="95">
        <f t="shared" si="7"/>
        <v>37.1</v>
      </c>
      <c r="T18" s="95">
        <f t="shared" si="8"/>
        <v>1198</v>
      </c>
      <c r="U18" s="3430"/>
      <c r="V18" s="95">
        <f t="shared" si="9"/>
        <v>1198</v>
      </c>
      <c r="W18" s="95">
        <f t="shared" si="20"/>
        <v>361.8</v>
      </c>
      <c r="X18" s="284"/>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49916.67</v>
      </c>
      <c r="AK18" s="114">
        <f t="shared" si="16"/>
        <v>599</v>
      </c>
      <c r="AL18" s="114">
        <f t="shared" si="19"/>
        <v>226.5</v>
      </c>
      <c r="AM18" s="115">
        <v>0.30199999999999999</v>
      </c>
      <c r="AN18" s="263"/>
      <c r="AO18" s="263"/>
      <c r="AP18" s="263"/>
      <c r="AS18" s="99">
        <f t="shared" si="17"/>
        <v>12.7095</v>
      </c>
    </row>
    <row r="19" spans="1:45" x14ac:dyDescent="0.2">
      <c r="A19" s="284">
        <v>11</v>
      </c>
      <c r="B19" s="261" t="s">
        <v>58</v>
      </c>
      <c r="C19" s="259">
        <v>1</v>
      </c>
      <c r="D19" s="237">
        <v>11.061999999999999</v>
      </c>
      <c r="E19" s="111">
        <f t="shared" si="0"/>
        <v>11.06</v>
      </c>
      <c r="F19" s="95">
        <f t="shared" si="1"/>
        <v>132.69999999999999</v>
      </c>
      <c r="G19" s="95"/>
      <c r="H19" s="95">
        <f>5392.4/1000</f>
        <v>5.4</v>
      </c>
      <c r="I19" s="95"/>
      <c r="J19" s="95"/>
      <c r="K19" s="95">
        <f>F19*0.4</f>
        <v>53.1</v>
      </c>
      <c r="L19" s="95">
        <f t="shared" si="18"/>
        <v>36.1</v>
      </c>
      <c r="M19" s="95">
        <f t="shared" si="2"/>
        <v>227.3</v>
      </c>
      <c r="N19" s="111">
        <v>0.43</v>
      </c>
      <c r="O19" s="95">
        <f t="shared" si="3"/>
        <v>97.7</v>
      </c>
      <c r="P19" s="95">
        <f t="shared" si="4"/>
        <v>325</v>
      </c>
      <c r="Q19" s="95">
        <f t="shared" si="5"/>
        <v>260</v>
      </c>
      <c r="R19" s="95">
        <f t="shared" si="6"/>
        <v>260</v>
      </c>
      <c r="S19" s="95">
        <f t="shared" si="7"/>
        <v>27</v>
      </c>
      <c r="T19" s="95">
        <f t="shared" si="8"/>
        <v>872</v>
      </c>
      <c r="U19" s="3430"/>
      <c r="V19" s="95">
        <f t="shared" si="9"/>
        <v>872</v>
      </c>
      <c r="W19" s="95">
        <f t="shared" si="20"/>
        <v>263.3</v>
      </c>
      <c r="X19" s="284"/>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72666.67</v>
      </c>
      <c r="AK19" s="114">
        <f t="shared" si="16"/>
        <v>872</v>
      </c>
      <c r="AL19" s="114">
        <f t="shared" si="19"/>
        <v>276.2</v>
      </c>
      <c r="AM19" s="115">
        <v>0.30199999999999999</v>
      </c>
      <c r="AN19" s="50"/>
      <c r="AO19" s="50"/>
      <c r="AP19" s="50"/>
      <c r="AQ19" s="50"/>
      <c r="AS19" s="99">
        <f t="shared" si="17"/>
        <v>16.593</v>
      </c>
    </row>
    <row r="20" spans="1:45" x14ac:dyDescent="0.2">
      <c r="A20" s="284">
        <v>12</v>
      </c>
      <c r="B20" s="236" t="s">
        <v>42</v>
      </c>
      <c r="C20" s="259">
        <v>1</v>
      </c>
      <c r="D20" s="237">
        <v>11.061999999999999</v>
      </c>
      <c r="E20" s="111">
        <f t="shared" si="0"/>
        <v>11.06</v>
      </c>
      <c r="F20" s="95">
        <f t="shared" si="1"/>
        <v>132.69999999999999</v>
      </c>
      <c r="G20" s="95"/>
      <c r="H20" s="95">
        <v>7.8</v>
      </c>
      <c r="I20" s="95"/>
      <c r="J20" s="95"/>
      <c r="K20" s="95">
        <f>F20*0.2</f>
        <v>26.5</v>
      </c>
      <c r="L20" s="95">
        <f t="shared" si="18"/>
        <v>36.1</v>
      </c>
      <c r="M20" s="95">
        <f t="shared" si="2"/>
        <v>203.1</v>
      </c>
      <c r="N20" s="111">
        <v>0.43</v>
      </c>
      <c r="O20" s="95">
        <f t="shared" si="3"/>
        <v>87.3</v>
      </c>
      <c r="P20" s="95">
        <f t="shared" si="4"/>
        <v>290.39999999999998</v>
      </c>
      <c r="Q20" s="95">
        <f t="shared" si="5"/>
        <v>232.3</v>
      </c>
      <c r="R20" s="95">
        <f t="shared" si="6"/>
        <v>232.3</v>
      </c>
      <c r="S20" s="95">
        <f t="shared" si="7"/>
        <v>24.2</v>
      </c>
      <c r="T20" s="95">
        <f t="shared" si="8"/>
        <v>779.2</v>
      </c>
      <c r="U20" s="3430"/>
      <c r="V20" s="95">
        <f t="shared" si="9"/>
        <v>779.2</v>
      </c>
      <c r="W20" s="95">
        <f t="shared" si="20"/>
        <v>235.3</v>
      </c>
      <c r="X20" s="284"/>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64933.33</v>
      </c>
      <c r="AK20" s="114">
        <f t="shared" si="16"/>
        <v>779.2</v>
      </c>
      <c r="AL20" s="114">
        <f t="shared" si="19"/>
        <v>259.3</v>
      </c>
      <c r="AM20" s="115">
        <v>0.30199999999999999</v>
      </c>
      <c r="AN20" s="50"/>
      <c r="AO20" s="50"/>
      <c r="AP20" s="50"/>
      <c r="AQ20" s="50"/>
      <c r="AS20" s="99">
        <f t="shared" si="17"/>
        <v>16.593</v>
      </c>
    </row>
    <row r="21" spans="1:45" s="22" customFormat="1" ht="25.5" x14ac:dyDescent="0.2">
      <c r="A21" s="284">
        <v>13</v>
      </c>
      <c r="B21" s="52" t="s">
        <v>132</v>
      </c>
      <c r="C21" s="167">
        <v>1</v>
      </c>
      <c r="D21" s="177">
        <v>8.4730000000000008</v>
      </c>
      <c r="E21" s="171">
        <f t="shared" si="0"/>
        <v>8.4700000000000006</v>
      </c>
      <c r="F21" s="154">
        <f>E21*12</f>
        <v>101.6</v>
      </c>
      <c r="G21" s="154"/>
      <c r="H21" s="154">
        <f>4130.4/1000</f>
        <v>4.0999999999999996</v>
      </c>
      <c r="I21" s="154"/>
      <c r="J21" s="154"/>
      <c r="K21" s="154"/>
      <c r="L21" s="154">
        <f t="shared" si="18"/>
        <v>27.6</v>
      </c>
      <c r="M21" s="154">
        <f t="shared" si="2"/>
        <v>133.30000000000001</v>
      </c>
      <c r="N21" s="171">
        <v>0.47</v>
      </c>
      <c r="O21" s="154">
        <f t="shared" si="3"/>
        <v>62.7</v>
      </c>
      <c r="P21" s="154">
        <f t="shared" si="4"/>
        <v>196</v>
      </c>
      <c r="Q21" s="154">
        <f t="shared" si="5"/>
        <v>156.80000000000001</v>
      </c>
      <c r="R21" s="154">
        <f t="shared" si="6"/>
        <v>156.80000000000001</v>
      </c>
      <c r="S21" s="154">
        <f t="shared" si="7"/>
        <v>16.3</v>
      </c>
      <c r="T21" s="154">
        <f t="shared" si="8"/>
        <v>525.9</v>
      </c>
      <c r="U21" s="3430"/>
      <c r="V21" s="154">
        <f>T21*$U$9</f>
        <v>525.9</v>
      </c>
      <c r="W21" s="95">
        <f t="shared" si="20"/>
        <v>158.80000000000001</v>
      </c>
      <c r="X21" s="278"/>
      <c r="Y21" s="24">
        <v>30</v>
      </c>
      <c r="Z21" s="48">
        <f t="shared" si="10"/>
        <v>0</v>
      </c>
      <c r="AA21" s="54"/>
      <c r="AB21" s="24">
        <v>15</v>
      </c>
      <c r="AC21" s="48">
        <f t="shared" si="11"/>
        <v>0</v>
      </c>
      <c r="AD21" s="54"/>
      <c r="AE21" s="24">
        <v>30</v>
      </c>
      <c r="AF21" s="48">
        <f t="shared" si="12"/>
        <v>0</v>
      </c>
      <c r="AG21" s="48">
        <f t="shared" si="13"/>
        <v>0</v>
      </c>
      <c r="AH21" s="48">
        <f t="shared" si="14"/>
        <v>0</v>
      </c>
      <c r="AI21" s="39">
        <f t="shared" si="15"/>
        <v>43825</v>
      </c>
      <c r="AK21" s="34">
        <f t="shared" si="16"/>
        <v>525.9</v>
      </c>
      <c r="AL21" s="34">
        <f t="shared" si="19"/>
        <v>213.2</v>
      </c>
      <c r="AM21" s="51">
        <v>0.30199999999999999</v>
      </c>
      <c r="AN21" s="211"/>
      <c r="AO21" s="211"/>
      <c r="AP21" s="211"/>
      <c r="AQ21" s="211"/>
      <c r="AS21" s="22">
        <f t="shared" si="17"/>
        <v>12.7095</v>
      </c>
    </row>
    <row r="22" spans="1:45" x14ac:dyDescent="0.2">
      <c r="A22" s="284">
        <v>14</v>
      </c>
      <c r="B22" s="261" t="s">
        <v>44</v>
      </c>
      <c r="C22" s="259">
        <v>1</v>
      </c>
      <c r="D22" s="237">
        <v>11.061999999999999</v>
      </c>
      <c r="E22" s="111">
        <f t="shared" si="0"/>
        <v>11.06</v>
      </c>
      <c r="F22" s="95">
        <f t="shared" si="1"/>
        <v>132.69999999999999</v>
      </c>
      <c r="G22" s="95"/>
      <c r="H22" s="95">
        <v>7</v>
      </c>
      <c r="I22" s="95"/>
      <c r="J22" s="95"/>
      <c r="K22" s="95">
        <f>F22*0.4</f>
        <v>53.1</v>
      </c>
      <c r="L22" s="95">
        <f t="shared" si="18"/>
        <v>36.1</v>
      </c>
      <c r="M22" s="95">
        <f t="shared" si="2"/>
        <v>228.9</v>
      </c>
      <c r="N22" s="111">
        <v>0.43</v>
      </c>
      <c r="O22" s="95">
        <f t="shared" si="3"/>
        <v>98.4</v>
      </c>
      <c r="P22" s="95">
        <f t="shared" si="4"/>
        <v>327.3</v>
      </c>
      <c r="Q22" s="95">
        <f t="shared" si="5"/>
        <v>261.8</v>
      </c>
      <c r="R22" s="95">
        <f t="shared" si="6"/>
        <v>261.8</v>
      </c>
      <c r="S22" s="95">
        <f t="shared" si="7"/>
        <v>27.2</v>
      </c>
      <c r="T22" s="95">
        <f t="shared" si="8"/>
        <v>878.1</v>
      </c>
      <c r="U22" s="3430"/>
      <c r="V22" s="95">
        <f t="shared" si="9"/>
        <v>878.1</v>
      </c>
      <c r="W22" s="95">
        <f t="shared" si="20"/>
        <v>265.2</v>
      </c>
      <c r="X22" s="284">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73175</v>
      </c>
      <c r="AK22" s="114">
        <f t="shared" si="16"/>
        <v>878.1</v>
      </c>
      <c r="AL22" s="114">
        <f t="shared" si="19"/>
        <v>277.3</v>
      </c>
      <c r="AM22" s="115">
        <v>0.30199999999999999</v>
      </c>
      <c r="AN22" s="50"/>
      <c r="AO22" s="50"/>
      <c r="AP22" s="50"/>
      <c r="AQ22" s="50"/>
      <c r="AS22" s="99">
        <f t="shared" si="17"/>
        <v>16.593</v>
      </c>
    </row>
    <row r="23" spans="1:45" x14ac:dyDescent="0.2">
      <c r="A23" s="284">
        <v>15</v>
      </c>
      <c r="B23" s="236" t="s">
        <v>33</v>
      </c>
      <c r="C23" s="174">
        <v>1</v>
      </c>
      <c r="D23" s="237">
        <v>8.4730000000000008</v>
      </c>
      <c r="E23" s="111">
        <f t="shared" si="0"/>
        <v>8.4700000000000006</v>
      </c>
      <c r="F23" s="95">
        <f t="shared" si="1"/>
        <v>101.6</v>
      </c>
      <c r="G23" s="95">
        <f>4015.6/1000</f>
        <v>4</v>
      </c>
      <c r="H23" s="95">
        <f>5782.5/1000</f>
        <v>5.8</v>
      </c>
      <c r="I23" s="95"/>
      <c r="J23" s="95"/>
      <c r="K23" s="95">
        <f>D23*0.2*7.6+D23*0.25*4.4</f>
        <v>22.2</v>
      </c>
      <c r="L23" s="95">
        <f t="shared" si="18"/>
        <v>27.6</v>
      </c>
      <c r="M23" s="95">
        <f t="shared" si="2"/>
        <v>161.19999999999999</v>
      </c>
      <c r="N23" s="111">
        <v>0.41</v>
      </c>
      <c r="O23" s="95">
        <f t="shared" si="3"/>
        <v>66.099999999999994</v>
      </c>
      <c r="P23" s="95">
        <f t="shared" si="4"/>
        <v>227.3</v>
      </c>
      <c r="Q23" s="95">
        <f t="shared" si="5"/>
        <v>181.8</v>
      </c>
      <c r="R23" s="95">
        <f t="shared" si="6"/>
        <v>181.8</v>
      </c>
      <c r="S23" s="95">
        <f t="shared" si="7"/>
        <v>18.899999999999999</v>
      </c>
      <c r="T23" s="95">
        <f t="shared" si="8"/>
        <v>609.79999999999995</v>
      </c>
      <c r="U23" s="3430"/>
      <c r="V23" s="95">
        <f t="shared" si="9"/>
        <v>609.79999999999995</v>
      </c>
      <c r="W23" s="95">
        <f t="shared" si="20"/>
        <v>184.2</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50816.67</v>
      </c>
      <c r="AK23" s="114">
        <f t="shared" si="16"/>
        <v>609.79999999999995</v>
      </c>
      <c r="AL23" s="114">
        <f t="shared" si="19"/>
        <v>228.5</v>
      </c>
      <c r="AM23" s="115">
        <v>0.30199999999999999</v>
      </c>
      <c r="AN23" s="263"/>
      <c r="AO23" s="263"/>
      <c r="AP23" s="263"/>
      <c r="AS23" s="99">
        <f t="shared" si="17"/>
        <v>12.7095</v>
      </c>
    </row>
    <row r="24" spans="1:45" ht="25.5" x14ac:dyDescent="0.2">
      <c r="A24" s="284">
        <v>16</v>
      </c>
      <c r="B24" s="236" t="s">
        <v>102</v>
      </c>
      <c r="C24" s="174">
        <v>0.5</v>
      </c>
      <c r="D24" s="237">
        <v>4.3769999999999998</v>
      </c>
      <c r="E24" s="111">
        <f t="shared" si="0"/>
        <v>2.19</v>
      </c>
      <c r="F24" s="95">
        <f t="shared" si="1"/>
        <v>26.3</v>
      </c>
      <c r="G24" s="95"/>
      <c r="H24" s="95"/>
      <c r="I24" s="95"/>
      <c r="J24" s="95"/>
      <c r="K24" s="95"/>
      <c r="L24" s="95">
        <f t="shared" si="18"/>
        <v>7.2</v>
      </c>
      <c r="M24" s="95">
        <f t="shared" si="2"/>
        <v>33.5</v>
      </c>
      <c r="N24" s="111">
        <v>0.49</v>
      </c>
      <c r="O24" s="95">
        <f t="shared" si="3"/>
        <v>16.399999999999999</v>
      </c>
      <c r="P24" s="95">
        <f t="shared" si="4"/>
        <v>49.9</v>
      </c>
      <c r="Q24" s="95">
        <f t="shared" si="5"/>
        <v>39.9</v>
      </c>
      <c r="R24" s="95">
        <f t="shared" si="6"/>
        <v>39.9</v>
      </c>
      <c r="S24" s="95">
        <f t="shared" si="7"/>
        <v>4.2</v>
      </c>
      <c r="T24" s="95">
        <f t="shared" si="8"/>
        <v>133.9</v>
      </c>
      <c r="U24" s="3430"/>
      <c r="V24" s="95">
        <f t="shared" si="9"/>
        <v>133.9</v>
      </c>
      <c r="W24" s="95">
        <f t="shared" si="20"/>
        <v>40.4</v>
      </c>
      <c r="X24" s="238"/>
      <c r="Y24" s="240"/>
      <c r="Z24" s="241"/>
      <c r="AA24" s="238"/>
      <c r="AB24" s="240"/>
      <c r="AC24" s="241"/>
      <c r="AD24" s="238"/>
      <c r="AE24" s="240"/>
      <c r="AF24" s="241"/>
      <c r="AG24" s="241"/>
      <c r="AH24" s="241"/>
      <c r="AI24" s="131"/>
      <c r="AK24" s="114"/>
      <c r="AL24" s="114"/>
      <c r="AM24" s="115"/>
      <c r="AN24" s="263"/>
      <c r="AO24" s="263"/>
      <c r="AP24" s="263"/>
      <c r="AS24" s="99">
        <f t="shared" si="17"/>
        <v>6.5655000000000001</v>
      </c>
    </row>
    <row r="25" spans="1:45" x14ac:dyDescent="0.2">
      <c r="A25" s="284">
        <v>17</v>
      </c>
      <c r="B25" s="236" t="s">
        <v>136</v>
      </c>
      <c r="C25" s="174">
        <v>0.5</v>
      </c>
      <c r="D25" s="237">
        <v>4.3769999999999998</v>
      </c>
      <c r="E25" s="111">
        <f t="shared" si="0"/>
        <v>2.19</v>
      </c>
      <c r="F25" s="95">
        <f t="shared" si="1"/>
        <v>26.3</v>
      </c>
      <c r="G25" s="95"/>
      <c r="H25" s="95"/>
      <c r="I25" s="95"/>
      <c r="J25" s="95"/>
      <c r="K25" s="95"/>
      <c r="L25" s="95">
        <f t="shared" si="18"/>
        <v>7.2</v>
      </c>
      <c r="M25" s="95">
        <f t="shared" si="2"/>
        <v>33.5</v>
      </c>
      <c r="N25" s="111">
        <v>0.49</v>
      </c>
      <c r="O25" s="95">
        <f t="shared" si="3"/>
        <v>16.399999999999999</v>
      </c>
      <c r="P25" s="95">
        <f t="shared" si="4"/>
        <v>49.9</v>
      </c>
      <c r="Q25" s="95">
        <f t="shared" si="5"/>
        <v>39.9</v>
      </c>
      <c r="R25" s="95">
        <f t="shared" si="6"/>
        <v>39.9</v>
      </c>
      <c r="S25" s="95">
        <f t="shared" si="7"/>
        <v>4.2</v>
      </c>
      <c r="T25" s="95">
        <f t="shared" si="8"/>
        <v>133.9</v>
      </c>
      <c r="U25" s="3430"/>
      <c r="V25" s="95">
        <f t="shared" si="9"/>
        <v>133.9</v>
      </c>
      <c r="W25" s="95">
        <f t="shared" si="20"/>
        <v>40.4</v>
      </c>
      <c r="X25" s="238"/>
      <c r="Y25" s="240"/>
      <c r="Z25" s="241"/>
      <c r="AA25" s="238"/>
      <c r="AB25" s="240"/>
      <c r="AC25" s="241"/>
      <c r="AD25" s="238"/>
      <c r="AE25" s="240"/>
      <c r="AF25" s="241"/>
      <c r="AG25" s="241"/>
      <c r="AH25" s="241"/>
      <c r="AI25" s="131"/>
      <c r="AK25" s="114"/>
      <c r="AL25" s="114"/>
      <c r="AM25" s="115"/>
      <c r="AN25" s="263"/>
      <c r="AO25" s="263"/>
      <c r="AP25" s="263"/>
      <c r="AS25" s="99">
        <f t="shared" si="17"/>
        <v>6.5655000000000001</v>
      </c>
    </row>
    <row r="26" spans="1:45" s="245" customFormat="1" x14ac:dyDescent="0.2">
      <c r="A26" s="284">
        <v>18</v>
      </c>
      <c r="B26" s="236" t="s">
        <v>60</v>
      </c>
      <c r="C26" s="262">
        <v>2</v>
      </c>
      <c r="D26" s="247">
        <v>4.3769999999999998</v>
      </c>
      <c r="E26" s="249">
        <f t="shared" si="0"/>
        <v>8.75</v>
      </c>
      <c r="F26" s="248">
        <f t="shared" si="1"/>
        <v>105</v>
      </c>
      <c r="G26" s="248">
        <f>12446.4/1000</f>
        <v>12.4</v>
      </c>
      <c r="H26" s="248">
        <f>5974.3/1000</f>
        <v>6</v>
      </c>
      <c r="I26" s="248"/>
      <c r="J26" s="248"/>
      <c r="K26" s="248"/>
      <c r="L26" s="95">
        <v>59</v>
      </c>
      <c r="M26" s="248">
        <f t="shared" si="2"/>
        <v>182.4</v>
      </c>
      <c r="N26" s="111">
        <v>0.49</v>
      </c>
      <c r="O26" s="248">
        <f t="shared" si="3"/>
        <v>89.4</v>
      </c>
      <c r="P26" s="248">
        <f t="shared" si="4"/>
        <v>271.8</v>
      </c>
      <c r="Q26" s="248">
        <f t="shared" si="5"/>
        <v>217.4</v>
      </c>
      <c r="R26" s="248">
        <f t="shared" si="6"/>
        <v>217.4</v>
      </c>
      <c r="S26" s="248">
        <f t="shared" si="7"/>
        <v>22.6</v>
      </c>
      <c r="T26" s="248">
        <f t="shared" si="8"/>
        <v>729.2</v>
      </c>
      <c r="U26" s="3430"/>
      <c r="V26" s="248">
        <f t="shared" si="9"/>
        <v>729.2</v>
      </c>
      <c r="W26" s="95">
        <f t="shared" si="20"/>
        <v>220.2</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30383.33</v>
      </c>
      <c r="AK26" s="114">
        <f>V26/C26</f>
        <v>364.6</v>
      </c>
      <c r="AL26" s="114">
        <f t="shared" si="19"/>
        <v>183.8</v>
      </c>
      <c r="AM26" s="115">
        <v>0.30199999999999999</v>
      </c>
      <c r="AN26" s="211"/>
      <c r="AO26" s="211"/>
      <c r="AP26" s="211"/>
      <c r="AQ26" s="211"/>
      <c r="AS26" s="99">
        <f t="shared" si="17"/>
        <v>6.5655000000000001</v>
      </c>
    </row>
    <row r="27" spans="1:45" x14ac:dyDescent="0.2">
      <c r="A27" s="284">
        <v>19</v>
      </c>
      <c r="B27" s="261" t="s">
        <v>94</v>
      </c>
      <c r="C27" s="264">
        <v>2</v>
      </c>
      <c r="D27" s="237">
        <v>4.3769999999999998</v>
      </c>
      <c r="E27" s="111">
        <f t="shared" si="0"/>
        <v>8.75</v>
      </c>
      <c r="F27" s="95">
        <f t="shared" si="1"/>
        <v>105</v>
      </c>
      <c r="G27" s="95">
        <f>2074.4/1000</f>
        <v>2.1</v>
      </c>
      <c r="H27" s="95">
        <f>5.974</f>
        <v>6</v>
      </c>
      <c r="I27" s="95"/>
      <c r="J27" s="95"/>
      <c r="K27" s="95"/>
      <c r="L27" s="95">
        <v>70.8</v>
      </c>
      <c r="M27" s="95">
        <f t="shared" si="2"/>
        <v>183.9</v>
      </c>
      <c r="N27" s="111">
        <v>0.47</v>
      </c>
      <c r="O27" s="95">
        <f t="shared" si="3"/>
        <v>86.4</v>
      </c>
      <c r="P27" s="95">
        <f t="shared" si="4"/>
        <v>270.3</v>
      </c>
      <c r="Q27" s="95">
        <f t="shared" si="5"/>
        <v>216.2</v>
      </c>
      <c r="R27" s="95">
        <f t="shared" si="6"/>
        <v>216.2</v>
      </c>
      <c r="S27" s="95">
        <f t="shared" si="7"/>
        <v>22.5</v>
      </c>
      <c r="T27" s="95">
        <f t="shared" si="8"/>
        <v>725.2</v>
      </c>
      <c r="U27" s="3430"/>
      <c r="V27" s="95">
        <f>T27*$U$9+0.1</f>
        <v>725.3</v>
      </c>
      <c r="W27" s="95">
        <f t="shared" si="20"/>
        <v>219</v>
      </c>
      <c r="X27" s="284">
        <v>1</v>
      </c>
      <c r="Y27" s="112">
        <v>30</v>
      </c>
      <c r="Z27" s="113">
        <f t="shared" si="10"/>
        <v>30</v>
      </c>
      <c r="AA27" s="284"/>
      <c r="AB27" s="112">
        <v>15</v>
      </c>
      <c r="AC27" s="113">
        <f t="shared" si="11"/>
        <v>0</v>
      </c>
      <c r="AD27" s="284"/>
      <c r="AE27" s="112">
        <v>30</v>
      </c>
      <c r="AF27" s="113">
        <f t="shared" si="12"/>
        <v>0</v>
      </c>
      <c r="AG27" s="113">
        <f t="shared" si="13"/>
        <v>9</v>
      </c>
      <c r="AH27" s="113">
        <f t="shared" si="14"/>
        <v>39</v>
      </c>
      <c r="AI27" s="131">
        <f>V27/12/C27*1000</f>
        <v>30220.83</v>
      </c>
      <c r="AK27" s="114">
        <f>V27/C27</f>
        <v>362.7</v>
      </c>
      <c r="AL27" s="114">
        <f t="shared" si="19"/>
        <v>183.5</v>
      </c>
      <c r="AM27" s="115">
        <v>0.30199999999999999</v>
      </c>
      <c r="AS27" s="99">
        <f t="shared" si="17"/>
        <v>6.5655000000000001</v>
      </c>
    </row>
    <row r="28" spans="1:45" s="98" customFormat="1" ht="20.25" customHeight="1" x14ac:dyDescent="0.2">
      <c r="A28" s="3431" t="s">
        <v>8</v>
      </c>
      <c r="B28" s="3431"/>
      <c r="C28" s="265">
        <f>SUM(C9:C27)</f>
        <v>25</v>
      </c>
      <c r="D28" s="266">
        <f t="shared" ref="D28:T28" si="21">SUM(D9:D27)</f>
        <v>187.6</v>
      </c>
      <c r="E28" s="266">
        <f t="shared" si="21"/>
        <v>251.7</v>
      </c>
      <c r="F28" s="266">
        <f t="shared" si="21"/>
        <v>3020.1</v>
      </c>
      <c r="G28" s="266">
        <f t="shared" si="21"/>
        <v>18.5</v>
      </c>
      <c r="H28" s="266">
        <f t="shared" si="21"/>
        <v>110.7</v>
      </c>
      <c r="I28" s="266">
        <f t="shared" si="21"/>
        <v>0</v>
      </c>
      <c r="J28" s="266">
        <f t="shared" si="21"/>
        <v>0</v>
      </c>
      <c r="K28" s="266">
        <f t="shared" si="21"/>
        <v>703.9</v>
      </c>
      <c r="L28" s="266">
        <f t="shared" si="21"/>
        <v>894.2</v>
      </c>
      <c r="M28" s="266">
        <f t="shared" si="21"/>
        <v>4747.3999999999996</v>
      </c>
      <c r="N28" s="266">
        <f t="shared" si="21"/>
        <v>8.5</v>
      </c>
      <c r="O28" s="266">
        <f t="shared" si="21"/>
        <v>2108</v>
      </c>
      <c r="P28" s="266">
        <f t="shared" si="21"/>
        <v>6855.4</v>
      </c>
      <c r="Q28" s="266">
        <f t="shared" si="21"/>
        <v>5484.1</v>
      </c>
      <c r="R28" s="266">
        <f t="shared" si="21"/>
        <v>5484.1</v>
      </c>
      <c r="S28" s="266">
        <f t="shared" si="21"/>
        <v>570.29999999999995</v>
      </c>
      <c r="T28" s="266">
        <f t="shared" si="21"/>
        <v>18393.900000000001</v>
      </c>
      <c r="U28" s="266"/>
      <c r="V28" s="266">
        <f t="shared" ref="V28:AH28" si="22">SUM(V9:V27)</f>
        <v>18394</v>
      </c>
      <c r="W28" s="266">
        <f>SUM(W9:W27)</f>
        <v>5400.8</v>
      </c>
      <c r="X28" s="266">
        <f t="shared" si="22"/>
        <v>8</v>
      </c>
      <c r="Y28" s="266">
        <f t="shared" si="22"/>
        <v>510</v>
      </c>
      <c r="Z28" s="266">
        <f t="shared" si="22"/>
        <v>240</v>
      </c>
      <c r="AA28" s="266">
        <f t="shared" si="22"/>
        <v>1</v>
      </c>
      <c r="AB28" s="266">
        <f t="shared" si="22"/>
        <v>255</v>
      </c>
      <c r="AC28" s="266">
        <f t="shared" si="22"/>
        <v>15</v>
      </c>
      <c r="AD28" s="266">
        <f t="shared" si="22"/>
        <v>3</v>
      </c>
      <c r="AE28" s="266">
        <f t="shared" si="22"/>
        <v>510</v>
      </c>
      <c r="AF28" s="266">
        <f t="shared" si="22"/>
        <v>90</v>
      </c>
      <c r="AG28" s="266">
        <f t="shared" si="22"/>
        <v>103.5</v>
      </c>
      <c r="AH28" s="266">
        <f t="shared" si="22"/>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66"/>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x14ac:dyDescent="0.2">
      <c r="A30" s="70"/>
      <c r="B30" s="70"/>
      <c r="C30" s="71"/>
      <c r="D30" s="271"/>
      <c r="E30" s="72"/>
      <c r="F30" s="72"/>
      <c r="G30" s="72"/>
      <c r="H30" s="73"/>
      <c r="I30" s="73"/>
      <c r="J30" s="27"/>
      <c r="K30" s="27"/>
      <c r="L30" s="27"/>
      <c r="M30" s="27"/>
      <c r="N30" s="74"/>
      <c r="O30" s="27"/>
      <c r="P30" s="27"/>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ht="58.5" customHeight="1" x14ac:dyDescent="0.2">
      <c r="A31" s="70"/>
      <c r="B31" s="70"/>
      <c r="C31" s="71"/>
      <c r="D31" s="77"/>
      <c r="E31" s="77"/>
      <c r="F31" s="27"/>
      <c r="G31" s="3191" t="s">
        <v>140</v>
      </c>
      <c r="H31" s="3191"/>
      <c r="I31" s="3191" t="s">
        <v>145</v>
      </c>
      <c r="J31" s="3191"/>
      <c r="K31" s="3191" t="s">
        <v>128</v>
      </c>
      <c r="L31" s="3191"/>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9">
        <v>991</v>
      </c>
      <c r="H32" s="279">
        <v>992</v>
      </c>
      <c r="I32" s="279">
        <v>991</v>
      </c>
      <c r="J32" s="279">
        <v>992</v>
      </c>
      <c r="K32" s="279">
        <v>991</v>
      </c>
      <c r="L32" s="279">
        <v>992</v>
      </c>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9">
        <v>18394</v>
      </c>
      <c r="H33" s="29">
        <v>5393.9</v>
      </c>
      <c r="I33" s="29">
        <f>V28</f>
        <v>18394</v>
      </c>
      <c r="J33" s="29">
        <f>W28</f>
        <v>5400.8</v>
      </c>
      <c r="K33" s="29">
        <f>G33-I33</f>
        <v>0</v>
      </c>
      <c r="L33" s="29">
        <f>H33-J33</f>
        <v>-6.9</v>
      </c>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8" spans="1:44" s="282" customFormat="1" ht="20.25" x14ac:dyDescent="0.2">
      <c r="A38" s="81"/>
      <c r="B38" s="82" t="s">
        <v>138</v>
      </c>
      <c r="C38" s="83"/>
      <c r="D38" s="84"/>
      <c r="E38" s="84"/>
      <c r="F38" s="85"/>
      <c r="G38" s="85"/>
      <c r="H38" s="86"/>
      <c r="I38" s="86"/>
      <c r="J38" s="85"/>
      <c r="K38" s="30" t="s">
        <v>166</v>
      </c>
      <c r="L38" s="85"/>
      <c r="M38" s="85"/>
      <c r="N38" s="87"/>
      <c r="O38" s="85"/>
      <c r="P38" s="85"/>
      <c r="Q38" s="85"/>
      <c r="R38" s="85"/>
      <c r="S38" s="85"/>
      <c r="T38" s="85"/>
      <c r="U38" s="85"/>
      <c r="V38" s="85"/>
      <c r="W38" s="85"/>
      <c r="X38" s="85"/>
      <c r="Y38" s="85"/>
      <c r="Z38" s="85"/>
      <c r="AA38" s="85"/>
      <c r="AB38" s="85"/>
      <c r="AC38" s="85"/>
      <c r="AD38" s="85"/>
      <c r="AE38" s="85"/>
      <c r="AF38" s="85"/>
      <c r="AG38" s="85"/>
      <c r="AH38" s="85"/>
      <c r="AI38" s="85"/>
      <c r="AK38" s="88"/>
      <c r="AL38" s="88"/>
      <c r="AM38" s="88"/>
      <c r="AN38" s="88"/>
      <c r="AO38" s="88"/>
    </row>
    <row r="39" spans="1:44" s="143" customFormat="1" x14ac:dyDescent="0.2">
      <c r="A39" s="136"/>
      <c r="B39" s="136"/>
      <c r="C39" s="137"/>
      <c r="D39" s="144"/>
      <c r="E39" s="144"/>
      <c r="F39" s="140"/>
      <c r="G39" s="140"/>
      <c r="H39" s="139"/>
      <c r="I39" s="139"/>
      <c r="J39" s="140"/>
      <c r="K39" s="140"/>
      <c r="L39" s="140"/>
      <c r="M39" s="140"/>
      <c r="N39" s="141"/>
      <c r="O39" s="140"/>
      <c r="P39" s="140"/>
      <c r="Q39" s="140"/>
      <c r="R39" s="140"/>
      <c r="S39" s="140"/>
      <c r="T39" s="140"/>
      <c r="U39" s="140"/>
      <c r="V39" s="140"/>
      <c r="W39" s="140"/>
      <c r="X39" s="140"/>
      <c r="Y39" s="140"/>
      <c r="Z39" s="140"/>
      <c r="AA39" s="140"/>
      <c r="AB39" s="140"/>
      <c r="AC39" s="140"/>
      <c r="AD39" s="140"/>
      <c r="AE39" s="140"/>
      <c r="AF39" s="142"/>
      <c r="AK39" s="142"/>
      <c r="AL39" s="142"/>
      <c r="AM39" s="142"/>
      <c r="AN39" s="76"/>
      <c r="AO39" s="76"/>
      <c r="AP39" s="76"/>
      <c r="AQ39" s="76"/>
      <c r="AR39" s="99"/>
    </row>
    <row r="40" spans="1:44" s="143" customFormat="1" x14ac:dyDescent="0.2">
      <c r="A40" s="136"/>
      <c r="B40" s="136"/>
      <c r="C40" s="137"/>
      <c r="D40" s="144"/>
      <c r="E40" s="144"/>
      <c r="F40" s="140"/>
      <c r="G40" s="140"/>
      <c r="H40" s="139"/>
      <c r="I40" s="139"/>
      <c r="J40" s="140"/>
      <c r="K40" s="140"/>
      <c r="L40" s="140"/>
      <c r="M40" s="140"/>
      <c r="N40" s="202"/>
      <c r="O40" s="203"/>
      <c r="P40" s="140"/>
      <c r="Q40" s="140"/>
      <c r="R40" s="140"/>
      <c r="S40" s="140"/>
      <c r="T40" s="140"/>
      <c r="U40" s="140"/>
      <c r="V40" s="140"/>
      <c r="W40" s="140"/>
      <c r="X40" s="140"/>
      <c r="Y40" s="140"/>
      <c r="Z40" s="140"/>
      <c r="AA40" s="140"/>
      <c r="AB40" s="140"/>
      <c r="AC40" s="140"/>
      <c r="AD40" s="140"/>
      <c r="AE40" s="140"/>
      <c r="AF40" s="142"/>
      <c r="AK40" s="142"/>
      <c r="AL40" s="142"/>
      <c r="AM40" s="142"/>
      <c r="AN40" s="76"/>
      <c r="AO40" s="76"/>
      <c r="AP40" s="76"/>
      <c r="AQ40" s="76"/>
      <c r="AR40" s="252"/>
    </row>
    <row r="41" spans="1:44" s="143" customFormat="1" ht="20.25" customHeight="1" x14ac:dyDescent="0.2">
      <c r="A41" s="145" t="s">
        <v>96</v>
      </c>
      <c r="B41" s="145"/>
      <c r="C41" s="146"/>
      <c r="D41" s="146"/>
      <c r="E41" s="146"/>
      <c r="F41" s="146"/>
      <c r="G41" s="146"/>
      <c r="H41" s="146"/>
      <c r="I41" s="146"/>
      <c r="J41" s="146"/>
      <c r="K41" s="146"/>
      <c r="L41" s="147"/>
      <c r="M41" s="147"/>
      <c r="N41" s="202"/>
      <c r="O41" s="203"/>
      <c r="P41" s="147"/>
      <c r="Q41" s="147"/>
      <c r="R41" s="147"/>
      <c r="S41" s="147"/>
      <c r="T41" s="147"/>
      <c r="U41" s="147"/>
      <c r="V41" s="147"/>
      <c r="W41" s="147"/>
      <c r="X41" s="147"/>
      <c r="Y41" s="147"/>
      <c r="Z41" s="147"/>
      <c r="AA41" s="147"/>
      <c r="AB41" s="147"/>
      <c r="AC41" s="147"/>
      <c r="AD41" s="147"/>
      <c r="AE41" s="147"/>
      <c r="AF41" s="142"/>
      <c r="AK41" s="142"/>
      <c r="AL41" s="142"/>
      <c r="AM41" s="142"/>
      <c r="AN41" s="76"/>
      <c r="AO41" s="76"/>
      <c r="AP41" s="76"/>
      <c r="AQ41" s="76"/>
      <c r="AR41" s="99"/>
    </row>
    <row r="42" spans="1:44" s="143" customFormat="1" ht="20.25" customHeight="1" x14ac:dyDescent="0.2">
      <c r="A42" s="145" t="s">
        <v>139</v>
      </c>
      <c r="B42" s="149"/>
      <c r="C42" s="150"/>
      <c r="D42" s="150"/>
      <c r="E42" s="151"/>
      <c r="F42" s="151"/>
      <c r="G42" s="151"/>
      <c r="H42" s="151"/>
      <c r="I42" s="151"/>
      <c r="J42" s="151"/>
      <c r="K42" s="151"/>
      <c r="L42" s="147"/>
      <c r="M42" s="147"/>
      <c r="N42" s="202"/>
      <c r="O42" s="203"/>
      <c r="P42" s="147"/>
      <c r="Q42" s="147"/>
      <c r="R42" s="147"/>
      <c r="S42" s="147"/>
      <c r="T42" s="147"/>
      <c r="U42" s="147"/>
      <c r="V42" s="147"/>
      <c r="W42" s="147"/>
      <c r="X42" s="147"/>
      <c r="Y42" s="147"/>
      <c r="Z42" s="147"/>
      <c r="AA42" s="147"/>
      <c r="AB42" s="147"/>
      <c r="AC42" s="147"/>
      <c r="AD42" s="147"/>
      <c r="AE42" s="147"/>
      <c r="AF42" s="142"/>
      <c r="AK42" s="142"/>
      <c r="AL42" s="142"/>
      <c r="AM42" s="142"/>
      <c r="AN42" s="76"/>
      <c r="AO42" s="76"/>
      <c r="AP42" s="76"/>
      <c r="AQ42" s="76"/>
      <c r="AR42" s="252"/>
    </row>
    <row r="44" spans="1:44" x14ac:dyDescent="0.2">
      <c r="E44" s="115"/>
    </row>
    <row r="45" spans="1:44" x14ac:dyDescent="0.2">
      <c r="E45" s="115"/>
    </row>
    <row r="46" spans="1:44" x14ac:dyDescent="0.2">
      <c r="E46" s="115"/>
      <c r="Y46" s="99" t="s">
        <v>124</v>
      </c>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row r="65" spans="5:5" x14ac:dyDescent="0.2">
      <c r="E65" s="115"/>
    </row>
    <row r="66" spans="5:5" x14ac:dyDescent="0.2">
      <c r="E66" s="115"/>
    </row>
    <row r="67" spans="5:5" x14ac:dyDescent="0.2">
      <c r="E67" s="115"/>
    </row>
    <row r="68" spans="5:5" x14ac:dyDescent="0.2">
      <c r="E68" s="115"/>
    </row>
  </sheetData>
  <autoFilter ref="A8:AS28"/>
  <mergeCells count="37">
    <mergeCell ref="G31:H31"/>
    <mergeCell ref="I31:J31"/>
    <mergeCell ref="K31:L31"/>
    <mergeCell ref="AA6:AC6"/>
    <mergeCell ref="AD6:AF6"/>
    <mergeCell ref="K6:K7"/>
    <mergeCell ref="AH6:AH7"/>
    <mergeCell ref="U9:U27"/>
    <mergeCell ref="A28:B28"/>
    <mergeCell ref="S6:S7"/>
    <mergeCell ref="T6:T7"/>
    <mergeCell ref="U6:U7"/>
    <mergeCell ref="V6:V7"/>
    <mergeCell ref="W6:W7"/>
    <mergeCell ref="X6:Z6"/>
    <mergeCell ref="L6:L7"/>
    <mergeCell ref="M6:M7"/>
    <mergeCell ref="N6:O6"/>
    <mergeCell ref="P6:P7"/>
    <mergeCell ref="Q6:Q7"/>
    <mergeCell ref="R6:R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s>
  <printOptions horizontalCentered="1"/>
  <pageMargins left="0" right="0" top="0" bottom="0" header="0.31496062992125984" footer="0.31496062992125984"/>
  <pageSetup paperSize="9" scale="37"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92D050"/>
  </sheetPr>
  <dimension ref="A1:J11"/>
  <sheetViews>
    <sheetView view="pageBreakPreview" zoomScaleNormal="100" zoomScaleSheetLayoutView="100" workbookViewId="0">
      <selection activeCell="A2" sqref="A2:D2"/>
    </sheetView>
  </sheetViews>
  <sheetFormatPr defaultRowHeight="15" x14ac:dyDescent="0.25"/>
  <cols>
    <col min="1" max="1" width="84.5" style="313" customWidth="1"/>
    <col min="2" max="4" width="19.33203125" style="313" customWidth="1"/>
    <col min="5" max="7" width="15.33203125" style="313" customWidth="1"/>
    <col min="8" max="10" width="10.33203125" style="313" customWidth="1"/>
    <col min="11" max="16384" width="9.33203125" style="313"/>
  </cols>
  <sheetData>
    <row r="1" spans="1:10" ht="26.25" customHeight="1" x14ac:dyDescent="0.25">
      <c r="A1" s="3387" t="s">
        <v>966</v>
      </c>
      <c r="B1" s="3387"/>
      <c r="C1" s="3387"/>
      <c r="D1" s="3387"/>
    </row>
    <row r="2" spans="1:10" ht="27" customHeight="1" x14ac:dyDescent="0.25">
      <c r="A2" s="3386" t="s">
        <v>1442</v>
      </c>
      <c r="B2" s="3386"/>
      <c r="C2" s="3386"/>
      <c r="D2" s="3386"/>
    </row>
    <row r="3" spans="1:10" ht="11.25" customHeight="1" x14ac:dyDescent="0.25">
      <c r="A3" s="790"/>
      <c r="B3" s="789"/>
      <c r="C3" s="789"/>
      <c r="D3" s="807">
        <v>43831</v>
      </c>
    </row>
    <row r="4" spans="1:10" ht="45" customHeight="1" x14ac:dyDescent="0.25">
      <c r="A4" s="3383" t="s">
        <v>185</v>
      </c>
      <c r="B4" s="3380" t="s">
        <v>907</v>
      </c>
      <c r="C4" s="3381"/>
      <c r="D4" s="3382"/>
    </row>
    <row r="5" spans="1:10" x14ac:dyDescent="0.25">
      <c r="A5" s="3384"/>
      <c r="B5" s="640" t="s">
        <v>397</v>
      </c>
      <c r="C5" s="640" t="s">
        <v>398</v>
      </c>
      <c r="D5" s="640" t="s">
        <v>398</v>
      </c>
    </row>
    <row r="6" spans="1:10" ht="45" x14ac:dyDescent="0.25">
      <c r="A6" s="3385"/>
      <c r="B6" s="640" t="s">
        <v>389</v>
      </c>
      <c r="C6" s="640" t="s">
        <v>390</v>
      </c>
      <c r="D6" s="640" t="s">
        <v>391</v>
      </c>
      <c r="E6" s="313" t="s">
        <v>961</v>
      </c>
      <c r="H6" s="313" t="s">
        <v>183</v>
      </c>
    </row>
    <row r="7" spans="1:10" x14ac:dyDescent="0.25">
      <c r="A7" s="685">
        <v>1</v>
      </c>
      <c r="B7" s="640">
        <v>2</v>
      </c>
      <c r="C7" s="640">
        <v>3</v>
      </c>
      <c r="D7" s="640">
        <v>4</v>
      </c>
      <c r="E7" s="684">
        <v>2020</v>
      </c>
      <c r="F7" s="684">
        <v>2021</v>
      </c>
      <c r="G7" s="684">
        <v>2022</v>
      </c>
      <c r="H7" s="684">
        <v>2020</v>
      </c>
      <c r="I7" s="684">
        <v>2021</v>
      </c>
      <c r="J7" s="684">
        <v>2022</v>
      </c>
    </row>
    <row r="8" spans="1:10" ht="36" customHeight="1" x14ac:dyDescent="0.25">
      <c r="A8" s="684" t="s">
        <v>967</v>
      </c>
      <c r="B8" s="1766">
        <f>'субс РК КВР 111 (01.01.20)'!C13+'субс РК КВР 119 (01.01.20)'!C13+'субс РК КВР 112 (01.01.20)'!C22+'субс РК КВР 113(01.01.20)'!C14+'субс РК КВР 244 (01.01.20)'!C33</f>
        <v>38510500</v>
      </c>
      <c r="C8" s="1766">
        <f>'субс РК КВР 111 (01.01.20)'!D13+'субс РК КВР 119 (01.01.20)'!D13+'субс РК КВР 112 (01.01.20)'!D22+'субс РК КВР 113(01.01.20)'!D14+'субс РК КВР 244 (01.01.20)'!D33</f>
        <v>38379800</v>
      </c>
      <c r="D8" s="1766">
        <f>'субс РК КВР 111 (01.01.20)'!E13+'субс РК КВР 119 (01.01.20)'!E13+'субс РК КВР 112 (01.01.20)'!E22+'субс РК КВР 113(01.01.20)'!E14+'субс РК КВР 244 (01.01.20)'!E33</f>
        <v>38440200</v>
      </c>
      <c r="E8" s="806">
        <v>38510500</v>
      </c>
      <c r="F8" s="806">
        <v>38379800</v>
      </c>
      <c r="G8" s="806">
        <v>38440200</v>
      </c>
      <c r="H8" s="806">
        <f>B8-E8</f>
        <v>0</v>
      </c>
      <c r="I8" s="806">
        <f t="shared" ref="I8:J8" si="0">C8-F8</f>
        <v>0</v>
      </c>
      <c r="J8" s="806">
        <f t="shared" si="0"/>
        <v>0</v>
      </c>
    </row>
    <row r="9" spans="1:10" x14ac:dyDescent="0.25">
      <c r="A9" s="684" t="s">
        <v>968</v>
      </c>
      <c r="B9" s="1766">
        <f>'субс РТ КВР 113(01.01.20)'!C14+'субс РТ КВР 244 (01.01.20)'!C33</f>
        <v>103100</v>
      </c>
      <c r="C9" s="1766">
        <f>'субс РТ КВР 113(01.01.20)'!D14+'субс РТ КВР 244 (01.01.20)'!D33</f>
        <v>103100</v>
      </c>
      <c r="D9" s="1766">
        <f>'субс РТ КВР 113(01.01.20)'!E14+'субс РТ КВР 244 (01.01.20)'!E33</f>
        <v>103100</v>
      </c>
      <c r="E9" s="806">
        <v>103100</v>
      </c>
      <c r="F9" s="806">
        <v>103100</v>
      </c>
      <c r="G9" s="806">
        <v>103100</v>
      </c>
      <c r="H9" s="806">
        <f t="shared" ref="H9" si="1">B9-E9</f>
        <v>0</v>
      </c>
      <c r="I9" s="806">
        <f t="shared" ref="I9" si="2">C9-F9</f>
        <v>0</v>
      </c>
      <c r="J9" s="806">
        <f t="shared" ref="J9" si="3">D9-G9</f>
        <v>0</v>
      </c>
    </row>
    <row r="10" spans="1:10" s="677" customFormat="1" x14ac:dyDescent="0.25">
      <c r="A10" s="688" t="s">
        <v>972</v>
      </c>
      <c r="B10" s="689">
        <f>SUM(B8:B9)</f>
        <v>38613600</v>
      </c>
      <c r="C10" s="689">
        <f>SUM(C8:C9)</f>
        <v>38482900</v>
      </c>
      <c r="D10" s="689">
        <f>SUM(D8:D9)</f>
        <v>38543300</v>
      </c>
    </row>
    <row r="11" spans="1:10" x14ac:dyDescent="0.25">
      <c r="B11" s="654"/>
      <c r="C11" s="654"/>
      <c r="D11" s="654"/>
    </row>
  </sheetData>
  <mergeCells count="4">
    <mergeCell ref="B4:D4"/>
    <mergeCell ref="A4:A6"/>
    <mergeCell ref="A2:D2"/>
    <mergeCell ref="A1:D1"/>
  </mergeCells>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33"/>
  <sheetViews>
    <sheetView view="pageBreakPreview" zoomScale="80" zoomScaleNormal="85" zoomScaleSheetLayoutView="80" workbookViewId="0">
      <pane xSplit="5" ySplit="7" topLeftCell="F8" activePane="bottomRight" state="frozen"/>
      <selection activeCell="D16" sqref="D16"/>
      <selection pane="topRight" activeCell="D16" sqref="D16"/>
      <selection pane="bottomLeft" activeCell="D16" sqref="D16"/>
      <selection pane="bottomRight" activeCell="H3" sqref="H3"/>
    </sheetView>
  </sheetViews>
  <sheetFormatPr defaultRowHeight="15" x14ac:dyDescent="0.25"/>
  <cols>
    <col min="1" max="1" width="6.1640625" style="319" customWidth="1"/>
    <col min="2" max="2" width="24.33203125" style="319" customWidth="1"/>
    <col min="3" max="3" width="27.33203125" style="319" customWidth="1"/>
    <col min="4" max="4" width="28.6640625" style="319" customWidth="1"/>
    <col min="5" max="5" width="11.33203125" style="319" customWidth="1"/>
    <col min="6" max="14" width="22.6640625" style="319" customWidth="1"/>
    <col min="15" max="15" width="14.5" style="319" bestFit="1" customWidth="1"/>
    <col min="16" max="16384" width="9.33203125" style="319"/>
  </cols>
  <sheetData>
    <row r="1" spans="1:14" x14ac:dyDescent="0.25">
      <c r="H1" s="1195"/>
      <c r="K1" s="1195"/>
      <c r="N1" s="1195"/>
    </row>
    <row r="2" spans="1:14" ht="18.75" x14ac:dyDescent="0.3">
      <c r="A2" s="3388" t="s">
        <v>1631</v>
      </c>
      <c r="B2" s="3388"/>
      <c r="C2" s="3388"/>
      <c r="D2" s="3388"/>
      <c r="E2" s="3388"/>
      <c r="F2" s="3388"/>
      <c r="G2" s="3388"/>
      <c r="H2" s="3388"/>
      <c r="I2" s="3388"/>
      <c r="J2" s="3388"/>
      <c r="K2" s="3388"/>
      <c r="L2" s="3388"/>
      <c r="M2" s="3388"/>
      <c r="N2" s="3388"/>
    </row>
    <row r="3" spans="1:14" x14ac:dyDescent="0.25">
      <c r="A3" s="642"/>
      <c r="B3" s="642"/>
      <c r="C3" s="642"/>
      <c r="D3" s="642"/>
      <c r="E3" s="642"/>
      <c r="F3" s="642"/>
      <c r="G3" s="642"/>
      <c r="H3" s="642" t="s">
        <v>1442</v>
      </c>
      <c r="I3" s="642"/>
      <c r="J3" s="642"/>
      <c r="K3" s="642"/>
      <c r="L3" s="642"/>
      <c r="M3" s="642"/>
      <c r="N3" s="3120">
        <v>43831</v>
      </c>
    </row>
    <row r="4" spans="1:14" s="328" customFormat="1" ht="15" customHeight="1" x14ac:dyDescent="0.25">
      <c r="A4" s="3389" t="s">
        <v>78</v>
      </c>
      <c r="B4" s="3389" t="s">
        <v>182</v>
      </c>
      <c r="C4" s="3392" t="s">
        <v>218</v>
      </c>
      <c r="D4" s="3393"/>
      <c r="E4" s="3389" t="s">
        <v>219</v>
      </c>
      <c r="F4" s="3389" t="s">
        <v>908</v>
      </c>
      <c r="G4" s="3389" t="s">
        <v>909</v>
      </c>
      <c r="H4" s="3389" t="s">
        <v>910</v>
      </c>
      <c r="I4" s="3389" t="s">
        <v>908</v>
      </c>
      <c r="J4" s="3389" t="s">
        <v>909</v>
      </c>
      <c r="K4" s="3389" t="s">
        <v>910</v>
      </c>
      <c r="L4" s="3389" t="s">
        <v>908</v>
      </c>
      <c r="M4" s="3389" t="s">
        <v>909</v>
      </c>
      <c r="N4" s="3389" t="s">
        <v>910</v>
      </c>
    </row>
    <row r="5" spans="1:14" s="328" customFormat="1" x14ac:dyDescent="0.25">
      <c r="A5" s="3390"/>
      <c r="B5" s="3390"/>
      <c r="C5" s="3394"/>
      <c r="D5" s="3395"/>
      <c r="E5" s="3390"/>
      <c r="F5" s="3391"/>
      <c r="G5" s="3391"/>
      <c r="H5" s="3391"/>
      <c r="I5" s="3391"/>
      <c r="J5" s="3391"/>
      <c r="K5" s="3391"/>
      <c r="L5" s="3391"/>
      <c r="M5" s="3391"/>
      <c r="N5" s="3391"/>
    </row>
    <row r="6" spans="1:14" s="328" customFormat="1" x14ac:dyDescent="0.25">
      <c r="A6" s="3391"/>
      <c r="B6" s="3391"/>
      <c r="C6" s="3396"/>
      <c r="D6" s="3397"/>
      <c r="E6" s="3391"/>
      <c r="F6" s="3398" t="s">
        <v>204</v>
      </c>
      <c r="G6" s="3399"/>
      <c r="H6" s="3400"/>
      <c r="I6" s="3398" t="s">
        <v>205</v>
      </c>
      <c r="J6" s="3399"/>
      <c r="K6" s="3400"/>
      <c r="L6" s="3398" t="s">
        <v>206</v>
      </c>
      <c r="M6" s="3399"/>
      <c r="N6" s="3400"/>
    </row>
    <row r="7" spans="1:14" x14ac:dyDescent="0.25">
      <c r="A7" s="1011">
        <v>1</v>
      </c>
      <c r="B7" s="1196">
        <v>2</v>
      </c>
      <c r="C7" s="1011">
        <v>3</v>
      </c>
      <c r="D7" s="1196">
        <v>4</v>
      </c>
      <c r="E7" s="1011">
        <v>5</v>
      </c>
      <c r="F7" s="1196">
        <v>6</v>
      </c>
      <c r="G7" s="1011">
        <v>7</v>
      </c>
      <c r="H7" s="1196">
        <v>8</v>
      </c>
      <c r="I7" s="1196">
        <v>6</v>
      </c>
      <c r="J7" s="1011">
        <v>7</v>
      </c>
      <c r="K7" s="1196">
        <v>8</v>
      </c>
      <c r="L7" s="1196">
        <v>6</v>
      </c>
      <c r="M7" s="1011">
        <v>7</v>
      </c>
      <c r="N7" s="1196">
        <v>8</v>
      </c>
    </row>
    <row r="8" spans="1:14" ht="25.5" customHeight="1" x14ac:dyDescent="0.25">
      <c r="A8" s="3401">
        <v>1</v>
      </c>
      <c r="B8" s="3389" t="s">
        <v>1632</v>
      </c>
      <c r="C8" s="1741" t="s">
        <v>1633</v>
      </c>
      <c r="D8" s="1742" t="s">
        <v>1346</v>
      </c>
      <c r="E8" s="1011" t="s">
        <v>1347</v>
      </c>
      <c r="F8" s="1743">
        <v>48600</v>
      </c>
      <c r="G8" s="1744">
        <v>230.45</v>
      </c>
      <c r="H8" s="1743">
        <f t="shared" ref="H8:H16" si="0">F8*G8/1000</f>
        <v>11200</v>
      </c>
      <c r="I8" s="1743">
        <v>48600</v>
      </c>
      <c r="J8" s="1744">
        <v>230.45</v>
      </c>
      <c r="K8" s="1743">
        <f t="shared" ref="K8:K16" si="1">I8*J8/1000</f>
        <v>11200</v>
      </c>
      <c r="L8" s="1743">
        <v>48600</v>
      </c>
      <c r="M8" s="1744">
        <v>230.45</v>
      </c>
      <c r="N8" s="1743">
        <f t="shared" ref="N8:N16" si="2">L8*M8/1000</f>
        <v>11200</v>
      </c>
    </row>
    <row r="9" spans="1:14" ht="77.25" customHeight="1" x14ac:dyDescent="0.25">
      <c r="A9" s="3402"/>
      <c r="B9" s="3390"/>
      <c r="C9" s="1742" t="s">
        <v>1634</v>
      </c>
      <c r="D9" s="1742" t="s">
        <v>1346</v>
      </c>
      <c r="E9" s="1011" t="s">
        <v>1635</v>
      </c>
      <c r="F9" s="1743">
        <v>5966</v>
      </c>
      <c r="G9" s="1744">
        <v>8.15</v>
      </c>
      <c r="H9" s="1745">
        <f t="shared" si="0"/>
        <v>48.62</v>
      </c>
      <c r="I9" s="1743">
        <v>5966</v>
      </c>
      <c r="J9" s="1744">
        <v>8.15</v>
      </c>
      <c r="K9" s="1745">
        <f t="shared" si="1"/>
        <v>48.62</v>
      </c>
      <c r="L9" s="1743">
        <v>5966</v>
      </c>
      <c r="M9" s="1744">
        <v>8.15</v>
      </c>
      <c r="N9" s="1745">
        <f t="shared" si="2"/>
        <v>48.62</v>
      </c>
    </row>
    <row r="10" spans="1:14" ht="72" customHeight="1" x14ac:dyDescent="0.25">
      <c r="A10" s="3402"/>
      <c r="B10" s="3390"/>
      <c r="C10" s="1742" t="s">
        <v>1636</v>
      </c>
      <c r="D10" s="1742" t="s">
        <v>1346</v>
      </c>
      <c r="E10" s="1011" t="s">
        <v>1348</v>
      </c>
      <c r="F10" s="1743">
        <v>16</v>
      </c>
      <c r="G10" s="1746">
        <v>3554</v>
      </c>
      <c r="H10" s="1745">
        <f t="shared" si="0"/>
        <v>56.86</v>
      </c>
      <c r="I10" s="1743">
        <v>16</v>
      </c>
      <c r="J10" s="1746">
        <v>3554</v>
      </c>
      <c r="K10" s="1745">
        <f t="shared" si="1"/>
        <v>56.86</v>
      </c>
      <c r="L10" s="1743">
        <v>16</v>
      </c>
      <c r="M10" s="1746">
        <v>3554</v>
      </c>
      <c r="N10" s="1745">
        <f t="shared" si="2"/>
        <v>56.86</v>
      </c>
    </row>
    <row r="11" spans="1:14" ht="44.25" customHeight="1" x14ac:dyDescent="0.25">
      <c r="A11" s="3402"/>
      <c r="B11" s="3390"/>
      <c r="C11" s="1742" t="s">
        <v>1349</v>
      </c>
      <c r="D11" s="1747" t="s">
        <v>1346</v>
      </c>
      <c r="E11" s="1011" t="s">
        <v>1637</v>
      </c>
      <c r="F11" s="1743">
        <v>3348</v>
      </c>
      <c r="G11" s="1748">
        <v>300</v>
      </c>
      <c r="H11" s="1745">
        <f t="shared" si="0"/>
        <v>1004.4</v>
      </c>
      <c r="I11" s="1743">
        <v>3348</v>
      </c>
      <c r="J11" s="1748">
        <v>300</v>
      </c>
      <c r="K11" s="1745">
        <f t="shared" si="1"/>
        <v>1004.4</v>
      </c>
      <c r="L11" s="1743">
        <v>3348</v>
      </c>
      <c r="M11" s="1748">
        <v>300</v>
      </c>
      <c r="N11" s="1745">
        <f t="shared" si="2"/>
        <v>1004.4</v>
      </c>
    </row>
    <row r="12" spans="1:14" ht="132" customHeight="1" x14ac:dyDescent="0.25">
      <c r="A12" s="3402"/>
      <c r="B12" s="3390"/>
      <c r="C12" s="1742" t="s">
        <v>1638</v>
      </c>
      <c r="D12" s="1742" t="s">
        <v>1346</v>
      </c>
      <c r="E12" s="1011" t="s">
        <v>664</v>
      </c>
      <c r="F12" s="1743">
        <v>16</v>
      </c>
      <c r="G12" s="1748">
        <v>16200</v>
      </c>
      <c r="H12" s="1745">
        <f>F12*G12/1000-23.3</f>
        <v>235.9</v>
      </c>
      <c r="I12" s="1743">
        <v>16</v>
      </c>
      <c r="J12" s="1748">
        <v>16200</v>
      </c>
      <c r="K12" s="1745">
        <f>I12*J12/1000-23.3</f>
        <v>235.9</v>
      </c>
      <c r="L12" s="1743">
        <v>16</v>
      </c>
      <c r="M12" s="1748">
        <v>16200</v>
      </c>
      <c r="N12" s="1745">
        <f>L12*M12/1000-23.3</f>
        <v>235.9</v>
      </c>
    </row>
    <row r="13" spans="1:14" ht="63" customHeight="1" x14ac:dyDescent="0.25">
      <c r="A13" s="3402"/>
      <c r="B13" s="3390"/>
      <c r="C13" s="1742" t="s">
        <v>1639</v>
      </c>
      <c r="D13" s="1742" t="s">
        <v>1346</v>
      </c>
      <c r="E13" s="1011" t="s">
        <v>664</v>
      </c>
      <c r="F13" s="1743">
        <v>6</v>
      </c>
      <c r="G13" s="1748">
        <v>1400</v>
      </c>
      <c r="H13" s="1745">
        <f t="shared" si="0"/>
        <v>8.4</v>
      </c>
      <c r="I13" s="1743">
        <v>6</v>
      </c>
      <c r="J13" s="1748">
        <v>1400</v>
      </c>
      <c r="K13" s="1745">
        <f t="shared" si="1"/>
        <v>8.4</v>
      </c>
      <c r="L13" s="1743">
        <v>6</v>
      </c>
      <c r="M13" s="1748">
        <v>1400</v>
      </c>
      <c r="N13" s="1745">
        <f t="shared" si="2"/>
        <v>8.4</v>
      </c>
    </row>
    <row r="14" spans="1:14" ht="54.75" customHeight="1" x14ac:dyDescent="0.25">
      <c r="A14" s="3402"/>
      <c r="B14" s="3390"/>
      <c r="C14" s="1742" t="s">
        <v>1640</v>
      </c>
      <c r="D14" s="1742" t="s">
        <v>1346</v>
      </c>
      <c r="E14" s="1011" t="s">
        <v>1641</v>
      </c>
      <c r="F14" s="1743">
        <v>6</v>
      </c>
      <c r="G14" s="1748">
        <v>1200</v>
      </c>
      <c r="H14" s="1745">
        <f t="shared" si="0"/>
        <v>7.2</v>
      </c>
      <c r="I14" s="1743">
        <v>6</v>
      </c>
      <c r="J14" s="1748">
        <v>1200</v>
      </c>
      <c r="K14" s="1745">
        <f t="shared" si="1"/>
        <v>7.2</v>
      </c>
      <c r="L14" s="1743">
        <v>6</v>
      </c>
      <c r="M14" s="1748">
        <v>1200</v>
      </c>
      <c r="N14" s="1745">
        <f t="shared" si="2"/>
        <v>7.2</v>
      </c>
    </row>
    <row r="15" spans="1:14" ht="73.5" customHeight="1" x14ac:dyDescent="0.25">
      <c r="A15" s="3402"/>
      <c r="B15" s="3390"/>
      <c r="C15" s="1742" t="s">
        <v>1642</v>
      </c>
      <c r="D15" s="1742" t="s">
        <v>1346</v>
      </c>
      <c r="E15" s="1011" t="s">
        <v>1641</v>
      </c>
      <c r="F15" s="1743">
        <v>1</v>
      </c>
      <c r="G15" s="1745">
        <v>69400</v>
      </c>
      <c r="H15" s="1745">
        <f t="shared" si="0"/>
        <v>69.400000000000006</v>
      </c>
      <c r="I15" s="1743">
        <v>1</v>
      </c>
      <c r="J15" s="1745">
        <v>69400</v>
      </c>
      <c r="K15" s="1745">
        <f t="shared" si="1"/>
        <v>69.400000000000006</v>
      </c>
      <c r="L15" s="1743">
        <v>1</v>
      </c>
      <c r="M15" s="1745">
        <v>69400</v>
      </c>
      <c r="N15" s="1745">
        <f t="shared" si="2"/>
        <v>69.400000000000006</v>
      </c>
    </row>
    <row r="16" spans="1:14" ht="66" customHeight="1" x14ac:dyDescent="0.25">
      <c r="A16" s="3402"/>
      <c r="B16" s="3390"/>
      <c r="C16" s="1742" t="s">
        <v>1643</v>
      </c>
      <c r="D16" s="1742" t="s">
        <v>1346</v>
      </c>
      <c r="E16" s="1011" t="s">
        <v>1641</v>
      </c>
      <c r="F16" s="1743">
        <v>1</v>
      </c>
      <c r="G16" s="1745">
        <v>33850</v>
      </c>
      <c r="H16" s="1745">
        <f t="shared" si="0"/>
        <v>33.85</v>
      </c>
      <c r="I16" s="1743">
        <v>1</v>
      </c>
      <c r="J16" s="1745">
        <v>33850</v>
      </c>
      <c r="K16" s="1745">
        <f t="shared" si="1"/>
        <v>33.85</v>
      </c>
      <c r="L16" s="1743">
        <v>1</v>
      </c>
      <c r="M16" s="1745">
        <v>33850</v>
      </c>
      <c r="N16" s="1745">
        <f t="shared" si="2"/>
        <v>33.85</v>
      </c>
    </row>
    <row r="17" spans="1:17" ht="54.75" customHeight="1" x14ac:dyDescent="0.25">
      <c r="A17" s="3402"/>
      <c r="B17" s="3390"/>
      <c r="C17" s="1762" t="s">
        <v>1649</v>
      </c>
      <c r="D17" s="1742"/>
      <c r="E17" s="1011"/>
      <c r="F17" s="1743"/>
      <c r="G17" s="1745"/>
      <c r="H17" s="1745">
        <v>23.2</v>
      </c>
      <c r="I17" s="1743"/>
      <c r="J17" s="1745"/>
      <c r="K17" s="1745">
        <v>23.2</v>
      </c>
      <c r="L17" s="1743"/>
      <c r="M17" s="1745"/>
      <c r="N17" s="1745">
        <v>23.2</v>
      </c>
    </row>
    <row r="18" spans="1:17" x14ac:dyDescent="0.25">
      <c r="A18" s="3402"/>
      <c r="B18" s="3390"/>
      <c r="C18" s="3401" t="s">
        <v>1644</v>
      </c>
      <c r="D18" s="1742" t="s">
        <v>929</v>
      </c>
      <c r="E18" s="1011"/>
      <c r="F18" s="1743"/>
      <c r="G18" s="1748"/>
      <c r="H18" s="1743"/>
      <c r="I18" s="1743"/>
      <c r="J18" s="1748"/>
      <c r="K18" s="1743"/>
      <c r="L18" s="1743"/>
      <c r="M18" s="1748"/>
      <c r="N18" s="1743"/>
    </row>
    <row r="19" spans="1:17" ht="30" x14ac:dyDescent="0.25">
      <c r="A19" s="3402"/>
      <c r="B19" s="3390"/>
      <c r="C19" s="3402"/>
      <c r="D19" s="1742" t="s">
        <v>1645</v>
      </c>
      <c r="E19" s="1011"/>
      <c r="F19" s="1743"/>
      <c r="G19" s="1748"/>
      <c r="H19" s="1743"/>
      <c r="I19" s="1743"/>
      <c r="J19" s="1748"/>
      <c r="K19" s="1743"/>
      <c r="L19" s="1743"/>
      <c r="M19" s="1748"/>
      <c r="N19" s="1743"/>
    </row>
    <row r="20" spans="1:17" ht="30" x14ac:dyDescent="0.25">
      <c r="A20" s="3402"/>
      <c r="B20" s="3390"/>
      <c r="C20" s="3402"/>
      <c r="D20" s="1742" t="s">
        <v>1646</v>
      </c>
      <c r="E20" s="1011"/>
      <c r="F20" s="1743"/>
      <c r="G20" s="1748"/>
      <c r="H20" s="1743"/>
      <c r="I20" s="1743"/>
      <c r="J20" s="1748"/>
      <c r="K20" s="1743"/>
      <c r="L20" s="1743"/>
      <c r="M20" s="1748"/>
      <c r="N20" s="1743"/>
    </row>
    <row r="21" spans="1:17" s="1750" customFormat="1" ht="38.25" customHeight="1" x14ac:dyDescent="0.25">
      <c r="A21" s="3403"/>
      <c r="B21" s="3391"/>
      <c r="C21" s="3403"/>
      <c r="D21" s="1742" t="s">
        <v>1647</v>
      </c>
      <c r="E21" s="1011" t="s">
        <v>1348</v>
      </c>
      <c r="F21" s="1743">
        <v>20</v>
      </c>
      <c r="G21" s="1748">
        <f>(H21/F21)*1000</f>
        <v>5610</v>
      </c>
      <c r="H21" s="1749">
        <v>112.2</v>
      </c>
      <c r="I21" s="1743">
        <v>20</v>
      </c>
      <c r="J21" s="1748">
        <f>(K21/I21)*1000</f>
        <v>5610</v>
      </c>
      <c r="K21" s="1749">
        <v>112.2</v>
      </c>
      <c r="L21" s="1743">
        <v>20</v>
      </c>
      <c r="M21" s="1748">
        <f>(N21/L21)*1000</f>
        <v>5610</v>
      </c>
      <c r="N21" s="1749">
        <v>112.2</v>
      </c>
    </row>
    <row r="22" spans="1:17" s="328" customFormat="1" ht="21.75" customHeight="1" x14ac:dyDescent="0.25">
      <c r="A22" s="3404" t="s">
        <v>911</v>
      </c>
      <c r="B22" s="3404"/>
      <c r="C22" s="1197"/>
      <c r="D22" s="325"/>
      <c r="E22" s="326"/>
      <c r="F22" s="1751">
        <f>SUM(F8:F21)</f>
        <v>57980</v>
      </c>
      <c r="G22" s="327">
        <f>SUM(G8:G14)</f>
        <v>22892.6</v>
      </c>
      <c r="H22" s="1752">
        <f>SUM(H8:H21)</f>
        <v>12800</v>
      </c>
      <c r="I22" s="1751">
        <f>SUM(I8:I21)</f>
        <v>57980</v>
      </c>
      <c r="J22" s="327">
        <f>SUM(J8:J14)</f>
        <v>22892.6</v>
      </c>
      <c r="K22" s="1752">
        <f>SUM(K8:K21)</f>
        <v>12800</v>
      </c>
      <c r="L22" s="1751">
        <f>SUM(L8:L21)</f>
        <v>57980</v>
      </c>
      <c r="M22" s="327">
        <f>SUM(M8:M14)</f>
        <v>22892.6</v>
      </c>
      <c r="N22" s="1752">
        <f>SUM(N8:N21)</f>
        <v>12800</v>
      </c>
      <c r="O22" s="1753"/>
      <c r="Q22" s="1754"/>
    </row>
    <row r="24" spans="1:17" ht="21" customHeight="1" x14ac:dyDescent="0.25">
      <c r="A24" s="1755" t="s">
        <v>14</v>
      </c>
      <c r="E24" s="1756"/>
      <c r="G24" s="1757" t="s">
        <v>1648</v>
      </c>
      <c r="J24" s="1757"/>
      <c r="M24" s="1757"/>
    </row>
    <row r="25" spans="1:17" hidden="1" x14ac:dyDescent="0.25"/>
    <row r="26" spans="1:17" x14ac:dyDescent="0.25">
      <c r="A26" s="1758" t="s">
        <v>1475</v>
      </c>
    </row>
    <row r="27" spans="1:17" x14ac:dyDescent="0.25">
      <c r="G27" s="319" t="s">
        <v>912</v>
      </c>
      <c r="H27" s="1759">
        <f>112.2-H21</f>
        <v>0</v>
      </c>
      <c r="J27" s="319" t="s">
        <v>912</v>
      </c>
      <c r="K27" s="1759">
        <f>112.2-K21</f>
        <v>0</v>
      </c>
      <c r="M27" s="319" t="s">
        <v>912</v>
      </c>
      <c r="N27" s="1759">
        <f>112.2-N21</f>
        <v>0</v>
      </c>
    </row>
    <row r="28" spans="1:17" x14ac:dyDescent="0.25">
      <c r="G28" s="319" t="s">
        <v>1350</v>
      </c>
      <c r="H28" s="1760">
        <f>12800-H22</f>
        <v>0</v>
      </c>
      <c r="J28" s="319" t="s">
        <v>1350</v>
      </c>
      <c r="K28" s="1760">
        <f>12800-K22</f>
        <v>0</v>
      </c>
      <c r="M28" s="319" t="s">
        <v>1350</v>
      </c>
      <c r="N28" s="1760">
        <f>12800-N22</f>
        <v>0</v>
      </c>
    </row>
    <row r="32" spans="1:17" x14ac:dyDescent="0.25">
      <c r="H32" s="1761"/>
      <c r="K32" s="1761"/>
      <c r="N32" s="1761"/>
    </row>
    <row r="33" spans="8:14" x14ac:dyDescent="0.25">
      <c r="H33" s="1760"/>
      <c r="K33" s="1760"/>
      <c r="N33" s="1760"/>
    </row>
  </sheetData>
  <autoFilter ref="A7:O22"/>
  <mergeCells count="21">
    <mergeCell ref="A8:A21"/>
    <mergeCell ref="B8:B21"/>
    <mergeCell ref="C18:C21"/>
    <mergeCell ref="A22:B22"/>
    <mergeCell ref="K4:K5"/>
    <mergeCell ref="A2:N2"/>
    <mergeCell ref="A4:A6"/>
    <mergeCell ref="B4:B6"/>
    <mergeCell ref="C4:D6"/>
    <mergeCell ref="E4:E6"/>
    <mergeCell ref="F4:F5"/>
    <mergeCell ref="G4:G5"/>
    <mergeCell ref="H4:H5"/>
    <mergeCell ref="I4:I5"/>
    <mergeCell ref="J4:J5"/>
    <mergeCell ref="L4:L5"/>
    <mergeCell ref="M4:M5"/>
    <mergeCell ref="N4:N5"/>
    <mergeCell ref="F6:H6"/>
    <mergeCell ref="I6:K6"/>
    <mergeCell ref="L6:N6"/>
  </mergeCells>
  <pageMargins left="0.31496062992125984" right="0.11811023622047245" top="0.74803149606299213" bottom="0.74803149606299213" header="0.31496062992125984" footer="0.31496062992125984"/>
  <pageSetup paperSize="9" scale="36" orientation="portrait" r:id="rId1"/>
  <rowBreaks count="1" manualBreakCount="1">
    <brk id="12"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92D050"/>
    <pageSetUpPr fitToPage="1"/>
  </sheetPr>
  <dimension ref="A1:S23"/>
  <sheetViews>
    <sheetView view="pageBreakPreview" zoomScale="80" zoomScaleNormal="70" zoomScaleSheetLayoutView="80" workbookViewId="0">
      <selection activeCell="F24" sqref="F24"/>
    </sheetView>
  </sheetViews>
  <sheetFormatPr defaultColWidth="10.6640625" defaultRowHeight="15.75" x14ac:dyDescent="0.25"/>
  <cols>
    <col min="1" max="1" width="5.6640625" style="796" customWidth="1"/>
    <col min="2" max="2" width="22.1640625" style="796" customWidth="1"/>
    <col min="3" max="3" width="10.6640625" style="796"/>
    <col min="4" max="4" width="40.5" style="796" customWidth="1"/>
    <col min="5" max="5" width="25.83203125" style="796" customWidth="1"/>
    <col min="6" max="17" width="18.1640625" style="796" customWidth="1"/>
    <col min="18" max="16384" width="10.6640625" style="796"/>
  </cols>
  <sheetData>
    <row r="1" spans="1:19" ht="33" customHeight="1" x14ac:dyDescent="0.25">
      <c r="B1" s="3369" t="s">
        <v>913</v>
      </c>
      <c r="C1" s="3369"/>
      <c r="D1" s="3369"/>
      <c r="E1" s="3369"/>
      <c r="F1" s="3369"/>
      <c r="G1" s="3369"/>
      <c r="H1" s="3369"/>
      <c r="I1" s="3369"/>
      <c r="J1" s="3369"/>
      <c r="K1" s="3369"/>
      <c r="L1" s="3369"/>
      <c r="M1" s="3369"/>
      <c r="N1" s="3369"/>
      <c r="O1" s="3369"/>
      <c r="P1" s="3369"/>
      <c r="Q1" s="3369"/>
    </row>
    <row r="2" spans="1:19" ht="16.5" x14ac:dyDescent="0.25">
      <c r="G2" s="3121" t="s">
        <v>1442</v>
      </c>
      <c r="I2" s="3121"/>
    </row>
    <row r="3" spans="1:19" s="1024" customFormat="1" ht="28.5" customHeight="1" x14ac:dyDescent="0.25">
      <c r="A3" s="3407" t="s">
        <v>914</v>
      </c>
      <c r="B3" s="3372" t="s">
        <v>182</v>
      </c>
      <c r="C3" s="3372" t="s">
        <v>387</v>
      </c>
      <c r="D3" s="3405" t="s">
        <v>915</v>
      </c>
      <c r="E3" s="3405" t="s">
        <v>916</v>
      </c>
      <c r="F3" s="3405" t="s">
        <v>917</v>
      </c>
      <c r="G3" s="3405" t="s">
        <v>918</v>
      </c>
      <c r="H3" s="3373" t="s">
        <v>919</v>
      </c>
      <c r="I3" s="3373"/>
      <c r="J3" s="3373"/>
      <c r="K3" s="3373"/>
      <c r="L3" s="3373"/>
      <c r="M3" s="3405" t="s">
        <v>920</v>
      </c>
      <c r="N3" s="3405" t="s">
        <v>921</v>
      </c>
      <c r="O3" s="3373" t="s">
        <v>896</v>
      </c>
      <c r="P3" s="3373"/>
      <c r="Q3" s="3373"/>
    </row>
    <row r="4" spans="1:19" ht="31.5" x14ac:dyDescent="0.25">
      <c r="A4" s="3408"/>
      <c r="B4" s="3372"/>
      <c r="C4" s="3372"/>
      <c r="D4" s="3406"/>
      <c r="E4" s="3406"/>
      <c r="F4" s="3406"/>
      <c r="G4" s="3406"/>
      <c r="H4" s="977" t="s">
        <v>1351</v>
      </c>
      <c r="I4" s="977" t="s">
        <v>1352</v>
      </c>
      <c r="J4" s="977" t="s">
        <v>1353</v>
      </c>
      <c r="K4" s="977" t="s">
        <v>1352</v>
      </c>
      <c r="L4" s="977" t="s">
        <v>1354</v>
      </c>
      <c r="M4" s="3406"/>
      <c r="N4" s="3406"/>
      <c r="O4" s="977" t="s">
        <v>204</v>
      </c>
      <c r="P4" s="977" t="s">
        <v>205</v>
      </c>
      <c r="Q4" s="977" t="s">
        <v>206</v>
      </c>
    </row>
    <row r="5" spans="1:19" s="1026" customFormat="1" x14ac:dyDescent="0.2">
      <c r="A5" s="1025">
        <v>1</v>
      </c>
      <c r="B5" s="977">
        <v>2</v>
      </c>
      <c r="C5" s="1025">
        <v>3</v>
      </c>
      <c r="D5" s="977">
        <v>4</v>
      </c>
      <c r="E5" s="1025">
        <v>5</v>
      </c>
      <c r="F5" s="977">
        <v>6</v>
      </c>
      <c r="G5" s="1025">
        <v>7</v>
      </c>
      <c r="H5" s="977">
        <v>8</v>
      </c>
      <c r="I5" s="1025">
        <v>9</v>
      </c>
      <c r="J5" s="977">
        <v>10</v>
      </c>
      <c r="K5" s="1025">
        <v>11</v>
      </c>
      <c r="L5" s="977">
        <v>12</v>
      </c>
      <c r="M5" s="1025">
        <v>13</v>
      </c>
      <c r="N5" s="977">
        <v>14</v>
      </c>
      <c r="O5" s="1025">
        <v>15</v>
      </c>
      <c r="P5" s="977">
        <v>16</v>
      </c>
      <c r="Q5" s="1025">
        <v>17</v>
      </c>
    </row>
    <row r="6" spans="1:19" s="1015" customFormat="1" ht="21.75" customHeight="1" x14ac:dyDescent="0.25">
      <c r="A6" s="1014"/>
      <c r="B6" s="1012"/>
      <c r="C6" s="1013">
        <v>1221</v>
      </c>
      <c r="D6" s="1013"/>
      <c r="E6" s="1013"/>
      <c r="F6" s="1013"/>
      <c r="G6" s="1013"/>
      <c r="H6" s="1017"/>
      <c r="I6" s="1017"/>
      <c r="J6" s="1017"/>
      <c r="K6" s="1017"/>
      <c r="L6" s="1017"/>
      <c r="M6" s="1017"/>
      <c r="N6" s="1017"/>
      <c r="O6" s="1017"/>
      <c r="P6" s="1740"/>
      <c r="Q6" s="1740"/>
      <c r="R6" s="1012"/>
      <c r="S6" s="1014"/>
    </row>
    <row r="7" spans="1:19" s="1015" customFormat="1" ht="46.5" customHeight="1" x14ac:dyDescent="0.25">
      <c r="A7" s="1014"/>
      <c r="B7" s="1012" t="s">
        <v>1624</v>
      </c>
      <c r="C7" s="1012"/>
      <c r="D7" s="1739" t="s">
        <v>1625</v>
      </c>
      <c r="E7" s="1739" t="s">
        <v>1626</v>
      </c>
      <c r="F7" s="1739" t="s">
        <v>1627</v>
      </c>
      <c r="G7" s="1013" t="s">
        <v>1628</v>
      </c>
      <c r="H7" s="1017"/>
      <c r="I7" s="1017"/>
      <c r="J7" s="1017"/>
      <c r="K7" s="1017"/>
      <c r="L7" s="1017"/>
      <c r="M7" s="1017"/>
      <c r="N7" s="1017"/>
      <c r="O7" s="1017"/>
      <c r="P7" s="1017"/>
      <c r="Q7" s="1017"/>
      <c r="R7" s="1012"/>
      <c r="S7" s="1014"/>
    </row>
    <row r="8" spans="1:19" s="1015" customFormat="1" ht="44.25" customHeight="1" x14ac:dyDescent="0.25">
      <c r="A8" s="1014"/>
      <c r="B8" s="1012"/>
      <c r="C8" s="1012"/>
      <c r="D8" s="1739" t="s">
        <v>1629</v>
      </c>
      <c r="E8" s="1739" t="s">
        <v>1630</v>
      </c>
      <c r="F8" s="1739" t="s">
        <v>1627</v>
      </c>
      <c r="G8" s="1013" t="s">
        <v>1628</v>
      </c>
      <c r="H8" s="1017">
        <v>12</v>
      </c>
      <c r="I8" s="1017">
        <v>13414.1</v>
      </c>
      <c r="J8" s="1017">
        <v>12</v>
      </c>
      <c r="K8" s="1017">
        <v>31098.400000000001</v>
      </c>
      <c r="L8" s="1017">
        <v>3</v>
      </c>
      <c r="M8" s="1017">
        <v>7710</v>
      </c>
      <c r="N8" s="1017">
        <f>(I8+K8+M8)/(H8+J8+L8)</f>
        <v>1934.17</v>
      </c>
      <c r="O8" s="1017">
        <f>N8*12-0.04-10</f>
        <v>23200</v>
      </c>
      <c r="P8" s="1017">
        <f>O8</f>
        <v>23200</v>
      </c>
      <c r="Q8" s="1017">
        <f>O8</f>
        <v>23200</v>
      </c>
      <c r="R8" s="1012"/>
      <c r="S8" s="1014"/>
    </row>
    <row r="9" spans="1:19" hidden="1" x14ac:dyDescent="0.25">
      <c r="A9" s="799"/>
      <c r="B9" s="635"/>
      <c r="C9" s="977">
        <v>101</v>
      </c>
      <c r="D9" s="977"/>
      <c r="E9" s="977"/>
      <c r="F9" s="977"/>
      <c r="G9" s="1194"/>
      <c r="H9" s="801"/>
      <c r="I9" s="801"/>
      <c r="J9" s="801"/>
      <c r="K9" s="801"/>
      <c r="L9" s="801"/>
      <c r="M9" s="801"/>
      <c r="N9" s="801"/>
      <c r="O9" s="801">
        <f>D9*H9*N9</f>
        <v>0</v>
      </c>
      <c r="P9" s="801" t="e">
        <f>F9*J9*#REF!</f>
        <v>#REF!</v>
      </c>
      <c r="Q9" s="801" t="e">
        <f>G9*L9*#REF!</f>
        <v>#REF!</v>
      </c>
    </row>
    <row r="10" spans="1:19" hidden="1" x14ac:dyDescent="0.25">
      <c r="A10" s="799"/>
      <c r="B10" s="635"/>
      <c r="C10" s="977">
        <v>101</v>
      </c>
      <c r="D10" s="977"/>
      <c r="E10" s="977"/>
      <c r="F10" s="977"/>
      <c r="G10" s="1194"/>
      <c r="H10" s="801"/>
      <c r="I10" s="801"/>
      <c r="J10" s="801"/>
      <c r="K10" s="801"/>
      <c r="L10" s="801"/>
      <c r="M10" s="801"/>
      <c r="N10" s="801"/>
      <c r="O10" s="801">
        <f>D10*H10*N10</f>
        <v>0</v>
      </c>
      <c r="P10" s="801" t="e">
        <f>F10*J10*#REF!</f>
        <v>#REF!</v>
      </c>
      <c r="Q10" s="801" t="e">
        <f>G10*L10*#REF!</f>
        <v>#REF!</v>
      </c>
    </row>
    <row r="11" spans="1:19" ht="31.5" hidden="1" x14ac:dyDescent="0.25">
      <c r="A11" s="799"/>
      <c r="B11" s="635" t="s">
        <v>923</v>
      </c>
      <c r="C11" s="977">
        <v>200</v>
      </c>
      <c r="D11" s="977" t="s">
        <v>898</v>
      </c>
      <c r="E11" s="977"/>
      <c r="F11" s="977" t="s">
        <v>898</v>
      </c>
      <c r="G11" s="1194" t="s">
        <v>898</v>
      </c>
      <c r="H11" s="801" t="s">
        <v>898</v>
      </c>
      <c r="I11" s="801"/>
      <c r="J11" s="801" t="s">
        <v>898</v>
      </c>
      <c r="K11" s="801"/>
      <c r="L11" s="801" t="s">
        <v>898</v>
      </c>
      <c r="M11" s="801"/>
      <c r="N11" s="801" t="s">
        <v>898</v>
      </c>
      <c r="O11" s="801"/>
      <c r="P11" s="801"/>
      <c r="Q11" s="801"/>
    </row>
    <row r="12" spans="1:19" hidden="1" x14ac:dyDescent="0.25">
      <c r="A12" s="799"/>
      <c r="B12" s="635" t="s">
        <v>490</v>
      </c>
      <c r="C12" s="635"/>
      <c r="D12" s="977"/>
      <c r="E12" s="977"/>
      <c r="F12" s="977"/>
      <c r="G12" s="1194"/>
      <c r="H12" s="801"/>
      <c r="I12" s="801"/>
      <c r="J12" s="801"/>
      <c r="K12" s="801"/>
      <c r="L12" s="801"/>
      <c r="M12" s="801"/>
      <c r="N12" s="801"/>
      <c r="O12" s="801"/>
      <c r="P12" s="801"/>
      <c r="Q12" s="801"/>
    </row>
    <row r="13" spans="1:19" hidden="1" x14ac:dyDescent="0.25">
      <c r="A13" s="799"/>
      <c r="B13" s="635"/>
      <c r="C13" s="977">
        <v>201</v>
      </c>
      <c r="D13" s="977"/>
      <c r="E13" s="977"/>
      <c r="F13" s="977"/>
      <c r="G13" s="1194"/>
      <c r="H13" s="801"/>
      <c r="I13" s="801"/>
      <c r="J13" s="801"/>
      <c r="K13" s="801"/>
      <c r="L13" s="801"/>
      <c r="M13" s="801"/>
      <c r="N13" s="801"/>
      <c r="O13" s="801">
        <f>D13*H13*N13</f>
        <v>0</v>
      </c>
      <c r="P13" s="801" t="e">
        <f>F13*J13*#REF!</f>
        <v>#REF!</v>
      </c>
      <c r="Q13" s="801" t="e">
        <f>G13*L13*#REF!</f>
        <v>#REF!</v>
      </c>
    </row>
    <row r="14" spans="1:19" hidden="1" x14ac:dyDescent="0.25">
      <c r="A14" s="799"/>
      <c r="B14" s="635"/>
      <c r="C14" s="977">
        <v>201</v>
      </c>
      <c r="D14" s="977"/>
      <c r="E14" s="977"/>
      <c r="F14" s="977"/>
      <c r="G14" s="1194"/>
      <c r="H14" s="801"/>
      <c r="I14" s="801"/>
      <c r="J14" s="801"/>
      <c r="K14" s="801"/>
      <c r="L14" s="801"/>
      <c r="M14" s="801"/>
      <c r="N14" s="801"/>
      <c r="O14" s="801">
        <f>D14*H14*N14</f>
        <v>0</v>
      </c>
      <c r="P14" s="801" t="e">
        <f>F14*J14*#REF!</f>
        <v>#REF!</v>
      </c>
      <c r="Q14" s="801" t="e">
        <f>G14*L14*#REF!</f>
        <v>#REF!</v>
      </c>
    </row>
    <row r="15" spans="1:19" hidden="1" x14ac:dyDescent="0.25">
      <c r="A15" s="799"/>
      <c r="B15" s="635"/>
      <c r="C15" s="977">
        <v>201</v>
      </c>
      <c r="D15" s="977"/>
      <c r="E15" s="977"/>
      <c r="F15" s="977"/>
      <c r="G15" s="1194"/>
      <c r="H15" s="801"/>
      <c r="I15" s="801"/>
      <c r="J15" s="801"/>
      <c r="K15" s="801"/>
      <c r="L15" s="801"/>
      <c r="M15" s="801"/>
      <c r="N15" s="801"/>
      <c r="O15" s="801">
        <f>D15*H15*N15</f>
        <v>0</v>
      </c>
      <c r="P15" s="801" t="e">
        <f>F15*J15*#REF!</f>
        <v>#REF!</v>
      </c>
      <c r="Q15" s="801" t="e">
        <f>G15*L15*#REF!</f>
        <v>#REF!</v>
      </c>
    </row>
    <row r="16" spans="1:19" hidden="1" x14ac:dyDescent="0.25">
      <c r="A16" s="799"/>
      <c r="B16" s="635"/>
      <c r="C16" s="977">
        <v>201</v>
      </c>
      <c r="D16" s="977"/>
      <c r="E16" s="977"/>
      <c r="F16" s="977"/>
      <c r="G16" s="1194"/>
      <c r="H16" s="801"/>
      <c r="I16" s="801"/>
      <c r="J16" s="801"/>
      <c r="K16" s="801"/>
      <c r="L16" s="801"/>
      <c r="M16" s="801"/>
      <c r="N16" s="801"/>
      <c r="O16" s="801">
        <f>D16*H16*N16</f>
        <v>0</v>
      </c>
      <c r="P16" s="801" t="e">
        <f>F16*J16*#REF!</f>
        <v>#REF!</v>
      </c>
      <c r="Q16" s="801" t="e">
        <f>G16*L16*#REF!</f>
        <v>#REF!</v>
      </c>
    </row>
    <row r="17" spans="1:17" s="805" customFormat="1" x14ac:dyDescent="0.25">
      <c r="A17" s="804"/>
      <c r="B17" s="650" t="s">
        <v>72</v>
      </c>
      <c r="C17" s="802"/>
      <c r="D17" s="802"/>
      <c r="E17" s="802"/>
      <c r="F17" s="802"/>
      <c r="G17" s="802"/>
      <c r="H17" s="803"/>
      <c r="I17" s="803"/>
      <c r="J17" s="803"/>
      <c r="K17" s="803"/>
      <c r="L17" s="803"/>
      <c r="M17" s="803"/>
      <c r="N17" s="803"/>
      <c r="O17" s="803">
        <f>SUM(O8)</f>
        <v>23200</v>
      </c>
      <c r="P17" s="803">
        <f t="shared" ref="P17:Q17" si="0">SUM(P8)</f>
        <v>23200</v>
      </c>
      <c r="Q17" s="803">
        <f t="shared" si="0"/>
        <v>23200</v>
      </c>
    </row>
    <row r="18" spans="1:17" x14ac:dyDescent="0.25">
      <c r="B18" s="800"/>
    </row>
    <row r="20" spans="1:17" x14ac:dyDescent="0.25">
      <c r="B20" s="796" t="s">
        <v>924</v>
      </c>
    </row>
    <row r="23" spans="1:17" x14ac:dyDescent="0.25">
      <c r="B23" s="796" t="s">
        <v>925</v>
      </c>
    </row>
  </sheetData>
  <autoFilter ref="A5:Q8"/>
  <mergeCells count="12">
    <mergeCell ref="N3:N4"/>
    <mergeCell ref="O3:Q3"/>
    <mergeCell ref="B1:Q1"/>
    <mergeCell ref="A3:A4"/>
    <mergeCell ref="B3:B4"/>
    <mergeCell ref="C3:C4"/>
    <mergeCell ref="D3:D4"/>
    <mergeCell ref="E3:E4"/>
    <mergeCell ref="F3:F4"/>
    <mergeCell ref="G3:G4"/>
    <mergeCell ref="H3:L3"/>
    <mergeCell ref="M3:M4"/>
  </mergeCells>
  <pageMargins left="0.70866141732283472" right="0.70866141732283472" top="0.74803149606299213" bottom="0.74803149606299213" header="0.31496062992125984" footer="0.31496062992125984"/>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7" tint="0.39997558519241921"/>
  </sheetPr>
  <dimension ref="A1:F16"/>
  <sheetViews>
    <sheetView view="pageBreakPreview" zoomScale="80" zoomScaleNormal="100" zoomScaleSheetLayoutView="80" workbookViewId="0">
      <selection activeCell="C14" sqref="C14"/>
    </sheetView>
  </sheetViews>
  <sheetFormatPr defaultRowHeight="45" customHeight="1" x14ac:dyDescent="0.25"/>
  <cols>
    <col min="1" max="1" width="55.83203125" style="313" customWidth="1"/>
    <col min="2" max="2" width="12.33203125" style="313" customWidth="1"/>
    <col min="3" max="5" width="35" style="313" customWidth="1"/>
    <col min="6" max="16384" width="9.33203125" style="313"/>
  </cols>
  <sheetData>
    <row r="1" spans="1:6" ht="23.25" customHeight="1" x14ac:dyDescent="0.25">
      <c r="A1" s="3410" t="s">
        <v>926</v>
      </c>
      <c r="B1" s="3410"/>
      <c r="C1" s="3410"/>
      <c r="D1" s="3410"/>
      <c r="E1" s="3410"/>
    </row>
    <row r="2" spans="1:6" ht="23.25" customHeight="1" x14ac:dyDescent="0.25">
      <c r="A2" s="3386"/>
      <c r="B2" s="3386"/>
      <c r="C2" s="3386"/>
      <c r="D2" s="3386"/>
      <c r="E2" s="3386"/>
    </row>
    <row r="3" spans="1:6" ht="16.5" customHeight="1" x14ac:dyDescent="0.25">
      <c r="A3" s="3409" t="s">
        <v>386</v>
      </c>
      <c r="B3" s="3409" t="s">
        <v>387</v>
      </c>
      <c r="C3" s="3409" t="s">
        <v>388</v>
      </c>
      <c r="D3" s="3409"/>
      <c r="E3" s="3409"/>
    </row>
    <row r="4" spans="1:6" ht="16.5" customHeight="1" x14ac:dyDescent="0.25">
      <c r="A4" s="3409"/>
      <c r="B4" s="3409"/>
      <c r="C4" s="640" t="s">
        <v>458</v>
      </c>
      <c r="D4" s="640" t="s">
        <v>458</v>
      </c>
      <c r="E4" s="640" t="s">
        <v>458</v>
      </c>
    </row>
    <row r="5" spans="1:6" ht="28.5" customHeight="1" x14ac:dyDescent="0.25">
      <c r="A5" s="3409"/>
      <c r="B5" s="3409"/>
      <c r="C5" s="640" t="s">
        <v>389</v>
      </c>
      <c r="D5" s="640" t="s">
        <v>390</v>
      </c>
      <c r="E5" s="640" t="s">
        <v>391</v>
      </c>
    </row>
    <row r="6" spans="1:6" ht="14.25" customHeight="1" x14ac:dyDescent="0.25">
      <c r="A6" s="640">
        <v>1</v>
      </c>
      <c r="B6" s="640">
        <v>2</v>
      </c>
      <c r="C6" s="640">
        <v>3</v>
      </c>
      <c r="D6" s="640">
        <v>4</v>
      </c>
      <c r="E6" s="640">
        <v>5</v>
      </c>
    </row>
    <row r="7" spans="1:6" ht="45" customHeight="1" x14ac:dyDescent="0.25">
      <c r="A7" s="641" t="s">
        <v>875</v>
      </c>
      <c r="B7" s="640">
        <v>100</v>
      </c>
      <c r="C7" s="640"/>
      <c r="D7" s="640"/>
      <c r="E7" s="640"/>
    </row>
    <row r="8" spans="1:6" ht="46.5" customHeight="1" x14ac:dyDescent="0.25">
      <c r="A8" s="641" t="s">
        <v>927</v>
      </c>
      <c r="B8" s="640">
        <v>200</v>
      </c>
      <c r="C8" s="640"/>
      <c r="D8" s="640"/>
      <c r="E8" s="640"/>
    </row>
    <row r="9" spans="1:6" ht="34.5" customHeight="1" x14ac:dyDescent="0.25">
      <c r="A9" s="641" t="s">
        <v>928</v>
      </c>
      <c r="B9" s="640">
        <v>300</v>
      </c>
      <c r="C9" s="640"/>
      <c r="D9" s="640"/>
      <c r="E9" s="640"/>
    </row>
    <row r="10" spans="1:6" ht="18.75" customHeight="1" x14ac:dyDescent="0.25">
      <c r="A10" s="641" t="s">
        <v>408</v>
      </c>
      <c r="B10" s="3409">
        <v>310</v>
      </c>
      <c r="C10" s="3409"/>
      <c r="D10" s="3409"/>
      <c r="E10" s="3409"/>
    </row>
    <row r="11" spans="1:6" ht="18.75" customHeight="1" x14ac:dyDescent="0.25">
      <c r="A11" s="641" t="s">
        <v>929</v>
      </c>
      <c r="B11" s="3409"/>
      <c r="C11" s="3409"/>
      <c r="D11" s="3409"/>
      <c r="E11" s="3409"/>
    </row>
    <row r="12" spans="1:6" ht="18.75" customHeight="1" x14ac:dyDescent="0.25">
      <c r="A12" s="641" t="s">
        <v>930</v>
      </c>
      <c r="B12" s="640">
        <v>320</v>
      </c>
      <c r="C12" s="640"/>
      <c r="D12" s="640"/>
      <c r="E12" s="640"/>
    </row>
    <row r="13" spans="1:6" ht="27" customHeight="1" x14ac:dyDescent="0.25">
      <c r="A13" s="641" t="s">
        <v>931</v>
      </c>
      <c r="B13" s="640">
        <v>330</v>
      </c>
      <c r="C13" s="640"/>
      <c r="D13" s="640"/>
      <c r="E13" s="640"/>
    </row>
    <row r="14" spans="1:6" ht="39" customHeight="1" x14ac:dyDescent="0.25">
      <c r="A14" s="641" t="s">
        <v>887</v>
      </c>
      <c r="B14" s="640">
        <v>400</v>
      </c>
      <c r="C14" s="640"/>
      <c r="D14" s="640"/>
      <c r="E14" s="640"/>
    </row>
    <row r="15" spans="1:6" ht="45" customHeight="1" x14ac:dyDescent="0.25">
      <c r="A15" s="641" t="s">
        <v>932</v>
      </c>
      <c r="B15" s="640">
        <v>500</v>
      </c>
      <c r="C15" s="640"/>
      <c r="D15" s="640"/>
      <c r="E15" s="640"/>
    </row>
    <row r="16" spans="1:6" s="316" customFormat="1" ht="45" customHeight="1" x14ac:dyDescent="0.25">
      <c r="A16" s="314" t="s">
        <v>933</v>
      </c>
      <c r="B16" s="315">
        <v>600</v>
      </c>
      <c r="C16" s="315">
        <f>C7-C8+C9-C14+C15</f>
        <v>0</v>
      </c>
      <c r="D16" s="315">
        <f t="shared" ref="D16:F16" si="0">D7-D8+D9-D14+D15</f>
        <v>0</v>
      </c>
      <c r="E16" s="315">
        <f t="shared" si="0"/>
        <v>0</v>
      </c>
      <c r="F16" s="314">
        <f t="shared" si="0"/>
        <v>0</v>
      </c>
    </row>
  </sheetData>
  <mergeCells count="9">
    <mergeCell ref="B10:B11"/>
    <mergeCell ref="C10:C11"/>
    <mergeCell ref="D10:D11"/>
    <mergeCell ref="E10:E11"/>
    <mergeCell ref="A1:E1"/>
    <mergeCell ref="A2:E2"/>
    <mergeCell ref="A3:A5"/>
    <mergeCell ref="B3:B5"/>
    <mergeCell ref="C3:E3"/>
  </mergeCells>
  <pageMargins left="0.70866141732283472" right="0.70866141732283472" top="0.74803149606299213" bottom="0.74803149606299213" header="0.31496062992125984" footer="0.31496062992125984"/>
  <pageSetup paperSize="9"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7" tint="0.39997558519241921"/>
  </sheetPr>
  <dimension ref="A1:C21"/>
  <sheetViews>
    <sheetView view="pageBreakPreview" zoomScale="90" zoomScaleNormal="100" zoomScaleSheetLayoutView="90" workbookViewId="0">
      <selection activeCell="N15" sqref="N15"/>
    </sheetView>
  </sheetViews>
  <sheetFormatPr defaultRowHeight="39" customHeight="1" x14ac:dyDescent="0.25"/>
  <cols>
    <col min="1" max="1" width="69.1640625" style="631" customWidth="1"/>
    <col min="2" max="2" width="9.83203125" style="631" customWidth="1"/>
    <col min="3" max="3" width="22" style="631" customWidth="1"/>
    <col min="4" max="16384" width="9.33203125" style="631"/>
  </cols>
  <sheetData>
    <row r="1" spans="1:3" ht="39" customHeight="1" x14ac:dyDescent="0.25">
      <c r="A1" s="3411" t="s">
        <v>934</v>
      </c>
      <c r="B1" s="3411"/>
      <c r="C1" s="3411"/>
    </row>
    <row r="2" spans="1:3" ht="17.25" customHeight="1" x14ac:dyDescent="0.25"/>
    <row r="3" spans="1:3" ht="18.75" customHeight="1" x14ac:dyDescent="0.25">
      <c r="A3" s="3412" t="s">
        <v>386</v>
      </c>
      <c r="B3" s="3412" t="s">
        <v>387</v>
      </c>
      <c r="C3" s="632" t="s">
        <v>388</v>
      </c>
    </row>
    <row r="4" spans="1:3" ht="25.5" customHeight="1" x14ac:dyDescent="0.25">
      <c r="A4" s="3412"/>
      <c r="B4" s="3412"/>
      <c r="C4" s="632" t="s">
        <v>397</v>
      </c>
    </row>
    <row r="5" spans="1:3" ht="45.75" customHeight="1" x14ac:dyDescent="0.25">
      <c r="A5" s="3412"/>
      <c r="B5" s="3412"/>
      <c r="C5" s="632" t="s">
        <v>389</v>
      </c>
    </row>
    <row r="6" spans="1:3" ht="15.75" customHeight="1" x14ac:dyDescent="0.25">
      <c r="A6" s="632">
        <v>1</v>
      </c>
      <c r="B6" s="632">
        <v>2</v>
      </c>
      <c r="C6" s="632">
        <v>3</v>
      </c>
    </row>
    <row r="7" spans="1:3" ht="39" customHeight="1" x14ac:dyDescent="0.25">
      <c r="A7" s="635" t="s">
        <v>875</v>
      </c>
      <c r="B7" s="632">
        <v>100</v>
      </c>
      <c r="C7" s="634"/>
    </row>
    <row r="8" spans="1:3" ht="46.5" customHeight="1" x14ac:dyDescent="0.25">
      <c r="A8" s="635" t="s">
        <v>876</v>
      </c>
      <c r="B8" s="632">
        <v>200</v>
      </c>
      <c r="C8" s="634"/>
    </row>
    <row r="9" spans="1:3" ht="28.5" customHeight="1" x14ac:dyDescent="0.25">
      <c r="A9" s="635" t="s">
        <v>935</v>
      </c>
      <c r="B9" s="632">
        <v>300</v>
      </c>
      <c r="C9" s="634">
        <f>C10+C12+C13+C14</f>
        <v>0</v>
      </c>
    </row>
    <row r="10" spans="1:3" ht="15.75" customHeight="1" x14ac:dyDescent="0.25">
      <c r="A10" s="635" t="s">
        <v>408</v>
      </c>
      <c r="B10" s="3412">
        <v>310</v>
      </c>
      <c r="C10" s="3413"/>
    </row>
    <row r="11" spans="1:3" ht="28.5" customHeight="1" x14ac:dyDescent="0.25">
      <c r="A11" s="635" t="s">
        <v>936</v>
      </c>
      <c r="B11" s="3412"/>
      <c r="C11" s="3413"/>
    </row>
    <row r="12" spans="1:3" ht="32.25" customHeight="1" x14ac:dyDescent="0.25">
      <c r="A12" s="635" t="s">
        <v>937</v>
      </c>
      <c r="B12" s="632">
        <v>320</v>
      </c>
      <c r="C12" s="634"/>
    </row>
    <row r="13" spans="1:3" ht="38.25" customHeight="1" x14ac:dyDescent="0.25">
      <c r="A13" s="635" t="s">
        <v>938</v>
      </c>
      <c r="B13" s="632">
        <v>330</v>
      </c>
      <c r="C13" s="634"/>
    </row>
    <row r="14" spans="1:3" ht="51" customHeight="1" x14ac:dyDescent="0.25">
      <c r="A14" s="635" t="s">
        <v>939</v>
      </c>
      <c r="B14" s="632">
        <v>340</v>
      </c>
      <c r="C14" s="634">
        <f>'безвозм1400(155)'!E9</f>
        <v>0</v>
      </c>
    </row>
    <row r="15" spans="1:3" ht="29.25" customHeight="1" x14ac:dyDescent="0.25">
      <c r="A15" s="633" t="s">
        <v>887</v>
      </c>
      <c r="B15" s="632">
        <v>400</v>
      </c>
      <c r="C15" s="634"/>
    </row>
    <row r="16" spans="1:3" ht="45" customHeight="1" x14ac:dyDescent="0.25">
      <c r="A16" s="633" t="s">
        <v>888</v>
      </c>
      <c r="B16" s="632">
        <v>500</v>
      </c>
      <c r="C16" s="634"/>
    </row>
    <row r="17" spans="1:3" s="638" customFormat="1" ht="44.25" customHeight="1" x14ac:dyDescent="0.25">
      <c r="A17" s="636" t="s">
        <v>906</v>
      </c>
      <c r="B17" s="639">
        <v>600</v>
      </c>
      <c r="C17" s="637">
        <f>C7-C8+C9-C15+C16</f>
        <v>0</v>
      </c>
    </row>
    <row r="18" spans="1:3" ht="17.25" customHeight="1" x14ac:dyDescent="0.25"/>
    <row r="19" spans="1:3" ht="17.25" customHeight="1" x14ac:dyDescent="0.25">
      <c r="A19" s="631" t="s">
        <v>924</v>
      </c>
    </row>
    <row r="20" spans="1:3" ht="18" customHeight="1" x14ac:dyDescent="0.25"/>
    <row r="21" spans="1:3" ht="39" customHeight="1" x14ac:dyDescent="0.25">
      <c r="A21" s="631" t="s">
        <v>335</v>
      </c>
    </row>
  </sheetData>
  <mergeCells count="5">
    <mergeCell ref="A1:C1"/>
    <mergeCell ref="A3:A5"/>
    <mergeCell ref="B3:B5"/>
    <mergeCell ref="B10:B11"/>
    <mergeCell ref="C10:C11"/>
  </mergeCells>
  <pageMargins left="0.7" right="0.7" top="0.75" bottom="0.75" header="0.3" footer="0.3"/>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92D050"/>
  </sheetPr>
  <dimension ref="A1:E13"/>
  <sheetViews>
    <sheetView view="pageBreakPreview" zoomScale="90" zoomScaleNormal="100" zoomScaleSheetLayoutView="90" workbookViewId="0">
      <selection activeCell="C14" sqref="C14"/>
    </sheetView>
  </sheetViews>
  <sheetFormatPr defaultRowHeight="39" customHeight="1" x14ac:dyDescent="0.25"/>
  <cols>
    <col min="1" max="1" width="33.33203125" style="631" customWidth="1"/>
    <col min="2" max="4" width="28.6640625" style="631" customWidth="1"/>
    <col min="5" max="5" width="22" style="631" customWidth="1"/>
    <col min="6" max="16384" width="9.33203125" style="631"/>
  </cols>
  <sheetData>
    <row r="1" spans="1:5" ht="73.5" customHeight="1" x14ac:dyDescent="0.25">
      <c r="A1" s="3411" t="s">
        <v>940</v>
      </c>
      <c r="B1" s="3411"/>
      <c r="C1" s="3411"/>
      <c r="D1" s="3411"/>
      <c r="E1" s="3411"/>
    </row>
    <row r="2" spans="1:5" ht="17.25" customHeight="1" x14ac:dyDescent="0.25"/>
    <row r="3" spans="1:5" ht="18.75" customHeight="1" x14ac:dyDescent="0.25">
      <c r="A3" s="3412" t="s">
        <v>941</v>
      </c>
      <c r="B3" s="3412" t="s">
        <v>942</v>
      </c>
      <c r="C3" s="3414" t="s">
        <v>943</v>
      </c>
      <c r="D3" s="3414" t="s">
        <v>944</v>
      </c>
      <c r="E3" s="632" t="s">
        <v>388</v>
      </c>
    </row>
    <row r="4" spans="1:5" ht="25.5" customHeight="1" x14ac:dyDescent="0.25">
      <c r="A4" s="3412"/>
      <c r="B4" s="3412"/>
      <c r="C4" s="3415"/>
      <c r="D4" s="3415"/>
      <c r="E4" s="632" t="s">
        <v>397</v>
      </c>
    </row>
    <row r="5" spans="1:5" ht="45.75" customHeight="1" x14ac:dyDescent="0.25">
      <c r="A5" s="3412"/>
      <c r="B5" s="3412"/>
      <c r="C5" s="3416"/>
      <c r="D5" s="3416"/>
      <c r="E5" s="632" t="s">
        <v>389</v>
      </c>
    </row>
    <row r="6" spans="1:5" ht="15.75" customHeight="1" x14ac:dyDescent="0.25">
      <c r="A6" s="632">
        <v>1</v>
      </c>
      <c r="B6" s="632">
        <v>2</v>
      </c>
      <c r="C6" s="632">
        <v>3</v>
      </c>
      <c r="D6" s="632">
        <v>4</v>
      </c>
      <c r="E6" s="632">
        <v>5</v>
      </c>
    </row>
    <row r="7" spans="1:5" ht="19.5" customHeight="1" x14ac:dyDescent="0.25">
      <c r="A7" s="635"/>
      <c r="B7" s="632"/>
      <c r="C7" s="632"/>
      <c r="D7" s="632"/>
      <c r="E7" s="634"/>
    </row>
    <row r="8" spans="1:5" ht="19.5" customHeight="1" x14ac:dyDescent="0.25">
      <c r="A8" s="635"/>
      <c r="B8" s="632"/>
      <c r="C8" s="632"/>
      <c r="D8" s="632"/>
      <c r="E8" s="634"/>
    </row>
    <row r="9" spans="1:5" s="638" customFormat="1" ht="19.5" customHeight="1" x14ac:dyDescent="0.25">
      <c r="A9" s="650"/>
      <c r="B9" s="639"/>
      <c r="C9" s="639"/>
      <c r="D9" s="639"/>
      <c r="E9" s="637">
        <f>SUM(E7:E8)</f>
        <v>0</v>
      </c>
    </row>
    <row r="10" spans="1:5" ht="22.5" customHeight="1" x14ac:dyDescent="0.25"/>
    <row r="11" spans="1:5" ht="24" customHeight="1" x14ac:dyDescent="0.25">
      <c r="A11" s="631" t="s">
        <v>924</v>
      </c>
    </row>
    <row r="12" spans="1:5" ht="23.25" customHeight="1" x14ac:dyDescent="0.25"/>
    <row r="13" spans="1:5" ht="23.25" customHeight="1" x14ac:dyDescent="0.25">
      <c r="A13" s="631" t="s">
        <v>379</v>
      </c>
    </row>
  </sheetData>
  <mergeCells count="5">
    <mergeCell ref="A1:E1"/>
    <mergeCell ref="A3:A5"/>
    <mergeCell ref="B3:B5"/>
    <mergeCell ref="C3:C5"/>
    <mergeCell ref="D3:D5"/>
  </mergeCells>
  <pageMargins left="0.7" right="0.7" top="0.75" bottom="0.75" header="0.3" footer="0.3"/>
  <pageSetup paperSize="9" scale="6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7" tint="0.39997558519241921"/>
  </sheetPr>
  <dimension ref="A1:E24"/>
  <sheetViews>
    <sheetView view="pageBreakPreview" zoomScaleNormal="100" zoomScaleSheetLayoutView="100" workbookViewId="0">
      <selection activeCell="L13" sqref="L13"/>
    </sheetView>
  </sheetViews>
  <sheetFormatPr defaultRowHeight="15" x14ac:dyDescent="0.25"/>
  <cols>
    <col min="1" max="1" width="53.5" style="319" customWidth="1"/>
    <col min="2" max="2" width="8.6640625" style="319" customWidth="1"/>
    <col min="3" max="5" width="26" style="319" customWidth="1"/>
    <col min="6" max="16384" width="9.33203125" style="319"/>
  </cols>
  <sheetData>
    <row r="1" spans="1:5" ht="20.25" customHeight="1" x14ac:dyDescent="0.25">
      <c r="A1" s="3419" t="s">
        <v>945</v>
      </c>
      <c r="B1" s="3419"/>
      <c r="C1" s="3419"/>
      <c r="D1" s="3419"/>
      <c r="E1" s="3419"/>
    </row>
    <row r="2" spans="1:5" ht="20.25" customHeight="1" x14ac:dyDescent="0.25">
      <c r="A2" s="3419" t="s">
        <v>1442</v>
      </c>
      <c r="B2" s="3419"/>
      <c r="C2" s="3419"/>
      <c r="D2" s="3419"/>
      <c r="E2" s="3419"/>
    </row>
    <row r="3" spans="1:5" x14ac:dyDescent="0.25">
      <c r="A3" s="3420"/>
      <c r="B3" s="3420"/>
      <c r="C3" s="3420"/>
      <c r="D3" s="3420"/>
      <c r="E3" s="3420"/>
    </row>
    <row r="4" spans="1:5" x14ac:dyDescent="0.25">
      <c r="A4" s="3417" t="s">
        <v>386</v>
      </c>
      <c r="B4" s="3417" t="s">
        <v>387</v>
      </c>
      <c r="C4" s="3417" t="s">
        <v>388</v>
      </c>
      <c r="D4" s="3417"/>
      <c r="E4" s="3417"/>
    </row>
    <row r="5" spans="1:5" x14ac:dyDescent="0.25">
      <c r="A5" s="3417"/>
      <c r="B5" s="3417"/>
      <c r="C5" s="651" t="s">
        <v>397</v>
      </c>
      <c r="D5" s="651" t="s">
        <v>398</v>
      </c>
      <c r="E5" s="651" t="s">
        <v>399</v>
      </c>
    </row>
    <row r="6" spans="1:5" ht="30" x14ac:dyDescent="0.25">
      <c r="A6" s="3417"/>
      <c r="B6" s="3417"/>
      <c r="C6" s="651" t="s">
        <v>389</v>
      </c>
      <c r="D6" s="651" t="s">
        <v>390</v>
      </c>
      <c r="E6" s="651" t="s">
        <v>391</v>
      </c>
    </row>
    <row r="7" spans="1:5" x14ac:dyDescent="0.25">
      <c r="A7" s="651">
        <v>1</v>
      </c>
      <c r="B7" s="651">
        <v>2</v>
      </c>
      <c r="C7" s="651">
        <v>3</v>
      </c>
      <c r="D7" s="651">
        <v>4</v>
      </c>
      <c r="E7" s="651">
        <v>5</v>
      </c>
    </row>
    <row r="8" spans="1:5" ht="32.25" customHeight="1" x14ac:dyDescent="0.25">
      <c r="A8" s="608" t="s">
        <v>875</v>
      </c>
      <c r="B8" s="651">
        <v>100</v>
      </c>
      <c r="C8" s="652"/>
      <c r="D8" s="652"/>
      <c r="E8" s="652"/>
    </row>
    <row r="9" spans="1:5" ht="59.25" customHeight="1" x14ac:dyDescent="0.25">
      <c r="A9" s="608" t="s">
        <v>876</v>
      </c>
      <c r="B9" s="651">
        <v>200</v>
      </c>
      <c r="C9" s="652"/>
      <c r="D9" s="652"/>
      <c r="E9" s="652"/>
    </row>
    <row r="10" spans="1:5" x14ac:dyDescent="0.25">
      <c r="A10" s="608" t="s">
        <v>946</v>
      </c>
      <c r="B10" s="651">
        <v>300</v>
      </c>
      <c r="C10" s="652">
        <f>C11+C18</f>
        <v>734300</v>
      </c>
      <c r="D10" s="652">
        <f>D11+D18</f>
        <v>448500</v>
      </c>
      <c r="E10" s="652">
        <f>E11+E18</f>
        <v>448500</v>
      </c>
    </row>
    <row r="11" spans="1:5" x14ac:dyDescent="0.25">
      <c r="A11" s="608" t="s">
        <v>408</v>
      </c>
      <c r="B11" s="3417">
        <v>310</v>
      </c>
      <c r="C11" s="3418">
        <f>SUM(C13:C17)</f>
        <v>673400</v>
      </c>
      <c r="D11" s="3418">
        <f t="shared" ref="D11:E11" si="0">SUM(D13:D17)</f>
        <v>448500</v>
      </c>
      <c r="E11" s="3418">
        <f t="shared" si="0"/>
        <v>448500</v>
      </c>
    </row>
    <row r="12" spans="1:5" x14ac:dyDescent="0.25">
      <c r="A12" s="608" t="s">
        <v>947</v>
      </c>
      <c r="B12" s="3417"/>
      <c r="C12" s="3418"/>
      <c r="D12" s="3418"/>
      <c r="E12" s="3418"/>
    </row>
    <row r="13" spans="1:5" ht="48.75" customHeight="1" x14ac:dyDescent="0.25">
      <c r="A13" s="608" t="s">
        <v>948</v>
      </c>
      <c r="B13" s="1027">
        <v>311</v>
      </c>
      <c r="C13" s="1028">
        <f>'иные стр1210(130)культ'!B8</f>
        <v>448500</v>
      </c>
      <c r="D13" s="1028">
        <f>'иные стр1210(130)культ'!C8</f>
        <v>448500</v>
      </c>
      <c r="E13" s="1028">
        <f>'иные стр1210(130)культ'!D8</f>
        <v>448500</v>
      </c>
    </row>
    <row r="14" spans="1:5" ht="28.5" customHeight="1" x14ac:dyDescent="0.25">
      <c r="A14" s="608" t="s">
        <v>949</v>
      </c>
      <c r="B14" s="1027">
        <v>312</v>
      </c>
      <c r="C14" s="1028">
        <f>'иные стр1210(130)культ'!B9</f>
        <v>0</v>
      </c>
      <c r="D14" s="1028">
        <f>'иные стр1210(130)культ'!C9</f>
        <v>0</v>
      </c>
      <c r="E14" s="1028">
        <f>'иные стр1210(130)культ'!D9</f>
        <v>0</v>
      </c>
    </row>
    <row r="15" spans="1:5" ht="60" x14ac:dyDescent="0.25">
      <c r="A15" s="608" t="s">
        <v>950</v>
      </c>
      <c r="B15" s="1027">
        <v>313</v>
      </c>
      <c r="C15" s="1028"/>
      <c r="D15" s="1028"/>
      <c r="E15" s="1028"/>
    </row>
    <row r="16" spans="1:5" ht="75" x14ac:dyDescent="0.25">
      <c r="A16" s="608" t="s">
        <v>951</v>
      </c>
      <c r="B16" s="1027">
        <v>314</v>
      </c>
      <c r="C16" s="1028">
        <f>'иные стр1210(130)культ'!B11</f>
        <v>224900</v>
      </c>
      <c r="D16" s="1028">
        <f>'иные стр1210(130)культ'!C11</f>
        <v>0</v>
      </c>
      <c r="E16" s="1028">
        <f>'иные стр1210(130)культ'!D11</f>
        <v>0</v>
      </c>
    </row>
    <row r="17" spans="1:5" ht="60" x14ac:dyDescent="0.25">
      <c r="A17" s="608" t="s">
        <v>952</v>
      </c>
      <c r="B17" s="1027">
        <v>315</v>
      </c>
      <c r="C17" s="1028">
        <f>'иные стр1210(130)культ'!B12</f>
        <v>0</v>
      </c>
      <c r="D17" s="1028">
        <f>'иные стр1210(130)культ'!C12</f>
        <v>0</v>
      </c>
      <c r="E17" s="1028">
        <f>'иные стр1210(130)культ'!D12</f>
        <v>0</v>
      </c>
    </row>
    <row r="18" spans="1:5" ht="30" customHeight="1" x14ac:dyDescent="0.25">
      <c r="A18" s="608" t="s">
        <v>953</v>
      </c>
      <c r="B18" s="1027">
        <v>320</v>
      </c>
      <c r="C18" s="1028">
        <f>'иные стр1210(130)культ'!B10</f>
        <v>60900</v>
      </c>
      <c r="D18" s="1028">
        <f>'иные стр1210(130)культ'!C10</f>
        <v>0</v>
      </c>
      <c r="E18" s="1028">
        <f>'иные стр1210(130)культ'!D10</f>
        <v>0</v>
      </c>
    </row>
    <row r="19" spans="1:5" ht="57.75" customHeight="1" x14ac:dyDescent="0.25">
      <c r="A19" s="608" t="s">
        <v>954</v>
      </c>
      <c r="B19" s="651">
        <v>321</v>
      </c>
      <c r="C19" s="652"/>
      <c r="D19" s="652"/>
      <c r="E19" s="652"/>
    </row>
    <row r="20" spans="1:5" ht="27.75" customHeight="1" x14ac:dyDescent="0.25">
      <c r="A20" s="608" t="s">
        <v>887</v>
      </c>
      <c r="B20" s="651">
        <v>400</v>
      </c>
      <c r="C20" s="652"/>
      <c r="D20" s="652"/>
      <c r="E20" s="652"/>
    </row>
    <row r="21" spans="1:5" ht="58.5" customHeight="1" x14ac:dyDescent="0.25">
      <c r="A21" s="608" t="s">
        <v>888</v>
      </c>
      <c r="B21" s="651">
        <v>500</v>
      </c>
      <c r="C21" s="652"/>
      <c r="D21" s="652"/>
      <c r="E21" s="652"/>
    </row>
    <row r="22" spans="1:5" s="328" customFormat="1" ht="42" customHeight="1" x14ac:dyDescent="0.25">
      <c r="A22" s="325" t="s">
        <v>955</v>
      </c>
      <c r="B22" s="326">
        <v>600</v>
      </c>
      <c r="C22" s="327">
        <f>C8-C9+C10-C20+C21</f>
        <v>734300</v>
      </c>
      <c r="D22" s="327">
        <f>D8-D9+D10-D20+D21</f>
        <v>448500</v>
      </c>
      <c r="E22" s="327">
        <f>E8-E9+E10-E20+E21</f>
        <v>448500</v>
      </c>
    </row>
    <row r="23" spans="1:5" x14ac:dyDescent="0.25">
      <c r="C23" s="963">
        <v>734300</v>
      </c>
      <c r="D23" s="963">
        <v>448500</v>
      </c>
      <c r="E23" s="963">
        <v>448500</v>
      </c>
    </row>
    <row r="24" spans="1:5" x14ac:dyDescent="0.25">
      <c r="C24" s="324">
        <f>C22-C23</f>
        <v>0</v>
      </c>
      <c r="D24" s="324">
        <f t="shared" ref="D24:E24" si="1">D22-D23</f>
        <v>0</v>
      </c>
      <c r="E24" s="324">
        <f t="shared" si="1"/>
        <v>0</v>
      </c>
    </row>
  </sheetData>
  <mergeCells count="10">
    <mergeCell ref="B11:B12"/>
    <mergeCell ref="C11:C12"/>
    <mergeCell ref="D11:D12"/>
    <mergeCell ref="E11:E12"/>
    <mergeCell ref="A1:E1"/>
    <mergeCell ref="A2:E2"/>
    <mergeCell ref="A3:E3"/>
    <mergeCell ref="A4:A6"/>
    <mergeCell ref="B4:B6"/>
    <mergeCell ref="C4:E4"/>
  </mergeCells>
  <pageMargins left="0.7" right="0.7" top="0.75" bottom="0.75" header="0.3" footer="0.3"/>
  <pageSetup paperSize="9" scale="6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7" tint="0.39997558519241921"/>
  </sheetPr>
  <dimension ref="A1:E19"/>
  <sheetViews>
    <sheetView view="pageBreakPreview" zoomScaleNormal="100" zoomScaleSheetLayoutView="100" workbookViewId="0">
      <selection activeCell="I11" sqref="I11"/>
    </sheetView>
  </sheetViews>
  <sheetFormatPr defaultRowHeight="15" x14ac:dyDescent="0.25"/>
  <cols>
    <col min="1" max="1" width="53.5" style="319" customWidth="1"/>
    <col min="2" max="2" width="8.6640625" style="319" customWidth="1"/>
    <col min="3" max="5" width="26" style="319" customWidth="1"/>
    <col min="6" max="16384" width="9.33203125" style="319"/>
  </cols>
  <sheetData>
    <row r="1" spans="1:5" ht="30.75" customHeight="1" x14ac:dyDescent="0.25">
      <c r="A1" s="3421" t="s">
        <v>956</v>
      </c>
      <c r="B1" s="3421"/>
      <c r="C1" s="3421"/>
      <c r="D1" s="3421"/>
      <c r="E1" s="3421"/>
    </row>
    <row r="2" spans="1:5" ht="19.5" customHeight="1" x14ac:dyDescent="0.25">
      <c r="A2" s="3421" t="s">
        <v>1442</v>
      </c>
      <c r="B2" s="3421"/>
      <c r="C2" s="3421"/>
      <c r="D2" s="3421"/>
      <c r="E2" s="3421"/>
    </row>
    <row r="3" spans="1:5" x14ac:dyDescent="0.25">
      <c r="A3" s="3420"/>
      <c r="B3" s="3420"/>
      <c r="C3" s="3420"/>
      <c r="D3" s="3420"/>
      <c r="E3" s="3420"/>
    </row>
    <row r="4" spans="1:5" s="642" customFormat="1" x14ac:dyDescent="0.25">
      <c r="A4" s="3422" t="s">
        <v>386</v>
      </c>
      <c r="B4" s="3422" t="s">
        <v>387</v>
      </c>
      <c r="C4" s="3422" t="s">
        <v>388</v>
      </c>
      <c r="D4" s="3422"/>
      <c r="E4" s="3422"/>
    </row>
    <row r="5" spans="1:5" s="642" customFormat="1" x14ac:dyDescent="0.25">
      <c r="A5" s="3422"/>
      <c r="B5" s="3422"/>
      <c r="C5" s="643" t="s">
        <v>397</v>
      </c>
      <c r="D5" s="643" t="s">
        <v>398</v>
      </c>
      <c r="E5" s="643" t="s">
        <v>399</v>
      </c>
    </row>
    <row r="6" spans="1:5" s="642" customFormat="1" ht="30" x14ac:dyDescent="0.25">
      <c r="A6" s="3422"/>
      <c r="B6" s="3422"/>
      <c r="C6" s="643" t="s">
        <v>389</v>
      </c>
      <c r="D6" s="643" t="s">
        <v>390</v>
      </c>
      <c r="E6" s="643" t="s">
        <v>391</v>
      </c>
    </row>
    <row r="7" spans="1:5" s="642" customFormat="1" x14ac:dyDescent="0.25">
      <c r="A7" s="643">
        <v>1</v>
      </c>
      <c r="B7" s="643">
        <v>2</v>
      </c>
      <c r="C7" s="643">
        <v>3</v>
      </c>
      <c r="D7" s="643">
        <v>4</v>
      </c>
      <c r="E7" s="643">
        <v>5</v>
      </c>
    </row>
    <row r="8" spans="1:5" s="642" customFormat="1" ht="32.25" customHeight="1" x14ac:dyDescent="0.25">
      <c r="A8" s="644" t="s">
        <v>957</v>
      </c>
      <c r="B8" s="643">
        <v>100</v>
      </c>
      <c r="C8" s="645"/>
      <c r="D8" s="645"/>
      <c r="E8" s="645"/>
    </row>
    <row r="9" spans="1:5" s="642" customFormat="1" ht="13.5" customHeight="1" x14ac:dyDescent="0.25">
      <c r="A9" s="644" t="s">
        <v>408</v>
      </c>
      <c r="B9" s="643">
        <v>101</v>
      </c>
      <c r="C9" s="645"/>
      <c r="D9" s="645"/>
      <c r="E9" s="645"/>
    </row>
    <row r="10" spans="1:5" s="642" customFormat="1" x14ac:dyDescent="0.25">
      <c r="A10" s="644"/>
      <c r="B10" s="643"/>
      <c r="C10" s="645"/>
      <c r="D10" s="645"/>
      <c r="E10" s="645"/>
    </row>
    <row r="11" spans="1:5" s="642" customFormat="1" ht="45" x14ac:dyDescent="0.25">
      <c r="A11" s="644" t="s">
        <v>958</v>
      </c>
      <c r="B11" s="643">
        <v>200</v>
      </c>
      <c r="C11" s="653"/>
      <c r="D11" s="653"/>
      <c r="E11" s="653"/>
    </row>
    <row r="12" spans="1:5" s="642" customFormat="1" x14ac:dyDescent="0.25">
      <c r="A12" s="644" t="s">
        <v>408</v>
      </c>
      <c r="B12" s="643">
        <v>201</v>
      </c>
      <c r="C12" s="653"/>
      <c r="D12" s="653"/>
      <c r="E12" s="653"/>
    </row>
    <row r="13" spans="1:5" s="642" customFormat="1" ht="17.25" customHeight="1" x14ac:dyDescent="0.25">
      <c r="A13" s="644"/>
      <c r="B13" s="643"/>
      <c r="C13" s="645"/>
      <c r="D13" s="645"/>
      <c r="E13" s="645"/>
    </row>
    <row r="14" spans="1:5" s="642" customFormat="1" ht="43.5" customHeight="1" x14ac:dyDescent="0.25">
      <c r="A14" s="644" t="s">
        <v>959</v>
      </c>
      <c r="B14" s="643">
        <v>300</v>
      </c>
      <c r="C14" s="645"/>
      <c r="D14" s="645"/>
      <c r="E14" s="645"/>
    </row>
    <row r="15" spans="1:5" s="642" customFormat="1" x14ac:dyDescent="0.25">
      <c r="A15" s="644" t="s">
        <v>408</v>
      </c>
      <c r="B15" s="643">
        <v>301</v>
      </c>
      <c r="C15" s="645"/>
      <c r="D15" s="645"/>
      <c r="E15" s="645"/>
    </row>
    <row r="16" spans="1:5" s="642" customFormat="1" x14ac:dyDescent="0.25">
      <c r="A16" s="644"/>
      <c r="B16" s="643"/>
      <c r="C16" s="645"/>
      <c r="D16" s="645"/>
      <c r="E16" s="645"/>
    </row>
    <row r="17" spans="1:5" s="642" customFormat="1" x14ac:dyDescent="0.25">
      <c r="A17" s="644" t="s">
        <v>960</v>
      </c>
      <c r="B17" s="643">
        <v>400</v>
      </c>
      <c r="C17" s="645"/>
      <c r="D17" s="645"/>
      <c r="E17" s="645"/>
    </row>
    <row r="18" spans="1:5" s="642" customFormat="1" ht="18" customHeight="1" x14ac:dyDescent="0.25">
      <c r="A18" s="644" t="s">
        <v>408</v>
      </c>
      <c r="B18" s="643">
        <v>401</v>
      </c>
      <c r="C18" s="645"/>
      <c r="D18" s="645"/>
      <c r="E18" s="645"/>
    </row>
    <row r="19" spans="1:5" s="649" customFormat="1" ht="17.25" customHeight="1" x14ac:dyDescent="0.2">
      <c r="A19" s="646" t="s">
        <v>97</v>
      </c>
      <c r="B19" s="647"/>
      <c r="C19" s="648"/>
      <c r="D19" s="648"/>
      <c r="E19" s="648"/>
    </row>
  </sheetData>
  <mergeCells count="6">
    <mergeCell ref="A1:E1"/>
    <mergeCell ref="A2:E2"/>
    <mergeCell ref="A3:E3"/>
    <mergeCell ref="A4:A6"/>
    <mergeCell ref="B4:B6"/>
    <mergeCell ref="C4:E4"/>
  </mergeCells>
  <pageMargins left="0.7" right="0.7" top="0.75" bottom="0.75" header="0.3" footer="0.3"/>
  <pageSetup paperSize="9" scale="6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92D050"/>
  </sheetPr>
  <dimension ref="A1:J14"/>
  <sheetViews>
    <sheetView view="pageBreakPreview" zoomScaleNormal="100" zoomScaleSheetLayoutView="100" workbookViewId="0">
      <selection activeCell="D20" sqref="D20"/>
    </sheetView>
  </sheetViews>
  <sheetFormatPr defaultRowHeight="15" x14ac:dyDescent="0.25"/>
  <cols>
    <col min="1" max="1" width="84.5" style="313" customWidth="1"/>
    <col min="2" max="4" width="19.33203125" style="313" customWidth="1"/>
    <col min="5" max="7" width="15.33203125" style="313" customWidth="1"/>
    <col min="8" max="8" width="12" style="313" customWidth="1"/>
    <col min="9" max="10" width="10.33203125" style="313" customWidth="1"/>
    <col min="11" max="16384" width="9.33203125" style="313"/>
  </cols>
  <sheetData>
    <row r="1" spans="1:10" ht="26.25" customHeight="1" x14ac:dyDescent="0.25">
      <c r="A1" s="3423" t="s">
        <v>966</v>
      </c>
      <c r="B1" s="3423"/>
      <c r="C1" s="3423"/>
      <c r="D1" s="3423"/>
    </row>
    <row r="2" spans="1:10" ht="27" customHeight="1" x14ac:dyDescent="0.25">
      <c r="A2" s="3424" t="s">
        <v>1442</v>
      </c>
      <c r="B2" s="3424"/>
      <c r="C2" s="3424"/>
      <c r="D2" s="3424"/>
    </row>
    <row r="3" spans="1:10" ht="45" customHeight="1" x14ac:dyDescent="0.25">
      <c r="A3" s="3383" t="s">
        <v>185</v>
      </c>
      <c r="B3" s="3380" t="s">
        <v>907</v>
      </c>
      <c r="C3" s="3381"/>
      <c r="D3" s="3382"/>
    </row>
    <row r="4" spans="1:10" x14ac:dyDescent="0.25">
      <c r="A4" s="3384"/>
      <c r="B4" s="640" t="s">
        <v>397</v>
      </c>
      <c r="C4" s="640" t="s">
        <v>398</v>
      </c>
      <c r="D4" s="640" t="s">
        <v>398</v>
      </c>
    </row>
    <row r="5" spans="1:10" ht="45" x14ac:dyDescent="0.25">
      <c r="A5" s="3385"/>
      <c r="B5" s="640" t="s">
        <v>389</v>
      </c>
      <c r="C5" s="640" t="s">
        <v>390</v>
      </c>
      <c r="D5" s="640" t="s">
        <v>391</v>
      </c>
      <c r="E5" s="313" t="s">
        <v>961</v>
      </c>
      <c r="H5" s="313" t="s">
        <v>183</v>
      </c>
    </row>
    <row r="6" spans="1:10" x14ac:dyDescent="0.25">
      <c r="A6" s="685">
        <v>1</v>
      </c>
      <c r="B6" s="640">
        <v>2</v>
      </c>
      <c r="C6" s="640">
        <v>3</v>
      </c>
      <c r="D6" s="640">
        <v>4</v>
      </c>
      <c r="E6" s="684">
        <v>2020</v>
      </c>
      <c r="F6" s="684">
        <v>2021</v>
      </c>
      <c r="G6" s="684">
        <v>2022</v>
      </c>
      <c r="H6" s="684">
        <v>2020</v>
      </c>
      <c r="I6" s="684">
        <v>2021</v>
      </c>
      <c r="J6" s="684">
        <v>2022</v>
      </c>
    </row>
    <row r="7" spans="1:10" x14ac:dyDescent="0.25">
      <c r="A7" s="684" t="s">
        <v>969</v>
      </c>
      <c r="B7" s="1028"/>
      <c r="C7" s="1028"/>
      <c r="D7" s="1028"/>
      <c r="E7" s="684"/>
      <c r="F7" s="684"/>
      <c r="G7" s="684"/>
      <c r="H7" s="687">
        <f t="shared" ref="H7:H11" si="0">B7-E7</f>
        <v>0</v>
      </c>
      <c r="I7" s="687">
        <f t="shared" ref="I7:J11" si="1">C7-F7</f>
        <v>0</v>
      </c>
      <c r="J7" s="687">
        <f t="shared" si="1"/>
        <v>0</v>
      </c>
    </row>
    <row r="8" spans="1:10" x14ac:dyDescent="0.25">
      <c r="A8" s="684" t="s">
        <v>970</v>
      </c>
      <c r="B8" s="1028">
        <f>'иные КВР 112 (01.01.20)'!C10+'иные КВР 321(01.01.20)'!C10</f>
        <v>448500</v>
      </c>
      <c r="C8" s="1028">
        <f>'иные КВР 112 (01.01.20)'!D22+'иные КВР 321(01.01.20)'!D17</f>
        <v>448500</v>
      </c>
      <c r="D8" s="1028">
        <f>'иные КВР 112 (01.01.20)'!E22+'иные КВР 321(01.01.20)'!E17</f>
        <v>448500</v>
      </c>
      <c r="E8" s="684">
        <v>448500</v>
      </c>
      <c r="F8" s="684">
        <v>448500</v>
      </c>
      <c r="G8" s="684">
        <v>448500</v>
      </c>
      <c r="H8" s="687">
        <f t="shared" si="0"/>
        <v>0</v>
      </c>
      <c r="I8" s="687">
        <f t="shared" si="1"/>
        <v>0</v>
      </c>
      <c r="J8" s="687">
        <f t="shared" si="1"/>
        <v>0</v>
      </c>
    </row>
    <row r="9" spans="1:10" x14ac:dyDescent="0.25">
      <c r="A9" s="684" t="s">
        <v>949</v>
      </c>
      <c r="B9" s="1028">
        <f>'СПЖ КВР 244 (01.01.20)'!C10</f>
        <v>0</v>
      </c>
      <c r="C9" s="1028">
        <f>'СПЖ КВР 244 (01.01.20)'!D10</f>
        <v>0</v>
      </c>
      <c r="D9" s="1028">
        <f>'СПЖ КВР 244 (01.01.20)'!E10</f>
        <v>0</v>
      </c>
      <c r="E9" s="684">
        <v>0</v>
      </c>
      <c r="F9" s="684">
        <v>0</v>
      </c>
      <c r="G9" s="684">
        <v>0</v>
      </c>
      <c r="H9" s="687">
        <f t="shared" si="0"/>
        <v>0</v>
      </c>
      <c r="I9" s="687">
        <f t="shared" si="1"/>
        <v>0</v>
      </c>
      <c r="J9" s="687">
        <f t="shared" si="1"/>
        <v>0</v>
      </c>
    </row>
    <row r="10" spans="1:10" x14ac:dyDescent="0.25">
      <c r="A10" s="684" t="s">
        <v>971</v>
      </c>
      <c r="B10" s="1028">
        <f>'(81600) КВР 244 (01.01.20)'!C10</f>
        <v>60900</v>
      </c>
      <c r="C10" s="1028">
        <f>'(81600) КВР 244 (01.01.20)'!D10</f>
        <v>0</v>
      </c>
      <c r="D10" s="1028">
        <f>'(81600) КВР 244 (01.01.20)'!E10</f>
        <v>0</v>
      </c>
      <c r="E10" s="684">
        <v>60900</v>
      </c>
      <c r="F10" s="684">
        <v>0</v>
      </c>
      <c r="G10" s="684">
        <v>0</v>
      </c>
      <c r="H10" s="687">
        <f t="shared" si="0"/>
        <v>0</v>
      </c>
      <c r="I10" s="687">
        <f t="shared" si="1"/>
        <v>0</v>
      </c>
      <c r="J10" s="687">
        <f t="shared" si="1"/>
        <v>0</v>
      </c>
    </row>
    <row r="11" spans="1:10" ht="45" customHeight="1" x14ac:dyDescent="0.25">
      <c r="A11" s="686" t="s">
        <v>951</v>
      </c>
      <c r="B11" s="1028">
        <f>'75 лет КВР 113(01.01.20)'!C14+'75 лет КВР 244 (01.01.20)'!C33</f>
        <v>224900</v>
      </c>
      <c r="C11" s="1028">
        <f>'75 лет КВР 113(01.01.20)'!D14+'75 лет КВР 244 (01.01.20)'!D33</f>
        <v>0</v>
      </c>
      <c r="D11" s="1028">
        <f>'75 лет КВР 113(01.01.20)'!E14+'75 лет КВР 244 (01.01.20)'!E33</f>
        <v>0</v>
      </c>
      <c r="E11" s="684">
        <v>224900</v>
      </c>
      <c r="F11" s="684">
        <v>0</v>
      </c>
      <c r="G11" s="684">
        <v>0</v>
      </c>
      <c r="H11" s="687">
        <f t="shared" si="0"/>
        <v>0</v>
      </c>
      <c r="I11" s="687">
        <f t="shared" si="1"/>
        <v>0</v>
      </c>
      <c r="J11" s="687">
        <f t="shared" si="1"/>
        <v>0</v>
      </c>
    </row>
    <row r="12" spans="1:10" ht="45" customHeight="1" x14ac:dyDescent="0.25">
      <c r="A12" s="686" t="s">
        <v>952</v>
      </c>
      <c r="B12" s="1028">
        <f>'ЖКХ КВР 244 (01.01.20)'!C10</f>
        <v>0</v>
      </c>
      <c r="C12" s="1028">
        <f>'ЖКХ КВР 244 (01.01.20)'!D10</f>
        <v>0</v>
      </c>
      <c r="D12" s="1028">
        <f>'ЖКХ КВР 244 (01.01.20)'!E10</f>
        <v>0</v>
      </c>
      <c r="E12" s="684">
        <v>0</v>
      </c>
      <c r="F12" s="684">
        <v>0</v>
      </c>
      <c r="G12" s="684">
        <v>0</v>
      </c>
      <c r="H12" s="687">
        <f t="shared" ref="H12:H13" si="2">B12-E12</f>
        <v>0</v>
      </c>
      <c r="I12" s="687">
        <f t="shared" ref="I12:I13" si="3">C12-F12</f>
        <v>0</v>
      </c>
      <c r="J12" s="687">
        <f t="shared" ref="J12:J13" si="4">D12-G12</f>
        <v>0</v>
      </c>
    </row>
    <row r="13" spans="1:10" s="677" customFormat="1" x14ac:dyDescent="0.25">
      <c r="A13" s="688" t="s">
        <v>972</v>
      </c>
      <c r="B13" s="959">
        <f>SUM(B7:B12)</f>
        <v>734300</v>
      </c>
      <c r="C13" s="959">
        <f t="shared" ref="C13:D13" si="5">SUM(C7:C12)</f>
        <v>448500</v>
      </c>
      <c r="D13" s="959">
        <f t="shared" si="5"/>
        <v>448500</v>
      </c>
      <c r="E13" s="688">
        <v>734300</v>
      </c>
      <c r="F13" s="688">
        <v>448500</v>
      </c>
      <c r="G13" s="688">
        <v>448500</v>
      </c>
      <c r="H13" s="687">
        <f t="shared" si="2"/>
        <v>0</v>
      </c>
      <c r="I13" s="687">
        <f t="shared" si="3"/>
        <v>0</v>
      </c>
      <c r="J13" s="687">
        <f t="shared" si="4"/>
        <v>0</v>
      </c>
    </row>
    <row r="14" spans="1:10" x14ac:dyDescent="0.25">
      <c r="B14" s="654"/>
      <c r="C14" s="654"/>
      <c r="D14" s="654"/>
    </row>
  </sheetData>
  <mergeCells count="4">
    <mergeCell ref="A1:D1"/>
    <mergeCell ref="A2:D2"/>
    <mergeCell ref="A3:A5"/>
    <mergeCell ref="B3:D3"/>
  </mergeCell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CCCC"/>
    <pageSetUpPr fitToPage="1"/>
  </sheetPr>
  <dimension ref="A2:N46"/>
  <sheetViews>
    <sheetView view="pageBreakPreview" zoomScale="80" zoomScaleNormal="100" zoomScaleSheetLayoutView="80" workbookViewId="0">
      <pane xSplit="1" ySplit="9" topLeftCell="B10"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5"/>
  <cols>
    <col min="1" max="1" width="59.6640625" style="7" customWidth="1"/>
    <col min="2" max="2" width="11.6640625" style="7" customWidth="1"/>
    <col min="3" max="3" width="14.6640625" style="7" customWidth="1"/>
    <col min="4" max="4" width="14" style="7" customWidth="1"/>
    <col min="5" max="11" width="14.83203125" style="13" customWidth="1"/>
    <col min="12" max="12" width="12.5" style="7" customWidth="1"/>
    <col min="13" max="13" width="13.33203125" style="7" customWidth="1"/>
    <col min="14" max="14" width="14.33203125" style="7" customWidth="1"/>
    <col min="15" max="15" width="11.5" style="7" bestFit="1" customWidth="1"/>
    <col min="16" max="16384" width="9.33203125" style="7"/>
  </cols>
  <sheetData>
    <row r="2" spans="1:14" x14ac:dyDescent="0.25">
      <c r="A2" s="3163" t="s">
        <v>168</v>
      </c>
      <c r="B2" s="3163"/>
      <c r="C2" s="3163"/>
      <c r="D2" s="3163"/>
      <c r="E2" s="3163"/>
      <c r="F2" s="3163"/>
      <c r="G2" s="3163"/>
      <c r="H2" s="3163"/>
      <c r="I2" s="3163"/>
      <c r="J2" s="3163"/>
      <c r="K2" s="3163"/>
      <c r="L2" s="3163"/>
      <c r="M2" s="3163"/>
      <c r="N2" s="3163"/>
    </row>
    <row r="4" spans="1:14" x14ac:dyDescent="0.25">
      <c r="A4" s="3163" t="s">
        <v>169</v>
      </c>
      <c r="B4" s="3163"/>
      <c r="C4" s="3163"/>
      <c r="D4" s="3163"/>
      <c r="E4" s="3163"/>
      <c r="F4" s="3163"/>
      <c r="G4" s="3163"/>
      <c r="H4" s="3163"/>
      <c r="I4" s="3163"/>
      <c r="J4" s="3163"/>
      <c r="K4" s="3163"/>
      <c r="L4" s="3163"/>
      <c r="M4" s="3163"/>
      <c r="N4" s="3163"/>
    </row>
    <row r="5" spans="1:14" x14ac:dyDescent="0.25">
      <c r="A5" s="275"/>
      <c r="B5" s="275"/>
      <c r="C5" s="275"/>
      <c r="D5" s="275"/>
      <c r="E5" s="275"/>
      <c r="F5" s="275"/>
      <c r="G5" s="275"/>
      <c r="H5" s="275"/>
      <c r="I5" s="275"/>
      <c r="J5" s="275"/>
      <c r="K5" s="275"/>
      <c r="L5" s="275"/>
      <c r="M5" s="275"/>
      <c r="N5" s="275"/>
    </row>
    <row r="6" spans="1:14" x14ac:dyDescent="0.25">
      <c r="A6" s="275"/>
      <c r="B6" s="275"/>
      <c r="C6" s="275"/>
      <c r="D6" s="275"/>
      <c r="E6" s="275"/>
      <c r="F6" s="275"/>
      <c r="G6" s="275"/>
      <c r="H6" s="275"/>
      <c r="I6" s="275"/>
      <c r="J6" s="275"/>
      <c r="K6" s="275"/>
      <c r="L6" s="275"/>
      <c r="M6" s="275"/>
      <c r="N6" s="275"/>
    </row>
    <row r="7" spans="1:14" x14ac:dyDescent="0.25">
      <c r="A7" s="7" t="s">
        <v>170</v>
      </c>
    </row>
    <row r="8" spans="1:14" ht="42.75" customHeight="1" x14ac:dyDescent="0.25">
      <c r="A8" s="3164" t="s">
        <v>95</v>
      </c>
      <c r="B8" s="3165" t="s">
        <v>98</v>
      </c>
      <c r="C8" s="3167" t="s">
        <v>140</v>
      </c>
      <c r="D8" s="3168"/>
      <c r="E8" s="3169"/>
      <c r="F8" s="3167" t="s">
        <v>152</v>
      </c>
      <c r="G8" s="3168"/>
      <c r="H8" s="3169"/>
      <c r="I8" s="3167" t="s">
        <v>165</v>
      </c>
      <c r="J8" s="3168"/>
      <c r="K8" s="3169"/>
      <c r="L8" s="3173" t="s">
        <v>120</v>
      </c>
      <c r="M8" s="3173"/>
      <c r="N8" s="3173"/>
    </row>
    <row r="9" spans="1:14" ht="27.75" customHeight="1" x14ac:dyDescent="0.25">
      <c r="A9" s="3164"/>
      <c r="B9" s="3166"/>
      <c r="C9" s="14">
        <v>991</v>
      </c>
      <c r="D9" s="14">
        <v>992</v>
      </c>
      <c r="E9" s="15">
        <v>911</v>
      </c>
      <c r="F9" s="21">
        <v>991</v>
      </c>
      <c r="G9" s="21">
        <v>992</v>
      </c>
      <c r="H9" s="15">
        <v>911</v>
      </c>
      <c r="I9" s="21">
        <v>991</v>
      </c>
      <c r="J9" s="21">
        <v>992</v>
      </c>
      <c r="K9" s="15">
        <v>911</v>
      </c>
      <c r="L9" s="19">
        <v>991</v>
      </c>
      <c r="M9" s="289">
        <v>992</v>
      </c>
      <c r="N9" s="19">
        <v>911</v>
      </c>
    </row>
    <row r="10" spans="1:14" s="13" customFormat="1" ht="38.25" customHeight="1" x14ac:dyDescent="0.25">
      <c r="A10" s="273" t="s">
        <v>111</v>
      </c>
      <c r="B10" s="8">
        <f>'музей 2020'!C28</f>
        <v>64.5</v>
      </c>
      <c r="C10" s="10">
        <f>'музей 2020'!G34</f>
        <v>39360.400000000001</v>
      </c>
      <c r="D10" s="10">
        <f>'музей 2020'!H34</f>
        <v>11661.7</v>
      </c>
      <c r="E10" s="10">
        <v>897</v>
      </c>
      <c r="F10" s="10"/>
      <c r="G10" s="10"/>
      <c r="H10" s="10"/>
      <c r="I10" s="10">
        <f>'музей 2020'!I34</f>
        <v>39360.400000000001</v>
      </c>
      <c r="J10" s="10">
        <f>'музей 2020'!J34+7.1</f>
        <v>11661.7</v>
      </c>
      <c r="K10" s="10">
        <f>'музей 2020'!AH28</f>
        <v>1677</v>
      </c>
      <c r="L10" s="10">
        <f>C10-I10</f>
        <v>0</v>
      </c>
      <c r="M10" s="290">
        <f>D10-J10</f>
        <v>0</v>
      </c>
      <c r="N10" s="10">
        <f t="shared" ref="N10" si="0">E10-K10</f>
        <v>-780</v>
      </c>
    </row>
    <row r="11" spans="1:14" s="13" customFormat="1" x14ac:dyDescent="0.25">
      <c r="A11" s="273" t="s">
        <v>112</v>
      </c>
      <c r="B11" s="8">
        <f>'Родина 2020'!C21</f>
        <v>15.5</v>
      </c>
      <c r="C11" s="10">
        <f>'Родина 2020'!G28</f>
        <v>8874.7000000000007</v>
      </c>
      <c r="D11" s="10">
        <f>'Родина 2020'!H28</f>
        <v>2640.7</v>
      </c>
      <c r="E11" s="10">
        <v>546</v>
      </c>
      <c r="F11" s="10"/>
      <c r="G11" s="10"/>
      <c r="H11" s="10"/>
      <c r="I11" s="10">
        <f>'Родина 2020'!I28</f>
        <v>8874.7000000000007</v>
      </c>
      <c r="J11" s="10">
        <f>'Родина 2020'!J28+4.9</f>
        <v>2640.7</v>
      </c>
      <c r="K11" s="10">
        <f>'Родина 2020'!AH21</f>
        <v>253.5</v>
      </c>
      <c r="L11" s="10">
        <f t="shared" ref="L11:L15" si="1">C11-I11</f>
        <v>0</v>
      </c>
      <c r="M11" s="290">
        <f>D11-J11</f>
        <v>0</v>
      </c>
      <c r="N11" s="10">
        <f t="shared" ref="N11:N15" si="2">E11-K11</f>
        <v>292.5</v>
      </c>
    </row>
    <row r="12" spans="1:14" s="13" customFormat="1" x14ac:dyDescent="0.25">
      <c r="A12" s="273" t="s">
        <v>133</v>
      </c>
      <c r="B12" s="9" t="e">
        <f>#REF!</f>
        <v>#REF!</v>
      </c>
      <c r="C12" s="10" t="e">
        <f>#REF!</f>
        <v>#REF!</v>
      </c>
      <c r="D12" s="10" t="e">
        <f>#REF!</f>
        <v>#REF!</v>
      </c>
      <c r="E12" s="10">
        <v>3224</v>
      </c>
      <c r="F12" s="10" t="e">
        <f>#REF!</f>
        <v>#REF!</v>
      </c>
      <c r="G12" s="10" t="e">
        <f>#REF!</f>
        <v>#REF!</v>
      </c>
      <c r="H12" s="10"/>
      <c r="I12" s="10" t="e">
        <f>#REF!</f>
        <v>#REF!</v>
      </c>
      <c r="J12" s="10" t="e">
        <f>#REF!+39.9</f>
        <v>#REF!</v>
      </c>
      <c r="K12" s="10" t="e">
        <f>#REF!</f>
        <v>#REF!</v>
      </c>
      <c r="L12" s="10" t="e">
        <f t="shared" ref="L12:M14" si="3">C12-I12-F12</f>
        <v>#REF!</v>
      </c>
      <c r="M12" s="290" t="e">
        <f t="shared" si="3"/>
        <v>#REF!</v>
      </c>
      <c r="N12" s="10" t="e">
        <f t="shared" ref="N12" si="4">E12-K12-H12</f>
        <v>#REF!</v>
      </c>
    </row>
    <row r="13" spans="1:14" s="13" customFormat="1" x14ac:dyDescent="0.25">
      <c r="A13" s="273" t="s">
        <v>113</v>
      </c>
      <c r="B13" s="9">
        <f>'ГЦК+Энергия 2020'!C52</f>
        <v>59.75</v>
      </c>
      <c r="C13" s="10">
        <f>'ГЦК+Энергия 2020'!G57</f>
        <v>46179.199999999997</v>
      </c>
      <c r="D13" s="10">
        <f>'ГЦК+Энергия 2020'!H57</f>
        <v>13446.9</v>
      </c>
      <c r="E13" s="10">
        <v>1351.3</v>
      </c>
      <c r="F13" s="10">
        <f>'ГЦК+Энергия 2020'!I57</f>
        <v>678.3</v>
      </c>
      <c r="G13" s="10">
        <f>'ГЦК+Энергия 2020'!J57</f>
        <v>204.8</v>
      </c>
      <c r="H13" s="10"/>
      <c r="I13" s="10">
        <f>'ГЦК+Энергия 2020'!K57</f>
        <v>45500.9</v>
      </c>
      <c r="J13" s="10">
        <f>'ГЦК+Энергия 2020'!L57-106.6</f>
        <v>13242.1</v>
      </c>
      <c r="K13" s="10">
        <f>'ГЦК+Энергия 2020'!AH52</f>
        <v>1924</v>
      </c>
      <c r="L13" s="10">
        <f t="shared" si="3"/>
        <v>0</v>
      </c>
      <c r="M13" s="290">
        <f t="shared" si="3"/>
        <v>0</v>
      </c>
      <c r="N13" s="10">
        <f t="shared" ref="N13" si="5">E13-K13-H13</f>
        <v>-572.70000000000005</v>
      </c>
    </row>
    <row r="14" spans="1:14" s="13" customFormat="1" ht="19.5" customHeight="1" x14ac:dyDescent="0.25">
      <c r="A14" s="273" t="s">
        <v>114</v>
      </c>
      <c r="B14" s="9">
        <f>'Юбилейный 2020'!C25</f>
        <v>19</v>
      </c>
      <c r="C14" s="10">
        <f>'Юбилейный 2020'!G31</f>
        <v>14722.5</v>
      </c>
      <c r="D14" s="10">
        <f>'Юбилейный 2020'!H31</f>
        <v>4245.1000000000004</v>
      </c>
      <c r="E14" s="10">
        <v>429</v>
      </c>
      <c r="F14" s="10"/>
      <c r="G14" s="10"/>
      <c r="H14" s="10"/>
      <c r="I14" s="10">
        <f>'Юбилейный 2020'!I31</f>
        <v>14722.5</v>
      </c>
      <c r="J14" s="10">
        <f>'Юбилейный 2020'!J31-60.5</f>
        <v>4245.1000000000004</v>
      </c>
      <c r="K14" s="10">
        <f>'Юбилейный 2020'!AH25</f>
        <v>370.5</v>
      </c>
      <c r="L14" s="10">
        <f t="shared" si="3"/>
        <v>0</v>
      </c>
      <c r="M14" s="290">
        <f t="shared" si="3"/>
        <v>0</v>
      </c>
      <c r="N14" s="10">
        <f t="shared" ref="N14" si="6">E14-K14-H14</f>
        <v>58.5</v>
      </c>
    </row>
    <row r="15" spans="1:14" s="13" customFormat="1" ht="32.25" customHeight="1" x14ac:dyDescent="0.25">
      <c r="A15" s="273" t="s">
        <v>115</v>
      </c>
      <c r="B15" s="9">
        <f>'Высоцкий 2020'!C28</f>
        <v>25</v>
      </c>
      <c r="C15" s="10">
        <f>'Высоцкий 2020'!G33</f>
        <v>18394</v>
      </c>
      <c r="D15" s="10">
        <f>'Высоцкий 2020'!H33</f>
        <v>5393.9</v>
      </c>
      <c r="E15" s="10">
        <v>799.5</v>
      </c>
      <c r="F15" s="10"/>
      <c r="G15" s="10"/>
      <c r="H15" s="10"/>
      <c r="I15" s="10">
        <f>'Высоцкий 2020'!I33</f>
        <v>18394</v>
      </c>
      <c r="J15" s="10">
        <f>'Высоцкий 2020'!J33-6.9</f>
        <v>5393.9</v>
      </c>
      <c r="K15" s="10">
        <f>'Высоцкий 2020'!AH28</f>
        <v>448.5</v>
      </c>
      <c r="L15" s="10">
        <f t="shared" si="1"/>
        <v>0</v>
      </c>
      <c r="M15" s="290">
        <f>D15-J15</f>
        <v>0</v>
      </c>
      <c r="N15" s="10">
        <f t="shared" si="2"/>
        <v>351</v>
      </c>
    </row>
    <row r="16" spans="1:14" x14ac:dyDescent="0.25">
      <c r="A16" s="16" t="s">
        <v>99</v>
      </c>
      <c r="B16" s="17" t="e">
        <f>SUM(B10:B15)</f>
        <v>#REF!</v>
      </c>
      <c r="C16" s="18" t="e">
        <f t="shared" ref="C16:N16" si="7">SUM(C10:C15)</f>
        <v>#REF!</v>
      </c>
      <c r="D16" s="18" t="e">
        <f t="shared" si="7"/>
        <v>#REF!</v>
      </c>
      <c r="E16" s="18">
        <f t="shared" si="7"/>
        <v>7246.8</v>
      </c>
      <c r="F16" s="18" t="e">
        <f t="shared" si="7"/>
        <v>#REF!</v>
      </c>
      <c r="G16" s="18" t="e">
        <f t="shared" si="7"/>
        <v>#REF!</v>
      </c>
      <c r="H16" s="18">
        <f t="shared" si="7"/>
        <v>0</v>
      </c>
      <c r="I16" s="18" t="e">
        <f t="shared" si="7"/>
        <v>#REF!</v>
      </c>
      <c r="J16" s="18" t="e">
        <f t="shared" si="7"/>
        <v>#REF!</v>
      </c>
      <c r="K16" s="18" t="e">
        <f t="shared" si="7"/>
        <v>#REF!</v>
      </c>
      <c r="L16" s="18" t="e">
        <f t="shared" si="7"/>
        <v>#REF!</v>
      </c>
      <c r="M16" s="18" t="e">
        <f t="shared" si="7"/>
        <v>#REF!</v>
      </c>
      <c r="N16" s="18" t="e">
        <f t="shared" si="7"/>
        <v>#REF!</v>
      </c>
    </row>
    <row r="17" spans="1:14" x14ac:dyDescent="0.25">
      <c r="C17" s="11"/>
      <c r="D17" s="11"/>
      <c r="E17" s="12"/>
      <c r="F17" s="12"/>
      <c r="G17" s="12"/>
      <c r="H17" s="12"/>
      <c r="I17" s="12"/>
      <c r="J17" s="12"/>
      <c r="K17" s="12"/>
    </row>
    <row r="18" spans="1:14" x14ac:dyDescent="0.25">
      <c r="L18" s="3163" t="s">
        <v>171</v>
      </c>
      <c r="M18" s="3163"/>
      <c r="N18" s="3163"/>
    </row>
    <row r="19" spans="1:14" s="20" customFormat="1" ht="20.25" x14ac:dyDescent="0.3">
      <c r="A19" s="1" t="s">
        <v>138</v>
      </c>
      <c r="C19" s="2"/>
      <c r="D19" s="6" t="s">
        <v>166</v>
      </c>
      <c r="E19" s="3"/>
      <c r="F19" s="4"/>
      <c r="G19" s="4"/>
      <c r="H19" s="5"/>
      <c r="I19" s="5"/>
      <c r="J19" s="4"/>
    </row>
    <row r="21" spans="1:14" x14ac:dyDescent="0.25">
      <c r="A21" s="7" t="s">
        <v>151</v>
      </c>
    </row>
    <row r="22" spans="1:14" s="11" customFormat="1" x14ac:dyDescent="0.25">
      <c r="D22" s="11" t="e">
        <f>D16-G16</f>
        <v>#REF!</v>
      </c>
      <c r="E22" s="12"/>
      <c r="F22" s="12"/>
      <c r="G22" s="12"/>
      <c r="H22" s="12"/>
      <c r="I22" s="12"/>
      <c r="J22" s="12"/>
      <c r="K22" s="12"/>
    </row>
    <row r="23" spans="1:14" s="11" customFormat="1" x14ac:dyDescent="0.25">
      <c r="E23" s="12"/>
      <c r="F23" s="12"/>
      <c r="G23" s="12"/>
      <c r="H23" s="12"/>
      <c r="I23" s="12"/>
      <c r="J23" s="12"/>
      <c r="K23" s="12"/>
    </row>
    <row r="24" spans="1:14" s="11" customFormat="1" x14ac:dyDescent="0.25">
      <c r="E24" s="12"/>
      <c r="F24" s="12"/>
      <c r="G24" s="12"/>
      <c r="H24" s="12"/>
      <c r="I24" s="12"/>
      <c r="J24" s="12"/>
      <c r="K24" s="12"/>
    </row>
    <row r="25" spans="1:14" s="11" customFormat="1" x14ac:dyDescent="0.25">
      <c r="E25" s="12"/>
      <c r="F25" s="12"/>
      <c r="G25" s="12"/>
      <c r="H25" s="12"/>
      <c r="I25" s="12"/>
      <c r="J25" s="12"/>
      <c r="K25" s="12"/>
    </row>
    <row r="26" spans="1:14" s="11" customFormat="1" x14ac:dyDescent="0.25">
      <c r="E26" s="12"/>
      <c r="F26" s="12"/>
      <c r="G26" s="12"/>
      <c r="H26" s="12"/>
      <c r="I26" s="12"/>
      <c r="J26" s="12"/>
      <c r="K26" s="12"/>
    </row>
    <row r="27" spans="1:14" s="11" customFormat="1" x14ac:dyDescent="0.25">
      <c r="E27" s="12"/>
      <c r="F27" s="12"/>
      <c r="G27" s="12"/>
      <c r="H27" s="12"/>
      <c r="I27" s="12"/>
      <c r="J27" s="12"/>
      <c r="K27" s="12"/>
    </row>
    <row r="28" spans="1:14" s="11" customFormat="1" x14ac:dyDescent="0.25">
      <c r="E28" s="12"/>
      <c r="F28" s="12"/>
      <c r="G28" s="12"/>
      <c r="H28" s="12"/>
      <c r="I28" s="12"/>
      <c r="J28" s="12"/>
      <c r="K28" s="12"/>
    </row>
    <row r="29" spans="1:14" s="11" customFormat="1" x14ac:dyDescent="0.25">
      <c r="E29" s="12"/>
      <c r="F29" s="12"/>
      <c r="G29" s="12"/>
      <c r="H29" s="12"/>
      <c r="I29" s="12"/>
      <c r="J29" s="12"/>
      <c r="K29" s="12"/>
    </row>
    <row r="30" spans="1:14" s="11" customFormat="1" x14ac:dyDescent="0.25">
      <c r="E30" s="12"/>
      <c r="F30" s="12"/>
      <c r="G30" s="12"/>
      <c r="H30" s="12"/>
      <c r="I30" s="12"/>
      <c r="J30" s="12"/>
      <c r="K30" s="12"/>
    </row>
    <row r="31" spans="1:14" s="11" customFormat="1" x14ac:dyDescent="0.25">
      <c r="E31" s="12"/>
      <c r="F31" s="12"/>
      <c r="G31" s="12"/>
      <c r="H31" s="12"/>
      <c r="I31" s="12"/>
      <c r="J31" s="12"/>
      <c r="K31" s="12"/>
    </row>
    <row r="32" spans="1:14" s="11" customFormat="1" x14ac:dyDescent="0.25">
      <c r="E32" s="12"/>
      <c r="F32" s="12"/>
      <c r="G32" s="12"/>
      <c r="H32" s="12"/>
      <c r="I32" s="12"/>
      <c r="J32" s="12"/>
      <c r="K32" s="12"/>
    </row>
    <row r="33" spans="5:11" s="11" customFormat="1" x14ac:dyDescent="0.25">
      <c r="E33" s="12"/>
      <c r="F33" s="12"/>
      <c r="G33" s="12"/>
      <c r="H33" s="12"/>
      <c r="I33" s="12"/>
      <c r="J33" s="12"/>
      <c r="K33" s="12"/>
    </row>
    <row r="34" spans="5:11" s="11" customFormat="1" x14ac:dyDescent="0.25">
      <c r="E34" s="12"/>
      <c r="F34" s="12"/>
      <c r="G34" s="12"/>
      <c r="H34" s="12"/>
      <c r="I34" s="12"/>
      <c r="J34" s="12"/>
      <c r="K34" s="12"/>
    </row>
    <row r="35" spans="5:11" s="11" customFormat="1" x14ac:dyDescent="0.25">
      <c r="E35" s="12"/>
      <c r="F35" s="12"/>
      <c r="G35" s="12"/>
      <c r="H35" s="12"/>
      <c r="I35" s="12"/>
      <c r="J35" s="12"/>
      <c r="K35" s="12"/>
    </row>
    <row r="36" spans="5:11" s="11" customFormat="1" x14ac:dyDescent="0.25">
      <c r="E36" s="12"/>
      <c r="F36" s="12"/>
      <c r="G36" s="12"/>
      <c r="H36" s="12"/>
      <c r="I36" s="12"/>
      <c r="J36" s="12"/>
      <c r="K36" s="12"/>
    </row>
    <row r="37" spans="5:11" s="11" customFormat="1" x14ac:dyDescent="0.25">
      <c r="E37" s="12"/>
      <c r="F37" s="12"/>
      <c r="G37" s="12"/>
      <c r="H37" s="12"/>
      <c r="I37" s="12"/>
      <c r="J37" s="12"/>
      <c r="K37" s="12"/>
    </row>
    <row r="38" spans="5:11" s="11" customFormat="1" x14ac:dyDescent="0.25">
      <c r="E38" s="12"/>
      <c r="F38" s="12"/>
      <c r="G38" s="12"/>
      <c r="H38" s="12"/>
      <c r="I38" s="12"/>
      <c r="J38" s="12"/>
      <c r="K38" s="12"/>
    </row>
    <row r="39" spans="5:11" s="11" customFormat="1" x14ac:dyDescent="0.25">
      <c r="E39" s="12"/>
      <c r="F39" s="12"/>
      <c r="G39" s="12"/>
      <c r="H39" s="12"/>
      <c r="I39" s="12"/>
      <c r="J39" s="12"/>
      <c r="K39" s="12"/>
    </row>
    <row r="40" spans="5:11" s="11" customFormat="1" x14ac:dyDescent="0.25">
      <c r="E40" s="12"/>
      <c r="F40" s="12"/>
      <c r="G40" s="12"/>
      <c r="H40" s="12"/>
      <c r="I40" s="12"/>
      <c r="J40" s="12"/>
      <c r="K40" s="12"/>
    </row>
    <row r="41" spans="5:11" s="11" customFormat="1" x14ac:dyDescent="0.25">
      <c r="E41" s="12"/>
      <c r="F41" s="12"/>
      <c r="G41" s="12"/>
      <c r="H41" s="12"/>
      <c r="I41" s="12"/>
      <c r="J41" s="12"/>
      <c r="K41" s="12"/>
    </row>
    <row r="42" spans="5:11" s="11" customFormat="1" x14ac:dyDescent="0.25">
      <c r="E42" s="12"/>
      <c r="F42" s="12"/>
      <c r="G42" s="12"/>
      <c r="H42" s="12"/>
      <c r="I42" s="12"/>
      <c r="J42" s="12"/>
      <c r="K42" s="12"/>
    </row>
    <row r="43" spans="5:11" s="11" customFormat="1" x14ac:dyDescent="0.25">
      <c r="E43" s="12"/>
      <c r="F43" s="12"/>
      <c r="G43" s="12"/>
      <c r="H43" s="12"/>
      <c r="I43" s="12"/>
      <c r="J43" s="12"/>
      <c r="K43" s="12"/>
    </row>
    <row r="44" spans="5:11" s="11" customFormat="1" x14ac:dyDescent="0.25">
      <c r="E44" s="12"/>
      <c r="F44" s="12"/>
      <c r="G44" s="12"/>
      <c r="H44" s="12"/>
      <c r="I44" s="12"/>
      <c r="J44" s="12"/>
      <c r="K44" s="12"/>
    </row>
    <row r="45" spans="5:11" s="11" customFormat="1" x14ac:dyDescent="0.25">
      <c r="E45" s="12"/>
      <c r="F45" s="12"/>
      <c r="G45" s="12"/>
      <c r="H45" s="12"/>
      <c r="I45" s="12"/>
      <c r="J45" s="12"/>
      <c r="K45" s="12"/>
    </row>
    <row r="46" spans="5:11" s="11" customFormat="1" x14ac:dyDescent="0.25">
      <c r="E46" s="12"/>
      <c r="F46" s="12"/>
      <c r="G46" s="12"/>
      <c r="H46" s="12"/>
      <c r="I46" s="12"/>
      <c r="J46" s="12"/>
      <c r="K46" s="12"/>
    </row>
  </sheetData>
  <mergeCells count="9">
    <mergeCell ref="L18:N18"/>
    <mergeCell ref="A2:N2"/>
    <mergeCell ref="A4:N4"/>
    <mergeCell ref="L8:N8"/>
    <mergeCell ref="A8:A9"/>
    <mergeCell ref="B8:B9"/>
    <mergeCell ref="C8:E8"/>
    <mergeCell ref="F8:H8"/>
    <mergeCell ref="I8:K8"/>
  </mergeCells>
  <pageMargins left="0.19685039370078741" right="0.19685039370078741" top="0.74803149606299213" bottom="0.74803149606299213" header="0.31496062992125984" footer="0.31496062992125984"/>
  <pageSetup paperSize="9" scale="6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00FFFF"/>
  </sheetPr>
  <dimension ref="A1:E13"/>
  <sheetViews>
    <sheetView view="pageBreakPreview" zoomScale="80" zoomScaleNormal="100" zoomScaleSheetLayoutView="80" workbookViewId="0">
      <selection activeCell="E16" sqref="E16"/>
    </sheetView>
  </sheetViews>
  <sheetFormatPr defaultRowHeight="39.75" customHeight="1" x14ac:dyDescent="0.25"/>
  <cols>
    <col min="1" max="1" width="47.33203125" style="380" customWidth="1"/>
    <col min="2" max="2" width="10" style="380" customWidth="1"/>
    <col min="3" max="5" width="25.83203125" style="380" customWidth="1"/>
    <col min="6" max="16384" width="9.33203125" style="380"/>
  </cols>
  <sheetData>
    <row r="1" spans="1:5" ht="39.75" customHeight="1" x14ac:dyDescent="0.25">
      <c r="A1" s="3425" t="s">
        <v>503</v>
      </c>
      <c r="B1" s="3425"/>
      <c r="C1" s="3425"/>
      <c r="D1" s="3425"/>
      <c r="E1" s="3425"/>
    </row>
    <row r="2" spans="1:5" ht="24" customHeight="1" x14ac:dyDescent="0.25">
      <c r="A2" s="3425" t="s">
        <v>1442</v>
      </c>
      <c r="B2" s="3425"/>
      <c r="C2" s="3425"/>
      <c r="D2" s="3425"/>
      <c r="E2" s="3425"/>
    </row>
    <row r="3" spans="1:5" ht="13.5" customHeight="1" x14ac:dyDescent="0.25">
      <c r="A3" s="381"/>
      <c r="B3" s="381"/>
      <c r="C3" s="381"/>
      <c r="D3" s="381"/>
      <c r="E3" s="382">
        <v>43831</v>
      </c>
    </row>
    <row r="4" spans="1:5" ht="39.75" customHeight="1" x14ac:dyDescent="0.25">
      <c r="A4" s="3426" t="s">
        <v>386</v>
      </c>
      <c r="B4" s="3426" t="s">
        <v>387</v>
      </c>
      <c r="C4" s="3426" t="s">
        <v>388</v>
      </c>
      <c r="D4" s="3426"/>
      <c r="E4" s="3426"/>
    </row>
    <row r="5" spans="1:5" ht="39.75" customHeight="1" x14ac:dyDescent="0.25">
      <c r="A5" s="3426"/>
      <c r="B5" s="3426"/>
      <c r="C5" s="383" t="s">
        <v>397</v>
      </c>
      <c r="D5" s="383" t="s">
        <v>398</v>
      </c>
      <c r="E5" s="383" t="s">
        <v>399</v>
      </c>
    </row>
    <row r="6" spans="1:5" ht="39.75" customHeight="1" x14ac:dyDescent="0.25">
      <c r="A6" s="3426"/>
      <c r="B6" s="3426"/>
      <c r="C6" s="383" t="s">
        <v>389</v>
      </c>
      <c r="D6" s="383" t="s">
        <v>390</v>
      </c>
      <c r="E6" s="383" t="s">
        <v>391</v>
      </c>
    </row>
    <row r="7" spans="1:5" ht="16.5" customHeight="1" x14ac:dyDescent="0.25">
      <c r="A7" s="383">
        <v>1</v>
      </c>
      <c r="B7" s="383">
        <v>2</v>
      </c>
      <c r="C7" s="383">
        <v>3</v>
      </c>
      <c r="D7" s="383">
        <v>4</v>
      </c>
      <c r="E7" s="383">
        <v>5</v>
      </c>
    </row>
    <row r="8" spans="1:5" ht="46.5" customHeight="1" x14ac:dyDescent="0.25">
      <c r="A8" s="384" t="s">
        <v>392</v>
      </c>
      <c r="B8" s="383">
        <v>100</v>
      </c>
      <c r="C8" s="385"/>
      <c r="D8" s="385"/>
      <c r="E8" s="385"/>
    </row>
    <row r="9" spans="1:5" ht="44.25" customHeight="1" x14ac:dyDescent="0.25">
      <c r="A9" s="384" t="s">
        <v>393</v>
      </c>
      <c r="B9" s="383">
        <v>200</v>
      </c>
      <c r="C9" s="385"/>
      <c r="D9" s="385"/>
      <c r="E9" s="385"/>
    </row>
    <row r="10" spans="1:5" ht="26.25" customHeight="1" x14ac:dyDescent="0.25">
      <c r="A10" s="384" t="s">
        <v>394</v>
      </c>
      <c r="B10" s="383">
        <v>300</v>
      </c>
      <c r="C10" s="385">
        <f>'б-т 991,992,911(01.01.20)-2020'!I32*1000</f>
        <v>24115000</v>
      </c>
      <c r="D10" s="385">
        <f>'б-т 991,992,911(01.01.20)-2021'!I32*1000</f>
        <v>24115000</v>
      </c>
      <c r="E10" s="385">
        <f>'б-т 991,992,911(01.01.20)-2022'!I32*1000</f>
        <v>24115000</v>
      </c>
    </row>
    <row r="11" spans="1:5" ht="46.5" customHeight="1" x14ac:dyDescent="0.25">
      <c r="A11" s="384" t="s">
        <v>395</v>
      </c>
      <c r="B11" s="383">
        <v>400</v>
      </c>
      <c r="C11" s="385"/>
      <c r="D11" s="385"/>
      <c r="E11" s="385"/>
    </row>
    <row r="12" spans="1:5" ht="49.5" customHeight="1" x14ac:dyDescent="0.25">
      <c r="A12" s="384" t="s">
        <v>396</v>
      </c>
      <c r="B12" s="383">
        <v>500</v>
      </c>
      <c r="C12" s="385"/>
      <c r="D12" s="385"/>
      <c r="E12" s="385"/>
    </row>
    <row r="13" spans="1:5" s="389" customFormat="1" ht="39.75" customHeight="1" x14ac:dyDescent="0.2">
      <c r="A13" s="386" t="s">
        <v>507</v>
      </c>
      <c r="B13" s="387">
        <v>600</v>
      </c>
      <c r="C13" s="388">
        <f>C8-C9+C10-C11+C12</f>
        <v>24115000</v>
      </c>
      <c r="D13" s="388">
        <f t="shared" ref="D13:E13" si="0">D8-D9+D10-D11+D12</f>
        <v>24115000</v>
      </c>
      <c r="E13" s="388">
        <f t="shared" si="0"/>
        <v>24115000</v>
      </c>
    </row>
  </sheetData>
  <mergeCells count="5">
    <mergeCell ref="A1:E1"/>
    <mergeCell ref="A2:E2"/>
    <mergeCell ref="A4:A6"/>
    <mergeCell ref="B4:B6"/>
    <mergeCell ref="C4:E4"/>
  </mergeCells>
  <pageMargins left="0.7" right="0.7" top="0.75" bottom="0.75" header="0.3" footer="0.3"/>
  <pageSetup paperSize="9" scale="7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00FFFF"/>
  </sheetPr>
  <dimension ref="A1:E13"/>
  <sheetViews>
    <sheetView view="pageBreakPreview" zoomScaleNormal="100" zoomScaleSheetLayoutView="100" workbookViewId="0">
      <selection activeCell="D17" sqref="D17"/>
    </sheetView>
  </sheetViews>
  <sheetFormatPr defaultRowHeight="15" x14ac:dyDescent="0.25"/>
  <cols>
    <col min="1" max="1" width="52.33203125" style="380" customWidth="1"/>
    <col min="2" max="2" width="9.6640625" style="380" customWidth="1"/>
    <col min="3" max="5" width="24.33203125" style="380" customWidth="1"/>
    <col min="6" max="16384" width="9.33203125" style="380"/>
  </cols>
  <sheetData>
    <row r="1" spans="1:5" ht="38.25" customHeight="1" x14ac:dyDescent="0.25">
      <c r="A1" s="3425" t="s">
        <v>2859</v>
      </c>
      <c r="B1" s="3425"/>
      <c r="C1" s="3425"/>
      <c r="D1" s="3425"/>
      <c r="E1" s="3425"/>
    </row>
    <row r="2" spans="1:5" ht="13.5" customHeight="1" x14ac:dyDescent="0.25">
      <c r="A2" s="381"/>
      <c r="B2" s="381"/>
      <c r="C2" s="381"/>
      <c r="D2" s="381"/>
      <c r="E2" s="382">
        <v>43831</v>
      </c>
    </row>
    <row r="3" spans="1:5" ht="21.75" customHeight="1" x14ac:dyDescent="0.25">
      <c r="A3" s="3427" t="s">
        <v>1442</v>
      </c>
      <c r="B3" s="3427"/>
      <c r="C3" s="3427"/>
      <c r="D3" s="3427"/>
      <c r="E3" s="3427"/>
    </row>
    <row r="4" spans="1:5" x14ac:dyDescent="0.25">
      <c r="A4" s="3426" t="s">
        <v>386</v>
      </c>
      <c r="B4" s="3426" t="s">
        <v>387</v>
      </c>
      <c r="C4" s="3426" t="s">
        <v>388</v>
      </c>
      <c r="D4" s="3426"/>
      <c r="E4" s="3426"/>
    </row>
    <row r="5" spans="1:5" x14ac:dyDescent="0.25">
      <c r="A5" s="3426"/>
      <c r="B5" s="3426"/>
      <c r="C5" s="383" t="s">
        <v>397</v>
      </c>
      <c r="D5" s="383" t="s">
        <v>398</v>
      </c>
      <c r="E5" s="383" t="s">
        <v>399</v>
      </c>
    </row>
    <row r="6" spans="1:5" ht="28.5" customHeight="1" x14ac:dyDescent="0.25">
      <c r="A6" s="3426"/>
      <c r="B6" s="3426"/>
      <c r="C6" s="383" t="s">
        <v>389</v>
      </c>
      <c r="D6" s="383" t="s">
        <v>390</v>
      </c>
      <c r="E6" s="383" t="s">
        <v>391</v>
      </c>
    </row>
    <row r="7" spans="1:5" x14ac:dyDescent="0.25">
      <c r="A7" s="383">
        <v>1</v>
      </c>
      <c r="B7" s="383">
        <v>2</v>
      </c>
      <c r="C7" s="383">
        <v>3</v>
      </c>
      <c r="D7" s="383">
        <v>4</v>
      </c>
      <c r="E7" s="383">
        <v>5</v>
      </c>
    </row>
    <row r="8" spans="1:5" ht="30" customHeight="1" x14ac:dyDescent="0.25">
      <c r="A8" s="384" t="s">
        <v>400</v>
      </c>
      <c r="B8" s="383">
        <v>100</v>
      </c>
      <c r="C8" s="385"/>
      <c r="D8" s="385"/>
      <c r="E8" s="385"/>
    </row>
    <row r="9" spans="1:5" ht="42" customHeight="1" x14ac:dyDescent="0.25">
      <c r="A9" s="384" t="s">
        <v>401</v>
      </c>
      <c r="B9" s="383">
        <v>200</v>
      </c>
      <c r="C9" s="385"/>
      <c r="D9" s="385"/>
      <c r="E9" s="385"/>
    </row>
    <row r="10" spans="1:5" ht="28.5" customHeight="1" x14ac:dyDescent="0.25">
      <c r="A10" s="384" t="s">
        <v>402</v>
      </c>
      <c r="B10" s="383">
        <v>300</v>
      </c>
      <c r="C10" s="385">
        <f>'б-т 991,992,911(01.01.20)-2020'!J32*1000</f>
        <v>7107600</v>
      </c>
      <c r="D10" s="385">
        <f>'б-т 991,992,911(01.01.20)-2021'!J32*1000</f>
        <v>7107600</v>
      </c>
      <c r="E10" s="385">
        <f>'б-т 991,992,911(01.01.20)-2022'!J32*1000</f>
        <v>7107600</v>
      </c>
    </row>
    <row r="11" spans="1:5" ht="33" customHeight="1" x14ac:dyDescent="0.25">
      <c r="A11" s="384" t="s">
        <v>403</v>
      </c>
      <c r="B11" s="383">
        <v>400</v>
      </c>
      <c r="C11" s="385"/>
      <c r="D11" s="385"/>
      <c r="E11" s="385"/>
    </row>
    <row r="12" spans="1:5" ht="42.75" customHeight="1" x14ac:dyDescent="0.25">
      <c r="A12" s="384" t="s">
        <v>404</v>
      </c>
      <c r="B12" s="383">
        <v>500</v>
      </c>
      <c r="C12" s="385"/>
      <c r="D12" s="385"/>
      <c r="E12" s="385"/>
    </row>
    <row r="13" spans="1:5" s="389" customFormat="1" ht="44.25" customHeight="1" x14ac:dyDescent="0.2">
      <c r="A13" s="386" t="s">
        <v>508</v>
      </c>
      <c r="B13" s="387">
        <v>600</v>
      </c>
      <c r="C13" s="388">
        <f>C8-C9+C10-C11+C12</f>
        <v>7107600</v>
      </c>
      <c r="D13" s="388">
        <f t="shared" ref="D13:E13" si="0">D8-D9+D10-D11+D12</f>
        <v>7107600</v>
      </c>
      <c r="E13" s="388">
        <f t="shared" si="0"/>
        <v>7107600</v>
      </c>
    </row>
  </sheetData>
  <mergeCells count="5">
    <mergeCell ref="A1:E1"/>
    <mergeCell ref="A3:E3"/>
    <mergeCell ref="A4:A6"/>
    <mergeCell ref="B4:B6"/>
    <mergeCell ref="C4:E4"/>
  </mergeCells>
  <pageMargins left="0.7" right="0.7" top="0.75" bottom="0.75" header="0.3" footer="0.3"/>
  <pageSetup paperSize="9" scale="6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S64"/>
  <sheetViews>
    <sheetView view="pageBreakPreview" zoomScale="80" zoomScaleNormal="70" zoomScaleSheetLayoutView="80" workbookViewId="0">
      <pane xSplit="3" ySplit="8" topLeftCell="D21" activePane="bottomRight" state="frozen"/>
      <selection activeCell="AM14" sqref="AM14"/>
      <selection pane="topRight" activeCell="AM14" sqref="AM14"/>
      <selection pane="bottomLeft" activeCell="AM14" sqref="AM14"/>
      <selection pane="bottomRight" activeCell="W22" sqref="W22"/>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7.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3196"/>
      <c r="AF1" s="3196"/>
      <c r="AG1" s="3196"/>
      <c r="AH1" s="3196"/>
    </row>
    <row r="2" spans="1:45" ht="24" customHeight="1" x14ac:dyDescent="0.2">
      <c r="A2" s="3197" t="s">
        <v>150</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1236"/>
    </row>
    <row r="4" spans="1:45" x14ac:dyDescent="0.2">
      <c r="L4" s="38">
        <v>0.71008499999999997</v>
      </c>
      <c r="M4" s="38"/>
      <c r="AH4" s="1778">
        <v>43831</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1239" t="s">
        <v>80</v>
      </c>
      <c r="O7" s="1239" t="s">
        <v>81</v>
      </c>
      <c r="P7" s="3204"/>
      <c r="Q7" s="3203"/>
      <c r="R7" s="3201"/>
      <c r="S7" s="3203" t="s">
        <v>67</v>
      </c>
      <c r="T7" s="3201"/>
      <c r="U7" s="3201"/>
      <c r="V7" s="3201"/>
      <c r="W7" s="3201"/>
      <c r="X7" s="1238" t="s">
        <v>5</v>
      </c>
      <c r="Y7" s="1238" t="s">
        <v>6</v>
      </c>
      <c r="Z7" s="1238" t="s">
        <v>74</v>
      </c>
      <c r="AA7" s="1238" t="s">
        <v>5</v>
      </c>
      <c r="AB7" s="1238" t="s">
        <v>6</v>
      </c>
      <c r="AC7" s="1238" t="s">
        <v>75</v>
      </c>
      <c r="AD7" s="1238" t="s">
        <v>5</v>
      </c>
      <c r="AE7" s="1238" t="s">
        <v>6</v>
      </c>
      <c r="AF7" s="1238" t="s">
        <v>76</v>
      </c>
      <c r="AG7" s="3200"/>
      <c r="AH7" s="3200"/>
      <c r="AK7" s="99" t="s">
        <v>64</v>
      </c>
      <c r="AL7" s="99" t="s">
        <v>62</v>
      </c>
      <c r="AM7" s="99" t="s">
        <v>63</v>
      </c>
    </row>
    <row r="8" spans="1:45" ht="18" customHeight="1" x14ac:dyDescent="0.2">
      <c r="A8" s="1237">
        <v>1</v>
      </c>
      <c r="B8" s="1237">
        <v>2</v>
      </c>
      <c r="C8" s="1237">
        <v>3</v>
      </c>
      <c r="D8" s="1237">
        <v>4</v>
      </c>
      <c r="E8" s="1237">
        <v>5</v>
      </c>
      <c r="F8" s="1237">
        <v>6</v>
      </c>
      <c r="G8" s="1237">
        <v>7</v>
      </c>
      <c r="H8" s="1237">
        <v>8</v>
      </c>
      <c r="I8" s="1237">
        <v>9</v>
      </c>
      <c r="J8" s="1237">
        <v>10</v>
      </c>
      <c r="K8" s="1237">
        <v>11</v>
      </c>
      <c r="L8" s="1237">
        <v>12</v>
      </c>
      <c r="M8" s="1237">
        <v>13</v>
      </c>
      <c r="N8" s="1237">
        <v>14</v>
      </c>
      <c r="O8" s="1237">
        <v>15</v>
      </c>
      <c r="P8" s="1237">
        <v>16</v>
      </c>
      <c r="Q8" s="1237">
        <v>17</v>
      </c>
      <c r="R8" s="1237">
        <v>18</v>
      </c>
      <c r="S8" s="1237">
        <v>19</v>
      </c>
      <c r="T8" s="1237">
        <v>20</v>
      </c>
      <c r="U8" s="1237">
        <v>21</v>
      </c>
      <c r="V8" s="1237">
        <v>22</v>
      </c>
      <c r="W8" s="1237">
        <v>23</v>
      </c>
      <c r="X8" s="1237">
        <v>24</v>
      </c>
      <c r="Y8" s="1237">
        <v>25</v>
      </c>
      <c r="Z8" s="1237">
        <v>26</v>
      </c>
      <c r="AA8" s="1237">
        <v>27</v>
      </c>
      <c r="AB8" s="1237">
        <v>28</v>
      </c>
      <c r="AC8" s="1237">
        <v>29</v>
      </c>
      <c r="AD8" s="1237">
        <v>30</v>
      </c>
      <c r="AE8" s="1237">
        <v>31</v>
      </c>
      <c r="AF8" s="1237">
        <v>32</v>
      </c>
      <c r="AG8" s="1237">
        <v>33</v>
      </c>
      <c r="AH8" s="1237">
        <v>34</v>
      </c>
      <c r="AN8" s="212" t="s">
        <v>116</v>
      </c>
      <c r="AO8" s="212" t="s">
        <v>117</v>
      </c>
      <c r="AP8" s="212" t="s">
        <v>118</v>
      </c>
      <c r="AQ8" s="212" t="s">
        <v>119</v>
      </c>
    </row>
    <row r="9" spans="1:45" ht="16.5" customHeight="1" x14ac:dyDescent="0.2">
      <c r="A9" s="1237">
        <v>1</v>
      </c>
      <c r="B9" s="236" t="s">
        <v>14</v>
      </c>
      <c r="C9" s="259">
        <v>1</v>
      </c>
      <c r="D9" s="237">
        <v>26.984999999999999</v>
      </c>
      <c r="E9" s="260">
        <f t="shared" ref="E9:E27" si="0">C9*D9</f>
        <v>26.99</v>
      </c>
      <c r="F9" s="185">
        <f t="shared" ref="F9:F27" si="1">E9*12</f>
        <v>323.89999999999998</v>
      </c>
      <c r="G9" s="95"/>
      <c r="H9" s="95"/>
      <c r="I9" s="95"/>
      <c r="J9" s="95"/>
      <c r="K9" s="95"/>
      <c r="L9" s="95">
        <f>F9*$L$4</f>
        <v>230</v>
      </c>
      <c r="M9" s="95">
        <f t="shared" ref="M9:M27" si="2">F9+G9+H9+I9+J9+K9+L9</f>
        <v>553.9</v>
      </c>
      <c r="N9" s="111">
        <v>0.47</v>
      </c>
      <c r="O9" s="95">
        <f t="shared" ref="O9:O27" si="3">M9*N9</f>
        <v>260.3</v>
      </c>
      <c r="P9" s="95">
        <f t="shared" ref="P9:P27" si="4">M9+O9</f>
        <v>814.2</v>
      </c>
      <c r="Q9" s="95">
        <f t="shared" ref="Q9:Q27" si="5">P9*0.8</f>
        <v>651.4</v>
      </c>
      <c r="R9" s="95">
        <f t="shared" ref="R9:R27" si="6">P9*0.8</f>
        <v>651.4</v>
      </c>
      <c r="S9" s="95">
        <f t="shared" ref="S9:S27" si="7">(P9+Q9+R9)*0.032</f>
        <v>67.7</v>
      </c>
      <c r="T9" s="95">
        <f t="shared" ref="T9:T27" si="8">P9+Q9+R9+S9</f>
        <v>2184.6999999999998</v>
      </c>
      <c r="U9" s="3429">
        <v>1</v>
      </c>
      <c r="V9" s="95">
        <f t="shared" ref="V9:V26" si="9">T9*$U$9</f>
        <v>2184.6999999999998</v>
      </c>
      <c r="W9" s="95">
        <f>AQ9+114.8</f>
        <v>612.20000000000005</v>
      </c>
      <c r="X9" s="1237">
        <v>1</v>
      </c>
      <c r="Y9" s="112">
        <v>30</v>
      </c>
      <c r="Z9" s="113">
        <f t="shared" ref="Z9:Z27" si="10">X9*Y9</f>
        <v>30</v>
      </c>
      <c r="AA9" s="1237"/>
      <c r="AB9" s="112">
        <v>15</v>
      </c>
      <c r="AC9" s="113">
        <f t="shared" ref="AC9:AC27" si="11">AA9*AB9</f>
        <v>0</v>
      </c>
      <c r="AD9" s="1237"/>
      <c r="AE9" s="112">
        <v>30</v>
      </c>
      <c r="AF9" s="113">
        <f t="shared" ref="AF9:AF27" si="12">AD9*AE9</f>
        <v>0</v>
      </c>
      <c r="AG9" s="113">
        <f t="shared" ref="AG9:AG27" si="13">(Z9+AC9+AF9)*1%*30</f>
        <v>9</v>
      </c>
      <c r="AH9" s="113">
        <f t="shared" ref="AH9:AH27" si="14">Z9+AC9+AF9+AG9</f>
        <v>39</v>
      </c>
      <c r="AI9" s="131">
        <f t="shared" ref="AI9:AI23" si="15">V9/12/C9*1000</f>
        <v>182058.33</v>
      </c>
      <c r="AK9" s="114">
        <f t="shared" ref="AK9:AK23" si="16">V9/C9</f>
        <v>2184.6999999999998</v>
      </c>
      <c r="AL9" s="114">
        <f>((979*0.302)+((AK9-979)*0.182))</f>
        <v>515.1</v>
      </c>
      <c r="AM9" s="115">
        <f>AL9/AK9</f>
        <v>0.23599999999999999</v>
      </c>
      <c r="AN9" s="50">
        <f>1150*0.22+(AK9-1150)*0.1</f>
        <v>356.5</v>
      </c>
      <c r="AO9" s="50">
        <f>865*0.029</f>
        <v>25.1</v>
      </c>
      <c r="AP9" s="50">
        <f>AK9*0.053</f>
        <v>115.8</v>
      </c>
      <c r="AQ9" s="50">
        <f>SUM(AN9:AP9)*C9</f>
        <v>497.4</v>
      </c>
      <c r="AS9" s="99">
        <f t="shared" ref="AS9:AS27" si="17">D9*1.5</f>
        <v>40.477499999999999</v>
      </c>
    </row>
    <row r="10" spans="1:45" x14ac:dyDescent="0.2">
      <c r="A10" s="1237">
        <v>2</v>
      </c>
      <c r="B10" s="236" t="s">
        <v>127</v>
      </c>
      <c r="C10" s="259">
        <v>2</v>
      </c>
      <c r="D10" s="237">
        <v>18.89</v>
      </c>
      <c r="E10" s="260">
        <f t="shared" si="0"/>
        <v>37.78</v>
      </c>
      <c r="F10" s="185">
        <f t="shared" si="1"/>
        <v>453.4</v>
      </c>
      <c r="G10" s="95"/>
      <c r="H10" s="95">
        <f>7.062+7.945</f>
        <v>15</v>
      </c>
      <c r="I10" s="95"/>
      <c r="J10" s="95"/>
      <c r="K10" s="95">
        <f>(D10*0.4+D10*0.2)*12</f>
        <v>136</v>
      </c>
      <c r="L10" s="95">
        <f t="shared" ref="L10:L25" si="18">F10*$L$4</f>
        <v>322</v>
      </c>
      <c r="M10" s="95">
        <f t="shared" si="2"/>
        <v>926.4</v>
      </c>
      <c r="N10" s="111">
        <v>0.47</v>
      </c>
      <c r="O10" s="95">
        <f t="shared" si="3"/>
        <v>435.4</v>
      </c>
      <c r="P10" s="95">
        <f t="shared" si="4"/>
        <v>1361.8</v>
      </c>
      <c r="Q10" s="95">
        <f t="shared" si="5"/>
        <v>1089.4000000000001</v>
      </c>
      <c r="R10" s="95">
        <f t="shared" si="6"/>
        <v>1089.4000000000001</v>
      </c>
      <c r="S10" s="95">
        <f t="shared" si="7"/>
        <v>113.3</v>
      </c>
      <c r="T10" s="95">
        <f t="shared" si="8"/>
        <v>3653.9</v>
      </c>
      <c r="U10" s="3430"/>
      <c r="V10" s="95">
        <f t="shared" si="9"/>
        <v>3653.9</v>
      </c>
      <c r="W10" s="95">
        <f>AQ10+100</f>
        <v>985.2</v>
      </c>
      <c r="X10" s="1237"/>
      <c r="Y10" s="112">
        <v>30</v>
      </c>
      <c r="Z10" s="113">
        <f t="shared" si="10"/>
        <v>0</v>
      </c>
      <c r="AA10" s="1237"/>
      <c r="AB10" s="112">
        <v>15</v>
      </c>
      <c r="AC10" s="113">
        <f t="shared" si="11"/>
        <v>0</v>
      </c>
      <c r="AD10" s="1237"/>
      <c r="AE10" s="112">
        <v>30</v>
      </c>
      <c r="AF10" s="113">
        <f t="shared" si="12"/>
        <v>0</v>
      </c>
      <c r="AG10" s="113">
        <f t="shared" si="13"/>
        <v>0</v>
      </c>
      <c r="AH10" s="113">
        <f t="shared" si="14"/>
        <v>0</v>
      </c>
      <c r="AI10" s="131">
        <f t="shared" si="15"/>
        <v>152245.82999999999</v>
      </c>
      <c r="AK10" s="114">
        <f t="shared" si="16"/>
        <v>1827</v>
      </c>
      <c r="AL10" s="114">
        <f t="shared" ref="AL10:AL27" si="19">((979*0.302)+((AK10-979)*0.182))</f>
        <v>450</v>
      </c>
      <c r="AM10" s="115">
        <f>AL10/AK10</f>
        <v>0.246</v>
      </c>
      <c r="AN10" s="50">
        <f>1150*0.22+(AK10-1150)*0.1</f>
        <v>320.7</v>
      </c>
      <c r="AO10" s="50">
        <f>865*0.029</f>
        <v>25.1</v>
      </c>
      <c r="AP10" s="50">
        <f>AK10*0.053</f>
        <v>96.8</v>
      </c>
      <c r="AQ10" s="50">
        <f>SUM(AN10:AP10)*C10</f>
        <v>885.2</v>
      </c>
      <c r="AS10" s="99">
        <f t="shared" si="17"/>
        <v>28.335000000000001</v>
      </c>
    </row>
    <row r="11" spans="1:45" ht="15.75" customHeight="1" x14ac:dyDescent="0.2">
      <c r="A11" s="1237">
        <v>3</v>
      </c>
      <c r="B11" s="261" t="s">
        <v>23</v>
      </c>
      <c r="C11" s="262">
        <v>4</v>
      </c>
      <c r="D11" s="237">
        <v>11.538</v>
      </c>
      <c r="E11" s="111">
        <f t="shared" si="0"/>
        <v>46.15</v>
      </c>
      <c r="F11" s="95">
        <f t="shared" si="1"/>
        <v>553.79999999999995</v>
      </c>
      <c r="G11" s="95"/>
      <c r="H11" s="95">
        <f>2.757+7.01+7.01+7.789</f>
        <v>24.6</v>
      </c>
      <c r="I11" s="95"/>
      <c r="J11" s="95"/>
      <c r="K11" s="95">
        <f>(D11*0.4*3+D11*0.25)*12</f>
        <v>200.8</v>
      </c>
      <c r="L11" s="95">
        <f t="shared" si="18"/>
        <v>393.2</v>
      </c>
      <c r="M11" s="95">
        <f t="shared" si="2"/>
        <v>1172.4000000000001</v>
      </c>
      <c r="N11" s="111">
        <v>0.43</v>
      </c>
      <c r="O11" s="95">
        <f t="shared" si="3"/>
        <v>504.1</v>
      </c>
      <c r="P11" s="95">
        <f t="shared" si="4"/>
        <v>1676.5</v>
      </c>
      <c r="Q11" s="95">
        <f t="shared" si="5"/>
        <v>1341.2</v>
      </c>
      <c r="R11" s="95">
        <f t="shared" si="6"/>
        <v>1341.2</v>
      </c>
      <c r="S11" s="95">
        <f t="shared" si="7"/>
        <v>139.5</v>
      </c>
      <c r="T11" s="95">
        <f t="shared" si="8"/>
        <v>4498.3999999999996</v>
      </c>
      <c r="U11" s="3430"/>
      <c r="V11" s="95">
        <f>T11*$U$9</f>
        <v>4498.3999999999996</v>
      </c>
      <c r="W11" s="95">
        <f>V11*0.302</f>
        <v>1358.5</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93716.67</v>
      </c>
      <c r="AK11" s="114">
        <f t="shared" si="16"/>
        <v>1124.5999999999999</v>
      </c>
      <c r="AL11" s="114">
        <f t="shared" si="19"/>
        <v>322.2</v>
      </c>
      <c r="AM11" s="115">
        <v>0.30199999999999999</v>
      </c>
      <c r="AN11" s="50"/>
      <c r="AO11" s="50"/>
      <c r="AP11" s="50"/>
      <c r="AQ11" s="50"/>
      <c r="AS11" s="99">
        <f t="shared" si="17"/>
        <v>17.306999999999999</v>
      </c>
    </row>
    <row r="12" spans="1:45" x14ac:dyDescent="0.2">
      <c r="A12" s="1237">
        <v>4</v>
      </c>
      <c r="B12" s="261" t="s">
        <v>47</v>
      </c>
      <c r="C12" s="262">
        <v>1</v>
      </c>
      <c r="D12" s="237">
        <v>6.556</v>
      </c>
      <c r="E12" s="111">
        <f t="shared" si="0"/>
        <v>6.56</v>
      </c>
      <c r="F12" s="95">
        <f t="shared" si="1"/>
        <v>78.7</v>
      </c>
      <c r="G12" s="95"/>
      <c r="H12" s="95">
        <f>3064.3/1000</f>
        <v>3.1</v>
      </c>
      <c r="I12" s="95"/>
      <c r="J12" s="95"/>
      <c r="K12" s="95">
        <f>F12*0.25</f>
        <v>19.7</v>
      </c>
      <c r="L12" s="95">
        <f t="shared" si="18"/>
        <v>55.9</v>
      </c>
      <c r="M12" s="95">
        <f t="shared" si="2"/>
        <v>157.4</v>
      </c>
      <c r="N12" s="111">
        <v>0.45</v>
      </c>
      <c r="O12" s="95">
        <f t="shared" si="3"/>
        <v>70.8</v>
      </c>
      <c r="P12" s="95">
        <f t="shared" si="4"/>
        <v>228.2</v>
      </c>
      <c r="Q12" s="95">
        <f t="shared" si="5"/>
        <v>182.6</v>
      </c>
      <c r="R12" s="95">
        <f t="shared" si="6"/>
        <v>182.6</v>
      </c>
      <c r="S12" s="95">
        <f t="shared" si="7"/>
        <v>19</v>
      </c>
      <c r="T12" s="95">
        <f t="shared" si="8"/>
        <v>612.4</v>
      </c>
      <c r="U12" s="3430"/>
      <c r="V12" s="95">
        <f t="shared" si="9"/>
        <v>612.4</v>
      </c>
      <c r="W12" s="95">
        <f t="shared" ref="W12:W27" si="20">V12*0.302</f>
        <v>184.9</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51033.33</v>
      </c>
      <c r="AK12" s="114">
        <f t="shared" si="16"/>
        <v>612.4</v>
      </c>
      <c r="AL12" s="114">
        <f t="shared" si="19"/>
        <v>228.9</v>
      </c>
      <c r="AM12" s="115">
        <v>0.30199999999999999</v>
      </c>
      <c r="AO12" s="50"/>
      <c r="AP12" s="50"/>
      <c r="AQ12" s="50"/>
      <c r="AS12" s="99">
        <f t="shared" si="17"/>
        <v>9.8339999999999996</v>
      </c>
    </row>
    <row r="13" spans="1:45" x14ac:dyDescent="0.2">
      <c r="A13" s="1237">
        <v>5</v>
      </c>
      <c r="B13" s="236" t="s">
        <v>15</v>
      </c>
      <c r="C13" s="262">
        <v>1</v>
      </c>
      <c r="D13" s="237">
        <v>11.538</v>
      </c>
      <c r="E13" s="111">
        <f t="shared" si="0"/>
        <v>11.54</v>
      </c>
      <c r="F13" s="95">
        <f t="shared" si="1"/>
        <v>138.5</v>
      </c>
      <c r="G13" s="95"/>
      <c r="H13" s="95"/>
      <c r="I13" s="95"/>
      <c r="J13" s="95"/>
      <c r="K13" s="95">
        <f>D11*0.25*4.6+D11*0.3*7.4</f>
        <v>38.9</v>
      </c>
      <c r="L13" s="95">
        <f t="shared" si="18"/>
        <v>98.3</v>
      </c>
      <c r="M13" s="95">
        <f t="shared" si="2"/>
        <v>275.7</v>
      </c>
      <c r="N13" s="111">
        <v>0.43</v>
      </c>
      <c r="O13" s="95">
        <f t="shared" si="3"/>
        <v>118.6</v>
      </c>
      <c r="P13" s="95">
        <f t="shared" si="4"/>
        <v>394.3</v>
      </c>
      <c r="Q13" s="95">
        <f t="shared" si="5"/>
        <v>315.39999999999998</v>
      </c>
      <c r="R13" s="95">
        <f t="shared" si="6"/>
        <v>315.39999999999998</v>
      </c>
      <c r="S13" s="95">
        <f t="shared" si="7"/>
        <v>32.799999999999997</v>
      </c>
      <c r="T13" s="95">
        <f t="shared" si="8"/>
        <v>1057.9000000000001</v>
      </c>
      <c r="U13" s="3430"/>
      <c r="V13" s="95">
        <f t="shared" si="9"/>
        <v>1057.9000000000001</v>
      </c>
      <c r="W13" s="95">
        <f t="shared" si="20"/>
        <v>319.5</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88158.33</v>
      </c>
      <c r="AK13" s="114">
        <f t="shared" si="16"/>
        <v>1057.9000000000001</v>
      </c>
      <c r="AL13" s="114">
        <f t="shared" si="19"/>
        <v>310</v>
      </c>
      <c r="AM13" s="115">
        <v>0.30199999999999999</v>
      </c>
      <c r="AN13" s="50"/>
      <c r="AO13" s="50"/>
      <c r="AP13" s="50"/>
      <c r="AQ13" s="50"/>
      <c r="AS13" s="99">
        <f t="shared" si="17"/>
        <v>17.306999999999999</v>
      </c>
    </row>
    <row r="14" spans="1:45" s="245" customFormat="1" x14ac:dyDescent="0.2">
      <c r="A14" s="1237">
        <v>6</v>
      </c>
      <c r="B14" s="261" t="s">
        <v>48</v>
      </c>
      <c r="C14" s="262">
        <v>1</v>
      </c>
      <c r="D14" s="237">
        <v>11.538</v>
      </c>
      <c r="E14" s="249">
        <f t="shared" si="0"/>
        <v>11.54</v>
      </c>
      <c r="F14" s="248">
        <f t="shared" si="1"/>
        <v>138.5</v>
      </c>
      <c r="G14" s="248"/>
      <c r="H14" s="248">
        <v>7</v>
      </c>
      <c r="I14" s="248"/>
      <c r="J14" s="248"/>
      <c r="K14" s="248">
        <f>F14*0.4</f>
        <v>55.4</v>
      </c>
      <c r="L14" s="95">
        <f t="shared" si="18"/>
        <v>98.3</v>
      </c>
      <c r="M14" s="248">
        <f t="shared" si="2"/>
        <v>299.2</v>
      </c>
      <c r="N14" s="111">
        <v>0.47</v>
      </c>
      <c r="O14" s="248">
        <f t="shared" si="3"/>
        <v>140.6</v>
      </c>
      <c r="P14" s="248">
        <f t="shared" si="4"/>
        <v>439.8</v>
      </c>
      <c r="Q14" s="248">
        <f t="shared" si="5"/>
        <v>351.8</v>
      </c>
      <c r="R14" s="248">
        <f t="shared" si="6"/>
        <v>351.8</v>
      </c>
      <c r="S14" s="248">
        <f t="shared" si="7"/>
        <v>36.6</v>
      </c>
      <c r="T14" s="248">
        <f t="shared" si="8"/>
        <v>1180</v>
      </c>
      <c r="U14" s="3430"/>
      <c r="V14" s="248">
        <f t="shared" si="9"/>
        <v>1180</v>
      </c>
      <c r="W14" s="95">
        <f>AQ14</f>
        <v>347.2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98333.33</v>
      </c>
      <c r="AK14" s="114">
        <f t="shared" si="16"/>
        <v>1180</v>
      </c>
      <c r="AL14" s="114">
        <f t="shared" si="19"/>
        <v>332.2</v>
      </c>
      <c r="AM14" s="115">
        <v>0.30199999999999999</v>
      </c>
      <c r="AN14" s="50">
        <f>AK14*0.22</f>
        <v>259.60000000000002</v>
      </c>
      <c r="AO14" s="50">
        <f>865*0.029</f>
        <v>25.1</v>
      </c>
      <c r="AP14" s="50">
        <f>AK14*0.053</f>
        <v>62.5</v>
      </c>
      <c r="AQ14" s="50">
        <f>SUM(AN14:AP14)*C14</f>
        <v>347.2</v>
      </c>
      <c r="AS14" s="99">
        <f t="shared" si="17"/>
        <v>17.306999999999999</v>
      </c>
    </row>
    <row r="15" spans="1:45" x14ac:dyDescent="0.2">
      <c r="A15" s="1237">
        <v>7</v>
      </c>
      <c r="B15" s="236" t="s">
        <v>49</v>
      </c>
      <c r="C15" s="259">
        <v>1</v>
      </c>
      <c r="D15" s="237">
        <v>8.8369999999999997</v>
      </c>
      <c r="E15" s="111">
        <f t="shared" si="0"/>
        <v>8.84</v>
      </c>
      <c r="F15" s="95">
        <f t="shared" si="1"/>
        <v>106.1</v>
      </c>
      <c r="G15" s="95"/>
      <c r="H15" s="95">
        <v>6</v>
      </c>
      <c r="I15" s="95"/>
      <c r="J15" s="95"/>
      <c r="K15" s="95">
        <f>F15*0.2</f>
        <v>21.2</v>
      </c>
      <c r="L15" s="95">
        <f t="shared" si="18"/>
        <v>75.3</v>
      </c>
      <c r="M15" s="95">
        <f t="shared" si="2"/>
        <v>208.6</v>
      </c>
      <c r="N15" s="111">
        <v>0.41</v>
      </c>
      <c r="O15" s="95">
        <f t="shared" si="3"/>
        <v>85.5</v>
      </c>
      <c r="P15" s="95">
        <f t="shared" si="4"/>
        <v>294.10000000000002</v>
      </c>
      <c r="Q15" s="95">
        <f t="shared" si="5"/>
        <v>235.3</v>
      </c>
      <c r="R15" s="95">
        <f t="shared" si="6"/>
        <v>235.3</v>
      </c>
      <c r="S15" s="95">
        <f t="shared" si="7"/>
        <v>24.5</v>
      </c>
      <c r="T15" s="95">
        <f t="shared" si="8"/>
        <v>789.2</v>
      </c>
      <c r="U15" s="3430"/>
      <c r="V15" s="95">
        <f t="shared" si="9"/>
        <v>789.2</v>
      </c>
      <c r="W15" s="95">
        <f t="shared" si="20"/>
        <v>238.3</v>
      </c>
      <c r="X15" s="1237"/>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65766.67</v>
      </c>
      <c r="AK15" s="114">
        <f t="shared" si="16"/>
        <v>789.2</v>
      </c>
      <c r="AL15" s="114">
        <f t="shared" si="19"/>
        <v>261.10000000000002</v>
      </c>
      <c r="AM15" s="115">
        <v>0.30199999999999999</v>
      </c>
      <c r="AO15" s="50"/>
      <c r="AP15" s="50"/>
      <c r="AQ15" s="50"/>
      <c r="AS15" s="99">
        <f t="shared" si="17"/>
        <v>13.2555</v>
      </c>
    </row>
    <row r="16" spans="1:45" x14ac:dyDescent="0.2">
      <c r="A16" s="1237">
        <v>8</v>
      </c>
      <c r="B16" s="236" t="s">
        <v>59</v>
      </c>
      <c r="C16" s="259">
        <v>1</v>
      </c>
      <c r="D16" s="237">
        <v>8.8369999999999997</v>
      </c>
      <c r="E16" s="111">
        <f t="shared" si="0"/>
        <v>8.84</v>
      </c>
      <c r="F16" s="95">
        <f t="shared" si="1"/>
        <v>106.1</v>
      </c>
      <c r="G16" s="95"/>
      <c r="H16" s="95">
        <v>5.4</v>
      </c>
      <c r="I16" s="95"/>
      <c r="J16" s="95"/>
      <c r="K16" s="95">
        <f>F16*0.4</f>
        <v>42.4</v>
      </c>
      <c r="L16" s="95">
        <f t="shared" si="18"/>
        <v>75.3</v>
      </c>
      <c r="M16" s="95">
        <f t="shared" si="2"/>
        <v>229.2</v>
      </c>
      <c r="N16" s="111">
        <v>0.41</v>
      </c>
      <c r="O16" s="95">
        <f t="shared" si="3"/>
        <v>94</v>
      </c>
      <c r="P16" s="95">
        <f t="shared" si="4"/>
        <v>323.2</v>
      </c>
      <c r="Q16" s="95">
        <f t="shared" si="5"/>
        <v>258.60000000000002</v>
      </c>
      <c r="R16" s="95">
        <f t="shared" si="6"/>
        <v>258.60000000000002</v>
      </c>
      <c r="S16" s="95">
        <f t="shared" si="7"/>
        <v>26.9</v>
      </c>
      <c r="T16" s="95">
        <f t="shared" si="8"/>
        <v>867.3</v>
      </c>
      <c r="U16" s="3430"/>
      <c r="V16" s="95">
        <f t="shared" si="9"/>
        <v>867.3</v>
      </c>
      <c r="W16" s="95">
        <f t="shared" si="20"/>
        <v>261.89999999999998</v>
      </c>
      <c r="X16" s="1237"/>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72275</v>
      </c>
      <c r="AK16" s="114">
        <f t="shared" si="16"/>
        <v>867.3</v>
      </c>
      <c r="AL16" s="114">
        <f t="shared" si="19"/>
        <v>275.3</v>
      </c>
      <c r="AM16" s="115">
        <v>0.30199999999999999</v>
      </c>
      <c r="AN16" s="50"/>
      <c r="AO16" s="50"/>
      <c r="AP16" s="50"/>
      <c r="AQ16" s="50"/>
      <c r="AS16" s="99">
        <f t="shared" si="17"/>
        <v>13.2555</v>
      </c>
    </row>
    <row r="17" spans="1:45" x14ac:dyDescent="0.2">
      <c r="A17" s="1237">
        <v>9</v>
      </c>
      <c r="B17" s="261" t="s">
        <v>40</v>
      </c>
      <c r="C17" s="259">
        <v>1</v>
      </c>
      <c r="D17" s="237">
        <v>11.538</v>
      </c>
      <c r="E17" s="111">
        <f t="shared" si="0"/>
        <v>11.54</v>
      </c>
      <c r="F17" s="95">
        <f t="shared" si="1"/>
        <v>138.5</v>
      </c>
      <c r="G17" s="95"/>
      <c r="H17" s="95">
        <f>5392.4/1000</f>
        <v>5.4</v>
      </c>
      <c r="I17" s="95"/>
      <c r="J17" s="95"/>
      <c r="K17" s="95"/>
      <c r="L17" s="95">
        <f t="shared" si="18"/>
        <v>98.3</v>
      </c>
      <c r="M17" s="95">
        <f t="shared" si="2"/>
        <v>242.2</v>
      </c>
      <c r="N17" s="111">
        <v>0.43</v>
      </c>
      <c r="O17" s="95">
        <f t="shared" si="3"/>
        <v>104.1</v>
      </c>
      <c r="P17" s="95">
        <f t="shared" si="4"/>
        <v>346.3</v>
      </c>
      <c r="Q17" s="95">
        <f t="shared" si="5"/>
        <v>277</v>
      </c>
      <c r="R17" s="95">
        <f t="shared" si="6"/>
        <v>277</v>
      </c>
      <c r="S17" s="95">
        <f t="shared" si="7"/>
        <v>28.8</v>
      </c>
      <c r="T17" s="95">
        <f t="shared" si="8"/>
        <v>929.1</v>
      </c>
      <c r="U17" s="3430"/>
      <c r="V17" s="95">
        <f t="shared" si="9"/>
        <v>929.1</v>
      </c>
      <c r="W17" s="95">
        <f t="shared" si="20"/>
        <v>280.60000000000002</v>
      </c>
      <c r="X17" s="1237"/>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77425</v>
      </c>
      <c r="AK17" s="114">
        <f t="shared" si="16"/>
        <v>929.1</v>
      </c>
      <c r="AL17" s="114">
        <f t="shared" si="19"/>
        <v>286.60000000000002</v>
      </c>
      <c r="AM17" s="115">
        <v>0.30199999999999999</v>
      </c>
      <c r="AN17" s="50"/>
      <c r="AO17" s="50"/>
      <c r="AP17" s="50"/>
      <c r="AQ17" s="50"/>
      <c r="AS17" s="99">
        <f t="shared" si="17"/>
        <v>17.306999999999999</v>
      </c>
    </row>
    <row r="18" spans="1:45" x14ac:dyDescent="0.2">
      <c r="A18" s="1237">
        <v>10</v>
      </c>
      <c r="B18" s="261" t="s">
        <v>29</v>
      </c>
      <c r="C18" s="259">
        <v>2</v>
      </c>
      <c r="D18" s="237">
        <v>8.8369999999999997</v>
      </c>
      <c r="E18" s="111">
        <f t="shared" si="0"/>
        <v>17.670000000000002</v>
      </c>
      <c r="F18" s="95">
        <f t="shared" si="1"/>
        <v>212</v>
      </c>
      <c r="G18" s="95"/>
      <c r="H18" s="95">
        <f>2065.2/1000</f>
        <v>2.1</v>
      </c>
      <c r="I18" s="95"/>
      <c r="J18" s="95"/>
      <c r="K18" s="95">
        <f>(D18*0.25+D18*0.3)*12</f>
        <v>58.3</v>
      </c>
      <c r="L18" s="95">
        <f t="shared" si="18"/>
        <v>150.5</v>
      </c>
      <c r="M18" s="95">
        <f t="shared" si="2"/>
        <v>422.9</v>
      </c>
      <c r="N18" s="111">
        <v>0.41</v>
      </c>
      <c r="O18" s="95">
        <f t="shared" si="3"/>
        <v>173.4</v>
      </c>
      <c r="P18" s="95">
        <f t="shared" si="4"/>
        <v>596.29999999999995</v>
      </c>
      <c r="Q18" s="95">
        <f t="shared" si="5"/>
        <v>477</v>
      </c>
      <c r="R18" s="95">
        <f t="shared" si="6"/>
        <v>477</v>
      </c>
      <c r="S18" s="95">
        <f t="shared" si="7"/>
        <v>49.6</v>
      </c>
      <c r="T18" s="95">
        <f t="shared" si="8"/>
        <v>1599.9</v>
      </c>
      <c r="U18" s="3430"/>
      <c r="V18" s="95">
        <f t="shared" si="9"/>
        <v>1599.9</v>
      </c>
      <c r="W18" s="95">
        <f t="shared" si="20"/>
        <v>483.2</v>
      </c>
      <c r="X18" s="1237"/>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66662.5</v>
      </c>
      <c r="AK18" s="114">
        <f t="shared" si="16"/>
        <v>800</v>
      </c>
      <c r="AL18" s="114">
        <f t="shared" si="19"/>
        <v>263.10000000000002</v>
      </c>
      <c r="AM18" s="115">
        <v>0.30199999999999999</v>
      </c>
      <c r="AN18" s="263"/>
      <c r="AO18" s="263"/>
      <c r="AP18" s="263"/>
      <c r="AS18" s="99">
        <f t="shared" si="17"/>
        <v>13.2555</v>
      </c>
    </row>
    <row r="19" spans="1:45" x14ac:dyDescent="0.2">
      <c r="A19" s="1237">
        <v>11</v>
      </c>
      <c r="B19" s="261" t="s">
        <v>58</v>
      </c>
      <c r="C19" s="259">
        <v>1</v>
      </c>
      <c r="D19" s="237">
        <v>11.538</v>
      </c>
      <c r="E19" s="111">
        <f t="shared" si="0"/>
        <v>11.54</v>
      </c>
      <c r="F19" s="95">
        <f t="shared" si="1"/>
        <v>138.5</v>
      </c>
      <c r="G19" s="95"/>
      <c r="H19" s="95">
        <f>5392.4/1000</f>
        <v>5.4</v>
      </c>
      <c r="I19" s="95"/>
      <c r="J19" s="95"/>
      <c r="K19" s="95">
        <f>F19*0.4</f>
        <v>55.4</v>
      </c>
      <c r="L19" s="95">
        <f t="shared" si="18"/>
        <v>98.3</v>
      </c>
      <c r="M19" s="95">
        <f t="shared" si="2"/>
        <v>297.60000000000002</v>
      </c>
      <c r="N19" s="111">
        <v>0.43</v>
      </c>
      <c r="O19" s="95">
        <f t="shared" si="3"/>
        <v>128</v>
      </c>
      <c r="P19" s="95">
        <f t="shared" si="4"/>
        <v>425.6</v>
      </c>
      <c r="Q19" s="95">
        <f t="shared" si="5"/>
        <v>340.5</v>
      </c>
      <c r="R19" s="95">
        <f t="shared" si="6"/>
        <v>340.5</v>
      </c>
      <c r="S19" s="95">
        <f t="shared" si="7"/>
        <v>35.4</v>
      </c>
      <c r="T19" s="95">
        <f t="shared" si="8"/>
        <v>1142</v>
      </c>
      <c r="U19" s="3430"/>
      <c r="V19" s="95">
        <f t="shared" si="9"/>
        <v>1142</v>
      </c>
      <c r="W19" s="95">
        <f t="shared" si="20"/>
        <v>344.9</v>
      </c>
      <c r="X19" s="1237"/>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95166.67</v>
      </c>
      <c r="AK19" s="114">
        <f t="shared" si="16"/>
        <v>1142</v>
      </c>
      <c r="AL19" s="114">
        <f t="shared" si="19"/>
        <v>325.3</v>
      </c>
      <c r="AM19" s="115">
        <v>0.30199999999999999</v>
      </c>
      <c r="AN19" s="50"/>
      <c r="AO19" s="50"/>
      <c r="AP19" s="50"/>
      <c r="AQ19" s="50"/>
      <c r="AS19" s="99">
        <f t="shared" si="17"/>
        <v>17.306999999999999</v>
      </c>
    </row>
    <row r="20" spans="1:45" x14ac:dyDescent="0.2">
      <c r="A20" s="1237">
        <v>12</v>
      </c>
      <c r="B20" s="236" t="s">
        <v>42</v>
      </c>
      <c r="C20" s="259">
        <v>1</v>
      </c>
      <c r="D20" s="237">
        <v>11.538</v>
      </c>
      <c r="E20" s="111">
        <f t="shared" si="0"/>
        <v>11.54</v>
      </c>
      <c r="F20" s="95">
        <f t="shared" si="1"/>
        <v>138.5</v>
      </c>
      <c r="G20" s="95"/>
      <c r="H20" s="95">
        <v>7.8</v>
      </c>
      <c r="I20" s="95"/>
      <c r="J20" s="95"/>
      <c r="K20" s="95">
        <f>F20*0.2</f>
        <v>27.7</v>
      </c>
      <c r="L20" s="95">
        <f t="shared" si="18"/>
        <v>98.3</v>
      </c>
      <c r="M20" s="95">
        <f t="shared" si="2"/>
        <v>272.3</v>
      </c>
      <c r="N20" s="111">
        <v>0.43</v>
      </c>
      <c r="O20" s="95">
        <f t="shared" si="3"/>
        <v>117.1</v>
      </c>
      <c r="P20" s="95">
        <f t="shared" si="4"/>
        <v>389.4</v>
      </c>
      <c r="Q20" s="95">
        <f t="shared" si="5"/>
        <v>311.5</v>
      </c>
      <c r="R20" s="95">
        <f t="shared" si="6"/>
        <v>311.5</v>
      </c>
      <c r="S20" s="95">
        <f t="shared" si="7"/>
        <v>32.4</v>
      </c>
      <c r="T20" s="95">
        <f t="shared" si="8"/>
        <v>1044.8</v>
      </c>
      <c r="U20" s="3430"/>
      <c r="V20" s="95">
        <f t="shared" si="9"/>
        <v>1044.8</v>
      </c>
      <c r="W20" s="95">
        <f t="shared" si="20"/>
        <v>315.5</v>
      </c>
      <c r="X20" s="1237"/>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87066.67</v>
      </c>
      <c r="AK20" s="114">
        <f t="shared" si="16"/>
        <v>1044.8</v>
      </c>
      <c r="AL20" s="114">
        <f t="shared" si="19"/>
        <v>307.60000000000002</v>
      </c>
      <c r="AM20" s="115">
        <v>0.30199999999999999</v>
      </c>
      <c r="AN20" s="50"/>
      <c r="AO20" s="50"/>
      <c r="AP20" s="50"/>
      <c r="AQ20" s="50"/>
      <c r="AS20" s="99">
        <f t="shared" si="17"/>
        <v>17.306999999999999</v>
      </c>
    </row>
    <row r="21" spans="1:45" s="22" customFormat="1" ht="25.5" x14ac:dyDescent="0.2">
      <c r="A21" s="1237">
        <v>13</v>
      </c>
      <c r="B21" s="52" t="s">
        <v>132</v>
      </c>
      <c r="C21" s="167">
        <v>1</v>
      </c>
      <c r="D21" s="177">
        <v>8.8369999999999997</v>
      </c>
      <c r="E21" s="171">
        <f t="shared" si="0"/>
        <v>8.84</v>
      </c>
      <c r="F21" s="154">
        <f>E21*12</f>
        <v>106.1</v>
      </c>
      <c r="G21" s="154"/>
      <c r="H21" s="154">
        <f>4130.4/1000</f>
        <v>4.0999999999999996</v>
      </c>
      <c r="I21" s="154"/>
      <c r="J21" s="154"/>
      <c r="K21" s="154"/>
      <c r="L21" s="154">
        <f t="shared" si="18"/>
        <v>75.3</v>
      </c>
      <c r="M21" s="154">
        <f t="shared" si="2"/>
        <v>185.5</v>
      </c>
      <c r="N21" s="171">
        <v>0.47</v>
      </c>
      <c r="O21" s="154">
        <f t="shared" si="3"/>
        <v>87.2</v>
      </c>
      <c r="P21" s="154">
        <f t="shared" si="4"/>
        <v>272.7</v>
      </c>
      <c r="Q21" s="154">
        <f t="shared" si="5"/>
        <v>218.2</v>
      </c>
      <c r="R21" s="154">
        <f t="shared" si="6"/>
        <v>218.2</v>
      </c>
      <c r="S21" s="154">
        <f t="shared" si="7"/>
        <v>22.7</v>
      </c>
      <c r="T21" s="154">
        <f t="shared" si="8"/>
        <v>731.8</v>
      </c>
      <c r="U21" s="3430"/>
      <c r="V21" s="154">
        <f>T21*$U$9</f>
        <v>731.8</v>
      </c>
      <c r="W21" s="95">
        <f t="shared" si="20"/>
        <v>221</v>
      </c>
      <c r="X21" s="1234"/>
      <c r="Y21" s="24">
        <v>30</v>
      </c>
      <c r="Z21" s="48">
        <f t="shared" si="10"/>
        <v>0</v>
      </c>
      <c r="AA21" s="54"/>
      <c r="AB21" s="24">
        <v>15</v>
      </c>
      <c r="AC21" s="48">
        <f t="shared" si="11"/>
        <v>0</v>
      </c>
      <c r="AD21" s="54"/>
      <c r="AE21" s="24">
        <v>30</v>
      </c>
      <c r="AF21" s="48">
        <f t="shared" si="12"/>
        <v>0</v>
      </c>
      <c r="AG21" s="48">
        <f t="shared" si="13"/>
        <v>0</v>
      </c>
      <c r="AH21" s="48">
        <f t="shared" si="14"/>
        <v>0</v>
      </c>
      <c r="AI21" s="39">
        <f t="shared" si="15"/>
        <v>60983.33</v>
      </c>
      <c r="AK21" s="34">
        <f t="shared" si="16"/>
        <v>731.8</v>
      </c>
      <c r="AL21" s="34">
        <f t="shared" si="19"/>
        <v>250.7</v>
      </c>
      <c r="AM21" s="51">
        <v>0.30199999999999999</v>
      </c>
      <c r="AN21" s="211"/>
      <c r="AO21" s="211"/>
      <c r="AP21" s="211"/>
      <c r="AQ21" s="211"/>
      <c r="AS21" s="22">
        <f t="shared" si="17"/>
        <v>13.2555</v>
      </c>
    </row>
    <row r="22" spans="1:45" x14ac:dyDescent="0.2">
      <c r="A22" s="1237">
        <v>14</v>
      </c>
      <c r="B22" s="261" t="s">
        <v>44</v>
      </c>
      <c r="C22" s="259">
        <v>1</v>
      </c>
      <c r="D22" s="237">
        <v>11.538</v>
      </c>
      <c r="E22" s="111">
        <f t="shared" si="0"/>
        <v>11.54</v>
      </c>
      <c r="F22" s="95">
        <f t="shared" si="1"/>
        <v>138.5</v>
      </c>
      <c r="G22" s="95"/>
      <c r="H22" s="95">
        <v>7</v>
      </c>
      <c r="I22" s="95"/>
      <c r="J22" s="95"/>
      <c r="K22" s="95">
        <f>F22*0.4</f>
        <v>55.4</v>
      </c>
      <c r="L22" s="95">
        <f t="shared" si="18"/>
        <v>98.3</v>
      </c>
      <c r="M22" s="95">
        <f t="shared" si="2"/>
        <v>299.2</v>
      </c>
      <c r="N22" s="111">
        <v>0.43</v>
      </c>
      <c r="O22" s="95">
        <f t="shared" si="3"/>
        <v>128.69999999999999</v>
      </c>
      <c r="P22" s="95">
        <f t="shared" si="4"/>
        <v>427.9</v>
      </c>
      <c r="Q22" s="95">
        <f t="shared" si="5"/>
        <v>342.3</v>
      </c>
      <c r="R22" s="95">
        <f t="shared" si="6"/>
        <v>342.3</v>
      </c>
      <c r="S22" s="95">
        <f t="shared" si="7"/>
        <v>35.6</v>
      </c>
      <c r="T22" s="95">
        <f t="shared" si="8"/>
        <v>1148.0999999999999</v>
      </c>
      <c r="U22" s="3430"/>
      <c r="V22" s="95">
        <f t="shared" si="9"/>
        <v>1148.0999999999999</v>
      </c>
      <c r="W22" s="95">
        <f t="shared" si="20"/>
        <v>346.7</v>
      </c>
      <c r="X22" s="1237">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95675</v>
      </c>
      <c r="AK22" s="114">
        <f t="shared" si="16"/>
        <v>1148.0999999999999</v>
      </c>
      <c r="AL22" s="114">
        <f t="shared" si="19"/>
        <v>326.39999999999998</v>
      </c>
      <c r="AM22" s="115">
        <v>0.30199999999999999</v>
      </c>
      <c r="AN22" s="50"/>
      <c r="AO22" s="50"/>
      <c r="AP22" s="50"/>
      <c r="AQ22" s="50"/>
      <c r="AS22" s="99">
        <f t="shared" si="17"/>
        <v>17.306999999999999</v>
      </c>
    </row>
    <row r="23" spans="1:45" x14ac:dyDescent="0.2">
      <c r="A23" s="1237">
        <v>15</v>
      </c>
      <c r="B23" s="236" t="s">
        <v>33</v>
      </c>
      <c r="C23" s="174">
        <v>1</v>
      </c>
      <c r="D23" s="237">
        <v>8.8369999999999997</v>
      </c>
      <c r="E23" s="111">
        <f t="shared" si="0"/>
        <v>8.84</v>
      </c>
      <c r="F23" s="95">
        <f t="shared" si="1"/>
        <v>106.1</v>
      </c>
      <c r="G23" s="95">
        <f>4015.6/1000</f>
        <v>4</v>
      </c>
      <c r="H23" s="95">
        <f>5782.5/1000</f>
        <v>5.8</v>
      </c>
      <c r="I23" s="95"/>
      <c r="J23" s="95"/>
      <c r="K23" s="95">
        <f>D23*0.2*7.6+D23*0.25*4.4</f>
        <v>23.2</v>
      </c>
      <c r="L23" s="95">
        <f t="shared" si="18"/>
        <v>75.3</v>
      </c>
      <c r="M23" s="95">
        <f t="shared" si="2"/>
        <v>214.4</v>
      </c>
      <c r="N23" s="111">
        <v>0.41</v>
      </c>
      <c r="O23" s="95">
        <f t="shared" si="3"/>
        <v>87.9</v>
      </c>
      <c r="P23" s="95">
        <f t="shared" si="4"/>
        <v>302.3</v>
      </c>
      <c r="Q23" s="95">
        <f t="shared" si="5"/>
        <v>241.8</v>
      </c>
      <c r="R23" s="95">
        <f t="shared" si="6"/>
        <v>241.8</v>
      </c>
      <c r="S23" s="95">
        <f t="shared" si="7"/>
        <v>25.1</v>
      </c>
      <c r="T23" s="95">
        <f t="shared" si="8"/>
        <v>811</v>
      </c>
      <c r="U23" s="3430"/>
      <c r="V23" s="95">
        <f t="shared" si="9"/>
        <v>811</v>
      </c>
      <c r="W23" s="95">
        <f t="shared" si="20"/>
        <v>244.9</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67583.33</v>
      </c>
      <c r="AK23" s="114">
        <f t="shared" si="16"/>
        <v>811</v>
      </c>
      <c r="AL23" s="114">
        <f t="shared" si="19"/>
        <v>265.10000000000002</v>
      </c>
      <c r="AM23" s="115">
        <v>0.30199999999999999</v>
      </c>
      <c r="AN23" s="263"/>
      <c r="AO23" s="263"/>
      <c r="AP23" s="263"/>
      <c r="AS23" s="99">
        <f t="shared" si="17"/>
        <v>13.2555</v>
      </c>
    </row>
    <row r="24" spans="1:45" ht="25.5" x14ac:dyDescent="0.2">
      <c r="A24" s="1237">
        <v>16</v>
      </c>
      <c r="B24" s="236" t="s">
        <v>102</v>
      </c>
      <c r="C24" s="174">
        <v>0.5</v>
      </c>
      <c r="D24" s="237">
        <v>4.5650000000000004</v>
      </c>
      <c r="E24" s="111">
        <f t="shared" si="0"/>
        <v>2.2799999999999998</v>
      </c>
      <c r="F24" s="95">
        <f t="shared" si="1"/>
        <v>27.4</v>
      </c>
      <c r="G24" s="95"/>
      <c r="H24" s="95"/>
      <c r="I24" s="95"/>
      <c r="J24" s="95"/>
      <c r="K24" s="95"/>
      <c r="L24" s="95">
        <f t="shared" si="18"/>
        <v>19.5</v>
      </c>
      <c r="M24" s="95">
        <f t="shared" si="2"/>
        <v>46.9</v>
      </c>
      <c r="N24" s="111">
        <v>0.49</v>
      </c>
      <c r="O24" s="95">
        <f t="shared" si="3"/>
        <v>23</v>
      </c>
      <c r="P24" s="95">
        <f t="shared" si="4"/>
        <v>69.900000000000006</v>
      </c>
      <c r="Q24" s="95">
        <f t="shared" si="5"/>
        <v>55.9</v>
      </c>
      <c r="R24" s="95">
        <f t="shared" si="6"/>
        <v>55.9</v>
      </c>
      <c r="S24" s="95">
        <f t="shared" si="7"/>
        <v>5.8</v>
      </c>
      <c r="T24" s="95">
        <f t="shared" si="8"/>
        <v>187.5</v>
      </c>
      <c r="U24" s="3430"/>
      <c r="V24" s="95">
        <f t="shared" si="9"/>
        <v>187.5</v>
      </c>
      <c r="W24" s="95">
        <f t="shared" si="20"/>
        <v>56.6</v>
      </c>
      <c r="X24" s="238"/>
      <c r="Y24" s="240"/>
      <c r="Z24" s="241"/>
      <c r="AA24" s="238"/>
      <c r="AB24" s="240"/>
      <c r="AC24" s="241"/>
      <c r="AD24" s="238"/>
      <c r="AE24" s="240"/>
      <c r="AF24" s="241"/>
      <c r="AG24" s="241"/>
      <c r="AH24" s="241"/>
      <c r="AI24" s="131"/>
      <c r="AK24" s="114"/>
      <c r="AL24" s="114"/>
      <c r="AM24" s="115"/>
      <c r="AN24" s="263"/>
      <c r="AO24" s="263"/>
      <c r="AP24" s="263"/>
      <c r="AS24" s="99">
        <f t="shared" si="17"/>
        <v>6.8475000000000001</v>
      </c>
    </row>
    <row r="25" spans="1:45" x14ac:dyDescent="0.2">
      <c r="A25" s="1237">
        <v>17</v>
      </c>
      <c r="B25" s="236" t="s">
        <v>136</v>
      </c>
      <c r="C25" s="174">
        <v>0.5</v>
      </c>
      <c r="D25" s="237">
        <v>4.5650000000000004</v>
      </c>
      <c r="E25" s="111">
        <f t="shared" si="0"/>
        <v>2.2799999999999998</v>
      </c>
      <c r="F25" s="95">
        <f t="shared" si="1"/>
        <v>27.4</v>
      </c>
      <c r="G25" s="95"/>
      <c r="H25" s="95"/>
      <c r="I25" s="95"/>
      <c r="J25" s="95"/>
      <c r="K25" s="95"/>
      <c r="L25" s="95">
        <f t="shared" si="18"/>
        <v>19.5</v>
      </c>
      <c r="M25" s="95">
        <f t="shared" si="2"/>
        <v>46.9</v>
      </c>
      <c r="N25" s="111">
        <v>0.49</v>
      </c>
      <c r="O25" s="95">
        <f t="shared" si="3"/>
        <v>23</v>
      </c>
      <c r="P25" s="95">
        <f t="shared" si="4"/>
        <v>69.900000000000006</v>
      </c>
      <c r="Q25" s="95">
        <f t="shared" si="5"/>
        <v>55.9</v>
      </c>
      <c r="R25" s="95">
        <f t="shared" si="6"/>
        <v>55.9</v>
      </c>
      <c r="S25" s="95">
        <f t="shared" si="7"/>
        <v>5.8</v>
      </c>
      <c r="T25" s="95">
        <f t="shared" si="8"/>
        <v>187.5</v>
      </c>
      <c r="U25" s="3430"/>
      <c r="V25" s="95">
        <f t="shared" si="9"/>
        <v>187.5</v>
      </c>
      <c r="W25" s="95">
        <f t="shared" si="20"/>
        <v>56.6</v>
      </c>
      <c r="X25" s="238"/>
      <c r="Y25" s="240"/>
      <c r="Z25" s="241"/>
      <c r="AA25" s="238"/>
      <c r="AB25" s="240"/>
      <c r="AC25" s="241"/>
      <c r="AD25" s="238"/>
      <c r="AE25" s="240"/>
      <c r="AF25" s="241"/>
      <c r="AG25" s="241"/>
      <c r="AH25" s="241"/>
      <c r="AI25" s="131"/>
      <c r="AK25" s="114"/>
      <c r="AL25" s="114"/>
      <c r="AM25" s="115"/>
      <c r="AN25" s="263"/>
      <c r="AO25" s="263"/>
      <c r="AP25" s="263"/>
      <c r="AS25" s="99">
        <f t="shared" si="17"/>
        <v>6.8475000000000001</v>
      </c>
    </row>
    <row r="26" spans="1:45" s="245" customFormat="1" x14ac:dyDescent="0.2">
      <c r="A26" s="1237">
        <v>18</v>
      </c>
      <c r="B26" s="236" t="s">
        <v>60</v>
      </c>
      <c r="C26" s="262">
        <v>2</v>
      </c>
      <c r="D26" s="247">
        <v>4.5650000000000004</v>
      </c>
      <c r="E26" s="249">
        <f t="shared" si="0"/>
        <v>9.1300000000000008</v>
      </c>
      <c r="F26" s="248">
        <f t="shared" si="1"/>
        <v>109.6</v>
      </c>
      <c r="G26" s="248">
        <f>12446.4/1000</f>
        <v>12.4</v>
      </c>
      <c r="H26" s="248">
        <f>5974.3/1000</f>
        <v>6</v>
      </c>
      <c r="I26" s="248"/>
      <c r="J26" s="248"/>
      <c r="K26" s="248"/>
      <c r="L26" s="95">
        <v>59</v>
      </c>
      <c r="M26" s="248">
        <f t="shared" si="2"/>
        <v>187</v>
      </c>
      <c r="N26" s="111">
        <v>0.49</v>
      </c>
      <c r="O26" s="248">
        <f t="shared" si="3"/>
        <v>91.6</v>
      </c>
      <c r="P26" s="248">
        <f t="shared" si="4"/>
        <v>278.60000000000002</v>
      </c>
      <c r="Q26" s="248">
        <f t="shared" si="5"/>
        <v>222.9</v>
      </c>
      <c r="R26" s="248">
        <f t="shared" si="6"/>
        <v>222.9</v>
      </c>
      <c r="S26" s="248">
        <f t="shared" si="7"/>
        <v>23.2</v>
      </c>
      <c r="T26" s="248">
        <f t="shared" si="8"/>
        <v>747.6</v>
      </c>
      <c r="U26" s="3430"/>
      <c r="V26" s="248">
        <f t="shared" si="9"/>
        <v>747.6</v>
      </c>
      <c r="W26" s="95">
        <f t="shared" si="20"/>
        <v>225.8</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31150</v>
      </c>
      <c r="AK26" s="114">
        <f>V26/C26</f>
        <v>373.8</v>
      </c>
      <c r="AL26" s="114">
        <f t="shared" si="19"/>
        <v>185.5</v>
      </c>
      <c r="AM26" s="115">
        <v>0.30199999999999999</v>
      </c>
      <c r="AN26" s="211"/>
      <c r="AO26" s="211"/>
      <c r="AP26" s="211"/>
      <c r="AQ26" s="211"/>
      <c r="AS26" s="99">
        <f t="shared" si="17"/>
        <v>6.8475000000000001</v>
      </c>
    </row>
    <row r="27" spans="1:45" x14ac:dyDescent="0.2">
      <c r="A27" s="1237">
        <v>19</v>
      </c>
      <c r="B27" s="261" t="s">
        <v>94</v>
      </c>
      <c r="C27" s="264">
        <v>2</v>
      </c>
      <c r="D27" s="237">
        <v>4.5650000000000004</v>
      </c>
      <c r="E27" s="111">
        <f t="shared" si="0"/>
        <v>9.1300000000000008</v>
      </c>
      <c r="F27" s="95">
        <f t="shared" si="1"/>
        <v>109.6</v>
      </c>
      <c r="G27" s="95">
        <f>2074.4/1000</f>
        <v>2.1</v>
      </c>
      <c r="H27" s="95">
        <f>5.974</f>
        <v>6</v>
      </c>
      <c r="I27" s="95"/>
      <c r="J27" s="95"/>
      <c r="K27" s="95"/>
      <c r="L27" s="95">
        <v>70.8</v>
      </c>
      <c r="M27" s="95">
        <f t="shared" si="2"/>
        <v>188.5</v>
      </c>
      <c r="N27" s="111">
        <v>0.47</v>
      </c>
      <c r="O27" s="95">
        <f t="shared" si="3"/>
        <v>88.6</v>
      </c>
      <c r="P27" s="95">
        <f t="shared" si="4"/>
        <v>277.10000000000002</v>
      </c>
      <c r="Q27" s="95">
        <f t="shared" si="5"/>
        <v>221.7</v>
      </c>
      <c r="R27" s="95">
        <f t="shared" si="6"/>
        <v>221.7</v>
      </c>
      <c r="S27" s="95">
        <f t="shared" si="7"/>
        <v>23.1</v>
      </c>
      <c r="T27" s="95">
        <f t="shared" si="8"/>
        <v>743.6</v>
      </c>
      <c r="U27" s="3430"/>
      <c r="V27" s="95">
        <f>T27*$U$9-1.7</f>
        <v>741.9</v>
      </c>
      <c r="W27" s="95">
        <f t="shared" si="20"/>
        <v>224.1</v>
      </c>
      <c r="X27" s="1237">
        <v>1</v>
      </c>
      <c r="Y27" s="112">
        <v>30</v>
      </c>
      <c r="Z27" s="113">
        <f t="shared" si="10"/>
        <v>30</v>
      </c>
      <c r="AA27" s="1237"/>
      <c r="AB27" s="112">
        <v>15</v>
      </c>
      <c r="AC27" s="113">
        <f t="shared" si="11"/>
        <v>0</v>
      </c>
      <c r="AD27" s="1237"/>
      <c r="AE27" s="112">
        <v>30</v>
      </c>
      <c r="AF27" s="113">
        <f t="shared" si="12"/>
        <v>0</v>
      </c>
      <c r="AG27" s="113">
        <f t="shared" si="13"/>
        <v>9</v>
      </c>
      <c r="AH27" s="113">
        <f t="shared" si="14"/>
        <v>39</v>
      </c>
      <c r="AI27" s="131">
        <f>V27/12/C27*1000</f>
        <v>30912.5</v>
      </c>
      <c r="AK27" s="114">
        <f>V27/C27</f>
        <v>371</v>
      </c>
      <c r="AL27" s="114">
        <f t="shared" si="19"/>
        <v>185</v>
      </c>
      <c r="AM27" s="115">
        <v>0.30199999999999999</v>
      </c>
      <c r="AS27" s="99">
        <f t="shared" si="17"/>
        <v>6.8475000000000001</v>
      </c>
    </row>
    <row r="28" spans="1:45" s="98" customFormat="1" ht="20.25" customHeight="1" x14ac:dyDescent="0.2">
      <c r="A28" s="3431" t="s">
        <v>8</v>
      </c>
      <c r="B28" s="3431"/>
      <c r="C28" s="265">
        <f>SUM(C9:C27)</f>
        <v>25</v>
      </c>
      <c r="D28" s="266">
        <f t="shared" ref="D28:T28" si="21">SUM(D9:D27)</f>
        <v>195.6</v>
      </c>
      <c r="E28" s="266">
        <f t="shared" si="21"/>
        <v>262.60000000000002</v>
      </c>
      <c r="F28" s="266">
        <f t="shared" si="21"/>
        <v>3151.2</v>
      </c>
      <c r="G28" s="266">
        <f t="shared" si="21"/>
        <v>18.5</v>
      </c>
      <c r="H28" s="266">
        <f t="shared" si="21"/>
        <v>110.7</v>
      </c>
      <c r="I28" s="266">
        <f t="shared" si="21"/>
        <v>0</v>
      </c>
      <c r="J28" s="266">
        <f t="shared" si="21"/>
        <v>0</v>
      </c>
      <c r="K28" s="266">
        <f t="shared" si="21"/>
        <v>734.4</v>
      </c>
      <c r="L28" s="266">
        <f t="shared" si="21"/>
        <v>2211.4</v>
      </c>
      <c r="M28" s="266">
        <f t="shared" si="21"/>
        <v>6226.2</v>
      </c>
      <c r="N28" s="266">
        <f t="shared" si="21"/>
        <v>8.5</v>
      </c>
      <c r="O28" s="266">
        <f t="shared" si="21"/>
        <v>2761.9</v>
      </c>
      <c r="P28" s="266">
        <f t="shared" si="21"/>
        <v>8988.1</v>
      </c>
      <c r="Q28" s="266">
        <f t="shared" si="21"/>
        <v>7190.4</v>
      </c>
      <c r="R28" s="266">
        <f t="shared" si="21"/>
        <v>7190.4</v>
      </c>
      <c r="S28" s="266">
        <f t="shared" si="21"/>
        <v>747.8</v>
      </c>
      <c r="T28" s="266">
        <f t="shared" si="21"/>
        <v>24116.7</v>
      </c>
      <c r="U28" s="266"/>
      <c r="V28" s="266">
        <f t="shared" ref="V28:AH28" si="22">SUM(V9:V27)</f>
        <v>24115</v>
      </c>
      <c r="W28" s="266">
        <f>SUM(W9:W27)</f>
        <v>7107.6</v>
      </c>
      <c r="X28" s="266">
        <f t="shared" si="22"/>
        <v>8</v>
      </c>
      <c r="Y28" s="266">
        <f t="shared" si="22"/>
        <v>510</v>
      </c>
      <c r="Z28" s="266">
        <f t="shared" si="22"/>
        <v>240</v>
      </c>
      <c r="AA28" s="266">
        <f t="shared" si="22"/>
        <v>1</v>
      </c>
      <c r="AB28" s="266">
        <f t="shared" si="22"/>
        <v>255</v>
      </c>
      <c r="AC28" s="266">
        <f t="shared" si="22"/>
        <v>15</v>
      </c>
      <c r="AD28" s="266">
        <f t="shared" si="22"/>
        <v>3</v>
      </c>
      <c r="AE28" s="266">
        <f t="shared" si="22"/>
        <v>510</v>
      </c>
      <c r="AF28" s="266">
        <f t="shared" si="22"/>
        <v>90</v>
      </c>
      <c r="AG28" s="266">
        <f t="shared" si="22"/>
        <v>103.5</v>
      </c>
      <c r="AH28" s="266">
        <f t="shared" si="22"/>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27"/>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ht="58.5" customHeight="1" x14ac:dyDescent="0.2">
      <c r="A30" s="70"/>
      <c r="B30" s="70"/>
      <c r="C30" s="71"/>
      <c r="D30" s="77"/>
      <c r="E30" s="77"/>
      <c r="F30" s="27"/>
      <c r="G30" s="3191" t="s">
        <v>140</v>
      </c>
      <c r="H30" s="3191"/>
      <c r="I30" s="3188" t="s">
        <v>145</v>
      </c>
      <c r="J30" s="3428"/>
      <c r="K30" s="3189"/>
      <c r="L30" s="969"/>
      <c r="Q30" s="27"/>
      <c r="R30" s="27"/>
      <c r="S30" s="27"/>
      <c r="T30" s="27"/>
      <c r="U30" s="27"/>
      <c r="V30" s="1779"/>
      <c r="W30" s="1779"/>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1235">
        <v>991</v>
      </c>
      <c r="H31" s="1235">
        <v>992</v>
      </c>
      <c r="I31" s="1235">
        <v>991</v>
      </c>
      <c r="J31" s="1235">
        <v>992</v>
      </c>
      <c r="K31" s="1235">
        <v>911</v>
      </c>
      <c r="L31" s="978"/>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9">
        <v>18394</v>
      </c>
      <c r="H32" s="29">
        <v>5393.9</v>
      </c>
      <c r="I32" s="29">
        <f>V28</f>
        <v>24115</v>
      </c>
      <c r="J32" s="29">
        <f>W28</f>
        <v>7107.6</v>
      </c>
      <c r="K32" s="29">
        <f>AH28</f>
        <v>448.5</v>
      </c>
      <c r="L32" s="80"/>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5" spans="1:44" s="1233" customFormat="1" ht="20.25" x14ac:dyDescent="0.2">
      <c r="A35" s="81"/>
      <c r="B35" s="82" t="s">
        <v>175</v>
      </c>
      <c r="C35" s="83"/>
      <c r="D35" s="84"/>
      <c r="E35" s="84"/>
      <c r="F35" s="85"/>
      <c r="G35" s="85"/>
      <c r="H35" s="86"/>
      <c r="I35" s="86"/>
      <c r="J35" s="85"/>
      <c r="K35" s="30" t="s">
        <v>176</v>
      </c>
      <c r="L35" s="85"/>
      <c r="M35" s="85"/>
      <c r="N35" s="87"/>
      <c r="O35" s="85"/>
      <c r="P35" s="85"/>
      <c r="Q35" s="85"/>
      <c r="R35" s="85"/>
      <c r="S35" s="85"/>
      <c r="T35" s="85"/>
      <c r="U35" s="85"/>
      <c r="V35" s="85"/>
      <c r="W35" s="85"/>
      <c r="X35" s="85"/>
      <c r="Y35" s="85"/>
      <c r="Z35" s="85"/>
      <c r="AA35" s="85"/>
      <c r="AB35" s="85"/>
      <c r="AC35" s="85"/>
      <c r="AD35" s="85"/>
      <c r="AE35" s="85"/>
      <c r="AF35" s="85"/>
      <c r="AG35" s="85"/>
      <c r="AH35" s="85"/>
      <c r="AI35" s="85"/>
      <c r="AK35" s="88"/>
      <c r="AL35" s="88"/>
      <c r="AM35" s="88"/>
      <c r="AN35" s="88"/>
      <c r="AO35" s="88"/>
    </row>
    <row r="36" spans="1:44" s="143" customFormat="1" x14ac:dyDescent="0.2">
      <c r="A36" s="136"/>
      <c r="B36" s="136"/>
      <c r="C36" s="137"/>
      <c r="D36" s="144"/>
      <c r="E36" s="144"/>
      <c r="F36" s="140"/>
      <c r="G36" s="140"/>
      <c r="H36" s="139"/>
      <c r="I36" s="139"/>
      <c r="J36" s="140"/>
      <c r="K36" s="140"/>
      <c r="L36" s="140"/>
      <c r="M36" s="140"/>
      <c r="N36" s="141"/>
      <c r="O36" s="140"/>
      <c r="P36" s="140"/>
      <c r="Q36" s="140"/>
      <c r="R36" s="140"/>
      <c r="S36" s="140"/>
      <c r="T36" s="140"/>
      <c r="U36" s="140"/>
      <c r="V36" s="140"/>
      <c r="W36" s="140"/>
      <c r="X36" s="140"/>
      <c r="Y36" s="140"/>
      <c r="Z36" s="140"/>
      <c r="AA36" s="140"/>
      <c r="AB36" s="140"/>
      <c r="AC36" s="140"/>
      <c r="AD36" s="140"/>
      <c r="AE36" s="140"/>
      <c r="AF36" s="142"/>
      <c r="AK36" s="142"/>
      <c r="AL36" s="142"/>
      <c r="AM36" s="142"/>
      <c r="AN36" s="76"/>
      <c r="AO36" s="76"/>
      <c r="AP36" s="76"/>
      <c r="AQ36" s="76"/>
      <c r="AR36" s="99"/>
    </row>
    <row r="37" spans="1:44" s="143" customFormat="1" ht="20.25" customHeight="1" x14ac:dyDescent="0.2">
      <c r="A37" s="145" t="s">
        <v>96</v>
      </c>
      <c r="B37" s="145"/>
      <c r="C37" s="146"/>
      <c r="D37" s="146"/>
      <c r="E37" s="146"/>
      <c r="F37" s="146"/>
      <c r="G37" s="146"/>
      <c r="H37" s="146"/>
      <c r="I37" s="146"/>
      <c r="J37" s="146"/>
      <c r="K37" s="146"/>
      <c r="L37" s="147"/>
      <c r="M37" s="147"/>
      <c r="N37" s="202"/>
      <c r="O37" s="203"/>
      <c r="P37" s="147"/>
      <c r="Q37" s="147"/>
      <c r="R37" s="147"/>
      <c r="S37" s="147"/>
      <c r="T37" s="147"/>
      <c r="U37" s="147"/>
      <c r="V37" s="147"/>
      <c r="W37" s="147"/>
      <c r="X37" s="147"/>
      <c r="Y37" s="147"/>
      <c r="Z37" s="147"/>
      <c r="AA37" s="147"/>
      <c r="AB37" s="147"/>
      <c r="AC37" s="147"/>
      <c r="AD37" s="147"/>
      <c r="AE37" s="147"/>
      <c r="AF37" s="142"/>
      <c r="AK37" s="142"/>
      <c r="AL37" s="142"/>
      <c r="AM37" s="142"/>
      <c r="AN37" s="76"/>
      <c r="AO37" s="76"/>
      <c r="AP37" s="76"/>
      <c r="AQ37" s="76"/>
      <c r="AR37" s="99"/>
    </row>
    <row r="38" spans="1:44" s="143" customFormat="1" ht="20.25" customHeight="1" x14ac:dyDescent="0.2">
      <c r="A38" s="145" t="s">
        <v>139</v>
      </c>
      <c r="B38" s="149"/>
      <c r="C38" s="150"/>
      <c r="D38" s="150"/>
      <c r="E38" s="151"/>
      <c r="F38" s="151"/>
      <c r="G38" s="151"/>
      <c r="H38" s="151"/>
      <c r="I38" s="151"/>
      <c r="J38" s="151"/>
      <c r="K38" s="151"/>
      <c r="L38" s="147"/>
      <c r="M38" s="147"/>
      <c r="N38" s="202"/>
      <c r="O38" s="203"/>
      <c r="P38" s="147"/>
      <c r="Q38" s="147"/>
      <c r="R38" s="147"/>
      <c r="S38" s="147"/>
      <c r="T38" s="147"/>
      <c r="U38" s="147"/>
      <c r="V38" s="147"/>
      <c r="W38" s="147"/>
      <c r="X38" s="147"/>
      <c r="Y38" s="147"/>
      <c r="Z38" s="147"/>
      <c r="AA38" s="147"/>
      <c r="AB38" s="147"/>
      <c r="AC38" s="147"/>
      <c r="AD38" s="147"/>
      <c r="AE38" s="147"/>
      <c r="AF38" s="142"/>
      <c r="AK38" s="142"/>
      <c r="AL38" s="142"/>
      <c r="AM38" s="142"/>
      <c r="AN38" s="76"/>
      <c r="AO38" s="76"/>
      <c r="AP38" s="76"/>
      <c r="AQ38" s="76"/>
      <c r="AR38" s="252"/>
    </row>
    <row r="40" spans="1:44" x14ac:dyDescent="0.2">
      <c r="E40" s="115"/>
    </row>
    <row r="41" spans="1:44" x14ac:dyDescent="0.2">
      <c r="E41" s="115"/>
    </row>
    <row r="42" spans="1:44" x14ac:dyDescent="0.2">
      <c r="E42" s="115"/>
      <c r="Y42" s="99" t="s">
        <v>124</v>
      </c>
    </row>
    <row r="43" spans="1:44" x14ac:dyDescent="0.2">
      <c r="E43" s="115"/>
    </row>
    <row r="44" spans="1:44" x14ac:dyDescent="0.2">
      <c r="E44" s="115"/>
    </row>
    <row r="45" spans="1:44" x14ac:dyDescent="0.2">
      <c r="E45" s="115"/>
    </row>
    <row r="46" spans="1:44" x14ac:dyDescent="0.2">
      <c r="E46" s="115"/>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sheetData>
  <autoFilter ref="A8:AS32"/>
  <mergeCells count="36">
    <mergeCell ref="AE1:AH1"/>
    <mergeCell ref="A2:AH2"/>
    <mergeCell ref="A3:AH3"/>
    <mergeCell ref="A5:A7"/>
    <mergeCell ref="B5:B7"/>
    <mergeCell ref="C5:C7"/>
    <mergeCell ref="D5:W5"/>
    <mergeCell ref="X5:AH5"/>
    <mergeCell ref="D6:D7"/>
    <mergeCell ref="E6:E7"/>
    <mergeCell ref="AH6:AH7"/>
    <mergeCell ref="V6:V7"/>
    <mergeCell ref="W6:W7"/>
    <mergeCell ref="X6:Z6"/>
    <mergeCell ref="A28:B28"/>
    <mergeCell ref="S6:S7"/>
    <mergeCell ref="T6:T7"/>
    <mergeCell ref="U6:U7"/>
    <mergeCell ref="L6:L7"/>
    <mergeCell ref="M6:M7"/>
    <mergeCell ref="N6:O6"/>
    <mergeCell ref="P6:P7"/>
    <mergeCell ref="Q6:Q7"/>
    <mergeCell ref="R6:R7"/>
    <mergeCell ref="F6:F7"/>
    <mergeCell ref="G30:H30"/>
    <mergeCell ref="I30:K30"/>
    <mergeCell ref="AA6:AC6"/>
    <mergeCell ref="AD6:AF6"/>
    <mergeCell ref="AG6:AG7"/>
    <mergeCell ref="G6:G7"/>
    <mergeCell ref="H6:H7"/>
    <mergeCell ref="I6:I7"/>
    <mergeCell ref="J6:J7"/>
    <mergeCell ref="K6:K7"/>
    <mergeCell ref="U9:U27"/>
  </mergeCells>
  <printOptions horizontalCentered="1"/>
  <pageMargins left="0" right="0" top="0" bottom="0" header="0.31496062992125984" footer="0.31496062992125984"/>
  <pageSetup paperSize="9" scale="37"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S64"/>
  <sheetViews>
    <sheetView view="pageBreakPreview" zoomScale="80" zoomScaleNormal="70" zoomScaleSheetLayoutView="80" workbookViewId="0">
      <pane xSplit="3" ySplit="8" topLeftCell="D9" activePane="bottomRight" state="frozen"/>
      <selection activeCell="AM14" sqref="AM14"/>
      <selection pane="topRight" activeCell="AM14" sqref="AM14"/>
      <selection pane="bottomLeft" activeCell="AM14" sqref="AM14"/>
      <selection pane="bottomRight" activeCell="Q39" sqref="Q39"/>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7.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3196"/>
      <c r="AF1" s="3196"/>
      <c r="AG1" s="3196"/>
      <c r="AH1" s="3196"/>
    </row>
    <row r="2" spans="1:45" ht="24" customHeight="1" x14ac:dyDescent="0.2">
      <c r="A2" s="3197" t="s">
        <v>163</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1236"/>
    </row>
    <row r="4" spans="1:45" x14ac:dyDescent="0.2">
      <c r="L4" s="38">
        <v>0.71008499999999997</v>
      </c>
      <c r="M4" s="38"/>
      <c r="AH4" s="1778">
        <v>43831</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1239" t="s">
        <v>80</v>
      </c>
      <c r="O7" s="1239" t="s">
        <v>81</v>
      </c>
      <c r="P7" s="3204"/>
      <c r="Q7" s="3203"/>
      <c r="R7" s="3201"/>
      <c r="S7" s="3203" t="s">
        <v>67</v>
      </c>
      <c r="T7" s="3201"/>
      <c r="U7" s="3201"/>
      <c r="V7" s="3201"/>
      <c r="W7" s="3201"/>
      <c r="X7" s="1238" t="s">
        <v>5</v>
      </c>
      <c r="Y7" s="1238" t="s">
        <v>6</v>
      </c>
      <c r="Z7" s="1238" t="s">
        <v>74</v>
      </c>
      <c r="AA7" s="1238" t="s">
        <v>5</v>
      </c>
      <c r="AB7" s="1238" t="s">
        <v>6</v>
      </c>
      <c r="AC7" s="1238" t="s">
        <v>75</v>
      </c>
      <c r="AD7" s="1238" t="s">
        <v>5</v>
      </c>
      <c r="AE7" s="1238" t="s">
        <v>6</v>
      </c>
      <c r="AF7" s="1238" t="s">
        <v>76</v>
      </c>
      <c r="AG7" s="3200"/>
      <c r="AH7" s="3200"/>
      <c r="AK7" s="99" t="s">
        <v>64</v>
      </c>
      <c r="AL7" s="99" t="s">
        <v>62</v>
      </c>
      <c r="AM7" s="99" t="s">
        <v>63</v>
      </c>
    </row>
    <row r="8" spans="1:45" ht="18" customHeight="1" x14ac:dyDescent="0.2">
      <c r="A8" s="1237">
        <v>1</v>
      </c>
      <c r="B8" s="1237">
        <v>2</v>
      </c>
      <c r="C8" s="1237">
        <v>3</v>
      </c>
      <c r="D8" s="1237">
        <v>4</v>
      </c>
      <c r="E8" s="1237">
        <v>5</v>
      </c>
      <c r="F8" s="1237">
        <v>6</v>
      </c>
      <c r="G8" s="1237">
        <v>7</v>
      </c>
      <c r="H8" s="1237">
        <v>8</v>
      </c>
      <c r="I8" s="1237">
        <v>9</v>
      </c>
      <c r="J8" s="1237">
        <v>10</v>
      </c>
      <c r="K8" s="1237">
        <v>11</v>
      </c>
      <c r="L8" s="1237">
        <v>12</v>
      </c>
      <c r="M8" s="1237">
        <v>13</v>
      </c>
      <c r="N8" s="1237">
        <v>14</v>
      </c>
      <c r="O8" s="1237">
        <v>15</v>
      </c>
      <c r="P8" s="1237">
        <v>16</v>
      </c>
      <c r="Q8" s="1237">
        <v>17</v>
      </c>
      <c r="R8" s="1237">
        <v>18</v>
      </c>
      <c r="S8" s="1237">
        <v>19</v>
      </c>
      <c r="T8" s="1237">
        <v>20</v>
      </c>
      <c r="U8" s="1237">
        <v>21</v>
      </c>
      <c r="V8" s="1237">
        <v>22</v>
      </c>
      <c r="W8" s="1237">
        <v>23</v>
      </c>
      <c r="X8" s="1237">
        <v>24</v>
      </c>
      <c r="Y8" s="1237">
        <v>25</v>
      </c>
      <c r="Z8" s="1237">
        <v>26</v>
      </c>
      <c r="AA8" s="1237">
        <v>27</v>
      </c>
      <c r="AB8" s="1237">
        <v>28</v>
      </c>
      <c r="AC8" s="1237">
        <v>29</v>
      </c>
      <c r="AD8" s="1237">
        <v>30</v>
      </c>
      <c r="AE8" s="1237">
        <v>31</v>
      </c>
      <c r="AF8" s="1237">
        <v>32</v>
      </c>
      <c r="AG8" s="1237">
        <v>33</v>
      </c>
      <c r="AH8" s="1237">
        <v>34</v>
      </c>
      <c r="AN8" s="212" t="s">
        <v>116</v>
      </c>
      <c r="AO8" s="212" t="s">
        <v>117</v>
      </c>
      <c r="AP8" s="212" t="s">
        <v>118</v>
      </c>
      <c r="AQ8" s="212" t="s">
        <v>119</v>
      </c>
    </row>
    <row r="9" spans="1:45" ht="16.5" customHeight="1" x14ac:dyDescent="0.2">
      <c r="A9" s="1237">
        <v>1</v>
      </c>
      <c r="B9" s="236" t="s">
        <v>14</v>
      </c>
      <c r="C9" s="259">
        <v>1</v>
      </c>
      <c r="D9" s="237">
        <v>26.984999999999999</v>
      </c>
      <c r="E9" s="260">
        <f t="shared" ref="E9:E27" si="0">C9*D9</f>
        <v>26.99</v>
      </c>
      <c r="F9" s="185">
        <f t="shared" ref="F9:F27" si="1">E9*12</f>
        <v>323.89999999999998</v>
      </c>
      <c r="G9" s="95"/>
      <c r="H9" s="95"/>
      <c r="I9" s="95"/>
      <c r="J9" s="95"/>
      <c r="K9" s="95"/>
      <c r="L9" s="95">
        <f>F9*$L$4</f>
        <v>230</v>
      </c>
      <c r="M9" s="95">
        <f t="shared" ref="M9:M27" si="2">F9+G9+H9+I9+J9+K9+L9</f>
        <v>553.9</v>
      </c>
      <c r="N9" s="111">
        <v>0.47</v>
      </c>
      <c r="O9" s="95">
        <f t="shared" ref="O9:O27" si="3">M9*N9</f>
        <v>260.3</v>
      </c>
      <c r="P9" s="95">
        <f t="shared" ref="P9:P27" si="4">M9+O9</f>
        <v>814.2</v>
      </c>
      <c r="Q9" s="95">
        <f t="shared" ref="Q9:Q27" si="5">P9*0.8</f>
        <v>651.4</v>
      </c>
      <c r="R9" s="95">
        <f t="shared" ref="R9:R27" si="6">P9*0.8</f>
        <v>651.4</v>
      </c>
      <c r="S9" s="95">
        <f t="shared" ref="S9:S27" si="7">(P9+Q9+R9)*0.032</f>
        <v>67.7</v>
      </c>
      <c r="T9" s="95">
        <f t="shared" ref="T9:T27" si="8">P9+Q9+R9+S9</f>
        <v>2184.6999999999998</v>
      </c>
      <c r="U9" s="3429">
        <v>1</v>
      </c>
      <c r="V9" s="95">
        <f t="shared" ref="V9:V26" si="9">T9*$U$9</f>
        <v>2184.6999999999998</v>
      </c>
      <c r="W9" s="95">
        <f>AQ9+114.8</f>
        <v>612.20000000000005</v>
      </c>
      <c r="X9" s="1237">
        <v>1</v>
      </c>
      <c r="Y9" s="112">
        <v>30</v>
      </c>
      <c r="Z9" s="113">
        <f t="shared" ref="Z9:Z27" si="10">X9*Y9</f>
        <v>30</v>
      </c>
      <c r="AA9" s="1237"/>
      <c r="AB9" s="112">
        <v>15</v>
      </c>
      <c r="AC9" s="113">
        <f t="shared" ref="AC9:AC27" si="11">AA9*AB9</f>
        <v>0</v>
      </c>
      <c r="AD9" s="1237"/>
      <c r="AE9" s="112">
        <v>30</v>
      </c>
      <c r="AF9" s="113">
        <f t="shared" ref="AF9:AF27" si="12">AD9*AE9</f>
        <v>0</v>
      </c>
      <c r="AG9" s="113">
        <f t="shared" ref="AG9:AG27" si="13">(Z9+AC9+AF9)*1%*30</f>
        <v>9</v>
      </c>
      <c r="AH9" s="113">
        <f t="shared" ref="AH9:AH27" si="14">Z9+AC9+AF9+AG9</f>
        <v>39</v>
      </c>
      <c r="AI9" s="131">
        <f t="shared" ref="AI9:AI23" si="15">V9/12/C9*1000</f>
        <v>182058.33</v>
      </c>
      <c r="AK9" s="114">
        <f t="shared" ref="AK9:AK23" si="16">V9/C9</f>
        <v>2184.6999999999998</v>
      </c>
      <c r="AL9" s="114">
        <f>((979*0.302)+((AK9-979)*0.182))</f>
        <v>515.1</v>
      </c>
      <c r="AM9" s="115">
        <f>AL9/AK9</f>
        <v>0.23599999999999999</v>
      </c>
      <c r="AN9" s="50">
        <f>1150*0.22+(AK9-1150)*0.1</f>
        <v>356.5</v>
      </c>
      <c r="AO9" s="50">
        <f>865*0.029</f>
        <v>25.1</v>
      </c>
      <c r="AP9" s="50">
        <f>AK9*0.053</f>
        <v>115.8</v>
      </c>
      <c r="AQ9" s="50">
        <f>SUM(AN9:AP9)*C9</f>
        <v>497.4</v>
      </c>
      <c r="AS9" s="99">
        <f t="shared" ref="AS9:AS27" si="17">D9*1.5</f>
        <v>40.477499999999999</v>
      </c>
    </row>
    <row r="10" spans="1:45" x14ac:dyDescent="0.2">
      <c r="A10" s="1237">
        <v>2</v>
      </c>
      <c r="B10" s="236" t="s">
        <v>127</v>
      </c>
      <c r="C10" s="259">
        <v>2</v>
      </c>
      <c r="D10" s="237">
        <v>18.89</v>
      </c>
      <c r="E10" s="260">
        <f t="shared" si="0"/>
        <v>37.78</v>
      </c>
      <c r="F10" s="185">
        <f t="shared" si="1"/>
        <v>453.4</v>
      </c>
      <c r="G10" s="95"/>
      <c r="H10" s="95">
        <f>7.062+7.945</f>
        <v>15</v>
      </c>
      <c r="I10" s="95"/>
      <c r="J10" s="95"/>
      <c r="K10" s="95">
        <f>(D10*0.4+D10*0.2)*12</f>
        <v>136</v>
      </c>
      <c r="L10" s="95">
        <f t="shared" ref="L10:L25" si="18">F10*$L$4</f>
        <v>322</v>
      </c>
      <c r="M10" s="95">
        <f t="shared" si="2"/>
        <v>926.4</v>
      </c>
      <c r="N10" s="111">
        <v>0.47</v>
      </c>
      <c r="O10" s="95">
        <f t="shared" si="3"/>
        <v>435.4</v>
      </c>
      <c r="P10" s="95">
        <f t="shared" si="4"/>
        <v>1361.8</v>
      </c>
      <c r="Q10" s="95">
        <f t="shared" si="5"/>
        <v>1089.4000000000001</v>
      </c>
      <c r="R10" s="95">
        <f t="shared" si="6"/>
        <v>1089.4000000000001</v>
      </c>
      <c r="S10" s="95">
        <f t="shared" si="7"/>
        <v>113.3</v>
      </c>
      <c r="T10" s="95">
        <f t="shared" si="8"/>
        <v>3653.9</v>
      </c>
      <c r="U10" s="3430"/>
      <c r="V10" s="95">
        <f t="shared" si="9"/>
        <v>3653.9</v>
      </c>
      <c r="W10" s="95">
        <f>AQ10+100</f>
        <v>985.2</v>
      </c>
      <c r="X10" s="1237"/>
      <c r="Y10" s="112">
        <v>30</v>
      </c>
      <c r="Z10" s="113">
        <f t="shared" si="10"/>
        <v>0</v>
      </c>
      <c r="AA10" s="1237"/>
      <c r="AB10" s="112">
        <v>15</v>
      </c>
      <c r="AC10" s="113">
        <f t="shared" si="11"/>
        <v>0</v>
      </c>
      <c r="AD10" s="1237"/>
      <c r="AE10" s="112">
        <v>30</v>
      </c>
      <c r="AF10" s="113">
        <f t="shared" si="12"/>
        <v>0</v>
      </c>
      <c r="AG10" s="113">
        <f t="shared" si="13"/>
        <v>0</v>
      </c>
      <c r="AH10" s="113">
        <f t="shared" si="14"/>
        <v>0</v>
      </c>
      <c r="AI10" s="131">
        <f t="shared" si="15"/>
        <v>152245.82999999999</v>
      </c>
      <c r="AK10" s="114">
        <f t="shared" si="16"/>
        <v>1827</v>
      </c>
      <c r="AL10" s="114">
        <f t="shared" ref="AL10:AL27" si="19">((979*0.302)+((AK10-979)*0.182))</f>
        <v>450</v>
      </c>
      <c r="AM10" s="115">
        <f>AL10/AK10</f>
        <v>0.246</v>
      </c>
      <c r="AN10" s="50">
        <f>1150*0.22+(AK10-1150)*0.1</f>
        <v>320.7</v>
      </c>
      <c r="AO10" s="50">
        <f>865*0.029</f>
        <v>25.1</v>
      </c>
      <c r="AP10" s="50">
        <f>AK10*0.053</f>
        <v>96.8</v>
      </c>
      <c r="AQ10" s="50">
        <f>SUM(AN10:AP10)*C10</f>
        <v>885.2</v>
      </c>
      <c r="AS10" s="99">
        <f t="shared" si="17"/>
        <v>28.335000000000001</v>
      </c>
    </row>
    <row r="11" spans="1:45" ht="15.75" customHeight="1" x14ac:dyDescent="0.2">
      <c r="A11" s="1237">
        <v>3</v>
      </c>
      <c r="B11" s="261" t="s">
        <v>23</v>
      </c>
      <c r="C11" s="262">
        <v>4</v>
      </c>
      <c r="D11" s="237">
        <v>11.538</v>
      </c>
      <c r="E11" s="111">
        <f t="shared" si="0"/>
        <v>46.15</v>
      </c>
      <c r="F11" s="95">
        <f t="shared" si="1"/>
        <v>553.79999999999995</v>
      </c>
      <c r="G11" s="95"/>
      <c r="H11" s="95">
        <f>2.757+7.01+7.01+7.789</f>
        <v>24.6</v>
      </c>
      <c r="I11" s="95"/>
      <c r="J11" s="95"/>
      <c r="K11" s="95">
        <f>(D11*0.4*3+D11*0.25)*12</f>
        <v>200.8</v>
      </c>
      <c r="L11" s="95">
        <f t="shared" si="18"/>
        <v>393.2</v>
      </c>
      <c r="M11" s="95">
        <f t="shared" si="2"/>
        <v>1172.4000000000001</v>
      </c>
      <c r="N11" s="111">
        <v>0.43</v>
      </c>
      <c r="O11" s="95">
        <f t="shared" si="3"/>
        <v>504.1</v>
      </c>
      <c r="P11" s="95">
        <f t="shared" si="4"/>
        <v>1676.5</v>
      </c>
      <c r="Q11" s="95">
        <f t="shared" si="5"/>
        <v>1341.2</v>
      </c>
      <c r="R11" s="95">
        <f t="shared" si="6"/>
        <v>1341.2</v>
      </c>
      <c r="S11" s="95">
        <f t="shared" si="7"/>
        <v>139.5</v>
      </c>
      <c r="T11" s="95">
        <f t="shared" si="8"/>
        <v>4498.3999999999996</v>
      </c>
      <c r="U11" s="3430"/>
      <c r="V11" s="95">
        <f>T11*$U$9</f>
        <v>4498.3999999999996</v>
      </c>
      <c r="W11" s="95">
        <f>V11*0.302</f>
        <v>1358.5</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93716.67</v>
      </c>
      <c r="AK11" s="114">
        <f t="shared" si="16"/>
        <v>1124.5999999999999</v>
      </c>
      <c r="AL11" s="114">
        <f t="shared" si="19"/>
        <v>322.2</v>
      </c>
      <c r="AM11" s="115">
        <v>0.30199999999999999</v>
      </c>
      <c r="AN11" s="50"/>
      <c r="AO11" s="50"/>
      <c r="AP11" s="50"/>
      <c r="AQ11" s="50"/>
      <c r="AS11" s="99">
        <f t="shared" si="17"/>
        <v>17.306999999999999</v>
      </c>
    </row>
    <row r="12" spans="1:45" x14ac:dyDescent="0.2">
      <c r="A12" s="1237">
        <v>4</v>
      </c>
      <c r="B12" s="261" t="s">
        <v>47</v>
      </c>
      <c r="C12" s="262">
        <v>1</v>
      </c>
      <c r="D12" s="237">
        <v>6.556</v>
      </c>
      <c r="E12" s="111">
        <f t="shared" si="0"/>
        <v>6.56</v>
      </c>
      <c r="F12" s="95">
        <f t="shared" si="1"/>
        <v>78.7</v>
      </c>
      <c r="G12" s="95"/>
      <c r="H12" s="95">
        <f>3064.3/1000</f>
        <v>3.1</v>
      </c>
      <c r="I12" s="95"/>
      <c r="J12" s="95"/>
      <c r="K12" s="95">
        <f>F12*0.25</f>
        <v>19.7</v>
      </c>
      <c r="L12" s="95">
        <f t="shared" si="18"/>
        <v>55.9</v>
      </c>
      <c r="M12" s="95">
        <f t="shared" si="2"/>
        <v>157.4</v>
      </c>
      <c r="N12" s="111">
        <v>0.45</v>
      </c>
      <c r="O12" s="95">
        <f t="shared" si="3"/>
        <v>70.8</v>
      </c>
      <c r="P12" s="95">
        <f t="shared" si="4"/>
        <v>228.2</v>
      </c>
      <c r="Q12" s="95">
        <f t="shared" si="5"/>
        <v>182.6</v>
      </c>
      <c r="R12" s="95">
        <f t="shared" si="6"/>
        <v>182.6</v>
      </c>
      <c r="S12" s="95">
        <f t="shared" si="7"/>
        <v>19</v>
      </c>
      <c r="T12" s="95">
        <f t="shared" si="8"/>
        <v>612.4</v>
      </c>
      <c r="U12" s="3430"/>
      <c r="V12" s="95">
        <f t="shared" si="9"/>
        <v>612.4</v>
      </c>
      <c r="W12" s="95">
        <f t="shared" ref="W12:W27" si="20">V12*0.302</f>
        <v>184.9</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51033.33</v>
      </c>
      <c r="AK12" s="114">
        <f t="shared" si="16"/>
        <v>612.4</v>
      </c>
      <c r="AL12" s="114">
        <f t="shared" si="19"/>
        <v>228.9</v>
      </c>
      <c r="AM12" s="115">
        <v>0.30199999999999999</v>
      </c>
      <c r="AO12" s="50"/>
      <c r="AP12" s="50"/>
      <c r="AQ12" s="50"/>
      <c r="AS12" s="99">
        <f t="shared" si="17"/>
        <v>9.8339999999999996</v>
      </c>
    </row>
    <row r="13" spans="1:45" x14ac:dyDescent="0.2">
      <c r="A13" s="1237">
        <v>5</v>
      </c>
      <c r="B13" s="236" t="s">
        <v>15</v>
      </c>
      <c r="C13" s="262">
        <v>1</v>
      </c>
      <c r="D13" s="237">
        <v>11.538</v>
      </c>
      <c r="E13" s="111">
        <f t="shared" si="0"/>
        <v>11.54</v>
      </c>
      <c r="F13" s="95">
        <f t="shared" si="1"/>
        <v>138.5</v>
      </c>
      <c r="G13" s="95"/>
      <c r="H13" s="95"/>
      <c r="I13" s="95"/>
      <c r="J13" s="95"/>
      <c r="K13" s="95">
        <f>D11*0.25*4.6+D11*0.3*7.4</f>
        <v>38.9</v>
      </c>
      <c r="L13" s="95">
        <f t="shared" si="18"/>
        <v>98.3</v>
      </c>
      <c r="M13" s="95">
        <f t="shared" si="2"/>
        <v>275.7</v>
      </c>
      <c r="N13" s="111">
        <v>0.43</v>
      </c>
      <c r="O13" s="95">
        <f t="shared" si="3"/>
        <v>118.6</v>
      </c>
      <c r="P13" s="95">
        <f t="shared" si="4"/>
        <v>394.3</v>
      </c>
      <c r="Q13" s="95">
        <f t="shared" si="5"/>
        <v>315.39999999999998</v>
      </c>
      <c r="R13" s="95">
        <f t="shared" si="6"/>
        <v>315.39999999999998</v>
      </c>
      <c r="S13" s="95">
        <f t="shared" si="7"/>
        <v>32.799999999999997</v>
      </c>
      <c r="T13" s="95">
        <f t="shared" si="8"/>
        <v>1057.9000000000001</v>
      </c>
      <c r="U13" s="3430"/>
      <c r="V13" s="95">
        <f t="shared" si="9"/>
        <v>1057.9000000000001</v>
      </c>
      <c r="W13" s="95">
        <f t="shared" si="20"/>
        <v>319.5</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88158.33</v>
      </c>
      <c r="AK13" s="114">
        <f t="shared" si="16"/>
        <v>1057.9000000000001</v>
      </c>
      <c r="AL13" s="114">
        <f t="shared" si="19"/>
        <v>310</v>
      </c>
      <c r="AM13" s="115">
        <v>0.30199999999999999</v>
      </c>
      <c r="AN13" s="50"/>
      <c r="AO13" s="50"/>
      <c r="AP13" s="50"/>
      <c r="AQ13" s="50"/>
      <c r="AS13" s="99">
        <f t="shared" si="17"/>
        <v>17.306999999999999</v>
      </c>
    </row>
    <row r="14" spans="1:45" s="245" customFormat="1" x14ac:dyDescent="0.2">
      <c r="A14" s="1237">
        <v>6</v>
      </c>
      <c r="B14" s="261" t="s">
        <v>48</v>
      </c>
      <c r="C14" s="262">
        <v>1</v>
      </c>
      <c r="D14" s="237">
        <v>11.538</v>
      </c>
      <c r="E14" s="249">
        <f t="shared" si="0"/>
        <v>11.54</v>
      </c>
      <c r="F14" s="248">
        <f t="shared" si="1"/>
        <v>138.5</v>
      </c>
      <c r="G14" s="248"/>
      <c r="H14" s="248">
        <v>7</v>
      </c>
      <c r="I14" s="248"/>
      <c r="J14" s="248"/>
      <c r="K14" s="248">
        <f>F14*0.4</f>
        <v>55.4</v>
      </c>
      <c r="L14" s="95">
        <f t="shared" si="18"/>
        <v>98.3</v>
      </c>
      <c r="M14" s="248">
        <f t="shared" si="2"/>
        <v>299.2</v>
      </c>
      <c r="N14" s="111">
        <v>0.47</v>
      </c>
      <c r="O14" s="248">
        <f t="shared" si="3"/>
        <v>140.6</v>
      </c>
      <c r="P14" s="248">
        <f t="shared" si="4"/>
        <v>439.8</v>
      </c>
      <c r="Q14" s="248">
        <f t="shared" si="5"/>
        <v>351.8</v>
      </c>
      <c r="R14" s="248">
        <f t="shared" si="6"/>
        <v>351.8</v>
      </c>
      <c r="S14" s="248">
        <f t="shared" si="7"/>
        <v>36.6</v>
      </c>
      <c r="T14" s="248">
        <f t="shared" si="8"/>
        <v>1180</v>
      </c>
      <c r="U14" s="3430"/>
      <c r="V14" s="248">
        <f t="shared" si="9"/>
        <v>1180</v>
      </c>
      <c r="W14" s="95">
        <f>AQ14</f>
        <v>347.2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98333.33</v>
      </c>
      <c r="AK14" s="114">
        <f t="shared" si="16"/>
        <v>1180</v>
      </c>
      <c r="AL14" s="114">
        <f t="shared" si="19"/>
        <v>332.2</v>
      </c>
      <c r="AM14" s="115">
        <v>0.30199999999999999</v>
      </c>
      <c r="AN14" s="50">
        <f>AK14*0.22</f>
        <v>259.60000000000002</v>
      </c>
      <c r="AO14" s="50">
        <f>865*0.029</f>
        <v>25.1</v>
      </c>
      <c r="AP14" s="50">
        <f>AK14*0.053</f>
        <v>62.5</v>
      </c>
      <c r="AQ14" s="50">
        <f>SUM(AN14:AP14)*C14</f>
        <v>347.2</v>
      </c>
      <c r="AS14" s="99">
        <f t="shared" si="17"/>
        <v>17.306999999999999</v>
      </c>
    </row>
    <row r="15" spans="1:45" x14ac:dyDescent="0.2">
      <c r="A15" s="1237">
        <v>7</v>
      </c>
      <c r="B15" s="236" t="s">
        <v>49</v>
      </c>
      <c r="C15" s="259">
        <v>1</v>
      </c>
      <c r="D15" s="237">
        <v>8.8369999999999997</v>
      </c>
      <c r="E15" s="111">
        <f t="shared" si="0"/>
        <v>8.84</v>
      </c>
      <c r="F15" s="95">
        <f t="shared" si="1"/>
        <v>106.1</v>
      </c>
      <c r="G15" s="95"/>
      <c r="H15" s="95">
        <v>6</v>
      </c>
      <c r="I15" s="95"/>
      <c r="J15" s="95"/>
      <c r="K15" s="95">
        <f>F15*0.2</f>
        <v>21.2</v>
      </c>
      <c r="L15" s="95">
        <f t="shared" si="18"/>
        <v>75.3</v>
      </c>
      <c r="M15" s="95">
        <f t="shared" si="2"/>
        <v>208.6</v>
      </c>
      <c r="N15" s="111">
        <v>0.41</v>
      </c>
      <c r="O15" s="95">
        <f t="shared" si="3"/>
        <v>85.5</v>
      </c>
      <c r="P15" s="95">
        <f t="shared" si="4"/>
        <v>294.10000000000002</v>
      </c>
      <c r="Q15" s="95">
        <f t="shared" si="5"/>
        <v>235.3</v>
      </c>
      <c r="R15" s="95">
        <f t="shared" si="6"/>
        <v>235.3</v>
      </c>
      <c r="S15" s="95">
        <f t="shared" si="7"/>
        <v>24.5</v>
      </c>
      <c r="T15" s="95">
        <f t="shared" si="8"/>
        <v>789.2</v>
      </c>
      <c r="U15" s="3430"/>
      <c r="V15" s="95">
        <f t="shared" si="9"/>
        <v>789.2</v>
      </c>
      <c r="W15" s="95">
        <f t="shared" si="20"/>
        <v>238.3</v>
      </c>
      <c r="X15" s="1237"/>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65766.67</v>
      </c>
      <c r="AK15" s="114">
        <f t="shared" si="16"/>
        <v>789.2</v>
      </c>
      <c r="AL15" s="114">
        <f t="shared" si="19"/>
        <v>261.10000000000002</v>
      </c>
      <c r="AM15" s="115">
        <v>0.30199999999999999</v>
      </c>
      <c r="AO15" s="50"/>
      <c r="AP15" s="50"/>
      <c r="AQ15" s="50"/>
      <c r="AS15" s="99">
        <f t="shared" si="17"/>
        <v>13.2555</v>
      </c>
    </row>
    <row r="16" spans="1:45" x14ac:dyDescent="0.2">
      <c r="A16" s="1237">
        <v>8</v>
      </c>
      <c r="B16" s="236" t="s">
        <v>59</v>
      </c>
      <c r="C16" s="259">
        <v>1</v>
      </c>
      <c r="D16" s="237">
        <v>8.8369999999999997</v>
      </c>
      <c r="E16" s="111">
        <f t="shared" si="0"/>
        <v>8.84</v>
      </c>
      <c r="F16" s="95">
        <f t="shared" si="1"/>
        <v>106.1</v>
      </c>
      <c r="G16" s="95"/>
      <c r="H16" s="95">
        <v>5.4</v>
      </c>
      <c r="I16" s="95"/>
      <c r="J16" s="95"/>
      <c r="K16" s="95">
        <f>F16*0.4</f>
        <v>42.4</v>
      </c>
      <c r="L16" s="95">
        <f t="shared" si="18"/>
        <v>75.3</v>
      </c>
      <c r="M16" s="95">
        <f t="shared" si="2"/>
        <v>229.2</v>
      </c>
      <c r="N16" s="111">
        <v>0.41</v>
      </c>
      <c r="O16" s="95">
        <f t="shared" si="3"/>
        <v>94</v>
      </c>
      <c r="P16" s="95">
        <f t="shared" si="4"/>
        <v>323.2</v>
      </c>
      <c r="Q16" s="95">
        <f t="shared" si="5"/>
        <v>258.60000000000002</v>
      </c>
      <c r="R16" s="95">
        <f t="shared" si="6"/>
        <v>258.60000000000002</v>
      </c>
      <c r="S16" s="95">
        <f t="shared" si="7"/>
        <v>26.9</v>
      </c>
      <c r="T16" s="95">
        <f t="shared" si="8"/>
        <v>867.3</v>
      </c>
      <c r="U16" s="3430"/>
      <c r="V16" s="95">
        <f t="shared" si="9"/>
        <v>867.3</v>
      </c>
      <c r="W16" s="95">
        <f t="shared" si="20"/>
        <v>261.89999999999998</v>
      </c>
      <c r="X16" s="1237"/>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72275</v>
      </c>
      <c r="AK16" s="114">
        <f t="shared" si="16"/>
        <v>867.3</v>
      </c>
      <c r="AL16" s="114">
        <f t="shared" si="19"/>
        <v>275.3</v>
      </c>
      <c r="AM16" s="115">
        <v>0.30199999999999999</v>
      </c>
      <c r="AN16" s="50"/>
      <c r="AO16" s="50"/>
      <c r="AP16" s="50"/>
      <c r="AQ16" s="50"/>
      <c r="AS16" s="99">
        <f t="shared" si="17"/>
        <v>13.2555</v>
      </c>
    </row>
    <row r="17" spans="1:45" x14ac:dyDescent="0.2">
      <c r="A17" s="1237">
        <v>9</v>
      </c>
      <c r="B17" s="261" t="s">
        <v>40</v>
      </c>
      <c r="C17" s="259">
        <v>1</v>
      </c>
      <c r="D17" s="237">
        <v>11.538</v>
      </c>
      <c r="E17" s="111">
        <f t="shared" si="0"/>
        <v>11.54</v>
      </c>
      <c r="F17" s="95">
        <f t="shared" si="1"/>
        <v>138.5</v>
      </c>
      <c r="G17" s="95"/>
      <c r="H17" s="95">
        <f>5392.4/1000</f>
        <v>5.4</v>
      </c>
      <c r="I17" s="95"/>
      <c r="J17" s="95"/>
      <c r="K17" s="95"/>
      <c r="L17" s="95">
        <f t="shared" si="18"/>
        <v>98.3</v>
      </c>
      <c r="M17" s="95">
        <f t="shared" si="2"/>
        <v>242.2</v>
      </c>
      <c r="N17" s="111">
        <v>0.43</v>
      </c>
      <c r="O17" s="95">
        <f t="shared" si="3"/>
        <v>104.1</v>
      </c>
      <c r="P17" s="95">
        <f t="shared" si="4"/>
        <v>346.3</v>
      </c>
      <c r="Q17" s="95">
        <f t="shared" si="5"/>
        <v>277</v>
      </c>
      <c r="R17" s="95">
        <f t="shared" si="6"/>
        <v>277</v>
      </c>
      <c r="S17" s="95">
        <f t="shared" si="7"/>
        <v>28.8</v>
      </c>
      <c r="T17" s="95">
        <f t="shared" si="8"/>
        <v>929.1</v>
      </c>
      <c r="U17" s="3430"/>
      <c r="V17" s="95">
        <f t="shared" si="9"/>
        <v>929.1</v>
      </c>
      <c r="W17" s="95">
        <f t="shared" si="20"/>
        <v>280.60000000000002</v>
      </c>
      <c r="X17" s="1237"/>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77425</v>
      </c>
      <c r="AK17" s="114">
        <f t="shared" si="16"/>
        <v>929.1</v>
      </c>
      <c r="AL17" s="114">
        <f t="shared" si="19"/>
        <v>286.60000000000002</v>
      </c>
      <c r="AM17" s="115">
        <v>0.30199999999999999</v>
      </c>
      <c r="AN17" s="50"/>
      <c r="AO17" s="50"/>
      <c r="AP17" s="50"/>
      <c r="AQ17" s="50"/>
      <c r="AS17" s="99">
        <f t="shared" si="17"/>
        <v>17.306999999999999</v>
      </c>
    </row>
    <row r="18" spans="1:45" x14ac:dyDescent="0.2">
      <c r="A18" s="1237">
        <v>10</v>
      </c>
      <c r="B18" s="261" t="s">
        <v>29</v>
      </c>
      <c r="C18" s="259">
        <v>2</v>
      </c>
      <c r="D18" s="237">
        <v>8.8369999999999997</v>
      </c>
      <c r="E18" s="111">
        <f t="shared" si="0"/>
        <v>17.670000000000002</v>
      </c>
      <c r="F18" s="95">
        <f t="shared" si="1"/>
        <v>212</v>
      </c>
      <c r="G18" s="95"/>
      <c r="H18" s="95">
        <f>2065.2/1000</f>
        <v>2.1</v>
      </c>
      <c r="I18" s="95"/>
      <c r="J18" s="95"/>
      <c r="K18" s="95">
        <f>(D18*0.25+D18*0.3)*12</f>
        <v>58.3</v>
      </c>
      <c r="L18" s="95">
        <f t="shared" si="18"/>
        <v>150.5</v>
      </c>
      <c r="M18" s="95">
        <f t="shared" si="2"/>
        <v>422.9</v>
      </c>
      <c r="N18" s="111">
        <v>0.41</v>
      </c>
      <c r="O18" s="95">
        <f t="shared" si="3"/>
        <v>173.4</v>
      </c>
      <c r="P18" s="95">
        <f t="shared" si="4"/>
        <v>596.29999999999995</v>
      </c>
      <c r="Q18" s="95">
        <f t="shared" si="5"/>
        <v>477</v>
      </c>
      <c r="R18" s="95">
        <f t="shared" si="6"/>
        <v>477</v>
      </c>
      <c r="S18" s="95">
        <f t="shared" si="7"/>
        <v>49.6</v>
      </c>
      <c r="T18" s="95">
        <f t="shared" si="8"/>
        <v>1599.9</v>
      </c>
      <c r="U18" s="3430"/>
      <c r="V18" s="95">
        <f t="shared" si="9"/>
        <v>1599.9</v>
      </c>
      <c r="W18" s="95">
        <f t="shared" si="20"/>
        <v>483.2</v>
      </c>
      <c r="X18" s="1237"/>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66662.5</v>
      </c>
      <c r="AK18" s="114">
        <f t="shared" si="16"/>
        <v>800</v>
      </c>
      <c r="AL18" s="114">
        <f t="shared" si="19"/>
        <v>263.10000000000002</v>
      </c>
      <c r="AM18" s="115">
        <v>0.30199999999999999</v>
      </c>
      <c r="AN18" s="263"/>
      <c r="AO18" s="263"/>
      <c r="AP18" s="263"/>
      <c r="AS18" s="99">
        <f t="shared" si="17"/>
        <v>13.2555</v>
      </c>
    </row>
    <row r="19" spans="1:45" x14ac:dyDescent="0.2">
      <c r="A19" s="1237">
        <v>11</v>
      </c>
      <c r="B19" s="261" t="s">
        <v>58</v>
      </c>
      <c r="C19" s="259">
        <v>1</v>
      </c>
      <c r="D19" s="237">
        <v>11.538</v>
      </c>
      <c r="E19" s="111">
        <f t="shared" si="0"/>
        <v>11.54</v>
      </c>
      <c r="F19" s="95">
        <f t="shared" si="1"/>
        <v>138.5</v>
      </c>
      <c r="G19" s="95"/>
      <c r="H19" s="95">
        <f>5392.4/1000</f>
        <v>5.4</v>
      </c>
      <c r="I19" s="95"/>
      <c r="J19" s="95"/>
      <c r="K19" s="95">
        <f>F19*0.4</f>
        <v>55.4</v>
      </c>
      <c r="L19" s="95">
        <f t="shared" si="18"/>
        <v>98.3</v>
      </c>
      <c r="M19" s="95">
        <f t="shared" si="2"/>
        <v>297.60000000000002</v>
      </c>
      <c r="N19" s="111">
        <v>0.43</v>
      </c>
      <c r="O19" s="95">
        <f t="shared" si="3"/>
        <v>128</v>
      </c>
      <c r="P19" s="95">
        <f t="shared" si="4"/>
        <v>425.6</v>
      </c>
      <c r="Q19" s="95">
        <f t="shared" si="5"/>
        <v>340.5</v>
      </c>
      <c r="R19" s="95">
        <f t="shared" si="6"/>
        <v>340.5</v>
      </c>
      <c r="S19" s="95">
        <f t="shared" si="7"/>
        <v>35.4</v>
      </c>
      <c r="T19" s="95">
        <f t="shared" si="8"/>
        <v>1142</v>
      </c>
      <c r="U19" s="3430"/>
      <c r="V19" s="95">
        <f t="shared" si="9"/>
        <v>1142</v>
      </c>
      <c r="W19" s="95">
        <f t="shared" si="20"/>
        <v>344.9</v>
      </c>
      <c r="X19" s="1237"/>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95166.67</v>
      </c>
      <c r="AK19" s="114">
        <f t="shared" si="16"/>
        <v>1142</v>
      </c>
      <c r="AL19" s="114">
        <f t="shared" si="19"/>
        <v>325.3</v>
      </c>
      <c r="AM19" s="115">
        <v>0.30199999999999999</v>
      </c>
      <c r="AN19" s="50"/>
      <c r="AO19" s="50"/>
      <c r="AP19" s="50"/>
      <c r="AQ19" s="50"/>
      <c r="AS19" s="99">
        <f t="shared" si="17"/>
        <v>17.306999999999999</v>
      </c>
    </row>
    <row r="20" spans="1:45" x14ac:dyDescent="0.2">
      <c r="A20" s="1237">
        <v>12</v>
      </c>
      <c r="B20" s="236" t="s">
        <v>42</v>
      </c>
      <c r="C20" s="259">
        <v>1</v>
      </c>
      <c r="D20" s="237">
        <v>11.538</v>
      </c>
      <c r="E20" s="111">
        <f t="shared" si="0"/>
        <v>11.54</v>
      </c>
      <c r="F20" s="95">
        <f t="shared" si="1"/>
        <v>138.5</v>
      </c>
      <c r="G20" s="95"/>
      <c r="H20" s="95">
        <v>7.8</v>
      </c>
      <c r="I20" s="95"/>
      <c r="J20" s="95"/>
      <c r="K20" s="95">
        <f>F20*0.2</f>
        <v>27.7</v>
      </c>
      <c r="L20" s="95">
        <f t="shared" si="18"/>
        <v>98.3</v>
      </c>
      <c r="M20" s="95">
        <f t="shared" si="2"/>
        <v>272.3</v>
      </c>
      <c r="N20" s="111">
        <v>0.43</v>
      </c>
      <c r="O20" s="95">
        <f t="shared" si="3"/>
        <v>117.1</v>
      </c>
      <c r="P20" s="95">
        <f t="shared" si="4"/>
        <v>389.4</v>
      </c>
      <c r="Q20" s="95">
        <f t="shared" si="5"/>
        <v>311.5</v>
      </c>
      <c r="R20" s="95">
        <f t="shared" si="6"/>
        <v>311.5</v>
      </c>
      <c r="S20" s="95">
        <f t="shared" si="7"/>
        <v>32.4</v>
      </c>
      <c r="T20" s="95">
        <f t="shared" si="8"/>
        <v>1044.8</v>
      </c>
      <c r="U20" s="3430"/>
      <c r="V20" s="95">
        <f t="shared" si="9"/>
        <v>1044.8</v>
      </c>
      <c r="W20" s="95">
        <f t="shared" si="20"/>
        <v>315.5</v>
      </c>
      <c r="X20" s="1237"/>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87066.67</v>
      </c>
      <c r="AK20" s="114">
        <f t="shared" si="16"/>
        <v>1044.8</v>
      </c>
      <c r="AL20" s="114">
        <f t="shared" si="19"/>
        <v>307.60000000000002</v>
      </c>
      <c r="AM20" s="115">
        <v>0.30199999999999999</v>
      </c>
      <c r="AN20" s="50"/>
      <c r="AO20" s="50"/>
      <c r="AP20" s="50"/>
      <c r="AQ20" s="50"/>
      <c r="AS20" s="99">
        <f t="shared" si="17"/>
        <v>17.306999999999999</v>
      </c>
    </row>
    <row r="21" spans="1:45" s="22" customFormat="1" ht="25.5" x14ac:dyDescent="0.2">
      <c r="A21" s="1237">
        <v>13</v>
      </c>
      <c r="B21" s="52" t="s">
        <v>132</v>
      </c>
      <c r="C21" s="167">
        <v>1</v>
      </c>
      <c r="D21" s="177">
        <v>8.8369999999999997</v>
      </c>
      <c r="E21" s="171">
        <f t="shared" si="0"/>
        <v>8.84</v>
      </c>
      <c r="F21" s="154">
        <f>E21*12</f>
        <v>106.1</v>
      </c>
      <c r="G21" s="154"/>
      <c r="H21" s="154">
        <f>4130.4/1000</f>
        <v>4.0999999999999996</v>
      </c>
      <c r="I21" s="154"/>
      <c r="J21" s="154"/>
      <c r="K21" s="154"/>
      <c r="L21" s="154">
        <f t="shared" si="18"/>
        <v>75.3</v>
      </c>
      <c r="M21" s="154">
        <f t="shared" si="2"/>
        <v>185.5</v>
      </c>
      <c r="N21" s="171">
        <v>0.47</v>
      </c>
      <c r="O21" s="154">
        <f t="shared" si="3"/>
        <v>87.2</v>
      </c>
      <c r="P21" s="154">
        <f t="shared" si="4"/>
        <v>272.7</v>
      </c>
      <c r="Q21" s="154">
        <f t="shared" si="5"/>
        <v>218.2</v>
      </c>
      <c r="R21" s="154">
        <f t="shared" si="6"/>
        <v>218.2</v>
      </c>
      <c r="S21" s="154">
        <f t="shared" si="7"/>
        <v>22.7</v>
      </c>
      <c r="T21" s="154">
        <f t="shared" si="8"/>
        <v>731.8</v>
      </c>
      <c r="U21" s="3430"/>
      <c r="V21" s="154">
        <f>T21*$U$9</f>
        <v>731.8</v>
      </c>
      <c r="W21" s="95">
        <f t="shared" si="20"/>
        <v>221</v>
      </c>
      <c r="X21" s="1234"/>
      <c r="Y21" s="24">
        <v>30</v>
      </c>
      <c r="Z21" s="48">
        <f t="shared" si="10"/>
        <v>0</v>
      </c>
      <c r="AA21" s="54"/>
      <c r="AB21" s="24">
        <v>15</v>
      </c>
      <c r="AC21" s="48">
        <f t="shared" si="11"/>
        <v>0</v>
      </c>
      <c r="AD21" s="54"/>
      <c r="AE21" s="24">
        <v>30</v>
      </c>
      <c r="AF21" s="48">
        <f t="shared" si="12"/>
        <v>0</v>
      </c>
      <c r="AG21" s="48">
        <f t="shared" si="13"/>
        <v>0</v>
      </c>
      <c r="AH21" s="48">
        <f t="shared" si="14"/>
        <v>0</v>
      </c>
      <c r="AI21" s="39">
        <f t="shared" si="15"/>
        <v>60983.33</v>
      </c>
      <c r="AK21" s="34">
        <f t="shared" si="16"/>
        <v>731.8</v>
      </c>
      <c r="AL21" s="34">
        <f t="shared" si="19"/>
        <v>250.7</v>
      </c>
      <c r="AM21" s="51">
        <v>0.30199999999999999</v>
      </c>
      <c r="AN21" s="211"/>
      <c r="AO21" s="211"/>
      <c r="AP21" s="211"/>
      <c r="AQ21" s="211"/>
      <c r="AS21" s="22">
        <f t="shared" si="17"/>
        <v>13.2555</v>
      </c>
    </row>
    <row r="22" spans="1:45" x14ac:dyDescent="0.2">
      <c r="A22" s="1237">
        <v>14</v>
      </c>
      <c r="B22" s="261" t="s">
        <v>44</v>
      </c>
      <c r="C22" s="259">
        <v>1</v>
      </c>
      <c r="D22" s="237">
        <v>11.538</v>
      </c>
      <c r="E22" s="111">
        <f t="shared" si="0"/>
        <v>11.54</v>
      </c>
      <c r="F22" s="95">
        <f t="shared" si="1"/>
        <v>138.5</v>
      </c>
      <c r="G22" s="95"/>
      <c r="H22" s="95">
        <v>7</v>
      </c>
      <c r="I22" s="95"/>
      <c r="J22" s="95"/>
      <c r="K22" s="95">
        <f>F22*0.4</f>
        <v>55.4</v>
      </c>
      <c r="L22" s="95">
        <f t="shared" si="18"/>
        <v>98.3</v>
      </c>
      <c r="M22" s="95">
        <f t="shared" si="2"/>
        <v>299.2</v>
      </c>
      <c r="N22" s="111">
        <v>0.43</v>
      </c>
      <c r="O22" s="95">
        <f t="shared" si="3"/>
        <v>128.69999999999999</v>
      </c>
      <c r="P22" s="95">
        <f t="shared" si="4"/>
        <v>427.9</v>
      </c>
      <c r="Q22" s="95">
        <f t="shared" si="5"/>
        <v>342.3</v>
      </c>
      <c r="R22" s="95">
        <f t="shared" si="6"/>
        <v>342.3</v>
      </c>
      <c r="S22" s="95">
        <f t="shared" si="7"/>
        <v>35.6</v>
      </c>
      <c r="T22" s="95">
        <f t="shared" si="8"/>
        <v>1148.0999999999999</v>
      </c>
      <c r="U22" s="3430"/>
      <c r="V22" s="95">
        <f t="shared" si="9"/>
        <v>1148.0999999999999</v>
      </c>
      <c r="W22" s="95">
        <f t="shared" si="20"/>
        <v>346.7</v>
      </c>
      <c r="X22" s="1237">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95675</v>
      </c>
      <c r="AK22" s="114">
        <f t="shared" si="16"/>
        <v>1148.0999999999999</v>
      </c>
      <c r="AL22" s="114">
        <f t="shared" si="19"/>
        <v>326.39999999999998</v>
      </c>
      <c r="AM22" s="115">
        <v>0.30199999999999999</v>
      </c>
      <c r="AN22" s="50"/>
      <c r="AO22" s="50"/>
      <c r="AP22" s="50"/>
      <c r="AQ22" s="50"/>
      <c r="AS22" s="99">
        <f t="shared" si="17"/>
        <v>17.306999999999999</v>
      </c>
    </row>
    <row r="23" spans="1:45" x14ac:dyDescent="0.2">
      <c r="A23" s="1237">
        <v>15</v>
      </c>
      <c r="B23" s="236" t="s">
        <v>33</v>
      </c>
      <c r="C23" s="174">
        <v>1</v>
      </c>
      <c r="D23" s="237">
        <v>8.8369999999999997</v>
      </c>
      <c r="E23" s="111">
        <f t="shared" si="0"/>
        <v>8.84</v>
      </c>
      <c r="F23" s="95">
        <f t="shared" si="1"/>
        <v>106.1</v>
      </c>
      <c r="G23" s="95">
        <f>4015.6/1000</f>
        <v>4</v>
      </c>
      <c r="H23" s="95">
        <f>5782.5/1000</f>
        <v>5.8</v>
      </c>
      <c r="I23" s="95"/>
      <c r="J23" s="95"/>
      <c r="K23" s="95">
        <f>D23*0.2*7.6+D23*0.25*4.4</f>
        <v>23.2</v>
      </c>
      <c r="L23" s="95">
        <f t="shared" si="18"/>
        <v>75.3</v>
      </c>
      <c r="M23" s="95">
        <f t="shared" si="2"/>
        <v>214.4</v>
      </c>
      <c r="N23" s="111">
        <v>0.41</v>
      </c>
      <c r="O23" s="95">
        <f t="shared" si="3"/>
        <v>87.9</v>
      </c>
      <c r="P23" s="95">
        <f t="shared" si="4"/>
        <v>302.3</v>
      </c>
      <c r="Q23" s="95">
        <f t="shared" si="5"/>
        <v>241.8</v>
      </c>
      <c r="R23" s="95">
        <f t="shared" si="6"/>
        <v>241.8</v>
      </c>
      <c r="S23" s="95">
        <f t="shared" si="7"/>
        <v>25.1</v>
      </c>
      <c r="T23" s="95">
        <f t="shared" si="8"/>
        <v>811</v>
      </c>
      <c r="U23" s="3430"/>
      <c r="V23" s="95">
        <f t="shared" si="9"/>
        <v>811</v>
      </c>
      <c r="W23" s="95">
        <f t="shared" si="20"/>
        <v>244.9</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67583.33</v>
      </c>
      <c r="AK23" s="114">
        <f t="shared" si="16"/>
        <v>811</v>
      </c>
      <c r="AL23" s="114">
        <f t="shared" si="19"/>
        <v>265.10000000000002</v>
      </c>
      <c r="AM23" s="115">
        <v>0.30199999999999999</v>
      </c>
      <c r="AN23" s="263"/>
      <c r="AO23" s="263"/>
      <c r="AP23" s="263"/>
      <c r="AS23" s="99">
        <f t="shared" si="17"/>
        <v>13.2555</v>
      </c>
    </row>
    <row r="24" spans="1:45" ht="25.5" x14ac:dyDescent="0.2">
      <c r="A24" s="1237">
        <v>16</v>
      </c>
      <c r="B24" s="236" t="s">
        <v>102</v>
      </c>
      <c r="C24" s="174">
        <v>0.5</v>
      </c>
      <c r="D24" s="237">
        <v>4.5650000000000004</v>
      </c>
      <c r="E24" s="111">
        <f t="shared" si="0"/>
        <v>2.2799999999999998</v>
      </c>
      <c r="F24" s="95">
        <f t="shared" si="1"/>
        <v>27.4</v>
      </c>
      <c r="G24" s="95"/>
      <c r="H24" s="95"/>
      <c r="I24" s="95"/>
      <c r="J24" s="95"/>
      <c r="K24" s="95"/>
      <c r="L24" s="95">
        <f t="shared" si="18"/>
        <v>19.5</v>
      </c>
      <c r="M24" s="95">
        <f t="shared" si="2"/>
        <v>46.9</v>
      </c>
      <c r="N24" s="111">
        <v>0.49</v>
      </c>
      <c r="O24" s="95">
        <f t="shared" si="3"/>
        <v>23</v>
      </c>
      <c r="P24" s="95">
        <f t="shared" si="4"/>
        <v>69.900000000000006</v>
      </c>
      <c r="Q24" s="95">
        <f t="shared" si="5"/>
        <v>55.9</v>
      </c>
      <c r="R24" s="95">
        <f t="shared" si="6"/>
        <v>55.9</v>
      </c>
      <c r="S24" s="95">
        <f t="shared" si="7"/>
        <v>5.8</v>
      </c>
      <c r="T24" s="95">
        <f t="shared" si="8"/>
        <v>187.5</v>
      </c>
      <c r="U24" s="3430"/>
      <c r="V24" s="95">
        <f t="shared" si="9"/>
        <v>187.5</v>
      </c>
      <c r="W24" s="95">
        <f t="shared" si="20"/>
        <v>56.6</v>
      </c>
      <c r="X24" s="238"/>
      <c r="Y24" s="240"/>
      <c r="Z24" s="241"/>
      <c r="AA24" s="238"/>
      <c r="AB24" s="240"/>
      <c r="AC24" s="241"/>
      <c r="AD24" s="238"/>
      <c r="AE24" s="240"/>
      <c r="AF24" s="241"/>
      <c r="AG24" s="241"/>
      <c r="AH24" s="241"/>
      <c r="AI24" s="131"/>
      <c r="AK24" s="114"/>
      <c r="AL24" s="114"/>
      <c r="AM24" s="115"/>
      <c r="AN24" s="263"/>
      <c r="AO24" s="263"/>
      <c r="AP24" s="263"/>
      <c r="AS24" s="99">
        <f t="shared" si="17"/>
        <v>6.8475000000000001</v>
      </c>
    </row>
    <row r="25" spans="1:45" x14ac:dyDescent="0.2">
      <c r="A25" s="1237">
        <v>17</v>
      </c>
      <c r="B25" s="236" t="s">
        <v>136</v>
      </c>
      <c r="C25" s="174">
        <v>0.5</v>
      </c>
      <c r="D25" s="237">
        <v>4.5650000000000004</v>
      </c>
      <c r="E25" s="111">
        <f t="shared" si="0"/>
        <v>2.2799999999999998</v>
      </c>
      <c r="F25" s="95">
        <f t="shared" si="1"/>
        <v>27.4</v>
      </c>
      <c r="G25" s="95"/>
      <c r="H25" s="95"/>
      <c r="I25" s="95"/>
      <c r="J25" s="95"/>
      <c r="K25" s="95"/>
      <c r="L25" s="95">
        <f t="shared" si="18"/>
        <v>19.5</v>
      </c>
      <c r="M25" s="95">
        <f t="shared" si="2"/>
        <v>46.9</v>
      </c>
      <c r="N25" s="111">
        <v>0.49</v>
      </c>
      <c r="O25" s="95">
        <f t="shared" si="3"/>
        <v>23</v>
      </c>
      <c r="P25" s="95">
        <f t="shared" si="4"/>
        <v>69.900000000000006</v>
      </c>
      <c r="Q25" s="95">
        <f t="shared" si="5"/>
        <v>55.9</v>
      </c>
      <c r="R25" s="95">
        <f t="shared" si="6"/>
        <v>55.9</v>
      </c>
      <c r="S25" s="95">
        <f t="shared" si="7"/>
        <v>5.8</v>
      </c>
      <c r="T25" s="95">
        <f t="shared" si="8"/>
        <v>187.5</v>
      </c>
      <c r="U25" s="3430"/>
      <c r="V25" s="95">
        <f t="shared" si="9"/>
        <v>187.5</v>
      </c>
      <c r="W25" s="95">
        <f t="shared" si="20"/>
        <v>56.6</v>
      </c>
      <c r="X25" s="238"/>
      <c r="Y25" s="240"/>
      <c r="Z25" s="241"/>
      <c r="AA25" s="238"/>
      <c r="AB25" s="240"/>
      <c r="AC25" s="241"/>
      <c r="AD25" s="238"/>
      <c r="AE25" s="240"/>
      <c r="AF25" s="241"/>
      <c r="AG25" s="241"/>
      <c r="AH25" s="241"/>
      <c r="AI25" s="131"/>
      <c r="AK25" s="114"/>
      <c r="AL25" s="114"/>
      <c r="AM25" s="115"/>
      <c r="AN25" s="263"/>
      <c r="AO25" s="263"/>
      <c r="AP25" s="263"/>
      <c r="AS25" s="99">
        <f t="shared" si="17"/>
        <v>6.8475000000000001</v>
      </c>
    </row>
    <row r="26" spans="1:45" s="245" customFormat="1" x14ac:dyDescent="0.2">
      <c r="A26" s="1237">
        <v>18</v>
      </c>
      <c r="B26" s="236" t="s">
        <v>60</v>
      </c>
      <c r="C26" s="262">
        <v>2</v>
      </c>
      <c r="D26" s="247">
        <v>4.5650000000000004</v>
      </c>
      <c r="E26" s="249">
        <f t="shared" si="0"/>
        <v>9.1300000000000008</v>
      </c>
      <c r="F26" s="248">
        <f t="shared" si="1"/>
        <v>109.6</v>
      </c>
      <c r="G26" s="248">
        <f>12446.4/1000</f>
        <v>12.4</v>
      </c>
      <c r="H26" s="248">
        <f>5974.3/1000</f>
        <v>6</v>
      </c>
      <c r="I26" s="248"/>
      <c r="J26" s="248"/>
      <c r="K26" s="248"/>
      <c r="L26" s="95">
        <v>59</v>
      </c>
      <c r="M26" s="248">
        <f t="shared" si="2"/>
        <v>187</v>
      </c>
      <c r="N26" s="111">
        <v>0.49</v>
      </c>
      <c r="O26" s="248">
        <f t="shared" si="3"/>
        <v>91.6</v>
      </c>
      <c r="P26" s="248">
        <f t="shared" si="4"/>
        <v>278.60000000000002</v>
      </c>
      <c r="Q26" s="248">
        <f t="shared" si="5"/>
        <v>222.9</v>
      </c>
      <c r="R26" s="248">
        <f t="shared" si="6"/>
        <v>222.9</v>
      </c>
      <c r="S26" s="248">
        <f t="shared" si="7"/>
        <v>23.2</v>
      </c>
      <c r="T26" s="248">
        <f t="shared" si="8"/>
        <v>747.6</v>
      </c>
      <c r="U26" s="3430"/>
      <c r="V26" s="248">
        <f t="shared" si="9"/>
        <v>747.6</v>
      </c>
      <c r="W26" s="95">
        <f t="shared" si="20"/>
        <v>225.8</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31150</v>
      </c>
      <c r="AK26" s="114">
        <f>V26/C26</f>
        <v>373.8</v>
      </c>
      <c r="AL26" s="114">
        <f t="shared" si="19"/>
        <v>185.5</v>
      </c>
      <c r="AM26" s="115">
        <v>0.30199999999999999</v>
      </c>
      <c r="AN26" s="211"/>
      <c r="AO26" s="211"/>
      <c r="AP26" s="211"/>
      <c r="AQ26" s="211"/>
      <c r="AS26" s="99">
        <f t="shared" si="17"/>
        <v>6.8475000000000001</v>
      </c>
    </row>
    <row r="27" spans="1:45" x14ac:dyDescent="0.2">
      <c r="A27" s="1237">
        <v>19</v>
      </c>
      <c r="B27" s="261" t="s">
        <v>94</v>
      </c>
      <c r="C27" s="264">
        <v>2</v>
      </c>
      <c r="D27" s="237">
        <v>4.5650000000000004</v>
      </c>
      <c r="E27" s="111">
        <f t="shared" si="0"/>
        <v>9.1300000000000008</v>
      </c>
      <c r="F27" s="95">
        <f t="shared" si="1"/>
        <v>109.6</v>
      </c>
      <c r="G27" s="95">
        <f>2074.4/1000</f>
        <v>2.1</v>
      </c>
      <c r="H27" s="95">
        <f>5.974</f>
        <v>6</v>
      </c>
      <c r="I27" s="95"/>
      <c r="J27" s="95"/>
      <c r="K27" s="95"/>
      <c r="L27" s="95">
        <v>70.8</v>
      </c>
      <c r="M27" s="95">
        <f t="shared" si="2"/>
        <v>188.5</v>
      </c>
      <c r="N27" s="111">
        <v>0.47</v>
      </c>
      <c r="O27" s="95">
        <f t="shared" si="3"/>
        <v>88.6</v>
      </c>
      <c r="P27" s="95">
        <f t="shared" si="4"/>
        <v>277.10000000000002</v>
      </c>
      <c r="Q27" s="95">
        <f t="shared" si="5"/>
        <v>221.7</v>
      </c>
      <c r="R27" s="95">
        <f t="shared" si="6"/>
        <v>221.7</v>
      </c>
      <c r="S27" s="95">
        <f t="shared" si="7"/>
        <v>23.1</v>
      </c>
      <c r="T27" s="95">
        <f t="shared" si="8"/>
        <v>743.6</v>
      </c>
      <c r="U27" s="3430"/>
      <c r="V27" s="95">
        <f>T27*$U$9-1.7</f>
        <v>741.9</v>
      </c>
      <c r="W27" s="95">
        <f t="shared" si="20"/>
        <v>224.1</v>
      </c>
      <c r="X27" s="1237">
        <v>1</v>
      </c>
      <c r="Y27" s="112">
        <v>30</v>
      </c>
      <c r="Z27" s="113">
        <f t="shared" si="10"/>
        <v>30</v>
      </c>
      <c r="AA27" s="1237"/>
      <c r="AB27" s="112">
        <v>15</v>
      </c>
      <c r="AC27" s="113">
        <f t="shared" si="11"/>
        <v>0</v>
      </c>
      <c r="AD27" s="1237"/>
      <c r="AE27" s="112">
        <v>30</v>
      </c>
      <c r="AF27" s="113">
        <f t="shared" si="12"/>
        <v>0</v>
      </c>
      <c r="AG27" s="113">
        <f t="shared" si="13"/>
        <v>9</v>
      </c>
      <c r="AH27" s="113">
        <f t="shared" si="14"/>
        <v>39</v>
      </c>
      <c r="AI27" s="131">
        <f>V27/12/C27*1000</f>
        <v>30912.5</v>
      </c>
      <c r="AK27" s="114">
        <f>V27/C27</f>
        <v>371</v>
      </c>
      <c r="AL27" s="114">
        <f t="shared" si="19"/>
        <v>185</v>
      </c>
      <c r="AM27" s="115">
        <v>0.30199999999999999</v>
      </c>
      <c r="AS27" s="99">
        <f t="shared" si="17"/>
        <v>6.8475000000000001</v>
      </c>
    </row>
    <row r="28" spans="1:45" s="98" customFormat="1" ht="20.25" customHeight="1" x14ac:dyDescent="0.2">
      <c r="A28" s="3431" t="s">
        <v>8</v>
      </c>
      <c r="B28" s="3431"/>
      <c r="C28" s="265">
        <f>SUM(C9:C27)</f>
        <v>25</v>
      </c>
      <c r="D28" s="266">
        <f t="shared" ref="D28:T28" si="21">SUM(D9:D27)</f>
        <v>195.6</v>
      </c>
      <c r="E28" s="266">
        <f t="shared" si="21"/>
        <v>262.60000000000002</v>
      </c>
      <c r="F28" s="266">
        <f t="shared" si="21"/>
        <v>3151.2</v>
      </c>
      <c r="G28" s="266">
        <f t="shared" si="21"/>
        <v>18.5</v>
      </c>
      <c r="H28" s="266">
        <f t="shared" si="21"/>
        <v>110.7</v>
      </c>
      <c r="I28" s="266">
        <f t="shared" si="21"/>
        <v>0</v>
      </c>
      <c r="J28" s="266">
        <f t="shared" si="21"/>
        <v>0</v>
      </c>
      <c r="K28" s="266">
        <f t="shared" si="21"/>
        <v>734.4</v>
      </c>
      <c r="L28" s="266">
        <f t="shared" si="21"/>
        <v>2211.4</v>
      </c>
      <c r="M28" s="266">
        <f t="shared" si="21"/>
        <v>6226.2</v>
      </c>
      <c r="N28" s="266">
        <f t="shared" si="21"/>
        <v>8.5</v>
      </c>
      <c r="O28" s="266">
        <f t="shared" si="21"/>
        <v>2761.9</v>
      </c>
      <c r="P28" s="266">
        <f t="shared" si="21"/>
        <v>8988.1</v>
      </c>
      <c r="Q28" s="266">
        <f t="shared" si="21"/>
        <v>7190.4</v>
      </c>
      <c r="R28" s="266">
        <f t="shared" si="21"/>
        <v>7190.4</v>
      </c>
      <c r="S28" s="266">
        <f t="shared" si="21"/>
        <v>747.8</v>
      </c>
      <c r="T28" s="266">
        <f t="shared" si="21"/>
        <v>24116.7</v>
      </c>
      <c r="U28" s="266"/>
      <c r="V28" s="266">
        <f t="shared" ref="V28:AH28" si="22">SUM(V9:V27)</f>
        <v>24115</v>
      </c>
      <c r="W28" s="266">
        <f>SUM(W9:W27)</f>
        <v>7107.6</v>
      </c>
      <c r="X28" s="266">
        <f t="shared" si="22"/>
        <v>8</v>
      </c>
      <c r="Y28" s="266">
        <f t="shared" si="22"/>
        <v>510</v>
      </c>
      <c r="Z28" s="266">
        <f t="shared" si="22"/>
        <v>240</v>
      </c>
      <c r="AA28" s="266">
        <f t="shared" si="22"/>
        <v>1</v>
      </c>
      <c r="AB28" s="266">
        <f t="shared" si="22"/>
        <v>255</v>
      </c>
      <c r="AC28" s="266">
        <f t="shared" si="22"/>
        <v>15</v>
      </c>
      <c r="AD28" s="266">
        <f t="shared" si="22"/>
        <v>3</v>
      </c>
      <c r="AE28" s="266">
        <f t="shared" si="22"/>
        <v>510</v>
      </c>
      <c r="AF28" s="266">
        <f t="shared" si="22"/>
        <v>90</v>
      </c>
      <c r="AG28" s="266">
        <f t="shared" si="22"/>
        <v>103.5</v>
      </c>
      <c r="AH28" s="266">
        <f t="shared" si="22"/>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27"/>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ht="58.5" customHeight="1" x14ac:dyDescent="0.2">
      <c r="A30" s="70"/>
      <c r="B30" s="70"/>
      <c r="C30" s="71"/>
      <c r="D30" s="77"/>
      <c r="E30" s="77"/>
      <c r="F30" s="27"/>
      <c r="G30" s="3191" t="s">
        <v>140</v>
      </c>
      <c r="H30" s="3191"/>
      <c r="I30" s="3188" t="s">
        <v>1298</v>
      </c>
      <c r="J30" s="3428"/>
      <c r="K30" s="3189"/>
      <c r="L30" s="969"/>
      <c r="Q30" s="27"/>
      <c r="R30" s="27"/>
      <c r="S30" s="27"/>
      <c r="T30" s="27"/>
      <c r="U30" s="27"/>
      <c r="V30" s="1779"/>
      <c r="W30" s="1779"/>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1235">
        <v>991</v>
      </c>
      <c r="H31" s="1235">
        <v>992</v>
      </c>
      <c r="I31" s="1235">
        <v>991</v>
      </c>
      <c r="J31" s="1235">
        <v>992</v>
      </c>
      <c r="K31" s="1235">
        <v>911</v>
      </c>
      <c r="L31" s="978"/>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9">
        <v>18394</v>
      </c>
      <c r="H32" s="29">
        <v>5393.9</v>
      </c>
      <c r="I32" s="29">
        <f>V28</f>
        <v>24115</v>
      </c>
      <c r="J32" s="29">
        <f>W28</f>
        <v>7107.6</v>
      </c>
      <c r="K32" s="29">
        <f>AH28</f>
        <v>448.5</v>
      </c>
      <c r="L32" s="80"/>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5" spans="1:44" s="1233" customFormat="1" ht="20.25" x14ac:dyDescent="0.2">
      <c r="A35" s="81"/>
      <c r="B35" s="82" t="s">
        <v>175</v>
      </c>
      <c r="C35" s="83"/>
      <c r="D35" s="84"/>
      <c r="E35" s="84"/>
      <c r="F35" s="85"/>
      <c r="G35" s="85"/>
      <c r="H35" s="86"/>
      <c r="I35" s="86"/>
      <c r="J35" s="85"/>
      <c r="K35" s="30" t="s">
        <v>176</v>
      </c>
      <c r="L35" s="85"/>
      <c r="M35" s="85"/>
      <c r="N35" s="87"/>
      <c r="O35" s="85"/>
      <c r="P35" s="85"/>
      <c r="Q35" s="85"/>
      <c r="R35" s="85"/>
      <c r="S35" s="85"/>
      <c r="T35" s="85"/>
      <c r="U35" s="85"/>
      <c r="V35" s="85"/>
      <c r="W35" s="85"/>
      <c r="X35" s="85"/>
      <c r="Y35" s="85"/>
      <c r="Z35" s="85"/>
      <c r="AA35" s="85"/>
      <c r="AB35" s="85"/>
      <c r="AC35" s="85"/>
      <c r="AD35" s="85"/>
      <c r="AE35" s="85"/>
      <c r="AF35" s="85"/>
      <c r="AG35" s="85"/>
      <c r="AH35" s="85"/>
      <c r="AI35" s="85"/>
      <c r="AK35" s="88"/>
      <c r="AL35" s="88"/>
      <c r="AM35" s="88"/>
      <c r="AN35" s="88"/>
      <c r="AO35" s="88"/>
    </row>
    <row r="36" spans="1:44" s="143" customFormat="1" x14ac:dyDescent="0.2">
      <c r="A36" s="136"/>
      <c r="B36" s="136"/>
      <c r="C36" s="137"/>
      <c r="D36" s="144"/>
      <c r="E36" s="144"/>
      <c r="F36" s="140"/>
      <c r="G36" s="140"/>
      <c r="H36" s="139"/>
      <c r="I36" s="139"/>
      <c r="J36" s="140"/>
      <c r="K36" s="140"/>
      <c r="L36" s="140"/>
      <c r="M36" s="140"/>
      <c r="N36" s="141"/>
      <c r="O36" s="140"/>
      <c r="P36" s="140"/>
      <c r="Q36" s="140"/>
      <c r="R36" s="140"/>
      <c r="S36" s="140"/>
      <c r="T36" s="140"/>
      <c r="U36" s="140"/>
      <c r="V36" s="140"/>
      <c r="W36" s="140"/>
      <c r="X36" s="140"/>
      <c r="Y36" s="140"/>
      <c r="Z36" s="140"/>
      <c r="AA36" s="140"/>
      <c r="AB36" s="140"/>
      <c r="AC36" s="140"/>
      <c r="AD36" s="140"/>
      <c r="AE36" s="140"/>
      <c r="AF36" s="142"/>
      <c r="AK36" s="142"/>
      <c r="AL36" s="142"/>
      <c r="AM36" s="142"/>
      <c r="AN36" s="76"/>
      <c r="AO36" s="76"/>
      <c r="AP36" s="76"/>
      <c r="AQ36" s="76"/>
      <c r="AR36" s="99"/>
    </row>
    <row r="37" spans="1:44" s="143" customFormat="1" ht="20.25" customHeight="1" x14ac:dyDescent="0.2">
      <c r="A37" s="145" t="s">
        <v>96</v>
      </c>
      <c r="B37" s="145"/>
      <c r="C37" s="146"/>
      <c r="D37" s="146"/>
      <c r="E37" s="146"/>
      <c r="F37" s="146"/>
      <c r="G37" s="146"/>
      <c r="H37" s="146"/>
      <c r="I37" s="146"/>
      <c r="J37" s="146"/>
      <c r="K37" s="146"/>
      <c r="L37" s="147"/>
      <c r="M37" s="147"/>
      <c r="N37" s="202"/>
      <c r="O37" s="203"/>
      <c r="P37" s="147"/>
      <c r="Q37" s="147"/>
      <c r="R37" s="147"/>
      <c r="S37" s="147"/>
      <c r="T37" s="147"/>
      <c r="U37" s="147"/>
      <c r="V37" s="147"/>
      <c r="W37" s="147"/>
      <c r="X37" s="147"/>
      <c r="Y37" s="147"/>
      <c r="Z37" s="147"/>
      <c r="AA37" s="147"/>
      <c r="AB37" s="147"/>
      <c r="AC37" s="147"/>
      <c r="AD37" s="147"/>
      <c r="AE37" s="147"/>
      <c r="AF37" s="142"/>
      <c r="AK37" s="142"/>
      <c r="AL37" s="142"/>
      <c r="AM37" s="142"/>
      <c r="AN37" s="76"/>
      <c r="AO37" s="76"/>
      <c r="AP37" s="76"/>
      <c r="AQ37" s="76"/>
      <c r="AR37" s="99"/>
    </row>
    <row r="38" spans="1:44" s="143" customFormat="1" ht="20.25" customHeight="1" x14ac:dyDescent="0.2">
      <c r="A38" s="145" t="s">
        <v>139</v>
      </c>
      <c r="B38" s="149"/>
      <c r="C38" s="150"/>
      <c r="D38" s="150"/>
      <c r="E38" s="151"/>
      <c r="F38" s="151"/>
      <c r="G38" s="151"/>
      <c r="H38" s="151"/>
      <c r="I38" s="151"/>
      <c r="J38" s="151"/>
      <c r="K38" s="151"/>
      <c r="L38" s="147"/>
      <c r="M38" s="147"/>
      <c r="N38" s="202"/>
      <c r="O38" s="203"/>
      <c r="P38" s="147"/>
      <c r="Q38" s="147"/>
      <c r="R38" s="147"/>
      <c r="S38" s="147"/>
      <c r="T38" s="147"/>
      <c r="U38" s="147"/>
      <c r="V38" s="147"/>
      <c r="W38" s="147"/>
      <c r="X38" s="147"/>
      <c r="Y38" s="147"/>
      <c r="Z38" s="147"/>
      <c r="AA38" s="147"/>
      <c r="AB38" s="147"/>
      <c r="AC38" s="147"/>
      <c r="AD38" s="147"/>
      <c r="AE38" s="147"/>
      <c r="AF38" s="142"/>
      <c r="AK38" s="142"/>
      <c r="AL38" s="142"/>
      <c r="AM38" s="142"/>
      <c r="AN38" s="76"/>
      <c r="AO38" s="76"/>
      <c r="AP38" s="76"/>
      <c r="AQ38" s="76"/>
      <c r="AR38" s="252"/>
    </row>
    <row r="40" spans="1:44" x14ac:dyDescent="0.2">
      <c r="E40" s="115"/>
    </row>
    <row r="41" spans="1:44" x14ac:dyDescent="0.2">
      <c r="E41" s="115"/>
    </row>
    <row r="42" spans="1:44" x14ac:dyDescent="0.2">
      <c r="E42" s="115"/>
      <c r="Y42" s="99" t="s">
        <v>124</v>
      </c>
    </row>
    <row r="43" spans="1:44" x14ac:dyDescent="0.2">
      <c r="E43" s="115"/>
    </row>
    <row r="44" spans="1:44" x14ac:dyDescent="0.2">
      <c r="E44" s="115"/>
    </row>
    <row r="45" spans="1:44" x14ac:dyDescent="0.2">
      <c r="E45" s="115"/>
    </row>
    <row r="46" spans="1:44" x14ac:dyDescent="0.2">
      <c r="E46" s="115"/>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sheetData>
  <autoFilter ref="A8:AS32"/>
  <mergeCells count="36">
    <mergeCell ref="AE1:AH1"/>
    <mergeCell ref="A2:AH2"/>
    <mergeCell ref="A3:AH3"/>
    <mergeCell ref="A5:A7"/>
    <mergeCell ref="B5:B7"/>
    <mergeCell ref="C5:C7"/>
    <mergeCell ref="D5:W5"/>
    <mergeCell ref="X5:AH5"/>
    <mergeCell ref="D6:D7"/>
    <mergeCell ref="E6:E7"/>
    <mergeCell ref="AH6:AH7"/>
    <mergeCell ref="V6:V7"/>
    <mergeCell ref="W6:W7"/>
    <mergeCell ref="X6:Z6"/>
    <mergeCell ref="A28:B28"/>
    <mergeCell ref="S6:S7"/>
    <mergeCell ref="T6:T7"/>
    <mergeCell ref="U6:U7"/>
    <mergeCell ref="L6:L7"/>
    <mergeCell ref="M6:M7"/>
    <mergeCell ref="N6:O6"/>
    <mergeCell ref="P6:P7"/>
    <mergeCell ref="Q6:Q7"/>
    <mergeCell ref="R6:R7"/>
    <mergeCell ref="F6:F7"/>
    <mergeCell ref="G30:H30"/>
    <mergeCell ref="I30:K30"/>
    <mergeCell ref="AA6:AC6"/>
    <mergeCell ref="AD6:AF6"/>
    <mergeCell ref="AG6:AG7"/>
    <mergeCell ref="G6:G7"/>
    <mergeCell ref="H6:H7"/>
    <mergeCell ref="I6:I7"/>
    <mergeCell ref="J6:J7"/>
    <mergeCell ref="K6:K7"/>
    <mergeCell ref="U9:U27"/>
  </mergeCells>
  <printOptions horizontalCentered="1"/>
  <pageMargins left="0" right="0" top="0" bottom="0" header="0.31496062992125984" footer="0.31496062992125984"/>
  <pageSetup paperSize="9" scale="3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S64"/>
  <sheetViews>
    <sheetView view="pageBreakPreview" zoomScale="80" zoomScaleNormal="70" zoomScaleSheetLayoutView="80" workbookViewId="0">
      <pane xSplit="3" ySplit="8" topLeftCell="D23" activePane="bottomRight" state="frozen"/>
      <selection activeCell="AM14" sqref="AM14"/>
      <selection pane="topRight" activeCell="AM14" sqref="AM14"/>
      <selection pane="bottomLeft" activeCell="AM14" sqref="AM14"/>
      <selection pane="bottomRight" activeCell="M33" sqref="M33"/>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7.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3196"/>
      <c r="AF1" s="3196"/>
      <c r="AG1" s="3196"/>
      <c r="AH1" s="3196"/>
    </row>
    <row r="2" spans="1:45" ht="24" customHeight="1" x14ac:dyDescent="0.2">
      <c r="A2" s="3197" t="s">
        <v>164</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1236"/>
    </row>
    <row r="4" spans="1:45" x14ac:dyDescent="0.2">
      <c r="L4" s="38">
        <v>0.71008499999999997</v>
      </c>
      <c r="M4" s="38"/>
      <c r="AH4" s="1778">
        <v>43831</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1239" t="s">
        <v>80</v>
      </c>
      <c r="O7" s="1239" t="s">
        <v>81</v>
      </c>
      <c r="P7" s="3204"/>
      <c r="Q7" s="3203"/>
      <c r="R7" s="3201"/>
      <c r="S7" s="3203" t="s">
        <v>67</v>
      </c>
      <c r="T7" s="3201"/>
      <c r="U7" s="3201"/>
      <c r="V7" s="3201"/>
      <c r="W7" s="3201"/>
      <c r="X7" s="1238" t="s">
        <v>5</v>
      </c>
      <c r="Y7" s="1238" t="s">
        <v>6</v>
      </c>
      <c r="Z7" s="1238" t="s">
        <v>74</v>
      </c>
      <c r="AA7" s="1238" t="s">
        <v>5</v>
      </c>
      <c r="AB7" s="1238" t="s">
        <v>6</v>
      </c>
      <c r="AC7" s="1238" t="s">
        <v>75</v>
      </c>
      <c r="AD7" s="1238" t="s">
        <v>5</v>
      </c>
      <c r="AE7" s="1238" t="s">
        <v>6</v>
      </c>
      <c r="AF7" s="1238" t="s">
        <v>76</v>
      </c>
      <c r="AG7" s="3200"/>
      <c r="AH7" s="3200"/>
      <c r="AK7" s="99" t="s">
        <v>64</v>
      </c>
      <c r="AL7" s="99" t="s">
        <v>62</v>
      </c>
      <c r="AM7" s="99" t="s">
        <v>63</v>
      </c>
    </row>
    <row r="8" spans="1:45" ht="18" customHeight="1" x14ac:dyDescent="0.2">
      <c r="A8" s="1237">
        <v>1</v>
      </c>
      <c r="B8" s="1237">
        <v>2</v>
      </c>
      <c r="C8" s="1237">
        <v>3</v>
      </c>
      <c r="D8" s="1237">
        <v>4</v>
      </c>
      <c r="E8" s="1237">
        <v>5</v>
      </c>
      <c r="F8" s="1237">
        <v>6</v>
      </c>
      <c r="G8" s="1237">
        <v>7</v>
      </c>
      <c r="H8" s="1237">
        <v>8</v>
      </c>
      <c r="I8" s="1237">
        <v>9</v>
      </c>
      <c r="J8" s="1237">
        <v>10</v>
      </c>
      <c r="K8" s="1237">
        <v>11</v>
      </c>
      <c r="L8" s="1237">
        <v>12</v>
      </c>
      <c r="M8" s="1237">
        <v>13</v>
      </c>
      <c r="N8" s="1237">
        <v>14</v>
      </c>
      <c r="O8" s="1237">
        <v>15</v>
      </c>
      <c r="P8" s="1237">
        <v>16</v>
      </c>
      <c r="Q8" s="1237">
        <v>17</v>
      </c>
      <c r="R8" s="1237">
        <v>18</v>
      </c>
      <c r="S8" s="1237">
        <v>19</v>
      </c>
      <c r="T8" s="1237">
        <v>20</v>
      </c>
      <c r="U8" s="1237">
        <v>21</v>
      </c>
      <c r="V8" s="1237">
        <v>22</v>
      </c>
      <c r="W8" s="1237">
        <v>23</v>
      </c>
      <c r="X8" s="1237">
        <v>24</v>
      </c>
      <c r="Y8" s="1237">
        <v>25</v>
      </c>
      <c r="Z8" s="1237">
        <v>26</v>
      </c>
      <c r="AA8" s="1237">
        <v>27</v>
      </c>
      <c r="AB8" s="1237">
        <v>28</v>
      </c>
      <c r="AC8" s="1237">
        <v>29</v>
      </c>
      <c r="AD8" s="1237">
        <v>30</v>
      </c>
      <c r="AE8" s="1237">
        <v>31</v>
      </c>
      <c r="AF8" s="1237">
        <v>32</v>
      </c>
      <c r="AG8" s="1237">
        <v>33</v>
      </c>
      <c r="AH8" s="1237">
        <v>34</v>
      </c>
      <c r="AN8" s="212" t="s">
        <v>116</v>
      </c>
      <c r="AO8" s="212" t="s">
        <v>117</v>
      </c>
      <c r="AP8" s="212" t="s">
        <v>118</v>
      </c>
      <c r="AQ8" s="212" t="s">
        <v>119</v>
      </c>
    </row>
    <row r="9" spans="1:45" ht="16.5" customHeight="1" x14ac:dyDescent="0.2">
      <c r="A9" s="1237">
        <v>1</v>
      </c>
      <c r="B9" s="236" t="s">
        <v>14</v>
      </c>
      <c r="C9" s="259">
        <v>1</v>
      </c>
      <c r="D9" s="237">
        <v>26.984999999999999</v>
      </c>
      <c r="E9" s="260">
        <f t="shared" ref="E9:E27" si="0">C9*D9</f>
        <v>26.99</v>
      </c>
      <c r="F9" s="185">
        <f t="shared" ref="F9:F27" si="1">E9*12</f>
        <v>323.89999999999998</v>
      </c>
      <c r="G9" s="95"/>
      <c r="H9" s="95"/>
      <c r="I9" s="95"/>
      <c r="J9" s="95"/>
      <c r="K9" s="95"/>
      <c r="L9" s="95">
        <f>F9*$L$4</f>
        <v>230</v>
      </c>
      <c r="M9" s="95">
        <f t="shared" ref="M9:M27" si="2">F9+G9+H9+I9+J9+K9+L9</f>
        <v>553.9</v>
      </c>
      <c r="N9" s="111">
        <v>0.47</v>
      </c>
      <c r="O9" s="95">
        <f t="shared" ref="O9:O27" si="3">M9*N9</f>
        <v>260.3</v>
      </c>
      <c r="P9" s="95">
        <f t="shared" ref="P9:P27" si="4">M9+O9</f>
        <v>814.2</v>
      </c>
      <c r="Q9" s="95">
        <f t="shared" ref="Q9:Q27" si="5">P9*0.8</f>
        <v>651.4</v>
      </c>
      <c r="R9" s="95">
        <f t="shared" ref="R9:R27" si="6">P9*0.8</f>
        <v>651.4</v>
      </c>
      <c r="S9" s="95">
        <f t="shared" ref="S9:S27" si="7">(P9+Q9+R9)*0.032</f>
        <v>67.7</v>
      </c>
      <c r="T9" s="95">
        <f t="shared" ref="T9:T27" si="8">P9+Q9+R9+S9</f>
        <v>2184.6999999999998</v>
      </c>
      <c r="U9" s="3429">
        <v>1</v>
      </c>
      <c r="V9" s="95">
        <f t="shared" ref="V9:V26" si="9">T9*$U$9</f>
        <v>2184.6999999999998</v>
      </c>
      <c r="W9" s="95">
        <f>AQ9+114.8</f>
        <v>612.20000000000005</v>
      </c>
      <c r="X9" s="1237">
        <v>1</v>
      </c>
      <c r="Y9" s="112">
        <v>30</v>
      </c>
      <c r="Z9" s="113">
        <f t="shared" ref="Z9:Z27" si="10">X9*Y9</f>
        <v>30</v>
      </c>
      <c r="AA9" s="1237"/>
      <c r="AB9" s="112">
        <v>15</v>
      </c>
      <c r="AC9" s="113">
        <f t="shared" ref="AC9:AC27" si="11">AA9*AB9</f>
        <v>0</v>
      </c>
      <c r="AD9" s="1237"/>
      <c r="AE9" s="112">
        <v>30</v>
      </c>
      <c r="AF9" s="113">
        <f t="shared" ref="AF9:AF27" si="12">AD9*AE9</f>
        <v>0</v>
      </c>
      <c r="AG9" s="113">
        <f t="shared" ref="AG9:AG27" si="13">(Z9+AC9+AF9)*1%*30</f>
        <v>9</v>
      </c>
      <c r="AH9" s="113">
        <f t="shared" ref="AH9:AH27" si="14">Z9+AC9+AF9+AG9</f>
        <v>39</v>
      </c>
      <c r="AI9" s="131">
        <f t="shared" ref="AI9:AI23" si="15">V9/12/C9*1000</f>
        <v>182058.33</v>
      </c>
      <c r="AK9" s="114">
        <f t="shared" ref="AK9:AK23" si="16">V9/C9</f>
        <v>2184.6999999999998</v>
      </c>
      <c r="AL9" s="114">
        <f>((979*0.302)+((AK9-979)*0.182))</f>
        <v>515.1</v>
      </c>
      <c r="AM9" s="115">
        <f>AL9/AK9</f>
        <v>0.23599999999999999</v>
      </c>
      <c r="AN9" s="50">
        <f>1150*0.22+(AK9-1150)*0.1</f>
        <v>356.5</v>
      </c>
      <c r="AO9" s="50">
        <f>865*0.029</f>
        <v>25.1</v>
      </c>
      <c r="AP9" s="50">
        <f>AK9*0.053</f>
        <v>115.8</v>
      </c>
      <c r="AQ9" s="50">
        <f>SUM(AN9:AP9)*C9</f>
        <v>497.4</v>
      </c>
      <c r="AS9" s="99">
        <f t="shared" ref="AS9:AS27" si="17">D9*1.5</f>
        <v>40.477499999999999</v>
      </c>
    </row>
    <row r="10" spans="1:45" x14ac:dyDescent="0.2">
      <c r="A10" s="1237">
        <v>2</v>
      </c>
      <c r="B10" s="236" t="s">
        <v>127</v>
      </c>
      <c r="C10" s="259">
        <v>2</v>
      </c>
      <c r="D10" s="237">
        <v>18.89</v>
      </c>
      <c r="E10" s="260">
        <f t="shared" si="0"/>
        <v>37.78</v>
      </c>
      <c r="F10" s="185">
        <f t="shared" si="1"/>
        <v>453.4</v>
      </c>
      <c r="G10" s="95"/>
      <c r="H10" s="95">
        <f>7.062+7.945</f>
        <v>15</v>
      </c>
      <c r="I10" s="95"/>
      <c r="J10" s="95"/>
      <c r="K10" s="95">
        <f>(D10*0.4+D10*0.2)*12</f>
        <v>136</v>
      </c>
      <c r="L10" s="95">
        <f t="shared" ref="L10:L25" si="18">F10*$L$4</f>
        <v>322</v>
      </c>
      <c r="M10" s="95">
        <f t="shared" si="2"/>
        <v>926.4</v>
      </c>
      <c r="N10" s="111">
        <v>0.47</v>
      </c>
      <c r="O10" s="95">
        <f t="shared" si="3"/>
        <v>435.4</v>
      </c>
      <c r="P10" s="95">
        <f t="shared" si="4"/>
        <v>1361.8</v>
      </c>
      <c r="Q10" s="95">
        <f t="shared" si="5"/>
        <v>1089.4000000000001</v>
      </c>
      <c r="R10" s="95">
        <f t="shared" si="6"/>
        <v>1089.4000000000001</v>
      </c>
      <c r="S10" s="95">
        <f t="shared" si="7"/>
        <v>113.3</v>
      </c>
      <c r="T10" s="95">
        <f t="shared" si="8"/>
        <v>3653.9</v>
      </c>
      <c r="U10" s="3430"/>
      <c r="V10" s="95">
        <f t="shared" si="9"/>
        <v>3653.9</v>
      </c>
      <c r="W10" s="95">
        <f>AQ10+100</f>
        <v>985.2</v>
      </c>
      <c r="X10" s="1237"/>
      <c r="Y10" s="112">
        <v>30</v>
      </c>
      <c r="Z10" s="113">
        <f t="shared" si="10"/>
        <v>0</v>
      </c>
      <c r="AA10" s="1237"/>
      <c r="AB10" s="112">
        <v>15</v>
      </c>
      <c r="AC10" s="113">
        <f t="shared" si="11"/>
        <v>0</v>
      </c>
      <c r="AD10" s="1237"/>
      <c r="AE10" s="112">
        <v>30</v>
      </c>
      <c r="AF10" s="113">
        <f t="shared" si="12"/>
        <v>0</v>
      </c>
      <c r="AG10" s="113">
        <f t="shared" si="13"/>
        <v>0</v>
      </c>
      <c r="AH10" s="113">
        <f t="shared" si="14"/>
        <v>0</v>
      </c>
      <c r="AI10" s="131">
        <f t="shared" si="15"/>
        <v>152245.82999999999</v>
      </c>
      <c r="AK10" s="114">
        <f t="shared" si="16"/>
        <v>1827</v>
      </c>
      <c r="AL10" s="114">
        <f t="shared" ref="AL10:AL27" si="19">((979*0.302)+((AK10-979)*0.182))</f>
        <v>450</v>
      </c>
      <c r="AM10" s="115">
        <f>AL10/AK10</f>
        <v>0.246</v>
      </c>
      <c r="AN10" s="50">
        <f>1150*0.22+(AK10-1150)*0.1</f>
        <v>320.7</v>
      </c>
      <c r="AO10" s="50">
        <f>865*0.029</f>
        <v>25.1</v>
      </c>
      <c r="AP10" s="50">
        <f>AK10*0.053</f>
        <v>96.8</v>
      </c>
      <c r="AQ10" s="50">
        <f>SUM(AN10:AP10)*C10</f>
        <v>885.2</v>
      </c>
      <c r="AS10" s="99">
        <f t="shared" si="17"/>
        <v>28.335000000000001</v>
      </c>
    </row>
    <row r="11" spans="1:45" ht="15.75" customHeight="1" x14ac:dyDescent="0.2">
      <c r="A11" s="1237">
        <v>3</v>
      </c>
      <c r="B11" s="261" t="s">
        <v>23</v>
      </c>
      <c r="C11" s="262">
        <v>4</v>
      </c>
      <c r="D11" s="237">
        <v>11.538</v>
      </c>
      <c r="E11" s="111">
        <f t="shared" si="0"/>
        <v>46.15</v>
      </c>
      <c r="F11" s="95">
        <f t="shared" si="1"/>
        <v>553.79999999999995</v>
      </c>
      <c r="G11" s="95"/>
      <c r="H11" s="95">
        <f>2.757+7.01+7.01+7.789</f>
        <v>24.6</v>
      </c>
      <c r="I11" s="95"/>
      <c r="J11" s="95"/>
      <c r="K11" s="95">
        <f>(D11*0.4*3+D11*0.25)*12</f>
        <v>200.8</v>
      </c>
      <c r="L11" s="95">
        <f t="shared" si="18"/>
        <v>393.2</v>
      </c>
      <c r="M11" s="95">
        <f t="shared" si="2"/>
        <v>1172.4000000000001</v>
      </c>
      <c r="N11" s="111">
        <v>0.43</v>
      </c>
      <c r="O11" s="95">
        <f t="shared" si="3"/>
        <v>504.1</v>
      </c>
      <c r="P11" s="95">
        <f t="shared" si="4"/>
        <v>1676.5</v>
      </c>
      <c r="Q11" s="95">
        <f t="shared" si="5"/>
        <v>1341.2</v>
      </c>
      <c r="R11" s="95">
        <f t="shared" si="6"/>
        <v>1341.2</v>
      </c>
      <c r="S11" s="95">
        <f t="shared" si="7"/>
        <v>139.5</v>
      </c>
      <c r="T11" s="95">
        <f t="shared" si="8"/>
        <v>4498.3999999999996</v>
      </c>
      <c r="U11" s="3430"/>
      <c r="V11" s="95">
        <f>T11*$U$9</f>
        <v>4498.3999999999996</v>
      </c>
      <c r="W11" s="95">
        <f>V11*0.302</f>
        <v>1358.5</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93716.67</v>
      </c>
      <c r="AK11" s="114">
        <f t="shared" si="16"/>
        <v>1124.5999999999999</v>
      </c>
      <c r="AL11" s="114">
        <f t="shared" si="19"/>
        <v>322.2</v>
      </c>
      <c r="AM11" s="115">
        <v>0.30199999999999999</v>
      </c>
      <c r="AN11" s="50"/>
      <c r="AO11" s="50"/>
      <c r="AP11" s="50"/>
      <c r="AQ11" s="50"/>
      <c r="AS11" s="99">
        <f t="shared" si="17"/>
        <v>17.306999999999999</v>
      </c>
    </row>
    <row r="12" spans="1:45" x14ac:dyDescent="0.2">
      <c r="A12" s="1237">
        <v>4</v>
      </c>
      <c r="B12" s="261" t="s">
        <v>47</v>
      </c>
      <c r="C12" s="262">
        <v>1</v>
      </c>
      <c r="D12" s="237">
        <v>6.556</v>
      </c>
      <c r="E12" s="111">
        <f t="shared" si="0"/>
        <v>6.56</v>
      </c>
      <c r="F12" s="95">
        <f t="shared" si="1"/>
        <v>78.7</v>
      </c>
      <c r="G12" s="95"/>
      <c r="H12" s="95">
        <f>3064.3/1000</f>
        <v>3.1</v>
      </c>
      <c r="I12" s="95"/>
      <c r="J12" s="95"/>
      <c r="K12" s="95">
        <f>F12*0.25</f>
        <v>19.7</v>
      </c>
      <c r="L12" s="95">
        <f t="shared" si="18"/>
        <v>55.9</v>
      </c>
      <c r="M12" s="95">
        <f t="shared" si="2"/>
        <v>157.4</v>
      </c>
      <c r="N12" s="111">
        <v>0.45</v>
      </c>
      <c r="O12" s="95">
        <f t="shared" si="3"/>
        <v>70.8</v>
      </c>
      <c r="P12" s="95">
        <f t="shared" si="4"/>
        <v>228.2</v>
      </c>
      <c r="Q12" s="95">
        <f t="shared" si="5"/>
        <v>182.6</v>
      </c>
      <c r="R12" s="95">
        <f t="shared" si="6"/>
        <v>182.6</v>
      </c>
      <c r="S12" s="95">
        <f t="shared" si="7"/>
        <v>19</v>
      </c>
      <c r="T12" s="95">
        <f t="shared" si="8"/>
        <v>612.4</v>
      </c>
      <c r="U12" s="3430"/>
      <c r="V12" s="95">
        <f t="shared" si="9"/>
        <v>612.4</v>
      </c>
      <c r="W12" s="95">
        <f t="shared" ref="W12:W27" si="20">V12*0.302</f>
        <v>184.9</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51033.33</v>
      </c>
      <c r="AK12" s="114">
        <f t="shared" si="16"/>
        <v>612.4</v>
      </c>
      <c r="AL12" s="114">
        <f t="shared" si="19"/>
        <v>228.9</v>
      </c>
      <c r="AM12" s="115">
        <v>0.30199999999999999</v>
      </c>
      <c r="AO12" s="50"/>
      <c r="AP12" s="50"/>
      <c r="AQ12" s="50"/>
      <c r="AS12" s="99">
        <f t="shared" si="17"/>
        <v>9.8339999999999996</v>
      </c>
    </row>
    <row r="13" spans="1:45" x14ac:dyDescent="0.2">
      <c r="A13" s="1237">
        <v>5</v>
      </c>
      <c r="B13" s="236" t="s">
        <v>15</v>
      </c>
      <c r="C13" s="262">
        <v>1</v>
      </c>
      <c r="D13" s="237">
        <v>11.538</v>
      </c>
      <c r="E13" s="111">
        <f t="shared" si="0"/>
        <v>11.54</v>
      </c>
      <c r="F13" s="95">
        <f t="shared" si="1"/>
        <v>138.5</v>
      </c>
      <c r="G13" s="95"/>
      <c r="H13" s="95"/>
      <c r="I13" s="95"/>
      <c r="J13" s="95"/>
      <c r="K13" s="95">
        <f>D11*0.25*4.6+D11*0.3*7.4</f>
        <v>38.9</v>
      </c>
      <c r="L13" s="95">
        <f t="shared" si="18"/>
        <v>98.3</v>
      </c>
      <c r="M13" s="95">
        <f t="shared" si="2"/>
        <v>275.7</v>
      </c>
      <c r="N13" s="111">
        <v>0.43</v>
      </c>
      <c r="O13" s="95">
        <f t="shared" si="3"/>
        <v>118.6</v>
      </c>
      <c r="P13" s="95">
        <f t="shared" si="4"/>
        <v>394.3</v>
      </c>
      <c r="Q13" s="95">
        <f t="shared" si="5"/>
        <v>315.39999999999998</v>
      </c>
      <c r="R13" s="95">
        <f t="shared" si="6"/>
        <v>315.39999999999998</v>
      </c>
      <c r="S13" s="95">
        <f t="shared" si="7"/>
        <v>32.799999999999997</v>
      </c>
      <c r="T13" s="95">
        <f t="shared" si="8"/>
        <v>1057.9000000000001</v>
      </c>
      <c r="U13" s="3430"/>
      <c r="V13" s="95">
        <f t="shared" si="9"/>
        <v>1057.9000000000001</v>
      </c>
      <c r="W13" s="95">
        <f t="shared" si="20"/>
        <v>319.5</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88158.33</v>
      </c>
      <c r="AK13" s="114">
        <f t="shared" si="16"/>
        <v>1057.9000000000001</v>
      </c>
      <c r="AL13" s="114">
        <f t="shared" si="19"/>
        <v>310</v>
      </c>
      <c r="AM13" s="115">
        <v>0.30199999999999999</v>
      </c>
      <c r="AN13" s="50"/>
      <c r="AO13" s="50"/>
      <c r="AP13" s="50"/>
      <c r="AQ13" s="50"/>
      <c r="AS13" s="99">
        <f t="shared" si="17"/>
        <v>17.306999999999999</v>
      </c>
    </row>
    <row r="14" spans="1:45" s="245" customFormat="1" x14ac:dyDescent="0.2">
      <c r="A14" s="1237">
        <v>6</v>
      </c>
      <c r="B14" s="261" t="s">
        <v>48</v>
      </c>
      <c r="C14" s="262">
        <v>1</v>
      </c>
      <c r="D14" s="237">
        <v>11.538</v>
      </c>
      <c r="E14" s="249">
        <f t="shared" si="0"/>
        <v>11.54</v>
      </c>
      <c r="F14" s="248">
        <f t="shared" si="1"/>
        <v>138.5</v>
      </c>
      <c r="G14" s="248"/>
      <c r="H14" s="248">
        <v>7</v>
      </c>
      <c r="I14" s="248"/>
      <c r="J14" s="248"/>
      <c r="K14" s="248">
        <f>F14*0.4</f>
        <v>55.4</v>
      </c>
      <c r="L14" s="95">
        <f t="shared" si="18"/>
        <v>98.3</v>
      </c>
      <c r="M14" s="248">
        <f t="shared" si="2"/>
        <v>299.2</v>
      </c>
      <c r="N14" s="111">
        <v>0.47</v>
      </c>
      <c r="O14" s="248">
        <f t="shared" si="3"/>
        <v>140.6</v>
      </c>
      <c r="P14" s="248">
        <f t="shared" si="4"/>
        <v>439.8</v>
      </c>
      <c r="Q14" s="248">
        <f t="shared" si="5"/>
        <v>351.8</v>
      </c>
      <c r="R14" s="248">
        <f t="shared" si="6"/>
        <v>351.8</v>
      </c>
      <c r="S14" s="248">
        <f t="shared" si="7"/>
        <v>36.6</v>
      </c>
      <c r="T14" s="248">
        <f t="shared" si="8"/>
        <v>1180</v>
      </c>
      <c r="U14" s="3430"/>
      <c r="V14" s="248">
        <f t="shared" si="9"/>
        <v>1180</v>
      </c>
      <c r="W14" s="95">
        <f>AQ14</f>
        <v>347.2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98333.33</v>
      </c>
      <c r="AK14" s="114">
        <f t="shared" si="16"/>
        <v>1180</v>
      </c>
      <c r="AL14" s="114">
        <f t="shared" si="19"/>
        <v>332.2</v>
      </c>
      <c r="AM14" s="115">
        <v>0.30199999999999999</v>
      </c>
      <c r="AN14" s="50">
        <f>AK14*0.22</f>
        <v>259.60000000000002</v>
      </c>
      <c r="AO14" s="50">
        <f>865*0.029</f>
        <v>25.1</v>
      </c>
      <c r="AP14" s="50">
        <f>AK14*0.053</f>
        <v>62.5</v>
      </c>
      <c r="AQ14" s="50">
        <f>SUM(AN14:AP14)*C14</f>
        <v>347.2</v>
      </c>
      <c r="AS14" s="99">
        <f t="shared" si="17"/>
        <v>17.306999999999999</v>
      </c>
    </row>
    <row r="15" spans="1:45" x14ac:dyDescent="0.2">
      <c r="A15" s="1237">
        <v>7</v>
      </c>
      <c r="B15" s="236" t="s">
        <v>49</v>
      </c>
      <c r="C15" s="259">
        <v>1</v>
      </c>
      <c r="D15" s="237">
        <v>8.8369999999999997</v>
      </c>
      <c r="E15" s="111">
        <f t="shared" si="0"/>
        <v>8.84</v>
      </c>
      <c r="F15" s="95">
        <f t="shared" si="1"/>
        <v>106.1</v>
      </c>
      <c r="G15" s="95"/>
      <c r="H15" s="95">
        <v>6</v>
      </c>
      <c r="I15" s="95"/>
      <c r="J15" s="95"/>
      <c r="K15" s="95">
        <f>F15*0.2</f>
        <v>21.2</v>
      </c>
      <c r="L15" s="95">
        <f t="shared" si="18"/>
        <v>75.3</v>
      </c>
      <c r="M15" s="95">
        <f t="shared" si="2"/>
        <v>208.6</v>
      </c>
      <c r="N15" s="111">
        <v>0.41</v>
      </c>
      <c r="O15" s="95">
        <f t="shared" si="3"/>
        <v>85.5</v>
      </c>
      <c r="P15" s="95">
        <f t="shared" si="4"/>
        <v>294.10000000000002</v>
      </c>
      <c r="Q15" s="95">
        <f t="shared" si="5"/>
        <v>235.3</v>
      </c>
      <c r="R15" s="95">
        <f t="shared" si="6"/>
        <v>235.3</v>
      </c>
      <c r="S15" s="95">
        <f t="shared" si="7"/>
        <v>24.5</v>
      </c>
      <c r="T15" s="95">
        <f t="shared" si="8"/>
        <v>789.2</v>
      </c>
      <c r="U15" s="3430"/>
      <c r="V15" s="95">
        <f t="shared" si="9"/>
        <v>789.2</v>
      </c>
      <c r="W15" s="95">
        <f t="shared" si="20"/>
        <v>238.3</v>
      </c>
      <c r="X15" s="1237"/>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65766.67</v>
      </c>
      <c r="AK15" s="114">
        <f t="shared" si="16"/>
        <v>789.2</v>
      </c>
      <c r="AL15" s="114">
        <f t="shared" si="19"/>
        <v>261.10000000000002</v>
      </c>
      <c r="AM15" s="115">
        <v>0.30199999999999999</v>
      </c>
      <c r="AO15" s="50"/>
      <c r="AP15" s="50"/>
      <c r="AQ15" s="50"/>
      <c r="AS15" s="99">
        <f t="shared" si="17"/>
        <v>13.2555</v>
      </c>
    </row>
    <row r="16" spans="1:45" x14ac:dyDescent="0.2">
      <c r="A16" s="1237">
        <v>8</v>
      </c>
      <c r="B16" s="236" t="s">
        <v>59</v>
      </c>
      <c r="C16" s="259">
        <v>1</v>
      </c>
      <c r="D16" s="237">
        <v>8.8369999999999997</v>
      </c>
      <c r="E16" s="111">
        <f t="shared" si="0"/>
        <v>8.84</v>
      </c>
      <c r="F16" s="95">
        <f t="shared" si="1"/>
        <v>106.1</v>
      </c>
      <c r="G16" s="95"/>
      <c r="H16" s="95">
        <v>5.4</v>
      </c>
      <c r="I16" s="95"/>
      <c r="J16" s="95"/>
      <c r="K16" s="95">
        <f>F16*0.4</f>
        <v>42.4</v>
      </c>
      <c r="L16" s="95">
        <f t="shared" si="18"/>
        <v>75.3</v>
      </c>
      <c r="M16" s="95">
        <f t="shared" si="2"/>
        <v>229.2</v>
      </c>
      <c r="N16" s="111">
        <v>0.41</v>
      </c>
      <c r="O16" s="95">
        <f t="shared" si="3"/>
        <v>94</v>
      </c>
      <c r="P16" s="95">
        <f t="shared" si="4"/>
        <v>323.2</v>
      </c>
      <c r="Q16" s="95">
        <f t="shared" si="5"/>
        <v>258.60000000000002</v>
      </c>
      <c r="R16" s="95">
        <f t="shared" si="6"/>
        <v>258.60000000000002</v>
      </c>
      <c r="S16" s="95">
        <f t="shared" si="7"/>
        <v>26.9</v>
      </c>
      <c r="T16" s="95">
        <f t="shared" si="8"/>
        <v>867.3</v>
      </c>
      <c r="U16" s="3430"/>
      <c r="V16" s="95">
        <f t="shared" si="9"/>
        <v>867.3</v>
      </c>
      <c r="W16" s="95">
        <f t="shared" si="20"/>
        <v>261.89999999999998</v>
      </c>
      <c r="X16" s="1237"/>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72275</v>
      </c>
      <c r="AK16" s="114">
        <f t="shared" si="16"/>
        <v>867.3</v>
      </c>
      <c r="AL16" s="114">
        <f t="shared" si="19"/>
        <v>275.3</v>
      </c>
      <c r="AM16" s="115">
        <v>0.30199999999999999</v>
      </c>
      <c r="AN16" s="50"/>
      <c r="AO16" s="50"/>
      <c r="AP16" s="50"/>
      <c r="AQ16" s="50"/>
      <c r="AS16" s="99">
        <f t="shared" si="17"/>
        <v>13.2555</v>
      </c>
    </row>
    <row r="17" spans="1:45" x14ac:dyDescent="0.2">
      <c r="A17" s="1237">
        <v>9</v>
      </c>
      <c r="B17" s="261" t="s">
        <v>40</v>
      </c>
      <c r="C17" s="259">
        <v>1</v>
      </c>
      <c r="D17" s="237">
        <v>11.538</v>
      </c>
      <c r="E17" s="111">
        <f t="shared" si="0"/>
        <v>11.54</v>
      </c>
      <c r="F17" s="95">
        <f t="shared" si="1"/>
        <v>138.5</v>
      </c>
      <c r="G17" s="95"/>
      <c r="H17" s="95">
        <f>5392.4/1000</f>
        <v>5.4</v>
      </c>
      <c r="I17" s="95"/>
      <c r="J17" s="95"/>
      <c r="K17" s="95"/>
      <c r="L17" s="95">
        <f t="shared" si="18"/>
        <v>98.3</v>
      </c>
      <c r="M17" s="95">
        <f t="shared" si="2"/>
        <v>242.2</v>
      </c>
      <c r="N17" s="111">
        <v>0.43</v>
      </c>
      <c r="O17" s="95">
        <f t="shared" si="3"/>
        <v>104.1</v>
      </c>
      <c r="P17" s="95">
        <f t="shared" si="4"/>
        <v>346.3</v>
      </c>
      <c r="Q17" s="95">
        <f t="shared" si="5"/>
        <v>277</v>
      </c>
      <c r="R17" s="95">
        <f t="shared" si="6"/>
        <v>277</v>
      </c>
      <c r="S17" s="95">
        <f t="shared" si="7"/>
        <v>28.8</v>
      </c>
      <c r="T17" s="95">
        <f t="shared" si="8"/>
        <v>929.1</v>
      </c>
      <c r="U17" s="3430"/>
      <c r="V17" s="95">
        <f t="shared" si="9"/>
        <v>929.1</v>
      </c>
      <c r="W17" s="95">
        <f t="shared" si="20"/>
        <v>280.60000000000002</v>
      </c>
      <c r="X17" s="1237"/>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77425</v>
      </c>
      <c r="AK17" s="114">
        <f t="shared" si="16"/>
        <v>929.1</v>
      </c>
      <c r="AL17" s="114">
        <f t="shared" si="19"/>
        <v>286.60000000000002</v>
      </c>
      <c r="AM17" s="115">
        <v>0.30199999999999999</v>
      </c>
      <c r="AN17" s="50"/>
      <c r="AO17" s="50"/>
      <c r="AP17" s="50"/>
      <c r="AQ17" s="50"/>
      <c r="AS17" s="99">
        <f t="shared" si="17"/>
        <v>17.306999999999999</v>
      </c>
    </row>
    <row r="18" spans="1:45" x14ac:dyDescent="0.2">
      <c r="A18" s="1237">
        <v>10</v>
      </c>
      <c r="B18" s="261" t="s">
        <v>29</v>
      </c>
      <c r="C18" s="259">
        <v>2</v>
      </c>
      <c r="D18" s="237">
        <v>8.8369999999999997</v>
      </c>
      <c r="E18" s="111">
        <f t="shared" si="0"/>
        <v>17.670000000000002</v>
      </c>
      <c r="F18" s="95">
        <f t="shared" si="1"/>
        <v>212</v>
      </c>
      <c r="G18" s="95"/>
      <c r="H18" s="95">
        <f>2065.2/1000</f>
        <v>2.1</v>
      </c>
      <c r="I18" s="95"/>
      <c r="J18" s="95"/>
      <c r="K18" s="95">
        <f>(D18*0.25+D18*0.3)*12</f>
        <v>58.3</v>
      </c>
      <c r="L18" s="95">
        <f t="shared" si="18"/>
        <v>150.5</v>
      </c>
      <c r="M18" s="95">
        <f t="shared" si="2"/>
        <v>422.9</v>
      </c>
      <c r="N18" s="111">
        <v>0.41</v>
      </c>
      <c r="O18" s="95">
        <f t="shared" si="3"/>
        <v>173.4</v>
      </c>
      <c r="P18" s="95">
        <f t="shared" si="4"/>
        <v>596.29999999999995</v>
      </c>
      <c r="Q18" s="95">
        <f t="shared" si="5"/>
        <v>477</v>
      </c>
      <c r="R18" s="95">
        <f t="shared" si="6"/>
        <v>477</v>
      </c>
      <c r="S18" s="95">
        <f t="shared" si="7"/>
        <v>49.6</v>
      </c>
      <c r="T18" s="95">
        <f t="shared" si="8"/>
        <v>1599.9</v>
      </c>
      <c r="U18" s="3430"/>
      <c r="V18" s="95">
        <f t="shared" si="9"/>
        <v>1599.9</v>
      </c>
      <c r="W18" s="95">
        <f t="shared" si="20"/>
        <v>483.2</v>
      </c>
      <c r="X18" s="1237"/>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66662.5</v>
      </c>
      <c r="AK18" s="114">
        <f t="shared" si="16"/>
        <v>800</v>
      </c>
      <c r="AL18" s="114">
        <f t="shared" si="19"/>
        <v>263.10000000000002</v>
      </c>
      <c r="AM18" s="115">
        <v>0.30199999999999999</v>
      </c>
      <c r="AN18" s="263"/>
      <c r="AO18" s="263"/>
      <c r="AP18" s="263"/>
      <c r="AS18" s="99">
        <f t="shared" si="17"/>
        <v>13.2555</v>
      </c>
    </row>
    <row r="19" spans="1:45" x14ac:dyDescent="0.2">
      <c r="A19" s="1237">
        <v>11</v>
      </c>
      <c r="B19" s="261" t="s">
        <v>58</v>
      </c>
      <c r="C19" s="259">
        <v>1</v>
      </c>
      <c r="D19" s="237">
        <v>11.538</v>
      </c>
      <c r="E19" s="111">
        <f t="shared" si="0"/>
        <v>11.54</v>
      </c>
      <c r="F19" s="95">
        <f t="shared" si="1"/>
        <v>138.5</v>
      </c>
      <c r="G19" s="95"/>
      <c r="H19" s="95">
        <f>5392.4/1000</f>
        <v>5.4</v>
      </c>
      <c r="I19" s="95"/>
      <c r="J19" s="95"/>
      <c r="K19" s="95">
        <f>F19*0.4</f>
        <v>55.4</v>
      </c>
      <c r="L19" s="95">
        <f t="shared" si="18"/>
        <v>98.3</v>
      </c>
      <c r="M19" s="95">
        <f t="shared" si="2"/>
        <v>297.60000000000002</v>
      </c>
      <c r="N19" s="111">
        <v>0.43</v>
      </c>
      <c r="O19" s="95">
        <f t="shared" si="3"/>
        <v>128</v>
      </c>
      <c r="P19" s="95">
        <f t="shared" si="4"/>
        <v>425.6</v>
      </c>
      <c r="Q19" s="95">
        <f t="shared" si="5"/>
        <v>340.5</v>
      </c>
      <c r="R19" s="95">
        <f t="shared" si="6"/>
        <v>340.5</v>
      </c>
      <c r="S19" s="95">
        <f t="shared" si="7"/>
        <v>35.4</v>
      </c>
      <c r="T19" s="95">
        <f t="shared" si="8"/>
        <v>1142</v>
      </c>
      <c r="U19" s="3430"/>
      <c r="V19" s="95">
        <f t="shared" si="9"/>
        <v>1142</v>
      </c>
      <c r="W19" s="95">
        <f t="shared" si="20"/>
        <v>344.9</v>
      </c>
      <c r="X19" s="1237"/>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95166.67</v>
      </c>
      <c r="AK19" s="114">
        <f t="shared" si="16"/>
        <v>1142</v>
      </c>
      <c r="AL19" s="114">
        <f t="shared" si="19"/>
        <v>325.3</v>
      </c>
      <c r="AM19" s="115">
        <v>0.30199999999999999</v>
      </c>
      <c r="AN19" s="50"/>
      <c r="AO19" s="50"/>
      <c r="AP19" s="50"/>
      <c r="AQ19" s="50"/>
      <c r="AS19" s="99">
        <f t="shared" si="17"/>
        <v>17.306999999999999</v>
      </c>
    </row>
    <row r="20" spans="1:45" x14ac:dyDescent="0.2">
      <c r="A20" s="1237">
        <v>12</v>
      </c>
      <c r="B20" s="236" t="s">
        <v>42</v>
      </c>
      <c r="C20" s="259">
        <v>1</v>
      </c>
      <c r="D20" s="237">
        <v>11.538</v>
      </c>
      <c r="E20" s="111">
        <f t="shared" si="0"/>
        <v>11.54</v>
      </c>
      <c r="F20" s="95">
        <f t="shared" si="1"/>
        <v>138.5</v>
      </c>
      <c r="G20" s="95"/>
      <c r="H20" s="95">
        <v>7.8</v>
      </c>
      <c r="I20" s="95"/>
      <c r="J20" s="95"/>
      <c r="K20" s="95">
        <f>F20*0.2</f>
        <v>27.7</v>
      </c>
      <c r="L20" s="95">
        <f t="shared" si="18"/>
        <v>98.3</v>
      </c>
      <c r="M20" s="95">
        <f t="shared" si="2"/>
        <v>272.3</v>
      </c>
      <c r="N20" s="111">
        <v>0.43</v>
      </c>
      <c r="O20" s="95">
        <f t="shared" si="3"/>
        <v>117.1</v>
      </c>
      <c r="P20" s="95">
        <f t="shared" si="4"/>
        <v>389.4</v>
      </c>
      <c r="Q20" s="95">
        <f t="shared" si="5"/>
        <v>311.5</v>
      </c>
      <c r="R20" s="95">
        <f t="shared" si="6"/>
        <v>311.5</v>
      </c>
      <c r="S20" s="95">
        <f t="shared" si="7"/>
        <v>32.4</v>
      </c>
      <c r="T20" s="95">
        <f t="shared" si="8"/>
        <v>1044.8</v>
      </c>
      <c r="U20" s="3430"/>
      <c r="V20" s="95">
        <f t="shared" si="9"/>
        <v>1044.8</v>
      </c>
      <c r="W20" s="95">
        <f t="shared" si="20"/>
        <v>315.5</v>
      </c>
      <c r="X20" s="1237"/>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87066.67</v>
      </c>
      <c r="AK20" s="114">
        <f t="shared" si="16"/>
        <v>1044.8</v>
      </c>
      <c r="AL20" s="114">
        <f t="shared" si="19"/>
        <v>307.60000000000002</v>
      </c>
      <c r="AM20" s="115">
        <v>0.30199999999999999</v>
      </c>
      <c r="AN20" s="50"/>
      <c r="AO20" s="50"/>
      <c r="AP20" s="50"/>
      <c r="AQ20" s="50"/>
      <c r="AS20" s="99">
        <f t="shared" si="17"/>
        <v>17.306999999999999</v>
      </c>
    </row>
    <row r="21" spans="1:45" s="22" customFormat="1" ht="25.5" x14ac:dyDescent="0.2">
      <c r="A21" s="1237">
        <v>13</v>
      </c>
      <c r="B21" s="52" t="s">
        <v>132</v>
      </c>
      <c r="C21" s="167">
        <v>1</v>
      </c>
      <c r="D21" s="177">
        <v>8.8369999999999997</v>
      </c>
      <c r="E21" s="171">
        <f t="shared" si="0"/>
        <v>8.84</v>
      </c>
      <c r="F21" s="154">
        <f>E21*12</f>
        <v>106.1</v>
      </c>
      <c r="G21" s="154"/>
      <c r="H21" s="154">
        <f>4130.4/1000</f>
        <v>4.0999999999999996</v>
      </c>
      <c r="I21" s="154"/>
      <c r="J21" s="154"/>
      <c r="K21" s="154"/>
      <c r="L21" s="154">
        <f t="shared" si="18"/>
        <v>75.3</v>
      </c>
      <c r="M21" s="154">
        <f t="shared" si="2"/>
        <v>185.5</v>
      </c>
      <c r="N21" s="171">
        <v>0.47</v>
      </c>
      <c r="O21" s="154">
        <f t="shared" si="3"/>
        <v>87.2</v>
      </c>
      <c r="P21" s="154">
        <f t="shared" si="4"/>
        <v>272.7</v>
      </c>
      <c r="Q21" s="154">
        <f t="shared" si="5"/>
        <v>218.2</v>
      </c>
      <c r="R21" s="154">
        <f t="shared" si="6"/>
        <v>218.2</v>
      </c>
      <c r="S21" s="154">
        <f t="shared" si="7"/>
        <v>22.7</v>
      </c>
      <c r="T21" s="154">
        <f t="shared" si="8"/>
        <v>731.8</v>
      </c>
      <c r="U21" s="3430"/>
      <c r="V21" s="154">
        <f>T21*$U$9</f>
        <v>731.8</v>
      </c>
      <c r="W21" s="95">
        <f t="shared" si="20"/>
        <v>221</v>
      </c>
      <c r="X21" s="1234"/>
      <c r="Y21" s="24">
        <v>30</v>
      </c>
      <c r="Z21" s="48">
        <f t="shared" si="10"/>
        <v>0</v>
      </c>
      <c r="AA21" s="54"/>
      <c r="AB21" s="24">
        <v>15</v>
      </c>
      <c r="AC21" s="48">
        <f t="shared" si="11"/>
        <v>0</v>
      </c>
      <c r="AD21" s="54"/>
      <c r="AE21" s="24">
        <v>30</v>
      </c>
      <c r="AF21" s="48">
        <f t="shared" si="12"/>
        <v>0</v>
      </c>
      <c r="AG21" s="48">
        <f t="shared" si="13"/>
        <v>0</v>
      </c>
      <c r="AH21" s="48">
        <f t="shared" si="14"/>
        <v>0</v>
      </c>
      <c r="AI21" s="39">
        <f t="shared" si="15"/>
        <v>60983.33</v>
      </c>
      <c r="AK21" s="34">
        <f t="shared" si="16"/>
        <v>731.8</v>
      </c>
      <c r="AL21" s="34">
        <f t="shared" si="19"/>
        <v>250.7</v>
      </c>
      <c r="AM21" s="51">
        <v>0.30199999999999999</v>
      </c>
      <c r="AN21" s="211"/>
      <c r="AO21" s="211"/>
      <c r="AP21" s="211"/>
      <c r="AQ21" s="211"/>
      <c r="AS21" s="22">
        <f t="shared" si="17"/>
        <v>13.2555</v>
      </c>
    </row>
    <row r="22" spans="1:45" x14ac:dyDescent="0.2">
      <c r="A22" s="1237">
        <v>14</v>
      </c>
      <c r="B22" s="261" t="s">
        <v>44</v>
      </c>
      <c r="C22" s="259">
        <v>1</v>
      </c>
      <c r="D22" s="237">
        <v>11.538</v>
      </c>
      <c r="E22" s="111">
        <f t="shared" si="0"/>
        <v>11.54</v>
      </c>
      <c r="F22" s="95">
        <f t="shared" si="1"/>
        <v>138.5</v>
      </c>
      <c r="G22" s="95"/>
      <c r="H22" s="95">
        <v>7</v>
      </c>
      <c r="I22" s="95"/>
      <c r="J22" s="95"/>
      <c r="K22" s="95">
        <f>F22*0.4</f>
        <v>55.4</v>
      </c>
      <c r="L22" s="95">
        <f t="shared" si="18"/>
        <v>98.3</v>
      </c>
      <c r="M22" s="95">
        <f t="shared" si="2"/>
        <v>299.2</v>
      </c>
      <c r="N22" s="111">
        <v>0.43</v>
      </c>
      <c r="O22" s="95">
        <f t="shared" si="3"/>
        <v>128.69999999999999</v>
      </c>
      <c r="P22" s="95">
        <f t="shared" si="4"/>
        <v>427.9</v>
      </c>
      <c r="Q22" s="95">
        <f t="shared" si="5"/>
        <v>342.3</v>
      </c>
      <c r="R22" s="95">
        <f t="shared" si="6"/>
        <v>342.3</v>
      </c>
      <c r="S22" s="95">
        <f t="shared" si="7"/>
        <v>35.6</v>
      </c>
      <c r="T22" s="95">
        <f t="shared" si="8"/>
        <v>1148.0999999999999</v>
      </c>
      <c r="U22" s="3430"/>
      <c r="V22" s="95">
        <f t="shared" si="9"/>
        <v>1148.0999999999999</v>
      </c>
      <c r="W22" s="95">
        <f t="shared" si="20"/>
        <v>346.7</v>
      </c>
      <c r="X22" s="1237">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95675</v>
      </c>
      <c r="AK22" s="114">
        <f t="shared" si="16"/>
        <v>1148.0999999999999</v>
      </c>
      <c r="AL22" s="114">
        <f t="shared" si="19"/>
        <v>326.39999999999998</v>
      </c>
      <c r="AM22" s="115">
        <v>0.30199999999999999</v>
      </c>
      <c r="AN22" s="50"/>
      <c r="AO22" s="50"/>
      <c r="AP22" s="50"/>
      <c r="AQ22" s="50"/>
      <c r="AS22" s="99">
        <f t="shared" si="17"/>
        <v>17.306999999999999</v>
      </c>
    </row>
    <row r="23" spans="1:45" x14ac:dyDescent="0.2">
      <c r="A23" s="1237">
        <v>15</v>
      </c>
      <c r="B23" s="236" t="s">
        <v>33</v>
      </c>
      <c r="C23" s="174">
        <v>1</v>
      </c>
      <c r="D23" s="237">
        <v>8.8369999999999997</v>
      </c>
      <c r="E23" s="111">
        <f t="shared" si="0"/>
        <v>8.84</v>
      </c>
      <c r="F23" s="95">
        <f t="shared" si="1"/>
        <v>106.1</v>
      </c>
      <c r="G23" s="95">
        <f>4015.6/1000</f>
        <v>4</v>
      </c>
      <c r="H23" s="95">
        <f>5782.5/1000</f>
        <v>5.8</v>
      </c>
      <c r="I23" s="95"/>
      <c r="J23" s="95"/>
      <c r="K23" s="95">
        <f>D23*0.2*7.6+D23*0.25*4.4</f>
        <v>23.2</v>
      </c>
      <c r="L23" s="95">
        <f t="shared" si="18"/>
        <v>75.3</v>
      </c>
      <c r="M23" s="95">
        <f t="shared" si="2"/>
        <v>214.4</v>
      </c>
      <c r="N23" s="111">
        <v>0.41</v>
      </c>
      <c r="O23" s="95">
        <f t="shared" si="3"/>
        <v>87.9</v>
      </c>
      <c r="P23" s="95">
        <f t="shared" si="4"/>
        <v>302.3</v>
      </c>
      <c r="Q23" s="95">
        <f t="shared" si="5"/>
        <v>241.8</v>
      </c>
      <c r="R23" s="95">
        <f t="shared" si="6"/>
        <v>241.8</v>
      </c>
      <c r="S23" s="95">
        <f t="shared" si="7"/>
        <v>25.1</v>
      </c>
      <c r="T23" s="95">
        <f t="shared" si="8"/>
        <v>811</v>
      </c>
      <c r="U23" s="3430"/>
      <c r="V23" s="95">
        <f t="shared" si="9"/>
        <v>811</v>
      </c>
      <c r="W23" s="95">
        <f t="shared" si="20"/>
        <v>244.9</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67583.33</v>
      </c>
      <c r="AK23" s="114">
        <f t="shared" si="16"/>
        <v>811</v>
      </c>
      <c r="AL23" s="114">
        <f t="shared" si="19"/>
        <v>265.10000000000002</v>
      </c>
      <c r="AM23" s="115">
        <v>0.30199999999999999</v>
      </c>
      <c r="AN23" s="263"/>
      <c r="AO23" s="263"/>
      <c r="AP23" s="263"/>
      <c r="AS23" s="99">
        <f t="shared" si="17"/>
        <v>13.2555</v>
      </c>
    </row>
    <row r="24" spans="1:45" ht="25.5" x14ac:dyDescent="0.2">
      <c r="A24" s="1237">
        <v>16</v>
      </c>
      <c r="B24" s="236" t="s">
        <v>102</v>
      </c>
      <c r="C24" s="174">
        <v>0.5</v>
      </c>
      <c r="D24" s="237">
        <v>4.5650000000000004</v>
      </c>
      <c r="E24" s="111">
        <f t="shared" si="0"/>
        <v>2.2799999999999998</v>
      </c>
      <c r="F24" s="95">
        <f t="shared" si="1"/>
        <v>27.4</v>
      </c>
      <c r="G24" s="95"/>
      <c r="H24" s="95"/>
      <c r="I24" s="95"/>
      <c r="J24" s="95"/>
      <c r="K24" s="95"/>
      <c r="L24" s="95">
        <f t="shared" si="18"/>
        <v>19.5</v>
      </c>
      <c r="M24" s="95">
        <f t="shared" si="2"/>
        <v>46.9</v>
      </c>
      <c r="N24" s="111">
        <v>0.49</v>
      </c>
      <c r="O24" s="95">
        <f t="shared" si="3"/>
        <v>23</v>
      </c>
      <c r="P24" s="95">
        <f t="shared" si="4"/>
        <v>69.900000000000006</v>
      </c>
      <c r="Q24" s="95">
        <f t="shared" si="5"/>
        <v>55.9</v>
      </c>
      <c r="R24" s="95">
        <f t="shared" si="6"/>
        <v>55.9</v>
      </c>
      <c r="S24" s="95">
        <f t="shared" si="7"/>
        <v>5.8</v>
      </c>
      <c r="T24" s="95">
        <f t="shared" si="8"/>
        <v>187.5</v>
      </c>
      <c r="U24" s="3430"/>
      <c r="V24" s="95">
        <f t="shared" si="9"/>
        <v>187.5</v>
      </c>
      <c r="W24" s="95">
        <f t="shared" si="20"/>
        <v>56.6</v>
      </c>
      <c r="X24" s="238"/>
      <c r="Y24" s="240"/>
      <c r="Z24" s="241"/>
      <c r="AA24" s="238"/>
      <c r="AB24" s="240"/>
      <c r="AC24" s="241"/>
      <c r="AD24" s="238"/>
      <c r="AE24" s="240"/>
      <c r="AF24" s="241"/>
      <c r="AG24" s="241"/>
      <c r="AH24" s="241"/>
      <c r="AI24" s="131"/>
      <c r="AK24" s="114"/>
      <c r="AL24" s="114"/>
      <c r="AM24" s="115"/>
      <c r="AN24" s="263"/>
      <c r="AO24" s="263"/>
      <c r="AP24" s="263"/>
      <c r="AS24" s="99">
        <f t="shared" si="17"/>
        <v>6.8475000000000001</v>
      </c>
    </row>
    <row r="25" spans="1:45" x14ac:dyDescent="0.2">
      <c r="A25" s="1237">
        <v>17</v>
      </c>
      <c r="B25" s="236" t="s">
        <v>136</v>
      </c>
      <c r="C25" s="174">
        <v>0.5</v>
      </c>
      <c r="D25" s="237">
        <v>4.5650000000000004</v>
      </c>
      <c r="E25" s="111">
        <f t="shared" si="0"/>
        <v>2.2799999999999998</v>
      </c>
      <c r="F25" s="95">
        <f t="shared" si="1"/>
        <v>27.4</v>
      </c>
      <c r="G25" s="95"/>
      <c r="H25" s="95"/>
      <c r="I25" s="95"/>
      <c r="J25" s="95"/>
      <c r="K25" s="95"/>
      <c r="L25" s="95">
        <f t="shared" si="18"/>
        <v>19.5</v>
      </c>
      <c r="M25" s="95">
        <f t="shared" si="2"/>
        <v>46.9</v>
      </c>
      <c r="N25" s="111">
        <v>0.49</v>
      </c>
      <c r="O25" s="95">
        <f t="shared" si="3"/>
        <v>23</v>
      </c>
      <c r="P25" s="95">
        <f t="shared" si="4"/>
        <v>69.900000000000006</v>
      </c>
      <c r="Q25" s="95">
        <f t="shared" si="5"/>
        <v>55.9</v>
      </c>
      <c r="R25" s="95">
        <f t="shared" si="6"/>
        <v>55.9</v>
      </c>
      <c r="S25" s="95">
        <f t="shared" si="7"/>
        <v>5.8</v>
      </c>
      <c r="T25" s="95">
        <f t="shared" si="8"/>
        <v>187.5</v>
      </c>
      <c r="U25" s="3430"/>
      <c r="V25" s="95">
        <f t="shared" si="9"/>
        <v>187.5</v>
      </c>
      <c r="W25" s="95">
        <f t="shared" si="20"/>
        <v>56.6</v>
      </c>
      <c r="X25" s="238"/>
      <c r="Y25" s="240"/>
      <c r="Z25" s="241"/>
      <c r="AA25" s="238"/>
      <c r="AB25" s="240"/>
      <c r="AC25" s="241"/>
      <c r="AD25" s="238"/>
      <c r="AE25" s="240"/>
      <c r="AF25" s="241"/>
      <c r="AG25" s="241"/>
      <c r="AH25" s="241"/>
      <c r="AI25" s="131"/>
      <c r="AK25" s="114"/>
      <c r="AL25" s="114"/>
      <c r="AM25" s="115"/>
      <c r="AN25" s="263"/>
      <c r="AO25" s="263"/>
      <c r="AP25" s="263"/>
      <c r="AS25" s="99">
        <f t="shared" si="17"/>
        <v>6.8475000000000001</v>
      </c>
    </row>
    <row r="26" spans="1:45" s="245" customFormat="1" x14ac:dyDescent="0.2">
      <c r="A26" s="1237">
        <v>18</v>
      </c>
      <c r="B26" s="236" t="s">
        <v>60</v>
      </c>
      <c r="C26" s="262">
        <v>2</v>
      </c>
      <c r="D26" s="247">
        <v>4.5650000000000004</v>
      </c>
      <c r="E26" s="249">
        <f t="shared" si="0"/>
        <v>9.1300000000000008</v>
      </c>
      <c r="F26" s="248">
        <f t="shared" si="1"/>
        <v>109.6</v>
      </c>
      <c r="G26" s="248">
        <f>12446.4/1000</f>
        <v>12.4</v>
      </c>
      <c r="H26" s="248">
        <f>5974.3/1000</f>
        <v>6</v>
      </c>
      <c r="I26" s="248"/>
      <c r="J26" s="248"/>
      <c r="K26" s="248"/>
      <c r="L26" s="95">
        <v>59</v>
      </c>
      <c r="M26" s="248">
        <f t="shared" si="2"/>
        <v>187</v>
      </c>
      <c r="N26" s="111">
        <v>0.49</v>
      </c>
      <c r="O26" s="248">
        <f t="shared" si="3"/>
        <v>91.6</v>
      </c>
      <c r="P26" s="248">
        <f t="shared" si="4"/>
        <v>278.60000000000002</v>
      </c>
      <c r="Q26" s="248">
        <f t="shared" si="5"/>
        <v>222.9</v>
      </c>
      <c r="R26" s="248">
        <f t="shared" si="6"/>
        <v>222.9</v>
      </c>
      <c r="S26" s="248">
        <f t="shared" si="7"/>
        <v>23.2</v>
      </c>
      <c r="T26" s="248">
        <f t="shared" si="8"/>
        <v>747.6</v>
      </c>
      <c r="U26" s="3430"/>
      <c r="V26" s="248">
        <f t="shared" si="9"/>
        <v>747.6</v>
      </c>
      <c r="W26" s="95">
        <f t="shared" si="20"/>
        <v>225.8</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31150</v>
      </c>
      <c r="AK26" s="114">
        <f>V26/C26</f>
        <v>373.8</v>
      </c>
      <c r="AL26" s="114">
        <f t="shared" si="19"/>
        <v>185.5</v>
      </c>
      <c r="AM26" s="115">
        <v>0.30199999999999999</v>
      </c>
      <c r="AN26" s="211"/>
      <c r="AO26" s="211"/>
      <c r="AP26" s="211"/>
      <c r="AQ26" s="211"/>
      <c r="AS26" s="99">
        <f t="shared" si="17"/>
        <v>6.8475000000000001</v>
      </c>
    </row>
    <row r="27" spans="1:45" x14ac:dyDescent="0.2">
      <c r="A27" s="1237">
        <v>19</v>
      </c>
      <c r="B27" s="261" t="s">
        <v>94</v>
      </c>
      <c r="C27" s="264">
        <v>2</v>
      </c>
      <c r="D27" s="237">
        <v>4.5650000000000004</v>
      </c>
      <c r="E27" s="111">
        <f t="shared" si="0"/>
        <v>9.1300000000000008</v>
      </c>
      <c r="F27" s="95">
        <f t="shared" si="1"/>
        <v>109.6</v>
      </c>
      <c r="G27" s="95">
        <f>2074.4/1000</f>
        <v>2.1</v>
      </c>
      <c r="H27" s="95">
        <f>5.974</f>
        <v>6</v>
      </c>
      <c r="I27" s="95"/>
      <c r="J27" s="95"/>
      <c r="K27" s="95"/>
      <c r="L27" s="95">
        <v>70.8</v>
      </c>
      <c r="M27" s="95">
        <f t="shared" si="2"/>
        <v>188.5</v>
      </c>
      <c r="N27" s="111">
        <v>0.47</v>
      </c>
      <c r="O27" s="95">
        <f t="shared" si="3"/>
        <v>88.6</v>
      </c>
      <c r="P27" s="95">
        <f t="shared" si="4"/>
        <v>277.10000000000002</v>
      </c>
      <c r="Q27" s="95">
        <f t="shared" si="5"/>
        <v>221.7</v>
      </c>
      <c r="R27" s="95">
        <f t="shared" si="6"/>
        <v>221.7</v>
      </c>
      <c r="S27" s="95">
        <f t="shared" si="7"/>
        <v>23.1</v>
      </c>
      <c r="T27" s="95">
        <f t="shared" si="8"/>
        <v>743.6</v>
      </c>
      <c r="U27" s="3430"/>
      <c r="V27" s="95">
        <f>T27*$U$9-1.7</f>
        <v>741.9</v>
      </c>
      <c r="W27" s="95">
        <f t="shared" si="20"/>
        <v>224.1</v>
      </c>
      <c r="X27" s="1237">
        <v>1</v>
      </c>
      <c r="Y27" s="112">
        <v>30</v>
      </c>
      <c r="Z27" s="113">
        <f t="shared" si="10"/>
        <v>30</v>
      </c>
      <c r="AA27" s="1237"/>
      <c r="AB27" s="112">
        <v>15</v>
      </c>
      <c r="AC27" s="113">
        <f t="shared" si="11"/>
        <v>0</v>
      </c>
      <c r="AD27" s="1237"/>
      <c r="AE27" s="112">
        <v>30</v>
      </c>
      <c r="AF27" s="113">
        <f t="shared" si="12"/>
        <v>0</v>
      </c>
      <c r="AG27" s="113">
        <f t="shared" si="13"/>
        <v>9</v>
      </c>
      <c r="AH27" s="113">
        <f t="shared" si="14"/>
        <v>39</v>
      </c>
      <c r="AI27" s="131">
        <f>V27/12/C27*1000</f>
        <v>30912.5</v>
      </c>
      <c r="AK27" s="114">
        <f>V27/C27</f>
        <v>371</v>
      </c>
      <c r="AL27" s="114">
        <f t="shared" si="19"/>
        <v>185</v>
      </c>
      <c r="AM27" s="115">
        <v>0.30199999999999999</v>
      </c>
      <c r="AS27" s="99">
        <f t="shared" si="17"/>
        <v>6.8475000000000001</v>
      </c>
    </row>
    <row r="28" spans="1:45" s="98" customFormat="1" ht="20.25" customHeight="1" x14ac:dyDescent="0.2">
      <c r="A28" s="3431" t="s">
        <v>8</v>
      </c>
      <c r="B28" s="3431"/>
      <c r="C28" s="265">
        <f>SUM(C9:C27)</f>
        <v>25</v>
      </c>
      <c r="D28" s="266">
        <f t="shared" ref="D28:T28" si="21">SUM(D9:D27)</f>
        <v>195.6</v>
      </c>
      <c r="E28" s="266">
        <f t="shared" si="21"/>
        <v>262.60000000000002</v>
      </c>
      <c r="F28" s="266">
        <f t="shared" si="21"/>
        <v>3151.2</v>
      </c>
      <c r="G28" s="266">
        <f t="shared" si="21"/>
        <v>18.5</v>
      </c>
      <c r="H28" s="266">
        <f t="shared" si="21"/>
        <v>110.7</v>
      </c>
      <c r="I28" s="266">
        <f t="shared" si="21"/>
        <v>0</v>
      </c>
      <c r="J28" s="266">
        <f t="shared" si="21"/>
        <v>0</v>
      </c>
      <c r="K28" s="266">
        <f t="shared" si="21"/>
        <v>734.4</v>
      </c>
      <c r="L28" s="266">
        <f t="shared" si="21"/>
        <v>2211.4</v>
      </c>
      <c r="M28" s="266">
        <f t="shared" si="21"/>
        <v>6226.2</v>
      </c>
      <c r="N28" s="266">
        <f t="shared" si="21"/>
        <v>8.5</v>
      </c>
      <c r="O28" s="266">
        <f t="shared" si="21"/>
        <v>2761.9</v>
      </c>
      <c r="P28" s="266">
        <f t="shared" si="21"/>
        <v>8988.1</v>
      </c>
      <c r="Q28" s="266">
        <f t="shared" si="21"/>
        <v>7190.4</v>
      </c>
      <c r="R28" s="266">
        <f t="shared" si="21"/>
        <v>7190.4</v>
      </c>
      <c r="S28" s="266">
        <f t="shared" si="21"/>
        <v>747.8</v>
      </c>
      <c r="T28" s="266">
        <f t="shared" si="21"/>
        <v>24116.7</v>
      </c>
      <c r="U28" s="266"/>
      <c r="V28" s="266">
        <f t="shared" ref="V28:AH28" si="22">SUM(V9:V27)</f>
        <v>24115</v>
      </c>
      <c r="W28" s="266">
        <f>SUM(W9:W27)</f>
        <v>7107.6</v>
      </c>
      <c r="X28" s="266">
        <f t="shared" si="22"/>
        <v>8</v>
      </c>
      <c r="Y28" s="266">
        <f t="shared" si="22"/>
        <v>510</v>
      </c>
      <c r="Z28" s="266">
        <f t="shared" si="22"/>
        <v>240</v>
      </c>
      <c r="AA28" s="266">
        <f t="shared" si="22"/>
        <v>1</v>
      </c>
      <c r="AB28" s="266">
        <f t="shared" si="22"/>
        <v>255</v>
      </c>
      <c r="AC28" s="266">
        <f t="shared" si="22"/>
        <v>15</v>
      </c>
      <c r="AD28" s="266">
        <f t="shared" si="22"/>
        <v>3</v>
      </c>
      <c r="AE28" s="266">
        <f t="shared" si="22"/>
        <v>510</v>
      </c>
      <c r="AF28" s="266">
        <f t="shared" si="22"/>
        <v>90</v>
      </c>
      <c r="AG28" s="266">
        <f t="shared" si="22"/>
        <v>103.5</v>
      </c>
      <c r="AH28" s="266">
        <f t="shared" si="22"/>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27"/>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ht="58.5" customHeight="1" x14ac:dyDescent="0.2">
      <c r="A30" s="70"/>
      <c r="B30" s="70"/>
      <c r="C30" s="71"/>
      <c r="D30" s="77"/>
      <c r="E30" s="77"/>
      <c r="F30" s="27"/>
      <c r="G30" s="3191" t="s">
        <v>140</v>
      </c>
      <c r="H30" s="3191"/>
      <c r="I30" s="3188" t="s">
        <v>964</v>
      </c>
      <c r="J30" s="3428"/>
      <c r="K30" s="3189"/>
      <c r="L30" s="969"/>
      <c r="Q30" s="27"/>
      <c r="R30" s="27"/>
      <c r="S30" s="27"/>
      <c r="T30" s="27"/>
      <c r="U30" s="27"/>
      <c r="V30" s="1779"/>
      <c r="W30" s="1779"/>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1235">
        <v>991</v>
      </c>
      <c r="H31" s="1235">
        <v>992</v>
      </c>
      <c r="I31" s="1235">
        <v>991</v>
      </c>
      <c r="J31" s="1235">
        <v>992</v>
      </c>
      <c r="K31" s="1235">
        <v>911</v>
      </c>
      <c r="L31" s="978"/>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9">
        <v>18394</v>
      </c>
      <c r="H32" s="29">
        <v>5393.9</v>
      </c>
      <c r="I32" s="29">
        <f>V28</f>
        <v>24115</v>
      </c>
      <c r="J32" s="29">
        <f>W28</f>
        <v>7107.6</v>
      </c>
      <c r="K32" s="29">
        <f>AH28</f>
        <v>448.5</v>
      </c>
      <c r="L32" s="80"/>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5" spans="1:44" s="1233" customFormat="1" ht="20.25" x14ac:dyDescent="0.2">
      <c r="A35" s="81"/>
      <c r="B35" s="82" t="s">
        <v>175</v>
      </c>
      <c r="C35" s="83"/>
      <c r="D35" s="84"/>
      <c r="E35" s="84"/>
      <c r="F35" s="85"/>
      <c r="G35" s="85"/>
      <c r="H35" s="86"/>
      <c r="I35" s="86"/>
      <c r="J35" s="85"/>
      <c r="K35" s="30" t="s">
        <v>176</v>
      </c>
      <c r="L35" s="85"/>
      <c r="M35" s="85"/>
      <c r="N35" s="87"/>
      <c r="O35" s="85"/>
      <c r="P35" s="85"/>
      <c r="Q35" s="85"/>
      <c r="R35" s="85"/>
      <c r="S35" s="85"/>
      <c r="T35" s="85"/>
      <c r="U35" s="85"/>
      <c r="V35" s="85"/>
      <c r="W35" s="85"/>
      <c r="X35" s="85"/>
      <c r="Y35" s="85"/>
      <c r="Z35" s="85"/>
      <c r="AA35" s="85"/>
      <c r="AB35" s="85"/>
      <c r="AC35" s="85"/>
      <c r="AD35" s="85"/>
      <c r="AE35" s="85"/>
      <c r="AF35" s="85"/>
      <c r="AG35" s="85"/>
      <c r="AH35" s="85"/>
      <c r="AI35" s="85"/>
      <c r="AK35" s="88"/>
      <c r="AL35" s="88"/>
      <c r="AM35" s="88"/>
      <c r="AN35" s="88"/>
      <c r="AO35" s="88"/>
    </row>
    <row r="36" spans="1:44" s="143" customFormat="1" x14ac:dyDescent="0.2">
      <c r="A36" s="136"/>
      <c r="B36" s="136"/>
      <c r="C36" s="137"/>
      <c r="D36" s="144"/>
      <c r="E36" s="144"/>
      <c r="F36" s="140"/>
      <c r="G36" s="140"/>
      <c r="H36" s="139"/>
      <c r="I36" s="139"/>
      <c r="J36" s="140"/>
      <c r="K36" s="140"/>
      <c r="L36" s="140"/>
      <c r="M36" s="140"/>
      <c r="N36" s="141"/>
      <c r="O36" s="140"/>
      <c r="P36" s="140"/>
      <c r="Q36" s="140"/>
      <c r="R36" s="140"/>
      <c r="S36" s="140"/>
      <c r="T36" s="140"/>
      <c r="U36" s="140"/>
      <c r="V36" s="140"/>
      <c r="W36" s="140"/>
      <c r="X36" s="140"/>
      <c r="Y36" s="140"/>
      <c r="Z36" s="140"/>
      <c r="AA36" s="140"/>
      <c r="AB36" s="140"/>
      <c r="AC36" s="140"/>
      <c r="AD36" s="140"/>
      <c r="AE36" s="140"/>
      <c r="AF36" s="142"/>
      <c r="AK36" s="142"/>
      <c r="AL36" s="142"/>
      <c r="AM36" s="142"/>
      <c r="AN36" s="76"/>
      <c r="AO36" s="76"/>
      <c r="AP36" s="76"/>
      <c r="AQ36" s="76"/>
      <c r="AR36" s="99"/>
    </row>
    <row r="37" spans="1:44" s="143" customFormat="1" ht="20.25" customHeight="1" x14ac:dyDescent="0.2">
      <c r="A37" s="145" t="s">
        <v>96</v>
      </c>
      <c r="B37" s="145"/>
      <c r="C37" s="146"/>
      <c r="D37" s="146"/>
      <c r="E37" s="146"/>
      <c r="F37" s="146"/>
      <c r="G37" s="146"/>
      <c r="H37" s="146"/>
      <c r="I37" s="146"/>
      <c r="J37" s="146"/>
      <c r="K37" s="146"/>
      <c r="L37" s="147"/>
      <c r="M37" s="147"/>
      <c r="N37" s="202"/>
      <c r="O37" s="203"/>
      <c r="P37" s="147"/>
      <c r="Q37" s="147"/>
      <c r="R37" s="147"/>
      <c r="S37" s="147"/>
      <c r="T37" s="147"/>
      <c r="U37" s="147"/>
      <c r="V37" s="147"/>
      <c r="W37" s="147"/>
      <c r="X37" s="147"/>
      <c r="Y37" s="147"/>
      <c r="Z37" s="147"/>
      <c r="AA37" s="147"/>
      <c r="AB37" s="147"/>
      <c r="AC37" s="147"/>
      <c r="AD37" s="147"/>
      <c r="AE37" s="147"/>
      <c r="AF37" s="142"/>
      <c r="AK37" s="142"/>
      <c r="AL37" s="142"/>
      <c r="AM37" s="142"/>
      <c r="AN37" s="76"/>
      <c r="AO37" s="76"/>
      <c r="AP37" s="76"/>
      <c r="AQ37" s="76"/>
      <c r="AR37" s="99"/>
    </row>
    <row r="38" spans="1:44" s="143" customFormat="1" ht="20.25" customHeight="1" x14ac:dyDescent="0.2">
      <c r="A38" s="145" t="s">
        <v>139</v>
      </c>
      <c r="B38" s="149"/>
      <c r="C38" s="150"/>
      <c r="D38" s="150"/>
      <c r="E38" s="151"/>
      <c r="F38" s="151"/>
      <c r="G38" s="151"/>
      <c r="H38" s="151"/>
      <c r="I38" s="151"/>
      <c r="J38" s="151"/>
      <c r="K38" s="151"/>
      <c r="L38" s="147"/>
      <c r="M38" s="147"/>
      <c r="N38" s="202"/>
      <c r="O38" s="203"/>
      <c r="P38" s="147"/>
      <c r="Q38" s="147"/>
      <c r="R38" s="147"/>
      <c r="S38" s="147"/>
      <c r="T38" s="147"/>
      <c r="U38" s="147"/>
      <c r="V38" s="147"/>
      <c r="W38" s="147"/>
      <c r="X38" s="147"/>
      <c r="Y38" s="147"/>
      <c r="Z38" s="147"/>
      <c r="AA38" s="147"/>
      <c r="AB38" s="147"/>
      <c r="AC38" s="147"/>
      <c r="AD38" s="147"/>
      <c r="AE38" s="147"/>
      <c r="AF38" s="142"/>
      <c r="AK38" s="142"/>
      <c r="AL38" s="142"/>
      <c r="AM38" s="142"/>
      <c r="AN38" s="76"/>
      <c r="AO38" s="76"/>
      <c r="AP38" s="76"/>
      <c r="AQ38" s="76"/>
      <c r="AR38" s="252"/>
    </row>
    <row r="40" spans="1:44" x14ac:dyDescent="0.2">
      <c r="E40" s="115"/>
    </row>
    <row r="41" spans="1:44" x14ac:dyDescent="0.2">
      <c r="E41" s="115"/>
    </row>
    <row r="42" spans="1:44" x14ac:dyDescent="0.2">
      <c r="E42" s="115"/>
      <c r="Y42" s="99" t="s">
        <v>124</v>
      </c>
    </row>
    <row r="43" spans="1:44" x14ac:dyDescent="0.2">
      <c r="E43" s="115"/>
    </row>
    <row r="44" spans="1:44" x14ac:dyDescent="0.2">
      <c r="E44" s="115"/>
    </row>
    <row r="45" spans="1:44" x14ac:dyDescent="0.2">
      <c r="E45" s="115"/>
    </row>
    <row r="46" spans="1:44" x14ac:dyDescent="0.2">
      <c r="E46" s="115"/>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sheetData>
  <autoFilter ref="A8:AS32"/>
  <mergeCells count="36">
    <mergeCell ref="AE1:AH1"/>
    <mergeCell ref="A2:AH2"/>
    <mergeCell ref="A3:AH3"/>
    <mergeCell ref="A5:A7"/>
    <mergeCell ref="B5:B7"/>
    <mergeCell ref="C5:C7"/>
    <mergeCell ref="D5:W5"/>
    <mergeCell ref="X5:AH5"/>
    <mergeCell ref="D6:D7"/>
    <mergeCell ref="E6:E7"/>
    <mergeCell ref="AH6:AH7"/>
    <mergeCell ref="V6:V7"/>
    <mergeCell ref="W6:W7"/>
    <mergeCell ref="X6:Z6"/>
    <mergeCell ref="A28:B28"/>
    <mergeCell ref="S6:S7"/>
    <mergeCell ref="T6:T7"/>
    <mergeCell ref="U6:U7"/>
    <mergeCell ref="L6:L7"/>
    <mergeCell ref="M6:M7"/>
    <mergeCell ref="N6:O6"/>
    <mergeCell ref="P6:P7"/>
    <mergeCell ref="Q6:Q7"/>
    <mergeCell ref="R6:R7"/>
    <mergeCell ref="F6:F7"/>
    <mergeCell ref="G30:H30"/>
    <mergeCell ref="I30:K30"/>
    <mergeCell ref="AA6:AC6"/>
    <mergeCell ref="AD6:AF6"/>
    <mergeCell ref="AG6:AG7"/>
    <mergeCell ref="G6:G7"/>
    <mergeCell ref="H6:H7"/>
    <mergeCell ref="I6:I7"/>
    <mergeCell ref="J6:J7"/>
    <mergeCell ref="K6:K7"/>
    <mergeCell ref="U9:U27"/>
  </mergeCells>
  <printOptions horizontalCentered="1"/>
  <pageMargins left="0" right="0" top="0" bottom="0" header="0.31496062992125984" footer="0.31496062992125984"/>
  <pageSetup paperSize="9" scale="37"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00FFFF"/>
  </sheetPr>
  <dimension ref="A1:F22"/>
  <sheetViews>
    <sheetView view="pageBreakPreview" zoomScale="80" zoomScaleNormal="100" zoomScaleSheetLayoutView="80" workbookViewId="0">
      <selection activeCell="D14" sqref="D14"/>
    </sheetView>
  </sheetViews>
  <sheetFormatPr defaultRowHeight="39.75" customHeight="1" x14ac:dyDescent="0.25"/>
  <cols>
    <col min="1" max="1" width="81.33203125" style="380" customWidth="1"/>
    <col min="2" max="2" width="10" style="380" customWidth="1"/>
    <col min="3" max="5" width="25.83203125" style="380" customWidth="1"/>
    <col min="6" max="16384" width="9.33203125" style="380"/>
  </cols>
  <sheetData>
    <row r="1" spans="1:6" ht="39.75" customHeight="1" x14ac:dyDescent="0.25">
      <c r="A1" s="3425" t="s">
        <v>504</v>
      </c>
      <c r="B1" s="3425"/>
      <c r="C1" s="3425"/>
      <c r="D1" s="3425"/>
      <c r="E1" s="3425"/>
    </row>
    <row r="2" spans="1:6" ht="21" customHeight="1" x14ac:dyDescent="0.25">
      <c r="A2" s="3425" t="s">
        <v>1442</v>
      </c>
      <c r="B2" s="3425"/>
      <c r="C2" s="3425"/>
      <c r="D2" s="3425"/>
      <c r="E2" s="3425"/>
    </row>
    <row r="3" spans="1:6" ht="13.5" customHeight="1" x14ac:dyDescent="0.25">
      <c r="A3" s="381"/>
      <c r="B3" s="381"/>
      <c r="C3" s="381"/>
      <c r="D3" s="381"/>
      <c r="E3" s="382">
        <v>43831</v>
      </c>
    </row>
    <row r="4" spans="1:6" ht="39.75" customHeight="1" x14ac:dyDescent="0.25">
      <c r="A4" s="3426" t="s">
        <v>386</v>
      </c>
      <c r="B4" s="3426" t="s">
        <v>387</v>
      </c>
      <c r="C4" s="3426" t="s">
        <v>388</v>
      </c>
      <c r="D4" s="3426"/>
      <c r="E4" s="3426"/>
    </row>
    <row r="5" spans="1:6" ht="39.75" customHeight="1" x14ac:dyDescent="0.25">
      <c r="A5" s="3426"/>
      <c r="B5" s="3426"/>
      <c r="C5" s="383" t="s">
        <v>397</v>
      </c>
      <c r="D5" s="383" t="s">
        <v>398</v>
      </c>
      <c r="E5" s="383" t="s">
        <v>399</v>
      </c>
    </row>
    <row r="6" spans="1:6" ht="39.75" customHeight="1" x14ac:dyDescent="0.25">
      <c r="A6" s="3426"/>
      <c r="B6" s="3426"/>
      <c r="C6" s="383" t="s">
        <v>389</v>
      </c>
      <c r="D6" s="383" t="s">
        <v>390</v>
      </c>
      <c r="E6" s="383" t="s">
        <v>391</v>
      </c>
    </row>
    <row r="7" spans="1:6" ht="16.5" customHeight="1" x14ac:dyDescent="0.25">
      <c r="A7" s="383">
        <v>1</v>
      </c>
      <c r="B7" s="383">
        <v>2</v>
      </c>
      <c r="C7" s="383">
        <v>3</v>
      </c>
      <c r="D7" s="383">
        <v>4</v>
      </c>
      <c r="E7" s="383">
        <v>5</v>
      </c>
    </row>
    <row r="8" spans="1:6" ht="48.75" customHeight="1" x14ac:dyDescent="0.25">
      <c r="A8" s="384" t="s">
        <v>468</v>
      </c>
      <c r="B8" s="383">
        <v>100</v>
      </c>
      <c r="C8" s="385"/>
      <c r="D8" s="385"/>
      <c r="E8" s="385"/>
    </row>
    <row r="9" spans="1:6" ht="44.25" customHeight="1" x14ac:dyDescent="0.25">
      <c r="A9" s="384" t="s">
        <v>393</v>
      </c>
      <c r="B9" s="383">
        <v>200</v>
      </c>
      <c r="C9" s="385"/>
      <c r="D9" s="385"/>
      <c r="E9" s="385"/>
    </row>
    <row r="10" spans="1:6" ht="33.75" customHeight="1" x14ac:dyDescent="0.25">
      <c r="A10" s="384" t="s">
        <v>459</v>
      </c>
      <c r="B10" s="383">
        <v>300</v>
      </c>
      <c r="C10" s="385">
        <f>SUM(C11:C19)</f>
        <v>38000</v>
      </c>
      <c r="D10" s="385">
        <f t="shared" ref="D10:E10" si="0">SUM(D11:D19)</f>
        <v>0</v>
      </c>
      <c r="E10" s="385">
        <f t="shared" si="0"/>
        <v>0</v>
      </c>
    </row>
    <row r="11" spans="1:6" ht="43.5" customHeight="1" x14ac:dyDescent="0.25">
      <c r="A11" s="384" t="s">
        <v>460</v>
      </c>
      <c r="B11" s="383">
        <v>301</v>
      </c>
      <c r="C11" s="385"/>
      <c r="D11" s="385"/>
      <c r="E11" s="385"/>
      <c r="F11" s="380" t="s">
        <v>477</v>
      </c>
    </row>
    <row r="12" spans="1:6" ht="17.25" customHeight="1" x14ac:dyDescent="0.25">
      <c r="A12" s="384" t="s">
        <v>461</v>
      </c>
      <c r="B12" s="383">
        <v>302</v>
      </c>
      <c r="C12" s="385"/>
      <c r="D12" s="385"/>
      <c r="E12" s="385"/>
      <c r="F12" s="390">
        <v>911</v>
      </c>
    </row>
    <row r="13" spans="1:6" ht="22.5" customHeight="1" x14ac:dyDescent="0.25">
      <c r="A13" s="384" t="s">
        <v>462</v>
      </c>
      <c r="B13" s="383">
        <v>303</v>
      </c>
      <c r="C13" s="385"/>
      <c r="D13" s="385"/>
      <c r="E13" s="385"/>
      <c r="F13" s="390" t="s">
        <v>471</v>
      </c>
    </row>
    <row r="14" spans="1:6" ht="57" customHeight="1" x14ac:dyDescent="0.25">
      <c r="A14" s="384" t="s">
        <v>463</v>
      </c>
      <c r="B14" s="383">
        <v>304</v>
      </c>
      <c r="C14" s="385">
        <f>'б-т 921 (01.01.20)'!G12</f>
        <v>38000</v>
      </c>
      <c r="D14" s="385">
        <f>'б-т 921 (01.01.20)'!H12</f>
        <v>0</v>
      </c>
      <c r="E14" s="385">
        <f>'б-т 921 (01.01.20)'!I12</f>
        <v>0</v>
      </c>
      <c r="F14" s="390" t="s">
        <v>472</v>
      </c>
    </row>
    <row r="15" spans="1:6" ht="18.75" customHeight="1" x14ac:dyDescent="0.25">
      <c r="A15" s="384" t="s">
        <v>464</v>
      </c>
      <c r="B15" s="383">
        <v>305</v>
      </c>
      <c r="C15" s="385"/>
      <c r="D15" s="385"/>
      <c r="E15" s="385"/>
      <c r="F15" s="390" t="s">
        <v>473</v>
      </c>
    </row>
    <row r="16" spans="1:6" ht="24" customHeight="1" x14ac:dyDescent="0.25">
      <c r="A16" s="384" t="s">
        <v>465</v>
      </c>
      <c r="B16" s="383">
        <v>306</v>
      </c>
      <c r="C16" s="645"/>
      <c r="D16" s="645"/>
      <c r="E16" s="645"/>
      <c r="F16" s="390" t="s">
        <v>474</v>
      </c>
    </row>
    <row r="17" spans="1:6" ht="61.5" customHeight="1" x14ac:dyDescent="0.25">
      <c r="A17" s="384" t="s">
        <v>463</v>
      </c>
      <c r="B17" s="383">
        <v>307</v>
      </c>
      <c r="C17" s="385"/>
      <c r="D17" s="385"/>
      <c r="E17" s="385"/>
      <c r="F17" s="390" t="s">
        <v>472</v>
      </c>
    </row>
    <row r="18" spans="1:6" ht="31.5" customHeight="1" x14ac:dyDescent="0.25">
      <c r="A18" s="384" t="s">
        <v>466</v>
      </c>
      <c r="B18" s="383">
        <v>308</v>
      </c>
      <c r="C18" s="645"/>
      <c r="D18" s="645"/>
      <c r="E18" s="645"/>
      <c r="F18" s="390" t="s">
        <v>475</v>
      </c>
    </row>
    <row r="19" spans="1:6" ht="21.75" customHeight="1" x14ac:dyDescent="0.25">
      <c r="A19" s="384" t="s">
        <v>467</v>
      </c>
      <c r="B19" s="383">
        <v>309</v>
      </c>
      <c r="C19" s="645">
        <f>'б-т 914 (01.01.20)'!J17*1000</f>
        <v>0</v>
      </c>
      <c r="D19" s="645">
        <f>'б-т 914 (01.01.20)'!M17*1000</f>
        <v>0</v>
      </c>
      <c r="E19" s="645">
        <f>'б-т 914 (01.01.20)'!N17*1000</f>
        <v>0</v>
      </c>
      <c r="F19" s="390" t="s">
        <v>476</v>
      </c>
    </row>
    <row r="20" spans="1:6" ht="28.5" customHeight="1" x14ac:dyDescent="0.25">
      <c r="A20" s="384" t="s">
        <v>469</v>
      </c>
      <c r="B20" s="383">
        <v>400</v>
      </c>
      <c r="C20" s="645"/>
      <c r="D20" s="645"/>
      <c r="E20" s="645"/>
    </row>
    <row r="21" spans="1:6" ht="30.75" customHeight="1" x14ac:dyDescent="0.25">
      <c r="A21" s="384" t="s">
        <v>396</v>
      </c>
      <c r="B21" s="383">
        <v>500</v>
      </c>
      <c r="C21" s="385"/>
      <c r="D21" s="385"/>
      <c r="E21" s="385"/>
    </row>
    <row r="22" spans="1:6" s="389" customFormat="1" ht="39.75" customHeight="1" x14ac:dyDescent="0.2">
      <c r="A22" s="386" t="s">
        <v>470</v>
      </c>
      <c r="B22" s="387">
        <v>600</v>
      </c>
      <c r="C22" s="388">
        <f>C8-C9+C10-C20+C21</f>
        <v>38000</v>
      </c>
      <c r="D22" s="388">
        <f t="shared" ref="D22:E22" si="1">D8-D9+D10-D20+D21</f>
        <v>0</v>
      </c>
      <c r="E22" s="388">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C000"/>
    <pageSetUpPr fitToPage="1"/>
  </sheetPr>
  <dimension ref="A1:O27"/>
  <sheetViews>
    <sheetView view="pageBreakPreview" zoomScale="90" zoomScaleNormal="100" zoomScaleSheetLayoutView="90" workbookViewId="0">
      <pane xSplit="2" ySplit="14" topLeftCell="C15" activePane="bottomRight" state="frozen"/>
      <selection activeCell="K31" sqref="K31"/>
      <selection pane="topRight" activeCell="K31" sqref="K31"/>
      <selection pane="bottomLeft" activeCell="K31" sqref="K31"/>
      <selection pane="bottomRight" activeCell="A9" sqref="A9:N9"/>
    </sheetView>
  </sheetViews>
  <sheetFormatPr defaultRowHeight="12.75" x14ac:dyDescent="0.2"/>
  <cols>
    <col min="1" max="1" width="7" style="330" bestFit="1" customWidth="1"/>
    <col min="2" max="2" width="52.33203125" style="330" customWidth="1"/>
    <col min="3" max="3" width="14.33203125" style="330" customWidth="1"/>
    <col min="4" max="4" width="17.33203125" style="330" customWidth="1"/>
    <col min="5" max="5" width="14" style="330" customWidth="1"/>
    <col min="6" max="6" width="14.33203125" style="330" customWidth="1"/>
    <col min="7" max="7" width="12" style="330" customWidth="1"/>
    <col min="8" max="8" width="14.6640625" style="330" customWidth="1"/>
    <col min="9" max="9" width="16.33203125" style="330" customWidth="1"/>
    <col min="10" max="10" width="13.1640625" style="331" customWidth="1"/>
    <col min="11" max="11" width="13.83203125" style="330" customWidth="1"/>
    <col min="12" max="12" width="14" style="330" customWidth="1"/>
    <col min="13" max="13" width="16.5" style="330" customWidth="1"/>
    <col min="14" max="14" width="13.33203125" style="330" customWidth="1"/>
    <col min="15" max="16384" width="9.33203125" style="330"/>
  </cols>
  <sheetData>
    <row r="1" spans="1:15" ht="15" customHeight="1" x14ac:dyDescent="0.25">
      <c r="K1" s="3432" t="s">
        <v>426</v>
      </c>
      <c r="L1" s="3433"/>
      <c r="M1" s="3433"/>
      <c r="N1" s="3433"/>
    </row>
    <row r="2" spans="1:15" ht="15" customHeight="1" x14ac:dyDescent="0.25">
      <c r="K2" s="3432" t="s">
        <v>294</v>
      </c>
      <c r="L2" s="3433"/>
      <c r="M2" s="3433"/>
      <c r="N2" s="3433"/>
    </row>
    <row r="3" spans="1:15" ht="15" customHeight="1" x14ac:dyDescent="0.25">
      <c r="K3" s="3432" t="s">
        <v>295</v>
      </c>
      <c r="L3" s="3433"/>
      <c r="M3" s="3433"/>
      <c r="N3" s="3433"/>
    </row>
    <row r="4" spans="1:15" ht="15" customHeight="1" x14ac:dyDescent="0.25">
      <c r="K4" s="3432" t="s">
        <v>296</v>
      </c>
      <c r="L4" s="3433"/>
      <c r="M4" s="3433"/>
      <c r="N4" s="3433"/>
    </row>
    <row r="5" spans="1:15" ht="15" customHeight="1" x14ac:dyDescent="0.25">
      <c r="K5" s="3432" t="s">
        <v>427</v>
      </c>
      <c r="L5" s="3433"/>
      <c r="M5" s="3433"/>
      <c r="N5" s="3433"/>
    </row>
    <row r="6" spans="1:15" ht="15" customHeight="1" x14ac:dyDescent="0.25">
      <c r="K6" s="3432" t="s">
        <v>428</v>
      </c>
      <c r="L6" s="3433"/>
      <c r="M6" s="3433"/>
      <c r="N6" s="3433"/>
    </row>
    <row r="7" spans="1:15" ht="15" customHeight="1" x14ac:dyDescent="0.25">
      <c r="K7" s="3432" t="s">
        <v>429</v>
      </c>
      <c r="L7" s="3433"/>
      <c r="M7" s="3433"/>
      <c r="N7" s="3433"/>
    </row>
    <row r="9" spans="1:15" ht="15.75" customHeight="1" x14ac:dyDescent="0.2">
      <c r="A9" s="3437" t="s">
        <v>505</v>
      </c>
      <c r="B9" s="3437"/>
      <c r="C9" s="3437"/>
      <c r="D9" s="3437"/>
      <c r="E9" s="3437"/>
      <c r="F9" s="3437"/>
      <c r="G9" s="3437"/>
      <c r="H9" s="3437"/>
      <c r="I9" s="3437"/>
      <c r="J9" s="3437"/>
      <c r="K9" s="3437"/>
      <c r="L9" s="3437"/>
      <c r="M9" s="3437"/>
      <c r="N9" s="3437"/>
    </row>
    <row r="10" spans="1:15" ht="15.75" customHeight="1" x14ac:dyDescent="0.2">
      <c r="A10" s="3438" t="s">
        <v>1442</v>
      </c>
      <c r="B10" s="3438"/>
      <c r="C10" s="3438"/>
      <c r="D10" s="3438"/>
      <c r="E10" s="3438"/>
      <c r="F10" s="3438"/>
      <c r="G10" s="3438"/>
      <c r="H10" s="3438"/>
      <c r="I10" s="3438"/>
      <c r="J10" s="3438"/>
      <c r="K10" s="3438"/>
      <c r="L10" s="3438"/>
      <c r="M10" s="3438"/>
      <c r="N10" s="3438"/>
    </row>
    <row r="11" spans="1:15" x14ac:dyDescent="0.2">
      <c r="N11" s="332">
        <v>43831</v>
      </c>
    </row>
    <row r="12" spans="1:15" ht="37.5" customHeight="1" x14ac:dyDescent="0.2">
      <c r="A12" s="3439" t="s">
        <v>78</v>
      </c>
      <c r="B12" s="3439" t="s">
        <v>430</v>
      </c>
      <c r="C12" s="3439" t="s">
        <v>431</v>
      </c>
      <c r="D12" s="3439" t="s">
        <v>432</v>
      </c>
      <c r="E12" s="3439"/>
      <c r="F12" s="3439"/>
      <c r="G12" s="3439" t="s">
        <v>433</v>
      </c>
      <c r="H12" s="3439"/>
      <c r="I12" s="3439"/>
      <c r="J12" s="3439"/>
      <c r="K12" s="3439" t="s">
        <v>434</v>
      </c>
      <c r="L12" s="3439" t="s">
        <v>435</v>
      </c>
      <c r="M12" s="3439" t="s">
        <v>436</v>
      </c>
      <c r="N12" s="3439" t="s">
        <v>437</v>
      </c>
    </row>
    <row r="13" spans="1:15" ht="24" customHeight="1" x14ac:dyDescent="0.2">
      <c r="A13" s="3439"/>
      <c r="B13" s="3439"/>
      <c r="C13" s="3439"/>
      <c r="D13" s="3440" t="s">
        <v>438</v>
      </c>
      <c r="E13" s="3440" t="s">
        <v>439</v>
      </c>
      <c r="F13" s="3439" t="s">
        <v>440</v>
      </c>
      <c r="G13" s="3440" t="s">
        <v>349</v>
      </c>
      <c r="H13" s="3439" t="s">
        <v>441</v>
      </c>
      <c r="I13" s="3439" t="s">
        <v>442</v>
      </c>
      <c r="J13" s="3443" t="s">
        <v>443</v>
      </c>
      <c r="K13" s="3439"/>
      <c r="L13" s="3439"/>
      <c r="M13" s="3439"/>
      <c r="N13" s="3439"/>
    </row>
    <row r="14" spans="1:15" ht="61.5" customHeight="1" x14ac:dyDescent="0.2">
      <c r="A14" s="3439"/>
      <c r="B14" s="3439"/>
      <c r="C14" s="3439"/>
      <c r="D14" s="3440"/>
      <c r="E14" s="3440"/>
      <c r="F14" s="3439"/>
      <c r="G14" s="3440"/>
      <c r="H14" s="3439"/>
      <c r="I14" s="3439"/>
      <c r="J14" s="3443"/>
      <c r="K14" s="3439"/>
      <c r="L14" s="3439"/>
      <c r="M14" s="3439"/>
      <c r="N14" s="3439"/>
    </row>
    <row r="15" spans="1:15" x14ac:dyDescent="0.2">
      <c r="A15" s="333">
        <v>1</v>
      </c>
      <c r="B15" s="333">
        <v>2</v>
      </c>
      <c r="C15" s="333">
        <v>3</v>
      </c>
      <c r="D15" s="333">
        <v>4</v>
      </c>
      <c r="E15" s="333">
        <v>5</v>
      </c>
      <c r="F15" s="333">
        <v>6</v>
      </c>
      <c r="G15" s="333">
        <v>7</v>
      </c>
      <c r="H15" s="333">
        <v>8</v>
      </c>
      <c r="I15" s="333">
        <v>9</v>
      </c>
      <c r="J15" s="334">
        <v>10</v>
      </c>
      <c r="K15" s="333">
        <v>11</v>
      </c>
      <c r="L15" s="333">
        <v>12</v>
      </c>
      <c r="M15" s="333">
        <v>13</v>
      </c>
      <c r="N15" s="333">
        <v>14</v>
      </c>
    </row>
    <row r="16" spans="1:15" x14ac:dyDescent="0.2">
      <c r="A16" s="333"/>
      <c r="B16" s="335"/>
      <c r="C16" s="336"/>
      <c r="D16" s="336"/>
      <c r="E16" s="336"/>
      <c r="F16" s="336"/>
      <c r="G16" s="337"/>
      <c r="H16" s="338"/>
      <c r="I16" s="339"/>
      <c r="J16" s="340"/>
      <c r="K16" s="336"/>
      <c r="L16" s="341"/>
      <c r="M16" s="336"/>
      <c r="N16" s="336"/>
      <c r="O16" s="342"/>
    </row>
    <row r="17" spans="1:14" s="347" customFormat="1" x14ac:dyDescent="0.2">
      <c r="A17" s="343"/>
      <c r="B17" s="343" t="s">
        <v>444</v>
      </c>
      <c r="C17" s="344">
        <f>SUM(C16:C16)</f>
        <v>0</v>
      </c>
      <c r="D17" s="344">
        <f>SUM(D16:D16)</f>
        <v>0</v>
      </c>
      <c r="E17" s="344">
        <f>SUM(E16:E16)</f>
        <v>0</v>
      </c>
      <c r="F17" s="344">
        <f>SUM(F16:F16)</f>
        <v>0</v>
      </c>
      <c r="G17" s="345">
        <f>SUM(G16:G16)</f>
        <v>0</v>
      </c>
      <c r="H17" s="344"/>
      <c r="I17" s="344"/>
      <c r="J17" s="346">
        <f>SUM(J16:J16)</f>
        <v>0</v>
      </c>
      <c r="K17" s="344">
        <f>SUM(K16:K16)</f>
        <v>0</v>
      </c>
      <c r="L17" s="344">
        <f>SUM(L16:L16)</f>
        <v>0</v>
      </c>
      <c r="M17" s="344">
        <f>SUM(M16:M16)</f>
        <v>0</v>
      </c>
      <c r="N17" s="344">
        <f>SUM(N16:N16)</f>
        <v>0</v>
      </c>
    </row>
    <row r="18" spans="1:14" s="347" customFormat="1" x14ac:dyDescent="0.2">
      <c r="A18" s="348"/>
      <c r="B18" s="349"/>
      <c r="C18" s="349"/>
      <c r="D18" s="348"/>
      <c r="E18" s="348"/>
      <c r="F18" s="348"/>
      <c r="G18" s="350"/>
      <c r="H18" s="348"/>
      <c r="I18" s="348"/>
      <c r="J18" s="351"/>
      <c r="K18" s="350"/>
      <c r="L18" s="352"/>
      <c r="M18" s="350"/>
      <c r="N18" s="350"/>
    </row>
    <row r="19" spans="1:14" s="347" customFormat="1" x14ac:dyDescent="0.2">
      <c r="A19" s="348"/>
      <c r="B19" s="349"/>
      <c r="C19" s="349"/>
      <c r="D19" s="348"/>
      <c r="E19" s="348"/>
      <c r="F19" s="348"/>
      <c r="G19" s="350"/>
      <c r="H19" s="348"/>
      <c r="I19" s="348"/>
      <c r="J19" s="351"/>
      <c r="K19" s="350"/>
      <c r="L19" s="352"/>
      <c r="M19" s="350"/>
      <c r="N19" s="350"/>
    </row>
    <row r="20" spans="1:14" s="347" customFormat="1" x14ac:dyDescent="0.2">
      <c r="A20" s="348"/>
      <c r="B20" s="349"/>
      <c r="C20" s="349"/>
      <c r="D20" s="348"/>
      <c r="E20" s="348"/>
      <c r="F20" s="353"/>
      <c r="G20" s="350"/>
      <c r="H20" s="348"/>
      <c r="I20" s="348"/>
      <c r="J20" s="351"/>
      <c r="K20" s="350"/>
      <c r="L20" s="352"/>
      <c r="M20" s="350"/>
      <c r="N20" s="350"/>
    </row>
    <row r="21" spans="1:14" s="347" customFormat="1" x14ac:dyDescent="0.2">
      <c r="A21" s="348"/>
      <c r="B21" s="349"/>
      <c r="C21" s="349"/>
      <c r="D21" s="348"/>
      <c r="E21" s="348"/>
      <c r="F21" s="348"/>
      <c r="G21" s="350"/>
      <c r="H21" s="348"/>
      <c r="I21" s="348"/>
      <c r="J21" s="351"/>
      <c r="K21" s="350"/>
      <c r="L21" s="352"/>
      <c r="M21" s="350"/>
      <c r="N21" s="350"/>
    </row>
    <row r="22" spans="1:14" s="354" customFormat="1" ht="26.25" customHeight="1" x14ac:dyDescent="0.3">
      <c r="B22" s="3434" t="s">
        <v>445</v>
      </c>
      <c r="C22" s="3434"/>
      <c r="D22" s="3434"/>
      <c r="E22" s="3435"/>
      <c r="F22" s="3435"/>
      <c r="G22" s="3435"/>
      <c r="I22" s="3436" t="str">
        <f>'[15]991,992,911 (01.01.20) 2020'!K30</f>
        <v>А.Ю. Касьяненко</v>
      </c>
      <c r="J22" s="3435"/>
      <c r="K22" s="3435"/>
    </row>
    <row r="23" spans="1:14" s="355" customFormat="1" ht="15.75" x14ac:dyDescent="0.25">
      <c r="B23" s="330"/>
      <c r="C23" s="330"/>
      <c r="D23" s="330"/>
      <c r="E23" s="3441" t="s">
        <v>189</v>
      </c>
      <c r="F23" s="3441"/>
      <c r="G23" s="3441"/>
      <c r="H23" s="356"/>
      <c r="I23" s="3442" t="s">
        <v>184</v>
      </c>
      <c r="J23" s="3442"/>
      <c r="K23" s="3442"/>
    </row>
    <row r="24" spans="1:14" s="355" customFormat="1" ht="15.75" x14ac:dyDescent="0.25">
      <c r="B24" s="357"/>
      <c r="C24" s="330"/>
      <c r="D24" s="330"/>
      <c r="J24" s="358"/>
    </row>
    <row r="25" spans="1:14" s="355" customFormat="1" ht="15.75" x14ac:dyDescent="0.25">
      <c r="B25" s="357"/>
      <c r="C25" s="330"/>
      <c r="D25" s="330"/>
      <c r="J25" s="358"/>
    </row>
    <row r="26" spans="1:14" x14ac:dyDescent="0.2">
      <c r="B26" s="357"/>
      <c r="C26" s="357"/>
      <c r="D26" s="357"/>
      <c r="E26" s="357"/>
      <c r="F26" s="357"/>
      <c r="G26" s="357"/>
      <c r="H26" s="357"/>
      <c r="I26" s="357"/>
      <c r="J26" s="359"/>
      <c r="K26" s="357"/>
      <c r="L26" s="357"/>
      <c r="M26" s="357"/>
      <c r="N26" s="357"/>
    </row>
    <row r="27" spans="1:14" x14ac:dyDescent="0.2">
      <c r="B27" s="357"/>
      <c r="C27" s="357"/>
      <c r="D27" s="357"/>
      <c r="E27" s="357"/>
      <c r="F27" s="357"/>
      <c r="G27" s="357"/>
      <c r="H27" s="357"/>
      <c r="I27" s="357"/>
      <c r="J27" s="359"/>
      <c r="K27" s="357"/>
      <c r="L27" s="357"/>
      <c r="M27" s="357"/>
      <c r="N27" s="357"/>
    </row>
  </sheetData>
  <mergeCells count="30">
    <mergeCell ref="E23:G23"/>
    <mergeCell ref="I23:K23"/>
    <mergeCell ref="H13:H14"/>
    <mergeCell ref="I13:I14"/>
    <mergeCell ref="J13:J14"/>
    <mergeCell ref="E13:E14"/>
    <mergeCell ref="F13:F14"/>
    <mergeCell ref="G13:G14"/>
    <mergeCell ref="B22:D22"/>
    <mergeCell ref="E22:G22"/>
    <mergeCell ref="I22:K22"/>
    <mergeCell ref="K7:N7"/>
    <mergeCell ref="A9:N9"/>
    <mergeCell ref="A10:N10"/>
    <mergeCell ref="A12:A14"/>
    <mergeCell ref="B12:B14"/>
    <mergeCell ref="C12:C14"/>
    <mergeCell ref="D12:F12"/>
    <mergeCell ref="G12:J12"/>
    <mergeCell ref="K12:K14"/>
    <mergeCell ref="L12:L14"/>
    <mergeCell ref="M12:M14"/>
    <mergeCell ref="N12:N14"/>
    <mergeCell ref="D13:D14"/>
    <mergeCell ref="K6:N6"/>
    <mergeCell ref="K1:N1"/>
    <mergeCell ref="K2:N2"/>
    <mergeCell ref="K3:N3"/>
    <mergeCell ref="K4:N4"/>
    <mergeCell ref="K5:N5"/>
  </mergeCells>
  <printOptions horizontalCentered="1"/>
  <pageMargins left="0.15748031496062992" right="0.27559055118110237" top="0.9055118110236221" bottom="0.15748031496062992" header="0.9055118110236221" footer="0.15748031496062992"/>
  <pageSetup paperSize="9" scale="68" orientation="landscape" horizontalDpi="180" verticalDpi="18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33"/>
  <sheetViews>
    <sheetView view="pageBreakPreview" topLeftCell="A4" zoomScale="80" zoomScaleNormal="93" zoomScaleSheetLayoutView="80" workbookViewId="0">
      <pane ySplit="6" topLeftCell="A10" activePane="bottomLeft" state="frozen"/>
      <selection activeCell="A4" sqref="A4"/>
      <selection pane="bottomLeft" activeCell="H11" sqref="H11:I11"/>
    </sheetView>
  </sheetViews>
  <sheetFormatPr defaultRowHeight="12.75" x14ac:dyDescent="0.2"/>
  <cols>
    <col min="1" max="1" width="3.5" style="1809" customWidth="1"/>
    <col min="2" max="2" width="30.83203125" style="1780" customWidth="1"/>
    <col min="3" max="3" width="18.1640625" style="1780" customWidth="1"/>
    <col min="4" max="4" width="13" style="1780" customWidth="1"/>
    <col min="5" max="5" width="13.1640625" style="1780" customWidth="1"/>
    <col min="6" max="6" width="13.83203125" style="1780" customWidth="1"/>
    <col min="7" max="7" width="13.6640625" style="1780" customWidth="1"/>
    <col min="8" max="8" width="11.5" style="1780" customWidth="1"/>
    <col min="9" max="9" width="11" style="1780" customWidth="1"/>
    <col min="10" max="10" width="11.83203125" style="1780" customWidth="1"/>
    <col min="11" max="11" width="13.33203125" style="1780" customWidth="1"/>
    <col min="12" max="12" width="14.1640625" style="1780" customWidth="1"/>
    <col min="13" max="13" width="9.33203125" style="1780"/>
    <col min="14" max="14" width="53" style="1780" customWidth="1"/>
    <col min="15" max="15" width="24.5" style="1780" customWidth="1"/>
    <col min="16" max="16" width="18" style="1780" customWidth="1"/>
    <col min="17" max="17" width="13.83203125" style="1780" customWidth="1"/>
    <col min="18" max="18" width="14.1640625" style="1780" customWidth="1"/>
    <col min="19" max="19" width="14" style="1780" customWidth="1"/>
    <col min="20" max="256" width="9.33203125" style="1780"/>
    <col min="257" max="257" width="3.5" style="1780" customWidth="1"/>
    <col min="258" max="258" width="30.83203125" style="1780" customWidth="1"/>
    <col min="259" max="259" width="18.1640625" style="1780" customWidth="1"/>
    <col min="260" max="260" width="13" style="1780" customWidth="1"/>
    <col min="261" max="261" width="13.1640625" style="1780" customWidth="1"/>
    <col min="262" max="262" width="13.83203125" style="1780" customWidth="1"/>
    <col min="263" max="263" width="13.6640625" style="1780" customWidth="1"/>
    <col min="264" max="264" width="11.5" style="1780" customWidth="1"/>
    <col min="265" max="265" width="11" style="1780" customWidth="1"/>
    <col min="266" max="266" width="11.83203125" style="1780" customWidth="1"/>
    <col min="267" max="267" width="13.33203125" style="1780" customWidth="1"/>
    <col min="268" max="268" width="14.1640625" style="1780" customWidth="1"/>
    <col min="269" max="269" width="9.33203125" style="1780"/>
    <col min="270" max="270" width="53" style="1780" customWidth="1"/>
    <col min="271" max="271" width="24.5" style="1780" customWidth="1"/>
    <col min="272" max="272" width="18" style="1780" customWidth="1"/>
    <col min="273" max="273" width="13.83203125" style="1780" customWidth="1"/>
    <col min="274" max="274" width="14.1640625" style="1780" customWidth="1"/>
    <col min="275" max="275" width="14" style="1780" customWidth="1"/>
    <col min="276" max="512" width="9.33203125" style="1780"/>
    <col min="513" max="513" width="3.5" style="1780" customWidth="1"/>
    <col min="514" max="514" width="30.83203125" style="1780" customWidth="1"/>
    <col min="515" max="515" width="18.1640625" style="1780" customWidth="1"/>
    <col min="516" max="516" width="13" style="1780" customWidth="1"/>
    <col min="517" max="517" width="13.1640625" style="1780" customWidth="1"/>
    <col min="518" max="518" width="13.83203125" style="1780" customWidth="1"/>
    <col min="519" max="519" width="13.6640625" style="1780" customWidth="1"/>
    <col min="520" max="520" width="11.5" style="1780" customWidth="1"/>
    <col min="521" max="521" width="11" style="1780" customWidth="1"/>
    <col min="522" max="522" width="11.83203125" style="1780" customWidth="1"/>
    <col min="523" max="523" width="13.33203125" style="1780" customWidth="1"/>
    <col min="524" max="524" width="14.1640625" style="1780" customWidth="1"/>
    <col min="525" max="525" width="9.33203125" style="1780"/>
    <col min="526" max="526" width="53" style="1780" customWidth="1"/>
    <col min="527" max="527" width="24.5" style="1780" customWidth="1"/>
    <col min="528" max="528" width="18" style="1780" customWidth="1"/>
    <col min="529" max="529" width="13.83203125" style="1780" customWidth="1"/>
    <col min="530" max="530" width="14.1640625" style="1780" customWidth="1"/>
    <col min="531" max="531" width="14" style="1780" customWidth="1"/>
    <col min="532" max="768" width="9.33203125" style="1780"/>
    <col min="769" max="769" width="3.5" style="1780" customWidth="1"/>
    <col min="770" max="770" width="30.83203125" style="1780" customWidth="1"/>
    <col min="771" max="771" width="18.1640625" style="1780" customWidth="1"/>
    <col min="772" max="772" width="13" style="1780" customWidth="1"/>
    <col min="773" max="773" width="13.1640625" style="1780" customWidth="1"/>
    <col min="774" max="774" width="13.83203125" style="1780" customWidth="1"/>
    <col min="775" max="775" width="13.6640625" style="1780" customWidth="1"/>
    <col min="776" max="776" width="11.5" style="1780" customWidth="1"/>
    <col min="777" max="777" width="11" style="1780" customWidth="1"/>
    <col min="778" max="778" width="11.83203125" style="1780" customWidth="1"/>
    <col min="779" max="779" width="13.33203125" style="1780" customWidth="1"/>
    <col min="780" max="780" width="14.1640625" style="1780" customWidth="1"/>
    <col min="781" max="781" width="9.33203125" style="1780"/>
    <col min="782" max="782" width="53" style="1780" customWidth="1"/>
    <col min="783" max="783" width="24.5" style="1780" customWidth="1"/>
    <col min="784" max="784" width="18" style="1780" customWidth="1"/>
    <col min="785" max="785" width="13.83203125" style="1780" customWidth="1"/>
    <col min="786" max="786" width="14.1640625" style="1780" customWidth="1"/>
    <col min="787" max="787" width="14" style="1780" customWidth="1"/>
    <col min="788" max="1024" width="9.33203125" style="1780"/>
    <col min="1025" max="1025" width="3.5" style="1780" customWidth="1"/>
    <col min="1026" max="1026" width="30.83203125" style="1780" customWidth="1"/>
    <col min="1027" max="1027" width="18.1640625" style="1780" customWidth="1"/>
    <col min="1028" max="1028" width="13" style="1780" customWidth="1"/>
    <col min="1029" max="1029" width="13.1640625" style="1780" customWidth="1"/>
    <col min="1030" max="1030" width="13.83203125" style="1780" customWidth="1"/>
    <col min="1031" max="1031" width="13.6640625" style="1780" customWidth="1"/>
    <col min="1032" max="1032" width="11.5" style="1780" customWidth="1"/>
    <col min="1033" max="1033" width="11" style="1780" customWidth="1"/>
    <col min="1034" max="1034" width="11.83203125" style="1780" customWidth="1"/>
    <col min="1035" max="1035" width="13.33203125" style="1780" customWidth="1"/>
    <col min="1036" max="1036" width="14.1640625" style="1780" customWidth="1"/>
    <col min="1037" max="1037" width="9.33203125" style="1780"/>
    <col min="1038" max="1038" width="53" style="1780" customWidth="1"/>
    <col min="1039" max="1039" width="24.5" style="1780" customWidth="1"/>
    <col min="1040" max="1040" width="18" style="1780" customWidth="1"/>
    <col min="1041" max="1041" width="13.83203125" style="1780" customWidth="1"/>
    <col min="1042" max="1042" width="14.1640625" style="1780" customWidth="1"/>
    <col min="1043" max="1043" width="14" style="1780" customWidth="1"/>
    <col min="1044" max="1280" width="9.33203125" style="1780"/>
    <col min="1281" max="1281" width="3.5" style="1780" customWidth="1"/>
    <col min="1282" max="1282" width="30.83203125" style="1780" customWidth="1"/>
    <col min="1283" max="1283" width="18.1640625" style="1780" customWidth="1"/>
    <col min="1284" max="1284" width="13" style="1780" customWidth="1"/>
    <col min="1285" max="1285" width="13.1640625" style="1780" customWidth="1"/>
    <col min="1286" max="1286" width="13.83203125" style="1780" customWidth="1"/>
    <col min="1287" max="1287" width="13.6640625" style="1780" customWidth="1"/>
    <col min="1288" max="1288" width="11.5" style="1780" customWidth="1"/>
    <col min="1289" max="1289" width="11" style="1780" customWidth="1"/>
    <col min="1290" max="1290" width="11.83203125" style="1780" customWidth="1"/>
    <col min="1291" max="1291" width="13.33203125" style="1780" customWidth="1"/>
    <col min="1292" max="1292" width="14.1640625" style="1780" customWidth="1"/>
    <col min="1293" max="1293" width="9.33203125" style="1780"/>
    <col min="1294" max="1294" width="53" style="1780" customWidth="1"/>
    <col min="1295" max="1295" width="24.5" style="1780" customWidth="1"/>
    <col min="1296" max="1296" width="18" style="1780" customWidth="1"/>
    <col min="1297" max="1297" width="13.83203125" style="1780" customWidth="1"/>
    <col min="1298" max="1298" width="14.1640625" style="1780" customWidth="1"/>
    <col min="1299" max="1299" width="14" style="1780" customWidth="1"/>
    <col min="1300" max="1536" width="9.33203125" style="1780"/>
    <col min="1537" max="1537" width="3.5" style="1780" customWidth="1"/>
    <col min="1538" max="1538" width="30.83203125" style="1780" customWidth="1"/>
    <col min="1539" max="1539" width="18.1640625" style="1780" customWidth="1"/>
    <col min="1540" max="1540" width="13" style="1780" customWidth="1"/>
    <col min="1541" max="1541" width="13.1640625" style="1780" customWidth="1"/>
    <col min="1542" max="1542" width="13.83203125" style="1780" customWidth="1"/>
    <col min="1543" max="1543" width="13.6640625" style="1780" customWidth="1"/>
    <col min="1544" max="1544" width="11.5" style="1780" customWidth="1"/>
    <col min="1545" max="1545" width="11" style="1780" customWidth="1"/>
    <col min="1546" max="1546" width="11.83203125" style="1780" customWidth="1"/>
    <col min="1547" max="1547" width="13.33203125" style="1780" customWidth="1"/>
    <col min="1548" max="1548" width="14.1640625" style="1780" customWidth="1"/>
    <col min="1549" max="1549" width="9.33203125" style="1780"/>
    <col min="1550" max="1550" width="53" style="1780" customWidth="1"/>
    <col min="1551" max="1551" width="24.5" style="1780" customWidth="1"/>
    <col min="1552" max="1552" width="18" style="1780" customWidth="1"/>
    <col min="1553" max="1553" width="13.83203125" style="1780" customWidth="1"/>
    <col min="1554" max="1554" width="14.1640625" style="1780" customWidth="1"/>
    <col min="1555" max="1555" width="14" style="1780" customWidth="1"/>
    <col min="1556" max="1792" width="9.33203125" style="1780"/>
    <col min="1793" max="1793" width="3.5" style="1780" customWidth="1"/>
    <col min="1794" max="1794" width="30.83203125" style="1780" customWidth="1"/>
    <col min="1795" max="1795" width="18.1640625" style="1780" customWidth="1"/>
    <col min="1796" max="1796" width="13" style="1780" customWidth="1"/>
    <col min="1797" max="1797" width="13.1640625" style="1780" customWidth="1"/>
    <col min="1798" max="1798" width="13.83203125" style="1780" customWidth="1"/>
    <col min="1799" max="1799" width="13.6640625" style="1780" customWidth="1"/>
    <col min="1800" max="1800" width="11.5" style="1780" customWidth="1"/>
    <col min="1801" max="1801" width="11" style="1780" customWidth="1"/>
    <col min="1802" max="1802" width="11.83203125" style="1780" customWidth="1"/>
    <col min="1803" max="1803" width="13.33203125" style="1780" customWidth="1"/>
    <col min="1804" max="1804" width="14.1640625" style="1780" customWidth="1"/>
    <col min="1805" max="1805" width="9.33203125" style="1780"/>
    <col min="1806" max="1806" width="53" style="1780" customWidth="1"/>
    <col min="1807" max="1807" width="24.5" style="1780" customWidth="1"/>
    <col min="1808" max="1808" width="18" style="1780" customWidth="1"/>
    <col min="1809" max="1809" width="13.83203125" style="1780" customWidth="1"/>
    <col min="1810" max="1810" width="14.1640625" style="1780" customWidth="1"/>
    <col min="1811" max="1811" width="14" style="1780" customWidth="1"/>
    <col min="1812" max="2048" width="9.33203125" style="1780"/>
    <col min="2049" max="2049" width="3.5" style="1780" customWidth="1"/>
    <col min="2050" max="2050" width="30.83203125" style="1780" customWidth="1"/>
    <col min="2051" max="2051" width="18.1640625" style="1780" customWidth="1"/>
    <col min="2052" max="2052" width="13" style="1780" customWidth="1"/>
    <col min="2053" max="2053" width="13.1640625" style="1780" customWidth="1"/>
    <col min="2054" max="2054" width="13.83203125" style="1780" customWidth="1"/>
    <col min="2055" max="2055" width="13.6640625" style="1780" customWidth="1"/>
    <col min="2056" max="2056" width="11.5" style="1780" customWidth="1"/>
    <col min="2057" max="2057" width="11" style="1780" customWidth="1"/>
    <col min="2058" max="2058" width="11.83203125" style="1780" customWidth="1"/>
    <col min="2059" max="2059" width="13.33203125" style="1780" customWidth="1"/>
    <col min="2060" max="2060" width="14.1640625" style="1780" customWidth="1"/>
    <col min="2061" max="2061" width="9.33203125" style="1780"/>
    <col min="2062" max="2062" width="53" style="1780" customWidth="1"/>
    <col min="2063" max="2063" width="24.5" style="1780" customWidth="1"/>
    <col min="2064" max="2064" width="18" style="1780" customWidth="1"/>
    <col min="2065" max="2065" width="13.83203125" style="1780" customWidth="1"/>
    <col min="2066" max="2066" width="14.1640625" style="1780" customWidth="1"/>
    <col min="2067" max="2067" width="14" style="1780" customWidth="1"/>
    <col min="2068" max="2304" width="9.33203125" style="1780"/>
    <col min="2305" max="2305" width="3.5" style="1780" customWidth="1"/>
    <col min="2306" max="2306" width="30.83203125" style="1780" customWidth="1"/>
    <col min="2307" max="2307" width="18.1640625" style="1780" customWidth="1"/>
    <col min="2308" max="2308" width="13" style="1780" customWidth="1"/>
    <col min="2309" max="2309" width="13.1640625" style="1780" customWidth="1"/>
    <col min="2310" max="2310" width="13.83203125" style="1780" customWidth="1"/>
    <col min="2311" max="2311" width="13.6640625" style="1780" customWidth="1"/>
    <col min="2312" max="2312" width="11.5" style="1780" customWidth="1"/>
    <col min="2313" max="2313" width="11" style="1780" customWidth="1"/>
    <col min="2314" max="2314" width="11.83203125" style="1780" customWidth="1"/>
    <col min="2315" max="2315" width="13.33203125" style="1780" customWidth="1"/>
    <col min="2316" max="2316" width="14.1640625" style="1780" customWidth="1"/>
    <col min="2317" max="2317" width="9.33203125" style="1780"/>
    <col min="2318" max="2318" width="53" style="1780" customWidth="1"/>
    <col min="2319" max="2319" width="24.5" style="1780" customWidth="1"/>
    <col min="2320" max="2320" width="18" style="1780" customWidth="1"/>
    <col min="2321" max="2321" width="13.83203125" style="1780" customWidth="1"/>
    <col min="2322" max="2322" width="14.1640625" style="1780" customWidth="1"/>
    <col min="2323" max="2323" width="14" style="1780" customWidth="1"/>
    <col min="2324" max="2560" width="9.33203125" style="1780"/>
    <col min="2561" max="2561" width="3.5" style="1780" customWidth="1"/>
    <col min="2562" max="2562" width="30.83203125" style="1780" customWidth="1"/>
    <col min="2563" max="2563" width="18.1640625" style="1780" customWidth="1"/>
    <col min="2564" max="2564" width="13" style="1780" customWidth="1"/>
    <col min="2565" max="2565" width="13.1640625" style="1780" customWidth="1"/>
    <col min="2566" max="2566" width="13.83203125" style="1780" customWidth="1"/>
    <col min="2567" max="2567" width="13.6640625" style="1780" customWidth="1"/>
    <col min="2568" max="2568" width="11.5" style="1780" customWidth="1"/>
    <col min="2569" max="2569" width="11" style="1780" customWidth="1"/>
    <col min="2570" max="2570" width="11.83203125" style="1780" customWidth="1"/>
    <col min="2571" max="2571" width="13.33203125" style="1780" customWidth="1"/>
    <col min="2572" max="2572" width="14.1640625" style="1780" customWidth="1"/>
    <col min="2573" max="2573" width="9.33203125" style="1780"/>
    <col min="2574" max="2574" width="53" style="1780" customWidth="1"/>
    <col min="2575" max="2575" width="24.5" style="1780" customWidth="1"/>
    <col min="2576" max="2576" width="18" style="1780" customWidth="1"/>
    <col min="2577" max="2577" width="13.83203125" style="1780" customWidth="1"/>
    <col min="2578" max="2578" width="14.1640625" style="1780" customWidth="1"/>
    <col min="2579" max="2579" width="14" style="1780" customWidth="1"/>
    <col min="2580" max="2816" width="9.33203125" style="1780"/>
    <col min="2817" max="2817" width="3.5" style="1780" customWidth="1"/>
    <col min="2818" max="2818" width="30.83203125" style="1780" customWidth="1"/>
    <col min="2819" max="2819" width="18.1640625" style="1780" customWidth="1"/>
    <col min="2820" max="2820" width="13" style="1780" customWidth="1"/>
    <col min="2821" max="2821" width="13.1640625" style="1780" customWidth="1"/>
    <col min="2822" max="2822" width="13.83203125" style="1780" customWidth="1"/>
    <col min="2823" max="2823" width="13.6640625" style="1780" customWidth="1"/>
    <col min="2824" max="2824" width="11.5" style="1780" customWidth="1"/>
    <col min="2825" max="2825" width="11" style="1780" customWidth="1"/>
    <col min="2826" max="2826" width="11.83203125" style="1780" customWidth="1"/>
    <col min="2827" max="2827" width="13.33203125" style="1780" customWidth="1"/>
    <col min="2828" max="2828" width="14.1640625" style="1780" customWidth="1"/>
    <col min="2829" max="2829" width="9.33203125" style="1780"/>
    <col min="2830" max="2830" width="53" style="1780" customWidth="1"/>
    <col min="2831" max="2831" width="24.5" style="1780" customWidth="1"/>
    <col min="2832" max="2832" width="18" style="1780" customWidth="1"/>
    <col min="2833" max="2833" width="13.83203125" style="1780" customWidth="1"/>
    <col min="2834" max="2834" width="14.1640625" style="1780" customWidth="1"/>
    <col min="2835" max="2835" width="14" style="1780" customWidth="1"/>
    <col min="2836" max="3072" width="9.33203125" style="1780"/>
    <col min="3073" max="3073" width="3.5" style="1780" customWidth="1"/>
    <col min="3074" max="3074" width="30.83203125" style="1780" customWidth="1"/>
    <col min="3075" max="3075" width="18.1640625" style="1780" customWidth="1"/>
    <col min="3076" max="3076" width="13" style="1780" customWidth="1"/>
    <col min="3077" max="3077" width="13.1640625" style="1780" customWidth="1"/>
    <col min="3078" max="3078" width="13.83203125" style="1780" customWidth="1"/>
    <col min="3079" max="3079" width="13.6640625" style="1780" customWidth="1"/>
    <col min="3080" max="3080" width="11.5" style="1780" customWidth="1"/>
    <col min="3081" max="3081" width="11" style="1780" customWidth="1"/>
    <col min="3082" max="3082" width="11.83203125" style="1780" customWidth="1"/>
    <col min="3083" max="3083" width="13.33203125" style="1780" customWidth="1"/>
    <col min="3084" max="3084" width="14.1640625" style="1780" customWidth="1"/>
    <col min="3085" max="3085" width="9.33203125" style="1780"/>
    <col min="3086" max="3086" width="53" style="1780" customWidth="1"/>
    <col min="3087" max="3087" width="24.5" style="1780" customWidth="1"/>
    <col min="3088" max="3088" width="18" style="1780" customWidth="1"/>
    <col min="3089" max="3089" width="13.83203125" style="1780" customWidth="1"/>
    <col min="3090" max="3090" width="14.1640625" style="1780" customWidth="1"/>
    <col min="3091" max="3091" width="14" style="1780" customWidth="1"/>
    <col min="3092" max="3328" width="9.33203125" style="1780"/>
    <col min="3329" max="3329" width="3.5" style="1780" customWidth="1"/>
    <col min="3330" max="3330" width="30.83203125" style="1780" customWidth="1"/>
    <col min="3331" max="3331" width="18.1640625" style="1780" customWidth="1"/>
    <col min="3332" max="3332" width="13" style="1780" customWidth="1"/>
    <col min="3333" max="3333" width="13.1640625" style="1780" customWidth="1"/>
    <col min="3334" max="3334" width="13.83203125" style="1780" customWidth="1"/>
    <col min="3335" max="3335" width="13.6640625" style="1780" customWidth="1"/>
    <col min="3336" max="3336" width="11.5" style="1780" customWidth="1"/>
    <col min="3337" max="3337" width="11" style="1780" customWidth="1"/>
    <col min="3338" max="3338" width="11.83203125" style="1780" customWidth="1"/>
    <col min="3339" max="3339" width="13.33203125" style="1780" customWidth="1"/>
    <col min="3340" max="3340" width="14.1640625" style="1780" customWidth="1"/>
    <col min="3341" max="3341" width="9.33203125" style="1780"/>
    <col min="3342" max="3342" width="53" style="1780" customWidth="1"/>
    <col min="3343" max="3343" width="24.5" style="1780" customWidth="1"/>
    <col min="3344" max="3344" width="18" style="1780" customWidth="1"/>
    <col min="3345" max="3345" width="13.83203125" style="1780" customWidth="1"/>
    <col min="3346" max="3346" width="14.1640625" style="1780" customWidth="1"/>
    <col min="3347" max="3347" width="14" style="1780" customWidth="1"/>
    <col min="3348" max="3584" width="9.33203125" style="1780"/>
    <col min="3585" max="3585" width="3.5" style="1780" customWidth="1"/>
    <col min="3586" max="3586" width="30.83203125" style="1780" customWidth="1"/>
    <col min="3587" max="3587" width="18.1640625" style="1780" customWidth="1"/>
    <col min="3588" max="3588" width="13" style="1780" customWidth="1"/>
    <col min="3589" max="3589" width="13.1640625" style="1780" customWidth="1"/>
    <col min="3590" max="3590" width="13.83203125" style="1780" customWidth="1"/>
    <col min="3591" max="3591" width="13.6640625" style="1780" customWidth="1"/>
    <col min="3592" max="3592" width="11.5" style="1780" customWidth="1"/>
    <col min="3593" max="3593" width="11" style="1780" customWidth="1"/>
    <col min="3594" max="3594" width="11.83203125" style="1780" customWidth="1"/>
    <col min="3595" max="3595" width="13.33203125" style="1780" customWidth="1"/>
    <col min="3596" max="3596" width="14.1640625" style="1780" customWidth="1"/>
    <col min="3597" max="3597" width="9.33203125" style="1780"/>
    <col min="3598" max="3598" width="53" style="1780" customWidth="1"/>
    <col min="3599" max="3599" width="24.5" style="1780" customWidth="1"/>
    <col min="3600" max="3600" width="18" style="1780" customWidth="1"/>
    <col min="3601" max="3601" width="13.83203125" style="1780" customWidth="1"/>
    <col min="3602" max="3602" width="14.1640625" style="1780" customWidth="1"/>
    <col min="3603" max="3603" width="14" style="1780" customWidth="1"/>
    <col min="3604" max="3840" width="9.33203125" style="1780"/>
    <col min="3841" max="3841" width="3.5" style="1780" customWidth="1"/>
    <col min="3842" max="3842" width="30.83203125" style="1780" customWidth="1"/>
    <col min="3843" max="3843" width="18.1640625" style="1780" customWidth="1"/>
    <col min="3844" max="3844" width="13" style="1780" customWidth="1"/>
    <col min="3845" max="3845" width="13.1640625" style="1780" customWidth="1"/>
    <col min="3846" max="3846" width="13.83203125" style="1780" customWidth="1"/>
    <col min="3847" max="3847" width="13.6640625" style="1780" customWidth="1"/>
    <col min="3848" max="3848" width="11.5" style="1780" customWidth="1"/>
    <col min="3849" max="3849" width="11" style="1780" customWidth="1"/>
    <col min="3850" max="3850" width="11.83203125" style="1780" customWidth="1"/>
    <col min="3851" max="3851" width="13.33203125" style="1780" customWidth="1"/>
    <col min="3852" max="3852" width="14.1640625" style="1780" customWidth="1"/>
    <col min="3853" max="3853" width="9.33203125" style="1780"/>
    <col min="3854" max="3854" width="53" style="1780" customWidth="1"/>
    <col min="3855" max="3855" width="24.5" style="1780" customWidth="1"/>
    <col min="3856" max="3856" width="18" style="1780" customWidth="1"/>
    <col min="3857" max="3857" width="13.83203125" style="1780" customWidth="1"/>
    <col min="3858" max="3858" width="14.1640625" style="1780" customWidth="1"/>
    <col min="3859" max="3859" width="14" style="1780" customWidth="1"/>
    <col min="3860" max="4096" width="9.33203125" style="1780"/>
    <col min="4097" max="4097" width="3.5" style="1780" customWidth="1"/>
    <col min="4098" max="4098" width="30.83203125" style="1780" customWidth="1"/>
    <col min="4099" max="4099" width="18.1640625" style="1780" customWidth="1"/>
    <col min="4100" max="4100" width="13" style="1780" customWidth="1"/>
    <col min="4101" max="4101" width="13.1640625" style="1780" customWidth="1"/>
    <col min="4102" max="4102" width="13.83203125" style="1780" customWidth="1"/>
    <col min="4103" max="4103" width="13.6640625" style="1780" customWidth="1"/>
    <col min="4104" max="4104" width="11.5" style="1780" customWidth="1"/>
    <col min="4105" max="4105" width="11" style="1780" customWidth="1"/>
    <col min="4106" max="4106" width="11.83203125" style="1780" customWidth="1"/>
    <col min="4107" max="4107" width="13.33203125" style="1780" customWidth="1"/>
    <col min="4108" max="4108" width="14.1640625" style="1780" customWidth="1"/>
    <col min="4109" max="4109" width="9.33203125" style="1780"/>
    <col min="4110" max="4110" width="53" style="1780" customWidth="1"/>
    <col min="4111" max="4111" width="24.5" style="1780" customWidth="1"/>
    <col min="4112" max="4112" width="18" style="1780" customWidth="1"/>
    <col min="4113" max="4113" width="13.83203125" style="1780" customWidth="1"/>
    <col min="4114" max="4114" width="14.1640625" style="1780" customWidth="1"/>
    <col min="4115" max="4115" width="14" style="1780" customWidth="1"/>
    <col min="4116" max="4352" width="9.33203125" style="1780"/>
    <col min="4353" max="4353" width="3.5" style="1780" customWidth="1"/>
    <col min="4354" max="4354" width="30.83203125" style="1780" customWidth="1"/>
    <col min="4355" max="4355" width="18.1640625" style="1780" customWidth="1"/>
    <col min="4356" max="4356" width="13" style="1780" customWidth="1"/>
    <col min="4357" max="4357" width="13.1640625" style="1780" customWidth="1"/>
    <col min="4358" max="4358" width="13.83203125" style="1780" customWidth="1"/>
    <col min="4359" max="4359" width="13.6640625" style="1780" customWidth="1"/>
    <col min="4360" max="4360" width="11.5" style="1780" customWidth="1"/>
    <col min="4361" max="4361" width="11" style="1780" customWidth="1"/>
    <col min="4362" max="4362" width="11.83203125" style="1780" customWidth="1"/>
    <col min="4363" max="4363" width="13.33203125" style="1780" customWidth="1"/>
    <col min="4364" max="4364" width="14.1640625" style="1780" customWidth="1"/>
    <col min="4365" max="4365" width="9.33203125" style="1780"/>
    <col min="4366" max="4366" width="53" style="1780" customWidth="1"/>
    <col min="4367" max="4367" width="24.5" style="1780" customWidth="1"/>
    <col min="4368" max="4368" width="18" style="1780" customWidth="1"/>
    <col min="4369" max="4369" width="13.83203125" style="1780" customWidth="1"/>
    <col min="4370" max="4370" width="14.1640625" style="1780" customWidth="1"/>
    <col min="4371" max="4371" width="14" style="1780" customWidth="1"/>
    <col min="4372" max="4608" width="9.33203125" style="1780"/>
    <col min="4609" max="4609" width="3.5" style="1780" customWidth="1"/>
    <col min="4610" max="4610" width="30.83203125" style="1780" customWidth="1"/>
    <col min="4611" max="4611" width="18.1640625" style="1780" customWidth="1"/>
    <col min="4612" max="4612" width="13" style="1780" customWidth="1"/>
    <col min="4613" max="4613" width="13.1640625" style="1780" customWidth="1"/>
    <col min="4614" max="4614" width="13.83203125" style="1780" customWidth="1"/>
    <col min="4615" max="4615" width="13.6640625" style="1780" customWidth="1"/>
    <col min="4616" max="4616" width="11.5" style="1780" customWidth="1"/>
    <col min="4617" max="4617" width="11" style="1780" customWidth="1"/>
    <col min="4618" max="4618" width="11.83203125" style="1780" customWidth="1"/>
    <col min="4619" max="4619" width="13.33203125" style="1780" customWidth="1"/>
    <col min="4620" max="4620" width="14.1640625" style="1780" customWidth="1"/>
    <col min="4621" max="4621" width="9.33203125" style="1780"/>
    <col min="4622" max="4622" width="53" style="1780" customWidth="1"/>
    <col min="4623" max="4623" width="24.5" style="1780" customWidth="1"/>
    <col min="4624" max="4624" width="18" style="1780" customWidth="1"/>
    <col min="4625" max="4625" width="13.83203125" style="1780" customWidth="1"/>
    <col min="4626" max="4626" width="14.1640625" style="1780" customWidth="1"/>
    <col min="4627" max="4627" width="14" style="1780" customWidth="1"/>
    <col min="4628" max="4864" width="9.33203125" style="1780"/>
    <col min="4865" max="4865" width="3.5" style="1780" customWidth="1"/>
    <col min="4866" max="4866" width="30.83203125" style="1780" customWidth="1"/>
    <col min="4867" max="4867" width="18.1640625" style="1780" customWidth="1"/>
    <col min="4868" max="4868" width="13" style="1780" customWidth="1"/>
    <col min="4869" max="4869" width="13.1640625" style="1780" customWidth="1"/>
    <col min="4870" max="4870" width="13.83203125" style="1780" customWidth="1"/>
    <col min="4871" max="4871" width="13.6640625" style="1780" customWidth="1"/>
    <col min="4872" max="4872" width="11.5" style="1780" customWidth="1"/>
    <col min="4873" max="4873" width="11" style="1780" customWidth="1"/>
    <col min="4874" max="4874" width="11.83203125" style="1780" customWidth="1"/>
    <col min="4875" max="4875" width="13.33203125" style="1780" customWidth="1"/>
    <col min="4876" max="4876" width="14.1640625" style="1780" customWidth="1"/>
    <col min="4877" max="4877" width="9.33203125" style="1780"/>
    <col min="4878" max="4878" width="53" style="1780" customWidth="1"/>
    <col min="4879" max="4879" width="24.5" style="1780" customWidth="1"/>
    <col min="4880" max="4880" width="18" style="1780" customWidth="1"/>
    <col min="4881" max="4881" width="13.83203125" style="1780" customWidth="1"/>
    <col min="4882" max="4882" width="14.1640625" style="1780" customWidth="1"/>
    <col min="4883" max="4883" width="14" style="1780" customWidth="1"/>
    <col min="4884" max="5120" width="9.33203125" style="1780"/>
    <col min="5121" max="5121" width="3.5" style="1780" customWidth="1"/>
    <col min="5122" max="5122" width="30.83203125" style="1780" customWidth="1"/>
    <col min="5123" max="5123" width="18.1640625" style="1780" customWidth="1"/>
    <col min="5124" max="5124" width="13" style="1780" customWidth="1"/>
    <col min="5125" max="5125" width="13.1640625" style="1780" customWidth="1"/>
    <col min="5126" max="5126" width="13.83203125" style="1780" customWidth="1"/>
    <col min="5127" max="5127" width="13.6640625" style="1780" customWidth="1"/>
    <col min="5128" max="5128" width="11.5" style="1780" customWidth="1"/>
    <col min="5129" max="5129" width="11" style="1780" customWidth="1"/>
    <col min="5130" max="5130" width="11.83203125" style="1780" customWidth="1"/>
    <col min="5131" max="5131" width="13.33203125" style="1780" customWidth="1"/>
    <col min="5132" max="5132" width="14.1640625" style="1780" customWidth="1"/>
    <col min="5133" max="5133" width="9.33203125" style="1780"/>
    <col min="5134" max="5134" width="53" style="1780" customWidth="1"/>
    <col min="5135" max="5135" width="24.5" style="1780" customWidth="1"/>
    <col min="5136" max="5136" width="18" style="1780" customWidth="1"/>
    <col min="5137" max="5137" width="13.83203125" style="1780" customWidth="1"/>
    <col min="5138" max="5138" width="14.1640625" style="1780" customWidth="1"/>
    <col min="5139" max="5139" width="14" style="1780" customWidth="1"/>
    <col min="5140" max="5376" width="9.33203125" style="1780"/>
    <col min="5377" max="5377" width="3.5" style="1780" customWidth="1"/>
    <col min="5378" max="5378" width="30.83203125" style="1780" customWidth="1"/>
    <col min="5379" max="5379" width="18.1640625" style="1780" customWidth="1"/>
    <col min="5380" max="5380" width="13" style="1780" customWidth="1"/>
    <col min="5381" max="5381" width="13.1640625" style="1780" customWidth="1"/>
    <col min="5382" max="5382" width="13.83203125" style="1780" customWidth="1"/>
    <col min="5383" max="5383" width="13.6640625" style="1780" customWidth="1"/>
    <col min="5384" max="5384" width="11.5" style="1780" customWidth="1"/>
    <col min="5385" max="5385" width="11" style="1780" customWidth="1"/>
    <col min="5386" max="5386" width="11.83203125" style="1780" customWidth="1"/>
    <col min="5387" max="5387" width="13.33203125" style="1780" customWidth="1"/>
    <col min="5388" max="5388" width="14.1640625" style="1780" customWidth="1"/>
    <col min="5389" max="5389" width="9.33203125" style="1780"/>
    <col min="5390" max="5390" width="53" style="1780" customWidth="1"/>
    <col min="5391" max="5391" width="24.5" style="1780" customWidth="1"/>
    <col min="5392" max="5392" width="18" style="1780" customWidth="1"/>
    <col min="5393" max="5393" width="13.83203125" style="1780" customWidth="1"/>
    <col min="5394" max="5394" width="14.1640625" style="1780" customWidth="1"/>
    <col min="5395" max="5395" width="14" style="1780" customWidth="1"/>
    <col min="5396" max="5632" width="9.33203125" style="1780"/>
    <col min="5633" max="5633" width="3.5" style="1780" customWidth="1"/>
    <col min="5634" max="5634" width="30.83203125" style="1780" customWidth="1"/>
    <col min="5635" max="5635" width="18.1640625" style="1780" customWidth="1"/>
    <col min="5636" max="5636" width="13" style="1780" customWidth="1"/>
    <col min="5637" max="5637" width="13.1640625" style="1780" customWidth="1"/>
    <col min="5638" max="5638" width="13.83203125" style="1780" customWidth="1"/>
    <col min="5639" max="5639" width="13.6640625" style="1780" customWidth="1"/>
    <col min="5640" max="5640" width="11.5" style="1780" customWidth="1"/>
    <col min="5641" max="5641" width="11" style="1780" customWidth="1"/>
    <col min="5642" max="5642" width="11.83203125" style="1780" customWidth="1"/>
    <col min="5643" max="5643" width="13.33203125" style="1780" customWidth="1"/>
    <col min="5644" max="5644" width="14.1640625" style="1780" customWidth="1"/>
    <col min="5645" max="5645" width="9.33203125" style="1780"/>
    <col min="5646" max="5646" width="53" style="1780" customWidth="1"/>
    <col min="5647" max="5647" width="24.5" style="1780" customWidth="1"/>
    <col min="5648" max="5648" width="18" style="1780" customWidth="1"/>
    <col min="5649" max="5649" width="13.83203125" style="1780" customWidth="1"/>
    <col min="5650" max="5650" width="14.1640625" style="1780" customWidth="1"/>
    <col min="5651" max="5651" width="14" style="1780" customWidth="1"/>
    <col min="5652" max="5888" width="9.33203125" style="1780"/>
    <col min="5889" max="5889" width="3.5" style="1780" customWidth="1"/>
    <col min="5890" max="5890" width="30.83203125" style="1780" customWidth="1"/>
    <col min="5891" max="5891" width="18.1640625" style="1780" customWidth="1"/>
    <col min="5892" max="5892" width="13" style="1780" customWidth="1"/>
    <col min="5893" max="5893" width="13.1640625" style="1780" customWidth="1"/>
    <col min="5894" max="5894" width="13.83203125" style="1780" customWidth="1"/>
    <col min="5895" max="5895" width="13.6640625" style="1780" customWidth="1"/>
    <col min="5896" max="5896" width="11.5" style="1780" customWidth="1"/>
    <col min="5897" max="5897" width="11" style="1780" customWidth="1"/>
    <col min="5898" max="5898" width="11.83203125" style="1780" customWidth="1"/>
    <col min="5899" max="5899" width="13.33203125" style="1780" customWidth="1"/>
    <col min="5900" max="5900" width="14.1640625" style="1780" customWidth="1"/>
    <col min="5901" max="5901" width="9.33203125" style="1780"/>
    <col min="5902" max="5902" width="53" style="1780" customWidth="1"/>
    <col min="5903" max="5903" width="24.5" style="1780" customWidth="1"/>
    <col min="5904" max="5904" width="18" style="1780" customWidth="1"/>
    <col min="5905" max="5905" width="13.83203125" style="1780" customWidth="1"/>
    <col min="5906" max="5906" width="14.1640625" style="1780" customWidth="1"/>
    <col min="5907" max="5907" width="14" style="1780" customWidth="1"/>
    <col min="5908" max="6144" width="9.33203125" style="1780"/>
    <col min="6145" max="6145" width="3.5" style="1780" customWidth="1"/>
    <col min="6146" max="6146" width="30.83203125" style="1780" customWidth="1"/>
    <col min="6147" max="6147" width="18.1640625" style="1780" customWidth="1"/>
    <col min="6148" max="6148" width="13" style="1780" customWidth="1"/>
    <col min="6149" max="6149" width="13.1640625" style="1780" customWidth="1"/>
    <col min="6150" max="6150" width="13.83203125" style="1780" customWidth="1"/>
    <col min="6151" max="6151" width="13.6640625" style="1780" customWidth="1"/>
    <col min="6152" max="6152" width="11.5" style="1780" customWidth="1"/>
    <col min="6153" max="6153" width="11" style="1780" customWidth="1"/>
    <col min="6154" max="6154" width="11.83203125" style="1780" customWidth="1"/>
    <col min="6155" max="6155" width="13.33203125" style="1780" customWidth="1"/>
    <col min="6156" max="6156" width="14.1640625" style="1780" customWidth="1"/>
    <col min="6157" max="6157" width="9.33203125" style="1780"/>
    <col min="6158" max="6158" width="53" style="1780" customWidth="1"/>
    <col min="6159" max="6159" width="24.5" style="1780" customWidth="1"/>
    <col min="6160" max="6160" width="18" style="1780" customWidth="1"/>
    <col min="6161" max="6161" width="13.83203125" style="1780" customWidth="1"/>
    <col min="6162" max="6162" width="14.1640625" style="1780" customWidth="1"/>
    <col min="6163" max="6163" width="14" style="1780" customWidth="1"/>
    <col min="6164" max="6400" width="9.33203125" style="1780"/>
    <col min="6401" max="6401" width="3.5" style="1780" customWidth="1"/>
    <col min="6402" max="6402" width="30.83203125" style="1780" customWidth="1"/>
    <col min="6403" max="6403" width="18.1640625" style="1780" customWidth="1"/>
    <col min="6404" max="6404" width="13" style="1780" customWidth="1"/>
    <col min="6405" max="6405" width="13.1640625" style="1780" customWidth="1"/>
    <col min="6406" max="6406" width="13.83203125" style="1780" customWidth="1"/>
    <col min="6407" max="6407" width="13.6640625" style="1780" customWidth="1"/>
    <col min="6408" max="6408" width="11.5" style="1780" customWidth="1"/>
    <col min="6409" max="6409" width="11" style="1780" customWidth="1"/>
    <col min="6410" max="6410" width="11.83203125" style="1780" customWidth="1"/>
    <col min="6411" max="6411" width="13.33203125" style="1780" customWidth="1"/>
    <col min="6412" max="6412" width="14.1640625" style="1780" customWidth="1"/>
    <col min="6413" max="6413" width="9.33203125" style="1780"/>
    <col min="6414" max="6414" width="53" style="1780" customWidth="1"/>
    <col min="6415" max="6415" width="24.5" style="1780" customWidth="1"/>
    <col min="6416" max="6416" width="18" style="1780" customWidth="1"/>
    <col min="6417" max="6417" width="13.83203125" style="1780" customWidth="1"/>
    <col min="6418" max="6418" width="14.1640625" style="1780" customWidth="1"/>
    <col min="6419" max="6419" width="14" style="1780" customWidth="1"/>
    <col min="6420" max="6656" width="9.33203125" style="1780"/>
    <col min="6657" max="6657" width="3.5" style="1780" customWidth="1"/>
    <col min="6658" max="6658" width="30.83203125" style="1780" customWidth="1"/>
    <col min="6659" max="6659" width="18.1640625" style="1780" customWidth="1"/>
    <col min="6660" max="6660" width="13" style="1780" customWidth="1"/>
    <col min="6661" max="6661" width="13.1640625" style="1780" customWidth="1"/>
    <col min="6662" max="6662" width="13.83203125" style="1780" customWidth="1"/>
    <col min="6663" max="6663" width="13.6640625" style="1780" customWidth="1"/>
    <col min="6664" max="6664" width="11.5" style="1780" customWidth="1"/>
    <col min="6665" max="6665" width="11" style="1780" customWidth="1"/>
    <col min="6666" max="6666" width="11.83203125" style="1780" customWidth="1"/>
    <col min="6667" max="6667" width="13.33203125" style="1780" customWidth="1"/>
    <col min="6668" max="6668" width="14.1640625" style="1780" customWidth="1"/>
    <col min="6669" max="6669" width="9.33203125" style="1780"/>
    <col min="6670" max="6670" width="53" style="1780" customWidth="1"/>
    <col min="6671" max="6671" width="24.5" style="1780" customWidth="1"/>
    <col min="6672" max="6672" width="18" style="1780" customWidth="1"/>
    <col min="6673" max="6673" width="13.83203125" style="1780" customWidth="1"/>
    <col min="6674" max="6674" width="14.1640625" style="1780" customWidth="1"/>
    <col min="6675" max="6675" width="14" style="1780" customWidth="1"/>
    <col min="6676" max="6912" width="9.33203125" style="1780"/>
    <col min="6913" max="6913" width="3.5" style="1780" customWidth="1"/>
    <col min="6914" max="6914" width="30.83203125" style="1780" customWidth="1"/>
    <col min="6915" max="6915" width="18.1640625" style="1780" customWidth="1"/>
    <col min="6916" max="6916" width="13" style="1780" customWidth="1"/>
    <col min="6917" max="6917" width="13.1640625" style="1780" customWidth="1"/>
    <col min="6918" max="6918" width="13.83203125" style="1780" customWidth="1"/>
    <col min="6919" max="6919" width="13.6640625" style="1780" customWidth="1"/>
    <col min="6920" max="6920" width="11.5" style="1780" customWidth="1"/>
    <col min="6921" max="6921" width="11" style="1780" customWidth="1"/>
    <col min="6922" max="6922" width="11.83203125" style="1780" customWidth="1"/>
    <col min="6923" max="6923" width="13.33203125" style="1780" customWidth="1"/>
    <col min="6924" max="6924" width="14.1640625" style="1780" customWidth="1"/>
    <col min="6925" max="6925" width="9.33203125" style="1780"/>
    <col min="6926" max="6926" width="53" style="1780" customWidth="1"/>
    <col min="6927" max="6927" width="24.5" style="1780" customWidth="1"/>
    <col min="6928" max="6928" width="18" style="1780" customWidth="1"/>
    <col min="6929" max="6929" width="13.83203125" style="1780" customWidth="1"/>
    <col min="6930" max="6930" width="14.1640625" style="1780" customWidth="1"/>
    <col min="6931" max="6931" width="14" style="1780" customWidth="1"/>
    <col min="6932" max="7168" width="9.33203125" style="1780"/>
    <col min="7169" max="7169" width="3.5" style="1780" customWidth="1"/>
    <col min="7170" max="7170" width="30.83203125" style="1780" customWidth="1"/>
    <col min="7171" max="7171" width="18.1640625" style="1780" customWidth="1"/>
    <col min="7172" max="7172" width="13" style="1780" customWidth="1"/>
    <col min="7173" max="7173" width="13.1640625" style="1780" customWidth="1"/>
    <col min="7174" max="7174" width="13.83203125" style="1780" customWidth="1"/>
    <col min="7175" max="7175" width="13.6640625" style="1780" customWidth="1"/>
    <col min="7176" max="7176" width="11.5" style="1780" customWidth="1"/>
    <col min="7177" max="7177" width="11" style="1780" customWidth="1"/>
    <col min="7178" max="7178" width="11.83203125" style="1780" customWidth="1"/>
    <col min="7179" max="7179" width="13.33203125" style="1780" customWidth="1"/>
    <col min="7180" max="7180" width="14.1640625" style="1780" customWidth="1"/>
    <col min="7181" max="7181" width="9.33203125" style="1780"/>
    <col min="7182" max="7182" width="53" style="1780" customWidth="1"/>
    <col min="7183" max="7183" width="24.5" style="1780" customWidth="1"/>
    <col min="7184" max="7184" width="18" style="1780" customWidth="1"/>
    <col min="7185" max="7185" width="13.83203125" style="1780" customWidth="1"/>
    <col min="7186" max="7186" width="14.1640625" style="1780" customWidth="1"/>
    <col min="7187" max="7187" width="14" style="1780" customWidth="1"/>
    <col min="7188" max="7424" width="9.33203125" style="1780"/>
    <col min="7425" max="7425" width="3.5" style="1780" customWidth="1"/>
    <col min="7426" max="7426" width="30.83203125" style="1780" customWidth="1"/>
    <col min="7427" max="7427" width="18.1640625" style="1780" customWidth="1"/>
    <col min="7428" max="7428" width="13" style="1780" customWidth="1"/>
    <col min="7429" max="7429" width="13.1640625" style="1780" customWidth="1"/>
    <col min="7430" max="7430" width="13.83203125" style="1780" customWidth="1"/>
    <col min="7431" max="7431" width="13.6640625" style="1780" customWidth="1"/>
    <col min="7432" max="7432" width="11.5" style="1780" customWidth="1"/>
    <col min="7433" max="7433" width="11" style="1780" customWidth="1"/>
    <col min="7434" max="7434" width="11.83203125" style="1780" customWidth="1"/>
    <col min="7435" max="7435" width="13.33203125" style="1780" customWidth="1"/>
    <col min="7436" max="7436" width="14.1640625" style="1780" customWidth="1"/>
    <col min="7437" max="7437" width="9.33203125" style="1780"/>
    <col min="7438" max="7438" width="53" style="1780" customWidth="1"/>
    <col min="7439" max="7439" width="24.5" style="1780" customWidth="1"/>
    <col min="7440" max="7440" width="18" style="1780" customWidth="1"/>
    <col min="7441" max="7441" width="13.83203125" style="1780" customWidth="1"/>
    <col min="7442" max="7442" width="14.1640625" style="1780" customWidth="1"/>
    <col min="7443" max="7443" width="14" style="1780" customWidth="1"/>
    <col min="7444" max="7680" width="9.33203125" style="1780"/>
    <col min="7681" max="7681" width="3.5" style="1780" customWidth="1"/>
    <col min="7682" max="7682" width="30.83203125" style="1780" customWidth="1"/>
    <col min="7683" max="7683" width="18.1640625" style="1780" customWidth="1"/>
    <col min="7684" max="7684" width="13" style="1780" customWidth="1"/>
    <col min="7685" max="7685" width="13.1640625" style="1780" customWidth="1"/>
    <col min="7686" max="7686" width="13.83203125" style="1780" customWidth="1"/>
    <col min="7687" max="7687" width="13.6640625" style="1780" customWidth="1"/>
    <col min="7688" max="7688" width="11.5" style="1780" customWidth="1"/>
    <col min="7689" max="7689" width="11" style="1780" customWidth="1"/>
    <col min="7690" max="7690" width="11.83203125" style="1780" customWidth="1"/>
    <col min="7691" max="7691" width="13.33203125" style="1780" customWidth="1"/>
    <col min="7692" max="7692" width="14.1640625" style="1780" customWidth="1"/>
    <col min="7693" max="7693" width="9.33203125" style="1780"/>
    <col min="7694" max="7694" width="53" style="1780" customWidth="1"/>
    <col min="7695" max="7695" width="24.5" style="1780" customWidth="1"/>
    <col min="7696" max="7696" width="18" style="1780" customWidth="1"/>
    <col min="7697" max="7697" width="13.83203125" style="1780" customWidth="1"/>
    <col min="7698" max="7698" width="14.1640625" style="1780" customWidth="1"/>
    <col min="7699" max="7699" width="14" style="1780" customWidth="1"/>
    <col min="7700" max="7936" width="9.33203125" style="1780"/>
    <col min="7937" max="7937" width="3.5" style="1780" customWidth="1"/>
    <col min="7938" max="7938" width="30.83203125" style="1780" customWidth="1"/>
    <col min="7939" max="7939" width="18.1640625" style="1780" customWidth="1"/>
    <col min="7940" max="7940" width="13" style="1780" customWidth="1"/>
    <col min="7941" max="7941" width="13.1640625" style="1780" customWidth="1"/>
    <col min="7942" max="7942" width="13.83203125" style="1780" customWidth="1"/>
    <col min="7943" max="7943" width="13.6640625" style="1780" customWidth="1"/>
    <col min="7944" max="7944" width="11.5" style="1780" customWidth="1"/>
    <col min="7945" max="7945" width="11" style="1780" customWidth="1"/>
    <col min="7946" max="7946" width="11.83203125" style="1780" customWidth="1"/>
    <col min="7947" max="7947" width="13.33203125" style="1780" customWidth="1"/>
    <col min="7948" max="7948" width="14.1640625" style="1780" customWidth="1"/>
    <col min="7949" max="7949" width="9.33203125" style="1780"/>
    <col min="7950" max="7950" width="53" style="1780" customWidth="1"/>
    <col min="7951" max="7951" width="24.5" style="1780" customWidth="1"/>
    <col min="7952" max="7952" width="18" style="1780" customWidth="1"/>
    <col min="7953" max="7953" width="13.83203125" style="1780" customWidth="1"/>
    <col min="7954" max="7954" width="14.1640625" style="1780" customWidth="1"/>
    <col min="7955" max="7955" width="14" style="1780" customWidth="1"/>
    <col min="7956" max="8192" width="9.33203125" style="1780"/>
    <col min="8193" max="8193" width="3.5" style="1780" customWidth="1"/>
    <col min="8194" max="8194" width="30.83203125" style="1780" customWidth="1"/>
    <col min="8195" max="8195" width="18.1640625" style="1780" customWidth="1"/>
    <col min="8196" max="8196" width="13" style="1780" customWidth="1"/>
    <col min="8197" max="8197" width="13.1640625" style="1780" customWidth="1"/>
    <col min="8198" max="8198" width="13.83203125" style="1780" customWidth="1"/>
    <col min="8199" max="8199" width="13.6640625" style="1780" customWidth="1"/>
    <col min="8200" max="8200" width="11.5" style="1780" customWidth="1"/>
    <col min="8201" max="8201" width="11" style="1780" customWidth="1"/>
    <col min="8202" max="8202" width="11.83203125" style="1780" customWidth="1"/>
    <col min="8203" max="8203" width="13.33203125" style="1780" customWidth="1"/>
    <col min="8204" max="8204" width="14.1640625" style="1780" customWidth="1"/>
    <col min="8205" max="8205" width="9.33203125" style="1780"/>
    <col min="8206" max="8206" width="53" style="1780" customWidth="1"/>
    <col min="8207" max="8207" width="24.5" style="1780" customWidth="1"/>
    <col min="8208" max="8208" width="18" style="1780" customWidth="1"/>
    <col min="8209" max="8209" width="13.83203125" style="1780" customWidth="1"/>
    <col min="8210" max="8210" width="14.1640625" style="1780" customWidth="1"/>
    <col min="8211" max="8211" width="14" style="1780" customWidth="1"/>
    <col min="8212" max="8448" width="9.33203125" style="1780"/>
    <col min="8449" max="8449" width="3.5" style="1780" customWidth="1"/>
    <col min="8450" max="8450" width="30.83203125" style="1780" customWidth="1"/>
    <col min="8451" max="8451" width="18.1640625" style="1780" customWidth="1"/>
    <col min="8452" max="8452" width="13" style="1780" customWidth="1"/>
    <col min="8453" max="8453" width="13.1640625" style="1780" customWidth="1"/>
    <col min="8454" max="8454" width="13.83203125" style="1780" customWidth="1"/>
    <col min="8455" max="8455" width="13.6640625" style="1780" customWidth="1"/>
    <col min="8456" max="8456" width="11.5" style="1780" customWidth="1"/>
    <col min="8457" max="8457" width="11" style="1780" customWidth="1"/>
    <col min="8458" max="8458" width="11.83203125" style="1780" customWidth="1"/>
    <col min="8459" max="8459" width="13.33203125" style="1780" customWidth="1"/>
    <col min="8460" max="8460" width="14.1640625" style="1780" customWidth="1"/>
    <col min="8461" max="8461" width="9.33203125" style="1780"/>
    <col min="8462" max="8462" width="53" style="1780" customWidth="1"/>
    <col min="8463" max="8463" width="24.5" style="1780" customWidth="1"/>
    <col min="8464" max="8464" width="18" style="1780" customWidth="1"/>
    <col min="8465" max="8465" width="13.83203125" style="1780" customWidth="1"/>
    <col min="8466" max="8466" width="14.1640625" style="1780" customWidth="1"/>
    <col min="8467" max="8467" width="14" style="1780" customWidth="1"/>
    <col min="8468" max="8704" width="9.33203125" style="1780"/>
    <col min="8705" max="8705" width="3.5" style="1780" customWidth="1"/>
    <col min="8706" max="8706" width="30.83203125" style="1780" customWidth="1"/>
    <col min="8707" max="8707" width="18.1640625" style="1780" customWidth="1"/>
    <col min="8708" max="8708" width="13" style="1780" customWidth="1"/>
    <col min="8709" max="8709" width="13.1640625" style="1780" customWidth="1"/>
    <col min="8710" max="8710" width="13.83203125" style="1780" customWidth="1"/>
    <col min="8711" max="8711" width="13.6640625" style="1780" customWidth="1"/>
    <col min="8712" max="8712" width="11.5" style="1780" customWidth="1"/>
    <col min="8713" max="8713" width="11" style="1780" customWidth="1"/>
    <col min="8714" max="8714" width="11.83203125" style="1780" customWidth="1"/>
    <col min="8715" max="8715" width="13.33203125" style="1780" customWidth="1"/>
    <col min="8716" max="8716" width="14.1640625" style="1780" customWidth="1"/>
    <col min="8717" max="8717" width="9.33203125" style="1780"/>
    <col min="8718" max="8718" width="53" style="1780" customWidth="1"/>
    <col min="8719" max="8719" width="24.5" style="1780" customWidth="1"/>
    <col min="8720" max="8720" width="18" style="1780" customWidth="1"/>
    <col min="8721" max="8721" width="13.83203125" style="1780" customWidth="1"/>
    <col min="8722" max="8722" width="14.1640625" style="1780" customWidth="1"/>
    <col min="8723" max="8723" width="14" style="1780" customWidth="1"/>
    <col min="8724" max="8960" width="9.33203125" style="1780"/>
    <col min="8961" max="8961" width="3.5" style="1780" customWidth="1"/>
    <col min="8962" max="8962" width="30.83203125" style="1780" customWidth="1"/>
    <col min="8963" max="8963" width="18.1640625" style="1780" customWidth="1"/>
    <col min="8964" max="8964" width="13" style="1780" customWidth="1"/>
    <col min="8965" max="8965" width="13.1640625" style="1780" customWidth="1"/>
    <col min="8966" max="8966" width="13.83203125" style="1780" customWidth="1"/>
    <col min="8967" max="8967" width="13.6640625" style="1780" customWidth="1"/>
    <col min="8968" max="8968" width="11.5" style="1780" customWidth="1"/>
    <col min="8969" max="8969" width="11" style="1780" customWidth="1"/>
    <col min="8970" max="8970" width="11.83203125" style="1780" customWidth="1"/>
    <col min="8971" max="8971" width="13.33203125" style="1780" customWidth="1"/>
    <col min="8972" max="8972" width="14.1640625" style="1780" customWidth="1"/>
    <col min="8973" max="8973" width="9.33203125" style="1780"/>
    <col min="8974" max="8974" width="53" style="1780" customWidth="1"/>
    <col min="8975" max="8975" width="24.5" style="1780" customWidth="1"/>
    <col min="8976" max="8976" width="18" style="1780" customWidth="1"/>
    <col min="8977" max="8977" width="13.83203125" style="1780" customWidth="1"/>
    <col min="8978" max="8978" width="14.1640625" style="1780" customWidth="1"/>
    <col min="8979" max="8979" width="14" style="1780" customWidth="1"/>
    <col min="8980" max="9216" width="9.33203125" style="1780"/>
    <col min="9217" max="9217" width="3.5" style="1780" customWidth="1"/>
    <col min="9218" max="9218" width="30.83203125" style="1780" customWidth="1"/>
    <col min="9219" max="9219" width="18.1640625" style="1780" customWidth="1"/>
    <col min="9220" max="9220" width="13" style="1780" customWidth="1"/>
    <col min="9221" max="9221" width="13.1640625" style="1780" customWidth="1"/>
    <col min="9222" max="9222" width="13.83203125" style="1780" customWidth="1"/>
    <col min="9223" max="9223" width="13.6640625" style="1780" customWidth="1"/>
    <col min="9224" max="9224" width="11.5" style="1780" customWidth="1"/>
    <col min="9225" max="9225" width="11" style="1780" customWidth="1"/>
    <col min="9226" max="9226" width="11.83203125" style="1780" customWidth="1"/>
    <col min="9227" max="9227" width="13.33203125" style="1780" customWidth="1"/>
    <col min="9228" max="9228" width="14.1640625" style="1780" customWidth="1"/>
    <col min="9229" max="9229" width="9.33203125" style="1780"/>
    <col min="9230" max="9230" width="53" style="1780" customWidth="1"/>
    <col min="9231" max="9231" width="24.5" style="1780" customWidth="1"/>
    <col min="9232" max="9232" width="18" style="1780" customWidth="1"/>
    <col min="9233" max="9233" width="13.83203125" style="1780" customWidth="1"/>
    <col min="9234" max="9234" width="14.1640625" style="1780" customWidth="1"/>
    <col min="9235" max="9235" width="14" style="1780" customWidth="1"/>
    <col min="9236" max="9472" width="9.33203125" style="1780"/>
    <col min="9473" max="9473" width="3.5" style="1780" customWidth="1"/>
    <col min="9474" max="9474" width="30.83203125" style="1780" customWidth="1"/>
    <col min="9475" max="9475" width="18.1640625" style="1780" customWidth="1"/>
    <col min="9476" max="9476" width="13" style="1780" customWidth="1"/>
    <col min="9477" max="9477" width="13.1640625" style="1780" customWidth="1"/>
    <col min="9478" max="9478" width="13.83203125" style="1780" customWidth="1"/>
    <col min="9479" max="9479" width="13.6640625" style="1780" customWidth="1"/>
    <col min="9480" max="9480" width="11.5" style="1780" customWidth="1"/>
    <col min="9481" max="9481" width="11" style="1780" customWidth="1"/>
    <col min="9482" max="9482" width="11.83203125" style="1780" customWidth="1"/>
    <col min="9483" max="9483" width="13.33203125" style="1780" customWidth="1"/>
    <col min="9484" max="9484" width="14.1640625" style="1780" customWidth="1"/>
    <col min="9485" max="9485" width="9.33203125" style="1780"/>
    <col min="9486" max="9486" width="53" style="1780" customWidth="1"/>
    <col min="9487" max="9487" width="24.5" style="1780" customWidth="1"/>
    <col min="9488" max="9488" width="18" style="1780" customWidth="1"/>
    <col min="9489" max="9489" width="13.83203125" style="1780" customWidth="1"/>
    <col min="9490" max="9490" width="14.1640625" style="1780" customWidth="1"/>
    <col min="9491" max="9491" width="14" style="1780" customWidth="1"/>
    <col min="9492" max="9728" width="9.33203125" style="1780"/>
    <col min="9729" max="9729" width="3.5" style="1780" customWidth="1"/>
    <col min="9730" max="9730" width="30.83203125" style="1780" customWidth="1"/>
    <col min="9731" max="9731" width="18.1640625" style="1780" customWidth="1"/>
    <col min="9732" max="9732" width="13" style="1780" customWidth="1"/>
    <col min="9733" max="9733" width="13.1640625" style="1780" customWidth="1"/>
    <col min="9734" max="9734" width="13.83203125" style="1780" customWidth="1"/>
    <col min="9735" max="9735" width="13.6640625" style="1780" customWidth="1"/>
    <col min="9736" max="9736" width="11.5" style="1780" customWidth="1"/>
    <col min="9737" max="9737" width="11" style="1780" customWidth="1"/>
    <col min="9738" max="9738" width="11.83203125" style="1780" customWidth="1"/>
    <col min="9739" max="9739" width="13.33203125" style="1780" customWidth="1"/>
    <col min="9740" max="9740" width="14.1640625" style="1780" customWidth="1"/>
    <col min="9741" max="9741" width="9.33203125" style="1780"/>
    <col min="9742" max="9742" width="53" style="1780" customWidth="1"/>
    <col min="9743" max="9743" width="24.5" style="1780" customWidth="1"/>
    <col min="9744" max="9744" width="18" style="1780" customWidth="1"/>
    <col min="9745" max="9745" width="13.83203125" style="1780" customWidth="1"/>
    <col min="9746" max="9746" width="14.1640625" style="1780" customWidth="1"/>
    <col min="9747" max="9747" width="14" style="1780" customWidth="1"/>
    <col min="9748" max="9984" width="9.33203125" style="1780"/>
    <col min="9985" max="9985" width="3.5" style="1780" customWidth="1"/>
    <col min="9986" max="9986" width="30.83203125" style="1780" customWidth="1"/>
    <col min="9987" max="9987" width="18.1640625" style="1780" customWidth="1"/>
    <col min="9988" max="9988" width="13" style="1780" customWidth="1"/>
    <col min="9989" max="9989" width="13.1640625" style="1780" customWidth="1"/>
    <col min="9990" max="9990" width="13.83203125" style="1780" customWidth="1"/>
    <col min="9991" max="9991" width="13.6640625" style="1780" customWidth="1"/>
    <col min="9992" max="9992" width="11.5" style="1780" customWidth="1"/>
    <col min="9993" max="9993" width="11" style="1780" customWidth="1"/>
    <col min="9994" max="9994" width="11.83203125" style="1780" customWidth="1"/>
    <col min="9995" max="9995" width="13.33203125" style="1780" customWidth="1"/>
    <col min="9996" max="9996" width="14.1640625" style="1780" customWidth="1"/>
    <col min="9997" max="9997" width="9.33203125" style="1780"/>
    <col min="9998" max="9998" width="53" style="1780" customWidth="1"/>
    <col min="9999" max="9999" width="24.5" style="1780" customWidth="1"/>
    <col min="10000" max="10000" width="18" style="1780" customWidth="1"/>
    <col min="10001" max="10001" width="13.83203125" style="1780" customWidth="1"/>
    <col min="10002" max="10002" width="14.1640625" style="1780" customWidth="1"/>
    <col min="10003" max="10003" width="14" style="1780" customWidth="1"/>
    <col min="10004" max="10240" width="9.33203125" style="1780"/>
    <col min="10241" max="10241" width="3.5" style="1780" customWidth="1"/>
    <col min="10242" max="10242" width="30.83203125" style="1780" customWidth="1"/>
    <col min="10243" max="10243" width="18.1640625" style="1780" customWidth="1"/>
    <col min="10244" max="10244" width="13" style="1780" customWidth="1"/>
    <col min="10245" max="10245" width="13.1640625" style="1780" customWidth="1"/>
    <col min="10246" max="10246" width="13.83203125" style="1780" customWidth="1"/>
    <col min="10247" max="10247" width="13.6640625" style="1780" customWidth="1"/>
    <col min="10248" max="10248" width="11.5" style="1780" customWidth="1"/>
    <col min="10249" max="10249" width="11" style="1780" customWidth="1"/>
    <col min="10250" max="10250" width="11.83203125" style="1780" customWidth="1"/>
    <col min="10251" max="10251" width="13.33203125" style="1780" customWidth="1"/>
    <col min="10252" max="10252" width="14.1640625" style="1780" customWidth="1"/>
    <col min="10253" max="10253" width="9.33203125" style="1780"/>
    <col min="10254" max="10254" width="53" style="1780" customWidth="1"/>
    <col min="10255" max="10255" width="24.5" style="1780" customWidth="1"/>
    <col min="10256" max="10256" width="18" style="1780" customWidth="1"/>
    <col min="10257" max="10257" width="13.83203125" style="1780" customWidth="1"/>
    <col min="10258" max="10258" width="14.1640625" style="1780" customWidth="1"/>
    <col min="10259" max="10259" width="14" style="1780" customWidth="1"/>
    <col min="10260" max="10496" width="9.33203125" style="1780"/>
    <col min="10497" max="10497" width="3.5" style="1780" customWidth="1"/>
    <col min="10498" max="10498" width="30.83203125" style="1780" customWidth="1"/>
    <col min="10499" max="10499" width="18.1640625" style="1780" customWidth="1"/>
    <col min="10500" max="10500" width="13" style="1780" customWidth="1"/>
    <col min="10501" max="10501" width="13.1640625" style="1780" customWidth="1"/>
    <col min="10502" max="10502" width="13.83203125" style="1780" customWidth="1"/>
    <col min="10503" max="10503" width="13.6640625" style="1780" customWidth="1"/>
    <col min="10504" max="10504" width="11.5" style="1780" customWidth="1"/>
    <col min="10505" max="10505" width="11" style="1780" customWidth="1"/>
    <col min="10506" max="10506" width="11.83203125" style="1780" customWidth="1"/>
    <col min="10507" max="10507" width="13.33203125" style="1780" customWidth="1"/>
    <col min="10508" max="10508" width="14.1640625" style="1780" customWidth="1"/>
    <col min="10509" max="10509" width="9.33203125" style="1780"/>
    <col min="10510" max="10510" width="53" style="1780" customWidth="1"/>
    <col min="10511" max="10511" width="24.5" style="1780" customWidth="1"/>
    <col min="10512" max="10512" width="18" style="1780" customWidth="1"/>
    <col min="10513" max="10513" width="13.83203125" style="1780" customWidth="1"/>
    <col min="10514" max="10514" width="14.1640625" style="1780" customWidth="1"/>
    <col min="10515" max="10515" width="14" style="1780" customWidth="1"/>
    <col min="10516" max="10752" width="9.33203125" style="1780"/>
    <col min="10753" max="10753" width="3.5" style="1780" customWidth="1"/>
    <col min="10754" max="10754" width="30.83203125" style="1780" customWidth="1"/>
    <col min="10755" max="10755" width="18.1640625" style="1780" customWidth="1"/>
    <col min="10756" max="10756" width="13" style="1780" customWidth="1"/>
    <col min="10757" max="10757" width="13.1640625" style="1780" customWidth="1"/>
    <col min="10758" max="10758" width="13.83203125" style="1780" customWidth="1"/>
    <col min="10759" max="10759" width="13.6640625" style="1780" customWidth="1"/>
    <col min="10760" max="10760" width="11.5" style="1780" customWidth="1"/>
    <col min="10761" max="10761" width="11" style="1780" customWidth="1"/>
    <col min="10762" max="10762" width="11.83203125" style="1780" customWidth="1"/>
    <col min="10763" max="10763" width="13.33203125" style="1780" customWidth="1"/>
    <col min="10764" max="10764" width="14.1640625" style="1780" customWidth="1"/>
    <col min="10765" max="10765" width="9.33203125" style="1780"/>
    <col min="10766" max="10766" width="53" style="1780" customWidth="1"/>
    <col min="10767" max="10767" width="24.5" style="1780" customWidth="1"/>
    <col min="10768" max="10768" width="18" style="1780" customWidth="1"/>
    <col min="10769" max="10769" width="13.83203125" style="1780" customWidth="1"/>
    <col min="10770" max="10770" width="14.1640625" style="1780" customWidth="1"/>
    <col min="10771" max="10771" width="14" style="1780" customWidth="1"/>
    <col min="10772" max="11008" width="9.33203125" style="1780"/>
    <col min="11009" max="11009" width="3.5" style="1780" customWidth="1"/>
    <col min="11010" max="11010" width="30.83203125" style="1780" customWidth="1"/>
    <col min="11011" max="11011" width="18.1640625" style="1780" customWidth="1"/>
    <col min="11012" max="11012" width="13" style="1780" customWidth="1"/>
    <col min="11013" max="11013" width="13.1640625" style="1780" customWidth="1"/>
    <col min="11014" max="11014" width="13.83203125" style="1780" customWidth="1"/>
    <col min="11015" max="11015" width="13.6640625" style="1780" customWidth="1"/>
    <col min="11016" max="11016" width="11.5" style="1780" customWidth="1"/>
    <col min="11017" max="11017" width="11" style="1780" customWidth="1"/>
    <col min="11018" max="11018" width="11.83203125" style="1780" customWidth="1"/>
    <col min="11019" max="11019" width="13.33203125" style="1780" customWidth="1"/>
    <col min="11020" max="11020" width="14.1640625" style="1780" customWidth="1"/>
    <col min="11021" max="11021" width="9.33203125" style="1780"/>
    <col min="11022" max="11022" width="53" style="1780" customWidth="1"/>
    <col min="11023" max="11023" width="24.5" style="1780" customWidth="1"/>
    <col min="11024" max="11024" width="18" style="1780" customWidth="1"/>
    <col min="11025" max="11025" width="13.83203125" style="1780" customWidth="1"/>
    <col min="11026" max="11026" width="14.1640625" style="1780" customWidth="1"/>
    <col min="11027" max="11027" width="14" style="1780" customWidth="1"/>
    <col min="11028" max="11264" width="9.33203125" style="1780"/>
    <col min="11265" max="11265" width="3.5" style="1780" customWidth="1"/>
    <col min="11266" max="11266" width="30.83203125" style="1780" customWidth="1"/>
    <col min="11267" max="11267" width="18.1640625" style="1780" customWidth="1"/>
    <col min="11268" max="11268" width="13" style="1780" customWidth="1"/>
    <col min="11269" max="11269" width="13.1640625" style="1780" customWidth="1"/>
    <col min="11270" max="11270" width="13.83203125" style="1780" customWidth="1"/>
    <col min="11271" max="11271" width="13.6640625" style="1780" customWidth="1"/>
    <col min="11272" max="11272" width="11.5" style="1780" customWidth="1"/>
    <col min="11273" max="11273" width="11" style="1780" customWidth="1"/>
    <col min="11274" max="11274" width="11.83203125" style="1780" customWidth="1"/>
    <col min="11275" max="11275" width="13.33203125" style="1780" customWidth="1"/>
    <col min="11276" max="11276" width="14.1640625" style="1780" customWidth="1"/>
    <col min="11277" max="11277" width="9.33203125" style="1780"/>
    <col min="11278" max="11278" width="53" style="1780" customWidth="1"/>
    <col min="11279" max="11279" width="24.5" style="1780" customWidth="1"/>
    <col min="11280" max="11280" width="18" style="1780" customWidth="1"/>
    <col min="11281" max="11281" width="13.83203125" style="1780" customWidth="1"/>
    <col min="11282" max="11282" width="14.1640625" style="1780" customWidth="1"/>
    <col min="11283" max="11283" width="14" style="1780" customWidth="1"/>
    <col min="11284" max="11520" width="9.33203125" style="1780"/>
    <col min="11521" max="11521" width="3.5" style="1780" customWidth="1"/>
    <col min="11522" max="11522" width="30.83203125" style="1780" customWidth="1"/>
    <col min="11523" max="11523" width="18.1640625" style="1780" customWidth="1"/>
    <col min="11524" max="11524" width="13" style="1780" customWidth="1"/>
    <col min="11525" max="11525" width="13.1640625" style="1780" customWidth="1"/>
    <col min="11526" max="11526" width="13.83203125" style="1780" customWidth="1"/>
    <col min="11527" max="11527" width="13.6640625" style="1780" customWidth="1"/>
    <col min="11528" max="11528" width="11.5" style="1780" customWidth="1"/>
    <col min="11529" max="11529" width="11" style="1780" customWidth="1"/>
    <col min="11530" max="11530" width="11.83203125" style="1780" customWidth="1"/>
    <col min="11531" max="11531" width="13.33203125" style="1780" customWidth="1"/>
    <col min="11532" max="11532" width="14.1640625" style="1780" customWidth="1"/>
    <col min="11533" max="11533" width="9.33203125" style="1780"/>
    <col min="11534" max="11534" width="53" style="1780" customWidth="1"/>
    <col min="11535" max="11535" width="24.5" style="1780" customWidth="1"/>
    <col min="11536" max="11536" width="18" style="1780" customWidth="1"/>
    <col min="11537" max="11537" width="13.83203125" style="1780" customWidth="1"/>
    <col min="11538" max="11538" width="14.1640625" style="1780" customWidth="1"/>
    <col min="11539" max="11539" width="14" style="1780" customWidth="1"/>
    <col min="11540" max="11776" width="9.33203125" style="1780"/>
    <col min="11777" max="11777" width="3.5" style="1780" customWidth="1"/>
    <col min="11778" max="11778" width="30.83203125" style="1780" customWidth="1"/>
    <col min="11779" max="11779" width="18.1640625" style="1780" customWidth="1"/>
    <col min="11780" max="11780" width="13" style="1780" customWidth="1"/>
    <col min="11781" max="11781" width="13.1640625" style="1780" customWidth="1"/>
    <col min="11782" max="11782" width="13.83203125" style="1780" customWidth="1"/>
    <col min="11783" max="11783" width="13.6640625" style="1780" customWidth="1"/>
    <col min="11784" max="11784" width="11.5" style="1780" customWidth="1"/>
    <col min="11785" max="11785" width="11" style="1780" customWidth="1"/>
    <col min="11786" max="11786" width="11.83203125" style="1780" customWidth="1"/>
    <col min="11787" max="11787" width="13.33203125" style="1780" customWidth="1"/>
    <col min="11788" max="11788" width="14.1640625" style="1780" customWidth="1"/>
    <col min="11789" max="11789" width="9.33203125" style="1780"/>
    <col min="11790" max="11790" width="53" style="1780" customWidth="1"/>
    <col min="11791" max="11791" width="24.5" style="1780" customWidth="1"/>
    <col min="11792" max="11792" width="18" style="1780" customWidth="1"/>
    <col min="11793" max="11793" width="13.83203125" style="1780" customWidth="1"/>
    <col min="11794" max="11794" width="14.1640625" style="1780" customWidth="1"/>
    <col min="11795" max="11795" width="14" style="1780" customWidth="1"/>
    <col min="11796" max="12032" width="9.33203125" style="1780"/>
    <col min="12033" max="12033" width="3.5" style="1780" customWidth="1"/>
    <col min="12034" max="12034" width="30.83203125" style="1780" customWidth="1"/>
    <col min="12035" max="12035" width="18.1640625" style="1780" customWidth="1"/>
    <col min="12036" max="12036" width="13" style="1780" customWidth="1"/>
    <col min="12037" max="12037" width="13.1640625" style="1780" customWidth="1"/>
    <col min="12038" max="12038" width="13.83203125" style="1780" customWidth="1"/>
    <col min="12039" max="12039" width="13.6640625" style="1780" customWidth="1"/>
    <col min="12040" max="12040" width="11.5" style="1780" customWidth="1"/>
    <col min="12041" max="12041" width="11" style="1780" customWidth="1"/>
    <col min="12042" max="12042" width="11.83203125" style="1780" customWidth="1"/>
    <col min="12043" max="12043" width="13.33203125" style="1780" customWidth="1"/>
    <col min="12044" max="12044" width="14.1640625" style="1780" customWidth="1"/>
    <col min="12045" max="12045" width="9.33203125" style="1780"/>
    <col min="12046" max="12046" width="53" style="1780" customWidth="1"/>
    <col min="12047" max="12047" width="24.5" style="1780" customWidth="1"/>
    <col min="12048" max="12048" width="18" style="1780" customWidth="1"/>
    <col min="12049" max="12049" width="13.83203125" style="1780" customWidth="1"/>
    <col min="12050" max="12050" width="14.1640625" style="1780" customWidth="1"/>
    <col min="12051" max="12051" width="14" style="1780" customWidth="1"/>
    <col min="12052" max="12288" width="9.33203125" style="1780"/>
    <col min="12289" max="12289" width="3.5" style="1780" customWidth="1"/>
    <col min="12290" max="12290" width="30.83203125" style="1780" customWidth="1"/>
    <col min="12291" max="12291" width="18.1640625" style="1780" customWidth="1"/>
    <col min="12292" max="12292" width="13" style="1780" customWidth="1"/>
    <col min="12293" max="12293" width="13.1640625" style="1780" customWidth="1"/>
    <col min="12294" max="12294" width="13.83203125" style="1780" customWidth="1"/>
    <col min="12295" max="12295" width="13.6640625" style="1780" customWidth="1"/>
    <col min="12296" max="12296" width="11.5" style="1780" customWidth="1"/>
    <col min="12297" max="12297" width="11" style="1780" customWidth="1"/>
    <col min="12298" max="12298" width="11.83203125" style="1780" customWidth="1"/>
    <col min="12299" max="12299" width="13.33203125" style="1780" customWidth="1"/>
    <col min="12300" max="12300" width="14.1640625" style="1780" customWidth="1"/>
    <col min="12301" max="12301" width="9.33203125" style="1780"/>
    <col min="12302" max="12302" width="53" style="1780" customWidth="1"/>
    <col min="12303" max="12303" width="24.5" style="1780" customWidth="1"/>
    <col min="12304" max="12304" width="18" style="1780" customWidth="1"/>
    <col min="12305" max="12305" width="13.83203125" style="1780" customWidth="1"/>
    <col min="12306" max="12306" width="14.1640625" style="1780" customWidth="1"/>
    <col min="12307" max="12307" width="14" style="1780" customWidth="1"/>
    <col min="12308" max="12544" width="9.33203125" style="1780"/>
    <col min="12545" max="12545" width="3.5" style="1780" customWidth="1"/>
    <col min="12546" max="12546" width="30.83203125" style="1780" customWidth="1"/>
    <col min="12547" max="12547" width="18.1640625" style="1780" customWidth="1"/>
    <col min="12548" max="12548" width="13" style="1780" customWidth="1"/>
    <col min="12549" max="12549" width="13.1640625" style="1780" customWidth="1"/>
    <col min="12550" max="12550" width="13.83203125" style="1780" customWidth="1"/>
    <col min="12551" max="12551" width="13.6640625" style="1780" customWidth="1"/>
    <col min="12552" max="12552" width="11.5" style="1780" customWidth="1"/>
    <col min="12553" max="12553" width="11" style="1780" customWidth="1"/>
    <col min="12554" max="12554" width="11.83203125" style="1780" customWidth="1"/>
    <col min="12555" max="12555" width="13.33203125" style="1780" customWidth="1"/>
    <col min="12556" max="12556" width="14.1640625" style="1780" customWidth="1"/>
    <col min="12557" max="12557" width="9.33203125" style="1780"/>
    <col min="12558" max="12558" width="53" style="1780" customWidth="1"/>
    <col min="12559" max="12559" width="24.5" style="1780" customWidth="1"/>
    <col min="12560" max="12560" width="18" style="1780" customWidth="1"/>
    <col min="12561" max="12561" width="13.83203125" style="1780" customWidth="1"/>
    <col min="12562" max="12562" width="14.1640625" style="1780" customWidth="1"/>
    <col min="12563" max="12563" width="14" style="1780" customWidth="1"/>
    <col min="12564" max="12800" width="9.33203125" style="1780"/>
    <col min="12801" max="12801" width="3.5" style="1780" customWidth="1"/>
    <col min="12802" max="12802" width="30.83203125" style="1780" customWidth="1"/>
    <col min="12803" max="12803" width="18.1640625" style="1780" customWidth="1"/>
    <col min="12804" max="12804" width="13" style="1780" customWidth="1"/>
    <col min="12805" max="12805" width="13.1640625" style="1780" customWidth="1"/>
    <col min="12806" max="12806" width="13.83203125" style="1780" customWidth="1"/>
    <col min="12807" max="12807" width="13.6640625" style="1780" customWidth="1"/>
    <col min="12808" max="12808" width="11.5" style="1780" customWidth="1"/>
    <col min="12809" max="12809" width="11" style="1780" customWidth="1"/>
    <col min="12810" max="12810" width="11.83203125" style="1780" customWidth="1"/>
    <col min="12811" max="12811" width="13.33203125" style="1780" customWidth="1"/>
    <col min="12812" max="12812" width="14.1640625" style="1780" customWidth="1"/>
    <col min="12813" max="12813" width="9.33203125" style="1780"/>
    <col min="12814" max="12814" width="53" style="1780" customWidth="1"/>
    <col min="12815" max="12815" width="24.5" style="1780" customWidth="1"/>
    <col min="12816" max="12816" width="18" style="1780" customWidth="1"/>
    <col min="12817" max="12817" width="13.83203125" style="1780" customWidth="1"/>
    <col min="12818" max="12818" width="14.1640625" style="1780" customWidth="1"/>
    <col min="12819" max="12819" width="14" style="1780" customWidth="1"/>
    <col min="12820" max="13056" width="9.33203125" style="1780"/>
    <col min="13057" max="13057" width="3.5" style="1780" customWidth="1"/>
    <col min="13058" max="13058" width="30.83203125" style="1780" customWidth="1"/>
    <col min="13059" max="13059" width="18.1640625" style="1780" customWidth="1"/>
    <col min="13060" max="13060" width="13" style="1780" customWidth="1"/>
    <col min="13061" max="13061" width="13.1640625" style="1780" customWidth="1"/>
    <col min="13062" max="13062" width="13.83203125" style="1780" customWidth="1"/>
    <col min="13063" max="13063" width="13.6640625" style="1780" customWidth="1"/>
    <col min="13064" max="13064" width="11.5" style="1780" customWidth="1"/>
    <col min="13065" max="13065" width="11" style="1780" customWidth="1"/>
    <col min="13066" max="13066" width="11.83203125" style="1780" customWidth="1"/>
    <col min="13067" max="13067" width="13.33203125" style="1780" customWidth="1"/>
    <col min="13068" max="13068" width="14.1640625" style="1780" customWidth="1"/>
    <col min="13069" max="13069" width="9.33203125" style="1780"/>
    <col min="13070" max="13070" width="53" style="1780" customWidth="1"/>
    <col min="13071" max="13071" width="24.5" style="1780" customWidth="1"/>
    <col min="13072" max="13072" width="18" style="1780" customWidth="1"/>
    <col min="13073" max="13073" width="13.83203125" style="1780" customWidth="1"/>
    <col min="13074" max="13074" width="14.1640625" style="1780" customWidth="1"/>
    <col min="13075" max="13075" width="14" style="1780" customWidth="1"/>
    <col min="13076" max="13312" width="9.33203125" style="1780"/>
    <col min="13313" max="13313" width="3.5" style="1780" customWidth="1"/>
    <col min="13314" max="13314" width="30.83203125" style="1780" customWidth="1"/>
    <col min="13315" max="13315" width="18.1640625" style="1780" customWidth="1"/>
    <col min="13316" max="13316" width="13" style="1780" customWidth="1"/>
    <col min="13317" max="13317" width="13.1640625" style="1780" customWidth="1"/>
    <col min="13318" max="13318" width="13.83203125" style="1780" customWidth="1"/>
    <col min="13319" max="13319" width="13.6640625" style="1780" customWidth="1"/>
    <col min="13320" max="13320" width="11.5" style="1780" customWidth="1"/>
    <col min="13321" max="13321" width="11" style="1780" customWidth="1"/>
    <col min="13322" max="13322" width="11.83203125" style="1780" customWidth="1"/>
    <col min="13323" max="13323" width="13.33203125" style="1780" customWidth="1"/>
    <col min="13324" max="13324" width="14.1640625" style="1780" customWidth="1"/>
    <col min="13325" max="13325" width="9.33203125" style="1780"/>
    <col min="13326" max="13326" width="53" style="1780" customWidth="1"/>
    <col min="13327" max="13327" width="24.5" style="1780" customWidth="1"/>
    <col min="13328" max="13328" width="18" style="1780" customWidth="1"/>
    <col min="13329" max="13329" width="13.83203125" style="1780" customWidth="1"/>
    <col min="13330" max="13330" width="14.1640625" style="1780" customWidth="1"/>
    <col min="13331" max="13331" width="14" style="1780" customWidth="1"/>
    <col min="13332" max="13568" width="9.33203125" style="1780"/>
    <col min="13569" max="13569" width="3.5" style="1780" customWidth="1"/>
    <col min="13570" max="13570" width="30.83203125" style="1780" customWidth="1"/>
    <col min="13571" max="13571" width="18.1640625" style="1780" customWidth="1"/>
    <col min="13572" max="13572" width="13" style="1780" customWidth="1"/>
    <col min="13573" max="13573" width="13.1640625" style="1780" customWidth="1"/>
    <col min="13574" max="13574" width="13.83203125" style="1780" customWidth="1"/>
    <col min="13575" max="13575" width="13.6640625" style="1780" customWidth="1"/>
    <col min="13576" max="13576" width="11.5" style="1780" customWidth="1"/>
    <col min="13577" max="13577" width="11" style="1780" customWidth="1"/>
    <col min="13578" max="13578" width="11.83203125" style="1780" customWidth="1"/>
    <col min="13579" max="13579" width="13.33203125" style="1780" customWidth="1"/>
    <col min="13580" max="13580" width="14.1640625" style="1780" customWidth="1"/>
    <col min="13581" max="13581" width="9.33203125" style="1780"/>
    <col min="13582" max="13582" width="53" style="1780" customWidth="1"/>
    <col min="13583" max="13583" width="24.5" style="1780" customWidth="1"/>
    <col min="13584" max="13584" width="18" style="1780" customWidth="1"/>
    <col min="13585" max="13585" width="13.83203125" style="1780" customWidth="1"/>
    <col min="13586" max="13586" width="14.1640625" style="1780" customWidth="1"/>
    <col min="13587" max="13587" width="14" style="1780" customWidth="1"/>
    <col min="13588" max="13824" width="9.33203125" style="1780"/>
    <col min="13825" max="13825" width="3.5" style="1780" customWidth="1"/>
    <col min="13826" max="13826" width="30.83203125" style="1780" customWidth="1"/>
    <col min="13827" max="13827" width="18.1640625" style="1780" customWidth="1"/>
    <col min="13828" max="13828" width="13" style="1780" customWidth="1"/>
    <col min="13829" max="13829" width="13.1640625" style="1780" customWidth="1"/>
    <col min="13830" max="13830" width="13.83203125" style="1780" customWidth="1"/>
    <col min="13831" max="13831" width="13.6640625" style="1780" customWidth="1"/>
    <col min="13832" max="13832" width="11.5" style="1780" customWidth="1"/>
    <col min="13833" max="13833" width="11" style="1780" customWidth="1"/>
    <col min="13834" max="13834" width="11.83203125" style="1780" customWidth="1"/>
    <col min="13835" max="13835" width="13.33203125" style="1780" customWidth="1"/>
    <col min="13836" max="13836" width="14.1640625" style="1780" customWidth="1"/>
    <col min="13837" max="13837" width="9.33203125" style="1780"/>
    <col min="13838" max="13838" width="53" style="1780" customWidth="1"/>
    <col min="13839" max="13839" width="24.5" style="1780" customWidth="1"/>
    <col min="13840" max="13840" width="18" style="1780" customWidth="1"/>
    <col min="13841" max="13841" width="13.83203125" style="1780" customWidth="1"/>
    <col min="13842" max="13842" width="14.1640625" style="1780" customWidth="1"/>
    <col min="13843" max="13843" width="14" style="1780" customWidth="1"/>
    <col min="13844" max="14080" width="9.33203125" style="1780"/>
    <col min="14081" max="14081" width="3.5" style="1780" customWidth="1"/>
    <col min="14082" max="14082" width="30.83203125" style="1780" customWidth="1"/>
    <col min="14083" max="14083" width="18.1640625" style="1780" customWidth="1"/>
    <col min="14084" max="14084" width="13" style="1780" customWidth="1"/>
    <col min="14085" max="14085" width="13.1640625" style="1780" customWidth="1"/>
    <col min="14086" max="14086" width="13.83203125" style="1780" customWidth="1"/>
    <col min="14087" max="14087" width="13.6640625" style="1780" customWidth="1"/>
    <col min="14088" max="14088" width="11.5" style="1780" customWidth="1"/>
    <col min="14089" max="14089" width="11" style="1780" customWidth="1"/>
    <col min="14090" max="14090" width="11.83203125" style="1780" customWidth="1"/>
    <col min="14091" max="14091" width="13.33203125" style="1780" customWidth="1"/>
    <col min="14092" max="14092" width="14.1640625" style="1780" customWidth="1"/>
    <col min="14093" max="14093" width="9.33203125" style="1780"/>
    <col min="14094" max="14094" width="53" style="1780" customWidth="1"/>
    <col min="14095" max="14095" width="24.5" style="1780" customWidth="1"/>
    <col min="14096" max="14096" width="18" style="1780" customWidth="1"/>
    <col min="14097" max="14097" width="13.83203125" style="1780" customWidth="1"/>
    <col min="14098" max="14098" width="14.1640625" style="1780" customWidth="1"/>
    <col min="14099" max="14099" width="14" style="1780" customWidth="1"/>
    <col min="14100" max="14336" width="9.33203125" style="1780"/>
    <col min="14337" max="14337" width="3.5" style="1780" customWidth="1"/>
    <col min="14338" max="14338" width="30.83203125" style="1780" customWidth="1"/>
    <col min="14339" max="14339" width="18.1640625" style="1780" customWidth="1"/>
    <col min="14340" max="14340" width="13" style="1780" customWidth="1"/>
    <col min="14341" max="14341" width="13.1640625" style="1780" customWidth="1"/>
    <col min="14342" max="14342" width="13.83203125" style="1780" customWidth="1"/>
    <col min="14343" max="14343" width="13.6640625" style="1780" customWidth="1"/>
    <col min="14344" max="14344" width="11.5" style="1780" customWidth="1"/>
    <col min="14345" max="14345" width="11" style="1780" customWidth="1"/>
    <col min="14346" max="14346" width="11.83203125" style="1780" customWidth="1"/>
    <col min="14347" max="14347" width="13.33203125" style="1780" customWidth="1"/>
    <col min="14348" max="14348" width="14.1640625" style="1780" customWidth="1"/>
    <col min="14349" max="14349" width="9.33203125" style="1780"/>
    <col min="14350" max="14350" width="53" style="1780" customWidth="1"/>
    <col min="14351" max="14351" width="24.5" style="1780" customWidth="1"/>
    <col min="14352" max="14352" width="18" style="1780" customWidth="1"/>
    <col min="14353" max="14353" width="13.83203125" style="1780" customWidth="1"/>
    <col min="14354" max="14354" width="14.1640625" style="1780" customWidth="1"/>
    <col min="14355" max="14355" width="14" style="1780" customWidth="1"/>
    <col min="14356" max="14592" width="9.33203125" style="1780"/>
    <col min="14593" max="14593" width="3.5" style="1780" customWidth="1"/>
    <col min="14594" max="14594" width="30.83203125" style="1780" customWidth="1"/>
    <col min="14595" max="14595" width="18.1640625" style="1780" customWidth="1"/>
    <col min="14596" max="14596" width="13" style="1780" customWidth="1"/>
    <col min="14597" max="14597" width="13.1640625" style="1780" customWidth="1"/>
    <col min="14598" max="14598" width="13.83203125" style="1780" customWidth="1"/>
    <col min="14599" max="14599" width="13.6640625" style="1780" customWidth="1"/>
    <col min="14600" max="14600" width="11.5" style="1780" customWidth="1"/>
    <col min="14601" max="14601" width="11" style="1780" customWidth="1"/>
    <col min="14602" max="14602" width="11.83203125" style="1780" customWidth="1"/>
    <col min="14603" max="14603" width="13.33203125" style="1780" customWidth="1"/>
    <col min="14604" max="14604" width="14.1640625" style="1780" customWidth="1"/>
    <col min="14605" max="14605" width="9.33203125" style="1780"/>
    <col min="14606" max="14606" width="53" style="1780" customWidth="1"/>
    <col min="14607" max="14607" width="24.5" style="1780" customWidth="1"/>
    <col min="14608" max="14608" width="18" style="1780" customWidth="1"/>
    <col min="14609" max="14609" width="13.83203125" style="1780" customWidth="1"/>
    <col min="14610" max="14610" width="14.1640625" style="1780" customWidth="1"/>
    <col min="14611" max="14611" width="14" style="1780" customWidth="1"/>
    <col min="14612" max="14848" width="9.33203125" style="1780"/>
    <col min="14849" max="14849" width="3.5" style="1780" customWidth="1"/>
    <col min="14850" max="14850" width="30.83203125" style="1780" customWidth="1"/>
    <col min="14851" max="14851" width="18.1640625" style="1780" customWidth="1"/>
    <col min="14852" max="14852" width="13" style="1780" customWidth="1"/>
    <col min="14853" max="14853" width="13.1640625" style="1780" customWidth="1"/>
    <col min="14854" max="14854" width="13.83203125" style="1780" customWidth="1"/>
    <col min="14855" max="14855" width="13.6640625" style="1780" customWidth="1"/>
    <col min="14856" max="14856" width="11.5" style="1780" customWidth="1"/>
    <col min="14857" max="14857" width="11" style="1780" customWidth="1"/>
    <col min="14858" max="14858" width="11.83203125" style="1780" customWidth="1"/>
    <col min="14859" max="14859" width="13.33203125" style="1780" customWidth="1"/>
    <col min="14860" max="14860" width="14.1640625" style="1780" customWidth="1"/>
    <col min="14861" max="14861" width="9.33203125" style="1780"/>
    <col min="14862" max="14862" width="53" style="1780" customWidth="1"/>
    <col min="14863" max="14863" width="24.5" style="1780" customWidth="1"/>
    <col min="14864" max="14864" width="18" style="1780" customWidth="1"/>
    <col min="14865" max="14865" width="13.83203125" style="1780" customWidth="1"/>
    <col min="14866" max="14866" width="14.1640625" style="1780" customWidth="1"/>
    <col min="14867" max="14867" width="14" style="1780" customWidth="1"/>
    <col min="14868" max="15104" width="9.33203125" style="1780"/>
    <col min="15105" max="15105" width="3.5" style="1780" customWidth="1"/>
    <col min="15106" max="15106" width="30.83203125" style="1780" customWidth="1"/>
    <col min="15107" max="15107" width="18.1640625" style="1780" customWidth="1"/>
    <col min="15108" max="15108" width="13" style="1780" customWidth="1"/>
    <col min="15109" max="15109" width="13.1640625" style="1780" customWidth="1"/>
    <col min="15110" max="15110" width="13.83203125" style="1780" customWidth="1"/>
    <col min="15111" max="15111" width="13.6640625" style="1780" customWidth="1"/>
    <col min="15112" max="15112" width="11.5" style="1780" customWidth="1"/>
    <col min="15113" max="15113" width="11" style="1780" customWidth="1"/>
    <col min="15114" max="15114" width="11.83203125" style="1780" customWidth="1"/>
    <col min="15115" max="15115" width="13.33203125" style="1780" customWidth="1"/>
    <col min="15116" max="15116" width="14.1640625" style="1780" customWidth="1"/>
    <col min="15117" max="15117" width="9.33203125" style="1780"/>
    <col min="15118" max="15118" width="53" style="1780" customWidth="1"/>
    <col min="15119" max="15119" width="24.5" style="1780" customWidth="1"/>
    <col min="15120" max="15120" width="18" style="1780" customWidth="1"/>
    <col min="15121" max="15121" width="13.83203125" style="1780" customWidth="1"/>
    <col min="15122" max="15122" width="14.1640625" style="1780" customWidth="1"/>
    <col min="15123" max="15123" width="14" style="1780" customWidth="1"/>
    <col min="15124" max="15360" width="9.33203125" style="1780"/>
    <col min="15361" max="15361" width="3.5" style="1780" customWidth="1"/>
    <col min="15362" max="15362" width="30.83203125" style="1780" customWidth="1"/>
    <col min="15363" max="15363" width="18.1640625" style="1780" customWidth="1"/>
    <col min="15364" max="15364" width="13" style="1780" customWidth="1"/>
    <col min="15365" max="15365" width="13.1640625" style="1780" customWidth="1"/>
    <col min="15366" max="15366" width="13.83203125" style="1780" customWidth="1"/>
    <col min="15367" max="15367" width="13.6640625" style="1780" customWidth="1"/>
    <col min="15368" max="15368" width="11.5" style="1780" customWidth="1"/>
    <col min="15369" max="15369" width="11" style="1780" customWidth="1"/>
    <col min="15370" max="15370" width="11.83203125" style="1780" customWidth="1"/>
    <col min="15371" max="15371" width="13.33203125" style="1780" customWidth="1"/>
    <col min="15372" max="15372" width="14.1640625" style="1780" customWidth="1"/>
    <col min="15373" max="15373" width="9.33203125" style="1780"/>
    <col min="15374" max="15374" width="53" style="1780" customWidth="1"/>
    <col min="15375" max="15375" width="24.5" style="1780" customWidth="1"/>
    <col min="15376" max="15376" width="18" style="1780" customWidth="1"/>
    <col min="15377" max="15377" width="13.83203125" style="1780" customWidth="1"/>
    <col min="15378" max="15378" width="14.1640625" style="1780" customWidth="1"/>
    <col min="15379" max="15379" width="14" style="1780" customWidth="1"/>
    <col min="15380" max="15616" width="9.33203125" style="1780"/>
    <col min="15617" max="15617" width="3.5" style="1780" customWidth="1"/>
    <col min="15618" max="15618" width="30.83203125" style="1780" customWidth="1"/>
    <col min="15619" max="15619" width="18.1640625" style="1780" customWidth="1"/>
    <col min="15620" max="15620" width="13" style="1780" customWidth="1"/>
    <col min="15621" max="15621" width="13.1640625" style="1780" customWidth="1"/>
    <col min="15622" max="15622" width="13.83203125" style="1780" customWidth="1"/>
    <col min="15623" max="15623" width="13.6640625" style="1780" customWidth="1"/>
    <col min="15624" max="15624" width="11.5" style="1780" customWidth="1"/>
    <col min="15625" max="15625" width="11" style="1780" customWidth="1"/>
    <col min="15626" max="15626" width="11.83203125" style="1780" customWidth="1"/>
    <col min="15627" max="15627" width="13.33203125" style="1780" customWidth="1"/>
    <col min="15628" max="15628" width="14.1640625" style="1780" customWidth="1"/>
    <col min="15629" max="15629" width="9.33203125" style="1780"/>
    <col min="15630" max="15630" width="53" style="1780" customWidth="1"/>
    <col min="15631" max="15631" width="24.5" style="1780" customWidth="1"/>
    <col min="15632" max="15632" width="18" style="1780" customWidth="1"/>
    <col min="15633" max="15633" width="13.83203125" style="1780" customWidth="1"/>
    <col min="15634" max="15634" width="14.1640625" style="1780" customWidth="1"/>
    <col min="15635" max="15635" width="14" style="1780" customWidth="1"/>
    <col min="15636" max="15872" width="9.33203125" style="1780"/>
    <col min="15873" max="15873" width="3.5" style="1780" customWidth="1"/>
    <col min="15874" max="15874" width="30.83203125" style="1780" customWidth="1"/>
    <col min="15875" max="15875" width="18.1640625" style="1780" customWidth="1"/>
    <col min="15876" max="15876" width="13" style="1780" customWidth="1"/>
    <col min="15877" max="15877" width="13.1640625" style="1780" customWidth="1"/>
    <col min="15878" max="15878" width="13.83203125" style="1780" customWidth="1"/>
    <col min="15879" max="15879" width="13.6640625" style="1780" customWidth="1"/>
    <col min="15880" max="15880" width="11.5" style="1780" customWidth="1"/>
    <col min="15881" max="15881" width="11" style="1780" customWidth="1"/>
    <col min="15882" max="15882" width="11.83203125" style="1780" customWidth="1"/>
    <col min="15883" max="15883" width="13.33203125" style="1780" customWidth="1"/>
    <col min="15884" max="15884" width="14.1640625" style="1780" customWidth="1"/>
    <col min="15885" max="15885" width="9.33203125" style="1780"/>
    <col min="15886" max="15886" width="53" style="1780" customWidth="1"/>
    <col min="15887" max="15887" width="24.5" style="1780" customWidth="1"/>
    <col min="15888" max="15888" width="18" style="1780" customWidth="1"/>
    <col min="15889" max="15889" width="13.83203125" style="1780" customWidth="1"/>
    <col min="15890" max="15890" width="14.1640625" style="1780" customWidth="1"/>
    <col min="15891" max="15891" width="14" style="1780" customWidth="1"/>
    <col min="15892" max="16128" width="9.33203125" style="1780"/>
    <col min="16129" max="16129" width="3.5" style="1780" customWidth="1"/>
    <col min="16130" max="16130" width="30.83203125" style="1780" customWidth="1"/>
    <col min="16131" max="16131" width="18.1640625" style="1780" customWidth="1"/>
    <col min="16132" max="16132" width="13" style="1780" customWidth="1"/>
    <col min="16133" max="16133" width="13.1640625" style="1780" customWidth="1"/>
    <col min="16134" max="16134" width="13.83203125" style="1780" customWidth="1"/>
    <col min="16135" max="16135" width="13.6640625" style="1780" customWidth="1"/>
    <col min="16136" max="16136" width="11.5" style="1780" customWidth="1"/>
    <col min="16137" max="16137" width="11" style="1780" customWidth="1"/>
    <col min="16138" max="16138" width="11.83203125" style="1780" customWidth="1"/>
    <col min="16139" max="16139" width="13.33203125" style="1780" customWidth="1"/>
    <col min="16140" max="16140" width="14.1640625" style="1780" customWidth="1"/>
    <col min="16141" max="16141" width="9.33203125" style="1780"/>
    <col min="16142" max="16142" width="53" style="1780" customWidth="1"/>
    <col min="16143" max="16143" width="24.5" style="1780" customWidth="1"/>
    <col min="16144" max="16144" width="18" style="1780" customWidth="1"/>
    <col min="16145" max="16145" width="13.83203125" style="1780" customWidth="1"/>
    <col min="16146" max="16146" width="14.1640625" style="1780" customWidth="1"/>
    <col min="16147" max="16147" width="14" style="1780" customWidth="1"/>
    <col min="16148" max="16384" width="9.33203125" style="1780"/>
  </cols>
  <sheetData>
    <row r="1" spans="1:15" ht="18.75" x14ac:dyDescent="0.3">
      <c r="A1" s="3444" t="s">
        <v>1650</v>
      </c>
      <c r="B1" s="3444"/>
      <c r="C1" s="3444"/>
      <c r="D1" s="3444"/>
      <c r="E1" s="3444"/>
      <c r="F1" s="3444"/>
      <c r="G1" s="3444"/>
      <c r="H1" s="3444"/>
      <c r="I1" s="3444"/>
      <c r="J1" s="3444"/>
    </row>
    <row r="3" spans="1:15" s="1781" customFormat="1" ht="15" customHeight="1" x14ac:dyDescent="0.25">
      <c r="A3" s="3445" t="s">
        <v>1651</v>
      </c>
      <c r="B3" s="3445"/>
      <c r="C3" s="3445"/>
      <c r="D3" s="3445"/>
      <c r="E3" s="3445"/>
      <c r="F3" s="3445"/>
      <c r="G3" s="3445"/>
      <c r="H3" s="3445"/>
      <c r="I3" s="3445"/>
      <c r="J3" s="3445"/>
      <c r="K3" s="3445"/>
    </row>
    <row r="4" spans="1:15" s="1781" customFormat="1" ht="15" hidden="1" x14ac:dyDescent="0.25">
      <c r="A4" s="1782"/>
      <c r="B4" s="1783"/>
      <c r="C4" s="1783"/>
    </row>
    <row r="5" spans="1:15" s="1781" customFormat="1" ht="48.75" customHeight="1" x14ac:dyDescent="0.25">
      <c r="A5" s="3447" t="s">
        <v>1663</v>
      </c>
      <c r="B5" s="3447"/>
      <c r="C5" s="3447"/>
      <c r="D5" s="3447"/>
      <c r="E5" s="3447"/>
      <c r="F5" s="3447"/>
      <c r="G5" s="3447"/>
      <c r="H5" s="3447"/>
      <c r="I5" s="3447"/>
      <c r="J5" s="1821"/>
      <c r="K5" s="1821"/>
      <c r="N5" s="1784" t="s">
        <v>1432</v>
      </c>
      <c r="O5" s="1784" t="s">
        <v>1466</v>
      </c>
    </row>
    <row r="6" spans="1:15" s="1785" customFormat="1" ht="18.75" x14ac:dyDescent="0.25">
      <c r="A6" s="3448" t="s">
        <v>1659</v>
      </c>
      <c r="B6" s="3448"/>
      <c r="C6" s="3448"/>
      <c r="D6" s="3448"/>
      <c r="E6" s="3448"/>
      <c r="F6" s="3448"/>
      <c r="G6" s="3448"/>
      <c r="H6" s="3448"/>
      <c r="I6" s="3448"/>
      <c r="K6" s="1787"/>
      <c r="N6" s="1788" t="s">
        <v>1429</v>
      </c>
      <c r="O6" s="1789">
        <f>11000*2</f>
        <v>22000</v>
      </c>
    </row>
    <row r="7" spans="1:15" s="1791" customFormat="1" x14ac:dyDescent="0.2">
      <c r="A7" s="1782"/>
      <c r="B7" s="1792"/>
      <c r="C7" s="1792"/>
      <c r="D7" s="1793"/>
      <c r="E7" s="1793"/>
      <c r="F7" s="1793"/>
      <c r="G7" s="1793"/>
      <c r="H7" s="1793"/>
      <c r="I7" s="1786" t="s">
        <v>1652</v>
      </c>
      <c r="J7" s="1794"/>
      <c r="K7" s="1794"/>
    </row>
    <row r="8" spans="1:15" s="1795" customFormat="1" ht="18.75" customHeight="1" x14ac:dyDescent="0.2">
      <c r="A8" s="3456" t="s">
        <v>191</v>
      </c>
      <c r="B8" s="3449" t="s">
        <v>1447</v>
      </c>
      <c r="C8" s="3449" t="s">
        <v>1654</v>
      </c>
      <c r="D8" s="3449" t="s">
        <v>1655</v>
      </c>
      <c r="E8" s="3451">
        <v>2019</v>
      </c>
      <c r="F8" s="3452"/>
      <c r="G8" s="3453" t="s">
        <v>1656</v>
      </c>
      <c r="H8" s="3454"/>
      <c r="I8" s="3455"/>
    </row>
    <row r="9" spans="1:15" s="1795" customFormat="1" ht="15.75" customHeight="1" x14ac:dyDescent="0.2">
      <c r="A9" s="3457"/>
      <c r="B9" s="3450"/>
      <c r="C9" s="3450"/>
      <c r="D9" s="3450"/>
      <c r="E9" s="1790" t="s">
        <v>331</v>
      </c>
      <c r="F9" s="1790" t="s">
        <v>449</v>
      </c>
      <c r="G9" s="1796" t="s">
        <v>1657</v>
      </c>
      <c r="H9" s="1796" t="s">
        <v>1313</v>
      </c>
      <c r="I9" s="1796" t="s">
        <v>1314</v>
      </c>
    </row>
    <row r="10" spans="1:15" ht="25.5" x14ac:dyDescent="0.2">
      <c r="A10" s="1803">
        <v>1</v>
      </c>
      <c r="B10" s="1804" t="s">
        <v>1659</v>
      </c>
      <c r="C10" s="1797"/>
      <c r="D10" s="1805"/>
      <c r="E10" s="1805"/>
      <c r="F10" s="1805"/>
      <c r="G10" s="1805"/>
      <c r="H10" s="1805"/>
      <c r="I10" s="1805"/>
    </row>
    <row r="11" spans="1:15" s="361" customFormat="1" ht="24.75" customHeight="1" x14ac:dyDescent="0.2">
      <c r="A11" s="1801"/>
      <c r="B11" s="1799" t="s">
        <v>1660</v>
      </c>
      <c r="C11" s="1806" t="s">
        <v>1658</v>
      </c>
      <c r="D11" s="1800">
        <v>38000</v>
      </c>
      <c r="E11" s="1800">
        <v>34000</v>
      </c>
      <c r="F11" s="1800">
        <v>30040</v>
      </c>
      <c r="G11" s="1800">
        <v>38000</v>
      </c>
      <c r="H11" s="1800"/>
      <c r="I11" s="1800"/>
    </row>
    <row r="12" spans="1:15" x14ac:dyDescent="0.2">
      <c r="A12" s="1801"/>
      <c r="B12" s="1802" t="s">
        <v>444</v>
      </c>
      <c r="C12" s="1806"/>
      <c r="D12" s="1800"/>
      <c r="E12" s="1807">
        <f>SUM(E11:E11)</f>
        <v>34000</v>
      </c>
      <c r="F12" s="1807">
        <f>SUM(F11:F11)</f>
        <v>30040</v>
      </c>
      <c r="G12" s="1807">
        <f>SUM(G11:G11)</f>
        <v>38000</v>
      </c>
      <c r="H12" s="1807">
        <f>SUM(H11:H11)</f>
        <v>0</v>
      </c>
      <c r="I12" s="1807">
        <f>SUM(I11:I11)</f>
        <v>0</v>
      </c>
      <c r="K12" s="1780">
        <v>34000</v>
      </c>
      <c r="L12" s="1808">
        <f>E12-K12</f>
        <v>0</v>
      </c>
    </row>
    <row r="13" spans="1:15" ht="28.5" customHeight="1" x14ac:dyDescent="0.2">
      <c r="E13" s="1810"/>
      <c r="F13" s="1811"/>
      <c r="G13" s="1810"/>
    </row>
    <row r="14" spans="1:15" s="1781" customFormat="1" ht="23.25" customHeight="1" x14ac:dyDescent="0.25">
      <c r="A14" s="3446" t="s">
        <v>445</v>
      </c>
      <c r="B14" s="3446"/>
      <c r="C14" s="3446"/>
      <c r="D14" s="3446"/>
      <c r="E14" s="1812"/>
      <c r="F14" s="1813"/>
      <c r="H14" s="1814" t="s">
        <v>176</v>
      </c>
    </row>
    <row r="15" spans="1:15" s="1781" customFormat="1" ht="12" customHeight="1" x14ac:dyDescent="0.25">
      <c r="A15" s="1783"/>
      <c r="B15" s="1783"/>
      <c r="C15" s="1783"/>
      <c r="D15" s="1783"/>
      <c r="F15" s="1783"/>
      <c r="I15" s="1814"/>
    </row>
    <row r="17" spans="2:7" x14ac:dyDescent="0.2">
      <c r="B17" s="1780" t="s">
        <v>1661</v>
      </c>
    </row>
    <row r="18" spans="2:7" x14ac:dyDescent="0.2">
      <c r="B18" s="1780" t="s">
        <v>1662</v>
      </c>
    </row>
    <row r="21" spans="2:7" x14ac:dyDescent="0.2">
      <c r="B21" s="1815"/>
      <c r="C21" s="1815"/>
      <c r="D21" s="1815"/>
      <c r="E21" s="1798"/>
      <c r="F21" s="1798"/>
      <c r="G21" s="1808"/>
    </row>
    <row r="22" spans="2:7" x14ac:dyDescent="0.2">
      <c r="B22" s="1816"/>
      <c r="C22" s="1817"/>
      <c r="D22" s="1818"/>
      <c r="E22" s="1798"/>
      <c r="F22" s="1798"/>
    </row>
    <row r="23" spans="2:7" x14ac:dyDescent="0.2">
      <c r="B23" s="1816"/>
      <c r="C23" s="1817"/>
      <c r="D23" s="1818"/>
      <c r="E23" s="1798"/>
      <c r="F23" s="1798"/>
    </row>
    <row r="24" spans="2:7" x14ac:dyDescent="0.2">
      <c r="B24" s="1816"/>
      <c r="C24" s="1817"/>
      <c r="D24" s="1818"/>
      <c r="E24" s="1798"/>
      <c r="F24" s="1798"/>
    </row>
    <row r="25" spans="2:7" x14ac:dyDescent="0.2">
      <c r="B25" s="1816"/>
      <c r="C25" s="1817"/>
      <c r="D25" s="1818"/>
      <c r="E25" s="1798"/>
      <c r="F25" s="1798"/>
    </row>
    <row r="26" spans="2:7" x14ac:dyDescent="0.2">
      <c r="B26" s="1816"/>
      <c r="C26" s="1817"/>
      <c r="D26" s="1818"/>
      <c r="E26" s="1798"/>
      <c r="F26" s="1798"/>
    </row>
    <row r="27" spans="2:7" x14ac:dyDescent="0.2">
      <c r="B27" s="1816"/>
      <c r="C27" s="1817"/>
      <c r="D27" s="1818"/>
      <c r="E27" s="1798"/>
      <c r="F27" s="1798"/>
    </row>
    <row r="28" spans="2:7" x14ac:dyDescent="0.2">
      <c r="B28" s="1816"/>
      <c r="C28" s="1817"/>
      <c r="D28" s="1818"/>
      <c r="E28" s="1798"/>
      <c r="F28" s="1798"/>
    </row>
    <row r="29" spans="2:7" x14ac:dyDescent="0.2">
      <c r="B29" s="1816"/>
      <c r="C29" s="1817"/>
      <c r="D29" s="1818"/>
      <c r="E29" s="1798"/>
      <c r="F29" s="1798"/>
    </row>
    <row r="30" spans="2:7" x14ac:dyDescent="0.2">
      <c r="B30" s="1816"/>
      <c r="C30" s="1818"/>
      <c r="D30" s="1798"/>
      <c r="E30" s="1798"/>
      <c r="F30" s="1798"/>
    </row>
    <row r="31" spans="2:7" x14ac:dyDescent="0.2">
      <c r="B31" s="1816"/>
      <c r="C31" s="1818"/>
      <c r="D31" s="1798"/>
      <c r="E31" s="1798"/>
      <c r="F31" s="1798"/>
    </row>
    <row r="32" spans="2:7" x14ac:dyDescent="0.2">
      <c r="B32" s="1819"/>
      <c r="C32" s="1820"/>
      <c r="D32" s="1798"/>
      <c r="E32" s="1798"/>
      <c r="F32" s="1798"/>
    </row>
    <row r="33" spans="2:4" x14ac:dyDescent="0.2">
      <c r="B33" s="1798"/>
      <c r="C33" s="1798"/>
      <c r="D33" s="1798"/>
    </row>
  </sheetData>
  <mergeCells count="11">
    <mergeCell ref="A1:J1"/>
    <mergeCell ref="A3:K3"/>
    <mergeCell ref="A14:D14"/>
    <mergeCell ref="A5:I5"/>
    <mergeCell ref="A6:I6"/>
    <mergeCell ref="C8:C9"/>
    <mergeCell ref="D8:D9"/>
    <mergeCell ref="E8:F8"/>
    <mergeCell ref="G8:I8"/>
    <mergeCell ref="A8:A9"/>
    <mergeCell ref="B8:B9"/>
  </mergeCells>
  <pageMargins left="0.62992125984251968" right="0.23622047244094491" top="0.55118110236220474" bottom="0.15748031496062992" header="0.55118110236220474" footer="0.51181102362204722"/>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00FFFF"/>
  </sheetPr>
  <dimension ref="A1:F14"/>
  <sheetViews>
    <sheetView view="pageBreakPreview" zoomScale="80" zoomScaleNormal="100" zoomScaleSheetLayoutView="80" workbookViewId="0">
      <selection activeCell="A11" sqref="A11"/>
    </sheetView>
  </sheetViews>
  <sheetFormatPr defaultRowHeight="39.75" customHeight="1" x14ac:dyDescent="0.25"/>
  <cols>
    <col min="1" max="1" width="81.33203125" style="380" customWidth="1"/>
    <col min="2" max="2" width="10" style="380" customWidth="1"/>
    <col min="3" max="5" width="25.83203125" style="380" customWidth="1"/>
    <col min="6" max="16384" width="9.33203125" style="380"/>
  </cols>
  <sheetData>
    <row r="1" spans="1:6" ht="55.5" customHeight="1" x14ac:dyDescent="0.25">
      <c r="A1" s="3425" t="s">
        <v>506</v>
      </c>
      <c r="B1" s="3425"/>
      <c r="C1" s="3425"/>
      <c r="D1" s="3425"/>
      <c r="E1" s="3425"/>
    </row>
    <row r="2" spans="1:6" ht="34.5" customHeight="1" x14ac:dyDescent="0.25">
      <c r="A2" s="3425" t="s">
        <v>1442</v>
      </c>
      <c r="B2" s="3425"/>
      <c r="C2" s="3425"/>
      <c r="D2" s="3425"/>
      <c r="E2" s="3425"/>
    </row>
    <row r="3" spans="1:6" ht="13.5" customHeight="1" x14ac:dyDescent="0.25">
      <c r="A3" s="381"/>
      <c r="B3" s="381"/>
      <c r="C3" s="381"/>
      <c r="D3" s="381"/>
      <c r="E3" s="382">
        <v>43831</v>
      </c>
    </row>
    <row r="4" spans="1:6" ht="39.75" customHeight="1" x14ac:dyDescent="0.25">
      <c r="A4" s="3426" t="s">
        <v>386</v>
      </c>
      <c r="B4" s="3426" t="s">
        <v>387</v>
      </c>
      <c r="C4" s="3426" t="s">
        <v>388</v>
      </c>
      <c r="D4" s="3426"/>
      <c r="E4" s="3426"/>
    </row>
    <row r="5" spans="1:6" ht="39.75" customHeight="1" x14ac:dyDescent="0.25">
      <c r="A5" s="3426"/>
      <c r="B5" s="3426"/>
      <c r="C5" s="383" t="s">
        <v>397</v>
      </c>
      <c r="D5" s="383" t="s">
        <v>398</v>
      </c>
      <c r="E5" s="383" t="s">
        <v>399</v>
      </c>
    </row>
    <row r="6" spans="1:6" ht="39.75" customHeight="1" x14ac:dyDescent="0.25">
      <c r="A6" s="3426"/>
      <c r="B6" s="3426"/>
      <c r="C6" s="383" t="s">
        <v>389</v>
      </c>
      <c r="D6" s="383" t="s">
        <v>390</v>
      </c>
      <c r="E6" s="383" t="s">
        <v>391</v>
      </c>
    </row>
    <row r="7" spans="1:6" ht="16.5" customHeight="1" x14ac:dyDescent="0.25">
      <c r="A7" s="383">
        <v>1</v>
      </c>
      <c r="B7" s="383">
        <v>2</v>
      </c>
      <c r="C7" s="383">
        <v>3</v>
      </c>
      <c r="D7" s="383">
        <v>4</v>
      </c>
      <c r="E7" s="383">
        <v>5</v>
      </c>
    </row>
    <row r="8" spans="1:6" ht="17.25" customHeight="1" x14ac:dyDescent="0.25">
      <c r="A8" s="384" t="s">
        <v>478</v>
      </c>
      <c r="B8" s="383">
        <v>100</v>
      </c>
      <c r="C8" s="385"/>
      <c r="D8" s="385"/>
      <c r="E8" s="385"/>
    </row>
    <row r="9" spans="1:6" ht="17.25" customHeight="1" x14ac:dyDescent="0.25">
      <c r="A9" s="384" t="s">
        <v>479</v>
      </c>
      <c r="B9" s="383">
        <v>200</v>
      </c>
      <c r="C9" s="385"/>
      <c r="D9" s="385"/>
      <c r="E9" s="385"/>
    </row>
    <row r="10" spans="1:6" ht="44.25" customHeight="1" x14ac:dyDescent="0.25">
      <c r="A10" s="384" t="s">
        <v>480</v>
      </c>
      <c r="B10" s="383">
        <v>300</v>
      </c>
      <c r="C10" s="385">
        <f>C11</f>
        <v>280000</v>
      </c>
      <c r="D10" s="385">
        <f t="shared" ref="D10:E10" si="0">D11</f>
        <v>280000</v>
      </c>
      <c r="E10" s="385">
        <f t="shared" si="0"/>
        <v>280000</v>
      </c>
    </row>
    <row r="11" spans="1:6" ht="104.25" customHeight="1" x14ac:dyDescent="0.25">
      <c r="A11" s="384"/>
      <c r="B11" s="383">
        <v>301</v>
      </c>
      <c r="C11" s="385">
        <f>'б-т 966 Стим-е (01.01.20)'!S218*1000</f>
        <v>280000</v>
      </c>
      <c r="D11" s="385">
        <f>'б-т 966 Стим-е (01.01.20)'!X218*1000</f>
        <v>280000</v>
      </c>
      <c r="E11" s="385">
        <f>'б-т 966 Стим-е (01.01.20)'!Y218*1000</f>
        <v>280000</v>
      </c>
      <c r="F11" s="380">
        <v>966</v>
      </c>
    </row>
    <row r="12" spans="1:6" ht="18" customHeight="1" x14ac:dyDescent="0.25">
      <c r="A12" s="384" t="s">
        <v>482</v>
      </c>
      <c r="B12" s="383">
        <v>400</v>
      </c>
      <c r="C12" s="385"/>
      <c r="D12" s="385"/>
      <c r="E12" s="385"/>
    </row>
    <row r="13" spans="1:6" ht="18" customHeight="1" x14ac:dyDescent="0.25">
      <c r="A13" s="384" t="s">
        <v>483</v>
      </c>
      <c r="B13" s="383">
        <v>500</v>
      </c>
      <c r="C13" s="385"/>
      <c r="D13" s="385"/>
      <c r="E13" s="385"/>
    </row>
    <row r="14" spans="1:6" s="389" customFormat="1" ht="66.75" customHeight="1" x14ac:dyDescent="0.2">
      <c r="A14" s="386" t="s">
        <v>509</v>
      </c>
      <c r="B14" s="387">
        <v>600</v>
      </c>
      <c r="C14" s="388">
        <f>C8-C9+C10-C12+C13</f>
        <v>280000</v>
      </c>
      <c r="D14" s="388">
        <f t="shared" ref="D14:E14" si="1">D8-D9+D10-D12+D13</f>
        <v>280000</v>
      </c>
      <c r="E14" s="388">
        <f t="shared" si="1"/>
        <v>280000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XAZ252"/>
  <sheetViews>
    <sheetView showZeros="0" view="pageBreakPreview" zoomScale="60" zoomScaleNormal="60" workbookViewId="0">
      <pane ySplit="10" topLeftCell="A11" activePane="bottomLeft" state="frozen"/>
      <selection activeCell="T17" sqref="T17"/>
      <selection pane="bottomLeft" activeCell="Y262" sqref="Y262"/>
    </sheetView>
  </sheetViews>
  <sheetFormatPr defaultColWidth="10.6640625" defaultRowHeight="15.75" x14ac:dyDescent="0.25"/>
  <cols>
    <col min="1" max="1" width="7.33203125" style="2297" customWidth="1"/>
    <col min="2" max="2" width="17.6640625" style="2530" customWidth="1"/>
    <col min="3" max="3" width="42" style="2296" customWidth="1"/>
    <col min="4" max="4" width="17" style="2527" hidden="1" customWidth="1"/>
    <col min="5" max="5" width="19.5" style="2528" hidden="1" customWidth="1"/>
    <col min="6" max="15" width="19.5" style="2527" hidden="1" customWidth="1"/>
    <col min="16" max="18" width="19.5" style="2527" customWidth="1"/>
    <col min="19" max="19" width="24.1640625" style="2527" customWidth="1"/>
    <col min="20" max="21" width="19.5" style="2527" customWidth="1"/>
    <col min="22" max="22" width="14.83203125" style="2527" customWidth="1"/>
    <col min="23" max="23" width="17.33203125" style="2527" customWidth="1"/>
    <col min="24" max="24" width="15.33203125" style="2527" customWidth="1"/>
    <col min="25" max="25" width="17" style="2527" customWidth="1"/>
    <col min="26" max="26" width="94.6640625" style="2297" customWidth="1"/>
    <col min="27" max="27" width="10.6640625" style="2296" customWidth="1"/>
    <col min="28" max="29" width="10.6640625" style="2297"/>
    <col min="30" max="30" width="13.5" style="2297" customWidth="1"/>
    <col min="31" max="34" width="10.6640625" style="2297" customWidth="1"/>
    <col min="35" max="252" width="10.6640625" style="2297"/>
    <col min="253" max="253" width="7.33203125" style="2297" customWidth="1"/>
    <col min="254" max="254" width="14.1640625" style="2297" customWidth="1"/>
    <col min="255" max="255" width="40.83203125" style="2297" customWidth="1"/>
    <col min="256" max="256" width="10.1640625" style="2297" customWidth="1"/>
    <col min="257" max="257" width="24.1640625" style="2297" customWidth="1"/>
    <col min="258" max="259" width="13.1640625" style="2297" customWidth="1"/>
    <col min="260" max="260" width="14.5" style="2297" customWidth="1"/>
    <col min="261" max="261" width="10.1640625" style="2297" customWidth="1"/>
    <col min="262" max="262" width="13.1640625" style="2297" customWidth="1"/>
    <col min="263" max="263" width="14.5" style="2297" customWidth="1"/>
    <col min="264" max="264" width="13.1640625" style="2297" customWidth="1"/>
    <col min="265" max="265" width="12.6640625" style="2297" customWidth="1"/>
    <col min="266" max="266" width="10" style="2297" bestFit="1" customWidth="1"/>
    <col min="267" max="267" width="23.1640625" style="2297" bestFit="1" customWidth="1"/>
    <col min="268" max="269" width="11.5" style="2297" bestFit="1" customWidth="1"/>
    <col min="270" max="270" width="12.33203125" style="2297" bestFit="1" customWidth="1"/>
    <col min="271" max="271" width="15.83203125" style="2297" bestFit="1" customWidth="1"/>
    <col min="272" max="272" width="13" style="2297" bestFit="1" customWidth="1"/>
    <col min="273" max="273" width="14.33203125" style="2297" bestFit="1" customWidth="1"/>
    <col min="274" max="275" width="10.6640625" style="2297" customWidth="1"/>
    <col min="276" max="276" width="17.83203125" style="2297" bestFit="1" customWidth="1"/>
    <col min="277" max="279" width="10.6640625" style="2297" customWidth="1"/>
    <col min="280" max="285" width="10.6640625" style="2297"/>
    <col min="286" max="286" width="7.33203125" style="2297" customWidth="1"/>
    <col min="287" max="290" width="10.6640625" style="2297" customWidth="1"/>
    <col min="291" max="508" width="10.6640625" style="2297"/>
    <col min="509" max="509" width="7.33203125" style="2297" customWidth="1"/>
    <col min="510" max="510" width="14.1640625" style="2297" customWidth="1"/>
    <col min="511" max="511" width="40.83203125" style="2297" customWidth="1"/>
    <col min="512" max="512" width="10.1640625" style="2297" customWidth="1"/>
    <col min="513" max="513" width="24.1640625" style="2297" customWidth="1"/>
    <col min="514" max="515" width="13.1640625" style="2297" customWidth="1"/>
    <col min="516" max="516" width="14.5" style="2297" customWidth="1"/>
    <col min="517" max="517" width="10.1640625" style="2297" customWidth="1"/>
    <col min="518" max="518" width="13.1640625" style="2297" customWidth="1"/>
    <col min="519" max="519" width="14.5" style="2297" customWidth="1"/>
    <col min="520" max="520" width="13.1640625" style="2297" customWidth="1"/>
    <col min="521" max="521" width="12.6640625" style="2297" customWidth="1"/>
    <col min="522" max="522" width="10" style="2297" bestFit="1" customWidth="1"/>
    <col min="523" max="523" width="23.1640625" style="2297" bestFit="1" customWidth="1"/>
    <col min="524" max="525" width="11.5" style="2297" bestFit="1" customWidth="1"/>
    <col min="526" max="526" width="12.33203125" style="2297" bestFit="1" customWidth="1"/>
    <col min="527" max="527" width="15.83203125" style="2297" bestFit="1" customWidth="1"/>
    <col min="528" max="528" width="13" style="2297" bestFit="1" customWidth="1"/>
    <col min="529" max="529" width="14.33203125" style="2297" bestFit="1" customWidth="1"/>
    <col min="530" max="531" width="10.6640625" style="2297" customWidth="1"/>
    <col min="532" max="532" width="17.83203125" style="2297" bestFit="1" customWidth="1"/>
    <col min="533" max="535" width="10.6640625" style="2297" customWidth="1"/>
    <col min="536" max="541" width="10.6640625" style="2297"/>
    <col min="542" max="542" width="7.33203125" style="2297" customWidth="1"/>
    <col min="543" max="546" width="10.6640625" style="2297" customWidth="1"/>
    <col min="547" max="16384" width="10.6640625" style="2297"/>
  </cols>
  <sheetData>
    <row r="1" spans="1:29" s="2290" customFormat="1" x14ac:dyDescent="0.25">
      <c r="B1" s="2291"/>
      <c r="C1" s="2292"/>
      <c r="D1" s="2293"/>
      <c r="E1" s="2294"/>
      <c r="F1" s="2293"/>
      <c r="G1" s="2293"/>
      <c r="H1" s="2293"/>
      <c r="I1" s="2295"/>
      <c r="J1" s="2293"/>
      <c r="K1" s="2295"/>
      <c r="L1" s="2295"/>
      <c r="M1" s="2295"/>
      <c r="N1" s="2293"/>
      <c r="O1" s="2295"/>
      <c r="P1" s="2295"/>
      <c r="Q1" s="2295"/>
      <c r="R1" s="2293"/>
      <c r="S1" s="2293"/>
      <c r="T1" s="2293"/>
      <c r="U1" s="2295"/>
      <c r="V1" s="2293"/>
      <c r="W1" s="2293"/>
      <c r="X1" s="2293"/>
      <c r="Y1" s="2293"/>
      <c r="AA1" s="2292"/>
    </row>
    <row r="2" spans="1:29" s="2290" customFormat="1" ht="40.5" customHeight="1" x14ac:dyDescent="0.25">
      <c r="A2" s="3458" t="s">
        <v>2183</v>
      </c>
      <c r="B2" s="3458"/>
      <c r="C2" s="3458"/>
      <c r="D2" s="3459"/>
      <c r="E2" s="3459"/>
      <c r="F2" s="3459"/>
      <c r="G2" s="3459"/>
      <c r="H2" s="3459"/>
      <c r="I2" s="3459"/>
      <c r="J2" s="3459"/>
      <c r="K2" s="3459"/>
      <c r="L2" s="3459"/>
      <c r="M2" s="3459"/>
      <c r="N2" s="3459"/>
      <c r="O2" s="3459"/>
      <c r="P2" s="3458"/>
      <c r="Q2" s="3458"/>
      <c r="R2" s="3458"/>
      <c r="S2" s="3458"/>
      <c r="T2" s="3458"/>
      <c r="U2" s="3458"/>
      <c r="V2" s="3458"/>
      <c r="W2" s="3458"/>
      <c r="X2" s="3458"/>
      <c r="Y2" s="3458"/>
      <c r="Z2" s="3458"/>
      <c r="AA2" s="2292"/>
    </row>
    <row r="3" spans="1:29" s="2290" customFormat="1" x14ac:dyDescent="0.25">
      <c r="A3" s="3459" t="s">
        <v>1442</v>
      </c>
      <c r="B3" s="3459"/>
      <c r="C3" s="3459"/>
      <c r="D3" s="3459"/>
      <c r="E3" s="3459"/>
      <c r="F3" s="3459"/>
      <c r="G3" s="3459"/>
      <c r="H3" s="3459"/>
      <c r="I3" s="3459"/>
      <c r="J3" s="3459"/>
      <c r="K3" s="3459"/>
      <c r="L3" s="3459"/>
      <c r="M3" s="3459"/>
      <c r="N3" s="3459"/>
      <c r="O3" s="3459"/>
      <c r="P3" s="3459"/>
      <c r="Q3" s="3459"/>
      <c r="R3" s="3459"/>
      <c r="S3" s="3459"/>
      <c r="T3" s="3459"/>
      <c r="U3" s="3459"/>
      <c r="V3" s="3459"/>
      <c r="W3" s="3459"/>
      <c r="X3" s="3459"/>
      <c r="Y3" s="3459"/>
      <c r="Z3" s="3459"/>
      <c r="AA3" s="2292"/>
    </row>
    <row r="4" spans="1:29" s="2290" customFormat="1" x14ac:dyDescent="0.25">
      <c r="B4" s="2291"/>
      <c r="C4" s="2292"/>
      <c r="D4" s="2293"/>
      <c r="E4" s="2294"/>
      <c r="F4" s="2293"/>
      <c r="G4" s="2293"/>
      <c r="H4" s="2293"/>
      <c r="I4" s="2295"/>
      <c r="J4" s="2293"/>
      <c r="K4" s="2295"/>
      <c r="L4" s="2295"/>
      <c r="M4" s="2295"/>
      <c r="N4" s="2293"/>
      <c r="O4" s="2295"/>
      <c r="P4" s="2295"/>
      <c r="Q4" s="2295"/>
      <c r="R4" s="2293"/>
      <c r="S4" s="2293"/>
      <c r="T4" s="2293"/>
      <c r="U4" s="2295"/>
      <c r="V4" s="2293"/>
      <c r="W4" s="2293"/>
      <c r="X4" s="2293"/>
      <c r="Y4" s="2293"/>
      <c r="Z4" s="2550">
        <v>43831</v>
      </c>
      <c r="AA4" s="2292"/>
    </row>
    <row r="5" spans="1:29" x14ac:dyDescent="0.25">
      <c r="A5" s="3496" t="s">
        <v>78</v>
      </c>
      <c r="B5" s="3501" t="s">
        <v>824</v>
      </c>
      <c r="C5" s="3496" t="s">
        <v>386</v>
      </c>
      <c r="D5" s="3504" t="s">
        <v>344</v>
      </c>
      <c r="E5" s="3505"/>
      <c r="F5" s="3505"/>
      <c r="G5" s="3506"/>
      <c r="H5" s="3474" t="s">
        <v>825</v>
      </c>
      <c r="I5" s="3475"/>
      <c r="J5" s="3475"/>
      <c r="K5" s="3475"/>
      <c r="L5" s="3475"/>
      <c r="M5" s="3475"/>
      <c r="N5" s="3475"/>
      <c r="O5" s="3495"/>
      <c r="P5" s="3494" t="s">
        <v>826</v>
      </c>
      <c r="Q5" s="3494"/>
      <c r="R5" s="3494"/>
      <c r="S5" s="3494"/>
      <c r="T5" s="3494"/>
      <c r="U5" s="3494"/>
      <c r="V5" s="3485" t="s">
        <v>718</v>
      </c>
      <c r="W5" s="3485"/>
      <c r="X5" s="3493" t="s">
        <v>178</v>
      </c>
      <c r="Y5" s="3493" t="s">
        <v>179</v>
      </c>
      <c r="Z5" s="3494" t="s">
        <v>827</v>
      </c>
    </row>
    <row r="6" spans="1:29" x14ac:dyDescent="0.25">
      <c r="A6" s="3496"/>
      <c r="B6" s="3502"/>
      <c r="C6" s="3496"/>
      <c r="D6" s="3507"/>
      <c r="E6" s="3508"/>
      <c r="F6" s="3508"/>
      <c r="G6" s="3509"/>
      <c r="H6" s="3474" t="s">
        <v>828</v>
      </c>
      <c r="I6" s="3475"/>
      <c r="J6" s="3475"/>
      <c r="K6" s="3495"/>
      <c r="L6" s="3474" t="s">
        <v>829</v>
      </c>
      <c r="M6" s="3475"/>
      <c r="N6" s="3475"/>
      <c r="O6" s="3495"/>
      <c r="P6" s="3494" t="s">
        <v>331</v>
      </c>
      <c r="Q6" s="3494"/>
      <c r="R6" s="3494"/>
      <c r="S6" s="3494"/>
      <c r="T6" s="3494"/>
      <c r="U6" s="3494"/>
      <c r="V6" s="3485"/>
      <c r="W6" s="3485"/>
      <c r="X6" s="3493"/>
      <c r="Y6" s="3493"/>
      <c r="Z6" s="3494"/>
    </row>
    <row r="7" spans="1:29" x14ac:dyDescent="0.25">
      <c r="A7" s="3496"/>
      <c r="B7" s="3502"/>
      <c r="C7" s="3496"/>
      <c r="D7" s="3496" t="s">
        <v>332</v>
      </c>
      <c r="E7" s="3510" t="s">
        <v>830</v>
      </c>
      <c r="F7" s="3500" t="s">
        <v>831</v>
      </c>
      <c r="G7" s="3500"/>
      <c r="H7" s="3496" t="s">
        <v>332</v>
      </c>
      <c r="I7" s="3497" t="s">
        <v>830</v>
      </c>
      <c r="J7" s="3500" t="s">
        <v>831</v>
      </c>
      <c r="K7" s="3500"/>
      <c r="L7" s="3496" t="s">
        <v>332</v>
      </c>
      <c r="M7" s="3497" t="s">
        <v>830</v>
      </c>
      <c r="N7" s="3500" t="s">
        <v>831</v>
      </c>
      <c r="O7" s="3500"/>
      <c r="P7" s="3496" t="s">
        <v>332</v>
      </c>
      <c r="Q7" s="3497" t="s">
        <v>830</v>
      </c>
      <c r="R7" s="3500" t="s">
        <v>831</v>
      </c>
      <c r="S7" s="3500"/>
      <c r="T7" s="3500"/>
      <c r="U7" s="3500"/>
      <c r="V7" s="3484" t="s">
        <v>832</v>
      </c>
      <c r="W7" s="3484" t="s">
        <v>833</v>
      </c>
      <c r="X7" s="3485" t="s">
        <v>494</v>
      </c>
      <c r="Y7" s="3485"/>
      <c r="Z7" s="3494"/>
      <c r="AC7" s="2298"/>
    </row>
    <row r="8" spans="1:29" x14ac:dyDescent="0.25">
      <c r="A8" s="3496"/>
      <c r="B8" s="3502"/>
      <c r="C8" s="3496"/>
      <c r="D8" s="3496"/>
      <c r="E8" s="3510"/>
      <c r="F8" s="1251"/>
      <c r="G8" s="1251"/>
      <c r="H8" s="3496"/>
      <c r="I8" s="3498"/>
      <c r="J8" s="1251"/>
      <c r="K8" s="1251"/>
      <c r="L8" s="3496"/>
      <c r="M8" s="3498"/>
      <c r="N8" s="1251"/>
      <c r="O8" s="1251"/>
      <c r="P8" s="3496"/>
      <c r="Q8" s="3498"/>
      <c r="R8" s="3486" t="s">
        <v>834</v>
      </c>
      <c r="S8" s="3488" t="s">
        <v>835</v>
      </c>
      <c r="T8" s="3489"/>
      <c r="U8" s="3490" t="s">
        <v>836</v>
      </c>
      <c r="V8" s="3484"/>
      <c r="W8" s="3484"/>
      <c r="X8" s="2299"/>
      <c r="Y8" s="2299"/>
      <c r="Z8" s="3494"/>
      <c r="AC8" s="2298"/>
    </row>
    <row r="9" spans="1:29" ht="75" x14ac:dyDescent="0.25">
      <c r="A9" s="3496"/>
      <c r="B9" s="3503"/>
      <c r="C9" s="3496"/>
      <c r="D9" s="3496"/>
      <c r="E9" s="3510"/>
      <c r="F9" s="2300" t="s">
        <v>837</v>
      </c>
      <c r="G9" s="2301" t="s">
        <v>836</v>
      </c>
      <c r="H9" s="3496"/>
      <c r="I9" s="3499"/>
      <c r="J9" s="2300" t="s">
        <v>837</v>
      </c>
      <c r="K9" s="2301" t="s">
        <v>836</v>
      </c>
      <c r="L9" s="3496"/>
      <c r="M9" s="3499"/>
      <c r="N9" s="2300" t="s">
        <v>837</v>
      </c>
      <c r="O9" s="2301" t="s">
        <v>836</v>
      </c>
      <c r="P9" s="3496"/>
      <c r="Q9" s="3499"/>
      <c r="R9" s="3487"/>
      <c r="S9" s="2300" t="s">
        <v>838</v>
      </c>
      <c r="T9" s="2300" t="s">
        <v>496</v>
      </c>
      <c r="U9" s="3491"/>
      <c r="V9" s="3484"/>
      <c r="W9" s="3484"/>
      <c r="X9" s="3492" t="s">
        <v>208</v>
      </c>
      <c r="Y9" s="3492"/>
      <c r="Z9" s="3494"/>
    </row>
    <row r="10" spans="1:29" s="2308" customFormat="1" ht="16.5" x14ac:dyDescent="0.25">
      <c r="A10" s="2302">
        <v>1</v>
      </c>
      <c r="B10" s="2302">
        <v>2</v>
      </c>
      <c r="C10" s="2302">
        <v>3</v>
      </c>
      <c r="D10" s="2302">
        <v>4</v>
      </c>
      <c r="E10" s="2303">
        <v>5</v>
      </c>
      <c r="F10" s="2304">
        <v>6</v>
      </c>
      <c r="G10" s="2302">
        <v>7</v>
      </c>
      <c r="H10" s="2302">
        <v>8</v>
      </c>
      <c r="I10" s="2302">
        <v>9</v>
      </c>
      <c r="J10" s="2304">
        <v>10</v>
      </c>
      <c r="K10" s="2302">
        <v>11</v>
      </c>
      <c r="L10" s="2302">
        <v>12</v>
      </c>
      <c r="M10" s="2302">
        <v>13</v>
      </c>
      <c r="N10" s="2304">
        <v>14</v>
      </c>
      <c r="O10" s="2302">
        <v>15</v>
      </c>
      <c r="P10" s="2302">
        <v>16</v>
      </c>
      <c r="Q10" s="2302">
        <v>17</v>
      </c>
      <c r="R10" s="2305">
        <v>18</v>
      </c>
      <c r="S10" s="2306" t="s">
        <v>839</v>
      </c>
      <c r="T10" s="2306" t="s">
        <v>840</v>
      </c>
      <c r="U10" s="2307">
        <v>19</v>
      </c>
      <c r="V10" s="2302">
        <v>20</v>
      </c>
      <c r="W10" s="2302">
        <v>21</v>
      </c>
      <c r="X10" s="2304">
        <v>22</v>
      </c>
      <c r="Y10" s="2304">
        <v>23</v>
      </c>
      <c r="Z10" s="2302">
        <v>24</v>
      </c>
      <c r="AA10" s="2296"/>
    </row>
    <row r="11" spans="1:29" ht="23.25" hidden="1" x14ac:dyDescent="0.25">
      <c r="A11" s="3472" t="s">
        <v>1444</v>
      </c>
      <c r="B11" s="3473"/>
      <c r="C11" s="3473"/>
      <c r="D11" s="3473"/>
      <c r="E11" s="3473"/>
      <c r="F11" s="3473"/>
      <c r="G11" s="3473"/>
      <c r="H11" s="3473"/>
      <c r="I11" s="3473"/>
      <c r="J11" s="3473"/>
      <c r="K11" s="3473"/>
      <c r="L11" s="3473"/>
      <c r="M11" s="3473"/>
      <c r="N11" s="3473"/>
      <c r="O11" s="3473"/>
      <c r="P11" s="3473"/>
      <c r="Q11" s="3473"/>
      <c r="R11" s="3473"/>
      <c r="S11" s="3473"/>
      <c r="T11" s="3473"/>
      <c r="U11" s="3473"/>
      <c r="V11" s="3473"/>
      <c r="W11" s="3473"/>
      <c r="X11" s="3473"/>
      <c r="Y11" s="3473"/>
      <c r="Z11" s="2309"/>
      <c r="AA11" s="2296" t="s">
        <v>1665</v>
      </c>
    </row>
    <row r="12" spans="1:29" hidden="1" x14ac:dyDescent="0.25">
      <c r="A12" s="3474" t="s">
        <v>841</v>
      </c>
      <c r="B12" s="3475"/>
      <c r="C12" s="3475"/>
      <c r="D12" s="3475"/>
      <c r="E12" s="3475"/>
      <c r="F12" s="3475"/>
      <c r="G12" s="3475"/>
      <c r="H12" s="3475"/>
      <c r="I12" s="3475"/>
      <c r="J12" s="3475"/>
      <c r="K12" s="3475"/>
      <c r="L12" s="3475"/>
      <c r="M12" s="3475"/>
      <c r="N12" s="3475"/>
      <c r="O12" s="3475"/>
      <c r="P12" s="3476"/>
      <c r="Q12" s="3476"/>
      <c r="R12" s="3476"/>
      <c r="S12" s="3476"/>
      <c r="T12" s="3476"/>
      <c r="U12" s="3476"/>
      <c r="V12" s="3476"/>
      <c r="W12" s="3476"/>
      <c r="X12" s="3476"/>
      <c r="Y12" s="3476"/>
      <c r="Z12" s="2310"/>
      <c r="AA12" s="2296" t="s">
        <v>1665</v>
      </c>
    </row>
    <row r="13" spans="1:29" s="2317" customFormat="1" ht="31.5" hidden="1" x14ac:dyDescent="0.2">
      <c r="A13" s="2311">
        <v>1</v>
      </c>
      <c r="B13" s="2311"/>
      <c r="C13" s="2312" t="s">
        <v>2060</v>
      </c>
      <c r="D13" s="2313"/>
      <c r="E13" s="2314"/>
      <c r="F13" s="2313">
        <f>F14+F17+F24+F26</f>
        <v>45.1</v>
      </c>
      <c r="G13" s="2313">
        <f>G14+G17+G24+G26</f>
        <v>0</v>
      </c>
      <c r="H13" s="2313"/>
      <c r="I13" s="2313"/>
      <c r="J13" s="2313">
        <f>J14+J17+J24+J26</f>
        <v>33.4</v>
      </c>
      <c r="K13" s="2313"/>
      <c r="L13" s="2313"/>
      <c r="M13" s="2313"/>
      <c r="N13" s="2313">
        <f>N14+N17+N24+N26</f>
        <v>33.4</v>
      </c>
      <c r="O13" s="2315"/>
      <c r="P13" s="2313">
        <f>P14+P17+P23+P26</f>
        <v>0</v>
      </c>
      <c r="Q13" s="2313">
        <f>Q14+Q17+Q23+Q26</f>
        <v>0</v>
      </c>
      <c r="R13" s="2313">
        <f>R14+R17+R24+R26+R30</f>
        <v>33.9</v>
      </c>
      <c r="S13" s="2313">
        <f>R13</f>
        <v>33.9</v>
      </c>
      <c r="T13" s="2313"/>
      <c r="U13" s="2313">
        <f>U14+U17+U23+U22+U25+U29</f>
        <v>0</v>
      </c>
      <c r="V13" s="2313">
        <f t="shared" ref="V13:V76" si="0">R13-J13</f>
        <v>0.5</v>
      </c>
      <c r="W13" s="2313">
        <f t="shared" ref="W13:W76" si="1">IFERROR((R13)/J13*100,0)</f>
        <v>101.5</v>
      </c>
      <c r="X13" s="2313">
        <f>R13</f>
        <v>33.9</v>
      </c>
      <c r="Y13" s="2313">
        <f>X13</f>
        <v>33.9</v>
      </c>
      <c r="Z13" s="2316"/>
      <c r="AA13" s="2296" t="s">
        <v>1665</v>
      </c>
    </row>
    <row r="14" spans="1:29" s="2326" customFormat="1" ht="31.5" hidden="1" x14ac:dyDescent="0.25">
      <c r="A14" s="2318"/>
      <c r="B14" s="2319">
        <v>955</v>
      </c>
      <c r="C14" s="2320" t="s">
        <v>1401</v>
      </c>
      <c r="D14" s="2321"/>
      <c r="E14" s="2322"/>
      <c r="F14" s="2323"/>
      <c r="G14" s="2323"/>
      <c r="H14" s="2321"/>
      <c r="I14" s="2323"/>
      <c r="J14" s="2323"/>
      <c r="K14" s="2323"/>
      <c r="L14" s="2321"/>
      <c r="M14" s="2323"/>
      <c r="N14" s="2323"/>
      <c r="O14" s="2324"/>
      <c r="P14" s="2323"/>
      <c r="Q14" s="2323"/>
      <c r="R14" s="2323"/>
      <c r="S14" s="2323">
        <f t="shared" ref="S14:S77" si="2">R14</f>
        <v>0</v>
      </c>
      <c r="T14" s="2323"/>
      <c r="U14" s="2323"/>
      <c r="V14" s="2323">
        <f t="shared" si="0"/>
        <v>0</v>
      </c>
      <c r="W14" s="2323">
        <f t="shared" si="1"/>
        <v>0</v>
      </c>
      <c r="X14" s="2323"/>
      <c r="Y14" s="2323"/>
      <c r="Z14" s="2325"/>
      <c r="AA14" s="2296" t="s">
        <v>1665</v>
      </c>
    </row>
    <row r="15" spans="1:29" s="2290" customFormat="1" hidden="1" x14ac:dyDescent="0.25">
      <c r="A15" s="2327"/>
      <c r="B15" s="2325"/>
      <c r="C15" s="2328" t="s">
        <v>1931</v>
      </c>
      <c r="D15" s="2329"/>
      <c r="E15" s="2330"/>
      <c r="F15" s="2331"/>
      <c r="G15" s="2331"/>
      <c r="H15" s="2329"/>
      <c r="I15" s="2331"/>
      <c r="J15" s="2331"/>
      <c r="K15" s="2331"/>
      <c r="L15" s="2329"/>
      <c r="M15" s="2331"/>
      <c r="N15" s="2331"/>
      <c r="O15" s="2332"/>
      <c r="P15" s="2331"/>
      <c r="Q15" s="2331"/>
      <c r="R15" s="2331"/>
      <c r="S15" s="2331">
        <f t="shared" si="2"/>
        <v>0</v>
      </c>
      <c r="T15" s="2331"/>
      <c r="U15" s="2331"/>
      <c r="V15" s="2333">
        <f t="shared" si="0"/>
        <v>0</v>
      </c>
      <c r="W15" s="2333">
        <f t="shared" si="1"/>
        <v>0</v>
      </c>
      <c r="X15" s="2331"/>
      <c r="Y15" s="2331"/>
      <c r="Z15" s="2334" t="s">
        <v>2061</v>
      </c>
      <c r="AA15" s="2296" t="s">
        <v>1665</v>
      </c>
    </row>
    <row r="16" spans="1:29" s="2290" customFormat="1" hidden="1" x14ac:dyDescent="0.25">
      <c r="A16" s="2327"/>
      <c r="B16" s="2325"/>
      <c r="C16" s="2328" t="s">
        <v>1234</v>
      </c>
      <c r="D16" s="2329"/>
      <c r="E16" s="2330"/>
      <c r="F16" s="2331"/>
      <c r="G16" s="2331"/>
      <c r="H16" s="2329"/>
      <c r="I16" s="2331"/>
      <c r="J16" s="2331"/>
      <c r="K16" s="2331"/>
      <c r="L16" s="2329"/>
      <c r="M16" s="2331"/>
      <c r="N16" s="2331"/>
      <c r="O16" s="2332"/>
      <c r="P16" s="2331"/>
      <c r="Q16" s="2331"/>
      <c r="R16" s="2331"/>
      <c r="S16" s="2331">
        <f t="shared" si="2"/>
        <v>0</v>
      </c>
      <c r="T16" s="2331"/>
      <c r="U16" s="2331"/>
      <c r="V16" s="2330">
        <f t="shared" si="0"/>
        <v>0</v>
      </c>
      <c r="W16" s="2330">
        <f t="shared" si="1"/>
        <v>0</v>
      </c>
      <c r="X16" s="2331"/>
      <c r="Y16" s="2331"/>
      <c r="Z16" s="2334"/>
      <c r="AA16" s="2296" t="s">
        <v>1665</v>
      </c>
    </row>
    <row r="17" spans="1:27" s="2326" customFormat="1" hidden="1" x14ac:dyDescent="0.25">
      <c r="A17" s="2318"/>
      <c r="B17" s="2319">
        <v>963</v>
      </c>
      <c r="C17" s="2320" t="s">
        <v>798</v>
      </c>
      <c r="D17" s="2321"/>
      <c r="E17" s="2322"/>
      <c r="F17" s="2323">
        <f>SUM(F19:F20)</f>
        <v>24.8</v>
      </c>
      <c r="G17" s="2323"/>
      <c r="H17" s="2321"/>
      <c r="I17" s="2323"/>
      <c r="J17" s="2323">
        <f>SUM(J19:J20)</f>
        <v>24.8</v>
      </c>
      <c r="K17" s="2323"/>
      <c r="L17" s="2321"/>
      <c r="M17" s="2323"/>
      <c r="N17" s="2323">
        <f>SUM(N19:N20)</f>
        <v>24.8</v>
      </c>
      <c r="O17" s="2324"/>
      <c r="P17" s="2323"/>
      <c r="Q17" s="2323"/>
      <c r="R17" s="2323">
        <f>SUM(R18:R22)</f>
        <v>19</v>
      </c>
      <c r="S17" s="2323">
        <f t="shared" si="2"/>
        <v>19</v>
      </c>
      <c r="T17" s="2323"/>
      <c r="U17" s="2323">
        <f>SUM(U18:U22)</f>
        <v>0</v>
      </c>
      <c r="V17" s="2323">
        <f t="shared" si="0"/>
        <v>-5.8</v>
      </c>
      <c r="W17" s="2323">
        <f t="shared" si="1"/>
        <v>76.599999999999994</v>
      </c>
      <c r="X17" s="2323">
        <f>SUM(X18:X21)</f>
        <v>24</v>
      </c>
      <c r="Y17" s="2323">
        <f>SUM(Y18:Y21)</f>
        <v>24</v>
      </c>
      <c r="Z17" s="2325"/>
      <c r="AA17" s="2296" t="s">
        <v>1665</v>
      </c>
    </row>
    <row r="18" spans="1:27" s="2326" customFormat="1" ht="30" hidden="1" x14ac:dyDescent="0.25">
      <c r="A18" s="2318"/>
      <c r="B18" s="2319"/>
      <c r="C18" s="2335" t="s">
        <v>2062</v>
      </c>
      <c r="D18" s="2329"/>
      <c r="E18" s="2330"/>
      <c r="F18" s="2331"/>
      <c r="G18" s="2331"/>
      <c r="H18" s="2329"/>
      <c r="I18" s="2331"/>
      <c r="J18" s="2331"/>
      <c r="K18" s="2331"/>
      <c r="L18" s="2329"/>
      <c r="M18" s="2331"/>
      <c r="N18" s="2331"/>
      <c r="O18" s="2332"/>
      <c r="P18" s="2331">
        <v>150</v>
      </c>
      <c r="Q18" s="2331">
        <v>100</v>
      </c>
      <c r="R18" s="2331">
        <f>(P18*Q18)/1000</f>
        <v>15</v>
      </c>
      <c r="S18" s="2331">
        <f t="shared" si="2"/>
        <v>15</v>
      </c>
      <c r="T18" s="2331"/>
      <c r="U18" s="2323"/>
      <c r="V18" s="2336">
        <f t="shared" si="0"/>
        <v>15</v>
      </c>
      <c r="W18" s="2336">
        <f t="shared" si="1"/>
        <v>0</v>
      </c>
      <c r="X18" s="2331">
        <v>15</v>
      </c>
      <c r="Y18" s="2331">
        <v>15</v>
      </c>
      <c r="Z18" s="2337" t="s">
        <v>2063</v>
      </c>
      <c r="AA18" s="2296" t="s">
        <v>1665</v>
      </c>
    </row>
    <row r="19" spans="1:27" s="2290" customFormat="1" ht="45" hidden="1" x14ac:dyDescent="0.25">
      <c r="A19" s="2327"/>
      <c r="B19" s="2325"/>
      <c r="C19" s="2335" t="s">
        <v>2064</v>
      </c>
      <c r="D19" s="2329">
        <v>33</v>
      </c>
      <c r="E19" s="2330">
        <v>200</v>
      </c>
      <c r="F19" s="2331">
        <f>D19*E19/1000</f>
        <v>6.6</v>
      </c>
      <c r="G19" s="2331"/>
      <c r="H19" s="2329">
        <v>33</v>
      </c>
      <c r="I19" s="2331">
        <v>200</v>
      </c>
      <c r="J19" s="2331">
        <f>H19*I19/1000</f>
        <v>6.6</v>
      </c>
      <c r="K19" s="2331"/>
      <c r="L19" s="2329">
        <v>33</v>
      </c>
      <c r="M19" s="2331">
        <v>200</v>
      </c>
      <c r="N19" s="2331">
        <f>L19*M19/1000</f>
        <v>6.6</v>
      </c>
      <c r="O19" s="2332"/>
      <c r="P19" s="2331"/>
      <c r="Q19" s="2331"/>
      <c r="R19" s="2331"/>
      <c r="S19" s="2331">
        <f t="shared" si="2"/>
        <v>0</v>
      </c>
      <c r="T19" s="2331"/>
      <c r="U19" s="2331"/>
      <c r="V19" s="2333">
        <f t="shared" si="0"/>
        <v>-6.6</v>
      </c>
      <c r="W19" s="2333">
        <f t="shared" si="1"/>
        <v>0</v>
      </c>
      <c r="X19" s="2331">
        <v>8</v>
      </c>
      <c r="Y19" s="2331">
        <v>8</v>
      </c>
      <c r="Z19" s="2337" t="s">
        <v>2065</v>
      </c>
      <c r="AA19" s="2296" t="s">
        <v>1665</v>
      </c>
    </row>
    <row r="20" spans="1:27" s="2290" customFormat="1" hidden="1" x14ac:dyDescent="0.25">
      <c r="A20" s="2327"/>
      <c r="B20" s="2325"/>
      <c r="C20" s="2335" t="s">
        <v>2066</v>
      </c>
      <c r="D20" s="2329">
        <v>91</v>
      </c>
      <c r="E20" s="2330">
        <v>200</v>
      </c>
      <c r="F20" s="2331">
        <v>18.2</v>
      </c>
      <c r="G20" s="2331"/>
      <c r="H20" s="2329">
        <v>91</v>
      </c>
      <c r="I20" s="2331">
        <v>200</v>
      </c>
      <c r="J20" s="2331">
        <v>18.2</v>
      </c>
      <c r="K20" s="2331"/>
      <c r="L20" s="2329">
        <v>91</v>
      </c>
      <c r="M20" s="2331">
        <v>200</v>
      </c>
      <c r="N20" s="2331">
        <v>18.2</v>
      </c>
      <c r="O20" s="2332"/>
      <c r="P20" s="2331">
        <v>40</v>
      </c>
      <c r="Q20" s="2331">
        <v>25</v>
      </c>
      <c r="R20" s="2331">
        <f t="shared" ref="R20:R28" si="3">P20*Q20/1000</f>
        <v>1</v>
      </c>
      <c r="S20" s="2331">
        <f t="shared" si="2"/>
        <v>1</v>
      </c>
      <c r="T20" s="2331"/>
      <c r="U20" s="2331"/>
      <c r="V20" s="2333">
        <f t="shared" si="0"/>
        <v>-17.2</v>
      </c>
      <c r="W20" s="2333">
        <f t="shared" si="1"/>
        <v>5.5</v>
      </c>
      <c r="X20" s="2331">
        <v>1</v>
      </c>
      <c r="Y20" s="2331">
        <v>1</v>
      </c>
      <c r="Z20" s="2337"/>
      <c r="AA20" s="2296" t="s">
        <v>1665</v>
      </c>
    </row>
    <row r="21" spans="1:27" s="2290" customFormat="1" ht="31.5" hidden="1" x14ac:dyDescent="0.25">
      <c r="A21" s="2327"/>
      <c r="B21" s="2319"/>
      <c r="C21" s="2338" t="s">
        <v>2067</v>
      </c>
      <c r="D21" s="2329"/>
      <c r="E21" s="2330"/>
      <c r="F21" s="2331"/>
      <c r="G21" s="2331"/>
      <c r="H21" s="2329"/>
      <c r="I21" s="2331"/>
      <c r="J21" s="2331"/>
      <c r="K21" s="2331"/>
      <c r="L21" s="2329"/>
      <c r="M21" s="2331"/>
      <c r="N21" s="2331"/>
      <c r="O21" s="2332"/>
      <c r="P21" s="2331">
        <v>0</v>
      </c>
      <c r="Q21" s="2331">
        <v>0</v>
      </c>
      <c r="R21" s="2331">
        <f t="shared" si="3"/>
        <v>0</v>
      </c>
      <c r="S21" s="2331">
        <f t="shared" si="2"/>
        <v>0</v>
      </c>
      <c r="T21" s="2331"/>
      <c r="U21" s="2331"/>
      <c r="V21" s="2333">
        <f t="shared" si="0"/>
        <v>0</v>
      </c>
      <c r="W21" s="2333">
        <f t="shared" si="1"/>
        <v>0</v>
      </c>
      <c r="X21" s="2331">
        <v>0</v>
      </c>
      <c r="Y21" s="2331">
        <v>0</v>
      </c>
      <c r="Z21" s="2337"/>
      <c r="AA21" s="2296" t="s">
        <v>1665</v>
      </c>
    </row>
    <row r="22" spans="1:27" s="2290" customFormat="1" ht="45" hidden="1" x14ac:dyDescent="0.25">
      <c r="A22" s="2327"/>
      <c r="B22" s="2325"/>
      <c r="C22" s="2338" t="s">
        <v>2068</v>
      </c>
      <c r="D22" s="2329"/>
      <c r="E22" s="2330"/>
      <c r="F22" s="2331"/>
      <c r="G22" s="2331"/>
      <c r="H22" s="2329"/>
      <c r="I22" s="2331"/>
      <c r="J22" s="2331"/>
      <c r="K22" s="2331"/>
      <c r="L22" s="2329"/>
      <c r="M22" s="2331"/>
      <c r="N22" s="2331"/>
      <c r="O22" s="2332"/>
      <c r="P22" s="2331">
        <v>150</v>
      </c>
      <c r="Q22" s="2331">
        <v>20</v>
      </c>
      <c r="R22" s="2331">
        <f t="shared" si="3"/>
        <v>3</v>
      </c>
      <c r="S22" s="2331">
        <f t="shared" si="2"/>
        <v>3</v>
      </c>
      <c r="T22" s="2331"/>
      <c r="U22" s="2331"/>
      <c r="V22" s="2333">
        <f t="shared" si="0"/>
        <v>3</v>
      </c>
      <c r="W22" s="2333">
        <f t="shared" si="1"/>
        <v>0</v>
      </c>
      <c r="X22" s="2331">
        <v>3</v>
      </c>
      <c r="Y22" s="2331">
        <v>3</v>
      </c>
      <c r="Z22" s="2337" t="s">
        <v>2069</v>
      </c>
      <c r="AA22" s="2296" t="s">
        <v>1665</v>
      </c>
    </row>
    <row r="23" spans="1:27" s="2290" customFormat="1" ht="31.5" hidden="1" x14ac:dyDescent="0.25">
      <c r="A23" s="2327"/>
      <c r="B23" s="2319">
        <v>963</v>
      </c>
      <c r="C23" s="2339" t="s">
        <v>1927</v>
      </c>
      <c r="D23" s="2329"/>
      <c r="E23" s="2330"/>
      <c r="F23" s="2331"/>
      <c r="G23" s="2331"/>
      <c r="H23" s="2329"/>
      <c r="I23" s="2331"/>
      <c r="J23" s="2331"/>
      <c r="K23" s="2331"/>
      <c r="L23" s="2329"/>
      <c r="M23" s="2331"/>
      <c r="N23" s="2331"/>
      <c r="O23" s="2332"/>
      <c r="P23" s="2323"/>
      <c r="Q23" s="2323"/>
      <c r="R23" s="2323"/>
      <c r="S23" s="2323">
        <f t="shared" si="2"/>
        <v>0</v>
      </c>
      <c r="T23" s="2323"/>
      <c r="U23" s="2323">
        <f>U24</f>
        <v>0</v>
      </c>
      <c r="V23" s="2323">
        <f t="shared" si="0"/>
        <v>0</v>
      </c>
      <c r="W23" s="2323">
        <f t="shared" si="1"/>
        <v>0</v>
      </c>
      <c r="X23" s="2323">
        <f>R23</f>
        <v>0</v>
      </c>
      <c r="Y23" s="2323">
        <f>X23</f>
        <v>0</v>
      </c>
      <c r="Z23" s="2337"/>
      <c r="AA23" s="2296" t="s">
        <v>1665</v>
      </c>
    </row>
    <row r="24" spans="1:27" s="2326" customFormat="1" hidden="1" x14ac:dyDescent="0.25">
      <c r="A24" s="2318"/>
      <c r="B24" s="2319">
        <v>981</v>
      </c>
      <c r="C24" s="2340" t="s">
        <v>1226</v>
      </c>
      <c r="D24" s="2321"/>
      <c r="E24" s="2322"/>
      <c r="F24" s="2323">
        <f>F25</f>
        <v>15</v>
      </c>
      <c r="G24" s="2323"/>
      <c r="H24" s="2321"/>
      <c r="I24" s="2323"/>
      <c r="J24" s="2323">
        <f>J25</f>
        <v>7.5</v>
      </c>
      <c r="K24" s="2323"/>
      <c r="L24" s="2321"/>
      <c r="M24" s="2323"/>
      <c r="N24" s="2323">
        <f>N25</f>
        <v>7.5</v>
      </c>
      <c r="O24" s="2324"/>
      <c r="P24" s="2323">
        <v>55</v>
      </c>
      <c r="Q24" s="2323">
        <v>150</v>
      </c>
      <c r="R24" s="2323">
        <f>P24*Q24/1000</f>
        <v>8.3000000000000007</v>
      </c>
      <c r="S24" s="2323">
        <f t="shared" si="2"/>
        <v>8.3000000000000007</v>
      </c>
      <c r="T24" s="2323"/>
      <c r="U24" s="2331"/>
      <c r="V24" s="2333">
        <f t="shared" si="0"/>
        <v>0.8</v>
      </c>
      <c r="W24" s="2333">
        <f t="shared" si="1"/>
        <v>110.7</v>
      </c>
      <c r="X24" s="2331">
        <f t="shared" ref="X24:X30" si="4">R24</f>
        <v>8.3000000000000007</v>
      </c>
      <c r="Y24" s="2331">
        <f t="shared" ref="Y24:Y30" si="5">X24</f>
        <v>8.3000000000000007</v>
      </c>
      <c r="Z24" s="2341" t="s">
        <v>2070</v>
      </c>
      <c r="AA24" s="2296" t="s">
        <v>1665</v>
      </c>
    </row>
    <row r="25" spans="1:27" s="2290" customFormat="1" hidden="1" x14ac:dyDescent="0.25">
      <c r="A25" s="2327"/>
      <c r="B25" s="2325"/>
      <c r="C25" s="2335" t="s">
        <v>2071</v>
      </c>
      <c r="D25" s="2329">
        <v>150</v>
      </c>
      <c r="E25" s="2330">
        <v>100</v>
      </c>
      <c r="F25" s="2331">
        <f>D25*E25/1000</f>
        <v>15</v>
      </c>
      <c r="G25" s="2331"/>
      <c r="H25" s="2329">
        <v>150</v>
      </c>
      <c r="I25" s="2331">
        <v>50</v>
      </c>
      <c r="J25" s="2331">
        <f>H25*I25/1000</f>
        <v>7.5</v>
      </c>
      <c r="K25" s="2331"/>
      <c r="L25" s="2329">
        <v>150</v>
      </c>
      <c r="M25" s="2331">
        <v>50</v>
      </c>
      <c r="N25" s="2331">
        <f>L25*M25/1000</f>
        <v>7.5</v>
      </c>
      <c r="O25" s="2332"/>
      <c r="P25" s="2342"/>
      <c r="Q25" s="2342"/>
      <c r="R25" s="2342"/>
      <c r="S25" s="2342">
        <f t="shared" si="2"/>
        <v>0</v>
      </c>
      <c r="T25" s="2342"/>
      <c r="U25" s="2323">
        <f>U26+U27+U28</f>
        <v>0</v>
      </c>
      <c r="V25" s="2323">
        <f t="shared" si="0"/>
        <v>-7.5</v>
      </c>
      <c r="W25" s="2323">
        <f t="shared" si="1"/>
        <v>0</v>
      </c>
      <c r="X25" s="2323">
        <f t="shared" si="4"/>
        <v>0</v>
      </c>
      <c r="Y25" s="2323">
        <f t="shared" si="5"/>
        <v>0</v>
      </c>
      <c r="Z25" s="2343"/>
      <c r="AA25" s="2296" t="s">
        <v>1665</v>
      </c>
    </row>
    <row r="26" spans="1:27" s="2326" customFormat="1" ht="75" hidden="1" x14ac:dyDescent="0.25">
      <c r="A26" s="2318"/>
      <c r="B26" s="2319">
        <v>981</v>
      </c>
      <c r="C26" s="2340" t="s">
        <v>2072</v>
      </c>
      <c r="D26" s="2321"/>
      <c r="E26" s="2322"/>
      <c r="F26" s="2323">
        <f>SUM(F27:F29)</f>
        <v>5.3</v>
      </c>
      <c r="G26" s="2323"/>
      <c r="H26" s="2321"/>
      <c r="I26" s="2323"/>
      <c r="J26" s="2323">
        <f>SUM(J27:J29)</f>
        <v>1.1000000000000001</v>
      </c>
      <c r="K26" s="2323"/>
      <c r="L26" s="2321"/>
      <c r="M26" s="2323"/>
      <c r="N26" s="2323">
        <f>SUM(N27:N29)</f>
        <v>1.1000000000000001</v>
      </c>
      <c r="O26" s="2324"/>
      <c r="P26" s="2323"/>
      <c r="Q26" s="2323"/>
      <c r="R26" s="2323">
        <f>R27+R28</f>
        <v>2.6</v>
      </c>
      <c r="S26" s="2323">
        <f t="shared" si="2"/>
        <v>2.6</v>
      </c>
      <c r="T26" s="2323"/>
      <c r="U26" s="2331"/>
      <c r="V26" s="2333">
        <f t="shared" si="0"/>
        <v>1.5</v>
      </c>
      <c r="W26" s="2333">
        <f t="shared" si="1"/>
        <v>236.4</v>
      </c>
      <c r="X26" s="2323">
        <f t="shared" si="4"/>
        <v>2.6</v>
      </c>
      <c r="Y26" s="2323">
        <f t="shared" si="5"/>
        <v>2.6</v>
      </c>
      <c r="Z26" s="2344" t="s">
        <v>2073</v>
      </c>
      <c r="AA26" s="2296" t="s">
        <v>1665</v>
      </c>
    </row>
    <row r="27" spans="1:27" s="2290" customFormat="1" hidden="1" x14ac:dyDescent="0.25">
      <c r="A27" s="2327"/>
      <c r="B27" s="2325"/>
      <c r="C27" s="2328" t="s">
        <v>1612</v>
      </c>
      <c r="D27" s="2329">
        <v>21</v>
      </c>
      <c r="E27" s="2330">
        <v>100</v>
      </c>
      <c r="F27" s="2331">
        <f>D27*E27/1000</f>
        <v>2.1</v>
      </c>
      <c r="G27" s="2331"/>
      <c r="H27" s="2329">
        <v>11</v>
      </c>
      <c r="I27" s="2331">
        <v>100</v>
      </c>
      <c r="J27" s="2331">
        <f>H27*I27/1000</f>
        <v>1.1000000000000001</v>
      </c>
      <c r="K27" s="2331"/>
      <c r="L27" s="2329">
        <v>11</v>
      </c>
      <c r="M27" s="2331">
        <v>100</v>
      </c>
      <c r="N27" s="2331">
        <f>L27*M27/1000</f>
        <v>1.1000000000000001</v>
      </c>
      <c r="O27" s="2332"/>
      <c r="P27" s="2331">
        <v>26</v>
      </c>
      <c r="Q27" s="2331">
        <v>100</v>
      </c>
      <c r="R27" s="2331">
        <f>P27*Q27/1000</f>
        <v>2.6</v>
      </c>
      <c r="S27" s="2331">
        <f t="shared" si="2"/>
        <v>2.6</v>
      </c>
      <c r="T27" s="2331"/>
      <c r="U27" s="2331"/>
      <c r="V27" s="2333">
        <f t="shared" si="0"/>
        <v>1.5</v>
      </c>
      <c r="W27" s="2333">
        <f t="shared" si="1"/>
        <v>236.4</v>
      </c>
      <c r="X27" s="2323">
        <f t="shared" si="4"/>
        <v>2.6</v>
      </c>
      <c r="Y27" s="2323">
        <f t="shared" si="5"/>
        <v>2.6</v>
      </c>
      <c r="Z27" s="2325"/>
      <c r="AA27" s="2296" t="s">
        <v>1665</v>
      </c>
    </row>
    <row r="28" spans="1:27" s="2290" customFormat="1" hidden="1" x14ac:dyDescent="0.25">
      <c r="A28" s="2327"/>
      <c r="B28" s="2325"/>
      <c r="C28" s="2335" t="s">
        <v>1412</v>
      </c>
      <c r="D28" s="2329">
        <v>1</v>
      </c>
      <c r="E28" s="2330">
        <v>2000</v>
      </c>
      <c r="F28" s="2331">
        <f>D28*E28/1000</f>
        <v>2</v>
      </c>
      <c r="G28" s="2331"/>
      <c r="H28" s="2329"/>
      <c r="I28" s="2331"/>
      <c r="J28" s="2331"/>
      <c r="K28" s="2331"/>
      <c r="L28" s="2329"/>
      <c r="M28" s="2331"/>
      <c r="N28" s="2331"/>
      <c r="O28" s="2332"/>
      <c r="P28" s="2331"/>
      <c r="Q28" s="2331"/>
      <c r="R28" s="2331">
        <f t="shared" si="3"/>
        <v>0</v>
      </c>
      <c r="S28" s="2331">
        <f t="shared" si="2"/>
        <v>0</v>
      </c>
      <c r="T28" s="2331"/>
      <c r="U28" s="2331"/>
      <c r="V28" s="2333">
        <f t="shared" si="0"/>
        <v>0</v>
      </c>
      <c r="W28" s="2333">
        <f t="shared" si="1"/>
        <v>0</v>
      </c>
      <c r="X28" s="2323">
        <f t="shared" si="4"/>
        <v>0</v>
      </c>
      <c r="Y28" s="2323">
        <f t="shared" si="5"/>
        <v>0</v>
      </c>
      <c r="Z28" s="2345"/>
      <c r="AA28" s="2296" t="s">
        <v>1665</v>
      </c>
    </row>
    <row r="29" spans="1:27" s="2290" customFormat="1" ht="47.25" hidden="1" x14ac:dyDescent="0.25">
      <c r="A29" s="2327"/>
      <c r="B29" s="2325"/>
      <c r="C29" s="2335" t="s">
        <v>2074</v>
      </c>
      <c r="D29" s="2329">
        <v>4</v>
      </c>
      <c r="E29" s="2330">
        <v>300</v>
      </c>
      <c r="F29" s="2331">
        <f>D29*E29/1000</f>
        <v>1.2</v>
      </c>
      <c r="G29" s="2331"/>
      <c r="H29" s="2329"/>
      <c r="I29" s="2331"/>
      <c r="J29" s="2331"/>
      <c r="K29" s="2331"/>
      <c r="L29" s="2329"/>
      <c r="M29" s="2331"/>
      <c r="N29" s="2331"/>
      <c r="O29" s="2332"/>
      <c r="P29" s="2331"/>
      <c r="Q29" s="2331"/>
      <c r="R29" s="2342"/>
      <c r="S29" s="2342">
        <f t="shared" si="2"/>
        <v>0</v>
      </c>
      <c r="T29" s="2342"/>
      <c r="U29" s="2331"/>
      <c r="V29" s="2333">
        <f t="shared" si="0"/>
        <v>0</v>
      </c>
      <c r="W29" s="2333">
        <f t="shared" si="1"/>
        <v>0</v>
      </c>
      <c r="X29" s="2323">
        <f t="shared" si="4"/>
        <v>0</v>
      </c>
      <c r="Y29" s="2323">
        <f t="shared" si="5"/>
        <v>0</v>
      </c>
      <c r="Z29" s="2346" t="s">
        <v>2075</v>
      </c>
      <c r="AA29" s="2296" t="s">
        <v>1665</v>
      </c>
    </row>
    <row r="30" spans="1:27" s="2290" customFormat="1" ht="31.5" hidden="1" x14ac:dyDescent="0.25">
      <c r="A30" s="2327"/>
      <c r="B30" s="2319">
        <v>981</v>
      </c>
      <c r="C30" s="2339" t="s">
        <v>2076</v>
      </c>
      <c r="D30" s="2329"/>
      <c r="E30" s="2330"/>
      <c r="F30" s="2331"/>
      <c r="G30" s="2331"/>
      <c r="H30" s="2329"/>
      <c r="I30" s="2331"/>
      <c r="J30" s="2331"/>
      <c r="K30" s="2331"/>
      <c r="L30" s="2329"/>
      <c r="M30" s="2331"/>
      <c r="N30" s="2331"/>
      <c r="O30" s="2332"/>
      <c r="P30" s="2331"/>
      <c r="Q30" s="2331"/>
      <c r="R30" s="2323">
        <v>4</v>
      </c>
      <c r="S30" s="2323">
        <f t="shared" si="2"/>
        <v>4</v>
      </c>
      <c r="T30" s="2323"/>
      <c r="U30" s="2331"/>
      <c r="V30" s="2333">
        <f t="shared" si="0"/>
        <v>4</v>
      </c>
      <c r="W30" s="2333">
        <f t="shared" si="1"/>
        <v>0</v>
      </c>
      <c r="X30" s="2323">
        <f t="shared" si="4"/>
        <v>4</v>
      </c>
      <c r="Y30" s="2323">
        <f t="shared" si="5"/>
        <v>4</v>
      </c>
      <c r="Z30" s="2345"/>
      <c r="AA30" s="2296" t="s">
        <v>1665</v>
      </c>
    </row>
    <row r="31" spans="1:27" s="2350" customFormat="1" ht="47.25" hidden="1" x14ac:dyDescent="0.2">
      <c r="A31" s="2311">
        <v>3</v>
      </c>
      <c r="B31" s="2347"/>
      <c r="C31" s="2312" t="s">
        <v>2077</v>
      </c>
      <c r="D31" s="2311"/>
      <c r="E31" s="2348"/>
      <c r="F31" s="2349">
        <f>F32+F38+F41+F44+F45</f>
        <v>105.6</v>
      </c>
      <c r="G31" s="2349"/>
      <c r="H31" s="2349"/>
      <c r="I31" s="2349"/>
      <c r="J31" s="2349"/>
      <c r="K31" s="2349"/>
      <c r="L31" s="2349"/>
      <c r="M31" s="2349"/>
      <c r="N31" s="2349"/>
      <c r="O31" s="2349"/>
      <c r="P31" s="2349"/>
      <c r="Q31" s="2349"/>
      <c r="R31" s="2349">
        <f>R32+R38+R41+R44+R45</f>
        <v>104.1</v>
      </c>
      <c r="S31" s="2349">
        <f t="shared" si="2"/>
        <v>104.1</v>
      </c>
      <c r="T31" s="2349"/>
      <c r="U31" s="2349"/>
      <c r="V31" s="2349">
        <f t="shared" si="0"/>
        <v>104.1</v>
      </c>
      <c r="W31" s="2349">
        <f t="shared" si="1"/>
        <v>0</v>
      </c>
      <c r="X31" s="2349">
        <f>X32+X38+X41+X44+X45</f>
        <v>0</v>
      </c>
      <c r="Y31" s="2349">
        <f>Y32+Y38+Y41+Y44+Y45</f>
        <v>104.1</v>
      </c>
      <c r="Z31" s="2316"/>
      <c r="AA31" s="2296" t="s">
        <v>1665</v>
      </c>
    </row>
    <row r="32" spans="1:27" s="2326" customFormat="1" ht="31.5" hidden="1" x14ac:dyDescent="0.25">
      <c r="A32" s="2318"/>
      <c r="B32" s="2319">
        <v>955</v>
      </c>
      <c r="C32" s="2320" t="s">
        <v>1401</v>
      </c>
      <c r="D32" s="2329"/>
      <c r="E32" s="2351"/>
      <c r="F32" s="2336">
        <f>SUM(F33:F37)</f>
        <v>18.600000000000001</v>
      </c>
      <c r="G32" s="2336"/>
      <c r="H32" s="2336"/>
      <c r="I32" s="2336"/>
      <c r="J32" s="2336"/>
      <c r="K32" s="2336"/>
      <c r="L32" s="2336"/>
      <c r="M32" s="2336"/>
      <c r="N32" s="2336"/>
      <c r="O32" s="2352"/>
      <c r="P32" s="2336"/>
      <c r="Q32" s="2336"/>
      <c r="R32" s="2336">
        <f>SUM(R33:R37)</f>
        <v>16</v>
      </c>
      <c r="S32" s="2336">
        <f t="shared" si="2"/>
        <v>16</v>
      </c>
      <c r="T32" s="2336"/>
      <c r="U32" s="2336"/>
      <c r="V32" s="2336">
        <f t="shared" si="0"/>
        <v>16</v>
      </c>
      <c r="W32" s="2336">
        <f t="shared" si="1"/>
        <v>0</v>
      </c>
      <c r="X32" s="2336"/>
      <c r="Y32" s="2336">
        <v>16</v>
      </c>
      <c r="Z32" s="2353"/>
      <c r="AA32" s="2296" t="s">
        <v>1665</v>
      </c>
    </row>
    <row r="33" spans="1:27" s="2290" customFormat="1" hidden="1" x14ac:dyDescent="0.25">
      <c r="A33" s="2327"/>
      <c r="B33" s="2325"/>
      <c r="C33" s="2328" t="s">
        <v>1519</v>
      </c>
      <c r="D33" s="2329">
        <v>1</v>
      </c>
      <c r="E33" s="2354">
        <v>3450</v>
      </c>
      <c r="F33" s="2333">
        <f>D33*E33/1000</f>
        <v>3.5</v>
      </c>
      <c r="G33" s="2333"/>
      <c r="H33" s="2333"/>
      <c r="I33" s="2333"/>
      <c r="J33" s="2333"/>
      <c r="K33" s="2333"/>
      <c r="L33" s="2333"/>
      <c r="M33" s="2333"/>
      <c r="N33" s="2333"/>
      <c r="O33" s="2355"/>
      <c r="P33" s="2333">
        <v>1</v>
      </c>
      <c r="Q33" s="2333">
        <v>3450</v>
      </c>
      <c r="R33" s="2333">
        <f>Q33*P33/1000</f>
        <v>3.5</v>
      </c>
      <c r="S33" s="2333">
        <f t="shared" si="2"/>
        <v>3.5</v>
      </c>
      <c r="T33" s="2333"/>
      <c r="U33" s="2333"/>
      <c r="V33" s="2333">
        <f t="shared" si="0"/>
        <v>3.5</v>
      </c>
      <c r="W33" s="2333">
        <f t="shared" si="1"/>
        <v>0</v>
      </c>
      <c r="X33" s="2333"/>
      <c r="Y33" s="2356">
        <v>3.45</v>
      </c>
      <c r="Z33" s="2353"/>
      <c r="AA33" s="2296" t="s">
        <v>1665</v>
      </c>
    </row>
    <row r="34" spans="1:27" s="2290" customFormat="1" hidden="1" x14ac:dyDescent="0.25">
      <c r="A34" s="2327"/>
      <c r="B34" s="2325"/>
      <c r="C34" s="2328" t="s">
        <v>1686</v>
      </c>
      <c r="D34" s="2329">
        <v>2</v>
      </c>
      <c r="E34" s="2354">
        <v>2300</v>
      </c>
      <c r="F34" s="2333">
        <f>D34*E34/1000</f>
        <v>4.5999999999999996</v>
      </c>
      <c r="G34" s="2333"/>
      <c r="H34" s="2333"/>
      <c r="I34" s="2333"/>
      <c r="J34" s="2333"/>
      <c r="K34" s="2333"/>
      <c r="L34" s="2333"/>
      <c r="M34" s="2333"/>
      <c r="N34" s="2333"/>
      <c r="O34" s="2355"/>
      <c r="P34" s="2333">
        <v>2</v>
      </c>
      <c r="Q34" s="2333">
        <v>2300</v>
      </c>
      <c r="R34" s="2333">
        <f>Q34*P34/1000</f>
        <v>4.5999999999999996</v>
      </c>
      <c r="S34" s="2333">
        <f t="shared" si="2"/>
        <v>4.5999999999999996</v>
      </c>
      <c r="T34" s="2333"/>
      <c r="U34" s="2333"/>
      <c r="V34" s="2333">
        <f t="shared" si="0"/>
        <v>4.5999999999999996</v>
      </c>
      <c r="W34" s="2333">
        <f t="shared" si="1"/>
        <v>0</v>
      </c>
      <c r="X34" s="2333"/>
      <c r="Y34" s="2333">
        <v>4.5999999999999996</v>
      </c>
      <c r="Z34" s="2353"/>
      <c r="AA34" s="2296" t="s">
        <v>1665</v>
      </c>
    </row>
    <row r="35" spans="1:27" s="2290" customFormat="1" ht="31.5" hidden="1" x14ac:dyDescent="0.25">
      <c r="A35" s="2327"/>
      <c r="B35" s="2325"/>
      <c r="C35" s="2328" t="s">
        <v>2078</v>
      </c>
      <c r="D35" s="2329">
        <v>1</v>
      </c>
      <c r="E35" s="2354">
        <v>2000</v>
      </c>
      <c r="F35" s="2333">
        <f>D35*E35/1000</f>
        <v>2</v>
      </c>
      <c r="G35" s="2333"/>
      <c r="H35" s="2333"/>
      <c r="I35" s="2333"/>
      <c r="J35" s="2333"/>
      <c r="K35" s="2333"/>
      <c r="L35" s="2333"/>
      <c r="M35" s="2333"/>
      <c r="N35" s="2333"/>
      <c r="O35" s="2355"/>
      <c r="P35" s="2333">
        <v>0</v>
      </c>
      <c r="Q35" s="2333">
        <v>0</v>
      </c>
      <c r="R35" s="2333">
        <f>Q35*P35/1000</f>
        <v>0</v>
      </c>
      <c r="S35" s="2333">
        <f t="shared" si="2"/>
        <v>0</v>
      </c>
      <c r="T35" s="2333"/>
      <c r="U35" s="2333"/>
      <c r="V35" s="2333">
        <f t="shared" si="0"/>
        <v>0</v>
      </c>
      <c r="W35" s="2333">
        <f t="shared" si="1"/>
        <v>0</v>
      </c>
      <c r="X35" s="2333"/>
      <c r="Y35" s="2333">
        <v>0</v>
      </c>
      <c r="Z35" s="2353"/>
      <c r="AA35" s="2296" t="s">
        <v>1665</v>
      </c>
    </row>
    <row r="36" spans="1:27" s="2290" customFormat="1" ht="63" hidden="1" x14ac:dyDescent="0.25">
      <c r="A36" s="2327"/>
      <c r="B36" s="2325"/>
      <c r="C36" s="2328" t="s">
        <v>1930</v>
      </c>
      <c r="D36" s="2329">
        <v>1</v>
      </c>
      <c r="E36" s="2354">
        <v>4500</v>
      </c>
      <c r="F36" s="2333">
        <f>D36*E36/1000</f>
        <v>4.5</v>
      </c>
      <c r="G36" s="2333"/>
      <c r="H36" s="2333"/>
      <c r="I36" s="2333"/>
      <c r="J36" s="2333"/>
      <c r="K36" s="2333"/>
      <c r="L36" s="2333"/>
      <c r="M36" s="2333"/>
      <c r="N36" s="2333"/>
      <c r="O36" s="2355"/>
      <c r="P36" s="2333">
        <v>1</v>
      </c>
      <c r="Q36" s="2333">
        <v>4500</v>
      </c>
      <c r="R36" s="2333">
        <f>Q36*P36/1000</f>
        <v>4.5</v>
      </c>
      <c r="S36" s="2333">
        <f t="shared" si="2"/>
        <v>4.5</v>
      </c>
      <c r="T36" s="2333"/>
      <c r="U36" s="2333"/>
      <c r="V36" s="2333">
        <f t="shared" si="0"/>
        <v>4.5</v>
      </c>
      <c r="W36" s="2333">
        <f t="shared" si="1"/>
        <v>0</v>
      </c>
      <c r="X36" s="2333"/>
      <c r="Y36" s="2333">
        <v>4.5</v>
      </c>
      <c r="Z36" s="2353" t="s">
        <v>2079</v>
      </c>
      <c r="AA36" s="2296" t="s">
        <v>1665</v>
      </c>
    </row>
    <row r="37" spans="1:27" s="2290" customFormat="1" hidden="1" x14ac:dyDescent="0.25">
      <c r="A37" s="2327"/>
      <c r="B37" s="2325"/>
      <c r="C37" s="2328" t="s">
        <v>1234</v>
      </c>
      <c r="D37" s="2329"/>
      <c r="E37" s="2354"/>
      <c r="F37" s="2333">
        <f>SUM(F33:F36)*0.271</f>
        <v>4</v>
      </c>
      <c r="G37" s="2333"/>
      <c r="H37" s="2333"/>
      <c r="I37" s="2333"/>
      <c r="J37" s="2333"/>
      <c r="K37" s="2333"/>
      <c r="L37" s="2333"/>
      <c r="M37" s="2333"/>
      <c r="N37" s="2333"/>
      <c r="O37" s="2355"/>
      <c r="P37" s="2333"/>
      <c r="Q37" s="2333"/>
      <c r="R37" s="2333">
        <f>(R33+R34+R35+R36)*0.271</f>
        <v>3.4</v>
      </c>
      <c r="S37" s="2333">
        <f t="shared" si="2"/>
        <v>3.4</v>
      </c>
      <c r="T37" s="2333"/>
      <c r="U37" s="2333"/>
      <c r="V37" s="2333">
        <f t="shared" si="0"/>
        <v>3.4</v>
      </c>
      <c r="W37" s="2333">
        <f t="shared" si="1"/>
        <v>0</v>
      </c>
      <c r="X37" s="2333"/>
      <c r="Y37" s="2333">
        <v>3.4</v>
      </c>
      <c r="Z37" s="2353"/>
      <c r="AA37" s="2296" t="s">
        <v>1665</v>
      </c>
    </row>
    <row r="38" spans="1:27" s="2326" customFormat="1" hidden="1" x14ac:dyDescent="0.25">
      <c r="A38" s="2318"/>
      <c r="B38" s="2319">
        <v>963</v>
      </c>
      <c r="C38" s="2320" t="s">
        <v>798</v>
      </c>
      <c r="D38" s="2329"/>
      <c r="E38" s="2351"/>
      <c r="F38" s="2336">
        <f>SUM(F39:F40)</f>
        <v>58</v>
      </c>
      <c r="G38" s="2336"/>
      <c r="H38" s="2336"/>
      <c r="I38" s="2336"/>
      <c r="J38" s="2336"/>
      <c r="K38" s="2336"/>
      <c r="L38" s="2336"/>
      <c r="M38" s="2336"/>
      <c r="N38" s="2336"/>
      <c r="O38" s="2352"/>
      <c r="P38" s="2336"/>
      <c r="Q38" s="2336"/>
      <c r="R38" s="2336">
        <f>SUM(R39:R40)</f>
        <v>66.599999999999994</v>
      </c>
      <c r="S38" s="2336">
        <f t="shared" si="2"/>
        <v>66.599999999999994</v>
      </c>
      <c r="T38" s="2336"/>
      <c r="U38" s="2336"/>
      <c r="V38" s="2336">
        <f t="shared" si="0"/>
        <v>66.599999999999994</v>
      </c>
      <c r="W38" s="2336">
        <f t="shared" si="1"/>
        <v>0</v>
      </c>
      <c r="X38" s="2336"/>
      <c r="Y38" s="2336">
        <f>SUM(Y39:Y40)</f>
        <v>66.599999999999994</v>
      </c>
      <c r="Z38" s="2353"/>
      <c r="AA38" s="2296" t="s">
        <v>1665</v>
      </c>
    </row>
    <row r="39" spans="1:27" s="2290" customFormat="1" ht="47.25" hidden="1" x14ac:dyDescent="0.25">
      <c r="A39" s="2327"/>
      <c r="B39" s="2325"/>
      <c r="C39" s="2328" t="s">
        <v>2080</v>
      </c>
      <c r="D39" s="2329">
        <v>80</v>
      </c>
      <c r="E39" s="2354">
        <v>725</v>
      </c>
      <c r="F39" s="2333">
        <v>58</v>
      </c>
      <c r="G39" s="2333"/>
      <c r="H39" s="2333"/>
      <c r="I39" s="2333"/>
      <c r="J39" s="2333"/>
      <c r="K39" s="2333"/>
      <c r="L39" s="2333"/>
      <c r="M39" s="2333"/>
      <c r="N39" s="2333"/>
      <c r="O39" s="2355"/>
      <c r="P39" s="2333">
        <v>65</v>
      </c>
      <c r="Q39" s="2333">
        <v>1000</v>
      </c>
      <c r="R39" s="2333">
        <f>Q39*P39/1000</f>
        <v>65</v>
      </c>
      <c r="S39" s="2333">
        <f t="shared" si="2"/>
        <v>65</v>
      </c>
      <c r="T39" s="2333"/>
      <c r="U39" s="2333"/>
      <c r="V39" s="2333">
        <f t="shared" si="0"/>
        <v>65</v>
      </c>
      <c r="W39" s="2333">
        <f t="shared" si="1"/>
        <v>0</v>
      </c>
      <c r="X39" s="2333"/>
      <c r="Y39" s="2333">
        <v>65</v>
      </c>
      <c r="Z39" s="2357" t="s">
        <v>2081</v>
      </c>
      <c r="AA39" s="2296" t="s">
        <v>1665</v>
      </c>
    </row>
    <row r="40" spans="1:27" s="2290" customFormat="1" ht="31.5" hidden="1" x14ac:dyDescent="0.25">
      <c r="A40" s="2327"/>
      <c r="B40" s="2325"/>
      <c r="C40" s="2358" t="s">
        <v>2067</v>
      </c>
      <c r="D40" s="2329"/>
      <c r="E40" s="2354"/>
      <c r="F40" s="2333"/>
      <c r="G40" s="2333"/>
      <c r="H40" s="2333"/>
      <c r="I40" s="2333"/>
      <c r="J40" s="2333"/>
      <c r="K40" s="2333"/>
      <c r="L40" s="2333"/>
      <c r="M40" s="2333"/>
      <c r="N40" s="2333"/>
      <c r="O40" s="2355"/>
      <c r="P40" s="2333">
        <v>65</v>
      </c>
      <c r="Q40" s="2333">
        <v>25</v>
      </c>
      <c r="R40" s="2333">
        <f>Q40*P40/1000</f>
        <v>1.6</v>
      </c>
      <c r="S40" s="2333">
        <f t="shared" si="2"/>
        <v>1.6</v>
      </c>
      <c r="T40" s="2333"/>
      <c r="U40" s="2333"/>
      <c r="V40" s="2333">
        <f t="shared" si="0"/>
        <v>1.6</v>
      </c>
      <c r="W40" s="2333">
        <f t="shared" si="1"/>
        <v>0</v>
      </c>
      <c r="X40" s="2333"/>
      <c r="Y40" s="2333">
        <v>1.6</v>
      </c>
      <c r="Z40" s="2359"/>
      <c r="AA40" s="2296" t="s">
        <v>1665</v>
      </c>
    </row>
    <row r="41" spans="1:27" s="2326" customFormat="1" hidden="1" x14ac:dyDescent="0.25">
      <c r="A41" s="2318"/>
      <c r="B41" s="2319">
        <v>981</v>
      </c>
      <c r="C41" s="2320" t="s">
        <v>1226</v>
      </c>
      <c r="D41" s="2329"/>
      <c r="E41" s="2351"/>
      <c r="F41" s="2336">
        <f>F42+F43</f>
        <v>19.2</v>
      </c>
      <c r="G41" s="2336"/>
      <c r="H41" s="2336"/>
      <c r="I41" s="2336"/>
      <c r="J41" s="2336"/>
      <c r="K41" s="2336"/>
      <c r="L41" s="2336"/>
      <c r="M41" s="2336"/>
      <c r="N41" s="2336"/>
      <c r="O41" s="2352"/>
      <c r="P41" s="2336"/>
      <c r="Q41" s="2336"/>
      <c r="R41" s="2336">
        <f>SUM(R42:R43)</f>
        <v>16.5</v>
      </c>
      <c r="S41" s="2336">
        <f t="shared" si="2"/>
        <v>16.5</v>
      </c>
      <c r="T41" s="2336"/>
      <c r="U41" s="2336"/>
      <c r="V41" s="2336">
        <f t="shared" si="0"/>
        <v>16.5</v>
      </c>
      <c r="W41" s="2336">
        <f t="shared" si="1"/>
        <v>0</v>
      </c>
      <c r="X41" s="2336"/>
      <c r="Y41" s="2336">
        <v>16.5</v>
      </c>
      <c r="Z41" s="2353"/>
      <c r="AA41" s="2296" t="s">
        <v>1665</v>
      </c>
    </row>
    <row r="42" spans="1:27" s="2290" customFormat="1" hidden="1" x14ac:dyDescent="0.25">
      <c r="A42" s="2327"/>
      <c r="B42" s="2325"/>
      <c r="C42" s="2328" t="s">
        <v>2082</v>
      </c>
      <c r="D42" s="2329">
        <v>72</v>
      </c>
      <c r="E42" s="2354">
        <v>100</v>
      </c>
      <c r="F42" s="2333">
        <f>D42*E42/1000</f>
        <v>7.2</v>
      </c>
      <c r="G42" s="2333"/>
      <c r="H42" s="2333"/>
      <c r="I42" s="2333"/>
      <c r="J42" s="2333"/>
      <c r="K42" s="2333"/>
      <c r="L42" s="2333"/>
      <c r="M42" s="2333"/>
      <c r="N42" s="2333"/>
      <c r="O42" s="2355"/>
      <c r="P42" s="2333">
        <v>70</v>
      </c>
      <c r="Q42" s="2333">
        <v>150</v>
      </c>
      <c r="R42" s="2333">
        <f>P42*Q42/1000</f>
        <v>10.5</v>
      </c>
      <c r="S42" s="2333">
        <f t="shared" si="2"/>
        <v>10.5</v>
      </c>
      <c r="T42" s="2333"/>
      <c r="U42" s="2333"/>
      <c r="V42" s="2333">
        <f t="shared" si="0"/>
        <v>10.5</v>
      </c>
      <c r="W42" s="2333">
        <f t="shared" si="1"/>
        <v>0</v>
      </c>
      <c r="X42" s="2333"/>
      <c r="Y42" s="2333">
        <v>10.5</v>
      </c>
      <c r="Z42" s="2353"/>
      <c r="AA42" s="2296" t="s">
        <v>1665</v>
      </c>
    </row>
    <row r="43" spans="1:27" s="2290" customFormat="1" hidden="1" x14ac:dyDescent="0.25">
      <c r="A43" s="2327"/>
      <c r="B43" s="2325"/>
      <c r="C43" s="2328" t="s">
        <v>2083</v>
      </c>
      <c r="D43" s="2329">
        <v>4</v>
      </c>
      <c r="E43" s="2354">
        <v>3000</v>
      </c>
      <c r="F43" s="2333">
        <f>D43*E43/1000</f>
        <v>12</v>
      </c>
      <c r="G43" s="2333"/>
      <c r="H43" s="2333"/>
      <c r="I43" s="2333"/>
      <c r="J43" s="2333"/>
      <c r="K43" s="2333"/>
      <c r="L43" s="2333"/>
      <c r="M43" s="2333"/>
      <c r="N43" s="2333"/>
      <c r="O43" s="2355"/>
      <c r="P43" s="2333">
        <v>3</v>
      </c>
      <c r="Q43" s="2333">
        <v>2000</v>
      </c>
      <c r="R43" s="2333">
        <f>P43*Q43/1000</f>
        <v>6</v>
      </c>
      <c r="S43" s="2333">
        <f t="shared" si="2"/>
        <v>6</v>
      </c>
      <c r="T43" s="2333"/>
      <c r="U43" s="2333"/>
      <c r="V43" s="2333">
        <f t="shared" si="0"/>
        <v>6</v>
      </c>
      <c r="W43" s="2333">
        <f t="shared" si="1"/>
        <v>0</v>
      </c>
      <c r="X43" s="2333"/>
      <c r="Y43" s="2333">
        <v>6</v>
      </c>
      <c r="Z43" s="2353"/>
      <c r="AA43" s="2296" t="s">
        <v>1665</v>
      </c>
    </row>
    <row r="44" spans="1:27" s="2326" customFormat="1" ht="31.5" hidden="1" x14ac:dyDescent="0.25">
      <c r="A44" s="2318"/>
      <c r="B44" s="2319">
        <v>981</v>
      </c>
      <c r="C44" s="2320" t="s">
        <v>2084</v>
      </c>
      <c r="D44" s="2321">
        <v>100</v>
      </c>
      <c r="E44" s="2351">
        <v>60</v>
      </c>
      <c r="F44" s="2336">
        <f>D44*E44/1000</f>
        <v>6</v>
      </c>
      <c r="G44" s="2336"/>
      <c r="H44" s="2336"/>
      <c r="I44" s="2336"/>
      <c r="J44" s="2336"/>
      <c r="K44" s="2336"/>
      <c r="L44" s="2336"/>
      <c r="M44" s="2336"/>
      <c r="N44" s="2336"/>
      <c r="O44" s="2352"/>
      <c r="P44" s="2336">
        <v>60</v>
      </c>
      <c r="Q44" s="2336">
        <v>50</v>
      </c>
      <c r="R44" s="2336">
        <f>P44*Q44/1000</f>
        <v>3</v>
      </c>
      <c r="S44" s="2336">
        <f t="shared" si="2"/>
        <v>3</v>
      </c>
      <c r="T44" s="2336"/>
      <c r="U44" s="2336"/>
      <c r="V44" s="2336">
        <f t="shared" si="0"/>
        <v>3</v>
      </c>
      <c r="W44" s="2336">
        <f t="shared" si="1"/>
        <v>0</v>
      </c>
      <c r="X44" s="2336"/>
      <c r="Y44" s="2336">
        <v>3</v>
      </c>
      <c r="Z44" s="2353" t="s">
        <v>2085</v>
      </c>
      <c r="AA44" s="2296" t="s">
        <v>1665</v>
      </c>
    </row>
    <row r="45" spans="1:27" s="2326" customFormat="1" ht="31.5" hidden="1" x14ac:dyDescent="0.25">
      <c r="A45" s="2318"/>
      <c r="B45" s="2319">
        <v>981</v>
      </c>
      <c r="C45" s="2320" t="s">
        <v>2072</v>
      </c>
      <c r="D45" s="2329"/>
      <c r="E45" s="2351"/>
      <c r="F45" s="2336">
        <f>F46+F47</f>
        <v>3.8</v>
      </c>
      <c r="G45" s="2336"/>
      <c r="H45" s="2336"/>
      <c r="I45" s="2336"/>
      <c r="J45" s="2336"/>
      <c r="K45" s="2336"/>
      <c r="L45" s="2336"/>
      <c r="M45" s="2336"/>
      <c r="N45" s="2336"/>
      <c r="O45" s="2352"/>
      <c r="P45" s="2336"/>
      <c r="Q45" s="2336"/>
      <c r="R45" s="2336">
        <f>SUM(R46:R47)</f>
        <v>2</v>
      </c>
      <c r="S45" s="2336">
        <f t="shared" si="2"/>
        <v>2</v>
      </c>
      <c r="T45" s="2336"/>
      <c r="U45" s="2336"/>
      <c r="V45" s="2336">
        <f t="shared" si="0"/>
        <v>2</v>
      </c>
      <c r="W45" s="2336">
        <f t="shared" si="1"/>
        <v>0</v>
      </c>
      <c r="X45" s="2336"/>
      <c r="Y45" s="2336">
        <v>2</v>
      </c>
      <c r="Z45" s="2353"/>
      <c r="AA45" s="2296" t="s">
        <v>1665</v>
      </c>
    </row>
    <row r="46" spans="1:27" s="2290" customFormat="1" ht="31.5" hidden="1" x14ac:dyDescent="0.25">
      <c r="A46" s="2327"/>
      <c r="B46" s="2325"/>
      <c r="C46" s="2328" t="s">
        <v>1612</v>
      </c>
      <c r="D46" s="2329">
        <v>20</v>
      </c>
      <c r="E46" s="2354">
        <v>100</v>
      </c>
      <c r="F46" s="2333">
        <f>D46*E46/1000</f>
        <v>2</v>
      </c>
      <c r="G46" s="2333"/>
      <c r="H46" s="2333"/>
      <c r="I46" s="2333"/>
      <c r="J46" s="2333"/>
      <c r="K46" s="2333"/>
      <c r="L46" s="2333"/>
      <c r="M46" s="2333"/>
      <c r="N46" s="2333"/>
      <c r="O46" s="2355"/>
      <c r="P46" s="2333">
        <v>20</v>
      </c>
      <c r="Q46" s="2333">
        <v>100</v>
      </c>
      <c r="R46" s="2333">
        <f>Q46*P46/1000</f>
        <v>2</v>
      </c>
      <c r="S46" s="2333">
        <f t="shared" si="2"/>
        <v>2</v>
      </c>
      <c r="T46" s="2333"/>
      <c r="U46" s="2333"/>
      <c r="V46" s="2333">
        <f t="shared" si="0"/>
        <v>2</v>
      </c>
      <c r="W46" s="2333">
        <f t="shared" si="1"/>
        <v>0</v>
      </c>
      <c r="X46" s="2333"/>
      <c r="Y46" s="2333">
        <v>2</v>
      </c>
      <c r="Z46" s="2353" t="s">
        <v>2086</v>
      </c>
      <c r="AA46" s="2296" t="s">
        <v>1665</v>
      </c>
    </row>
    <row r="47" spans="1:27" s="2290" customFormat="1" hidden="1" x14ac:dyDescent="0.25">
      <c r="A47" s="2327"/>
      <c r="B47" s="2325"/>
      <c r="C47" s="2328" t="s">
        <v>2087</v>
      </c>
      <c r="D47" s="2329">
        <v>6</v>
      </c>
      <c r="E47" s="2354">
        <v>300</v>
      </c>
      <c r="F47" s="2333">
        <f>D47*E47/1000</f>
        <v>1.8</v>
      </c>
      <c r="G47" s="2333"/>
      <c r="H47" s="2333"/>
      <c r="I47" s="2333"/>
      <c r="J47" s="2333"/>
      <c r="K47" s="2333"/>
      <c r="L47" s="2333"/>
      <c r="M47" s="2333"/>
      <c r="N47" s="2333"/>
      <c r="O47" s="2355"/>
      <c r="P47" s="2333"/>
      <c r="Q47" s="2333"/>
      <c r="R47" s="2333"/>
      <c r="S47" s="2333">
        <f t="shared" si="2"/>
        <v>0</v>
      </c>
      <c r="T47" s="2333"/>
      <c r="U47" s="2333"/>
      <c r="V47" s="2333">
        <f t="shared" si="0"/>
        <v>0</v>
      </c>
      <c r="W47" s="2333">
        <f t="shared" si="1"/>
        <v>0</v>
      </c>
      <c r="X47" s="2333"/>
      <c r="Y47" s="2333"/>
      <c r="Z47" s="2360"/>
      <c r="AA47" s="2296" t="s">
        <v>1665</v>
      </c>
    </row>
    <row r="48" spans="1:27" s="2317" customFormat="1" ht="31.5" hidden="1" x14ac:dyDescent="0.2">
      <c r="A48" s="2311">
        <v>4</v>
      </c>
      <c r="B48" s="2311"/>
      <c r="C48" s="2312" t="s">
        <v>2088</v>
      </c>
      <c r="D48" s="2349"/>
      <c r="E48" s="2348"/>
      <c r="F48" s="2349"/>
      <c r="G48" s="2349"/>
      <c r="H48" s="2311"/>
      <c r="I48" s="2313"/>
      <c r="J48" s="2313">
        <f>J49+J54+J58+J62+J67</f>
        <v>43.5</v>
      </c>
      <c r="K48" s="2313">
        <f>K49+K54+K58+K62+K67</f>
        <v>0</v>
      </c>
      <c r="L48" s="2311"/>
      <c r="M48" s="2313"/>
      <c r="N48" s="2313">
        <f>N49+N54+N58+N62+N67</f>
        <v>43.5</v>
      </c>
      <c r="O48" s="2313">
        <f>O49+O54+O58+O62+O67</f>
        <v>0</v>
      </c>
      <c r="P48" s="2311"/>
      <c r="Q48" s="2313"/>
      <c r="R48" s="2313">
        <f>R49+R54+R58+R62+R67</f>
        <v>0</v>
      </c>
      <c r="S48" s="2313">
        <f t="shared" si="2"/>
        <v>0</v>
      </c>
      <c r="T48" s="2313"/>
      <c r="U48" s="2313">
        <f>U49+U54+U58+U62+U67</f>
        <v>0</v>
      </c>
      <c r="V48" s="2349">
        <f t="shared" si="0"/>
        <v>-43.5</v>
      </c>
      <c r="W48" s="2349">
        <f t="shared" si="1"/>
        <v>0</v>
      </c>
      <c r="X48" s="2313">
        <f>X49+X54+X58+X62+X67</f>
        <v>43.5</v>
      </c>
      <c r="Y48" s="2313">
        <f>Y49+Y54+Y58+Y62+Y67</f>
        <v>0</v>
      </c>
      <c r="Z48" s="2316"/>
      <c r="AA48" s="2296" t="s">
        <v>1665</v>
      </c>
    </row>
    <row r="49" spans="1:27" s="2326" customFormat="1" ht="31.5" hidden="1" x14ac:dyDescent="0.25">
      <c r="A49" s="2318"/>
      <c r="B49" s="2319">
        <v>955</v>
      </c>
      <c r="C49" s="2320" t="s">
        <v>1401</v>
      </c>
      <c r="D49" s="2336"/>
      <c r="E49" s="2351"/>
      <c r="F49" s="2336"/>
      <c r="G49" s="2336"/>
      <c r="H49" s="2319"/>
      <c r="I49" s="2361"/>
      <c r="J49" s="2362">
        <f>SUM(J50:J53)</f>
        <v>12.8</v>
      </c>
      <c r="K49" s="2361"/>
      <c r="L49" s="2319"/>
      <c r="M49" s="2361"/>
      <c r="N49" s="2362">
        <f>SUM(N50:N53)</f>
        <v>12.8</v>
      </c>
      <c r="O49" s="2361"/>
      <c r="P49" s="2319"/>
      <c r="Q49" s="2361"/>
      <c r="R49" s="2361"/>
      <c r="S49" s="2361">
        <f t="shared" si="2"/>
        <v>0</v>
      </c>
      <c r="T49" s="2361"/>
      <c r="U49" s="2361"/>
      <c r="V49" s="2336">
        <f t="shared" si="0"/>
        <v>-12.8</v>
      </c>
      <c r="W49" s="2336">
        <f t="shared" si="1"/>
        <v>0</v>
      </c>
      <c r="X49" s="2322">
        <f>N49</f>
        <v>12.8</v>
      </c>
      <c r="Y49" s="2362"/>
      <c r="Z49" s="2363"/>
      <c r="AA49" s="2296" t="s">
        <v>1665</v>
      </c>
    </row>
    <row r="50" spans="1:27" s="2290" customFormat="1" hidden="1" x14ac:dyDescent="0.25">
      <c r="A50" s="2327"/>
      <c r="B50" s="2325"/>
      <c r="C50" s="2328" t="s">
        <v>2089</v>
      </c>
      <c r="D50" s="2333"/>
      <c r="E50" s="2354"/>
      <c r="F50" s="2333"/>
      <c r="G50" s="2333"/>
      <c r="H50" s="2325">
        <v>1</v>
      </c>
      <c r="I50" s="2364">
        <v>3450</v>
      </c>
      <c r="J50" s="2364">
        <f>H50*I50/1000</f>
        <v>3.5</v>
      </c>
      <c r="K50" s="2364"/>
      <c r="L50" s="2325">
        <v>1</v>
      </c>
      <c r="M50" s="2364">
        <v>3450</v>
      </c>
      <c r="N50" s="2364">
        <f>L50*M50/1000</f>
        <v>3.5</v>
      </c>
      <c r="O50" s="2364"/>
      <c r="P50" s="2325"/>
      <c r="Q50" s="2364"/>
      <c r="R50" s="2364"/>
      <c r="S50" s="2364">
        <f t="shared" si="2"/>
        <v>0</v>
      </c>
      <c r="T50" s="2364"/>
      <c r="U50" s="2364"/>
      <c r="V50" s="2333">
        <f t="shared" si="0"/>
        <v>-3.5</v>
      </c>
      <c r="W50" s="2333">
        <f t="shared" si="1"/>
        <v>0</v>
      </c>
      <c r="X50" s="2331">
        <f t="shared" ref="X50:X69" si="6">N50</f>
        <v>3.5</v>
      </c>
      <c r="Y50" s="2364"/>
      <c r="Z50" s="3477"/>
      <c r="AA50" s="2296" t="s">
        <v>1665</v>
      </c>
    </row>
    <row r="51" spans="1:27" s="2290" customFormat="1" ht="31.5" hidden="1" x14ac:dyDescent="0.25">
      <c r="A51" s="2327"/>
      <c r="B51" s="2325"/>
      <c r="C51" s="2328" t="s">
        <v>2078</v>
      </c>
      <c r="D51" s="2333"/>
      <c r="E51" s="2354"/>
      <c r="F51" s="2333"/>
      <c r="G51" s="2333"/>
      <c r="H51" s="2325">
        <v>1</v>
      </c>
      <c r="I51" s="2364">
        <v>2000</v>
      </c>
      <c r="J51" s="2364">
        <f>H51*I51/1000</f>
        <v>2</v>
      </c>
      <c r="K51" s="2364"/>
      <c r="L51" s="2325">
        <v>1</v>
      </c>
      <c r="M51" s="2364">
        <v>2000</v>
      </c>
      <c r="N51" s="2364">
        <f>L51*M51/1000</f>
        <v>2</v>
      </c>
      <c r="O51" s="2364"/>
      <c r="P51" s="2325"/>
      <c r="Q51" s="2364"/>
      <c r="R51" s="2364"/>
      <c r="S51" s="2364">
        <f t="shared" si="2"/>
        <v>0</v>
      </c>
      <c r="T51" s="2364"/>
      <c r="U51" s="2364"/>
      <c r="V51" s="2333">
        <f t="shared" si="0"/>
        <v>-2</v>
      </c>
      <c r="W51" s="2333">
        <f t="shared" si="1"/>
        <v>0</v>
      </c>
      <c r="X51" s="2331">
        <f t="shared" si="6"/>
        <v>2</v>
      </c>
      <c r="Y51" s="2364"/>
      <c r="Z51" s="3478"/>
      <c r="AA51" s="2296" t="s">
        <v>1665</v>
      </c>
    </row>
    <row r="52" spans="1:27" s="2290" customFormat="1" hidden="1" x14ac:dyDescent="0.25">
      <c r="A52" s="2327"/>
      <c r="B52" s="2325"/>
      <c r="C52" s="2328" t="s">
        <v>1686</v>
      </c>
      <c r="D52" s="2333"/>
      <c r="E52" s="2354"/>
      <c r="F52" s="2333"/>
      <c r="G52" s="2333"/>
      <c r="H52" s="2325">
        <v>2</v>
      </c>
      <c r="I52" s="2364">
        <v>2300</v>
      </c>
      <c r="J52" s="2364">
        <f>H52*I52/1000</f>
        <v>4.5999999999999996</v>
      </c>
      <c r="K52" s="2364"/>
      <c r="L52" s="2325">
        <v>2</v>
      </c>
      <c r="M52" s="2364">
        <v>2300</v>
      </c>
      <c r="N52" s="2364">
        <f>L52*M52/1000</f>
        <v>4.5999999999999996</v>
      </c>
      <c r="O52" s="2364"/>
      <c r="P52" s="2325"/>
      <c r="Q52" s="2364"/>
      <c r="R52" s="2364"/>
      <c r="S52" s="2364">
        <f t="shared" si="2"/>
        <v>0</v>
      </c>
      <c r="T52" s="2364"/>
      <c r="U52" s="2364"/>
      <c r="V52" s="2333">
        <f t="shared" si="0"/>
        <v>-4.5999999999999996</v>
      </c>
      <c r="W52" s="2333">
        <f t="shared" si="1"/>
        <v>0</v>
      </c>
      <c r="X52" s="2331">
        <f t="shared" si="6"/>
        <v>4.5999999999999996</v>
      </c>
      <c r="Y52" s="2364"/>
      <c r="Z52" s="3478"/>
      <c r="AA52" s="2296" t="s">
        <v>1665</v>
      </c>
    </row>
    <row r="53" spans="1:27" s="2290" customFormat="1" hidden="1" x14ac:dyDescent="0.25">
      <c r="A53" s="2327"/>
      <c r="B53" s="2325"/>
      <c r="C53" s="2328" t="s">
        <v>1234</v>
      </c>
      <c r="D53" s="2333"/>
      <c r="E53" s="2354"/>
      <c r="F53" s="2333"/>
      <c r="G53" s="2333"/>
      <c r="H53" s="2325"/>
      <c r="I53" s="2364"/>
      <c r="J53" s="2364">
        <f>SUM(J50:J52)*0.271</f>
        <v>2.7</v>
      </c>
      <c r="K53" s="2364"/>
      <c r="L53" s="2325"/>
      <c r="M53" s="2364"/>
      <c r="N53" s="2364">
        <f>SUM(N50:N52)*0.271</f>
        <v>2.7</v>
      </c>
      <c r="O53" s="2364"/>
      <c r="P53" s="2325"/>
      <c r="Q53" s="2364"/>
      <c r="R53" s="2364"/>
      <c r="S53" s="2364">
        <f t="shared" si="2"/>
        <v>0</v>
      </c>
      <c r="T53" s="2364"/>
      <c r="U53" s="2364"/>
      <c r="V53" s="2333">
        <f t="shared" si="0"/>
        <v>-2.7</v>
      </c>
      <c r="W53" s="2333">
        <f t="shared" si="1"/>
        <v>0</v>
      </c>
      <c r="X53" s="2331">
        <f t="shared" si="6"/>
        <v>2.7</v>
      </c>
      <c r="Y53" s="2364"/>
      <c r="Z53" s="3479"/>
      <c r="AA53" s="2296" t="s">
        <v>1665</v>
      </c>
    </row>
    <row r="54" spans="1:27" s="2326" customFormat="1" hidden="1" x14ac:dyDescent="0.25">
      <c r="A54" s="2318"/>
      <c r="B54" s="2319">
        <v>981</v>
      </c>
      <c r="C54" s="2320" t="s">
        <v>1226</v>
      </c>
      <c r="D54" s="2336"/>
      <c r="E54" s="2351"/>
      <c r="F54" s="2336"/>
      <c r="G54" s="2336"/>
      <c r="H54" s="2319"/>
      <c r="I54" s="2361"/>
      <c r="J54" s="2361">
        <f>SUM(J55:J57)</f>
        <v>16</v>
      </c>
      <c r="K54" s="2361"/>
      <c r="L54" s="2319"/>
      <c r="M54" s="2361"/>
      <c r="N54" s="2361">
        <f>SUM(N55:N57)</f>
        <v>16</v>
      </c>
      <c r="O54" s="2361"/>
      <c r="P54" s="2319"/>
      <c r="Q54" s="2361"/>
      <c r="R54" s="2361"/>
      <c r="S54" s="2361">
        <f t="shared" si="2"/>
        <v>0</v>
      </c>
      <c r="T54" s="2361"/>
      <c r="U54" s="2361"/>
      <c r="V54" s="2336">
        <f t="shared" si="0"/>
        <v>-16</v>
      </c>
      <c r="W54" s="2336">
        <f t="shared" si="1"/>
        <v>0</v>
      </c>
      <c r="X54" s="2323">
        <f t="shared" si="6"/>
        <v>16</v>
      </c>
      <c r="Y54" s="2361"/>
      <c r="Z54" s="2363"/>
      <c r="AA54" s="2296" t="s">
        <v>1665</v>
      </c>
    </row>
    <row r="55" spans="1:27" s="2290" customFormat="1" hidden="1" x14ac:dyDescent="0.25">
      <c r="A55" s="2327"/>
      <c r="B55" s="2325"/>
      <c r="C55" s="2328" t="s">
        <v>2090</v>
      </c>
      <c r="D55" s="2333"/>
      <c r="E55" s="2354"/>
      <c r="F55" s="2333"/>
      <c r="G55" s="2333"/>
      <c r="H55" s="2325">
        <v>50</v>
      </c>
      <c r="I55" s="2364">
        <v>50</v>
      </c>
      <c r="J55" s="2364">
        <f>H55*I55/1000</f>
        <v>2.5</v>
      </c>
      <c r="K55" s="2364"/>
      <c r="L55" s="2325">
        <v>50</v>
      </c>
      <c r="M55" s="2364">
        <v>50</v>
      </c>
      <c r="N55" s="2364">
        <f>L55*M55/1000</f>
        <v>2.5</v>
      </c>
      <c r="O55" s="2364"/>
      <c r="P55" s="2325"/>
      <c r="Q55" s="2364"/>
      <c r="R55" s="2364"/>
      <c r="S55" s="2364">
        <f t="shared" si="2"/>
        <v>0</v>
      </c>
      <c r="T55" s="2364"/>
      <c r="U55" s="2364"/>
      <c r="V55" s="2333">
        <f t="shared" si="0"/>
        <v>-2.5</v>
      </c>
      <c r="W55" s="2333">
        <f t="shared" si="1"/>
        <v>0</v>
      </c>
      <c r="X55" s="2331">
        <f t="shared" si="6"/>
        <v>2.5</v>
      </c>
      <c r="Y55" s="2364"/>
      <c r="Z55" s="3477"/>
      <c r="AA55" s="2296" t="s">
        <v>1665</v>
      </c>
    </row>
    <row r="56" spans="1:27" s="2290" customFormat="1" hidden="1" x14ac:dyDescent="0.25">
      <c r="A56" s="2327"/>
      <c r="B56" s="2325"/>
      <c r="C56" s="2328" t="s">
        <v>1371</v>
      </c>
      <c r="D56" s="2333"/>
      <c r="E56" s="2354"/>
      <c r="F56" s="2333"/>
      <c r="G56" s="2333"/>
      <c r="H56" s="2325">
        <v>300</v>
      </c>
      <c r="I56" s="2364">
        <v>20</v>
      </c>
      <c r="J56" s="2364">
        <f t="shared" ref="J56:J61" si="7">H56*I56/1000</f>
        <v>6</v>
      </c>
      <c r="K56" s="2364"/>
      <c r="L56" s="2325">
        <v>300</v>
      </c>
      <c r="M56" s="2364">
        <v>20</v>
      </c>
      <c r="N56" s="2364">
        <f>L56*M56/1000</f>
        <v>6</v>
      </c>
      <c r="O56" s="2364"/>
      <c r="P56" s="2325"/>
      <c r="Q56" s="2364"/>
      <c r="R56" s="2364"/>
      <c r="S56" s="2364">
        <f t="shared" si="2"/>
        <v>0</v>
      </c>
      <c r="T56" s="2364"/>
      <c r="U56" s="2364"/>
      <c r="V56" s="2333">
        <f t="shared" si="0"/>
        <v>-6</v>
      </c>
      <c r="W56" s="2333">
        <f t="shared" si="1"/>
        <v>0</v>
      </c>
      <c r="X56" s="2331">
        <f t="shared" si="6"/>
        <v>6</v>
      </c>
      <c r="Y56" s="2364"/>
      <c r="Z56" s="3478"/>
      <c r="AA56" s="2296" t="s">
        <v>1665</v>
      </c>
    </row>
    <row r="57" spans="1:27" s="2290" customFormat="1" hidden="1" x14ac:dyDescent="0.25">
      <c r="A57" s="2327"/>
      <c r="B57" s="2325"/>
      <c r="C57" s="2328" t="s">
        <v>2091</v>
      </c>
      <c r="D57" s="2333"/>
      <c r="E57" s="2354"/>
      <c r="F57" s="2333"/>
      <c r="G57" s="2333"/>
      <c r="H57" s="2325">
        <v>150</v>
      </c>
      <c r="I57" s="2364">
        <v>50</v>
      </c>
      <c r="J57" s="2364">
        <f t="shared" si="7"/>
        <v>7.5</v>
      </c>
      <c r="K57" s="2364"/>
      <c r="L57" s="2325">
        <v>150</v>
      </c>
      <c r="M57" s="2364">
        <v>50</v>
      </c>
      <c r="N57" s="2364">
        <f>L57*M57/1000</f>
        <v>7.5</v>
      </c>
      <c r="O57" s="2364"/>
      <c r="P57" s="2325"/>
      <c r="Q57" s="2364"/>
      <c r="R57" s="2364"/>
      <c r="S57" s="2364">
        <f t="shared" si="2"/>
        <v>0</v>
      </c>
      <c r="T57" s="2364"/>
      <c r="U57" s="2364"/>
      <c r="V57" s="2333">
        <f t="shared" si="0"/>
        <v>-7.5</v>
      </c>
      <c r="W57" s="2333">
        <f t="shared" si="1"/>
        <v>0</v>
      </c>
      <c r="X57" s="2331">
        <f t="shared" si="6"/>
        <v>7.5</v>
      </c>
      <c r="Y57" s="2364"/>
      <c r="Z57" s="3479"/>
      <c r="AA57" s="2296" t="s">
        <v>1665</v>
      </c>
    </row>
    <row r="58" spans="1:27" s="2326" customFormat="1" hidden="1" x14ac:dyDescent="0.25">
      <c r="A58" s="2318"/>
      <c r="B58" s="2319">
        <v>981</v>
      </c>
      <c r="C58" s="2320" t="s">
        <v>1374</v>
      </c>
      <c r="D58" s="2336"/>
      <c r="E58" s="2351"/>
      <c r="F58" s="2336"/>
      <c r="G58" s="2336"/>
      <c r="H58" s="2319"/>
      <c r="I58" s="2361"/>
      <c r="J58" s="2361">
        <f>SUM(J59:J61)</f>
        <v>1.9</v>
      </c>
      <c r="K58" s="2361"/>
      <c r="L58" s="2319"/>
      <c r="M58" s="2361"/>
      <c r="N58" s="2361">
        <f>SUM(N59:N61)</f>
        <v>1.9</v>
      </c>
      <c r="O58" s="2361"/>
      <c r="P58" s="2319"/>
      <c r="Q58" s="2361"/>
      <c r="R58" s="2361"/>
      <c r="S58" s="2361">
        <f t="shared" si="2"/>
        <v>0</v>
      </c>
      <c r="T58" s="2361"/>
      <c r="U58" s="2361"/>
      <c r="V58" s="2336">
        <f t="shared" si="0"/>
        <v>-1.9</v>
      </c>
      <c r="W58" s="2336">
        <f t="shared" si="1"/>
        <v>0</v>
      </c>
      <c r="X58" s="2323">
        <f t="shared" si="6"/>
        <v>1.9</v>
      </c>
      <c r="Y58" s="2361"/>
      <c r="Z58" s="3477"/>
      <c r="AA58" s="2296" t="s">
        <v>1665</v>
      </c>
    </row>
    <row r="59" spans="1:27" s="2290" customFormat="1" hidden="1" x14ac:dyDescent="0.25">
      <c r="A59" s="2327"/>
      <c r="B59" s="2325"/>
      <c r="C59" s="2328" t="s">
        <v>2092</v>
      </c>
      <c r="D59" s="2333"/>
      <c r="E59" s="2354"/>
      <c r="F59" s="2333"/>
      <c r="G59" s="2333"/>
      <c r="H59" s="2325">
        <v>50</v>
      </c>
      <c r="I59" s="2364">
        <v>25</v>
      </c>
      <c r="J59" s="2364">
        <f t="shared" si="7"/>
        <v>1.3</v>
      </c>
      <c r="K59" s="2364"/>
      <c r="L59" s="2325">
        <v>50</v>
      </c>
      <c r="M59" s="2364">
        <v>25</v>
      </c>
      <c r="N59" s="2364">
        <f>L59*M59/1000</f>
        <v>1.3</v>
      </c>
      <c r="O59" s="2364"/>
      <c r="P59" s="2325"/>
      <c r="Q59" s="2364"/>
      <c r="R59" s="2364"/>
      <c r="S59" s="2364">
        <f t="shared" si="2"/>
        <v>0</v>
      </c>
      <c r="T59" s="2364"/>
      <c r="U59" s="2364"/>
      <c r="V59" s="2333">
        <f t="shared" si="0"/>
        <v>-1.3</v>
      </c>
      <c r="W59" s="2333">
        <f t="shared" si="1"/>
        <v>0</v>
      </c>
      <c r="X59" s="2331">
        <f t="shared" si="6"/>
        <v>1.3</v>
      </c>
      <c r="Y59" s="2364"/>
      <c r="Z59" s="3478"/>
      <c r="AA59" s="2296" t="s">
        <v>1665</v>
      </c>
    </row>
    <row r="60" spans="1:27" s="2290" customFormat="1" hidden="1" x14ac:dyDescent="0.25">
      <c r="A60" s="2327"/>
      <c r="B60" s="2325"/>
      <c r="C60" s="2328" t="s">
        <v>2093</v>
      </c>
      <c r="D60" s="2333"/>
      <c r="E60" s="2354"/>
      <c r="F60" s="2333"/>
      <c r="G60" s="2333"/>
      <c r="H60" s="2325">
        <v>25</v>
      </c>
      <c r="I60" s="2364">
        <v>25</v>
      </c>
      <c r="J60" s="2364">
        <f t="shared" si="7"/>
        <v>0.6</v>
      </c>
      <c r="K60" s="2364"/>
      <c r="L60" s="2325">
        <v>25</v>
      </c>
      <c r="M60" s="2364">
        <v>25</v>
      </c>
      <c r="N60" s="2364">
        <f>L60*M60/1000</f>
        <v>0.6</v>
      </c>
      <c r="O60" s="2364"/>
      <c r="P60" s="2325"/>
      <c r="Q60" s="2364"/>
      <c r="R60" s="2364"/>
      <c r="S60" s="2364">
        <f t="shared" si="2"/>
        <v>0</v>
      </c>
      <c r="T60" s="2364"/>
      <c r="U60" s="2364"/>
      <c r="V60" s="2333">
        <f t="shared" si="0"/>
        <v>-0.6</v>
      </c>
      <c r="W60" s="2333">
        <f t="shared" si="1"/>
        <v>0</v>
      </c>
      <c r="X60" s="2331">
        <f t="shared" si="6"/>
        <v>0.6</v>
      </c>
      <c r="Y60" s="2364"/>
      <c r="Z60" s="3478"/>
      <c r="AA60" s="2296" t="s">
        <v>1665</v>
      </c>
    </row>
    <row r="61" spans="1:27" s="2290" customFormat="1" hidden="1" x14ac:dyDescent="0.25">
      <c r="A61" s="2327"/>
      <c r="B61" s="2325"/>
      <c r="C61" s="2328" t="s">
        <v>2094</v>
      </c>
      <c r="D61" s="2333"/>
      <c r="E61" s="2354"/>
      <c r="F61" s="2333"/>
      <c r="G61" s="2333"/>
      <c r="H61" s="2325"/>
      <c r="I61" s="2364"/>
      <c r="J61" s="2364">
        <f t="shared" si="7"/>
        <v>0</v>
      </c>
      <c r="K61" s="2364"/>
      <c r="L61" s="2325"/>
      <c r="M61" s="2364"/>
      <c r="N61" s="2364">
        <f>L61*M61/1000</f>
        <v>0</v>
      </c>
      <c r="O61" s="2364"/>
      <c r="P61" s="2325"/>
      <c r="Q61" s="2364"/>
      <c r="R61" s="2364"/>
      <c r="S61" s="2364">
        <f t="shared" si="2"/>
        <v>0</v>
      </c>
      <c r="T61" s="2364"/>
      <c r="U61" s="2364"/>
      <c r="V61" s="2333">
        <f t="shared" si="0"/>
        <v>0</v>
      </c>
      <c r="W61" s="2333">
        <f t="shared" si="1"/>
        <v>0</v>
      </c>
      <c r="X61" s="2331">
        <f t="shared" si="6"/>
        <v>0</v>
      </c>
      <c r="Y61" s="2364"/>
      <c r="Z61" s="3479"/>
      <c r="AA61" s="2296" t="s">
        <v>1665</v>
      </c>
    </row>
    <row r="62" spans="1:27" s="2326" customFormat="1" hidden="1" x14ac:dyDescent="0.25">
      <c r="A62" s="2318"/>
      <c r="B62" s="2319">
        <v>963</v>
      </c>
      <c r="C62" s="2320" t="s">
        <v>798</v>
      </c>
      <c r="D62" s="2336"/>
      <c r="E62" s="2351"/>
      <c r="F62" s="2336"/>
      <c r="G62" s="2336"/>
      <c r="H62" s="2319"/>
      <c r="I62" s="2361"/>
      <c r="J62" s="2361">
        <f>SUM(J65:J66)</f>
        <v>11.3</v>
      </c>
      <c r="K62" s="2361"/>
      <c r="L62" s="2319"/>
      <c r="M62" s="2361"/>
      <c r="N62" s="2361">
        <f>SUM(N65:N66)</f>
        <v>11.3</v>
      </c>
      <c r="O62" s="2361"/>
      <c r="P62" s="2319"/>
      <c r="Q62" s="2361"/>
      <c r="R62" s="2361"/>
      <c r="S62" s="2361">
        <f t="shared" si="2"/>
        <v>0</v>
      </c>
      <c r="T62" s="2361"/>
      <c r="U62" s="2361"/>
      <c r="V62" s="2336">
        <f t="shared" si="0"/>
        <v>-11.3</v>
      </c>
      <c r="W62" s="2336">
        <f t="shared" si="1"/>
        <v>0</v>
      </c>
      <c r="X62" s="2323">
        <f t="shared" si="6"/>
        <v>11.3</v>
      </c>
      <c r="Y62" s="2361"/>
      <c r="Z62" s="2363"/>
      <c r="AA62" s="2296" t="s">
        <v>1665</v>
      </c>
    </row>
    <row r="63" spans="1:27" s="2326" customFormat="1" hidden="1" x14ac:dyDescent="0.25">
      <c r="A63" s="2318"/>
      <c r="B63" s="2319"/>
      <c r="C63" s="2328" t="s">
        <v>1371</v>
      </c>
      <c r="D63" s="2336"/>
      <c r="E63" s="2351"/>
      <c r="F63" s="2336"/>
      <c r="G63" s="2336"/>
      <c r="H63" s="2319"/>
      <c r="I63" s="2361"/>
      <c r="J63" s="2361"/>
      <c r="K63" s="2361"/>
      <c r="L63" s="2319"/>
      <c r="M63" s="2361"/>
      <c r="N63" s="2361"/>
      <c r="O63" s="2361"/>
      <c r="P63" s="2319"/>
      <c r="Q63" s="2361"/>
      <c r="R63" s="2361"/>
      <c r="S63" s="2361">
        <f t="shared" si="2"/>
        <v>0</v>
      </c>
      <c r="T63" s="2361"/>
      <c r="U63" s="2361"/>
      <c r="V63" s="2333">
        <f t="shared" si="0"/>
        <v>0</v>
      </c>
      <c r="W63" s="2333">
        <f t="shared" si="1"/>
        <v>0</v>
      </c>
      <c r="X63" s="2323">
        <f t="shared" si="6"/>
        <v>0</v>
      </c>
      <c r="Y63" s="2361"/>
      <c r="Z63" s="2365"/>
      <c r="AA63" s="2296" t="s">
        <v>1665</v>
      </c>
    </row>
    <row r="64" spans="1:27" s="2326" customFormat="1" hidden="1" x14ac:dyDescent="0.25">
      <c r="A64" s="2318"/>
      <c r="B64" s="2319"/>
      <c r="C64" s="2328" t="s">
        <v>2095</v>
      </c>
      <c r="D64" s="2336"/>
      <c r="E64" s="2351"/>
      <c r="F64" s="2336"/>
      <c r="G64" s="2336"/>
      <c r="H64" s="2319"/>
      <c r="I64" s="2361"/>
      <c r="J64" s="2361"/>
      <c r="K64" s="2361"/>
      <c r="L64" s="2319"/>
      <c r="M64" s="2361"/>
      <c r="N64" s="2361"/>
      <c r="O64" s="2361"/>
      <c r="P64" s="2319"/>
      <c r="Q64" s="2361"/>
      <c r="R64" s="2361"/>
      <c r="S64" s="2361">
        <f t="shared" si="2"/>
        <v>0</v>
      </c>
      <c r="T64" s="2361"/>
      <c r="U64" s="2361"/>
      <c r="V64" s="2333">
        <f t="shared" si="0"/>
        <v>0</v>
      </c>
      <c r="W64" s="2333">
        <f t="shared" si="1"/>
        <v>0</v>
      </c>
      <c r="X64" s="2323">
        <f t="shared" si="6"/>
        <v>0</v>
      </c>
      <c r="Y64" s="2361"/>
      <c r="Z64" s="2365"/>
      <c r="AA64" s="2296" t="s">
        <v>1665</v>
      </c>
    </row>
    <row r="65" spans="1:27" s="2326" customFormat="1" hidden="1" x14ac:dyDescent="0.25">
      <c r="A65" s="2318"/>
      <c r="B65" s="2325"/>
      <c r="C65" s="2328" t="s">
        <v>2096</v>
      </c>
      <c r="D65" s="2336"/>
      <c r="E65" s="2351"/>
      <c r="F65" s="2336"/>
      <c r="G65" s="2336"/>
      <c r="H65" s="2325">
        <v>25</v>
      </c>
      <c r="I65" s="2364">
        <v>200</v>
      </c>
      <c r="J65" s="2364">
        <f>H65*I65/1000</f>
        <v>5</v>
      </c>
      <c r="K65" s="2364"/>
      <c r="L65" s="2325">
        <v>25</v>
      </c>
      <c r="M65" s="2364">
        <v>200</v>
      </c>
      <c r="N65" s="2364">
        <f>L65*M65/1000</f>
        <v>5</v>
      </c>
      <c r="O65" s="2364"/>
      <c r="P65" s="2325"/>
      <c r="Q65" s="2364"/>
      <c r="R65" s="2364"/>
      <c r="S65" s="2364">
        <f t="shared" si="2"/>
        <v>0</v>
      </c>
      <c r="T65" s="2364"/>
      <c r="U65" s="2364"/>
      <c r="V65" s="2333">
        <f t="shared" si="0"/>
        <v>-5</v>
      </c>
      <c r="W65" s="2336">
        <f t="shared" si="1"/>
        <v>0</v>
      </c>
      <c r="X65" s="2331">
        <f t="shared" si="6"/>
        <v>5</v>
      </c>
      <c r="Y65" s="2364"/>
      <c r="Z65" s="3477"/>
      <c r="AA65" s="2296" t="s">
        <v>1665</v>
      </c>
    </row>
    <row r="66" spans="1:27" s="2290" customFormat="1" hidden="1" x14ac:dyDescent="0.25">
      <c r="A66" s="2327"/>
      <c r="B66" s="2325"/>
      <c r="C66" s="2328" t="s">
        <v>2097</v>
      </c>
      <c r="D66" s="2333"/>
      <c r="E66" s="2354"/>
      <c r="F66" s="2333"/>
      <c r="G66" s="2333"/>
      <c r="H66" s="2325">
        <v>25</v>
      </c>
      <c r="I66" s="2364">
        <v>250</v>
      </c>
      <c r="J66" s="2364">
        <f>H66*I66/1000</f>
        <v>6.3</v>
      </c>
      <c r="K66" s="2364"/>
      <c r="L66" s="2325">
        <v>25</v>
      </c>
      <c r="M66" s="2364">
        <v>250</v>
      </c>
      <c r="N66" s="2364">
        <f>L66*M66/1000</f>
        <v>6.3</v>
      </c>
      <c r="O66" s="2364"/>
      <c r="P66" s="2325"/>
      <c r="Q66" s="2364"/>
      <c r="R66" s="2364"/>
      <c r="S66" s="2364">
        <f t="shared" si="2"/>
        <v>0</v>
      </c>
      <c r="T66" s="2364"/>
      <c r="U66" s="2364"/>
      <c r="V66" s="2333">
        <f t="shared" si="0"/>
        <v>-6.3</v>
      </c>
      <c r="W66" s="2333">
        <f t="shared" si="1"/>
        <v>0</v>
      </c>
      <c r="X66" s="2331">
        <f t="shared" si="6"/>
        <v>6.3</v>
      </c>
      <c r="Y66" s="2364"/>
      <c r="Z66" s="3479"/>
      <c r="AA66" s="2296" t="s">
        <v>1665</v>
      </c>
    </row>
    <row r="67" spans="1:27" s="2290" customFormat="1" ht="31.5" hidden="1" x14ac:dyDescent="0.25">
      <c r="A67" s="2327"/>
      <c r="B67" s="2319">
        <v>981</v>
      </c>
      <c r="C67" s="2320" t="s">
        <v>2072</v>
      </c>
      <c r="D67" s="2333"/>
      <c r="E67" s="2354"/>
      <c r="F67" s="2333"/>
      <c r="G67" s="2333"/>
      <c r="H67" s="2319"/>
      <c r="I67" s="2361"/>
      <c r="J67" s="2361">
        <f>SUM(J68:J69)</f>
        <v>1.5</v>
      </c>
      <c r="K67" s="2361"/>
      <c r="L67" s="2319"/>
      <c r="M67" s="2361"/>
      <c r="N67" s="2361">
        <f>SUM(N68:N69)</f>
        <v>1.5</v>
      </c>
      <c r="O67" s="2361"/>
      <c r="P67" s="2319"/>
      <c r="Q67" s="2361"/>
      <c r="R67" s="2361"/>
      <c r="S67" s="2361">
        <f t="shared" si="2"/>
        <v>0</v>
      </c>
      <c r="T67" s="2361"/>
      <c r="U67" s="2361"/>
      <c r="V67" s="2333">
        <f t="shared" si="0"/>
        <v>-1.5</v>
      </c>
      <c r="W67" s="2333">
        <f t="shared" si="1"/>
        <v>0</v>
      </c>
      <c r="X67" s="2323">
        <f t="shared" si="6"/>
        <v>1.5</v>
      </c>
      <c r="Y67" s="2361"/>
      <c r="Z67" s="2363"/>
      <c r="AA67" s="2296" t="s">
        <v>1665</v>
      </c>
    </row>
    <row r="68" spans="1:27" s="2290" customFormat="1" ht="31.5" hidden="1" x14ac:dyDescent="0.25">
      <c r="A68" s="2327"/>
      <c r="B68" s="2319"/>
      <c r="C68" s="2328" t="s">
        <v>2098</v>
      </c>
      <c r="D68" s="2333"/>
      <c r="E68" s="2354"/>
      <c r="F68" s="2333"/>
      <c r="G68" s="2333"/>
      <c r="H68" s="2325"/>
      <c r="I68" s="2364"/>
      <c r="J68" s="2364">
        <f>H68*I68/1000</f>
        <v>0</v>
      </c>
      <c r="K68" s="2361"/>
      <c r="L68" s="2325"/>
      <c r="M68" s="2364"/>
      <c r="N68" s="2364">
        <f>L68*M68/1000</f>
        <v>0</v>
      </c>
      <c r="O68" s="2361"/>
      <c r="P68" s="2325"/>
      <c r="Q68" s="2364"/>
      <c r="R68" s="2364">
        <f>P68*Q68/1000</f>
        <v>0</v>
      </c>
      <c r="S68" s="2364">
        <f t="shared" si="2"/>
        <v>0</v>
      </c>
      <c r="T68" s="2364"/>
      <c r="U68" s="2361"/>
      <c r="V68" s="2333">
        <f t="shared" si="0"/>
        <v>0</v>
      </c>
      <c r="W68" s="2333">
        <f t="shared" si="1"/>
        <v>0</v>
      </c>
      <c r="X68" s="2331">
        <f t="shared" si="6"/>
        <v>0</v>
      </c>
      <c r="Y68" s="2361"/>
      <c r="Z68" s="2363"/>
      <c r="AA68" s="2296" t="s">
        <v>1665</v>
      </c>
    </row>
    <row r="69" spans="1:27" s="2326" customFormat="1" hidden="1" x14ac:dyDescent="0.25">
      <c r="A69" s="2318"/>
      <c r="B69" s="2325"/>
      <c r="C69" s="2328" t="s">
        <v>1962</v>
      </c>
      <c r="D69" s="2336"/>
      <c r="E69" s="2351"/>
      <c r="F69" s="2336"/>
      <c r="G69" s="2336"/>
      <c r="H69" s="2325">
        <v>15</v>
      </c>
      <c r="I69" s="2364">
        <v>100</v>
      </c>
      <c r="J69" s="2364">
        <f>H69*I69/1000</f>
        <v>1.5</v>
      </c>
      <c r="K69" s="2364"/>
      <c r="L69" s="2325">
        <v>15</v>
      </c>
      <c r="M69" s="2364">
        <v>100</v>
      </c>
      <c r="N69" s="2364">
        <f>L69*M69/1000</f>
        <v>1.5</v>
      </c>
      <c r="O69" s="2364"/>
      <c r="P69" s="2325"/>
      <c r="Q69" s="2364"/>
      <c r="R69" s="2364"/>
      <c r="S69" s="2364">
        <f t="shared" si="2"/>
        <v>0</v>
      </c>
      <c r="T69" s="2364"/>
      <c r="U69" s="2364"/>
      <c r="V69" s="2336">
        <f t="shared" si="0"/>
        <v>-1.5</v>
      </c>
      <c r="W69" s="2336">
        <f t="shared" si="1"/>
        <v>0</v>
      </c>
      <c r="X69" s="2331">
        <f t="shared" si="6"/>
        <v>1.5</v>
      </c>
      <c r="Y69" s="2364"/>
      <c r="Z69" s="2363"/>
      <c r="AA69" s="2296" t="s">
        <v>1665</v>
      </c>
    </row>
    <row r="70" spans="1:27" s="2317" customFormat="1" ht="31.5" hidden="1" x14ac:dyDescent="0.2">
      <c r="A70" s="2366">
        <v>6</v>
      </c>
      <c r="B70" s="2366"/>
      <c r="C70" s="2367" t="s">
        <v>2099</v>
      </c>
      <c r="D70" s="2349"/>
      <c r="E70" s="2348"/>
      <c r="F70" s="2368"/>
      <c r="G70" s="2349">
        <f>G75+G78</f>
        <v>6.5</v>
      </c>
      <c r="H70" s="2368"/>
      <c r="I70" s="2369"/>
      <c r="J70" s="2349">
        <v>0</v>
      </c>
      <c r="K70" s="2349">
        <f>K71+K75+K78+K80+K82</f>
        <v>27.5</v>
      </c>
      <c r="L70" s="2368"/>
      <c r="M70" s="2369"/>
      <c r="N70" s="2349">
        <v>0</v>
      </c>
      <c r="O70" s="2349">
        <f>O71+O75+O78+O80+O82</f>
        <v>27.5</v>
      </c>
      <c r="P70" s="2368"/>
      <c r="Q70" s="2369"/>
      <c r="R70" s="2349">
        <v>0</v>
      </c>
      <c r="S70" s="2349">
        <f t="shared" si="2"/>
        <v>0</v>
      </c>
      <c r="T70" s="2349"/>
      <c r="U70" s="2349">
        <f>U71+U75+U78+U80+U82</f>
        <v>23.7</v>
      </c>
      <c r="V70" s="2349">
        <f t="shared" si="0"/>
        <v>0</v>
      </c>
      <c r="W70" s="2349">
        <f t="shared" si="1"/>
        <v>0</v>
      </c>
      <c r="X70" s="2349"/>
      <c r="Y70" s="2349"/>
      <c r="Z70" s="2368"/>
      <c r="AA70" s="2296" t="s">
        <v>1665</v>
      </c>
    </row>
    <row r="71" spans="1:27" s="2326" customFormat="1" ht="31.5" hidden="1" x14ac:dyDescent="0.25">
      <c r="A71" s="2370"/>
      <c r="B71" s="2371">
        <v>955</v>
      </c>
      <c r="C71" s="2372" t="s">
        <v>1401</v>
      </c>
      <c r="D71" s="2373"/>
      <c r="E71" s="2374"/>
      <c r="F71" s="2373"/>
      <c r="G71" s="2373"/>
      <c r="H71" s="2375"/>
      <c r="I71" s="2376"/>
      <c r="J71" s="2373"/>
      <c r="K71" s="2377">
        <f>SUM(K72:K74)</f>
        <v>8.8000000000000007</v>
      </c>
      <c r="L71" s="2375"/>
      <c r="M71" s="2376"/>
      <c r="N71" s="2373"/>
      <c r="O71" s="2378">
        <f>SUM(O72:O74)</f>
        <v>8.8000000000000007</v>
      </c>
      <c r="P71" s="2375"/>
      <c r="Q71" s="2376"/>
      <c r="R71" s="2373"/>
      <c r="S71" s="2373">
        <f t="shared" si="2"/>
        <v>0</v>
      </c>
      <c r="T71" s="2373"/>
      <c r="U71" s="2377">
        <f>SUM(U72:U74)</f>
        <v>13.2</v>
      </c>
      <c r="V71" s="2379">
        <f t="shared" si="0"/>
        <v>0</v>
      </c>
      <c r="W71" s="2373">
        <f t="shared" si="1"/>
        <v>0</v>
      </c>
      <c r="X71" s="2342"/>
      <c r="Y71" s="2342"/>
      <c r="Z71" s="2375"/>
      <c r="AA71" s="2296" t="s">
        <v>1665</v>
      </c>
    </row>
    <row r="72" spans="1:27" s="2290" customFormat="1" hidden="1" x14ac:dyDescent="0.25">
      <c r="A72" s="2380"/>
      <c r="B72" s="2381"/>
      <c r="C72" s="2328" t="s">
        <v>1519</v>
      </c>
      <c r="D72" s="2342"/>
      <c r="E72" s="2382"/>
      <c r="F72" s="2342"/>
      <c r="G72" s="2342"/>
      <c r="H72" s="2383"/>
      <c r="I72" s="2333"/>
      <c r="J72" s="2342"/>
      <c r="K72" s="2384"/>
      <c r="L72" s="2383"/>
      <c r="M72" s="2333"/>
      <c r="N72" s="2342"/>
      <c r="O72" s="2385"/>
      <c r="P72" s="2383">
        <v>1</v>
      </c>
      <c r="Q72" s="2333">
        <v>3450</v>
      </c>
      <c r="R72" s="2342"/>
      <c r="S72" s="2342">
        <f t="shared" si="2"/>
        <v>0</v>
      </c>
      <c r="T72" s="2342"/>
      <c r="U72" s="2384">
        <f>P72*Q72/1000</f>
        <v>3.5</v>
      </c>
      <c r="V72" s="2386">
        <f t="shared" si="0"/>
        <v>0</v>
      </c>
      <c r="W72" s="2342">
        <f t="shared" si="1"/>
        <v>0</v>
      </c>
      <c r="X72" s="2342"/>
      <c r="Y72" s="2342"/>
      <c r="Z72" s="2387"/>
      <c r="AA72" s="2296" t="s">
        <v>1665</v>
      </c>
    </row>
    <row r="73" spans="1:27" s="2290" customFormat="1" hidden="1" x14ac:dyDescent="0.25">
      <c r="A73" s="2380"/>
      <c r="B73" s="2381"/>
      <c r="C73" s="2328" t="s">
        <v>1521</v>
      </c>
      <c r="D73" s="2342"/>
      <c r="E73" s="2382"/>
      <c r="F73" s="2342"/>
      <c r="G73" s="2342"/>
      <c r="H73" s="2388">
        <v>2</v>
      </c>
      <c r="I73" s="2333">
        <v>3450</v>
      </c>
      <c r="J73" s="2342"/>
      <c r="K73" s="2384">
        <f>H73*I73/1000</f>
        <v>6.9</v>
      </c>
      <c r="L73" s="2388">
        <v>2</v>
      </c>
      <c r="M73" s="2333">
        <v>3450</v>
      </c>
      <c r="N73" s="2342"/>
      <c r="O73" s="2385">
        <f>L73*M73/1000</f>
        <v>6.9</v>
      </c>
      <c r="P73" s="2388">
        <v>2</v>
      </c>
      <c r="Q73" s="2333">
        <v>3450</v>
      </c>
      <c r="R73" s="2342"/>
      <c r="S73" s="2342">
        <f t="shared" si="2"/>
        <v>0</v>
      </c>
      <c r="T73" s="2342"/>
      <c r="U73" s="2384">
        <f>P73*Q73/1000</f>
        <v>6.9</v>
      </c>
      <c r="V73" s="2386">
        <f t="shared" si="0"/>
        <v>0</v>
      </c>
      <c r="W73" s="2342">
        <f t="shared" si="1"/>
        <v>0</v>
      </c>
      <c r="X73" s="2342"/>
      <c r="Y73" s="2342"/>
      <c r="Z73" s="2363"/>
      <c r="AA73" s="2296" t="s">
        <v>1665</v>
      </c>
    </row>
    <row r="74" spans="1:27" s="2326" customFormat="1" hidden="1" x14ac:dyDescent="0.25">
      <c r="A74" s="2380"/>
      <c r="B74" s="2381"/>
      <c r="C74" s="2328" t="s">
        <v>1234</v>
      </c>
      <c r="D74" s="2373"/>
      <c r="E74" s="2374"/>
      <c r="F74" s="2373"/>
      <c r="G74" s="2373"/>
      <c r="H74" s="2388"/>
      <c r="I74" s="2333"/>
      <c r="J74" s="2342"/>
      <c r="K74" s="2384">
        <f>K73*0.271</f>
        <v>1.9</v>
      </c>
      <c r="L74" s="2388"/>
      <c r="M74" s="2333"/>
      <c r="N74" s="2342"/>
      <c r="O74" s="2385">
        <f>O73*0.271</f>
        <v>1.9</v>
      </c>
      <c r="P74" s="2388"/>
      <c r="Q74" s="2333"/>
      <c r="R74" s="2342"/>
      <c r="S74" s="2342">
        <f t="shared" si="2"/>
        <v>0</v>
      </c>
      <c r="T74" s="2342"/>
      <c r="U74" s="2384">
        <f>SUM(U72:U73)*0.271</f>
        <v>2.8</v>
      </c>
      <c r="V74" s="2379">
        <f t="shared" si="0"/>
        <v>0</v>
      </c>
      <c r="W74" s="2373">
        <f t="shared" si="1"/>
        <v>0</v>
      </c>
      <c r="X74" s="2342"/>
      <c r="Y74" s="2342"/>
      <c r="Z74" s="2387"/>
      <c r="AA74" s="2296" t="s">
        <v>1665</v>
      </c>
    </row>
    <row r="75" spans="1:27" s="2290" customFormat="1" ht="31.5" hidden="1" x14ac:dyDescent="0.25">
      <c r="A75" s="2370"/>
      <c r="B75" s="2371">
        <v>981</v>
      </c>
      <c r="C75" s="2372" t="s">
        <v>2072</v>
      </c>
      <c r="D75" s="2342"/>
      <c r="E75" s="2382"/>
      <c r="F75" s="2342"/>
      <c r="G75" s="2389">
        <f>G76+G77</f>
        <v>4.5</v>
      </c>
      <c r="H75" s="2390"/>
      <c r="I75" s="2336"/>
      <c r="J75" s="2373"/>
      <c r="K75" s="2377">
        <f>SUM(K76:K77)</f>
        <v>3.3</v>
      </c>
      <c r="L75" s="2390"/>
      <c r="M75" s="2336"/>
      <c r="N75" s="2373"/>
      <c r="O75" s="2378">
        <f>SUM(O76:O77)</f>
        <v>3.3</v>
      </c>
      <c r="P75" s="2390"/>
      <c r="Q75" s="2336"/>
      <c r="R75" s="2373"/>
      <c r="S75" s="2373">
        <f t="shared" si="2"/>
        <v>0</v>
      </c>
      <c r="T75" s="2373"/>
      <c r="U75" s="2377">
        <f>SUM(U76:U77)</f>
        <v>1.2</v>
      </c>
      <c r="V75" s="2386">
        <f t="shared" si="0"/>
        <v>0</v>
      </c>
      <c r="W75" s="2342">
        <f t="shared" si="1"/>
        <v>0</v>
      </c>
      <c r="X75" s="2342"/>
      <c r="Y75" s="2342"/>
      <c r="Z75" s="3461"/>
      <c r="AA75" s="2296" t="s">
        <v>1665</v>
      </c>
    </row>
    <row r="76" spans="1:27" s="2326" customFormat="1" hidden="1" x14ac:dyDescent="0.25">
      <c r="A76" s="2380"/>
      <c r="B76" s="2381"/>
      <c r="C76" s="2391" t="s">
        <v>2100</v>
      </c>
      <c r="D76" s="2387">
        <v>25</v>
      </c>
      <c r="E76" s="2392">
        <v>100</v>
      </c>
      <c r="F76" s="2387"/>
      <c r="G76" s="2387">
        <f>D76*E76/1000</f>
        <v>2.5</v>
      </c>
      <c r="H76" s="2388">
        <v>25</v>
      </c>
      <c r="I76" s="2333">
        <v>50</v>
      </c>
      <c r="J76" s="2342"/>
      <c r="K76" s="2384">
        <f>H76*I76/1000</f>
        <v>1.3</v>
      </c>
      <c r="L76" s="2388">
        <v>25</v>
      </c>
      <c r="M76" s="2333">
        <v>50</v>
      </c>
      <c r="N76" s="2342"/>
      <c r="O76" s="2385">
        <f>L76*M76/1000</f>
        <v>1.3</v>
      </c>
      <c r="P76" s="2388">
        <v>12</v>
      </c>
      <c r="Q76" s="2333">
        <v>100</v>
      </c>
      <c r="R76" s="2342"/>
      <c r="S76" s="2342">
        <f t="shared" si="2"/>
        <v>0</v>
      </c>
      <c r="T76" s="2342"/>
      <c r="U76" s="2384">
        <f>P76*Q76/1000</f>
        <v>1.2</v>
      </c>
      <c r="V76" s="2379">
        <f t="shared" si="0"/>
        <v>0</v>
      </c>
      <c r="W76" s="2373">
        <f t="shared" si="1"/>
        <v>0</v>
      </c>
      <c r="X76" s="2342"/>
      <c r="Y76" s="2342"/>
      <c r="Z76" s="3462"/>
      <c r="AA76" s="2296" t="s">
        <v>1665</v>
      </c>
    </row>
    <row r="77" spans="1:27" s="2290" customFormat="1" hidden="1" x14ac:dyDescent="0.25">
      <c r="A77" s="2380"/>
      <c r="B77" s="2381"/>
      <c r="C77" s="2391" t="s">
        <v>2101</v>
      </c>
      <c r="D77" s="2387">
        <v>2</v>
      </c>
      <c r="E77" s="2392">
        <v>1000</v>
      </c>
      <c r="F77" s="2387"/>
      <c r="G77" s="2392">
        <f>D77*E77/1000</f>
        <v>2</v>
      </c>
      <c r="H77" s="2388">
        <v>2</v>
      </c>
      <c r="I77" s="2333">
        <v>1000</v>
      </c>
      <c r="J77" s="2342"/>
      <c r="K77" s="2384">
        <f>H77*I77/1000</f>
        <v>2</v>
      </c>
      <c r="L77" s="2388">
        <v>2</v>
      </c>
      <c r="M77" s="2333">
        <v>1000</v>
      </c>
      <c r="N77" s="2342"/>
      <c r="O77" s="2385">
        <f>L77*M77/1000</f>
        <v>2</v>
      </c>
      <c r="P77" s="2388"/>
      <c r="Q77" s="2333"/>
      <c r="R77" s="2342"/>
      <c r="S77" s="2342">
        <f t="shared" si="2"/>
        <v>0</v>
      </c>
      <c r="T77" s="2342"/>
      <c r="U77" s="2384"/>
      <c r="V77" s="2386">
        <f t="shared" ref="V77:V140" si="8">R77-J77</f>
        <v>0</v>
      </c>
      <c r="W77" s="2342">
        <f t="shared" ref="W77:W140" si="9">IFERROR((R77)/J77*100,0)</f>
        <v>0</v>
      </c>
      <c r="X77" s="2342"/>
      <c r="Y77" s="2342"/>
      <c r="Z77" s="2393"/>
      <c r="AA77" s="2296" t="s">
        <v>1665</v>
      </c>
    </row>
    <row r="78" spans="1:27" s="2290" customFormat="1" ht="47.25" hidden="1" x14ac:dyDescent="0.25">
      <c r="A78" s="2380"/>
      <c r="B78" s="2371">
        <v>981</v>
      </c>
      <c r="C78" s="2372" t="s">
        <v>2102</v>
      </c>
      <c r="D78" s="2342"/>
      <c r="E78" s="2382"/>
      <c r="F78" s="2342"/>
      <c r="G78" s="2389">
        <f>G79</f>
        <v>2</v>
      </c>
      <c r="H78" s="2390"/>
      <c r="I78" s="2336"/>
      <c r="J78" s="2373"/>
      <c r="K78" s="2377">
        <f>K79</f>
        <v>5</v>
      </c>
      <c r="L78" s="2390"/>
      <c r="M78" s="2336"/>
      <c r="N78" s="2373"/>
      <c r="O78" s="2378">
        <f>O79</f>
        <v>5</v>
      </c>
      <c r="P78" s="2390"/>
      <c r="Q78" s="2336"/>
      <c r="R78" s="2373"/>
      <c r="S78" s="2373">
        <f t="shared" ref="S78:S141" si="10">R78</f>
        <v>0</v>
      </c>
      <c r="T78" s="2373"/>
      <c r="U78" s="2377"/>
      <c r="V78" s="2386">
        <f t="shared" si="8"/>
        <v>0</v>
      </c>
      <c r="W78" s="2342">
        <f t="shared" si="9"/>
        <v>0</v>
      </c>
      <c r="X78" s="2342"/>
      <c r="Y78" s="2342"/>
      <c r="Z78" s="2393"/>
      <c r="AA78" s="2296" t="s">
        <v>1665</v>
      </c>
    </row>
    <row r="79" spans="1:27" s="2326" customFormat="1" hidden="1" x14ac:dyDescent="0.25">
      <c r="A79" s="2380"/>
      <c r="B79" s="2381"/>
      <c r="C79" s="2391" t="s">
        <v>2103</v>
      </c>
      <c r="D79" s="2387">
        <v>2</v>
      </c>
      <c r="E79" s="2392">
        <v>1000</v>
      </c>
      <c r="F79" s="2387"/>
      <c r="G79" s="2392">
        <f>D79*E79/1000</f>
        <v>2</v>
      </c>
      <c r="H79" s="2388">
        <v>25</v>
      </c>
      <c r="I79" s="2333">
        <v>200</v>
      </c>
      <c r="J79" s="2342"/>
      <c r="K79" s="2384">
        <f>H79*I79/1000</f>
        <v>5</v>
      </c>
      <c r="L79" s="2388">
        <v>25</v>
      </c>
      <c r="M79" s="2333">
        <v>200</v>
      </c>
      <c r="N79" s="2342"/>
      <c r="O79" s="2385">
        <f>L79*M79/1000</f>
        <v>5</v>
      </c>
      <c r="P79" s="2388"/>
      <c r="Q79" s="2333"/>
      <c r="R79" s="2342"/>
      <c r="S79" s="2342">
        <f t="shared" si="10"/>
        <v>0</v>
      </c>
      <c r="T79" s="2342"/>
      <c r="U79" s="2384"/>
      <c r="V79" s="2379">
        <f t="shared" si="8"/>
        <v>0</v>
      </c>
      <c r="W79" s="2373">
        <f t="shared" si="9"/>
        <v>0</v>
      </c>
      <c r="X79" s="2342"/>
      <c r="Y79" s="2342"/>
      <c r="Z79" s="2393"/>
      <c r="AA79" s="2296" t="s">
        <v>1665</v>
      </c>
    </row>
    <row r="80" spans="1:27" s="2290" customFormat="1" hidden="1" x14ac:dyDescent="0.25">
      <c r="A80" s="2370"/>
      <c r="B80" s="2371">
        <v>981</v>
      </c>
      <c r="C80" s="2372" t="s">
        <v>2104</v>
      </c>
      <c r="D80" s="2342"/>
      <c r="E80" s="2382"/>
      <c r="F80" s="2342"/>
      <c r="G80" s="2342"/>
      <c r="H80" s="2390"/>
      <c r="I80" s="2336"/>
      <c r="J80" s="2373"/>
      <c r="K80" s="2377">
        <f>SUM(K81:K81)</f>
        <v>3.4</v>
      </c>
      <c r="L80" s="2390"/>
      <c r="M80" s="2336"/>
      <c r="N80" s="2373"/>
      <c r="O80" s="2378">
        <f>SUM(O81:O81)</f>
        <v>3.4</v>
      </c>
      <c r="P80" s="2390"/>
      <c r="Q80" s="2336"/>
      <c r="R80" s="2373"/>
      <c r="S80" s="2373">
        <f t="shared" si="10"/>
        <v>0</v>
      </c>
      <c r="T80" s="2373"/>
      <c r="U80" s="2377">
        <f>U81</f>
        <v>2.5</v>
      </c>
      <c r="V80" s="2386">
        <f t="shared" si="8"/>
        <v>0</v>
      </c>
      <c r="W80" s="2342">
        <f t="shared" si="9"/>
        <v>0</v>
      </c>
      <c r="X80" s="2342"/>
      <c r="Y80" s="2342"/>
      <c r="Z80" s="2375"/>
      <c r="AA80" s="2296" t="s">
        <v>1665</v>
      </c>
    </row>
    <row r="81" spans="1:27" s="2290" customFormat="1" hidden="1" x14ac:dyDescent="0.25">
      <c r="A81" s="2380"/>
      <c r="B81" s="2381"/>
      <c r="C81" s="2391" t="s">
        <v>2105</v>
      </c>
      <c r="D81" s="2394"/>
      <c r="E81" s="2395"/>
      <c r="F81" s="2394"/>
      <c r="G81" s="2394"/>
      <c r="H81" s="2388">
        <v>50</v>
      </c>
      <c r="I81" s="2333">
        <v>68</v>
      </c>
      <c r="J81" s="2342"/>
      <c r="K81" s="2384">
        <f>H81*I81/1000</f>
        <v>3.4</v>
      </c>
      <c r="L81" s="2388">
        <v>50</v>
      </c>
      <c r="M81" s="2333">
        <v>68</v>
      </c>
      <c r="N81" s="2342"/>
      <c r="O81" s="2385">
        <f>L81*M81/1000</f>
        <v>3.4</v>
      </c>
      <c r="P81" s="2388">
        <v>50</v>
      </c>
      <c r="Q81" s="2333">
        <v>50</v>
      </c>
      <c r="R81" s="2342"/>
      <c r="S81" s="2342">
        <f t="shared" si="10"/>
        <v>0</v>
      </c>
      <c r="T81" s="2342"/>
      <c r="U81" s="2384">
        <f>P81*Q81/1000</f>
        <v>2.5</v>
      </c>
      <c r="V81" s="2396">
        <f t="shared" si="8"/>
        <v>0</v>
      </c>
      <c r="W81" s="2394">
        <f t="shared" si="9"/>
        <v>0</v>
      </c>
      <c r="X81" s="2342"/>
      <c r="Y81" s="2342"/>
      <c r="Z81" s="2387"/>
      <c r="AA81" s="2296" t="s">
        <v>1665</v>
      </c>
    </row>
    <row r="82" spans="1:27" s="2398" customFormat="1" hidden="1" x14ac:dyDescent="0.25">
      <c r="A82" s="2370"/>
      <c r="B82" s="2371">
        <v>963</v>
      </c>
      <c r="C82" s="2372" t="s">
        <v>798</v>
      </c>
      <c r="D82" s="2389"/>
      <c r="E82" s="2397"/>
      <c r="H82" s="2399"/>
      <c r="I82" s="2336"/>
      <c r="J82" s="2373"/>
      <c r="K82" s="2377">
        <f>SUM(K83:K84)</f>
        <v>7</v>
      </c>
      <c r="L82" s="2399"/>
      <c r="M82" s="2336"/>
      <c r="N82" s="2373"/>
      <c r="O82" s="2378">
        <f>SUM(O83:O84)</f>
        <v>7</v>
      </c>
      <c r="P82" s="2399"/>
      <c r="Q82" s="2336"/>
      <c r="R82" s="2373"/>
      <c r="S82" s="2373">
        <f t="shared" si="10"/>
        <v>0</v>
      </c>
      <c r="T82" s="2373"/>
      <c r="U82" s="2377">
        <f>SUM(U83:U84)</f>
        <v>6.8</v>
      </c>
      <c r="V82" s="2396">
        <f t="shared" si="8"/>
        <v>0</v>
      </c>
      <c r="W82" s="2394">
        <f t="shared" si="9"/>
        <v>0</v>
      </c>
      <c r="X82" s="2342"/>
      <c r="Y82" s="2342"/>
      <c r="Z82" s="2375"/>
      <c r="AA82" s="2296" t="s">
        <v>1665</v>
      </c>
    </row>
    <row r="83" spans="1:27" s="2400" customFormat="1" hidden="1" x14ac:dyDescent="0.25">
      <c r="A83" s="2380"/>
      <c r="B83" s="2381"/>
      <c r="C83" s="2391" t="s">
        <v>2095</v>
      </c>
      <c r="D83" s="2373"/>
      <c r="E83" s="2374"/>
      <c r="H83" s="2383">
        <v>10</v>
      </c>
      <c r="I83" s="2333">
        <v>200</v>
      </c>
      <c r="J83" s="2342"/>
      <c r="K83" s="2384">
        <f>H83*I83/1000</f>
        <v>2</v>
      </c>
      <c r="L83" s="2383">
        <v>10</v>
      </c>
      <c r="M83" s="2333">
        <v>200</v>
      </c>
      <c r="N83" s="2342"/>
      <c r="O83" s="2385">
        <f>L83*M83/1000</f>
        <v>2</v>
      </c>
      <c r="P83" s="2383">
        <v>10</v>
      </c>
      <c r="Q83" s="2333">
        <v>180</v>
      </c>
      <c r="R83" s="2342"/>
      <c r="S83" s="2342">
        <f t="shared" si="10"/>
        <v>0</v>
      </c>
      <c r="T83" s="2342"/>
      <c r="U83" s="2384">
        <f>P83*Q83/1000</f>
        <v>1.8</v>
      </c>
      <c r="V83" s="2396">
        <f t="shared" si="8"/>
        <v>0</v>
      </c>
      <c r="W83" s="2394">
        <f t="shared" si="9"/>
        <v>0</v>
      </c>
      <c r="X83" s="2342"/>
      <c r="Y83" s="2342"/>
      <c r="Z83" s="2387"/>
      <c r="AA83" s="2296" t="s">
        <v>1665</v>
      </c>
    </row>
    <row r="84" spans="1:27" s="2345" customFormat="1" hidden="1" x14ac:dyDescent="0.25">
      <c r="A84" s="2380"/>
      <c r="B84" s="2381"/>
      <c r="C84" s="2391" t="s">
        <v>2106</v>
      </c>
      <c r="D84" s="2342"/>
      <c r="E84" s="2382"/>
      <c r="H84" s="2383">
        <v>10</v>
      </c>
      <c r="I84" s="2333">
        <v>500</v>
      </c>
      <c r="J84" s="2342"/>
      <c r="K84" s="2384">
        <f>H84*I84/1000</f>
        <v>5</v>
      </c>
      <c r="L84" s="2383">
        <v>10</v>
      </c>
      <c r="M84" s="2333">
        <v>500</v>
      </c>
      <c r="N84" s="2342"/>
      <c r="O84" s="2385">
        <f>L84*M84/1000</f>
        <v>5</v>
      </c>
      <c r="P84" s="2383">
        <v>10</v>
      </c>
      <c r="Q84" s="2333">
        <v>500</v>
      </c>
      <c r="R84" s="2342"/>
      <c r="S84" s="2342">
        <f t="shared" si="10"/>
        <v>0</v>
      </c>
      <c r="T84" s="2342"/>
      <c r="U84" s="2384">
        <f>P84*Q84/1000</f>
        <v>5</v>
      </c>
      <c r="V84" s="2396">
        <f t="shared" si="8"/>
        <v>0</v>
      </c>
      <c r="W84" s="2394">
        <f t="shared" si="9"/>
        <v>0</v>
      </c>
      <c r="X84" s="2342"/>
      <c r="Y84" s="2342"/>
      <c r="Z84" s="2387"/>
      <c r="AA84" s="2296" t="s">
        <v>1665</v>
      </c>
    </row>
    <row r="85" spans="1:27" s="2408" customFormat="1" ht="31.5" hidden="1" x14ac:dyDescent="0.25">
      <c r="A85" s="2366">
        <v>7</v>
      </c>
      <c r="B85" s="2401"/>
      <c r="C85" s="2367" t="s">
        <v>2107</v>
      </c>
      <c r="D85" s="2402"/>
      <c r="E85" s="2403"/>
      <c r="F85" s="2402">
        <f>F86+F91</f>
        <v>0</v>
      </c>
      <c r="G85" s="2404">
        <f>G86+G91</f>
        <v>0</v>
      </c>
      <c r="H85" s="2402"/>
      <c r="I85" s="2405"/>
      <c r="J85" s="2404">
        <f>J86+J91</f>
        <v>0</v>
      </c>
      <c r="K85" s="2404">
        <f>K86+K91</f>
        <v>10</v>
      </c>
      <c r="L85" s="2402"/>
      <c r="M85" s="2405"/>
      <c r="N85" s="2404">
        <f>N86+N91</f>
        <v>0</v>
      </c>
      <c r="O85" s="2406">
        <f>O86+O91</f>
        <v>10</v>
      </c>
      <c r="P85" s="2402"/>
      <c r="Q85" s="2405"/>
      <c r="R85" s="2404">
        <f>R86+R91</f>
        <v>0</v>
      </c>
      <c r="S85" s="2404">
        <f t="shared" si="10"/>
        <v>0</v>
      </c>
      <c r="T85" s="2404"/>
      <c r="U85" s="2404">
        <f>U86+U91</f>
        <v>6</v>
      </c>
      <c r="V85" s="2407">
        <f t="shared" si="8"/>
        <v>0</v>
      </c>
      <c r="W85" s="2349">
        <f t="shared" si="9"/>
        <v>0</v>
      </c>
      <c r="X85" s="2404"/>
      <c r="Y85" s="2404"/>
      <c r="Z85" s="2316"/>
      <c r="AA85" s="2296" t="s">
        <v>1665</v>
      </c>
    </row>
    <row r="86" spans="1:27" s="2290" customFormat="1" ht="31.5" hidden="1" x14ac:dyDescent="0.25">
      <c r="A86" s="2370"/>
      <c r="B86" s="2371">
        <v>981</v>
      </c>
      <c r="C86" s="2372" t="s">
        <v>2072</v>
      </c>
      <c r="D86" s="2323"/>
      <c r="E86" s="2409"/>
      <c r="F86" s="2409"/>
      <c r="G86" s="2323"/>
      <c r="H86" s="2323"/>
      <c r="I86" s="2409"/>
      <c r="J86" s="2409"/>
      <c r="K86" s="2389">
        <f>SUM(K87:K90)</f>
        <v>8.4</v>
      </c>
      <c r="L86" s="2323"/>
      <c r="M86" s="2409"/>
      <c r="N86" s="2409"/>
      <c r="O86" s="2410">
        <f>SUM(O87:O90)</f>
        <v>8.4</v>
      </c>
      <c r="P86" s="2323"/>
      <c r="Q86" s="2409"/>
      <c r="R86" s="2409"/>
      <c r="S86" s="2409">
        <f t="shared" si="10"/>
        <v>0</v>
      </c>
      <c r="T86" s="2409"/>
      <c r="U86" s="2389">
        <f>SUM(U87:U90)</f>
        <v>4.4000000000000004</v>
      </c>
      <c r="V86" s="2379">
        <f t="shared" si="8"/>
        <v>0</v>
      </c>
      <c r="W86" s="2373">
        <f t="shared" si="9"/>
        <v>0</v>
      </c>
      <c r="X86" s="2389"/>
      <c r="Y86" s="2389"/>
      <c r="Z86" s="2387"/>
      <c r="AA86" s="2296" t="s">
        <v>1665</v>
      </c>
    </row>
    <row r="87" spans="1:27" s="2290" customFormat="1" hidden="1" x14ac:dyDescent="0.25">
      <c r="A87" s="2380"/>
      <c r="B87" s="2381"/>
      <c r="C87" s="2328" t="s">
        <v>1612</v>
      </c>
      <c r="D87" s="2331"/>
      <c r="E87" s="2411"/>
      <c r="F87" s="2411"/>
      <c r="G87" s="2331"/>
      <c r="H87" s="2331">
        <v>16</v>
      </c>
      <c r="I87" s="2411">
        <v>100</v>
      </c>
      <c r="J87" s="2411"/>
      <c r="K87" s="2412">
        <f>H87*I87/1000</f>
        <v>1.6</v>
      </c>
      <c r="L87" s="2331">
        <v>16</v>
      </c>
      <c r="M87" s="2411">
        <v>100</v>
      </c>
      <c r="N87" s="2411"/>
      <c r="O87" s="2413">
        <f>L87*M87/1000</f>
        <v>1.6</v>
      </c>
      <c r="P87" s="2331">
        <v>14</v>
      </c>
      <c r="Q87" s="2411">
        <v>100</v>
      </c>
      <c r="R87" s="2411"/>
      <c r="S87" s="2411">
        <f t="shared" si="10"/>
        <v>0</v>
      </c>
      <c r="T87" s="2411"/>
      <c r="U87" s="2412">
        <f>P87*Q87/1000</f>
        <v>1.4</v>
      </c>
      <c r="V87" s="2386">
        <f t="shared" si="8"/>
        <v>0</v>
      </c>
      <c r="W87" s="2342">
        <f t="shared" si="9"/>
        <v>0</v>
      </c>
      <c r="X87" s="2412"/>
      <c r="Y87" s="2412"/>
      <c r="Z87" s="2387"/>
      <c r="AA87" s="2296" t="s">
        <v>1665</v>
      </c>
    </row>
    <row r="88" spans="1:27" s="2326" customFormat="1" hidden="1" x14ac:dyDescent="0.25">
      <c r="A88" s="2380"/>
      <c r="B88" s="2381"/>
      <c r="C88" s="2391" t="s">
        <v>1614</v>
      </c>
      <c r="D88" s="2331"/>
      <c r="E88" s="2411"/>
      <c r="F88" s="2411"/>
      <c r="G88" s="2331"/>
      <c r="H88" s="2331">
        <v>4</v>
      </c>
      <c r="I88" s="2411">
        <v>300</v>
      </c>
      <c r="J88" s="2411"/>
      <c r="K88" s="2412">
        <f>H88*I88/1000</f>
        <v>1.2</v>
      </c>
      <c r="L88" s="2331">
        <v>4</v>
      </c>
      <c r="M88" s="2411">
        <v>300</v>
      </c>
      <c r="N88" s="2411"/>
      <c r="O88" s="2413">
        <f>L88*M88/1000</f>
        <v>1.2</v>
      </c>
      <c r="P88" s="2331">
        <v>4</v>
      </c>
      <c r="Q88" s="2411">
        <v>380</v>
      </c>
      <c r="R88" s="2411"/>
      <c r="S88" s="2411">
        <f t="shared" si="10"/>
        <v>0</v>
      </c>
      <c r="T88" s="2411"/>
      <c r="U88" s="2412">
        <f>P88*Q88/1000</f>
        <v>1.5</v>
      </c>
      <c r="V88" s="2386">
        <f t="shared" si="8"/>
        <v>0</v>
      </c>
      <c r="W88" s="2342">
        <f t="shared" si="9"/>
        <v>0</v>
      </c>
      <c r="X88" s="2412"/>
      <c r="Y88" s="2412"/>
      <c r="Z88" s="2387"/>
      <c r="AA88" s="2296" t="s">
        <v>1665</v>
      </c>
    </row>
    <row r="89" spans="1:27" s="2326" customFormat="1" hidden="1" x14ac:dyDescent="0.25">
      <c r="A89" s="2380"/>
      <c r="B89" s="2381"/>
      <c r="C89" s="2391" t="s">
        <v>1615</v>
      </c>
      <c r="D89" s="2331"/>
      <c r="E89" s="2411"/>
      <c r="F89" s="2411"/>
      <c r="G89" s="2331"/>
      <c r="H89" s="2331">
        <v>4</v>
      </c>
      <c r="I89" s="2411">
        <v>300</v>
      </c>
      <c r="J89" s="2411"/>
      <c r="K89" s="2412">
        <f>H89*I89/1000</f>
        <v>1.2</v>
      </c>
      <c r="L89" s="2331">
        <v>4</v>
      </c>
      <c r="M89" s="2411">
        <v>300</v>
      </c>
      <c r="N89" s="2411"/>
      <c r="O89" s="2413">
        <f>L89*M89/1000</f>
        <v>1.2</v>
      </c>
      <c r="P89" s="2331">
        <v>4</v>
      </c>
      <c r="Q89" s="2411">
        <v>380</v>
      </c>
      <c r="R89" s="2411"/>
      <c r="S89" s="2411">
        <f t="shared" si="10"/>
        <v>0</v>
      </c>
      <c r="T89" s="2411"/>
      <c r="U89" s="2412">
        <f>P89*Q89/1000</f>
        <v>1.5</v>
      </c>
      <c r="V89" s="2386">
        <f t="shared" si="8"/>
        <v>0</v>
      </c>
      <c r="W89" s="2342">
        <f t="shared" si="9"/>
        <v>0</v>
      </c>
      <c r="X89" s="2412"/>
      <c r="Y89" s="2412"/>
      <c r="Z89" s="2387"/>
      <c r="AA89" s="2296" t="s">
        <v>1665</v>
      </c>
    </row>
    <row r="90" spans="1:27" s="2290" customFormat="1" ht="31.5" hidden="1" x14ac:dyDescent="0.25">
      <c r="A90" s="2380"/>
      <c r="B90" s="2381"/>
      <c r="C90" s="2391" t="s">
        <v>2108</v>
      </c>
      <c r="D90" s="2331"/>
      <c r="E90" s="2411"/>
      <c r="F90" s="2411"/>
      <c r="G90" s="2331"/>
      <c r="H90" s="2331">
        <v>2</v>
      </c>
      <c r="I90" s="2411">
        <v>2200</v>
      </c>
      <c r="J90" s="2411"/>
      <c r="K90" s="2412">
        <f>H90*I90/1000</f>
        <v>4.4000000000000004</v>
      </c>
      <c r="L90" s="2331">
        <v>2</v>
      </c>
      <c r="M90" s="2411">
        <v>2200</v>
      </c>
      <c r="N90" s="2411"/>
      <c r="O90" s="2413">
        <f>L90*M90/1000</f>
        <v>4.4000000000000004</v>
      </c>
      <c r="P90" s="2331"/>
      <c r="Q90" s="2411"/>
      <c r="R90" s="2411"/>
      <c r="S90" s="2411">
        <f t="shared" si="10"/>
        <v>0</v>
      </c>
      <c r="T90" s="2411"/>
      <c r="U90" s="2412">
        <f>P90*Q90/1000</f>
        <v>0</v>
      </c>
      <c r="V90" s="2386">
        <f t="shared" si="8"/>
        <v>0</v>
      </c>
      <c r="W90" s="2342">
        <f t="shared" si="9"/>
        <v>0</v>
      </c>
      <c r="X90" s="2412"/>
      <c r="Y90" s="2412"/>
      <c r="Z90" s="2387"/>
      <c r="AA90" s="2296" t="s">
        <v>1665</v>
      </c>
    </row>
    <row r="91" spans="1:27" s="2326" customFormat="1" hidden="1" x14ac:dyDescent="0.25">
      <c r="A91" s="2370"/>
      <c r="B91" s="2371">
        <v>963</v>
      </c>
      <c r="C91" s="2372" t="s">
        <v>798</v>
      </c>
      <c r="D91" s="2323"/>
      <c r="E91" s="2409"/>
      <c r="F91" s="2409"/>
      <c r="G91" s="2323"/>
      <c r="H91" s="2323"/>
      <c r="I91" s="2409"/>
      <c r="J91" s="2409"/>
      <c r="K91" s="2389">
        <f>K92</f>
        <v>1.6</v>
      </c>
      <c r="L91" s="2323"/>
      <c r="M91" s="2409"/>
      <c r="N91" s="2409"/>
      <c r="O91" s="2410">
        <f>O92</f>
        <v>1.6</v>
      </c>
      <c r="P91" s="2323"/>
      <c r="Q91" s="2409"/>
      <c r="R91" s="2409"/>
      <c r="S91" s="2409">
        <f t="shared" si="10"/>
        <v>0</v>
      </c>
      <c r="T91" s="2409"/>
      <c r="U91" s="2389">
        <f>U92</f>
        <v>1.6</v>
      </c>
      <c r="V91" s="2379">
        <f t="shared" si="8"/>
        <v>0</v>
      </c>
      <c r="W91" s="2373">
        <f t="shared" si="9"/>
        <v>0</v>
      </c>
      <c r="X91" s="2389"/>
      <c r="Y91" s="2389"/>
      <c r="Z91" s="2387"/>
      <c r="AA91" s="2296" t="s">
        <v>1665</v>
      </c>
    </row>
    <row r="92" spans="1:27" s="2290" customFormat="1" hidden="1" x14ac:dyDescent="0.25">
      <c r="A92" s="2380"/>
      <c r="B92" s="2381"/>
      <c r="C92" s="2391" t="s">
        <v>2095</v>
      </c>
      <c r="D92" s="2323"/>
      <c r="E92" s="2409"/>
      <c r="F92" s="2409"/>
      <c r="G92" s="2323"/>
      <c r="H92" s="2331">
        <v>16</v>
      </c>
      <c r="I92" s="2411">
        <v>100</v>
      </c>
      <c r="J92" s="2411"/>
      <c r="K92" s="2412">
        <f>H92*I92/1000</f>
        <v>1.6</v>
      </c>
      <c r="L92" s="2331">
        <v>16</v>
      </c>
      <c r="M92" s="2411">
        <v>100</v>
      </c>
      <c r="N92" s="2411"/>
      <c r="O92" s="2413">
        <f>L92*M92/1000</f>
        <v>1.6</v>
      </c>
      <c r="P92" s="2331">
        <v>20</v>
      </c>
      <c r="Q92" s="2411">
        <v>80</v>
      </c>
      <c r="R92" s="2411"/>
      <c r="S92" s="2411">
        <f t="shared" si="10"/>
        <v>0</v>
      </c>
      <c r="T92" s="2411"/>
      <c r="U92" s="2412">
        <f>P92*Q92/1000</f>
        <v>1.6</v>
      </c>
      <c r="V92" s="2386">
        <f t="shared" si="8"/>
        <v>0</v>
      </c>
      <c r="W92" s="2342">
        <f t="shared" si="9"/>
        <v>0</v>
      </c>
      <c r="X92" s="2412"/>
      <c r="Y92" s="2412"/>
      <c r="Z92" s="2387"/>
      <c r="AA92" s="2296" t="s">
        <v>1665</v>
      </c>
    </row>
    <row r="93" spans="1:27" s="2408" customFormat="1" ht="31.5" hidden="1" x14ac:dyDescent="0.25">
      <c r="A93" s="2366">
        <v>8</v>
      </c>
      <c r="B93" s="2401"/>
      <c r="C93" s="2367" t="s">
        <v>2109</v>
      </c>
      <c r="D93" s="2368"/>
      <c r="E93" s="2403"/>
      <c r="F93" s="2349">
        <f>F96+F102+F104+F109+F111+F113+F94+F106</f>
        <v>286.7</v>
      </c>
      <c r="G93" s="2349"/>
      <c r="H93" s="2349"/>
      <c r="I93" s="2349"/>
      <c r="J93" s="2349"/>
      <c r="K93" s="2349"/>
      <c r="L93" s="2349"/>
      <c r="M93" s="2349"/>
      <c r="N93" s="2349"/>
      <c r="O93" s="2414"/>
      <c r="P93" s="2349"/>
      <c r="Q93" s="2349"/>
      <c r="R93" s="2349"/>
      <c r="S93" s="2349">
        <f t="shared" si="10"/>
        <v>0</v>
      </c>
      <c r="T93" s="2349"/>
      <c r="U93" s="2349"/>
      <c r="V93" s="2407">
        <f t="shared" si="8"/>
        <v>0</v>
      </c>
      <c r="W93" s="2349">
        <f t="shared" si="9"/>
        <v>0</v>
      </c>
      <c r="X93" s="2349"/>
      <c r="Y93" s="2349"/>
      <c r="Z93" s="2368"/>
      <c r="AA93" s="2296" t="s">
        <v>1665</v>
      </c>
    </row>
    <row r="94" spans="1:27" s="2326" customFormat="1" ht="31.5" hidden="1" x14ac:dyDescent="0.25">
      <c r="A94" s="2371"/>
      <c r="B94" s="2371">
        <v>971</v>
      </c>
      <c r="C94" s="2372" t="s">
        <v>2110</v>
      </c>
      <c r="D94" s="2375"/>
      <c r="E94" s="2415"/>
      <c r="F94" s="2336">
        <f>F95</f>
        <v>190</v>
      </c>
      <c r="G94" s="2416"/>
      <c r="H94" s="2416"/>
      <c r="I94" s="2416"/>
      <c r="J94" s="2417"/>
      <c r="K94" s="2416"/>
      <c r="L94" s="2416"/>
      <c r="M94" s="2416"/>
      <c r="N94" s="2417"/>
      <c r="O94" s="2418"/>
      <c r="P94" s="2416"/>
      <c r="Q94" s="2416"/>
      <c r="R94" s="2417"/>
      <c r="S94" s="2417">
        <f t="shared" si="10"/>
        <v>0</v>
      </c>
      <c r="T94" s="2417"/>
      <c r="U94" s="2416"/>
      <c r="V94" s="2419">
        <f t="shared" si="8"/>
        <v>0</v>
      </c>
      <c r="W94" s="2416">
        <f t="shared" si="9"/>
        <v>0</v>
      </c>
      <c r="X94" s="2417"/>
      <c r="Y94" s="2416"/>
      <c r="Z94" s="2375"/>
      <c r="AA94" s="2296" t="s">
        <v>1665</v>
      </c>
    </row>
    <row r="95" spans="1:27" s="2290" customFormat="1" ht="47.25" hidden="1" x14ac:dyDescent="0.25">
      <c r="A95" s="2381"/>
      <c r="B95" s="2381"/>
      <c r="C95" s="2391" t="s">
        <v>2111</v>
      </c>
      <c r="D95" s="2387">
        <v>8</v>
      </c>
      <c r="E95" s="2420">
        <v>23750</v>
      </c>
      <c r="F95" s="2333">
        <f>D95*E95/1000</f>
        <v>190</v>
      </c>
      <c r="G95" s="2417"/>
      <c r="H95" s="2417"/>
      <c r="I95" s="2417"/>
      <c r="J95" s="2417"/>
      <c r="K95" s="2417"/>
      <c r="L95" s="2417"/>
      <c r="M95" s="2417"/>
      <c r="N95" s="2417"/>
      <c r="O95" s="2421"/>
      <c r="P95" s="2417"/>
      <c r="Q95" s="2417"/>
      <c r="R95" s="2417"/>
      <c r="S95" s="2417">
        <f t="shared" si="10"/>
        <v>0</v>
      </c>
      <c r="T95" s="2417"/>
      <c r="U95" s="2417"/>
      <c r="V95" s="2422">
        <f t="shared" si="8"/>
        <v>0</v>
      </c>
      <c r="W95" s="2417">
        <f t="shared" si="9"/>
        <v>0</v>
      </c>
      <c r="X95" s="2417"/>
      <c r="Y95" s="2417"/>
      <c r="Z95" s="2387"/>
      <c r="AA95" s="2296" t="s">
        <v>1665</v>
      </c>
    </row>
    <row r="96" spans="1:27" s="2326" customFormat="1" ht="31.5" hidden="1" x14ac:dyDescent="0.25">
      <c r="A96" s="2370"/>
      <c r="B96" s="2371">
        <v>955</v>
      </c>
      <c r="C96" s="2372" t="s">
        <v>1401</v>
      </c>
      <c r="D96" s="2390"/>
      <c r="E96" s="2351"/>
      <c r="F96" s="2336">
        <f>SUM(F97:F101)</f>
        <v>34.299999999999997</v>
      </c>
      <c r="G96" s="2336"/>
      <c r="H96" s="2336"/>
      <c r="I96" s="2336"/>
      <c r="J96" s="2336"/>
      <c r="K96" s="2336"/>
      <c r="L96" s="2336"/>
      <c r="M96" s="2336"/>
      <c r="N96" s="2336"/>
      <c r="O96" s="2352"/>
      <c r="P96" s="2336"/>
      <c r="Q96" s="2336"/>
      <c r="R96" s="2336"/>
      <c r="S96" s="2336">
        <f t="shared" si="10"/>
        <v>0</v>
      </c>
      <c r="T96" s="2336"/>
      <c r="U96" s="2336"/>
      <c r="V96" s="2419">
        <f t="shared" si="8"/>
        <v>0</v>
      </c>
      <c r="W96" s="2416">
        <f t="shared" si="9"/>
        <v>0</v>
      </c>
      <c r="X96" s="2417"/>
      <c r="Y96" s="2336"/>
      <c r="Z96" s="2423"/>
      <c r="AA96" s="2296" t="s">
        <v>1665</v>
      </c>
    </row>
    <row r="97" spans="1:27" s="2290" customFormat="1" hidden="1" x14ac:dyDescent="0.25">
      <c r="A97" s="2380"/>
      <c r="B97" s="2371"/>
      <c r="C97" s="2391" t="s">
        <v>2112</v>
      </c>
      <c r="D97" s="2388">
        <v>4</v>
      </c>
      <c r="E97" s="2354">
        <v>1725</v>
      </c>
      <c r="F97" s="2333">
        <f>D97*E97/1000</f>
        <v>6.9</v>
      </c>
      <c r="G97" s="2333"/>
      <c r="H97" s="2333"/>
      <c r="I97" s="2333"/>
      <c r="J97" s="2333"/>
      <c r="K97" s="2333"/>
      <c r="L97" s="2333"/>
      <c r="M97" s="2333"/>
      <c r="N97" s="2333"/>
      <c r="O97" s="2355"/>
      <c r="P97" s="2333"/>
      <c r="Q97" s="2333"/>
      <c r="R97" s="2333"/>
      <c r="S97" s="2333">
        <f t="shared" si="10"/>
        <v>0</v>
      </c>
      <c r="T97" s="2333"/>
      <c r="U97" s="2333"/>
      <c r="V97" s="2422">
        <f t="shared" si="8"/>
        <v>0</v>
      </c>
      <c r="W97" s="2417">
        <f t="shared" si="9"/>
        <v>0</v>
      </c>
      <c r="X97" s="2417"/>
      <c r="Y97" s="2333"/>
      <c r="Z97" s="2387"/>
      <c r="AA97" s="2296" t="s">
        <v>1665</v>
      </c>
    </row>
    <row r="98" spans="1:27" s="2290" customFormat="1" hidden="1" x14ac:dyDescent="0.25">
      <c r="A98" s="2380"/>
      <c r="B98" s="2371"/>
      <c r="C98" s="2391" t="s">
        <v>1737</v>
      </c>
      <c r="D98" s="2388">
        <v>1</v>
      </c>
      <c r="E98" s="2354">
        <v>3500</v>
      </c>
      <c r="F98" s="2333">
        <f>D98*E98/1000</f>
        <v>3.5</v>
      </c>
      <c r="G98" s="2333"/>
      <c r="H98" s="2333"/>
      <c r="I98" s="2333"/>
      <c r="J98" s="2333"/>
      <c r="K98" s="2333"/>
      <c r="L98" s="2333"/>
      <c r="M98" s="2333"/>
      <c r="N98" s="2333"/>
      <c r="O98" s="2355"/>
      <c r="P98" s="2333"/>
      <c r="Q98" s="2333"/>
      <c r="R98" s="2333"/>
      <c r="S98" s="2333">
        <f t="shared" si="10"/>
        <v>0</v>
      </c>
      <c r="T98" s="2333"/>
      <c r="U98" s="2333"/>
      <c r="V98" s="2422">
        <f t="shared" si="8"/>
        <v>0</v>
      </c>
      <c r="W98" s="2417">
        <f t="shared" si="9"/>
        <v>0</v>
      </c>
      <c r="X98" s="2417"/>
      <c r="Y98" s="2333"/>
      <c r="Z98" s="2387"/>
      <c r="AA98" s="2296" t="s">
        <v>1665</v>
      </c>
    </row>
    <row r="99" spans="1:27" s="2290" customFormat="1" hidden="1" x14ac:dyDescent="0.25">
      <c r="A99" s="2380"/>
      <c r="B99" s="2381"/>
      <c r="C99" s="2391" t="s">
        <v>2113</v>
      </c>
      <c r="D99" s="2388">
        <v>6</v>
      </c>
      <c r="E99" s="2354">
        <v>2000</v>
      </c>
      <c r="F99" s="2333">
        <f>D99*E99/1000</f>
        <v>12</v>
      </c>
      <c r="G99" s="2333"/>
      <c r="H99" s="2333"/>
      <c r="I99" s="2333"/>
      <c r="J99" s="2333"/>
      <c r="K99" s="2333"/>
      <c r="L99" s="2333"/>
      <c r="M99" s="2333"/>
      <c r="N99" s="2333"/>
      <c r="O99" s="2355"/>
      <c r="P99" s="2333"/>
      <c r="Q99" s="2333"/>
      <c r="R99" s="2333"/>
      <c r="S99" s="2333">
        <f t="shared" si="10"/>
        <v>0</v>
      </c>
      <c r="T99" s="2333"/>
      <c r="U99" s="2333"/>
      <c r="V99" s="2422">
        <f t="shared" si="8"/>
        <v>0</v>
      </c>
      <c r="W99" s="2417">
        <f t="shared" si="9"/>
        <v>0</v>
      </c>
      <c r="X99" s="2417"/>
      <c r="Y99" s="2333"/>
      <c r="Z99" s="2387"/>
      <c r="AA99" s="2296" t="s">
        <v>1665</v>
      </c>
    </row>
    <row r="100" spans="1:27" s="2290" customFormat="1" hidden="1" x14ac:dyDescent="0.25">
      <c r="A100" s="2380"/>
      <c r="B100" s="2381"/>
      <c r="C100" s="2391" t="s">
        <v>1754</v>
      </c>
      <c r="D100" s="2388">
        <v>2</v>
      </c>
      <c r="E100" s="2354">
        <v>2300</v>
      </c>
      <c r="F100" s="2333">
        <f>D100*E100/1000</f>
        <v>4.5999999999999996</v>
      </c>
      <c r="G100" s="2333"/>
      <c r="H100" s="2333"/>
      <c r="I100" s="2333"/>
      <c r="J100" s="2333"/>
      <c r="K100" s="2333"/>
      <c r="L100" s="2333"/>
      <c r="M100" s="2333"/>
      <c r="N100" s="2333"/>
      <c r="O100" s="2355"/>
      <c r="P100" s="2333"/>
      <c r="Q100" s="2333"/>
      <c r="R100" s="2333"/>
      <c r="S100" s="2333">
        <f t="shared" si="10"/>
        <v>0</v>
      </c>
      <c r="T100" s="2333"/>
      <c r="U100" s="2333"/>
      <c r="V100" s="2422">
        <f t="shared" si="8"/>
        <v>0</v>
      </c>
      <c r="W100" s="2417">
        <f t="shared" si="9"/>
        <v>0</v>
      </c>
      <c r="X100" s="2417"/>
      <c r="Y100" s="2333"/>
      <c r="Z100" s="2387"/>
      <c r="AA100" s="2296" t="s">
        <v>1665</v>
      </c>
    </row>
    <row r="101" spans="1:27" s="2290" customFormat="1" hidden="1" x14ac:dyDescent="0.25">
      <c r="A101" s="2380"/>
      <c r="B101" s="2381"/>
      <c r="C101" s="2328" t="s">
        <v>1234</v>
      </c>
      <c r="D101" s="2388"/>
      <c r="E101" s="2354"/>
      <c r="F101" s="2333">
        <f>SUM(F97:F100)*0.271</f>
        <v>7.3</v>
      </c>
      <c r="G101" s="2333"/>
      <c r="H101" s="2333"/>
      <c r="I101" s="2333"/>
      <c r="J101" s="2333"/>
      <c r="K101" s="2333"/>
      <c r="L101" s="2333"/>
      <c r="M101" s="2333"/>
      <c r="N101" s="2333"/>
      <c r="O101" s="2333"/>
      <c r="P101" s="2333"/>
      <c r="Q101" s="2333"/>
      <c r="R101" s="2333"/>
      <c r="S101" s="2333">
        <f t="shared" si="10"/>
        <v>0</v>
      </c>
      <c r="T101" s="2333"/>
      <c r="U101" s="2333"/>
      <c r="V101" s="2417">
        <f t="shared" si="8"/>
        <v>0</v>
      </c>
      <c r="W101" s="2417">
        <f t="shared" si="9"/>
        <v>0</v>
      </c>
      <c r="X101" s="2417"/>
      <c r="Y101" s="2333"/>
      <c r="Z101" s="2387"/>
      <c r="AA101" s="2296" t="s">
        <v>1665</v>
      </c>
    </row>
    <row r="102" spans="1:27" s="2326" customFormat="1" ht="31.5" hidden="1" x14ac:dyDescent="0.25">
      <c r="A102" s="2370"/>
      <c r="B102" s="2371">
        <v>981</v>
      </c>
      <c r="C102" s="2372" t="s">
        <v>2072</v>
      </c>
      <c r="D102" s="2390"/>
      <c r="E102" s="2351"/>
      <c r="F102" s="2336">
        <f>F103</f>
        <v>1.6</v>
      </c>
      <c r="G102" s="2336"/>
      <c r="H102" s="2336"/>
      <c r="I102" s="2336"/>
      <c r="J102" s="2336"/>
      <c r="K102" s="2336"/>
      <c r="L102" s="2336"/>
      <c r="M102" s="2336"/>
      <c r="N102" s="2336"/>
      <c r="O102" s="2336"/>
      <c r="P102" s="2336"/>
      <c r="Q102" s="2336"/>
      <c r="R102" s="2336"/>
      <c r="S102" s="2336">
        <f t="shared" si="10"/>
        <v>0</v>
      </c>
      <c r="T102" s="2336"/>
      <c r="U102" s="2336"/>
      <c r="V102" s="2416">
        <f t="shared" si="8"/>
        <v>0</v>
      </c>
      <c r="W102" s="2416">
        <f t="shared" si="9"/>
        <v>0</v>
      </c>
      <c r="X102" s="2417"/>
      <c r="Y102" s="2336"/>
      <c r="Z102" s="3461"/>
      <c r="AA102" s="2296" t="s">
        <v>1665</v>
      </c>
    </row>
    <row r="103" spans="1:27" s="2290" customFormat="1" hidden="1" x14ac:dyDescent="0.25">
      <c r="A103" s="2380"/>
      <c r="B103" s="2381"/>
      <c r="C103" s="2328" t="s">
        <v>1935</v>
      </c>
      <c r="D103" s="2388">
        <v>16</v>
      </c>
      <c r="E103" s="2354">
        <v>100</v>
      </c>
      <c r="F103" s="2333">
        <f>D103*E103/1000</f>
        <v>1.6</v>
      </c>
      <c r="G103" s="2333"/>
      <c r="H103" s="2333"/>
      <c r="I103" s="2333"/>
      <c r="J103" s="2333"/>
      <c r="K103" s="2333"/>
      <c r="L103" s="2333"/>
      <c r="M103" s="2333"/>
      <c r="N103" s="2333"/>
      <c r="O103" s="2333"/>
      <c r="P103" s="2333"/>
      <c r="Q103" s="2333"/>
      <c r="R103" s="2333"/>
      <c r="S103" s="2333">
        <f t="shared" si="10"/>
        <v>0</v>
      </c>
      <c r="T103" s="2333"/>
      <c r="U103" s="2333"/>
      <c r="V103" s="2417">
        <f t="shared" si="8"/>
        <v>0</v>
      </c>
      <c r="W103" s="2417">
        <f t="shared" si="9"/>
        <v>0</v>
      </c>
      <c r="X103" s="2417"/>
      <c r="Y103" s="2333"/>
      <c r="Z103" s="3462"/>
      <c r="AA103" s="2296" t="s">
        <v>1665</v>
      </c>
    </row>
    <row r="104" spans="1:27" s="2326" customFormat="1" hidden="1" x14ac:dyDescent="0.25">
      <c r="A104" s="2370"/>
      <c r="B104" s="2371">
        <v>963</v>
      </c>
      <c r="C104" s="2372" t="s">
        <v>798</v>
      </c>
      <c r="D104" s="2390"/>
      <c r="E104" s="2351"/>
      <c r="F104" s="2336">
        <f>SUM(F105:F105)</f>
        <v>25</v>
      </c>
      <c r="G104" s="2336"/>
      <c r="H104" s="2336"/>
      <c r="I104" s="2336"/>
      <c r="J104" s="2336"/>
      <c r="K104" s="2336"/>
      <c r="L104" s="2336"/>
      <c r="M104" s="2336"/>
      <c r="N104" s="2336"/>
      <c r="O104" s="2336"/>
      <c r="P104" s="2336"/>
      <c r="Q104" s="2336"/>
      <c r="R104" s="2336"/>
      <c r="S104" s="2336">
        <f t="shared" si="10"/>
        <v>0</v>
      </c>
      <c r="T104" s="2336"/>
      <c r="U104" s="2336"/>
      <c r="V104" s="2416">
        <f t="shared" si="8"/>
        <v>0</v>
      </c>
      <c r="W104" s="2416">
        <f t="shared" si="9"/>
        <v>0</v>
      </c>
      <c r="X104" s="2417"/>
      <c r="Y104" s="2336"/>
      <c r="Z104" s="3461"/>
      <c r="AA104" s="2296" t="s">
        <v>1665</v>
      </c>
    </row>
    <row r="105" spans="1:27" s="2290" customFormat="1" ht="31.5" hidden="1" x14ac:dyDescent="0.25">
      <c r="A105" s="2380"/>
      <c r="B105" s="2381"/>
      <c r="C105" s="2391" t="s">
        <v>2114</v>
      </c>
      <c r="D105" s="2388">
        <v>50</v>
      </c>
      <c r="E105" s="2354">
        <v>500</v>
      </c>
      <c r="F105" s="2333">
        <f>D105*E105/1000</f>
        <v>25</v>
      </c>
      <c r="G105" s="2333"/>
      <c r="H105" s="2333"/>
      <c r="I105" s="2333"/>
      <c r="J105" s="2333"/>
      <c r="K105" s="2333"/>
      <c r="L105" s="2333"/>
      <c r="M105" s="2333"/>
      <c r="N105" s="2333"/>
      <c r="O105" s="2333"/>
      <c r="P105" s="2333"/>
      <c r="Q105" s="2333"/>
      <c r="R105" s="2333"/>
      <c r="S105" s="2333">
        <f t="shared" si="10"/>
        <v>0</v>
      </c>
      <c r="T105" s="2333"/>
      <c r="U105" s="2333"/>
      <c r="V105" s="2417">
        <f t="shared" si="8"/>
        <v>0</v>
      </c>
      <c r="W105" s="2417">
        <f t="shared" si="9"/>
        <v>0</v>
      </c>
      <c r="X105" s="2417"/>
      <c r="Y105" s="2333"/>
      <c r="Z105" s="3462"/>
      <c r="AA105" s="2296" t="s">
        <v>1665</v>
      </c>
    </row>
    <row r="106" spans="1:27" s="2326" customFormat="1" ht="31.5" hidden="1" x14ac:dyDescent="0.25">
      <c r="A106" s="2370"/>
      <c r="B106" s="2371">
        <v>981</v>
      </c>
      <c r="C106" s="2372" t="s">
        <v>2115</v>
      </c>
      <c r="D106" s="2390"/>
      <c r="E106" s="2351"/>
      <c r="F106" s="2336">
        <f>F107+F108</f>
        <v>10</v>
      </c>
      <c r="G106" s="2336"/>
      <c r="H106" s="2336"/>
      <c r="I106" s="2336"/>
      <c r="J106" s="2336"/>
      <c r="K106" s="2336"/>
      <c r="L106" s="2336"/>
      <c r="M106" s="2336"/>
      <c r="N106" s="2336"/>
      <c r="O106" s="2336"/>
      <c r="P106" s="2336"/>
      <c r="Q106" s="2336"/>
      <c r="R106" s="2336"/>
      <c r="S106" s="2336">
        <f t="shared" si="10"/>
        <v>0</v>
      </c>
      <c r="T106" s="2336"/>
      <c r="U106" s="2336"/>
      <c r="V106" s="2416">
        <f t="shared" si="8"/>
        <v>0</v>
      </c>
      <c r="W106" s="2416">
        <f t="shared" si="9"/>
        <v>0</v>
      </c>
      <c r="X106" s="2416"/>
      <c r="Y106" s="2336"/>
      <c r="Z106" s="2424"/>
      <c r="AA106" s="2296" t="s">
        <v>1665</v>
      </c>
    </row>
    <row r="107" spans="1:27" s="2290" customFormat="1" hidden="1" x14ac:dyDescent="0.25">
      <c r="A107" s="2380"/>
      <c r="B107" s="2381"/>
      <c r="C107" s="2391" t="s">
        <v>2116</v>
      </c>
      <c r="D107" s="2388">
        <v>50</v>
      </c>
      <c r="E107" s="2354">
        <v>100</v>
      </c>
      <c r="F107" s="2333">
        <f>D107*E107/1000</f>
        <v>5</v>
      </c>
      <c r="G107" s="2333"/>
      <c r="H107" s="2333"/>
      <c r="I107" s="2333"/>
      <c r="J107" s="2333"/>
      <c r="K107" s="2333"/>
      <c r="L107" s="2333"/>
      <c r="M107" s="2333"/>
      <c r="N107" s="2333"/>
      <c r="O107" s="2333"/>
      <c r="P107" s="2333"/>
      <c r="Q107" s="2333"/>
      <c r="R107" s="2333"/>
      <c r="S107" s="2333">
        <f t="shared" si="10"/>
        <v>0</v>
      </c>
      <c r="T107" s="2333"/>
      <c r="U107" s="2333"/>
      <c r="V107" s="2417">
        <f t="shared" si="8"/>
        <v>0</v>
      </c>
      <c r="W107" s="2417">
        <f t="shared" si="9"/>
        <v>0</v>
      </c>
      <c r="X107" s="2417"/>
      <c r="Y107" s="2333"/>
      <c r="Z107" s="2424"/>
      <c r="AA107" s="2296" t="s">
        <v>1665</v>
      </c>
    </row>
    <row r="108" spans="1:27" s="2290" customFormat="1" hidden="1" x14ac:dyDescent="0.25">
      <c r="A108" s="2380"/>
      <c r="B108" s="2381"/>
      <c r="C108" s="2391" t="s">
        <v>2117</v>
      </c>
      <c r="D108" s="2388">
        <v>50</v>
      </c>
      <c r="E108" s="2354">
        <v>100</v>
      </c>
      <c r="F108" s="2333">
        <f>D108*E108/1000</f>
        <v>5</v>
      </c>
      <c r="G108" s="2333"/>
      <c r="H108" s="2333"/>
      <c r="I108" s="2333"/>
      <c r="J108" s="2333"/>
      <c r="K108" s="2333"/>
      <c r="L108" s="2333"/>
      <c r="M108" s="2333"/>
      <c r="N108" s="2333"/>
      <c r="O108" s="2333"/>
      <c r="P108" s="2333"/>
      <c r="Q108" s="2333"/>
      <c r="R108" s="2333"/>
      <c r="S108" s="2333">
        <f t="shared" si="10"/>
        <v>0</v>
      </c>
      <c r="T108" s="2333"/>
      <c r="U108" s="2333"/>
      <c r="V108" s="2417">
        <f t="shared" si="8"/>
        <v>0</v>
      </c>
      <c r="W108" s="2417">
        <f t="shared" si="9"/>
        <v>0</v>
      </c>
      <c r="X108" s="2417"/>
      <c r="Y108" s="2333"/>
      <c r="Z108" s="2424"/>
      <c r="AA108" s="2296" t="s">
        <v>1665</v>
      </c>
    </row>
    <row r="109" spans="1:27" s="2326" customFormat="1" hidden="1" x14ac:dyDescent="0.25">
      <c r="A109" s="2370"/>
      <c r="B109" s="2371">
        <v>981</v>
      </c>
      <c r="C109" s="2372" t="s">
        <v>1226</v>
      </c>
      <c r="D109" s="2390"/>
      <c r="E109" s="2351"/>
      <c r="F109" s="2336">
        <f>F110</f>
        <v>6</v>
      </c>
      <c r="G109" s="2336"/>
      <c r="H109" s="2336"/>
      <c r="I109" s="2336"/>
      <c r="J109" s="2336"/>
      <c r="K109" s="2336"/>
      <c r="L109" s="2336"/>
      <c r="M109" s="2336"/>
      <c r="N109" s="2336"/>
      <c r="O109" s="2336"/>
      <c r="P109" s="2336"/>
      <c r="Q109" s="2336"/>
      <c r="R109" s="2336"/>
      <c r="S109" s="2336">
        <f t="shared" si="10"/>
        <v>0</v>
      </c>
      <c r="T109" s="2336"/>
      <c r="U109" s="2336"/>
      <c r="V109" s="2416">
        <f t="shared" si="8"/>
        <v>0</v>
      </c>
      <c r="W109" s="2416">
        <f t="shared" si="9"/>
        <v>0</v>
      </c>
      <c r="X109" s="2417"/>
      <c r="Y109" s="2336"/>
      <c r="Z109" s="3461"/>
      <c r="AA109" s="2296" t="s">
        <v>1665</v>
      </c>
    </row>
    <row r="110" spans="1:27" s="2290" customFormat="1" hidden="1" x14ac:dyDescent="0.25">
      <c r="A110" s="2380"/>
      <c r="B110" s="2381"/>
      <c r="C110" s="2391" t="s">
        <v>2058</v>
      </c>
      <c r="D110" s="2388">
        <v>1</v>
      </c>
      <c r="E110" s="2354">
        <v>6000</v>
      </c>
      <c r="F110" s="2333">
        <f>D110*E110/1000</f>
        <v>6</v>
      </c>
      <c r="G110" s="2333"/>
      <c r="H110" s="2333"/>
      <c r="I110" s="2333"/>
      <c r="J110" s="2333"/>
      <c r="K110" s="2333"/>
      <c r="L110" s="2333"/>
      <c r="M110" s="2333"/>
      <c r="N110" s="2333"/>
      <c r="O110" s="2333"/>
      <c r="P110" s="2333"/>
      <c r="Q110" s="2333"/>
      <c r="R110" s="2333"/>
      <c r="S110" s="2333">
        <f t="shared" si="10"/>
        <v>0</v>
      </c>
      <c r="T110" s="2333"/>
      <c r="U110" s="2333"/>
      <c r="V110" s="2417">
        <f t="shared" si="8"/>
        <v>0</v>
      </c>
      <c r="W110" s="2417">
        <f t="shared" si="9"/>
        <v>0</v>
      </c>
      <c r="X110" s="2417"/>
      <c r="Y110" s="2333"/>
      <c r="Z110" s="3463"/>
      <c r="AA110" s="2296" t="s">
        <v>1665</v>
      </c>
    </row>
    <row r="111" spans="1:27" s="2326" customFormat="1" hidden="1" x14ac:dyDescent="0.25">
      <c r="A111" s="2370"/>
      <c r="B111" s="2371">
        <v>981</v>
      </c>
      <c r="C111" s="2372" t="s">
        <v>2104</v>
      </c>
      <c r="D111" s="2390"/>
      <c r="E111" s="2351"/>
      <c r="F111" s="2336">
        <f>F112</f>
        <v>4.8</v>
      </c>
      <c r="G111" s="2336"/>
      <c r="H111" s="2336"/>
      <c r="I111" s="2336"/>
      <c r="J111" s="2336"/>
      <c r="K111" s="2336"/>
      <c r="L111" s="2336"/>
      <c r="M111" s="2336"/>
      <c r="N111" s="2336"/>
      <c r="O111" s="2336"/>
      <c r="P111" s="2336"/>
      <c r="Q111" s="2336"/>
      <c r="R111" s="2336"/>
      <c r="S111" s="2336">
        <f t="shared" si="10"/>
        <v>0</v>
      </c>
      <c r="T111" s="2336"/>
      <c r="U111" s="2336"/>
      <c r="V111" s="2416">
        <f t="shared" si="8"/>
        <v>0</v>
      </c>
      <c r="W111" s="2416">
        <f t="shared" si="9"/>
        <v>0</v>
      </c>
      <c r="X111" s="2417"/>
      <c r="Y111" s="2336"/>
      <c r="Z111" s="3463"/>
      <c r="AA111" s="2296" t="s">
        <v>1665</v>
      </c>
    </row>
    <row r="112" spans="1:27" s="2290" customFormat="1" hidden="1" x14ac:dyDescent="0.25">
      <c r="A112" s="2380"/>
      <c r="B112" s="2381"/>
      <c r="C112" s="2391" t="s">
        <v>2105</v>
      </c>
      <c r="D112" s="2388">
        <v>80</v>
      </c>
      <c r="E112" s="2354">
        <v>60</v>
      </c>
      <c r="F112" s="2333">
        <f>D112*E112/1000</f>
        <v>4.8</v>
      </c>
      <c r="G112" s="2333"/>
      <c r="H112" s="2333"/>
      <c r="I112" s="2333"/>
      <c r="J112" s="2333"/>
      <c r="K112" s="2333"/>
      <c r="L112" s="2333"/>
      <c r="M112" s="2333"/>
      <c r="N112" s="2333"/>
      <c r="O112" s="2333"/>
      <c r="P112" s="2333"/>
      <c r="Q112" s="2333"/>
      <c r="R112" s="2333"/>
      <c r="S112" s="2333">
        <f t="shared" si="10"/>
        <v>0</v>
      </c>
      <c r="T112" s="2333"/>
      <c r="U112" s="2333"/>
      <c r="V112" s="2417">
        <f t="shared" si="8"/>
        <v>0</v>
      </c>
      <c r="W112" s="2417">
        <f t="shared" si="9"/>
        <v>0</v>
      </c>
      <c r="X112" s="2417"/>
      <c r="Y112" s="2333"/>
      <c r="Z112" s="3464"/>
      <c r="AA112" s="2296" t="s">
        <v>1665</v>
      </c>
    </row>
    <row r="113" spans="1:29" s="2326" customFormat="1" hidden="1" x14ac:dyDescent="0.25">
      <c r="A113" s="2370"/>
      <c r="B113" s="2371">
        <v>922</v>
      </c>
      <c r="C113" s="2372" t="s">
        <v>1227</v>
      </c>
      <c r="D113" s="2390">
        <v>6</v>
      </c>
      <c r="E113" s="2351">
        <v>2500</v>
      </c>
      <c r="F113" s="2336">
        <f>D113*E113/1000</f>
        <v>15</v>
      </c>
      <c r="G113" s="2336"/>
      <c r="H113" s="2336"/>
      <c r="I113" s="2336"/>
      <c r="J113" s="2336"/>
      <c r="K113" s="2336"/>
      <c r="L113" s="2336"/>
      <c r="M113" s="2336"/>
      <c r="N113" s="2336"/>
      <c r="O113" s="2336"/>
      <c r="P113" s="2336"/>
      <c r="Q113" s="2336"/>
      <c r="R113" s="2336"/>
      <c r="S113" s="2336">
        <f t="shared" si="10"/>
        <v>0</v>
      </c>
      <c r="T113" s="2336"/>
      <c r="U113" s="2336"/>
      <c r="V113" s="2416">
        <f t="shared" si="8"/>
        <v>0</v>
      </c>
      <c r="W113" s="2416">
        <f t="shared" si="9"/>
        <v>0</v>
      </c>
      <c r="X113" s="2417"/>
      <c r="Y113" s="2336"/>
      <c r="Z113" s="2387"/>
      <c r="AA113" s="2296" t="s">
        <v>1665</v>
      </c>
    </row>
    <row r="114" spans="1:29" s="2350" customFormat="1" ht="47.25" hidden="1" x14ac:dyDescent="0.2">
      <c r="A114" s="2366">
        <v>9</v>
      </c>
      <c r="B114" s="2401"/>
      <c r="C114" s="2367" t="s">
        <v>2118</v>
      </c>
      <c r="D114" s="2368"/>
      <c r="E114" s="2403"/>
      <c r="F114" s="2349">
        <f>SUM(F115:F119)</f>
        <v>301.3</v>
      </c>
      <c r="G114" s="2349">
        <f>SUM(G115:G119)</f>
        <v>0</v>
      </c>
      <c r="H114" s="2349"/>
      <c r="I114" s="2349"/>
      <c r="J114" s="2349">
        <f>SUM(J115:J119)</f>
        <v>280</v>
      </c>
      <c r="K114" s="2349">
        <f>SUM(K115:K119)</f>
        <v>271</v>
      </c>
      <c r="L114" s="2349"/>
      <c r="M114" s="2349"/>
      <c r="N114" s="2349">
        <f>SUM(N115:N119)</f>
        <v>280</v>
      </c>
      <c r="O114" s="2414">
        <f>SUM(O115:O119)</f>
        <v>271</v>
      </c>
      <c r="P114" s="2349"/>
      <c r="Q114" s="2349"/>
      <c r="R114" s="2349">
        <f>SUM(R115:R119)</f>
        <v>280</v>
      </c>
      <c r="S114" s="2349">
        <f t="shared" si="10"/>
        <v>280</v>
      </c>
      <c r="T114" s="2349"/>
      <c r="U114" s="2349">
        <f>SUM(U115:U119)</f>
        <v>271</v>
      </c>
      <c r="V114" s="2349">
        <f t="shared" si="8"/>
        <v>0</v>
      </c>
      <c r="W114" s="2349">
        <f t="shared" si="9"/>
        <v>100</v>
      </c>
      <c r="X114" s="2349">
        <f>SUM(X115:X119)</f>
        <v>280</v>
      </c>
      <c r="Y114" s="2349">
        <f>SUM(Y115:Y119)</f>
        <v>280</v>
      </c>
      <c r="Z114" s="2425"/>
      <c r="AA114" s="2296" t="s">
        <v>1665</v>
      </c>
    </row>
    <row r="115" spans="1:29" s="2290" customFormat="1" x14ac:dyDescent="0.25">
      <c r="A115" s="2380"/>
      <c r="B115" s="2325">
        <v>966</v>
      </c>
      <c r="C115" s="2328" t="s">
        <v>2119</v>
      </c>
      <c r="D115" s="2329">
        <v>14</v>
      </c>
      <c r="E115" s="2330">
        <v>21518</v>
      </c>
      <c r="F115" s="2333">
        <f>D115*E115/1000</f>
        <v>301.3</v>
      </c>
      <c r="G115" s="2333"/>
      <c r="H115" s="2417">
        <v>12</v>
      </c>
      <c r="I115" s="2417">
        <f>J115/H115*1000</f>
        <v>23333.3</v>
      </c>
      <c r="J115" s="2417">
        <v>280</v>
      </c>
      <c r="K115" s="2417"/>
      <c r="L115" s="2417">
        <v>12</v>
      </c>
      <c r="M115" s="2417">
        <f>N115/L115*1000</f>
        <v>23333.3</v>
      </c>
      <c r="N115" s="2417">
        <v>280</v>
      </c>
      <c r="O115" s="2421"/>
      <c r="P115" s="2417">
        <v>10</v>
      </c>
      <c r="Q115" s="2417">
        <v>28000</v>
      </c>
      <c r="R115" s="2417">
        <f>P115*Q115/1000</f>
        <v>280</v>
      </c>
      <c r="S115" s="2417">
        <f t="shared" si="10"/>
        <v>280</v>
      </c>
      <c r="T115" s="2417"/>
      <c r="U115" s="2417"/>
      <c r="V115" s="2417">
        <f t="shared" si="8"/>
        <v>0</v>
      </c>
      <c r="W115" s="2417">
        <f t="shared" si="9"/>
        <v>100</v>
      </c>
      <c r="X115" s="2417">
        <v>280</v>
      </c>
      <c r="Y115" s="2417">
        <v>280</v>
      </c>
      <c r="Z115" s="3465"/>
      <c r="AA115" s="2296" t="s">
        <v>1665</v>
      </c>
    </row>
    <row r="116" spans="1:29" s="2290" customFormat="1" ht="31.5" x14ac:dyDescent="0.25">
      <c r="A116" s="2380"/>
      <c r="B116" s="2325">
        <v>966</v>
      </c>
      <c r="C116" s="2328" t="s">
        <v>2120</v>
      </c>
      <c r="D116" s="2329"/>
      <c r="E116" s="2330"/>
      <c r="F116" s="2333"/>
      <c r="G116" s="2333">
        <f>D116*E116/1000</f>
        <v>0</v>
      </c>
      <c r="H116" s="2417">
        <v>12</v>
      </c>
      <c r="I116" s="2417">
        <v>14000</v>
      </c>
      <c r="J116" s="2417"/>
      <c r="K116" s="2417">
        <v>168</v>
      </c>
      <c r="L116" s="2417">
        <v>12</v>
      </c>
      <c r="M116" s="2417">
        <v>14000</v>
      </c>
      <c r="N116" s="2417"/>
      <c r="O116" s="2421">
        <v>168</v>
      </c>
      <c r="P116" s="2417">
        <v>10</v>
      </c>
      <c r="Q116" s="2417">
        <v>28000</v>
      </c>
      <c r="R116" s="2417"/>
      <c r="S116" s="2417">
        <f t="shared" si="10"/>
        <v>0</v>
      </c>
      <c r="T116" s="2417"/>
      <c r="U116" s="2417">
        <v>168</v>
      </c>
      <c r="V116" s="2417">
        <f t="shared" si="8"/>
        <v>0</v>
      </c>
      <c r="W116" s="2417">
        <f t="shared" si="9"/>
        <v>0</v>
      </c>
      <c r="X116" s="2417"/>
      <c r="Y116" s="2417"/>
      <c r="Z116" s="3466"/>
      <c r="AA116" s="2296" t="s">
        <v>1665</v>
      </c>
    </row>
    <row r="117" spans="1:29" s="2290" customFormat="1" ht="31.5" hidden="1" x14ac:dyDescent="0.25">
      <c r="A117" s="2380"/>
      <c r="B117" s="2325">
        <v>912</v>
      </c>
      <c r="C117" s="2328" t="s">
        <v>2121</v>
      </c>
      <c r="D117" s="2329"/>
      <c r="E117" s="2330"/>
      <c r="F117" s="2333"/>
      <c r="G117" s="2333">
        <f>D117*E117/1000</f>
        <v>0</v>
      </c>
      <c r="H117" s="2417">
        <v>2</v>
      </c>
      <c r="I117" s="2417">
        <v>3500</v>
      </c>
      <c r="J117" s="2417"/>
      <c r="K117" s="2417">
        <v>7</v>
      </c>
      <c r="L117" s="2417">
        <v>2</v>
      </c>
      <c r="M117" s="2417">
        <v>3500</v>
      </c>
      <c r="N117" s="2417"/>
      <c r="O117" s="2421">
        <v>7</v>
      </c>
      <c r="P117" s="2417">
        <v>2</v>
      </c>
      <c r="Q117" s="2417">
        <v>3500</v>
      </c>
      <c r="R117" s="2417"/>
      <c r="S117" s="2417">
        <f t="shared" si="10"/>
        <v>0</v>
      </c>
      <c r="T117" s="2417"/>
      <c r="U117" s="2417">
        <v>7</v>
      </c>
      <c r="V117" s="2417">
        <f t="shared" si="8"/>
        <v>0</v>
      </c>
      <c r="W117" s="2417">
        <f t="shared" si="9"/>
        <v>0</v>
      </c>
      <c r="X117" s="2417"/>
      <c r="Y117" s="2417"/>
      <c r="Z117" s="3466"/>
      <c r="AA117" s="2296" t="s">
        <v>1665</v>
      </c>
    </row>
    <row r="118" spans="1:29" s="2431" customFormat="1" ht="31.5" hidden="1" x14ac:dyDescent="0.25">
      <c r="A118" s="2426"/>
      <c r="B118" s="2427">
        <v>921</v>
      </c>
      <c r="C118" s="2428" t="s">
        <v>2122</v>
      </c>
      <c r="D118" s="2329"/>
      <c r="E118" s="2330"/>
      <c r="F118" s="2333"/>
      <c r="G118" s="2333">
        <f>D118*E118/1000</f>
        <v>0</v>
      </c>
      <c r="H118" s="2417">
        <v>2</v>
      </c>
      <c r="I118" s="2417">
        <v>34000</v>
      </c>
      <c r="J118" s="2417"/>
      <c r="K118" s="2417">
        <v>68</v>
      </c>
      <c r="L118" s="2417">
        <v>2</v>
      </c>
      <c r="M118" s="2417">
        <v>34000</v>
      </c>
      <c r="N118" s="2417"/>
      <c r="O118" s="2421">
        <v>68</v>
      </c>
      <c r="P118" s="2429">
        <v>2</v>
      </c>
      <c r="Q118" s="2429">
        <v>34000</v>
      </c>
      <c r="R118" s="2429"/>
      <c r="S118" s="2429">
        <f t="shared" si="10"/>
        <v>0</v>
      </c>
      <c r="T118" s="2429"/>
      <c r="U118" s="2429">
        <v>68</v>
      </c>
      <c r="V118" s="2429">
        <f t="shared" si="8"/>
        <v>0</v>
      </c>
      <c r="W118" s="2429">
        <f t="shared" si="9"/>
        <v>0</v>
      </c>
      <c r="X118" s="2429"/>
      <c r="Y118" s="2429"/>
      <c r="Z118" s="3467"/>
      <c r="AA118" s="2430" t="s">
        <v>1665</v>
      </c>
    </row>
    <row r="119" spans="1:29" s="2290" customFormat="1" ht="31.5" hidden="1" x14ac:dyDescent="0.25">
      <c r="A119" s="2380"/>
      <c r="B119" s="2325">
        <v>952</v>
      </c>
      <c r="C119" s="2328" t="s">
        <v>2123</v>
      </c>
      <c r="D119" s="2329"/>
      <c r="E119" s="2330"/>
      <c r="F119" s="2333"/>
      <c r="G119" s="2333">
        <f>D119*E119/1000</f>
        <v>0</v>
      </c>
      <c r="H119" s="2417">
        <v>2</v>
      </c>
      <c r="I119" s="2417">
        <v>14000</v>
      </c>
      <c r="J119" s="2417"/>
      <c r="K119" s="2417">
        <v>28</v>
      </c>
      <c r="L119" s="2417">
        <v>2</v>
      </c>
      <c r="M119" s="2417">
        <v>14000</v>
      </c>
      <c r="N119" s="2417"/>
      <c r="O119" s="2421">
        <v>28</v>
      </c>
      <c r="P119" s="2417">
        <v>2</v>
      </c>
      <c r="Q119" s="2417">
        <v>14000</v>
      </c>
      <c r="R119" s="2417"/>
      <c r="S119" s="2417">
        <f t="shared" si="10"/>
        <v>0</v>
      </c>
      <c r="T119" s="2417"/>
      <c r="U119" s="2417">
        <v>28</v>
      </c>
      <c r="V119" s="2417">
        <f t="shared" si="8"/>
        <v>0</v>
      </c>
      <c r="W119" s="2417">
        <f t="shared" si="9"/>
        <v>0</v>
      </c>
      <c r="X119" s="2417"/>
      <c r="Y119" s="2417"/>
      <c r="Z119" s="3468"/>
      <c r="AA119" s="2296" t="s">
        <v>1665</v>
      </c>
    </row>
    <row r="120" spans="1:29" s="2439" customFormat="1" ht="31.5" hidden="1" x14ac:dyDescent="0.2">
      <c r="A120" s="2432">
        <v>10</v>
      </c>
      <c r="B120" s="2433"/>
      <c r="C120" s="2434" t="s">
        <v>843</v>
      </c>
      <c r="D120" s="2435"/>
      <c r="E120" s="2436"/>
      <c r="F120" s="2435">
        <f>F121+F126+F130+F142</f>
        <v>102.1</v>
      </c>
      <c r="G120" s="2435">
        <v>0</v>
      </c>
      <c r="H120" s="2435"/>
      <c r="I120" s="2435"/>
      <c r="J120" s="2436">
        <f>J121+J126+J130+J142</f>
        <v>102.1</v>
      </c>
      <c r="K120" s="2435"/>
      <c r="L120" s="2435"/>
      <c r="M120" s="2435"/>
      <c r="N120" s="2436">
        <f>N121+N126+N130+N142</f>
        <v>102.1</v>
      </c>
      <c r="O120" s="2437"/>
      <c r="P120" s="2435"/>
      <c r="Q120" s="2435"/>
      <c r="R120" s="2435">
        <f>R121+R126+R130+R142</f>
        <v>103.1</v>
      </c>
      <c r="S120" s="2435">
        <f t="shared" si="10"/>
        <v>103.1</v>
      </c>
      <c r="T120" s="2435"/>
      <c r="U120" s="2435">
        <f t="shared" ref="U120:Y120" si="11">U121+U126+U130+U142</f>
        <v>0</v>
      </c>
      <c r="V120" s="2436">
        <f t="shared" si="8"/>
        <v>1</v>
      </c>
      <c r="W120" s="2436">
        <f t="shared" si="9"/>
        <v>100.98</v>
      </c>
      <c r="X120" s="2436">
        <f>X121+X126+X130+X142</f>
        <v>102.1</v>
      </c>
      <c r="Y120" s="2436">
        <f t="shared" si="11"/>
        <v>102.1</v>
      </c>
      <c r="Z120" s="2438"/>
      <c r="AA120" s="2296" t="s">
        <v>1665</v>
      </c>
      <c r="AC120" s="2439" t="s">
        <v>844</v>
      </c>
    </row>
    <row r="121" spans="1:29" s="2326" customFormat="1" hidden="1" x14ac:dyDescent="0.25">
      <c r="A121" s="2370"/>
      <c r="B121" s="2319">
        <v>981</v>
      </c>
      <c r="C121" s="2320" t="s">
        <v>2124</v>
      </c>
      <c r="D121" s="2361"/>
      <c r="E121" s="2397"/>
      <c r="F121" s="2389">
        <f>SUM(F122:F125)</f>
        <v>71.5</v>
      </c>
      <c r="G121" s="2416"/>
      <c r="H121" s="2416"/>
      <c r="I121" s="2416"/>
      <c r="J121" s="2389">
        <f>SUM(J122:J125)</f>
        <v>71.5</v>
      </c>
      <c r="K121" s="2416"/>
      <c r="L121" s="2416"/>
      <c r="M121" s="2416"/>
      <c r="N121" s="2389">
        <f>SUM(N122:N125)</f>
        <v>71.5</v>
      </c>
      <c r="O121" s="2418"/>
      <c r="P121" s="2416"/>
      <c r="Q121" s="2416"/>
      <c r="R121" s="2389">
        <f>SUM(R122:R125)</f>
        <v>32.1</v>
      </c>
      <c r="S121" s="2389">
        <f t="shared" si="10"/>
        <v>32.1</v>
      </c>
      <c r="T121" s="2389"/>
      <c r="U121" s="2389">
        <f t="shared" ref="U121:Y121" si="12">SUM(U122:U125)</f>
        <v>0</v>
      </c>
      <c r="V121" s="2389">
        <f t="shared" si="8"/>
        <v>-39.4</v>
      </c>
      <c r="W121" s="2389">
        <f t="shared" si="9"/>
        <v>44.9</v>
      </c>
      <c r="X121" s="2389">
        <f>SUM(X122:X125)</f>
        <v>32.1</v>
      </c>
      <c r="Y121" s="2389">
        <f t="shared" si="12"/>
        <v>32.1</v>
      </c>
      <c r="Z121" s="2440"/>
      <c r="AA121" s="2296" t="s">
        <v>1665</v>
      </c>
    </row>
    <row r="122" spans="1:29" s="2290" customFormat="1" hidden="1" x14ac:dyDescent="0.25">
      <c r="A122" s="2380"/>
      <c r="B122" s="2325"/>
      <c r="C122" s="2328" t="s">
        <v>2125</v>
      </c>
      <c r="D122" s="2364">
        <v>1500</v>
      </c>
      <c r="E122" s="2441">
        <v>15</v>
      </c>
      <c r="F122" s="2412">
        <f>D122*E122/1000</f>
        <v>22.5</v>
      </c>
      <c r="G122" s="2417"/>
      <c r="H122" s="2417">
        <v>1500</v>
      </c>
      <c r="I122" s="2417">
        <v>15</v>
      </c>
      <c r="J122" s="2417">
        <f>H122*I122/1000</f>
        <v>22.5</v>
      </c>
      <c r="K122" s="2417"/>
      <c r="L122" s="2417">
        <v>1500</v>
      </c>
      <c r="M122" s="2417">
        <v>15</v>
      </c>
      <c r="N122" s="2417">
        <f>L122*M122/1000</f>
        <v>22.5</v>
      </c>
      <c r="O122" s="2421"/>
      <c r="P122" s="2417">
        <v>800</v>
      </c>
      <c r="Q122" s="2417">
        <v>15</v>
      </c>
      <c r="R122" s="2417">
        <f>P122*Q122/1000</f>
        <v>12</v>
      </c>
      <c r="S122" s="2417">
        <f t="shared" si="10"/>
        <v>12</v>
      </c>
      <c r="T122" s="2417"/>
      <c r="U122" s="2417"/>
      <c r="V122" s="2417">
        <f t="shared" si="8"/>
        <v>-10.5</v>
      </c>
      <c r="W122" s="2417">
        <f t="shared" si="9"/>
        <v>53.3</v>
      </c>
      <c r="X122" s="2417">
        <v>12</v>
      </c>
      <c r="Y122" s="2417">
        <v>12</v>
      </c>
      <c r="Z122" s="2440"/>
      <c r="AA122" s="2296" t="s">
        <v>1665</v>
      </c>
    </row>
    <row r="123" spans="1:29" s="2290" customFormat="1" ht="31.5" hidden="1" x14ac:dyDescent="0.25">
      <c r="A123" s="2380"/>
      <c r="B123" s="2325"/>
      <c r="C123" s="2328" t="s">
        <v>2126</v>
      </c>
      <c r="D123" s="2364">
        <v>700</v>
      </c>
      <c r="E123" s="2441">
        <v>50</v>
      </c>
      <c r="F123" s="2412">
        <f>D123*E123/1000</f>
        <v>35</v>
      </c>
      <c r="G123" s="2417"/>
      <c r="H123" s="2417">
        <v>700</v>
      </c>
      <c r="I123" s="2417">
        <v>50</v>
      </c>
      <c r="J123" s="2417">
        <f>H123*I123/1000</f>
        <v>35</v>
      </c>
      <c r="K123" s="2417"/>
      <c r="L123" s="2417">
        <v>700</v>
      </c>
      <c r="M123" s="2417">
        <v>50</v>
      </c>
      <c r="N123" s="2417">
        <f>L123*M123/1000</f>
        <v>35</v>
      </c>
      <c r="O123" s="2421"/>
      <c r="P123" s="2417">
        <v>880</v>
      </c>
      <c r="Q123" s="2417">
        <v>20</v>
      </c>
      <c r="R123" s="2417">
        <f>P123*Q123/1000</f>
        <v>17.600000000000001</v>
      </c>
      <c r="S123" s="2417">
        <f t="shared" si="10"/>
        <v>17.600000000000001</v>
      </c>
      <c r="T123" s="2417"/>
      <c r="U123" s="2417"/>
      <c r="V123" s="2417">
        <f t="shared" si="8"/>
        <v>-17.399999999999999</v>
      </c>
      <c r="W123" s="2417">
        <f t="shared" si="9"/>
        <v>50.3</v>
      </c>
      <c r="X123" s="2417">
        <v>17.600000000000001</v>
      </c>
      <c r="Y123" s="2417">
        <v>17.600000000000001</v>
      </c>
      <c r="Z123" s="2442"/>
      <c r="AA123" s="2296" t="s">
        <v>1665</v>
      </c>
    </row>
    <row r="124" spans="1:29" s="2290" customFormat="1" hidden="1" x14ac:dyDescent="0.25">
      <c r="A124" s="2380"/>
      <c r="B124" s="2325"/>
      <c r="C124" s="2358" t="s">
        <v>1828</v>
      </c>
      <c r="D124" s="2364"/>
      <c r="E124" s="2441"/>
      <c r="F124" s="2412"/>
      <c r="G124" s="2417"/>
      <c r="H124" s="2417"/>
      <c r="I124" s="2417"/>
      <c r="J124" s="2417"/>
      <c r="K124" s="2417"/>
      <c r="L124" s="2417"/>
      <c r="M124" s="2417"/>
      <c r="N124" s="2417"/>
      <c r="O124" s="2421"/>
      <c r="P124" s="2417">
        <v>50</v>
      </c>
      <c r="Q124" s="2417">
        <v>50</v>
      </c>
      <c r="R124" s="2417">
        <f>P124*Q124/1000</f>
        <v>2.5</v>
      </c>
      <c r="S124" s="2417">
        <f t="shared" si="10"/>
        <v>2.5</v>
      </c>
      <c r="T124" s="2417"/>
      <c r="U124" s="2417"/>
      <c r="V124" s="2417">
        <f t="shared" si="8"/>
        <v>2.5</v>
      </c>
      <c r="W124" s="2417">
        <f t="shared" si="9"/>
        <v>0</v>
      </c>
      <c r="X124" s="2417">
        <v>2.5</v>
      </c>
      <c r="Y124" s="2417">
        <v>2.5</v>
      </c>
      <c r="Z124" s="2442" t="s">
        <v>2085</v>
      </c>
      <c r="AA124" s="2296" t="s">
        <v>1665</v>
      </c>
    </row>
    <row r="125" spans="1:29" s="2290" customFormat="1" hidden="1" x14ac:dyDescent="0.25">
      <c r="A125" s="2380"/>
      <c r="B125" s="2325"/>
      <c r="C125" s="2328" t="s">
        <v>2127</v>
      </c>
      <c r="D125" s="2364">
        <v>4</v>
      </c>
      <c r="E125" s="2441">
        <v>3500</v>
      </c>
      <c r="F125" s="2412">
        <f>D125*E125/1000</f>
        <v>14</v>
      </c>
      <c r="G125" s="2417"/>
      <c r="H125" s="2417">
        <v>4</v>
      </c>
      <c r="I125" s="2417">
        <v>3500</v>
      </c>
      <c r="J125" s="2417">
        <f>H125*I125/1000</f>
        <v>14</v>
      </c>
      <c r="K125" s="2417"/>
      <c r="L125" s="2417">
        <v>4</v>
      </c>
      <c r="M125" s="2417">
        <v>3500</v>
      </c>
      <c r="N125" s="2417">
        <f>L125*M125/1000</f>
        <v>14</v>
      </c>
      <c r="O125" s="2421"/>
      <c r="P125" s="2417"/>
      <c r="Q125" s="2417"/>
      <c r="R125" s="2417">
        <f>P125*Q125/1000</f>
        <v>0</v>
      </c>
      <c r="S125" s="2417">
        <f t="shared" si="10"/>
        <v>0</v>
      </c>
      <c r="T125" s="2417"/>
      <c r="U125" s="2417"/>
      <c r="V125" s="2417">
        <f t="shared" si="8"/>
        <v>-14</v>
      </c>
      <c r="W125" s="2417">
        <f t="shared" si="9"/>
        <v>0</v>
      </c>
      <c r="X125" s="2417"/>
      <c r="Y125" s="2417"/>
      <c r="Z125" s="2440"/>
      <c r="AA125" s="2296" t="s">
        <v>1665</v>
      </c>
    </row>
    <row r="126" spans="1:29" s="2326" customFormat="1" hidden="1" x14ac:dyDescent="0.25">
      <c r="A126" s="2370"/>
      <c r="B126" s="2319">
        <v>963</v>
      </c>
      <c r="C126" s="2320" t="s">
        <v>798</v>
      </c>
      <c r="D126" s="2361"/>
      <c r="E126" s="2397"/>
      <c r="F126" s="2389">
        <f>F127</f>
        <v>10</v>
      </c>
      <c r="G126" s="2416"/>
      <c r="H126" s="2416"/>
      <c r="I126" s="2416"/>
      <c r="J126" s="2389">
        <f>J127</f>
        <v>10</v>
      </c>
      <c r="K126" s="2416"/>
      <c r="L126" s="2416"/>
      <c r="M126" s="2416"/>
      <c r="N126" s="2389">
        <f>N127</f>
        <v>10</v>
      </c>
      <c r="O126" s="2418"/>
      <c r="P126" s="2416"/>
      <c r="Q126" s="2416"/>
      <c r="R126" s="2389">
        <f>SUM(R127:R129)</f>
        <v>51</v>
      </c>
      <c r="S126" s="2389">
        <f t="shared" si="10"/>
        <v>51</v>
      </c>
      <c r="T126" s="2389"/>
      <c r="U126" s="2416"/>
      <c r="V126" s="2416">
        <f t="shared" si="8"/>
        <v>41</v>
      </c>
      <c r="W126" s="2416">
        <f t="shared" si="9"/>
        <v>510</v>
      </c>
      <c r="X126" s="2389">
        <f>SUM(X127:X128)</f>
        <v>50</v>
      </c>
      <c r="Y126" s="2389">
        <f>SUM(Y127:Y128)</f>
        <v>50</v>
      </c>
      <c r="Z126" s="2440"/>
      <c r="AA126" s="2296" t="s">
        <v>1665</v>
      </c>
    </row>
    <row r="127" spans="1:29" s="2290" customFormat="1" ht="31.5" hidden="1" x14ac:dyDescent="0.25">
      <c r="A127" s="2380"/>
      <c r="B127" s="2325"/>
      <c r="C127" s="2328" t="s">
        <v>2128</v>
      </c>
      <c r="D127" s="2364">
        <v>50</v>
      </c>
      <c r="E127" s="2441">
        <v>200</v>
      </c>
      <c r="F127" s="2412">
        <f>D127*E127/1000</f>
        <v>10</v>
      </c>
      <c r="G127" s="2417"/>
      <c r="H127" s="2417">
        <v>50</v>
      </c>
      <c r="I127" s="2417">
        <v>200</v>
      </c>
      <c r="J127" s="2417">
        <f>H127*I127/1000</f>
        <v>10</v>
      </c>
      <c r="K127" s="2417"/>
      <c r="L127" s="2417">
        <v>50</v>
      </c>
      <c r="M127" s="2417">
        <v>200</v>
      </c>
      <c r="N127" s="2417">
        <f>L127*M127/1000</f>
        <v>10</v>
      </c>
      <c r="O127" s="2421"/>
      <c r="P127" s="2417"/>
      <c r="Q127" s="2417"/>
      <c r="R127" s="2417"/>
      <c r="S127" s="2417">
        <f t="shared" si="10"/>
        <v>0</v>
      </c>
      <c r="T127" s="2417"/>
      <c r="U127" s="2417"/>
      <c r="V127" s="2417">
        <f t="shared" si="8"/>
        <v>-10</v>
      </c>
      <c r="W127" s="2417">
        <f t="shared" si="9"/>
        <v>0</v>
      </c>
      <c r="X127" s="2417">
        <v>10</v>
      </c>
      <c r="Y127" s="2417">
        <v>10</v>
      </c>
      <c r="Z127" s="2442"/>
      <c r="AA127" s="2296" t="s">
        <v>1665</v>
      </c>
    </row>
    <row r="128" spans="1:29" s="2290" customFormat="1" ht="31.5" hidden="1" x14ac:dyDescent="0.25">
      <c r="A128" s="2380"/>
      <c r="B128" s="2325"/>
      <c r="C128" s="2328" t="s">
        <v>1373</v>
      </c>
      <c r="D128" s="2364"/>
      <c r="E128" s="2441"/>
      <c r="F128" s="2412"/>
      <c r="G128" s="2417"/>
      <c r="H128" s="2417"/>
      <c r="I128" s="2417"/>
      <c r="J128" s="2417"/>
      <c r="K128" s="2417"/>
      <c r="L128" s="2417"/>
      <c r="M128" s="2417"/>
      <c r="N128" s="2417"/>
      <c r="O128" s="2421"/>
      <c r="P128" s="2417">
        <v>200</v>
      </c>
      <c r="Q128" s="2417">
        <v>230</v>
      </c>
      <c r="R128" s="2417">
        <f>P128*Q128/1000</f>
        <v>46</v>
      </c>
      <c r="S128" s="2417">
        <f t="shared" si="10"/>
        <v>46</v>
      </c>
      <c r="T128" s="2417"/>
      <c r="U128" s="2417"/>
      <c r="V128" s="2417">
        <f t="shared" si="8"/>
        <v>46</v>
      </c>
      <c r="W128" s="2417">
        <f t="shared" si="9"/>
        <v>0</v>
      </c>
      <c r="X128" s="2417">
        <v>40</v>
      </c>
      <c r="Y128" s="2417">
        <v>40</v>
      </c>
      <c r="Z128" s="2443" t="s">
        <v>2129</v>
      </c>
      <c r="AA128" s="2296" t="s">
        <v>1665</v>
      </c>
    </row>
    <row r="129" spans="1:27" s="2290" customFormat="1" hidden="1" x14ac:dyDescent="0.25">
      <c r="A129" s="2380"/>
      <c r="B129" s="2325"/>
      <c r="C129" s="2328" t="s">
        <v>2130</v>
      </c>
      <c r="D129" s="2364"/>
      <c r="E129" s="2441"/>
      <c r="F129" s="2412"/>
      <c r="G129" s="2417"/>
      <c r="H129" s="2417"/>
      <c r="I129" s="2417"/>
      <c r="J129" s="2417"/>
      <c r="K129" s="2417"/>
      <c r="L129" s="2417"/>
      <c r="M129" s="2417"/>
      <c r="N129" s="2417"/>
      <c r="O129" s="2421"/>
      <c r="P129" s="2417">
        <v>50</v>
      </c>
      <c r="Q129" s="2417">
        <v>0.1</v>
      </c>
      <c r="R129" s="2417">
        <f>P129*Q129</f>
        <v>5</v>
      </c>
      <c r="S129" s="2417">
        <f t="shared" si="10"/>
        <v>5</v>
      </c>
      <c r="T129" s="2417"/>
      <c r="U129" s="2417"/>
      <c r="V129" s="2417">
        <f t="shared" si="8"/>
        <v>5</v>
      </c>
      <c r="W129" s="2417">
        <f t="shared" si="9"/>
        <v>0</v>
      </c>
      <c r="X129" s="2417"/>
      <c r="Y129" s="2417"/>
      <c r="Z129" s="2443"/>
      <c r="AA129" s="2296" t="s">
        <v>1665</v>
      </c>
    </row>
    <row r="130" spans="1:27" s="2326" customFormat="1" ht="31.5" hidden="1" x14ac:dyDescent="0.25">
      <c r="A130" s="2370"/>
      <c r="B130" s="2319"/>
      <c r="C130" s="2320" t="s">
        <v>2131</v>
      </c>
      <c r="D130" s="2361"/>
      <c r="E130" s="2397"/>
      <c r="F130" s="2389">
        <f>SUM(F131:F141)</f>
        <v>10</v>
      </c>
      <c r="G130" s="2416"/>
      <c r="H130" s="2416"/>
      <c r="I130" s="2416"/>
      <c r="J130" s="2389">
        <f>SUM(J131:J141)</f>
        <v>10</v>
      </c>
      <c r="K130" s="2416"/>
      <c r="L130" s="2416"/>
      <c r="M130" s="2416"/>
      <c r="N130" s="2389">
        <f>SUM(N131:N141)</f>
        <v>10</v>
      </c>
      <c r="O130" s="2418"/>
      <c r="P130" s="2416"/>
      <c r="Q130" s="2416"/>
      <c r="R130" s="2389">
        <f>SUM(R131:R141)</f>
        <v>10</v>
      </c>
      <c r="S130" s="2389">
        <f t="shared" si="10"/>
        <v>10</v>
      </c>
      <c r="T130" s="2389"/>
      <c r="U130" s="2416"/>
      <c r="V130" s="2416">
        <f t="shared" si="8"/>
        <v>0</v>
      </c>
      <c r="W130" s="2416">
        <f t="shared" si="9"/>
        <v>100</v>
      </c>
      <c r="X130" s="2389">
        <v>10</v>
      </c>
      <c r="Y130" s="2389">
        <v>10</v>
      </c>
      <c r="Z130" s="2444"/>
      <c r="AA130" s="2296" t="s">
        <v>1665</v>
      </c>
    </row>
    <row r="131" spans="1:27" s="2290" customFormat="1" hidden="1" x14ac:dyDescent="0.25">
      <c r="A131" s="2380"/>
      <c r="B131" s="2325">
        <v>981</v>
      </c>
      <c r="C131" s="2328" t="s">
        <v>2132</v>
      </c>
      <c r="D131" s="2364">
        <v>10</v>
      </c>
      <c r="E131" s="2441">
        <v>80</v>
      </c>
      <c r="F131" s="2412">
        <f t="shared" ref="F131:F141" si="13">D131*E131/1000</f>
        <v>0.8</v>
      </c>
      <c r="G131" s="2417"/>
      <c r="H131" s="2417">
        <v>10</v>
      </c>
      <c r="I131" s="2417">
        <v>80</v>
      </c>
      <c r="J131" s="2417">
        <f t="shared" ref="J131:J154" si="14">H131*I131/1000</f>
        <v>0.8</v>
      </c>
      <c r="K131" s="2417"/>
      <c r="L131" s="2417">
        <v>10</v>
      </c>
      <c r="M131" s="2417">
        <v>80</v>
      </c>
      <c r="N131" s="2417">
        <f t="shared" ref="N131:N141" si="15">L131*M131/1000</f>
        <v>0.8</v>
      </c>
      <c r="O131" s="2421"/>
      <c r="P131" s="2417">
        <v>10</v>
      </c>
      <c r="Q131" s="2417">
        <v>80</v>
      </c>
      <c r="R131" s="2417">
        <f t="shared" ref="R131:R141" si="16">P131*Q131/1000</f>
        <v>0.8</v>
      </c>
      <c r="S131" s="2417">
        <f t="shared" si="10"/>
        <v>0.8</v>
      </c>
      <c r="T131" s="2417"/>
      <c r="U131" s="2417"/>
      <c r="V131" s="2417">
        <f t="shared" si="8"/>
        <v>0</v>
      </c>
      <c r="W131" s="2417">
        <f t="shared" si="9"/>
        <v>100</v>
      </c>
      <c r="X131" s="2417">
        <f>R131</f>
        <v>0.8</v>
      </c>
      <c r="Y131" s="2417">
        <f>X131</f>
        <v>0.8</v>
      </c>
      <c r="Z131" s="2444"/>
      <c r="AA131" s="2296" t="s">
        <v>1665</v>
      </c>
    </row>
    <row r="132" spans="1:27" s="2290" customFormat="1" hidden="1" x14ac:dyDescent="0.25">
      <c r="A132" s="2380"/>
      <c r="B132" s="2325">
        <v>981</v>
      </c>
      <c r="C132" s="2328" t="s">
        <v>2133</v>
      </c>
      <c r="D132" s="2364">
        <v>10</v>
      </c>
      <c r="E132" s="2441">
        <v>100</v>
      </c>
      <c r="F132" s="2412">
        <f t="shared" si="13"/>
        <v>1</v>
      </c>
      <c r="G132" s="2417"/>
      <c r="H132" s="2417">
        <v>10</v>
      </c>
      <c r="I132" s="2417">
        <v>100</v>
      </c>
      <c r="J132" s="2417">
        <f t="shared" si="14"/>
        <v>1</v>
      </c>
      <c r="K132" s="2417"/>
      <c r="L132" s="2417">
        <v>10</v>
      </c>
      <c r="M132" s="2417">
        <v>100</v>
      </c>
      <c r="N132" s="2417">
        <f t="shared" si="15"/>
        <v>1</v>
      </c>
      <c r="O132" s="2421"/>
      <c r="P132" s="2417">
        <v>10</v>
      </c>
      <c r="Q132" s="2417">
        <v>100</v>
      </c>
      <c r="R132" s="2417">
        <f t="shared" si="16"/>
        <v>1</v>
      </c>
      <c r="S132" s="2417">
        <f t="shared" si="10"/>
        <v>1</v>
      </c>
      <c r="T132" s="2417"/>
      <c r="U132" s="2417"/>
      <c r="V132" s="2417">
        <f t="shared" si="8"/>
        <v>0</v>
      </c>
      <c r="W132" s="2417">
        <f t="shared" si="9"/>
        <v>100</v>
      </c>
      <c r="X132" s="2417">
        <f t="shared" ref="X132:X141" si="17">R132</f>
        <v>1</v>
      </c>
      <c r="Y132" s="2417">
        <f t="shared" ref="Y132:Y141" si="18">X132</f>
        <v>1</v>
      </c>
      <c r="Z132" s="2444"/>
      <c r="AA132" s="2296" t="s">
        <v>1665</v>
      </c>
    </row>
    <row r="133" spans="1:27" s="2290" customFormat="1" hidden="1" x14ac:dyDescent="0.25">
      <c r="A133" s="2380"/>
      <c r="B133" s="2325">
        <v>981</v>
      </c>
      <c r="C133" s="2328" t="s">
        <v>2134</v>
      </c>
      <c r="D133" s="2364">
        <v>10</v>
      </c>
      <c r="E133" s="2441">
        <v>100</v>
      </c>
      <c r="F133" s="2412">
        <f t="shared" si="13"/>
        <v>1</v>
      </c>
      <c r="G133" s="2417"/>
      <c r="H133" s="2417">
        <v>10</v>
      </c>
      <c r="I133" s="2417">
        <v>100</v>
      </c>
      <c r="J133" s="2417">
        <f t="shared" si="14"/>
        <v>1</v>
      </c>
      <c r="K133" s="2417"/>
      <c r="L133" s="2417">
        <v>10</v>
      </c>
      <c r="M133" s="2417">
        <v>100</v>
      </c>
      <c r="N133" s="2417">
        <f t="shared" si="15"/>
        <v>1</v>
      </c>
      <c r="O133" s="2421"/>
      <c r="P133" s="2417">
        <v>10</v>
      </c>
      <c r="Q133" s="2417">
        <v>100</v>
      </c>
      <c r="R133" s="2417">
        <f t="shared" si="16"/>
        <v>1</v>
      </c>
      <c r="S133" s="2417">
        <f t="shared" si="10"/>
        <v>1</v>
      </c>
      <c r="T133" s="2417"/>
      <c r="U133" s="2417"/>
      <c r="V133" s="2417">
        <f t="shared" si="8"/>
        <v>0</v>
      </c>
      <c r="W133" s="2417">
        <f t="shared" si="9"/>
        <v>100</v>
      </c>
      <c r="X133" s="2417">
        <f t="shared" si="17"/>
        <v>1</v>
      </c>
      <c r="Y133" s="2417">
        <f t="shared" si="18"/>
        <v>1</v>
      </c>
      <c r="Z133" s="2444"/>
      <c r="AA133" s="2296" t="s">
        <v>1665</v>
      </c>
    </row>
    <row r="134" spans="1:27" s="2290" customFormat="1" hidden="1" x14ac:dyDescent="0.25">
      <c r="A134" s="2380"/>
      <c r="B134" s="2325">
        <v>981</v>
      </c>
      <c r="C134" s="2328" t="s">
        <v>2135</v>
      </c>
      <c r="D134" s="2364">
        <v>50</v>
      </c>
      <c r="E134" s="2441">
        <v>20</v>
      </c>
      <c r="F134" s="2412">
        <f t="shared" si="13"/>
        <v>1</v>
      </c>
      <c r="G134" s="2417"/>
      <c r="H134" s="2417">
        <v>50</v>
      </c>
      <c r="I134" s="2417">
        <v>20</v>
      </c>
      <c r="J134" s="2417">
        <f t="shared" si="14"/>
        <v>1</v>
      </c>
      <c r="K134" s="2417"/>
      <c r="L134" s="2417">
        <v>50</v>
      </c>
      <c r="M134" s="2417">
        <v>20</v>
      </c>
      <c r="N134" s="2417">
        <f t="shared" si="15"/>
        <v>1</v>
      </c>
      <c r="O134" s="2421"/>
      <c r="P134" s="2417">
        <v>50</v>
      </c>
      <c r="Q134" s="2417">
        <v>20</v>
      </c>
      <c r="R134" s="2417">
        <f t="shared" si="16"/>
        <v>1</v>
      </c>
      <c r="S134" s="2417">
        <f t="shared" si="10"/>
        <v>1</v>
      </c>
      <c r="T134" s="2417"/>
      <c r="U134" s="2417"/>
      <c r="V134" s="2417">
        <f t="shared" si="8"/>
        <v>0</v>
      </c>
      <c r="W134" s="2417">
        <f t="shared" si="9"/>
        <v>100</v>
      </c>
      <c r="X134" s="2417">
        <f t="shared" si="17"/>
        <v>1</v>
      </c>
      <c r="Y134" s="2417">
        <f t="shared" si="18"/>
        <v>1</v>
      </c>
      <c r="Z134" s="2444"/>
      <c r="AA134" s="2296" t="s">
        <v>1665</v>
      </c>
    </row>
    <row r="135" spans="1:27" s="2290" customFormat="1" hidden="1" x14ac:dyDescent="0.25">
      <c r="A135" s="2380"/>
      <c r="B135" s="2325">
        <v>981</v>
      </c>
      <c r="C135" s="2328" t="s">
        <v>2136</v>
      </c>
      <c r="D135" s="2364">
        <v>4</v>
      </c>
      <c r="E135" s="2441">
        <v>150</v>
      </c>
      <c r="F135" s="2412">
        <f t="shared" si="13"/>
        <v>0.6</v>
      </c>
      <c r="G135" s="2417"/>
      <c r="H135" s="2417">
        <v>4</v>
      </c>
      <c r="I135" s="2417">
        <v>150</v>
      </c>
      <c r="J135" s="2417">
        <f t="shared" si="14"/>
        <v>0.6</v>
      </c>
      <c r="K135" s="2417"/>
      <c r="L135" s="2417">
        <v>4</v>
      </c>
      <c r="M135" s="2417">
        <v>150</v>
      </c>
      <c r="N135" s="2417">
        <f t="shared" si="15"/>
        <v>0.6</v>
      </c>
      <c r="O135" s="2421"/>
      <c r="P135" s="2417">
        <v>4</v>
      </c>
      <c r="Q135" s="2417">
        <v>150</v>
      </c>
      <c r="R135" s="2417">
        <f t="shared" si="16"/>
        <v>0.6</v>
      </c>
      <c r="S135" s="2417">
        <f t="shared" si="10"/>
        <v>0.6</v>
      </c>
      <c r="T135" s="2417"/>
      <c r="U135" s="2417"/>
      <c r="V135" s="2417">
        <f t="shared" si="8"/>
        <v>0</v>
      </c>
      <c r="W135" s="2417">
        <f t="shared" si="9"/>
        <v>100</v>
      </c>
      <c r="X135" s="2417">
        <f t="shared" si="17"/>
        <v>0.6</v>
      </c>
      <c r="Y135" s="2417">
        <f t="shared" si="18"/>
        <v>0.6</v>
      </c>
      <c r="Z135" s="2444"/>
      <c r="AA135" s="2296" t="s">
        <v>1665</v>
      </c>
    </row>
    <row r="136" spans="1:27" s="2290" customFormat="1" hidden="1" x14ac:dyDescent="0.25">
      <c r="A136" s="2380"/>
      <c r="B136" s="2325">
        <v>981</v>
      </c>
      <c r="C136" s="2328" t="s">
        <v>2137</v>
      </c>
      <c r="D136" s="2364">
        <v>10</v>
      </c>
      <c r="E136" s="2441">
        <v>150</v>
      </c>
      <c r="F136" s="2412">
        <f t="shared" si="13"/>
        <v>1.5</v>
      </c>
      <c r="G136" s="2417"/>
      <c r="H136" s="2417">
        <v>10</v>
      </c>
      <c r="I136" s="2417">
        <v>150</v>
      </c>
      <c r="J136" s="2417">
        <f t="shared" si="14"/>
        <v>1.5</v>
      </c>
      <c r="K136" s="2417"/>
      <c r="L136" s="2417">
        <v>10</v>
      </c>
      <c r="M136" s="2417">
        <v>150</v>
      </c>
      <c r="N136" s="2417">
        <f t="shared" si="15"/>
        <v>1.5</v>
      </c>
      <c r="O136" s="2421"/>
      <c r="P136" s="2417">
        <v>10</v>
      </c>
      <c r="Q136" s="2417">
        <v>150</v>
      </c>
      <c r="R136" s="2417">
        <f t="shared" si="16"/>
        <v>1.5</v>
      </c>
      <c r="S136" s="2417">
        <f t="shared" si="10"/>
        <v>1.5</v>
      </c>
      <c r="T136" s="2417"/>
      <c r="U136" s="2417"/>
      <c r="V136" s="2417">
        <f t="shared" si="8"/>
        <v>0</v>
      </c>
      <c r="W136" s="2417">
        <f t="shared" si="9"/>
        <v>100</v>
      </c>
      <c r="X136" s="2417">
        <f t="shared" si="17"/>
        <v>1.5</v>
      </c>
      <c r="Y136" s="2417">
        <f t="shared" si="18"/>
        <v>1.5</v>
      </c>
      <c r="Z136" s="2444"/>
      <c r="AA136" s="2296" t="s">
        <v>1665</v>
      </c>
    </row>
    <row r="137" spans="1:27" s="2290" customFormat="1" hidden="1" x14ac:dyDescent="0.25">
      <c r="A137" s="2380"/>
      <c r="B137" s="2325">
        <v>985</v>
      </c>
      <c r="C137" s="2328" t="s">
        <v>2138</v>
      </c>
      <c r="D137" s="2364">
        <v>50</v>
      </c>
      <c r="E137" s="2441">
        <v>30</v>
      </c>
      <c r="F137" s="2412">
        <f t="shared" si="13"/>
        <v>1.5</v>
      </c>
      <c r="G137" s="2417"/>
      <c r="H137" s="2417">
        <v>50</v>
      </c>
      <c r="I137" s="2417">
        <v>30</v>
      </c>
      <c r="J137" s="2417">
        <f t="shared" si="14"/>
        <v>1.5</v>
      </c>
      <c r="K137" s="2417"/>
      <c r="L137" s="2417">
        <v>50</v>
      </c>
      <c r="M137" s="2417">
        <v>30</v>
      </c>
      <c r="N137" s="2417">
        <f t="shared" si="15"/>
        <v>1.5</v>
      </c>
      <c r="O137" s="2421"/>
      <c r="P137" s="2417">
        <v>50</v>
      </c>
      <c r="Q137" s="2417">
        <v>30</v>
      </c>
      <c r="R137" s="2417">
        <f t="shared" si="16"/>
        <v>1.5</v>
      </c>
      <c r="S137" s="2417">
        <f t="shared" si="10"/>
        <v>1.5</v>
      </c>
      <c r="T137" s="2417"/>
      <c r="U137" s="2417"/>
      <c r="V137" s="2417">
        <f t="shared" si="8"/>
        <v>0</v>
      </c>
      <c r="W137" s="2417">
        <f t="shared" si="9"/>
        <v>100</v>
      </c>
      <c r="X137" s="2417">
        <f t="shared" si="17"/>
        <v>1.5</v>
      </c>
      <c r="Y137" s="2417">
        <f t="shared" si="18"/>
        <v>1.5</v>
      </c>
      <c r="Z137" s="2444"/>
      <c r="AA137" s="2296" t="s">
        <v>1665</v>
      </c>
    </row>
    <row r="138" spans="1:27" s="2290" customFormat="1" hidden="1" x14ac:dyDescent="0.25">
      <c r="A138" s="2380"/>
      <c r="B138" s="2325">
        <v>981</v>
      </c>
      <c r="C138" s="2328" t="s">
        <v>2139</v>
      </c>
      <c r="D138" s="2364">
        <v>40</v>
      </c>
      <c r="E138" s="2441">
        <v>10</v>
      </c>
      <c r="F138" s="2412">
        <f t="shared" si="13"/>
        <v>0.4</v>
      </c>
      <c r="G138" s="2417"/>
      <c r="H138" s="2417">
        <v>40</v>
      </c>
      <c r="I138" s="2417">
        <v>10</v>
      </c>
      <c r="J138" s="2417">
        <f t="shared" si="14"/>
        <v>0.4</v>
      </c>
      <c r="K138" s="2417"/>
      <c r="L138" s="2417">
        <v>40</v>
      </c>
      <c r="M138" s="2417">
        <v>10</v>
      </c>
      <c r="N138" s="2417">
        <f t="shared" si="15"/>
        <v>0.4</v>
      </c>
      <c r="O138" s="2421"/>
      <c r="P138" s="2417">
        <v>40</v>
      </c>
      <c r="Q138" s="2417">
        <v>10</v>
      </c>
      <c r="R138" s="2417">
        <f t="shared" si="16"/>
        <v>0.4</v>
      </c>
      <c r="S138" s="2417">
        <f t="shared" si="10"/>
        <v>0.4</v>
      </c>
      <c r="T138" s="2417"/>
      <c r="U138" s="2417"/>
      <c r="V138" s="2417">
        <f t="shared" si="8"/>
        <v>0</v>
      </c>
      <c r="W138" s="2417">
        <f t="shared" si="9"/>
        <v>100</v>
      </c>
      <c r="X138" s="2417">
        <f t="shared" si="17"/>
        <v>0.4</v>
      </c>
      <c r="Y138" s="2417">
        <f t="shared" si="18"/>
        <v>0.4</v>
      </c>
      <c r="Z138" s="2444"/>
      <c r="AA138" s="2296" t="s">
        <v>1665</v>
      </c>
    </row>
    <row r="139" spans="1:27" s="2290" customFormat="1" hidden="1" x14ac:dyDescent="0.25">
      <c r="A139" s="2380"/>
      <c r="B139" s="2325">
        <v>981</v>
      </c>
      <c r="C139" s="2328" t="s">
        <v>2140</v>
      </c>
      <c r="D139" s="2364">
        <v>50</v>
      </c>
      <c r="E139" s="2441">
        <v>10</v>
      </c>
      <c r="F139" s="2412">
        <f t="shared" si="13"/>
        <v>0.5</v>
      </c>
      <c r="G139" s="2417"/>
      <c r="H139" s="2417">
        <v>50</v>
      </c>
      <c r="I139" s="2417">
        <v>10</v>
      </c>
      <c r="J139" s="2417">
        <f t="shared" si="14"/>
        <v>0.5</v>
      </c>
      <c r="K139" s="2417"/>
      <c r="L139" s="2417">
        <v>50</v>
      </c>
      <c r="M139" s="2417">
        <v>10</v>
      </c>
      <c r="N139" s="2417">
        <f t="shared" si="15"/>
        <v>0.5</v>
      </c>
      <c r="O139" s="2421"/>
      <c r="P139" s="2417">
        <v>50</v>
      </c>
      <c r="Q139" s="2417">
        <v>10</v>
      </c>
      <c r="R139" s="2417">
        <f t="shared" si="16"/>
        <v>0.5</v>
      </c>
      <c r="S139" s="2417">
        <f t="shared" si="10"/>
        <v>0.5</v>
      </c>
      <c r="T139" s="2417"/>
      <c r="U139" s="2417"/>
      <c r="V139" s="2417">
        <f t="shared" si="8"/>
        <v>0</v>
      </c>
      <c r="W139" s="2417">
        <f t="shared" si="9"/>
        <v>100</v>
      </c>
      <c r="X139" s="2417">
        <f t="shared" si="17"/>
        <v>0.5</v>
      </c>
      <c r="Y139" s="2417">
        <f t="shared" si="18"/>
        <v>0.5</v>
      </c>
      <c r="Z139" s="2444"/>
      <c r="AA139" s="2296" t="s">
        <v>1665</v>
      </c>
    </row>
    <row r="140" spans="1:27" s="2290" customFormat="1" hidden="1" x14ac:dyDescent="0.25">
      <c r="A140" s="2380"/>
      <c r="B140" s="2325">
        <v>981</v>
      </c>
      <c r="C140" s="2328" t="s">
        <v>2141</v>
      </c>
      <c r="D140" s="2364">
        <v>10</v>
      </c>
      <c r="E140" s="2441">
        <v>50</v>
      </c>
      <c r="F140" s="2412">
        <f t="shared" si="13"/>
        <v>0.5</v>
      </c>
      <c r="G140" s="2417"/>
      <c r="H140" s="2417">
        <v>10</v>
      </c>
      <c r="I140" s="2417">
        <v>50</v>
      </c>
      <c r="J140" s="2417">
        <f t="shared" si="14"/>
        <v>0.5</v>
      </c>
      <c r="K140" s="2417"/>
      <c r="L140" s="2417">
        <v>10</v>
      </c>
      <c r="M140" s="2417">
        <v>50</v>
      </c>
      <c r="N140" s="2417">
        <f t="shared" si="15"/>
        <v>0.5</v>
      </c>
      <c r="O140" s="2421"/>
      <c r="P140" s="2417">
        <v>10</v>
      </c>
      <c r="Q140" s="2417">
        <v>50</v>
      </c>
      <c r="R140" s="2417">
        <f t="shared" si="16"/>
        <v>0.5</v>
      </c>
      <c r="S140" s="2417">
        <f t="shared" si="10"/>
        <v>0.5</v>
      </c>
      <c r="T140" s="2417"/>
      <c r="U140" s="2417"/>
      <c r="V140" s="2417">
        <f t="shared" si="8"/>
        <v>0</v>
      </c>
      <c r="W140" s="2417">
        <f t="shared" si="9"/>
        <v>100</v>
      </c>
      <c r="X140" s="2417">
        <f t="shared" si="17"/>
        <v>0.5</v>
      </c>
      <c r="Y140" s="2417">
        <f t="shared" si="18"/>
        <v>0.5</v>
      </c>
      <c r="Z140" s="2444"/>
      <c r="AA140" s="2296" t="s">
        <v>1665</v>
      </c>
    </row>
    <row r="141" spans="1:27" s="2290" customFormat="1" hidden="1" x14ac:dyDescent="0.25">
      <c r="A141" s="2380"/>
      <c r="B141" s="2325">
        <v>981</v>
      </c>
      <c r="C141" s="2328" t="s">
        <v>2142</v>
      </c>
      <c r="D141" s="2364">
        <v>12</v>
      </c>
      <c r="E141" s="2441">
        <v>100</v>
      </c>
      <c r="F141" s="2412">
        <f t="shared" si="13"/>
        <v>1.2</v>
      </c>
      <c r="G141" s="2417"/>
      <c r="H141" s="2417">
        <v>12</v>
      </c>
      <c r="I141" s="2417">
        <v>100</v>
      </c>
      <c r="J141" s="2417">
        <f t="shared" si="14"/>
        <v>1.2</v>
      </c>
      <c r="K141" s="2417"/>
      <c r="L141" s="2417">
        <v>12</v>
      </c>
      <c r="M141" s="2417">
        <v>100</v>
      </c>
      <c r="N141" s="2417">
        <f t="shared" si="15"/>
        <v>1.2</v>
      </c>
      <c r="O141" s="2421"/>
      <c r="P141" s="2417">
        <v>12</v>
      </c>
      <c r="Q141" s="2417">
        <v>100</v>
      </c>
      <c r="R141" s="2417">
        <f t="shared" si="16"/>
        <v>1.2</v>
      </c>
      <c r="S141" s="2417">
        <f t="shared" si="10"/>
        <v>1.2</v>
      </c>
      <c r="T141" s="2417"/>
      <c r="U141" s="2417"/>
      <c r="V141" s="2417">
        <f t="shared" ref="V141:V204" si="19">R141-J141</f>
        <v>0</v>
      </c>
      <c r="W141" s="2417">
        <f t="shared" ref="W141:W204" si="20">IFERROR((R141)/J141*100,0)</f>
        <v>100</v>
      </c>
      <c r="X141" s="2417">
        <f t="shared" si="17"/>
        <v>1.2</v>
      </c>
      <c r="Y141" s="2417">
        <f t="shared" si="18"/>
        <v>1.2</v>
      </c>
      <c r="Z141" s="2444"/>
      <c r="AA141" s="2296" t="s">
        <v>1665</v>
      </c>
    </row>
    <row r="142" spans="1:27" s="2326" customFormat="1" ht="31.5" hidden="1" x14ac:dyDescent="0.25">
      <c r="A142" s="2370"/>
      <c r="B142" s="2445">
        <v>981</v>
      </c>
      <c r="C142" s="2320" t="s">
        <v>2143</v>
      </c>
      <c r="D142" s="2361"/>
      <c r="E142" s="2397"/>
      <c r="F142" s="2389">
        <f>SUM(F143:F154)</f>
        <v>10.6</v>
      </c>
      <c r="G142" s="2416"/>
      <c r="H142" s="2416"/>
      <c r="I142" s="2416"/>
      <c r="J142" s="2389">
        <f>SUM(J143:J154)</f>
        <v>10.6</v>
      </c>
      <c r="K142" s="2416"/>
      <c r="L142" s="2416"/>
      <c r="M142" s="2416"/>
      <c r="N142" s="2389">
        <f>SUM(N143:N154)</f>
        <v>10.6</v>
      </c>
      <c r="O142" s="2418"/>
      <c r="P142" s="2416"/>
      <c r="Q142" s="2416"/>
      <c r="R142" s="2389">
        <f>SUM(R143:R154)</f>
        <v>10</v>
      </c>
      <c r="S142" s="2389">
        <f t="shared" ref="S142:S205" si="21">R142</f>
        <v>10</v>
      </c>
      <c r="T142" s="2389"/>
      <c r="U142" s="2416"/>
      <c r="V142" s="2416">
        <f t="shared" si="19"/>
        <v>-0.6</v>
      </c>
      <c r="W142" s="2416">
        <f t="shared" si="20"/>
        <v>94.3</v>
      </c>
      <c r="X142" s="2389">
        <f>SUM(X143:X154)</f>
        <v>10</v>
      </c>
      <c r="Y142" s="2389">
        <f>SUM(Y143:Y154)</f>
        <v>10</v>
      </c>
      <c r="Z142" s="2444"/>
      <c r="AA142" s="2296" t="s">
        <v>1665</v>
      </c>
    </row>
    <row r="143" spans="1:27" s="2290" customFormat="1" hidden="1" x14ac:dyDescent="0.25">
      <c r="A143" s="2380"/>
      <c r="B143" s="2325"/>
      <c r="C143" s="2328" t="s">
        <v>2144</v>
      </c>
      <c r="D143" s="2364">
        <v>100</v>
      </c>
      <c r="E143" s="2441">
        <v>39</v>
      </c>
      <c r="F143" s="2412">
        <f t="shared" ref="F143:F154" si="22">D143*E143/1000</f>
        <v>3.9</v>
      </c>
      <c r="G143" s="2417"/>
      <c r="H143" s="2417">
        <v>100</v>
      </c>
      <c r="I143" s="2417">
        <v>39</v>
      </c>
      <c r="J143" s="2417">
        <f t="shared" si="14"/>
        <v>3.9</v>
      </c>
      <c r="K143" s="2417"/>
      <c r="L143" s="2417">
        <v>100</v>
      </c>
      <c r="M143" s="2417">
        <v>39</v>
      </c>
      <c r="N143" s="2417">
        <f t="shared" ref="N143:N154" si="23">L143*M143/1000</f>
        <v>3.9</v>
      </c>
      <c r="O143" s="2421"/>
      <c r="P143" s="2417">
        <v>100</v>
      </c>
      <c r="Q143" s="2417">
        <v>39</v>
      </c>
      <c r="R143" s="2417">
        <f t="shared" ref="R143:R154" si="24">P143*Q143/1000</f>
        <v>3.9</v>
      </c>
      <c r="S143" s="2417">
        <f t="shared" si="21"/>
        <v>3.9</v>
      </c>
      <c r="T143" s="2417"/>
      <c r="U143" s="2417"/>
      <c r="V143" s="2417">
        <f t="shared" si="19"/>
        <v>0</v>
      </c>
      <c r="W143" s="2417">
        <f t="shared" si="20"/>
        <v>100</v>
      </c>
      <c r="X143" s="2417">
        <f>R143</f>
        <v>3.9</v>
      </c>
      <c r="Y143" s="2417">
        <f>X143</f>
        <v>3.9</v>
      </c>
      <c r="Z143" s="2444"/>
      <c r="AA143" s="2296" t="s">
        <v>1665</v>
      </c>
    </row>
    <row r="144" spans="1:27" s="2290" customFormat="1" hidden="1" x14ac:dyDescent="0.25">
      <c r="A144" s="2380"/>
      <c r="B144" s="2325"/>
      <c r="C144" s="2328" t="s">
        <v>2134</v>
      </c>
      <c r="D144" s="2364">
        <v>10</v>
      </c>
      <c r="E144" s="2441">
        <v>100</v>
      </c>
      <c r="F144" s="2412">
        <f t="shared" si="22"/>
        <v>1</v>
      </c>
      <c r="G144" s="2417"/>
      <c r="H144" s="2417">
        <v>10</v>
      </c>
      <c r="I144" s="2417">
        <v>100</v>
      </c>
      <c r="J144" s="2417">
        <f t="shared" si="14"/>
        <v>1</v>
      </c>
      <c r="K144" s="2417"/>
      <c r="L144" s="2417">
        <v>10</v>
      </c>
      <c r="M144" s="2417">
        <v>100</v>
      </c>
      <c r="N144" s="2417">
        <f t="shared" si="23"/>
        <v>1</v>
      </c>
      <c r="O144" s="2421"/>
      <c r="P144" s="2417">
        <v>10</v>
      </c>
      <c r="Q144" s="2417">
        <v>100</v>
      </c>
      <c r="R144" s="2417">
        <f t="shared" si="24"/>
        <v>1</v>
      </c>
      <c r="S144" s="2417">
        <f t="shared" si="21"/>
        <v>1</v>
      </c>
      <c r="T144" s="2417"/>
      <c r="U144" s="2417"/>
      <c r="V144" s="2417">
        <f t="shared" si="19"/>
        <v>0</v>
      </c>
      <c r="W144" s="2417">
        <f t="shared" si="20"/>
        <v>100</v>
      </c>
      <c r="X144" s="2417">
        <f t="shared" ref="X144:X154" si="25">R144</f>
        <v>1</v>
      </c>
      <c r="Y144" s="2417">
        <f t="shared" ref="Y144:Y154" si="26">X144</f>
        <v>1</v>
      </c>
      <c r="Z144" s="2444"/>
      <c r="AA144" s="2296" t="s">
        <v>1665</v>
      </c>
    </row>
    <row r="145" spans="1:27" s="2290" customFormat="1" hidden="1" x14ac:dyDescent="0.25">
      <c r="A145" s="2380"/>
      <c r="B145" s="2325"/>
      <c r="C145" s="2328" t="s">
        <v>2145</v>
      </c>
      <c r="D145" s="2364">
        <v>15</v>
      </c>
      <c r="E145" s="2441">
        <v>56</v>
      </c>
      <c r="F145" s="2412">
        <f t="shared" si="22"/>
        <v>0.8</v>
      </c>
      <c r="G145" s="2417"/>
      <c r="H145" s="2417">
        <v>15</v>
      </c>
      <c r="I145" s="2417">
        <v>56</v>
      </c>
      <c r="J145" s="2417">
        <f t="shared" si="14"/>
        <v>0.8</v>
      </c>
      <c r="K145" s="2417"/>
      <c r="L145" s="2417">
        <v>15</v>
      </c>
      <c r="M145" s="2417">
        <v>56</v>
      </c>
      <c r="N145" s="2417">
        <f t="shared" si="23"/>
        <v>0.8</v>
      </c>
      <c r="O145" s="2421"/>
      <c r="P145" s="2417">
        <v>15</v>
      </c>
      <c r="Q145" s="2417">
        <v>56</v>
      </c>
      <c r="R145" s="2417">
        <f t="shared" si="24"/>
        <v>0.8</v>
      </c>
      <c r="S145" s="2417">
        <f t="shared" si="21"/>
        <v>0.8</v>
      </c>
      <c r="T145" s="2417"/>
      <c r="U145" s="2417"/>
      <c r="V145" s="2417">
        <f t="shared" si="19"/>
        <v>0</v>
      </c>
      <c r="W145" s="2417">
        <f t="shared" si="20"/>
        <v>100</v>
      </c>
      <c r="X145" s="2417">
        <f t="shared" si="25"/>
        <v>0.8</v>
      </c>
      <c r="Y145" s="2417">
        <f t="shared" si="26"/>
        <v>0.8</v>
      </c>
      <c r="Z145" s="2444"/>
      <c r="AA145" s="2296" t="s">
        <v>1665</v>
      </c>
    </row>
    <row r="146" spans="1:27" s="2290" customFormat="1" hidden="1" x14ac:dyDescent="0.25">
      <c r="A146" s="2380"/>
      <c r="B146" s="2325"/>
      <c r="C146" s="2328" t="s">
        <v>2133</v>
      </c>
      <c r="D146" s="2364">
        <v>10</v>
      </c>
      <c r="E146" s="2441">
        <v>70</v>
      </c>
      <c r="F146" s="2412">
        <f t="shared" si="22"/>
        <v>0.7</v>
      </c>
      <c r="G146" s="2417"/>
      <c r="H146" s="2417">
        <v>10</v>
      </c>
      <c r="I146" s="2417">
        <v>70</v>
      </c>
      <c r="J146" s="2417">
        <f t="shared" si="14"/>
        <v>0.7</v>
      </c>
      <c r="K146" s="2417"/>
      <c r="L146" s="2417">
        <v>10</v>
      </c>
      <c r="M146" s="2417">
        <v>70</v>
      </c>
      <c r="N146" s="2417">
        <f t="shared" si="23"/>
        <v>0.7</v>
      </c>
      <c r="O146" s="2421"/>
      <c r="P146" s="2417">
        <v>10</v>
      </c>
      <c r="Q146" s="2417">
        <v>70</v>
      </c>
      <c r="R146" s="2417">
        <f t="shared" si="24"/>
        <v>0.7</v>
      </c>
      <c r="S146" s="2417">
        <f t="shared" si="21"/>
        <v>0.7</v>
      </c>
      <c r="T146" s="2417"/>
      <c r="U146" s="2417"/>
      <c r="V146" s="2417">
        <f t="shared" si="19"/>
        <v>0</v>
      </c>
      <c r="W146" s="2417">
        <f t="shared" si="20"/>
        <v>100</v>
      </c>
      <c r="X146" s="2417">
        <f t="shared" si="25"/>
        <v>0.7</v>
      </c>
      <c r="Y146" s="2417">
        <f t="shared" si="26"/>
        <v>0.7</v>
      </c>
      <c r="Z146" s="2444"/>
      <c r="AA146" s="2296" t="s">
        <v>1665</v>
      </c>
    </row>
    <row r="147" spans="1:27" s="2290" customFormat="1" hidden="1" x14ac:dyDescent="0.25">
      <c r="A147" s="2380"/>
      <c r="B147" s="2325"/>
      <c r="C147" s="2328" t="s">
        <v>2146</v>
      </c>
      <c r="D147" s="2364">
        <v>100</v>
      </c>
      <c r="E147" s="2441">
        <v>25</v>
      </c>
      <c r="F147" s="2412">
        <f t="shared" si="22"/>
        <v>2.5</v>
      </c>
      <c r="G147" s="2417"/>
      <c r="H147" s="2417">
        <v>100</v>
      </c>
      <c r="I147" s="2417">
        <v>25</v>
      </c>
      <c r="J147" s="2417">
        <f t="shared" si="14"/>
        <v>2.5</v>
      </c>
      <c r="K147" s="2417"/>
      <c r="L147" s="2417">
        <v>100</v>
      </c>
      <c r="M147" s="2417">
        <v>25</v>
      </c>
      <c r="N147" s="2417">
        <f t="shared" si="23"/>
        <v>2.5</v>
      </c>
      <c r="O147" s="2421"/>
      <c r="P147" s="2417">
        <v>100</v>
      </c>
      <c r="Q147" s="2417">
        <v>25</v>
      </c>
      <c r="R147" s="2417">
        <f t="shared" si="24"/>
        <v>2.5</v>
      </c>
      <c r="S147" s="2417">
        <f t="shared" si="21"/>
        <v>2.5</v>
      </c>
      <c r="T147" s="2417"/>
      <c r="U147" s="2417"/>
      <c r="V147" s="2417">
        <f t="shared" si="19"/>
        <v>0</v>
      </c>
      <c r="W147" s="2417">
        <f t="shared" si="20"/>
        <v>100</v>
      </c>
      <c r="X147" s="2417">
        <f t="shared" si="25"/>
        <v>2.5</v>
      </c>
      <c r="Y147" s="2417">
        <f t="shared" si="26"/>
        <v>2.5</v>
      </c>
      <c r="Z147" s="2444"/>
      <c r="AA147" s="2296" t="s">
        <v>1665</v>
      </c>
    </row>
    <row r="148" spans="1:27" s="2290" customFormat="1" hidden="1" x14ac:dyDescent="0.25">
      <c r="A148" s="2380"/>
      <c r="B148" s="2325"/>
      <c r="C148" s="2328" t="s">
        <v>2147</v>
      </c>
      <c r="D148" s="2364">
        <v>10</v>
      </c>
      <c r="E148" s="2441">
        <v>30</v>
      </c>
      <c r="F148" s="2412">
        <f t="shared" si="22"/>
        <v>0.3</v>
      </c>
      <c r="G148" s="2417"/>
      <c r="H148" s="2417">
        <v>10</v>
      </c>
      <c r="I148" s="2417">
        <v>30</v>
      </c>
      <c r="J148" s="2417">
        <f t="shared" si="14"/>
        <v>0.3</v>
      </c>
      <c r="K148" s="2417"/>
      <c r="L148" s="2417">
        <v>10</v>
      </c>
      <c r="M148" s="2417">
        <v>30</v>
      </c>
      <c r="N148" s="2417">
        <f t="shared" si="23"/>
        <v>0.3</v>
      </c>
      <c r="O148" s="2421"/>
      <c r="P148" s="2417">
        <v>10</v>
      </c>
      <c r="Q148" s="2417">
        <v>30</v>
      </c>
      <c r="R148" s="2417">
        <f t="shared" si="24"/>
        <v>0.3</v>
      </c>
      <c r="S148" s="2417">
        <f t="shared" si="21"/>
        <v>0.3</v>
      </c>
      <c r="T148" s="2417"/>
      <c r="U148" s="2417"/>
      <c r="V148" s="2417">
        <f t="shared" si="19"/>
        <v>0</v>
      </c>
      <c r="W148" s="2417">
        <f t="shared" si="20"/>
        <v>100</v>
      </c>
      <c r="X148" s="2417">
        <f t="shared" si="25"/>
        <v>0.3</v>
      </c>
      <c r="Y148" s="2417">
        <f t="shared" si="26"/>
        <v>0.3</v>
      </c>
      <c r="Z148" s="2444"/>
      <c r="AA148" s="2296" t="s">
        <v>1665</v>
      </c>
    </row>
    <row r="149" spans="1:27" s="2290" customFormat="1" hidden="1" x14ac:dyDescent="0.25">
      <c r="A149" s="2380"/>
      <c r="B149" s="2325"/>
      <c r="C149" s="2328" t="s">
        <v>2148</v>
      </c>
      <c r="D149" s="2364">
        <v>10</v>
      </c>
      <c r="E149" s="2441">
        <v>20</v>
      </c>
      <c r="F149" s="2412">
        <f t="shared" si="22"/>
        <v>0.2</v>
      </c>
      <c r="G149" s="2417"/>
      <c r="H149" s="2417">
        <v>10</v>
      </c>
      <c r="I149" s="2417">
        <v>20</v>
      </c>
      <c r="J149" s="2417">
        <f t="shared" si="14"/>
        <v>0.2</v>
      </c>
      <c r="K149" s="2417"/>
      <c r="L149" s="2417">
        <v>10</v>
      </c>
      <c r="M149" s="2417">
        <v>20</v>
      </c>
      <c r="N149" s="2417">
        <f t="shared" si="23"/>
        <v>0.2</v>
      </c>
      <c r="O149" s="2421"/>
      <c r="P149" s="2417">
        <v>10</v>
      </c>
      <c r="Q149" s="2417">
        <v>20</v>
      </c>
      <c r="R149" s="2417">
        <f t="shared" si="24"/>
        <v>0.2</v>
      </c>
      <c r="S149" s="2417">
        <f t="shared" si="21"/>
        <v>0.2</v>
      </c>
      <c r="T149" s="2417"/>
      <c r="U149" s="2417"/>
      <c r="V149" s="2417">
        <f t="shared" si="19"/>
        <v>0</v>
      </c>
      <c r="W149" s="2417">
        <f t="shared" si="20"/>
        <v>100</v>
      </c>
      <c r="X149" s="2417">
        <f t="shared" si="25"/>
        <v>0.2</v>
      </c>
      <c r="Y149" s="2417">
        <f t="shared" si="26"/>
        <v>0.2</v>
      </c>
      <c r="Z149" s="2444"/>
      <c r="AA149" s="2296" t="s">
        <v>1665</v>
      </c>
    </row>
    <row r="150" spans="1:27" s="2290" customFormat="1" hidden="1" x14ac:dyDescent="0.25">
      <c r="A150" s="2380"/>
      <c r="B150" s="2325"/>
      <c r="C150" s="2328" t="s">
        <v>2149</v>
      </c>
      <c r="D150" s="2364">
        <v>3</v>
      </c>
      <c r="E150" s="2441">
        <v>60</v>
      </c>
      <c r="F150" s="2412">
        <f t="shared" si="22"/>
        <v>0.2</v>
      </c>
      <c r="G150" s="2417"/>
      <c r="H150" s="2417">
        <v>3</v>
      </c>
      <c r="I150" s="2417">
        <v>60</v>
      </c>
      <c r="J150" s="2417">
        <f t="shared" si="14"/>
        <v>0.2</v>
      </c>
      <c r="K150" s="2417"/>
      <c r="L150" s="2417">
        <v>3</v>
      </c>
      <c r="M150" s="2417">
        <v>60</v>
      </c>
      <c r="N150" s="2417">
        <f t="shared" si="23"/>
        <v>0.2</v>
      </c>
      <c r="O150" s="2421"/>
      <c r="P150" s="2417">
        <v>3</v>
      </c>
      <c r="Q150" s="2417">
        <v>60</v>
      </c>
      <c r="R150" s="2417">
        <f t="shared" si="24"/>
        <v>0.2</v>
      </c>
      <c r="S150" s="2417">
        <f t="shared" si="21"/>
        <v>0.2</v>
      </c>
      <c r="T150" s="2417"/>
      <c r="U150" s="2417"/>
      <c r="V150" s="2417">
        <f t="shared" si="19"/>
        <v>0</v>
      </c>
      <c r="W150" s="2417">
        <f t="shared" si="20"/>
        <v>100</v>
      </c>
      <c r="X150" s="2417">
        <f t="shared" si="25"/>
        <v>0.2</v>
      </c>
      <c r="Y150" s="2417">
        <f t="shared" si="26"/>
        <v>0.2</v>
      </c>
      <c r="Z150" s="2444"/>
      <c r="AA150" s="2296" t="s">
        <v>1665</v>
      </c>
    </row>
    <row r="151" spans="1:27" s="2290" customFormat="1" hidden="1" x14ac:dyDescent="0.25">
      <c r="A151" s="2380"/>
      <c r="B151" s="2325"/>
      <c r="C151" s="2328" t="s">
        <v>2150</v>
      </c>
      <c r="D151" s="2364">
        <v>5</v>
      </c>
      <c r="E151" s="2441">
        <v>15</v>
      </c>
      <c r="F151" s="2412">
        <f t="shared" si="22"/>
        <v>0.1</v>
      </c>
      <c r="G151" s="2417"/>
      <c r="H151" s="2417">
        <v>5</v>
      </c>
      <c r="I151" s="2417">
        <v>15</v>
      </c>
      <c r="J151" s="2417">
        <f t="shared" si="14"/>
        <v>0.1</v>
      </c>
      <c r="K151" s="2417"/>
      <c r="L151" s="2417">
        <v>5</v>
      </c>
      <c r="M151" s="2417">
        <v>15</v>
      </c>
      <c r="N151" s="2417">
        <f t="shared" si="23"/>
        <v>0.1</v>
      </c>
      <c r="O151" s="2421"/>
      <c r="P151" s="2417"/>
      <c r="Q151" s="2417"/>
      <c r="R151" s="2417">
        <f t="shared" si="24"/>
        <v>0</v>
      </c>
      <c r="S151" s="2417">
        <f t="shared" si="21"/>
        <v>0</v>
      </c>
      <c r="T151" s="2417"/>
      <c r="U151" s="2417"/>
      <c r="V151" s="2417">
        <f t="shared" si="19"/>
        <v>-0.1</v>
      </c>
      <c r="W151" s="2417">
        <f t="shared" si="20"/>
        <v>0</v>
      </c>
      <c r="X151" s="2417">
        <f t="shared" si="25"/>
        <v>0</v>
      </c>
      <c r="Y151" s="2417">
        <f t="shared" si="26"/>
        <v>0</v>
      </c>
      <c r="Z151" s="2444"/>
      <c r="AA151" s="2296" t="s">
        <v>1665</v>
      </c>
    </row>
    <row r="152" spans="1:27" s="2290" customFormat="1" hidden="1" x14ac:dyDescent="0.25">
      <c r="A152" s="2380"/>
      <c r="B152" s="2325"/>
      <c r="C152" s="2328" t="s">
        <v>1294</v>
      </c>
      <c r="D152" s="2364">
        <v>4</v>
      </c>
      <c r="E152" s="2441">
        <v>120</v>
      </c>
      <c r="F152" s="2412">
        <f t="shared" si="22"/>
        <v>0.5</v>
      </c>
      <c r="G152" s="2417"/>
      <c r="H152" s="2417">
        <v>4</v>
      </c>
      <c r="I152" s="2417">
        <v>120</v>
      </c>
      <c r="J152" s="2417">
        <f t="shared" si="14"/>
        <v>0.5</v>
      </c>
      <c r="K152" s="2417"/>
      <c r="L152" s="2417">
        <v>4</v>
      </c>
      <c r="M152" s="2417">
        <v>120</v>
      </c>
      <c r="N152" s="2417">
        <f t="shared" si="23"/>
        <v>0.5</v>
      </c>
      <c r="O152" s="2421"/>
      <c r="P152" s="2417"/>
      <c r="Q152" s="2417"/>
      <c r="R152" s="2417">
        <f t="shared" si="24"/>
        <v>0</v>
      </c>
      <c r="S152" s="2417">
        <f t="shared" si="21"/>
        <v>0</v>
      </c>
      <c r="T152" s="2417"/>
      <c r="U152" s="2417"/>
      <c r="V152" s="2417">
        <f t="shared" si="19"/>
        <v>-0.5</v>
      </c>
      <c r="W152" s="2417">
        <f t="shared" si="20"/>
        <v>0</v>
      </c>
      <c r="X152" s="2417">
        <f t="shared" si="25"/>
        <v>0</v>
      </c>
      <c r="Y152" s="2417">
        <f t="shared" si="26"/>
        <v>0</v>
      </c>
      <c r="Z152" s="2444"/>
      <c r="AA152" s="2296" t="s">
        <v>1665</v>
      </c>
    </row>
    <row r="153" spans="1:27" s="2290" customFormat="1" hidden="1" x14ac:dyDescent="0.25">
      <c r="A153" s="2380"/>
      <c r="B153" s="2325"/>
      <c r="C153" s="2328" t="s">
        <v>2151</v>
      </c>
      <c r="D153" s="2364">
        <v>10</v>
      </c>
      <c r="E153" s="2441">
        <v>28</v>
      </c>
      <c r="F153" s="2412">
        <f t="shared" si="22"/>
        <v>0.3</v>
      </c>
      <c r="G153" s="2417"/>
      <c r="H153" s="2417">
        <v>10</v>
      </c>
      <c r="I153" s="2417">
        <v>28</v>
      </c>
      <c r="J153" s="2417">
        <f t="shared" si="14"/>
        <v>0.3</v>
      </c>
      <c r="K153" s="2417"/>
      <c r="L153" s="2417">
        <v>10</v>
      </c>
      <c r="M153" s="2417">
        <v>28</v>
      </c>
      <c r="N153" s="2417">
        <f t="shared" si="23"/>
        <v>0.3</v>
      </c>
      <c r="O153" s="2421"/>
      <c r="P153" s="2417">
        <v>10</v>
      </c>
      <c r="Q153" s="2417">
        <v>28</v>
      </c>
      <c r="R153" s="2417">
        <f t="shared" si="24"/>
        <v>0.3</v>
      </c>
      <c r="S153" s="2417">
        <f t="shared" si="21"/>
        <v>0.3</v>
      </c>
      <c r="T153" s="2417"/>
      <c r="U153" s="2417"/>
      <c r="V153" s="2417">
        <f t="shared" si="19"/>
        <v>0</v>
      </c>
      <c r="W153" s="2417">
        <f t="shared" si="20"/>
        <v>100</v>
      </c>
      <c r="X153" s="2417">
        <f t="shared" si="25"/>
        <v>0.3</v>
      </c>
      <c r="Y153" s="2417">
        <f t="shared" si="26"/>
        <v>0.3</v>
      </c>
      <c r="Z153" s="2444"/>
      <c r="AA153" s="2296" t="s">
        <v>1665</v>
      </c>
    </row>
    <row r="154" spans="1:27" s="2290" customFormat="1" hidden="1" x14ac:dyDescent="0.25">
      <c r="A154" s="2380"/>
      <c r="B154" s="2325"/>
      <c r="C154" s="2328" t="s">
        <v>760</v>
      </c>
      <c r="D154" s="2364">
        <v>5</v>
      </c>
      <c r="E154" s="2441">
        <v>28</v>
      </c>
      <c r="F154" s="2412">
        <f t="shared" si="22"/>
        <v>0.1</v>
      </c>
      <c r="G154" s="2417"/>
      <c r="H154" s="2417">
        <v>5</v>
      </c>
      <c r="I154" s="2417">
        <v>28</v>
      </c>
      <c r="J154" s="2417">
        <f t="shared" si="14"/>
        <v>0.1</v>
      </c>
      <c r="K154" s="2417"/>
      <c r="L154" s="2417">
        <v>5</v>
      </c>
      <c r="M154" s="2417">
        <v>28</v>
      </c>
      <c r="N154" s="2417">
        <f t="shared" si="23"/>
        <v>0.1</v>
      </c>
      <c r="O154" s="2421"/>
      <c r="P154" s="2417">
        <v>5</v>
      </c>
      <c r="Q154" s="2417">
        <v>28</v>
      </c>
      <c r="R154" s="2417">
        <f t="shared" si="24"/>
        <v>0.1</v>
      </c>
      <c r="S154" s="2417">
        <f t="shared" si="21"/>
        <v>0.1</v>
      </c>
      <c r="T154" s="2417"/>
      <c r="U154" s="2417"/>
      <c r="V154" s="2417">
        <f t="shared" si="19"/>
        <v>0</v>
      </c>
      <c r="W154" s="2417">
        <f t="shared" si="20"/>
        <v>100</v>
      </c>
      <c r="X154" s="2417">
        <f t="shared" si="25"/>
        <v>0.1</v>
      </c>
      <c r="Y154" s="2417">
        <f t="shared" si="26"/>
        <v>0.1</v>
      </c>
      <c r="Z154" s="2444"/>
      <c r="AA154" s="2296" t="s">
        <v>1665</v>
      </c>
    </row>
    <row r="155" spans="1:27" s="2408" customFormat="1" hidden="1" x14ac:dyDescent="0.25">
      <c r="A155" s="2311">
        <v>11</v>
      </c>
      <c r="B155" s="2311"/>
      <c r="C155" s="2312" t="s">
        <v>2152</v>
      </c>
      <c r="D155" s="2446"/>
      <c r="E155" s="2447"/>
      <c r="F155" s="2404"/>
      <c r="G155" s="2405"/>
      <c r="H155" s="2405"/>
      <c r="I155" s="2405"/>
      <c r="J155" s="2313">
        <f>J156+J162+J165+J169</f>
        <v>70.8</v>
      </c>
      <c r="K155" s="2313">
        <f>K156+K162+K165+K169</f>
        <v>0</v>
      </c>
      <c r="L155" s="2405"/>
      <c r="M155" s="2405"/>
      <c r="N155" s="2313">
        <f>N156+N162+N165+N169</f>
        <v>70.8</v>
      </c>
      <c r="O155" s="2315">
        <f>O156+O162+O165+O169</f>
        <v>0</v>
      </c>
      <c r="P155" s="2405"/>
      <c r="Q155" s="2405"/>
      <c r="R155" s="2313">
        <f>R156+R162+R165+R169</f>
        <v>70.3</v>
      </c>
      <c r="S155" s="2313">
        <f t="shared" si="21"/>
        <v>70.3</v>
      </c>
      <c r="T155" s="2313"/>
      <c r="U155" s="2313">
        <f>U156+U162+U165+U169</f>
        <v>24.6</v>
      </c>
      <c r="V155" s="2313">
        <f t="shared" si="19"/>
        <v>-0.5</v>
      </c>
      <c r="W155" s="2313">
        <f t="shared" si="20"/>
        <v>99.3</v>
      </c>
      <c r="X155" s="2313">
        <f>X156+X162+X165+X169</f>
        <v>101.8</v>
      </c>
      <c r="Y155" s="2313">
        <f>Y156+Y162+Y165+Y169</f>
        <v>101.8</v>
      </c>
      <c r="Z155" s="2448"/>
      <c r="AA155" s="2296" t="s">
        <v>1665</v>
      </c>
    </row>
    <row r="156" spans="1:27" s="2290" customFormat="1" ht="31.5" hidden="1" x14ac:dyDescent="0.25">
      <c r="A156" s="2380"/>
      <c r="B156" s="2319">
        <v>955</v>
      </c>
      <c r="C156" s="2340" t="s">
        <v>1401</v>
      </c>
      <c r="D156" s="2364"/>
      <c r="E156" s="2441"/>
      <c r="F156" s="2389"/>
      <c r="G156" s="2417"/>
      <c r="H156" s="2361"/>
      <c r="I156" s="2361"/>
      <c r="J156" s="2361">
        <f>SUM(J157:J161)</f>
        <v>15.3</v>
      </c>
      <c r="K156" s="2361"/>
      <c r="L156" s="2361"/>
      <c r="M156" s="2361"/>
      <c r="N156" s="2361">
        <f>SUM(N157:N161)</f>
        <v>15.3</v>
      </c>
      <c r="O156" s="2449"/>
      <c r="P156" s="2361"/>
      <c r="Q156" s="2361"/>
      <c r="R156" s="2361">
        <f>SUM(R157:R161)</f>
        <v>11.8</v>
      </c>
      <c r="S156" s="2361">
        <f t="shared" si="21"/>
        <v>11.8</v>
      </c>
      <c r="T156" s="2361"/>
      <c r="U156" s="2361"/>
      <c r="V156" s="2384">
        <f t="shared" si="19"/>
        <v>-3.5</v>
      </c>
      <c r="W156" s="2384">
        <f t="shared" si="20"/>
        <v>77.099999999999994</v>
      </c>
      <c r="X156" s="2361">
        <v>11.7</v>
      </c>
      <c r="Y156" s="2361">
        <v>11.7</v>
      </c>
      <c r="Z156" s="2450"/>
      <c r="AA156" s="2296" t="s">
        <v>1665</v>
      </c>
    </row>
    <row r="157" spans="1:27" s="2290" customFormat="1" ht="47.25" hidden="1" x14ac:dyDescent="0.25">
      <c r="A157" s="2380"/>
      <c r="B157" s="2343"/>
      <c r="C157" s="2335" t="s">
        <v>2153</v>
      </c>
      <c r="D157" s="2364"/>
      <c r="E157" s="2441"/>
      <c r="F157" s="2389"/>
      <c r="G157" s="2417"/>
      <c r="H157" s="2364">
        <v>1</v>
      </c>
      <c r="I157" s="2364">
        <v>3450</v>
      </c>
      <c r="J157" s="2364">
        <f>H157*I157/1000</f>
        <v>3.5</v>
      </c>
      <c r="K157" s="2364"/>
      <c r="L157" s="2364">
        <v>1</v>
      </c>
      <c r="M157" s="2364">
        <v>3450</v>
      </c>
      <c r="N157" s="2364">
        <f>L157*M157/1000</f>
        <v>3.5</v>
      </c>
      <c r="O157" s="2451"/>
      <c r="P157" s="2364">
        <v>1</v>
      </c>
      <c r="Q157" s="2364">
        <v>3450</v>
      </c>
      <c r="R157" s="2364">
        <f>Q157*P157/1000</f>
        <v>3.5</v>
      </c>
      <c r="S157" s="2364">
        <f t="shared" si="21"/>
        <v>3.5</v>
      </c>
      <c r="T157" s="2364"/>
      <c r="U157" s="2364"/>
      <c r="V157" s="2384">
        <f t="shared" si="19"/>
        <v>0</v>
      </c>
      <c r="W157" s="2384">
        <f t="shared" si="20"/>
        <v>100</v>
      </c>
      <c r="X157" s="2364">
        <v>3.5</v>
      </c>
      <c r="Y157" s="2364">
        <v>3.5</v>
      </c>
      <c r="Z157" s="3469"/>
      <c r="AA157" s="2296" t="s">
        <v>1665</v>
      </c>
    </row>
    <row r="158" spans="1:27" s="2290" customFormat="1" ht="47.25" hidden="1" x14ac:dyDescent="0.25">
      <c r="A158" s="2380"/>
      <c r="B158" s="2319"/>
      <c r="C158" s="2335" t="s">
        <v>2154</v>
      </c>
      <c r="D158" s="2364"/>
      <c r="E158" s="2441"/>
      <c r="F158" s="2389"/>
      <c r="G158" s="2417"/>
      <c r="H158" s="2364">
        <v>1</v>
      </c>
      <c r="I158" s="2364">
        <v>2300</v>
      </c>
      <c r="J158" s="2364">
        <f>H158*I158/1000</f>
        <v>2.2999999999999998</v>
      </c>
      <c r="K158" s="2361"/>
      <c r="L158" s="2364">
        <v>1</v>
      </c>
      <c r="M158" s="2364">
        <v>2300</v>
      </c>
      <c r="N158" s="2364">
        <f>L158*M158/1000</f>
        <v>2.2999999999999998</v>
      </c>
      <c r="O158" s="2449"/>
      <c r="P158" s="2364">
        <v>1</v>
      </c>
      <c r="Q158" s="2364">
        <v>2300</v>
      </c>
      <c r="R158" s="2364">
        <f>Q158*P158/1000</f>
        <v>2.2999999999999998</v>
      </c>
      <c r="S158" s="2364">
        <f t="shared" si="21"/>
        <v>2.2999999999999998</v>
      </c>
      <c r="T158" s="2364"/>
      <c r="U158" s="2361"/>
      <c r="V158" s="2417">
        <f t="shared" si="19"/>
        <v>0</v>
      </c>
      <c r="W158" s="2417">
        <f t="shared" si="20"/>
        <v>100</v>
      </c>
      <c r="X158" s="2364">
        <v>2.2999999999999998</v>
      </c>
      <c r="Y158" s="2364">
        <v>2.2999999999999998</v>
      </c>
      <c r="Z158" s="3470"/>
      <c r="AA158" s="2296" t="s">
        <v>1665</v>
      </c>
    </row>
    <row r="159" spans="1:27" s="2290" customFormat="1" ht="47.25" hidden="1" x14ac:dyDescent="0.25">
      <c r="A159" s="2380"/>
      <c r="B159" s="2343"/>
      <c r="C159" s="2335" t="s">
        <v>2155</v>
      </c>
      <c r="D159" s="2364"/>
      <c r="E159" s="2441"/>
      <c r="F159" s="2389"/>
      <c r="G159" s="2417"/>
      <c r="H159" s="2364">
        <v>1</v>
      </c>
      <c r="I159" s="2364">
        <v>3000</v>
      </c>
      <c r="J159" s="2364">
        <f>H159*I159/1000</f>
        <v>3</v>
      </c>
      <c r="K159" s="2364"/>
      <c r="L159" s="2364">
        <v>1</v>
      </c>
      <c r="M159" s="2364">
        <v>3000</v>
      </c>
      <c r="N159" s="2364">
        <f>L159*M159/1000</f>
        <v>3</v>
      </c>
      <c r="O159" s="2451"/>
      <c r="P159" s="2364"/>
      <c r="Q159" s="2364"/>
      <c r="R159" s="2364">
        <f>Q159*P159/1000</f>
        <v>0</v>
      </c>
      <c r="S159" s="2364">
        <f t="shared" si="21"/>
        <v>0</v>
      </c>
      <c r="T159" s="2364"/>
      <c r="U159" s="2364"/>
      <c r="V159" s="2417">
        <f t="shared" si="19"/>
        <v>-3</v>
      </c>
      <c r="W159" s="2417">
        <f t="shared" si="20"/>
        <v>0</v>
      </c>
      <c r="X159" s="2364">
        <v>0</v>
      </c>
      <c r="Y159" s="2364">
        <v>0</v>
      </c>
      <c r="Z159" s="3470"/>
      <c r="AA159" s="2296" t="s">
        <v>1665</v>
      </c>
    </row>
    <row r="160" spans="1:27" s="2290" customFormat="1" ht="63" hidden="1" x14ac:dyDescent="0.25">
      <c r="A160" s="2380"/>
      <c r="B160" s="2343"/>
      <c r="C160" s="2335" t="s">
        <v>2156</v>
      </c>
      <c r="D160" s="2364"/>
      <c r="E160" s="2441"/>
      <c r="F160" s="2389"/>
      <c r="G160" s="2417"/>
      <c r="H160" s="2364">
        <v>1</v>
      </c>
      <c r="I160" s="2364">
        <v>3150</v>
      </c>
      <c r="J160" s="2364">
        <f>H160*I160/1000</f>
        <v>3.2</v>
      </c>
      <c r="K160" s="2364"/>
      <c r="L160" s="2364">
        <v>1</v>
      </c>
      <c r="M160" s="2364">
        <v>3150</v>
      </c>
      <c r="N160" s="2364">
        <f>L160*M160/1000</f>
        <v>3.2</v>
      </c>
      <c r="O160" s="2451"/>
      <c r="P160" s="2364">
        <v>1</v>
      </c>
      <c r="Q160" s="2364">
        <v>3450</v>
      </c>
      <c r="R160" s="2364">
        <f>Q160*P160/1000</f>
        <v>3.5</v>
      </c>
      <c r="S160" s="2364">
        <f t="shared" si="21"/>
        <v>3.5</v>
      </c>
      <c r="T160" s="2364"/>
      <c r="U160" s="2364"/>
      <c r="V160" s="2417">
        <f t="shared" si="19"/>
        <v>0.3</v>
      </c>
      <c r="W160" s="2417">
        <f t="shared" si="20"/>
        <v>109.4</v>
      </c>
      <c r="X160" s="2364">
        <v>3.5</v>
      </c>
      <c r="Y160" s="2364">
        <v>3.5</v>
      </c>
      <c r="Z160" s="3471"/>
      <c r="AA160" s="2296" t="s">
        <v>1665</v>
      </c>
    </row>
    <row r="161" spans="1:27" s="2290" customFormat="1" hidden="1" x14ac:dyDescent="0.25">
      <c r="A161" s="2380"/>
      <c r="B161" s="2343"/>
      <c r="C161" s="2335" t="s">
        <v>1234</v>
      </c>
      <c r="D161" s="2364"/>
      <c r="E161" s="2441"/>
      <c r="F161" s="2389"/>
      <c r="G161" s="2417"/>
      <c r="H161" s="2364"/>
      <c r="I161" s="2364"/>
      <c r="J161" s="2364">
        <f>SUM(J157:J160)*0.271</f>
        <v>3.3</v>
      </c>
      <c r="K161" s="2364"/>
      <c r="L161" s="2364"/>
      <c r="M161" s="2364"/>
      <c r="N161" s="2364">
        <f>SUM(N157:N160)*0.271</f>
        <v>3.3</v>
      </c>
      <c r="O161" s="2451"/>
      <c r="P161" s="2364"/>
      <c r="Q161" s="2364"/>
      <c r="R161" s="2364">
        <f>SUM(R157:R160)*0.271</f>
        <v>2.5</v>
      </c>
      <c r="S161" s="2364">
        <f t="shared" si="21"/>
        <v>2.5</v>
      </c>
      <c r="T161" s="2364"/>
      <c r="U161" s="2364"/>
      <c r="V161" s="2417">
        <f t="shared" si="19"/>
        <v>-0.8</v>
      </c>
      <c r="W161" s="2417">
        <f t="shared" si="20"/>
        <v>75.8</v>
      </c>
      <c r="X161" s="2364">
        <v>2.5</v>
      </c>
      <c r="Y161" s="2364">
        <v>2.5</v>
      </c>
      <c r="Z161" s="2450"/>
      <c r="AA161" s="2296" t="s">
        <v>1665</v>
      </c>
    </row>
    <row r="162" spans="1:27" s="2290" customFormat="1" hidden="1" x14ac:dyDescent="0.25">
      <c r="A162" s="2380"/>
      <c r="B162" s="2452">
        <v>981</v>
      </c>
      <c r="C162" s="2340" t="s">
        <v>1226</v>
      </c>
      <c r="D162" s="2364"/>
      <c r="E162" s="2441"/>
      <c r="F162" s="2389"/>
      <c r="G162" s="2417"/>
      <c r="H162" s="2361"/>
      <c r="I162" s="2361"/>
      <c r="J162" s="2361">
        <f>J163</f>
        <v>2</v>
      </c>
      <c r="K162" s="2361"/>
      <c r="L162" s="2361"/>
      <c r="M162" s="2361"/>
      <c r="N162" s="2361">
        <f>N163</f>
        <v>2</v>
      </c>
      <c r="O162" s="2449"/>
      <c r="P162" s="2361"/>
      <c r="Q162" s="2361"/>
      <c r="R162" s="2361">
        <f>SUM(R163:R164)</f>
        <v>2</v>
      </c>
      <c r="S162" s="2361">
        <f t="shared" si="21"/>
        <v>2</v>
      </c>
      <c r="T162" s="2361"/>
      <c r="U162" s="2361">
        <f>SUM(U163:U164)</f>
        <v>9.6</v>
      </c>
      <c r="V162" s="2416">
        <f t="shared" si="19"/>
        <v>0</v>
      </c>
      <c r="W162" s="2416">
        <f t="shared" si="20"/>
        <v>100</v>
      </c>
      <c r="X162" s="2361">
        <f>SUM(X163:X164)</f>
        <v>11.6</v>
      </c>
      <c r="Y162" s="2361">
        <f>SUM(Y163:Y164)</f>
        <v>11.6</v>
      </c>
      <c r="Z162" s="2453"/>
      <c r="AA162" s="2296" t="s">
        <v>1665</v>
      </c>
    </row>
    <row r="163" spans="1:27" s="2290" customFormat="1" hidden="1" x14ac:dyDescent="0.25">
      <c r="A163" s="2380"/>
      <c r="B163" s="2325"/>
      <c r="C163" s="2335" t="s">
        <v>1958</v>
      </c>
      <c r="D163" s="2364"/>
      <c r="E163" s="2441"/>
      <c r="F163" s="2389"/>
      <c r="G163" s="2417"/>
      <c r="H163" s="2364">
        <v>2</v>
      </c>
      <c r="I163" s="2364">
        <v>1000</v>
      </c>
      <c r="J163" s="2364">
        <f>H163*I163/1000</f>
        <v>2</v>
      </c>
      <c r="K163" s="2364"/>
      <c r="L163" s="2364">
        <v>2</v>
      </c>
      <c r="M163" s="2364">
        <v>1000</v>
      </c>
      <c r="N163" s="2364">
        <f>L163*M163/1000</f>
        <v>2</v>
      </c>
      <c r="O163" s="2451"/>
      <c r="P163" s="2364">
        <v>1</v>
      </c>
      <c r="Q163" s="2364">
        <v>2000</v>
      </c>
      <c r="R163" s="2364">
        <f>Q163*P163/1000</f>
        <v>2</v>
      </c>
      <c r="S163" s="2364">
        <f t="shared" si="21"/>
        <v>2</v>
      </c>
      <c r="T163" s="2364"/>
      <c r="U163" s="2364"/>
      <c r="V163" s="2384">
        <f t="shared" si="19"/>
        <v>0</v>
      </c>
      <c r="W163" s="2384">
        <f t="shared" si="20"/>
        <v>100</v>
      </c>
      <c r="X163" s="2364">
        <v>2</v>
      </c>
      <c r="Y163" s="2364">
        <v>2</v>
      </c>
      <c r="Z163" s="2440"/>
      <c r="AA163" s="2296" t="s">
        <v>1665</v>
      </c>
    </row>
    <row r="164" spans="1:27" s="2290" customFormat="1" ht="31.5" hidden="1" x14ac:dyDescent="0.25">
      <c r="A164" s="2380"/>
      <c r="B164" s="2325"/>
      <c r="C164" s="2338" t="s">
        <v>1616</v>
      </c>
      <c r="D164" s="2364"/>
      <c r="E164" s="2441"/>
      <c r="F164" s="2389"/>
      <c r="G164" s="2417"/>
      <c r="H164" s="2364"/>
      <c r="I164" s="2364"/>
      <c r="J164" s="2364"/>
      <c r="K164" s="2364"/>
      <c r="L164" s="2364"/>
      <c r="M164" s="2364"/>
      <c r="N164" s="2364"/>
      <c r="O164" s="2451"/>
      <c r="P164" s="2364">
        <v>1</v>
      </c>
      <c r="Q164" s="2364">
        <v>9600</v>
      </c>
      <c r="R164" s="2364"/>
      <c r="S164" s="2364">
        <f t="shared" si="21"/>
        <v>0</v>
      </c>
      <c r="T164" s="2364"/>
      <c r="U164" s="2364">
        <v>9.6</v>
      </c>
      <c r="V164" s="2384">
        <f t="shared" si="19"/>
        <v>0</v>
      </c>
      <c r="W164" s="2384">
        <f t="shared" si="20"/>
        <v>0</v>
      </c>
      <c r="X164" s="2364">
        <v>9.6</v>
      </c>
      <c r="Y164" s="2364">
        <v>9.6</v>
      </c>
      <c r="Z164" s="2440" t="s">
        <v>2157</v>
      </c>
      <c r="AA164" s="2296" t="s">
        <v>1665</v>
      </c>
    </row>
    <row r="165" spans="1:27" s="2290" customFormat="1" hidden="1" x14ac:dyDescent="0.25">
      <c r="A165" s="2380"/>
      <c r="B165" s="2452">
        <v>981</v>
      </c>
      <c r="C165" s="2340" t="s">
        <v>2158</v>
      </c>
      <c r="D165" s="2364"/>
      <c r="E165" s="2441"/>
      <c r="F165" s="2389"/>
      <c r="G165" s="2417"/>
      <c r="H165" s="2361"/>
      <c r="I165" s="2361"/>
      <c r="J165" s="2361">
        <f>SUM(J166:J168)</f>
        <v>21</v>
      </c>
      <c r="K165" s="2361"/>
      <c r="L165" s="2361"/>
      <c r="M165" s="2361"/>
      <c r="N165" s="2361">
        <f>SUM(N166:N168)</f>
        <v>20.5</v>
      </c>
      <c r="O165" s="2449"/>
      <c r="P165" s="2361"/>
      <c r="Q165" s="2361"/>
      <c r="R165" s="2361">
        <f>SUM(R166:R168)</f>
        <v>20.5</v>
      </c>
      <c r="S165" s="2361">
        <f t="shared" si="21"/>
        <v>20.5</v>
      </c>
      <c r="T165" s="2361"/>
      <c r="U165" s="2361"/>
      <c r="V165" s="2377">
        <f t="shared" si="19"/>
        <v>-0.5</v>
      </c>
      <c r="W165" s="2377">
        <f t="shared" si="20"/>
        <v>97.6</v>
      </c>
      <c r="X165" s="2361">
        <v>20.5</v>
      </c>
      <c r="Y165" s="2361">
        <v>20.5</v>
      </c>
      <c r="Z165" s="2453"/>
      <c r="AA165" s="2296" t="s">
        <v>1665</v>
      </c>
    </row>
    <row r="166" spans="1:27" s="2290" customFormat="1" hidden="1" x14ac:dyDescent="0.25">
      <c r="A166" s="2380"/>
      <c r="B166" s="2343"/>
      <c r="C166" s="2335" t="s">
        <v>2090</v>
      </c>
      <c r="D166" s="2364"/>
      <c r="E166" s="2441"/>
      <c r="F166" s="2389"/>
      <c r="G166" s="2417"/>
      <c r="H166" s="2364">
        <v>100</v>
      </c>
      <c r="I166" s="2364">
        <v>50</v>
      </c>
      <c r="J166" s="2364">
        <f t="shared" ref="J166:J172" si="27">H166*I166/1000</f>
        <v>5</v>
      </c>
      <c r="K166" s="2364"/>
      <c r="L166" s="2364">
        <v>100</v>
      </c>
      <c r="M166" s="2364">
        <v>50</v>
      </c>
      <c r="N166" s="2364">
        <f>L166*M166/1000</f>
        <v>5</v>
      </c>
      <c r="O166" s="2451"/>
      <c r="P166" s="2364">
        <v>100</v>
      </c>
      <c r="Q166" s="2364">
        <v>50</v>
      </c>
      <c r="R166" s="2364">
        <f t="shared" ref="R166:R174" si="28">Q166*P166/1000</f>
        <v>5</v>
      </c>
      <c r="S166" s="2364">
        <f t="shared" si="21"/>
        <v>5</v>
      </c>
      <c r="T166" s="2364"/>
      <c r="U166" s="2364"/>
      <c r="V166" s="2384">
        <f t="shared" si="19"/>
        <v>0</v>
      </c>
      <c r="W166" s="2384">
        <f t="shared" si="20"/>
        <v>100</v>
      </c>
      <c r="X166" s="2364">
        <v>5</v>
      </c>
      <c r="Y166" s="2364">
        <v>5</v>
      </c>
      <c r="Z166" s="2454"/>
      <c r="AA166" s="2296" t="s">
        <v>1665</v>
      </c>
    </row>
    <row r="167" spans="1:27" s="2290" customFormat="1" ht="31.5" hidden="1" x14ac:dyDescent="0.25">
      <c r="A167" s="2380"/>
      <c r="B167" s="2343"/>
      <c r="C167" s="2335" t="s">
        <v>2067</v>
      </c>
      <c r="D167" s="2364"/>
      <c r="E167" s="2441"/>
      <c r="F167" s="2389"/>
      <c r="G167" s="2417"/>
      <c r="H167" s="2364">
        <v>20</v>
      </c>
      <c r="I167" s="2364">
        <v>25</v>
      </c>
      <c r="J167" s="2364">
        <f t="shared" si="27"/>
        <v>0.5</v>
      </c>
      <c r="K167" s="2364"/>
      <c r="L167" s="2364">
        <v>20</v>
      </c>
      <c r="M167" s="2364">
        <v>25</v>
      </c>
      <c r="N167" s="2364">
        <f>L167*M167/1000-0.5</f>
        <v>0</v>
      </c>
      <c r="O167" s="2451"/>
      <c r="P167" s="2364"/>
      <c r="Q167" s="2364"/>
      <c r="R167" s="2364"/>
      <c r="S167" s="2364">
        <f t="shared" si="21"/>
        <v>0</v>
      </c>
      <c r="T167" s="2364"/>
      <c r="U167" s="2364"/>
      <c r="V167" s="2384">
        <f t="shared" si="19"/>
        <v>-0.5</v>
      </c>
      <c r="W167" s="2384">
        <f t="shared" si="20"/>
        <v>0</v>
      </c>
      <c r="X167" s="2364"/>
      <c r="Y167" s="2364"/>
      <c r="Z167" s="2454"/>
      <c r="AA167" s="2296" t="s">
        <v>1665</v>
      </c>
    </row>
    <row r="168" spans="1:27" s="2290" customFormat="1" hidden="1" x14ac:dyDescent="0.25">
      <c r="A168" s="2380"/>
      <c r="B168" s="2343"/>
      <c r="C168" s="2335" t="s">
        <v>2159</v>
      </c>
      <c r="D168" s="2364"/>
      <c r="E168" s="2441"/>
      <c r="F168" s="2389"/>
      <c r="G168" s="2417"/>
      <c r="H168" s="2364">
        <v>155</v>
      </c>
      <c r="I168" s="2364">
        <v>100</v>
      </c>
      <c r="J168" s="2364">
        <f t="shared" si="27"/>
        <v>15.5</v>
      </c>
      <c r="K168" s="2364"/>
      <c r="L168" s="2364">
        <v>155</v>
      </c>
      <c r="M168" s="2364">
        <v>100</v>
      </c>
      <c r="N168" s="2364">
        <f>L168*M168/1000</f>
        <v>15.5</v>
      </c>
      <c r="O168" s="2451"/>
      <c r="P168" s="2364">
        <v>155</v>
      </c>
      <c r="Q168" s="2364">
        <v>100</v>
      </c>
      <c r="R168" s="2364">
        <f t="shared" si="28"/>
        <v>15.5</v>
      </c>
      <c r="S168" s="2364">
        <f t="shared" si="21"/>
        <v>15.5</v>
      </c>
      <c r="T168" s="2364"/>
      <c r="U168" s="2364"/>
      <c r="V168" s="2384">
        <f t="shared" si="19"/>
        <v>0</v>
      </c>
      <c r="W168" s="2384">
        <f t="shared" si="20"/>
        <v>100</v>
      </c>
      <c r="X168" s="2364">
        <v>15.5</v>
      </c>
      <c r="Y168" s="2364">
        <v>15.5</v>
      </c>
      <c r="Z168" s="2454"/>
      <c r="AA168" s="2296" t="s">
        <v>1665</v>
      </c>
    </row>
    <row r="169" spans="1:27" s="2290" customFormat="1" hidden="1" x14ac:dyDescent="0.25">
      <c r="A169" s="2380"/>
      <c r="B169" s="2452">
        <v>963</v>
      </c>
      <c r="C169" s="2340" t="s">
        <v>798</v>
      </c>
      <c r="D169" s="2364"/>
      <c r="E169" s="2441"/>
      <c r="F169" s="2389"/>
      <c r="G169" s="2417"/>
      <c r="H169" s="2361"/>
      <c r="I169" s="2361"/>
      <c r="J169" s="2361">
        <f>SUM(J170:J172)</f>
        <v>32.5</v>
      </c>
      <c r="K169" s="2361"/>
      <c r="L169" s="2361"/>
      <c r="M169" s="2361"/>
      <c r="N169" s="2361">
        <f>SUM(N170:N174)</f>
        <v>33</v>
      </c>
      <c r="O169" s="2449"/>
      <c r="P169" s="2361"/>
      <c r="Q169" s="2361"/>
      <c r="R169" s="2361">
        <f>SUM(R170:R174)</f>
        <v>36</v>
      </c>
      <c r="S169" s="2361">
        <f t="shared" si="21"/>
        <v>36</v>
      </c>
      <c r="T169" s="2361"/>
      <c r="U169" s="2361">
        <f>SUM(U170:U174)</f>
        <v>15</v>
      </c>
      <c r="V169" s="2377">
        <f t="shared" si="19"/>
        <v>3.5</v>
      </c>
      <c r="W169" s="2377">
        <f t="shared" si="20"/>
        <v>110.8</v>
      </c>
      <c r="X169" s="2361">
        <v>58</v>
      </c>
      <c r="Y169" s="2361">
        <v>58</v>
      </c>
      <c r="Z169" s="2453"/>
      <c r="AA169" s="2296" t="s">
        <v>1665</v>
      </c>
    </row>
    <row r="170" spans="1:27" s="2290" customFormat="1" hidden="1" x14ac:dyDescent="0.25">
      <c r="A170" s="2380"/>
      <c r="B170" s="2343"/>
      <c r="C170" s="2335" t="s">
        <v>2160</v>
      </c>
      <c r="D170" s="2364"/>
      <c r="E170" s="2441"/>
      <c r="F170" s="2389"/>
      <c r="G170" s="2417"/>
      <c r="H170" s="2364">
        <v>10</v>
      </c>
      <c r="I170" s="2364">
        <v>200</v>
      </c>
      <c r="J170" s="2364">
        <f t="shared" si="27"/>
        <v>2</v>
      </c>
      <c r="K170" s="2364"/>
      <c r="L170" s="2364">
        <v>10</v>
      </c>
      <c r="M170" s="2364">
        <v>200</v>
      </c>
      <c r="N170" s="2364">
        <f>L170*M170/1000</f>
        <v>2</v>
      </c>
      <c r="O170" s="2451"/>
      <c r="P170" s="2364"/>
      <c r="Q170" s="2364"/>
      <c r="R170" s="2364"/>
      <c r="S170" s="2364">
        <f t="shared" si="21"/>
        <v>0</v>
      </c>
      <c r="T170" s="2364"/>
      <c r="U170" s="2364"/>
      <c r="V170" s="2384">
        <f t="shared" si="19"/>
        <v>-2</v>
      </c>
      <c r="W170" s="2384">
        <f t="shared" si="20"/>
        <v>0</v>
      </c>
      <c r="X170" s="2364">
        <v>2</v>
      </c>
      <c r="Y170" s="2364">
        <v>2</v>
      </c>
      <c r="Z170" s="2454"/>
      <c r="AA170" s="2296" t="s">
        <v>1665</v>
      </c>
    </row>
    <row r="171" spans="1:27" s="2290" customFormat="1" hidden="1" x14ac:dyDescent="0.25">
      <c r="A171" s="2380"/>
      <c r="B171" s="2343"/>
      <c r="C171" s="2335" t="s">
        <v>2161</v>
      </c>
      <c r="D171" s="2364"/>
      <c r="E171" s="2441"/>
      <c r="F171" s="2389"/>
      <c r="G171" s="2417"/>
      <c r="H171" s="2364">
        <v>10</v>
      </c>
      <c r="I171" s="2364">
        <v>50</v>
      </c>
      <c r="J171" s="2364">
        <f t="shared" si="27"/>
        <v>0.5</v>
      </c>
      <c r="K171" s="2364"/>
      <c r="L171" s="2364">
        <v>10</v>
      </c>
      <c r="M171" s="2364">
        <v>50</v>
      </c>
      <c r="N171" s="2364">
        <f>L171*M171/1000</f>
        <v>0.5</v>
      </c>
      <c r="O171" s="2451"/>
      <c r="P171" s="2364">
        <v>10</v>
      </c>
      <c r="Q171" s="2364">
        <v>50</v>
      </c>
      <c r="R171" s="2364">
        <f t="shared" si="28"/>
        <v>0.5</v>
      </c>
      <c r="S171" s="2364">
        <f t="shared" si="21"/>
        <v>0.5</v>
      </c>
      <c r="T171" s="2364"/>
      <c r="U171" s="2364"/>
      <c r="V171" s="2384">
        <f t="shared" si="19"/>
        <v>0</v>
      </c>
      <c r="W171" s="2384">
        <f t="shared" si="20"/>
        <v>100</v>
      </c>
      <c r="X171" s="2364">
        <v>0.5</v>
      </c>
      <c r="Y171" s="2364">
        <v>0.5</v>
      </c>
      <c r="Z171" s="2454"/>
      <c r="AA171" s="2296" t="s">
        <v>1665</v>
      </c>
    </row>
    <row r="172" spans="1:27" s="2290" customFormat="1" ht="63" hidden="1" x14ac:dyDescent="0.25">
      <c r="A172" s="2380"/>
      <c r="B172" s="2343"/>
      <c r="C172" s="2335" t="s">
        <v>2162</v>
      </c>
      <c r="D172" s="2333"/>
      <c r="E172" s="2354"/>
      <c r="F172" s="2333"/>
      <c r="G172" s="2333"/>
      <c r="H172" s="2364">
        <v>10</v>
      </c>
      <c r="I172" s="2364">
        <v>3000</v>
      </c>
      <c r="J172" s="2364">
        <f t="shared" si="27"/>
        <v>30</v>
      </c>
      <c r="K172" s="2364"/>
      <c r="L172" s="2364">
        <v>10</v>
      </c>
      <c r="M172" s="2364">
        <v>3000</v>
      </c>
      <c r="N172" s="2364">
        <f>L172*M172/1000</f>
        <v>30</v>
      </c>
      <c r="O172" s="2451"/>
      <c r="P172" s="2364">
        <v>15</v>
      </c>
      <c r="Q172" s="2364">
        <v>3000</v>
      </c>
      <c r="R172" s="2364">
        <v>30</v>
      </c>
      <c r="S172" s="2364">
        <f t="shared" si="21"/>
        <v>30</v>
      </c>
      <c r="T172" s="2364"/>
      <c r="U172" s="2364">
        <v>15</v>
      </c>
      <c r="V172" s="2384">
        <f t="shared" si="19"/>
        <v>0</v>
      </c>
      <c r="W172" s="2384">
        <f t="shared" si="20"/>
        <v>100</v>
      </c>
      <c r="X172" s="2364">
        <v>45</v>
      </c>
      <c r="Y172" s="2364">
        <v>45</v>
      </c>
      <c r="Z172" s="2454" t="s">
        <v>2163</v>
      </c>
      <c r="AA172" s="2296" t="s">
        <v>1665</v>
      </c>
    </row>
    <row r="173" spans="1:27" s="2290" customFormat="1" ht="31.5" hidden="1" x14ac:dyDescent="0.25">
      <c r="A173" s="2380"/>
      <c r="B173" s="2343"/>
      <c r="C173" s="2338" t="s">
        <v>2164</v>
      </c>
      <c r="D173" s="2333"/>
      <c r="E173" s="2354"/>
      <c r="F173" s="2333"/>
      <c r="G173" s="2333"/>
      <c r="H173" s="2364"/>
      <c r="I173" s="2364"/>
      <c r="J173" s="2364"/>
      <c r="K173" s="2364"/>
      <c r="L173" s="2364"/>
      <c r="M173" s="2364"/>
      <c r="N173" s="2364"/>
      <c r="O173" s="2451"/>
      <c r="P173" s="2364">
        <v>10</v>
      </c>
      <c r="Q173" s="2364">
        <v>500</v>
      </c>
      <c r="R173" s="2364">
        <f t="shared" si="28"/>
        <v>5</v>
      </c>
      <c r="S173" s="2364">
        <f t="shared" si="21"/>
        <v>5</v>
      </c>
      <c r="T173" s="2364"/>
      <c r="U173" s="2364"/>
      <c r="V173" s="2384">
        <f t="shared" si="19"/>
        <v>5</v>
      </c>
      <c r="W173" s="2384">
        <f t="shared" si="20"/>
        <v>0</v>
      </c>
      <c r="X173" s="2364">
        <v>10</v>
      </c>
      <c r="Y173" s="2364">
        <v>10</v>
      </c>
      <c r="Z173" s="2359" t="s">
        <v>2165</v>
      </c>
      <c r="AA173" s="2296" t="s">
        <v>1665</v>
      </c>
    </row>
    <row r="174" spans="1:27" s="2290" customFormat="1" ht="31.5" hidden="1" x14ac:dyDescent="0.25">
      <c r="A174" s="2380"/>
      <c r="B174" s="2343"/>
      <c r="C174" s="2338" t="s">
        <v>2067</v>
      </c>
      <c r="D174" s="2333"/>
      <c r="E174" s="2354"/>
      <c r="F174" s="2333"/>
      <c r="G174" s="2333"/>
      <c r="H174" s="2364"/>
      <c r="I174" s="2364"/>
      <c r="J174" s="2364"/>
      <c r="K174" s="2364"/>
      <c r="L174" s="2364"/>
      <c r="M174" s="2364"/>
      <c r="N174" s="2364">
        <v>0.5</v>
      </c>
      <c r="O174" s="2451"/>
      <c r="P174" s="2364">
        <v>20</v>
      </c>
      <c r="Q174" s="2364">
        <v>25</v>
      </c>
      <c r="R174" s="2364">
        <f t="shared" si="28"/>
        <v>0.5</v>
      </c>
      <c r="S174" s="2364">
        <f t="shared" si="21"/>
        <v>0.5</v>
      </c>
      <c r="T174" s="2364"/>
      <c r="U174" s="2364"/>
      <c r="V174" s="2384">
        <f t="shared" si="19"/>
        <v>0.5</v>
      </c>
      <c r="W174" s="2384">
        <f t="shared" si="20"/>
        <v>0</v>
      </c>
      <c r="X174" s="2364">
        <v>0.5</v>
      </c>
      <c r="Y174" s="2364">
        <v>0.5</v>
      </c>
      <c r="Z174" s="2359" t="s">
        <v>2166</v>
      </c>
      <c r="AA174" s="2296" t="s">
        <v>1665</v>
      </c>
    </row>
    <row r="175" spans="1:27" s="2290" customFormat="1" ht="47.25" hidden="1" x14ac:dyDescent="0.25">
      <c r="A175" s="2455"/>
      <c r="B175" s="2347">
        <v>955</v>
      </c>
      <c r="C175" s="2456" t="s">
        <v>2167</v>
      </c>
      <c r="D175" s="2457">
        <v>955</v>
      </c>
      <c r="E175" s="2458"/>
      <c r="F175" s="2458"/>
      <c r="G175" s="2459"/>
      <c r="H175" s="2460"/>
      <c r="I175" s="2405"/>
      <c r="J175" s="2405"/>
      <c r="K175" s="2459"/>
      <c r="L175" s="2460"/>
      <c r="M175" s="2405"/>
      <c r="N175" s="2405"/>
      <c r="O175" s="2461"/>
      <c r="P175" s="2405"/>
      <c r="Q175" s="2405"/>
      <c r="R175" s="2349">
        <f>SUM(R177:R182)</f>
        <v>25.7</v>
      </c>
      <c r="S175" s="2313">
        <f t="shared" si="21"/>
        <v>25.7</v>
      </c>
      <c r="T175" s="2313"/>
      <c r="U175" s="2313">
        <f>U176+U182+U185+U189</f>
        <v>0</v>
      </c>
      <c r="V175" s="2313">
        <f t="shared" si="19"/>
        <v>25.7</v>
      </c>
      <c r="W175" s="2313">
        <f t="shared" si="20"/>
        <v>0</v>
      </c>
      <c r="X175" s="2313">
        <f>SUM(X177:X182)</f>
        <v>30</v>
      </c>
      <c r="Y175" s="2315">
        <f t="shared" ref="Y175" si="29">SUM(Y177:Y182)</f>
        <v>30</v>
      </c>
      <c r="Z175" s="3460" t="s">
        <v>2168</v>
      </c>
      <c r="AA175" s="2296" t="s">
        <v>1665</v>
      </c>
    </row>
    <row r="176" spans="1:27" s="2290" customFormat="1" ht="31.5" hidden="1" x14ac:dyDescent="0.25">
      <c r="A176" s="2462"/>
      <c r="B176" s="2463"/>
      <c r="C176" s="2464" t="s">
        <v>1401</v>
      </c>
      <c r="D176" s="2465"/>
      <c r="E176" s="2466"/>
      <c r="F176" s="2466"/>
      <c r="G176" s="2467"/>
      <c r="H176" s="2468"/>
      <c r="I176" s="2469"/>
      <c r="J176" s="2469"/>
      <c r="K176" s="2467"/>
      <c r="L176" s="2468"/>
      <c r="M176" s="2469"/>
      <c r="N176" s="2469"/>
      <c r="O176" s="2470"/>
      <c r="P176" s="2469"/>
      <c r="Q176" s="2469"/>
      <c r="R176" s="2471"/>
      <c r="S176" s="2364">
        <f t="shared" si="21"/>
        <v>0</v>
      </c>
      <c r="T176" s="2364"/>
      <c r="U176" s="2364"/>
      <c r="V176" s="2384">
        <f t="shared" si="19"/>
        <v>0</v>
      </c>
      <c r="W176" s="2384">
        <f t="shared" si="20"/>
        <v>0</v>
      </c>
      <c r="X176" s="2364"/>
      <c r="Y176" s="2451"/>
      <c r="Z176" s="3460"/>
      <c r="AA176" s="2296" t="s">
        <v>1665</v>
      </c>
    </row>
    <row r="177" spans="1:27" s="2290" customFormat="1" hidden="1" x14ac:dyDescent="0.25">
      <c r="A177" s="2462"/>
      <c r="B177" s="2463"/>
      <c r="C177" s="2472" t="s">
        <v>1933</v>
      </c>
      <c r="D177" s="2465"/>
      <c r="E177" s="2466"/>
      <c r="F177" s="2466"/>
      <c r="G177" s="2467"/>
      <c r="H177" s="2468"/>
      <c r="I177" s="2469"/>
      <c r="J177" s="2469"/>
      <c r="K177" s="2467"/>
      <c r="L177" s="2468"/>
      <c r="M177" s="2469"/>
      <c r="N177" s="2469"/>
      <c r="O177" s="2470"/>
      <c r="P177" s="2469">
        <v>1</v>
      </c>
      <c r="Q177" s="2469">
        <v>3.5</v>
      </c>
      <c r="R177" s="2469">
        <f>P177*Q177</f>
        <v>3.5</v>
      </c>
      <c r="S177" s="2364">
        <f t="shared" si="21"/>
        <v>3.5</v>
      </c>
      <c r="T177" s="2364"/>
      <c r="U177" s="2364"/>
      <c r="V177" s="2384">
        <f t="shared" si="19"/>
        <v>3.5</v>
      </c>
      <c r="W177" s="2384">
        <f t="shared" si="20"/>
        <v>0</v>
      </c>
      <c r="X177" s="2364">
        <v>3.5</v>
      </c>
      <c r="Y177" s="2451">
        <v>3.5</v>
      </c>
      <c r="Z177" s="3460"/>
      <c r="AA177" s="2296" t="s">
        <v>1665</v>
      </c>
    </row>
    <row r="178" spans="1:27" s="2290" customFormat="1" hidden="1" x14ac:dyDescent="0.25">
      <c r="A178" s="2462"/>
      <c r="B178" s="2463"/>
      <c r="C178" s="2472" t="s">
        <v>1404</v>
      </c>
      <c r="D178" s="2465"/>
      <c r="E178" s="2466"/>
      <c r="F178" s="2466"/>
      <c r="G178" s="2467"/>
      <c r="H178" s="2468"/>
      <c r="I178" s="2469"/>
      <c r="J178" s="2469"/>
      <c r="K178" s="2467"/>
      <c r="L178" s="2468"/>
      <c r="M178" s="2469"/>
      <c r="N178" s="2469"/>
      <c r="O178" s="2470"/>
      <c r="P178" s="2469">
        <v>2</v>
      </c>
      <c r="Q178" s="2469">
        <v>2.2999999999999998</v>
      </c>
      <c r="R178" s="2469">
        <f t="shared" ref="R178:R181" si="30">P178*Q178</f>
        <v>4.5999999999999996</v>
      </c>
      <c r="S178" s="2364">
        <f t="shared" si="21"/>
        <v>4.5999999999999996</v>
      </c>
      <c r="T178" s="2364"/>
      <c r="U178" s="2364"/>
      <c r="V178" s="2384">
        <f t="shared" si="19"/>
        <v>4.5999999999999996</v>
      </c>
      <c r="W178" s="2384">
        <f t="shared" si="20"/>
        <v>0</v>
      </c>
      <c r="X178" s="2364">
        <v>6.9</v>
      </c>
      <c r="Y178" s="2451">
        <v>6.9</v>
      </c>
      <c r="Z178" s="3460"/>
      <c r="AA178" s="2296" t="s">
        <v>1665</v>
      </c>
    </row>
    <row r="179" spans="1:27" s="2290" customFormat="1" ht="31.5" hidden="1" x14ac:dyDescent="0.25">
      <c r="A179" s="2462"/>
      <c r="B179" s="2463"/>
      <c r="C179" s="2472" t="s">
        <v>2169</v>
      </c>
      <c r="D179" s="2465"/>
      <c r="E179" s="2466"/>
      <c r="F179" s="2466"/>
      <c r="G179" s="2467"/>
      <c r="H179" s="2468"/>
      <c r="I179" s="2469"/>
      <c r="J179" s="2469"/>
      <c r="K179" s="2467"/>
      <c r="L179" s="2468"/>
      <c r="M179" s="2469"/>
      <c r="N179" s="2469"/>
      <c r="O179" s="2470"/>
      <c r="P179" s="2469">
        <v>1</v>
      </c>
      <c r="Q179" s="2469">
        <v>4.5999999999999996</v>
      </c>
      <c r="R179" s="2469">
        <f t="shared" si="30"/>
        <v>4.5999999999999996</v>
      </c>
      <c r="S179" s="2364">
        <f t="shared" si="21"/>
        <v>4.5999999999999996</v>
      </c>
      <c r="T179" s="2364"/>
      <c r="U179" s="2364"/>
      <c r="V179" s="2384">
        <f t="shared" si="19"/>
        <v>4.5999999999999996</v>
      </c>
      <c r="W179" s="2384">
        <f t="shared" si="20"/>
        <v>0</v>
      </c>
      <c r="X179" s="2364">
        <v>4.5999999999999996</v>
      </c>
      <c r="Y179" s="2451">
        <v>4.5999999999999996</v>
      </c>
      <c r="Z179" s="3460"/>
      <c r="AA179" s="2296" t="s">
        <v>1665</v>
      </c>
    </row>
    <row r="180" spans="1:27" s="2290" customFormat="1" ht="31.5" hidden="1" x14ac:dyDescent="0.25">
      <c r="A180" s="2462"/>
      <c r="B180" s="2463"/>
      <c r="C180" s="2472" t="s">
        <v>2170</v>
      </c>
      <c r="D180" s="2465"/>
      <c r="E180" s="2466"/>
      <c r="F180" s="2466"/>
      <c r="G180" s="2467"/>
      <c r="H180" s="2468"/>
      <c r="I180" s="2469"/>
      <c r="J180" s="2469"/>
      <c r="K180" s="2467"/>
      <c r="L180" s="2468"/>
      <c r="M180" s="2469"/>
      <c r="N180" s="2469"/>
      <c r="O180" s="2470"/>
      <c r="P180" s="2469">
        <v>1</v>
      </c>
      <c r="Q180" s="2469">
        <v>3.5</v>
      </c>
      <c r="R180" s="2469">
        <f t="shared" si="30"/>
        <v>3.5</v>
      </c>
      <c r="S180" s="2364">
        <f t="shared" si="21"/>
        <v>3.5</v>
      </c>
      <c r="T180" s="2364"/>
      <c r="U180" s="2364"/>
      <c r="V180" s="2384">
        <f t="shared" si="19"/>
        <v>3.5</v>
      </c>
      <c r="W180" s="2384">
        <f t="shared" si="20"/>
        <v>0</v>
      </c>
      <c r="X180" s="2364">
        <v>4.5999999999999996</v>
      </c>
      <c r="Y180" s="2451">
        <v>4.5999999999999996</v>
      </c>
      <c r="Z180" s="3460"/>
      <c r="AA180" s="2296" t="s">
        <v>1665</v>
      </c>
    </row>
    <row r="181" spans="1:27" s="2290" customFormat="1" hidden="1" x14ac:dyDescent="0.25">
      <c r="A181" s="2462"/>
      <c r="B181" s="2463"/>
      <c r="C181" s="2472" t="s">
        <v>1807</v>
      </c>
      <c r="D181" s="2465"/>
      <c r="E181" s="2466"/>
      <c r="F181" s="2466"/>
      <c r="G181" s="2467"/>
      <c r="H181" s="2468"/>
      <c r="I181" s="2469"/>
      <c r="J181" s="2469"/>
      <c r="K181" s="2467"/>
      <c r="L181" s="2468"/>
      <c r="M181" s="2469"/>
      <c r="N181" s="2469"/>
      <c r="O181" s="2470"/>
      <c r="P181" s="2469">
        <v>1</v>
      </c>
      <c r="Q181" s="2469">
        <v>4</v>
      </c>
      <c r="R181" s="2469">
        <f t="shared" si="30"/>
        <v>4</v>
      </c>
      <c r="S181" s="2364">
        <f t="shared" si="21"/>
        <v>4</v>
      </c>
      <c r="T181" s="2364"/>
      <c r="U181" s="2364"/>
      <c r="V181" s="2384">
        <f t="shared" si="19"/>
        <v>4</v>
      </c>
      <c r="W181" s="2384">
        <f t="shared" si="20"/>
        <v>0</v>
      </c>
      <c r="X181" s="2364">
        <v>4</v>
      </c>
      <c r="Y181" s="2451">
        <v>4</v>
      </c>
      <c r="Z181" s="3460"/>
      <c r="AA181" s="2296" t="s">
        <v>1665</v>
      </c>
    </row>
    <row r="182" spans="1:27" s="2290" customFormat="1" ht="31.5" hidden="1" x14ac:dyDescent="0.25">
      <c r="A182" s="2462"/>
      <c r="B182" s="2463"/>
      <c r="C182" s="2472" t="s">
        <v>1991</v>
      </c>
      <c r="D182" s="2465"/>
      <c r="E182" s="2466"/>
      <c r="F182" s="2466"/>
      <c r="G182" s="2467"/>
      <c r="H182" s="2468"/>
      <c r="I182" s="2469"/>
      <c r="J182" s="2469"/>
      <c r="K182" s="2467"/>
      <c r="L182" s="2468"/>
      <c r="M182" s="2469"/>
      <c r="N182" s="2469"/>
      <c r="O182" s="2470"/>
      <c r="P182" s="2469"/>
      <c r="Q182" s="2469"/>
      <c r="R182" s="2473">
        <f>SUM(R177:R181)*0.271</f>
        <v>5.5</v>
      </c>
      <c r="S182" s="2364">
        <f t="shared" si="21"/>
        <v>5.5</v>
      </c>
      <c r="T182" s="2364"/>
      <c r="U182" s="2364"/>
      <c r="V182" s="2384">
        <f t="shared" si="19"/>
        <v>5.5</v>
      </c>
      <c r="W182" s="2384">
        <f t="shared" si="20"/>
        <v>0</v>
      </c>
      <c r="X182" s="2364">
        <v>6.4</v>
      </c>
      <c r="Y182" s="2451">
        <v>6.4</v>
      </c>
      <c r="Z182" s="3460"/>
      <c r="AA182" s="2296" t="s">
        <v>1665</v>
      </c>
    </row>
    <row r="183" spans="1:27" s="2290" customFormat="1" hidden="1" x14ac:dyDescent="0.25">
      <c r="A183" s="2474"/>
      <c r="B183" s="2311">
        <v>955</v>
      </c>
      <c r="C183" s="2456" t="s">
        <v>2171</v>
      </c>
      <c r="D183" s="2475">
        <v>955</v>
      </c>
      <c r="E183" s="2404"/>
      <c r="F183" s="2404"/>
      <c r="G183" s="2476"/>
      <c r="H183" s="2477"/>
      <c r="I183" s="2349"/>
      <c r="J183" s="2349"/>
      <c r="K183" s="2476"/>
      <c r="L183" s="2477"/>
      <c r="M183" s="2349"/>
      <c r="N183" s="2349"/>
      <c r="O183" s="2414"/>
      <c r="P183" s="2349"/>
      <c r="Q183" s="2349"/>
      <c r="R183" s="2478">
        <f>SUM(R185:R188)</f>
        <v>15.4</v>
      </c>
      <c r="S183" s="2313">
        <f t="shared" si="21"/>
        <v>15.4</v>
      </c>
      <c r="T183" s="2313"/>
      <c r="U183" s="2313"/>
      <c r="V183" s="2479">
        <f t="shared" si="19"/>
        <v>15.4</v>
      </c>
      <c r="W183" s="2479">
        <f t="shared" si="20"/>
        <v>0</v>
      </c>
      <c r="X183" s="2313">
        <f>SUM(X185:X188)</f>
        <v>15.4</v>
      </c>
      <c r="Y183" s="2315">
        <f>SUM(Y185:Y188)</f>
        <v>15.4</v>
      </c>
      <c r="Z183" s="3460" t="s">
        <v>2172</v>
      </c>
      <c r="AA183" s="2296" t="s">
        <v>1665</v>
      </c>
    </row>
    <row r="184" spans="1:27" s="2290" customFormat="1" ht="31.5" hidden="1" x14ac:dyDescent="0.25">
      <c r="A184" s="2462"/>
      <c r="B184" s="2463"/>
      <c r="C184" s="2464" t="s">
        <v>1401</v>
      </c>
      <c r="D184" s="2465"/>
      <c r="E184" s="2466"/>
      <c r="F184" s="2466"/>
      <c r="G184" s="2467"/>
      <c r="H184" s="2468"/>
      <c r="I184" s="2469"/>
      <c r="J184" s="2469"/>
      <c r="K184" s="2467"/>
      <c r="L184" s="2468"/>
      <c r="M184" s="2469"/>
      <c r="N184" s="2469"/>
      <c r="O184" s="2470"/>
      <c r="P184" s="2469"/>
      <c r="Q184" s="2469"/>
      <c r="R184" s="2480"/>
      <c r="S184" s="2364">
        <f t="shared" si="21"/>
        <v>0</v>
      </c>
      <c r="T184" s="2364"/>
      <c r="U184" s="2364"/>
      <c r="V184" s="2384">
        <f t="shared" si="19"/>
        <v>0</v>
      </c>
      <c r="W184" s="2384">
        <f t="shared" si="20"/>
        <v>0</v>
      </c>
      <c r="X184" s="2364"/>
      <c r="Y184" s="2451"/>
      <c r="Z184" s="3460"/>
      <c r="AA184" s="2296" t="s">
        <v>1665</v>
      </c>
    </row>
    <row r="185" spans="1:27" s="2290" customFormat="1" hidden="1" x14ac:dyDescent="0.25">
      <c r="A185" s="2462"/>
      <c r="B185" s="2463"/>
      <c r="C185" s="2472" t="s">
        <v>1933</v>
      </c>
      <c r="D185" s="2465"/>
      <c r="E185" s="2466"/>
      <c r="F185" s="2466"/>
      <c r="G185" s="2467"/>
      <c r="H185" s="2468"/>
      <c r="I185" s="2469"/>
      <c r="J185" s="2469"/>
      <c r="K185" s="2467"/>
      <c r="L185" s="2468"/>
      <c r="M185" s="2469"/>
      <c r="N185" s="2469"/>
      <c r="O185" s="2470"/>
      <c r="P185" s="2469">
        <v>1</v>
      </c>
      <c r="Q185" s="2469">
        <v>3.5</v>
      </c>
      <c r="R185" s="2469">
        <v>3.5</v>
      </c>
      <c r="S185" s="2364">
        <f t="shared" si="21"/>
        <v>3.5</v>
      </c>
      <c r="T185" s="2364"/>
      <c r="U185" s="2364"/>
      <c r="V185" s="2384">
        <f t="shared" si="19"/>
        <v>3.5</v>
      </c>
      <c r="W185" s="2384">
        <f t="shared" si="20"/>
        <v>0</v>
      </c>
      <c r="X185" s="2364">
        <v>3.5</v>
      </c>
      <c r="Y185" s="2451">
        <v>3.5</v>
      </c>
      <c r="Z185" s="3460"/>
      <c r="AA185" s="2296" t="s">
        <v>1665</v>
      </c>
    </row>
    <row r="186" spans="1:27" s="2290" customFormat="1" ht="31.5" hidden="1" x14ac:dyDescent="0.25">
      <c r="A186" s="2462"/>
      <c r="B186" s="2463"/>
      <c r="C186" s="2472" t="s">
        <v>1934</v>
      </c>
      <c r="D186" s="2465"/>
      <c r="E186" s="2466"/>
      <c r="F186" s="2466"/>
      <c r="G186" s="2467"/>
      <c r="H186" s="2468"/>
      <c r="I186" s="2469"/>
      <c r="J186" s="2469"/>
      <c r="K186" s="2467"/>
      <c r="L186" s="2468"/>
      <c r="M186" s="2469"/>
      <c r="N186" s="2469"/>
      <c r="O186" s="2470"/>
      <c r="P186" s="2469">
        <v>2</v>
      </c>
      <c r="Q186" s="2469">
        <v>2.2999999999999998</v>
      </c>
      <c r="R186" s="2469">
        <v>4.5999999999999996</v>
      </c>
      <c r="S186" s="2364">
        <f t="shared" si="21"/>
        <v>4.5999999999999996</v>
      </c>
      <c r="T186" s="2364"/>
      <c r="U186" s="2364"/>
      <c r="V186" s="2384">
        <f t="shared" si="19"/>
        <v>4.5999999999999996</v>
      </c>
      <c r="W186" s="2384">
        <f t="shared" si="20"/>
        <v>0</v>
      </c>
      <c r="X186" s="2364">
        <v>4.5999999999999996</v>
      </c>
      <c r="Y186" s="2451">
        <v>4.5999999999999996</v>
      </c>
      <c r="Z186" s="3460"/>
      <c r="AA186" s="2296" t="s">
        <v>1665</v>
      </c>
    </row>
    <row r="187" spans="1:27" s="2290" customFormat="1" hidden="1" x14ac:dyDescent="0.25">
      <c r="A187" s="2462"/>
      <c r="B187" s="2463"/>
      <c r="C187" s="2472" t="s">
        <v>1807</v>
      </c>
      <c r="D187" s="2465"/>
      <c r="E187" s="2466"/>
      <c r="F187" s="2466"/>
      <c r="G187" s="2467"/>
      <c r="H187" s="2468"/>
      <c r="I187" s="2469"/>
      <c r="J187" s="2469"/>
      <c r="K187" s="2467"/>
      <c r="L187" s="2468"/>
      <c r="M187" s="2469"/>
      <c r="N187" s="2469"/>
      <c r="O187" s="2470"/>
      <c r="P187" s="2469">
        <v>1</v>
      </c>
      <c r="Q187" s="2469">
        <v>4</v>
      </c>
      <c r="R187" s="2469">
        <v>4</v>
      </c>
      <c r="S187" s="2364">
        <f t="shared" si="21"/>
        <v>4</v>
      </c>
      <c r="T187" s="2364"/>
      <c r="U187" s="2364"/>
      <c r="V187" s="2384">
        <f t="shared" si="19"/>
        <v>4</v>
      </c>
      <c r="W187" s="2384">
        <f t="shared" si="20"/>
        <v>0</v>
      </c>
      <c r="X187" s="2364">
        <v>4</v>
      </c>
      <c r="Y187" s="2451">
        <v>4</v>
      </c>
      <c r="Z187" s="3460"/>
      <c r="AA187" s="2296" t="s">
        <v>1665</v>
      </c>
    </row>
    <row r="188" spans="1:27" s="2290" customFormat="1" ht="31.5" hidden="1" x14ac:dyDescent="0.25">
      <c r="A188" s="2462"/>
      <c r="B188" s="2463"/>
      <c r="C188" s="2472" t="s">
        <v>1991</v>
      </c>
      <c r="D188" s="2465"/>
      <c r="E188" s="2466"/>
      <c r="F188" s="2466"/>
      <c r="G188" s="2467"/>
      <c r="H188" s="2468"/>
      <c r="I188" s="2469"/>
      <c r="J188" s="2469"/>
      <c r="K188" s="2467"/>
      <c r="L188" s="2468"/>
      <c r="M188" s="2469"/>
      <c r="N188" s="2469"/>
      <c r="O188" s="2470"/>
      <c r="P188" s="2469"/>
      <c r="Q188" s="2469"/>
      <c r="R188" s="2481">
        <f>SUM(R185:R187)/100*27.1</f>
        <v>3.3</v>
      </c>
      <c r="S188" s="2364">
        <f t="shared" si="21"/>
        <v>3.3</v>
      </c>
      <c r="T188" s="2364"/>
      <c r="U188" s="2364"/>
      <c r="V188" s="2384">
        <f t="shared" si="19"/>
        <v>3.3</v>
      </c>
      <c r="W188" s="2384">
        <f t="shared" si="20"/>
        <v>0</v>
      </c>
      <c r="X188" s="2364">
        <f>SUM(X185:X187)/100*27.1</f>
        <v>3.3</v>
      </c>
      <c r="Y188" s="2451">
        <f>SUM(Y185:Y187)/100*27.1</f>
        <v>3.3</v>
      </c>
      <c r="Z188" s="3460"/>
      <c r="AA188" s="2296" t="s">
        <v>1665</v>
      </c>
    </row>
    <row r="189" spans="1:27" s="2290" customFormat="1" ht="31.5" hidden="1" x14ac:dyDescent="0.25">
      <c r="A189" s="2482"/>
      <c r="B189" s="2311">
        <v>955</v>
      </c>
      <c r="C189" s="2483" t="s">
        <v>2173</v>
      </c>
      <c r="D189" s="2475">
        <v>955</v>
      </c>
      <c r="E189" s="2404"/>
      <c r="F189" s="2404"/>
      <c r="G189" s="2476"/>
      <c r="H189" s="2477"/>
      <c r="I189" s="2349"/>
      <c r="J189" s="2349"/>
      <c r="K189" s="2476"/>
      <c r="L189" s="2477"/>
      <c r="M189" s="2349"/>
      <c r="N189" s="2349"/>
      <c r="O189" s="2414"/>
      <c r="P189" s="2349"/>
      <c r="Q189" s="2349"/>
      <c r="R189" s="2484">
        <f>SUM(R191:R195)</f>
        <v>21.2</v>
      </c>
      <c r="S189" s="2313">
        <f t="shared" si="21"/>
        <v>21.2</v>
      </c>
      <c r="T189" s="2313"/>
      <c r="U189" s="2313"/>
      <c r="V189" s="2349">
        <f t="shared" si="19"/>
        <v>21.2</v>
      </c>
      <c r="W189" s="2349">
        <f t="shared" si="20"/>
        <v>0</v>
      </c>
      <c r="X189" s="2313">
        <v>21.2</v>
      </c>
      <c r="Y189" s="2315">
        <v>21.2</v>
      </c>
      <c r="Z189" s="3460" t="s">
        <v>2174</v>
      </c>
      <c r="AA189" s="2296" t="s">
        <v>1665</v>
      </c>
    </row>
    <row r="190" spans="1:27" s="2290" customFormat="1" ht="31.5" hidden="1" x14ac:dyDescent="0.25">
      <c r="A190" s="2462"/>
      <c r="B190" s="2463"/>
      <c r="C190" s="2464" t="s">
        <v>1401</v>
      </c>
      <c r="D190" s="2465"/>
      <c r="E190" s="2466"/>
      <c r="F190" s="2466"/>
      <c r="G190" s="2467"/>
      <c r="H190" s="2468"/>
      <c r="I190" s="2469"/>
      <c r="J190" s="2469"/>
      <c r="K190" s="2467"/>
      <c r="L190" s="2468"/>
      <c r="M190" s="2469"/>
      <c r="N190" s="2469"/>
      <c r="O190" s="2470"/>
      <c r="P190" s="2469"/>
      <c r="Q190" s="2469"/>
      <c r="R190" s="2480"/>
      <c r="S190" s="2364">
        <f t="shared" si="21"/>
        <v>0</v>
      </c>
      <c r="T190" s="2364"/>
      <c r="U190" s="2364"/>
      <c r="V190" s="2384">
        <f t="shared" si="19"/>
        <v>0</v>
      </c>
      <c r="W190" s="2384">
        <f t="shared" si="20"/>
        <v>0</v>
      </c>
      <c r="X190" s="2364"/>
      <c r="Y190" s="2451"/>
      <c r="Z190" s="3460"/>
      <c r="AA190" s="2296" t="s">
        <v>1665</v>
      </c>
    </row>
    <row r="191" spans="1:27" s="2290" customFormat="1" hidden="1" x14ac:dyDescent="0.25">
      <c r="A191" s="2462"/>
      <c r="B191" s="2463"/>
      <c r="C191" s="2472" t="s">
        <v>1933</v>
      </c>
      <c r="D191" s="2465"/>
      <c r="E191" s="2466"/>
      <c r="F191" s="2466"/>
      <c r="G191" s="2467"/>
      <c r="H191" s="2468"/>
      <c r="I191" s="2469"/>
      <c r="J191" s="2469"/>
      <c r="K191" s="2467"/>
      <c r="L191" s="2468"/>
      <c r="M191" s="2469"/>
      <c r="N191" s="2469"/>
      <c r="O191" s="2470"/>
      <c r="P191" s="2469">
        <v>1</v>
      </c>
      <c r="Q191" s="2469">
        <v>3.5</v>
      </c>
      <c r="R191" s="2481">
        <v>3.5</v>
      </c>
      <c r="S191" s="2364">
        <f t="shared" si="21"/>
        <v>3.5</v>
      </c>
      <c r="T191" s="2364"/>
      <c r="U191" s="2364"/>
      <c r="V191" s="2384">
        <f t="shared" si="19"/>
        <v>3.5</v>
      </c>
      <c r="W191" s="2384">
        <f t="shared" si="20"/>
        <v>0</v>
      </c>
      <c r="X191" s="2364">
        <v>3.5</v>
      </c>
      <c r="Y191" s="2451">
        <v>3.5</v>
      </c>
      <c r="Z191" s="3460"/>
      <c r="AA191" s="2296" t="s">
        <v>1665</v>
      </c>
    </row>
    <row r="192" spans="1:27" s="2290" customFormat="1" hidden="1" x14ac:dyDescent="0.25">
      <c r="A192" s="2462"/>
      <c r="B192" s="2463"/>
      <c r="C192" s="2472" t="s">
        <v>1404</v>
      </c>
      <c r="D192" s="2465"/>
      <c r="E192" s="2466"/>
      <c r="F192" s="2466"/>
      <c r="G192" s="2467"/>
      <c r="H192" s="2468"/>
      <c r="I192" s="2469"/>
      <c r="J192" s="2469"/>
      <c r="K192" s="2467"/>
      <c r="L192" s="2468"/>
      <c r="M192" s="2469"/>
      <c r="N192" s="2469"/>
      <c r="O192" s="2470"/>
      <c r="P192" s="2469">
        <v>2</v>
      </c>
      <c r="Q192" s="2469">
        <v>2.2999999999999998</v>
      </c>
      <c r="R192" s="2481">
        <v>4.5999999999999996</v>
      </c>
      <c r="S192" s="2364">
        <f t="shared" si="21"/>
        <v>4.5999999999999996</v>
      </c>
      <c r="T192" s="2364"/>
      <c r="U192" s="2364"/>
      <c r="V192" s="2384">
        <f t="shared" si="19"/>
        <v>4.5999999999999996</v>
      </c>
      <c r="W192" s="2384">
        <f t="shared" si="20"/>
        <v>0</v>
      </c>
      <c r="X192" s="2364">
        <v>4.5999999999999996</v>
      </c>
      <c r="Y192" s="2451">
        <v>4.5999999999999996</v>
      </c>
      <c r="Z192" s="3460"/>
      <c r="AA192" s="2296" t="s">
        <v>1665</v>
      </c>
    </row>
    <row r="193" spans="1:546" s="2290" customFormat="1" ht="31.5" hidden="1" x14ac:dyDescent="0.25">
      <c r="A193" s="2462"/>
      <c r="B193" s="2463"/>
      <c r="C193" s="2472" t="s">
        <v>1934</v>
      </c>
      <c r="D193" s="2465"/>
      <c r="E193" s="2466"/>
      <c r="F193" s="2466"/>
      <c r="G193" s="2467"/>
      <c r="H193" s="2468"/>
      <c r="I193" s="2469"/>
      <c r="J193" s="2469"/>
      <c r="K193" s="2467"/>
      <c r="L193" s="2468"/>
      <c r="M193" s="2469"/>
      <c r="N193" s="2469"/>
      <c r="O193" s="2470"/>
      <c r="P193" s="2469">
        <v>2</v>
      </c>
      <c r="Q193" s="2469">
        <v>2.2999999999999998</v>
      </c>
      <c r="R193" s="2481">
        <v>4.5999999999999996</v>
      </c>
      <c r="S193" s="2364">
        <f t="shared" si="21"/>
        <v>4.5999999999999996</v>
      </c>
      <c r="T193" s="2364"/>
      <c r="U193" s="2364"/>
      <c r="V193" s="2384">
        <f t="shared" si="19"/>
        <v>4.5999999999999996</v>
      </c>
      <c r="W193" s="2384">
        <f t="shared" si="20"/>
        <v>0</v>
      </c>
      <c r="X193" s="2364">
        <v>4.5999999999999996</v>
      </c>
      <c r="Y193" s="2451">
        <v>4.5999999999999996</v>
      </c>
      <c r="Z193" s="3460"/>
      <c r="AA193" s="2296" t="s">
        <v>1665</v>
      </c>
    </row>
    <row r="194" spans="1:546" s="2290" customFormat="1" hidden="1" x14ac:dyDescent="0.25">
      <c r="A194" s="2462"/>
      <c r="B194" s="2463"/>
      <c r="C194" s="2472" t="s">
        <v>1807</v>
      </c>
      <c r="D194" s="2465"/>
      <c r="E194" s="2466"/>
      <c r="F194" s="2466"/>
      <c r="G194" s="2467"/>
      <c r="H194" s="2468"/>
      <c r="I194" s="2469"/>
      <c r="J194" s="2469"/>
      <c r="K194" s="2467"/>
      <c r="L194" s="2468"/>
      <c r="M194" s="2469"/>
      <c r="N194" s="2469"/>
      <c r="O194" s="2470"/>
      <c r="P194" s="2469">
        <v>1</v>
      </c>
      <c r="Q194" s="2469">
        <v>4</v>
      </c>
      <c r="R194" s="2481">
        <v>4</v>
      </c>
      <c r="S194" s="2364">
        <f t="shared" si="21"/>
        <v>4</v>
      </c>
      <c r="T194" s="2364"/>
      <c r="U194" s="2364"/>
      <c r="V194" s="2384">
        <f t="shared" si="19"/>
        <v>4</v>
      </c>
      <c r="W194" s="2384">
        <f t="shared" si="20"/>
        <v>0</v>
      </c>
      <c r="X194" s="2364">
        <v>4</v>
      </c>
      <c r="Y194" s="2451">
        <v>4</v>
      </c>
      <c r="Z194" s="3460"/>
      <c r="AA194" s="2296" t="s">
        <v>1665</v>
      </c>
    </row>
    <row r="195" spans="1:546" s="2290" customFormat="1" ht="31.5" hidden="1" x14ac:dyDescent="0.25">
      <c r="A195" s="2462"/>
      <c r="B195" s="2463"/>
      <c r="C195" s="2472" t="s">
        <v>1991</v>
      </c>
      <c r="D195" s="2465"/>
      <c r="E195" s="2466"/>
      <c r="F195" s="2466"/>
      <c r="G195" s="2467"/>
      <c r="H195" s="2468"/>
      <c r="I195" s="2469"/>
      <c r="J195" s="2469"/>
      <c r="K195" s="2467"/>
      <c r="L195" s="2468"/>
      <c r="M195" s="2469"/>
      <c r="N195" s="2469"/>
      <c r="O195" s="2470"/>
      <c r="P195" s="2469"/>
      <c r="Q195" s="2469"/>
      <c r="R195" s="2481">
        <f>SUM(R191:R194)/100*27.1</f>
        <v>4.5</v>
      </c>
      <c r="S195" s="2364">
        <f t="shared" si="21"/>
        <v>4.5</v>
      </c>
      <c r="T195" s="2364"/>
      <c r="U195" s="2364"/>
      <c r="V195" s="2384">
        <f t="shared" si="19"/>
        <v>4.5</v>
      </c>
      <c r="W195" s="2384">
        <f t="shared" si="20"/>
        <v>0</v>
      </c>
      <c r="X195" s="2364">
        <f>SUM(X191:X194)/100*27.1</f>
        <v>4.5</v>
      </c>
      <c r="Y195" s="2451">
        <f>SUM(Y191:Y194)/100*27.1</f>
        <v>4.5</v>
      </c>
      <c r="Z195" s="3460"/>
      <c r="AA195" s="2296" t="s">
        <v>1665</v>
      </c>
    </row>
    <row r="196" spans="1:546" s="2290" customFormat="1" ht="31.5" hidden="1" x14ac:dyDescent="0.25">
      <c r="A196" s="2482"/>
      <c r="B196" s="2311">
        <v>955</v>
      </c>
      <c r="C196" s="2485" t="s">
        <v>2175</v>
      </c>
      <c r="D196" s="2475">
        <v>955</v>
      </c>
      <c r="E196" s="2404"/>
      <c r="F196" s="2404"/>
      <c r="G196" s="2476"/>
      <c r="H196" s="2477"/>
      <c r="I196" s="2349"/>
      <c r="J196" s="2349"/>
      <c r="K196" s="2476"/>
      <c r="L196" s="2477"/>
      <c r="M196" s="2349"/>
      <c r="N196" s="2349"/>
      <c r="O196" s="2414"/>
      <c r="P196" s="2349"/>
      <c r="Q196" s="2349"/>
      <c r="R196" s="2484">
        <f>SUM(R198:R201)</f>
        <v>16.100000000000001</v>
      </c>
      <c r="S196" s="2313">
        <f t="shared" si="21"/>
        <v>16.100000000000001</v>
      </c>
      <c r="T196" s="2313"/>
      <c r="U196" s="2313"/>
      <c r="V196" s="2349">
        <f t="shared" si="19"/>
        <v>16.100000000000001</v>
      </c>
      <c r="W196" s="2349">
        <f t="shared" si="20"/>
        <v>0</v>
      </c>
      <c r="X196" s="2313">
        <v>16.100000000000001</v>
      </c>
      <c r="Y196" s="2315">
        <v>16.100000000000001</v>
      </c>
      <c r="Z196" s="3480" t="s">
        <v>2176</v>
      </c>
      <c r="AA196" s="2296" t="s">
        <v>1665</v>
      </c>
    </row>
    <row r="197" spans="1:546" s="2290" customFormat="1" ht="31.5" hidden="1" x14ac:dyDescent="0.25">
      <c r="A197" s="2462"/>
      <c r="B197" s="2463"/>
      <c r="C197" s="2464" t="s">
        <v>1401</v>
      </c>
      <c r="D197" s="2465"/>
      <c r="E197" s="2466"/>
      <c r="F197" s="2466"/>
      <c r="G197" s="2467"/>
      <c r="H197" s="2468"/>
      <c r="I197" s="2469"/>
      <c r="J197" s="2469"/>
      <c r="K197" s="2467"/>
      <c r="L197" s="2468"/>
      <c r="M197" s="2469"/>
      <c r="N197" s="2469"/>
      <c r="O197" s="2470"/>
      <c r="P197" s="2469"/>
      <c r="Q197" s="2469"/>
      <c r="R197" s="2480"/>
      <c r="S197" s="2364">
        <f t="shared" si="21"/>
        <v>0</v>
      </c>
      <c r="T197" s="2364"/>
      <c r="U197" s="2364"/>
      <c r="V197" s="2384">
        <f t="shared" si="19"/>
        <v>0</v>
      </c>
      <c r="W197" s="2384">
        <f t="shared" si="20"/>
        <v>0</v>
      </c>
      <c r="X197" s="2364"/>
      <c r="Y197" s="2451"/>
      <c r="Z197" s="3480"/>
      <c r="AA197" s="2296" t="s">
        <v>1665</v>
      </c>
    </row>
    <row r="198" spans="1:546" s="2290" customFormat="1" hidden="1" x14ac:dyDescent="0.25">
      <c r="A198" s="2462"/>
      <c r="B198" s="2463"/>
      <c r="C198" s="2472" t="s">
        <v>1933</v>
      </c>
      <c r="D198" s="2486"/>
      <c r="E198" s="2466"/>
      <c r="F198" s="2466"/>
      <c r="G198" s="2467"/>
      <c r="H198" s="2468"/>
      <c r="I198" s="2469"/>
      <c r="J198" s="2469"/>
      <c r="K198" s="2467"/>
      <c r="L198" s="2468"/>
      <c r="M198" s="2469"/>
      <c r="N198" s="2469"/>
      <c r="O198" s="2470"/>
      <c r="P198" s="2469">
        <v>1</v>
      </c>
      <c r="Q198" s="2469">
        <v>3.5</v>
      </c>
      <c r="R198" s="2481">
        <v>3.5</v>
      </c>
      <c r="S198" s="2364">
        <f t="shared" si="21"/>
        <v>3.5</v>
      </c>
      <c r="T198" s="2364"/>
      <c r="U198" s="2364"/>
      <c r="V198" s="2384">
        <f t="shared" si="19"/>
        <v>3.5</v>
      </c>
      <c r="W198" s="2384">
        <f t="shared" si="20"/>
        <v>0</v>
      </c>
      <c r="X198" s="2364">
        <v>3.5</v>
      </c>
      <c r="Y198" s="2451">
        <v>3.5</v>
      </c>
      <c r="Z198" s="3480"/>
      <c r="AA198" s="2296" t="s">
        <v>1665</v>
      </c>
    </row>
    <row r="199" spans="1:546" s="2290" customFormat="1" hidden="1" x14ac:dyDescent="0.25">
      <c r="A199" s="2462"/>
      <c r="B199" s="2463"/>
      <c r="C199" s="2472" t="s">
        <v>1404</v>
      </c>
      <c r="D199" s="2486"/>
      <c r="E199" s="2466"/>
      <c r="F199" s="2466"/>
      <c r="G199" s="2467"/>
      <c r="H199" s="2468"/>
      <c r="I199" s="2469"/>
      <c r="J199" s="2469"/>
      <c r="K199" s="2467"/>
      <c r="L199" s="2468"/>
      <c r="M199" s="2469"/>
      <c r="N199" s="2469"/>
      <c r="O199" s="2470"/>
      <c r="P199" s="2469">
        <v>2</v>
      </c>
      <c r="Q199" s="2469">
        <v>2.2999999999999998</v>
      </c>
      <c r="R199" s="2481">
        <v>4.5999999999999996</v>
      </c>
      <c r="S199" s="2364">
        <f t="shared" si="21"/>
        <v>4.5999999999999996</v>
      </c>
      <c r="T199" s="2364"/>
      <c r="U199" s="2364"/>
      <c r="V199" s="2384">
        <f t="shared" si="19"/>
        <v>4.5999999999999996</v>
      </c>
      <c r="W199" s="2384">
        <f t="shared" si="20"/>
        <v>0</v>
      </c>
      <c r="X199" s="2364">
        <v>4.5999999999999996</v>
      </c>
      <c r="Y199" s="2451">
        <v>4.5999999999999996</v>
      </c>
      <c r="Z199" s="3480"/>
      <c r="AA199" s="2296" t="s">
        <v>1665</v>
      </c>
    </row>
    <row r="200" spans="1:546" s="2290" customFormat="1" ht="31.5" hidden="1" x14ac:dyDescent="0.25">
      <c r="A200" s="2462"/>
      <c r="B200" s="2463"/>
      <c r="C200" s="2472" t="s">
        <v>1934</v>
      </c>
      <c r="D200" s="2486"/>
      <c r="E200" s="2466"/>
      <c r="F200" s="2466"/>
      <c r="G200" s="2467"/>
      <c r="H200" s="2468"/>
      <c r="I200" s="2469"/>
      <c r="J200" s="2469"/>
      <c r="K200" s="2467"/>
      <c r="L200" s="2468"/>
      <c r="M200" s="2469"/>
      <c r="N200" s="2469"/>
      <c r="O200" s="2470"/>
      <c r="P200" s="2469">
        <v>2</v>
      </c>
      <c r="Q200" s="2469">
        <v>2.2999999999999998</v>
      </c>
      <c r="R200" s="2481">
        <v>4.5999999999999996</v>
      </c>
      <c r="S200" s="2364">
        <f t="shared" si="21"/>
        <v>4.5999999999999996</v>
      </c>
      <c r="T200" s="2364"/>
      <c r="U200" s="2364"/>
      <c r="V200" s="2384">
        <f t="shared" si="19"/>
        <v>4.5999999999999996</v>
      </c>
      <c r="W200" s="2384">
        <f t="shared" si="20"/>
        <v>0</v>
      </c>
      <c r="X200" s="2364">
        <v>4.5999999999999996</v>
      </c>
      <c r="Y200" s="2451">
        <v>4.5999999999999996</v>
      </c>
      <c r="Z200" s="3480"/>
      <c r="AA200" s="2296" t="s">
        <v>1665</v>
      </c>
    </row>
    <row r="201" spans="1:546" s="2290" customFormat="1" ht="31.5" hidden="1" x14ac:dyDescent="0.25">
      <c r="A201" s="2462"/>
      <c r="B201" s="2463"/>
      <c r="C201" s="2472" t="s">
        <v>1991</v>
      </c>
      <c r="D201" s="2486"/>
      <c r="E201" s="2466"/>
      <c r="F201" s="2466"/>
      <c r="G201" s="2467"/>
      <c r="H201" s="2468"/>
      <c r="I201" s="2469"/>
      <c r="J201" s="2469"/>
      <c r="K201" s="2467"/>
      <c r="L201" s="2468"/>
      <c r="M201" s="2469"/>
      <c r="N201" s="2469"/>
      <c r="O201" s="2470"/>
      <c r="P201" s="2469"/>
      <c r="Q201" s="2469"/>
      <c r="R201" s="2481">
        <f>SUM(R197:R200)/100*27.1</f>
        <v>3.4</v>
      </c>
      <c r="S201" s="2364">
        <f t="shared" si="21"/>
        <v>3.4</v>
      </c>
      <c r="T201" s="2364"/>
      <c r="U201" s="2364"/>
      <c r="V201" s="2384">
        <f t="shared" si="19"/>
        <v>3.4</v>
      </c>
      <c r="W201" s="2384">
        <f t="shared" si="20"/>
        <v>0</v>
      </c>
      <c r="X201" s="2364">
        <v>3.4</v>
      </c>
      <c r="Y201" s="2451">
        <v>3.4</v>
      </c>
      <c r="Z201" s="3480"/>
      <c r="AA201" s="2296" t="s">
        <v>1665</v>
      </c>
    </row>
    <row r="202" spans="1:546" s="2492" customFormat="1" hidden="1" x14ac:dyDescent="0.25">
      <c r="A202" s="2487"/>
      <c r="B202" s="2487"/>
      <c r="C202" s="2488" t="s">
        <v>202</v>
      </c>
      <c r="D202" s="2489"/>
      <c r="E202" s="2490"/>
      <c r="F202" s="2489">
        <f t="shared" ref="F202:Q202" si="31">F155+F120+F114+F93+F85+F70+F48+F31+F13</f>
        <v>840.8</v>
      </c>
      <c r="G202" s="2489">
        <f t="shared" si="31"/>
        <v>6.5</v>
      </c>
      <c r="H202" s="2489">
        <f t="shared" si="31"/>
        <v>0</v>
      </c>
      <c r="I202" s="2489">
        <f t="shared" si="31"/>
        <v>0</v>
      </c>
      <c r="J202" s="2489">
        <f t="shared" si="31"/>
        <v>529.79999999999995</v>
      </c>
      <c r="K202" s="2489">
        <f t="shared" si="31"/>
        <v>308.5</v>
      </c>
      <c r="L202" s="2489">
        <f t="shared" si="31"/>
        <v>0</v>
      </c>
      <c r="M202" s="2489">
        <f t="shared" si="31"/>
        <v>0</v>
      </c>
      <c r="N202" s="2489">
        <f t="shared" si="31"/>
        <v>529.79999999999995</v>
      </c>
      <c r="O202" s="2489">
        <f t="shared" si="31"/>
        <v>308.5</v>
      </c>
      <c r="P202" s="2489">
        <f t="shared" si="31"/>
        <v>0</v>
      </c>
      <c r="Q202" s="2489">
        <f t="shared" si="31"/>
        <v>0</v>
      </c>
      <c r="R202" s="2489">
        <f>R155+R120+R114+R93+R85+R70+R48+R31+R13+R175+R183+R189+R196</f>
        <v>669.8</v>
      </c>
      <c r="S202" s="2489">
        <f t="shared" si="21"/>
        <v>669.8</v>
      </c>
      <c r="T202" s="2489"/>
      <c r="U202" s="2489">
        <f>U155+U120+U114+U93+U85+U70+U48+U31+U13+U175+U183+U189+U196</f>
        <v>325.3</v>
      </c>
      <c r="V202" s="2489">
        <f t="shared" si="19"/>
        <v>140</v>
      </c>
      <c r="W202" s="2489">
        <f t="shared" si="20"/>
        <v>126.4</v>
      </c>
      <c r="X202" s="2489">
        <f t="shared" ref="X202:Y202" si="32">X155+X120+X114+X93+X85+X70+X48+X31+X13+X175+X183+X189+X196</f>
        <v>644</v>
      </c>
      <c r="Y202" s="2489">
        <f t="shared" si="32"/>
        <v>704.6</v>
      </c>
      <c r="Z202" s="2491"/>
      <c r="AA202" s="2296" t="s">
        <v>1665</v>
      </c>
      <c r="AC202" s="2493">
        <f>R202-N202</f>
        <v>140</v>
      </c>
    </row>
    <row r="203" spans="1:546" s="2345" customFormat="1" ht="78.75" hidden="1" x14ac:dyDescent="0.25">
      <c r="A203" s="2311"/>
      <c r="B203" s="2311"/>
      <c r="C203" s="2312" t="s">
        <v>2177</v>
      </c>
      <c r="D203" s="2311"/>
      <c r="E203" s="2403"/>
      <c r="F203" s="2494"/>
      <c r="G203" s="2495"/>
      <c r="H203" s="2495"/>
      <c r="I203" s="2495"/>
      <c r="J203" s="2313"/>
      <c r="K203" s="2495"/>
      <c r="L203" s="2495"/>
      <c r="M203" s="2495"/>
      <c r="N203" s="2313"/>
      <c r="O203" s="2495"/>
      <c r="P203" s="2495"/>
      <c r="Q203" s="2495"/>
      <c r="R203" s="2313">
        <f>R204</f>
        <v>80.5</v>
      </c>
      <c r="S203" s="2313">
        <f t="shared" si="21"/>
        <v>80.5</v>
      </c>
      <c r="T203" s="2313"/>
      <c r="U203" s="2495"/>
      <c r="V203" s="2496">
        <f t="shared" si="19"/>
        <v>80.5</v>
      </c>
      <c r="W203" s="2496">
        <f t="shared" si="20"/>
        <v>0</v>
      </c>
      <c r="X203" s="2313">
        <f>R203</f>
        <v>80.5</v>
      </c>
      <c r="Y203" s="2313">
        <f>X203</f>
        <v>80.5</v>
      </c>
      <c r="Z203" s="2319"/>
      <c r="AA203" s="2292" t="s">
        <v>1653</v>
      </c>
    </row>
    <row r="204" spans="1:546" s="2326" customFormat="1" ht="31.5" hidden="1" x14ac:dyDescent="0.25">
      <c r="A204" s="2319"/>
      <c r="B204" s="2319">
        <v>963</v>
      </c>
      <c r="C204" s="2320" t="s">
        <v>1444</v>
      </c>
      <c r="D204" s="2373"/>
      <c r="E204" s="2374"/>
      <c r="F204" s="2323"/>
      <c r="G204" s="2323"/>
      <c r="H204" s="2323"/>
      <c r="I204" s="2323"/>
      <c r="J204" s="2323"/>
      <c r="K204" s="2323"/>
      <c r="L204" s="2323"/>
      <c r="M204" s="2323"/>
      <c r="N204" s="2323"/>
      <c r="O204" s="2323"/>
      <c r="P204" s="2323"/>
      <c r="Q204" s="2323"/>
      <c r="R204" s="2323">
        <f>R206+R205</f>
        <v>80.5</v>
      </c>
      <c r="S204" s="2323">
        <f t="shared" si="21"/>
        <v>80.5</v>
      </c>
      <c r="T204" s="2323"/>
      <c r="U204" s="2323"/>
      <c r="V204" s="2323">
        <f t="shared" si="19"/>
        <v>80.5</v>
      </c>
      <c r="W204" s="2323">
        <f t="shared" si="20"/>
        <v>0</v>
      </c>
      <c r="X204" s="2323">
        <f t="shared" ref="X204:X206" si="33">R204</f>
        <v>80.5</v>
      </c>
      <c r="Y204" s="2323">
        <f t="shared" ref="Y204:Y206" si="34">X204</f>
        <v>80.5</v>
      </c>
      <c r="Z204" s="2319"/>
      <c r="AA204" s="2497" t="s">
        <v>1665</v>
      </c>
    </row>
    <row r="205" spans="1:546" s="2290" customFormat="1" hidden="1" x14ac:dyDescent="0.25">
      <c r="A205" s="2325"/>
      <c r="B205" s="2325"/>
      <c r="C205" s="2328" t="s">
        <v>1229</v>
      </c>
      <c r="D205" s="2342"/>
      <c r="E205" s="2382"/>
      <c r="F205" s="2331"/>
      <c r="G205" s="2331"/>
      <c r="H205" s="2331"/>
      <c r="I205" s="2331"/>
      <c r="J205" s="2331"/>
      <c r="K205" s="2331"/>
      <c r="L205" s="2331"/>
      <c r="M205" s="2331"/>
      <c r="N205" s="2331"/>
      <c r="O205" s="2331"/>
      <c r="P205" s="2331">
        <v>100</v>
      </c>
      <c r="Q205" s="2331">
        <f>R205/P205*1000</f>
        <v>200</v>
      </c>
      <c r="R205" s="2331">
        <v>20</v>
      </c>
      <c r="S205" s="2331">
        <f t="shared" si="21"/>
        <v>20</v>
      </c>
      <c r="T205" s="2331"/>
      <c r="U205" s="2331"/>
      <c r="V205" s="2331">
        <f t="shared" ref="V205:V206" si="35">R205-J205</f>
        <v>20</v>
      </c>
      <c r="W205" s="2331">
        <f t="shared" ref="W205:W207" si="36">IFERROR((R205)/J205*100,0)</f>
        <v>0</v>
      </c>
      <c r="X205" s="2331">
        <f t="shared" si="33"/>
        <v>20</v>
      </c>
      <c r="Y205" s="2331">
        <f t="shared" si="34"/>
        <v>20</v>
      </c>
      <c r="Z205" s="2325"/>
      <c r="AA205" s="2292"/>
    </row>
    <row r="206" spans="1:546" s="2290" customFormat="1" hidden="1" x14ac:dyDescent="0.25">
      <c r="A206" s="2325"/>
      <c r="B206" s="2325"/>
      <c r="C206" s="2328" t="s">
        <v>2095</v>
      </c>
      <c r="D206" s="2342"/>
      <c r="E206" s="2382"/>
      <c r="F206" s="2331"/>
      <c r="G206" s="2331"/>
      <c r="H206" s="2331"/>
      <c r="I206" s="2331"/>
      <c r="J206" s="2331"/>
      <c r="K206" s="2331"/>
      <c r="L206" s="2331"/>
      <c r="M206" s="2331"/>
      <c r="N206" s="2331"/>
      <c r="O206" s="2331"/>
      <c r="P206" s="2331"/>
      <c r="Q206" s="2331"/>
      <c r="R206" s="2331">
        <v>60.5</v>
      </c>
      <c r="S206" s="2331">
        <f t="shared" ref="S206" si="37">R206</f>
        <v>60.5</v>
      </c>
      <c r="T206" s="2331"/>
      <c r="U206" s="2331"/>
      <c r="V206" s="2331">
        <f t="shared" si="35"/>
        <v>60.5</v>
      </c>
      <c r="W206" s="2331">
        <f t="shared" si="36"/>
        <v>0</v>
      </c>
      <c r="X206" s="2331">
        <f t="shared" si="33"/>
        <v>60.5</v>
      </c>
      <c r="Y206" s="2331">
        <f t="shared" si="34"/>
        <v>60.5</v>
      </c>
      <c r="Z206" s="2325"/>
      <c r="AA206" s="2292"/>
    </row>
    <row r="207" spans="1:546" s="2505" customFormat="1" ht="18.75" hidden="1" x14ac:dyDescent="0.3">
      <c r="A207" s="2498"/>
      <c r="B207" s="2499"/>
      <c r="C207" s="2500" t="s">
        <v>2178</v>
      </c>
      <c r="D207" s="2501"/>
      <c r="E207" s="2502"/>
      <c r="F207" s="2502" t="e">
        <f>#REF!+#REF!+#REF!+F202+#REF!+#REF!+#REF!+#REF!+#REF!+#REF!+#REF!+#REF!+#REF!</f>
        <v>#REF!</v>
      </c>
      <c r="G207" s="2502" t="e">
        <f>#REF!+#REF!+#REF!+G202+#REF!+#REF!+#REF!+#REF!+#REF!+#REF!+#REF!+#REF!+#REF!</f>
        <v>#REF!</v>
      </c>
      <c r="H207" s="2502" t="e">
        <f>#REF!+#REF!+#REF!+H202+#REF!+#REF!+#REF!+#REF!+#REF!+#REF!+#REF!+#REF!+#REF!</f>
        <v>#REF!</v>
      </c>
      <c r="I207" s="2502" t="e">
        <f>#REF!+#REF!+#REF!+I202+#REF!+#REF!+#REF!+#REF!+#REF!+#REF!+#REF!+#REF!+#REF!</f>
        <v>#REF!</v>
      </c>
      <c r="J207" s="2502" t="e">
        <f>#REF!+#REF!+#REF!+J202+#REF!+#REF!+#REF!+#REF!+#REF!+#REF!+#REF!+#REF!+#REF!</f>
        <v>#REF!</v>
      </c>
      <c r="K207" s="2502" t="e">
        <f>#REF!+#REF!+#REF!+K202+#REF!+#REF!+#REF!+#REF!+#REF!+#REF!+#REF!+#REF!+#REF!</f>
        <v>#REF!</v>
      </c>
      <c r="L207" s="2502" t="e">
        <f>#REF!+#REF!+#REF!+L202+#REF!+#REF!+#REF!+#REF!+#REF!+#REF!+#REF!+#REF!+#REF!</f>
        <v>#REF!</v>
      </c>
      <c r="M207" s="2502" t="e">
        <f>#REF!+#REF!+#REF!+M202+#REF!+#REF!+#REF!+#REF!+#REF!+#REF!+#REF!+#REF!+#REF!</f>
        <v>#REF!</v>
      </c>
      <c r="N207" s="2502" t="e">
        <f>#REF!+#REF!+#REF!+N202+#REF!+#REF!+#REF!+#REF!+#REF!+#REF!+#REF!+#REF!+#REF!</f>
        <v>#REF!</v>
      </c>
      <c r="O207" s="2502" t="e">
        <f>#REF!+#REF!+#REF!+O202+#REF!+#REF!+#REF!+#REF!+#REF!+#REF!+#REF!+#REF!+#REF!</f>
        <v>#REF!</v>
      </c>
      <c r="P207" s="2502"/>
      <c r="Q207" s="2502"/>
      <c r="R207" s="2501">
        <f>R202+R203</f>
        <v>750.3</v>
      </c>
      <c r="S207" s="2501">
        <f t="shared" ref="S207:U207" si="38">S202+S203</f>
        <v>750.3</v>
      </c>
      <c r="T207" s="2501">
        <f t="shared" si="38"/>
        <v>0</v>
      </c>
      <c r="U207" s="2501">
        <f t="shared" si="38"/>
        <v>325.3</v>
      </c>
      <c r="V207" s="2502"/>
      <c r="W207" s="2502">
        <f t="shared" si="36"/>
        <v>0</v>
      </c>
      <c r="X207" s="2502">
        <f t="shared" ref="X207:Y207" si="39">X202+X203</f>
        <v>724.5</v>
      </c>
      <c r="Y207" s="2502">
        <f t="shared" si="39"/>
        <v>785.1</v>
      </c>
      <c r="Z207" s="2503"/>
      <c r="AA207" s="2504"/>
      <c r="AE207" s="2506"/>
      <c r="AF207" s="2507"/>
      <c r="AG207" s="2507"/>
      <c r="AH207" s="2507"/>
      <c r="JN207" s="2507"/>
      <c r="JO207" s="2507"/>
      <c r="JQ207" s="2507"/>
      <c r="JR207" s="2507"/>
      <c r="JS207" s="2507"/>
      <c r="KA207" s="2507"/>
      <c r="KB207" s="2507"/>
      <c r="KC207" s="2507"/>
      <c r="KD207" s="2507"/>
      <c r="TJ207" s="2507"/>
      <c r="TK207" s="2507"/>
      <c r="TM207" s="2507"/>
      <c r="TN207" s="2507"/>
      <c r="TO207" s="2507"/>
      <c r="TW207" s="2507"/>
      <c r="TX207" s="2507"/>
      <c r="TY207" s="2507"/>
      <c r="TZ207" s="2507"/>
    </row>
    <row r="208" spans="1:546" s="2508" customFormat="1" ht="18.75" x14ac:dyDescent="0.3">
      <c r="B208" s="2509"/>
      <c r="C208" s="2510"/>
      <c r="D208" s="2511"/>
      <c r="E208" s="2512"/>
      <c r="F208" s="2513"/>
      <c r="G208" s="2511"/>
      <c r="H208" s="2511"/>
      <c r="I208" s="2511"/>
      <c r="J208" s="2513"/>
      <c r="K208" s="2511"/>
      <c r="L208" s="2511"/>
      <c r="M208" s="2511"/>
      <c r="N208" s="2513"/>
      <c r="O208" s="2511"/>
      <c r="P208" s="2511"/>
      <c r="Q208" s="2511"/>
      <c r="R208" s="2513"/>
      <c r="S208" s="2513"/>
      <c r="T208" s="2513"/>
      <c r="U208" s="2511"/>
      <c r="V208" s="2511"/>
      <c r="W208" s="2511"/>
      <c r="X208" s="2513"/>
      <c r="Y208" s="2513"/>
      <c r="AA208" s="2510"/>
    </row>
    <row r="209" spans="1:16276" s="2514" customFormat="1" ht="18.75" x14ac:dyDescent="0.3">
      <c r="B209" s="2515"/>
      <c r="C209" s="2516"/>
      <c r="D209" s="2517"/>
      <c r="E209" s="2518"/>
      <c r="F209" s="3481">
        <v>2018</v>
      </c>
      <c r="G209" s="3481"/>
      <c r="H209" s="2517"/>
      <c r="I209" s="2517"/>
      <c r="J209" s="3481" t="s">
        <v>845</v>
      </c>
      <c r="K209" s="3481"/>
      <c r="L209" s="2517"/>
      <c r="M209" s="2517"/>
      <c r="N209" s="3482" t="s">
        <v>846</v>
      </c>
      <c r="O209" s="3482"/>
      <c r="P209" s="2517"/>
      <c r="Q209" s="2517"/>
      <c r="R209" s="3483">
        <v>2020</v>
      </c>
      <c r="S209" s="3483"/>
      <c r="T209" s="3483"/>
      <c r="U209" s="3483"/>
      <c r="V209" s="2517"/>
      <c r="W209" s="2517"/>
      <c r="X209" s="2519">
        <v>2021</v>
      </c>
      <c r="Y209" s="2519">
        <v>2022</v>
      </c>
      <c r="AA209" s="2520"/>
    </row>
    <row r="210" spans="1:16276" s="2290" customFormat="1" x14ac:dyDescent="0.25">
      <c r="B210" s="2398">
        <v>1</v>
      </c>
      <c r="C210" s="2521">
        <v>1</v>
      </c>
      <c r="D210" s="2342">
        <v>1</v>
      </c>
      <c r="E210" s="2382">
        <v>1</v>
      </c>
      <c r="F210" s="2417" t="s">
        <v>345</v>
      </c>
      <c r="G210" s="2417" t="s">
        <v>847</v>
      </c>
      <c r="H210" s="2342">
        <v>1</v>
      </c>
      <c r="I210" s="2342">
        <v>1</v>
      </c>
      <c r="J210" s="2417" t="s">
        <v>345</v>
      </c>
      <c r="K210" s="2417" t="s">
        <v>847</v>
      </c>
      <c r="L210" s="2342">
        <v>1</v>
      </c>
      <c r="M210" s="2342">
        <v>1</v>
      </c>
      <c r="N210" s="2417" t="s">
        <v>345</v>
      </c>
      <c r="O210" s="2417" t="s">
        <v>847</v>
      </c>
      <c r="P210" s="2342">
        <v>1</v>
      </c>
      <c r="Q210" s="2342">
        <v>1</v>
      </c>
      <c r="R210" s="2417" t="s">
        <v>345</v>
      </c>
      <c r="S210" s="2417"/>
      <c r="T210" s="2417"/>
      <c r="U210" s="2417" t="s">
        <v>847</v>
      </c>
      <c r="V210" s="2342">
        <v>1</v>
      </c>
      <c r="W210" s="2342">
        <v>1</v>
      </c>
      <c r="X210" s="2417">
        <v>1</v>
      </c>
      <c r="Y210" s="2417">
        <v>1</v>
      </c>
      <c r="AA210" s="2292"/>
    </row>
    <row r="211" spans="1:16276" x14ac:dyDescent="0.25">
      <c r="A211" s="2522"/>
      <c r="B211" s="2523"/>
      <c r="C211" s="2523" t="s">
        <v>2179</v>
      </c>
      <c r="D211" s="2349"/>
      <c r="E211" s="2348"/>
      <c r="F211" s="2349">
        <f>F212+F213+F214+F215+F216+F217+F218+F219+F220+F221</f>
        <v>840.8</v>
      </c>
      <c r="G211" s="2349">
        <f t="shared" ref="G211:Y211" si="40">G212+G213+G214+G215+G216+G217+G218+G219+G220+G221</f>
        <v>6.5</v>
      </c>
      <c r="H211" s="2349">
        <f t="shared" si="40"/>
        <v>0</v>
      </c>
      <c r="I211" s="2349">
        <f t="shared" si="40"/>
        <v>0</v>
      </c>
      <c r="J211" s="2349">
        <f t="shared" si="40"/>
        <v>529.79999999999995</v>
      </c>
      <c r="K211" s="2349">
        <f t="shared" si="40"/>
        <v>308.5</v>
      </c>
      <c r="L211" s="2349">
        <f t="shared" si="40"/>
        <v>0</v>
      </c>
      <c r="M211" s="2349">
        <f t="shared" si="40"/>
        <v>0</v>
      </c>
      <c r="N211" s="2349">
        <f t="shared" si="40"/>
        <v>529.79999999999995</v>
      </c>
      <c r="O211" s="2349">
        <f t="shared" si="40"/>
        <v>308.5</v>
      </c>
      <c r="P211" s="2349">
        <f t="shared" si="40"/>
        <v>0</v>
      </c>
      <c r="Q211" s="2349">
        <f t="shared" si="40"/>
        <v>0</v>
      </c>
      <c r="R211" s="2349">
        <f t="shared" si="40"/>
        <v>750.3</v>
      </c>
      <c r="S211" s="2349">
        <f t="shared" si="40"/>
        <v>750.3</v>
      </c>
      <c r="T211" s="2349">
        <f t="shared" si="40"/>
        <v>0</v>
      </c>
      <c r="U211" s="2349">
        <f t="shared" si="40"/>
        <v>325.3</v>
      </c>
      <c r="V211" s="2349">
        <f t="shared" si="40"/>
        <v>142.1</v>
      </c>
      <c r="W211" s="2349">
        <f t="shared" si="40"/>
        <v>2658.4</v>
      </c>
      <c r="X211" s="2349">
        <f t="shared" si="40"/>
        <v>724.5</v>
      </c>
      <c r="Y211" s="2349">
        <f t="shared" si="40"/>
        <v>785.1</v>
      </c>
      <c r="Z211" s="2522"/>
      <c r="AA211" s="2524"/>
      <c r="AB211" s="2522"/>
      <c r="AC211" s="2522"/>
      <c r="AD211" s="2522"/>
      <c r="AE211" s="2522"/>
      <c r="AF211" s="2522"/>
      <c r="AG211" s="2522"/>
      <c r="AH211" s="2522"/>
      <c r="AI211" s="2522"/>
      <c r="AJ211" s="2522"/>
      <c r="AK211" s="2522"/>
      <c r="AL211" s="2522"/>
      <c r="AM211" s="2522"/>
      <c r="AN211" s="2522"/>
      <c r="AO211" s="2522"/>
      <c r="AP211" s="2522"/>
      <c r="AQ211" s="2522"/>
      <c r="AR211" s="2522"/>
      <c r="AS211" s="2522"/>
      <c r="AT211" s="2522"/>
      <c r="AU211" s="2522"/>
      <c r="AV211" s="2522"/>
      <c r="AW211" s="2522"/>
      <c r="AX211" s="2522"/>
      <c r="AY211" s="2522"/>
      <c r="AZ211" s="2522"/>
      <c r="BA211" s="2522"/>
      <c r="BB211" s="2522"/>
      <c r="BC211" s="2522"/>
      <c r="BD211" s="2522"/>
      <c r="BE211" s="2522"/>
      <c r="BF211" s="2522"/>
      <c r="BG211" s="2522"/>
      <c r="BH211" s="2522"/>
      <c r="BI211" s="2522"/>
      <c r="BJ211" s="2522"/>
      <c r="BK211" s="2522"/>
      <c r="BL211" s="2522"/>
      <c r="BM211" s="2522"/>
      <c r="BN211" s="2522"/>
      <c r="BO211" s="2522"/>
      <c r="BP211" s="2522"/>
      <c r="BQ211" s="2522"/>
      <c r="BR211" s="2522"/>
      <c r="BS211" s="2522"/>
      <c r="BT211" s="2522"/>
      <c r="BU211" s="2522"/>
      <c r="BV211" s="2522"/>
      <c r="BW211" s="2522"/>
      <c r="BX211" s="2522"/>
      <c r="BY211" s="2522"/>
      <c r="BZ211" s="2522"/>
      <c r="CA211" s="2522"/>
      <c r="CB211" s="2522"/>
      <c r="CC211" s="2522"/>
      <c r="CD211" s="2522"/>
      <c r="CE211" s="2522"/>
      <c r="CF211" s="2522"/>
      <c r="CG211" s="2522"/>
      <c r="CH211" s="2522"/>
      <c r="CI211" s="2522"/>
      <c r="CJ211" s="2522"/>
      <c r="CK211" s="2522"/>
      <c r="CL211" s="2522"/>
      <c r="CM211" s="2522"/>
      <c r="CN211" s="2522"/>
      <c r="CO211" s="2522"/>
      <c r="CP211" s="2522"/>
      <c r="CQ211" s="2522"/>
      <c r="CR211" s="2522"/>
      <c r="CS211" s="2522"/>
      <c r="CT211" s="2522"/>
      <c r="CU211" s="2522"/>
      <c r="CV211" s="2522"/>
      <c r="CW211" s="2522"/>
      <c r="CX211" s="2522"/>
      <c r="CY211" s="2522"/>
      <c r="CZ211" s="2522"/>
      <c r="DA211" s="2522"/>
      <c r="DB211" s="2522"/>
      <c r="DC211" s="2522"/>
      <c r="DD211" s="2522"/>
      <c r="DE211" s="2522"/>
      <c r="DF211" s="2522"/>
      <c r="DG211" s="2522"/>
      <c r="DH211" s="2522"/>
      <c r="DI211" s="2522"/>
      <c r="DJ211" s="2522"/>
      <c r="DK211" s="2522"/>
      <c r="DL211" s="2522"/>
      <c r="DM211" s="2522"/>
      <c r="DN211" s="2522"/>
      <c r="DO211" s="2522"/>
      <c r="DP211" s="2522"/>
      <c r="DQ211" s="2522"/>
      <c r="DR211" s="2522"/>
      <c r="DS211" s="2522"/>
      <c r="DT211" s="2522"/>
      <c r="DU211" s="2522"/>
      <c r="DV211" s="2522"/>
      <c r="DW211" s="2522"/>
      <c r="DX211" s="2522"/>
      <c r="DY211" s="2522"/>
      <c r="DZ211" s="2522"/>
      <c r="EA211" s="2522"/>
      <c r="EB211" s="2522"/>
      <c r="EC211" s="2522"/>
      <c r="ED211" s="2522"/>
      <c r="EE211" s="2522"/>
      <c r="EF211" s="2522"/>
      <c r="EG211" s="2522"/>
      <c r="EH211" s="2522"/>
      <c r="EI211" s="2522"/>
      <c r="EJ211" s="2522"/>
      <c r="EK211" s="2522"/>
      <c r="EL211" s="2522"/>
      <c r="EM211" s="2522"/>
      <c r="EN211" s="2522"/>
      <c r="EO211" s="2522"/>
      <c r="EP211" s="2522"/>
      <c r="EQ211" s="2522"/>
      <c r="ER211" s="2522"/>
      <c r="ES211" s="2522"/>
      <c r="ET211" s="2522"/>
      <c r="EU211" s="2522"/>
      <c r="EV211" s="2522"/>
      <c r="EW211" s="2522"/>
      <c r="EX211" s="2522"/>
      <c r="EY211" s="2522"/>
      <c r="EZ211" s="2522"/>
      <c r="FA211" s="2522"/>
      <c r="FB211" s="2522"/>
      <c r="FC211" s="2522"/>
      <c r="FD211" s="2522"/>
      <c r="FE211" s="2522"/>
      <c r="FF211" s="2522"/>
      <c r="FG211" s="2522"/>
      <c r="FH211" s="2522"/>
      <c r="FI211" s="2522"/>
      <c r="FJ211" s="2522"/>
      <c r="FK211" s="2522"/>
      <c r="FL211" s="2522"/>
      <c r="FM211" s="2522"/>
      <c r="FN211" s="2522"/>
      <c r="FO211" s="2522"/>
      <c r="FP211" s="2522"/>
      <c r="FQ211" s="2522"/>
      <c r="FR211" s="2522"/>
      <c r="FS211" s="2522"/>
      <c r="FT211" s="2522"/>
      <c r="FU211" s="2522"/>
      <c r="FV211" s="2522"/>
      <c r="FW211" s="2522"/>
      <c r="FX211" s="2522"/>
      <c r="FY211" s="2522"/>
      <c r="FZ211" s="2522"/>
      <c r="GA211" s="2522"/>
      <c r="GB211" s="2522"/>
      <c r="GC211" s="2522"/>
      <c r="GD211" s="2522"/>
      <c r="GE211" s="2522"/>
      <c r="GF211" s="2522"/>
      <c r="GG211" s="2522"/>
      <c r="GH211" s="2522"/>
      <c r="GI211" s="2522"/>
      <c r="GJ211" s="2522"/>
      <c r="GK211" s="2522"/>
      <c r="GL211" s="2522"/>
      <c r="GM211" s="2522"/>
      <c r="GN211" s="2522"/>
      <c r="GO211" s="2522"/>
      <c r="GP211" s="2522"/>
      <c r="GQ211" s="2522"/>
      <c r="GR211" s="2522"/>
      <c r="GS211" s="2522"/>
      <c r="GT211" s="2522"/>
      <c r="GU211" s="2522"/>
      <c r="GV211" s="2522"/>
      <c r="GW211" s="2522"/>
      <c r="GX211" s="2522"/>
      <c r="GY211" s="2522"/>
      <c r="GZ211" s="2522"/>
      <c r="HA211" s="2522"/>
      <c r="HB211" s="2522"/>
      <c r="HC211" s="2522"/>
      <c r="HD211" s="2522"/>
      <c r="HE211" s="2522"/>
      <c r="HF211" s="2522"/>
      <c r="HG211" s="2522"/>
      <c r="HH211" s="2522"/>
      <c r="HI211" s="2522"/>
      <c r="HJ211" s="2522"/>
      <c r="HK211" s="2522"/>
      <c r="HL211" s="2522"/>
      <c r="HM211" s="2522"/>
      <c r="HN211" s="2522"/>
      <c r="HO211" s="2522"/>
      <c r="HP211" s="2522"/>
      <c r="HQ211" s="2522"/>
      <c r="HR211" s="2522"/>
      <c r="HS211" s="2522"/>
      <c r="HT211" s="2522"/>
      <c r="HU211" s="2522"/>
      <c r="HV211" s="2522"/>
      <c r="HW211" s="2522"/>
      <c r="HX211" s="2522"/>
      <c r="HY211" s="2522"/>
      <c r="HZ211" s="2522"/>
      <c r="IA211" s="2522"/>
      <c r="IB211" s="2522"/>
      <c r="IC211" s="2522"/>
      <c r="ID211" s="2522"/>
      <c r="IE211" s="2522"/>
      <c r="IF211" s="2522"/>
      <c r="IG211" s="2522"/>
      <c r="IH211" s="2522"/>
      <c r="II211" s="2522"/>
      <c r="IJ211" s="2522"/>
      <c r="IK211" s="2522"/>
      <c r="IL211" s="2522"/>
      <c r="IM211" s="2522"/>
      <c r="IN211" s="2522"/>
      <c r="IO211" s="2522"/>
      <c r="IP211" s="2522"/>
      <c r="IQ211" s="2522"/>
      <c r="IR211" s="2522"/>
      <c r="IS211" s="2522"/>
      <c r="IT211" s="2522"/>
      <c r="IU211" s="2522"/>
      <c r="IV211" s="2522"/>
      <c r="IW211" s="2522"/>
      <c r="IX211" s="2522"/>
      <c r="IY211" s="2522"/>
      <c r="IZ211" s="2522"/>
      <c r="JA211" s="2522"/>
      <c r="JB211" s="2522"/>
      <c r="JC211" s="2522"/>
      <c r="JD211" s="2522"/>
      <c r="JE211" s="2522"/>
      <c r="JF211" s="2522"/>
      <c r="JG211" s="2522"/>
      <c r="JH211" s="2522"/>
      <c r="JI211" s="2522"/>
      <c r="JJ211" s="2522"/>
      <c r="JK211" s="2522"/>
      <c r="JL211" s="2522"/>
      <c r="JM211" s="2522"/>
      <c r="JN211" s="2522"/>
      <c r="JO211" s="2522"/>
      <c r="JP211" s="2522"/>
      <c r="JQ211" s="2522"/>
      <c r="JR211" s="2522"/>
      <c r="JS211" s="2522"/>
      <c r="JT211" s="2522"/>
      <c r="JU211" s="2522"/>
      <c r="JV211" s="2522"/>
      <c r="JW211" s="2522"/>
      <c r="JX211" s="2522"/>
      <c r="JY211" s="2522"/>
      <c r="JZ211" s="2522"/>
      <c r="KA211" s="2522"/>
      <c r="KB211" s="2522"/>
      <c r="KC211" s="2522"/>
      <c r="KD211" s="2522"/>
      <c r="KE211" s="2522"/>
      <c r="KF211" s="2522"/>
      <c r="KG211" s="2522"/>
      <c r="KH211" s="2522"/>
      <c r="KI211" s="2522"/>
      <c r="KJ211" s="2522"/>
      <c r="KK211" s="2522"/>
      <c r="KL211" s="2522"/>
      <c r="KM211" s="2522"/>
      <c r="KN211" s="2522"/>
      <c r="KO211" s="2522"/>
      <c r="KP211" s="2522"/>
      <c r="KQ211" s="2522"/>
      <c r="KR211" s="2522"/>
      <c r="KS211" s="2522"/>
      <c r="KT211" s="2522"/>
      <c r="KU211" s="2522"/>
      <c r="KV211" s="2522"/>
      <c r="KW211" s="2522"/>
      <c r="KX211" s="2522"/>
      <c r="KY211" s="2522"/>
      <c r="KZ211" s="2522"/>
      <c r="LA211" s="2522"/>
      <c r="LB211" s="2522"/>
      <c r="LC211" s="2522"/>
      <c r="LD211" s="2522"/>
      <c r="LE211" s="2522"/>
      <c r="LF211" s="2522"/>
      <c r="LG211" s="2522"/>
      <c r="LH211" s="2522"/>
      <c r="LI211" s="2522"/>
      <c r="LJ211" s="2522"/>
      <c r="LK211" s="2522"/>
      <c r="LL211" s="2522"/>
      <c r="LM211" s="2522"/>
      <c r="LN211" s="2522"/>
      <c r="LO211" s="2522"/>
      <c r="LP211" s="2522"/>
      <c r="LQ211" s="2522"/>
      <c r="LR211" s="2522"/>
      <c r="LS211" s="2522"/>
      <c r="LT211" s="2522"/>
      <c r="LU211" s="2522"/>
      <c r="LV211" s="2522"/>
      <c r="LW211" s="2522"/>
      <c r="LX211" s="2522"/>
      <c r="LY211" s="2522"/>
      <c r="LZ211" s="2522"/>
      <c r="MA211" s="2522"/>
      <c r="MB211" s="2522"/>
      <c r="MC211" s="2522"/>
      <c r="MD211" s="2522"/>
      <c r="ME211" s="2522"/>
      <c r="MF211" s="2522"/>
      <c r="MG211" s="2522"/>
      <c r="MH211" s="2522"/>
      <c r="MI211" s="2522"/>
      <c r="MJ211" s="2522"/>
      <c r="MK211" s="2522"/>
      <c r="ML211" s="2522"/>
      <c r="MM211" s="2522"/>
      <c r="MN211" s="2522"/>
      <c r="MO211" s="2522"/>
      <c r="MP211" s="2522"/>
      <c r="MQ211" s="2522"/>
      <c r="MR211" s="2522"/>
      <c r="MS211" s="2522"/>
      <c r="MT211" s="2522"/>
      <c r="MU211" s="2522"/>
      <c r="MV211" s="2522"/>
      <c r="MW211" s="2522"/>
      <c r="MX211" s="2522"/>
      <c r="MY211" s="2522"/>
      <c r="MZ211" s="2522"/>
      <c r="NA211" s="2522"/>
      <c r="NB211" s="2522"/>
      <c r="NC211" s="2522"/>
      <c r="ND211" s="2522"/>
      <c r="NE211" s="2522"/>
      <c r="NF211" s="2522"/>
      <c r="NG211" s="2522"/>
      <c r="NH211" s="2522"/>
      <c r="NI211" s="2522"/>
      <c r="NJ211" s="2522"/>
      <c r="NK211" s="2522"/>
      <c r="NL211" s="2522"/>
      <c r="NM211" s="2522"/>
      <c r="NN211" s="2522"/>
      <c r="NO211" s="2522"/>
      <c r="NP211" s="2522"/>
      <c r="NQ211" s="2522"/>
      <c r="NR211" s="2522"/>
      <c r="NS211" s="2522"/>
      <c r="NT211" s="2522"/>
      <c r="NU211" s="2522"/>
      <c r="NV211" s="2522"/>
      <c r="NW211" s="2522"/>
      <c r="NX211" s="2522"/>
      <c r="NY211" s="2522"/>
      <c r="NZ211" s="2522"/>
      <c r="OA211" s="2522"/>
      <c r="OB211" s="2522"/>
      <c r="OC211" s="2522"/>
      <c r="OD211" s="2522"/>
      <c r="OE211" s="2522"/>
      <c r="OF211" s="2522"/>
      <c r="OG211" s="2522"/>
      <c r="OH211" s="2522"/>
      <c r="OI211" s="2522"/>
      <c r="OJ211" s="2522"/>
      <c r="OK211" s="2522"/>
      <c r="OL211" s="2522"/>
      <c r="OM211" s="2522"/>
      <c r="ON211" s="2522"/>
      <c r="OO211" s="2522"/>
      <c r="OP211" s="2522"/>
      <c r="OQ211" s="2522"/>
      <c r="OR211" s="2522"/>
      <c r="OS211" s="2522"/>
      <c r="OT211" s="2522"/>
      <c r="OU211" s="2522"/>
      <c r="OV211" s="2522"/>
      <c r="OW211" s="2522"/>
      <c r="OX211" s="2522"/>
      <c r="OY211" s="2522"/>
      <c r="OZ211" s="2522"/>
      <c r="PA211" s="2522"/>
      <c r="PB211" s="2522"/>
      <c r="PC211" s="2522"/>
      <c r="PD211" s="2522"/>
      <c r="PE211" s="2522"/>
      <c r="PF211" s="2522"/>
      <c r="PG211" s="2522"/>
      <c r="PH211" s="2522"/>
      <c r="PI211" s="2522"/>
      <c r="PJ211" s="2522"/>
      <c r="PK211" s="2522"/>
      <c r="PL211" s="2522"/>
      <c r="PM211" s="2522"/>
      <c r="PN211" s="2522"/>
      <c r="PO211" s="2522"/>
      <c r="PP211" s="2522"/>
      <c r="PQ211" s="2522"/>
      <c r="PR211" s="2522"/>
      <c r="PS211" s="2522"/>
      <c r="PT211" s="2522"/>
      <c r="PU211" s="2522"/>
      <c r="PV211" s="2522"/>
      <c r="PW211" s="2522"/>
      <c r="PX211" s="2522"/>
      <c r="PY211" s="2522"/>
      <c r="PZ211" s="2522"/>
      <c r="QA211" s="2522"/>
      <c r="QB211" s="2522"/>
      <c r="QC211" s="2522"/>
      <c r="QD211" s="2522"/>
      <c r="QE211" s="2522"/>
      <c r="QF211" s="2522"/>
      <c r="QG211" s="2522"/>
      <c r="QH211" s="2522"/>
      <c r="QI211" s="2522"/>
      <c r="QJ211" s="2522"/>
      <c r="QK211" s="2522"/>
      <c r="QL211" s="2522"/>
      <c r="QM211" s="2522"/>
      <c r="QN211" s="2522"/>
      <c r="QO211" s="2522"/>
      <c r="QP211" s="2522"/>
      <c r="QQ211" s="2522"/>
      <c r="QR211" s="2522"/>
      <c r="QS211" s="2522"/>
      <c r="QT211" s="2522"/>
      <c r="QU211" s="2522"/>
      <c r="QV211" s="2522"/>
      <c r="QW211" s="2522"/>
      <c r="QX211" s="2522"/>
      <c r="QY211" s="2522"/>
      <c r="QZ211" s="2522"/>
      <c r="RA211" s="2522"/>
      <c r="RB211" s="2522"/>
      <c r="RC211" s="2522"/>
      <c r="RD211" s="2522"/>
      <c r="RE211" s="2522"/>
      <c r="RF211" s="2522"/>
      <c r="RG211" s="2522"/>
      <c r="RH211" s="2522"/>
      <c r="RI211" s="2522"/>
      <c r="RJ211" s="2522"/>
      <c r="RK211" s="2522"/>
      <c r="RL211" s="2522"/>
      <c r="RM211" s="2522"/>
      <c r="RN211" s="2522"/>
      <c r="RO211" s="2522"/>
      <c r="RP211" s="2522"/>
      <c r="RQ211" s="2522"/>
      <c r="RR211" s="2522"/>
      <c r="RS211" s="2522"/>
      <c r="RT211" s="2522"/>
      <c r="RU211" s="2522"/>
      <c r="RV211" s="2522"/>
      <c r="RW211" s="2522"/>
      <c r="RX211" s="2522"/>
      <c r="RY211" s="2522"/>
      <c r="RZ211" s="2522"/>
      <c r="SA211" s="2522"/>
      <c r="SB211" s="2522"/>
      <c r="SC211" s="2522"/>
      <c r="SD211" s="2522"/>
      <c r="SE211" s="2522"/>
      <c r="SF211" s="2522"/>
      <c r="SG211" s="2522"/>
      <c r="SH211" s="2522"/>
      <c r="SI211" s="2522"/>
      <c r="SJ211" s="2522"/>
      <c r="SK211" s="2522"/>
      <c r="SL211" s="2522"/>
      <c r="SM211" s="2522"/>
      <c r="SN211" s="2522"/>
      <c r="SO211" s="2522"/>
      <c r="SP211" s="2522"/>
      <c r="SQ211" s="2522"/>
      <c r="SR211" s="2522"/>
      <c r="SS211" s="2522"/>
      <c r="ST211" s="2522"/>
      <c r="SU211" s="2522"/>
      <c r="SV211" s="2522"/>
      <c r="SW211" s="2522"/>
      <c r="SX211" s="2522"/>
      <c r="SY211" s="2522"/>
      <c r="SZ211" s="2522"/>
      <c r="TA211" s="2522"/>
      <c r="TB211" s="2522"/>
      <c r="TC211" s="2522"/>
      <c r="TD211" s="2522"/>
      <c r="TE211" s="2522"/>
      <c r="TF211" s="2522"/>
      <c r="TG211" s="2522"/>
      <c r="TH211" s="2522"/>
      <c r="TI211" s="2522"/>
      <c r="TJ211" s="2522"/>
      <c r="TK211" s="2522"/>
      <c r="TL211" s="2522"/>
      <c r="TM211" s="2522"/>
      <c r="TN211" s="2522"/>
      <c r="TO211" s="2522"/>
      <c r="TP211" s="2522"/>
      <c r="TQ211" s="2522"/>
      <c r="TR211" s="2522"/>
      <c r="TS211" s="2522"/>
      <c r="TT211" s="2522"/>
      <c r="TU211" s="2522"/>
      <c r="TV211" s="2522"/>
      <c r="TW211" s="2522"/>
      <c r="TX211" s="2522"/>
      <c r="TY211" s="2522"/>
      <c r="TZ211" s="2522"/>
      <c r="UA211" s="2522"/>
      <c r="UB211" s="2522"/>
      <c r="UC211" s="2522"/>
      <c r="UD211" s="2522"/>
      <c r="UE211" s="2522"/>
      <c r="UF211" s="2522"/>
      <c r="UG211" s="2522"/>
      <c r="UH211" s="2522"/>
      <c r="UI211" s="2522"/>
      <c r="UJ211" s="2522"/>
      <c r="UK211" s="2522"/>
      <c r="UL211" s="2522"/>
      <c r="UM211" s="2522"/>
      <c r="UN211" s="2522"/>
      <c r="UO211" s="2522"/>
      <c r="UP211" s="2522"/>
      <c r="UQ211" s="2522"/>
      <c r="UR211" s="2522"/>
      <c r="US211" s="2522"/>
      <c r="UT211" s="2522"/>
      <c r="UU211" s="2522"/>
      <c r="UV211" s="2522"/>
      <c r="UW211" s="2522"/>
      <c r="UX211" s="2522"/>
      <c r="UY211" s="2522"/>
      <c r="UZ211" s="2522"/>
      <c r="VA211" s="2522"/>
      <c r="VB211" s="2522"/>
      <c r="VC211" s="2522"/>
      <c r="VD211" s="2522"/>
      <c r="VE211" s="2522"/>
      <c r="VF211" s="2522"/>
      <c r="VG211" s="2522"/>
      <c r="VH211" s="2522"/>
      <c r="VI211" s="2522"/>
      <c r="VJ211" s="2522"/>
      <c r="VK211" s="2522"/>
      <c r="VL211" s="2522"/>
      <c r="VM211" s="2522"/>
      <c r="VN211" s="2522"/>
      <c r="VO211" s="2522"/>
      <c r="VP211" s="2522"/>
      <c r="VQ211" s="2522"/>
      <c r="VR211" s="2522"/>
      <c r="VS211" s="2522"/>
      <c r="VT211" s="2522"/>
      <c r="VU211" s="2522"/>
      <c r="VV211" s="2522"/>
      <c r="VW211" s="2522"/>
      <c r="VX211" s="2522"/>
      <c r="VY211" s="2522"/>
      <c r="VZ211" s="2522"/>
      <c r="WA211" s="2522"/>
      <c r="WB211" s="2522"/>
      <c r="WC211" s="2522"/>
      <c r="WD211" s="2522"/>
      <c r="WE211" s="2522"/>
      <c r="WF211" s="2522"/>
      <c r="WG211" s="2522"/>
      <c r="WH211" s="2522"/>
      <c r="WI211" s="2522"/>
      <c r="WJ211" s="2522"/>
      <c r="WK211" s="2522"/>
      <c r="WL211" s="2522"/>
      <c r="WM211" s="2522"/>
      <c r="WN211" s="2522"/>
      <c r="WO211" s="2522"/>
      <c r="WP211" s="2522"/>
      <c r="WQ211" s="2522"/>
      <c r="WR211" s="2522"/>
      <c r="WS211" s="2522"/>
      <c r="WT211" s="2522"/>
      <c r="WU211" s="2522"/>
      <c r="WV211" s="2522"/>
      <c r="WW211" s="2522"/>
      <c r="WX211" s="2522"/>
      <c r="WY211" s="2522"/>
      <c r="WZ211" s="2522"/>
      <c r="XA211" s="2522"/>
      <c r="XB211" s="2522"/>
      <c r="XC211" s="2522"/>
      <c r="XD211" s="2522"/>
      <c r="XE211" s="2522"/>
      <c r="XF211" s="2522"/>
      <c r="XG211" s="2522"/>
      <c r="XH211" s="2522"/>
      <c r="XI211" s="2522"/>
      <c r="XJ211" s="2522"/>
      <c r="XK211" s="2522"/>
      <c r="XL211" s="2522"/>
      <c r="XM211" s="2522"/>
      <c r="XN211" s="2522"/>
      <c r="XO211" s="2522"/>
      <c r="XP211" s="2522"/>
      <c r="XQ211" s="2522"/>
      <c r="XR211" s="2522"/>
      <c r="XS211" s="2522"/>
      <c r="XT211" s="2522"/>
      <c r="XU211" s="2522"/>
      <c r="XV211" s="2522"/>
      <c r="XW211" s="2522"/>
      <c r="XX211" s="2522"/>
      <c r="XY211" s="2522"/>
      <c r="XZ211" s="2522"/>
      <c r="YA211" s="2522"/>
      <c r="YB211" s="2522"/>
      <c r="YC211" s="2522"/>
      <c r="YD211" s="2522"/>
      <c r="YE211" s="2522"/>
      <c r="YF211" s="2522"/>
      <c r="YG211" s="2522"/>
      <c r="YH211" s="2522"/>
      <c r="YI211" s="2522"/>
      <c r="YJ211" s="2522"/>
      <c r="YK211" s="2522"/>
      <c r="YL211" s="2522"/>
      <c r="YM211" s="2522"/>
      <c r="YN211" s="2522"/>
      <c r="YO211" s="2522"/>
      <c r="YP211" s="2522"/>
      <c r="YQ211" s="2522"/>
      <c r="YR211" s="2522"/>
      <c r="YS211" s="2522"/>
      <c r="YT211" s="2522"/>
      <c r="YU211" s="2522"/>
      <c r="YV211" s="2522"/>
      <c r="YW211" s="2522"/>
      <c r="YX211" s="2522"/>
      <c r="YY211" s="2522"/>
      <c r="YZ211" s="2522"/>
      <c r="ZA211" s="2522"/>
      <c r="ZB211" s="2522"/>
      <c r="ZC211" s="2522"/>
      <c r="ZD211" s="2522"/>
      <c r="ZE211" s="2522"/>
      <c r="ZF211" s="2522"/>
      <c r="ZG211" s="2522"/>
      <c r="ZH211" s="2522"/>
      <c r="ZI211" s="2522"/>
      <c r="ZJ211" s="2522"/>
      <c r="ZK211" s="2522"/>
      <c r="ZL211" s="2522"/>
      <c r="ZM211" s="2522"/>
      <c r="ZN211" s="2522"/>
      <c r="ZO211" s="2522"/>
      <c r="ZP211" s="2522"/>
      <c r="ZQ211" s="2522"/>
      <c r="ZR211" s="2522"/>
      <c r="ZS211" s="2522"/>
      <c r="ZT211" s="2522"/>
      <c r="ZU211" s="2522"/>
      <c r="ZV211" s="2522"/>
      <c r="ZW211" s="2522"/>
      <c r="ZX211" s="2522"/>
      <c r="ZY211" s="2522"/>
      <c r="ZZ211" s="2522"/>
      <c r="AAA211" s="2522"/>
      <c r="AAB211" s="2522"/>
      <c r="AAC211" s="2522"/>
      <c r="AAD211" s="2522"/>
      <c r="AAE211" s="2522"/>
      <c r="AAF211" s="2522"/>
      <c r="AAG211" s="2522"/>
      <c r="AAH211" s="2522"/>
      <c r="AAI211" s="2522"/>
      <c r="AAJ211" s="2522"/>
      <c r="AAK211" s="2522"/>
      <c r="AAL211" s="2522"/>
      <c r="AAM211" s="2522"/>
      <c r="AAN211" s="2522"/>
      <c r="AAO211" s="2522"/>
      <c r="AAP211" s="2522"/>
      <c r="AAQ211" s="2522"/>
      <c r="AAR211" s="2522"/>
      <c r="AAS211" s="2522"/>
      <c r="AAT211" s="2522"/>
      <c r="AAU211" s="2522"/>
      <c r="AAV211" s="2522"/>
      <c r="AAW211" s="2522"/>
      <c r="AAX211" s="2522"/>
      <c r="AAY211" s="2522"/>
      <c r="AAZ211" s="2522"/>
      <c r="ABA211" s="2522"/>
      <c r="ABB211" s="2522"/>
      <c r="ABC211" s="2522"/>
      <c r="ABD211" s="2522"/>
      <c r="ABE211" s="2522"/>
      <c r="ABF211" s="2522"/>
      <c r="ABG211" s="2522"/>
      <c r="ABH211" s="2522"/>
      <c r="ABI211" s="2522"/>
      <c r="ABJ211" s="2522"/>
      <c r="ABK211" s="2522"/>
      <c r="ABL211" s="2522"/>
      <c r="ABM211" s="2522"/>
      <c r="ABN211" s="2522"/>
      <c r="ABO211" s="2522"/>
      <c r="ABP211" s="2522"/>
      <c r="ABQ211" s="2522"/>
      <c r="ABR211" s="2522"/>
      <c r="ABS211" s="2522"/>
      <c r="ABT211" s="2522"/>
      <c r="ABU211" s="2522"/>
      <c r="ABV211" s="2522"/>
      <c r="ABW211" s="2522"/>
      <c r="ABX211" s="2522"/>
      <c r="ABY211" s="2522"/>
      <c r="ABZ211" s="2522"/>
      <c r="ACA211" s="2522"/>
      <c r="ACB211" s="2522"/>
      <c r="ACC211" s="2522"/>
      <c r="ACD211" s="2522"/>
      <c r="ACE211" s="2522"/>
      <c r="ACF211" s="2522"/>
      <c r="ACG211" s="2522"/>
      <c r="ACH211" s="2522"/>
      <c r="ACI211" s="2522"/>
      <c r="ACJ211" s="2522"/>
      <c r="ACK211" s="2522"/>
      <c r="ACL211" s="2522"/>
      <c r="ACM211" s="2522"/>
      <c r="ACN211" s="2522"/>
      <c r="ACO211" s="2522"/>
      <c r="ACP211" s="2522"/>
      <c r="ACQ211" s="2522"/>
      <c r="ACR211" s="2522"/>
      <c r="ACS211" s="2522"/>
      <c r="ACT211" s="2522"/>
      <c r="ACU211" s="2522"/>
      <c r="ACV211" s="2522"/>
      <c r="ACW211" s="2522"/>
      <c r="ACX211" s="2522"/>
      <c r="ACY211" s="2522"/>
      <c r="ACZ211" s="2522"/>
      <c r="ADA211" s="2522"/>
      <c r="ADB211" s="2522"/>
      <c r="ADC211" s="2522"/>
      <c r="ADD211" s="2522"/>
      <c r="ADE211" s="2522"/>
      <c r="ADF211" s="2522"/>
      <c r="ADG211" s="2522"/>
      <c r="ADH211" s="2522"/>
      <c r="ADI211" s="2522"/>
      <c r="ADJ211" s="2522"/>
      <c r="ADK211" s="2522"/>
      <c r="ADL211" s="2522"/>
      <c r="ADM211" s="2522"/>
      <c r="ADN211" s="2522"/>
      <c r="ADO211" s="2522"/>
      <c r="ADP211" s="2522"/>
      <c r="ADQ211" s="2522"/>
      <c r="ADR211" s="2522"/>
      <c r="ADS211" s="2522"/>
      <c r="ADT211" s="2522"/>
      <c r="ADU211" s="2522"/>
      <c r="ADV211" s="2522"/>
      <c r="ADW211" s="2522"/>
      <c r="ADX211" s="2522"/>
      <c r="ADY211" s="2522"/>
      <c r="ADZ211" s="2522"/>
      <c r="AEA211" s="2522"/>
      <c r="AEB211" s="2522"/>
      <c r="AEC211" s="2522"/>
      <c r="AED211" s="2522"/>
      <c r="AEE211" s="2522"/>
      <c r="AEF211" s="2522"/>
      <c r="AEG211" s="2522"/>
      <c r="AEH211" s="2522"/>
      <c r="AEI211" s="2522"/>
      <c r="AEJ211" s="2522"/>
      <c r="AEK211" s="2522"/>
      <c r="AEL211" s="2522"/>
      <c r="AEM211" s="2522"/>
      <c r="AEN211" s="2522"/>
      <c r="AEO211" s="2522"/>
      <c r="AEP211" s="2522"/>
      <c r="AEQ211" s="2522"/>
      <c r="AER211" s="2522"/>
      <c r="AES211" s="2522"/>
      <c r="AET211" s="2522"/>
      <c r="AEU211" s="2522"/>
      <c r="AEV211" s="2522"/>
      <c r="AEW211" s="2522"/>
      <c r="AEX211" s="2522"/>
      <c r="AEY211" s="2522"/>
      <c r="AEZ211" s="2522"/>
      <c r="AFA211" s="2522"/>
      <c r="AFB211" s="2522"/>
      <c r="AFC211" s="2522"/>
      <c r="AFD211" s="2522"/>
      <c r="AFE211" s="2522"/>
      <c r="AFF211" s="2522"/>
      <c r="AFG211" s="2522"/>
      <c r="AFH211" s="2522"/>
      <c r="AFI211" s="2522"/>
      <c r="AFJ211" s="2522"/>
      <c r="AFK211" s="2522"/>
      <c r="AFL211" s="2522"/>
      <c r="AFM211" s="2522"/>
      <c r="AFN211" s="2522"/>
      <c r="AFO211" s="2522"/>
      <c r="AFP211" s="2522"/>
      <c r="AFQ211" s="2522"/>
      <c r="AFR211" s="2522"/>
      <c r="AFS211" s="2522"/>
      <c r="AFT211" s="2522"/>
      <c r="AFU211" s="2522"/>
      <c r="AFV211" s="2522"/>
      <c r="AFW211" s="2522"/>
      <c r="AFX211" s="2522"/>
      <c r="AFY211" s="2522"/>
      <c r="AFZ211" s="2522"/>
      <c r="AGA211" s="2522"/>
      <c r="AGB211" s="2522"/>
      <c r="AGC211" s="2522"/>
      <c r="AGD211" s="2522"/>
      <c r="AGE211" s="2522"/>
      <c r="AGF211" s="2522"/>
      <c r="AGG211" s="2522"/>
      <c r="AGH211" s="2522"/>
      <c r="AGI211" s="2522"/>
      <c r="AGJ211" s="2522"/>
      <c r="AGK211" s="2522"/>
      <c r="AGL211" s="2522"/>
      <c r="AGM211" s="2522"/>
      <c r="AGN211" s="2522"/>
      <c r="AGO211" s="2522"/>
      <c r="AGP211" s="2522"/>
      <c r="AGQ211" s="2522"/>
      <c r="AGR211" s="2522"/>
      <c r="AGS211" s="2522"/>
      <c r="AGT211" s="2522"/>
      <c r="AGU211" s="2522"/>
      <c r="AGV211" s="2522"/>
      <c r="AGW211" s="2522"/>
      <c r="AGX211" s="2522"/>
      <c r="AGY211" s="2522"/>
      <c r="AGZ211" s="2522"/>
      <c r="AHA211" s="2522"/>
      <c r="AHB211" s="2522"/>
      <c r="AHC211" s="2522"/>
      <c r="AHD211" s="2522"/>
      <c r="AHE211" s="2522"/>
      <c r="AHF211" s="2522"/>
      <c r="AHG211" s="2522"/>
      <c r="AHH211" s="2522"/>
      <c r="AHI211" s="2522"/>
      <c r="AHJ211" s="2522"/>
      <c r="AHK211" s="2522"/>
      <c r="AHL211" s="2522"/>
      <c r="AHM211" s="2522"/>
      <c r="AHN211" s="2522"/>
      <c r="AHO211" s="2522"/>
      <c r="AHP211" s="2522"/>
      <c r="AHQ211" s="2522"/>
      <c r="AHR211" s="2522"/>
      <c r="AHS211" s="2522"/>
      <c r="AHT211" s="2522"/>
      <c r="AHU211" s="2522"/>
      <c r="AHV211" s="2522"/>
      <c r="AHW211" s="2522"/>
      <c r="AHX211" s="2522"/>
      <c r="AHY211" s="2522"/>
      <c r="AHZ211" s="2522"/>
      <c r="AIA211" s="2522"/>
      <c r="AIB211" s="2522"/>
      <c r="AIC211" s="2522"/>
      <c r="AID211" s="2522"/>
      <c r="AIE211" s="2522"/>
      <c r="AIF211" s="2522"/>
      <c r="AIG211" s="2522"/>
      <c r="AIH211" s="2522"/>
      <c r="AII211" s="2522"/>
      <c r="AIJ211" s="2522"/>
      <c r="AIK211" s="2522"/>
      <c r="AIL211" s="2522"/>
      <c r="AIM211" s="2522"/>
      <c r="AIN211" s="2522"/>
      <c r="AIO211" s="2522"/>
      <c r="AIP211" s="2522"/>
      <c r="AIQ211" s="2522"/>
      <c r="AIR211" s="2522"/>
      <c r="AIS211" s="2522"/>
      <c r="AIT211" s="2522"/>
      <c r="AIU211" s="2522"/>
      <c r="AIV211" s="2522"/>
      <c r="AIW211" s="2522"/>
      <c r="AIX211" s="2522"/>
      <c r="AIY211" s="2522"/>
      <c r="AIZ211" s="2522"/>
      <c r="AJA211" s="2522"/>
      <c r="AJB211" s="2522"/>
      <c r="AJC211" s="2522"/>
      <c r="AJD211" s="2522"/>
      <c r="AJE211" s="2522"/>
      <c r="AJF211" s="2522"/>
      <c r="AJG211" s="2522"/>
      <c r="AJH211" s="2522"/>
      <c r="AJI211" s="2522"/>
      <c r="AJJ211" s="2522"/>
      <c r="AJK211" s="2522"/>
      <c r="AJL211" s="2522"/>
      <c r="AJM211" s="2522"/>
      <c r="AJN211" s="2522"/>
      <c r="AJO211" s="2522"/>
      <c r="AJP211" s="2522"/>
      <c r="AJQ211" s="2522"/>
      <c r="AJR211" s="2522"/>
      <c r="AJS211" s="2522"/>
      <c r="AJT211" s="2522"/>
      <c r="AJU211" s="2522"/>
      <c r="AJV211" s="2522"/>
      <c r="AJW211" s="2522"/>
      <c r="AJX211" s="2522"/>
      <c r="AJY211" s="2522"/>
      <c r="AJZ211" s="2522"/>
      <c r="AKA211" s="2522"/>
      <c r="AKB211" s="2522"/>
      <c r="AKC211" s="2522"/>
      <c r="AKD211" s="2522"/>
      <c r="AKE211" s="2522"/>
      <c r="AKF211" s="2522"/>
      <c r="AKG211" s="2522"/>
      <c r="AKH211" s="2522"/>
      <c r="AKI211" s="2522"/>
      <c r="AKJ211" s="2522"/>
      <c r="AKK211" s="2522"/>
      <c r="AKL211" s="2522"/>
      <c r="AKM211" s="2522"/>
      <c r="AKN211" s="2522"/>
      <c r="AKO211" s="2522"/>
      <c r="AKP211" s="2522"/>
      <c r="AKQ211" s="2522"/>
      <c r="AKR211" s="2522"/>
      <c r="AKS211" s="2522"/>
      <c r="AKT211" s="2522"/>
      <c r="AKU211" s="2522"/>
      <c r="AKV211" s="2522"/>
      <c r="AKW211" s="2522"/>
      <c r="AKX211" s="2522"/>
      <c r="AKY211" s="2522"/>
      <c r="AKZ211" s="2522"/>
      <c r="ALA211" s="2522"/>
      <c r="ALB211" s="2522"/>
      <c r="ALC211" s="2522"/>
      <c r="ALD211" s="2522"/>
      <c r="ALE211" s="2522"/>
      <c r="ALF211" s="2522"/>
      <c r="ALG211" s="2522"/>
      <c r="ALH211" s="2522"/>
      <c r="ALI211" s="2522"/>
      <c r="ALJ211" s="2522"/>
      <c r="ALK211" s="2522"/>
      <c r="ALL211" s="2522"/>
      <c r="ALM211" s="2522"/>
      <c r="ALN211" s="2522"/>
      <c r="ALO211" s="2522"/>
      <c r="ALP211" s="2522"/>
      <c r="ALQ211" s="2522"/>
      <c r="ALR211" s="2522"/>
      <c r="ALS211" s="2522"/>
      <c r="ALT211" s="2522"/>
      <c r="ALU211" s="2522"/>
      <c r="ALV211" s="2522"/>
      <c r="ALW211" s="2522"/>
      <c r="ALX211" s="2522"/>
      <c r="ALY211" s="2522"/>
      <c r="ALZ211" s="2522"/>
      <c r="AMA211" s="2522"/>
      <c r="AMB211" s="2522"/>
      <c r="AMC211" s="2522"/>
      <c r="AMD211" s="2522"/>
      <c r="AME211" s="2522"/>
      <c r="AMF211" s="2522"/>
      <c r="AMG211" s="2522"/>
      <c r="AMH211" s="2522"/>
      <c r="AMI211" s="2522"/>
      <c r="AMJ211" s="2522"/>
      <c r="AMK211" s="2522"/>
      <c r="AML211" s="2522"/>
      <c r="AMM211" s="2522"/>
      <c r="AMN211" s="2522"/>
      <c r="AMO211" s="2522"/>
      <c r="AMP211" s="2522"/>
      <c r="AMQ211" s="2522"/>
      <c r="AMR211" s="2522"/>
      <c r="AMS211" s="2522"/>
      <c r="AMT211" s="2522"/>
      <c r="AMU211" s="2522"/>
      <c r="AMV211" s="2522"/>
      <c r="AMW211" s="2522"/>
      <c r="AMX211" s="2522"/>
      <c r="AMY211" s="2522"/>
      <c r="AMZ211" s="2522"/>
      <c r="ANA211" s="2522"/>
      <c r="ANB211" s="2522"/>
      <c r="ANC211" s="2522"/>
      <c r="AND211" s="2522"/>
      <c r="ANE211" s="2522"/>
      <c r="ANF211" s="2522"/>
      <c r="ANG211" s="2522"/>
      <c r="ANH211" s="2522"/>
      <c r="ANI211" s="2522"/>
      <c r="ANJ211" s="2522"/>
      <c r="ANK211" s="2522"/>
      <c r="ANL211" s="2522"/>
      <c r="ANM211" s="2522"/>
      <c r="ANN211" s="2522"/>
      <c r="ANO211" s="2522"/>
      <c r="ANP211" s="2522"/>
      <c r="ANQ211" s="2522"/>
      <c r="ANR211" s="2522"/>
      <c r="ANS211" s="2522"/>
      <c r="ANT211" s="2522"/>
      <c r="ANU211" s="2522"/>
      <c r="ANV211" s="2522"/>
      <c r="ANW211" s="2522"/>
      <c r="ANX211" s="2522"/>
      <c r="ANY211" s="2522"/>
      <c r="ANZ211" s="2522"/>
      <c r="AOA211" s="2522"/>
      <c r="AOB211" s="2522"/>
      <c r="AOC211" s="2522"/>
      <c r="AOD211" s="2522"/>
      <c r="AOE211" s="2522"/>
      <c r="AOF211" s="2522"/>
      <c r="AOG211" s="2522"/>
      <c r="AOH211" s="2522"/>
      <c r="AOI211" s="2522"/>
      <c r="AOJ211" s="2522"/>
      <c r="AOK211" s="2522"/>
      <c r="AOL211" s="2522"/>
      <c r="AOM211" s="2522"/>
      <c r="AON211" s="2522"/>
      <c r="AOO211" s="2522"/>
      <c r="AOP211" s="2522"/>
      <c r="AOQ211" s="2522"/>
      <c r="AOR211" s="2522"/>
      <c r="AOS211" s="2522"/>
      <c r="AOT211" s="2522"/>
      <c r="AOU211" s="2522"/>
      <c r="AOV211" s="2522"/>
      <c r="AOW211" s="2522"/>
      <c r="AOX211" s="2522"/>
      <c r="AOY211" s="2522"/>
      <c r="AOZ211" s="2522"/>
      <c r="APA211" s="2522"/>
      <c r="APB211" s="2522"/>
      <c r="APC211" s="2522"/>
      <c r="APD211" s="2522"/>
      <c r="APE211" s="2522"/>
      <c r="APF211" s="2522"/>
      <c r="APG211" s="2522"/>
      <c r="APH211" s="2522"/>
      <c r="API211" s="2522"/>
      <c r="APJ211" s="2522"/>
      <c r="APK211" s="2522"/>
      <c r="APL211" s="2522"/>
      <c r="APM211" s="2522"/>
      <c r="APN211" s="2522"/>
      <c r="APO211" s="2522"/>
      <c r="APP211" s="2522"/>
      <c r="APQ211" s="2522"/>
      <c r="APR211" s="2522"/>
      <c r="APS211" s="2522"/>
      <c r="APT211" s="2522"/>
      <c r="APU211" s="2522"/>
      <c r="APV211" s="2522"/>
      <c r="APW211" s="2522"/>
      <c r="APX211" s="2522"/>
      <c r="APY211" s="2522"/>
      <c r="APZ211" s="2522"/>
      <c r="AQA211" s="2522"/>
      <c r="AQB211" s="2522"/>
      <c r="AQC211" s="2522"/>
      <c r="AQD211" s="2522"/>
      <c r="AQE211" s="2522"/>
      <c r="AQF211" s="2522"/>
      <c r="AQG211" s="2522"/>
      <c r="AQH211" s="2522"/>
      <c r="AQI211" s="2522"/>
      <c r="AQJ211" s="2522"/>
      <c r="AQK211" s="2522"/>
      <c r="AQL211" s="2522"/>
      <c r="AQM211" s="2522"/>
      <c r="AQN211" s="2522"/>
      <c r="AQO211" s="2522"/>
      <c r="AQP211" s="2522"/>
      <c r="AQQ211" s="2522"/>
      <c r="AQR211" s="2522"/>
      <c r="AQS211" s="2522"/>
      <c r="AQT211" s="2522"/>
      <c r="AQU211" s="2522"/>
      <c r="AQV211" s="2522"/>
      <c r="AQW211" s="2522"/>
      <c r="AQX211" s="2522"/>
      <c r="AQY211" s="2522"/>
      <c r="AQZ211" s="2522"/>
      <c r="ARA211" s="2522"/>
      <c r="ARB211" s="2522"/>
      <c r="ARC211" s="2522"/>
      <c r="ARD211" s="2522"/>
      <c r="ARE211" s="2522"/>
      <c r="ARF211" s="2522"/>
      <c r="ARG211" s="2522"/>
      <c r="ARH211" s="2522"/>
      <c r="ARI211" s="2522"/>
      <c r="ARJ211" s="2522"/>
      <c r="ARK211" s="2522"/>
      <c r="ARL211" s="2522"/>
      <c r="ARM211" s="2522"/>
      <c r="ARN211" s="2522"/>
      <c r="ARO211" s="2522"/>
      <c r="ARP211" s="2522"/>
      <c r="ARQ211" s="2522"/>
      <c r="ARR211" s="2522"/>
      <c r="ARS211" s="2522"/>
      <c r="ART211" s="2522"/>
      <c r="ARU211" s="2522"/>
      <c r="ARV211" s="2522"/>
      <c r="ARW211" s="2522"/>
      <c r="ARX211" s="2522"/>
      <c r="ARY211" s="2522"/>
      <c r="ARZ211" s="2522"/>
      <c r="ASA211" s="2522"/>
      <c r="ASB211" s="2522"/>
      <c r="ASC211" s="2522"/>
      <c r="ASD211" s="2522"/>
      <c r="ASE211" s="2522"/>
      <c r="ASF211" s="2522"/>
      <c r="ASG211" s="2522"/>
      <c r="ASH211" s="2522"/>
      <c r="ASI211" s="2522"/>
      <c r="ASJ211" s="2522"/>
      <c r="ASK211" s="2522"/>
      <c r="ASL211" s="2522"/>
      <c r="ASM211" s="2522"/>
      <c r="ASN211" s="2522"/>
      <c r="ASO211" s="2522"/>
      <c r="ASP211" s="2522"/>
      <c r="ASQ211" s="2522"/>
      <c r="ASR211" s="2522"/>
      <c r="ASS211" s="2522"/>
      <c r="AST211" s="2522"/>
      <c r="ASU211" s="2522"/>
      <c r="ASV211" s="2522"/>
      <c r="ASW211" s="2522"/>
      <c r="ASX211" s="2522"/>
      <c r="ASY211" s="2522"/>
      <c r="ASZ211" s="2522"/>
      <c r="ATA211" s="2522"/>
      <c r="ATB211" s="2522"/>
      <c r="ATC211" s="2522"/>
      <c r="ATD211" s="2522"/>
      <c r="ATE211" s="2522"/>
      <c r="ATF211" s="2522"/>
      <c r="ATG211" s="2522"/>
      <c r="ATH211" s="2522"/>
      <c r="ATI211" s="2522"/>
      <c r="ATJ211" s="2522"/>
      <c r="ATK211" s="2522"/>
      <c r="ATL211" s="2522"/>
      <c r="ATM211" s="2522"/>
      <c r="ATN211" s="2522"/>
      <c r="ATO211" s="2522"/>
      <c r="ATP211" s="2522"/>
      <c r="ATQ211" s="2522"/>
      <c r="ATR211" s="2522"/>
      <c r="ATS211" s="2522"/>
      <c r="ATT211" s="2522"/>
      <c r="ATU211" s="2522"/>
      <c r="ATV211" s="2522"/>
      <c r="ATW211" s="2522"/>
      <c r="ATX211" s="2522"/>
      <c r="ATY211" s="2522"/>
      <c r="ATZ211" s="2522"/>
      <c r="AUA211" s="2522"/>
      <c r="AUB211" s="2522"/>
      <c r="AUC211" s="2522"/>
      <c r="AUD211" s="2522"/>
      <c r="AUE211" s="2522"/>
      <c r="AUF211" s="2522"/>
      <c r="AUG211" s="2522"/>
      <c r="AUH211" s="2522"/>
      <c r="AUI211" s="2522"/>
      <c r="AUJ211" s="2522"/>
      <c r="AUK211" s="2522"/>
      <c r="AUL211" s="2522"/>
      <c r="AUM211" s="2522"/>
      <c r="AUN211" s="2522"/>
      <c r="AUO211" s="2522"/>
      <c r="AUP211" s="2522"/>
      <c r="AUQ211" s="2522"/>
      <c r="AUR211" s="2522"/>
      <c r="AUS211" s="2522"/>
      <c r="AUT211" s="2522"/>
      <c r="AUU211" s="2522"/>
      <c r="AUV211" s="2522"/>
      <c r="AUW211" s="2522"/>
      <c r="AUX211" s="2522"/>
      <c r="AUY211" s="2522"/>
      <c r="AUZ211" s="2522"/>
      <c r="AVA211" s="2522"/>
      <c r="AVB211" s="2522"/>
      <c r="AVC211" s="2522"/>
      <c r="AVD211" s="2522"/>
      <c r="AVE211" s="2522"/>
      <c r="AVF211" s="2522"/>
      <c r="AVG211" s="2522"/>
      <c r="AVH211" s="2522"/>
      <c r="AVI211" s="2522"/>
      <c r="AVJ211" s="2522"/>
      <c r="AVK211" s="2522"/>
      <c r="AVL211" s="2522"/>
      <c r="AVM211" s="2522"/>
      <c r="AVN211" s="2522"/>
      <c r="AVO211" s="2522"/>
      <c r="AVP211" s="2522"/>
      <c r="AVQ211" s="2522"/>
      <c r="AVR211" s="2522"/>
      <c r="AVS211" s="2522"/>
      <c r="AVT211" s="2522"/>
      <c r="AVU211" s="2522"/>
      <c r="AVV211" s="2522"/>
      <c r="AVW211" s="2522"/>
      <c r="AVX211" s="2522"/>
      <c r="AVY211" s="2522"/>
      <c r="AVZ211" s="2522"/>
      <c r="AWA211" s="2522"/>
      <c r="AWB211" s="2522"/>
      <c r="AWC211" s="2522"/>
      <c r="AWD211" s="2522"/>
      <c r="AWE211" s="2522"/>
      <c r="AWF211" s="2522"/>
      <c r="AWG211" s="2522"/>
      <c r="AWH211" s="2522"/>
      <c r="AWI211" s="2522"/>
      <c r="AWJ211" s="2522"/>
      <c r="AWK211" s="2522"/>
      <c r="AWL211" s="2522"/>
      <c r="AWM211" s="2522"/>
      <c r="AWN211" s="2522"/>
      <c r="AWO211" s="2522"/>
      <c r="AWP211" s="2522"/>
      <c r="AWQ211" s="2522"/>
      <c r="AWR211" s="2522"/>
      <c r="AWS211" s="2522"/>
      <c r="AWT211" s="2522"/>
      <c r="AWU211" s="2522"/>
      <c r="AWV211" s="2522"/>
      <c r="AWW211" s="2522"/>
      <c r="AWX211" s="2522"/>
      <c r="AWY211" s="2522"/>
      <c r="AWZ211" s="2522"/>
      <c r="AXA211" s="2522"/>
      <c r="AXB211" s="2522"/>
      <c r="AXC211" s="2522"/>
      <c r="AXD211" s="2522"/>
      <c r="AXE211" s="2522"/>
      <c r="AXF211" s="2522"/>
      <c r="AXG211" s="2522"/>
      <c r="AXH211" s="2522"/>
      <c r="AXI211" s="2522"/>
      <c r="AXJ211" s="2522"/>
      <c r="AXK211" s="2522"/>
      <c r="AXL211" s="2522"/>
      <c r="AXM211" s="2522"/>
      <c r="AXN211" s="2522"/>
      <c r="AXO211" s="2522"/>
      <c r="AXP211" s="2522"/>
      <c r="AXQ211" s="2522"/>
      <c r="AXR211" s="2522"/>
      <c r="AXS211" s="2522"/>
      <c r="AXT211" s="2522"/>
      <c r="AXU211" s="2522"/>
      <c r="AXV211" s="2522"/>
      <c r="AXW211" s="2522"/>
      <c r="AXX211" s="2522"/>
      <c r="AXY211" s="2522"/>
      <c r="AXZ211" s="2522"/>
      <c r="AYA211" s="2522"/>
      <c r="AYB211" s="2522"/>
      <c r="AYC211" s="2522"/>
      <c r="AYD211" s="2522"/>
      <c r="AYE211" s="2522"/>
      <c r="AYF211" s="2522"/>
      <c r="AYG211" s="2522"/>
      <c r="AYH211" s="2522"/>
      <c r="AYI211" s="2522"/>
      <c r="AYJ211" s="2522"/>
      <c r="AYK211" s="2522"/>
      <c r="AYL211" s="2522"/>
      <c r="AYM211" s="2522"/>
      <c r="AYN211" s="2522"/>
      <c r="AYO211" s="2522"/>
      <c r="AYP211" s="2522"/>
      <c r="AYQ211" s="2522"/>
      <c r="AYR211" s="2522"/>
      <c r="AYS211" s="2522"/>
      <c r="AYT211" s="2522"/>
      <c r="AYU211" s="2522"/>
      <c r="AYV211" s="2522"/>
      <c r="AYW211" s="2522"/>
      <c r="AYX211" s="2522"/>
      <c r="AYY211" s="2522"/>
      <c r="AYZ211" s="2522"/>
      <c r="AZA211" s="2522"/>
      <c r="AZB211" s="2522"/>
      <c r="AZC211" s="2522"/>
      <c r="AZD211" s="2522"/>
      <c r="AZE211" s="2522"/>
      <c r="AZF211" s="2522"/>
      <c r="AZG211" s="2522"/>
      <c r="AZH211" s="2522"/>
      <c r="AZI211" s="2522"/>
      <c r="AZJ211" s="2522"/>
      <c r="AZK211" s="2522"/>
      <c r="AZL211" s="2522"/>
      <c r="AZM211" s="2522"/>
      <c r="AZN211" s="2522"/>
      <c r="AZO211" s="2522"/>
      <c r="AZP211" s="2522"/>
      <c r="AZQ211" s="2522"/>
      <c r="AZR211" s="2522"/>
      <c r="AZS211" s="2522"/>
      <c r="AZT211" s="2522"/>
      <c r="AZU211" s="2522"/>
      <c r="AZV211" s="2522"/>
      <c r="AZW211" s="2522"/>
      <c r="AZX211" s="2522"/>
      <c r="AZY211" s="2522"/>
      <c r="AZZ211" s="2522"/>
      <c r="BAA211" s="2522"/>
      <c r="BAB211" s="2522"/>
      <c r="BAC211" s="2522"/>
      <c r="BAD211" s="2522"/>
      <c r="BAE211" s="2522"/>
      <c r="BAF211" s="2522"/>
      <c r="BAG211" s="2522"/>
      <c r="BAH211" s="2522"/>
      <c r="BAI211" s="2522"/>
      <c r="BAJ211" s="2522"/>
      <c r="BAK211" s="2522"/>
      <c r="BAL211" s="2522"/>
      <c r="BAM211" s="2522"/>
      <c r="BAN211" s="2522"/>
      <c r="BAO211" s="2522"/>
      <c r="BAP211" s="2522"/>
      <c r="BAQ211" s="2522"/>
      <c r="BAR211" s="2522"/>
      <c r="BAS211" s="2522"/>
      <c r="BAT211" s="2522"/>
      <c r="BAU211" s="2522"/>
      <c r="BAV211" s="2522"/>
      <c r="BAW211" s="2522"/>
      <c r="BAX211" s="2522"/>
      <c r="BAY211" s="2522"/>
      <c r="BAZ211" s="2522"/>
      <c r="BBA211" s="2522"/>
      <c r="BBB211" s="2522"/>
      <c r="BBC211" s="2522"/>
      <c r="BBD211" s="2522"/>
      <c r="BBE211" s="2522"/>
      <c r="BBF211" s="2522"/>
      <c r="BBG211" s="2522"/>
      <c r="BBH211" s="2522"/>
      <c r="BBI211" s="2522"/>
      <c r="BBJ211" s="2522"/>
      <c r="BBK211" s="2522"/>
      <c r="BBL211" s="2522"/>
      <c r="BBM211" s="2522"/>
      <c r="BBN211" s="2522"/>
      <c r="BBO211" s="2522"/>
      <c r="BBP211" s="2522"/>
      <c r="BBQ211" s="2522"/>
      <c r="BBR211" s="2522"/>
      <c r="BBS211" s="2522"/>
      <c r="BBT211" s="2522"/>
      <c r="BBU211" s="2522"/>
      <c r="BBV211" s="2522"/>
      <c r="BBW211" s="2522"/>
      <c r="BBX211" s="2522"/>
      <c r="BBY211" s="2522"/>
      <c r="BBZ211" s="2522"/>
      <c r="BCA211" s="2522"/>
      <c r="BCB211" s="2522"/>
      <c r="BCC211" s="2522"/>
      <c r="BCD211" s="2522"/>
      <c r="BCE211" s="2522"/>
      <c r="BCF211" s="2522"/>
      <c r="BCG211" s="2522"/>
      <c r="BCH211" s="2522"/>
      <c r="BCI211" s="2522"/>
      <c r="BCJ211" s="2522"/>
      <c r="BCK211" s="2522"/>
      <c r="BCL211" s="2522"/>
      <c r="BCM211" s="2522"/>
      <c r="BCN211" s="2522"/>
      <c r="BCO211" s="2522"/>
      <c r="BCP211" s="2522"/>
      <c r="BCQ211" s="2522"/>
      <c r="BCR211" s="2522"/>
      <c r="BCS211" s="2522"/>
      <c r="BCT211" s="2522"/>
      <c r="BCU211" s="2522"/>
      <c r="BCV211" s="2522"/>
      <c r="BCW211" s="2522"/>
      <c r="BCX211" s="2522"/>
      <c r="BCY211" s="2522"/>
      <c r="BCZ211" s="2522"/>
      <c r="BDA211" s="2522"/>
      <c r="BDB211" s="2522"/>
      <c r="BDC211" s="2522"/>
      <c r="BDD211" s="2522"/>
      <c r="BDE211" s="2522"/>
      <c r="BDF211" s="2522"/>
      <c r="BDG211" s="2522"/>
      <c r="BDH211" s="2522"/>
      <c r="BDI211" s="2522"/>
      <c r="BDJ211" s="2522"/>
      <c r="BDK211" s="2522"/>
      <c r="BDL211" s="2522"/>
      <c r="BDM211" s="2522"/>
      <c r="BDN211" s="2522"/>
      <c r="BDO211" s="2522"/>
      <c r="BDP211" s="2522"/>
      <c r="BDQ211" s="2522"/>
      <c r="BDR211" s="2522"/>
      <c r="BDS211" s="2522"/>
      <c r="BDT211" s="2522"/>
      <c r="BDU211" s="2522"/>
      <c r="BDV211" s="2522"/>
      <c r="BDW211" s="2522"/>
      <c r="BDX211" s="2522"/>
      <c r="BDY211" s="2522"/>
      <c r="BDZ211" s="2522"/>
      <c r="BEA211" s="2522"/>
      <c r="BEB211" s="2522"/>
      <c r="BEC211" s="2522"/>
      <c r="BED211" s="2522"/>
      <c r="BEE211" s="2522"/>
      <c r="BEF211" s="2522"/>
      <c r="BEG211" s="2522"/>
      <c r="BEH211" s="2522"/>
      <c r="BEI211" s="2522"/>
      <c r="BEJ211" s="2522"/>
      <c r="BEK211" s="2522"/>
      <c r="BEL211" s="2522"/>
      <c r="BEM211" s="2522"/>
      <c r="BEN211" s="2522"/>
      <c r="BEO211" s="2522"/>
      <c r="BEP211" s="2522"/>
      <c r="BEQ211" s="2522"/>
      <c r="BER211" s="2522"/>
      <c r="BES211" s="2522"/>
      <c r="BET211" s="2522"/>
      <c r="BEU211" s="2522"/>
      <c r="BEV211" s="2522"/>
      <c r="BEW211" s="2522"/>
      <c r="BEX211" s="2522"/>
      <c r="BEY211" s="2522"/>
      <c r="BEZ211" s="2522"/>
      <c r="BFA211" s="2522"/>
      <c r="BFB211" s="2522"/>
      <c r="BFC211" s="2522"/>
      <c r="BFD211" s="2522"/>
      <c r="BFE211" s="2522"/>
      <c r="BFF211" s="2522"/>
      <c r="BFG211" s="2522"/>
      <c r="BFH211" s="2522"/>
      <c r="BFI211" s="2522"/>
      <c r="BFJ211" s="2522"/>
      <c r="BFK211" s="2522"/>
      <c r="BFL211" s="2522"/>
      <c r="BFM211" s="2522"/>
      <c r="BFN211" s="2522"/>
      <c r="BFO211" s="2522"/>
      <c r="BFP211" s="2522"/>
      <c r="BFQ211" s="2522"/>
      <c r="BFR211" s="2522"/>
      <c r="BFS211" s="2522"/>
      <c r="BFT211" s="2522"/>
      <c r="BFU211" s="2522"/>
      <c r="BFV211" s="2522"/>
      <c r="BFW211" s="2522"/>
      <c r="BFX211" s="2522"/>
      <c r="BFY211" s="2522"/>
      <c r="BFZ211" s="2522"/>
      <c r="BGA211" s="2522"/>
      <c r="BGB211" s="2522"/>
      <c r="BGC211" s="2522"/>
      <c r="BGD211" s="2522"/>
      <c r="BGE211" s="2522"/>
      <c r="BGF211" s="2522"/>
      <c r="BGG211" s="2522"/>
      <c r="BGH211" s="2522"/>
      <c r="BGI211" s="2522"/>
      <c r="BGJ211" s="2522"/>
      <c r="BGK211" s="2522"/>
      <c r="BGL211" s="2522"/>
      <c r="BGM211" s="2522"/>
      <c r="BGN211" s="2522"/>
      <c r="BGO211" s="2522"/>
      <c r="BGP211" s="2522"/>
      <c r="BGQ211" s="2522"/>
      <c r="BGR211" s="2522"/>
      <c r="BGS211" s="2522"/>
      <c r="BGT211" s="2522"/>
      <c r="BGU211" s="2522"/>
      <c r="BGV211" s="2522"/>
      <c r="BGW211" s="2522"/>
      <c r="BGX211" s="2522"/>
      <c r="BGY211" s="2522"/>
      <c r="BGZ211" s="2522"/>
      <c r="BHA211" s="2522"/>
      <c r="BHB211" s="2522"/>
      <c r="BHC211" s="2522"/>
      <c r="BHD211" s="2522"/>
      <c r="BHE211" s="2522"/>
      <c r="BHF211" s="2522"/>
      <c r="BHG211" s="2522"/>
      <c r="BHH211" s="2522"/>
      <c r="BHI211" s="2522"/>
      <c r="BHJ211" s="2522"/>
      <c r="BHK211" s="2522"/>
      <c r="BHL211" s="2522"/>
      <c r="BHM211" s="2522"/>
      <c r="BHN211" s="2522"/>
      <c r="BHO211" s="2522"/>
      <c r="BHP211" s="2522"/>
      <c r="BHQ211" s="2522"/>
      <c r="BHR211" s="2522"/>
      <c r="BHS211" s="2522"/>
      <c r="BHT211" s="2522"/>
      <c r="BHU211" s="2522"/>
      <c r="BHV211" s="2522"/>
      <c r="BHW211" s="2522"/>
      <c r="BHX211" s="2522"/>
      <c r="BHY211" s="2522"/>
      <c r="BHZ211" s="2522"/>
      <c r="BIA211" s="2522"/>
      <c r="BIB211" s="2522"/>
      <c r="BIC211" s="2522"/>
      <c r="BID211" s="2522"/>
      <c r="BIE211" s="2522"/>
      <c r="BIF211" s="2522"/>
      <c r="BIG211" s="2522"/>
      <c r="BIH211" s="2522"/>
      <c r="BII211" s="2522"/>
      <c r="BIJ211" s="2522"/>
      <c r="BIK211" s="2522"/>
      <c r="BIL211" s="2522"/>
      <c r="BIM211" s="2522"/>
      <c r="BIN211" s="2522"/>
      <c r="BIO211" s="2522"/>
      <c r="BIP211" s="2522"/>
      <c r="BIQ211" s="2522"/>
      <c r="BIR211" s="2522"/>
      <c r="BIS211" s="2522"/>
      <c r="BIT211" s="2522"/>
      <c r="BIU211" s="2522"/>
      <c r="BIV211" s="2522"/>
      <c r="BIW211" s="2522"/>
      <c r="BIX211" s="2522"/>
      <c r="BIY211" s="2522"/>
      <c r="BIZ211" s="2522"/>
      <c r="BJA211" s="2522"/>
      <c r="BJB211" s="2522"/>
      <c r="BJC211" s="2522"/>
      <c r="BJD211" s="2522"/>
      <c r="BJE211" s="2522"/>
      <c r="BJF211" s="2522"/>
      <c r="BJG211" s="2522"/>
      <c r="BJH211" s="2522"/>
      <c r="BJI211" s="2522"/>
      <c r="BJJ211" s="2522"/>
      <c r="BJK211" s="2522"/>
      <c r="BJL211" s="2522"/>
      <c r="BJM211" s="2522"/>
      <c r="BJN211" s="2522"/>
      <c r="BJO211" s="2522"/>
      <c r="BJP211" s="2522"/>
      <c r="BJQ211" s="2522"/>
      <c r="BJR211" s="2522"/>
      <c r="BJS211" s="2522"/>
      <c r="BJT211" s="2522"/>
      <c r="BJU211" s="2522"/>
      <c r="BJV211" s="2522"/>
      <c r="BJW211" s="2522"/>
      <c r="BJX211" s="2522"/>
      <c r="BJY211" s="2522"/>
      <c r="BJZ211" s="2522"/>
      <c r="BKA211" s="2522"/>
      <c r="BKB211" s="2522"/>
      <c r="BKC211" s="2522"/>
      <c r="BKD211" s="2522"/>
      <c r="BKE211" s="2522"/>
      <c r="BKF211" s="2522"/>
      <c r="BKG211" s="2522"/>
      <c r="BKH211" s="2522"/>
      <c r="BKI211" s="2522"/>
      <c r="BKJ211" s="2522"/>
      <c r="BKK211" s="2522"/>
      <c r="BKL211" s="2522"/>
      <c r="BKM211" s="2522"/>
      <c r="BKN211" s="2522"/>
      <c r="BKO211" s="2522"/>
      <c r="BKP211" s="2522"/>
      <c r="BKQ211" s="2522"/>
      <c r="BKR211" s="2522"/>
      <c r="BKS211" s="2522"/>
      <c r="BKT211" s="2522"/>
      <c r="BKU211" s="2522"/>
      <c r="BKV211" s="2522"/>
      <c r="BKW211" s="2522"/>
      <c r="BKX211" s="2522"/>
      <c r="BKY211" s="2522"/>
      <c r="BKZ211" s="2522"/>
      <c r="BLA211" s="2522"/>
      <c r="BLB211" s="2522"/>
      <c r="BLC211" s="2522"/>
      <c r="BLD211" s="2522"/>
      <c r="BLE211" s="2522"/>
      <c r="BLF211" s="2522"/>
      <c r="BLG211" s="2522"/>
      <c r="BLH211" s="2522"/>
      <c r="BLI211" s="2522"/>
      <c r="BLJ211" s="2522"/>
      <c r="BLK211" s="2522"/>
      <c r="BLL211" s="2522"/>
      <c r="BLM211" s="2522"/>
      <c r="BLN211" s="2522"/>
      <c r="BLO211" s="2522"/>
      <c r="BLP211" s="2522"/>
      <c r="BLQ211" s="2522"/>
      <c r="BLR211" s="2522"/>
      <c r="BLS211" s="2522"/>
      <c r="BLT211" s="2522"/>
      <c r="BLU211" s="2522"/>
      <c r="BLV211" s="2522"/>
      <c r="BLW211" s="2522"/>
      <c r="BLX211" s="2522"/>
      <c r="BLY211" s="2522"/>
      <c r="BLZ211" s="2522"/>
      <c r="BMA211" s="2522"/>
      <c r="BMB211" s="2522"/>
      <c r="BMC211" s="2522"/>
      <c r="BMD211" s="2522"/>
      <c r="BME211" s="2522"/>
      <c r="BMF211" s="2522"/>
      <c r="BMG211" s="2522"/>
      <c r="BMH211" s="2522"/>
      <c r="BMI211" s="2522"/>
      <c r="BMJ211" s="2522"/>
      <c r="BMK211" s="2522"/>
      <c r="BML211" s="2522"/>
      <c r="BMM211" s="2522"/>
      <c r="BMN211" s="2522"/>
      <c r="BMO211" s="2522"/>
      <c r="BMP211" s="2522"/>
      <c r="BMQ211" s="2522"/>
      <c r="BMR211" s="2522"/>
      <c r="BMS211" s="2522"/>
      <c r="BMT211" s="2522"/>
      <c r="BMU211" s="2522"/>
      <c r="BMV211" s="2522"/>
      <c r="BMW211" s="2522"/>
      <c r="BMX211" s="2522"/>
      <c r="BMY211" s="2522"/>
      <c r="BMZ211" s="2522"/>
      <c r="BNA211" s="2522"/>
      <c r="BNB211" s="2522"/>
      <c r="BNC211" s="2522"/>
      <c r="BND211" s="2522"/>
      <c r="BNE211" s="2522"/>
      <c r="BNF211" s="2522"/>
      <c r="BNG211" s="2522"/>
      <c r="BNH211" s="2522"/>
      <c r="BNI211" s="2522"/>
      <c r="BNJ211" s="2522"/>
      <c r="BNK211" s="2522"/>
      <c r="BNL211" s="2522"/>
      <c r="BNM211" s="2522"/>
      <c r="BNN211" s="2522"/>
      <c r="BNO211" s="2522"/>
      <c r="BNP211" s="2522"/>
      <c r="BNQ211" s="2522"/>
      <c r="BNR211" s="2522"/>
      <c r="BNS211" s="2522"/>
      <c r="BNT211" s="2522"/>
      <c r="BNU211" s="2522"/>
      <c r="BNV211" s="2522"/>
      <c r="BNW211" s="2522"/>
      <c r="BNX211" s="2522"/>
      <c r="BNY211" s="2522"/>
      <c r="BNZ211" s="2522"/>
      <c r="BOA211" s="2522"/>
      <c r="BOB211" s="2522"/>
      <c r="BOC211" s="2522"/>
      <c r="BOD211" s="2522"/>
      <c r="BOE211" s="2522"/>
      <c r="BOF211" s="2522"/>
      <c r="BOG211" s="2522"/>
      <c r="BOH211" s="2522"/>
      <c r="BOI211" s="2522"/>
      <c r="BOJ211" s="2522"/>
      <c r="BOK211" s="2522"/>
      <c r="BOL211" s="2522"/>
      <c r="BOM211" s="2522"/>
      <c r="BON211" s="2522"/>
      <c r="BOO211" s="2522"/>
      <c r="BOP211" s="2522"/>
      <c r="BOQ211" s="2522"/>
      <c r="BOR211" s="2522"/>
      <c r="BOS211" s="2522"/>
      <c r="BOT211" s="2522"/>
      <c r="BOU211" s="2522"/>
      <c r="BOV211" s="2522"/>
      <c r="BOW211" s="2522"/>
      <c r="BOX211" s="2522"/>
      <c r="BOY211" s="2522"/>
      <c r="BOZ211" s="2522"/>
      <c r="BPA211" s="2522"/>
      <c r="BPB211" s="2522"/>
      <c r="BPC211" s="2522"/>
      <c r="BPD211" s="2522"/>
      <c r="BPE211" s="2522"/>
      <c r="BPF211" s="2522"/>
      <c r="BPG211" s="2522"/>
      <c r="BPH211" s="2522"/>
      <c r="BPI211" s="2522"/>
      <c r="BPJ211" s="2522"/>
      <c r="BPK211" s="2522"/>
      <c r="BPL211" s="2522"/>
      <c r="BPM211" s="2522"/>
      <c r="BPN211" s="2522"/>
      <c r="BPO211" s="2522"/>
      <c r="BPP211" s="2522"/>
      <c r="BPQ211" s="2522"/>
      <c r="BPR211" s="2522"/>
      <c r="BPS211" s="2522"/>
      <c r="BPT211" s="2522"/>
      <c r="BPU211" s="2522"/>
      <c r="BPV211" s="2522"/>
      <c r="BPW211" s="2522"/>
      <c r="BPX211" s="2522"/>
      <c r="BPY211" s="2522"/>
      <c r="BPZ211" s="2522"/>
      <c r="BQA211" s="2522"/>
      <c r="BQB211" s="2522"/>
      <c r="BQC211" s="2522"/>
      <c r="BQD211" s="2522"/>
      <c r="BQE211" s="2522"/>
      <c r="BQF211" s="2522"/>
      <c r="BQG211" s="2522"/>
      <c r="BQH211" s="2522"/>
      <c r="BQI211" s="2522"/>
      <c r="BQJ211" s="2522"/>
      <c r="BQK211" s="2522"/>
      <c r="BQL211" s="2522"/>
      <c r="BQM211" s="2522"/>
      <c r="BQN211" s="2522"/>
      <c r="BQO211" s="2522"/>
      <c r="BQP211" s="2522"/>
      <c r="BQQ211" s="2522"/>
      <c r="BQR211" s="2522"/>
      <c r="BQS211" s="2522"/>
      <c r="BQT211" s="2522"/>
      <c r="BQU211" s="2522"/>
      <c r="BQV211" s="2522"/>
      <c r="BQW211" s="2522"/>
      <c r="BQX211" s="2522"/>
      <c r="BQY211" s="2522"/>
      <c r="BQZ211" s="2522"/>
      <c r="BRA211" s="2522"/>
      <c r="BRB211" s="2522"/>
      <c r="BRC211" s="2522"/>
      <c r="BRD211" s="2522"/>
      <c r="BRE211" s="2522"/>
      <c r="BRF211" s="2522"/>
      <c r="BRG211" s="2522"/>
      <c r="BRH211" s="2522"/>
      <c r="BRI211" s="2522"/>
      <c r="BRJ211" s="2522"/>
      <c r="BRK211" s="2522"/>
      <c r="BRL211" s="2522"/>
      <c r="BRM211" s="2522"/>
      <c r="BRN211" s="2522"/>
      <c r="BRO211" s="2522"/>
      <c r="BRP211" s="2522"/>
      <c r="BRQ211" s="2522"/>
      <c r="BRR211" s="2522"/>
      <c r="BRS211" s="2522"/>
      <c r="BRT211" s="2522"/>
      <c r="BRU211" s="2522"/>
      <c r="BRV211" s="2522"/>
      <c r="BRW211" s="2522"/>
      <c r="BRX211" s="2522"/>
      <c r="BRY211" s="2522"/>
      <c r="BRZ211" s="2522"/>
      <c r="BSA211" s="2522"/>
      <c r="BSB211" s="2522"/>
      <c r="BSC211" s="2522"/>
      <c r="BSD211" s="2522"/>
      <c r="BSE211" s="2522"/>
      <c r="BSF211" s="2522"/>
      <c r="BSG211" s="2522"/>
      <c r="BSH211" s="2522"/>
      <c r="BSI211" s="2522"/>
      <c r="BSJ211" s="2522"/>
      <c r="BSK211" s="2522"/>
      <c r="BSL211" s="2522"/>
      <c r="BSM211" s="2522"/>
      <c r="BSN211" s="2522"/>
      <c r="BSO211" s="2522"/>
      <c r="BSP211" s="2522"/>
      <c r="BSQ211" s="2522"/>
      <c r="BSR211" s="2522"/>
      <c r="BSS211" s="2522"/>
      <c r="BST211" s="2522"/>
      <c r="BSU211" s="2522"/>
      <c r="BSV211" s="2522"/>
      <c r="BSW211" s="2522"/>
      <c r="BSX211" s="2522"/>
      <c r="BSY211" s="2522"/>
      <c r="BSZ211" s="2522"/>
      <c r="BTA211" s="2522"/>
      <c r="BTB211" s="2522"/>
      <c r="BTC211" s="2522"/>
      <c r="BTD211" s="2522"/>
      <c r="BTE211" s="2522"/>
      <c r="BTF211" s="2522"/>
      <c r="BTG211" s="2522"/>
      <c r="BTH211" s="2522"/>
      <c r="BTI211" s="2522"/>
      <c r="BTJ211" s="2522"/>
      <c r="BTK211" s="2522"/>
      <c r="BTL211" s="2522"/>
      <c r="BTM211" s="2522"/>
      <c r="BTN211" s="2522"/>
      <c r="BTO211" s="2522"/>
      <c r="BTP211" s="2522"/>
      <c r="BTQ211" s="2522"/>
      <c r="BTR211" s="2522"/>
      <c r="BTS211" s="2522"/>
      <c r="BTT211" s="2522"/>
      <c r="BTU211" s="2522"/>
      <c r="BTV211" s="2522"/>
      <c r="BTW211" s="2522"/>
      <c r="BTX211" s="2522"/>
      <c r="BTY211" s="2522"/>
      <c r="BTZ211" s="2522"/>
      <c r="BUA211" s="2522"/>
      <c r="BUB211" s="2522"/>
      <c r="BUC211" s="2522"/>
      <c r="BUD211" s="2522"/>
      <c r="BUE211" s="2522"/>
      <c r="BUF211" s="2522"/>
      <c r="BUG211" s="2522"/>
      <c r="BUH211" s="2522"/>
      <c r="BUI211" s="2522"/>
      <c r="BUJ211" s="2522"/>
      <c r="BUK211" s="2522"/>
      <c r="BUL211" s="2522"/>
      <c r="BUM211" s="2522"/>
      <c r="BUN211" s="2522"/>
      <c r="BUO211" s="2522"/>
      <c r="BUP211" s="2522"/>
      <c r="BUQ211" s="2522"/>
      <c r="BUR211" s="2522"/>
      <c r="BUS211" s="2522"/>
      <c r="BUT211" s="2522"/>
      <c r="BUU211" s="2522"/>
      <c r="BUV211" s="2522"/>
      <c r="BUW211" s="2522"/>
      <c r="BUX211" s="2522"/>
      <c r="BUY211" s="2522"/>
      <c r="BUZ211" s="2522"/>
      <c r="BVA211" s="2522"/>
      <c r="BVB211" s="2522"/>
      <c r="BVC211" s="2522"/>
      <c r="BVD211" s="2522"/>
      <c r="BVE211" s="2522"/>
      <c r="BVF211" s="2522"/>
      <c r="BVG211" s="2522"/>
      <c r="BVH211" s="2522"/>
      <c r="BVI211" s="2522"/>
      <c r="BVJ211" s="2522"/>
      <c r="BVK211" s="2522"/>
      <c r="BVL211" s="2522"/>
      <c r="BVM211" s="2522"/>
      <c r="BVN211" s="2522"/>
      <c r="BVO211" s="2522"/>
      <c r="BVP211" s="2522"/>
      <c r="BVQ211" s="2522"/>
      <c r="BVR211" s="2522"/>
      <c r="BVS211" s="2522"/>
      <c r="BVT211" s="2522"/>
      <c r="BVU211" s="2522"/>
      <c r="BVV211" s="2522"/>
      <c r="BVW211" s="2522"/>
      <c r="BVX211" s="2522"/>
      <c r="BVY211" s="2522"/>
      <c r="BVZ211" s="2522"/>
      <c r="BWA211" s="2522"/>
      <c r="BWB211" s="2522"/>
      <c r="BWC211" s="2522"/>
      <c r="BWD211" s="2522"/>
      <c r="BWE211" s="2522"/>
      <c r="BWF211" s="2522"/>
      <c r="BWG211" s="2522"/>
      <c r="BWH211" s="2522"/>
      <c r="BWI211" s="2522"/>
      <c r="BWJ211" s="2522"/>
      <c r="BWK211" s="2522"/>
      <c r="BWL211" s="2522"/>
      <c r="BWM211" s="2522"/>
      <c r="BWN211" s="2522"/>
      <c r="BWO211" s="2522"/>
      <c r="BWP211" s="2522"/>
      <c r="BWQ211" s="2522"/>
      <c r="BWR211" s="2522"/>
      <c r="BWS211" s="2522"/>
      <c r="BWT211" s="2522"/>
      <c r="BWU211" s="2522"/>
      <c r="BWV211" s="2522"/>
      <c r="BWW211" s="2522"/>
      <c r="BWX211" s="2522"/>
      <c r="BWY211" s="2522"/>
      <c r="BWZ211" s="2522"/>
      <c r="BXA211" s="2522"/>
      <c r="BXB211" s="2522"/>
      <c r="BXC211" s="2522"/>
      <c r="BXD211" s="2522"/>
      <c r="BXE211" s="2522"/>
      <c r="BXF211" s="2522"/>
      <c r="BXG211" s="2522"/>
      <c r="BXH211" s="2522"/>
      <c r="BXI211" s="2522"/>
      <c r="BXJ211" s="2522"/>
      <c r="BXK211" s="2522"/>
      <c r="BXL211" s="2522"/>
      <c r="BXM211" s="2522"/>
      <c r="BXN211" s="2522"/>
      <c r="BXO211" s="2522"/>
      <c r="BXP211" s="2522"/>
      <c r="BXQ211" s="2522"/>
      <c r="BXR211" s="2522"/>
      <c r="BXS211" s="2522"/>
      <c r="BXT211" s="2522"/>
      <c r="BXU211" s="2522"/>
      <c r="BXV211" s="2522"/>
      <c r="BXW211" s="2522"/>
      <c r="BXX211" s="2522"/>
      <c r="BXY211" s="2522"/>
      <c r="BXZ211" s="2522"/>
      <c r="BYA211" s="2522"/>
      <c r="BYB211" s="2522"/>
      <c r="BYC211" s="2522"/>
      <c r="BYD211" s="2522"/>
      <c r="BYE211" s="2522"/>
      <c r="BYF211" s="2522"/>
      <c r="BYG211" s="2522"/>
      <c r="BYH211" s="2522"/>
      <c r="BYI211" s="2522"/>
      <c r="BYJ211" s="2522"/>
      <c r="BYK211" s="2522"/>
      <c r="BYL211" s="2522"/>
      <c r="BYM211" s="2522"/>
      <c r="BYN211" s="2522"/>
      <c r="BYO211" s="2522"/>
      <c r="BYP211" s="2522"/>
      <c r="BYQ211" s="2522"/>
      <c r="BYR211" s="2522"/>
      <c r="BYS211" s="2522"/>
      <c r="BYT211" s="2522"/>
      <c r="BYU211" s="2522"/>
      <c r="BYV211" s="2522"/>
      <c r="BYW211" s="2522"/>
      <c r="BYX211" s="2522"/>
      <c r="BYY211" s="2522"/>
      <c r="BYZ211" s="2522"/>
      <c r="BZA211" s="2522"/>
      <c r="BZB211" s="2522"/>
      <c r="BZC211" s="2522"/>
      <c r="BZD211" s="2522"/>
      <c r="BZE211" s="2522"/>
      <c r="BZF211" s="2522"/>
      <c r="BZG211" s="2522"/>
      <c r="BZH211" s="2522"/>
      <c r="BZI211" s="2522"/>
      <c r="BZJ211" s="2522"/>
      <c r="BZK211" s="2522"/>
      <c r="BZL211" s="2522"/>
      <c r="BZM211" s="2522"/>
      <c r="BZN211" s="2522"/>
      <c r="BZO211" s="2522"/>
      <c r="BZP211" s="2522"/>
      <c r="BZQ211" s="2522"/>
      <c r="BZR211" s="2522"/>
      <c r="BZS211" s="2522"/>
      <c r="BZT211" s="2522"/>
      <c r="BZU211" s="2522"/>
      <c r="BZV211" s="2522"/>
      <c r="BZW211" s="2522"/>
      <c r="BZX211" s="2522"/>
      <c r="BZY211" s="2522"/>
      <c r="BZZ211" s="2522"/>
      <c r="CAA211" s="2522"/>
      <c r="CAB211" s="2522"/>
      <c r="CAC211" s="2522"/>
      <c r="CAD211" s="2522"/>
      <c r="CAE211" s="2522"/>
      <c r="CAF211" s="2522"/>
      <c r="CAG211" s="2522"/>
      <c r="CAH211" s="2522"/>
      <c r="CAI211" s="2522"/>
      <c r="CAJ211" s="2522"/>
      <c r="CAK211" s="2522"/>
      <c r="CAL211" s="2522"/>
      <c r="CAM211" s="2522"/>
      <c r="CAN211" s="2522"/>
      <c r="CAO211" s="2522"/>
      <c r="CAP211" s="2522"/>
      <c r="CAQ211" s="2522"/>
      <c r="CAR211" s="2522"/>
      <c r="CAS211" s="2522"/>
      <c r="CAT211" s="2522"/>
      <c r="CAU211" s="2522"/>
      <c r="CAV211" s="2522"/>
      <c r="CAW211" s="2522"/>
      <c r="CAX211" s="2522"/>
      <c r="CAY211" s="2522"/>
      <c r="CAZ211" s="2522"/>
      <c r="CBA211" s="2522"/>
      <c r="CBB211" s="2522"/>
      <c r="CBC211" s="2522"/>
      <c r="CBD211" s="2522"/>
      <c r="CBE211" s="2522"/>
      <c r="CBF211" s="2522"/>
      <c r="CBG211" s="2522"/>
      <c r="CBH211" s="2522"/>
      <c r="CBI211" s="2522"/>
      <c r="CBJ211" s="2522"/>
      <c r="CBK211" s="2522"/>
      <c r="CBL211" s="2522"/>
      <c r="CBM211" s="2522"/>
      <c r="CBN211" s="2522"/>
      <c r="CBO211" s="2522"/>
      <c r="CBP211" s="2522"/>
      <c r="CBQ211" s="2522"/>
      <c r="CBR211" s="2522"/>
      <c r="CBS211" s="2522"/>
      <c r="CBT211" s="2522"/>
      <c r="CBU211" s="2522"/>
      <c r="CBV211" s="2522"/>
      <c r="CBW211" s="2522"/>
      <c r="CBX211" s="2522"/>
      <c r="CBY211" s="2522"/>
      <c r="CBZ211" s="2522"/>
      <c r="CCA211" s="2522"/>
      <c r="CCB211" s="2522"/>
      <c r="CCC211" s="2522"/>
      <c r="CCD211" s="2522"/>
      <c r="CCE211" s="2522"/>
      <c r="CCF211" s="2522"/>
      <c r="CCG211" s="2522"/>
      <c r="CCH211" s="2522"/>
      <c r="CCI211" s="2522"/>
      <c r="CCJ211" s="2522"/>
      <c r="CCK211" s="2522"/>
      <c r="CCL211" s="2522"/>
      <c r="CCM211" s="2522"/>
      <c r="CCN211" s="2522"/>
      <c r="CCO211" s="2522"/>
      <c r="CCP211" s="2522"/>
      <c r="CCQ211" s="2522"/>
      <c r="CCR211" s="2522"/>
      <c r="CCS211" s="2522"/>
      <c r="CCT211" s="2522"/>
      <c r="CCU211" s="2522"/>
      <c r="CCV211" s="2522"/>
      <c r="CCW211" s="2522"/>
      <c r="CCX211" s="2522"/>
      <c r="CCY211" s="2522"/>
      <c r="CCZ211" s="2522"/>
      <c r="CDA211" s="2522"/>
      <c r="CDB211" s="2522"/>
      <c r="CDC211" s="2522"/>
      <c r="CDD211" s="2522"/>
      <c r="CDE211" s="2522"/>
      <c r="CDF211" s="2522"/>
      <c r="CDG211" s="2522"/>
      <c r="CDH211" s="2522"/>
      <c r="CDI211" s="2522"/>
      <c r="CDJ211" s="2522"/>
      <c r="CDK211" s="2522"/>
      <c r="CDL211" s="2522"/>
      <c r="CDM211" s="2522"/>
      <c r="CDN211" s="2522"/>
      <c r="CDO211" s="2522"/>
      <c r="CDP211" s="2522"/>
      <c r="CDQ211" s="2522"/>
      <c r="CDR211" s="2522"/>
      <c r="CDS211" s="2522"/>
      <c r="CDT211" s="2522"/>
      <c r="CDU211" s="2522"/>
      <c r="CDV211" s="2522"/>
      <c r="CDW211" s="2522"/>
      <c r="CDX211" s="2522"/>
      <c r="CDY211" s="2522"/>
      <c r="CDZ211" s="2522"/>
      <c r="CEA211" s="2522"/>
      <c r="CEB211" s="2522"/>
      <c r="CEC211" s="2522"/>
      <c r="CED211" s="2522"/>
      <c r="CEE211" s="2522"/>
      <c r="CEF211" s="2522"/>
      <c r="CEG211" s="2522"/>
      <c r="CEH211" s="2522"/>
      <c r="CEI211" s="2522"/>
      <c r="CEJ211" s="2522"/>
      <c r="CEK211" s="2522"/>
      <c r="CEL211" s="2522"/>
      <c r="CEM211" s="2522"/>
      <c r="CEN211" s="2522"/>
      <c r="CEO211" s="2522"/>
      <c r="CEP211" s="2522"/>
      <c r="CEQ211" s="2522"/>
      <c r="CER211" s="2522"/>
      <c r="CES211" s="2522"/>
      <c r="CET211" s="2522"/>
      <c r="CEU211" s="2522"/>
      <c r="CEV211" s="2522"/>
      <c r="CEW211" s="2522"/>
      <c r="CEX211" s="2522"/>
      <c r="CEY211" s="2522"/>
      <c r="CEZ211" s="2522"/>
      <c r="CFA211" s="2522"/>
      <c r="CFB211" s="2522"/>
      <c r="CFC211" s="2522"/>
      <c r="CFD211" s="2522"/>
      <c r="CFE211" s="2522"/>
      <c r="CFF211" s="2522"/>
      <c r="CFG211" s="2522"/>
      <c r="CFH211" s="2522"/>
      <c r="CFI211" s="2522"/>
      <c r="CFJ211" s="2522"/>
      <c r="CFK211" s="2522"/>
      <c r="CFL211" s="2522"/>
      <c r="CFM211" s="2522"/>
      <c r="CFN211" s="2522"/>
      <c r="CFO211" s="2522"/>
      <c r="CFP211" s="2522"/>
      <c r="CFQ211" s="2522"/>
      <c r="CFR211" s="2522"/>
      <c r="CFS211" s="2522"/>
      <c r="CFT211" s="2522"/>
      <c r="CFU211" s="2522"/>
      <c r="CFV211" s="2522"/>
      <c r="CFW211" s="2522"/>
      <c r="CFX211" s="2522"/>
      <c r="CFY211" s="2522"/>
      <c r="CFZ211" s="2522"/>
      <c r="CGA211" s="2522"/>
      <c r="CGB211" s="2522"/>
      <c r="CGC211" s="2522"/>
      <c r="CGD211" s="2522"/>
      <c r="CGE211" s="2522"/>
      <c r="CGF211" s="2522"/>
      <c r="CGG211" s="2522"/>
      <c r="CGH211" s="2522"/>
      <c r="CGI211" s="2522"/>
      <c r="CGJ211" s="2522"/>
      <c r="CGK211" s="2522"/>
      <c r="CGL211" s="2522"/>
      <c r="CGM211" s="2522"/>
      <c r="CGN211" s="2522"/>
      <c r="CGO211" s="2522"/>
      <c r="CGP211" s="2522"/>
      <c r="CGQ211" s="2522"/>
      <c r="CGR211" s="2522"/>
      <c r="CGS211" s="2522"/>
      <c r="CGT211" s="2522"/>
      <c r="CGU211" s="2522"/>
      <c r="CGV211" s="2522"/>
      <c r="CGW211" s="2522"/>
      <c r="CGX211" s="2522"/>
      <c r="CGY211" s="2522"/>
      <c r="CGZ211" s="2522"/>
      <c r="CHA211" s="2522"/>
      <c r="CHB211" s="2522"/>
      <c r="CHC211" s="2522"/>
      <c r="CHD211" s="2522"/>
      <c r="CHE211" s="2522"/>
      <c r="CHF211" s="2522"/>
      <c r="CHG211" s="2522"/>
      <c r="CHH211" s="2522"/>
      <c r="CHI211" s="2522"/>
      <c r="CHJ211" s="2522"/>
      <c r="CHK211" s="2522"/>
      <c r="CHL211" s="2522"/>
      <c r="CHM211" s="2522"/>
      <c r="CHN211" s="2522"/>
      <c r="CHO211" s="2522"/>
      <c r="CHP211" s="2522"/>
      <c r="CHQ211" s="2522"/>
      <c r="CHR211" s="2522"/>
      <c r="CHS211" s="2522"/>
      <c r="CHT211" s="2522"/>
      <c r="CHU211" s="2522"/>
      <c r="CHV211" s="2522"/>
      <c r="CHW211" s="2522"/>
      <c r="CHX211" s="2522"/>
      <c r="CHY211" s="2522"/>
      <c r="CHZ211" s="2522"/>
      <c r="CIA211" s="2522"/>
      <c r="CIB211" s="2522"/>
      <c r="CIC211" s="2522"/>
      <c r="CID211" s="2522"/>
      <c r="CIE211" s="2522"/>
      <c r="CIF211" s="2522"/>
      <c r="CIG211" s="2522"/>
      <c r="CIH211" s="2522"/>
      <c r="CII211" s="2522"/>
      <c r="CIJ211" s="2522"/>
      <c r="CIK211" s="2522"/>
      <c r="CIL211" s="2522"/>
      <c r="CIM211" s="2522"/>
      <c r="CIN211" s="2522"/>
      <c r="CIO211" s="2522"/>
      <c r="CIP211" s="2522"/>
      <c r="CIQ211" s="2522"/>
      <c r="CIR211" s="2522"/>
      <c r="CIS211" s="2522"/>
      <c r="CIT211" s="2522"/>
      <c r="CIU211" s="2522"/>
      <c r="CIV211" s="2522"/>
      <c r="CIW211" s="2522"/>
      <c r="CIX211" s="2522"/>
      <c r="CIY211" s="2522"/>
      <c r="CIZ211" s="2522"/>
      <c r="CJA211" s="2522"/>
      <c r="CJB211" s="2522"/>
      <c r="CJC211" s="2522"/>
      <c r="CJD211" s="2522"/>
      <c r="CJE211" s="2522"/>
      <c r="CJF211" s="2522"/>
      <c r="CJG211" s="2522"/>
      <c r="CJH211" s="2522"/>
      <c r="CJI211" s="2522"/>
      <c r="CJJ211" s="2522"/>
      <c r="CJK211" s="2522"/>
      <c r="CJL211" s="2522"/>
      <c r="CJM211" s="2522"/>
      <c r="CJN211" s="2522"/>
      <c r="CJO211" s="2522"/>
      <c r="CJP211" s="2522"/>
      <c r="CJQ211" s="2522"/>
      <c r="CJR211" s="2522"/>
      <c r="CJS211" s="2522"/>
      <c r="CJT211" s="2522"/>
      <c r="CJU211" s="2522"/>
      <c r="CJV211" s="2522"/>
      <c r="CJW211" s="2522"/>
      <c r="CJX211" s="2522"/>
      <c r="CJY211" s="2522"/>
      <c r="CJZ211" s="2522"/>
      <c r="CKA211" s="2522"/>
      <c r="CKB211" s="2522"/>
      <c r="CKC211" s="2522"/>
      <c r="CKD211" s="2522"/>
      <c r="CKE211" s="2522"/>
      <c r="CKF211" s="2522"/>
      <c r="CKG211" s="2522"/>
      <c r="CKH211" s="2522"/>
      <c r="CKI211" s="2522"/>
      <c r="CKJ211" s="2522"/>
      <c r="CKK211" s="2522"/>
      <c r="CKL211" s="2522"/>
      <c r="CKM211" s="2522"/>
      <c r="CKN211" s="2522"/>
      <c r="CKO211" s="2522"/>
      <c r="CKP211" s="2522"/>
      <c r="CKQ211" s="2522"/>
      <c r="CKR211" s="2522"/>
      <c r="CKS211" s="2522"/>
      <c r="CKT211" s="2522"/>
      <c r="CKU211" s="2522"/>
      <c r="CKV211" s="2522"/>
      <c r="CKW211" s="2522"/>
      <c r="CKX211" s="2522"/>
      <c r="CKY211" s="2522"/>
      <c r="CKZ211" s="2522"/>
      <c r="CLA211" s="2522"/>
      <c r="CLB211" s="2522"/>
      <c r="CLC211" s="2522"/>
      <c r="CLD211" s="2522"/>
      <c r="CLE211" s="2522"/>
      <c r="CLF211" s="2522"/>
      <c r="CLG211" s="2522"/>
      <c r="CLH211" s="2522"/>
      <c r="CLI211" s="2522"/>
      <c r="CLJ211" s="2522"/>
      <c r="CLK211" s="2522"/>
      <c r="CLL211" s="2522"/>
      <c r="CLM211" s="2522"/>
      <c r="CLN211" s="2522"/>
      <c r="CLO211" s="2522"/>
      <c r="CLP211" s="2522"/>
      <c r="CLQ211" s="2522"/>
      <c r="CLR211" s="2522"/>
      <c r="CLS211" s="2522"/>
      <c r="CLT211" s="2522"/>
      <c r="CLU211" s="2522"/>
      <c r="CLV211" s="2522"/>
      <c r="CLW211" s="2522"/>
      <c r="CLX211" s="2522"/>
      <c r="CLY211" s="2522"/>
      <c r="CLZ211" s="2522"/>
      <c r="CMA211" s="2522"/>
      <c r="CMB211" s="2522"/>
      <c r="CMC211" s="2522"/>
      <c r="CMD211" s="2522"/>
      <c r="CME211" s="2522"/>
      <c r="CMF211" s="2522"/>
      <c r="CMG211" s="2522"/>
      <c r="CMH211" s="2522"/>
      <c r="CMI211" s="2522"/>
      <c r="CMJ211" s="2522"/>
      <c r="CMK211" s="2522"/>
      <c r="CML211" s="2522"/>
      <c r="CMM211" s="2522"/>
      <c r="CMN211" s="2522"/>
      <c r="CMO211" s="2522"/>
      <c r="CMP211" s="2522"/>
      <c r="CMQ211" s="2522"/>
      <c r="CMR211" s="2522"/>
      <c r="CMS211" s="2522"/>
      <c r="CMT211" s="2522"/>
      <c r="CMU211" s="2522"/>
      <c r="CMV211" s="2522"/>
      <c r="CMW211" s="2522"/>
      <c r="CMX211" s="2522"/>
      <c r="CMY211" s="2522"/>
      <c r="CMZ211" s="2522"/>
      <c r="CNA211" s="2522"/>
      <c r="CNB211" s="2522"/>
      <c r="CNC211" s="2522"/>
      <c r="CND211" s="2522"/>
      <c r="CNE211" s="2522"/>
      <c r="CNF211" s="2522"/>
      <c r="CNG211" s="2522"/>
      <c r="CNH211" s="2522"/>
      <c r="CNI211" s="2522"/>
      <c r="CNJ211" s="2522"/>
      <c r="CNK211" s="2522"/>
      <c r="CNL211" s="2522"/>
      <c r="CNM211" s="2522"/>
      <c r="CNN211" s="2522"/>
      <c r="CNO211" s="2522"/>
      <c r="CNP211" s="2522"/>
      <c r="CNQ211" s="2522"/>
      <c r="CNR211" s="2522"/>
      <c r="CNS211" s="2522"/>
      <c r="CNT211" s="2522"/>
      <c r="CNU211" s="2522"/>
      <c r="CNV211" s="2522"/>
      <c r="CNW211" s="2522"/>
      <c r="CNX211" s="2522"/>
      <c r="CNY211" s="2522"/>
      <c r="CNZ211" s="2522"/>
      <c r="COA211" s="2522"/>
      <c r="COB211" s="2522"/>
      <c r="COC211" s="2522"/>
      <c r="COD211" s="2522"/>
      <c r="COE211" s="2522"/>
      <c r="COF211" s="2522"/>
      <c r="COG211" s="2522"/>
      <c r="COH211" s="2522"/>
      <c r="COI211" s="2522"/>
      <c r="COJ211" s="2522"/>
      <c r="COK211" s="2522"/>
      <c r="COL211" s="2522"/>
      <c r="COM211" s="2522"/>
      <c r="CON211" s="2522"/>
      <c r="COO211" s="2522"/>
      <c r="COP211" s="2522"/>
      <c r="COQ211" s="2522"/>
      <c r="COR211" s="2522"/>
      <c r="COS211" s="2522"/>
      <c r="COT211" s="2522"/>
      <c r="COU211" s="2522"/>
      <c r="COV211" s="2522"/>
      <c r="COW211" s="2522"/>
      <c r="COX211" s="2522"/>
      <c r="COY211" s="2522"/>
      <c r="COZ211" s="2522"/>
      <c r="CPA211" s="2522"/>
      <c r="CPB211" s="2522"/>
      <c r="CPC211" s="2522"/>
      <c r="CPD211" s="2522"/>
      <c r="CPE211" s="2522"/>
      <c r="CPF211" s="2522"/>
      <c r="CPG211" s="2522"/>
      <c r="CPH211" s="2522"/>
      <c r="CPI211" s="2522"/>
      <c r="CPJ211" s="2522"/>
      <c r="CPK211" s="2522"/>
      <c r="CPL211" s="2522"/>
      <c r="CPM211" s="2522"/>
      <c r="CPN211" s="2522"/>
      <c r="CPO211" s="2522"/>
      <c r="CPP211" s="2522"/>
      <c r="CPQ211" s="2522"/>
      <c r="CPR211" s="2522"/>
      <c r="CPS211" s="2522"/>
      <c r="CPT211" s="2522"/>
      <c r="CPU211" s="2522"/>
      <c r="CPV211" s="2522"/>
      <c r="CPW211" s="2522"/>
      <c r="CPX211" s="2522"/>
      <c r="CPY211" s="2522"/>
      <c r="CPZ211" s="2522"/>
      <c r="CQA211" s="2522"/>
      <c r="CQB211" s="2522"/>
      <c r="CQC211" s="2522"/>
      <c r="CQD211" s="2522"/>
      <c r="CQE211" s="2522"/>
      <c r="CQF211" s="2522"/>
      <c r="CQG211" s="2522"/>
      <c r="CQH211" s="2522"/>
      <c r="CQI211" s="2522"/>
      <c r="CQJ211" s="2522"/>
      <c r="CQK211" s="2522"/>
      <c r="CQL211" s="2522"/>
      <c r="CQM211" s="2522"/>
      <c r="CQN211" s="2522"/>
      <c r="CQO211" s="2522"/>
      <c r="CQP211" s="2522"/>
      <c r="CQQ211" s="2522"/>
      <c r="CQR211" s="2522"/>
      <c r="CQS211" s="2522"/>
      <c r="CQT211" s="2522"/>
      <c r="CQU211" s="2522"/>
      <c r="CQV211" s="2522"/>
      <c r="CQW211" s="2522"/>
      <c r="CQX211" s="2522"/>
      <c r="CQY211" s="2522"/>
      <c r="CQZ211" s="2522"/>
      <c r="CRA211" s="2522"/>
      <c r="CRB211" s="2522"/>
      <c r="CRC211" s="2522"/>
      <c r="CRD211" s="2522"/>
      <c r="CRE211" s="2522"/>
      <c r="CRF211" s="2522"/>
      <c r="CRG211" s="2522"/>
      <c r="CRH211" s="2522"/>
      <c r="CRI211" s="2522"/>
      <c r="CRJ211" s="2522"/>
      <c r="CRK211" s="2522"/>
      <c r="CRL211" s="2522"/>
      <c r="CRM211" s="2522"/>
      <c r="CRN211" s="2522"/>
      <c r="CRO211" s="2522"/>
      <c r="CRP211" s="2522"/>
      <c r="CRQ211" s="2522"/>
      <c r="CRR211" s="2522"/>
      <c r="CRS211" s="2522"/>
      <c r="CRT211" s="2522"/>
      <c r="CRU211" s="2522"/>
      <c r="CRV211" s="2522"/>
      <c r="CRW211" s="2522"/>
      <c r="CRX211" s="2522"/>
      <c r="CRY211" s="2522"/>
      <c r="CRZ211" s="2522"/>
      <c r="CSA211" s="2522"/>
      <c r="CSB211" s="2522"/>
      <c r="CSC211" s="2522"/>
      <c r="CSD211" s="2522"/>
      <c r="CSE211" s="2522"/>
      <c r="CSF211" s="2522"/>
      <c r="CSG211" s="2522"/>
      <c r="CSH211" s="2522"/>
      <c r="CSI211" s="2522"/>
      <c r="CSJ211" s="2522"/>
      <c r="CSK211" s="2522"/>
      <c r="CSL211" s="2522"/>
      <c r="CSM211" s="2522"/>
      <c r="CSN211" s="2522"/>
      <c r="CSO211" s="2522"/>
      <c r="CSP211" s="2522"/>
      <c r="CSQ211" s="2522"/>
      <c r="CSR211" s="2522"/>
      <c r="CSS211" s="2522"/>
      <c r="CST211" s="2522"/>
      <c r="CSU211" s="2522"/>
      <c r="CSV211" s="2522"/>
      <c r="CSW211" s="2522"/>
      <c r="CSX211" s="2522"/>
      <c r="CSY211" s="2522"/>
      <c r="CSZ211" s="2522"/>
      <c r="CTA211" s="2522"/>
      <c r="CTB211" s="2522"/>
      <c r="CTC211" s="2522"/>
      <c r="CTD211" s="2522"/>
      <c r="CTE211" s="2522"/>
      <c r="CTF211" s="2522"/>
      <c r="CTG211" s="2522"/>
      <c r="CTH211" s="2522"/>
      <c r="CTI211" s="2522"/>
      <c r="CTJ211" s="2522"/>
      <c r="CTK211" s="2522"/>
      <c r="CTL211" s="2522"/>
      <c r="CTM211" s="2522"/>
      <c r="CTN211" s="2522"/>
      <c r="CTO211" s="2522"/>
      <c r="CTP211" s="2522"/>
      <c r="CTQ211" s="2522"/>
      <c r="CTR211" s="2522"/>
      <c r="CTS211" s="2522"/>
      <c r="CTT211" s="2522"/>
      <c r="CTU211" s="2522"/>
      <c r="CTV211" s="2522"/>
      <c r="CTW211" s="2522"/>
      <c r="CTX211" s="2522"/>
      <c r="CTY211" s="2522"/>
      <c r="CTZ211" s="2522"/>
      <c r="CUA211" s="2522"/>
      <c r="CUB211" s="2522"/>
      <c r="CUC211" s="2522"/>
      <c r="CUD211" s="2522"/>
      <c r="CUE211" s="2522"/>
      <c r="CUF211" s="2522"/>
      <c r="CUG211" s="2522"/>
      <c r="CUH211" s="2522"/>
      <c r="CUI211" s="2522"/>
      <c r="CUJ211" s="2522"/>
      <c r="CUK211" s="2522"/>
      <c r="CUL211" s="2522"/>
      <c r="CUM211" s="2522"/>
      <c r="CUN211" s="2522"/>
      <c r="CUO211" s="2522"/>
      <c r="CUP211" s="2522"/>
      <c r="CUQ211" s="2522"/>
      <c r="CUR211" s="2522"/>
      <c r="CUS211" s="2522"/>
      <c r="CUT211" s="2522"/>
      <c r="CUU211" s="2522"/>
      <c r="CUV211" s="2522"/>
      <c r="CUW211" s="2522"/>
      <c r="CUX211" s="2522"/>
      <c r="CUY211" s="2522"/>
      <c r="CUZ211" s="2522"/>
      <c r="CVA211" s="2522"/>
      <c r="CVB211" s="2522"/>
      <c r="CVC211" s="2522"/>
      <c r="CVD211" s="2522"/>
      <c r="CVE211" s="2522"/>
      <c r="CVF211" s="2522"/>
      <c r="CVG211" s="2522"/>
      <c r="CVH211" s="2522"/>
      <c r="CVI211" s="2522"/>
      <c r="CVJ211" s="2522"/>
      <c r="CVK211" s="2522"/>
      <c r="CVL211" s="2522"/>
      <c r="CVM211" s="2522"/>
      <c r="CVN211" s="2522"/>
      <c r="CVO211" s="2522"/>
      <c r="CVP211" s="2522"/>
      <c r="CVQ211" s="2522"/>
      <c r="CVR211" s="2522"/>
      <c r="CVS211" s="2522"/>
      <c r="CVT211" s="2522"/>
      <c r="CVU211" s="2522"/>
      <c r="CVV211" s="2522"/>
      <c r="CVW211" s="2522"/>
      <c r="CVX211" s="2522"/>
      <c r="CVY211" s="2522"/>
      <c r="CVZ211" s="2522"/>
      <c r="CWA211" s="2522"/>
      <c r="CWB211" s="2522"/>
      <c r="CWC211" s="2522"/>
      <c r="CWD211" s="2522"/>
      <c r="CWE211" s="2522"/>
      <c r="CWF211" s="2522"/>
      <c r="CWG211" s="2522"/>
      <c r="CWH211" s="2522"/>
      <c r="CWI211" s="2522"/>
      <c r="CWJ211" s="2522"/>
      <c r="CWK211" s="2522"/>
      <c r="CWL211" s="2522"/>
      <c r="CWM211" s="2522"/>
      <c r="CWN211" s="2522"/>
      <c r="CWO211" s="2522"/>
      <c r="CWP211" s="2522"/>
      <c r="CWQ211" s="2522"/>
      <c r="CWR211" s="2522"/>
      <c r="CWS211" s="2522"/>
      <c r="CWT211" s="2522"/>
      <c r="CWU211" s="2522"/>
      <c r="CWV211" s="2522"/>
      <c r="CWW211" s="2522"/>
      <c r="CWX211" s="2522"/>
      <c r="CWY211" s="2522"/>
      <c r="CWZ211" s="2522"/>
      <c r="CXA211" s="2522"/>
      <c r="CXB211" s="2522"/>
      <c r="CXC211" s="2522"/>
      <c r="CXD211" s="2522"/>
      <c r="CXE211" s="2522"/>
      <c r="CXF211" s="2522"/>
      <c r="CXG211" s="2522"/>
      <c r="CXH211" s="2522"/>
      <c r="CXI211" s="2522"/>
      <c r="CXJ211" s="2522"/>
      <c r="CXK211" s="2522"/>
      <c r="CXL211" s="2522"/>
      <c r="CXM211" s="2522"/>
      <c r="CXN211" s="2522"/>
      <c r="CXO211" s="2522"/>
      <c r="CXP211" s="2522"/>
      <c r="CXQ211" s="2522"/>
      <c r="CXR211" s="2522"/>
      <c r="CXS211" s="2522"/>
      <c r="CXT211" s="2522"/>
      <c r="CXU211" s="2522"/>
      <c r="CXV211" s="2522"/>
      <c r="CXW211" s="2522"/>
      <c r="CXX211" s="2522"/>
      <c r="CXY211" s="2522"/>
      <c r="CXZ211" s="2522"/>
      <c r="CYA211" s="2522"/>
      <c r="CYB211" s="2522"/>
      <c r="CYC211" s="2522"/>
      <c r="CYD211" s="2522"/>
      <c r="CYE211" s="2522"/>
      <c r="CYF211" s="2522"/>
      <c r="CYG211" s="2522"/>
      <c r="CYH211" s="2522"/>
      <c r="CYI211" s="2522"/>
      <c r="CYJ211" s="2522"/>
      <c r="CYK211" s="2522"/>
      <c r="CYL211" s="2522"/>
      <c r="CYM211" s="2522"/>
      <c r="CYN211" s="2522"/>
      <c r="CYO211" s="2522"/>
      <c r="CYP211" s="2522"/>
      <c r="CYQ211" s="2522"/>
      <c r="CYR211" s="2522"/>
      <c r="CYS211" s="2522"/>
      <c r="CYT211" s="2522"/>
      <c r="CYU211" s="2522"/>
      <c r="CYV211" s="2522"/>
      <c r="CYW211" s="2522"/>
      <c r="CYX211" s="2522"/>
      <c r="CYY211" s="2522"/>
      <c r="CYZ211" s="2522"/>
      <c r="CZA211" s="2522"/>
      <c r="CZB211" s="2522"/>
      <c r="CZC211" s="2522"/>
      <c r="CZD211" s="2522"/>
      <c r="CZE211" s="2522"/>
      <c r="CZF211" s="2522"/>
      <c r="CZG211" s="2522"/>
      <c r="CZH211" s="2522"/>
      <c r="CZI211" s="2522"/>
      <c r="CZJ211" s="2522"/>
      <c r="CZK211" s="2522"/>
      <c r="CZL211" s="2522"/>
      <c r="CZM211" s="2522"/>
      <c r="CZN211" s="2522"/>
      <c r="CZO211" s="2522"/>
      <c r="CZP211" s="2522"/>
      <c r="CZQ211" s="2522"/>
      <c r="CZR211" s="2522"/>
      <c r="CZS211" s="2522"/>
      <c r="CZT211" s="2522"/>
      <c r="CZU211" s="2522"/>
      <c r="CZV211" s="2522"/>
      <c r="CZW211" s="2522"/>
      <c r="CZX211" s="2522"/>
      <c r="CZY211" s="2522"/>
      <c r="CZZ211" s="2522"/>
      <c r="DAA211" s="2522"/>
      <c r="DAB211" s="2522"/>
      <c r="DAC211" s="2522"/>
      <c r="DAD211" s="2522"/>
      <c r="DAE211" s="2522"/>
      <c r="DAF211" s="2522"/>
      <c r="DAG211" s="2522"/>
      <c r="DAH211" s="2522"/>
      <c r="DAI211" s="2522"/>
      <c r="DAJ211" s="2522"/>
      <c r="DAK211" s="2522"/>
      <c r="DAL211" s="2522"/>
      <c r="DAM211" s="2522"/>
      <c r="DAN211" s="2522"/>
      <c r="DAO211" s="2522"/>
      <c r="DAP211" s="2522"/>
      <c r="DAQ211" s="2522"/>
      <c r="DAR211" s="2522"/>
      <c r="DAS211" s="2522"/>
      <c r="DAT211" s="2522"/>
      <c r="DAU211" s="2522"/>
      <c r="DAV211" s="2522"/>
      <c r="DAW211" s="2522"/>
      <c r="DAX211" s="2522"/>
      <c r="DAY211" s="2522"/>
      <c r="DAZ211" s="2522"/>
      <c r="DBA211" s="2522"/>
      <c r="DBB211" s="2522"/>
      <c r="DBC211" s="2522"/>
      <c r="DBD211" s="2522"/>
      <c r="DBE211" s="2522"/>
      <c r="DBF211" s="2522"/>
      <c r="DBG211" s="2522"/>
      <c r="DBH211" s="2522"/>
      <c r="DBI211" s="2522"/>
      <c r="DBJ211" s="2522"/>
      <c r="DBK211" s="2522"/>
      <c r="DBL211" s="2522"/>
      <c r="DBM211" s="2522"/>
      <c r="DBN211" s="2522"/>
      <c r="DBO211" s="2522"/>
      <c r="DBP211" s="2522"/>
      <c r="DBQ211" s="2522"/>
      <c r="DBR211" s="2522"/>
      <c r="DBS211" s="2522"/>
      <c r="DBT211" s="2522"/>
      <c r="DBU211" s="2522"/>
      <c r="DBV211" s="2522"/>
      <c r="DBW211" s="2522"/>
      <c r="DBX211" s="2522"/>
      <c r="DBY211" s="2522"/>
      <c r="DBZ211" s="2522"/>
      <c r="DCA211" s="2522"/>
      <c r="DCB211" s="2522"/>
      <c r="DCC211" s="2522"/>
      <c r="DCD211" s="2522"/>
      <c r="DCE211" s="2522"/>
      <c r="DCF211" s="2522"/>
      <c r="DCG211" s="2522"/>
      <c r="DCH211" s="2522"/>
      <c r="DCI211" s="2522"/>
      <c r="DCJ211" s="2522"/>
      <c r="DCK211" s="2522"/>
      <c r="DCL211" s="2522"/>
      <c r="DCM211" s="2522"/>
      <c r="DCN211" s="2522"/>
      <c r="DCO211" s="2522"/>
      <c r="DCP211" s="2522"/>
      <c r="DCQ211" s="2522"/>
      <c r="DCR211" s="2522"/>
      <c r="DCS211" s="2522"/>
      <c r="DCT211" s="2522"/>
      <c r="DCU211" s="2522"/>
      <c r="DCV211" s="2522"/>
      <c r="DCW211" s="2522"/>
      <c r="DCX211" s="2522"/>
      <c r="DCY211" s="2522"/>
      <c r="DCZ211" s="2522"/>
      <c r="DDA211" s="2522"/>
      <c r="DDB211" s="2522"/>
      <c r="DDC211" s="2522"/>
      <c r="DDD211" s="2522"/>
      <c r="DDE211" s="2522"/>
      <c r="DDF211" s="2522"/>
      <c r="DDG211" s="2522"/>
      <c r="DDH211" s="2522"/>
      <c r="DDI211" s="2522"/>
      <c r="DDJ211" s="2522"/>
      <c r="DDK211" s="2522"/>
      <c r="DDL211" s="2522"/>
      <c r="DDM211" s="2522"/>
      <c r="DDN211" s="2522"/>
      <c r="DDO211" s="2522"/>
      <c r="DDP211" s="2522"/>
      <c r="DDQ211" s="2522"/>
      <c r="DDR211" s="2522"/>
      <c r="DDS211" s="2522"/>
      <c r="DDT211" s="2522"/>
      <c r="DDU211" s="2522"/>
      <c r="DDV211" s="2522"/>
      <c r="DDW211" s="2522"/>
      <c r="DDX211" s="2522"/>
      <c r="DDY211" s="2522"/>
      <c r="DDZ211" s="2522"/>
      <c r="DEA211" s="2522"/>
      <c r="DEB211" s="2522"/>
      <c r="DEC211" s="2522"/>
      <c r="DED211" s="2522"/>
      <c r="DEE211" s="2522"/>
      <c r="DEF211" s="2522"/>
      <c r="DEG211" s="2522"/>
      <c r="DEH211" s="2522"/>
      <c r="DEI211" s="2522"/>
      <c r="DEJ211" s="2522"/>
      <c r="DEK211" s="2522"/>
      <c r="DEL211" s="2522"/>
      <c r="DEM211" s="2522"/>
      <c r="DEN211" s="2522"/>
      <c r="DEO211" s="2522"/>
      <c r="DEP211" s="2522"/>
      <c r="DEQ211" s="2522"/>
      <c r="DER211" s="2522"/>
      <c r="DES211" s="2522"/>
      <c r="DET211" s="2522"/>
      <c r="DEU211" s="2522"/>
      <c r="DEV211" s="2522"/>
      <c r="DEW211" s="2522"/>
      <c r="DEX211" s="2522"/>
      <c r="DEY211" s="2522"/>
      <c r="DEZ211" s="2522"/>
      <c r="DFA211" s="2522"/>
      <c r="DFB211" s="2522"/>
      <c r="DFC211" s="2522"/>
      <c r="DFD211" s="2522"/>
      <c r="DFE211" s="2522"/>
      <c r="DFF211" s="2522"/>
      <c r="DFG211" s="2522"/>
      <c r="DFH211" s="2522"/>
      <c r="DFI211" s="2522"/>
      <c r="DFJ211" s="2522"/>
      <c r="DFK211" s="2522"/>
      <c r="DFL211" s="2522"/>
      <c r="DFM211" s="2522"/>
      <c r="DFN211" s="2522"/>
      <c r="DFO211" s="2522"/>
      <c r="DFP211" s="2522"/>
      <c r="DFQ211" s="2522"/>
      <c r="DFR211" s="2522"/>
      <c r="DFS211" s="2522"/>
      <c r="DFT211" s="2522"/>
      <c r="DFU211" s="2522"/>
      <c r="DFV211" s="2522"/>
      <c r="DFW211" s="2522"/>
      <c r="DFX211" s="2522"/>
      <c r="DFY211" s="2522"/>
      <c r="DFZ211" s="2522"/>
      <c r="DGA211" s="2522"/>
      <c r="DGB211" s="2522"/>
      <c r="DGC211" s="2522"/>
      <c r="DGD211" s="2522"/>
      <c r="DGE211" s="2522"/>
      <c r="DGF211" s="2522"/>
      <c r="DGG211" s="2522"/>
      <c r="DGH211" s="2522"/>
      <c r="DGI211" s="2522"/>
      <c r="DGJ211" s="2522"/>
      <c r="DGK211" s="2522"/>
      <c r="DGL211" s="2522"/>
      <c r="DGM211" s="2522"/>
      <c r="DGN211" s="2522"/>
      <c r="DGO211" s="2522"/>
      <c r="DGP211" s="2522"/>
      <c r="DGQ211" s="2522"/>
      <c r="DGR211" s="2522"/>
      <c r="DGS211" s="2522"/>
      <c r="DGT211" s="2522"/>
      <c r="DGU211" s="2522"/>
      <c r="DGV211" s="2522"/>
      <c r="DGW211" s="2522"/>
      <c r="DGX211" s="2522"/>
      <c r="DGY211" s="2522"/>
      <c r="DGZ211" s="2522"/>
      <c r="DHA211" s="2522"/>
      <c r="DHB211" s="2522"/>
      <c r="DHC211" s="2522"/>
      <c r="DHD211" s="2522"/>
      <c r="DHE211" s="2522"/>
      <c r="DHF211" s="2522"/>
      <c r="DHG211" s="2522"/>
      <c r="DHH211" s="2522"/>
      <c r="DHI211" s="2522"/>
      <c r="DHJ211" s="2522"/>
      <c r="DHK211" s="2522"/>
      <c r="DHL211" s="2522"/>
      <c r="DHM211" s="2522"/>
      <c r="DHN211" s="2522"/>
      <c r="DHO211" s="2522"/>
      <c r="DHP211" s="2522"/>
      <c r="DHQ211" s="2522"/>
      <c r="DHR211" s="2522"/>
      <c r="DHS211" s="2522"/>
      <c r="DHT211" s="2522"/>
      <c r="DHU211" s="2522"/>
      <c r="DHV211" s="2522"/>
      <c r="DHW211" s="2522"/>
      <c r="DHX211" s="2522"/>
      <c r="DHY211" s="2522"/>
      <c r="DHZ211" s="2522"/>
      <c r="DIA211" s="2522"/>
      <c r="DIB211" s="2522"/>
      <c r="DIC211" s="2522"/>
      <c r="DID211" s="2522"/>
      <c r="DIE211" s="2522"/>
      <c r="DIF211" s="2522"/>
      <c r="DIG211" s="2522"/>
      <c r="DIH211" s="2522"/>
      <c r="DII211" s="2522"/>
      <c r="DIJ211" s="2522"/>
      <c r="DIK211" s="2522"/>
      <c r="DIL211" s="2522"/>
      <c r="DIM211" s="2522"/>
      <c r="DIN211" s="2522"/>
      <c r="DIO211" s="2522"/>
      <c r="DIP211" s="2522"/>
      <c r="DIQ211" s="2522"/>
      <c r="DIR211" s="2522"/>
      <c r="DIS211" s="2522"/>
      <c r="DIT211" s="2522"/>
      <c r="DIU211" s="2522"/>
      <c r="DIV211" s="2522"/>
      <c r="DIW211" s="2522"/>
      <c r="DIX211" s="2522"/>
      <c r="DIY211" s="2522"/>
      <c r="DIZ211" s="2522"/>
      <c r="DJA211" s="2522"/>
      <c r="DJB211" s="2522"/>
      <c r="DJC211" s="2522"/>
      <c r="DJD211" s="2522"/>
      <c r="DJE211" s="2522"/>
      <c r="DJF211" s="2522"/>
      <c r="DJG211" s="2522"/>
      <c r="DJH211" s="2522"/>
      <c r="DJI211" s="2522"/>
      <c r="DJJ211" s="2522"/>
      <c r="DJK211" s="2522"/>
      <c r="DJL211" s="2522"/>
      <c r="DJM211" s="2522"/>
      <c r="DJN211" s="2522"/>
      <c r="DJO211" s="2522"/>
      <c r="DJP211" s="2522"/>
      <c r="DJQ211" s="2522"/>
      <c r="DJR211" s="2522"/>
      <c r="DJS211" s="2522"/>
      <c r="DJT211" s="2522"/>
      <c r="DJU211" s="2522"/>
      <c r="DJV211" s="2522"/>
      <c r="DJW211" s="2522"/>
      <c r="DJX211" s="2522"/>
      <c r="DJY211" s="2522"/>
      <c r="DJZ211" s="2522"/>
      <c r="DKA211" s="2522"/>
      <c r="DKB211" s="2522"/>
      <c r="DKC211" s="2522"/>
      <c r="DKD211" s="2522"/>
      <c r="DKE211" s="2522"/>
      <c r="DKF211" s="2522"/>
      <c r="DKG211" s="2522"/>
      <c r="DKH211" s="2522"/>
      <c r="DKI211" s="2522"/>
      <c r="DKJ211" s="2522"/>
      <c r="DKK211" s="2522"/>
      <c r="DKL211" s="2522"/>
      <c r="DKM211" s="2522"/>
      <c r="DKN211" s="2522"/>
      <c r="DKO211" s="2522"/>
      <c r="DKP211" s="2522"/>
      <c r="DKQ211" s="2522"/>
      <c r="DKR211" s="2522"/>
      <c r="DKS211" s="2522"/>
      <c r="DKT211" s="2522"/>
      <c r="DKU211" s="2522"/>
      <c r="DKV211" s="2522"/>
      <c r="DKW211" s="2522"/>
      <c r="DKX211" s="2522"/>
      <c r="DKY211" s="2522"/>
      <c r="DKZ211" s="2522"/>
      <c r="DLA211" s="2522"/>
      <c r="DLB211" s="2522"/>
      <c r="DLC211" s="2522"/>
      <c r="DLD211" s="2522"/>
      <c r="DLE211" s="2522"/>
      <c r="DLF211" s="2522"/>
      <c r="DLG211" s="2522"/>
      <c r="DLH211" s="2522"/>
      <c r="DLI211" s="2522"/>
      <c r="DLJ211" s="2522"/>
      <c r="DLK211" s="2522"/>
      <c r="DLL211" s="2522"/>
      <c r="DLM211" s="2522"/>
      <c r="DLN211" s="2522"/>
      <c r="DLO211" s="2522"/>
      <c r="DLP211" s="2522"/>
      <c r="DLQ211" s="2522"/>
      <c r="DLR211" s="2522"/>
      <c r="DLS211" s="2522"/>
      <c r="DLT211" s="2522"/>
      <c r="DLU211" s="2522"/>
      <c r="DLV211" s="2522"/>
      <c r="DLW211" s="2522"/>
      <c r="DLX211" s="2522"/>
      <c r="DLY211" s="2522"/>
      <c r="DLZ211" s="2522"/>
      <c r="DMA211" s="2522"/>
      <c r="DMB211" s="2522"/>
      <c r="DMC211" s="2522"/>
      <c r="DMD211" s="2522"/>
      <c r="DME211" s="2522"/>
      <c r="DMF211" s="2522"/>
      <c r="DMG211" s="2522"/>
      <c r="DMH211" s="2522"/>
      <c r="DMI211" s="2522"/>
      <c r="DMJ211" s="2522"/>
      <c r="DMK211" s="2522"/>
      <c r="DML211" s="2522"/>
      <c r="DMM211" s="2522"/>
      <c r="DMN211" s="2522"/>
      <c r="DMO211" s="2522"/>
      <c r="DMP211" s="2522"/>
      <c r="DMQ211" s="2522"/>
      <c r="DMR211" s="2522"/>
      <c r="DMS211" s="2522"/>
      <c r="DMT211" s="2522"/>
      <c r="DMU211" s="2522"/>
      <c r="DMV211" s="2522"/>
      <c r="DMW211" s="2522"/>
      <c r="DMX211" s="2522"/>
      <c r="DMY211" s="2522"/>
      <c r="DMZ211" s="2522"/>
      <c r="DNA211" s="2522"/>
      <c r="DNB211" s="2522"/>
      <c r="DNC211" s="2522"/>
      <c r="DND211" s="2522"/>
      <c r="DNE211" s="2522"/>
      <c r="DNF211" s="2522"/>
      <c r="DNG211" s="2522"/>
      <c r="DNH211" s="2522"/>
      <c r="DNI211" s="2522"/>
      <c r="DNJ211" s="2522"/>
      <c r="DNK211" s="2522"/>
      <c r="DNL211" s="2522"/>
      <c r="DNM211" s="2522"/>
      <c r="DNN211" s="2522"/>
      <c r="DNO211" s="2522"/>
      <c r="DNP211" s="2522"/>
      <c r="DNQ211" s="2522"/>
      <c r="DNR211" s="2522"/>
      <c r="DNS211" s="2522"/>
      <c r="DNT211" s="2522"/>
      <c r="DNU211" s="2522"/>
      <c r="DNV211" s="2522"/>
      <c r="DNW211" s="2522"/>
      <c r="DNX211" s="2522"/>
      <c r="DNY211" s="2522"/>
      <c r="DNZ211" s="2522"/>
      <c r="DOA211" s="2522"/>
      <c r="DOB211" s="2522"/>
      <c r="DOC211" s="2522"/>
      <c r="DOD211" s="2522"/>
      <c r="DOE211" s="2522"/>
      <c r="DOF211" s="2522"/>
      <c r="DOG211" s="2522"/>
      <c r="DOH211" s="2522"/>
      <c r="DOI211" s="2522"/>
      <c r="DOJ211" s="2522"/>
      <c r="DOK211" s="2522"/>
      <c r="DOL211" s="2522"/>
      <c r="DOM211" s="2522"/>
      <c r="DON211" s="2522"/>
      <c r="DOO211" s="2522"/>
      <c r="DOP211" s="2522"/>
      <c r="DOQ211" s="2522"/>
      <c r="DOR211" s="2522"/>
      <c r="DOS211" s="2522"/>
      <c r="DOT211" s="2522"/>
      <c r="DOU211" s="2522"/>
      <c r="DOV211" s="2522"/>
      <c r="DOW211" s="2522"/>
      <c r="DOX211" s="2522"/>
      <c r="DOY211" s="2522"/>
      <c r="DOZ211" s="2522"/>
      <c r="DPA211" s="2522"/>
      <c r="DPB211" s="2522"/>
      <c r="DPC211" s="2522"/>
      <c r="DPD211" s="2522"/>
      <c r="DPE211" s="2522"/>
      <c r="DPF211" s="2522"/>
      <c r="DPG211" s="2522"/>
      <c r="DPH211" s="2522"/>
      <c r="DPI211" s="2522"/>
      <c r="DPJ211" s="2522"/>
      <c r="DPK211" s="2522"/>
      <c r="DPL211" s="2522"/>
      <c r="DPM211" s="2522"/>
      <c r="DPN211" s="2522"/>
      <c r="DPO211" s="2522"/>
      <c r="DPP211" s="2522"/>
      <c r="DPQ211" s="2522"/>
      <c r="DPR211" s="2522"/>
      <c r="DPS211" s="2522"/>
      <c r="DPT211" s="2522"/>
      <c r="DPU211" s="2522"/>
      <c r="DPV211" s="2522"/>
      <c r="DPW211" s="2522"/>
      <c r="DPX211" s="2522"/>
      <c r="DPY211" s="2522"/>
      <c r="DPZ211" s="2522"/>
      <c r="DQA211" s="2522"/>
      <c r="DQB211" s="2522"/>
      <c r="DQC211" s="2522"/>
      <c r="DQD211" s="2522"/>
      <c r="DQE211" s="2522"/>
      <c r="DQF211" s="2522"/>
      <c r="DQG211" s="2522"/>
      <c r="DQH211" s="2522"/>
      <c r="DQI211" s="2522"/>
      <c r="DQJ211" s="2522"/>
      <c r="DQK211" s="2522"/>
      <c r="DQL211" s="2522"/>
      <c r="DQM211" s="2522"/>
      <c r="DQN211" s="2522"/>
      <c r="DQO211" s="2522"/>
      <c r="DQP211" s="2522"/>
      <c r="DQQ211" s="2522"/>
      <c r="DQR211" s="2522"/>
      <c r="DQS211" s="2522"/>
      <c r="DQT211" s="2522"/>
      <c r="DQU211" s="2522"/>
      <c r="DQV211" s="2522"/>
      <c r="DQW211" s="2522"/>
      <c r="DQX211" s="2522"/>
      <c r="DQY211" s="2522"/>
      <c r="DQZ211" s="2522"/>
      <c r="DRA211" s="2522"/>
      <c r="DRB211" s="2522"/>
      <c r="DRC211" s="2522"/>
      <c r="DRD211" s="2522"/>
      <c r="DRE211" s="2522"/>
      <c r="DRF211" s="2522"/>
      <c r="DRG211" s="2522"/>
      <c r="DRH211" s="2522"/>
      <c r="DRI211" s="2522"/>
      <c r="DRJ211" s="2522"/>
      <c r="DRK211" s="2522"/>
      <c r="DRL211" s="2522"/>
      <c r="DRM211" s="2522"/>
      <c r="DRN211" s="2522"/>
      <c r="DRO211" s="2522"/>
      <c r="DRP211" s="2522"/>
      <c r="DRQ211" s="2522"/>
      <c r="DRR211" s="2522"/>
      <c r="DRS211" s="2522"/>
      <c r="DRT211" s="2522"/>
      <c r="DRU211" s="2522"/>
      <c r="DRV211" s="2522"/>
      <c r="DRW211" s="2522"/>
      <c r="DRX211" s="2522"/>
      <c r="DRY211" s="2522"/>
      <c r="DRZ211" s="2522"/>
      <c r="DSA211" s="2522"/>
      <c r="DSB211" s="2522"/>
      <c r="DSC211" s="2522"/>
      <c r="DSD211" s="2522"/>
      <c r="DSE211" s="2522"/>
      <c r="DSF211" s="2522"/>
      <c r="DSG211" s="2522"/>
      <c r="DSH211" s="2522"/>
      <c r="DSI211" s="2522"/>
      <c r="DSJ211" s="2522"/>
      <c r="DSK211" s="2522"/>
      <c r="DSL211" s="2522"/>
      <c r="DSM211" s="2522"/>
      <c r="DSN211" s="2522"/>
      <c r="DSO211" s="2522"/>
      <c r="DSP211" s="2522"/>
      <c r="DSQ211" s="2522"/>
      <c r="DSR211" s="2522"/>
      <c r="DSS211" s="2522"/>
      <c r="DST211" s="2522"/>
      <c r="DSU211" s="2522"/>
      <c r="DSV211" s="2522"/>
      <c r="DSW211" s="2522"/>
      <c r="DSX211" s="2522"/>
      <c r="DSY211" s="2522"/>
      <c r="DSZ211" s="2522"/>
      <c r="DTA211" s="2522"/>
      <c r="DTB211" s="2522"/>
      <c r="DTC211" s="2522"/>
      <c r="DTD211" s="2522"/>
      <c r="DTE211" s="2522"/>
      <c r="DTF211" s="2522"/>
      <c r="DTG211" s="2522"/>
      <c r="DTH211" s="2522"/>
      <c r="DTI211" s="2522"/>
      <c r="DTJ211" s="2522"/>
      <c r="DTK211" s="2522"/>
      <c r="DTL211" s="2522"/>
      <c r="DTM211" s="2522"/>
      <c r="DTN211" s="2522"/>
      <c r="DTO211" s="2522"/>
      <c r="DTP211" s="2522"/>
      <c r="DTQ211" s="2522"/>
      <c r="DTR211" s="2522"/>
      <c r="DTS211" s="2522"/>
      <c r="DTT211" s="2522"/>
      <c r="DTU211" s="2522"/>
      <c r="DTV211" s="2522"/>
      <c r="DTW211" s="2522"/>
      <c r="DTX211" s="2522"/>
      <c r="DTY211" s="2522"/>
      <c r="DTZ211" s="2522"/>
      <c r="DUA211" s="2522"/>
      <c r="DUB211" s="2522"/>
      <c r="DUC211" s="2522"/>
      <c r="DUD211" s="2522"/>
      <c r="DUE211" s="2522"/>
      <c r="DUF211" s="2522"/>
      <c r="DUG211" s="2522"/>
      <c r="DUH211" s="2522"/>
      <c r="DUI211" s="2522"/>
      <c r="DUJ211" s="2522"/>
      <c r="DUK211" s="2522"/>
      <c r="DUL211" s="2522"/>
      <c r="DUM211" s="2522"/>
      <c r="DUN211" s="2522"/>
      <c r="DUO211" s="2522"/>
      <c r="DUP211" s="2522"/>
      <c r="DUQ211" s="2522"/>
      <c r="DUR211" s="2522"/>
      <c r="DUS211" s="2522"/>
      <c r="DUT211" s="2522"/>
      <c r="DUU211" s="2522"/>
      <c r="DUV211" s="2522"/>
      <c r="DUW211" s="2522"/>
      <c r="DUX211" s="2522"/>
      <c r="DUY211" s="2522"/>
      <c r="DUZ211" s="2522"/>
      <c r="DVA211" s="2522"/>
      <c r="DVB211" s="2522"/>
      <c r="DVC211" s="2522"/>
      <c r="DVD211" s="2522"/>
      <c r="DVE211" s="2522"/>
      <c r="DVF211" s="2522"/>
      <c r="DVG211" s="2522"/>
      <c r="DVH211" s="2522"/>
      <c r="DVI211" s="2522"/>
      <c r="DVJ211" s="2522"/>
      <c r="DVK211" s="2522"/>
      <c r="DVL211" s="2522"/>
      <c r="DVM211" s="2522"/>
      <c r="DVN211" s="2522"/>
      <c r="DVO211" s="2522"/>
      <c r="DVP211" s="2522"/>
      <c r="DVQ211" s="2522"/>
      <c r="DVR211" s="2522"/>
      <c r="DVS211" s="2522"/>
      <c r="DVT211" s="2522"/>
      <c r="DVU211" s="2522"/>
      <c r="DVV211" s="2522"/>
      <c r="DVW211" s="2522"/>
      <c r="DVX211" s="2522"/>
      <c r="DVY211" s="2522"/>
      <c r="DVZ211" s="2522"/>
      <c r="DWA211" s="2522"/>
      <c r="DWB211" s="2522"/>
      <c r="DWC211" s="2522"/>
      <c r="DWD211" s="2522"/>
      <c r="DWE211" s="2522"/>
      <c r="DWF211" s="2522"/>
      <c r="DWG211" s="2522"/>
      <c r="DWH211" s="2522"/>
      <c r="DWI211" s="2522"/>
      <c r="DWJ211" s="2522"/>
      <c r="DWK211" s="2522"/>
      <c r="DWL211" s="2522"/>
      <c r="DWM211" s="2522"/>
      <c r="DWN211" s="2522"/>
      <c r="DWO211" s="2522"/>
      <c r="DWP211" s="2522"/>
      <c r="DWQ211" s="2522"/>
      <c r="DWR211" s="2522"/>
      <c r="DWS211" s="2522"/>
      <c r="DWT211" s="2522"/>
      <c r="DWU211" s="2522"/>
      <c r="DWV211" s="2522"/>
      <c r="DWW211" s="2522"/>
      <c r="DWX211" s="2522"/>
      <c r="DWY211" s="2522"/>
      <c r="DWZ211" s="2522"/>
      <c r="DXA211" s="2522"/>
      <c r="DXB211" s="2522"/>
      <c r="DXC211" s="2522"/>
      <c r="DXD211" s="2522"/>
      <c r="DXE211" s="2522"/>
      <c r="DXF211" s="2522"/>
      <c r="DXG211" s="2522"/>
      <c r="DXH211" s="2522"/>
      <c r="DXI211" s="2522"/>
      <c r="DXJ211" s="2522"/>
      <c r="DXK211" s="2522"/>
      <c r="DXL211" s="2522"/>
      <c r="DXM211" s="2522"/>
      <c r="DXN211" s="2522"/>
      <c r="DXO211" s="2522"/>
      <c r="DXP211" s="2522"/>
      <c r="DXQ211" s="2522"/>
      <c r="DXR211" s="2522"/>
      <c r="DXS211" s="2522"/>
      <c r="DXT211" s="2522"/>
      <c r="DXU211" s="2522"/>
      <c r="DXV211" s="2522"/>
      <c r="DXW211" s="2522"/>
      <c r="DXX211" s="2522"/>
      <c r="DXY211" s="2522"/>
      <c r="DXZ211" s="2522"/>
      <c r="DYA211" s="2522"/>
      <c r="DYB211" s="2522"/>
      <c r="DYC211" s="2522"/>
      <c r="DYD211" s="2522"/>
      <c r="DYE211" s="2522"/>
      <c r="DYF211" s="2522"/>
      <c r="DYG211" s="2522"/>
      <c r="DYH211" s="2522"/>
      <c r="DYI211" s="2522"/>
      <c r="DYJ211" s="2522"/>
      <c r="DYK211" s="2522"/>
      <c r="DYL211" s="2522"/>
      <c r="DYM211" s="2522"/>
      <c r="DYN211" s="2522"/>
      <c r="DYO211" s="2522"/>
      <c r="DYP211" s="2522"/>
      <c r="DYQ211" s="2522"/>
      <c r="DYR211" s="2522"/>
      <c r="DYS211" s="2522"/>
      <c r="DYT211" s="2522"/>
      <c r="DYU211" s="2522"/>
      <c r="DYV211" s="2522"/>
      <c r="DYW211" s="2522"/>
      <c r="DYX211" s="2522"/>
      <c r="DYY211" s="2522"/>
      <c r="DYZ211" s="2522"/>
      <c r="DZA211" s="2522"/>
      <c r="DZB211" s="2522"/>
      <c r="DZC211" s="2522"/>
      <c r="DZD211" s="2522"/>
      <c r="DZE211" s="2522"/>
      <c r="DZF211" s="2522"/>
      <c r="DZG211" s="2522"/>
      <c r="DZH211" s="2522"/>
      <c r="DZI211" s="2522"/>
      <c r="DZJ211" s="2522"/>
      <c r="DZK211" s="2522"/>
      <c r="DZL211" s="2522"/>
      <c r="DZM211" s="2522"/>
      <c r="DZN211" s="2522"/>
      <c r="DZO211" s="2522"/>
      <c r="DZP211" s="2522"/>
      <c r="DZQ211" s="2522"/>
      <c r="DZR211" s="2522"/>
      <c r="DZS211" s="2522"/>
      <c r="DZT211" s="2522"/>
      <c r="DZU211" s="2522"/>
      <c r="DZV211" s="2522"/>
      <c r="DZW211" s="2522"/>
      <c r="DZX211" s="2522"/>
      <c r="DZY211" s="2522"/>
      <c r="DZZ211" s="2522"/>
      <c r="EAA211" s="2522"/>
      <c r="EAB211" s="2522"/>
      <c r="EAC211" s="2522"/>
      <c r="EAD211" s="2522"/>
      <c r="EAE211" s="2522"/>
      <c r="EAF211" s="2522"/>
      <c r="EAG211" s="2522"/>
      <c r="EAH211" s="2522"/>
      <c r="EAI211" s="2522"/>
      <c r="EAJ211" s="2522"/>
      <c r="EAK211" s="2522"/>
      <c r="EAL211" s="2522"/>
      <c r="EAM211" s="2522"/>
      <c r="EAN211" s="2522"/>
      <c r="EAO211" s="2522"/>
      <c r="EAP211" s="2522"/>
      <c r="EAQ211" s="2522"/>
      <c r="EAR211" s="2522"/>
      <c r="EAS211" s="2522"/>
      <c r="EAT211" s="2522"/>
      <c r="EAU211" s="2522"/>
      <c r="EAV211" s="2522"/>
      <c r="EAW211" s="2522"/>
      <c r="EAX211" s="2522"/>
      <c r="EAY211" s="2522"/>
      <c r="EAZ211" s="2522"/>
      <c r="EBA211" s="2522"/>
      <c r="EBB211" s="2522"/>
      <c r="EBC211" s="2522"/>
      <c r="EBD211" s="2522"/>
      <c r="EBE211" s="2522"/>
      <c r="EBF211" s="2522"/>
      <c r="EBG211" s="2522"/>
      <c r="EBH211" s="2522"/>
      <c r="EBI211" s="2522"/>
      <c r="EBJ211" s="2522"/>
      <c r="EBK211" s="2522"/>
      <c r="EBL211" s="2522"/>
      <c r="EBM211" s="2522"/>
      <c r="EBN211" s="2522"/>
      <c r="EBO211" s="2522"/>
      <c r="EBP211" s="2522"/>
      <c r="EBQ211" s="2522"/>
      <c r="EBR211" s="2522"/>
      <c r="EBS211" s="2522"/>
      <c r="EBT211" s="2522"/>
      <c r="EBU211" s="2522"/>
      <c r="EBV211" s="2522"/>
      <c r="EBW211" s="2522"/>
      <c r="EBX211" s="2522"/>
      <c r="EBY211" s="2522"/>
      <c r="EBZ211" s="2522"/>
      <c r="ECA211" s="2522"/>
      <c r="ECB211" s="2522"/>
      <c r="ECC211" s="2522"/>
      <c r="ECD211" s="2522"/>
      <c r="ECE211" s="2522"/>
      <c r="ECF211" s="2522"/>
      <c r="ECG211" s="2522"/>
      <c r="ECH211" s="2522"/>
      <c r="ECI211" s="2522"/>
      <c r="ECJ211" s="2522"/>
      <c r="ECK211" s="2522"/>
      <c r="ECL211" s="2522"/>
      <c r="ECM211" s="2522"/>
      <c r="ECN211" s="2522"/>
      <c r="ECO211" s="2522"/>
      <c r="ECP211" s="2522"/>
      <c r="ECQ211" s="2522"/>
      <c r="ECR211" s="2522"/>
      <c r="ECS211" s="2522"/>
      <c r="ECT211" s="2522"/>
      <c r="ECU211" s="2522"/>
      <c r="ECV211" s="2522"/>
      <c r="ECW211" s="2522"/>
      <c r="ECX211" s="2522"/>
      <c r="ECY211" s="2522"/>
      <c r="ECZ211" s="2522"/>
      <c r="EDA211" s="2522"/>
      <c r="EDB211" s="2522"/>
      <c r="EDC211" s="2522"/>
      <c r="EDD211" s="2522"/>
      <c r="EDE211" s="2522"/>
      <c r="EDF211" s="2522"/>
      <c r="EDG211" s="2522"/>
      <c r="EDH211" s="2522"/>
      <c r="EDI211" s="2522"/>
      <c r="EDJ211" s="2522"/>
      <c r="EDK211" s="2522"/>
      <c r="EDL211" s="2522"/>
      <c r="EDM211" s="2522"/>
      <c r="EDN211" s="2522"/>
      <c r="EDO211" s="2522"/>
      <c r="EDP211" s="2522"/>
      <c r="EDQ211" s="2522"/>
      <c r="EDR211" s="2522"/>
      <c r="EDS211" s="2522"/>
      <c r="EDT211" s="2522"/>
      <c r="EDU211" s="2522"/>
      <c r="EDV211" s="2522"/>
      <c r="EDW211" s="2522"/>
      <c r="EDX211" s="2522"/>
      <c r="EDY211" s="2522"/>
      <c r="EDZ211" s="2522"/>
      <c r="EEA211" s="2522"/>
      <c r="EEB211" s="2522"/>
      <c r="EEC211" s="2522"/>
      <c r="EED211" s="2522"/>
      <c r="EEE211" s="2522"/>
      <c r="EEF211" s="2522"/>
      <c r="EEG211" s="2522"/>
      <c r="EEH211" s="2522"/>
      <c r="EEI211" s="2522"/>
      <c r="EEJ211" s="2522"/>
      <c r="EEK211" s="2522"/>
      <c r="EEL211" s="2522"/>
      <c r="EEM211" s="2522"/>
      <c r="EEN211" s="2522"/>
      <c r="EEO211" s="2522"/>
      <c r="EEP211" s="2522"/>
      <c r="EEQ211" s="2522"/>
      <c r="EER211" s="2522"/>
      <c r="EES211" s="2522"/>
      <c r="EET211" s="2522"/>
      <c r="EEU211" s="2522"/>
      <c r="EEV211" s="2522"/>
      <c r="EEW211" s="2522"/>
      <c r="EEX211" s="2522"/>
      <c r="EEY211" s="2522"/>
      <c r="EEZ211" s="2522"/>
      <c r="EFA211" s="2522"/>
      <c r="EFB211" s="2522"/>
      <c r="EFC211" s="2522"/>
      <c r="EFD211" s="2522"/>
      <c r="EFE211" s="2522"/>
      <c r="EFF211" s="2522"/>
      <c r="EFG211" s="2522"/>
      <c r="EFH211" s="2522"/>
      <c r="EFI211" s="2522"/>
      <c r="EFJ211" s="2522"/>
      <c r="EFK211" s="2522"/>
      <c r="EFL211" s="2522"/>
      <c r="EFM211" s="2522"/>
      <c r="EFN211" s="2522"/>
      <c r="EFO211" s="2522"/>
      <c r="EFP211" s="2522"/>
      <c r="EFQ211" s="2522"/>
      <c r="EFR211" s="2522"/>
      <c r="EFS211" s="2522"/>
      <c r="EFT211" s="2522"/>
      <c r="EFU211" s="2522"/>
      <c r="EFV211" s="2522"/>
      <c r="EFW211" s="2522"/>
      <c r="EFX211" s="2522"/>
      <c r="EFY211" s="2522"/>
      <c r="EFZ211" s="2522"/>
      <c r="EGA211" s="2522"/>
      <c r="EGB211" s="2522"/>
      <c r="EGC211" s="2522"/>
      <c r="EGD211" s="2522"/>
      <c r="EGE211" s="2522"/>
      <c r="EGF211" s="2522"/>
      <c r="EGG211" s="2522"/>
      <c r="EGH211" s="2522"/>
      <c r="EGI211" s="2522"/>
      <c r="EGJ211" s="2522"/>
      <c r="EGK211" s="2522"/>
      <c r="EGL211" s="2522"/>
      <c r="EGM211" s="2522"/>
      <c r="EGN211" s="2522"/>
      <c r="EGO211" s="2522"/>
      <c r="EGP211" s="2522"/>
      <c r="EGQ211" s="2522"/>
      <c r="EGR211" s="2522"/>
      <c r="EGS211" s="2522"/>
      <c r="EGT211" s="2522"/>
      <c r="EGU211" s="2522"/>
      <c r="EGV211" s="2522"/>
      <c r="EGW211" s="2522"/>
      <c r="EGX211" s="2522"/>
      <c r="EGY211" s="2522"/>
      <c r="EGZ211" s="2522"/>
      <c r="EHA211" s="2522"/>
      <c r="EHB211" s="2522"/>
      <c r="EHC211" s="2522"/>
      <c r="EHD211" s="2522"/>
      <c r="EHE211" s="2522"/>
      <c r="EHF211" s="2522"/>
      <c r="EHG211" s="2522"/>
      <c r="EHH211" s="2522"/>
      <c r="EHI211" s="2522"/>
      <c r="EHJ211" s="2522"/>
      <c r="EHK211" s="2522"/>
      <c r="EHL211" s="2522"/>
      <c r="EHM211" s="2522"/>
      <c r="EHN211" s="2522"/>
      <c r="EHO211" s="2522"/>
      <c r="EHP211" s="2522"/>
      <c r="EHQ211" s="2522"/>
      <c r="EHR211" s="2522"/>
      <c r="EHS211" s="2522"/>
      <c r="EHT211" s="2522"/>
      <c r="EHU211" s="2522"/>
      <c r="EHV211" s="2522"/>
      <c r="EHW211" s="2522"/>
      <c r="EHX211" s="2522"/>
      <c r="EHY211" s="2522"/>
      <c r="EHZ211" s="2522"/>
      <c r="EIA211" s="2522"/>
      <c r="EIB211" s="2522"/>
      <c r="EIC211" s="2522"/>
      <c r="EID211" s="2522"/>
      <c r="EIE211" s="2522"/>
      <c r="EIF211" s="2522"/>
      <c r="EIG211" s="2522"/>
      <c r="EIH211" s="2522"/>
      <c r="EII211" s="2522"/>
      <c r="EIJ211" s="2522"/>
      <c r="EIK211" s="2522"/>
      <c r="EIL211" s="2522"/>
      <c r="EIM211" s="2522"/>
      <c r="EIN211" s="2522"/>
      <c r="EIO211" s="2522"/>
      <c r="EIP211" s="2522"/>
      <c r="EIQ211" s="2522"/>
      <c r="EIR211" s="2522"/>
      <c r="EIS211" s="2522"/>
      <c r="EIT211" s="2522"/>
      <c r="EIU211" s="2522"/>
      <c r="EIV211" s="2522"/>
      <c r="EIW211" s="2522"/>
      <c r="EIX211" s="2522"/>
      <c r="EIY211" s="2522"/>
      <c r="EIZ211" s="2522"/>
      <c r="EJA211" s="2522"/>
      <c r="EJB211" s="2522"/>
      <c r="EJC211" s="2522"/>
      <c r="EJD211" s="2522"/>
      <c r="EJE211" s="2522"/>
      <c r="EJF211" s="2522"/>
      <c r="EJG211" s="2522"/>
      <c r="EJH211" s="2522"/>
      <c r="EJI211" s="2522"/>
      <c r="EJJ211" s="2522"/>
      <c r="EJK211" s="2522"/>
      <c r="EJL211" s="2522"/>
      <c r="EJM211" s="2522"/>
      <c r="EJN211" s="2522"/>
      <c r="EJO211" s="2522"/>
      <c r="EJP211" s="2522"/>
      <c r="EJQ211" s="2522"/>
      <c r="EJR211" s="2522"/>
      <c r="EJS211" s="2522"/>
      <c r="EJT211" s="2522"/>
      <c r="EJU211" s="2522"/>
      <c r="EJV211" s="2522"/>
      <c r="EJW211" s="2522"/>
      <c r="EJX211" s="2522"/>
      <c r="EJY211" s="2522"/>
      <c r="EJZ211" s="2522"/>
      <c r="EKA211" s="2522"/>
      <c r="EKB211" s="2522"/>
      <c r="EKC211" s="2522"/>
      <c r="EKD211" s="2522"/>
      <c r="EKE211" s="2522"/>
      <c r="EKF211" s="2522"/>
      <c r="EKG211" s="2522"/>
      <c r="EKH211" s="2522"/>
      <c r="EKI211" s="2522"/>
      <c r="EKJ211" s="2522"/>
      <c r="EKK211" s="2522"/>
      <c r="EKL211" s="2522"/>
      <c r="EKM211" s="2522"/>
      <c r="EKN211" s="2522"/>
      <c r="EKO211" s="2522"/>
      <c r="EKP211" s="2522"/>
      <c r="EKQ211" s="2522"/>
      <c r="EKR211" s="2522"/>
      <c r="EKS211" s="2522"/>
      <c r="EKT211" s="2522"/>
      <c r="EKU211" s="2522"/>
      <c r="EKV211" s="2522"/>
      <c r="EKW211" s="2522"/>
      <c r="EKX211" s="2522"/>
      <c r="EKY211" s="2522"/>
      <c r="EKZ211" s="2522"/>
      <c r="ELA211" s="2522"/>
      <c r="ELB211" s="2522"/>
      <c r="ELC211" s="2522"/>
      <c r="ELD211" s="2522"/>
      <c r="ELE211" s="2522"/>
      <c r="ELF211" s="2522"/>
      <c r="ELG211" s="2522"/>
      <c r="ELH211" s="2522"/>
      <c r="ELI211" s="2522"/>
      <c r="ELJ211" s="2522"/>
      <c r="ELK211" s="2522"/>
      <c r="ELL211" s="2522"/>
      <c r="ELM211" s="2522"/>
      <c r="ELN211" s="2522"/>
      <c r="ELO211" s="2522"/>
      <c r="ELP211" s="2522"/>
      <c r="ELQ211" s="2522"/>
      <c r="ELR211" s="2522"/>
      <c r="ELS211" s="2522"/>
      <c r="ELT211" s="2522"/>
      <c r="ELU211" s="2522"/>
      <c r="ELV211" s="2522"/>
      <c r="ELW211" s="2522"/>
      <c r="ELX211" s="2522"/>
      <c r="ELY211" s="2522"/>
      <c r="ELZ211" s="2522"/>
      <c r="EMA211" s="2522"/>
      <c r="EMB211" s="2522"/>
      <c r="EMC211" s="2522"/>
      <c r="EMD211" s="2522"/>
      <c r="EME211" s="2522"/>
      <c r="EMF211" s="2522"/>
      <c r="EMG211" s="2522"/>
      <c r="EMH211" s="2522"/>
      <c r="EMI211" s="2522"/>
      <c r="EMJ211" s="2522"/>
      <c r="EMK211" s="2522"/>
      <c r="EML211" s="2522"/>
      <c r="EMM211" s="2522"/>
      <c r="EMN211" s="2522"/>
      <c r="EMO211" s="2522"/>
      <c r="EMP211" s="2522"/>
      <c r="EMQ211" s="2522"/>
      <c r="EMR211" s="2522"/>
      <c r="EMS211" s="2522"/>
      <c r="EMT211" s="2522"/>
      <c r="EMU211" s="2522"/>
      <c r="EMV211" s="2522"/>
      <c r="EMW211" s="2522"/>
      <c r="EMX211" s="2522"/>
      <c r="EMY211" s="2522"/>
      <c r="EMZ211" s="2522"/>
      <c r="ENA211" s="2522"/>
      <c r="ENB211" s="2522"/>
      <c r="ENC211" s="2522"/>
      <c r="END211" s="2522"/>
      <c r="ENE211" s="2522"/>
      <c r="ENF211" s="2522"/>
      <c r="ENG211" s="2522"/>
      <c r="ENH211" s="2522"/>
      <c r="ENI211" s="2522"/>
      <c r="ENJ211" s="2522"/>
      <c r="ENK211" s="2522"/>
      <c r="ENL211" s="2522"/>
      <c r="ENM211" s="2522"/>
      <c r="ENN211" s="2522"/>
      <c r="ENO211" s="2522"/>
      <c r="ENP211" s="2522"/>
      <c r="ENQ211" s="2522"/>
      <c r="ENR211" s="2522"/>
      <c r="ENS211" s="2522"/>
      <c r="ENT211" s="2522"/>
      <c r="ENU211" s="2522"/>
      <c r="ENV211" s="2522"/>
      <c r="ENW211" s="2522"/>
      <c r="ENX211" s="2522"/>
      <c r="ENY211" s="2522"/>
      <c r="ENZ211" s="2522"/>
      <c r="EOA211" s="2522"/>
      <c r="EOB211" s="2522"/>
      <c r="EOC211" s="2522"/>
      <c r="EOD211" s="2522"/>
      <c r="EOE211" s="2522"/>
      <c r="EOF211" s="2522"/>
      <c r="EOG211" s="2522"/>
      <c r="EOH211" s="2522"/>
      <c r="EOI211" s="2522"/>
      <c r="EOJ211" s="2522"/>
      <c r="EOK211" s="2522"/>
      <c r="EOL211" s="2522"/>
      <c r="EOM211" s="2522"/>
      <c r="EON211" s="2522"/>
      <c r="EOO211" s="2522"/>
      <c r="EOP211" s="2522"/>
      <c r="EOQ211" s="2522"/>
      <c r="EOR211" s="2522"/>
      <c r="EOS211" s="2522"/>
      <c r="EOT211" s="2522"/>
      <c r="EOU211" s="2522"/>
      <c r="EOV211" s="2522"/>
      <c r="EOW211" s="2522"/>
      <c r="EOX211" s="2522"/>
      <c r="EOY211" s="2522"/>
      <c r="EOZ211" s="2522"/>
      <c r="EPA211" s="2522"/>
      <c r="EPB211" s="2522"/>
      <c r="EPC211" s="2522"/>
      <c r="EPD211" s="2522"/>
      <c r="EPE211" s="2522"/>
      <c r="EPF211" s="2522"/>
      <c r="EPG211" s="2522"/>
      <c r="EPH211" s="2522"/>
      <c r="EPI211" s="2522"/>
      <c r="EPJ211" s="2522"/>
      <c r="EPK211" s="2522"/>
      <c r="EPL211" s="2522"/>
      <c r="EPM211" s="2522"/>
      <c r="EPN211" s="2522"/>
      <c r="EPO211" s="2522"/>
      <c r="EPP211" s="2522"/>
      <c r="EPQ211" s="2522"/>
      <c r="EPR211" s="2522"/>
      <c r="EPS211" s="2522"/>
      <c r="EPT211" s="2522"/>
      <c r="EPU211" s="2522"/>
      <c r="EPV211" s="2522"/>
      <c r="EPW211" s="2522"/>
      <c r="EPX211" s="2522"/>
      <c r="EPY211" s="2522"/>
      <c r="EPZ211" s="2522"/>
      <c r="EQA211" s="2522"/>
      <c r="EQB211" s="2522"/>
      <c r="EQC211" s="2522"/>
      <c r="EQD211" s="2522"/>
      <c r="EQE211" s="2522"/>
      <c r="EQF211" s="2522"/>
      <c r="EQG211" s="2522"/>
      <c r="EQH211" s="2522"/>
      <c r="EQI211" s="2522"/>
      <c r="EQJ211" s="2522"/>
      <c r="EQK211" s="2522"/>
      <c r="EQL211" s="2522"/>
      <c r="EQM211" s="2522"/>
      <c r="EQN211" s="2522"/>
      <c r="EQO211" s="2522"/>
      <c r="EQP211" s="2522"/>
      <c r="EQQ211" s="2522"/>
      <c r="EQR211" s="2522"/>
      <c r="EQS211" s="2522"/>
      <c r="EQT211" s="2522"/>
      <c r="EQU211" s="2522"/>
      <c r="EQV211" s="2522"/>
      <c r="EQW211" s="2522"/>
      <c r="EQX211" s="2522"/>
      <c r="EQY211" s="2522"/>
      <c r="EQZ211" s="2522"/>
      <c r="ERA211" s="2522"/>
      <c r="ERB211" s="2522"/>
      <c r="ERC211" s="2522"/>
      <c r="ERD211" s="2522"/>
      <c r="ERE211" s="2522"/>
      <c r="ERF211" s="2522"/>
      <c r="ERG211" s="2522"/>
      <c r="ERH211" s="2522"/>
      <c r="ERI211" s="2522"/>
      <c r="ERJ211" s="2522"/>
      <c r="ERK211" s="2522"/>
      <c r="ERL211" s="2522"/>
      <c r="ERM211" s="2522"/>
      <c r="ERN211" s="2522"/>
      <c r="ERO211" s="2522"/>
      <c r="ERP211" s="2522"/>
      <c r="ERQ211" s="2522"/>
      <c r="ERR211" s="2522"/>
      <c r="ERS211" s="2522"/>
      <c r="ERT211" s="2522"/>
      <c r="ERU211" s="2522"/>
      <c r="ERV211" s="2522"/>
      <c r="ERW211" s="2522"/>
      <c r="ERX211" s="2522"/>
      <c r="ERY211" s="2522"/>
      <c r="ERZ211" s="2522"/>
      <c r="ESA211" s="2522"/>
      <c r="ESB211" s="2522"/>
      <c r="ESC211" s="2522"/>
      <c r="ESD211" s="2522"/>
      <c r="ESE211" s="2522"/>
      <c r="ESF211" s="2522"/>
      <c r="ESG211" s="2522"/>
      <c r="ESH211" s="2522"/>
      <c r="ESI211" s="2522"/>
      <c r="ESJ211" s="2522"/>
      <c r="ESK211" s="2522"/>
      <c r="ESL211" s="2522"/>
      <c r="ESM211" s="2522"/>
      <c r="ESN211" s="2522"/>
      <c r="ESO211" s="2522"/>
      <c r="ESP211" s="2522"/>
      <c r="ESQ211" s="2522"/>
      <c r="ESR211" s="2522"/>
      <c r="ESS211" s="2522"/>
      <c r="EST211" s="2522"/>
      <c r="ESU211" s="2522"/>
      <c r="ESV211" s="2522"/>
      <c r="ESW211" s="2522"/>
      <c r="ESX211" s="2522"/>
      <c r="ESY211" s="2522"/>
      <c r="ESZ211" s="2522"/>
      <c r="ETA211" s="2522"/>
      <c r="ETB211" s="2522"/>
      <c r="ETC211" s="2522"/>
      <c r="ETD211" s="2522"/>
      <c r="ETE211" s="2522"/>
      <c r="ETF211" s="2522"/>
      <c r="ETG211" s="2522"/>
      <c r="ETH211" s="2522"/>
      <c r="ETI211" s="2522"/>
      <c r="ETJ211" s="2522"/>
      <c r="ETK211" s="2522"/>
      <c r="ETL211" s="2522"/>
      <c r="ETM211" s="2522"/>
      <c r="ETN211" s="2522"/>
      <c r="ETO211" s="2522"/>
      <c r="ETP211" s="2522"/>
      <c r="ETQ211" s="2522"/>
      <c r="ETR211" s="2522"/>
      <c r="ETS211" s="2522"/>
      <c r="ETT211" s="2522"/>
      <c r="ETU211" s="2522"/>
      <c r="ETV211" s="2522"/>
      <c r="ETW211" s="2522"/>
      <c r="ETX211" s="2522"/>
      <c r="ETY211" s="2522"/>
      <c r="ETZ211" s="2522"/>
      <c r="EUA211" s="2522"/>
      <c r="EUB211" s="2522"/>
      <c r="EUC211" s="2522"/>
      <c r="EUD211" s="2522"/>
      <c r="EUE211" s="2522"/>
      <c r="EUF211" s="2522"/>
      <c r="EUG211" s="2522"/>
      <c r="EUH211" s="2522"/>
      <c r="EUI211" s="2522"/>
      <c r="EUJ211" s="2522"/>
      <c r="EUK211" s="2522"/>
      <c r="EUL211" s="2522"/>
      <c r="EUM211" s="2522"/>
      <c r="EUN211" s="2522"/>
      <c r="EUO211" s="2522"/>
      <c r="EUP211" s="2522"/>
      <c r="EUQ211" s="2522"/>
      <c r="EUR211" s="2522"/>
      <c r="EUS211" s="2522"/>
      <c r="EUT211" s="2522"/>
      <c r="EUU211" s="2522"/>
      <c r="EUV211" s="2522"/>
      <c r="EUW211" s="2522"/>
      <c r="EUX211" s="2522"/>
      <c r="EUY211" s="2522"/>
      <c r="EUZ211" s="2522"/>
      <c r="EVA211" s="2522"/>
      <c r="EVB211" s="2522"/>
      <c r="EVC211" s="2522"/>
      <c r="EVD211" s="2522"/>
      <c r="EVE211" s="2522"/>
      <c r="EVF211" s="2522"/>
      <c r="EVG211" s="2522"/>
      <c r="EVH211" s="2522"/>
      <c r="EVI211" s="2522"/>
      <c r="EVJ211" s="2522"/>
      <c r="EVK211" s="2522"/>
      <c r="EVL211" s="2522"/>
      <c r="EVM211" s="2522"/>
      <c r="EVN211" s="2522"/>
      <c r="EVO211" s="2522"/>
      <c r="EVP211" s="2522"/>
      <c r="EVQ211" s="2522"/>
      <c r="EVR211" s="2522"/>
      <c r="EVS211" s="2522"/>
      <c r="EVT211" s="2522"/>
      <c r="EVU211" s="2522"/>
      <c r="EVV211" s="2522"/>
      <c r="EVW211" s="2522"/>
      <c r="EVX211" s="2522"/>
      <c r="EVY211" s="2522"/>
      <c r="EVZ211" s="2522"/>
      <c r="EWA211" s="2522"/>
      <c r="EWB211" s="2522"/>
      <c r="EWC211" s="2522"/>
      <c r="EWD211" s="2522"/>
      <c r="EWE211" s="2522"/>
      <c r="EWF211" s="2522"/>
      <c r="EWG211" s="2522"/>
      <c r="EWH211" s="2522"/>
      <c r="EWI211" s="2522"/>
      <c r="EWJ211" s="2522"/>
      <c r="EWK211" s="2522"/>
      <c r="EWL211" s="2522"/>
      <c r="EWM211" s="2522"/>
      <c r="EWN211" s="2522"/>
      <c r="EWO211" s="2522"/>
      <c r="EWP211" s="2522"/>
      <c r="EWQ211" s="2522"/>
      <c r="EWR211" s="2522"/>
      <c r="EWS211" s="2522"/>
      <c r="EWT211" s="2522"/>
      <c r="EWU211" s="2522"/>
      <c r="EWV211" s="2522"/>
      <c r="EWW211" s="2522"/>
      <c r="EWX211" s="2522"/>
      <c r="EWY211" s="2522"/>
      <c r="EWZ211" s="2522"/>
      <c r="EXA211" s="2522"/>
      <c r="EXB211" s="2522"/>
      <c r="EXC211" s="2522"/>
      <c r="EXD211" s="2522"/>
      <c r="EXE211" s="2522"/>
      <c r="EXF211" s="2522"/>
      <c r="EXG211" s="2522"/>
      <c r="EXH211" s="2522"/>
      <c r="EXI211" s="2522"/>
      <c r="EXJ211" s="2522"/>
      <c r="EXK211" s="2522"/>
      <c r="EXL211" s="2522"/>
      <c r="EXM211" s="2522"/>
      <c r="EXN211" s="2522"/>
      <c r="EXO211" s="2522"/>
      <c r="EXP211" s="2522"/>
      <c r="EXQ211" s="2522"/>
      <c r="EXR211" s="2522"/>
      <c r="EXS211" s="2522"/>
      <c r="EXT211" s="2522"/>
      <c r="EXU211" s="2522"/>
      <c r="EXV211" s="2522"/>
      <c r="EXW211" s="2522"/>
      <c r="EXX211" s="2522"/>
      <c r="EXY211" s="2522"/>
      <c r="EXZ211" s="2522"/>
      <c r="EYA211" s="2522"/>
      <c r="EYB211" s="2522"/>
      <c r="EYC211" s="2522"/>
      <c r="EYD211" s="2522"/>
      <c r="EYE211" s="2522"/>
      <c r="EYF211" s="2522"/>
      <c r="EYG211" s="2522"/>
      <c r="EYH211" s="2522"/>
      <c r="EYI211" s="2522"/>
      <c r="EYJ211" s="2522"/>
      <c r="EYK211" s="2522"/>
      <c r="EYL211" s="2522"/>
      <c r="EYM211" s="2522"/>
      <c r="EYN211" s="2522"/>
      <c r="EYO211" s="2522"/>
      <c r="EYP211" s="2522"/>
      <c r="EYQ211" s="2522"/>
      <c r="EYR211" s="2522"/>
      <c r="EYS211" s="2522"/>
      <c r="EYT211" s="2522"/>
      <c r="EYU211" s="2522"/>
      <c r="EYV211" s="2522"/>
      <c r="EYW211" s="2522"/>
      <c r="EYX211" s="2522"/>
      <c r="EYY211" s="2522"/>
      <c r="EYZ211" s="2522"/>
      <c r="EZA211" s="2522"/>
      <c r="EZB211" s="2522"/>
      <c r="EZC211" s="2522"/>
      <c r="EZD211" s="2522"/>
      <c r="EZE211" s="2522"/>
      <c r="EZF211" s="2522"/>
      <c r="EZG211" s="2522"/>
      <c r="EZH211" s="2522"/>
      <c r="EZI211" s="2522"/>
      <c r="EZJ211" s="2522"/>
      <c r="EZK211" s="2522"/>
      <c r="EZL211" s="2522"/>
      <c r="EZM211" s="2522"/>
      <c r="EZN211" s="2522"/>
      <c r="EZO211" s="2522"/>
      <c r="EZP211" s="2522"/>
      <c r="EZQ211" s="2522"/>
      <c r="EZR211" s="2522"/>
      <c r="EZS211" s="2522"/>
      <c r="EZT211" s="2522"/>
      <c r="EZU211" s="2522"/>
      <c r="EZV211" s="2522"/>
      <c r="EZW211" s="2522"/>
      <c r="EZX211" s="2522"/>
      <c r="EZY211" s="2522"/>
      <c r="EZZ211" s="2522"/>
      <c r="FAA211" s="2522"/>
      <c r="FAB211" s="2522"/>
      <c r="FAC211" s="2522"/>
      <c r="FAD211" s="2522"/>
      <c r="FAE211" s="2522"/>
      <c r="FAF211" s="2522"/>
      <c r="FAG211" s="2522"/>
      <c r="FAH211" s="2522"/>
      <c r="FAI211" s="2522"/>
      <c r="FAJ211" s="2522"/>
      <c r="FAK211" s="2522"/>
      <c r="FAL211" s="2522"/>
      <c r="FAM211" s="2522"/>
      <c r="FAN211" s="2522"/>
      <c r="FAO211" s="2522"/>
      <c r="FAP211" s="2522"/>
      <c r="FAQ211" s="2522"/>
      <c r="FAR211" s="2522"/>
      <c r="FAS211" s="2522"/>
      <c r="FAT211" s="2522"/>
      <c r="FAU211" s="2522"/>
      <c r="FAV211" s="2522"/>
      <c r="FAW211" s="2522"/>
      <c r="FAX211" s="2522"/>
      <c r="FAY211" s="2522"/>
      <c r="FAZ211" s="2522"/>
      <c r="FBA211" s="2522"/>
      <c r="FBB211" s="2522"/>
      <c r="FBC211" s="2522"/>
      <c r="FBD211" s="2522"/>
      <c r="FBE211" s="2522"/>
      <c r="FBF211" s="2522"/>
      <c r="FBG211" s="2522"/>
      <c r="FBH211" s="2522"/>
      <c r="FBI211" s="2522"/>
      <c r="FBJ211" s="2522"/>
      <c r="FBK211" s="2522"/>
      <c r="FBL211" s="2522"/>
      <c r="FBM211" s="2522"/>
      <c r="FBN211" s="2522"/>
      <c r="FBO211" s="2522"/>
      <c r="FBP211" s="2522"/>
      <c r="FBQ211" s="2522"/>
      <c r="FBR211" s="2522"/>
      <c r="FBS211" s="2522"/>
      <c r="FBT211" s="2522"/>
      <c r="FBU211" s="2522"/>
      <c r="FBV211" s="2522"/>
      <c r="FBW211" s="2522"/>
      <c r="FBX211" s="2522"/>
      <c r="FBY211" s="2522"/>
      <c r="FBZ211" s="2522"/>
      <c r="FCA211" s="2522"/>
      <c r="FCB211" s="2522"/>
      <c r="FCC211" s="2522"/>
      <c r="FCD211" s="2522"/>
      <c r="FCE211" s="2522"/>
      <c r="FCF211" s="2522"/>
      <c r="FCG211" s="2522"/>
      <c r="FCH211" s="2522"/>
      <c r="FCI211" s="2522"/>
      <c r="FCJ211" s="2522"/>
      <c r="FCK211" s="2522"/>
      <c r="FCL211" s="2522"/>
      <c r="FCM211" s="2522"/>
      <c r="FCN211" s="2522"/>
      <c r="FCO211" s="2522"/>
      <c r="FCP211" s="2522"/>
      <c r="FCQ211" s="2522"/>
      <c r="FCR211" s="2522"/>
      <c r="FCS211" s="2522"/>
      <c r="FCT211" s="2522"/>
      <c r="FCU211" s="2522"/>
      <c r="FCV211" s="2522"/>
      <c r="FCW211" s="2522"/>
      <c r="FCX211" s="2522"/>
      <c r="FCY211" s="2522"/>
      <c r="FCZ211" s="2522"/>
      <c r="FDA211" s="2522"/>
      <c r="FDB211" s="2522"/>
      <c r="FDC211" s="2522"/>
      <c r="FDD211" s="2522"/>
      <c r="FDE211" s="2522"/>
      <c r="FDF211" s="2522"/>
      <c r="FDG211" s="2522"/>
      <c r="FDH211" s="2522"/>
      <c r="FDI211" s="2522"/>
      <c r="FDJ211" s="2522"/>
      <c r="FDK211" s="2522"/>
      <c r="FDL211" s="2522"/>
      <c r="FDM211" s="2522"/>
      <c r="FDN211" s="2522"/>
      <c r="FDO211" s="2522"/>
      <c r="FDP211" s="2522"/>
      <c r="FDQ211" s="2522"/>
      <c r="FDR211" s="2522"/>
      <c r="FDS211" s="2522"/>
      <c r="FDT211" s="2522"/>
      <c r="FDU211" s="2522"/>
      <c r="FDV211" s="2522"/>
      <c r="FDW211" s="2522"/>
      <c r="FDX211" s="2522"/>
      <c r="FDY211" s="2522"/>
      <c r="FDZ211" s="2522"/>
      <c r="FEA211" s="2522"/>
      <c r="FEB211" s="2522"/>
      <c r="FEC211" s="2522"/>
      <c r="FED211" s="2522"/>
      <c r="FEE211" s="2522"/>
      <c r="FEF211" s="2522"/>
      <c r="FEG211" s="2522"/>
      <c r="FEH211" s="2522"/>
      <c r="FEI211" s="2522"/>
      <c r="FEJ211" s="2522"/>
      <c r="FEK211" s="2522"/>
      <c r="FEL211" s="2522"/>
      <c r="FEM211" s="2522"/>
      <c r="FEN211" s="2522"/>
      <c r="FEO211" s="2522"/>
      <c r="FEP211" s="2522"/>
      <c r="FEQ211" s="2522"/>
      <c r="FER211" s="2522"/>
      <c r="FES211" s="2522"/>
      <c r="FET211" s="2522"/>
      <c r="FEU211" s="2522"/>
      <c r="FEV211" s="2522"/>
      <c r="FEW211" s="2522"/>
      <c r="FEX211" s="2522"/>
      <c r="FEY211" s="2522"/>
      <c r="FEZ211" s="2522"/>
      <c r="FFA211" s="2522"/>
      <c r="FFB211" s="2522"/>
      <c r="FFC211" s="2522"/>
      <c r="FFD211" s="2522"/>
      <c r="FFE211" s="2522"/>
      <c r="FFF211" s="2522"/>
      <c r="FFG211" s="2522"/>
      <c r="FFH211" s="2522"/>
      <c r="FFI211" s="2522"/>
      <c r="FFJ211" s="2522"/>
      <c r="FFK211" s="2522"/>
      <c r="FFL211" s="2522"/>
      <c r="FFM211" s="2522"/>
      <c r="FFN211" s="2522"/>
      <c r="FFO211" s="2522"/>
      <c r="FFP211" s="2522"/>
      <c r="FFQ211" s="2522"/>
      <c r="FFR211" s="2522"/>
      <c r="FFS211" s="2522"/>
      <c r="FFT211" s="2522"/>
      <c r="FFU211" s="2522"/>
      <c r="FFV211" s="2522"/>
      <c r="FFW211" s="2522"/>
      <c r="FFX211" s="2522"/>
      <c r="FFY211" s="2522"/>
      <c r="FFZ211" s="2522"/>
      <c r="FGA211" s="2522"/>
      <c r="FGB211" s="2522"/>
      <c r="FGC211" s="2522"/>
      <c r="FGD211" s="2522"/>
      <c r="FGE211" s="2522"/>
      <c r="FGF211" s="2522"/>
      <c r="FGG211" s="2522"/>
      <c r="FGH211" s="2522"/>
      <c r="FGI211" s="2522"/>
      <c r="FGJ211" s="2522"/>
      <c r="FGK211" s="2522"/>
      <c r="FGL211" s="2522"/>
      <c r="FGM211" s="2522"/>
      <c r="FGN211" s="2522"/>
      <c r="FGO211" s="2522"/>
      <c r="FGP211" s="2522"/>
      <c r="FGQ211" s="2522"/>
      <c r="FGR211" s="2522"/>
      <c r="FGS211" s="2522"/>
      <c r="FGT211" s="2522"/>
      <c r="FGU211" s="2522"/>
      <c r="FGV211" s="2522"/>
      <c r="FGW211" s="2522"/>
      <c r="FGX211" s="2522"/>
      <c r="FGY211" s="2522"/>
      <c r="FGZ211" s="2522"/>
      <c r="FHA211" s="2522"/>
      <c r="FHB211" s="2522"/>
      <c r="FHC211" s="2522"/>
      <c r="FHD211" s="2522"/>
      <c r="FHE211" s="2522"/>
      <c r="FHF211" s="2522"/>
      <c r="FHG211" s="2522"/>
      <c r="FHH211" s="2522"/>
      <c r="FHI211" s="2522"/>
      <c r="FHJ211" s="2522"/>
      <c r="FHK211" s="2522"/>
      <c r="FHL211" s="2522"/>
      <c r="FHM211" s="2522"/>
      <c r="FHN211" s="2522"/>
      <c r="FHO211" s="2522"/>
      <c r="FHP211" s="2522"/>
      <c r="FHQ211" s="2522"/>
      <c r="FHR211" s="2522"/>
      <c r="FHS211" s="2522"/>
      <c r="FHT211" s="2522"/>
      <c r="FHU211" s="2522"/>
      <c r="FHV211" s="2522"/>
      <c r="FHW211" s="2522"/>
      <c r="FHX211" s="2522"/>
      <c r="FHY211" s="2522"/>
      <c r="FHZ211" s="2522"/>
      <c r="FIA211" s="2522"/>
      <c r="FIB211" s="2522"/>
      <c r="FIC211" s="2522"/>
      <c r="FID211" s="2522"/>
      <c r="FIE211" s="2522"/>
      <c r="FIF211" s="2522"/>
      <c r="FIG211" s="2522"/>
      <c r="FIH211" s="2522"/>
      <c r="FII211" s="2522"/>
      <c r="FIJ211" s="2522"/>
      <c r="FIK211" s="2522"/>
      <c r="FIL211" s="2522"/>
      <c r="FIM211" s="2522"/>
      <c r="FIN211" s="2522"/>
      <c r="FIO211" s="2522"/>
      <c r="FIP211" s="2522"/>
      <c r="FIQ211" s="2522"/>
      <c r="FIR211" s="2522"/>
      <c r="FIS211" s="2522"/>
      <c r="FIT211" s="2522"/>
      <c r="FIU211" s="2522"/>
      <c r="FIV211" s="2522"/>
      <c r="FIW211" s="2522"/>
      <c r="FIX211" s="2522"/>
      <c r="FIY211" s="2522"/>
      <c r="FIZ211" s="2522"/>
      <c r="FJA211" s="2522"/>
      <c r="FJB211" s="2522"/>
      <c r="FJC211" s="2522"/>
      <c r="FJD211" s="2522"/>
      <c r="FJE211" s="2522"/>
      <c r="FJF211" s="2522"/>
      <c r="FJG211" s="2522"/>
      <c r="FJH211" s="2522"/>
      <c r="FJI211" s="2522"/>
      <c r="FJJ211" s="2522"/>
      <c r="FJK211" s="2522"/>
      <c r="FJL211" s="2522"/>
      <c r="FJM211" s="2522"/>
      <c r="FJN211" s="2522"/>
      <c r="FJO211" s="2522"/>
      <c r="FJP211" s="2522"/>
      <c r="FJQ211" s="2522"/>
      <c r="FJR211" s="2522"/>
      <c r="FJS211" s="2522"/>
      <c r="FJT211" s="2522"/>
      <c r="FJU211" s="2522"/>
      <c r="FJV211" s="2522"/>
      <c r="FJW211" s="2522"/>
      <c r="FJX211" s="2522"/>
      <c r="FJY211" s="2522"/>
      <c r="FJZ211" s="2522"/>
      <c r="FKA211" s="2522"/>
      <c r="FKB211" s="2522"/>
      <c r="FKC211" s="2522"/>
      <c r="FKD211" s="2522"/>
      <c r="FKE211" s="2522"/>
      <c r="FKF211" s="2522"/>
      <c r="FKG211" s="2522"/>
      <c r="FKH211" s="2522"/>
      <c r="FKI211" s="2522"/>
      <c r="FKJ211" s="2522"/>
      <c r="FKK211" s="2522"/>
      <c r="FKL211" s="2522"/>
      <c r="FKM211" s="2522"/>
      <c r="FKN211" s="2522"/>
      <c r="FKO211" s="2522"/>
      <c r="FKP211" s="2522"/>
      <c r="FKQ211" s="2522"/>
      <c r="FKR211" s="2522"/>
      <c r="FKS211" s="2522"/>
      <c r="FKT211" s="2522"/>
      <c r="FKU211" s="2522"/>
      <c r="FKV211" s="2522"/>
      <c r="FKW211" s="2522"/>
      <c r="FKX211" s="2522"/>
      <c r="FKY211" s="2522"/>
      <c r="FKZ211" s="2522"/>
      <c r="FLA211" s="2522"/>
      <c r="FLB211" s="2522"/>
      <c r="FLC211" s="2522"/>
      <c r="FLD211" s="2522"/>
      <c r="FLE211" s="2522"/>
      <c r="FLF211" s="2522"/>
      <c r="FLG211" s="2522"/>
      <c r="FLH211" s="2522"/>
      <c r="FLI211" s="2522"/>
      <c r="FLJ211" s="2522"/>
      <c r="FLK211" s="2522"/>
      <c r="FLL211" s="2522"/>
      <c r="FLM211" s="2522"/>
      <c r="FLN211" s="2522"/>
      <c r="FLO211" s="2522"/>
      <c r="FLP211" s="2522"/>
      <c r="FLQ211" s="2522"/>
      <c r="FLR211" s="2522"/>
      <c r="FLS211" s="2522"/>
      <c r="FLT211" s="2522"/>
      <c r="FLU211" s="2522"/>
      <c r="FLV211" s="2522"/>
      <c r="FLW211" s="2522"/>
      <c r="FLX211" s="2522"/>
      <c r="FLY211" s="2522"/>
      <c r="FLZ211" s="2522"/>
      <c r="FMA211" s="2522"/>
      <c r="FMB211" s="2522"/>
      <c r="FMC211" s="2522"/>
      <c r="FMD211" s="2522"/>
      <c r="FME211" s="2522"/>
      <c r="FMF211" s="2522"/>
      <c r="FMG211" s="2522"/>
      <c r="FMH211" s="2522"/>
      <c r="FMI211" s="2522"/>
      <c r="FMJ211" s="2522"/>
      <c r="FMK211" s="2522"/>
      <c r="FML211" s="2522"/>
      <c r="FMM211" s="2522"/>
      <c r="FMN211" s="2522"/>
      <c r="FMO211" s="2522"/>
      <c r="FMP211" s="2522"/>
      <c r="FMQ211" s="2522"/>
      <c r="FMR211" s="2522"/>
      <c r="FMS211" s="2522"/>
      <c r="FMT211" s="2522"/>
      <c r="FMU211" s="2522"/>
      <c r="FMV211" s="2522"/>
      <c r="FMW211" s="2522"/>
      <c r="FMX211" s="2522"/>
      <c r="FMY211" s="2522"/>
      <c r="FMZ211" s="2522"/>
      <c r="FNA211" s="2522"/>
      <c r="FNB211" s="2522"/>
      <c r="FNC211" s="2522"/>
      <c r="FND211" s="2522"/>
      <c r="FNE211" s="2522"/>
      <c r="FNF211" s="2522"/>
      <c r="FNG211" s="2522"/>
      <c r="FNH211" s="2522"/>
      <c r="FNI211" s="2522"/>
      <c r="FNJ211" s="2522"/>
      <c r="FNK211" s="2522"/>
      <c r="FNL211" s="2522"/>
      <c r="FNM211" s="2522"/>
      <c r="FNN211" s="2522"/>
      <c r="FNO211" s="2522"/>
      <c r="FNP211" s="2522"/>
      <c r="FNQ211" s="2522"/>
      <c r="FNR211" s="2522"/>
      <c r="FNS211" s="2522"/>
      <c r="FNT211" s="2522"/>
      <c r="FNU211" s="2522"/>
      <c r="FNV211" s="2522"/>
      <c r="FNW211" s="2522"/>
      <c r="FNX211" s="2522"/>
      <c r="FNY211" s="2522"/>
      <c r="FNZ211" s="2522"/>
      <c r="FOA211" s="2522"/>
      <c r="FOB211" s="2522"/>
      <c r="FOC211" s="2522"/>
      <c r="FOD211" s="2522"/>
      <c r="FOE211" s="2522"/>
      <c r="FOF211" s="2522"/>
      <c r="FOG211" s="2522"/>
      <c r="FOH211" s="2522"/>
      <c r="FOI211" s="2522"/>
      <c r="FOJ211" s="2522"/>
      <c r="FOK211" s="2522"/>
      <c r="FOL211" s="2522"/>
      <c r="FOM211" s="2522"/>
      <c r="FON211" s="2522"/>
      <c r="FOO211" s="2522"/>
      <c r="FOP211" s="2522"/>
      <c r="FOQ211" s="2522"/>
      <c r="FOR211" s="2522"/>
      <c r="FOS211" s="2522"/>
      <c r="FOT211" s="2522"/>
      <c r="FOU211" s="2522"/>
      <c r="FOV211" s="2522"/>
      <c r="FOW211" s="2522"/>
      <c r="FOX211" s="2522"/>
      <c r="FOY211" s="2522"/>
      <c r="FOZ211" s="2522"/>
      <c r="FPA211" s="2522"/>
      <c r="FPB211" s="2522"/>
      <c r="FPC211" s="2522"/>
      <c r="FPD211" s="2522"/>
      <c r="FPE211" s="2522"/>
      <c r="FPF211" s="2522"/>
      <c r="FPG211" s="2522"/>
      <c r="FPH211" s="2522"/>
      <c r="FPI211" s="2522"/>
      <c r="FPJ211" s="2522"/>
      <c r="FPK211" s="2522"/>
      <c r="FPL211" s="2522"/>
      <c r="FPM211" s="2522"/>
      <c r="FPN211" s="2522"/>
      <c r="FPO211" s="2522"/>
      <c r="FPP211" s="2522"/>
      <c r="FPQ211" s="2522"/>
      <c r="FPR211" s="2522"/>
      <c r="FPS211" s="2522"/>
      <c r="FPT211" s="2522"/>
      <c r="FPU211" s="2522"/>
      <c r="FPV211" s="2522"/>
      <c r="FPW211" s="2522"/>
      <c r="FPX211" s="2522"/>
      <c r="FPY211" s="2522"/>
      <c r="FPZ211" s="2522"/>
      <c r="FQA211" s="2522"/>
      <c r="FQB211" s="2522"/>
      <c r="FQC211" s="2522"/>
      <c r="FQD211" s="2522"/>
      <c r="FQE211" s="2522"/>
      <c r="FQF211" s="2522"/>
      <c r="FQG211" s="2522"/>
      <c r="FQH211" s="2522"/>
      <c r="FQI211" s="2522"/>
      <c r="FQJ211" s="2522"/>
      <c r="FQK211" s="2522"/>
      <c r="FQL211" s="2522"/>
      <c r="FQM211" s="2522"/>
      <c r="FQN211" s="2522"/>
      <c r="FQO211" s="2522"/>
      <c r="FQP211" s="2522"/>
      <c r="FQQ211" s="2522"/>
      <c r="FQR211" s="2522"/>
      <c r="FQS211" s="2522"/>
      <c r="FQT211" s="2522"/>
      <c r="FQU211" s="2522"/>
      <c r="FQV211" s="2522"/>
      <c r="FQW211" s="2522"/>
      <c r="FQX211" s="2522"/>
      <c r="FQY211" s="2522"/>
      <c r="FQZ211" s="2522"/>
      <c r="FRA211" s="2522"/>
      <c r="FRB211" s="2522"/>
      <c r="FRC211" s="2522"/>
      <c r="FRD211" s="2522"/>
      <c r="FRE211" s="2522"/>
      <c r="FRF211" s="2522"/>
      <c r="FRG211" s="2522"/>
      <c r="FRH211" s="2522"/>
      <c r="FRI211" s="2522"/>
      <c r="FRJ211" s="2522"/>
      <c r="FRK211" s="2522"/>
      <c r="FRL211" s="2522"/>
      <c r="FRM211" s="2522"/>
      <c r="FRN211" s="2522"/>
      <c r="FRO211" s="2522"/>
      <c r="FRP211" s="2522"/>
      <c r="FRQ211" s="2522"/>
      <c r="FRR211" s="2522"/>
      <c r="FRS211" s="2522"/>
      <c r="FRT211" s="2522"/>
      <c r="FRU211" s="2522"/>
      <c r="FRV211" s="2522"/>
      <c r="FRW211" s="2522"/>
      <c r="FRX211" s="2522"/>
      <c r="FRY211" s="2522"/>
      <c r="FRZ211" s="2522"/>
      <c r="FSA211" s="2522"/>
      <c r="FSB211" s="2522"/>
      <c r="FSC211" s="2522"/>
      <c r="FSD211" s="2522"/>
      <c r="FSE211" s="2522"/>
      <c r="FSF211" s="2522"/>
      <c r="FSG211" s="2522"/>
      <c r="FSH211" s="2522"/>
      <c r="FSI211" s="2522"/>
      <c r="FSJ211" s="2522"/>
      <c r="FSK211" s="2522"/>
      <c r="FSL211" s="2522"/>
      <c r="FSM211" s="2522"/>
      <c r="FSN211" s="2522"/>
      <c r="FSO211" s="2522"/>
      <c r="FSP211" s="2522"/>
      <c r="FSQ211" s="2522"/>
      <c r="FSR211" s="2522"/>
      <c r="FSS211" s="2522"/>
      <c r="FST211" s="2522"/>
      <c r="FSU211" s="2522"/>
      <c r="FSV211" s="2522"/>
      <c r="FSW211" s="2522"/>
      <c r="FSX211" s="2522"/>
      <c r="FSY211" s="2522"/>
      <c r="FSZ211" s="2522"/>
      <c r="FTA211" s="2522"/>
      <c r="FTB211" s="2522"/>
      <c r="FTC211" s="2522"/>
      <c r="FTD211" s="2522"/>
      <c r="FTE211" s="2522"/>
      <c r="FTF211" s="2522"/>
      <c r="FTG211" s="2522"/>
      <c r="FTH211" s="2522"/>
      <c r="FTI211" s="2522"/>
      <c r="FTJ211" s="2522"/>
      <c r="FTK211" s="2522"/>
      <c r="FTL211" s="2522"/>
      <c r="FTM211" s="2522"/>
      <c r="FTN211" s="2522"/>
      <c r="FTO211" s="2522"/>
      <c r="FTP211" s="2522"/>
      <c r="FTQ211" s="2522"/>
      <c r="FTR211" s="2522"/>
      <c r="FTS211" s="2522"/>
      <c r="FTT211" s="2522"/>
      <c r="FTU211" s="2522"/>
      <c r="FTV211" s="2522"/>
      <c r="FTW211" s="2522"/>
      <c r="FTX211" s="2522"/>
      <c r="FTY211" s="2522"/>
      <c r="FTZ211" s="2522"/>
      <c r="FUA211" s="2522"/>
      <c r="FUB211" s="2522"/>
      <c r="FUC211" s="2522"/>
      <c r="FUD211" s="2522"/>
      <c r="FUE211" s="2522"/>
      <c r="FUF211" s="2522"/>
      <c r="FUG211" s="2522"/>
      <c r="FUH211" s="2522"/>
      <c r="FUI211" s="2522"/>
      <c r="FUJ211" s="2522"/>
      <c r="FUK211" s="2522"/>
      <c r="FUL211" s="2522"/>
      <c r="FUM211" s="2522"/>
      <c r="FUN211" s="2522"/>
      <c r="FUO211" s="2522"/>
      <c r="FUP211" s="2522"/>
      <c r="FUQ211" s="2522"/>
      <c r="FUR211" s="2522"/>
      <c r="FUS211" s="2522"/>
      <c r="FUT211" s="2522"/>
      <c r="FUU211" s="2522"/>
      <c r="FUV211" s="2522"/>
      <c r="FUW211" s="2522"/>
      <c r="FUX211" s="2522"/>
      <c r="FUY211" s="2522"/>
      <c r="FUZ211" s="2522"/>
      <c r="FVA211" s="2522"/>
      <c r="FVB211" s="2522"/>
      <c r="FVC211" s="2522"/>
      <c r="FVD211" s="2522"/>
      <c r="FVE211" s="2522"/>
      <c r="FVF211" s="2522"/>
      <c r="FVG211" s="2522"/>
      <c r="FVH211" s="2522"/>
      <c r="FVI211" s="2522"/>
      <c r="FVJ211" s="2522"/>
      <c r="FVK211" s="2522"/>
      <c r="FVL211" s="2522"/>
      <c r="FVM211" s="2522"/>
      <c r="FVN211" s="2522"/>
      <c r="FVO211" s="2522"/>
      <c r="FVP211" s="2522"/>
      <c r="FVQ211" s="2522"/>
      <c r="FVR211" s="2522"/>
      <c r="FVS211" s="2522"/>
      <c r="FVT211" s="2522"/>
      <c r="FVU211" s="2522"/>
      <c r="FVV211" s="2522"/>
      <c r="FVW211" s="2522"/>
      <c r="FVX211" s="2522"/>
      <c r="FVY211" s="2522"/>
      <c r="FVZ211" s="2522"/>
      <c r="FWA211" s="2522"/>
      <c r="FWB211" s="2522"/>
      <c r="FWC211" s="2522"/>
      <c r="FWD211" s="2522"/>
      <c r="FWE211" s="2522"/>
      <c r="FWF211" s="2522"/>
      <c r="FWG211" s="2522"/>
      <c r="FWH211" s="2522"/>
      <c r="FWI211" s="2522"/>
      <c r="FWJ211" s="2522"/>
      <c r="FWK211" s="2522"/>
      <c r="FWL211" s="2522"/>
      <c r="FWM211" s="2522"/>
      <c r="FWN211" s="2522"/>
      <c r="FWO211" s="2522"/>
      <c r="FWP211" s="2522"/>
      <c r="FWQ211" s="2522"/>
      <c r="FWR211" s="2522"/>
      <c r="FWS211" s="2522"/>
      <c r="FWT211" s="2522"/>
      <c r="FWU211" s="2522"/>
      <c r="FWV211" s="2522"/>
      <c r="FWW211" s="2522"/>
      <c r="FWX211" s="2522"/>
      <c r="FWY211" s="2522"/>
      <c r="FWZ211" s="2522"/>
      <c r="FXA211" s="2522"/>
      <c r="FXB211" s="2522"/>
      <c r="FXC211" s="2522"/>
      <c r="FXD211" s="2522"/>
      <c r="FXE211" s="2522"/>
      <c r="FXF211" s="2522"/>
      <c r="FXG211" s="2522"/>
      <c r="FXH211" s="2522"/>
      <c r="FXI211" s="2522"/>
      <c r="FXJ211" s="2522"/>
      <c r="FXK211" s="2522"/>
      <c r="FXL211" s="2522"/>
      <c r="FXM211" s="2522"/>
      <c r="FXN211" s="2522"/>
      <c r="FXO211" s="2522"/>
      <c r="FXP211" s="2522"/>
      <c r="FXQ211" s="2522"/>
      <c r="FXR211" s="2522"/>
      <c r="FXS211" s="2522"/>
      <c r="FXT211" s="2522"/>
      <c r="FXU211" s="2522"/>
      <c r="FXV211" s="2522"/>
      <c r="FXW211" s="2522"/>
      <c r="FXX211" s="2522"/>
      <c r="FXY211" s="2522"/>
      <c r="FXZ211" s="2522"/>
      <c r="FYA211" s="2522"/>
      <c r="FYB211" s="2522"/>
      <c r="FYC211" s="2522"/>
      <c r="FYD211" s="2522"/>
      <c r="FYE211" s="2522"/>
      <c r="FYF211" s="2522"/>
      <c r="FYG211" s="2522"/>
      <c r="FYH211" s="2522"/>
      <c r="FYI211" s="2522"/>
      <c r="FYJ211" s="2522"/>
      <c r="FYK211" s="2522"/>
      <c r="FYL211" s="2522"/>
      <c r="FYM211" s="2522"/>
      <c r="FYN211" s="2522"/>
      <c r="FYO211" s="2522"/>
      <c r="FYP211" s="2522"/>
      <c r="FYQ211" s="2522"/>
      <c r="FYR211" s="2522"/>
      <c r="FYS211" s="2522"/>
      <c r="FYT211" s="2522"/>
      <c r="FYU211" s="2522"/>
      <c r="FYV211" s="2522"/>
      <c r="FYW211" s="2522"/>
      <c r="FYX211" s="2522"/>
      <c r="FYY211" s="2522"/>
      <c r="FYZ211" s="2522"/>
      <c r="FZA211" s="2522"/>
      <c r="FZB211" s="2522"/>
      <c r="FZC211" s="2522"/>
      <c r="FZD211" s="2522"/>
      <c r="FZE211" s="2522"/>
      <c r="FZF211" s="2522"/>
      <c r="FZG211" s="2522"/>
      <c r="FZH211" s="2522"/>
      <c r="FZI211" s="2522"/>
      <c r="FZJ211" s="2522"/>
      <c r="FZK211" s="2522"/>
      <c r="FZL211" s="2522"/>
      <c r="FZM211" s="2522"/>
      <c r="FZN211" s="2522"/>
      <c r="FZO211" s="2522"/>
      <c r="FZP211" s="2522"/>
      <c r="FZQ211" s="2522"/>
      <c r="FZR211" s="2522"/>
      <c r="FZS211" s="2522"/>
      <c r="FZT211" s="2522"/>
      <c r="FZU211" s="2522"/>
      <c r="FZV211" s="2522"/>
      <c r="FZW211" s="2522"/>
      <c r="FZX211" s="2522"/>
      <c r="FZY211" s="2522"/>
      <c r="FZZ211" s="2522"/>
      <c r="GAA211" s="2522"/>
      <c r="GAB211" s="2522"/>
      <c r="GAC211" s="2522"/>
      <c r="GAD211" s="2522"/>
      <c r="GAE211" s="2522"/>
      <c r="GAF211" s="2522"/>
      <c r="GAG211" s="2522"/>
      <c r="GAH211" s="2522"/>
      <c r="GAI211" s="2522"/>
      <c r="GAJ211" s="2522"/>
      <c r="GAK211" s="2522"/>
      <c r="GAL211" s="2522"/>
      <c r="GAM211" s="2522"/>
      <c r="GAN211" s="2522"/>
      <c r="GAO211" s="2522"/>
      <c r="GAP211" s="2522"/>
      <c r="GAQ211" s="2522"/>
      <c r="GAR211" s="2522"/>
      <c r="GAS211" s="2522"/>
      <c r="GAT211" s="2522"/>
      <c r="GAU211" s="2522"/>
      <c r="GAV211" s="2522"/>
      <c r="GAW211" s="2522"/>
      <c r="GAX211" s="2522"/>
      <c r="GAY211" s="2522"/>
      <c r="GAZ211" s="2522"/>
      <c r="GBA211" s="2522"/>
      <c r="GBB211" s="2522"/>
      <c r="GBC211" s="2522"/>
      <c r="GBD211" s="2522"/>
      <c r="GBE211" s="2522"/>
      <c r="GBF211" s="2522"/>
      <c r="GBG211" s="2522"/>
      <c r="GBH211" s="2522"/>
      <c r="GBI211" s="2522"/>
      <c r="GBJ211" s="2522"/>
      <c r="GBK211" s="2522"/>
      <c r="GBL211" s="2522"/>
      <c r="GBM211" s="2522"/>
      <c r="GBN211" s="2522"/>
      <c r="GBO211" s="2522"/>
      <c r="GBP211" s="2522"/>
      <c r="GBQ211" s="2522"/>
      <c r="GBR211" s="2522"/>
      <c r="GBS211" s="2522"/>
      <c r="GBT211" s="2522"/>
      <c r="GBU211" s="2522"/>
      <c r="GBV211" s="2522"/>
      <c r="GBW211" s="2522"/>
      <c r="GBX211" s="2522"/>
      <c r="GBY211" s="2522"/>
      <c r="GBZ211" s="2522"/>
      <c r="GCA211" s="2522"/>
      <c r="GCB211" s="2522"/>
      <c r="GCC211" s="2522"/>
      <c r="GCD211" s="2522"/>
      <c r="GCE211" s="2522"/>
      <c r="GCF211" s="2522"/>
      <c r="GCG211" s="2522"/>
      <c r="GCH211" s="2522"/>
      <c r="GCI211" s="2522"/>
      <c r="GCJ211" s="2522"/>
      <c r="GCK211" s="2522"/>
      <c r="GCL211" s="2522"/>
      <c r="GCM211" s="2522"/>
      <c r="GCN211" s="2522"/>
      <c r="GCO211" s="2522"/>
      <c r="GCP211" s="2522"/>
      <c r="GCQ211" s="2522"/>
      <c r="GCR211" s="2522"/>
      <c r="GCS211" s="2522"/>
      <c r="GCT211" s="2522"/>
      <c r="GCU211" s="2522"/>
      <c r="GCV211" s="2522"/>
      <c r="GCW211" s="2522"/>
      <c r="GCX211" s="2522"/>
      <c r="GCY211" s="2522"/>
      <c r="GCZ211" s="2522"/>
      <c r="GDA211" s="2522"/>
      <c r="GDB211" s="2522"/>
      <c r="GDC211" s="2522"/>
      <c r="GDD211" s="2522"/>
      <c r="GDE211" s="2522"/>
      <c r="GDF211" s="2522"/>
      <c r="GDG211" s="2522"/>
      <c r="GDH211" s="2522"/>
      <c r="GDI211" s="2522"/>
      <c r="GDJ211" s="2522"/>
      <c r="GDK211" s="2522"/>
      <c r="GDL211" s="2522"/>
      <c r="GDM211" s="2522"/>
      <c r="GDN211" s="2522"/>
      <c r="GDO211" s="2522"/>
      <c r="GDP211" s="2522"/>
      <c r="GDQ211" s="2522"/>
      <c r="GDR211" s="2522"/>
      <c r="GDS211" s="2522"/>
      <c r="GDT211" s="2522"/>
      <c r="GDU211" s="2522"/>
      <c r="GDV211" s="2522"/>
      <c r="GDW211" s="2522"/>
      <c r="GDX211" s="2522"/>
      <c r="GDY211" s="2522"/>
      <c r="GDZ211" s="2522"/>
      <c r="GEA211" s="2522"/>
      <c r="GEB211" s="2522"/>
      <c r="GEC211" s="2522"/>
      <c r="GED211" s="2522"/>
      <c r="GEE211" s="2522"/>
      <c r="GEF211" s="2522"/>
      <c r="GEG211" s="2522"/>
      <c r="GEH211" s="2522"/>
      <c r="GEI211" s="2522"/>
      <c r="GEJ211" s="2522"/>
      <c r="GEK211" s="2522"/>
      <c r="GEL211" s="2522"/>
      <c r="GEM211" s="2522"/>
      <c r="GEN211" s="2522"/>
      <c r="GEO211" s="2522"/>
      <c r="GEP211" s="2522"/>
      <c r="GEQ211" s="2522"/>
      <c r="GER211" s="2522"/>
      <c r="GES211" s="2522"/>
      <c r="GET211" s="2522"/>
      <c r="GEU211" s="2522"/>
      <c r="GEV211" s="2522"/>
      <c r="GEW211" s="2522"/>
      <c r="GEX211" s="2522"/>
      <c r="GEY211" s="2522"/>
      <c r="GEZ211" s="2522"/>
      <c r="GFA211" s="2522"/>
      <c r="GFB211" s="2522"/>
      <c r="GFC211" s="2522"/>
      <c r="GFD211" s="2522"/>
      <c r="GFE211" s="2522"/>
      <c r="GFF211" s="2522"/>
      <c r="GFG211" s="2522"/>
      <c r="GFH211" s="2522"/>
      <c r="GFI211" s="2522"/>
      <c r="GFJ211" s="2522"/>
      <c r="GFK211" s="2522"/>
      <c r="GFL211" s="2522"/>
      <c r="GFM211" s="2522"/>
      <c r="GFN211" s="2522"/>
      <c r="GFO211" s="2522"/>
      <c r="GFP211" s="2522"/>
      <c r="GFQ211" s="2522"/>
      <c r="GFR211" s="2522"/>
      <c r="GFS211" s="2522"/>
      <c r="GFT211" s="2522"/>
      <c r="GFU211" s="2522"/>
      <c r="GFV211" s="2522"/>
      <c r="GFW211" s="2522"/>
      <c r="GFX211" s="2522"/>
      <c r="GFY211" s="2522"/>
      <c r="GFZ211" s="2522"/>
      <c r="GGA211" s="2522"/>
      <c r="GGB211" s="2522"/>
      <c r="GGC211" s="2522"/>
      <c r="GGD211" s="2522"/>
      <c r="GGE211" s="2522"/>
      <c r="GGF211" s="2522"/>
      <c r="GGG211" s="2522"/>
      <c r="GGH211" s="2522"/>
      <c r="GGI211" s="2522"/>
      <c r="GGJ211" s="2522"/>
      <c r="GGK211" s="2522"/>
      <c r="GGL211" s="2522"/>
      <c r="GGM211" s="2522"/>
      <c r="GGN211" s="2522"/>
      <c r="GGO211" s="2522"/>
      <c r="GGP211" s="2522"/>
      <c r="GGQ211" s="2522"/>
      <c r="GGR211" s="2522"/>
      <c r="GGS211" s="2522"/>
      <c r="GGT211" s="2522"/>
      <c r="GGU211" s="2522"/>
      <c r="GGV211" s="2522"/>
      <c r="GGW211" s="2522"/>
      <c r="GGX211" s="2522"/>
      <c r="GGY211" s="2522"/>
      <c r="GGZ211" s="2522"/>
      <c r="GHA211" s="2522"/>
      <c r="GHB211" s="2522"/>
      <c r="GHC211" s="2522"/>
      <c r="GHD211" s="2522"/>
      <c r="GHE211" s="2522"/>
      <c r="GHF211" s="2522"/>
      <c r="GHG211" s="2522"/>
      <c r="GHH211" s="2522"/>
      <c r="GHI211" s="2522"/>
      <c r="GHJ211" s="2522"/>
      <c r="GHK211" s="2522"/>
      <c r="GHL211" s="2522"/>
      <c r="GHM211" s="2522"/>
      <c r="GHN211" s="2522"/>
      <c r="GHO211" s="2522"/>
      <c r="GHP211" s="2522"/>
      <c r="GHQ211" s="2522"/>
      <c r="GHR211" s="2522"/>
      <c r="GHS211" s="2522"/>
      <c r="GHT211" s="2522"/>
      <c r="GHU211" s="2522"/>
      <c r="GHV211" s="2522"/>
      <c r="GHW211" s="2522"/>
      <c r="GHX211" s="2522"/>
      <c r="GHY211" s="2522"/>
      <c r="GHZ211" s="2522"/>
      <c r="GIA211" s="2522"/>
      <c r="GIB211" s="2522"/>
      <c r="GIC211" s="2522"/>
      <c r="GID211" s="2522"/>
      <c r="GIE211" s="2522"/>
      <c r="GIF211" s="2522"/>
      <c r="GIG211" s="2522"/>
      <c r="GIH211" s="2522"/>
      <c r="GII211" s="2522"/>
      <c r="GIJ211" s="2522"/>
      <c r="GIK211" s="2522"/>
      <c r="GIL211" s="2522"/>
      <c r="GIM211" s="2522"/>
      <c r="GIN211" s="2522"/>
      <c r="GIO211" s="2522"/>
      <c r="GIP211" s="2522"/>
      <c r="GIQ211" s="2522"/>
      <c r="GIR211" s="2522"/>
      <c r="GIS211" s="2522"/>
      <c r="GIT211" s="2522"/>
      <c r="GIU211" s="2522"/>
      <c r="GIV211" s="2522"/>
      <c r="GIW211" s="2522"/>
      <c r="GIX211" s="2522"/>
      <c r="GIY211" s="2522"/>
      <c r="GIZ211" s="2522"/>
      <c r="GJA211" s="2522"/>
      <c r="GJB211" s="2522"/>
      <c r="GJC211" s="2522"/>
      <c r="GJD211" s="2522"/>
      <c r="GJE211" s="2522"/>
      <c r="GJF211" s="2522"/>
      <c r="GJG211" s="2522"/>
      <c r="GJH211" s="2522"/>
      <c r="GJI211" s="2522"/>
      <c r="GJJ211" s="2522"/>
      <c r="GJK211" s="2522"/>
      <c r="GJL211" s="2522"/>
      <c r="GJM211" s="2522"/>
      <c r="GJN211" s="2522"/>
      <c r="GJO211" s="2522"/>
      <c r="GJP211" s="2522"/>
      <c r="GJQ211" s="2522"/>
      <c r="GJR211" s="2522"/>
      <c r="GJS211" s="2522"/>
      <c r="GJT211" s="2522"/>
      <c r="GJU211" s="2522"/>
      <c r="GJV211" s="2522"/>
      <c r="GJW211" s="2522"/>
      <c r="GJX211" s="2522"/>
      <c r="GJY211" s="2522"/>
      <c r="GJZ211" s="2522"/>
      <c r="GKA211" s="2522"/>
      <c r="GKB211" s="2522"/>
      <c r="GKC211" s="2522"/>
      <c r="GKD211" s="2522"/>
      <c r="GKE211" s="2522"/>
      <c r="GKF211" s="2522"/>
      <c r="GKG211" s="2522"/>
      <c r="GKH211" s="2522"/>
      <c r="GKI211" s="2522"/>
      <c r="GKJ211" s="2522"/>
      <c r="GKK211" s="2522"/>
      <c r="GKL211" s="2522"/>
      <c r="GKM211" s="2522"/>
      <c r="GKN211" s="2522"/>
      <c r="GKO211" s="2522"/>
      <c r="GKP211" s="2522"/>
      <c r="GKQ211" s="2522"/>
      <c r="GKR211" s="2522"/>
      <c r="GKS211" s="2522"/>
      <c r="GKT211" s="2522"/>
      <c r="GKU211" s="2522"/>
      <c r="GKV211" s="2522"/>
      <c r="GKW211" s="2522"/>
      <c r="GKX211" s="2522"/>
      <c r="GKY211" s="2522"/>
      <c r="GKZ211" s="2522"/>
      <c r="GLA211" s="2522"/>
      <c r="GLB211" s="2522"/>
      <c r="GLC211" s="2522"/>
      <c r="GLD211" s="2522"/>
      <c r="GLE211" s="2522"/>
      <c r="GLF211" s="2522"/>
      <c r="GLG211" s="2522"/>
      <c r="GLH211" s="2522"/>
      <c r="GLI211" s="2522"/>
      <c r="GLJ211" s="2522"/>
      <c r="GLK211" s="2522"/>
      <c r="GLL211" s="2522"/>
      <c r="GLM211" s="2522"/>
      <c r="GLN211" s="2522"/>
      <c r="GLO211" s="2522"/>
      <c r="GLP211" s="2522"/>
      <c r="GLQ211" s="2522"/>
      <c r="GLR211" s="2522"/>
      <c r="GLS211" s="2522"/>
      <c r="GLT211" s="2522"/>
      <c r="GLU211" s="2522"/>
      <c r="GLV211" s="2522"/>
      <c r="GLW211" s="2522"/>
      <c r="GLX211" s="2522"/>
      <c r="GLY211" s="2522"/>
      <c r="GLZ211" s="2522"/>
      <c r="GMA211" s="2522"/>
      <c r="GMB211" s="2522"/>
      <c r="GMC211" s="2522"/>
      <c r="GMD211" s="2522"/>
      <c r="GME211" s="2522"/>
      <c r="GMF211" s="2522"/>
      <c r="GMG211" s="2522"/>
      <c r="GMH211" s="2522"/>
      <c r="GMI211" s="2522"/>
      <c r="GMJ211" s="2522"/>
      <c r="GMK211" s="2522"/>
      <c r="GML211" s="2522"/>
      <c r="GMM211" s="2522"/>
      <c r="GMN211" s="2522"/>
      <c r="GMO211" s="2522"/>
      <c r="GMP211" s="2522"/>
      <c r="GMQ211" s="2522"/>
      <c r="GMR211" s="2522"/>
      <c r="GMS211" s="2522"/>
      <c r="GMT211" s="2522"/>
      <c r="GMU211" s="2522"/>
      <c r="GMV211" s="2522"/>
      <c r="GMW211" s="2522"/>
      <c r="GMX211" s="2522"/>
      <c r="GMY211" s="2522"/>
      <c r="GMZ211" s="2522"/>
      <c r="GNA211" s="2522"/>
      <c r="GNB211" s="2522"/>
      <c r="GNC211" s="2522"/>
      <c r="GND211" s="2522"/>
      <c r="GNE211" s="2522"/>
      <c r="GNF211" s="2522"/>
      <c r="GNG211" s="2522"/>
      <c r="GNH211" s="2522"/>
      <c r="GNI211" s="2522"/>
      <c r="GNJ211" s="2522"/>
      <c r="GNK211" s="2522"/>
      <c r="GNL211" s="2522"/>
      <c r="GNM211" s="2522"/>
      <c r="GNN211" s="2522"/>
      <c r="GNO211" s="2522"/>
      <c r="GNP211" s="2522"/>
      <c r="GNQ211" s="2522"/>
      <c r="GNR211" s="2522"/>
      <c r="GNS211" s="2522"/>
      <c r="GNT211" s="2522"/>
      <c r="GNU211" s="2522"/>
      <c r="GNV211" s="2522"/>
      <c r="GNW211" s="2522"/>
      <c r="GNX211" s="2522"/>
      <c r="GNY211" s="2522"/>
      <c r="GNZ211" s="2522"/>
      <c r="GOA211" s="2522"/>
      <c r="GOB211" s="2522"/>
      <c r="GOC211" s="2522"/>
      <c r="GOD211" s="2522"/>
      <c r="GOE211" s="2522"/>
      <c r="GOF211" s="2522"/>
      <c r="GOG211" s="2522"/>
      <c r="GOH211" s="2522"/>
      <c r="GOI211" s="2522"/>
      <c r="GOJ211" s="2522"/>
      <c r="GOK211" s="2522"/>
      <c r="GOL211" s="2522"/>
      <c r="GOM211" s="2522"/>
      <c r="GON211" s="2522"/>
      <c r="GOO211" s="2522"/>
      <c r="GOP211" s="2522"/>
      <c r="GOQ211" s="2522"/>
      <c r="GOR211" s="2522"/>
      <c r="GOS211" s="2522"/>
      <c r="GOT211" s="2522"/>
      <c r="GOU211" s="2522"/>
      <c r="GOV211" s="2522"/>
      <c r="GOW211" s="2522"/>
      <c r="GOX211" s="2522"/>
      <c r="GOY211" s="2522"/>
      <c r="GOZ211" s="2522"/>
      <c r="GPA211" s="2522"/>
      <c r="GPB211" s="2522"/>
      <c r="GPC211" s="2522"/>
      <c r="GPD211" s="2522"/>
      <c r="GPE211" s="2522"/>
      <c r="GPF211" s="2522"/>
      <c r="GPG211" s="2522"/>
      <c r="GPH211" s="2522"/>
      <c r="GPI211" s="2522"/>
      <c r="GPJ211" s="2522"/>
      <c r="GPK211" s="2522"/>
      <c r="GPL211" s="2522"/>
      <c r="GPM211" s="2522"/>
      <c r="GPN211" s="2522"/>
      <c r="GPO211" s="2522"/>
      <c r="GPP211" s="2522"/>
      <c r="GPQ211" s="2522"/>
      <c r="GPR211" s="2522"/>
      <c r="GPS211" s="2522"/>
      <c r="GPT211" s="2522"/>
      <c r="GPU211" s="2522"/>
      <c r="GPV211" s="2522"/>
      <c r="GPW211" s="2522"/>
      <c r="GPX211" s="2522"/>
      <c r="GPY211" s="2522"/>
      <c r="GPZ211" s="2522"/>
      <c r="GQA211" s="2522"/>
      <c r="GQB211" s="2522"/>
      <c r="GQC211" s="2522"/>
      <c r="GQD211" s="2522"/>
      <c r="GQE211" s="2522"/>
      <c r="GQF211" s="2522"/>
      <c r="GQG211" s="2522"/>
      <c r="GQH211" s="2522"/>
      <c r="GQI211" s="2522"/>
      <c r="GQJ211" s="2522"/>
      <c r="GQK211" s="2522"/>
      <c r="GQL211" s="2522"/>
      <c r="GQM211" s="2522"/>
      <c r="GQN211" s="2522"/>
      <c r="GQO211" s="2522"/>
      <c r="GQP211" s="2522"/>
      <c r="GQQ211" s="2522"/>
      <c r="GQR211" s="2522"/>
      <c r="GQS211" s="2522"/>
      <c r="GQT211" s="2522"/>
      <c r="GQU211" s="2522"/>
      <c r="GQV211" s="2522"/>
      <c r="GQW211" s="2522"/>
      <c r="GQX211" s="2522"/>
      <c r="GQY211" s="2522"/>
      <c r="GQZ211" s="2522"/>
      <c r="GRA211" s="2522"/>
      <c r="GRB211" s="2522"/>
      <c r="GRC211" s="2522"/>
      <c r="GRD211" s="2522"/>
      <c r="GRE211" s="2522"/>
      <c r="GRF211" s="2522"/>
      <c r="GRG211" s="2522"/>
      <c r="GRH211" s="2522"/>
      <c r="GRI211" s="2522"/>
      <c r="GRJ211" s="2522"/>
      <c r="GRK211" s="2522"/>
      <c r="GRL211" s="2522"/>
      <c r="GRM211" s="2522"/>
      <c r="GRN211" s="2522"/>
      <c r="GRO211" s="2522"/>
      <c r="GRP211" s="2522"/>
      <c r="GRQ211" s="2522"/>
      <c r="GRR211" s="2522"/>
      <c r="GRS211" s="2522"/>
      <c r="GRT211" s="2522"/>
      <c r="GRU211" s="2522"/>
      <c r="GRV211" s="2522"/>
      <c r="GRW211" s="2522"/>
      <c r="GRX211" s="2522"/>
      <c r="GRY211" s="2522"/>
      <c r="GRZ211" s="2522"/>
      <c r="GSA211" s="2522"/>
      <c r="GSB211" s="2522"/>
      <c r="GSC211" s="2522"/>
      <c r="GSD211" s="2522"/>
      <c r="GSE211" s="2522"/>
      <c r="GSF211" s="2522"/>
      <c r="GSG211" s="2522"/>
      <c r="GSH211" s="2522"/>
      <c r="GSI211" s="2522"/>
      <c r="GSJ211" s="2522"/>
      <c r="GSK211" s="2522"/>
      <c r="GSL211" s="2522"/>
      <c r="GSM211" s="2522"/>
      <c r="GSN211" s="2522"/>
      <c r="GSO211" s="2522"/>
      <c r="GSP211" s="2522"/>
      <c r="GSQ211" s="2522"/>
      <c r="GSR211" s="2522"/>
      <c r="GSS211" s="2522"/>
      <c r="GST211" s="2522"/>
      <c r="GSU211" s="2522"/>
      <c r="GSV211" s="2522"/>
      <c r="GSW211" s="2522"/>
      <c r="GSX211" s="2522"/>
      <c r="GSY211" s="2522"/>
      <c r="GSZ211" s="2522"/>
      <c r="GTA211" s="2522"/>
      <c r="GTB211" s="2522"/>
      <c r="GTC211" s="2522"/>
      <c r="GTD211" s="2522"/>
      <c r="GTE211" s="2522"/>
      <c r="GTF211" s="2522"/>
      <c r="GTG211" s="2522"/>
      <c r="GTH211" s="2522"/>
      <c r="GTI211" s="2522"/>
      <c r="GTJ211" s="2522"/>
      <c r="GTK211" s="2522"/>
      <c r="GTL211" s="2522"/>
      <c r="GTM211" s="2522"/>
      <c r="GTN211" s="2522"/>
      <c r="GTO211" s="2522"/>
      <c r="GTP211" s="2522"/>
      <c r="GTQ211" s="2522"/>
      <c r="GTR211" s="2522"/>
      <c r="GTS211" s="2522"/>
      <c r="GTT211" s="2522"/>
      <c r="GTU211" s="2522"/>
      <c r="GTV211" s="2522"/>
      <c r="GTW211" s="2522"/>
      <c r="GTX211" s="2522"/>
      <c r="GTY211" s="2522"/>
      <c r="GTZ211" s="2522"/>
      <c r="GUA211" s="2522"/>
      <c r="GUB211" s="2522"/>
      <c r="GUC211" s="2522"/>
      <c r="GUD211" s="2522"/>
      <c r="GUE211" s="2522"/>
      <c r="GUF211" s="2522"/>
      <c r="GUG211" s="2522"/>
      <c r="GUH211" s="2522"/>
      <c r="GUI211" s="2522"/>
      <c r="GUJ211" s="2522"/>
      <c r="GUK211" s="2522"/>
      <c r="GUL211" s="2522"/>
      <c r="GUM211" s="2522"/>
      <c r="GUN211" s="2522"/>
      <c r="GUO211" s="2522"/>
      <c r="GUP211" s="2522"/>
      <c r="GUQ211" s="2522"/>
      <c r="GUR211" s="2522"/>
      <c r="GUS211" s="2522"/>
      <c r="GUT211" s="2522"/>
      <c r="GUU211" s="2522"/>
      <c r="GUV211" s="2522"/>
      <c r="GUW211" s="2522"/>
      <c r="GUX211" s="2522"/>
      <c r="GUY211" s="2522"/>
      <c r="GUZ211" s="2522"/>
      <c r="GVA211" s="2522"/>
      <c r="GVB211" s="2522"/>
      <c r="GVC211" s="2522"/>
      <c r="GVD211" s="2522"/>
      <c r="GVE211" s="2522"/>
      <c r="GVF211" s="2522"/>
      <c r="GVG211" s="2522"/>
      <c r="GVH211" s="2522"/>
      <c r="GVI211" s="2522"/>
      <c r="GVJ211" s="2522"/>
      <c r="GVK211" s="2522"/>
      <c r="GVL211" s="2522"/>
      <c r="GVM211" s="2522"/>
      <c r="GVN211" s="2522"/>
      <c r="GVO211" s="2522"/>
      <c r="GVP211" s="2522"/>
      <c r="GVQ211" s="2522"/>
      <c r="GVR211" s="2522"/>
      <c r="GVS211" s="2522"/>
      <c r="GVT211" s="2522"/>
      <c r="GVU211" s="2522"/>
      <c r="GVV211" s="2522"/>
      <c r="GVW211" s="2522"/>
      <c r="GVX211" s="2522"/>
      <c r="GVY211" s="2522"/>
      <c r="GVZ211" s="2522"/>
      <c r="GWA211" s="2522"/>
      <c r="GWB211" s="2522"/>
      <c r="GWC211" s="2522"/>
      <c r="GWD211" s="2522"/>
      <c r="GWE211" s="2522"/>
      <c r="GWF211" s="2522"/>
      <c r="GWG211" s="2522"/>
      <c r="GWH211" s="2522"/>
      <c r="GWI211" s="2522"/>
      <c r="GWJ211" s="2522"/>
      <c r="GWK211" s="2522"/>
      <c r="GWL211" s="2522"/>
      <c r="GWM211" s="2522"/>
      <c r="GWN211" s="2522"/>
      <c r="GWO211" s="2522"/>
      <c r="GWP211" s="2522"/>
      <c r="GWQ211" s="2522"/>
      <c r="GWR211" s="2522"/>
      <c r="GWS211" s="2522"/>
      <c r="GWT211" s="2522"/>
      <c r="GWU211" s="2522"/>
      <c r="GWV211" s="2522"/>
      <c r="GWW211" s="2522"/>
      <c r="GWX211" s="2522"/>
      <c r="GWY211" s="2522"/>
      <c r="GWZ211" s="2522"/>
      <c r="GXA211" s="2522"/>
      <c r="GXB211" s="2522"/>
      <c r="GXC211" s="2522"/>
      <c r="GXD211" s="2522"/>
      <c r="GXE211" s="2522"/>
      <c r="GXF211" s="2522"/>
      <c r="GXG211" s="2522"/>
      <c r="GXH211" s="2522"/>
      <c r="GXI211" s="2522"/>
      <c r="GXJ211" s="2522"/>
      <c r="GXK211" s="2522"/>
      <c r="GXL211" s="2522"/>
      <c r="GXM211" s="2522"/>
      <c r="GXN211" s="2522"/>
      <c r="GXO211" s="2522"/>
      <c r="GXP211" s="2522"/>
      <c r="GXQ211" s="2522"/>
      <c r="GXR211" s="2522"/>
      <c r="GXS211" s="2522"/>
      <c r="GXT211" s="2522"/>
      <c r="GXU211" s="2522"/>
      <c r="GXV211" s="2522"/>
      <c r="GXW211" s="2522"/>
      <c r="GXX211" s="2522"/>
      <c r="GXY211" s="2522"/>
      <c r="GXZ211" s="2522"/>
      <c r="GYA211" s="2522"/>
      <c r="GYB211" s="2522"/>
      <c r="GYC211" s="2522"/>
      <c r="GYD211" s="2522"/>
      <c r="GYE211" s="2522"/>
      <c r="GYF211" s="2522"/>
      <c r="GYG211" s="2522"/>
      <c r="GYH211" s="2522"/>
      <c r="GYI211" s="2522"/>
      <c r="GYJ211" s="2522"/>
      <c r="GYK211" s="2522"/>
      <c r="GYL211" s="2522"/>
      <c r="GYM211" s="2522"/>
      <c r="GYN211" s="2522"/>
      <c r="GYO211" s="2522"/>
      <c r="GYP211" s="2522"/>
      <c r="GYQ211" s="2522"/>
      <c r="GYR211" s="2522"/>
      <c r="GYS211" s="2522"/>
      <c r="GYT211" s="2522"/>
      <c r="GYU211" s="2522"/>
      <c r="GYV211" s="2522"/>
      <c r="GYW211" s="2522"/>
      <c r="GYX211" s="2522"/>
      <c r="GYY211" s="2522"/>
      <c r="GYZ211" s="2522"/>
      <c r="GZA211" s="2522"/>
      <c r="GZB211" s="2522"/>
      <c r="GZC211" s="2522"/>
      <c r="GZD211" s="2522"/>
      <c r="GZE211" s="2522"/>
      <c r="GZF211" s="2522"/>
      <c r="GZG211" s="2522"/>
      <c r="GZH211" s="2522"/>
      <c r="GZI211" s="2522"/>
      <c r="GZJ211" s="2522"/>
      <c r="GZK211" s="2522"/>
      <c r="GZL211" s="2522"/>
      <c r="GZM211" s="2522"/>
      <c r="GZN211" s="2522"/>
      <c r="GZO211" s="2522"/>
      <c r="GZP211" s="2522"/>
      <c r="GZQ211" s="2522"/>
      <c r="GZR211" s="2522"/>
      <c r="GZS211" s="2522"/>
      <c r="GZT211" s="2522"/>
      <c r="GZU211" s="2522"/>
      <c r="GZV211" s="2522"/>
      <c r="GZW211" s="2522"/>
      <c r="GZX211" s="2522"/>
      <c r="GZY211" s="2522"/>
      <c r="GZZ211" s="2522"/>
      <c r="HAA211" s="2522"/>
      <c r="HAB211" s="2522"/>
      <c r="HAC211" s="2522"/>
      <c r="HAD211" s="2522"/>
      <c r="HAE211" s="2522"/>
      <c r="HAF211" s="2522"/>
      <c r="HAG211" s="2522"/>
      <c r="HAH211" s="2522"/>
      <c r="HAI211" s="2522"/>
      <c r="HAJ211" s="2522"/>
      <c r="HAK211" s="2522"/>
      <c r="HAL211" s="2522"/>
      <c r="HAM211" s="2522"/>
      <c r="HAN211" s="2522"/>
      <c r="HAO211" s="2522"/>
      <c r="HAP211" s="2522"/>
      <c r="HAQ211" s="2522"/>
      <c r="HAR211" s="2522"/>
      <c r="HAS211" s="2522"/>
      <c r="HAT211" s="2522"/>
      <c r="HAU211" s="2522"/>
      <c r="HAV211" s="2522"/>
      <c r="HAW211" s="2522"/>
      <c r="HAX211" s="2522"/>
      <c r="HAY211" s="2522"/>
      <c r="HAZ211" s="2522"/>
      <c r="HBA211" s="2522"/>
      <c r="HBB211" s="2522"/>
      <c r="HBC211" s="2522"/>
      <c r="HBD211" s="2522"/>
      <c r="HBE211" s="2522"/>
      <c r="HBF211" s="2522"/>
      <c r="HBG211" s="2522"/>
      <c r="HBH211" s="2522"/>
      <c r="HBI211" s="2522"/>
      <c r="HBJ211" s="2522"/>
      <c r="HBK211" s="2522"/>
      <c r="HBL211" s="2522"/>
      <c r="HBM211" s="2522"/>
      <c r="HBN211" s="2522"/>
      <c r="HBO211" s="2522"/>
      <c r="HBP211" s="2522"/>
      <c r="HBQ211" s="2522"/>
      <c r="HBR211" s="2522"/>
      <c r="HBS211" s="2522"/>
      <c r="HBT211" s="2522"/>
      <c r="HBU211" s="2522"/>
      <c r="HBV211" s="2522"/>
      <c r="HBW211" s="2522"/>
      <c r="HBX211" s="2522"/>
      <c r="HBY211" s="2522"/>
      <c r="HBZ211" s="2522"/>
      <c r="HCA211" s="2522"/>
      <c r="HCB211" s="2522"/>
      <c r="HCC211" s="2522"/>
      <c r="HCD211" s="2522"/>
      <c r="HCE211" s="2522"/>
      <c r="HCF211" s="2522"/>
      <c r="HCG211" s="2522"/>
      <c r="HCH211" s="2522"/>
      <c r="HCI211" s="2522"/>
      <c r="HCJ211" s="2522"/>
      <c r="HCK211" s="2522"/>
      <c r="HCL211" s="2522"/>
      <c r="HCM211" s="2522"/>
      <c r="HCN211" s="2522"/>
      <c r="HCO211" s="2522"/>
      <c r="HCP211" s="2522"/>
      <c r="HCQ211" s="2522"/>
      <c r="HCR211" s="2522"/>
      <c r="HCS211" s="2522"/>
      <c r="HCT211" s="2522"/>
      <c r="HCU211" s="2522"/>
      <c r="HCV211" s="2522"/>
      <c r="HCW211" s="2522"/>
      <c r="HCX211" s="2522"/>
      <c r="HCY211" s="2522"/>
      <c r="HCZ211" s="2522"/>
      <c r="HDA211" s="2522"/>
      <c r="HDB211" s="2522"/>
      <c r="HDC211" s="2522"/>
      <c r="HDD211" s="2522"/>
      <c r="HDE211" s="2522"/>
      <c r="HDF211" s="2522"/>
      <c r="HDG211" s="2522"/>
      <c r="HDH211" s="2522"/>
      <c r="HDI211" s="2522"/>
      <c r="HDJ211" s="2522"/>
      <c r="HDK211" s="2522"/>
      <c r="HDL211" s="2522"/>
      <c r="HDM211" s="2522"/>
      <c r="HDN211" s="2522"/>
      <c r="HDO211" s="2522"/>
      <c r="HDP211" s="2522"/>
      <c r="HDQ211" s="2522"/>
      <c r="HDR211" s="2522"/>
      <c r="HDS211" s="2522"/>
      <c r="HDT211" s="2522"/>
      <c r="HDU211" s="2522"/>
      <c r="HDV211" s="2522"/>
      <c r="HDW211" s="2522"/>
      <c r="HDX211" s="2522"/>
      <c r="HDY211" s="2522"/>
      <c r="HDZ211" s="2522"/>
      <c r="HEA211" s="2522"/>
      <c r="HEB211" s="2522"/>
      <c r="HEC211" s="2522"/>
      <c r="HED211" s="2522"/>
      <c r="HEE211" s="2522"/>
      <c r="HEF211" s="2522"/>
      <c r="HEG211" s="2522"/>
      <c r="HEH211" s="2522"/>
      <c r="HEI211" s="2522"/>
      <c r="HEJ211" s="2522"/>
      <c r="HEK211" s="2522"/>
      <c r="HEL211" s="2522"/>
      <c r="HEM211" s="2522"/>
      <c r="HEN211" s="2522"/>
      <c r="HEO211" s="2522"/>
      <c r="HEP211" s="2522"/>
      <c r="HEQ211" s="2522"/>
      <c r="HER211" s="2522"/>
      <c r="HES211" s="2522"/>
      <c r="HET211" s="2522"/>
      <c r="HEU211" s="2522"/>
      <c r="HEV211" s="2522"/>
      <c r="HEW211" s="2522"/>
      <c r="HEX211" s="2522"/>
      <c r="HEY211" s="2522"/>
      <c r="HEZ211" s="2522"/>
      <c r="HFA211" s="2522"/>
      <c r="HFB211" s="2522"/>
      <c r="HFC211" s="2522"/>
      <c r="HFD211" s="2522"/>
      <c r="HFE211" s="2522"/>
      <c r="HFF211" s="2522"/>
      <c r="HFG211" s="2522"/>
      <c r="HFH211" s="2522"/>
      <c r="HFI211" s="2522"/>
      <c r="HFJ211" s="2522"/>
      <c r="HFK211" s="2522"/>
      <c r="HFL211" s="2522"/>
      <c r="HFM211" s="2522"/>
      <c r="HFN211" s="2522"/>
      <c r="HFO211" s="2522"/>
      <c r="HFP211" s="2522"/>
      <c r="HFQ211" s="2522"/>
      <c r="HFR211" s="2522"/>
      <c r="HFS211" s="2522"/>
      <c r="HFT211" s="2522"/>
      <c r="HFU211" s="2522"/>
      <c r="HFV211" s="2522"/>
      <c r="HFW211" s="2522"/>
      <c r="HFX211" s="2522"/>
      <c r="HFY211" s="2522"/>
      <c r="HFZ211" s="2522"/>
      <c r="HGA211" s="2522"/>
      <c r="HGB211" s="2522"/>
      <c r="HGC211" s="2522"/>
      <c r="HGD211" s="2522"/>
      <c r="HGE211" s="2522"/>
      <c r="HGF211" s="2522"/>
      <c r="HGG211" s="2522"/>
      <c r="HGH211" s="2522"/>
      <c r="HGI211" s="2522"/>
      <c r="HGJ211" s="2522"/>
      <c r="HGK211" s="2522"/>
      <c r="HGL211" s="2522"/>
      <c r="HGM211" s="2522"/>
      <c r="HGN211" s="2522"/>
      <c r="HGO211" s="2522"/>
      <c r="HGP211" s="2522"/>
      <c r="HGQ211" s="2522"/>
      <c r="HGR211" s="2522"/>
      <c r="HGS211" s="2522"/>
      <c r="HGT211" s="2522"/>
      <c r="HGU211" s="2522"/>
      <c r="HGV211" s="2522"/>
      <c r="HGW211" s="2522"/>
      <c r="HGX211" s="2522"/>
      <c r="HGY211" s="2522"/>
      <c r="HGZ211" s="2522"/>
      <c r="HHA211" s="2522"/>
      <c r="HHB211" s="2522"/>
      <c r="HHC211" s="2522"/>
      <c r="HHD211" s="2522"/>
      <c r="HHE211" s="2522"/>
      <c r="HHF211" s="2522"/>
      <c r="HHG211" s="2522"/>
      <c r="HHH211" s="2522"/>
      <c r="HHI211" s="2522"/>
      <c r="HHJ211" s="2522"/>
      <c r="HHK211" s="2522"/>
      <c r="HHL211" s="2522"/>
      <c r="HHM211" s="2522"/>
      <c r="HHN211" s="2522"/>
      <c r="HHO211" s="2522"/>
      <c r="HHP211" s="2522"/>
      <c r="HHQ211" s="2522"/>
      <c r="HHR211" s="2522"/>
      <c r="HHS211" s="2522"/>
      <c r="HHT211" s="2522"/>
      <c r="HHU211" s="2522"/>
      <c r="HHV211" s="2522"/>
      <c r="HHW211" s="2522"/>
      <c r="HHX211" s="2522"/>
      <c r="HHY211" s="2522"/>
      <c r="HHZ211" s="2522"/>
      <c r="HIA211" s="2522"/>
      <c r="HIB211" s="2522"/>
      <c r="HIC211" s="2522"/>
      <c r="HID211" s="2522"/>
      <c r="HIE211" s="2522"/>
      <c r="HIF211" s="2522"/>
      <c r="HIG211" s="2522"/>
      <c r="HIH211" s="2522"/>
      <c r="HII211" s="2522"/>
      <c r="HIJ211" s="2522"/>
      <c r="HIK211" s="2522"/>
      <c r="HIL211" s="2522"/>
      <c r="HIM211" s="2522"/>
      <c r="HIN211" s="2522"/>
      <c r="HIO211" s="2522"/>
      <c r="HIP211" s="2522"/>
      <c r="HIQ211" s="2522"/>
      <c r="HIR211" s="2522"/>
      <c r="HIS211" s="2522"/>
      <c r="HIT211" s="2522"/>
      <c r="HIU211" s="2522"/>
      <c r="HIV211" s="2522"/>
      <c r="HIW211" s="2522"/>
      <c r="HIX211" s="2522"/>
      <c r="HIY211" s="2522"/>
      <c r="HIZ211" s="2522"/>
      <c r="HJA211" s="2522"/>
      <c r="HJB211" s="2522"/>
      <c r="HJC211" s="2522"/>
      <c r="HJD211" s="2522"/>
      <c r="HJE211" s="2522"/>
      <c r="HJF211" s="2522"/>
      <c r="HJG211" s="2522"/>
      <c r="HJH211" s="2522"/>
      <c r="HJI211" s="2522"/>
      <c r="HJJ211" s="2522"/>
      <c r="HJK211" s="2522"/>
      <c r="HJL211" s="2522"/>
      <c r="HJM211" s="2522"/>
      <c r="HJN211" s="2522"/>
      <c r="HJO211" s="2522"/>
      <c r="HJP211" s="2522"/>
      <c r="HJQ211" s="2522"/>
      <c r="HJR211" s="2522"/>
      <c r="HJS211" s="2522"/>
      <c r="HJT211" s="2522"/>
      <c r="HJU211" s="2522"/>
      <c r="HJV211" s="2522"/>
      <c r="HJW211" s="2522"/>
      <c r="HJX211" s="2522"/>
      <c r="HJY211" s="2522"/>
      <c r="HJZ211" s="2522"/>
      <c r="HKA211" s="2522"/>
      <c r="HKB211" s="2522"/>
      <c r="HKC211" s="2522"/>
      <c r="HKD211" s="2522"/>
      <c r="HKE211" s="2522"/>
      <c r="HKF211" s="2522"/>
      <c r="HKG211" s="2522"/>
      <c r="HKH211" s="2522"/>
      <c r="HKI211" s="2522"/>
      <c r="HKJ211" s="2522"/>
      <c r="HKK211" s="2522"/>
      <c r="HKL211" s="2522"/>
      <c r="HKM211" s="2522"/>
      <c r="HKN211" s="2522"/>
      <c r="HKO211" s="2522"/>
      <c r="HKP211" s="2522"/>
      <c r="HKQ211" s="2522"/>
      <c r="HKR211" s="2522"/>
      <c r="HKS211" s="2522"/>
      <c r="HKT211" s="2522"/>
      <c r="HKU211" s="2522"/>
      <c r="HKV211" s="2522"/>
      <c r="HKW211" s="2522"/>
      <c r="HKX211" s="2522"/>
      <c r="HKY211" s="2522"/>
      <c r="HKZ211" s="2522"/>
      <c r="HLA211" s="2522"/>
      <c r="HLB211" s="2522"/>
      <c r="HLC211" s="2522"/>
      <c r="HLD211" s="2522"/>
      <c r="HLE211" s="2522"/>
      <c r="HLF211" s="2522"/>
      <c r="HLG211" s="2522"/>
      <c r="HLH211" s="2522"/>
      <c r="HLI211" s="2522"/>
      <c r="HLJ211" s="2522"/>
      <c r="HLK211" s="2522"/>
      <c r="HLL211" s="2522"/>
      <c r="HLM211" s="2522"/>
      <c r="HLN211" s="2522"/>
      <c r="HLO211" s="2522"/>
      <c r="HLP211" s="2522"/>
      <c r="HLQ211" s="2522"/>
      <c r="HLR211" s="2522"/>
      <c r="HLS211" s="2522"/>
      <c r="HLT211" s="2522"/>
      <c r="HLU211" s="2522"/>
      <c r="HLV211" s="2522"/>
      <c r="HLW211" s="2522"/>
      <c r="HLX211" s="2522"/>
      <c r="HLY211" s="2522"/>
      <c r="HLZ211" s="2522"/>
      <c r="HMA211" s="2522"/>
      <c r="HMB211" s="2522"/>
      <c r="HMC211" s="2522"/>
      <c r="HMD211" s="2522"/>
      <c r="HME211" s="2522"/>
      <c r="HMF211" s="2522"/>
      <c r="HMG211" s="2522"/>
      <c r="HMH211" s="2522"/>
      <c r="HMI211" s="2522"/>
      <c r="HMJ211" s="2522"/>
      <c r="HMK211" s="2522"/>
      <c r="HML211" s="2522"/>
      <c r="HMM211" s="2522"/>
      <c r="HMN211" s="2522"/>
      <c r="HMO211" s="2522"/>
      <c r="HMP211" s="2522"/>
      <c r="HMQ211" s="2522"/>
      <c r="HMR211" s="2522"/>
      <c r="HMS211" s="2522"/>
      <c r="HMT211" s="2522"/>
      <c r="HMU211" s="2522"/>
      <c r="HMV211" s="2522"/>
      <c r="HMW211" s="2522"/>
      <c r="HMX211" s="2522"/>
      <c r="HMY211" s="2522"/>
      <c r="HMZ211" s="2522"/>
      <c r="HNA211" s="2522"/>
      <c r="HNB211" s="2522"/>
      <c r="HNC211" s="2522"/>
      <c r="HND211" s="2522"/>
      <c r="HNE211" s="2522"/>
      <c r="HNF211" s="2522"/>
      <c r="HNG211" s="2522"/>
      <c r="HNH211" s="2522"/>
      <c r="HNI211" s="2522"/>
      <c r="HNJ211" s="2522"/>
      <c r="HNK211" s="2522"/>
      <c r="HNL211" s="2522"/>
      <c r="HNM211" s="2522"/>
      <c r="HNN211" s="2522"/>
      <c r="HNO211" s="2522"/>
      <c r="HNP211" s="2522"/>
      <c r="HNQ211" s="2522"/>
      <c r="HNR211" s="2522"/>
      <c r="HNS211" s="2522"/>
      <c r="HNT211" s="2522"/>
      <c r="HNU211" s="2522"/>
      <c r="HNV211" s="2522"/>
      <c r="HNW211" s="2522"/>
      <c r="HNX211" s="2522"/>
      <c r="HNY211" s="2522"/>
      <c r="HNZ211" s="2522"/>
      <c r="HOA211" s="2522"/>
      <c r="HOB211" s="2522"/>
      <c r="HOC211" s="2522"/>
      <c r="HOD211" s="2522"/>
      <c r="HOE211" s="2522"/>
      <c r="HOF211" s="2522"/>
      <c r="HOG211" s="2522"/>
      <c r="HOH211" s="2522"/>
      <c r="HOI211" s="2522"/>
      <c r="HOJ211" s="2522"/>
      <c r="HOK211" s="2522"/>
      <c r="HOL211" s="2522"/>
      <c r="HOM211" s="2522"/>
      <c r="HON211" s="2522"/>
      <c r="HOO211" s="2522"/>
      <c r="HOP211" s="2522"/>
      <c r="HOQ211" s="2522"/>
      <c r="HOR211" s="2522"/>
      <c r="HOS211" s="2522"/>
      <c r="HOT211" s="2522"/>
      <c r="HOU211" s="2522"/>
      <c r="HOV211" s="2522"/>
      <c r="HOW211" s="2522"/>
      <c r="HOX211" s="2522"/>
      <c r="HOY211" s="2522"/>
      <c r="HOZ211" s="2522"/>
      <c r="HPA211" s="2522"/>
      <c r="HPB211" s="2522"/>
      <c r="HPC211" s="2522"/>
      <c r="HPD211" s="2522"/>
      <c r="HPE211" s="2522"/>
      <c r="HPF211" s="2522"/>
      <c r="HPG211" s="2522"/>
      <c r="HPH211" s="2522"/>
      <c r="HPI211" s="2522"/>
      <c r="HPJ211" s="2522"/>
      <c r="HPK211" s="2522"/>
      <c r="HPL211" s="2522"/>
      <c r="HPM211" s="2522"/>
      <c r="HPN211" s="2522"/>
      <c r="HPO211" s="2522"/>
      <c r="HPP211" s="2522"/>
      <c r="HPQ211" s="2522"/>
      <c r="HPR211" s="2522"/>
      <c r="HPS211" s="2522"/>
      <c r="HPT211" s="2522"/>
      <c r="HPU211" s="2522"/>
      <c r="HPV211" s="2522"/>
      <c r="HPW211" s="2522"/>
      <c r="HPX211" s="2522"/>
      <c r="HPY211" s="2522"/>
      <c r="HPZ211" s="2522"/>
      <c r="HQA211" s="2522"/>
      <c r="HQB211" s="2522"/>
      <c r="HQC211" s="2522"/>
      <c r="HQD211" s="2522"/>
      <c r="HQE211" s="2522"/>
      <c r="HQF211" s="2522"/>
      <c r="HQG211" s="2522"/>
      <c r="HQH211" s="2522"/>
      <c r="HQI211" s="2522"/>
      <c r="HQJ211" s="2522"/>
      <c r="HQK211" s="2522"/>
      <c r="HQL211" s="2522"/>
      <c r="HQM211" s="2522"/>
      <c r="HQN211" s="2522"/>
      <c r="HQO211" s="2522"/>
      <c r="HQP211" s="2522"/>
      <c r="HQQ211" s="2522"/>
      <c r="HQR211" s="2522"/>
      <c r="HQS211" s="2522"/>
      <c r="HQT211" s="2522"/>
      <c r="HQU211" s="2522"/>
      <c r="HQV211" s="2522"/>
      <c r="HQW211" s="2522"/>
      <c r="HQX211" s="2522"/>
      <c r="HQY211" s="2522"/>
      <c r="HQZ211" s="2522"/>
      <c r="HRA211" s="2522"/>
      <c r="HRB211" s="2522"/>
      <c r="HRC211" s="2522"/>
      <c r="HRD211" s="2522"/>
      <c r="HRE211" s="2522"/>
      <c r="HRF211" s="2522"/>
      <c r="HRG211" s="2522"/>
      <c r="HRH211" s="2522"/>
      <c r="HRI211" s="2522"/>
      <c r="HRJ211" s="2522"/>
      <c r="HRK211" s="2522"/>
      <c r="HRL211" s="2522"/>
      <c r="HRM211" s="2522"/>
      <c r="HRN211" s="2522"/>
      <c r="HRO211" s="2522"/>
      <c r="HRP211" s="2522"/>
      <c r="HRQ211" s="2522"/>
      <c r="HRR211" s="2522"/>
      <c r="HRS211" s="2522"/>
      <c r="HRT211" s="2522"/>
      <c r="HRU211" s="2522"/>
      <c r="HRV211" s="2522"/>
      <c r="HRW211" s="2522"/>
      <c r="HRX211" s="2522"/>
      <c r="HRY211" s="2522"/>
      <c r="HRZ211" s="2522"/>
      <c r="HSA211" s="2522"/>
      <c r="HSB211" s="2522"/>
      <c r="HSC211" s="2522"/>
      <c r="HSD211" s="2522"/>
      <c r="HSE211" s="2522"/>
      <c r="HSF211" s="2522"/>
      <c r="HSG211" s="2522"/>
      <c r="HSH211" s="2522"/>
      <c r="HSI211" s="2522"/>
      <c r="HSJ211" s="2522"/>
      <c r="HSK211" s="2522"/>
      <c r="HSL211" s="2522"/>
      <c r="HSM211" s="2522"/>
      <c r="HSN211" s="2522"/>
      <c r="HSO211" s="2522"/>
      <c r="HSP211" s="2522"/>
      <c r="HSQ211" s="2522"/>
      <c r="HSR211" s="2522"/>
      <c r="HSS211" s="2522"/>
      <c r="HST211" s="2522"/>
      <c r="HSU211" s="2522"/>
      <c r="HSV211" s="2522"/>
      <c r="HSW211" s="2522"/>
      <c r="HSX211" s="2522"/>
      <c r="HSY211" s="2522"/>
      <c r="HSZ211" s="2522"/>
      <c r="HTA211" s="2522"/>
      <c r="HTB211" s="2522"/>
      <c r="HTC211" s="2522"/>
      <c r="HTD211" s="2522"/>
      <c r="HTE211" s="2522"/>
      <c r="HTF211" s="2522"/>
      <c r="HTG211" s="2522"/>
      <c r="HTH211" s="2522"/>
      <c r="HTI211" s="2522"/>
      <c r="HTJ211" s="2522"/>
      <c r="HTK211" s="2522"/>
      <c r="HTL211" s="2522"/>
      <c r="HTM211" s="2522"/>
      <c r="HTN211" s="2522"/>
      <c r="HTO211" s="2522"/>
      <c r="HTP211" s="2522"/>
      <c r="HTQ211" s="2522"/>
      <c r="HTR211" s="2522"/>
      <c r="HTS211" s="2522"/>
      <c r="HTT211" s="2522"/>
      <c r="HTU211" s="2522"/>
      <c r="HTV211" s="2522"/>
      <c r="HTW211" s="2522"/>
      <c r="HTX211" s="2522"/>
      <c r="HTY211" s="2522"/>
      <c r="HTZ211" s="2522"/>
      <c r="HUA211" s="2522"/>
      <c r="HUB211" s="2522"/>
      <c r="HUC211" s="2522"/>
      <c r="HUD211" s="2522"/>
      <c r="HUE211" s="2522"/>
      <c r="HUF211" s="2522"/>
      <c r="HUG211" s="2522"/>
      <c r="HUH211" s="2522"/>
      <c r="HUI211" s="2522"/>
      <c r="HUJ211" s="2522"/>
      <c r="HUK211" s="2522"/>
      <c r="HUL211" s="2522"/>
      <c r="HUM211" s="2522"/>
      <c r="HUN211" s="2522"/>
      <c r="HUO211" s="2522"/>
      <c r="HUP211" s="2522"/>
      <c r="HUQ211" s="2522"/>
      <c r="HUR211" s="2522"/>
      <c r="HUS211" s="2522"/>
      <c r="HUT211" s="2522"/>
      <c r="HUU211" s="2522"/>
      <c r="HUV211" s="2522"/>
      <c r="HUW211" s="2522"/>
      <c r="HUX211" s="2522"/>
      <c r="HUY211" s="2522"/>
      <c r="HUZ211" s="2522"/>
      <c r="HVA211" s="2522"/>
      <c r="HVB211" s="2522"/>
      <c r="HVC211" s="2522"/>
      <c r="HVD211" s="2522"/>
      <c r="HVE211" s="2522"/>
      <c r="HVF211" s="2522"/>
      <c r="HVG211" s="2522"/>
      <c r="HVH211" s="2522"/>
      <c r="HVI211" s="2522"/>
      <c r="HVJ211" s="2522"/>
      <c r="HVK211" s="2522"/>
      <c r="HVL211" s="2522"/>
      <c r="HVM211" s="2522"/>
      <c r="HVN211" s="2522"/>
      <c r="HVO211" s="2522"/>
      <c r="HVP211" s="2522"/>
      <c r="HVQ211" s="2522"/>
      <c r="HVR211" s="2522"/>
      <c r="HVS211" s="2522"/>
      <c r="HVT211" s="2522"/>
      <c r="HVU211" s="2522"/>
      <c r="HVV211" s="2522"/>
      <c r="HVW211" s="2522"/>
      <c r="HVX211" s="2522"/>
      <c r="HVY211" s="2522"/>
      <c r="HVZ211" s="2522"/>
      <c r="HWA211" s="2522"/>
      <c r="HWB211" s="2522"/>
      <c r="HWC211" s="2522"/>
      <c r="HWD211" s="2522"/>
      <c r="HWE211" s="2522"/>
      <c r="HWF211" s="2522"/>
      <c r="HWG211" s="2522"/>
      <c r="HWH211" s="2522"/>
      <c r="HWI211" s="2522"/>
      <c r="HWJ211" s="2522"/>
      <c r="HWK211" s="2522"/>
      <c r="HWL211" s="2522"/>
      <c r="HWM211" s="2522"/>
      <c r="HWN211" s="2522"/>
      <c r="HWO211" s="2522"/>
      <c r="HWP211" s="2522"/>
      <c r="HWQ211" s="2522"/>
      <c r="HWR211" s="2522"/>
      <c r="HWS211" s="2522"/>
      <c r="HWT211" s="2522"/>
      <c r="HWU211" s="2522"/>
      <c r="HWV211" s="2522"/>
      <c r="HWW211" s="2522"/>
      <c r="HWX211" s="2522"/>
      <c r="HWY211" s="2522"/>
      <c r="HWZ211" s="2522"/>
      <c r="HXA211" s="2522"/>
      <c r="HXB211" s="2522"/>
      <c r="HXC211" s="2522"/>
      <c r="HXD211" s="2522"/>
      <c r="HXE211" s="2522"/>
      <c r="HXF211" s="2522"/>
      <c r="HXG211" s="2522"/>
      <c r="HXH211" s="2522"/>
      <c r="HXI211" s="2522"/>
      <c r="HXJ211" s="2522"/>
      <c r="HXK211" s="2522"/>
      <c r="HXL211" s="2522"/>
      <c r="HXM211" s="2522"/>
      <c r="HXN211" s="2522"/>
      <c r="HXO211" s="2522"/>
      <c r="HXP211" s="2522"/>
      <c r="HXQ211" s="2522"/>
      <c r="HXR211" s="2522"/>
      <c r="HXS211" s="2522"/>
      <c r="HXT211" s="2522"/>
      <c r="HXU211" s="2522"/>
      <c r="HXV211" s="2522"/>
      <c r="HXW211" s="2522"/>
      <c r="HXX211" s="2522"/>
      <c r="HXY211" s="2522"/>
      <c r="HXZ211" s="2522"/>
      <c r="HYA211" s="2522"/>
      <c r="HYB211" s="2522"/>
      <c r="HYC211" s="2522"/>
      <c r="HYD211" s="2522"/>
      <c r="HYE211" s="2522"/>
      <c r="HYF211" s="2522"/>
      <c r="HYG211" s="2522"/>
      <c r="HYH211" s="2522"/>
      <c r="HYI211" s="2522"/>
      <c r="HYJ211" s="2522"/>
      <c r="HYK211" s="2522"/>
      <c r="HYL211" s="2522"/>
      <c r="HYM211" s="2522"/>
      <c r="HYN211" s="2522"/>
      <c r="HYO211" s="2522"/>
      <c r="HYP211" s="2522"/>
      <c r="HYQ211" s="2522"/>
      <c r="HYR211" s="2522"/>
      <c r="HYS211" s="2522"/>
      <c r="HYT211" s="2522"/>
      <c r="HYU211" s="2522"/>
      <c r="HYV211" s="2522"/>
      <c r="HYW211" s="2522"/>
      <c r="HYX211" s="2522"/>
      <c r="HYY211" s="2522"/>
      <c r="HYZ211" s="2522"/>
      <c r="HZA211" s="2522"/>
      <c r="HZB211" s="2522"/>
      <c r="HZC211" s="2522"/>
      <c r="HZD211" s="2522"/>
      <c r="HZE211" s="2522"/>
      <c r="HZF211" s="2522"/>
      <c r="HZG211" s="2522"/>
      <c r="HZH211" s="2522"/>
      <c r="HZI211" s="2522"/>
      <c r="HZJ211" s="2522"/>
      <c r="HZK211" s="2522"/>
      <c r="HZL211" s="2522"/>
      <c r="HZM211" s="2522"/>
      <c r="HZN211" s="2522"/>
      <c r="HZO211" s="2522"/>
      <c r="HZP211" s="2522"/>
      <c r="HZQ211" s="2522"/>
      <c r="HZR211" s="2522"/>
      <c r="HZS211" s="2522"/>
      <c r="HZT211" s="2522"/>
      <c r="HZU211" s="2522"/>
      <c r="HZV211" s="2522"/>
      <c r="HZW211" s="2522"/>
      <c r="HZX211" s="2522"/>
      <c r="HZY211" s="2522"/>
      <c r="HZZ211" s="2522"/>
      <c r="IAA211" s="2522"/>
      <c r="IAB211" s="2522"/>
      <c r="IAC211" s="2522"/>
      <c r="IAD211" s="2522"/>
      <c r="IAE211" s="2522"/>
      <c r="IAF211" s="2522"/>
      <c r="IAG211" s="2522"/>
      <c r="IAH211" s="2522"/>
      <c r="IAI211" s="2522"/>
      <c r="IAJ211" s="2522"/>
      <c r="IAK211" s="2522"/>
      <c r="IAL211" s="2522"/>
      <c r="IAM211" s="2522"/>
      <c r="IAN211" s="2522"/>
      <c r="IAO211" s="2522"/>
      <c r="IAP211" s="2522"/>
      <c r="IAQ211" s="2522"/>
      <c r="IAR211" s="2522"/>
      <c r="IAS211" s="2522"/>
      <c r="IAT211" s="2522"/>
      <c r="IAU211" s="2522"/>
      <c r="IAV211" s="2522"/>
      <c r="IAW211" s="2522"/>
      <c r="IAX211" s="2522"/>
      <c r="IAY211" s="2522"/>
      <c r="IAZ211" s="2522"/>
      <c r="IBA211" s="2522"/>
      <c r="IBB211" s="2522"/>
      <c r="IBC211" s="2522"/>
      <c r="IBD211" s="2522"/>
      <c r="IBE211" s="2522"/>
      <c r="IBF211" s="2522"/>
      <c r="IBG211" s="2522"/>
      <c r="IBH211" s="2522"/>
      <c r="IBI211" s="2522"/>
      <c r="IBJ211" s="2522"/>
      <c r="IBK211" s="2522"/>
      <c r="IBL211" s="2522"/>
      <c r="IBM211" s="2522"/>
      <c r="IBN211" s="2522"/>
      <c r="IBO211" s="2522"/>
      <c r="IBP211" s="2522"/>
      <c r="IBQ211" s="2522"/>
      <c r="IBR211" s="2522"/>
      <c r="IBS211" s="2522"/>
      <c r="IBT211" s="2522"/>
      <c r="IBU211" s="2522"/>
      <c r="IBV211" s="2522"/>
      <c r="IBW211" s="2522"/>
      <c r="IBX211" s="2522"/>
      <c r="IBY211" s="2522"/>
      <c r="IBZ211" s="2522"/>
      <c r="ICA211" s="2522"/>
      <c r="ICB211" s="2522"/>
      <c r="ICC211" s="2522"/>
      <c r="ICD211" s="2522"/>
      <c r="ICE211" s="2522"/>
      <c r="ICF211" s="2522"/>
      <c r="ICG211" s="2522"/>
      <c r="ICH211" s="2522"/>
      <c r="ICI211" s="2522"/>
      <c r="ICJ211" s="2522"/>
      <c r="ICK211" s="2522"/>
      <c r="ICL211" s="2522"/>
      <c r="ICM211" s="2522"/>
      <c r="ICN211" s="2522"/>
      <c r="ICO211" s="2522"/>
      <c r="ICP211" s="2522"/>
      <c r="ICQ211" s="2522"/>
      <c r="ICR211" s="2522"/>
      <c r="ICS211" s="2522"/>
      <c r="ICT211" s="2522"/>
      <c r="ICU211" s="2522"/>
      <c r="ICV211" s="2522"/>
      <c r="ICW211" s="2522"/>
      <c r="ICX211" s="2522"/>
      <c r="ICY211" s="2522"/>
      <c r="ICZ211" s="2522"/>
      <c r="IDA211" s="2522"/>
      <c r="IDB211" s="2522"/>
      <c r="IDC211" s="2522"/>
      <c r="IDD211" s="2522"/>
      <c r="IDE211" s="2522"/>
      <c r="IDF211" s="2522"/>
      <c r="IDG211" s="2522"/>
      <c r="IDH211" s="2522"/>
      <c r="IDI211" s="2522"/>
      <c r="IDJ211" s="2522"/>
      <c r="IDK211" s="2522"/>
      <c r="IDL211" s="2522"/>
      <c r="IDM211" s="2522"/>
      <c r="IDN211" s="2522"/>
      <c r="IDO211" s="2522"/>
      <c r="IDP211" s="2522"/>
      <c r="IDQ211" s="2522"/>
      <c r="IDR211" s="2522"/>
      <c r="IDS211" s="2522"/>
      <c r="IDT211" s="2522"/>
      <c r="IDU211" s="2522"/>
      <c r="IDV211" s="2522"/>
      <c r="IDW211" s="2522"/>
      <c r="IDX211" s="2522"/>
      <c r="IDY211" s="2522"/>
      <c r="IDZ211" s="2522"/>
      <c r="IEA211" s="2522"/>
      <c r="IEB211" s="2522"/>
      <c r="IEC211" s="2522"/>
      <c r="IED211" s="2522"/>
      <c r="IEE211" s="2522"/>
      <c r="IEF211" s="2522"/>
      <c r="IEG211" s="2522"/>
      <c r="IEH211" s="2522"/>
      <c r="IEI211" s="2522"/>
      <c r="IEJ211" s="2522"/>
      <c r="IEK211" s="2522"/>
      <c r="IEL211" s="2522"/>
      <c r="IEM211" s="2522"/>
      <c r="IEN211" s="2522"/>
      <c r="IEO211" s="2522"/>
      <c r="IEP211" s="2522"/>
      <c r="IEQ211" s="2522"/>
      <c r="IER211" s="2522"/>
      <c r="IES211" s="2522"/>
      <c r="IET211" s="2522"/>
      <c r="IEU211" s="2522"/>
      <c r="IEV211" s="2522"/>
      <c r="IEW211" s="2522"/>
      <c r="IEX211" s="2522"/>
      <c r="IEY211" s="2522"/>
      <c r="IEZ211" s="2522"/>
      <c r="IFA211" s="2522"/>
      <c r="IFB211" s="2522"/>
      <c r="IFC211" s="2522"/>
      <c r="IFD211" s="2522"/>
      <c r="IFE211" s="2522"/>
      <c r="IFF211" s="2522"/>
      <c r="IFG211" s="2522"/>
      <c r="IFH211" s="2522"/>
      <c r="IFI211" s="2522"/>
      <c r="IFJ211" s="2522"/>
      <c r="IFK211" s="2522"/>
      <c r="IFL211" s="2522"/>
      <c r="IFM211" s="2522"/>
      <c r="IFN211" s="2522"/>
      <c r="IFO211" s="2522"/>
      <c r="IFP211" s="2522"/>
      <c r="IFQ211" s="2522"/>
      <c r="IFR211" s="2522"/>
      <c r="IFS211" s="2522"/>
      <c r="IFT211" s="2522"/>
      <c r="IFU211" s="2522"/>
      <c r="IFV211" s="2522"/>
      <c r="IFW211" s="2522"/>
      <c r="IFX211" s="2522"/>
      <c r="IFY211" s="2522"/>
      <c r="IFZ211" s="2522"/>
      <c r="IGA211" s="2522"/>
      <c r="IGB211" s="2522"/>
      <c r="IGC211" s="2522"/>
      <c r="IGD211" s="2522"/>
      <c r="IGE211" s="2522"/>
      <c r="IGF211" s="2522"/>
      <c r="IGG211" s="2522"/>
      <c r="IGH211" s="2522"/>
      <c r="IGI211" s="2522"/>
      <c r="IGJ211" s="2522"/>
      <c r="IGK211" s="2522"/>
      <c r="IGL211" s="2522"/>
      <c r="IGM211" s="2522"/>
      <c r="IGN211" s="2522"/>
      <c r="IGO211" s="2522"/>
      <c r="IGP211" s="2522"/>
      <c r="IGQ211" s="2522"/>
      <c r="IGR211" s="2522"/>
      <c r="IGS211" s="2522"/>
      <c r="IGT211" s="2522"/>
      <c r="IGU211" s="2522"/>
      <c r="IGV211" s="2522"/>
      <c r="IGW211" s="2522"/>
      <c r="IGX211" s="2522"/>
      <c r="IGY211" s="2522"/>
      <c r="IGZ211" s="2522"/>
      <c r="IHA211" s="2522"/>
      <c r="IHB211" s="2522"/>
      <c r="IHC211" s="2522"/>
      <c r="IHD211" s="2522"/>
      <c r="IHE211" s="2522"/>
      <c r="IHF211" s="2522"/>
      <c r="IHG211" s="2522"/>
      <c r="IHH211" s="2522"/>
      <c r="IHI211" s="2522"/>
      <c r="IHJ211" s="2522"/>
      <c r="IHK211" s="2522"/>
      <c r="IHL211" s="2522"/>
      <c r="IHM211" s="2522"/>
      <c r="IHN211" s="2522"/>
      <c r="IHO211" s="2522"/>
      <c r="IHP211" s="2522"/>
      <c r="IHQ211" s="2522"/>
      <c r="IHR211" s="2522"/>
      <c r="IHS211" s="2522"/>
      <c r="IHT211" s="2522"/>
      <c r="IHU211" s="2522"/>
      <c r="IHV211" s="2522"/>
      <c r="IHW211" s="2522"/>
      <c r="IHX211" s="2522"/>
      <c r="IHY211" s="2522"/>
      <c r="IHZ211" s="2522"/>
      <c r="IIA211" s="2522"/>
      <c r="IIB211" s="2522"/>
      <c r="IIC211" s="2522"/>
      <c r="IID211" s="2522"/>
      <c r="IIE211" s="2522"/>
      <c r="IIF211" s="2522"/>
      <c r="IIG211" s="2522"/>
      <c r="IIH211" s="2522"/>
      <c r="III211" s="2522"/>
      <c r="IIJ211" s="2522"/>
      <c r="IIK211" s="2522"/>
      <c r="IIL211" s="2522"/>
      <c r="IIM211" s="2522"/>
      <c r="IIN211" s="2522"/>
      <c r="IIO211" s="2522"/>
      <c r="IIP211" s="2522"/>
      <c r="IIQ211" s="2522"/>
      <c r="IIR211" s="2522"/>
      <c r="IIS211" s="2522"/>
      <c r="IIT211" s="2522"/>
      <c r="IIU211" s="2522"/>
      <c r="IIV211" s="2522"/>
      <c r="IIW211" s="2522"/>
      <c r="IIX211" s="2522"/>
      <c r="IIY211" s="2522"/>
      <c r="IIZ211" s="2522"/>
      <c r="IJA211" s="2522"/>
      <c r="IJB211" s="2522"/>
      <c r="IJC211" s="2522"/>
      <c r="IJD211" s="2522"/>
      <c r="IJE211" s="2522"/>
      <c r="IJF211" s="2522"/>
      <c r="IJG211" s="2522"/>
      <c r="IJH211" s="2522"/>
      <c r="IJI211" s="2522"/>
      <c r="IJJ211" s="2522"/>
      <c r="IJK211" s="2522"/>
      <c r="IJL211" s="2522"/>
      <c r="IJM211" s="2522"/>
      <c r="IJN211" s="2522"/>
      <c r="IJO211" s="2522"/>
      <c r="IJP211" s="2522"/>
      <c r="IJQ211" s="2522"/>
      <c r="IJR211" s="2522"/>
      <c r="IJS211" s="2522"/>
      <c r="IJT211" s="2522"/>
      <c r="IJU211" s="2522"/>
      <c r="IJV211" s="2522"/>
      <c r="IJW211" s="2522"/>
      <c r="IJX211" s="2522"/>
      <c r="IJY211" s="2522"/>
      <c r="IJZ211" s="2522"/>
      <c r="IKA211" s="2522"/>
      <c r="IKB211" s="2522"/>
      <c r="IKC211" s="2522"/>
      <c r="IKD211" s="2522"/>
      <c r="IKE211" s="2522"/>
      <c r="IKF211" s="2522"/>
      <c r="IKG211" s="2522"/>
      <c r="IKH211" s="2522"/>
      <c r="IKI211" s="2522"/>
      <c r="IKJ211" s="2522"/>
      <c r="IKK211" s="2522"/>
      <c r="IKL211" s="2522"/>
      <c r="IKM211" s="2522"/>
      <c r="IKN211" s="2522"/>
      <c r="IKO211" s="2522"/>
      <c r="IKP211" s="2522"/>
      <c r="IKQ211" s="2522"/>
      <c r="IKR211" s="2522"/>
      <c r="IKS211" s="2522"/>
      <c r="IKT211" s="2522"/>
      <c r="IKU211" s="2522"/>
      <c r="IKV211" s="2522"/>
      <c r="IKW211" s="2522"/>
      <c r="IKX211" s="2522"/>
      <c r="IKY211" s="2522"/>
      <c r="IKZ211" s="2522"/>
      <c r="ILA211" s="2522"/>
      <c r="ILB211" s="2522"/>
      <c r="ILC211" s="2522"/>
      <c r="ILD211" s="2522"/>
      <c r="ILE211" s="2522"/>
      <c r="ILF211" s="2522"/>
      <c r="ILG211" s="2522"/>
      <c r="ILH211" s="2522"/>
      <c r="ILI211" s="2522"/>
      <c r="ILJ211" s="2522"/>
      <c r="ILK211" s="2522"/>
      <c r="ILL211" s="2522"/>
      <c r="ILM211" s="2522"/>
      <c r="ILN211" s="2522"/>
      <c r="ILO211" s="2522"/>
      <c r="ILP211" s="2522"/>
      <c r="ILQ211" s="2522"/>
      <c r="ILR211" s="2522"/>
      <c r="ILS211" s="2522"/>
      <c r="ILT211" s="2522"/>
      <c r="ILU211" s="2522"/>
      <c r="ILV211" s="2522"/>
      <c r="ILW211" s="2522"/>
      <c r="ILX211" s="2522"/>
      <c r="ILY211" s="2522"/>
      <c r="ILZ211" s="2522"/>
      <c r="IMA211" s="2522"/>
      <c r="IMB211" s="2522"/>
      <c r="IMC211" s="2522"/>
      <c r="IMD211" s="2522"/>
      <c r="IME211" s="2522"/>
      <c r="IMF211" s="2522"/>
      <c r="IMG211" s="2522"/>
      <c r="IMH211" s="2522"/>
      <c r="IMI211" s="2522"/>
      <c r="IMJ211" s="2522"/>
      <c r="IMK211" s="2522"/>
      <c r="IML211" s="2522"/>
      <c r="IMM211" s="2522"/>
      <c r="IMN211" s="2522"/>
      <c r="IMO211" s="2522"/>
      <c r="IMP211" s="2522"/>
      <c r="IMQ211" s="2522"/>
      <c r="IMR211" s="2522"/>
      <c r="IMS211" s="2522"/>
      <c r="IMT211" s="2522"/>
      <c r="IMU211" s="2522"/>
      <c r="IMV211" s="2522"/>
      <c r="IMW211" s="2522"/>
      <c r="IMX211" s="2522"/>
      <c r="IMY211" s="2522"/>
      <c r="IMZ211" s="2522"/>
      <c r="INA211" s="2522"/>
      <c r="INB211" s="2522"/>
      <c r="INC211" s="2522"/>
      <c r="IND211" s="2522"/>
      <c r="INE211" s="2522"/>
      <c r="INF211" s="2522"/>
      <c r="ING211" s="2522"/>
      <c r="INH211" s="2522"/>
      <c r="INI211" s="2522"/>
      <c r="INJ211" s="2522"/>
      <c r="INK211" s="2522"/>
      <c r="INL211" s="2522"/>
      <c r="INM211" s="2522"/>
      <c r="INN211" s="2522"/>
      <c r="INO211" s="2522"/>
      <c r="INP211" s="2522"/>
      <c r="INQ211" s="2522"/>
      <c r="INR211" s="2522"/>
      <c r="INS211" s="2522"/>
      <c r="INT211" s="2522"/>
      <c r="INU211" s="2522"/>
      <c r="INV211" s="2522"/>
      <c r="INW211" s="2522"/>
      <c r="INX211" s="2522"/>
      <c r="INY211" s="2522"/>
      <c r="INZ211" s="2522"/>
      <c r="IOA211" s="2522"/>
      <c r="IOB211" s="2522"/>
      <c r="IOC211" s="2522"/>
      <c r="IOD211" s="2522"/>
      <c r="IOE211" s="2522"/>
      <c r="IOF211" s="2522"/>
      <c r="IOG211" s="2522"/>
      <c r="IOH211" s="2522"/>
      <c r="IOI211" s="2522"/>
      <c r="IOJ211" s="2522"/>
      <c r="IOK211" s="2522"/>
      <c r="IOL211" s="2522"/>
      <c r="IOM211" s="2522"/>
      <c r="ION211" s="2522"/>
      <c r="IOO211" s="2522"/>
      <c r="IOP211" s="2522"/>
      <c r="IOQ211" s="2522"/>
      <c r="IOR211" s="2522"/>
      <c r="IOS211" s="2522"/>
      <c r="IOT211" s="2522"/>
      <c r="IOU211" s="2522"/>
      <c r="IOV211" s="2522"/>
      <c r="IOW211" s="2522"/>
      <c r="IOX211" s="2522"/>
      <c r="IOY211" s="2522"/>
      <c r="IOZ211" s="2522"/>
      <c r="IPA211" s="2522"/>
      <c r="IPB211" s="2522"/>
      <c r="IPC211" s="2522"/>
      <c r="IPD211" s="2522"/>
      <c r="IPE211" s="2522"/>
      <c r="IPF211" s="2522"/>
      <c r="IPG211" s="2522"/>
      <c r="IPH211" s="2522"/>
      <c r="IPI211" s="2522"/>
      <c r="IPJ211" s="2522"/>
      <c r="IPK211" s="2522"/>
      <c r="IPL211" s="2522"/>
      <c r="IPM211" s="2522"/>
      <c r="IPN211" s="2522"/>
      <c r="IPO211" s="2522"/>
      <c r="IPP211" s="2522"/>
      <c r="IPQ211" s="2522"/>
      <c r="IPR211" s="2522"/>
      <c r="IPS211" s="2522"/>
      <c r="IPT211" s="2522"/>
      <c r="IPU211" s="2522"/>
      <c r="IPV211" s="2522"/>
      <c r="IPW211" s="2522"/>
      <c r="IPX211" s="2522"/>
      <c r="IPY211" s="2522"/>
      <c r="IPZ211" s="2522"/>
      <c r="IQA211" s="2522"/>
      <c r="IQB211" s="2522"/>
      <c r="IQC211" s="2522"/>
      <c r="IQD211" s="2522"/>
      <c r="IQE211" s="2522"/>
      <c r="IQF211" s="2522"/>
      <c r="IQG211" s="2522"/>
      <c r="IQH211" s="2522"/>
      <c r="IQI211" s="2522"/>
      <c r="IQJ211" s="2522"/>
      <c r="IQK211" s="2522"/>
      <c r="IQL211" s="2522"/>
      <c r="IQM211" s="2522"/>
      <c r="IQN211" s="2522"/>
      <c r="IQO211" s="2522"/>
      <c r="IQP211" s="2522"/>
      <c r="IQQ211" s="2522"/>
      <c r="IQR211" s="2522"/>
      <c r="IQS211" s="2522"/>
      <c r="IQT211" s="2522"/>
      <c r="IQU211" s="2522"/>
      <c r="IQV211" s="2522"/>
      <c r="IQW211" s="2522"/>
      <c r="IQX211" s="2522"/>
      <c r="IQY211" s="2522"/>
      <c r="IQZ211" s="2522"/>
      <c r="IRA211" s="2522"/>
      <c r="IRB211" s="2522"/>
      <c r="IRC211" s="2522"/>
      <c r="IRD211" s="2522"/>
      <c r="IRE211" s="2522"/>
      <c r="IRF211" s="2522"/>
      <c r="IRG211" s="2522"/>
      <c r="IRH211" s="2522"/>
      <c r="IRI211" s="2522"/>
      <c r="IRJ211" s="2522"/>
      <c r="IRK211" s="2522"/>
      <c r="IRL211" s="2522"/>
      <c r="IRM211" s="2522"/>
      <c r="IRN211" s="2522"/>
      <c r="IRO211" s="2522"/>
      <c r="IRP211" s="2522"/>
      <c r="IRQ211" s="2522"/>
      <c r="IRR211" s="2522"/>
      <c r="IRS211" s="2522"/>
      <c r="IRT211" s="2522"/>
      <c r="IRU211" s="2522"/>
      <c r="IRV211" s="2522"/>
      <c r="IRW211" s="2522"/>
      <c r="IRX211" s="2522"/>
      <c r="IRY211" s="2522"/>
      <c r="IRZ211" s="2522"/>
      <c r="ISA211" s="2522"/>
      <c r="ISB211" s="2522"/>
      <c r="ISC211" s="2522"/>
      <c r="ISD211" s="2522"/>
      <c r="ISE211" s="2522"/>
      <c r="ISF211" s="2522"/>
      <c r="ISG211" s="2522"/>
      <c r="ISH211" s="2522"/>
      <c r="ISI211" s="2522"/>
      <c r="ISJ211" s="2522"/>
      <c r="ISK211" s="2522"/>
      <c r="ISL211" s="2522"/>
      <c r="ISM211" s="2522"/>
      <c r="ISN211" s="2522"/>
      <c r="ISO211" s="2522"/>
      <c r="ISP211" s="2522"/>
      <c r="ISQ211" s="2522"/>
      <c r="ISR211" s="2522"/>
      <c r="ISS211" s="2522"/>
      <c r="IST211" s="2522"/>
      <c r="ISU211" s="2522"/>
      <c r="ISV211" s="2522"/>
      <c r="ISW211" s="2522"/>
      <c r="ISX211" s="2522"/>
      <c r="ISY211" s="2522"/>
      <c r="ISZ211" s="2522"/>
      <c r="ITA211" s="2522"/>
      <c r="ITB211" s="2522"/>
      <c r="ITC211" s="2522"/>
      <c r="ITD211" s="2522"/>
      <c r="ITE211" s="2522"/>
      <c r="ITF211" s="2522"/>
      <c r="ITG211" s="2522"/>
      <c r="ITH211" s="2522"/>
      <c r="ITI211" s="2522"/>
      <c r="ITJ211" s="2522"/>
      <c r="ITK211" s="2522"/>
      <c r="ITL211" s="2522"/>
      <c r="ITM211" s="2522"/>
      <c r="ITN211" s="2522"/>
      <c r="ITO211" s="2522"/>
      <c r="ITP211" s="2522"/>
      <c r="ITQ211" s="2522"/>
      <c r="ITR211" s="2522"/>
      <c r="ITS211" s="2522"/>
      <c r="ITT211" s="2522"/>
      <c r="ITU211" s="2522"/>
      <c r="ITV211" s="2522"/>
      <c r="ITW211" s="2522"/>
      <c r="ITX211" s="2522"/>
      <c r="ITY211" s="2522"/>
      <c r="ITZ211" s="2522"/>
      <c r="IUA211" s="2522"/>
      <c r="IUB211" s="2522"/>
      <c r="IUC211" s="2522"/>
      <c r="IUD211" s="2522"/>
      <c r="IUE211" s="2522"/>
      <c r="IUF211" s="2522"/>
      <c r="IUG211" s="2522"/>
      <c r="IUH211" s="2522"/>
      <c r="IUI211" s="2522"/>
      <c r="IUJ211" s="2522"/>
      <c r="IUK211" s="2522"/>
      <c r="IUL211" s="2522"/>
      <c r="IUM211" s="2522"/>
      <c r="IUN211" s="2522"/>
      <c r="IUO211" s="2522"/>
      <c r="IUP211" s="2522"/>
      <c r="IUQ211" s="2522"/>
      <c r="IUR211" s="2522"/>
      <c r="IUS211" s="2522"/>
      <c r="IUT211" s="2522"/>
      <c r="IUU211" s="2522"/>
      <c r="IUV211" s="2522"/>
      <c r="IUW211" s="2522"/>
      <c r="IUX211" s="2522"/>
      <c r="IUY211" s="2522"/>
      <c r="IUZ211" s="2522"/>
      <c r="IVA211" s="2522"/>
      <c r="IVB211" s="2522"/>
      <c r="IVC211" s="2522"/>
      <c r="IVD211" s="2522"/>
      <c r="IVE211" s="2522"/>
      <c r="IVF211" s="2522"/>
      <c r="IVG211" s="2522"/>
      <c r="IVH211" s="2522"/>
      <c r="IVI211" s="2522"/>
      <c r="IVJ211" s="2522"/>
      <c r="IVK211" s="2522"/>
      <c r="IVL211" s="2522"/>
      <c r="IVM211" s="2522"/>
      <c r="IVN211" s="2522"/>
      <c r="IVO211" s="2522"/>
      <c r="IVP211" s="2522"/>
      <c r="IVQ211" s="2522"/>
      <c r="IVR211" s="2522"/>
      <c r="IVS211" s="2522"/>
      <c r="IVT211" s="2522"/>
      <c r="IVU211" s="2522"/>
      <c r="IVV211" s="2522"/>
      <c r="IVW211" s="2522"/>
      <c r="IVX211" s="2522"/>
      <c r="IVY211" s="2522"/>
      <c r="IVZ211" s="2522"/>
      <c r="IWA211" s="2522"/>
      <c r="IWB211" s="2522"/>
      <c r="IWC211" s="2522"/>
      <c r="IWD211" s="2522"/>
      <c r="IWE211" s="2522"/>
      <c r="IWF211" s="2522"/>
      <c r="IWG211" s="2522"/>
      <c r="IWH211" s="2522"/>
      <c r="IWI211" s="2522"/>
      <c r="IWJ211" s="2522"/>
      <c r="IWK211" s="2522"/>
      <c r="IWL211" s="2522"/>
      <c r="IWM211" s="2522"/>
      <c r="IWN211" s="2522"/>
      <c r="IWO211" s="2522"/>
      <c r="IWP211" s="2522"/>
      <c r="IWQ211" s="2522"/>
      <c r="IWR211" s="2522"/>
      <c r="IWS211" s="2522"/>
      <c r="IWT211" s="2522"/>
      <c r="IWU211" s="2522"/>
      <c r="IWV211" s="2522"/>
      <c r="IWW211" s="2522"/>
      <c r="IWX211" s="2522"/>
      <c r="IWY211" s="2522"/>
      <c r="IWZ211" s="2522"/>
      <c r="IXA211" s="2522"/>
      <c r="IXB211" s="2522"/>
      <c r="IXC211" s="2522"/>
      <c r="IXD211" s="2522"/>
      <c r="IXE211" s="2522"/>
      <c r="IXF211" s="2522"/>
      <c r="IXG211" s="2522"/>
      <c r="IXH211" s="2522"/>
      <c r="IXI211" s="2522"/>
      <c r="IXJ211" s="2522"/>
      <c r="IXK211" s="2522"/>
      <c r="IXL211" s="2522"/>
      <c r="IXM211" s="2522"/>
      <c r="IXN211" s="2522"/>
      <c r="IXO211" s="2522"/>
      <c r="IXP211" s="2522"/>
      <c r="IXQ211" s="2522"/>
      <c r="IXR211" s="2522"/>
      <c r="IXS211" s="2522"/>
      <c r="IXT211" s="2522"/>
      <c r="IXU211" s="2522"/>
      <c r="IXV211" s="2522"/>
      <c r="IXW211" s="2522"/>
      <c r="IXX211" s="2522"/>
      <c r="IXY211" s="2522"/>
      <c r="IXZ211" s="2522"/>
      <c r="IYA211" s="2522"/>
      <c r="IYB211" s="2522"/>
      <c r="IYC211" s="2522"/>
      <c r="IYD211" s="2522"/>
      <c r="IYE211" s="2522"/>
      <c r="IYF211" s="2522"/>
      <c r="IYG211" s="2522"/>
      <c r="IYH211" s="2522"/>
      <c r="IYI211" s="2522"/>
      <c r="IYJ211" s="2522"/>
      <c r="IYK211" s="2522"/>
      <c r="IYL211" s="2522"/>
      <c r="IYM211" s="2522"/>
      <c r="IYN211" s="2522"/>
      <c r="IYO211" s="2522"/>
      <c r="IYP211" s="2522"/>
      <c r="IYQ211" s="2522"/>
      <c r="IYR211" s="2522"/>
      <c r="IYS211" s="2522"/>
      <c r="IYT211" s="2522"/>
      <c r="IYU211" s="2522"/>
      <c r="IYV211" s="2522"/>
      <c r="IYW211" s="2522"/>
      <c r="IYX211" s="2522"/>
      <c r="IYY211" s="2522"/>
      <c r="IYZ211" s="2522"/>
      <c r="IZA211" s="2522"/>
      <c r="IZB211" s="2522"/>
      <c r="IZC211" s="2522"/>
      <c r="IZD211" s="2522"/>
      <c r="IZE211" s="2522"/>
      <c r="IZF211" s="2522"/>
      <c r="IZG211" s="2522"/>
      <c r="IZH211" s="2522"/>
      <c r="IZI211" s="2522"/>
      <c r="IZJ211" s="2522"/>
      <c r="IZK211" s="2522"/>
      <c r="IZL211" s="2522"/>
      <c r="IZM211" s="2522"/>
      <c r="IZN211" s="2522"/>
      <c r="IZO211" s="2522"/>
      <c r="IZP211" s="2522"/>
      <c r="IZQ211" s="2522"/>
      <c r="IZR211" s="2522"/>
      <c r="IZS211" s="2522"/>
      <c r="IZT211" s="2522"/>
      <c r="IZU211" s="2522"/>
      <c r="IZV211" s="2522"/>
      <c r="IZW211" s="2522"/>
      <c r="IZX211" s="2522"/>
      <c r="IZY211" s="2522"/>
      <c r="IZZ211" s="2522"/>
      <c r="JAA211" s="2522"/>
      <c r="JAB211" s="2522"/>
      <c r="JAC211" s="2522"/>
      <c r="JAD211" s="2522"/>
      <c r="JAE211" s="2522"/>
      <c r="JAF211" s="2522"/>
      <c r="JAG211" s="2522"/>
      <c r="JAH211" s="2522"/>
      <c r="JAI211" s="2522"/>
      <c r="JAJ211" s="2522"/>
      <c r="JAK211" s="2522"/>
      <c r="JAL211" s="2522"/>
      <c r="JAM211" s="2522"/>
      <c r="JAN211" s="2522"/>
      <c r="JAO211" s="2522"/>
      <c r="JAP211" s="2522"/>
      <c r="JAQ211" s="2522"/>
      <c r="JAR211" s="2522"/>
      <c r="JAS211" s="2522"/>
      <c r="JAT211" s="2522"/>
      <c r="JAU211" s="2522"/>
      <c r="JAV211" s="2522"/>
      <c r="JAW211" s="2522"/>
      <c r="JAX211" s="2522"/>
      <c r="JAY211" s="2522"/>
      <c r="JAZ211" s="2522"/>
      <c r="JBA211" s="2522"/>
      <c r="JBB211" s="2522"/>
      <c r="JBC211" s="2522"/>
      <c r="JBD211" s="2522"/>
      <c r="JBE211" s="2522"/>
      <c r="JBF211" s="2522"/>
      <c r="JBG211" s="2522"/>
      <c r="JBH211" s="2522"/>
      <c r="JBI211" s="2522"/>
      <c r="JBJ211" s="2522"/>
      <c r="JBK211" s="2522"/>
      <c r="JBL211" s="2522"/>
      <c r="JBM211" s="2522"/>
      <c r="JBN211" s="2522"/>
      <c r="JBO211" s="2522"/>
      <c r="JBP211" s="2522"/>
      <c r="JBQ211" s="2522"/>
      <c r="JBR211" s="2522"/>
      <c r="JBS211" s="2522"/>
      <c r="JBT211" s="2522"/>
      <c r="JBU211" s="2522"/>
      <c r="JBV211" s="2522"/>
      <c r="JBW211" s="2522"/>
      <c r="JBX211" s="2522"/>
      <c r="JBY211" s="2522"/>
      <c r="JBZ211" s="2522"/>
      <c r="JCA211" s="2522"/>
      <c r="JCB211" s="2522"/>
      <c r="JCC211" s="2522"/>
      <c r="JCD211" s="2522"/>
      <c r="JCE211" s="2522"/>
      <c r="JCF211" s="2522"/>
      <c r="JCG211" s="2522"/>
      <c r="JCH211" s="2522"/>
      <c r="JCI211" s="2522"/>
      <c r="JCJ211" s="2522"/>
      <c r="JCK211" s="2522"/>
      <c r="JCL211" s="2522"/>
      <c r="JCM211" s="2522"/>
      <c r="JCN211" s="2522"/>
      <c r="JCO211" s="2522"/>
      <c r="JCP211" s="2522"/>
      <c r="JCQ211" s="2522"/>
      <c r="JCR211" s="2522"/>
      <c r="JCS211" s="2522"/>
      <c r="JCT211" s="2522"/>
      <c r="JCU211" s="2522"/>
      <c r="JCV211" s="2522"/>
      <c r="JCW211" s="2522"/>
      <c r="JCX211" s="2522"/>
      <c r="JCY211" s="2522"/>
      <c r="JCZ211" s="2522"/>
      <c r="JDA211" s="2522"/>
      <c r="JDB211" s="2522"/>
      <c r="JDC211" s="2522"/>
      <c r="JDD211" s="2522"/>
      <c r="JDE211" s="2522"/>
      <c r="JDF211" s="2522"/>
      <c r="JDG211" s="2522"/>
      <c r="JDH211" s="2522"/>
      <c r="JDI211" s="2522"/>
      <c r="JDJ211" s="2522"/>
      <c r="JDK211" s="2522"/>
      <c r="JDL211" s="2522"/>
      <c r="JDM211" s="2522"/>
      <c r="JDN211" s="2522"/>
      <c r="JDO211" s="2522"/>
      <c r="JDP211" s="2522"/>
      <c r="JDQ211" s="2522"/>
      <c r="JDR211" s="2522"/>
      <c r="JDS211" s="2522"/>
      <c r="JDT211" s="2522"/>
      <c r="JDU211" s="2522"/>
      <c r="JDV211" s="2522"/>
      <c r="JDW211" s="2522"/>
      <c r="JDX211" s="2522"/>
      <c r="JDY211" s="2522"/>
      <c r="JDZ211" s="2522"/>
      <c r="JEA211" s="2522"/>
      <c r="JEB211" s="2522"/>
      <c r="JEC211" s="2522"/>
      <c r="JED211" s="2522"/>
      <c r="JEE211" s="2522"/>
      <c r="JEF211" s="2522"/>
      <c r="JEG211" s="2522"/>
      <c r="JEH211" s="2522"/>
      <c r="JEI211" s="2522"/>
      <c r="JEJ211" s="2522"/>
      <c r="JEK211" s="2522"/>
      <c r="JEL211" s="2522"/>
      <c r="JEM211" s="2522"/>
      <c r="JEN211" s="2522"/>
      <c r="JEO211" s="2522"/>
      <c r="JEP211" s="2522"/>
      <c r="JEQ211" s="2522"/>
      <c r="JER211" s="2522"/>
      <c r="JES211" s="2522"/>
      <c r="JET211" s="2522"/>
      <c r="JEU211" s="2522"/>
      <c r="JEV211" s="2522"/>
      <c r="JEW211" s="2522"/>
      <c r="JEX211" s="2522"/>
      <c r="JEY211" s="2522"/>
      <c r="JEZ211" s="2522"/>
      <c r="JFA211" s="2522"/>
      <c r="JFB211" s="2522"/>
      <c r="JFC211" s="2522"/>
      <c r="JFD211" s="2522"/>
      <c r="JFE211" s="2522"/>
      <c r="JFF211" s="2522"/>
      <c r="JFG211" s="2522"/>
      <c r="JFH211" s="2522"/>
      <c r="JFI211" s="2522"/>
      <c r="JFJ211" s="2522"/>
      <c r="JFK211" s="2522"/>
      <c r="JFL211" s="2522"/>
      <c r="JFM211" s="2522"/>
      <c r="JFN211" s="2522"/>
      <c r="JFO211" s="2522"/>
      <c r="JFP211" s="2522"/>
      <c r="JFQ211" s="2522"/>
      <c r="JFR211" s="2522"/>
      <c r="JFS211" s="2522"/>
      <c r="JFT211" s="2522"/>
      <c r="JFU211" s="2522"/>
      <c r="JFV211" s="2522"/>
      <c r="JFW211" s="2522"/>
      <c r="JFX211" s="2522"/>
      <c r="JFY211" s="2522"/>
      <c r="JFZ211" s="2522"/>
      <c r="JGA211" s="2522"/>
      <c r="JGB211" s="2522"/>
      <c r="JGC211" s="2522"/>
      <c r="JGD211" s="2522"/>
      <c r="JGE211" s="2522"/>
      <c r="JGF211" s="2522"/>
      <c r="JGG211" s="2522"/>
      <c r="JGH211" s="2522"/>
      <c r="JGI211" s="2522"/>
      <c r="JGJ211" s="2522"/>
      <c r="JGK211" s="2522"/>
      <c r="JGL211" s="2522"/>
      <c r="JGM211" s="2522"/>
      <c r="JGN211" s="2522"/>
      <c r="JGO211" s="2522"/>
      <c r="JGP211" s="2522"/>
      <c r="JGQ211" s="2522"/>
      <c r="JGR211" s="2522"/>
      <c r="JGS211" s="2522"/>
      <c r="JGT211" s="2522"/>
      <c r="JGU211" s="2522"/>
      <c r="JGV211" s="2522"/>
      <c r="JGW211" s="2522"/>
      <c r="JGX211" s="2522"/>
      <c r="JGY211" s="2522"/>
      <c r="JGZ211" s="2522"/>
      <c r="JHA211" s="2522"/>
      <c r="JHB211" s="2522"/>
      <c r="JHC211" s="2522"/>
      <c r="JHD211" s="2522"/>
      <c r="JHE211" s="2522"/>
      <c r="JHF211" s="2522"/>
      <c r="JHG211" s="2522"/>
      <c r="JHH211" s="2522"/>
      <c r="JHI211" s="2522"/>
      <c r="JHJ211" s="2522"/>
      <c r="JHK211" s="2522"/>
      <c r="JHL211" s="2522"/>
      <c r="JHM211" s="2522"/>
      <c r="JHN211" s="2522"/>
      <c r="JHO211" s="2522"/>
      <c r="JHP211" s="2522"/>
      <c r="JHQ211" s="2522"/>
      <c r="JHR211" s="2522"/>
      <c r="JHS211" s="2522"/>
      <c r="JHT211" s="2522"/>
      <c r="JHU211" s="2522"/>
      <c r="JHV211" s="2522"/>
      <c r="JHW211" s="2522"/>
      <c r="JHX211" s="2522"/>
      <c r="JHY211" s="2522"/>
      <c r="JHZ211" s="2522"/>
      <c r="JIA211" s="2522"/>
      <c r="JIB211" s="2522"/>
      <c r="JIC211" s="2522"/>
      <c r="JID211" s="2522"/>
      <c r="JIE211" s="2522"/>
      <c r="JIF211" s="2522"/>
      <c r="JIG211" s="2522"/>
      <c r="JIH211" s="2522"/>
      <c r="JII211" s="2522"/>
      <c r="JIJ211" s="2522"/>
      <c r="JIK211" s="2522"/>
      <c r="JIL211" s="2522"/>
      <c r="JIM211" s="2522"/>
      <c r="JIN211" s="2522"/>
      <c r="JIO211" s="2522"/>
      <c r="JIP211" s="2522"/>
      <c r="JIQ211" s="2522"/>
      <c r="JIR211" s="2522"/>
      <c r="JIS211" s="2522"/>
      <c r="JIT211" s="2522"/>
      <c r="JIU211" s="2522"/>
      <c r="JIV211" s="2522"/>
      <c r="JIW211" s="2522"/>
      <c r="JIX211" s="2522"/>
      <c r="JIY211" s="2522"/>
      <c r="JIZ211" s="2522"/>
      <c r="JJA211" s="2522"/>
      <c r="JJB211" s="2522"/>
      <c r="JJC211" s="2522"/>
      <c r="JJD211" s="2522"/>
      <c r="JJE211" s="2522"/>
      <c r="JJF211" s="2522"/>
      <c r="JJG211" s="2522"/>
      <c r="JJH211" s="2522"/>
      <c r="JJI211" s="2522"/>
      <c r="JJJ211" s="2522"/>
      <c r="JJK211" s="2522"/>
      <c r="JJL211" s="2522"/>
      <c r="JJM211" s="2522"/>
      <c r="JJN211" s="2522"/>
      <c r="JJO211" s="2522"/>
      <c r="JJP211" s="2522"/>
      <c r="JJQ211" s="2522"/>
      <c r="JJR211" s="2522"/>
      <c r="JJS211" s="2522"/>
      <c r="JJT211" s="2522"/>
      <c r="JJU211" s="2522"/>
      <c r="JJV211" s="2522"/>
      <c r="JJW211" s="2522"/>
      <c r="JJX211" s="2522"/>
      <c r="JJY211" s="2522"/>
      <c r="JJZ211" s="2522"/>
      <c r="JKA211" s="2522"/>
      <c r="JKB211" s="2522"/>
      <c r="JKC211" s="2522"/>
      <c r="JKD211" s="2522"/>
      <c r="JKE211" s="2522"/>
      <c r="JKF211" s="2522"/>
      <c r="JKG211" s="2522"/>
      <c r="JKH211" s="2522"/>
      <c r="JKI211" s="2522"/>
      <c r="JKJ211" s="2522"/>
      <c r="JKK211" s="2522"/>
      <c r="JKL211" s="2522"/>
      <c r="JKM211" s="2522"/>
      <c r="JKN211" s="2522"/>
      <c r="JKO211" s="2522"/>
      <c r="JKP211" s="2522"/>
      <c r="JKQ211" s="2522"/>
      <c r="JKR211" s="2522"/>
      <c r="JKS211" s="2522"/>
      <c r="JKT211" s="2522"/>
      <c r="JKU211" s="2522"/>
      <c r="JKV211" s="2522"/>
      <c r="JKW211" s="2522"/>
      <c r="JKX211" s="2522"/>
      <c r="JKY211" s="2522"/>
      <c r="JKZ211" s="2522"/>
      <c r="JLA211" s="2522"/>
      <c r="JLB211" s="2522"/>
      <c r="JLC211" s="2522"/>
      <c r="JLD211" s="2522"/>
      <c r="JLE211" s="2522"/>
      <c r="JLF211" s="2522"/>
      <c r="JLG211" s="2522"/>
      <c r="JLH211" s="2522"/>
      <c r="JLI211" s="2522"/>
      <c r="JLJ211" s="2522"/>
      <c r="JLK211" s="2522"/>
      <c r="JLL211" s="2522"/>
      <c r="JLM211" s="2522"/>
      <c r="JLN211" s="2522"/>
      <c r="JLO211" s="2522"/>
      <c r="JLP211" s="2522"/>
      <c r="JLQ211" s="2522"/>
      <c r="JLR211" s="2522"/>
      <c r="JLS211" s="2522"/>
      <c r="JLT211" s="2522"/>
      <c r="JLU211" s="2522"/>
      <c r="JLV211" s="2522"/>
      <c r="JLW211" s="2522"/>
      <c r="JLX211" s="2522"/>
      <c r="JLY211" s="2522"/>
      <c r="JLZ211" s="2522"/>
      <c r="JMA211" s="2522"/>
      <c r="JMB211" s="2522"/>
      <c r="JMC211" s="2522"/>
      <c r="JMD211" s="2522"/>
      <c r="JME211" s="2522"/>
      <c r="JMF211" s="2522"/>
      <c r="JMG211" s="2522"/>
      <c r="JMH211" s="2522"/>
      <c r="JMI211" s="2522"/>
      <c r="JMJ211" s="2522"/>
      <c r="JMK211" s="2522"/>
      <c r="JML211" s="2522"/>
      <c r="JMM211" s="2522"/>
      <c r="JMN211" s="2522"/>
      <c r="JMO211" s="2522"/>
      <c r="JMP211" s="2522"/>
      <c r="JMQ211" s="2522"/>
      <c r="JMR211" s="2522"/>
      <c r="JMS211" s="2522"/>
      <c r="JMT211" s="2522"/>
      <c r="JMU211" s="2522"/>
      <c r="JMV211" s="2522"/>
      <c r="JMW211" s="2522"/>
      <c r="JMX211" s="2522"/>
      <c r="JMY211" s="2522"/>
      <c r="JMZ211" s="2522"/>
      <c r="JNA211" s="2522"/>
      <c r="JNB211" s="2522"/>
      <c r="JNC211" s="2522"/>
      <c r="JND211" s="2522"/>
      <c r="JNE211" s="2522"/>
      <c r="JNF211" s="2522"/>
      <c r="JNG211" s="2522"/>
      <c r="JNH211" s="2522"/>
      <c r="JNI211" s="2522"/>
      <c r="JNJ211" s="2522"/>
      <c r="JNK211" s="2522"/>
      <c r="JNL211" s="2522"/>
      <c r="JNM211" s="2522"/>
      <c r="JNN211" s="2522"/>
      <c r="JNO211" s="2522"/>
      <c r="JNP211" s="2522"/>
      <c r="JNQ211" s="2522"/>
      <c r="JNR211" s="2522"/>
      <c r="JNS211" s="2522"/>
      <c r="JNT211" s="2522"/>
      <c r="JNU211" s="2522"/>
      <c r="JNV211" s="2522"/>
      <c r="JNW211" s="2522"/>
      <c r="JNX211" s="2522"/>
      <c r="JNY211" s="2522"/>
      <c r="JNZ211" s="2522"/>
      <c r="JOA211" s="2522"/>
      <c r="JOB211" s="2522"/>
      <c r="JOC211" s="2522"/>
      <c r="JOD211" s="2522"/>
      <c r="JOE211" s="2522"/>
      <c r="JOF211" s="2522"/>
      <c r="JOG211" s="2522"/>
      <c r="JOH211" s="2522"/>
      <c r="JOI211" s="2522"/>
      <c r="JOJ211" s="2522"/>
      <c r="JOK211" s="2522"/>
      <c r="JOL211" s="2522"/>
      <c r="JOM211" s="2522"/>
      <c r="JON211" s="2522"/>
      <c r="JOO211" s="2522"/>
      <c r="JOP211" s="2522"/>
      <c r="JOQ211" s="2522"/>
      <c r="JOR211" s="2522"/>
      <c r="JOS211" s="2522"/>
      <c r="JOT211" s="2522"/>
      <c r="JOU211" s="2522"/>
      <c r="JOV211" s="2522"/>
      <c r="JOW211" s="2522"/>
      <c r="JOX211" s="2522"/>
      <c r="JOY211" s="2522"/>
      <c r="JOZ211" s="2522"/>
      <c r="JPA211" s="2522"/>
      <c r="JPB211" s="2522"/>
      <c r="JPC211" s="2522"/>
      <c r="JPD211" s="2522"/>
      <c r="JPE211" s="2522"/>
      <c r="JPF211" s="2522"/>
      <c r="JPG211" s="2522"/>
      <c r="JPH211" s="2522"/>
      <c r="JPI211" s="2522"/>
      <c r="JPJ211" s="2522"/>
      <c r="JPK211" s="2522"/>
      <c r="JPL211" s="2522"/>
      <c r="JPM211" s="2522"/>
      <c r="JPN211" s="2522"/>
      <c r="JPO211" s="2522"/>
      <c r="JPP211" s="2522"/>
      <c r="JPQ211" s="2522"/>
      <c r="JPR211" s="2522"/>
      <c r="JPS211" s="2522"/>
      <c r="JPT211" s="2522"/>
      <c r="JPU211" s="2522"/>
      <c r="JPV211" s="2522"/>
      <c r="JPW211" s="2522"/>
      <c r="JPX211" s="2522"/>
      <c r="JPY211" s="2522"/>
      <c r="JPZ211" s="2522"/>
      <c r="JQA211" s="2522"/>
      <c r="JQB211" s="2522"/>
      <c r="JQC211" s="2522"/>
      <c r="JQD211" s="2522"/>
      <c r="JQE211" s="2522"/>
      <c r="JQF211" s="2522"/>
      <c r="JQG211" s="2522"/>
      <c r="JQH211" s="2522"/>
      <c r="JQI211" s="2522"/>
      <c r="JQJ211" s="2522"/>
      <c r="JQK211" s="2522"/>
      <c r="JQL211" s="2522"/>
      <c r="JQM211" s="2522"/>
      <c r="JQN211" s="2522"/>
      <c r="JQO211" s="2522"/>
      <c r="JQP211" s="2522"/>
      <c r="JQQ211" s="2522"/>
      <c r="JQR211" s="2522"/>
      <c r="JQS211" s="2522"/>
      <c r="JQT211" s="2522"/>
      <c r="JQU211" s="2522"/>
      <c r="JQV211" s="2522"/>
      <c r="JQW211" s="2522"/>
      <c r="JQX211" s="2522"/>
      <c r="JQY211" s="2522"/>
      <c r="JQZ211" s="2522"/>
      <c r="JRA211" s="2522"/>
      <c r="JRB211" s="2522"/>
      <c r="JRC211" s="2522"/>
      <c r="JRD211" s="2522"/>
      <c r="JRE211" s="2522"/>
      <c r="JRF211" s="2522"/>
      <c r="JRG211" s="2522"/>
      <c r="JRH211" s="2522"/>
      <c r="JRI211" s="2522"/>
      <c r="JRJ211" s="2522"/>
      <c r="JRK211" s="2522"/>
      <c r="JRL211" s="2522"/>
      <c r="JRM211" s="2522"/>
      <c r="JRN211" s="2522"/>
      <c r="JRO211" s="2522"/>
      <c r="JRP211" s="2522"/>
      <c r="JRQ211" s="2522"/>
      <c r="JRR211" s="2522"/>
      <c r="JRS211" s="2522"/>
      <c r="JRT211" s="2522"/>
      <c r="JRU211" s="2522"/>
      <c r="JRV211" s="2522"/>
      <c r="JRW211" s="2522"/>
      <c r="JRX211" s="2522"/>
      <c r="JRY211" s="2522"/>
      <c r="JRZ211" s="2522"/>
      <c r="JSA211" s="2522"/>
      <c r="JSB211" s="2522"/>
      <c r="JSC211" s="2522"/>
      <c r="JSD211" s="2522"/>
      <c r="JSE211" s="2522"/>
      <c r="JSF211" s="2522"/>
      <c r="JSG211" s="2522"/>
      <c r="JSH211" s="2522"/>
      <c r="JSI211" s="2522"/>
      <c r="JSJ211" s="2522"/>
      <c r="JSK211" s="2522"/>
      <c r="JSL211" s="2522"/>
      <c r="JSM211" s="2522"/>
      <c r="JSN211" s="2522"/>
      <c r="JSO211" s="2522"/>
      <c r="JSP211" s="2522"/>
      <c r="JSQ211" s="2522"/>
      <c r="JSR211" s="2522"/>
      <c r="JSS211" s="2522"/>
      <c r="JST211" s="2522"/>
      <c r="JSU211" s="2522"/>
      <c r="JSV211" s="2522"/>
      <c r="JSW211" s="2522"/>
      <c r="JSX211" s="2522"/>
      <c r="JSY211" s="2522"/>
      <c r="JSZ211" s="2522"/>
      <c r="JTA211" s="2522"/>
      <c r="JTB211" s="2522"/>
      <c r="JTC211" s="2522"/>
      <c r="JTD211" s="2522"/>
      <c r="JTE211" s="2522"/>
      <c r="JTF211" s="2522"/>
      <c r="JTG211" s="2522"/>
      <c r="JTH211" s="2522"/>
      <c r="JTI211" s="2522"/>
      <c r="JTJ211" s="2522"/>
      <c r="JTK211" s="2522"/>
      <c r="JTL211" s="2522"/>
      <c r="JTM211" s="2522"/>
      <c r="JTN211" s="2522"/>
      <c r="JTO211" s="2522"/>
      <c r="JTP211" s="2522"/>
      <c r="JTQ211" s="2522"/>
      <c r="JTR211" s="2522"/>
      <c r="JTS211" s="2522"/>
      <c r="JTT211" s="2522"/>
      <c r="JTU211" s="2522"/>
      <c r="JTV211" s="2522"/>
      <c r="JTW211" s="2522"/>
      <c r="JTX211" s="2522"/>
      <c r="JTY211" s="2522"/>
      <c r="JTZ211" s="2522"/>
      <c r="JUA211" s="2522"/>
      <c r="JUB211" s="2522"/>
      <c r="JUC211" s="2522"/>
      <c r="JUD211" s="2522"/>
      <c r="JUE211" s="2522"/>
      <c r="JUF211" s="2522"/>
      <c r="JUG211" s="2522"/>
      <c r="JUH211" s="2522"/>
      <c r="JUI211" s="2522"/>
      <c r="JUJ211" s="2522"/>
      <c r="JUK211" s="2522"/>
      <c r="JUL211" s="2522"/>
      <c r="JUM211" s="2522"/>
      <c r="JUN211" s="2522"/>
      <c r="JUO211" s="2522"/>
      <c r="JUP211" s="2522"/>
      <c r="JUQ211" s="2522"/>
      <c r="JUR211" s="2522"/>
      <c r="JUS211" s="2522"/>
      <c r="JUT211" s="2522"/>
      <c r="JUU211" s="2522"/>
      <c r="JUV211" s="2522"/>
      <c r="JUW211" s="2522"/>
      <c r="JUX211" s="2522"/>
      <c r="JUY211" s="2522"/>
      <c r="JUZ211" s="2522"/>
      <c r="JVA211" s="2522"/>
      <c r="JVB211" s="2522"/>
      <c r="JVC211" s="2522"/>
      <c r="JVD211" s="2522"/>
      <c r="JVE211" s="2522"/>
      <c r="JVF211" s="2522"/>
      <c r="JVG211" s="2522"/>
      <c r="JVH211" s="2522"/>
      <c r="JVI211" s="2522"/>
      <c r="JVJ211" s="2522"/>
      <c r="JVK211" s="2522"/>
      <c r="JVL211" s="2522"/>
      <c r="JVM211" s="2522"/>
      <c r="JVN211" s="2522"/>
      <c r="JVO211" s="2522"/>
      <c r="JVP211" s="2522"/>
      <c r="JVQ211" s="2522"/>
      <c r="JVR211" s="2522"/>
      <c r="JVS211" s="2522"/>
      <c r="JVT211" s="2522"/>
      <c r="JVU211" s="2522"/>
      <c r="JVV211" s="2522"/>
      <c r="JVW211" s="2522"/>
      <c r="JVX211" s="2522"/>
      <c r="JVY211" s="2522"/>
      <c r="JVZ211" s="2522"/>
      <c r="JWA211" s="2522"/>
      <c r="JWB211" s="2522"/>
      <c r="JWC211" s="2522"/>
      <c r="JWD211" s="2522"/>
      <c r="JWE211" s="2522"/>
      <c r="JWF211" s="2522"/>
      <c r="JWG211" s="2522"/>
      <c r="JWH211" s="2522"/>
      <c r="JWI211" s="2522"/>
      <c r="JWJ211" s="2522"/>
      <c r="JWK211" s="2522"/>
      <c r="JWL211" s="2522"/>
      <c r="JWM211" s="2522"/>
      <c r="JWN211" s="2522"/>
      <c r="JWO211" s="2522"/>
      <c r="JWP211" s="2522"/>
      <c r="JWQ211" s="2522"/>
      <c r="JWR211" s="2522"/>
      <c r="JWS211" s="2522"/>
      <c r="JWT211" s="2522"/>
      <c r="JWU211" s="2522"/>
      <c r="JWV211" s="2522"/>
      <c r="JWW211" s="2522"/>
      <c r="JWX211" s="2522"/>
      <c r="JWY211" s="2522"/>
      <c r="JWZ211" s="2522"/>
      <c r="JXA211" s="2522"/>
      <c r="JXB211" s="2522"/>
      <c r="JXC211" s="2522"/>
      <c r="JXD211" s="2522"/>
      <c r="JXE211" s="2522"/>
      <c r="JXF211" s="2522"/>
      <c r="JXG211" s="2522"/>
      <c r="JXH211" s="2522"/>
      <c r="JXI211" s="2522"/>
      <c r="JXJ211" s="2522"/>
      <c r="JXK211" s="2522"/>
      <c r="JXL211" s="2522"/>
      <c r="JXM211" s="2522"/>
      <c r="JXN211" s="2522"/>
      <c r="JXO211" s="2522"/>
      <c r="JXP211" s="2522"/>
      <c r="JXQ211" s="2522"/>
      <c r="JXR211" s="2522"/>
      <c r="JXS211" s="2522"/>
      <c r="JXT211" s="2522"/>
      <c r="JXU211" s="2522"/>
      <c r="JXV211" s="2522"/>
      <c r="JXW211" s="2522"/>
      <c r="JXX211" s="2522"/>
      <c r="JXY211" s="2522"/>
      <c r="JXZ211" s="2522"/>
      <c r="JYA211" s="2522"/>
      <c r="JYB211" s="2522"/>
      <c r="JYC211" s="2522"/>
      <c r="JYD211" s="2522"/>
      <c r="JYE211" s="2522"/>
      <c r="JYF211" s="2522"/>
      <c r="JYG211" s="2522"/>
      <c r="JYH211" s="2522"/>
      <c r="JYI211" s="2522"/>
      <c r="JYJ211" s="2522"/>
      <c r="JYK211" s="2522"/>
      <c r="JYL211" s="2522"/>
      <c r="JYM211" s="2522"/>
      <c r="JYN211" s="2522"/>
      <c r="JYO211" s="2522"/>
      <c r="JYP211" s="2522"/>
      <c r="JYQ211" s="2522"/>
      <c r="JYR211" s="2522"/>
      <c r="JYS211" s="2522"/>
      <c r="JYT211" s="2522"/>
      <c r="JYU211" s="2522"/>
      <c r="JYV211" s="2522"/>
      <c r="JYW211" s="2522"/>
      <c r="JYX211" s="2522"/>
      <c r="JYY211" s="2522"/>
      <c r="JYZ211" s="2522"/>
      <c r="JZA211" s="2522"/>
      <c r="JZB211" s="2522"/>
      <c r="JZC211" s="2522"/>
      <c r="JZD211" s="2522"/>
      <c r="JZE211" s="2522"/>
      <c r="JZF211" s="2522"/>
      <c r="JZG211" s="2522"/>
      <c r="JZH211" s="2522"/>
      <c r="JZI211" s="2522"/>
      <c r="JZJ211" s="2522"/>
      <c r="JZK211" s="2522"/>
      <c r="JZL211" s="2522"/>
      <c r="JZM211" s="2522"/>
      <c r="JZN211" s="2522"/>
      <c r="JZO211" s="2522"/>
      <c r="JZP211" s="2522"/>
      <c r="JZQ211" s="2522"/>
      <c r="JZR211" s="2522"/>
      <c r="JZS211" s="2522"/>
      <c r="JZT211" s="2522"/>
      <c r="JZU211" s="2522"/>
      <c r="JZV211" s="2522"/>
      <c r="JZW211" s="2522"/>
      <c r="JZX211" s="2522"/>
      <c r="JZY211" s="2522"/>
      <c r="JZZ211" s="2522"/>
      <c r="KAA211" s="2522"/>
      <c r="KAB211" s="2522"/>
      <c r="KAC211" s="2522"/>
      <c r="KAD211" s="2522"/>
      <c r="KAE211" s="2522"/>
      <c r="KAF211" s="2522"/>
      <c r="KAG211" s="2522"/>
      <c r="KAH211" s="2522"/>
      <c r="KAI211" s="2522"/>
      <c r="KAJ211" s="2522"/>
      <c r="KAK211" s="2522"/>
      <c r="KAL211" s="2522"/>
      <c r="KAM211" s="2522"/>
      <c r="KAN211" s="2522"/>
      <c r="KAO211" s="2522"/>
      <c r="KAP211" s="2522"/>
      <c r="KAQ211" s="2522"/>
      <c r="KAR211" s="2522"/>
      <c r="KAS211" s="2522"/>
      <c r="KAT211" s="2522"/>
      <c r="KAU211" s="2522"/>
      <c r="KAV211" s="2522"/>
      <c r="KAW211" s="2522"/>
      <c r="KAX211" s="2522"/>
      <c r="KAY211" s="2522"/>
      <c r="KAZ211" s="2522"/>
      <c r="KBA211" s="2522"/>
      <c r="KBB211" s="2522"/>
      <c r="KBC211" s="2522"/>
      <c r="KBD211" s="2522"/>
      <c r="KBE211" s="2522"/>
      <c r="KBF211" s="2522"/>
      <c r="KBG211" s="2522"/>
      <c r="KBH211" s="2522"/>
      <c r="KBI211" s="2522"/>
      <c r="KBJ211" s="2522"/>
      <c r="KBK211" s="2522"/>
      <c r="KBL211" s="2522"/>
      <c r="KBM211" s="2522"/>
      <c r="KBN211" s="2522"/>
      <c r="KBO211" s="2522"/>
      <c r="KBP211" s="2522"/>
      <c r="KBQ211" s="2522"/>
      <c r="KBR211" s="2522"/>
      <c r="KBS211" s="2522"/>
      <c r="KBT211" s="2522"/>
      <c r="KBU211" s="2522"/>
      <c r="KBV211" s="2522"/>
      <c r="KBW211" s="2522"/>
      <c r="KBX211" s="2522"/>
      <c r="KBY211" s="2522"/>
      <c r="KBZ211" s="2522"/>
      <c r="KCA211" s="2522"/>
      <c r="KCB211" s="2522"/>
      <c r="KCC211" s="2522"/>
      <c r="KCD211" s="2522"/>
      <c r="KCE211" s="2522"/>
      <c r="KCF211" s="2522"/>
      <c r="KCG211" s="2522"/>
      <c r="KCH211" s="2522"/>
      <c r="KCI211" s="2522"/>
      <c r="KCJ211" s="2522"/>
      <c r="KCK211" s="2522"/>
      <c r="KCL211" s="2522"/>
      <c r="KCM211" s="2522"/>
      <c r="KCN211" s="2522"/>
      <c r="KCO211" s="2522"/>
      <c r="KCP211" s="2522"/>
      <c r="KCQ211" s="2522"/>
      <c r="KCR211" s="2522"/>
      <c r="KCS211" s="2522"/>
      <c r="KCT211" s="2522"/>
      <c r="KCU211" s="2522"/>
      <c r="KCV211" s="2522"/>
      <c r="KCW211" s="2522"/>
      <c r="KCX211" s="2522"/>
      <c r="KCY211" s="2522"/>
      <c r="KCZ211" s="2522"/>
      <c r="KDA211" s="2522"/>
      <c r="KDB211" s="2522"/>
      <c r="KDC211" s="2522"/>
      <c r="KDD211" s="2522"/>
      <c r="KDE211" s="2522"/>
      <c r="KDF211" s="2522"/>
      <c r="KDG211" s="2522"/>
      <c r="KDH211" s="2522"/>
      <c r="KDI211" s="2522"/>
      <c r="KDJ211" s="2522"/>
      <c r="KDK211" s="2522"/>
      <c r="KDL211" s="2522"/>
      <c r="KDM211" s="2522"/>
      <c r="KDN211" s="2522"/>
      <c r="KDO211" s="2522"/>
      <c r="KDP211" s="2522"/>
      <c r="KDQ211" s="2522"/>
      <c r="KDR211" s="2522"/>
      <c r="KDS211" s="2522"/>
      <c r="KDT211" s="2522"/>
      <c r="KDU211" s="2522"/>
      <c r="KDV211" s="2522"/>
      <c r="KDW211" s="2522"/>
      <c r="KDX211" s="2522"/>
      <c r="KDY211" s="2522"/>
      <c r="KDZ211" s="2522"/>
      <c r="KEA211" s="2522"/>
      <c r="KEB211" s="2522"/>
      <c r="KEC211" s="2522"/>
      <c r="KED211" s="2522"/>
      <c r="KEE211" s="2522"/>
      <c r="KEF211" s="2522"/>
      <c r="KEG211" s="2522"/>
      <c r="KEH211" s="2522"/>
      <c r="KEI211" s="2522"/>
      <c r="KEJ211" s="2522"/>
      <c r="KEK211" s="2522"/>
      <c r="KEL211" s="2522"/>
      <c r="KEM211" s="2522"/>
      <c r="KEN211" s="2522"/>
      <c r="KEO211" s="2522"/>
      <c r="KEP211" s="2522"/>
      <c r="KEQ211" s="2522"/>
      <c r="KER211" s="2522"/>
      <c r="KES211" s="2522"/>
      <c r="KET211" s="2522"/>
      <c r="KEU211" s="2522"/>
      <c r="KEV211" s="2522"/>
      <c r="KEW211" s="2522"/>
      <c r="KEX211" s="2522"/>
      <c r="KEY211" s="2522"/>
      <c r="KEZ211" s="2522"/>
      <c r="KFA211" s="2522"/>
      <c r="KFB211" s="2522"/>
      <c r="KFC211" s="2522"/>
      <c r="KFD211" s="2522"/>
      <c r="KFE211" s="2522"/>
      <c r="KFF211" s="2522"/>
      <c r="KFG211" s="2522"/>
      <c r="KFH211" s="2522"/>
      <c r="KFI211" s="2522"/>
      <c r="KFJ211" s="2522"/>
      <c r="KFK211" s="2522"/>
      <c r="KFL211" s="2522"/>
      <c r="KFM211" s="2522"/>
      <c r="KFN211" s="2522"/>
      <c r="KFO211" s="2522"/>
      <c r="KFP211" s="2522"/>
      <c r="KFQ211" s="2522"/>
      <c r="KFR211" s="2522"/>
      <c r="KFS211" s="2522"/>
      <c r="KFT211" s="2522"/>
      <c r="KFU211" s="2522"/>
      <c r="KFV211" s="2522"/>
      <c r="KFW211" s="2522"/>
      <c r="KFX211" s="2522"/>
      <c r="KFY211" s="2522"/>
      <c r="KFZ211" s="2522"/>
      <c r="KGA211" s="2522"/>
      <c r="KGB211" s="2522"/>
      <c r="KGC211" s="2522"/>
      <c r="KGD211" s="2522"/>
      <c r="KGE211" s="2522"/>
      <c r="KGF211" s="2522"/>
      <c r="KGG211" s="2522"/>
      <c r="KGH211" s="2522"/>
      <c r="KGI211" s="2522"/>
      <c r="KGJ211" s="2522"/>
      <c r="KGK211" s="2522"/>
      <c r="KGL211" s="2522"/>
      <c r="KGM211" s="2522"/>
      <c r="KGN211" s="2522"/>
      <c r="KGO211" s="2522"/>
      <c r="KGP211" s="2522"/>
      <c r="KGQ211" s="2522"/>
      <c r="KGR211" s="2522"/>
      <c r="KGS211" s="2522"/>
      <c r="KGT211" s="2522"/>
      <c r="KGU211" s="2522"/>
      <c r="KGV211" s="2522"/>
      <c r="KGW211" s="2522"/>
      <c r="KGX211" s="2522"/>
      <c r="KGY211" s="2522"/>
      <c r="KGZ211" s="2522"/>
      <c r="KHA211" s="2522"/>
      <c r="KHB211" s="2522"/>
      <c r="KHC211" s="2522"/>
      <c r="KHD211" s="2522"/>
      <c r="KHE211" s="2522"/>
      <c r="KHF211" s="2522"/>
      <c r="KHG211" s="2522"/>
      <c r="KHH211" s="2522"/>
      <c r="KHI211" s="2522"/>
      <c r="KHJ211" s="2522"/>
      <c r="KHK211" s="2522"/>
      <c r="KHL211" s="2522"/>
      <c r="KHM211" s="2522"/>
      <c r="KHN211" s="2522"/>
      <c r="KHO211" s="2522"/>
      <c r="KHP211" s="2522"/>
      <c r="KHQ211" s="2522"/>
      <c r="KHR211" s="2522"/>
      <c r="KHS211" s="2522"/>
      <c r="KHT211" s="2522"/>
      <c r="KHU211" s="2522"/>
      <c r="KHV211" s="2522"/>
      <c r="KHW211" s="2522"/>
      <c r="KHX211" s="2522"/>
      <c r="KHY211" s="2522"/>
      <c r="KHZ211" s="2522"/>
      <c r="KIA211" s="2522"/>
      <c r="KIB211" s="2522"/>
      <c r="KIC211" s="2522"/>
      <c r="KID211" s="2522"/>
      <c r="KIE211" s="2522"/>
      <c r="KIF211" s="2522"/>
      <c r="KIG211" s="2522"/>
      <c r="KIH211" s="2522"/>
      <c r="KII211" s="2522"/>
      <c r="KIJ211" s="2522"/>
      <c r="KIK211" s="2522"/>
      <c r="KIL211" s="2522"/>
      <c r="KIM211" s="2522"/>
      <c r="KIN211" s="2522"/>
      <c r="KIO211" s="2522"/>
      <c r="KIP211" s="2522"/>
      <c r="KIQ211" s="2522"/>
      <c r="KIR211" s="2522"/>
      <c r="KIS211" s="2522"/>
      <c r="KIT211" s="2522"/>
      <c r="KIU211" s="2522"/>
      <c r="KIV211" s="2522"/>
      <c r="KIW211" s="2522"/>
      <c r="KIX211" s="2522"/>
      <c r="KIY211" s="2522"/>
      <c r="KIZ211" s="2522"/>
      <c r="KJA211" s="2522"/>
      <c r="KJB211" s="2522"/>
      <c r="KJC211" s="2522"/>
      <c r="KJD211" s="2522"/>
      <c r="KJE211" s="2522"/>
      <c r="KJF211" s="2522"/>
      <c r="KJG211" s="2522"/>
      <c r="KJH211" s="2522"/>
      <c r="KJI211" s="2522"/>
      <c r="KJJ211" s="2522"/>
      <c r="KJK211" s="2522"/>
      <c r="KJL211" s="2522"/>
      <c r="KJM211" s="2522"/>
      <c r="KJN211" s="2522"/>
      <c r="KJO211" s="2522"/>
      <c r="KJP211" s="2522"/>
      <c r="KJQ211" s="2522"/>
      <c r="KJR211" s="2522"/>
      <c r="KJS211" s="2522"/>
      <c r="KJT211" s="2522"/>
      <c r="KJU211" s="2522"/>
      <c r="KJV211" s="2522"/>
      <c r="KJW211" s="2522"/>
      <c r="KJX211" s="2522"/>
      <c r="KJY211" s="2522"/>
      <c r="KJZ211" s="2522"/>
      <c r="KKA211" s="2522"/>
      <c r="KKB211" s="2522"/>
      <c r="KKC211" s="2522"/>
      <c r="KKD211" s="2522"/>
      <c r="KKE211" s="2522"/>
      <c r="KKF211" s="2522"/>
      <c r="KKG211" s="2522"/>
      <c r="KKH211" s="2522"/>
      <c r="KKI211" s="2522"/>
      <c r="KKJ211" s="2522"/>
      <c r="KKK211" s="2522"/>
      <c r="KKL211" s="2522"/>
      <c r="KKM211" s="2522"/>
      <c r="KKN211" s="2522"/>
      <c r="KKO211" s="2522"/>
      <c r="KKP211" s="2522"/>
      <c r="KKQ211" s="2522"/>
      <c r="KKR211" s="2522"/>
      <c r="KKS211" s="2522"/>
      <c r="KKT211" s="2522"/>
      <c r="KKU211" s="2522"/>
      <c r="KKV211" s="2522"/>
      <c r="KKW211" s="2522"/>
      <c r="KKX211" s="2522"/>
      <c r="KKY211" s="2522"/>
      <c r="KKZ211" s="2522"/>
      <c r="KLA211" s="2522"/>
      <c r="KLB211" s="2522"/>
      <c r="KLC211" s="2522"/>
      <c r="KLD211" s="2522"/>
      <c r="KLE211" s="2522"/>
      <c r="KLF211" s="2522"/>
      <c r="KLG211" s="2522"/>
      <c r="KLH211" s="2522"/>
      <c r="KLI211" s="2522"/>
      <c r="KLJ211" s="2522"/>
      <c r="KLK211" s="2522"/>
      <c r="KLL211" s="2522"/>
      <c r="KLM211" s="2522"/>
      <c r="KLN211" s="2522"/>
      <c r="KLO211" s="2522"/>
      <c r="KLP211" s="2522"/>
      <c r="KLQ211" s="2522"/>
      <c r="KLR211" s="2522"/>
      <c r="KLS211" s="2522"/>
      <c r="KLT211" s="2522"/>
      <c r="KLU211" s="2522"/>
      <c r="KLV211" s="2522"/>
      <c r="KLW211" s="2522"/>
      <c r="KLX211" s="2522"/>
      <c r="KLY211" s="2522"/>
      <c r="KLZ211" s="2522"/>
      <c r="KMA211" s="2522"/>
      <c r="KMB211" s="2522"/>
      <c r="KMC211" s="2522"/>
      <c r="KMD211" s="2522"/>
      <c r="KME211" s="2522"/>
      <c r="KMF211" s="2522"/>
      <c r="KMG211" s="2522"/>
      <c r="KMH211" s="2522"/>
      <c r="KMI211" s="2522"/>
      <c r="KMJ211" s="2522"/>
      <c r="KMK211" s="2522"/>
      <c r="KML211" s="2522"/>
      <c r="KMM211" s="2522"/>
      <c r="KMN211" s="2522"/>
      <c r="KMO211" s="2522"/>
      <c r="KMP211" s="2522"/>
      <c r="KMQ211" s="2522"/>
      <c r="KMR211" s="2522"/>
      <c r="KMS211" s="2522"/>
      <c r="KMT211" s="2522"/>
      <c r="KMU211" s="2522"/>
      <c r="KMV211" s="2522"/>
      <c r="KMW211" s="2522"/>
      <c r="KMX211" s="2522"/>
      <c r="KMY211" s="2522"/>
      <c r="KMZ211" s="2522"/>
      <c r="KNA211" s="2522"/>
      <c r="KNB211" s="2522"/>
      <c r="KNC211" s="2522"/>
      <c r="KND211" s="2522"/>
      <c r="KNE211" s="2522"/>
      <c r="KNF211" s="2522"/>
      <c r="KNG211" s="2522"/>
      <c r="KNH211" s="2522"/>
      <c r="KNI211" s="2522"/>
      <c r="KNJ211" s="2522"/>
      <c r="KNK211" s="2522"/>
      <c r="KNL211" s="2522"/>
      <c r="KNM211" s="2522"/>
      <c r="KNN211" s="2522"/>
      <c r="KNO211" s="2522"/>
      <c r="KNP211" s="2522"/>
      <c r="KNQ211" s="2522"/>
      <c r="KNR211" s="2522"/>
      <c r="KNS211" s="2522"/>
      <c r="KNT211" s="2522"/>
      <c r="KNU211" s="2522"/>
      <c r="KNV211" s="2522"/>
      <c r="KNW211" s="2522"/>
      <c r="KNX211" s="2522"/>
      <c r="KNY211" s="2522"/>
      <c r="KNZ211" s="2522"/>
      <c r="KOA211" s="2522"/>
      <c r="KOB211" s="2522"/>
      <c r="KOC211" s="2522"/>
      <c r="KOD211" s="2522"/>
      <c r="KOE211" s="2522"/>
      <c r="KOF211" s="2522"/>
      <c r="KOG211" s="2522"/>
      <c r="KOH211" s="2522"/>
      <c r="KOI211" s="2522"/>
      <c r="KOJ211" s="2522"/>
      <c r="KOK211" s="2522"/>
      <c r="KOL211" s="2522"/>
      <c r="KOM211" s="2522"/>
      <c r="KON211" s="2522"/>
      <c r="KOO211" s="2522"/>
      <c r="KOP211" s="2522"/>
      <c r="KOQ211" s="2522"/>
      <c r="KOR211" s="2522"/>
      <c r="KOS211" s="2522"/>
      <c r="KOT211" s="2522"/>
      <c r="KOU211" s="2522"/>
      <c r="KOV211" s="2522"/>
      <c r="KOW211" s="2522"/>
      <c r="KOX211" s="2522"/>
      <c r="KOY211" s="2522"/>
      <c r="KOZ211" s="2522"/>
      <c r="KPA211" s="2522"/>
      <c r="KPB211" s="2522"/>
      <c r="KPC211" s="2522"/>
      <c r="KPD211" s="2522"/>
      <c r="KPE211" s="2522"/>
      <c r="KPF211" s="2522"/>
      <c r="KPG211" s="2522"/>
      <c r="KPH211" s="2522"/>
      <c r="KPI211" s="2522"/>
      <c r="KPJ211" s="2522"/>
      <c r="KPK211" s="2522"/>
      <c r="KPL211" s="2522"/>
      <c r="KPM211" s="2522"/>
      <c r="KPN211" s="2522"/>
      <c r="KPO211" s="2522"/>
      <c r="KPP211" s="2522"/>
      <c r="KPQ211" s="2522"/>
      <c r="KPR211" s="2522"/>
      <c r="KPS211" s="2522"/>
      <c r="KPT211" s="2522"/>
      <c r="KPU211" s="2522"/>
      <c r="KPV211" s="2522"/>
      <c r="KPW211" s="2522"/>
      <c r="KPX211" s="2522"/>
      <c r="KPY211" s="2522"/>
      <c r="KPZ211" s="2522"/>
      <c r="KQA211" s="2522"/>
      <c r="KQB211" s="2522"/>
      <c r="KQC211" s="2522"/>
      <c r="KQD211" s="2522"/>
      <c r="KQE211" s="2522"/>
      <c r="KQF211" s="2522"/>
      <c r="KQG211" s="2522"/>
      <c r="KQH211" s="2522"/>
      <c r="KQI211" s="2522"/>
      <c r="KQJ211" s="2522"/>
      <c r="KQK211" s="2522"/>
      <c r="KQL211" s="2522"/>
      <c r="KQM211" s="2522"/>
      <c r="KQN211" s="2522"/>
      <c r="KQO211" s="2522"/>
      <c r="KQP211" s="2522"/>
      <c r="KQQ211" s="2522"/>
      <c r="KQR211" s="2522"/>
      <c r="KQS211" s="2522"/>
      <c r="KQT211" s="2522"/>
      <c r="KQU211" s="2522"/>
      <c r="KQV211" s="2522"/>
      <c r="KQW211" s="2522"/>
      <c r="KQX211" s="2522"/>
      <c r="KQY211" s="2522"/>
      <c r="KQZ211" s="2522"/>
      <c r="KRA211" s="2522"/>
      <c r="KRB211" s="2522"/>
      <c r="KRC211" s="2522"/>
      <c r="KRD211" s="2522"/>
      <c r="KRE211" s="2522"/>
      <c r="KRF211" s="2522"/>
      <c r="KRG211" s="2522"/>
      <c r="KRH211" s="2522"/>
      <c r="KRI211" s="2522"/>
      <c r="KRJ211" s="2522"/>
      <c r="KRK211" s="2522"/>
      <c r="KRL211" s="2522"/>
      <c r="KRM211" s="2522"/>
      <c r="KRN211" s="2522"/>
      <c r="KRO211" s="2522"/>
      <c r="KRP211" s="2522"/>
      <c r="KRQ211" s="2522"/>
      <c r="KRR211" s="2522"/>
      <c r="KRS211" s="2522"/>
      <c r="KRT211" s="2522"/>
      <c r="KRU211" s="2522"/>
      <c r="KRV211" s="2522"/>
      <c r="KRW211" s="2522"/>
      <c r="KRX211" s="2522"/>
      <c r="KRY211" s="2522"/>
      <c r="KRZ211" s="2522"/>
      <c r="KSA211" s="2522"/>
      <c r="KSB211" s="2522"/>
      <c r="KSC211" s="2522"/>
      <c r="KSD211" s="2522"/>
      <c r="KSE211" s="2522"/>
      <c r="KSF211" s="2522"/>
      <c r="KSG211" s="2522"/>
      <c r="KSH211" s="2522"/>
      <c r="KSI211" s="2522"/>
      <c r="KSJ211" s="2522"/>
      <c r="KSK211" s="2522"/>
      <c r="KSL211" s="2522"/>
      <c r="KSM211" s="2522"/>
      <c r="KSN211" s="2522"/>
      <c r="KSO211" s="2522"/>
      <c r="KSP211" s="2522"/>
      <c r="KSQ211" s="2522"/>
      <c r="KSR211" s="2522"/>
      <c r="KSS211" s="2522"/>
      <c r="KST211" s="2522"/>
      <c r="KSU211" s="2522"/>
      <c r="KSV211" s="2522"/>
      <c r="KSW211" s="2522"/>
      <c r="KSX211" s="2522"/>
      <c r="KSY211" s="2522"/>
      <c r="KSZ211" s="2522"/>
      <c r="KTA211" s="2522"/>
      <c r="KTB211" s="2522"/>
      <c r="KTC211" s="2522"/>
      <c r="KTD211" s="2522"/>
      <c r="KTE211" s="2522"/>
      <c r="KTF211" s="2522"/>
      <c r="KTG211" s="2522"/>
      <c r="KTH211" s="2522"/>
      <c r="KTI211" s="2522"/>
      <c r="KTJ211" s="2522"/>
      <c r="KTK211" s="2522"/>
      <c r="KTL211" s="2522"/>
      <c r="KTM211" s="2522"/>
      <c r="KTN211" s="2522"/>
      <c r="KTO211" s="2522"/>
      <c r="KTP211" s="2522"/>
      <c r="KTQ211" s="2522"/>
      <c r="KTR211" s="2522"/>
      <c r="KTS211" s="2522"/>
      <c r="KTT211" s="2522"/>
      <c r="KTU211" s="2522"/>
      <c r="KTV211" s="2522"/>
      <c r="KTW211" s="2522"/>
      <c r="KTX211" s="2522"/>
      <c r="KTY211" s="2522"/>
      <c r="KTZ211" s="2522"/>
      <c r="KUA211" s="2522"/>
      <c r="KUB211" s="2522"/>
      <c r="KUC211" s="2522"/>
      <c r="KUD211" s="2522"/>
      <c r="KUE211" s="2522"/>
      <c r="KUF211" s="2522"/>
      <c r="KUG211" s="2522"/>
      <c r="KUH211" s="2522"/>
      <c r="KUI211" s="2522"/>
      <c r="KUJ211" s="2522"/>
      <c r="KUK211" s="2522"/>
      <c r="KUL211" s="2522"/>
      <c r="KUM211" s="2522"/>
      <c r="KUN211" s="2522"/>
      <c r="KUO211" s="2522"/>
      <c r="KUP211" s="2522"/>
      <c r="KUQ211" s="2522"/>
      <c r="KUR211" s="2522"/>
      <c r="KUS211" s="2522"/>
      <c r="KUT211" s="2522"/>
      <c r="KUU211" s="2522"/>
      <c r="KUV211" s="2522"/>
      <c r="KUW211" s="2522"/>
      <c r="KUX211" s="2522"/>
      <c r="KUY211" s="2522"/>
      <c r="KUZ211" s="2522"/>
      <c r="KVA211" s="2522"/>
      <c r="KVB211" s="2522"/>
      <c r="KVC211" s="2522"/>
      <c r="KVD211" s="2522"/>
      <c r="KVE211" s="2522"/>
      <c r="KVF211" s="2522"/>
      <c r="KVG211" s="2522"/>
      <c r="KVH211" s="2522"/>
      <c r="KVI211" s="2522"/>
      <c r="KVJ211" s="2522"/>
      <c r="KVK211" s="2522"/>
      <c r="KVL211" s="2522"/>
      <c r="KVM211" s="2522"/>
      <c r="KVN211" s="2522"/>
      <c r="KVO211" s="2522"/>
      <c r="KVP211" s="2522"/>
      <c r="KVQ211" s="2522"/>
      <c r="KVR211" s="2522"/>
      <c r="KVS211" s="2522"/>
      <c r="KVT211" s="2522"/>
      <c r="KVU211" s="2522"/>
      <c r="KVV211" s="2522"/>
      <c r="KVW211" s="2522"/>
      <c r="KVX211" s="2522"/>
      <c r="KVY211" s="2522"/>
      <c r="KVZ211" s="2522"/>
      <c r="KWA211" s="2522"/>
      <c r="KWB211" s="2522"/>
      <c r="KWC211" s="2522"/>
      <c r="KWD211" s="2522"/>
      <c r="KWE211" s="2522"/>
      <c r="KWF211" s="2522"/>
      <c r="KWG211" s="2522"/>
      <c r="KWH211" s="2522"/>
      <c r="KWI211" s="2522"/>
      <c r="KWJ211" s="2522"/>
      <c r="KWK211" s="2522"/>
      <c r="KWL211" s="2522"/>
      <c r="KWM211" s="2522"/>
      <c r="KWN211" s="2522"/>
      <c r="KWO211" s="2522"/>
      <c r="KWP211" s="2522"/>
      <c r="KWQ211" s="2522"/>
      <c r="KWR211" s="2522"/>
      <c r="KWS211" s="2522"/>
      <c r="KWT211" s="2522"/>
      <c r="KWU211" s="2522"/>
      <c r="KWV211" s="2522"/>
      <c r="KWW211" s="2522"/>
      <c r="KWX211" s="2522"/>
      <c r="KWY211" s="2522"/>
      <c r="KWZ211" s="2522"/>
      <c r="KXA211" s="2522"/>
      <c r="KXB211" s="2522"/>
      <c r="KXC211" s="2522"/>
      <c r="KXD211" s="2522"/>
      <c r="KXE211" s="2522"/>
      <c r="KXF211" s="2522"/>
      <c r="KXG211" s="2522"/>
      <c r="KXH211" s="2522"/>
      <c r="KXI211" s="2522"/>
      <c r="KXJ211" s="2522"/>
      <c r="KXK211" s="2522"/>
      <c r="KXL211" s="2522"/>
      <c r="KXM211" s="2522"/>
      <c r="KXN211" s="2522"/>
      <c r="KXO211" s="2522"/>
      <c r="KXP211" s="2522"/>
      <c r="KXQ211" s="2522"/>
      <c r="KXR211" s="2522"/>
      <c r="KXS211" s="2522"/>
      <c r="KXT211" s="2522"/>
      <c r="KXU211" s="2522"/>
      <c r="KXV211" s="2522"/>
      <c r="KXW211" s="2522"/>
      <c r="KXX211" s="2522"/>
      <c r="KXY211" s="2522"/>
      <c r="KXZ211" s="2522"/>
      <c r="KYA211" s="2522"/>
      <c r="KYB211" s="2522"/>
      <c r="KYC211" s="2522"/>
      <c r="KYD211" s="2522"/>
      <c r="KYE211" s="2522"/>
      <c r="KYF211" s="2522"/>
      <c r="KYG211" s="2522"/>
      <c r="KYH211" s="2522"/>
      <c r="KYI211" s="2522"/>
      <c r="KYJ211" s="2522"/>
      <c r="KYK211" s="2522"/>
      <c r="KYL211" s="2522"/>
      <c r="KYM211" s="2522"/>
      <c r="KYN211" s="2522"/>
      <c r="KYO211" s="2522"/>
      <c r="KYP211" s="2522"/>
      <c r="KYQ211" s="2522"/>
      <c r="KYR211" s="2522"/>
      <c r="KYS211" s="2522"/>
      <c r="KYT211" s="2522"/>
      <c r="KYU211" s="2522"/>
      <c r="KYV211" s="2522"/>
      <c r="KYW211" s="2522"/>
      <c r="KYX211" s="2522"/>
      <c r="KYY211" s="2522"/>
      <c r="KYZ211" s="2522"/>
      <c r="KZA211" s="2522"/>
      <c r="KZB211" s="2522"/>
      <c r="KZC211" s="2522"/>
      <c r="KZD211" s="2522"/>
      <c r="KZE211" s="2522"/>
      <c r="KZF211" s="2522"/>
      <c r="KZG211" s="2522"/>
      <c r="KZH211" s="2522"/>
      <c r="KZI211" s="2522"/>
      <c r="KZJ211" s="2522"/>
      <c r="KZK211" s="2522"/>
      <c r="KZL211" s="2522"/>
      <c r="KZM211" s="2522"/>
      <c r="KZN211" s="2522"/>
      <c r="KZO211" s="2522"/>
      <c r="KZP211" s="2522"/>
      <c r="KZQ211" s="2522"/>
      <c r="KZR211" s="2522"/>
      <c r="KZS211" s="2522"/>
      <c r="KZT211" s="2522"/>
      <c r="KZU211" s="2522"/>
      <c r="KZV211" s="2522"/>
      <c r="KZW211" s="2522"/>
      <c r="KZX211" s="2522"/>
      <c r="KZY211" s="2522"/>
      <c r="KZZ211" s="2522"/>
      <c r="LAA211" s="2522"/>
      <c r="LAB211" s="2522"/>
      <c r="LAC211" s="2522"/>
      <c r="LAD211" s="2522"/>
      <c r="LAE211" s="2522"/>
      <c r="LAF211" s="2522"/>
      <c r="LAG211" s="2522"/>
      <c r="LAH211" s="2522"/>
      <c r="LAI211" s="2522"/>
      <c r="LAJ211" s="2522"/>
      <c r="LAK211" s="2522"/>
      <c r="LAL211" s="2522"/>
      <c r="LAM211" s="2522"/>
      <c r="LAN211" s="2522"/>
      <c r="LAO211" s="2522"/>
      <c r="LAP211" s="2522"/>
      <c r="LAQ211" s="2522"/>
      <c r="LAR211" s="2522"/>
      <c r="LAS211" s="2522"/>
      <c r="LAT211" s="2522"/>
      <c r="LAU211" s="2522"/>
      <c r="LAV211" s="2522"/>
      <c r="LAW211" s="2522"/>
      <c r="LAX211" s="2522"/>
      <c r="LAY211" s="2522"/>
      <c r="LAZ211" s="2522"/>
      <c r="LBA211" s="2522"/>
      <c r="LBB211" s="2522"/>
      <c r="LBC211" s="2522"/>
      <c r="LBD211" s="2522"/>
      <c r="LBE211" s="2522"/>
      <c r="LBF211" s="2522"/>
      <c r="LBG211" s="2522"/>
      <c r="LBH211" s="2522"/>
      <c r="LBI211" s="2522"/>
      <c r="LBJ211" s="2522"/>
      <c r="LBK211" s="2522"/>
      <c r="LBL211" s="2522"/>
      <c r="LBM211" s="2522"/>
      <c r="LBN211" s="2522"/>
      <c r="LBO211" s="2522"/>
      <c r="LBP211" s="2522"/>
      <c r="LBQ211" s="2522"/>
      <c r="LBR211" s="2522"/>
      <c r="LBS211" s="2522"/>
      <c r="LBT211" s="2522"/>
      <c r="LBU211" s="2522"/>
      <c r="LBV211" s="2522"/>
      <c r="LBW211" s="2522"/>
      <c r="LBX211" s="2522"/>
      <c r="LBY211" s="2522"/>
      <c r="LBZ211" s="2522"/>
      <c r="LCA211" s="2522"/>
      <c r="LCB211" s="2522"/>
      <c r="LCC211" s="2522"/>
      <c r="LCD211" s="2522"/>
      <c r="LCE211" s="2522"/>
      <c r="LCF211" s="2522"/>
      <c r="LCG211" s="2522"/>
      <c r="LCH211" s="2522"/>
      <c r="LCI211" s="2522"/>
      <c r="LCJ211" s="2522"/>
      <c r="LCK211" s="2522"/>
      <c r="LCL211" s="2522"/>
      <c r="LCM211" s="2522"/>
      <c r="LCN211" s="2522"/>
      <c r="LCO211" s="2522"/>
      <c r="LCP211" s="2522"/>
      <c r="LCQ211" s="2522"/>
      <c r="LCR211" s="2522"/>
      <c r="LCS211" s="2522"/>
      <c r="LCT211" s="2522"/>
      <c r="LCU211" s="2522"/>
      <c r="LCV211" s="2522"/>
      <c r="LCW211" s="2522"/>
      <c r="LCX211" s="2522"/>
      <c r="LCY211" s="2522"/>
      <c r="LCZ211" s="2522"/>
      <c r="LDA211" s="2522"/>
      <c r="LDB211" s="2522"/>
      <c r="LDC211" s="2522"/>
      <c r="LDD211" s="2522"/>
      <c r="LDE211" s="2522"/>
      <c r="LDF211" s="2522"/>
      <c r="LDG211" s="2522"/>
      <c r="LDH211" s="2522"/>
      <c r="LDI211" s="2522"/>
      <c r="LDJ211" s="2522"/>
      <c r="LDK211" s="2522"/>
      <c r="LDL211" s="2522"/>
      <c r="LDM211" s="2522"/>
      <c r="LDN211" s="2522"/>
      <c r="LDO211" s="2522"/>
      <c r="LDP211" s="2522"/>
      <c r="LDQ211" s="2522"/>
      <c r="LDR211" s="2522"/>
      <c r="LDS211" s="2522"/>
      <c r="LDT211" s="2522"/>
      <c r="LDU211" s="2522"/>
      <c r="LDV211" s="2522"/>
      <c r="LDW211" s="2522"/>
      <c r="LDX211" s="2522"/>
      <c r="LDY211" s="2522"/>
      <c r="LDZ211" s="2522"/>
      <c r="LEA211" s="2522"/>
      <c r="LEB211" s="2522"/>
      <c r="LEC211" s="2522"/>
      <c r="LED211" s="2522"/>
      <c r="LEE211" s="2522"/>
      <c r="LEF211" s="2522"/>
      <c r="LEG211" s="2522"/>
      <c r="LEH211" s="2522"/>
      <c r="LEI211" s="2522"/>
      <c r="LEJ211" s="2522"/>
      <c r="LEK211" s="2522"/>
      <c r="LEL211" s="2522"/>
      <c r="LEM211" s="2522"/>
      <c r="LEN211" s="2522"/>
      <c r="LEO211" s="2522"/>
      <c r="LEP211" s="2522"/>
      <c r="LEQ211" s="2522"/>
      <c r="LER211" s="2522"/>
      <c r="LES211" s="2522"/>
      <c r="LET211" s="2522"/>
      <c r="LEU211" s="2522"/>
      <c r="LEV211" s="2522"/>
      <c r="LEW211" s="2522"/>
      <c r="LEX211" s="2522"/>
      <c r="LEY211" s="2522"/>
      <c r="LEZ211" s="2522"/>
      <c r="LFA211" s="2522"/>
      <c r="LFB211" s="2522"/>
      <c r="LFC211" s="2522"/>
      <c r="LFD211" s="2522"/>
      <c r="LFE211" s="2522"/>
      <c r="LFF211" s="2522"/>
      <c r="LFG211" s="2522"/>
      <c r="LFH211" s="2522"/>
      <c r="LFI211" s="2522"/>
      <c r="LFJ211" s="2522"/>
      <c r="LFK211" s="2522"/>
      <c r="LFL211" s="2522"/>
      <c r="LFM211" s="2522"/>
      <c r="LFN211" s="2522"/>
      <c r="LFO211" s="2522"/>
      <c r="LFP211" s="2522"/>
      <c r="LFQ211" s="2522"/>
      <c r="LFR211" s="2522"/>
      <c r="LFS211" s="2522"/>
      <c r="LFT211" s="2522"/>
      <c r="LFU211" s="2522"/>
      <c r="LFV211" s="2522"/>
      <c r="LFW211" s="2522"/>
      <c r="LFX211" s="2522"/>
      <c r="LFY211" s="2522"/>
      <c r="LFZ211" s="2522"/>
      <c r="LGA211" s="2522"/>
      <c r="LGB211" s="2522"/>
      <c r="LGC211" s="2522"/>
      <c r="LGD211" s="2522"/>
      <c r="LGE211" s="2522"/>
      <c r="LGF211" s="2522"/>
      <c r="LGG211" s="2522"/>
      <c r="LGH211" s="2522"/>
      <c r="LGI211" s="2522"/>
      <c r="LGJ211" s="2522"/>
      <c r="LGK211" s="2522"/>
      <c r="LGL211" s="2522"/>
      <c r="LGM211" s="2522"/>
      <c r="LGN211" s="2522"/>
      <c r="LGO211" s="2522"/>
      <c r="LGP211" s="2522"/>
      <c r="LGQ211" s="2522"/>
      <c r="LGR211" s="2522"/>
      <c r="LGS211" s="2522"/>
      <c r="LGT211" s="2522"/>
      <c r="LGU211" s="2522"/>
      <c r="LGV211" s="2522"/>
      <c r="LGW211" s="2522"/>
      <c r="LGX211" s="2522"/>
      <c r="LGY211" s="2522"/>
      <c r="LGZ211" s="2522"/>
      <c r="LHA211" s="2522"/>
      <c r="LHB211" s="2522"/>
      <c r="LHC211" s="2522"/>
      <c r="LHD211" s="2522"/>
      <c r="LHE211" s="2522"/>
      <c r="LHF211" s="2522"/>
      <c r="LHG211" s="2522"/>
      <c r="LHH211" s="2522"/>
      <c r="LHI211" s="2522"/>
      <c r="LHJ211" s="2522"/>
      <c r="LHK211" s="2522"/>
      <c r="LHL211" s="2522"/>
      <c r="LHM211" s="2522"/>
      <c r="LHN211" s="2522"/>
      <c r="LHO211" s="2522"/>
      <c r="LHP211" s="2522"/>
      <c r="LHQ211" s="2522"/>
      <c r="LHR211" s="2522"/>
      <c r="LHS211" s="2522"/>
      <c r="LHT211" s="2522"/>
      <c r="LHU211" s="2522"/>
      <c r="LHV211" s="2522"/>
      <c r="LHW211" s="2522"/>
      <c r="LHX211" s="2522"/>
      <c r="LHY211" s="2522"/>
      <c r="LHZ211" s="2522"/>
      <c r="LIA211" s="2522"/>
      <c r="LIB211" s="2522"/>
      <c r="LIC211" s="2522"/>
      <c r="LID211" s="2522"/>
      <c r="LIE211" s="2522"/>
      <c r="LIF211" s="2522"/>
      <c r="LIG211" s="2522"/>
      <c r="LIH211" s="2522"/>
      <c r="LII211" s="2522"/>
      <c r="LIJ211" s="2522"/>
      <c r="LIK211" s="2522"/>
      <c r="LIL211" s="2522"/>
      <c r="LIM211" s="2522"/>
      <c r="LIN211" s="2522"/>
      <c r="LIO211" s="2522"/>
      <c r="LIP211" s="2522"/>
      <c r="LIQ211" s="2522"/>
      <c r="LIR211" s="2522"/>
      <c r="LIS211" s="2522"/>
      <c r="LIT211" s="2522"/>
      <c r="LIU211" s="2522"/>
      <c r="LIV211" s="2522"/>
      <c r="LIW211" s="2522"/>
      <c r="LIX211" s="2522"/>
      <c r="LIY211" s="2522"/>
      <c r="LIZ211" s="2522"/>
      <c r="LJA211" s="2522"/>
      <c r="LJB211" s="2522"/>
      <c r="LJC211" s="2522"/>
      <c r="LJD211" s="2522"/>
      <c r="LJE211" s="2522"/>
      <c r="LJF211" s="2522"/>
      <c r="LJG211" s="2522"/>
      <c r="LJH211" s="2522"/>
      <c r="LJI211" s="2522"/>
      <c r="LJJ211" s="2522"/>
      <c r="LJK211" s="2522"/>
      <c r="LJL211" s="2522"/>
      <c r="LJM211" s="2522"/>
      <c r="LJN211" s="2522"/>
      <c r="LJO211" s="2522"/>
      <c r="LJP211" s="2522"/>
      <c r="LJQ211" s="2522"/>
      <c r="LJR211" s="2522"/>
      <c r="LJS211" s="2522"/>
      <c r="LJT211" s="2522"/>
      <c r="LJU211" s="2522"/>
      <c r="LJV211" s="2522"/>
      <c r="LJW211" s="2522"/>
      <c r="LJX211" s="2522"/>
      <c r="LJY211" s="2522"/>
      <c r="LJZ211" s="2522"/>
      <c r="LKA211" s="2522"/>
      <c r="LKB211" s="2522"/>
      <c r="LKC211" s="2522"/>
      <c r="LKD211" s="2522"/>
      <c r="LKE211" s="2522"/>
      <c r="LKF211" s="2522"/>
      <c r="LKG211" s="2522"/>
      <c r="LKH211" s="2522"/>
      <c r="LKI211" s="2522"/>
      <c r="LKJ211" s="2522"/>
      <c r="LKK211" s="2522"/>
      <c r="LKL211" s="2522"/>
      <c r="LKM211" s="2522"/>
      <c r="LKN211" s="2522"/>
      <c r="LKO211" s="2522"/>
      <c r="LKP211" s="2522"/>
      <c r="LKQ211" s="2522"/>
      <c r="LKR211" s="2522"/>
      <c r="LKS211" s="2522"/>
      <c r="LKT211" s="2522"/>
      <c r="LKU211" s="2522"/>
      <c r="LKV211" s="2522"/>
      <c r="LKW211" s="2522"/>
      <c r="LKX211" s="2522"/>
      <c r="LKY211" s="2522"/>
      <c r="LKZ211" s="2522"/>
      <c r="LLA211" s="2522"/>
      <c r="LLB211" s="2522"/>
      <c r="LLC211" s="2522"/>
      <c r="LLD211" s="2522"/>
      <c r="LLE211" s="2522"/>
      <c r="LLF211" s="2522"/>
      <c r="LLG211" s="2522"/>
      <c r="LLH211" s="2522"/>
      <c r="LLI211" s="2522"/>
      <c r="LLJ211" s="2522"/>
      <c r="LLK211" s="2522"/>
      <c r="LLL211" s="2522"/>
      <c r="LLM211" s="2522"/>
      <c r="LLN211" s="2522"/>
      <c r="LLO211" s="2522"/>
      <c r="LLP211" s="2522"/>
      <c r="LLQ211" s="2522"/>
      <c r="LLR211" s="2522"/>
      <c r="LLS211" s="2522"/>
      <c r="LLT211" s="2522"/>
      <c r="LLU211" s="2522"/>
      <c r="LLV211" s="2522"/>
      <c r="LLW211" s="2522"/>
      <c r="LLX211" s="2522"/>
      <c r="LLY211" s="2522"/>
      <c r="LLZ211" s="2522"/>
      <c r="LMA211" s="2522"/>
      <c r="LMB211" s="2522"/>
      <c r="LMC211" s="2522"/>
      <c r="LMD211" s="2522"/>
      <c r="LME211" s="2522"/>
      <c r="LMF211" s="2522"/>
      <c r="LMG211" s="2522"/>
      <c r="LMH211" s="2522"/>
      <c r="LMI211" s="2522"/>
      <c r="LMJ211" s="2522"/>
      <c r="LMK211" s="2522"/>
      <c r="LML211" s="2522"/>
      <c r="LMM211" s="2522"/>
      <c r="LMN211" s="2522"/>
      <c r="LMO211" s="2522"/>
      <c r="LMP211" s="2522"/>
      <c r="LMQ211" s="2522"/>
      <c r="LMR211" s="2522"/>
      <c r="LMS211" s="2522"/>
      <c r="LMT211" s="2522"/>
      <c r="LMU211" s="2522"/>
      <c r="LMV211" s="2522"/>
      <c r="LMW211" s="2522"/>
      <c r="LMX211" s="2522"/>
      <c r="LMY211" s="2522"/>
      <c r="LMZ211" s="2522"/>
      <c r="LNA211" s="2522"/>
      <c r="LNB211" s="2522"/>
      <c r="LNC211" s="2522"/>
      <c r="LND211" s="2522"/>
      <c r="LNE211" s="2522"/>
      <c r="LNF211" s="2522"/>
      <c r="LNG211" s="2522"/>
      <c r="LNH211" s="2522"/>
      <c r="LNI211" s="2522"/>
      <c r="LNJ211" s="2522"/>
      <c r="LNK211" s="2522"/>
      <c r="LNL211" s="2522"/>
      <c r="LNM211" s="2522"/>
      <c r="LNN211" s="2522"/>
      <c r="LNO211" s="2522"/>
      <c r="LNP211" s="2522"/>
      <c r="LNQ211" s="2522"/>
      <c r="LNR211" s="2522"/>
      <c r="LNS211" s="2522"/>
      <c r="LNT211" s="2522"/>
      <c r="LNU211" s="2522"/>
      <c r="LNV211" s="2522"/>
      <c r="LNW211" s="2522"/>
      <c r="LNX211" s="2522"/>
      <c r="LNY211" s="2522"/>
      <c r="LNZ211" s="2522"/>
      <c r="LOA211" s="2522"/>
      <c r="LOB211" s="2522"/>
      <c r="LOC211" s="2522"/>
      <c r="LOD211" s="2522"/>
      <c r="LOE211" s="2522"/>
      <c r="LOF211" s="2522"/>
      <c r="LOG211" s="2522"/>
      <c r="LOH211" s="2522"/>
      <c r="LOI211" s="2522"/>
      <c r="LOJ211" s="2522"/>
      <c r="LOK211" s="2522"/>
      <c r="LOL211" s="2522"/>
      <c r="LOM211" s="2522"/>
      <c r="LON211" s="2522"/>
      <c r="LOO211" s="2522"/>
      <c r="LOP211" s="2522"/>
      <c r="LOQ211" s="2522"/>
      <c r="LOR211" s="2522"/>
      <c r="LOS211" s="2522"/>
      <c r="LOT211" s="2522"/>
      <c r="LOU211" s="2522"/>
      <c r="LOV211" s="2522"/>
      <c r="LOW211" s="2522"/>
      <c r="LOX211" s="2522"/>
      <c r="LOY211" s="2522"/>
      <c r="LOZ211" s="2522"/>
      <c r="LPA211" s="2522"/>
      <c r="LPB211" s="2522"/>
      <c r="LPC211" s="2522"/>
      <c r="LPD211" s="2522"/>
      <c r="LPE211" s="2522"/>
      <c r="LPF211" s="2522"/>
      <c r="LPG211" s="2522"/>
      <c r="LPH211" s="2522"/>
      <c r="LPI211" s="2522"/>
      <c r="LPJ211" s="2522"/>
      <c r="LPK211" s="2522"/>
      <c r="LPL211" s="2522"/>
      <c r="LPM211" s="2522"/>
      <c r="LPN211" s="2522"/>
      <c r="LPO211" s="2522"/>
      <c r="LPP211" s="2522"/>
      <c r="LPQ211" s="2522"/>
      <c r="LPR211" s="2522"/>
      <c r="LPS211" s="2522"/>
      <c r="LPT211" s="2522"/>
      <c r="LPU211" s="2522"/>
      <c r="LPV211" s="2522"/>
      <c r="LPW211" s="2522"/>
      <c r="LPX211" s="2522"/>
      <c r="LPY211" s="2522"/>
      <c r="LPZ211" s="2522"/>
      <c r="LQA211" s="2522"/>
      <c r="LQB211" s="2522"/>
      <c r="LQC211" s="2522"/>
      <c r="LQD211" s="2522"/>
      <c r="LQE211" s="2522"/>
      <c r="LQF211" s="2522"/>
      <c r="LQG211" s="2522"/>
      <c r="LQH211" s="2522"/>
      <c r="LQI211" s="2522"/>
      <c r="LQJ211" s="2522"/>
      <c r="LQK211" s="2522"/>
      <c r="LQL211" s="2522"/>
      <c r="LQM211" s="2522"/>
      <c r="LQN211" s="2522"/>
      <c r="LQO211" s="2522"/>
      <c r="LQP211" s="2522"/>
      <c r="LQQ211" s="2522"/>
      <c r="LQR211" s="2522"/>
      <c r="LQS211" s="2522"/>
      <c r="LQT211" s="2522"/>
      <c r="LQU211" s="2522"/>
      <c r="LQV211" s="2522"/>
      <c r="LQW211" s="2522"/>
      <c r="LQX211" s="2522"/>
      <c r="LQY211" s="2522"/>
      <c r="LQZ211" s="2522"/>
      <c r="LRA211" s="2522"/>
      <c r="LRB211" s="2522"/>
      <c r="LRC211" s="2522"/>
      <c r="LRD211" s="2522"/>
      <c r="LRE211" s="2522"/>
      <c r="LRF211" s="2522"/>
      <c r="LRG211" s="2522"/>
      <c r="LRH211" s="2522"/>
      <c r="LRI211" s="2522"/>
      <c r="LRJ211" s="2522"/>
      <c r="LRK211" s="2522"/>
      <c r="LRL211" s="2522"/>
      <c r="LRM211" s="2522"/>
      <c r="LRN211" s="2522"/>
      <c r="LRO211" s="2522"/>
      <c r="LRP211" s="2522"/>
      <c r="LRQ211" s="2522"/>
      <c r="LRR211" s="2522"/>
      <c r="LRS211" s="2522"/>
      <c r="LRT211" s="2522"/>
      <c r="LRU211" s="2522"/>
      <c r="LRV211" s="2522"/>
      <c r="LRW211" s="2522"/>
      <c r="LRX211" s="2522"/>
      <c r="LRY211" s="2522"/>
      <c r="LRZ211" s="2522"/>
      <c r="LSA211" s="2522"/>
      <c r="LSB211" s="2522"/>
      <c r="LSC211" s="2522"/>
      <c r="LSD211" s="2522"/>
      <c r="LSE211" s="2522"/>
      <c r="LSF211" s="2522"/>
      <c r="LSG211" s="2522"/>
      <c r="LSH211" s="2522"/>
      <c r="LSI211" s="2522"/>
      <c r="LSJ211" s="2522"/>
      <c r="LSK211" s="2522"/>
      <c r="LSL211" s="2522"/>
      <c r="LSM211" s="2522"/>
      <c r="LSN211" s="2522"/>
      <c r="LSO211" s="2522"/>
      <c r="LSP211" s="2522"/>
      <c r="LSQ211" s="2522"/>
      <c r="LSR211" s="2522"/>
      <c r="LSS211" s="2522"/>
      <c r="LST211" s="2522"/>
      <c r="LSU211" s="2522"/>
      <c r="LSV211" s="2522"/>
      <c r="LSW211" s="2522"/>
      <c r="LSX211" s="2522"/>
      <c r="LSY211" s="2522"/>
      <c r="LSZ211" s="2522"/>
      <c r="LTA211" s="2522"/>
      <c r="LTB211" s="2522"/>
      <c r="LTC211" s="2522"/>
      <c r="LTD211" s="2522"/>
      <c r="LTE211" s="2522"/>
      <c r="LTF211" s="2522"/>
      <c r="LTG211" s="2522"/>
      <c r="LTH211" s="2522"/>
      <c r="LTI211" s="2522"/>
      <c r="LTJ211" s="2522"/>
      <c r="LTK211" s="2522"/>
      <c r="LTL211" s="2522"/>
      <c r="LTM211" s="2522"/>
      <c r="LTN211" s="2522"/>
      <c r="LTO211" s="2522"/>
      <c r="LTP211" s="2522"/>
      <c r="LTQ211" s="2522"/>
      <c r="LTR211" s="2522"/>
      <c r="LTS211" s="2522"/>
      <c r="LTT211" s="2522"/>
      <c r="LTU211" s="2522"/>
      <c r="LTV211" s="2522"/>
      <c r="LTW211" s="2522"/>
      <c r="LTX211" s="2522"/>
      <c r="LTY211" s="2522"/>
      <c r="LTZ211" s="2522"/>
      <c r="LUA211" s="2522"/>
      <c r="LUB211" s="2522"/>
      <c r="LUC211" s="2522"/>
      <c r="LUD211" s="2522"/>
      <c r="LUE211" s="2522"/>
      <c r="LUF211" s="2522"/>
      <c r="LUG211" s="2522"/>
      <c r="LUH211" s="2522"/>
      <c r="LUI211" s="2522"/>
      <c r="LUJ211" s="2522"/>
      <c r="LUK211" s="2522"/>
      <c r="LUL211" s="2522"/>
      <c r="LUM211" s="2522"/>
      <c r="LUN211" s="2522"/>
      <c r="LUO211" s="2522"/>
      <c r="LUP211" s="2522"/>
      <c r="LUQ211" s="2522"/>
      <c r="LUR211" s="2522"/>
      <c r="LUS211" s="2522"/>
      <c r="LUT211" s="2522"/>
      <c r="LUU211" s="2522"/>
      <c r="LUV211" s="2522"/>
      <c r="LUW211" s="2522"/>
      <c r="LUX211" s="2522"/>
      <c r="LUY211" s="2522"/>
      <c r="LUZ211" s="2522"/>
      <c r="LVA211" s="2522"/>
      <c r="LVB211" s="2522"/>
      <c r="LVC211" s="2522"/>
      <c r="LVD211" s="2522"/>
      <c r="LVE211" s="2522"/>
      <c r="LVF211" s="2522"/>
      <c r="LVG211" s="2522"/>
      <c r="LVH211" s="2522"/>
      <c r="LVI211" s="2522"/>
      <c r="LVJ211" s="2522"/>
      <c r="LVK211" s="2522"/>
      <c r="LVL211" s="2522"/>
      <c r="LVM211" s="2522"/>
      <c r="LVN211" s="2522"/>
      <c r="LVO211" s="2522"/>
      <c r="LVP211" s="2522"/>
      <c r="LVQ211" s="2522"/>
      <c r="LVR211" s="2522"/>
      <c r="LVS211" s="2522"/>
      <c r="LVT211" s="2522"/>
      <c r="LVU211" s="2522"/>
      <c r="LVV211" s="2522"/>
      <c r="LVW211" s="2522"/>
      <c r="LVX211" s="2522"/>
      <c r="LVY211" s="2522"/>
      <c r="LVZ211" s="2522"/>
      <c r="LWA211" s="2522"/>
      <c r="LWB211" s="2522"/>
      <c r="LWC211" s="2522"/>
      <c r="LWD211" s="2522"/>
      <c r="LWE211" s="2522"/>
      <c r="LWF211" s="2522"/>
      <c r="LWG211" s="2522"/>
      <c r="LWH211" s="2522"/>
      <c r="LWI211" s="2522"/>
      <c r="LWJ211" s="2522"/>
      <c r="LWK211" s="2522"/>
      <c r="LWL211" s="2522"/>
      <c r="LWM211" s="2522"/>
      <c r="LWN211" s="2522"/>
      <c r="LWO211" s="2522"/>
      <c r="LWP211" s="2522"/>
      <c r="LWQ211" s="2522"/>
      <c r="LWR211" s="2522"/>
      <c r="LWS211" s="2522"/>
      <c r="LWT211" s="2522"/>
      <c r="LWU211" s="2522"/>
      <c r="LWV211" s="2522"/>
      <c r="LWW211" s="2522"/>
      <c r="LWX211" s="2522"/>
      <c r="LWY211" s="2522"/>
      <c r="LWZ211" s="2522"/>
      <c r="LXA211" s="2522"/>
      <c r="LXB211" s="2522"/>
      <c r="LXC211" s="2522"/>
      <c r="LXD211" s="2522"/>
      <c r="LXE211" s="2522"/>
      <c r="LXF211" s="2522"/>
      <c r="LXG211" s="2522"/>
      <c r="LXH211" s="2522"/>
      <c r="LXI211" s="2522"/>
      <c r="LXJ211" s="2522"/>
      <c r="LXK211" s="2522"/>
      <c r="LXL211" s="2522"/>
      <c r="LXM211" s="2522"/>
      <c r="LXN211" s="2522"/>
      <c r="LXO211" s="2522"/>
      <c r="LXP211" s="2522"/>
      <c r="LXQ211" s="2522"/>
      <c r="LXR211" s="2522"/>
      <c r="LXS211" s="2522"/>
      <c r="LXT211" s="2522"/>
      <c r="LXU211" s="2522"/>
      <c r="LXV211" s="2522"/>
      <c r="LXW211" s="2522"/>
      <c r="LXX211" s="2522"/>
      <c r="LXY211" s="2522"/>
      <c r="LXZ211" s="2522"/>
      <c r="LYA211" s="2522"/>
      <c r="LYB211" s="2522"/>
      <c r="LYC211" s="2522"/>
      <c r="LYD211" s="2522"/>
      <c r="LYE211" s="2522"/>
      <c r="LYF211" s="2522"/>
      <c r="LYG211" s="2522"/>
      <c r="LYH211" s="2522"/>
      <c r="LYI211" s="2522"/>
      <c r="LYJ211" s="2522"/>
      <c r="LYK211" s="2522"/>
      <c r="LYL211" s="2522"/>
      <c r="LYM211" s="2522"/>
      <c r="LYN211" s="2522"/>
      <c r="LYO211" s="2522"/>
      <c r="LYP211" s="2522"/>
      <c r="LYQ211" s="2522"/>
      <c r="LYR211" s="2522"/>
      <c r="LYS211" s="2522"/>
      <c r="LYT211" s="2522"/>
      <c r="LYU211" s="2522"/>
      <c r="LYV211" s="2522"/>
      <c r="LYW211" s="2522"/>
      <c r="LYX211" s="2522"/>
      <c r="LYY211" s="2522"/>
      <c r="LYZ211" s="2522"/>
      <c r="LZA211" s="2522"/>
      <c r="LZB211" s="2522"/>
      <c r="LZC211" s="2522"/>
      <c r="LZD211" s="2522"/>
      <c r="LZE211" s="2522"/>
      <c r="LZF211" s="2522"/>
      <c r="LZG211" s="2522"/>
      <c r="LZH211" s="2522"/>
      <c r="LZI211" s="2522"/>
      <c r="LZJ211" s="2522"/>
      <c r="LZK211" s="2522"/>
      <c r="LZL211" s="2522"/>
      <c r="LZM211" s="2522"/>
      <c r="LZN211" s="2522"/>
      <c r="LZO211" s="2522"/>
      <c r="LZP211" s="2522"/>
      <c r="LZQ211" s="2522"/>
      <c r="LZR211" s="2522"/>
      <c r="LZS211" s="2522"/>
      <c r="LZT211" s="2522"/>
      <c r="LZU211" s="2522"/>
      <c r="LZV211" s="2522"/>
      <c r="LZW211" s="2522"/>
      <c r="LZX211" s="2522"/>
      <c r="LZY211" s="2522"/>
      <c r="LZZ211" s="2522"/>
      <c r="MAA211" s="2522"/>
      <c r="MAB211" s="2522"/>
      <c r="MAC211" s="2522"/>
      <c r="MAD211" s="2522"/>
      <c r="MAE211" s="2522"/>
      <c r="MAF211" s="2522"/>
      <c r="MAG211" s="2522"/>
      <c r="MAH211" s="2522"/>
      <c r="MAI211" s="2522"/>
      <c r="MAJ211" s="2522"/>
      <c r="MAK211" s="2522"/>
      <c r="MAL211" s="2522"/>
      <c r="MAM211" s="2522"/>
      <c r="MAN211" s="2522"/>
      <c r="MAO211" s="2522"/>
      <c r="MAP211" s="2522"/>
      <c r="MAQ211" s="2522"/>
      <c r="MAR211" s="2522"/>
      <c r="MAS211" s="2522"/>
      <c r="MAT211" s="2522"/>
      <c r="MAU211" s="2522"/>
      <c r="MAV211" s="2522"/>
      <c r="MAW211" s="2522"/>
      <c r="MAX211" s="2522"/>
      <c r="MAY211" s="2522"/>
      <c r="MAZ211" s="2522"/>
      <c r="MBA211" s="2522"/>
      <c r="MBB211" s="2522"/>
      <c r="MBC211" s="2522"/>
      <c r="MBD211" s="2522"/>
      <c r="MBE211" s="2522"/>
      <c r="MBF211" s="2522"/>
      <c r="MBG211" s="2522"/>
      <c r="MBH211" s="2522"/>
      <c r="MBI211" s="2522"/>
      <c r="MBJ211" s="2522"/>
      <c r="MBK211" s="2522"/>
      <c r="MBL211" s="2522"/>
      <c r="MBM211" s="2522"/>
      <c r="MBN211" s="2522"/>
      <c r="MBO211" s="2522"/>
      <c r="MBP211" s="2522"/>
      <c r="MBQ211" s="2522"/>
      <c r="MBR211" s="2522"/>
      <c r="MBS211" s="2522"/>
      <c r="MBT211" s="2522"/>
      <c r="MBU211" s="2522"/>
      <c r="MBV211" s="2522"/>
      <c r="MBW211" s="2522"/>
      <c r="MBX211" s="2522"/>
      <c r="MBY211" s="2522"/>
      <c r="MBZ211" s="2522"/>
      <c r="MCA211" s="2522"/>
      <c r="MCB211" s="2522"/>
      <c r="MCC211" s="2522"/>
      <c r="MCD211" s="2522"/>
      <c r="MCE211" s="2522"/>
      <c r="MCF211" s="2522"/>
      <c r="MCG211" s="2522"/>
      <c r="MCH211" s="2522"/>
      <c r="MCI211" s="2522"/>
      <c r="MCJ211" s="2522"/>
      <c r="MCK211" s="2522"/>
      <c r="MCL211" s="2522"/>
      <c r="MCM211" s="2522"/>
      <c r="MCN211" s="2522"/>
      <c r="MCO211" s="2522"/>
      <c r="MCP211" s="2522"/>
      <c r="MCQ211" s="2522"/>
      <c r="MCR211" s="2522"/>
      <c r="MCS211" s="2522"/>
      <c r="MCT211" s="2522"/>
      <c r="MCU211" s="2522"/>
      <c r="MCV211" s="2522"/>
      <c r="MCW211" s="2522"/>
      <c r="MCX211" s="2522"/>
      <c r="MCY211" s="2522"/>
      <c r="MCZ211" s="2522"/>
      <c r="MDA211" s="2522"/>
      <c r="MDB211" s="2522"/>
      <c r="MDC211" s="2522"/>
      <c r="MDD211" s="2522"/>
      <c r="MDE211" s="2522"/>
      <c r="MDF211" s="2522"/>
      <c r="MDG211" s="2522"/>
      <c r="MDH211" s="2522"/>
      <c r="MDI211" s="2522"/>
      <c r="MDJ211" s="2522"/>
      <c r="MDK211" s="2522"/>
      <c r="MDL211" s="2522"/>
      <c r="MDM211" s="2522"/>
      <c r="MDN211" s="2522"/>
      <c r="MDO211" s="2522"/>
      <c r="MDP211" s="2522"/>
      <c r="MDQ211" s="2522"/>
      <c r="MDR211" s="2522"/>
      <c r="MDS211" s="2522"/>
      <c r="MDT211" s="2522"/>
      <c r="MDU211" s="2522"/>
      <c r="MDV211" s="2522"/>
      <c r="MDW211" s="2522"/>
      <c r="MDX211" s="2522"/>
      <c r="MDY211" s="2522"/>
      <c r="MDZ211" s="2522"/>
      <c r="MEA211" s="2522"/>
      <c r="MEB211" s="2522"/>
      <c r="MEC211" s="2522"/>
      <c r="MED211" s="2522"/>
      <c r="MEE211" s="2522"/>
      <c r="MEF211" s="2522"/>
      <c r="MEG211" s="2522"/>
      <c r="MEH211" s="2522"/>
      <c r="MEI211" s="2522"/>
      <c r="MEJ211" s="2522"/>
      <c r="MEK211" s="2522"/>
      <c r="MEL211" s="2522"/>
      <c r="MEM211" s="2522"/>
      <c r="MEN211" s="2522"/>
      <c r="MEO211" s="2522"/>
      <c r="MEP211" s="2522"/>
      <c r="MEQ211" s="2522"/>
      <c r="MER211" s="2522"/>
      <c r="MES211" s="2522"/>
      <c r="MET211" s="2522"/>
      <c r="MEU211" s="2522"/>
      <c r="MEV211" s="2522"/>
      <c r="MEW211" s="2522"/>
      <c r="MEX211" s="2522"/>
      <c r="MEY211" s="2522"/>
      <c r="MEZ211" s="2522"/>
      <c r="MFA211" s="2522"/>
      <c r="MFB211" s="2522"/>
      <c r="MFC211" s="2522"/>
      <c r="MFD211" s="2522"/>
      <c r="MFE211" s="2522"/>
      <c r="MFF211" s="2522"/>
      <c r="MFG211" s="2522"/>
      <c r="MFH211" s="2522"/>
      <c r="MFI211" s="2522"/>
      <c r="MFJ211" s="2522"/>
      <c r="MFK211" s="2522"/>
      <c r="MFL211" s="2522"/>
      <c r="MFM211" s="2522"/>
      <c r="MFN211" s="2522"/>
      <c r="MFO211" s="2522"/>
      <c r="MFP211" s="2522"/>
      <c r="MFQ211" s="2522"/>
      <c r="MFR211" s="2522"/>
      <c r="MFS211" s="2522"/>
      <c r="MFT211" s="2522"/>
      <c r="MFU211" s="2522"/>
      <c r="MFV211" s="2522"/>
      <c r="MFW211" s="2522"/>
      <c r="MFX211" s="2522"/>
      <c r="MFY211" s="2522"/>
      <c r="MFZ211" s="2522"/>
      <c r="MGA211" s="2522"/>
      <c r="MGB211" s="2522"/>
      <c r="MGC211" s="2522"/>
      <c r="MGD211" s="2522"/>
      <c r="MGE211" s="2522"/>
      <c r="MGF211" s="2522"/>
      <c r="MGG211" s="2522"/>
      <c r="MGH211" s="2522"/>
      <c r="MGI211" s="2522"/>
      <c r="MGJ211" s="2522"/>
      <c r="MGK211" s="2522"/>
      <c r="MGL211" s="2522"/>
      <c r="MGM211" s="2522"/>
      <c r="MGN211" s="2522"/>
      <c r="MGO211" s="2522"/>
      <c r="MGP211" s="2522"/>
      <c r="MGQ211" s="2522"/>
      <c r="MGR211" s="2522"/>
      <c r="MGS211" s="2522"/>
      <c r="MGT211" s="2522"/>
      <c r="MGU211" s="2522"/>
      <c r="MGV211" s="2522"/>
      <c r="MGW211" s="2522"/>
      <c r="MGX211" s="2522"/>
      <c r="MGY211" s="2522"/>
      <c r="MGZ211" s="2522"/>
      <c r="MHA211" s="2522"/>
      <c r="MHB211" s="2522"/>
      <c r="MHC211" s="2522"/>
      <c r="MHD211" s="2522"/>
      <c r="MHE211" s="2522"/>
      <c r="MHF211" s="2522"/>
      <c r="MHG211" s="2522"/>
      <c r="MHH211" s="2522"/>
      <c r="MHI211" s="2522"/>
      <c r="MHJ211" s="2522"/>
      <c r="MHK211" s="2522"/>
      <c r="MHL211" s="2522"/>
      <c r="MHM211" s="2522"/>
      <c r="MHN211" s="2522"/>
      <c r="MHO211" s="2522"/>
      <c r="MHP211" s="2522"/>
      <c r="MHQ211" s="2522"/>
      <c r="MHR211" s="2522"/>
      <c r="MHS211" s="2522"/>
      <c r="MHT211" s="2522"/>
      <c r="MHU211" s="2522"/>
      <c r="MHV211" s="2522"/>
      <c r="MHW211" s="2522"/>
      <c r="MHX211" s="2522"/>
      <c r="MHY211" s="2522"/>
      <c r="MHZ211" s="2522"/>
      <c r="MIA211" s="2522"/>
      <c r="MIB211" s="2522"/>
      <c r="MIC211" s="2522"/>
      <c r="MID211" s="2522"/>
      <c r="MIE211" s="2522"/>
      <c r="MIF211" s="2522"/>
      <c r="MIG211" s="2522"/>
      <c r="MIH211" s="2522"/>
      <c r="MII211" s="2522"/>
      <c r="MIJ211" s="2522"/>
      <c r="MIK211" s="2522"/>
      <c r="MIL211" s="2522"/>
      <c r="MIM211" s="2522"/>
      <c r="MIN211" s="2522"/>
      <c r="MIO211" s="2522"/>
      <c r="MIP211" s="2522"/>
      <c r="MIQ211" s="2522"/>
      <c r="MIR211" s="2522"/>
      <c r="MIS211" s="2522"/>
      <c r="MIT211" s="2522"/>
      <c r="MIU211" s="2522"/>
      <c r="MIV211" s="2522"/>
      <c r="MIW211" s="2522"/>
      <c r="MIX211" s="2522"/>
      <c r="MIY211" s="2522"/>
      <c r="MIZ211" s="2522"/>
      <c r="MJA211" s="2522"/>
      <c r="MJB211" s="2522"/>
      <c r="MJC211" s="2522"/>
      <c r="MJD211" s="2522"/>
      <c r="MJE211" s="2522"/>
      <c r="MJF211" s="2522"/>
      <c r="MJG211" s="2522"/>
      <c r="MJH211" s="2522"/>
      <c r="MJI211" s="2522"/>
      <c r="MJJ211" s="2522"/>
      <c r="MJK211" s="2522"/>
      <c r="MJL211" s="2522"/>
      <c r="MJM211" s="2522"/>
      <c r="MJN211" s="2522"/>
      <c r="MJO211" s="2522"/>
      <c r="MJP211" s="2522"/>
      <c r="MJQ211" s="2522"/>
      <c r="MJR211" s="2522"/>
      <c r="MJS211" s="2522"/>
      <c r="MJT211" s="2522"/>
      <c r="MJU211" s="2522"/>
      <c r="MJV211" s="2522"/>
      <c r="MJW211" s="2522"/>
      <c r="MJX211" s="2522"/>
      <c r="MJY211" s="2522"/>
      <c r="MJZ211" s="2522"/>
      <c r="MKA211" s="2522"/>
      <c r="MKB211" s="2522"/>
      <c r="MKC211" s="2522"/>
      <c r="MKD211" s="2522"/>
      <c r="MKE211" s="2522"/>
      <c r="MKF211" s="2522"/>
      <c r="MKG211" s="2522"/>
      <c r="MKH211" s="2522"/>
      <c r="MKI211" s="2522"/>
      <c r="MKJ211" s="2522"/>
      <c r="MKK211" s="2522"/>
      <c r="MKL211" s="2522"/>
      <c r="MKM211" s="2522"/>
      <c r="MKN211" s="2522"/>
      <c r="MKO211" s="2522"/>
      <c r="MKP211" s="2522"/>
      <c r="MKQ211" s="2522"/>
      <c r="MKR211" s="2522"/>
      <c r="MKS211" s="2522"/>
      <c r="MKT211" s="2522"/>
      <c r="MKU211" s="2522"/>
      <c r="MKV211" s="2522"/>
      <c r="MKW211" s="2522"/>
      <c r="MKX211" s="2522"/>
      <c r="MKY211" s="2522"/>
      <c r="MKZ211" s="2522"/>
      <c r="MLA211" s="2522"/>
      <c r="MLB211" s="2522"/>
      <c r="MLC211" s="2522"/>
      <c r="MLD211" s="2522"/>
      <c r="MLE211" s="2522"/>
      <c r="MLF211" s="2522"/>
      <c r="MLG211" s="2522"/>
      <c r="MLH211" s="2522"/>
      <c r="MLI211" s="2522"/>
      <c r="MLJ211" s="2522"/>
      <c r="MLK211" s="2522"/>
      <c r="MLL211" s="2522"/>
      <c r="MLM211" s="2522"/>
      <c r="MLN211" s="2522"/>
      <c r="MLO211" s="2522"/>
      <c r="MLP211" s="2522"/>
      <c r="MLQ211" s="2522"/>
      <c r="MLR211" s="2522"/>
      <c r="MLS211" s="2522"/>
      <c r="MLT211" s="2522"/>
      <c r="MLU211" s="2522"/>
      <c r="MLV211" s="2522"/>
      <c r="MLW211" s="2522"/>
      <c r="MLX211" s="2522"/>
      <c r="MLY211" s="2522"/>
      <c r="MLZ211" s="2522"/>
      <c r="MMA211" s="2522"/>
      <c r="MMB211" s="2522"/>
      <c r="MMC211" s="2522"/>
      <c r="MMD211" s="2522"/>
      <c r="MME211" s="2522"/>
      <c r="MMF211" s="2522"/>
      <c r="MMG211" s="2522"/>
      <c r="MMH211" s="2522"/>
      <c r="MMI211" s="2522"/>
      <c r="MMJ211" s="2522"/>
      <c r="MMK211" s="2522"/>
      <c r="MML211" s="2522"/>
      <c r="MMM211" s="2522"/>
      <c r="MMN211" s="2522"/>
      <c r="MMO211" s="2522"/>
      <c r="MMP211" s="2522"/>
      <c r="MMQ211" s="2522"/>
      <c r="MMR211" s="2522"/>
      <c r="MMS211" s="2522"/>
      <c r="MMT211" s="2522"/>
      <c r="MMU211" s="2522"/>
      <c r="MMV211" s="2522"/>
      <c r="MMW211" s="2522"/>
      <c r="MMX211" s="2522"/>
      <c r="MMY211" s="2522"/>
      <c r="MMZ211" s="2522"/>
      <c r="MNA211" s="2522"/>
      <c r="MNB211" s="2522"/>
      <c r="MNC211" s="2522"/>
      <c r="MND211" s="2522"/>
      <c r="MNE211" s="2522"/>
      <c r="MNF211" s="2522"/>
      <c r="MNG211" s="2522"/>
      <c r="MNH211" s="2522"/>
      <c r="MNI211" s="2522"/>
      <c r="MNJ211" s="2522"/>
      <c r="MNK211" s="2522"/>
      <c r="MNL211" s="2522"/>
      <c r="MNM211" s="2522"/>
      <c r="MNN211" s="2522"/>
      <c r="MNO211" s="2522"/>
      <c r="MNP211" s="2522"/>
      <c r="MNQ211" s="2522"/>
      <c r="MNR211" s="2522"/>
      <c r="MNS211" s="2522"/>
      <c r="MNT211" s="2522"/>
      <c r="MNU211" s="2522"/>
      <c r="MNV211" s="2522"/>
      <c r="MNW211" s="2522"/>
      <c r="MNX211" s="2522"/>
      <c r="MNY211" s="2522"/>
      <c r="MNZ211" s="2522"/>
      <c r="MOA211" s="2522"/>
      <c r="MOB211" s="2522"/>
      <c r="MOC211" s="2522"/>
      <c r="MOD211" s="2522"/>
      <c r="MOE211" s="2522"/>
      <c r="MOF211" s="2522"/>
      <c r="MOG211" s="2522"/>
      <c r="MOH211" s="2522"/>
      <c r="MOI211" s="2522"/>
      <c r="MOJ211" s="2522"/>
      <c r="MOK211" s="2522"/>
      <c r="MOL211" s="2522"/>
      <c r="MOM211" s="2522"/>
      <c r="MON211" s="2522"/>
      <c r="MOO211" s="2522"/>
      <c r="MOP211" s="2522"/>
      <c r="MOQ211" s="2522"/>
      <c r="MOR211" s="2522"/>
      <c r="MOS211" s="2522"/>
      <c r="MOT211" s="2522"/>
      <c r="MOU211" s="2522"/>
      <c r="MOV211" s="2522"/>
      <c r="MOW211" s="2522"/>
      <c r="MOX211" s="2522"/>
      <c r="MOY211" s="2522"/>
      <c r="MOZ211" s="2522"/>
      <c r="MPA211" s="2522"/>
      <c r="MPB211" s="2522"/>
      <c r="MPC211" s="2522"/>
      <c r="MPD211" s="2522"/>
      <c r="MPE211" s="2522"/>
      <c r="MPF211" s="2522"/>
      <c r="MPG211" s="2522"/>
      <c r="MPH211" s="2522"/>
      <c r="MPI211" s="2522"/>
      <c r="MPJ211" s="2522"/>
      <c r="MPK211" s="2522"/>
      <c r="MPL211" s="2522"/>
      <c r="MPM211" s="2522"/>
      <c r="MPN211" s="2522"/>
      <c r="MPO211" s="2522"/>
      <c r="MPP211" s="2522"/>
      <c r="MPQ211" s="2522"/>
      <c r="MPR211" s="2522"/>
      <c r="MPS211" s="2522"/>
      <c r="MPT211" s="2522"/>
      <c r="MPU211" s="2522"/>
      <c r="MPV211" s="2522"/>
      <c r="MPW211" s="2522"/>
      <c r="MPX211" s="2522"/>
      <c r="MPY211" s="2522"/>
      <c r="MPZ211" s="2522"/>
      <c r="MQA211" s="2522"/>
      <c r="MQB211" s="2522"/>
      <c r="MQC211" s="2522"/>
      <c r="MQD211" s="2522"/>
      <c r="MQE211" s="2522"/>
      <c r="MQF211" s="2522"/>
      <c r="MQG211" s="2522"/>
      <c r="MQH211" s="2522"/>
      <c r="MQI211" s="2522"/>
      <c r="MQJ211" s="2522"/>
      <c r="MQK211" s="2522"/>
      <c r="MQL211" s="2522"/>
      <c r="MQM211" s="2522"/>
      <c r="MQN211" s="2522"/>
      <c r="MQO211" s="2522"/>
      <c r="MQP211" s="2522"/>
      <c r="MQQ211" s="2522"/>
      <c r="MQR211" s="2522"/>
      <c r="MQS211" s="2522"/>
      <c r="MQT211" s="2522"/>
      <c r="MQU211" s="2522"/>
      <c r="MQV211" s="2522"/>
      <c r="MQW211" s="2522"/>
      <c r="MQX211" s="2522"/>
      <c r="MQY211" s="2522"/>
      <c r="MQZ211" s="2522"/>
      <c r="MRA211" s="2522"/>
      <c r="MRB211" s="2522"/>
      <c r="MRC211" s="2522"/>
      <c r="MRD211" s="2522"/>
      <c r="MRE211" s="2522"/>
      <c r="MRF211" s="2522"/>
      <c r="MRG211" s="2522"/>
      <c r="MRH211" s="2522"/>
      <c r="MRI211" s="2522"/>
      <c r="MRJ211" s="2522"/>
      <c r="MRK211" s="2522"/>
      <c r="MRL211" s="2522"/>
      <c r="MRM211" s="2522"/>
      <c r="MRN211" s="2522"/>
      <c r="MRO211" s="2522"/>
      <c r="MRP211" s="2522"/>
      <c r="MRQ211" s="2522"/>
      <c r="MRR211" s="2522"/>
      <c r="MRS211" s="2522"/>
      <c r="MRT211" s="2522"/>
      <c r="MRU211" s="2522"/>
      <c r="MRV211" s="2522"/>
      <c r="MRW211" s="2522"/>
      <c r="MRX211" s="2522"/>
      <c r="MRY211" s="2522"/>
      <c r="MRZ211" s="2522"/>
      <c r="MSA211" s="2522"/>
      <c r="MSB211" s="2522"/>
      <c r="MSC211" s="2522"/>
      <c r="MSD211" s="2522"/>
      <c r="MSE211" s="2522"/>
      <c r="MSF211" s="2522"/>
      <c r="MSG211" s="2522"/>
      <c r="MSH211" s="2522"/>
      <c r="MSI211" s="2522"/>
      <c r="MSJ211" s="2522"/>
      <c r="MSK211" s="2522"/>
      <c r="MSL211" s="2522"/>
      <c r="MSM211" s="2522"/>
      <c r="MSN211" s="2522"/>
      <c r="MSO211" s="2522"/>
      <c r="MSP211" s="2522"/>
      <c r="MSQ211" s="2522"/>
      <c r="MSR211" s="2522"/>
      <c r="MSS211" s="2522"/>
      <c r="MST211" s="2522"/>
      <c r="MSU211" s="2522"/>
      <c r="MSV211" s="2522"/>
      <c r="MSW211" s="2522"/>
      <c r="MSX211" s="2522"/>
      <c r="MSY211" s="2522"/>
      <c r="MSZ211" s="2522"/>
      <c r="MTA211" s="2522"/>
      <c r="MTB211" s="2522"/>
      <c r="MTC211" s="2522"/>
      <c r="MTD211" s="2522"/>
      <c r="MTE211" s="2522"/>
      <c r="MTF211" s="2522"/>
      <c r="MTG211" s="2522"/>
      <c r="MTH211" s="2522"/>
      <c r="MTI211" s="2522"/>
      <c r="MTJ211" s="2522"/>
      <c r="MTK211" s="2522"/>
      <c r="MTL211" s="2522"/>
      <c r="MTM211" s="2522"/>
      <c r="MTN211" s="2522"/>
      <c r="MTO211" s="2522"/>
      <c r="MTP211" s="2522"/>
      <c r="MTQ211" s="2522"/>
      <c r="MTR211" s="2522"/>
      <c r="MTS211" s="2522"/>
      <c r="MTT211" s="2522"/>
      <c r="MTU211" s="2522"/>
      <c r="MTV211" s="2522"/>
      <c r="MTW211" s="2522"/>
      <c r="MTX211" s="2522"/>
      <c r="MTY211" s="2522"/>
      <c r="MTZ211" s="2522"/>
      <c r="MUA211" s="2522"/>
      <c r="MUB211" s="2522"/>
      <c r="MUC211" s="2522"/>
      <c r="MUD211" s="2522"/>
      <c r="MUE211" s="2522"/>
      <c r="MUF211" s="2522"/>
      <c r="MUG211" s="2522"/>
      <c r="MUH211" s="2522"/>
      <c r="MUI211" s="2522"/>
      <c r="MUJ211" s="2522"/>
      <c r="MUK211" s="2522"/>
      <c r="MUL211" s="2522"/>
      <c r="MUM211" s="2522"/>
      <c r="MUN211" s="2522"/>
      <c r="MUO211" s="2522"/>
      <c r="MUP211" s="2522"/>
      <c r="MUQ211" s="2522"/>
      <c r="MUR211" s="2522"/>
      <c r="MUS211" s="2522"/>
      <c r="MUT211" s="2522"/>
      <c r="MUU211" s="2522"/>
      <c r="MUV211" s="2522"/>
      <c r="MUW211" s="2522"/>
      <c r="MUX211" s="2522"/>
      <c r="MUY211" s="2522"/>
      <c r="MUZ211" s="2522"/>
      <c r="MVA211" s="2522"/>
      <c r="MVB211" s="2522"/>
      <c r="MVC211" s="2522"/>
      <c r="MVD211" s="2522"/>
      <c r="MVE211" s="2522"/>
      <c r="MVF211" s="2522"/>
      <c r="MVG211" s="2522"/>
      <c r="MVH211" s="2522"/>
      <c r="MVI211" s="2522"/>
      <c r="MVJ211" s="2522"/>
      <c r="MVK211" s="2522"/>
      <c r="MVL211" s="2522"/>
      <c r="MVM211" s="2522"/>
      <c r="MVN211" s="2522"/>
      <c r="MVO211" s="2522"/>
      <c r="MVP211" s="2522"/>
      <c r="MVQ211" s="2522"/>
      <c r="MVR211" s="2522"/>
      <c r="MVS211" s="2522"/>
      <c r="MVT211" s="2522"/>
      <c r="MVU211" s="2522"/>
      <c r="MVV211" s="2522"/>
      <c r="MVW211" s="2522"/>
      <c r="MVX211" s="2522"/>
      <c r="MVY211" s="2522"/>
      <c r="MVZ211" s="2522"/>
      <c r="MWA211" s="2522"/>
      <c r="MWB211" s="2522"/>
      <c r="MWC211" s="2522"/>
      <c r="MWD211" s="2522"/>
      <c r="MWE211" s="2522"/>
      <c r="MWF211" s="2522"/>
      <c r="MWG211" s="2522"/>
      <c r="MWH211" s="2522"/>
      <c r="MWI211" s="2522"/>
      <c r="MWJ211" s="2522"/>
      <c r="MWK211" s="2522"/>
      <c r="MWL211" s="2522"/>
      <c r="MWM211" s="2522"/>
      <c r="MWN211" s="2522"/>
      <c r="MWO211" s="2522"/>
      <c r="MWP211" s="2522"/>
      <c r="MWQ211" s="2522"/>
      <c r="MWR211" s="2522"/>
      <c r="MWS211" s="2522"/>
      <c r="MWT211" s="2522"/>
      <c r="MWU211" s="2522"/>
      <c r="MWV211" s="2522"/>
      <c r="MWW211" s="2522"/>
      <c r="MWX211" s="2522"/>
      <c r="MWY211" s="2522"/>
      <c r="MWZ211" s="2522"/>
      <c r="MXA211" s="2522"/>
      <c r="MXB211" s="2522"/>
      <c r="MXC211" s="2522"/>
      <c r="MXD211" s="2522"/>
      <c r="MXE211" s="2522"/>
      <c r="MXF211" s="2522"/>
      <c r="MXG211" s="2522"/>
      <c r="MXH211" s="2522"/>
      <c r="MXI211" s="2522"/>
      <c r="MXJ211" s="2522"/>
      <c r="MXK211" s="2522"/>
      <c r="MXL211" s="2522"/>
      <c r="MXM211" s="2522"/>
      <c r="MXN211" s="2522"/>
      <c r="MXO211" s="2522"/>
      <c r="MXP211" s="2522"/>
      <c r="MXQ211" s="2522"/>
      <c r="MXR211" s="2522"/>
      <c r="MXS211" s="2522"/>
      <c r="MXT211" s="2522"/>
      <c r="MXU211" s="2522"/>
      <c r="MXV211" s="2522"/>
      <c r="MXW211" s="2522"/>
      <c r="MXX211" s="2522"/>
      <c r="MXY211" s="2522"/>
      <c r="MXZ211" s="2522"/>
      <c r="MYA211" s="2522"/>
      <c r="MYB211" s="2522"/>
      <c r="MYC211" s="2522"/>
      <c r="MYD211" s="2522"/>
      <c r="MYE211" s="2522"/>
      <c r="MYF211" s="2522"/>
      <c r="MYG211" s="2522"/>
      <c r="MYH211" s="2522"/>
      <c r="MYI211" s="2522"/>
      <c r="MYJ211" s="2522"/>
      <c r="MYK211" s="2522"/>
      <c r="MYL211" s="2522"/>
      <c r="MYM211" s="2522"/>
      <c r="MYN211" s="2522"/>
      <c r="MYO211" s="2522"/>
      <c r="MYP211" s="2522"/>
      <c r="MYQ211" s="2522"/>
      <c r="MYR211" s="2522"/>
      <c r="MYS211" s="2522"/>
      <c r="MYT211" s="2522"/>
      <c r="MYU211" s="2522"/>
      <c r="MYV211" s="2522"/>
      <c r="MYW211" s="2522"/>
      <c r="MYX211" s="2522"/>
      <c r="MYY211" s="2522"/>
      <c r="MYZ211" s="2522"/>
      <c r="MZA211" s="2522"/>
      <c r="MZB211" s="2522"/>
      <c r="MZC211" s="2522"/>
      <c r="MZD211" s="2522"/>
      <c r="MZE211" s="2522"/>
      <c r="MZF211" s="2522"/>
      <c r="MZG211" s="2522"/>
      <c r="MZH211" s="2522"/>
      <c r="MZI211" s="2522"/>
      <c r="MZJ211" s="2522"/>
      <c r="MZK211" s="2522"/>
      <c r="MZL211" s="2522"/>
      <c r="MZM211" s="2522"/>
      <c r="MZN211" s="2522"/>
      <c r="MZO211" s="2522"/>
      <c r="MZP211" s="2522"/>
      <c r="MZQ211" s="2522"/>
      <c r="MZR211" s="2522"/>
      <c r="MZS211" s="2522"/>
      <c r="MZT211" s="2522"/>
      <c r="MZU211" s="2522"/>
      <c r="MZV211" s="2522"/>
      <c r="MZW211" s="2522"/>
      <c r="MZX211" s="2522"/>
      <c r="MZY211" s="2522"/>
      <c r="MZZ211" s="2522"/>
      <c r="NAA211" s="2522"/>
      <c r="NAB211" s="2522"/>
      <c r="NAC211" s="2522"/>
      <c r="NAD211" s="2522"/>
      <c r="NAE211" s="2522"/>
      <c r="NAF211" s="2522"/>
      <c r="NAG211" s="2522"/>
      <c r="NAH211" s="2522"/>
      <c r="NAI211" s="2522"/>
      <c r="NAJ211" s="2522"/>
      <c r="NAK211" s="2522"/>
      <c r="NAL211" s="2522"/>
      <c r="NAM211" s="2522"/>
      <c r="NAN211" s="2522"/>
      <c r="NAO211" s="2522"/>
      <c r="NAP211" s="2522"/>
      <c r="NAQ211" s="2522"/>
      <c r="NAR211" s="2522"/>
      <c r="NAS211" s="2522"/>
      <c r="NAT211" s="2522"/>
      <c r="NAU211" s="2522"/>
      <c r="NAV211" s="2522"/>
      <c r="NAW211" s="2522"/>
      <c r="NAX211" s="2522"/>
      <c r="NAY211" s="2522"/>
      <c r="NAZ211" s="2522"/>
      <c r="NBA211" s="2522"/>
      <c r="NBB211" s="2522"/>
      <c r="NBC211" s="2522"/>
      <c r="NBD211" s="2522"/>
      <c r="NBE211" s="2522"/>
      <c r="NBF211" s="2522"/>
      <c r="NBG211" s="2522"/>
      <c r="NBH211" s="2522"/>
      <c r="NBI211" s="2522"/>
      <c r="NBJ211" s="2522"/>
      <c r="NBK211" s="2522"/>
      <c r="NBL211" s="2522"/>
      <c r="NBM211" s="2522"/>
      <c r="NBN211" s="2522"/>
      <c r="NBO211" s="2522"/>
      <c r="NBP211" s="2522"/>
      <c r="NBQ211" s="2522"/>
      <c r="NBR211" s="2522"/>
      <c r="NBS211" s="2522"/>
      <c r="NBT211" s="2522"/>
      <c r="NBU211" s="2522"/>
      <c r="NBV211" s="2522"/>
      <c r="NBW211" s="2522"/>
      <c r="NBX211" s="2522"/>
      <c r="NBY211" s="2522"/>
      <c r="NBZ211" s="2522"/>
      <c r="NCA211" s="2522"/>
      <c r="NCB211" s="2522"/>
      <c r="NCC211" s="2522"/>
      <c r="NCD211" s="2522"/>
      <c r="NCE211" s="2522"/>
      <c r="NCF211" s="2522"/>
      <c r="NCG211" s="2522"/>
      <c r="NCH211" s="2522"/>
      <c r="NCI211" s="2522"/>
      <c r="NCJ211" s="2522"/>
      <c r="NCK211" s="2522"/>
      <c r="NCL211" s="2522"/>
      <c r="NCM211" s="2522"/>
      <c r="NCN211" s="2522"/>
      <c r="NCO211" s="2522"/>
      <c r="NCP211" s="2522"/>
      <c r="NCQ211" s="2522"/>
      <c r="NCR211" s="2522"/>
      <c r="NCS211" s="2522"/>
      <c r="NCT211" s="2522"/>
      <c r="NCU211" s="2522"/>
      <c r="NCV211" s="2522"/>
      <c r="NCW211" s="2522"/>
      <c r="NCX211" s="2522"/>
      <c r="NCY211" s="2522"/>
      <c r="NCZ211" s="2522"/>
      <c r="NDA211" s="2522"/>
      <c r="NDB211" s="2522"/>
      <c r="NDC211" s="2522"/>
      <c r="NDD211" s="2522"/>
      <c r="NDE211" s="2522"/>
      <c r="NDF211" s="2522"/>
      <c r="NDG211" s="2522"/>
      <c r="NDH211" s="2522"/>
      <c r="NDI211" s="2522"/>
      <c r="NDJ211" s="2522"/>
      <c r="NDK211" s="2522"/>
      <c r="NDL211" s="2522"/>
      <c r="NDM211" s="2522"/>
      <c r="NDN211" s="2522"/>
      <c r="NDO211" s="2522"/>
      <c r="NDP211" s="2522"/>
      <c r="NDQ211" s="2522"/>
      <c r="NDR211" s="2522"/>
      <c r="NDS211" s="2522"/>
      <c r="NDT211" s="2522"/>
      <c r="NDU211" s="2522"/>
      <c r="NDV211" s="2522"/>
      <c r="NDW211" s="2522"/>
      <c r="NDX211" s="2522"/>
      <c r="NDY211" s="2522"/>
      <c r="NDZ211" s="2522"/>
      <c r="NEA211" s="2522"/>
      <c r="NEB211" s="2522"/>
      <c r="NEC211" s="2522"/>
      <c r="NED211" s="2522"/>
      <c r="NEE211" s="2522"/>
      <c r="NEF211" s="2522"/>
      <c r="NEG211" s="2522"/>
      <c r="NEH211" s="2522"/>
      <c r="NEI211" s="2522"/>
      <c r="NEJ211" s="2522"/>
      <c r="NEK211" s="2522"/>
      <c r="NEL211" s="2522"/>
      <c r="NEM211" s="2522"/>
      <c r="NEN211" s="2522"/>
      <c r="NEO211" s="2522"/>
      <c r="NEP211" s="2522"/>
      <c r="NEQ211" s="2522"/>
      <c r="NER211" s="2522"/>
      <c r="NES211" s="2522"/>
      <c r="NET211" s="2522"/>
      <c r="NEU211" s="2522"/>
      <c r="NEV211" s="2522"/>
      <c r="NEW211" s="2522"/>
      <c r="NEX211" s="2522"/>
      <c r="NEY211" s="2522"/>
      <c r="NEZ211" s="2522"/>
      <c r="NFA211" s="2522"/>
      <c r="NFB211" s="2522"/>
      <c r="NFC211" s="2522"/>
      <c r="NFD211" s="2522"/>
      <c r="NFE211" s="2522"/>
      <c r="NFF211" s="2522"/>
      <c r="NFG211" s="2522"/>
      <c r="NFH211" s="2522"/>
      <c r="NFI211" s="2522"/>
      <c r="NFJ211" s="2522"/>
      <c r="NFK211" s="2522"/>
      <c r="NFL211" s="2522"/>
      <c r="NFM211" s="2522"/>
      <c r="NFN211" s="2522"/>
      <c r="NFO211" s="2522"/>
      <c r="NFP211" s="2522"/>
      <c r="NFQ211" s="2522"/>
      <c r="NFR211" s="2522"/>
      <c r="NFS211" s="2522"/>
      <c r="NFT211" s="2522"/>
      <c r="NFU211" s="2522"/>
      <c r="NFV211" s="2522"/>
      <c r="NFW211" s="2522"/>
      <c r="NFX211" s="2522"/>
      <c r="NFY211" s="2522"/>
      <c r="NFZ211" s="2522"/>
      <c r="NGA211" s="2522"/>
      <c r="NGB211" s="2522"/>
      <c r="NGC211" s="2522"/>
      <c r="NGD211" s="2522"/>
      <c r="NGE211" s="2522"/>
      <c r="NGF211" s="2522"/>
      <c r="NGG211" s="2522"/>
      <c r="NGH211" s="2522"/>
      <c r="NGI211" s="2522"/>
      <c r="NGJ211" s="2522"/>
      <c r="NGK211" s="2522"/>
      <c r="NGL211" s="2522"/>
      <c r="NGM211" s="2522"/>
      <c r="NGN211" s="2522"/>
      <c r="NGO211" s="2522"/>
      <c r="NGP211" s="2522"/>
      <c r="NGQ211" s="2522"/>
      <c r="NGR211" s="2522"/>
      <c r="NGS211" s="2522"/>
      <c r="NGT211" s="2522"/>
      <c r="NGU211" s="2522"/>
      <c r="NGV211" s="2522"/>
      <c r="NGW211" s="2522"/>
      <c r="NGX211" s="2522"/>
      <c r="NGY211" s="2522"/>
      <c r="NGZ211" s="2522"/>
      <c r="NHA211" s="2522"/>
      <c r="NHB211" s="2522"/>
      <c r="NHC211" s="2522"/>
      <c r="NHD211" s="2522"/>
      <c r="NHE211" s="2522"/>
      <c r="NHF211" s="2522"/>
      <c r="NHG211" s="2522"/>
      <c r="NHH211" s="2522"/>
      <c r="NHI211" s="2522"/>
      <c r="NHJ211" s="2522"/>
      <c r="NHK211" s="2522"/>
      <c r="NHL211" s="2522"/>
      <c r="NHM211" s="2522"/>
      <c r="NHN211" s="2522"/>
      <c r="NHO211" s="2522"/>
      <c r="NHP211" s="2522"/>
      <c r="NHQ211" s="2522"/>
      <c r="NHR211" s="2522"/>
      <c r="NHS211" s="2522"/>
      <c r="NHT211" s="2522"/>
      <c r="NHU211" s="2522"/>
      <c r="NHV211" s="2522"/>
      <c r="NHW211" s="2522"/>
      <c r="NHX211" s="2522"/>
      <c r="NHY211" s="2522"/>
      <c r="NHZ211" s="2522"/>
      <c r="NIA211" s="2522"/>
      <c r="NIB211" s="2522"/>
      <c r="NIC211" s="2522"/>
      <c r="NID211" s="2522"/>
      <c r="NIE211" s="2522"/>
      <c r="NIF211" s="2522"/>
      <c r="NIG211" s="2522"/>
      <c r="NIH211" s="2522"/>
      <c r="NII211" s="2522"/>
      <c r="NIJ211" s="2522"/>
      <c r="NIK211" s="2522"/>
      <c r="NIL211" s="2522"/>
      <c r="NIM211" s="2522"/>
      <c r="NIN211" s="2522"/>
      <c r="NIO211" s="2522"/>
      <c r="NIP211" s="2522"/>
      <c r="NIQ211" s="2522"/>
      <c r="NIR211" s="2522"/>
      <c r="NIS211" s="2522"/>
      <c r="NIT211" s="2522"/>
      <c r="NIU211" s="2522"/>
      <c r="NIV211" s="2522"/>
      <c r="NIW211" s="2522"/>
      <c r="NIX211" s="2522"/>
      <c r="NIY211" s="2522"/>
      <c r="NIZ211" s="2522"/>
      <c r="NJA211" s="2522"/>
      <c r="NJB211" s="2522"/>
      <c r="NJC211" s="2522"/>
      <c r="NJD211" s="2522"/>
      <c r="NJE211" s="2522"/>
      <c r="NJF211" s="2522"/>
      <c r="NJG211" s="2522"/>
      <c r="NJH211" s="2522"/>
      <c r="NJI211" s="2522"/>
      <c r="NJJ211" s="2522"/>
      <c r="NJK211" s="2522"/>
      <c r="NJL211" s="2522"/>
      <c r="NJM211" s="2522"/>
      <c r="NJN211" s="2522"/>
      <c r="NJO211" s="2522"/>
      <c r="NJP211" s="2522"/>
      <c r="NJQ211" s="2522"/>
      <c r="NJR211" s="2522"/>
      <c r="NJS211" s="2522"/>
      <c r="NJT211" s="2522"/>
      <c r="NJU211" s="2522"/>
      <c r="NJV211" s="2522"/>
      <c r="NJW211" s="2522"/>
      <c r="NJX211" s="2522"/>
      <c r="NJY211" s="2522"/>
      <c r="NJZ211" s="2522"/>
      <c r="NKA211" s="2522"/>
      <c r="NKB211" s="2522"/>
      <c r="NKC211" s="2522"/>
      <c r="NKD211" s="2522"/>
      <c r="NKE211" s="2522"/>
      <c r="NKF211" s="2522"/>
      <c r="NKG211" s="2522"/>
      <c r="NKH211" s="2522"/>
      <c r="NKI211" s="2522"/>
      <c r="NKJ211" s="2522"/>
      <c r="NKK211" s="2522"/>
      <c r="NKL211" s="2522"/>
      <c r="NKM211" s="2522"/>
      <c r="NKN211" s="2522"/>
      <c r="NKO211" s="2522"/>
      <c r="NKP211" s="2522"/>
      <c r="NKQ211" s="2522"/>
      <c r="NKR211" s="2522"/>
      <c r="NKS211" s="2522"/>
      <c r="NKT211" s="2522"/>
      <c r="NKU211" s="2522"/>
      <c r="NKV211" s="2522"/>
      <c r="NKW211" s="2522"/>
      <c r="NKX211" s="2522"/>
      <c r="NKY211" s="2522"/>
      <c r="NKZ211" s="2522"/>
      <c r="NLA211" s="2522"/>
      <c r="NLB211" s="2522"/>
      <c r="NLC211" s="2522"/>
      <c r="NLD211" s="2522"/>
      <c r="NLE211" s="2522"/>
      <c r="NLF211" s="2522"/>
      <c r="NLG211" s="2522"/>
      <c r="NLH211" s="2522"/>
      <c r="NLI211" s="2522"/>
      <c r="NLJ211" s="2522"/>
      <c r="NLK211" s="2522"/>
      <c r="NLL211" s="2522"/>
      <c r="NLM211" s="2522"/>
      <c r="NLN211" s="2522"/>
      <c r="NLO211" s="2522"/>
      <c r="NLP211" s="2522"/>
      <c r="NLQ211" s="2522"/>
      <c r="NLR211" s="2522"/>
      <c r="NLS211" s="2522"/>
      <c r="NLT211" s="2522"/>
      <c r="NLU211" s="2522"/>
      <c r="NLV211" s="2522"/>
      <c r="NLW211" s="2522"/>
      <c r="NLX211" s="2522"/>
      <c r="NLY211" s="2522"/>
      <c r="NLZ211" s="2522"/>
      <c r="NMA211" s="2522"/>
      <c r="NMB211" s="2522"/>
      <c r="NMC211" s="2522"/>
      <c r="NMD211" s="2522"/>
      <c r="NME211" s="2522"/>
      <c r="NMF211" s="2522"/>
      <c r="NMG211" s="2522"/>
      <c r="NMH211" s="2522"/>
      <c r="NMI211" s="2522"/>
      <c r="NMJ211" s="2522"/>
      <c r="NMK211" s="2522"/>
      <c r="NML211" s="2522"/>
      <c r="NMM211" s="2522"/>
      <c r="NMN211" s="2522"/>
      <c r="NMO211" s="2522"/>
      <c r="NMP211" s="2522"/>
      <c r="NMQ211" s="2522"/>
      <c r="NMR211" s="2522"/>
      <c r="NMS211" s="2522"/>
      <c r="NMT211" s="2522"/>
      <c r="NMU211" s="2522"/>
      <c r="NMV211" s="2522"/>
      <c r="NMW211" s="2522"/>
      <c r="NMX211" s="2522"/>
      <c r="NMY211" s="2522"/>
      <c r="NMZ211" s="2522"/>
      <c r="NNA211" s="2522"/>
      <c r="NNB211" s="2522"/>
      <c r="NNC211" s="2522"/>
      <c r="NND211" s="2522"/>
      <c r="NNE211" s="2522"/>
      <c r="NNF211" s="2522"/>
      <c r="NNG211" s="2522"/>
      <c r="NNH211" s="2522"/>
      <c r="NNI211" s="2522"/>
      <c r="NNJ211" s="2522"/>
      <c r="NNK211" s="2522"/>
      <c r="NNL211" s="2522"/>
      <c r="NNM211" s="2522"/>
      <c r="NNN211" s="2522"/>
      <c r="NNO211" s="2522"/>
      <c r="NNP211" s="2522"/>
      <c r="NNQ211" s="2522"/>
      <c r="NNR211" s="2522"/>
      <c r="NNS211" s="2522"/>
      <c r="NNT211" s="2522"/>
      <c r="NNU211" s="2522"/>
      <c r="NNV211" s="2522"/>
      <c r="NNW211" s="2522"/>
      <c r="NNX211" s="2522"/>
      <c r="NNY211" s="2522"/>
      <c r="NNZ211" s="2522"/>
      <c r="NOA211" s="2522"/>
      <c r="NOB211" s="2522"/>
      <c r="NOC211" s="2522"/>
      <c r="NOD211" s="2522"/>
      <c r="NOE211" s="2522"/>
      <c r="NOF211" s="2522"/>
      <c r="NOG211" s="2522"/>
      <c r="NOH211" s="2522"/>
      <c r="NOI211" s="2522"/>
      <c r="NOJ211" s="2522"/>
      <c r="NOK211" s="2522"/>
      <c r="NOL211" s="2522"/>
      <c r="NOM211" s="2522"/>
      <c r="NON211" s="2522"/>
      <c r="NOO211" s="2522"/>
      <c r="NOP211" s="2522"/>
      <c r="NOQ211" s="2522"/>
      <c r="NOR211" s="2522"/>
      <c r="NOS211" s="2522"/>
      <c r="NOT211" s="2522"/>
      <c r="NOU211" s="2522"/>
      <c r="NOV211" s="2522"/>
      <c r="NOW211" s="2522"/>
      <c r="NOX211" s="2522"/>
      <c r="NOY211" s="2522"/>
      <c r="NOZ211" s="2522"/>
      <c r="NPA211" s="2522"/>
      <c r="NPB211" s="2522"/>
      <c r="NPC211" s="2522"/>
      <c r="NPD211" s="2522"/>
      <c r="NPE211" s="2522"/>
      <c r="NPF211" s="2522"/>
      <c r="NPG211" s="2522"/>
      <c r="NPH211" s="2522"/>
      <c r="NPI211" s="2522"/>
      <c r="NPJ211" s="2522"/>
      <c r="NPK211" s="2522"/>
      <c r="NPL211" s="2522"/>
      <c r="NPM211" s="2522"/>
      <c r="NPN211" s="2522"/>
      <c r="NPO211" s="2522"/>
      <c r="NPP211" s="2522"/>
      <c r="NPQ211" s="2522"/>
      <c r="NPR211" s="2522"/>
      <c r="NPS211" s="2522"/>
      <c r="NPT211" s="2522"/>
      <c r="NPU211" s="2522"/>
      <c r="NPV211" s="2522"/>
      <c r="NPW211" s="2522"/>
      <c r="NPX211" s="2522"/>
      <c r="NPY211" s="2522"/>
      <c r="NPZ211" s="2522"/>
      <c r="NQA211" s="2522"/>
      <c r="NQB211" s="2522"/>
      <c r="NQC211" s="2522"/>
      <c r="NQD211" s="2522"/>
      <c r="NQE211" s="2522"/>
      <c r="NQF211" s="2522"/>
      <c r="NQG211" s="2522"/>
      <c r="NQH211" s="2522"/>
      <c r="NQI211" s="2522"/>
      <c r="NQJ211" s="2522"/>
      <c r="NQK211" s="2522"/>
      <c r="NQL211" s="2522"/>
      <c r="NQM211" s="2522"/>
      <c r="NQN211" s="2522"/>
      <c r="NQO211" s="2522"/>
      <c r="NQP211" s="2522"/>
      <c r="NQQ211" s="2522"/>
      <c r="NQR211" s="2522"/>
      <c r="NQS211" s="2522"/>
      <c r="NQT211" s="2522"/>
      <c r="NQU211" s="2522"/>
      <c r="NQV211" s="2522"/>
      <c r="NQW211" s="2522"/>
      <c r="NQX211" s="2522"/>
      <c r="NQY211" s="2522"/>
      <c r="NQZ211" s="2522"/>
      <c r="NRA211" s="2522"/>
      <c r="NRB211" s="2522"/>
      <c r="NRC211" s="2522"/>
      <c r="NRD211" s="2522"/>
      <c r="NRE211" s="2522"/>
      <c r="NRF211" s="2522"/>
      <c r="NRG211" s="2522"/>
      <c r="NRH211" s="2522"/>
      <c r="NRI211" s="2522"/>
      <c r="NRJ211" s="2522"/>
      <c r="NRK211" s="2522"/>
      <c r="NRL211" s="2522"/>
      <c r="NRM211" s="2522"/>
      <c r="NRN211" s="2522"/>
      <c r="NRO211" s="2522"/>
      <c r="NRP211" s="2522"/>
      <c r="NRQ211" s="2522"/>
      <c r="NRR211" s="2522"/>
      <c r="NRS211" s="2522"/>
      <c r="NRT211" s="2522"/>
      <c r="NRU211" s="2522"/>
      <c r="NRV211" s="2522"/>
      <c r="NRW211" s="2522"/>
      <c r="NRX211" s="2522"/>
      <c r="NRY211" s="2522"/>
      <c r="NRZ211" s="2522"/>
      <c r="NSA211" s="2522"/>
      <c r="NSB211" s="2522"/>
      <c r="NSC211" s="2522"/>
      <c r="NSD211" s="2522"/>
      <c r="NSE211" s="2522"/>
      <c r="NSF211" s="2522"/>
      <c r="NSG211" s="2522"/>
      <c r="NSH211" s="2522"/>
      <c r="NSI211" s="2522"/>
      <c r="NSJ211" s="2522"/>
      <c r="NSK211" s="2522"/>
      <c r="NSL211" s="2522"/>
      <c r="NSM211" s="2522"/>
      <c r="NSN211" s="2522"/>
      <c r="NSO211" s="2522"/>
      <c r="NSP211" s="2522"/>
      <c r="NSQ211" s="2522"/>
      <c r="NSR211" s="2522"/>
      <c r="NSS211" s="2522"/>
      <c r="NST211" s="2522"/>
      <c r="NSU211" s="2522"/>
      <c r="NSV211" s="2522"/>
      <c r="NSW211" s="2522"/>
      <c r="NSX211" s="2522"/>
      <c r="NSY211" s="2522"/>
      <c r="NSZ211" s="2522"/>
      <c r="NTA211" s="2522"/>
      <c r="NTB211" s="2522"/>
      <c r="NTC211" s="2522"/>
      <c r="NTD211" s="2522"/>
      <c r="NTE211" s="2522"/>
      <c r="NTF211" s="2522"/>
      <c r="NTG211" s="2522"/>
      <c r="NTH211" s="2522"/>
      <c r="NTI211" s="2522"/>
      <c r="NTJ211" s="2522"/>
      <c r="NTK211" s="2522"/>
      <c r="NTL211" s="2522"/>
      <c r="NTM211" s="2522"/>
      <c r="NTN211" s="2522"/>
      <c r="NTO211" s="2522"/>
      <c r="NTP211" s="2522"/>
      <c r="NTQ211" s="2522"/>
      <c r="NTR211" s="2522"/>
      <c r="NTS211" s="2522"/>
      <c r="NTT211" s="2522"/>
      <c r="NTU211" s="2522"/>
      <c r="NTV211" s="2522"/>
      <c r="NTW211" s="2522"/>
      <c r="NTX211" s="2522"/>
      <c r="NTY211" s="2522"/>
      <c r="NTZ211" s="2522"/>
      <c r="NUA211" s="2522"/>
      <c r="NUB211" s="2522"/>
      <c r="NUC211" s="2522"/>
      <c r="NUD211" s="2522"/>
      <c r="NUE211" s="2522"/>
      <c r="NUF211" s="2522"/>
      <c r="NUG211" s="2522"/>
      <c r="NUH211" s="2522"/>
      <c r="NUI211" s="2522"/>
      <c r="NUJ211" s="2522"/>
      <c r="NUK211" s="2522"/>
      <c r="NUL211" s="2522"/>
      <c r="NUM211" s="2522"/>
      <c r="NUN211" s="2522"/>
      <c r="NUO211" s="2522"/>
      <c r="NUP211" s="2522"/>
      <c r="NUQ211" s="2522"/>
      <c r="NUR211" s="2522"/>
      <c r="NUS211" s="2522"/>
      <c r="NUT211" s="2522"/>
      <c r="NUU211" s="2522"/>
      <c r="NUV211" s="2522"/>
      <c r="NUW211" s="2522"/>
      <c r="NUX211" s="2522"/>
      <c r="NUY211" s="2522"/>
      <c r="NUZ211" s="2522"/>
      <c r="NVA211" s="2522"/>
      <c r="NVB211" s="2522"/>
      <c r="NVC211" s="2522"/>
      <c r="NVD211" s="2522"/>
      <c r="NVE211" s="2522"/>
      <c r="NVF211" s="2522"/>
      <c r="NVG211" s="2522"/>
      <c r="NVH211" s="2522"/>
      <c r="NVI211" s="2522"/>
      <c r="NVJ211" s="2522"/>
      <c r="NVK211" s="2522"/>
      <c r="NVL211" s="2522"/>
      <c r="NVM211" s="2522"/>
      <c r="NVN211" s="2522"/>
      <c r="NVO211" s="2522"/>
      <c r="NVP211" s="2522"/>
      <c r="NVQ211" s="2522"/>
      <c r="NVR211" s="2522"/>
      <c r="NVS211" s="2522"/>
      <c r="NVT211" s="2522"/>
      <c r="NVU211" s="2522"/>
      <c r="NVV211" s="2522"/>
      <c r="NVW211" s="2522"/>
      <c r="NVX211" s="2522"/>
      <c r="NVY211" s="2522"/>
      <c r="NVZ211" s="2522"/>
      <c r="NWA211" s="2522"/>
      <c r="NWB211" s="2522"/>
      <c r="NWC211" s="2522"/>
      <c r="NWD211" s="2522"/>
      <c r="NWE211" s="2522"/>
      <c r="NWF211" s="2522"/>
      <c r="NWG211" s="2522"/>
      <c r="NWH211" s="2522"/>
      <c r="NWI211" s="2522"/>
      <c r="NWJ211" s="2522"/>
      <c r="NWK211" s="2522"/>
      <c r="NWL211" s="2522"/>
      <c r="NWM211" s="2522"/>
      <c r="NWN211" s="2522"/>
      <c r="NWO211" s="2522"/>
      <c r="NWP211" s="2522"/>
      <c r="NWQ211" s="2522"/>
      <c r="NWR211" s="2522"/>
      <c r="NWS211" s="2522"/>
      <c r="NWT211" s="2522"/>
      <c r="NWU211" s="2522"/>
      <c r="NWV211" s="2522"/>
      <c r="NWW211" s="2522"/>
      <c r="NWX211" s="2522"/>
      <c r="NWY211" s="2522"/>
      <c r="NWZ211" s="2522"/>
      <c r="NXA211" s="2522"/>
      <c r="NXB211" s="2522"/>
      <c r="NXC211" s="2522"/>
      <c r="NXD211" s="2522"/>
      <c r="NXE211" s="2522"/>
      <c r="NXF211" s="2522"/>
      <c r="NXG211" s="2522"/>
      <c r="NXH211" s="2522"/>
      <c r="NXI211" s="2522"/>
      <c r="NXJ211" s="2522"/>
      <c r="NXK211" s="2522"/>
      <c r="NXL211" s="2522"/>
      <c r="NXM211" s="2522"/>
      <c r="NXN211" s="2522"/>
      <c r="NXO211" s="2522"/>
      <c r="NXP211" s="2522"/>
      <c r="NXQ211" s="2522"/>
      <c r="NXR211" s="2522"/>
      <c r="NXS211" s="2522"/>
      <c r="NXT211" s="2522"/>
      <c r="NXU211" s="2522"/>
      <c r="NXV211" s="2522"/>
      <c r="NXW211" s="2522"/>
      <c r="NXX211" s="2522"/>
      <c r="NXY211" s="2522"/>
      <c r="NXZ211" s="2522"/>
      <c r="NYA211" s="2522"/>
      <c r="NYB211" s="2522"/>
      <c r="NYC211" s="2522"/>
      <c r="NYD211" s="2522"/>
      <c r="NYE211" s="2522"/>
      <c r="NYF211" s="2522"/>
      <c r="NYG211" s="2522"/>
      <c r="NYH211" s="2522"/>
      <c r="NYI211" s="2522"/>
      <c r="NYJ211" s="2522"/>
      <c r="NYK211" s="2522"/>
      <c r="NYL211" s="2522"/>
      <c r="NYM211" s="2522"/>
      <c r="NYN211" s="2522"/>
      <c r="NYO211" s="2522"/>
      <c r="NYP211" s="2522"/>
      <c r="NYQ211" s="2522"/>
      <c r="NYR211" s="2522"/>
      <c r="NYS211" s="2522"/>
      <c r="NYT211" s="2522"/>
      <c r="NYU211" s="2522"/>
      <c r="NYV211" s="2522"/>
      <c r="NYW211" s="2522"/>
      <c r="NYX211" s="2522"/>
      <c r="NYY211" s="2522"/>
      <c r="NYZ211" s="2522"/>
      <c r="NZA211" s="2522"/>
      <c r="NZB211" s="2522"/>
      <c r="NZC211" s="2522"/>
      <c r="NZD211" s="2522"/>
      <c r="NZE211" s="2522"/>
      <c r="NZF211" s="2522"/>
      <c r="NZG211" s="2522"/>
      <c r="NZH211" s="2522"/>
      <c r="NZI211" s="2522"/>
      <c r="NZJ211" s="2522"/>
      <c r="NZK211" s="2522"/>
      <c r="NZL211" s="2522"/>
      <c r="NZM211" s="2522"/>
      <c r="NZN211" s="2522"/>
      <c r="NZO211" s="2522"/>
      <c r="NZP211" s="2522"/>
      <c r="NZQ211" s="2522"/>
      <c r="NZR211" s="2522"/>
      <c r="NZS211" s="2522"/>
      <c r="NZT211" s="2522"/>
      <c r="NZU211" s="2522"/>
      <c r="NZV211" s="2522"/>
      <c r="NZW211" s="2522"/>
      <c r="NZX211" s="2522"/>
      <c r="NZY211" s="2522"/>
      <c r="NZZ211" s="2522"/>
      <c r="OAA211" s="2522"/>
      <c r="OAB211" s="2522"/>
      <c r="OAC211" s="2522"/>
      <c r="OAD211" s="2522"/>
      <c r="OAE211" s="2522"/>
      <c r="OAF211" s="2522"/>
      <c r="OAG211" s="2522"/>
      <c r="OAH211" s="2522"/>
      <c r="OAI211" s="2522"/>
      <c r="OAJ211" s="2522"/>
      <c r="OAK211" s="2522"/>
      <c r="OAL211" s="2522"/>
      <c r="OAM211" s="2522"/>
      <c r="OAN211" s="2522"/>
      <c r="OAO211" s="2522"/>
      <c r="OAP211" s="2522"/>
      <c r="OAQ211" s="2522"/>
      <c r="OAR211" s="2522"/>
      <c r="OAS211" s="2522"/>
      <c r="OAT211" s="2522"/>
      <c r="OAU211" s="2522"/>
      <c r="OAV211" s="2522"/>
      <c r="OAW211" s="2522"/>
      <c r="OAX211" s="2522"/>
      <c r="OAY211" s="2522"/>
      <c r="OAZ211" s="2522"/>
      <c r="OBA211" s="2522"/>
      <c r="OBB211" s="2522"/>
      <c r="OBC211" s="2522"/>
      <c r="OBD211" s="2522"/>
      <c r="OBE211" s="2522"/>
      <c r="OBF211" s="2522"/>
      <c r="OBG211" s="2522"/>
      <c r="OBH211" s="2522"/>
      <c r="OBI211" s="2522"/>
      <c r="OBJ211" s="2522"/>
      <c r="OBK211" s="2522"/>
      <c r="OBL211" s="2522"/>
      <c r="OBM211" s="2522"/>
      <c r="OBN211" s="2522"/>
      <c r="OBO211" s="2522"/>
      <c r="OBP211" s="2522"/>
      <c r="OBQ211" s="2522"/>
      <c r="OBR211" s="2522"/>
      <c r="OBS211" s="2522"/>
      <c r="OBT211" s="2522"/>
      <c r="OBU211" s="2522"/>
      <c r="OBV211" s="2522"/>
      <c r="OBW211" s="2522"/>
      <c r="OBX211" s="2522"/>
      <c r="OBY211" s="2522"/>
      <c r="OBZ211" s="2522"/>
      <c r="OCA211" s="2522"/>
      <c r="OCB211" s="2522"/>
      <c r="OCC211" s="2522"/>
      <c r="OCD211" s="2522"/>
      <c r="OCE211" s="2522"/>
      <c r="OCF211" s="2522"/>
      <c r="OCG211" s="2522"/>
      <c r="OCH211" s="2522"/>
      <c r="OCI211" s="2522"/>
      <c r="OCJ211" s="2522"/>
      <c r="OCK211" s="2522"/>
      <c r="OCL211" s="2522"/>
      <c r="OCM211" s="2522"/>
      <c r="OCN211" s="2522"/>
      <c r="OCO211" s="2522"/>
      <c r="OCP211" s="2522"/>
      <c r="OCQ211" s="2522"/>
      <c r="OCR211" s="2522"/>
      <c r="OCS211" s="2522"/>
      <c r="OCT211" s="2522"/>
      <c r="OCU211" s="2522"/>
      <c r="OCV211" s="2522"/>
      <c r="OCW211" s="2522"/>
      <c r="OCX211" s="2522"/>
      <c r="OCY211" s="2522"/>
      <c r="OCZ211" s="2522"/>
      <c r="ODA211" s="2522"/>
      <c r="ODB211" s="2522"/>
      <c r="ODC211" s="2522"/>
      <c r="ODD211" s="2522"/>
      <c r="ODE211" s="2522"/>
      <c r="ODF211" s="2522"/>
      <c r="ODG211" s="2522"/>
      <c r="ODH211" s="2522"/>
      <c r="ODI211" s="2522"/>
      <c r="ODJ211" s="2522"/>
      <c r="ODK211" s="2522"/>
      <c r="ODL211" s="2522"/>
      <c r="ODM211" s="2522"/>
      <c r="ODN211" s="2522"/>
      <c r="ODO211" s="2522"/>
      <c r="ODP211" s="2522"/>
      <c r="ODQ211" s="2522"/>
      <c r="ODR211" s="2522"/>
      <c r="ODS211" s="2522"/>
      <c r="ODT211" s="2522"/>
      <c r="ODU211" s="2522"/>
      <c r="ODV211" s="2522"/>
      <c r="ODW211" s="2522"/>
      <c r="ODX211" s="2522"/>
      <c r="ODY211" s="2522"/>
      <c r="ODZ211" s="2522"/>
      <c r="OEA211" s="2522"/>
      <c r="OEB211" s="2522"/>
      <c r="OEC211" s="2522"/>
      <c r="OED211" s="2522"/>
      <c r="OEE211" s="2522"/>
      <c r="OEF211" s="2522"/>
      <c r="OEG211" s="2522"/>
      <c r="OEH211" s="2522"/>
      <c r="OEI211" s="2522"/>
      <c r="OEJ211" s="2522"/>
      <c r="OEK211" s="2522"/>
      <c r="OEL211" s="2522"/>
      <c r="OEM211" s="2522"/>
      <c r="OEN211" s="2522"/>
      <c r="OEO211" s="2522"/>
      <c r="OEP211" s="2522"/>
      <c r="OEQ211" s="2522"/>
      <c r="OER211" s="2522"/>
      <c r="OES211" s="2522"/>
      <c r="OET211" s="2522"/>
      <c r="OEU211" s="2522"/>
      <c r="OEV211" s="2522"/>
      <c r="OEW211" s="2522"/>
      <c r="OEX211" s="2522"/>
      <c r="OEY211" s="2522"/>
      <c r="OEZ211" s="2522"/>
      <c r="OFA211" s="2522"/>
      <c r="OFB211" s="2522"/>
      <c r="OFC211" s="2522"/>
      <c r="OFD211" s="2522"/>
      <c r="OFE211" s="2522"/>
      <c r="OFF211" s="2522"/>
      <c r="OFG211" s="2522"/>
      <c r="OFH211" s="2522"/>
      <c r="OFI211" s="2522"/>
      <c r="OFJ211" s="2522"/>
      <c r="OFK211" s="2522"/>
      <c r="OFL211" s="2522"/>
      <c r="OFM211" s="2522"/>
      <c r="OFN211" s="2522"/>
      <c r="OFO211" s="2522"/>
      <c r="OFP211" s="2522"/>
      <c r="OFQ211" s="2522"/>
      <c r="OFR211" s="2522"/>
      <c r="OFS211" s="2522"/>
      <c r="OFT211" s="2522"/>
      <c r="OFU211" s="2522"/>
      <c r="OFV211" s="2522"/>
      <c r="OFW211" s="2522"/>
      <c r="OFX211" s="2522"/>
      <c r="OFY211" s="2522"/>
      <c r="OFZ211" s="2522"/>
      <c r="OGA211" s="2522"/>
      <c r="OGB211" s="2522"/>
      <c r="OGC211" s="2522"/>
      <c r="OGD211" s="2522"/>
      <c r="OGE211" s="2522"/>
      <c r="OGF211" s="2522"/>
      <c r="OGG211" s="2522"/>
      <c r="OGH211" s="2522"/>
      <c r="OGI211" s="2522"/>
      <c r="OGJ211" s="2522"/>
      <c r="OGK211" s="2522"/>
      <c r="OGL211" s="2522"/>
      <c r="OGM211" s="2522"/>
      <c r="OGN211" s="2522"/>
      <c r="OGO211" s="2522"/>
      <c r="OGP211" s="2522"/>
      <c r="OGQ211" s="2522"/>
      <c r="OGR211" s="2522"/>
      <c r="OGS211" s="2522"/>
      <c r="OGT211" s="2522"/>
      <c r="OGU211" s="2522"/>
      <c r="OGV211" s="2522"/>
      <c r="OGW211" s="2522"/>
      <c r="OGX211" s="2522"/>
      <c r="OGY211" s="2522"/>
      <c r="OGZ211" s="2522"/>
      <c r="OHA211" s="2522"/>
      <c r="OHB211" s="2522"/>
      <c r="OHC211" s="2522"/>
      <c r="OHD211" s="2522"/>
      <c r="OHE211" s="2522"/>
      <c r="OHF211" s="2522"/>
      <c r="OHG211" s="2522"/>
      <c r="OHH211" s="2522"/>
      <c r="OHI211" s="2522"/>
      <c r="OHJ211" s="2522"/>
      <c r="OHK211" s="2522"/>
      <c r="OHL211" s="2522"/>
      <c r="OHM211" s="2522"/>
      <c r="OHN211" s="2522"/>
      <c r="OHO211" s="2522"/>
      <c r="OHP211" s="2522"/>
      <c r="OHQ211" s="2522"/>
      <c r="OHR211" s="2522"/>
      <c r="OHS211" s="2522"/>
      <c r="OHT211" s="2522"/>
      <c r="OHU211" s="2522"/>
      <c r="OHV211" s="2522"/>
      <c r="OHW211" s="2522"/>
      <c r="OHX211" s="2522"/>
      <c r="OHY211" s="2522"/>
      <c r="OHZ211" s="2522"/>
      <c r="OIA211" s="2522"/>
      <c r="OIB211" s="2522"/>
      <c r="OIC211" s="2522"/>
      <c r="OID211" s="2522"/>
      <c r="OIE211" s="2522"/>
      <c r="OIF211" s="2522"/>
      <c r="OIG211" s="2522"/>
      <c r="OIH211" s="2522"/>
      <c r="OII211" s="2522"/>
      <c r="OIJ211" s="2522"/>
      <c r="OIK211" s="2522"/>
      <c r="OIL211" s="2522"/>
      <c r="OIM211" s="2522"/>
      <c r="OIN211" s="2522"/>
      <c r="OIO211" s="2522"/>
      <c r="OIP211" s="2522"/>
      <c r="OIQ211" s="2522"/>
      <c r="OIR211" s="2522"/>
      <c r="OIS211" s="2522"/>
      <c r="OIT211" s="2522"/>
      <c r="OIU211" s="2522"/>
      <c r="OIV211" s="2522"/>
      <c r="OIW211" s="2522"/>
      <c r="OIX211" s="2522"/>
      <c r="OIY211" s="2522"/>
      <c r="OIZ211" s="2522"/>
      <c r="OJA211" s="2522"/>
      <c r="OJB211" s="2522"/>
      <c r="OJC211" s="2522"/>
      <c r="OJD211" s="2522"/>
      <c r="OJE211" s="2522"/>
      <c r="OJF211" s="2522"/>
      <c r="OJG211" s="2522"/>
      <c r="OJH211" s="2522"/>
      <c r="OJI211" s="2522"/>
      <c r="OJJ211" s="2522"/>
      <c r="OJK211" s="2522"/>
      <c r="OJL211" s="2522"/>
      <c r="OJM211" s="2522"/>
      <c r="OJN211" s="2522"/>
      <c r="OJO211" s="2522"/>
      <c r="OJP211" s="2522"/>
      <c r="OJQ211" s="2522"/>
      <c r="OJR211" s="2522"/>
      <c r="OJS211" s="2522"/>
      <c r="OJT211" s="2522"/>
      <c r="OJU211" s="2522"/>
      <c r="OJV211" s="2522"/>
      <c r="OJW211" s="2522"/>
      <c r="OJX211" s="2522"/>
      <c r="OJY211" s="2522"/>
      <c r="OJZ211" s="2522"/>
      <c r="OKA211" s="2522"/>
      <c r="OKB211" s="2522"/>
      <c r="OKC211" s="2522"/>
      <c r="OKD211" s="2522"/>
      <c r="OKE211" s="2522"/>
      <c r="OKF211" s="2522"/>
      <c r="OKG211" s="2522"/>
      <c r="OKH211" s="2522"/>
      <c r="OKI211" s="2522"/>
      <c r="OKJ211" s="2522"/>
      <c r="OKK211" s="2522"/>
      <c r="OKL211" s="2522"/>
      <c r="OKM211" s="2522"/>
      <c r="OKN211" s="2522"/>
      <c r="OKO211" s="2522"/>
      <c r="OKP211" s="2522"/>
      <c r="OKQ211" s="2522"/>
      <c r="OKR211" s="2522"/>
      <c r="OKS211" s="2522"/>
      <c r="OKT211" s="2522"/>
      <c r="OKU211" s="2522"/>
      <c r="OKV211" s="2522"/>
      <c r="OKW211" s="2522"/>
      <c r="OKX211" s="2522"/>
      <c r="OKY211" s="2522"/>
      <c r="OKZ211" s="2522"/>
      <c r="OLA211" s="2522"/>
      <c r="OLB211" s="2522"/>
      <c r="OLC211" s="2522"/>
      <c r="OLD211" s="2522"/>
      <c r="OLE211" s="2522"/>
      <c r="OLF211" s="2522"/>
      <c r="OLG211" s="2522"/>
      <c r="OLH211" s="2522"/>
      <c r="OLI211" s="2522"/>
      <c r="OLJ211" s="2522"/>
      <c r="OLK211" s="2522"/>
      <c r="OLL211" s="2522"/>
      <c r="OLM211" s="2522"/>
      <c r="OLN211" s="2522"/>
      <c r="OLO211" s="2522"/>
      <c r="OLP211" s="2522"/>
      <c r="OLQ211" s="2522"/>
      <c r="OLR211" s="2522"/>
      <c r="OLS211" s="2522"/>
      <c r="OLT211" s="2522"/>
      <c r="OLU211" s="2522"/>
      <c r="OLV211" s="2522"/>
      <c r="OLW211" s="2522"/>
      <c r="OLX211" s="2522"/>
      <c r="OLY211" s="2522"/>
      <c r="OLZ211" s="2522"/>
      <c r="OMA211" s="2522"/>
      <c r="OMB211" s="2522"/>
      <c r="OMC211" s="2522"/>
      <c r="OMD211" s="2522"/>
      <c r="OME211" s="2522"/>
      <c r="OMF211" s="2522"/>
      <c r="OMG211" s="2522"/>
      <c r="OMH211" s="2522"/>
      <c r="OMI211" s="2522"/>
      <c r="OMJ211" s="2522"/>
      <c r="OMK211" s="2522"/>
      <c r="OML211" s="2522"/>
      <c r="OMM211" s="2522"/>
      <c r="OMN211" s="2522"/>
      <c r="OMO211" s="2522"/>
      <c r="OMP211" s="2522"/>
      <c r="OMQ211" s="2522"/>
      <c r="OMR211" s="2522"/>
      <c r="OMS211" s="2522"/>
      <c r="OMT211" s="2522"/>
      <c r="OMU211" s="2522"/>
      <c r="OMV211" s="2522"/>
      <c r="OMW211" s="2522"/>
      <c r="OMX211" s="2522"/>
      <c r="OMY211" s="2522"/>
      <c r="OMZ211" s="2522"/>
      <c r="ONA211" s="2522"/>
      <c r="ONB211" s="2522"/>
      <c r="ONC211" s="2522"/>
      <c r="OND211" s="2522"/>
      <c r="ONE211" s="2522"/>
      <c r="ONF211" s="2522"/>
      <c r="ONG211" s="2522"/>
      <c r="ONH211" s="2522"/>
      <c r="ONI211" s="2522"/>
      <c r="ONJ211" s="2522"/>
      <c r="ONK211" s="2522"/>
      <c r="ONL211" s="2522"/>
      <c r="ONM211" s="2522"/>
      <c r="ONN211" s="2522"/>
      <c r="ONO211" s="2522"/>
      <c r="ONP211" s="2522"/>
      <c r="ONQ211" s="2522"/>
      <c r="ONR211" s="2522"/>
      <c r="ONS211" s="2522"/>
      <c r="ONT211" s="2522"/>
      <c r="ONU211" s="2522"/>
      <c r="ONV211" s="2522"/>
      <c r="ONW211" s="2522"/>
      <c r="ONX211" s="2522"/>
      <c r="ONY211" s="2522"/>
      <c r="ONZ211" s="2522"/>
      <c r="OOA211" s="2522"/>
      <c r="OOB211" s="2522"/>
      <c r="OOC211" s="2522"/>
      <c r="OOD211" s="2522"/>
      <c r="OOE211" s="2522"/>
      <c r="OOF211" s="2522"/>
      <c r="OOG211" s="2522"/>
      <c r="OOH211" s="2522"/>
      <c r="OOI211" s="2522"/>
      <c r="OOJ211" s="2522"/>
      <c r="OOK211" s="2522"/>
      <c r="OOL211" s="2522"/>
      <c r="OOM211" s="2522"/>
      <c r="OON211" s="2522"/>
      <c r="OOO211" s="2522"/>
      <c r="OOP211" s="2522"/>
      <c r="OOQ211" s="2522"/>
      <c r="OOR211" s="2522"/>
      <c r="OOS211" s="2522"/>
      <c r="OOT211" s="2522"/>
      <c r="OOU211" s="2522"/>
      <c r="OOV211" s="2522"/>
      <c r="OOW211" s="2522"/>
      <c r="OOX211" s="2522"/>
      <c r="OOY211" s="2522"/>
      <c r="OOZ211" s="2522"/>
      <c r="OPA211" s="2522"/>
      <c r="OPB211" s="2522"/>
      <c r="OPC211" s="2522"/>
      <c r="OPD211" s="2522"/>
      <c r="OPE211" s="2522"/>
      <c r="OPF211" s="2522"/>
      <c r="OPG211" s="2522"/>
      <c r="OPH211" s="2522"/>
      <c r="OPI211" s="2522"/>
      <c r="OPJ211" s="2522"/>
      <c r="OPK211" s="2522"/>
      <c r="OPL211" s="2522"/>
      <c r="OPM211" s="2522"/>
      <c r="OPN211" s="2522"/>
      <c r="OPO211" s="2522"/>
      <c r="OPP211" s="2522"/>
      <c r="OPQ211" s="2522"/>
      <c r="OPR211" s="2522"/>
      <c r="OPS211" s="2522"/>
      <c r="OPT211" s="2522"/>
      <c r="OPU211" s="2522"/>
      <c r="OPV211" s="2522"/>
      <c r="OPW211" s="2522"/>
      <c r="OPX211" s="2522"/>
      <c r="OPY211" s="2522"/>
      <c r="OPZ211" s="2522"/>
      <c r="OQA211" s="2522"/>
      <c r="OQB211" s="2522"/>
      <c r="OQC211" s="2522"/>
      <c r="OQD211" s="2522"/>
      <c r="OQE211" s="2522"/>
      <c r="OQF211" s="2522"/>
      <c r="OQG211" s="2522"/>
      <c r="OQH211" s="2522"/>
      <c r="OQI211" s="2522"/>
      <c r="OQJ211" s="2522"/>
      <c r="OQK211" s="2522"/>
      <c r="OQL211" s="2522"/>
      <c r="OQM211" s="2522"/>
      <c r="OQN211" s="2522"/>
      <c r="OQO211" s="2522"/>
      <c r="OQP211" s="2522"/>
      <c r="OQQ211" s="2522"/>
      <c r="OQR211" s="2522"/>
      <c r="OQS211" s="2522"/>
      <c r="OQT211" s="2522"/>
      <c r="OQU211" s="2522"/>
      <c r="OQV211" s="2522"/>
      <c r="OQW211" s="2522"/>
      <c r="OQX211" s="2522"/>
      <c r="OQY211" s="2522"/>
      <c r="OQZ211" s="2522"/>
      <c r="ORA211" s="2522"/>
      <c r="ORB211" s="2522"/>
      <c r="ORC211" s="2522"/>
      <c r="ORD211" s="2522"/>
      <c r="ORE211" s="2522"/>
      <c r="ORF211" s="2522"/>
      <c r="ORG211" s="2522"/>
      <c r="ORH211" s="2522"/>
      <c r="ORI211" s="2522"/>
      <c r="ORJ211" s="2522"/>
      <c r="ORK211" s="2522"/>
      <c r="ORL211" s="2522"/>
      <c r="ORM211" s="2522"/>
      <c r="ORN211" s="2522"/>
      <c r="ORO211" s="2522"/>
      <c r="ORP211" s="2522"/>
      <c r="ORQ211" s="2522"/>
      <c r="ORR211" s="2522"/>
      <c r="ORS211" s="2522"/>
      <c r="ORT211" s="2522"/>
      <c r="ORU211" s="2522"/>
      <c r="ORV211" s="2522"/>
      <c r="ORW211" s="2522"/>
      <c r="ORX211" s="2522"/>
      <c r="ORY211" s="2522"/>
      <c r="ORZ211" s="2522"/>
      <c r="OSA211" s="2522"/>
      <c r="OSB211" s="2522"/>
      <c r="OSC211" s="2522"/>
      <c r="OSD211" s="2522"/>
      <c r="OSE211" s="2522"/>
      <c r="OSF211" s="2522"/>
      <c r="OSG211" s="2522"/>
      <c r="OSH211" s="2522"/>
      <c r="OSI211" s="2522"/>
      <c r="OSJ211" s="2522"/>
      <c r="OSK211" s="2522"/>
      <c r="OSL211" s="2522"/>
      <c r="OSM211" s="2522"/>
      <c r="OSN211" s="2522"/>
      <c r="OSO211" s="2522"/>
      <c r="OSP211" s="2522"/>
      <c r="OSQ211" s="2522"/>
      <c r="OSR211" s="2522"/>
      <c r="OSS211" s="2522"/>
      <c r="OST211" s="2522"/>
      <c r="OSU211" s="2522"/>
      <c r="OSV211" s="2522"/>
      <c r="OSW211" s="2522"/>
      <c r="OSX211" s="2522"/>
      <c r="OSY211" s="2522"/>
      <c r="OSZ211" s="2522"/>
      <c r="OTA211" s="2522"/>
      <c r="OTB211" s="2522"/>
      <c r="OTC211" s="2522"/>
      <c r="OTD211" s="2522"/>
      <c r="OTE211" s="2522"/>
      <c r="OTF211" s="2522"/>
      <c r="OTG211" s="2522"/>
      <c r="OTH211" s="2522"/>
      <c r="OTI211" s="2522"/>
      <c r="OTJ211" s="2522"/>
      <c r="OTK211" s="2522"/>
      <c r="OTL211" s="2522"/>
      <c r="OTM211" s="2522"/>
      <c r="OTN211" s="2522"/>
      <c r="OTO211" s="2522"/>
      <c r="OTP211" s="2522"/>
      <c r="OTQ211" s="2522"/>
      <c r="OTR211" s="2522"/>
      <c r="OTS211" s="2522"/>
      <c r="OTT211" s="2522"/>
      <c r="OTU211" s="2522"/>
      <c r="OTV211" s="2522"/>
      <c r="OTW211" s="2522"/>
      <c r="OTX211" s="2522"/>
      <c r="OTY211" s="2522"/>
      <c r="OTZ211" s="2522"/>
      <c r="OUA211" s="2522"/>
      <c r="OUB211" s="2522"/>
      <c r="OUC211" s="2522"/>
      <c r="OUD211" s="2522"/>
      <c r="OUE211" s="2522"/>
      <c r="OUF211" s="2522"/>
      <c r="OUG211" s="2522"/>
      <c r="OUH211" s="2522"/>
      <c r="OUI211" s="2522"/>
      <c r="OUJ211" s="2522"/>
      <c r="OUK211" s="2522"/>
      <c r="OUL211" s="2522"/>
      <c r="OUM211" s="2522"/>
      <c r="OUN211" s="2522"/>
      <c r="OUO211" s="2522"/>
      <c r="OUP211" s="2522"/>
      <c r="OUQ211" s="2522"/>
      <c r="OUR211" s="2522"/>
      <c r="OUS211" s="2522"/>
      <c r="OUT211" s="2522"/>
      <c r="OUU211" s="2522"/>
      <c r="OUV211" s="2522"/>
      <c r="OUW211" s="2522"/>
      <c r="OUX211" s="2522"/>
      <c r="OUY211" s="2522"/>
      <c r="OUZ211" s="2522"/>
      <c r="OVA211" s="2522"/>
      <c r="OVB211" s="2522"/>
      <c r="OVC211" s="2522"/>
      <c r="OVD211" s="2522"/>
      <c r="OVE211" s="2522"/>
      <c r="OVF211" s="2522"/>
      <c r="OVG211" s="2522"/>
      <c r="OVH211" s="2522"/>
      <c r="OVI211" s="2522"/>
      <c r="OVJ211" s="2522"/>
      <c r="OVK211" s="2522"/>
      <c r="OVL211" s="2522"/>
      <c r="OVM211" s="2522"/>
      <c r="OVN211" s="2522"/>
      <c r="OVO211" s="2522"/>
      <c r="OVP211" s="2522"/>
      <c r="OVQ211" s="2522"/>
      <c r="OVR211" s="2522"/>
      <c r="OVS211" s="2522"/>
      <c r="OVT211" s="2522"/>
      <c r="OVU211" s="2522"/>
      <c r="OVV211" s="2522"/>
      <c r="OVW211" s="2522"/>
      <c r="OVX211" s="2522"/>
      <c r="OVY211" s="2522"/>
      <c r="OVZ211" s="2522"/>
      <c r="OWA211" s="2522"/>
      <c r="OWB211" s="2522"/>
      <c r="OWC211" s="2522"/>
      <c r="OWD211" s="2522"/>
      <c r="OWE211" s="2522"/>
      <c r="OWF211" s="2522"/>
      <c r="OWG211" s="2522"/>
      <c r="OWH211" s="2522"/>
      <c r="OWI211" s="2522"/>
      <c r="OWJ211" s="2522"/>
      <c r="OWK211" s="2522"/>
      <c r="OWL211" s="2522"/>
      <c r="OWM211" s="2522"/>
      <c r="OWN211" s="2522"/>
      <c r="OWO211" s="2522"/>
      <c r="OWP211" s="2522"/>
      <c r="OWQ211" s="2522"/>
      <c r="OWR211" s="2522"/>
      <c r="OWS211" s="2522"/>
      <c r="OWT211" s="2522"/>
      <c r="OWU211" s="2522"/>
      <c r="OWV211" s="2522"/>
      <c r="OWW211" s="2522"/>
      <c r="OWX211" s="2522"/>
      <c r="OWY211" s="2522"/>
      <c r="OWZ211" s="2522"/>
      <c r="OXA211" s="2522"/>
      <c r="OXB211" s="2522"/>
      <c r="OXC211" s="2522"/>
      <c r="OXD211" s="2522"/>
      <c r="OXE211" s="2522"/>
      <c r="OXF211" s="2522"/>
      <c r="OXG211" s="2522"/>
      <c r="OXH211" s="2522"/>
      <c r="OXI211" s="2522"/>
      <c r="OXJ211" s="2522"/>
      <c r="OXK211" s="2522"/>
      <c r="OXL211" s="2522"/>
      <c r="OXM211" s="2522"/>
      <c r="OXN211" s="2522"/>
      <c r="OXO211" s="2522"/>
      <c r="OXP211" s="2522"/>
      <c r="OXQ211" s="2522"/>
      <c r="OXR211" s="2522"/>
      <c r="OXS211" s="2522"/>
      <c r="OXT211" s="2522"/>
      <c r="OXU211" s="2522"/>
      <c r="OXV211" s="2522"/>
      <c r="OXW211" s="2522"/>
      <c r="OXX211" s="2522"/>
      <c r="OXY211" s="2522"/>
      <c r="OXZ211" s="2522"/>
      <c r="OYA211" s="2522"/>
      <c r="OYB211" s="2522"/>
      <c r="OYC211" s="2522"/>
      <c r="OYD211" s="2522"/>
      <c r="OYE211" s="2522"/>
      <c r="OYF211" s="2522"/>
      <c r="OYG211" s="2522"/>
      <c r="OYH211" s="2522"/>
      <c r="OYI211" s="2522"/>
      <c r="OYJ211" s="2522"/>
      <c r="OYK211" s="2522"/>
      <c r="OYL211" s="2522"/>
      <c r="OYM211" s="2522"/>
      <c r="OYN211" s="2522"/>
      <c r="OYO211" s="2522"/>
      <c r="OYP211" s="2522"/>
      <c r="OYQ211" s="2522"/>
      <c r="OYR211" s="2522"/>
      <c r="OYS211" s="2522"/>
      <c r="OYT211" s="2522"/>
      <c r="OYU211" s="2522"/>
      <c r="OYV211" s="2522"/>
      <c r="OYW211" s="2522"/>
      <c r="OYX211" s="2522"/>
      <c r="OYY211" s="2522"/>
      <c r="OYZ211" s="2522"/>
      <c r="OZA211" s="2522"/>
      <c r="OZB211" s="2522"/>
      <c r="OZC211" s="2522"/>
      <c r="OZD211" s="2522"/>
      <c r="OZE211" s="2522"/>
      <c r="OZF211" s="2522"/>
      <c r="OZG211" s="2522"/>
      <c r="OZH211" s="2522"/>
      <c r="OZI211" s="2522"/>
      <c r="OZJ211" s="2522"/>
      <c r="OZK211" s="2522"/>
      <c r="OZL211" s="2522"/>
      <c r="OZM211" s="2522"/>
      <c r="OZN211" s="2522"/>
      <c r="OZO211" s="2522"/>
      <c r="OZP211" s="2522"/>
      <c r="OZQ211" s="2522"/>
      <c r="OZR211" s="2522"/>
      <c r="OZS211" s="2522"/>
      <c r="OZT211" s="2522"/>
      <c r="OZU211" s="2522"/>
      <c r="OZV211" s="2522"/>
      <c r="OZW211" s="2522"/>
      <c r="OZX211" s="2522"/>
      <c r="OZY211" s="2522"/>
      <c r="OZZ211" s="2522"/>
      <c r="PAA211" s="2522"/>
      <c r="PAB211" s="2522"/>
      <c r="PAC211" s="2522"/>
      <c r="PAD211" s="2522"/>
      <c r="PAE211" s="2522"/>
      <c r="PAF211" s="2522"/>
      <c r="PAG211" s="2522"/>
      <c r="PAH211" s="2522"/>
      <c r="PAI211" s="2522"/>
      <c r="PAJ211" s="2522"/>
      <c r="PAK211" s="2522"/>
      <c r="PAL211" s="2522"/>
      <c r="PAM211" s="2522"/>
      <c r="PAN211" s="2522"/>
      <c r="PAO211" s="2522"/>
      <c r="PAP211" s="2522"/>
      <c r="PAQ211" s="2522"/>
      <c r="PAR211" s="2522"/>
      <c r="PAS211" s="2522"/>
      <c r="PAT211" s="2522"/>
      <c r="PAU211" s="2522"/>
      <c r="PAV211" s="2522"/>
      <c r="PAW211" s="2522"/>
      <c r="PAX211" s="2522"/>
      <c r="PAY211" s="2522"/>
      <c r="PAZ211" s="2522"/>
      <c r="PBA211" s="2522"/>
      <c r="PBB211" s="2522"/>
      <c r="PBC211" s="2522"/>
      <c r="PBD211" s="2522"/>
      <c r="PBE211" s="2522"/>
      <c r="PBF211" s="2522"/>
      <c r="PBG211" s="2522"/>
      <c r="PBH211" s="2522"/>
      <c r="PBI211" s="2522"/>
      <c r="PBJ211" s="2522"/>
      <c r="PBK211" s="2522"/>
      <c r="PBL211" s="2522"/>
      <c r="PBM211" s="2522"/>
      <c r="PBN211" s="2522"/>
      <c r="PBO211" s="2522"/>
      <c r="PBP211" s="2522"/>
      <c r="PBQ211" s="2522"/>
      <c r="PBR211" s="2522"/>
      <c r="PBS211" s="2522"/>
      <c r="PBT211" s="2522"/>
      <c r="PBU211" s="2522"/>
      <c r="PBV211" s="2522"/>
      <c r="PBW211" s="2522"/>
      <c r="PBX211" s="2522"/>
      <c r="PBY211" s="2522"/>
      <c r="PBZ211" s="2522"/>
      <c r="PCA211" s="2522"/>
      <c r="PCB211" s="2522"/>
      <c r="PCC211" s="2522"/>
      <c r="PCD211" s="2522"/>
      <c r="PCE211" s="2522"/>
      <c r="PCF211" s="2522"/>
      <c r="PCG211" s="2522"/>
      <c r="PCH211" s="2522"/>
      <c r="PCI211" s="2522"/>
      <c r="PCJ211" s="2522"/>
      <c r="PCK211" s="2522"/>
      <c r="PCL211" s="2522"/>
      <c r="PCM211" s="2522"/>
      <c r="PCN211" s="2522"/>
      <c r="PCO211" s="2522"/>
      <c r="PCP211" s="2522"/>
      <c r="PCQ211" s="2522"/>
      <c r="PCR211" s="2522"/>
      <c r="PCS211" s="2522"/>
      <c r="PCT211" s="2522"/>
      <c r="PCU211" s="2522"/>
      <c r="PCV211" s="2522"/>
      <c r="PCW211" s="2522"/>
      <c r="PCX211" s="2522"/>
      <c r="PCY211" s="2522"/>
      <c r="PCZ211" s="2522"/>
      <c r="PDA211" s="2522"/>
      <c r="PDB211" s="2522"/>
      <c r="PDC211" s="2522"/>
      <c r="PDD211" s="2522"/>
      <c r="PDE211" s="2522"/>
      <c r="PDF211" s="2522"/>
      <c r="PDG211" s="2522"/>
      <c r="PDH211" s="2522"/>
      <c r="PDI211" s="2522"/>
      <c r="PDJ211" s="2522"/>
      <c r="PDK211" s="2522"/>
      <c r="PDL211" s="2522"/>
      <c r="PDM211" s="2522"/>
      <c r="PDN211" s="2522"/>
      <c r="PDO211" s="2522"/>
      <c r="PDP211" s="2522"/>
      <c r="PDQ211" s="2522"/>
      <c r="PDR211" s="2522"/>
      <c r="PDS211" s="2522"/>
      <c r="PDT211" s="2522"/>
      <c r="PDU211" s="2522"/>
      <c r="PDV211" s="2522"/>
      <c r="PDW211" s="2522"/>
      <c r="PDX211" s="2522"/>
      <c r="PDY211" s="2522"/>
      <c r="PDZ211" s="2522"/>
      <c r="PEA211" s="2522"/>
      <c r="PEB211" s="2522"/>
      <c r="PEC211" s="2522"/>
      <c r="PED211" s="2522"/>
      <c r="PEE211" s="2522"/>
      <c r="PEF211" s="2522"/>
      <c r="PEG211" s="2522"/>
      <c r="PEH211" s="2522"/>
      <c r="PEI211" s="2522"/>
      <c r="PEJ211" s="2522"/>
      <c r="PEK211" s="2522"/>
      <c r="PEL211" s="2522"/>
      <c r="PEM211" s="2522"/>
      <c r="PEN211" s="2522"/>
      <c r="PEO211" s="2522"/>
      <c r="PEP211" s="2522"/>
      <c r="PEQ211" s="2522"/>
      <c r="PER211" s="2522"/>
      <c r="PES211" s="2522"/>
      <c r="PET211" s="2522"/>
      <c r="PEU211" s="2522"/>
      <c r="PEV211" s="2522"/>
      <c r="PEW211" s="2522"/>
      <c r="PEX211" s="2522"/>
      <c r="PEY211" s="2522"/>
      <c r="PEZ211" s="2522"/>
      <c r="PFA211" s="2522"/>
      <c r="PFB211" s="2522"/>
      <c r="PFC211" s="2522"/>
      <c r="PFD211" s="2522"/>
      <c r="PFE211" s="2522"/>
      <c r="PFF211" s="2522"/>
      <c r="PFG211" s="2522"/>
      <c r="PFH211" s="2522"/>
      <c r="PFI211" s="2522"/>
      <c r="PFJ211" s="2522"/>
      <c r="PFK211" s="2522"/>
      <c r="PFL211" s="2522"/>
      <c r="PFM211" s="2522"/>
      <c r="PFN211" s="2522"/>
      <c r="PFO211" s="2522"/>
      <c r="PFP211" s="2522"/>
      <c r="PFQ211" s="2522"/>
      <c r="PFR211" s="2522"/>
      <c r="PFS211" s="2522"/>
      <c r="PFT211" s="2522"/>
      <c r="PFU211" s="2522"/>
      <c r="PFV211" s="2522"/>
      <c r="PFW211" s="2522"/>
      <c r="PFX211" s="2522"/>
      <c r="PFY211" s="2522"/>
      <c r="PFZ211" s="2522"/>
      <c r="PGA211" s="2522"/>
      <c r="PGB211" s="2522"/>
      <c r="PGC211" s="2522"/>
      <c r="PGD211" s="2522"/>
      <c r="PGE211" s="2522"/>
      <c r="PGF211" s="2522"/>
      <c r="PGG211" s="2522"/>
      <c r="PGH211" s="2522"/>
      <c r="PGI211" s="2522"/>
      <c r="PGJ211" s="2522"/>
      <c r="PGK211" s="2522"/>
      <c r="PGL211" s="2522"/>
      <c r="PGM211" s="2522"/>
      <c r="PGN211" s="2522"/>
      <c r="PGO211" s="2522"/>
      <c r="PGP211" s="2522"/>
      <c r="PGQ211" s="2522"/>
      <c r="PGR211" s="2522"/>
      <c r="PGS211" s="2522"/>
      <c r="PGT211" s="2522"/>
      <c r="PGU211" s="2522"/>
      <c r="PGV211" s="2522"/>
      <c r="PGW211" s="2522"/>
      <c r="PGX211" s="2522"/>
      <c r="PGY211" s="2522"/>
      <c r="PGZ211" s="2522"/>
      <c r="PHA211" s="2522"/>
      <c r="PHB211" s="2522"/>
      <c r="PHC211" s="2522"/>
      <c r="PHD211" s="2522"/>
      <c r="PHE211" s="2522"/>
      <c r="PHF211" s="2522"/>
      <c r="PHG211" s="2522"/>
      <c r="PHH211" s="2522"/>
      <c r="PHI211" s="2522"/>
      <c r="PHJ211" s="2522"/>
      <c r="PHK211" s="2522"/>
      <c r="PHL211" s="2522"/>
      <c r="PHM211" s="2522"/>
      <c r="PHN211" s="2522"/>
      <c r="PHO211" s="2522"/>
      <c r="PHP211" s="2522"/>
      <c r="PHQ211" s="2522"/>
      <c r="PHR211" s="2522"/>
      <c r="PHS211" s="2522"/>
      <c r="PHT211" s="2522"/>
      <c r="PHU211" s="2522"/>
      <c r="PHV211" s="2522"/>
      <c r="PHW211" s="2522"/>
      <c r="PHX211" s="2522"/>
      <c r="PHY211" s="2522"/>
      <c r="PHZ211" s="2522"/>
      <c r="PIA211" s="2522"/>
      <c r="PIB211" s="2522"/>
      <c r="PIC211" s="2522"/>
      <c r="PID211" s="2522"/>
      <c r="PIE211" s="2522"/>
      <c r="PIF211" s="2522"/>
      <c r="PIG211" s="2522"/>
      <c r="PIH211" s="2522"/>
      <c r="PII211" s="2522"/>
      <c r="PIJ211" s="2522"/>
      <c r="PIK211" s="2522"/>
      <c r="PIL211" s="2522"/>
      <c r="PIM211" s="2522"/>
      <c r="PIN211" s="2522"/>
      <c r="PIO211" s="2522"/>
      <c r="PIP211" s="2522"/>
      <c r="PIQ211" s="2522"/>
      <c r="PIR211" s="2522"/>
      <c r="PIS211" s="2522"/>
      <c r="PIT211" s="2522"/>
      <c r="PIU211" s="2522"/>
      <c r="PIV211" s="2522"/>
      <c r="PIW211" s="2522"/>
      <c r="PIX211" s="2522"/>
      <c r="PIY211" s="2522"/>
      <c r="PIZ211" s="2522"/>
      <c r="PJA211" s="2522"/>
      <c r="PJB211" s="2522"/>
      <c r="PJC211" s="2522"/>
      <c r="PJD211" s="2522"/>
      <c r="PJE211" s="2522"/>
      <c r="PJF211" s="2522"/>
      <c r="PJG211" s="2522"/>
      <c r="PJH211" s="2522"/>
      <c r="PJI211" s="2522"/>
      <c r="PJJ211" s="2522"/>
      <c r="PJK211" s="2522"/>
      <c r="PJL211" s="2522"/>
      <c r="PJM211" s="2522"/>
      <c r="PJN211" s="2522"/>
      <c r="PJO211" s="2522"/>
      <c r="PJP211" s="2522"/>
      <c r="PJQ211" s="2522"/>
      <c r="PJR211" s="2522"/>
      <c r="PJS211" s="2522"/>
      <c r="PJT211" s="2522"/>
      <c r="PJU211" s="2522"/>
      <c r="PJV211" s="2522"/>
      <c r="PJW211" s="2522"/>
      <c r="PJX211" s="2522"/>
      <c r="PJY211" s="2522"/>
      <c r="PJZ211" s="2522"/>
      <c r="PKA211" s="2522"/>
      <c r="PKB211" s="2522"/>
      <c r="PKC211" s="2522"/>
      <c r="PKD211" s="2522"/>
      <c r="PKE211" s="2522"/>
      <c r="PKF211" s="2522"/>
      <c r="PKG211" s="2522"/>
      <c r="PKH211" s="2522"/>
      <c r="PKI211" s="2522"/>
      <c r="PKJ211" s="2522"/>
      <c r="PKK211" s="2522"/>
      <c r="PKL211" s="2522"/>
      <c r="PKM211" s="2522"/>
      <c r="PKN211" s="2522"/>
      <c r="PKO211" s="2522"/>
      <c r="PKP211" s="2522"/>
      <c r="PKQ211" s="2522"/>
      <c r="PKR211" s="2522"/>
      <c r="PKS211" s="2522"/>
      <c r="PKT211" s="2522"/>
      <c r="PKU211" s="2522"/>
      <c r="PKV211" s="2522"/>
      <c r="PKW211" s="2522"/>
      <c r="PKX211" s="2522"/>
      <c r="PKY211" s="2522"/>
      <c r="PKZ211" s="2522"/>
      <c r="PLA211" s="2522"/>
      <c r="PLB211" s="2522"/>
      <c r="PLC211" s="2522"/>
      <c r="PLD211" s="2522"/>
      <c r="PLE211" s="2522"/>
      <c r="PLF211" s="2522"/>
      <c r="PLG211" s="2522"/>
      <c r="PLH211" s="2522"/>
      <c r="PLI211" s="2522"/>
      <c r="PLJ211" s="2522"/>
      <c r="PLK211" s="2522"/>
      <c r="PLL211" s="2522"/>
      <c r="PLM211" s="2522"/>
      <c r="PLN211" s="2522"/>
      <c r="PLO211" s="2522"/>
      <c r="PLP211" s="2522"/>
      <c r="PLQ211" s="2522"/>
      <c r="PLR211" s="2522"/>
      <c r="PLS211" s="2522"/>
      <c r="PLT211" s="2522"/>
      <c r="PLU211" s="2522"/>
      <c r="PLV211" s="2522"/>
      <c r="PLW211" s="2522"/>
      <c r="PLX211" s="2522"/>
      <c r="PLY211" s="2522"/>
      <c r="PLZ211" s="2522"/>
      <c r="PMA211" s="2522"/>
      <c r="PMB211" s="2522"/>
      <c r="PMC211" s="2522"/>
      <c r="PMD211" s="2522"/>
      <c r="PME211" s="2522"/>
      <c r="PMF211" s="2522"/>
      <c r="PMG211" s="2522"/>
      <c r="PMH211" s="2522"/>
      <c r="PMI211" s="2522"/>
      <c r="PMJ211" s="2522"/>
      <c r="PMK211" s="2522"/>
      <c r="PML211" s="2522"/>
      <c r="PMM211" s="2522"/>
      <c r="PMN211" s="2522"/>
      <c r="PMO211" s="2522"/>
      <c r="PMP211" s="2522"/>
      <c r="PMQ211" s="2522"/>
      <c r="PMR211" s="2522"/>
      <c r="PMS211" s="2522"/>
      <c r="PMT211" s="2522"/>
      <c r="PMU211" s="2522"/>
      <c r="PMV211" s="2522"/>
      <c r="PMW211" s="2522"/>
      <c r="PMX211" s="2522"/>
      <c r="PMY211" s="2522"/>
      <c r="PMZ211" s="2522"/>
      <c r="PNA211" s="2522"/>
      <c r="PNB211" s="2522"/>
      <c r="PNC211" s="2522"/>
      <c r="PND211" s="2522"/>
      <c r="PNE211" s="2522"/>
      <c r="PNF211" s="2522"/>
      <c r="PNG211" s="2522"/>
      <c r="PNH211" s="2522"/>
      <c r="PNI211" s="2522"/>
      <c r="PNJ211" s="2522"/>
      <c r="PNK211" s="2522"/>
      <c r="PNL211" s="2522"/>
      <c r="PNM211" s="2522"/>
      <c r="PNN211" s="2522"/>
      <c r="PNO211" s="2522"/>
      <c r="PNP211" s="2522"/>
      <c r="PNQ211" s="2522"/>
      <c r="PNR211" s="2522"/>
      <c r="PNS211" s="2522"/>
      <c r="PNT211" s="2522"/>
      <c r="PNU211" s="2522"/>
      <c r="PNV211" s="2522"/>
      <c r="PNW211" s="2522"/>
      <c r="PNX211" s="2522"/>
      <c r="PNY211" s="2522"/>
      <c r="PNZ211" s="2522"/>
      <c r="POA211" s="2522"/>
      <c r="POB211" s="2522"/>
      <c r="POC211" s="2522"/>
      <c r="POD211" s="2522"/>
      <c r="POE211" s="2522"/>
      <c r="POF211" s="2522"/>
      <c r="POG211" s="2522"/>
      <c r="POH211" s="2522"/>
      <c r="POI211" s="2522"/>
      <c r="POJ211" s="2522"/>
      <c r="POK211" s="2522"/>
      <c r="POL211" s="2522"/>
      <c r="POM211" s="2522"/>
      <c r="PON211" s="2522"/>
      <c r="POO211" s="2522"/>
      <c r="POP211" s="2522"/>
      <c r="POQ211" s="2522"/>
      <c r="POR211" s="2522"/>
      <c r="POS211" s="2522"/>
      <c r="POT211" s="2522"/>
      <c r="POU211" s="2522"/>
      <c r="POV211" s="2522"/>
      <c r="POW211" s="2522"/>
      <c r="POX211" s="2522"/>
      <c r="POY211" s="2522"/>
      <c r="POZ211" s="2522"/>
      <c r="PPA211" s="2522"/>
      <c r="PPB211" s="2522"/>
      <c r="PPC211" s="2522"/>
      <c r="PPD211" s="2522"/>
      <c r="PPE211" s="2522"/>
      <c r="PPF211" s="2522"/>
      <c r="PPG211" s="2522"/>
      <c r="PPH211" s="2522"/>
      <c r="PPI211" s="2522"/>
      <c r="PPJ211" s="2522"/>
      <c r="PPK211" s="2522"/>
      <c r="PPL211" s="2522"/>
      <c r="PPM211" s="2522"/>
      <c r="PPN211" s="2522"/>
      <c r="PPO211" s="2522"/>
      <c r="PPP211" s="2522"/>
      <c r="PPQ211" s="2522"/>
      <c r="PPR211" s="2522"/>
      <c r="PPS211" s="2522"/>
      <c r="PPT211" s="2522"/>
      <c r="PPU211" s="2522"/>
      <c r="PPV211" s="2522"/>
      <c r="PPW211" s="2522"/>
      <c r="PPX211" s="2522"/>
      <c r="PPY211" s="2522"/>
      <c r="PPZ211" s="2522"/>
      <c r="PQA211" s="2522"/>
      <c r="PQB211" s="2522"/>
      <c r="PQC211" s="2522"/>
      <c r="PQD211" s="2522"/>
      <c r="PQE211" s="2522"/>
      <c r="PQF211" s="2522"/>
      <c r="PQG211" s="2522"/>
      <c r="PQH211" s="2522"/>
      <c r="PQI211" s="2522"/>
      <c r="PQJ211" s="2522"/>
      <c r="PQK211" s="2522"/>
      <c r="PQL211" s="2522"/>
      <c r="PQM211" s="2522"/>
      <c r="PQN211" s="2522"/>
      <c r="PQO211" s="2522"/>
      <c r="PQP211" s="2522"/>
      <c r="PQQ211" s="2522"/>
      <c r="PQR211" s="2522"/>
      <c r="PQS211" s="2522"/>
      <c r="PQT211" s="2522"/>
      <c r="PQU211" s="2522"/>
      <c r="PQV211" s="2522"/>
      <c r="PQW211" s="2522"/>
      <c r="PQX211" s="2522"/>
      <c r="PQY211" s="2522"/>
      <c r="PQZ211" s="2522"/>
      <c r="PRA211" s="2522"/>
      <c r="PRB211" s="2522"/>
      <c r="PRC211" s="2522"/>
      <c r="PRD211" s="2522"/>
      <c r="PRE211" s="2522"/>
      <c r="PRF211" s="2522"/>
      <c r="PRG211" s="2522"/>
      <c r="PRH211" s="2522"/>
      <c r="PRI211" s="2522"/>
      <c r="PRJ211" s="2522"/>
      <c r="PRK211" s="2522"/>
      <c r="PRL211" s="2522"/>
      <c r="PRM211" s="2522"/>
      <c r="PRN211" s="2522"/>
      <c r="PRO211" s="2522"/>
      <c r="PRP211" s="2522"/>
      <c r="PRQ211" s="2522"/>
      <c r="PRR211" s="2522"/>
      <c r="PRS211" s="2522"/>
      <c r="PRT211" s="2522"/>
      <c r="PRU211" s="2522"/>
      <c r="PRV211" s="2522"/>
      <c r="PRW211" s="2522"/>
      <c r="PRX211" s="2522"/>
      <c r="PRY211" s="2522"/>
      <c r="PRZ211" s="2522"/>
      <c r="PSA211" s="2522"/>
      <c r="PSB211" s="2522"/>
      <c r="PSC211" s="2522"/>
      <c r="PSD211" s="2522"/>
      <c r="PSE211" s="2522"/>
      <c r="PSF211" s="2522"/>
      <c r="PSG211" s="2522"/>
      <c r="PSH211" s="2522"/>
      <c r="PSI211" s="2522"/>
      <c r="PSJ211" s="2522"/>
      <c r="PSK211" s="2522"/>
      <c r="PSL211" s="2522"/>
      <c r="PSM211" s="2522"/>
      <c r="PSN211" s="2522"/>
      <c r="PSO211" s="2522"/>
      <c r="PSP211" s="2522"/>
      <c r="PSQ211" s="2522"/>
      <c r="PSR211" s="2522"/>
      <c r="PSS211" s="2522"/>
      <c r="PST211" s="2522"/>
      <c r="PSU211" s="2522"/>
      <c r="PSV211" s="2522"/>
      <c r="PSW211" s="2522"/>
      <c r="PSX211" s="2522"/>
      <c r="PSY211" s="2522"/>
      <c r="PSZ211" s="2522"/>
      <c r="PTA211" s="2522"/>
      <c r="PTB211" s="2522"/>
      <c r="PTC211" s="2522"/>
      <c r="PTD211" s="2522"/>
      <c r="PTE211" s="2522"/>
      <c r="PTF211" s="2522"/>
      <c r="PTG211" s="2522"/>
      <c r="PTH211" s="2522"/>
      <c r="PTI211" s="2522"/>
      <c r="PTJ211" s="2522"/>
      <c r="PTK211" s="2522"/>
      <c r="PTL211" s="2522"/>
      <c r="PTM211" s="2522"/>
      <c r="PTN211" s="2522"/>
      <c r="PTO211" s="2522"/>
      <c r="PTP211" s="2522"/>
      <c r="PTQ211" s="2522"/>
      <c r="PTR211" s="2522"/>
      <c r="PTS211" s="2522"/>
      <c r="PTT211" s="2522"/>
      <c r="PTU211" s="2522"/>
      <c r="PTV211" s="2522"/>
      <c r="PTW211" s="2522"/>
      <c r="PTX211" s="2522"/>
      <c r="PTY211" s="2522"/>
      <c r="PTZ211" s="2522"/>
      <c r="PUA211" s="2522"/>
      <c r="PUB211" s="2522"/>
      <c r="PUC211" s="2522"/>
      <c r="PUD211" s="2522"/>
      <c r="PUE211" s="2522"/>
      <c r="PUF211" s="2522"/>
      <c r="PUG211" s="2522"/>
      <c r="PUH211" s="2522"/>
      <c r="PUI211" s="2522"/>
      <c r="PUJ211" s="2522"/>
      <c r="PUK211" s="2522"/>
      <c r="PUL211" s="2522"/>
      <c r="PUM211" s="2522"/>
      <c r="PUN211" s="2522"/>
      <c r="PUO211" s="2522"/>
      <c r="PUP211" s="2522"/>
      <c r="PUQ211" s="2522"/>
      <c r="PUR211" s="2522"/>
      <c r="PUS211" s="2522"/>
      <c r="PUT211" s="2522"/>
      <c r="PUU211" s="2522"/>
      <c r="PUV211" s="2522"/>
      <c r="PUW211" s="2522"/>
      <c r="PUX211" s="2522"/>
      <c r="PUY211" s="2522"/>
      <c r="PUZ211" s="2522"/>
      <c r="PVA211" s="2522"/>
      <c r="PVB211" s="2522"/>
      <c r="PVC211" s="2522"/>
      <c r="PVD211" s="2522"/>
      <c r="PVE211" s="2522"/>
      <c r="PVF211" s="2522"/>
      <c r="PVG211" s="2522"/>
      <c r="PVH211" s="2522"/>
      <c r="PVI211" s="2522"/>
      <c r="PVJ211" s="2522"/>
      <c r="PVK211" s="2522"/>
      <c r="PVL211" s="2522"/>
      <c r="PVM211" s="2522"/>
      <c r="PVN211" s="2522"/>
      <c r="PVO211" s="2522"/>
      <c r="PVP211" s="2522"/>
      <c r="PVQ211" s="2522"/>
      <c r="PVR211" s="2522"/>
      <c r="PVS211" s="2522"/>
      <c r="PVT211" s="2522"/>
      <c r="PVU211" s="2522"/>
      <c r="PVV211" s="2522"/>
      <c r="PVW211" s="2522"/>
      <c r="PVX211" s="2522"/>
      <c r="PVY211" s="2522"/>
      <c r="PVZ211" s="2522"/>
      <c r="PWA211" s="2522"/>
      <c r="PWB211" s="2522"/>
      <c r="PWC211" s="2522"/>
      <c r="PWD211" s="2522"/>
      <c r="PWE211" s="2522"/>
      <c r="PWF211" s="2522"/>
      <c r="PWG211" s="2522"/>
      <c r="PWH211" s="2522"/>
      <c r="PWI211" s="2522"/>
      <c r="PWJ211" s="2522"/>
      <c r="PWK211" s="2522"/>
      <c r="PWL211" s="2522"/>
      <c r="PWM211" s="2522"/>
      <c r="PWN211" s="2522"/>
      <c r="PWO211" s="2522"/>
      <c r="PWP211" s="2522"/>
      <c r="PWQ211" s="2522"/>
      <c r="PWR211" s="2522"/>
      <c r="PWS211" s="2522"/>
      <c r="PWT211" s="2522"/>
      <c r="PWU211" s="2522"/>
      <c r="PWV211" s="2522"/>
      <c r="PWW211" s="2522"/>
      <c r="PWX211" s="2522"/>
      <c r="PWY211" s="2522"/>
      <c r="PWZ211" s="2522"/>
      <c r="PXA211" s="2522"/>
      <c r="PXB211" s="2522"/>
      <c r="PXC211" s="2522"/>
      <c r="PXD211" s="2522"/>
      <c r="PXE211" s="2522"/>
      <c r="PXF211" s="2522"/>
      <c r="PXG211" s="2522"/>
      <c r="PXH211" s="2522"/>
      <c r="PXI211" s="2522"/>
      <c r="PXJ211" s="2522"/>
      <c r="PXK211" s="2522"/>
      <c r="PXL211" s="2522"/>
      <c r="PXM211" s="2522"/>
      <c r="PXN211" s="2522"/>
      <c r="PXO211" s="2522"/>
      <c r="PXP211" s="2522"/>
      <c r="PXQ211" s="2522"/>
      <c r="PXR211" s="2522"/>
      <c r="PXS211" s="2522"/>
      <c r="PXT211" s="2522"/>
      <c r="PXU211" s="2522"/>
      <c r="PXV211" s="2522"/>
      <c r="PXW211" s="2522"/>
      <c r="PXX211" s="2522"/>
      <c r="PXY211" s="2522"/>
      <c r="PXZ211" s="2522"/>
      <c r="PYA211" s="2522"/>
      <c r="PYB211" s="2522"/>
      <c r="PYC211" s="2522"/>
      <c r="PYD211" s="2522"/>
      <c r="PYE211" s="2522"/>
      <c r="PYF211" s="2522"/>
      <c r="PYG211" s="2522"/>
      <c r="PYH211" s="2522"/>
      <c r="PYI211" s="2522"/>
      <c r="PYJ211" s="2522"/>
      <c r="PYK211" s="2522"/>
      <c r="PYL211" s="2522"/>
      <c r="PYM211" s="2522"/>
      <c r="PYN211" s="2522"/>
      <c r="PYO211" s="2522"/>
      <c r="PYP211" s="2522"/>
      <c r="PYQ211" s="2522"/>
      <c r="PYR211" s="2522"/>
      <c r="PYS211" s="2522"/>
      <c r="PYT211" s="2522"/>
      <c r="PYU211" s="2522"/>
      <c r="PYV211" s="2522"/>
      <c r="PYW211" s="2522"/>
      <c r="PYX211" s="2522"/>
      <c r="PYY211" s="2522"/>
      <c r="PYZ211" s="2522"/>
      <c r="PZA211" s="2522"/>
      <c r="PZB211" s="2522"/>
      <c r="PZC211" s="2522"/>
      <c r="PZD211" s="2522"/>
      <c r="PZE211" s="2522"/>
      <c r="PZF211" s="2522"/>
      <c r="PZG211" s="2522"/>
      <c r="PZH211" s="2522"/>
      <c r="PZI211" s="2522"/>
      <c r="PZJ211" s="2522"/>
      <c r="PZK211" s="2522"/>
      <c r="PZL211" s="2522"/>
      <c r="PZM211" s="2522"/>
      <c r="PZN211" s="2522"/>
      <c r="PZO211" s="2522"/>
      <c r="PZP211" s="2522"/>
      <c r="PZQ211" s="2522"/>
      <c r="PZR211" s="2522"/>
      <c r="PZS211" s="2522"/>
      <c r="PZT211" s="2522"/>
      <c r="PZU211" s="2522"/>
      <c r="PZV211" s="2522"/>
      <c r="PZW211" s="2522"/>
      <c r="PZX211" s="2522"/>
      <c r="PZY211" s="2522"/>
      <c r="PZZ211" s="2522"/>
      <c r="QAA211" s="2522"/>
      <c r="QAB211" s="2522"/>
      <c r="QAC211" s="2522"/>
      <c r="QAD211" s="2522"/>
      <c r="QAE211" s="2522"/>
      <c r="QAF211" s="2522"/>
      <c r="QAG211" s="2522"/>
      <c r="QAH211" s="2522"/>
      <c r="QAI211" s="2522"/>
      <c r="QAJ211" s="2522"/>
      <c r="QAK211" s="2522"/>
      <c r="QAL211" s="2522"/>
      <c r="QAM211" s="2522"/>
      <c r="QAN211" s="2522"/>
      <c r="QAO211" s="2522"/>
      <c r="QAP211" s="2522"/>
      <c r="QAQ211" s="2522"/>
      <c r="QAR211" s="2522"/>
      <c r="QAS211" s="2522"/>
      <c r="QAT211" s="2522"/>
      <c r="QAU211" s="2522"/>
      <c r="QAV211" s="2522"/>
      <c r="QAW211" s="2522"/>
      <c r="QAX211" s="2522"/>
      <c r="QAY211" s="2522"/>
      <c r="QAZ211" s="2522"/>
      <c r="QBA211" s="2522"/>
      <c r="QBB211" s="2522"/>
      <c r="QBC211" s="2522"/>
      <c r="QBD211" s="2522"/>
      <c r="QBE211" s="2522"/>
      <c r="QBF211" s="2522"/>
      <c r="QBG211" s="2522"/>
      <c r="QBH211" s="2522"/>
      <c r="QBI211" s="2522"/>
      <c r="QBJ211" s="2522"/>
      <c r="QBK211" s="2522"/>
      <c r="QBL211" s="2522"/>
      <c r="QBM211" s="2522"/>
      <c r="QBN211" s="2522"/>
      <c r="QBO211" s="2522"/>
      <c r="QBP211" s="2522"/>
      <c r="QBQ211" s="2522"/>
      <c r="QBR211" s="2522"/>
      <c r="QBS211" s="2522"/>
      <c r="QBT211" s="2522"/>
      <c r="QBU211" s="2522"/>
      <c r="QBV211" s="2522"/>
      <c r="QBW211" s="2522"/>
      <c r="QBX211" s="2522"/>
      <c r="QBY211" s="2522"/>
      <c r="QBZ211" s="2522"/>
      <c r="QCA211" s="2522"/>
      <c r="QCB211" s="2522"/>
      <c r="QCC211" s="2522"/>
      <c r="QCD211" s="2522"/>
      <c r="QCE211" s="2522"/>
      <c r="QCF211" s="2522"/>
      <c r="QCG211" s="2522"/>
      <c r="QCH211" s="2522"/>
      <c r="QCI211" s="2522"/>
      <c r="QCJ211" s="2522"/>
      <c r="QCK211" s="2522"/>
      <c r="QCL211" s="2522"/>
      <c r="QCM211" s="2522"/>
      <c r="QCN211" s="2522"/>
      <c r="QCO211" s="2522"/>
      <c r="QCP211" s="2522"/>
      <c r="QCQ211" s="2522"/>
      <c r="QCR211" s="2522"/>
      <c r="QCS211" s="2522"/>
      <c r="QCT211" s="2522"/>
      <c r="QCU211" s="2522"/>
      <c r="QCV211" s="2522"/>
      <c r="QCW211" s="2522"/>
      <c r="QCX211" s="2522"/>
      <c r="QCY211" s="2522"/>
      <c r="QCZ211" s="2522"/>
      <c r="QDA211" s="2522"/>
      <c r="QDB211" s="2522"/>
      <c r="QDC211" s="2522"/>
      <c r="QDD211" s="2522"/>
      <c r="QDE211" s="2522"/>
      <c r="QDF211" s="2522"/>
      <c r="QDG211" s="2522"/>
      <c r="QDH211" s="2522"/>
      <c r="QDI211" s="2522"/>
      <c r="QDJ211" s="2522"/>
      <c r="QDK211" s="2522"/>
      <c r="QDL211" s="2522"/>
      <c r="QDM211" s="2522"/>
      <c r="QDN211" s="2522"/>
      <c r="QDO211" s="2522"/>
      <c r="QDP211" s="2522"/>
      <c r="QDQ211" s="2522"/>
      <c r="QDR211" s="2522"/>
      <c r="QDS211" s="2522"/>
      <c r="QDT211" s="2522"/>
      <c r="QDU211" s="2522"/>
      <c r="QDV211" s="2522"/>
      <c r="QDW211" s="2522"/>
      <c r="QDX211" s="2522"/>
      <c r="QDY211" s="2522"/>
      <c r="QDZ211" s="2522"/>
      <c r="QEA211" s="2522"/>
      <c r="QEB211" s="2522"/>
      <c r="QEC211" s="2522"/>
      <c r="QED211" s="2522"/>
      <c r="QEE211" s="2522"/>
      <c r="QEF211" s="2522"/>
      <c r="QEG211" s="2522"/>
      <c r="QEH211" s="2522"/>
      <c r="QEI211" s="2522"/>
      <c r="QEJ211" s="2522"/>
      <c r="QEK211" s="2522"/>
      <c r="QEL211" s="2522"/>
      <c r="QEM211" s="2522"/>
      <c r="QEN211" s="2522"/>
      <c r="QEO211" s="2522"/>
      <c r="QEP211" s="2522"/>
      <c r="QEQ211" s="2522"/>
      <c r="QER211" s="2522"/>
      <c r="QES211" s="2522"/>
      <c r="QET211" s="2522"/>
      <c r="QEU211" s="2522"/>
      <c r="QEV211" s="2522"/>
      <c r="QEW211" s="2522"/>
      <c r="QEX211" s="2522"/>
      <c r="QEY211" s="2522"/>
      <c r="QEZ211" s="2522"/>
      <c r="QFA211" s="2522"/>
      <c r="QFB211" s="2522"/>
      <c r="QFC211" s="2522"/>
      <c r="QFD211" s="2522"/>
      <c r="QFE211" s="2522"/>
      <c r="QFF211" s="2522"/>
      <c r="QFG211" s="2522"/>
      <c r="QFH211" s="2522"/>
      <c r="QFI211" s="2522"/>
      <c r="QFJ211" s="2522"/>
      <c r="QFK211" s="2522"/>
      <c r="QFL211" s="2522"/>
      <c r="QFM211" s="2522"/>
      <c r="QFN211" s="2522"/>
      <c r="QFO211" s="2522"/>
      <c r="QFP211" s="2522"/>
      <c r="QFQ211" s="2522"/>
      <c r="QFR211" s="2522"/>
      <c r="QFS211" s="2522"/>
      <c r="QFT211" s="2522"/>
      <c r="QFU211" s="2522"/>
      <c r="QFV211" s="2522"/>
      <c r="QFW211" s="2522"/>
      <c r="QFX211" s="2522"/>
      <c r="QFY211" s="2522"/>
      <c r="QFZ211" s="2522"/>
      <c r="QGA211" s="2522"/>
      <c r="QGB211" s="2522"/>
      <c r="QGC211" s="2522"/>
      <c r="QGD211" s="2522"/>
      <c r="QGE211" s="2522"/>
      <c r="QGF211" s="2522"/>
      <c r="QGG211" s="2522"/>
      <c r="QGH211" s="2522"/>
      <c r="QGI211" s="2522"/>
      <c r="QGJ211" s="2522"/>
      <c r="QGK211" s="2522"/>
      <c r="QGL211" s="2522"/>
      <c r="QGM211" s="2522"/>
      <c r="QGN211" s="2522"/>
      <c r="QGO211" s="2522"/>
      <c r="QGP211" s="2522"/>
      <c r="QGQ211" s="2522"/>
      <c r="QGR211" s="2522"/>
      <c r="QGS211" s="2522"/>
      <c r="QGT211" s="2522"/>
      <c r="QGU211" s="2522"/>
      <c r="QGV211" s="2522"/>
      <c r="QGW211" s="2522"/>
      <c r="QGX211" s="2522"/>
      <c r="QGY211" s="2522"/>
      <c r="QGZ211" s="2522"/>
      <c r="QHA211" s="2522"/>
      <c r="QHB211" s="2522"/>
      <c r="QHC211" s="2522"/>
      <c r="QHD211" s="2522"/>
      <c r="QHE211" s="2522"/>
      <c r="QHF211" s="2522"/>
      <c r="QHG211" s="2522"/>
      <c r="QHH211" s="2522"/>
      <c r="QHI211" s="2522"/>
      <c r="QHJ211" s="2522"/>
      <c r="QHK211" s="2522"/>
      <c r="QHL211" s="2522"/>
      <c r="QHM211" s="2522"/>
      <c r="QHN211" s="2522"/>
      <c r="QHO211" s="2522"/>
      <c r="QHP211" s="2522"/>
      <c r="QHQ211" s="2522"/>
      <c r="QHR211" s="2522"/>
      <c r="QHS211" s="2522"/>
      <c r="QHT211" s="2522"/>
      <c r="QHU211" s="2522"/>
      <c r="QHV211" s="2522"/>
      <c r="QHW211" s="2522"/>
      <c r="QHX211" s="2522"/>
      <c r="QHY211" s="2522"/>
      <c r="QHZ211" s="2522"/>
      <c r="QIA211" s="2522"/>
      <c r="QIB211" s="2522"/>
      <c r="QIC211" s="2522"/>
      <c r="QID211" s="2522"/>
      <c r="QIE211" s="2522"/>
      <c r="QIF211" s="2522"/>
      <c r="QIG211" s="2522"/>
      <c r="QIH211" s="2522"/>
      <c r="QII211" s="2522"/>
      <c r="QIJ211" s="2522"/>
      <c r="QIK211" s="2522"/>
      <c r="QIL211" s="2522"/>
      <c r="QIM211" s="2522"/>
      <c r="QIN211" s="2522"/>
      <c r="QIO211" s="2522"/>
      <c r="QIP211" s="2522"/>
      <c r="QIQ211" s="2522"/>
      <c r="QIR211" s="2522"/>
      <c r="QIS211" s="2522"/>
      <c r="QIT211" s="2522"/>
      <c r="QIU211" s="2522"/>
      <c r="QIV211" s="2522"/>
      <c r="QIW211" s="2522"/>
      <c r="QIX211" s="2522"/>
      <c r="QIY211" s="2522"/>
      <c r="QIZ211" s="2522"/>
      <c r="QJA211" s="2522"/>
      <c r="QJB211" s="2522"/>
      <c r="QJC211" s="2522"/>
      <c r="QJD211" s="2522"/>
      <c r="QJE211" s="2522"/>
      <c r="QJF211" s="2522"/>
      <c r="QJG211" s="2522"/>
      <c r="QJH211" s="2522"/>
      <c r="QJI211" s="2522"/>
      <c r="QJJ211" s="2522"/>
      <c r="QJK211" s="2522"/>
      <c r="QJL211" s="2522"/>
      <c r="QJM211" s="2522"/>
      <c r="QJN211" s="2522"/>
      <c r="QJO211" s="2522"/>
      <c r="QJP211" s="2522"/>
      <c r="QJQ211" s="2522"/>
      <c r="QJR211" s="2522"/>
      <c r="QJS211" s="2522"/>
      <c r="QJT211" s="2522"/>
      <c r="QJU211" s="2522"/>
      <c r="QJV211" s="2522"/>
      <c r="QJW211" s="2522"/>
      <c r="QJX211" s="2522"/>
      <c r="QJY211" s="2522"/>
      <c r="QJZ211" s="2522"/>
      <c r="QKA211" s="2522"/>
      <c r="QKB211" s="2522"/>
      <c r="QKC211" s="2522"/>
      <c r="QKD211" s="2522"/>
      <c r="QKE211" s="2522"/>
      <c r="QKF211" s="2522"/>
      <c r="QKG211" s="2522"/>
      <c r="QKH211" s="2522"/>
      <c r="QKI211" s="2522"/>
      <c r="QKJ211" s="2522"/>
      <c r="QKK211" s="2522"/>
      <c r="QKL211" s="2522"/>
      <c r="QKM211" s="2522"/>
      <c r="QKN211" s="2522"/>
      <c r="QKO211" s="2522"/>
      <c r="QKP211" s="2522"/>
      <c r="QKQ211" s="2522"/>
      <c r="QKR211" s="2522"/>
      <c r="QKS211" s="2522"/>
      <c r="QKT211" s="2522"/>
      <c r="QKU211" s="2522"/>
      <c r="QKV211" s="2522"/>
      <c r="QKW211" s="2522"/>
      <c r="QKX211" s="2522"/>
      <c r="QKY211" s="2522"/>
      <c r="QKZ211" s="2522"/>
      <c r="QLA211" s="2522"/>
      <c r="QLB211" s="2522"/>
      <c r="QLC211" s="2522"/>
      <c r="QLD211" s="2522"/>
      <c r="QLE211" s="2522"/>
      <c r="QLF211" s="2522"/>
      <c r="QLG211" s="2522"/>
      <c r="QLH211" s="2522"/>
      <c r="QLI211" s="2522"/>
      <c r="QLJ211" s="2522"/>
      <c r="QLK211" s="2522"/>
      <c r="QLL211" s="2522"/>
      <c r="QLM211" s="2522"/>
      <c r="QLN211" s="2522"/>
      <c r="QLO211" s="2522"/>
      <c r="QLP211" s="2522"/>
      <c r="QLQ211" s="2522"/>
      <c r="QLR211" s="2522"/>
      <c r="QLS211" s="2522"/>
      <c r="QLT211" s="2522"/>
      <c r="QLU211" s="2522"/>
      <c r="QLV211" s="2522"/>
      <c r="QLW211" s="2522"/>
      <c r="QLX211" s="2522"/>
      <c r="QLY211" s="2522"/>
      <c r="QLZ211" s="2522"/>
      <c r="QMA211" s="2522"/>
      <c r="QMB211" s="2522"/>
      <c r="QMC211" s="2522"/>
      <c r="QMD211" s="2522"/>
      <c r="QME211" s="2522"/>
      <c r="QMF211" s="2522"/>
      <c r="QMG211" s="2522"/>
      <c r="QMH211" s="2522"/>
      <c r="QMI211" s="2522"/>
      <c r="QMJ211" s="2522"/>
      <c r="QMK211" s="2522"/>
      <c r="QML211" s="2522"/>
      <c r="QMM211" s="2522"/>
      <c r="QMN211" s="2522"/>
      <c r="QMO211" s="2522"/>
      <c r="QMP211" s="2522"/>
      <c r="QMQ211" s="2522"/>
      <c r="QMR211" s="2522"/>
      <c r="QMS211" s="2522"/>
      <c r="QMT211" s="2522"/>
      <c r="QMU211" s="2522"/>
      <c r="QMV211" s="2522"/>
      <c r="QMW211" s="2522"/>
      <c r="QMX211" s="2522"/>
      <c r="QMY211" s="2522"/>
      <c r="QMZ211" s="2522"/>
      <c r="QNA211" s="2522"/>
      <c r="QNB211" s="2522"/>
      <c r="QNC211" s="2522"/>
      <c r="QND211" s="2522"/>
      <c r="QNE211" s="2522"/>
      <c r="QNF211" s="2522"/>
      <c r="QNG211" s="2522"/>
      <c r="QNH211" s="2522"/>
      <c r="QNI211" s="2522"/>
      <c r="QNJ211" s="2522"/>
      <c r="QNK211" s="2522"/>
      <c r="QNL211" s="2522"/>
      <c r="QNM211" s="2522"/>
      <c r="QNN211" s="2522"/>
      <c r="QNO211" s="2522"/>
      <c r="QNP211" s="2522"/>
      <c r="QNQ211" s="2522"/>
      <c r="QNR211" s="2522"/>
      <c r="QNS211" s="2522"/>
      <c r="QNT211" s="2522"/>
      <c r="QNU211" s="2522"/>
      <c r="QNV211" s="2522"/>
      <c r="QNW211" s="2522"/>
      <c r="QNX211" s="2522"/>
      <c r="QNY211" s="2522"/>
      <c r="QNZ211" s="2522"/>
      <c r="QOA211" s="2522"/>
      <c r="QOB211" s="2522"/>
      <c r="QOC211" s="2522"/>
      <c r="QOD211" s="2522"/>
      <c r="QOE211" s="2522"/>
      <c r="QOF211" s="2522"/>
      <c r="QOG211" s="2522"/>
      <c r="QOH211" s="2522"/>
      <c r="QOI211" s="2522"/>
      <c r="QOJ211" s="2522"/>
      <c r="QOK211" s="2522"/>
      <c r="QOL211" s="2522"/>
      <c r="QOM211" s="2522"/>
      <c r="QON211" s="2522"/>
      <c r="QOO211" s="2522"/>
      <c r="QOP211" s="2522"/>
      <c r="QOQ211" s="2522"/>
      <c r="QOR211" s="2522"/>
      <c r="QOS211" s="2522"/>
      <c r="QOT211" s="2522"/>
      <c r="QOU211" s="2522"/>
      <c r="QOV211" s="2522"/>
      <c r="QOW211" s="2522"/>
      <c r="QOX211" s="2522"/>
      <c r="QOY211" s="2522"/>
      <c r="QOZ211" s="2522"/>
      <c r="QPA211" s="2522"/>
      <c r="QPB211" s="2522"/>
      <c r="QPC211" s="2522"/>
      <c r="QPD211" s="2522"/>
      <c r="QPE211" s="2522"/>
      <c r="QPF211" s="2522"/>
      <c r="QPG211" s="2522"/>
      <c r="QPH211" s="2522"/>
      <c r="QPI211" s="2522"/>
      <c r="QPJ211" s="2522"/>
      <c r="QPK211" s="2522"/>
      <c r="QPL211" s="2522"/>
      <c r="QPM211" s="2522"/>
      <c r="QPN211" s="2522"/>
      <c r="QPO211" s="2522"/>
      <c r="QPP211" s="2522"/>
      <c r="QPQ211" s="2522"/>
      <c r="QPR211" s="2522"/>
      <c r="QPS211" s="2522"/>
      <c r="QPT211" s="2522"/>
      <c r="QPU211" s="2522"/>
      <c r="QPV211" s="2522"/>
      <c r="QPW211" s="2522"/>
      <c r="QPX211" s="2522"/>
      <c r="QPY211" s="2522"/>
      <c r="QPZ211" s="2522"/>
      <c r="QQA211" s="2522"/>
      <c r="QQB211" s="2522"/>
      <c r="QQC211" s="2522"/>
      <c r="QQD211" s="2522"/>
      <c r="QQE211" s="2522"/>
      <c r="QQF211" s="2522"/>
      <c r="QQG211" s="2522"/>
      <c r="QQH211" s="2522"/>
      <c r="QQI211" s="2522"/>
      <c r="QQJ211" s="2522"/>
      <c r="QQK211" s="2522"/>
      <c r="QQL211" s="2522"/>
      <c r="QQM211" s="2522"/>
      <c r="QQN211" s="2522"/>
      <c r="QQO211" s="2522"/>
      <c r="QQP211" s="2522"/>
      <c r="QQQ211" s="2522"/>
      <c r="QQR211" s="2522"/>
      <c r="QQS211" s="2522"/>
      <c r="QQT211" s="2522"/>
      <c r="QQU211" s="2522"/>
      <c r="QQV211" s="2522"/>
      <c r="QQW211" s="2522"/>
      <c r="QQX211" s="2522"/>
      <c r="QQY211" s="2522"/>
      <c r="QQZ211" s="2522"/>
      <c r="QRA211" s="2522"/>
      <c r="QRB211" s="2522"/>
      <c r="QRC211" s="2522"/>
      <c r="QRD211" s="2522"/>
      <c r="QRE211" s="2522"/>
      <c r="QRF211" s="2522"/>
      <c r="QRG211" s="2522"/>
      <c r="QRH211" s="2522"/>
      <c r="QRI211" s="2522"/>
      <c r="QRJ211" s="2522"/>
      <c r="QRK211" s="2522"/>
      <c r="QRL211" s="2522"/>
      <c r="QRM211" s="2522"/>
      <c r="QRN211" s="2522"/>
      <c r="QRO211" s="2522"/>
      <c r="QRP211" s="2522"/>
      <c r="QRQ211" s="2522"/>
      <c r="QRR211" s="2522"/>
      <c r="QRS211" s="2522"/>
      <c r="QRT211" s="2522"/>
      <c r="QRU211" s="2522"/>
      <c r="QRV211" s="2522"/>
      <c r="QRW211" s="2522"/>
      <c r="QRX211" s="2522"/>
      <c r="QRY211" s="2522"/>
      <c r="QRZ211" s="2522"/>
      <c r="QSA211" s="2522"/>
      <c r="QSB211" s="2522"/>
      <c r="QSC211" s="2522"/>
      <c r="QSD211" s="2522"/>
      <c r="QSE211" s="2522"/>
      <c r="QSF211" s="2522"/>
      <c r="QSG211" s="2522"/>
      <c r="QSH211" s="2522"/>
      <c r="QSI211" s="2522"/>
      <c r="QSJ211" s="2522"/>
      <c r="QSK211" s="2522"/>
      <c r="QSL211" s="2522"/>
      <c r="QSM211" s="2522"/>
      <c r="QSN211" s="2522"/>
      <c r="QSO211" s="2522"/>
      <c r="QSP211" s="2522"/>
      <c r="QSQ211" s="2522"/>
      <c r="QSR211" s="2522"/>
      <c r="QSS211" s="2522"/>
      <c r="QST211" s="2522"/>
      <c r="QSU211" s="2522"/>
      <c r="QSV211" s="2522"/>
      <c r="QSW211" s="2522"/>
      <c r="QSX211" s="2522"/>
      <c r="QSY211" s="2522"/>
      <c r="QSZ211" s="2522"/>
      <c r="QTA211" s="2522"/>
      <c r="QTB211" s="2522"/>
      <c r="QTC211" s="2522"/>
      <c r="QTD211" s="2522"/>
      <c r="QTE211" s="2522"/>
      <c r="QTF211" s="2522"/>
      <c r="QTG211" s="2522"/>
      <c r="QTH211" s="2522"/>
      <c r="QTI211" s="2522"/>
      <c r="QTJ211" s="2522"/>
      <c r="QTK211" s="2522"/>
      <c r="QTL211" s="2522"/>
      <c r="QTM211" s="2522"/>
      <c r="QTN211" s="2522"/>
      <c r="QTO211" s="2522"/>
      <c r="QTP211" s="2522"/>
      <c r="QTQ211" s="2522"/>
      <c r="QTR211" s="2522"/>
      <c r="QTS211" s="2522"/>
      <c r="QTT211" s="2522"/>
      <c r="QTU211" s="2522"/>
      <c r="QTV211" s="2522"/>
      <c r="QTW211" s="2522"/>
      <c r="QTX211" s="2522"/>
      <c r="QTY211" s="2522"/>
      <c r="QTZ211" s="2522"/>
      <c r="QUA211" s="2522"/>
      <c r="QUB211" s="2522"/>
      <c r="QUC211" s="2522"/>
      <c r="QUD211" s="2522"/>
      <c r="QUE211" s="2522"/>
      <c r="QUF211" s="2522"/>
      <c r="QUG211" s="2522"/>
      <c r="QUH211" s="2522"/>
      <c r="QUI211" s="2522"/>
      <c r="QUJ211" s="2522"/>
      <c r="QUK211" s="2522"/>
      <c r="QUL211" s="2522"/>
      <c r="QUM211" s="2522"/>
      <c r="QUN211" s="2522"/>
      <c r="QUO211" s="2522"/>
      <c r="QUP211" s="2522"/>
      <c r="QUQ211" s="2522"/>
      <c r="QUR211" s="2522"/>
      <c r="QUS211" s="2522"/>
      <c r="QUT211" s="2522"/>
      <c r="QUU211" s="2522"/>
      <c r="QUV211" s="2522"/>
      <c r="QUW211" s="2522"/>
      <c r="QUX211" s="2522"/>
      <c r="QUY211" s="2522"/>
      <c r="QUZ211" s="2522"/>
      <c r="QVA211" s="2522"/>
      <c r="QVB211" s="2522"/>
      <c r="QVC211" s="2522"/>
      <c r="QVD211" s="2522"/>
      <c r="QVE211" s="2522"/>
      <c r="QVF211" s="2522"/>
      <c r="QVG211" s="2522"/>
      <c r="QVH211" s="2522"/>
      <c r="QVI211" s="2522"/>
      <c r="QVJ211" s="2522"/>
      <c r="QVK211" s="2522"/>
      <c r="QVL211" s="2522"/>
      <c r="QVM211" s="2522"/>
      <c r="QVN211" s="2522"/>
      <c r="QVO211" s="2522"/>
      <c r="QVP211" s="2522"/>
      <c r="QVQ211" s="2522"/>
      <c r="QVR211" s="2522"/>
      <c r="QVS211" s="2522"/>
      <c r="QVT211" s="2522"/>
      <c r="QVU211" s="2522"/>
      <c r="QVV211" s="2522"/>
      <c r="QVW211" s="2522"/>
      <c r="QVX211" s="2522"/>
      <c r="QVY211" s="2522"/>
      <c r="QVZ211" s="2522"/>
      <c r="QWA211" s="2522"/>
      <c r="QWB211" s="2522"/>
      <c r="QWC211" s="2522"/>
      <c r="QWD211" s="2522"/>
      <c r="QWE211" s="2522"/>
      <c r="QWF211" s="2522"/>
      <c r="QWG211" s="2522"/>
      <c r="QWH211" s="2522"/>
      <c r="QWI211" s="2522"/>
      <c r="QWJ211" s="2522"/>
      <c r="QWK211" s="2522"/>
      <c r="QWL211" s="2522"/>
      <c r="QWM211" s="2522"/>
      <c r="QWN211" s="2522"/>
      <c r="QWO211" s="2522"/>
      <c r="QWP211" s="2522"/>
      <c r="QWQ211" s="2522"/>
      <c r="QWR211" s="2522"/>
      <c r="QWS211" s="2522"/>
      <c r="QWT211" s="2522"/>
      <c r="QWU211" s="2522"/>
      <c r="QWV211" s="2522"/>
      <c r="QWW211" s="2522"/>
      <c r="QWX211" s="2522"/>
      <c r="QWY211" s="2522"/>
      <c r="QWZ211" s="2522"/>
      <c r="QXA211" s="2522"/>
      <c r="QXB211" s="2522"/>
      <c r="QXC211" s="2522"/>
      <c r="QXD211" s="2522"/>
      <c r="QXE211" s="2522"/>
      <c r="QXF211" s="2522"/>
      <c r="QXG211" s="2522"/>
      <c r="QXH211" s="2522"/>
      <c r="QXI211" s="2522"/>
      <c r="QXJ211" s="2522"/>
      <c r="QXK211" s="2522"/>
      <c r="QXL211" s="2522"/>
      <c r="QXM211" s="2522"/>
      <c r="QXN211" s="2522"/>
      <c r="QXO211" s="2522"/>
      <c r="QXP211" s="2522"/>
      <c r="QXQ211" s="2522"/>
      <c r="QXR211" s="2522"/>
      <c r="QXS211" s="2522"/>
      <c r="QXT211" s="2522"/>
      <c r="QXU211" s="2522"/>
      <c r="QXV211" s="2522"/>
      <c r="QXW211" s="2522"/>
      <c r="QXX211" s="2522"/>
      <c r="QXY211" s="2522"/>
      <c r="QXZ211" s="2522"/>
      <c r="QYA211" s="2522"/>
      <c r="QYB211" s="2522"/>
      <c r="QYC211" s="2522"/>
      <c r="QYD211" s="2522"/>
      <c r="QYE211" s="2522"/>
      <c r="QYF211" s="2522"/>
      <c r="QYG211" s="2522"/>
      <c r="QYH211" s="2522"/>
      <c r="QYI211" s="2522"/>
      <c r="QYJ211" s="2522"/>
      <c r="QYK211" s="2522"/>
      <c r="QYL211" s="2522"/>
      <c r="QYM211" s="2522"/>
      <c r="QYN211" s="2522"/>
      <c r="QYO211" s="2522"/>
      <c r="QYP211" s="2522"/>
      <c r="QYQ211" s="2522"/>
      <c r="QYR211" s="2522"/>
      <c r="QYS211" s="2522"/>
      <c r="QYT211" s="2522"/>
      <c r="QYU211" s="2522"/>
      <c r="QYV211" s="2522"/>
      <c r="QYW211" s="2522"/>
      <c r="QYX211" s="2522"/>
      <c r="QYY211" s="2522"/>
      <c r="QYZ211" s="2522"/>
      <c r="QZA211" s="2522"/>
      <c r="QZB211" s="2522"/>
      <c r="QZC211" s="2522"/>
      <c r="QZD211" s="2522"/>
      <c r="QZE211" s="2522"/>
      <c r="QZF211" s="2522"/>
      <c r="QZG211" s="2522"/>
      <c r="QZH211" s="2522"/>
      <c r="QZI211" s="2522"/>
      <c r="QZJ211" s="2522"/>
      <c r="QZK211" s="2522"/>
      <c r="QZL211" s="2522"/>
      <c r="QZM211" s="2522"/>
      <c r="QZN211" s="2522"/>
      <c r="QZO211" s="2522"/>
      <c r="QZP211" s="2522"/>
      <c r="QZQ211" s="2522"/>
      <c r="QZR211" s="2522"/>
      <c r="QZS211" s="2522"/>
      <c r="QZT211" s="2522"/>
      <c r="QZU211" s="2522"/>
      <c r="QZV211" s="2522"/>
      <c r="QZW211" s="2522"/>
      <c r="QZX211" s="2522"/>
      <c r="QZY211" s="2522"/>
      <c r="QZZ211" s="2522"/>
      <c r="RAA211" s="2522"/>
      <c r="RAB211" s="2522"/>
      <c r="RAC211" s="2522"/>
      <c r="RAD211" s="2522"/>
      <c r="RAE211" s="2522"/>
      <c r="RAF211" s="2522"/>
      <c r="RAG211" s="2522"/>
      <c r="RAH211" s="2522"/>
      <c r="RAI211" s="2522"/>
      <c r="RAJ211" s="2522"/>
      <c r="RAK211" s="2522"/>
      <c r="RAL211" s="2522"/>
      <c r="RAM211" s="2522"/>
      <c r="RAN211" s="2522"/>
      <c r="RAO211" s="2522"/>
      <c r="RAP211" s="2522"/>
      <c r="RAQ211" s="2522"/>
      <c r="RAR211" s="2522"/>
      <c r="RAS211" s="2522"/>
      <c r="RAT211" s="2522"/>
      <c r="RAU211" s="2522"/>
      <c r="RAV211" s="2522"/>
      <c r="RAW211" s="2522"/>
      <c r="RAX211" s="2522"/>
      <c r="RAY211" s="2522"/>
      <c r="RAZ211" s="2522"/>
      <c r="RBA211" s="2522"/>
      <c r="RBB211" s="2522"/>
      <c r="RBC211" s="2522"/>
      <c r="RBD211" s="2522"/>
      <c r="RBE211" s="2522"/>
      <c r="RBF211" s="2522"/>
      <c r="RBG211" s="2522"/>
      <c r="RBH211" s="2522"/>
      <c r="RBI211" s="2522"/>
      <c r="RBJ211" s="2522"/>
      <c r="RBK211" s="2522"/>
      <c r="RBL211" s="2522"/>
      <c r="RBM211" s="2522"/>
      <c r="RBN211" s="2522"/>
      <c r="RBO211" s="2522"/>
      <c r="RBP211" s="2522"/>
      <c r="RBQ211" s="2522"/>
      <c r="RBR211" s="2522"/>
      <c r="RBS211" s="2522"/>
      <c r="RBT211" s="2522"/>
      <c r="RBU211" s="2522"/>
      <c r="RBV211" s="2522"/>
      <c r="RBW211" s="2522"/>
      <c r="RBX211" s="2522"/>
      <c r="RBY211" s="2522"/>
      <c r="RBZ211" s="2522"/>
      <c r="RCA211" s="2522"/>
      <c r="RCB211" s="2522"/>
      <c r="RCC211" s="2522"/>
      <c r="RCD211" s="2522"/>
      <c r="RCE211" s="2522"/>
      <c r="RCF211" s="2522"/>
      <c r="RCG211" s="2522"/>
      <c r="RCH211" s="2522"/>
      <c r="RCI211" s="2522"/>
      <c r="RCJ211" s="2522"/>
      <c r="RCK211" s="2522"/>
      <c r="RCL211" s="2522"/>
      <c r="RCM211" s="2522"/>
      <c r="RCN211" s="2522"/>
      <c r="RCO211" s="2522"/>
      <c r="RCP211" s="2522"/>
      <c r="RCQ211" s="2522"/>
      <c r="RCR211" s="2522"/>
      <c r="RCS211" s="2522"/>
      <c r="RCT211" s="2522"/>
      <c r="RCU211" s="2522"/>
      <c r="RCV211" s="2522"/>
      <c r="RCW211" s="2522"/>
      <c r="RCX211" s="2522"/>
      <c r="RCY211" s="2522"/>
      <c r="RCZ211" s="2522"/>
      <c r="RDA211" s="2522"/>
      <c r="RDB211" s="2522"/>
      <c r="RDC211" s="2522"/>
      <c r="RDD211" s="2522"/>
      <c r="RDE211" s="2522"/>
      <c r="RDF211" s="2522"/>
      <c r="RDG211" s="2522"/>
      <c r="RDH211" s="2522"/>
      <c r="RDI211" s="2522"/>
      <c r="RDJ211" s="2522"/>
      <c r="RDK211" s="2522"/>
      <c r="RDL211" s="2522"/>
      <c r="RDM211" s="2522"/>
      <c r="RDN211" s="2522"/>
      <c r="RDO211" s="2522"/>
      <c r="RDP211" s="2522"/>
      <c r="RDQ211" s="2522"/>
      <c r="RDR211" s="2522"/>
      <c r="RDS211" s="2522"/>
      <c r="RDT211" s="2522"/>
      <c r="RDU211" s="2522"/>
      <c r="RDV211" s="2522"/>
      <c r="RDW211" s="2522"/>
      <c r="RDX211" s="2522"/>
      <c r="RDY211" s="2522"/>
      <c r="RDZ211" s="2522"/>
      <c r="REA211" s="2522"/>
      <c r="REB211" s="2522"/>
      <c r="REC211" s="2522"/>
      <c r="RED211" s="2522"/>
      <c r="REE211" s="2522"/>
      <c r="REF211" s="2522"/>
      <c r="REG211" s="2522"/>
      <c r="REH211" s="2522"/>
      <c r="REI211" s="2522"/>
      <c r="REJ211" s="2522"/>
      <c r="REK211" s="2522"/>
      <c r="REL211" s="2522"/>
      <c r="REM211" s="2522"/>
      <c r="REN211" s="2522"/>
      <c r="REO211" s="2522"/>
      <c r="REP211" s="2522"/>
      <c r="REQ211" s="2522"/>
      <c r="RER211" s="2522"/>
      <c r="RES211" s="2522"/>
      <c r="RET211" s="2522"/>
      <c r="REU211" s="2522"/>
      <c r="REV211" s="2522"/>
      <c r="REW211" s="2522"/>
      <c r="REX211" s="2522"/>
      <c r="REY211" s="2522"/>
      <c r="REZ211" s="2522"/>
      <c r="RFA211" s="2522"/>
      <c r="RFB211" s="2522"/>
      <c r="RFC211" s="2522"/>
      <c r="RFD211" s="2522"/>
      <c r="RFE211" s="2522"/>
      <c r="RFF211" s="2522"/>
      <c r="RFG211" s="2522"/>
      <c r="RFH211" s="2522"/>
      <c r="RFI211" s="2522"/>
      <c r="RFJ211" s="2522"/>
      <c r="RFK211" s="2522"/>
      <c r="RFL211" s="2522"/>
      <c r="RFM211" s="2522"/>
      <c r="RFN211" s="2522"/>
      <c r="RFO211" s="2522"/>
      <c r="RFP211" s="2522"/>
      <c r="RFQ211" s="2522"/>
      <c r="RFR211" s="2522"/>
      <c r="RFS211" s="2522"/>
      <c r="RFT211" s="2522"/>
      <c r="RFU211" s="2522"/>
      <c r="RFV211" s="2522"/>
      <c r="RFW211" s="2522"/>
      <c r="RFX211" s="2522"/>
      <c r="RFY211" s="2522"/>
      <c r="RFZ211" s="2522"/>
      <c r="RGA211" s="2522"/>
      <c r="RGB211" s="2522"/>
      <c r="RGC211" s="2522"/>
      <c r="RGD211" s="2522"/>
      <c r="RGE211" s="2522"/>
      <c r="RGF211" s="2522"/>
      <c r="RGG211" s="2522"/>
      <c r="RGH211" s="2522"/>
      <c r="RGI211" s="2522"/>
      <c r="RGJ211" s="2522"/>
      <c r="RGK211" s="2522"/>
      <c r="RGL211" s="2522"/>
      <c r="RGM211" s="2522"/>
      <c r="RGN211" s="2522"/>
      <c r="RGO211" s="2522"/>
      <c r="RGP211" s="2522"/>
      <c r="RGQ211" s="2522"/>
      <c r="RGR211" s="2522"/>
      <c r="RGS211" s="2522"/>
      <c r="RGT211" s="2522"/>
      <c r="RGU211" s="2522"/>
      <c r="RGV211" s="2522"/>
      <c r="RGW211" s="2522"/>
      <c r="RGX211" s="2522"/>
      <c r="RGY211" s="2522"/>
      <c r="RGZ211" s="2522"/>
      <c r="RHA211" s="2522"/>
      <c r="RHB211" s="2522"/>
      <c r="RHC211" s="2522"/>
      <c r="RHD211" s="2522"/>
      <c r="RHE211" s="2522"/>
      <c r="RHF211" s="2522"/>
      <c r="RHG211" s="2522"/>
      <c r="RHH211" s="2522"/>
      <c r="RHI211" s="2522"/>
      <c r="RHJ211" s="2522"/>
      <c r="RHK211" s="2522"/>
      <c r="RHL211" s="2522"/>
      <c r="RHM211" s="2522"/>
      <c r="RHN211" s="2522"/>
      <c r="RHO211" s="2522"/>
      <c r="RHP211" s="2522"/>
      <c r="RHQ211" s="2522"/>
      <c r="RHR211" s="2522"/>
      <c r="RHS211" s="2522"/>
      <c r="RHT211" s="2522"/>
      <c r="RHU211" s="2522"/>
      <c r="RHV211" s="2522"/>
      <c r="RHW211" s="2522"/>
      <c r="RHX211" s="2522"/>
      <c r="RHY211" s="2522"/>
      <c r="RHZ211" s="2522"/>
      <c r="RIA211" s="2522"/>
      <c r="RIB211" s="2522"/>
      <c r="RIC211" s="2522"/>
      <c r="RID211" s="2522"/>
      <c r="RIE211" s="2522"/>
      <c r="RIF211" s="2522"/>
      <c r="RIG211" s="2522"/>
      <c r="RIH211" s="2522"/>
      <c r="RII211" s="2522"/>
      <c r="RIJ211" s="2522"/>
      <c r="RIK211" s="2522"/>
      <c r="RIL211" s="2522"/>
      <c r="RIM211" s="2522"/>
      <c r="RIN211" s="2522"/>
      <c r="RIO211" s="2522"/>
      <c r="RIP211" s="2522"/>
      <c r="RIQ211" s="2522"/>
      <c r="RIR211" s="2522"/>
      <c r="RIS211" s="2522"/>
      <c r="RIT211" s="2522"/>
      <c r="RIU211" s="2522"/>
      <c r="RIV211" s="2522"/>
      <c r="RIW211" s="2522"/>
      <c r="RIX211" s="2522"/>
      <c r="RIY211" s="2522"/>
      <c r="RIZ211" s="2522"/>
      <c r="RJA211" s="2522"/>
      <c r="RJB211" s="2522"/>
      <c r="RJC211" s="2522"/>
      <c r="RJD211" s="2522"/>
      <c r="RJE211" s="2522"/>
      <c r="RJF211" s="2522"/>
      <c r="RJG211" s="2522"/>
      <c r="RJH211" s="2522"/>
      <c r="RJI211" s="2522"/>
      <c r="RJJ211" s="2522"/>
      <c r="RJK211" s="2522"/>
      <c r="RJL211" s="2522"/>
      <c r="RJM211" s="2522"/>
      <c r="RJN211" s="2522"/>
      <c r="RJO211" s="2522"/>
      <c r="RJP211" s="2522"/>
      <c r="RJQ211" s="2522"/>
      <c r="RJR211" s="2522"/>
      <c r="RJS211" s="2522"/>
      <c r="RJT211" s="2522"/>
      <c r="RJU211" s="2522"/>
      <c r="RJV211" s="2522"/>
      <c r="RJW211" s="2522"/>
      <c r="RJX211" s="2522"/>
      <c r="RJY211" s="2522"/>
      <c r="RJZ211" s="2522"/>
      <c r="RKA211" s="2522"/>
      <c r="RKB211" s="2522"/>
      <c r="RKC211" s="2522"/>
      <c r="RKD211" s="2522"/>
      <c r="RKE211" s="2522"/>
      <c r="RKF211" s="2522"/>
      <c r="RKG211" s="2522"/>
      <c r="RKH211" s="2522"/>
      <c r="RKI211" s="2522"/>
      <c r="RKJ211" s="2522"/>
      <c r="RKK211" s="2522"/>
      <c r="RKL211" s="2522"/>
      <c r="RKM211" s="2522"/>
      <c r="RKN211" s="2522"/>
      <c r="RKO211" s="2522"/>
      <c r="RKP211" s="2522"/>
      <c r="RKQ211" s="2522"/>
      <c r="RKR211" s="2522"/>
      <c r="RKS211" s="2522"/>
      <c r="RKT211" s="2522"/>
      <c r="RKU211" s="2522"/>
      <c r="RKV211" s="2522"/>
      <c r="RKW211" s="2522"/>
      <c r="RKX211" s="2522"/>
      <c r="RKY211" s="2522"/>
      <c r="RKZ211" s="2522"/>
      <c r="RLA211" s="2522"/>
      <c r="RLB211" s="2522"/>
      <c r="RLC211" s="2522"/>
      <c r="RLD211" s="2522"/>
      <c r="RLE211" s="2522"/>
      <c r="RLF211" s="2522"/>
      <c r="RLG211" s="2522"/>
      <c r="RLH211" s="2522"/>
      <c r="RLI211" s="2522"/>
      <c r="RLJ211" s="2522"/>
      <c r="RLK211" s="2522"/>
      <c r="RLL211" s="2522"/>
      <c r="RLM211" s="2522"/>
      <c r="RLN211" s="2522"/>
      <c r="RLO211" s="2522"/>
      <c r="RLP211" s="2522"/>
      <c r="RLQ211" s="2522"/>
      <c r="RLR211" s="2522"/>
      <c r="RLS211" s="2522"/>
      <c r="RLT211" s="2522"/>
      <c r="RLU211" s="2522"/>
      <c r="RLV211" s="2522"/>
      <c r="RLW211" s="2522"/>
      <c r="RLX211" s="2522"/>
      <c r="RLY211" s="2522"/>
      <c r="RLZ211" s="2522"/>
      <c r="RMA211" s="2522"/>
      <c r="RMB211" s="2522"/>
      <c r="RMC211" s="2522"/>
      <c r="RMD211" s="2522"/>
      <c r="RME211" s="2522"/>
      <c r="RMF211" s="2522"/>
      <c r="RMG211" s="2522"/>
      <c r="RMH211" s="2522"/>
      <c r="RMI211" s="2522"/>
      <c r="RMJ211" s="2522"/>
      <c r="RMK211" s="2522"/>
      <c r="RML211" s="2522"/>
      <c r="RMM211" s="2522"/>
      <c r="RMN211" s="2522"/>
      <c r="RMO211" s="2522"/>
      <c r="RMP211" s="2522"/>
      <c r="RMQ211" s="2522"/>
      <c r="RMR211" s="2522"/>
      <c r="RMS211" s="2522"/>
      <c r="RMT211" s="2522"/>
      <c r="RMU211" s="2522"/>
      <c r="RMV211" s="2522"/>
      <c r="RMW211" s="2522"/>
      <c r="RMX211" s="2522"/>
      <c r="RMY211" s="2522"/>
      <c r="RMZ211" s="2522"/>
      <c r="RNA211" s="2522"/>
      <c r="RNB211" s="2522"/>
      <c r="RNC211" s="2522"/>
      <c r="RND211" s="2522"/>
      <c r="RNE211" s="2522"/>
      <c r="RNF211" s="2522"/>
      <c r="RNG211" s="2522"/>
      <c r="RNH211" s="2522"/>
      <c r="RNI211" s="2522"/>
      <c r="RNJ211" s="2522"/>
      <c r="RNK211" s="2522"/>
      <c r="RNL211" s="2522"/>
      <c r="RNM211" s="2522"/>
      <c r="RNN211" s="2522"/>
      <c r="RNO211" s="2522"/>
      <c r="RNP211" s="2522"/>
      <c r="RNQ211" s="2522"/>
      <c r="RNR211" s="2522"/>
      <c r="RNS211" s="2522"/>
      <c r="RNT211" s="2522"/>
      <c r="RNU211" s="2522"/>
      <c r="RNV211" s="2522"/>
      <c r="RNW211" s="2522"/>
      <c r="RNX211" s="2522"/>
      <c r="RNY211" s="2522"/>
      <c r="RNZ211" s="2522"/>
      <c r="ROA211" s="2522"/>
      <c r="ROB211" s="2522"/>
      <c r="ROC211" s="2522"/>
      <c r="ROD211" s="2522"/>
      <c r="ROE211" s="2522"/>
      <c r="ROF211" s="2522"/>
      <c r="ROG211" s="2522"/>
      <c r="ROH211" s="2522"/>
      <c r="ROI211" s="2522"/>
      <c r="ROJ211" s="2522"/>
      <c r="ROK211" s="2522"/>
      <c r="ROL211" s="2522"/>
      <c r="ROM211" s="2522"/>
      <c r="RON211" s="2522"/>
      <c r="ROO211" s="2522"/>
      <c r="ROP211" s="2522"/>
      <c r="ROQ211" s="2522"/>
      <c r="ROR211" s="2522"/>
      <c r="ROS211" s="2522"/>
      <c r="ROT211" s="2522"/>
      <c r="ROU211" s="2522"/>
      <c r="ROV211" s="2522"/>
      <c r="ROW211" s="2522"/>
      <c r="ROX211" s="2522"/>
      <c r="ROY211" s="2522"/>
      <c r="ROZ211" s="2522"/>
      <c r="RPA211" s="2522"/>
      <c r="RPB211" s="2522"/>
      <c r="RPC211" s="2522"/>
      <c r="RPD211" s="2522"/>
      <c r="RPE211" s="2522"/>
      <c r="RPF211" s="2522"/>
      <c r="RPG211" s="2522"/>
      <c r="RPH211" s="2522"/>
      <c r="RPI211" s="2522"/>
      <c r="RPJ211" s="2522"/>
      <c r="RPK211" s="2522"/>
      <c r="RPL211" s="2522"/>
      <c r="RPM211" s="2522"/>
      <c r="RPN211" s="2522"/>
      <c r="RPO211" s="2522"/>
      <c r="RPP211" s="2522"/>
      <c r="RPQ211" s="2522"/>
      <c r="RPR211" s="2522"/>
      <c r="RPS211" s="2522"/>
      <c r="RPT211" s="2522"/>
      <c r="RPU211" s="2522"/>
      <c r="RPV211" s="2522"/>
      <c r="RPW211" s="2522"/>
      <c r="RPX211" s="2522"/>
      <c r="RPY211" s="2522"/>
      <c r="RPZ211" s="2522"/>
      <c r="RQA211" s="2522"/>
      <c r="RQB211" s="2522"/>
      <c r="RQC211" s="2522"/>
      <c r="RQD211" s="2522"/>
      <c r="RQE211" s="2522"/>
      <c r="RQF211" s="2522"/>
      <c r="RQG211" s="2522"/>
      <c r="RQH211" s="2522"/>
      <c r="RQI211" s="2522"/>
      <c r="RQJ211" s="2522"/>
      <c r="RQK211" s="2522"/>
      <c r="RQL211" s="2522"/>
      <c r="RQM211" s="2522"/>
      <c r="RQN211" s="2522"/>
      <c r="RQO211" s="2522"/>
      <c r="RQP211" s="2522"/>
      <c r="RQQ211" s="2522"/>
      <c r="RQR211" s="2522"/>
      <c r="RQS211" s="2522"/>
      <c r="RQT211" s="2522"/>
      <c r="RQU211" s="2522"/>
      <c r="RQV211" s="2522"/>
      <c r="RQW211" s="2522"/>
      <c r="RQX211" s="2522"/>
      <c r="RQY211" s="2522"/>
      <c r="RQZ211" s="2522"/>
      <c r="RRA211" s="2522"/>
      <c r="RRB211" s="2522"/>
      <c r="RRC211" s="2522"/>
      <c r="RRD211" s="2522"/>
      <c r="RRE211" s="2522"/>
      <c r="RRF211" s="2522"/>
      <c r="RRG211" s="2522"/>
      <c r="RRH211" s="2522"/>
      <c r="RRI211" s="2522"/>
      <c r="RRJ211" s="2522"/>
      <c r="RRK211" s="2522"/>
      <c r="RRL211" s="2522"/>
      <c r="RRM211" s="2522"/>
      <c r="RRN211" s="2522"/>
      <c r="RRO211" s="2522"/>
      <c r="RRP211" s="2522"/>
      <c r="RRQ211" s="2522"/>
      <c r="RRR211" s="2522"/>
      <c r="RRS211" s="2522"/>
      <c r="RRT211" s="2522"/>
      <c r="RRU211" s="2522"/>
      <c r="RRV211" s="2522"/>
      <c r="RRW211" s="2522"/>
      <c r="RRX211" s="2522"/>
      <c r="RRY211" s="2522"/>
      <c r="RRZ211" s="2522"/>
      <c r="RSA211" s="2522"/>
      <c r="RSB211" s="2522"/>
      <c r="RSC211" s="2522"/>
      <c r="RSD211" s="2522"/>
      <c r="RSE211" s="2522"/>
      <c r="RSF211" s="2522"/>
      <c r="RSG211" s="2522"/>
      <c r="RSH211" s="2522"/>
      <c r="RSI211" s="2522"/>
      <c r="RSJ211" s="2522"/>
      <c r="RSK211" s="2522"/>
      <c r="RSL211" s="2522"/>
      <c r="RSM211" s="2522"/>
      <c r="RSN211" s="2522"/>
      <c r="RSO211" s="2522"/>
      <c r="RSP211" s="2522"/>
      <c r="RSQ211" s="2522"/>
      <c r="RSR211" s="2522"/>
      <c r="RSS211" s="2522"/>
      <c r="RST211" s="2522"/>
      <c r="RSU211" s="2522"/>
      <c r="RSV211" s="2522"/>
      <c r="RSW211" s="2522"/>
      <c r="RSX211" s="2522"/>
      <c r="RSY211" s="2522"/>
      <c r="RSZ211" s="2522"/>
      <c r="RTA211" s="2522"/>
      <c r="RTB211" s="2522"/>
      <c r="RTC211" s="2522"/>
      <c r="RTD211" s="2522"/>
      <c r="RTE211" s="2522"/>
      <c r="RTF211" s="2522"/>
      <c r="RTG211" s="2522"/>
      <c r="RTH211" s="2522"/>
      <c r="RTI211" s="2522"/>
      <c r="RTJ211" s="2522"/>
      <c r="RTK211" s="2522"/>
      <c r="RTL211" s="2522"/>
      <c r="RTM211" s="2522"/>
      <c r="RTN211" s="2522"/>
      <c r="RTO211" s="2522"/>
      <c r="RTP211" s="2522"/>
      <c r="RTQ211" s="2522"/>
      <c r="RTR211" s="2522"/>
      <c r="RTS211" s="2522"/>
      <c r="RTT211" s="2522"/>
      <c r="RTU211" s="2522"/>
      <c r="RTV211" s="2522"/>
      <c r="RTW211" s="2522"/>
      <c r="RTX211" s="2522"/>
      <c r="RTY211" s="2522"/>
      <c r="RTZ211" s="2522"/>
      <c r="RUA211" s="2522"/>
      <c r="RUB211" s="2522"/>
      <c r="RUC211" s="2522"/>
      <c r="RUD211" s="2522"/>
      <c r="RUE211" s="2522"/>
      <c r="RUF211" s="2522"/>
      <c r="RUG211" s="2522"/>
      <c r="RUH211" s="2522"/>
      <c r="RUI211" s="2522"/>
      <c r="RUJ211" s="2522"/>
      <c r="RUK211" s="2522"/>
      <c r="RUL211" s="2522"/>
      <c r="RUM211" s="2522"/>
      <c r="RUN211" s="2522"/>
      <c r="RUO211" s="2522"/>
      <c r="RUP211" s="2522"/>
      <c r="RUQ211" s="2522"/>
      <c r="RUR211" s="2522"/>
      <c r="RUS211" s="2522"/>
      <c r="RUT211" s="2522"/>
      <c r="RUU211" s="2522"/>
      <c r="RUV211" s="2522"/>
      <c r="RUW211" s="2522"/>
      <c r="RUX211" s="2522"/>
      <c r="RUY211" s="2522"/>
      <c r="RUZ211" s="2522"/>
      <c r="RVA211" s="2522"/>
      <c r="RVB211" s="2522"/>
      <c r="RVC211" s="2522"/>
      <c r="RVD211" s="2522"/>
      <c r="RVE211" s="2522"/>
      <c r="RVF211" s="2522"/>
      <c r="RVG211" s="2522"/>
      <c r="RVH211" s="2522"/>
      <c r="RVI211" s="2522"/>
      <c r="RVJ211" s="2522"/>
      <c r="RVK211" s="2522"/>
      <c r="RVL211" s="2522"/>
      <c r="RVM211" s="2522"/>
      <c r="RVN211" s="2522"/>
      <c r="RVO211" s="2522"/>
      <c r="RVP211" s="2522"/>
      <c r="RVQ211" s="2522"/>
      <c r="RVR211" s="2522"/>
      <c r="RVS211" s="2522"/>
      <c r="RVT211" s="2522"/>
      <c r="RVU211" s="2522"/>
      <c r="RVV211" s="2522"/>
      <c r="RVW211" s="2522"/>
      <c r="RVX211" s="2522"/>
      <c r="RVY211" s="2522"/>
      <c r="RVZ211" s="2522"/>
      <c r="RWA211" s="2522"/>
      <c r="RWB211" s="2522"/>
      <c r="RWC211" s="2522"/>
      <c r="RWD211" s="2522"/>
      <c r="RWE211" s="2522"/>
      <c r="RWF211" s="2522"/>
      <c r="RWG211" s="2522"/>
      <c r="RWH211" s="2522"/>
      <c r="RWI211" s="2522"/>
      <c r="RWJ211" s="2522"/>
      <c r="RWK211" s="2522"/>
      <c r="RWL211" s="2522"/>
      <c r="RWM211" s="2522"/>
      <c r="RWN211" s="2522"/>
      <c r="RWO211" s="2522"/>
      <c r="RWP211" s="2522"/>
      <c r="RWQ211" s="2522"/>
      <c r="RWR211" s="2522"/>
      <c r="RWS211" s="2522"/>
      <c r="RWT211" s="2522"/>
      <c r="RWU211" s="2522"/>
      <c r="RWV211" s="2522"/>
      <c r="RWW211" s="2522"/>
      <c r="RWX211" s="2522"/>
      <c r="RWY211" s="2522"/>
      <c r="RWZ211" s="2522"/>
      <c r="RXA211" s="2522"/>
      <c r="RXB211" s="2522"/>
      <c r="RXC211" s="2522"/>
      <c r="RXD211" s="2522"/>
      <c r="RXE211" s="2522"/>
      <c r="RXF211" s="2522"/>
      <c r="RXG211" s="2522"/>
      <c r="RXH211" s="2522"/>
      <c r="RXI211" s="2522"/>
      <c r="RXJ211" s="2522"/>
      <c r="RXK211" s="2522"/>
      <c r="RXL211" s="2522"/>
      <c r="RXM211" s="2522"/>
      <c r="RXN211" s="2522"/>
      <c r="RXO211" s="2522"/>
      <c r="RXP211" s="2522"/>
      <c r="RXQ211" s="2522"/>
      <c r="RXR211" s="2522"/>
      <c r="RXS211" s="2522"/>
      <c r="RXT211" s="2522"/>
      <c r="RXU211" s="2522"/>
      <c r="RXV211" s="2522"/>
      <c r="RXW211" s="2522"/>
      <c r="RXX211" s="2522"/>
      <c r="RXY211" s="2522"/>
      <c r="RXZ211" s="2522"/>
      <c r="RYA211" s="2522"/>
      <c r="RYB211" s="2522"/>
      <c r="RYC211" s="2522"/>
      <c r="RYD211" s="2522"/>
      <c r="RYE211" s="2522"/>
      <c r="RYF211" s="2522"/>
      <c r="RYG211" s="2522"/>
      <c r="RYH211" s="2522"/>
      <c r="RYI211" s="2522"/>
      <c r="RYJ211" s="2522"/>
      <c r="RYK211" s="2522"/>
      <c r="RYL211" s="2522"/>
      <c r="RYM211" s="2522"/>
      <c r="RYN211" s="2522"/>
      <c r="RYO211" s="2522"/>
      <c r="RYP211" s="2522"/>
      <c r="RYQ211" s="2522"/>
      <c r="RYR211" s="2522"/>
      <c r="RYS211" s="2522"/>
      <c r="RYT211" s="2522"/>
      <c r="RYU211" s="2522"/>
      <c r="RYV211" s="2522"/>
      <c r="RYW211" s="2522"/>
      <c r="RYX211" s="2522"/>
      <c r="RYY211" s="2522"/>
      <c r="RYZ211" s="2522"/>
      <c r="RZA211" s="2522"/>
      <c r="RZB211" s="2522"/>
      <c r="RZC211" s="2522"/>
      <c r="RZD211" s="2522"/>
      <c r="RZE211" s="2522"/>
      <c r="RZF211" s="2522"/>
      <c r="RZG211" s="2522"/>
      <c r="RZH211" s="2522"/>
      <c r="RZI211" s="2522"/>
      <c r="RZJ211" s="2522"/>
      <c r="RZK211" s="2522"/>
      <c r="RZL211" s="2522"/>
      <c r="RZM211" s="2522"/>
      <c r="RZN211" s="2522"/>
      <c r="RZO211" s="2522"/>
      <c r="RZP211" s="2522"/>
      <c r="RZQ211" s="2522"/>
      <c r="RZR211" s="2522"/>
      <c r="RZS211" s="2522"/>
      <c r="RZT211" s="2522"/>
      <c r="RZU211" s="2522"/>
      <c r="RZV211" s="2522"/>
      <c r="RZW211" s="2522"/>
      <c r="RZX211" s="2522"/>
      <c r="RZY211" s="2522"/>
      <c r="RZZ211" s="2522"/>
      <c r="SAA211" s="2522"/>
      <c r="SAB211" s="2522"/>
      <c r="SAC211" s="2522"/>
      <c r="SAD211" s="2522"/>
      <c r="SAE211" s="2522"/>
      <c r="SAF211" s="2522"/>
      <c r="SAG211" s="2522"/>
      <c r="SAH211" s="2522"/>
      <c r="SAI211" s="2522"/>
      <c r="SAJ211" s="2522"/>
      <c r="SAK211" s="2522"/>
      <c r="SAL211" s="2522"/>
      <c r="SAM211" s="2522"/>
      <c r="SAN211" s="2522"/>
      <c r="SAO211" s="2522"/>
      <c r="SAP211" s="2522"/>
      <c r="SAQ211" s="2522"/>
      <c r="SAR211" s="2522"/>
      <c r="SAS211" s="2522"/>
      <c r="SAT211" s="2522"/>
      <c r="SAU211" s="2522"/>
      <c r="SAV211" s="2522"/>
      <c r="SAW211" s="2522"/>
      <c r="SAX211" s="2522"/>
      <c r="SAY211" s="2522"/>
      <c r="SAZ211" s="2522"/>
      <c r="SBA211" s="2522"/>
      <c r="SBB211" s="2522"/>
      <c r="SBC211" s="2522"/>
      <c r="SBD211" s="2522"/>
      <c r="SBE211" s="2522"/>
      <c r="SBF211" s="2522"/>
      <c r="SBG211" s="2522"/>
      <c r="SBH211" s="2522"/>
      <c r="SBI211" s="2522"/>
      <c r="SBJ211" s="2522"/>
      <c r="SBK211" s="2522"/>
      <c r="SBL211" s="2522"/>
      <c r="SBM211" s="2522"/>
      <c r="SBN211" s="2522"/>
      <c r="SBO211" s="2522"/>
      <c r="SBP211" s="2522"/>
      <c r="SBQ211" s="2522"/>
      <c r="SBR211" s="2522"/>
      <c r="SBS211" s="2522"/>
      <c r="SBT211" s="2522"/>
      <c r="SBU211" s="2522"/>
      <c r="SBV211" s="2522"/>
      <c r="SBW211" s="2522"/>
      <c r="SBX211" s="2522"/>
      <c r="SBY211" s="2522"/>
      <c r="SBZ211" s="2522"/>
      <c r="SCA211" s="2522"/>
      <c r="SCB211" s="2522"/>
      <c r="SCC211" s="2522"/>
      <c r="SCD211" s="2522"/>
      <c r="SCE211" s="2522"/>
      <c r="SCF211" s="2522"/>
      <c r="SCG211" s="2522"/>
      <c r="SCH211" s="2522"/>
      <c r="SCI211" s="2522"/>
      <c r="SCJ211" s="2522"/>
      <c r="SCK211" s="2522"/>
      <c r="SCL211" s="2522"/>
      <c r="SCM211" s="2522"/>
      <c r="SCN211" s="2522"/>
      <c r="SCO211" s="2522"/>
      <c r="SCP211" s="2522"/>
      <c r="SCQ211" s="2522"/>
      <c r="SCR211" s="2522"/>
      <c r="SCS211" s="2522"/>
      <c r="SCT211" s="2522"/>
      <c r="SCU211" s="2522"/>
      <c r="SCV211" s="2522"/>
      <c r="SCW211" s="2522"/>
      <c r="SCX211" s="2522"/>
      <c r="SCY211" s="2522"/>
      <c r="SCZ211" s="2522"/>
      <c r="SDA211" s="2522"/>
      <c r="SDB211" s="2522"/>
      <c r="SDC211" s="2522"/>
      <c r="SDD211" s="2522"/>
      <c r="SDE211" s="2522"/>
      <c r="SDF211" s="2522"/>
      <c r="SDG211" s="2522"/>
      <c r="SDH211" s="2522"/>
      <c r="SDI211" s="2522"/>
      <c r="SDJ211" s="2522"/>
      <c r="SDK211" s="2522"/>
      <c r="SDL211" s="2522"/>
      <c r="SDM211" s="2522"/>
      <c r="SDN211" s="2522"/>
      <c r="SDO211" s="2522"/>
      <c r="SDP211" s="2522"/>
      <c r="SDQ211" s="2522"/>
      <c r="SDR211" s="2522"/>
      <c r="SDS211" s="2522"/>
      <c r="SDT211" s="2522"/>
      <c r="SDU211" s="2522"/>
      <c r="SDV211" s="2522"/>
      <c r="SDW211" s="2522"/>
      <c r="SDX211" s="2522"/>
      <c r="SDY211" s="2522"/>
      <c r="SDZ211" s="2522"/>
      <c r="SEA211" s="2522"/>
      <c r="SEB211" s="2522"/>
      <c r="SEC211" s="2522"/>
      <c r="SED211" s="2522"/>
      <c r="SEE211" s="2522"/>
      <c r="SEF211" s="2522"/>
      <c r="SEG211" s="2522"/>
      <c r="SEH211" s="2522"/>
      <c r="SEI211" s="2522"/>
      <c r="SEJ211" s="2522"/>
      <c r="SEK211" s="2522"/>
      <c r="SEL211" s="2522"/>
      <c r="SEM211" s="2522"/>
      <c r="SEN211" s="2522"/>
      <c r="SEO211" s="2522"/>
      <c r="SEP211" s="2522"/>
      <c r="SEQ211" s="2522"/>
      <c r="SER211" s="2522"/>
      <c r="SES211" s="2522"/>
      <c r="SET211" s="2522"/>
      <c r="SEU211" s="2522"/>
      <c r="SEV211" s="2522"/>
      <c r="SEW211" s="2522"/>
      <c r="SEX211" s="2522"/>
      <c r="SEY211" s="2522"/>
      <c r="SEZ211" s="2522"/>
      <c r="SFA211" s="2522"/>
      <c r="SFB211" s="2522"/>
      <c r="SFC211" s="2522"/>
      <c r="SFD211" s="2522"/>
      <c r="SFE211" s="2522"/>
      <c r="SFF211" s="2522"/>
      <c r="SFG211" s="2522"/>
      <c r="SFH211" s="2522"/>
      <c r="SFI211" s="2522"/>
      <c r="SFJ211" s="2522"/>
      <c r="SFK211" s="2522"/>
      <c r="SFL211" s="2522"/>
      <c r="SFM211" s="2522"/>
      <c r="SFN211" s="2522"/>
      <c r="SFO211" s="2522"/>
      <c r="SFP211" s="2522"/>
      <c r="SFQ211" s="2522"/>
      <c r="SFR211" s="2522"/>
      <c r="SFS211" s="2522"/>
      <c r="SFT211" s="2522"/>
      <c r="SFU211" s="2522"/>
      <c r="SFV211" s="2522"/>
      <c r="SFW211" s="2522"/>
      <c r="SFX211" s="2522"/>
      <c r="SFY211" s="2522"/>
      <c r="SFZ211" s="2522"/>
      <c r="SGA211" s="2522"/>
      <c r="SGB211" s="2522"/>
      <c r="SGC211" s="2522"/>
      <c r="SGD211" s="2522"/>
      <c r="SGE211" s="2522"/>
      <c r="SGF211" s="2522"/>
      <c r="SGG211" s="2522"/>
      <c r="SGH211" s="2522"/>
      <c r="SGI211" s="2522"/>
      <c r="SGJ211" s="2522"/>
      <c r="SGK211" s="2522"/>
      <c r="SGL211" s="2522"/>
      <c r="SGM211" s="2522"/>
      <c r="SGN211" s="2522"/>
      <c r="SGO211" s="2522"/>
      <c r="SGP211" s="2522"/>
      <c r="SGQ211" s="2522"/>
      <c r="SGR211" s="2522"/>
      <c r="SGS211" s="2522"/>
      <c r="SGT211" s="2522"/>
      <c r="SGU211" s="2522"/>
      <c r="SGV211" s="2522"/>
      <c r="SGW211" s="2522"/>
      <c r="SGX211" s="2522"/>
      <c r="SGY211" s="2522"/>
      <c r="SGZ211" s="2522"/>
      <c r="SHA211" s="2522"/>
      <c r="SHB211" s="2522"/>
      <c r="SHC211" s="2522"/>
      <c r="SHD211" s="2522"/>
      <c r="SHE211" s="2522"/>
      <c r="SHF211" s="2522"/>
      <c r="SHG211" s="2522"/>
      <c r="SHH211" s="2522"/>
      <c r="SHI211" s="2522"/>
      <c r="SHJ211" s="2522"/>
      <c r="SHK211" s="2522"/>
      <c r="SHL211" s="2522"/>
      <c r="SHM211" s="2522"/>
      <c r="SHN211" s="2522"/>
      <c r="SHO211" s="2522"/>
      <c r="SHP211" s="2522"/>
      <c r="SHQ211" s="2522"/>
      <c r="SHR211" s="2522"/>
      <c r="SHS211" s="2522"/>
      <c r="SHT211" s="2522"/>
      <c r="SHU211" s="2522"/>
      <c r="SHV211" s="2522"/>
      <c r="SHW211" s="2522"/>
      <c r="SHX211" s="2522"/>
      <c r="SHY211" s="2522"/>
      <c r="SHZ211" s="2522"/>
      <c r="SIA211" s="2522"/>
      <c r="SIB211" s="2522"/>
      <c r="SIC211" s="2522"/>
      <c r="SID211" s="2522"/>
      <c r="SIE211" s="2522"/>
      <c r="SIF211" s="2522"/>
      <c r="SIG211" s="2522"/>
      <c r="SIH211" s="2522"/>
      <c r="SII211" s="2522"/>
      <c r="SIJ211" s="2522"/>
      <c r="SIK211" s="2522"/>
      <c r="SIL211" s="2522"/>
      <c r="SIM211" s="2522"/>
      <c r="SIN211" s="2522"/>
      <c r="SIO211" s="2522"/>
      <c r="SIP211" s="2522"/>
      <c r="SIQ211" s="2522"/>
      <c r="SIR211" s="2522"/>
      <c r="SIS211" s="2522"/>
      <c r="SIT211" s="2522"/>
      <c r="SIU211" s="2522"/>
      <c r="SIV211" s="2522"/>
      <c r="SIW211" s="2522"/>
      <c r="SIX211" s="2522"/>
      <c r="SIY211" s="2522"/>
      <c r="SIZ211" s="2522"/>
      <c r="SJA211" s="2522"/>
      <c r="SJB211" s="2522"/>
      <c r="SJC211" s="2522"/>
      <c r="SJD211" s="2522"/>
      <c r="SJE211" s="2522"/>
      <c r="SJF211" s="2522"/>
      <c r="SJG211" s="2522"/>
      <c r="SJH211" s="2522"/>
      <c r="SJI211" s="2522"/>
      <c r="SJJ211" s="2522"/>
      <c r="SJK211" s="2522"/>
      <c r="SJL211" s="2522"/>
      <c r="SJM211" s="2522"/>
      <c r="SJN211" s="2522"/>
      <c r="SJO211" s="2522"/>
      <c r="SJP211" s="2522"/>
      <c r="SJQ211" s="2522"/>
      <c r="SJR211" s="2522"/>
      <c r="SJS211" s="2522"/>
      <c r="SJT211" s="2522"/>
      <c r="SJU211" s="2522"/>
      <c r="SJV211" s="2522"/>
      <c r="SJW211" s="2522"/>
      <c r="SJX211" s="2522"/>
      <c r="SJY211" s="2522"/>
      <c r="SJZ211" s="2522"/>
      <c r="SKA211" s="2522"/>
      <c r="SKB211" s="2522"/>
      <c r="SKC211" s="2522"/>
      <c r="SKD211" s="2522"/>
      <c r="SKE211" s="2522"/>
      <c r="SKF211" s="2522"/>
      <c r="SKG211" s="2522"/>
      <c r="SKH211" s="2522"/>
      <c r="SKI211" s="2522"/>
      <c r="SKJ211" s="2522"/>
      <c r="SKK211" s="2522"/>
      <c r="SKL211" s="2522"/>
      <c r="SKM211" s="2522"/>
      <c r="SKN211" s="2522"/>
      <c r="SKO211" s="2522"/>
      <c r="SKP211" s="2522"/>
      <c r="SKQ211" s="2522"/>
      <c r="SKR211" s="2522"/>
      <c r="SKS211" s="2522"/>
      <c r="SKT211" s="2522"/>
      <c r="SKU211" s="2522"/>
      <c r="SKV211" s="2522"/>
      <c r="SKW211" s="2522"/>
      <c r="SKX211" s="2522"/>
      <c r="SKY211" s="2522"/>
      <c r="SKZ211" s="2522"/>
      <c r="SLA211" s="2522"/>
      <c r="SLB211" s="2522"/>
      <c r="SLC211" s="2522"/>
      <c r="SLD211" s="2522"/>
      <c r="SLE211" s="2522"/>
      <c r="SLF211" s="2522"/>
      <c r="SLG211" s="2522"/>
      <c r="SLH211" s="2522"/>
      <c r="SLI211" s="2522"/>
      <c r="SLJ211" s="2522"/>
      <c r="SLK211" s="2522"/>
      <c r="SLL211" s="2522"/>
      <c r="SLM211" s="2522"/>
      <c r="SLN211" s="2522"/>
      <c r="SLO211" s="2522"/>
      <c r="SLP211" s="2522"/>
      <c r="SLQ211" s="2522"/>
      <c r="SLR211" s="2522"/>
      <c r="SLS211" s="2522"/>
      <c r="SLT211" s="2522"/>
      <c r="SLU211" s="2522"/>
      <c r="SLV211" s="2522"/>
      <c r="SLW211" s="2522"/>
      <c r="SLX211" s="2522"/>
      <c r="SLY211" s="2522"/>
      <c r="SLZ211" s="2522"/>
      <c r="SMA211" s="2522"/>
      <c r="SMB211" s="2522"/>
      <c r="SMC211" s="2522"/>
      <c r="SMD211" s="2522"/>
      <c r="SME211" s="2522"/>
      <c r="SMF211" s="2522"/>
      <c r="SMG211" s="2522"/>
      <c r="SMH211" s="2522"/>
      <c r="SMI211" s="2522"/>
      <c r="SMJ211" s="2522"/>
      <c r="SMK211" s="2522"/>
      <c r="SML211" s="2522"/>
      <c r="SMM211" s="2522"/>
      <c r="SMN211" s="2522"/>
      <c r="SMO211" s="2522"/>
      <c r="SMP211" s="2522"/>
      <c r="SMQ211" s="2522"/>
      <c r="SMR211" s="2522"/>
      <c r="SMS211" s="2522"/>
      <c r="SMT211" s="2522"/>
      <c r="SMU211" s="2522"/>
      <c r="SMV211" s="2522"/>
      <c r="SMW211" s="2522"/>
      <c r="SMX211" s="2522"/>
      <c r="SMY211" s="2522"/>
      <c r="SMZ211" s="2522"/>
      <c r="SNA211" s="2522"/>
      <c r="SNB211" s="2522"/>
      <c r="SNC211" s="2522"/>
      <c r="SND211" s="2522"/>
      <c r="SNE211" s="2522"/>
      <c r="SNF211" s="2522"/>
      <c r="SNG211" s="2522"/>
      <c r="SNH211" s="2522"/>
      <c r="SNI211" s="2522"/>
      <c r="SNJ211" s="2522"/>
      <c r="SNK211" s="2522"/>
      <c r="SNL211" s="2522"/>
      <c r="SNM211" s="2522"/>
      <c r="SNN211" s="2522"/>
      <c r="SNO211" s="2522"/>
      <c r="SNP211" s="2522"/>
      <c r="SNQ211" s="2522"/>
      <c r="SNR211" s="2522"/>
      <c r="SNS211" s="2522"/>
      <c r="SNT211" s="2522"/>
      <c r="SNU211" s="2522"/>
      <c r="SNV211" s="2522"/>
      <c r="SNW211" s="2522"/>
      <c r="SNX211" s="2522"/>
      <c r="SNY211" s="2522"/>
      <c r="SNZ211" s="2522"/>
      <c r="SOA211" s="2522"/>
      <c r="SOB211" s="2522"/>
      <c r="SOC211" s="2522"/>
      <c r="SOD211" s="2522"/>
      <c r="SOE211" s="2522"/>
      <c r="SOF211" s="2522"/>
      <c r="SOG211" s="2522"/>
      <c r="SOH211" s="2522"/>
      <c r="SOI211" s="2522"/>
      <c r="SOJ211" s="2522"/>
      <c r="SOK211" s="2522"/>
      <c r="SOL211" s="2522"/>
      <c r="SOM211" s="2522"/>
      <c r="SON211" s="2522"/>
      <c r="SOO211" s="2522"/>
      <c r="SOP211" s="2522"/>
      <c r="SOQ211" s="2522"/>
      <c r="SOR211" s="2522"/>
      <c r="SOS211" s="2522"/>
      <c r="SOT211" s="2522"/>
      <c r="SOU211" s="2522"/>
      <c r="SOV211" s="2522"/>
      <c r="SOW211" s="2522"/>
      <c r="SOX211" s="2522"/>
      <c r="SOY211" s="2522"/>
      <c r="SOZ211" s="2522"/>
      <c r="SPA211" s="2522"/>
      <c r="SPB211" s="2522"/>
      <c r="SPC211" s="2522"/>
      <c r="SPD211" s="2522"/>
      <c r="SPE211" s="2522"/>
      <c r="SPF211" s="2522"/>
      <c r="SPG211" s="2522"/>
      <c r="SPH211" s="2522"/>
      <c r="SPI211" s="2522"/>
      <c r="SPJ211" s="2522"/>
      <c r="SPK211" s="2522"/>
      <c r="SPL211" s="2522"/>
      <c r="SPM211" s="2522"/>
      <c r="SPN211" s="2522"/>
      <c r="SPO211" s="2522"/>
      <c r="SPP211" s="2522"/>
      <c r="SPQ211" s="2522"/>
      <c r="SPR211" s="2522"/>
      <c r="SPS211" s="2522"/>
      <c r="SPT211" s="2522"/>
      <c r="SPU211" s="2522"/>
      <c r="SPV211" s="2522"/>
      <c r="SPW211" s="2522"/>
      <c r="SPX211" s="2522"/>
      <c r="SPY211" s="2522"/>
      <c r="SPZ211" s="2522"/>
      <c r="SQA211" s="2522"/>
      <c r="SQB211" s="2522"/>
      <c r="SQC211" s="2522"/>
      <c r="SQD211" s="2522"/>
      <c r="SQE211" s="2522"/>
      <c r="SQF211" s="2522"/>
      <c r="SQG211" s="2522"/>
      <c r="SQH211" s="2522"/>
      <c r="SQI211" s="2522"/>
      <c r="SQJ211" s="2522"/>
      <c r="SQK211" s="2522"/>
      <c r="SQL211" s="2522"/>
      <c r="SQM211" s="2522"/>
      <c r="SQN211" s="2522"/>
      <c r="SQO211" s="2522"/>
      <c r="SQP211" s="2522"/>
      <c r="SQQ211" s="2522"/>
      <c r="SQR211" s="2522"/>
      <c r="SQS211" s="2522"/>
      <c r="SQT211" s="2522"/>
      <c r="SQU211" s="2522"/>
      <c r="SQV211" s="2522"/>
      <c r="SQW211" s="2522"/>
      <c r="SQX211" s="2522"/>
      <c r="SQY211" s="2522"/>
      <c r="SQZ211" s="2522"/>
      <c r="SRA211" s="2522"/>
      <c r="SRB211" s="2522"/>
      <c r="SRC211" s="2522"/>
      <c r="SRD211" s="2522"/>
      <c r="SRE211" s="2522"/>
      <c r="SRF211" s="2522"/>
      <c r="SRG211" s="2522"/>
      <c r="SRH211" s="2522"/>
      <c r="SRI211" s="2522"/>
      <c r="SRJ211" s="2522"/>
      <c r="SRK211" s="2522"/>
      <c r="SRL211" s="2522"/>
      <c r="SRM211" s="2522"/>
      <c r="SRN211" s="2522"/>
      <c r="SRO211" s="2522"/>
      <c r="SRP211" s="2522"/>
      <c r="SRQ211" s="2522"/>
      <c r="SRR211" s="2522"/>
      <c r="SRS211" s="2522"/>
      <c r="SRT211" s="2522"/>
      <c r="SRU211" s="2522"/>
      <c r="SRV211" s="2522"/>
      <c r="SRW211" s="2522"/>
      <c r="SRX211" s="2522"/>
      <c r="SRY211" s="2522"/>
      <c r="SRZ211" s="2522"/>
      <c r="SSA211" s="2522"/>
      <c r="SSB211" s="2522"/>
      <c r="SSC211" s="2522"/>
      <c r="SSD211" s="2522"/>
      <c r="SSE211" s="2522"/>
      <c r="SSF211" s="2522"/>
      <c r="SSG211" s="2522"/>
      <c r="SSH211" s="2522"/>
      <c r="SSI211" s="2522"/>
      <c r="SSJ211" s="2522"/>
      <c r="SSK211" s="2522"/>
      <c r="SSL211" s="2522"/>
      <c r="SSM211" s="2522"/>
      <c r="SSN211" s="2522"/>
      <c r="SSO211" s="2522"/>
      <c r="SSP211" s="2522"/>
      <c r="SSQ211" s="2522"/>
      <c r="SSR211" s="2522"/>
      <c r="SSS211" s="2522"/>
      <c r="SST211" s="2522"/>
      <c r="SSU211" s="2522"/>
      <c r="SSV211" s="2522"/>
      <c r="SSW211" s="2522"/>
      <c r="SSX211" s="2522"/>
      <c r="SSY211" s="2522"/>
      <c r="SSZ211" s="2522"/>
      <c r="STA211" s="2522"/>
      <c r="STB211" s="2522"/>
      <c r="STC211" s="2522"/>
      <c r="STD211" s="2522"/>
      <c r="STE211" s="2522"/>
      <c r="STF211" s="2522"/>
      <c r="STG211" s="2522"/>
      <c r="STH211" s="2522"/>
      <c r="STI211" s="2522"/>
      <c r="STJ211" s="2522"/>
      <c r="STK211" s="2522"/>
      <c r="STL211" s="2522"/>
      <c r="STM211" s="2522"/>
      <c r="STN211" s="2522"/>
      <c r="STO211" s="2522"/>
      <c r="STP211" s="2522"/>
      <c r="STQ211" s="2522"/>
      <c r="STR211" s="2522"/>
      <c r="STS211" s="2522"/>
      <c r="STT211" s="2522"/>
      <c r="STU211" s="2522"/>
      <c r="STV211" s="2522"/>
      <c r="STW211" s="2522"/>
      <c r="STX211" s="2522"/>
      <c r="STY211" s="2522"/>
      <c r="STZ211" s="2522"/>
      <c r="SUA211" s="2522"/>
      <c r="SUB211" s="2522"/>
      <c r="SUC211" s="2522"/>
      <c r="SUD211" s="2522"/>
      <c r="SUE211" s="2522"/>
      <c r="SUF211" s="2522"/>
      <c r="SUG211" s="2522"/>
      <c r="SUH211" s="2522"/>
      <c r="SUI211" s="2522"/>
      <c r="SUJ211" s="2522"/>
      <c r="SUK211" s="2522"/>
      <c r="SUL211" s="2522"/>
      <c r="SUM211" s="2522"/>
      <c r="SUN211" s="2522"/>
      <c r="SUO211" s="2522"/>
      <c r="SUP211" s="2522"/>
      <c r="SUQ211" s="2522"/>
      <c r="SUR211" s="2522"/>
      <c r="SUS211" s="2522"/>
      <c r="SUT211" s="2522"/>
      <c r="SUU211" s="2522"/>
      <c r="SUV211" s="2522"/>
      <c r="SUW211" s="2522"/>
      <c r="SUX211" s="2522"/>
      <c r="SUY211" s="2522"/>
      <c r="SUZ211" s="2522"/>
      <c r="SVA211" s="2522"/>
      <c r="SVB211" s="2522"/>
      <c r="SVC211" s="2522"/>
      <c r="SVD211" s="2522"/>
      <c r="SVE211" s="2522"/>
      <c r="SVF211" s="2522"/>
      <c r="SVG211" s="2522"/>
      <c r="SVH211" s="2522"/>
      <c r="SVI211" s="2522"/>
      <c r="SVJ211" s="2522"/>
      <c r="SVK211" s="2522"/>
      <c r="SVL211" s="2522"/>
      <c r="SVM211" s="2522"/>
      <c r="SVN211" s="2522"/>
      <c r="SVO211" s="2522"/>
      <c r="SVP211" s="2522"/>
      <c r="SVQ211" s="2522"/>
      <c r="SVR211" s="2522"/>
      <c r="SVS211" s="2522"/>
      <c r="SVT211" s="2522"/>
      <c r="SVU211" s="2522"/>
      <c r="SVV211" s="2522"/>
      <c r="SVW211" s="2522"/>
      <c r="SVX211" s="2522"/>
      <c r="SVY211" s="2522"/>
      <c r="SVZ211" s="2522"/>
      <c r="SWA211" s="2522"/>
      <c r="SWB211" s="2522"/>
      <c r="SWC211" s="2522"/>
      <c r="SWD211" s="2522"/>
      <c r="SWE211" s="2522"/>
      <c r="SWF211" s="2522"/>
      <c r="SWG211" s="2522"/>
      <c r="SWH211" s="2522"/>
      <c r="SWI211" s="2522"/>
      <c r="SWJ211" s="2522"/>
      <c r="SWK211" s="2522"/>
      <c r="SWL211" s="2522"/>
      <c r="SWM211" s="2522"/>
      <c r="SWN211" s="2522"/>
      <c r="SWO211" s="2522"/>
      <c r="SWP211" s="2522"/>
      <c r="SWQ211" s="2522"/>
      <c r="SWR211" s="2522"/>
      <c r="SWS211" s="2522"/>
      <c r="SWT211" s="2522"/>
      <c r="SWU211" s="2522"/>
      <c r="SWV211" s="2522"/>
      <c r="SWW211" s="2522"/>
      <c r="SWX211" s="2522"/>
      <c r="SWY211" s="2522"/>
      <c r="SWZ211" s="2522"/>
      <c r="SXA211" s="2522"/>
      <c r="SXB211" s="2522"/>
      <c r="SXC211" s="2522"/>
      <c r="SXD211" s="2522"/>
      <c r="SXE211" s="2522"/>
      <c r="SXF211" s="2522"/>
      <c r="SXG211" s="2522"/>
      <c r="SXH211" s="2522"/>
      <c r="SXI211" s="2522"/>
      <c r="SXJ211" s="2522"/>
      <c r="SXK211" s="2522"/>
      <c r="SXL211" s="2522"/>
      <c r="SXM211" s="2522"/>
      <c r="SXN211" s="2522"/>
      <c r="SXO211" s="2522"/>
      <c r="SXP211" s="2522"/>
      <c r="SXQ211" s="2522"/>
      <c r="SXR211" s="2522"/>
      <c r="SXS211" s="2522"/>
      <c r="SXT211" s="2522"/>
      <c r="SXU211" s="2522"/>
      <c r="SXV211" s="2522"/>
      <c r="SXW211" s="2522"/>
      <c r="SXX211" s="2522"/>
      <c r="SXY211" s="2522"/>
      <c r="SXZ211" s="2522"/>
      <c r="SYA211" s="2522"/>
      <c r="SYB211" s="2522"/>
      <c r="SYC211" s="2522"/>
      <c r="SYD211" s="2522"/>
      <c r="SYE211" s="2522"/>
      <c r="SYF211" s="2522"/>
      <c r="SYG211" s="2522"/>
      <c r="SYH211" s="2522"/>
      <c r="SYI211" s="2522"/>
      <c r="SYJ211" s="2522"/>
      <c r="SYK211" s="2522"/>
      <c r="SYL211" s="2522"/>
      <c r="SYM211" s="2522"/>
      <c r="SYN211" s="2522"/>
      <c r="SYO211" s="2522"/>
      <c r="SYP211" s="2522"/>
      <c r="SYQ211" s="2522"/>
      <c r="SYR211" s="2522"/>
      <c r="SYS211" s="2522"/>
      <c r="SYT211" s="2522"/>
      <c r="SYU211" s="2522"/>
      <c r="SYV211" s="2522"/>
      <c r="SYW211" s="2522"/>
      <c r="SYX211" s="2522"/>
      <c r="SYY211" s="2522"/>
      <c r="SYZ211" s="2522"/>
      <c r="SZA211" s="2522"/>
      <c r="SZB211" s="2522"/>
      <c r="SZC211" s="2522"/>
      <c r="SZD211" s="2522"/>
      <c r="SZE211" s="2522"/>
      <c r="SZF211" s="2522"/>
      <c r="SZG211" s="2522"/>
      <c r="SZH211" s="2522"/>
      <c r="SZI211" s="2522"/>
      <c r="SZJ211" s="2522"/>
      <c r="SZK211" s="2522"/>
      <c r="SZL211" s="2522"/>
      <c r="SZM211" s="2522"/>
      <c r="SZN211" s="2522"/>
      <c r="SZO211" s="2522"/>
      <c r="SZP211" s="2522"/>
      <c r="SZQ211" s="2522"/>
      <c r="SZR211" s="2522"/>
      <c r="SZS211" s="2522"/>
      <c r="SZT211" s="2522"/>
      <c r="SZU211" s="2522"/>
      <c r="SZV211" s="2522"/>
      <c r="SZW211" s="2522"/>
      <c r="SZX211" s="2522"/>
      <c r="SZY211" s="2522"/>
      <c r="SZZ211" s="2522"/>
      <c r="TAA211" s="2522"/>
      <c r="TAB211" s="2522"/>
      <c r="TAC211" s="2522"/>
      <c r="TAD211" s="2522"/>
      <c r="TAE211" s="2522"/>
      <c r="TAF211" s="2522"/>
      <c r="TAG211" s="2522"/>
      <c r="TAH211" s="2522"/>
      <c r="TAI211" s="2522"/>
      <c r="TAJ211" s="2522"/>
      <c r="TAK211" s="2522"/>
      <c r="TAL211" s="2522"/>
      <c r="TAM211" s="2522"/>
      <c r="TAN211" s="2522"/>
      <c r="TAO211" s="2522"/>
      <c r="TAP211" s="2522"/>
      <c r="TAQ211" s="2522"/>
      <c r="TAR211" s="2522"/>
      <c r="TAS211" s="2522"/>
      <c r="TAT211" s="2522"/>
      <c r="TAU211" s="2522"/>
      <c r="TAV211" s="2522"/>
      <c r="TAW211" s="2522"/>
      <c r="TAX211" s="2522"/>
      <c r="TAY211" s="2522"/>
      <c r="TAZ211" s="2522"/>
      <c r="TBA211" s="2522"/>
      <c r="TBB211" s="2522"/>
      <c r="TBC211" s="2522"/>
      <c r="TBD211" s="2522"/>
      <c r="TBE211" s="2522"/>
      <c r="TBF211" s="2522"/>
      <c r="TBG211" s="2522"/>
      <c r="TBH211" s="2522"/>
      <c r="TBI211" s="2522"/>
      <c r="TBJ211" s="2522"/>
      <c r="TBK211" s="2522"/>
      <c r="TBL211" s="2522"/>
      <c r="TBM211" s="2522"/>
      <c r="TBN211" s="2522"/>
      <c r="TBO211" s="2522"/>
      <c r="TBP211" s="2522"/>
      <c r="TBQ211" s="2522"/>
      <c r="TBR211" s="2522"/>
      <c r="TBS211" s="2522"/>
      <c r="TBT211" s="2522"/>
      <c r="TBU211" s="2522"/>
      <c r="TBV211" s="2522"/>
      <c r="TBW211" s="2522"/>
      <c r="TBX211" s="2522"/>
      <c r="TBY211" s="2522"/>
      <c r="TBZ211" s="2522"/>
      <c r="TCA211" s="2522"/>
      <c r="TCB211" s="2522"/>
      <c r="TCC211" s="2522"/>
      <c r="TCD211" s="2522"/>
      <c r="TCE211" s="2522"/>
      <c r="TCF211" s="2522"/>
      <c r="TCG211" s="2522"/>
      <c r="TCH211" s="2522"/>
      <c r="TCI211" s="2522"/>
      <c r="TCJ211" s="2522"/>
      <c r="TCK211" s="2522"/>
      <c r="TCL211" s="2522"/>
      <c r="TCM211" s="2522"/>
      <c r="TCN211" s="2522"/>
      <c r="TCO211" s="2522"/>
      <c r="TCP211" s="2522"/>
      <c r="TCQ211" s="2522"/>
      <c r="TCR211" s="2522"/>
      <c r="TCS211" s="2522"/>
      <c r="TCT211" s="2522"/>
      <c r="TCU211" s="2522"/>
      <c r="TCV211" s="2522"/>
      <c r="TCW211" s="2522"/>
      <c r="TCX211" s="2522"/>
      <c r="TCY211" s="2522"/>
      <c r="TCZ211" s="2522"/>
      <c r="TDA211" s="2522"/>
      <c r="TDB211" s="2522"/>
      <c r="TDC211" s="2522"/>
      <c r="TDD211" s="2522"/>
      <c r="TDE211" s="2522"/>
      <c r="TDF211" s="2522"/>
      <c r="TDG211" s="2522"/>
      <c r="TDH211" s="2522"/>
      <c r="TDI211" s="2522"/>
      <c r="TDJ211" s="2522"/>
      <c r="TDK211" s="2522"/>
      <c r="TDL211" s="2522"/>
      <c r="TDM211" s="2522"/>
      <c r="TDN211" s="2522"/>
      <c r="TDO211" s="2522"/>
      <c r="TDP211" s="2522"/>
      <c r="TDQ211" s="2522"/>
      <c r="TDR211" s="2522"/>
      <c r="TDS211" s="2522"/>
      <c r="TDT211" s="2522"/>
      <c r="TDU211" s="2522"/>
      <c r="TDV211" s="2522"/>
      <c r="TDW211" s="2522"/>
      <c r="TDX211" s="2522"/>
      <c r="TDY211" s="2522"/>
      <c r="TDZ211" s="2522"/>
      <c r="TEA211" s="2522"/>
      <c r="TEB211" s="2522"/>
      <c r="TEC211" s="2522"/>
      <c r="TED211" s="2522"/>
      <c r="TEE211" s="2522"/>
      <c r="TEF211" s="2522"/>
      <c r="TEG211" s="2522"/>
      <c r="TEH211" s="2522"/>
      <c r="TEI211" s="2522"/>
      <c r="TEJ211" s="2522"/>
      <c r="TEK211" s="2522"/>
      <c r="TEL211" s="2522"/>
      <c r="TEM211" s="2522"/>
      <c r="TEN211" s="2522"/>
      <c r="TEO211" s="2522"/>
      <c r="TEP211" s="2522"/>
      <c r="TEQ211" s="2522"/>
      <c r="TER211" s="2522"/>
      <c r="TES211" s="2522"/>
      <c r="TET211" s="2522"/>
      <c r="TEU211" s="2522"/>
      <c r="TEV211" s="2522"/>
      <c r="TEW211" s="2522"/>
      <c r="TEX211" s="2522"/>
      <c r="TEY211" s="2522"/>
      <c r="TEZ211" s="2522"/>
      <c r="TFA211" s="2522"/>
      <c r="TFB211" s="2522"/>
      <c r="TFC211" s="2522"/>
      <c r="TFD211" s="2522"/>
      <c r="TFE211" s="2522"/>
      <c r="TFF211" s="2522"/>
      <c r="TFG211" s="2522"/>
      <c r="TFH211" s="2522"/>
      <c r="TFI211" s="2522"/>
      <c r="TFJ211" s="2522"/>
      <c r="TFK211" s="2522"/>
      <c r="TFL211" s="2522"/>
      <c r="TFM211" s="2522"/>
      <c r="TFN211" s="2522"/>
      <c r="TFO211" s="2522"/>
      <c r="TFP211" s="2522"/>
      <c r="TFQ211" s="2522"/>
      <c r="TFR211" s="2522"/>
      <c r="TFS211" s="2522"/>
      <c r="TFT211" s="2522"/>
      <c r="TFU211" s="2522"/>
      <c r="TFV211" s="2522"/>
      <c r="TFW211" s="2522"/>
      <c r="TFX211" s="2522"/>
      <c r="TFY211" s="2522"/>
      <c r="TFZ211" s="2522"/>
      <c r="TGA211" s="2522"/>
      <c r="TGB211" s="2522"/>
      <c r="TGC211" s="2522"/>
      <c r="TGD211" s="2522"/>
      <c r="TGE211" s="2522"/>
      <c r="TGF211" s="2522"/>
      <c r="TGG211" s="2522"/>
      <c r="TGH211" s="2522"/>
      <c r="TGI211" s="2522"/>
      <c r="TGJ211" s="2522"/>
      <c r="TGK211" s="2522"/>
      <c r="TGL211" s="2522"/>
      <c r="TGM211" s="2522"/>
      <c r="TGN211" s="2522"/>
      <c r="TGO211" s="2522"/>
      <c r="TGP211" s="2522"/>
      <c r="TGQ211" s="2522"/>
      <c r="TGR211" s="2522"/>
      <c r="TGS211" s="2522"/>
      <c r="TGT211" s="2522"/>
      <c r="TGU211" s="2522"/>
      <c r="TGV211" s="2522"/>
      <c r="TGW211" s="2522"/>
      <c r="TGX211" s="2522"/>
      <c r="TGY211" s="2522"/>
      <c r="TGZ211" s="2522"/>
      <c r="THA211" s="2522"/>
      <c r="THB211" s="2522"/>
      <c r="THC211" s="2522"/>
      <c r="THD211" s="2522"/>
      <c r="THE211" s="2522"/>
      <c r="THF211" s="2522"/>
      <c r="THG211" s="2522"/>
      <c r="THH211" s="2522"/>
      <c r="THI211" s="2522"/>
      <c r="THJ211" s="2522"/>
      <c r="THK211" s="2522"/>
      <c r="THL211" s="2522"/>
      <c r="THM211" s="2522"/>
      <c r="THN211" s="2522"/>
      <c r="THO211" s="2522"/>
      <c r="THP211" s="2522"/>
      <c r="THQ211" s="2522"/>
      <c r="THR211" s="2522"/>
      <c r="THS211" s="2522"/>
      <c r="THT211" s="2522"/>
      <c r="THU211" s="2522"/>
      <c r="THV211" s="2522"/>
      <c r="THW211" s="2522"/>
      <c r="THX211" s="2522"/>
      <c r="THY211" s="2522"/>
      <c r="THZ211" s="2522"/>
      <c r="TIA211" s="2522"/>
      <c r="TIB211" s="2522"/>
      <c r="TIC211" s="2522"/>
      <c r="TID211" s="2522"/>
      <c r="TIE211" s="2522"/>
      <c r="TIF211" s="2522"/>
      <c r="TIG211" s="2522"/>
      <c r="TIH211" s="2522"/>
      <c r="TII211" s="2522"/>
      <c r="TIJ211" s="2522"/>
      <c r="TIK211" s="2522"/>
      <c r="TIL211" s="2522"/>
      <c r="TIM211" s="2522"/>
      <c r="TIN211" s="2522"/>
      <c r="TIO211" s="2522"/>
      <c r="TIP211" s="2522"/>
      <c r="TIQ211" s="2522"/>
      <c r="TIR211" s="2522"/>
      <c r="TIS211" s="2522"/>
      <c r="TIT211" s="2522"/>
      <c r="TIU211" s="2522"/>
      <c r="TIV211" s="2522"/>
      <c r="TIW211" s="2522"/>
      <c r="TIX211" s="2522"/>
      <c r="TIY211" s="2522"/>
      <c r="TIZ211" s="2522"/>
      <c r="TJA211" s="2522"/>
      <c r="TJB211" s="2522"/>
      <c r="TJC211" s="2522"/>
      <c r="TJD211" s="2522"/>
      <c r="TJE211" s="2522"/>
      <c r="TJF211" s="2522"/>
      <c r="TJG211" s="2522"/>
      <c r="TJH211" s="2522"/>
      <c r="TJI211" s="2522"/>
      <c r="TJJ211" s="2522"/>
      <c r="TJK211" s="2522"/>
      <c r="TJL211" s="2522"/>
      <c r="TJM211" s="2522"/>
      <c r="TJN211" s="2522"/>
      <c r="TJO211" s="2522"/>
      <c r="TJP211" s="2522"/>
      <c r="TJQ211" s="2522"/>
      <c r="TJR211" s="2522"/>
      <c r="TJS211" s="2522"/>
      <c r="TJT211" s="2522"/>
      <c r="TJU211" s="2522"/>
      <c r="TJV211" s="2522"/>
      <c r="TJW211" s="2522"/>
      <c r="TJX211" s="2522"/>
      <c r="TJY211" s="2522"/>
      <c r="TJZ211" s="2522"/>
      <c r="TKA211" s="2522"/>
      <c r="TKB211" s="2522"/>
      <c r="TKC211" s="2522"/>
      <c r="TKD211" s="2522"/>
      <c r="TKE211" s="2522"/>
      <c r="TKF211" s="2522"/>
      <c r="TKG211" s="2522"/>
      <c r="TKH211" s="2522"/>
      <c r="TKI211" s="2522"/>
      <c r="TKJ211" s="2522"/>
      <c r="TKK211" s="2522"/>
      <c r="TKL211" s="2522"/>
      <c r="TKM211" s="2522"/>
      <c r="TKN211" s="2522"/>
      <c r="TKO211" s="2522"/>
      <c r="TKP211" s="2522"/>
      <c r="TKQ211" s="2522"/>
      <c r="TKR211" s="2522"/>
      <c r="TKS211" s="2522"/>
      <c r="TKT211" s="2522"/>
      <c r="TKU211" s="2522"/>
      <c r="TKV211" s="2522"/>
      <c r="TKW211" s="2522"/>
      <c r="TKX211" s="2522"/>
      <c r="TKY211" s="2522"/>
      <c r="TKZ211" s="2522"/>
      <c r="TLA211" s="2522"/>
      <c r="TLB211" s="2522"/>
      <c r="TLC211" s="2522"/>
      <c r="TLD211" s="2522"/>
      <c r="TLE211" s="2522"/>
      <c r="TLF211" s="2522"/>
      <c r="TLG211" s="2522"/>
      <c r="TLH211" s="2522"/>
      <c r="TLI211" s="2522"/>
      <c r="TLJ211" s="2522"/>
      <c r="TLK211" s="2522"/>
      <c r="TLL211" s="2522"/>
      <c r="TLM211" s="2522"/>
      <c r="TLN211" s="2522"/>
      <c r="TLO211" s="2522"/>
      <c r="TLP211" s="2522"/>
      <c r="TLQ211" s="2522"/>
      <c r="TLR211" s="2522"/>
      <c r="TLS211" s="2522"/>
      <c r="TLT211" s="2522"/>
      <c r="TLU211" s="2522"/>
      <c r="TLV211" s="2522"/>
      <c r="TLW211" s="2522"/>
      <c r="TLX211" s="2522"/>
      <c r="TLY211" s="2522"/>
      <c r="TLZ211" s="2522"/>
      <c r="TMA211" s="2522"/>
      <c r="TMB211" s="2522"/>
      <c r="TMC211" s="2522"/>
      <c r="TMD211" s="2522"/>
      <c r="TME211" s="2522"/>
      <c r="TMF211" s="2522"/>
      <c r="TMG211" s="2522"/>
      <c r="TMH211" s="2522"/>
      <c r="TMI211" s="2522"/>
      <c r="TMJ211" s="2522"/>
      <c r="TMK211" s="2522"/>
      <c r="TML211" s="2522"/>
      <c r="TMM211" s="2522"/>
      <c r="TMN211" s="2522"/>
      <c r="TMO211" s="2522"/>
      <c r="TMP211" s="2522"/>
      <c r="TMQ211" s="2522"/>
      <c r="TMR211" s="2522"/>
      <c r="TMS211" s="2522"/>
      <c r="TMT211" s="2522"/>
      <c r="TMU211" s="2522"/>
      <c r="TMV211" s="2522"/>
      <c r="TMW211" s="2522"/>
      <c r="TMX211" s="2522"/>
      <c r="TMY211" s="2522"/>
      <c r="TMZ211" s="2522"/>
      <c r="TNA211" s="2522"/>
      <c r="TNB211" s="2522"/>
      <c r="TNC211" s="2522"/>
      <c r="TND211" s="2522"/>
      <c r="TNE211" s="2522"/>
      <c r="TNF211" s="2522"/>
      <c r="TNG211" s="2522"/>
      <c r="TNH211" s="2522"/>
      <c r="TNI211" s="2522"/>
      <c r="TNJ211" s="2522"/>
      <c r="TNK211" s="2522"/>
      <c r="TNL211" s="2522"/>
      <c r="TNM211" s="2522"/>
      <c r="TNN211" s="2522"/>
      <c r="TNO211" s="2522"/>
      <c r="TNP211" s="2522"/>
      <c r="TNQ211" s="2522"/>
      <c r="TNR211" s="2522"/>
      <c r="TNS211" s="2522"/>
      <c r="TNT211" s="2522"/>
      <c r="TNU211" s="2522"/>
      <c r="TNV211" s="2522"/>
      <c r="TNW211" s="2522"/>
      <c r="TNX211" s="2522"/>
      <c r="TNY211" s="2522"/>
      <c r="TNZ211" s="2522"/>
      <c r="TOA211" s="2522"/>
      <c r="TOB211" s="2522"/>
      <c r="TOC211" s="2522"/>
      <c r="TOD211" s="2522"/>
      <c r="TOE211" s="2522"/>
      <c r="TOF211" s="2522"/>
      <c r="TOG211" s="2522"/>
      <c r="TOH211" s="2522"/>
      <c r="TOI211" s="2522"/>
      <c r="TOJ211" s="2522"/>
      <c r="TOK211" s="2522"/>
      <c r="TOL211" s="2522"/>
      <c r="TOM211" s="2522"/>
      <c r="TON211" s="2522"/>
      <c r="TOO211" s="2522"/>
      <c r="TOP211" s="2522"/>
      <c r="TOQ211" s="2522"/>
      <c r="TOR211" s="2522"/>
      <c r="TOS211" s="2522"/>
      <c r="TOT211" s="2522"/>
      <c r="TOU211" s="2522"/>
      <c r="TOV211" s="2522"/>
      <c r="TOW211" s="2522"/>
      <c r="TOX211" s="2522"/>
      <c r="TOY211" s="2522"/>
      <c r="TOZ211" s="2522"/>
      <c r="TPA211" s="2522"/>
      <c r="TPB211" s="2522"/>
      <c r="TPC211" s="2522"/>
      <c r="TPD211" s="2522"/>
      <c r="TPE211" s="2522"/>
      <c r="TPF211" s="2522"/>
      <c r="TPG211" s="2522"/>
      <c r="TPH211" s="2522"/>
      <c r="TPI211" s="2522"/>
      <c r="TPJ211" s="2522"/>
      <c r="TPK211" s="2522"/>
      <c r="TPL211" s="2522"/>
      <c r="TPM211" s="2522"/>
      <c r="TPN211" s="2522"/>
      <c r="TPO211" s="2522"/>
      <c r="TPP211" s="2522"/>
      <c r="TPQ211" s="2522"/>
      <c r="TPR211" s="2522"/>
      <c r="TPS211" s="2522"/>
      <c r="TPT211" s="2522"/>
      <c r="TPU211" s="2522"/>
      <c r="TPV211" s="2522"/>
      <c r="TPW211" s="2522"/>
      <c r="TPX211" s="2522"/>
      <c r="TPY211" s="2522"/>
      <c r="TPZ211" s="2522"/>
      <c r="TQA211" s="2522"/>
      <c r="TQB211" s="2522"/>
      <c r="TQC211" s="2522"/>
      <c r="TQD211" s="2522"/>
      <c r="TQE211" s="2522"/>
      <c r="TQF211" s="2522"/>
      <c r="TQG211" s="2522"/>
      <c r="TQH211" s="2522"/>
      <c r="TQI211" s="2522"/>
      <c r="TQJ211" s="2522"/>
      <c r="TQK211" s="2522"/>
      <c r="TQL211" s="2522"/>
      <c r="TQM211" s="2522"/>
      <c r="TQN211" s="2522"/>
      <c r="TQO211" s="2522"/>
      <c r="TQP211" s="2522"/>
      <c r="TQQ211" s="2522"/>
      <c r="TQR211" s="2522"/>
      <c r="TQS211" s="2522"/>
      <c r="TQT211" s="2522"/>
      <c r="TQU211" s="2522"/>
      <c r="TQV211" s="2522"/>
      <c r="TQW211" s="2522"/>
      <c r="TQX211" s="2522"/>
      <c r="TQY211" s="2522"/>
      <c r="TQZ211" s="2522"/>
      <c r="TRA211" s="2522"/>
      <c r="TRB211" s="2522"/>
      <c r="TRC211" s="2522"/>
      <c r="TRD211" s="2522"/>
      <c r="TRE211" s="2522"/>
      <c r="TRF211" s="2522"/>
      <c r="TRG211" s="2522"/>
      <c r="TRH211" s="2522"/>
      <c r="TRI211" s="2522"/>
      <c r="TRJ211" s="2522"/>
      <c r="TRK211" s="2522"/>
      <c r="TRL211" s="2522"/>
      <c r="TRM211" s="2522"/>
      <c r="TRN211" s="2522"/>
      <c r="TRO211" s="2522"/>
      <c r="TRP211" s="2522"/>
      <c r="TRQ211" s="2522"/>
      <c r="TRR211" s="2522"/>
      <c r="TRS211" s="2522"/>
      <c r="TRT211" s="2522"/>
      <c r="TRU211" s="2522"/>
      <c r="TRV211" s="2522"/>
      <c r="TRW211" s="2522"/>
      <c r="TRX211" s="2522"/>
      <c r="TRY211" s="2522"/>
      <c r="TRZ211" s="2522"/>
      <c r="TSA211" s="2522"/>
      <c r="TSB211" s="2522"/>
      <c r="TSC211" s="2522"/>
      <c r="TSD211" s="2522"/>
      <c r="TSE211" s="2522"/>
      <c r="TSF211" s="2522"/>
      <c r="TSG211" s="2522"/>
      <c r="TSH211" s="2522"/>
      <c r="TSI211" s="2522"/>
      <c r="TSJ211" s="2522"/>
      <c r="TSK211" s="2522"/>
      <c r="TSL211" s="2522"/>
      <c r="TSM211" s="2522"/>
      <c r="TSN211" s="2522"/>
      <c r="TSO211" s="2522"/>
      <c r="TSP211" s="2522"/>
      <c r="TSQ211" s="2522"/>
      <c r="TSR211" s="2522"/>
      <c r="TSS211" s="2522"/>
      <c r="TST211" s="2522"/>
      <c r="TSU211" s="2522"/>
      <c r="TSV211" s="2522"/>
      <c r="TSW211" s="2522"/>
      <c r="TSX211" s="2522"/>
      <c r="TSY211" s="2522"/>
      <c r="TSZ211" s="2522"/>
      <c r="TTA211" s="2522"/>
      <c r="TTB211" s="2522"/>
      <c r="TTC211" s="2522"/>
      <c r="TTD211" s="2522"/>
      <c r="TTE211" s="2522"/>
      <c r="TTF211" s="2522"/>
      <c r="TTG211" s="2522"/>
      <c r="TTH211" s="2522"/>
      <c r="TTI211" s="2522"/>
      <c r="TTJ211" s="2522"/>
      <c r="TTK211" s="2522"/>
      <c r="TTL211" s="2522"/>
      <c r="TTM211" s="2522"/>
      <c r="TTN211" s="2522"/>
      <c r="TTO211" s="2522"/>
      <c r="TTP211" s="2522"/>
      <c r="TTQ211" s="2522"/>
      <c r="TTR211" s="2522"/>
      <c r="TTS211" s="2522"/>
      <c r="TTT211" s="2522"/>
      <c r="TTU211" s="2522"/>
      <c r="TTV211" s="2522"/>
      <c r="TTW211" s="2522"/>
      <c r="TTX211" s="2522"/>
      <c r="TTY211" s="2522"/>
      <c r="TTZ211" s="2522"/>
      <c r="TUA211" s="2522"/>
      <c r="TUB211" s="2522"/>
      <c r="TUC211" s="2522"/>
      <c r="TUD211" s="2522"/>
      <c r="TUE211" s="2522"/>
      <c r="TUF211" s="2522"/>
      <c r="TUG211" s="2522"/>
      <c r="TUH211" s="2522"/>
      <c r="TUI211" s="2522"/>
      <c r="TUJ211" s="2522"/>
      <c r="TUK211" s="2522"/>
      <c r="TUL211" s="2522"/>
      <c r="TUM211" s="2522"/>
      <c r="TUN211" s="2522"/>
      <c r="TUO211" s="2522"/>
      <c r="TUP211" s="2522"/>
      <c r="TUQ211" s="2522"/>
      <c r="TUR211" s="2522"/>
      <c r="TUS211" s="2522"/>
      <c r="TUT211" s="2522"/>
      <c r="TUU211" s="2522"/>
      <c r="TUV211" s="2522"/>
      <c r="TUW211" s="2522"/>
      <c r="TUX211" s="2522"/>
      <c r="TUY211" s="2522"/>
      <c r="TUZ211" s="2522"/>
      <c r="TVA211" s="2522"/>
      <c r="TVB211" s="2522"/>
      <c r="TVC211" s="2522"/>
      <c r="TVD211" s="2522"/>
      <c r="TVE211" s="2522"/>
      <c r="TVF211" s="2522"/>
      <c r="TVG211" s="2522"/>
      <c r="TVH211" s="2522"/>
      <c r="TVI211" s="2522"/>
      <c r="TVJ211" s="2522"/>
      <c r="TVK211" s="2522"/>
      <c r="TVL211" s="2522"/>
      <c r="TVM211" s="2522"/>
      <c r="TVN211" s="2522"/>
      <c r="TVO211" s="2522"/>
      <c r="TVP211" s="2522"/>
      <c r="TVQ211" s="2522"/>
      <c r="TVR211" s="2522"/>
      <c r="TVS211" s="2522"/>
      <c r="TVT211" s="2522"/>
      <c r="TVU211" s="2522"/>
      <c r="TVV211" s="2522"/>
      <c r="TVW211" s="2522"/>
      <c r="TVX211" s="2522"/>
      <c r="TVY211" s="2522"/>
      <c r="TVZ211" s="2522"/>
      <c r="TWA211" s="2522"/>
      <c r="TWB211" s="2522"/>
      <c r="TWC211" s="2522"/>
      <c r="TWD211" s="2522"/>
      <c r="TWE211" s="2522"/>
      <c r="TWF211" s="2522"/>
      <c r="TWG211" s="2522"/>
      <c r="TWH211" s="2522"/>
      <c r="TWI211" s="2522"/>
      <c r="TWJ211" s="2522"/>
      <c r="TWK211" s="2522"/>
      <c r="TWL211" s="2522"/>
      <c r="TWM211" s="2522"/>
      <c r="TWN211" s="2522"/>
      <c r="TWO211" s="2522"/>
      <c r="TWP211" s="2522"/>
      <c r="TWQ211" s="2522"/>
      <c r="TWR211" s="2522"/>
      <c r="TWS211" s="2522"/>
      <c r="TWT211" s="2522"/>
      <c r="TWU211" s="2522"/>
      <c r="TWV211" s="2522"/>
      <c r="TWW211" s="2522"/>
      <c r="TWX211" s="2522"/>
      <c r="TWY211" s="2522"/>
      <c r="TWZ211" s="2522"/>
      <c r="TXA211" s="2522"/>
      <c r="TXB211" s="2522"/>
      <c r="TXC211" s="2522"/>
      <c r="TXD211" s="2522"/>
      <c r="TXE211" s="2522"/>
      <c r="TXF211" s="2522"/>
      <c r="TXG211" s="2522"/>
      <c r="TXH211" s="2522"/>
      <c r="TXI211" s="2522"/>
      <c r="TXJ211" s="2522"/>
      <c r="TXK211" s="2522"/>
      <c r="TXL211" s="2522"/>
      <c r="TXM211" s="2522"/>
      <c r="TXN211" s="2522"/>
      <c r="TXO211" s="2522"/>
      <c r="TXP211" s="2522"/>
      <c r="TXQ211" s="2522"/>
      <c r="TXR211" s="2522"/>
      <c r="TXS211" s="2522"/>
      <c r="TXT211" s="2522"/>
      <c r="TXU211" s="2522"/>
      <c r="TXV211" s="2522"/>
      <c r="TXW211" s="2522"/>
      <c r="TXX211" s="2522"/>
      <c r="TXY211" s="2522"/>
      <c r="TXZ211" s="2522"/>
      <c r="TYA211" s="2522"/>
      <c r="TYB211" s="2522"/>
      <c r="TYC211" s="2522"/>
      <c r="TYD211" s="2522"/>
      <c r="TYE211" s="2522"/>
      <c r="TYF211" s="2522"/>
      <c r="TYG211" s="2522"/>
      <c r="TYH211" s="2522"/>
      <c r="TYI211" s="2522"/>
      <c r="TYJ211" s="2522"/>
      <c r="TYK211" s="2522"/>
      <c r="TYL211" s="2522"/>
      <c r="TYM211" s="2522"/>
      <c r="TYN211" s="2522"/>
      <c r="TYO211" s="2522"/>
      <c r="TYP211" s="2522"/>
      <c r="TYQ211" s="2522"/>
      <c r="TYR211" s="2522"/>
      <c r="TYS211" s="2522"/>
      <c r="TYT211" s="2522"/>
      <c r="TYU211" s="2522"/>
      <c r="TYV211" s="2522"/>
      <c r="TYW211" s="2522"/>
      <c r="TYX211" s="2522"/>
      <c r="TYY211" s="2522"/>
      <c r="TYZ211" s="2522"/>
      <c r="TZA211" s="2522"/>
      <c r="TZB211" s="2522"/>
      <c r="TZC211" s="2522"/>
      <c r="TZD211" s="2522"/>
      <c r="TZE211" s="2522"/>
      <c r="TZF211" s="2522"/>
      <c r="TZG211" s="2522"/>
      <c r="TZH211" s="2522"/>
      <c r="TZI211" s="2522"/>
      <c r="TZJ211" s="2522"/>
      <c r="TZK211" s="2522"/>
      <c r="TZL211" s="2522"/>
      <c r="TZM211" s="2522"/>
      <c r="TZN211" s="2522"/>
      <c r="TZO211" s="2522"/>
      <c r="TZP211" s="2522"/>
      <c r="TZQ211" s="2522"/>
      <c r="TZR211" s="2522"/>
      <c r="TZS211" s="2522"/>
      <c r="TZT211" s="2522"/>
      <c r="TZU211" s="2522"/>
      <c r="TZV211" s="2522"/>
      <c r="TZW211" s="2522"/>
      <c r="TZX211" s="2522"/>
      <c r="TZY211" s="2522"/>
      <c r="TZZ211" s="2522"/>
      <c r="UAA211" s="2522"/>
      <c r="UAB211" s="2522"/>
      <c r="UAC211" s="2522"/>
      <c r="UAD211" s="2522"/>
      <c r="UAE211" s="2522"/>
      <c r="UAF211" s="2522"/>
      <c r="UAG211" s="2522"/>
      <c r="UAH211" s="2522"/>
      <c r="UAI211" s="2522"/>
      <c r="UAJ211" s="2522"/>
      <c r="UAK211" s="2522"/>
      <c r="UAL211" s="2522"/>
      <c r="UAM211" s="2522"/>
      <c r="UAN211" s="2522"/>
      <c r="UAO211" s="2522"/>
      <c r="UAP211" s="2522"/>
      <c r="UAQ211" s="2522"/>
      <c r="UAR211" s="2522"/>
      <c r="UAS211" s="2522"/>
      <c r="UAT211" s="2522"/>
      <c r="UAU211" s="2522"/>
      <c r="UAV211" s="2522"/>
      <c r="UAW211" s="2522"/>
      <c r="UAX211" s="2522"/>
      <c r="UAY211" s="2522"/>
      <c r="UAZ211" s="2522"/>
      <c r="UBA211" s="2522"/>
      <c r="UBB211" s="2522"/>
      <c r="UBC211" s="2522"/>
      <c r="UBD211" s="2522"/>
      <c r="UBE211" s="2522"/>
      <c r="UBF211" s="2522"/>
      <c r="UBG211" s="2522"/>
      <c r="UBH211" s="2522"/>
      <c r="UBI211" s="2522"/>
      <c r="UBJ211" s="2522"/>
      <c r="UBK211" s="2522"/>
      <c r="UBL211" s="2522"/>
      <c r="UBM211" s="2522"/>
      <c r="UBN211" s="2522"/>
      <c r="UBO211" s="2522"/>
      <c r="UBP211" s="2522"/>
      <c r="UBQ211" s="2522"/>
      <c r="UBR211" s="2522"/>
      <c r="UBS211" s="2522"/>
      <c r="UBT211" s="2522"/>
      <c r="UBU211" s="2522"/>
      <c r="UBV211" s="2522"/>
      <c r="UBW211" s="2522"/>
      <c r="UBX211" s="2522"/>
      <c r="UBY211" s="2522"/>
      <c r="UBZ211" s="2522"/>
      <c r="UCA211" s="2522"/>
      <c r="UCB211" s="2522"/>
      <c r="UCC211" s="2522"/>
      <c r="UCD211" s="2522"/>
      <c r="UCE211" s="2522"/>
      <c r="UCF211" s="2522"/>
      <c r="UCG211" s="2522"/>
      <c r="UCH211" s="2522"/>
      <c r="UCI211" s="2522"/>
      <c r="UCJ211" s="2522"/>
      <c r="UCK211" s="2522"/>
      <c r="UCL211" s="2522"/>
      <c r="UCM211" s="2522"/>
      <c r="UCN211" s="2522"/>
      <c r="UCO211" s="2522"/>
      <c r="UCP211" s="2522"/>
      <c r="UCQ211" s="2522"/>
      <c r="UCR211" s="2522"/>
      <c r="UCS211" s="2522"/>
      <c r="UCT211" s="2522"/>
      <c r="UCU211" s="2522"/>
      <c r="UCV211" s="2522"/>
      <c r="UCW211" s="2522"/>
      <c r="UCX211" s="2522"/>
      <c r="UCY211" s="2522"/>
      <c r="UCZ211" s="2522"/>
      <c r="UDA211" s="2522"/>
      <c r="UDB211" s="2522"/>
      <c r="UDC211" s="2522"/>
      <c r="UDD211" s="2522"/>
      <c r="UDE211" s="2522"/>
      <c r="UDF211" s="2522"/>
      <c r="UDG211" s="2522"/>
      <c r="UDH211" s="2522"/>
      <c r="UDI211" s="2522"/>
      <c r="UDJ211" s="2522"/>
      <c r="UDK211" s="2522"/>
      <c r="UDL211" s="2522"/>
      <c r="UDM211" s="2522"/>
      <c r="UDN211" s="2522"/>
      <c r="UDO211" s="2522"/>
      <c r="UDP211" s="2522"/>
      <c r="UDQ211" s="2522"/>
      <c r="UDR211" s="2522"/>
      <c r="UDS211" s="2522"/>
      <c r="UDT211" s="2522"/>
      <c r="UDU211" s="2522"/>
      <c r="UDV211" s="2522"/>
      <c r="UDW211" s="2522"/>
      <c r="UDX211" s="2522"/>
      <c r="UDY211" s="2522"/>
      <c r="UDZ211" s="2522"/>
      <c r="UEA211" s="2522"/>
      <c r="UEB211" s="2522"/>
      <c r="UEC211" s="2522"/>
      <c r="UED211" s="2522"/>
      <c r="UEE211" s="2522"/>
      <c r="UEF211" s="2522"/>
      <c r="UEG211" s="2522"/>
      <c r="UEH211" s="2522"/>
      <c r="UEI211" s="2522"/>
      <c r="UEJ211" s="2522"/>
      <c r="UEK211" s="2522"/>
      <c r="UEL211" s="2522"/>
      <c r="UEM211" s="2522"/>
      <c r="UEN211" s="2522"/>
      <c r="UEO211" s="2522"/>
      <c r="UEP211" s="2522"/>
      <c r="UEQ211" s="2522"/>
      <c r="UER211" s="2522"/>
      <c r="UES211" s="2522"/>
      <c r="UET211" s="2522"/>
      <c r="UEU211" s="2522"/>
      <c r="UEV211" s="2522"/>
      <c r="UEW211" s="2522"/>
      <c r="UEX211" s="2522"/>
      <c r="UEY211" s="2522"/>
      <c r="UEZ211" s="2522"/>
      <c r="UFA211" s="2522"/>
      <c r="UFB211" s="2522"/>
      <c r="UFC211" s="2522"/>
      <c r="UFD211" s="2522"/>
      <c r="UFE211" s="2522"/>
      <c r="UFF211" s="2522"/>
      <c r="UFG211" s="2522"/>
      <c r="UFH211" s="2522"/>
      <c r="UFI211" s="2522"/>
      <c r="UFJ211" s="2522"/>
      <c r="UFK211" s="2522"/>
      <c r="UFL211" s="2522"/>
      <c r="UFM211" s="2522"/>
      <c r="UFN211" s="2522"/>
      <c r="UFO211" s="2522"/>
      <c r="UFP211" s="2522"/>
      <c r="UFQ211" s="2522"/>
      <c r="UFR211" s="2522"/>
      <c r="UFS211" s="2522"/>
      <c r="UFT211" s="2522"/>
      <c r="UFU211" s="2522"/>
      <c r="UFV211" s="2522"/>
      <c r="UFW211" s="2522"/>
      <c r="UFX211" s="2522"/>
      <c r="UFY211" s="2522"/>
      <c r="UFZ211" s="2522"/>
      <c r="UGA211" s="2522"/>
      <c r="UGB211" s="2522"/>
      <c r="UGC211" s="2522"/>
      <c r="UGD211" s="2522"/>
      <c r="UGE211" s="2522"/>
      <c r="UGF211" s="2522"/>
      <c r="UGG211" s="2522"/>
      <c r="UGH211" s="2522"/>
      <c r="UGI211" s="2522"/>
      <c r="UGJ211" s="2522"/>
      <c r="UGK211" s="2522"/>
      <c r="UGL211" s="2522"/>
      <c r="UGM211" s="2522"/>
      <c r="UGN211" s="2522"/>
      <c r="UGO211" s="2522"/>
      <c r="UGP211" s="2522"/>
      <c r="UGQ211" s="2522"/>
      <c r="UGR211" s="2522"/>
      <c r="UGS211" s="2522"/>
      <c r="UGT211" s="2522"/>
      <c r="UGU211" s="2522"/>
      <c r="UGV211" s="2522"/>
      <c r="UGW211" s="2522"/>
      <c r="UGX211" s="2522"/>
      <c r="UGY211" s="2522"/>
      <c r="UGZ211" s="2522"/>
      <c r="UHA211" s="2522"/>
      <c r="UHB211" s="2522"/>
      <c r="UHC211" s="2522"/>
      <c r="UHD211" s="2522"/>
      <c r="UHE211" s="2522"/>
      <c r="UHF211" s="2522"/>
      <c r="UHG211" s="2522"/>
      <c r="UHH211" s="2522"/>
      <c r="UHI211" s="2522"/>
      <c r="UHJ211" s="2522"/>
      <c r="UHK211" s="2522"/>
      <c r="UHL211" s="2522"/>
      <c r="UHM211" s="2522"/>
      <c r="UHN211" s="2522"/>
      <c r="UHO211" s="2522"/>
      <c r="UHP211" s="2522"/>
      <c r="UHQ211" s="2522"/>
      <c r="UHR211" s="2522"/>
      <c r="UHS211" s="2522"/>
      <c r="UHT211" s="2522"/>
      <c r="UHU211" s="2522"/>
      <c r="UHV211" s="2522"/>
      <c r="UHW211" s="2522"/>
      <c r="UHX211" s="2522"/>
      <c r="UHY211" s="2522"/>
      <c r="UHZ211" s="2522"/>
      <c r="UIA211" s="2522"/>
      <c r="UIB211" s="2522"/>
      <c r="UIC211" s="2522"/>
      <c r="UID211" s="2522"/>
      <c r="UIE211" s="2522"/>
      <c r="UIF211" s="2522"/>
      <c r="UIG211" s="2522"/>
      <c r="UIH211" s="2522"/>
      <c r="UII211" s="2522"/>
      <c r="UIJ211" s="2522"/>
      <c r="UIK211" s="2522"/>
      <c r="UIL211" s="2522"/>
      <c r="UIM211" s="2522"/>
      <c r="UIN211" s="2522"/>
      <c r="UIO211" s="2522"/>
      <c r="UIP211" s="2522"/>
      <c r="UIQ211" s="2522"/>
      <c r="UIR211" s="2522"/>
      <c r="UIS211" s="2522"/>
      <c r="UIT211" s="2522"/>
      <c r="UIU211" s="2522"/>
      <c r="UIV211" s="2522"/>
      <c r="UIW211" s="2522"/>
      <c r="UIX211" s="2522"/>
      <c r="UIY211" s="2522"/>
      <c r="UIZ211" s="2522"/>
      <c r="UJA211" s="2522"/>
      <c r="UJB211" s="2522"/>
      <c r="UJC211" s="2522"/>
      <c r="UJD211" s="2522"/>
      <c r="UJE211" s="2522"/>
      <c r="UJF211" s="2522"/>
      <c r="UJG211" s="2522"/>
      <c r="UJH211" s="2522"/>
      <c r="UJI211" s="2522"/>
      <c r="UJJ211" s="2522"/>
      <c r="UJK211" s="2522"/>
      <c r="UJL211" s="2522"/>
      <c r="UJM211" s="2522"/>
      <c r="UJN211" s="2522"/>
      <c r="UJO211" s="2522"/>
      <c r="UJP211" s="2522"/>
      <c r="UJQ211" s="2522"/>
      <c r="UJR211" s="2522"/>
      <c r="UJS211" s="2522"/>
      <c r="UJT211" s="2522"/>
      <c r="UJU211" s="2522"/>
      <c r="UJV211" s="2522"/>
      <c r="UJW211" s="2522"/>
      <c r="UJX211" s="2522"/>
      <c r="UJY211" s="2522"/>
      <c r="UJZ211" s="2522"/>
      <c r="UKA211" s="2522"/>
      <c r="UKB211" s="2522"/>
      <c r="UKC211" s="2522"/>
      <c r="UKD211" s="2522"/>
      <c r="UKE211" s="2522"/>
      <c r="UKF211" s="2522"/>
      <c r="UKG211" s="2522"/>
      <c r="UKH211" s="2522"/>
      <c r="UKI211" s="2522"/>
      <c r="UKJ211" s="2522"/>
      <c r="UKK211" s="2522"/>
      <c r="UKL211" s="2522"/>
      <c r="UKM211" s="2522"/>
      <c r="UKN211" s="2522"/>
      <c r="UKO211" s="2522"/>
      <c r="UKP211" s="2522"/>
      <c r="UKQ211" s="2522"/>
      <c r="UKR211" s="2522"/>
      <c r="UKS211" s="2522"/>
      <c r="UKT211" s="2522"/>
      <c r="UKU211" s="2522"/>
      <c r="UKV211" s="2522"/>
      <c r="UKW211" s="2522"/>
      <c r="UKX211" s="2522"/>
      <c r="UKY211" s="2522"/>
      <c r="UKZ211" s="2522"/>
      <c r="ULA211" s="2522"/>
      <c r="ULB211" s="2522"/>
      <c r="ULC211" s="2522"/>
      <c r="ULD211" s="2522"/>
      <c r="ULE211" s="2522"/>
      <c r="ULF211" s="2522"/>
      <c r="ULG211" s="2522"/>
      <c r="ULH211" s="2522"/>
      <c r="ULI211" s="2522"/>
      <c r="ULJ211" s="2522"/>
      <c r="ULK211" s="2522"/>
      <c r="ULL211" s="2522"/>
      <c r="ULM211" s="2522"/>
      <c r="ULN211" s="2522"/>
      <c r="ULO211" s="2522"/>
      <c r="ULP211" s="2522"/>
      <c r="ULQ211" s="2522"/>
      <c r="ULR211" s="2522"/>
      <c r="ULS211" s="2522"/>
      <c r="ULT211" s="2522"/>
      <c r="ULU211" s="2522"/>
      <c r="ULV211" s="2522"/>
      <c r="ULW211" s="2522"/>
      <c r="ULX211" s="2522"/>
      <c r="ULY211" s="2522"/>
      <c r="ULZ211" s="2522"/>
      <c r="UMA211" s="2522"/>
      <c r="UMB211" s="2522"/>
      <c r="UMC211" s="2522"/>
      <c r="UMD211" s="2522"/>
      <c r="UME211" s="2522"/>
      <c r="UMF211" s="2522"/>
      <c r="UMG211" s="2522"/>
      <c r="UMH211" s="2522"/>
      <c r="UMI211" s="2522"/>
      <c r="UMJ211" s="2522"/>
      <c r="UMK211" s="2522"/>
      <c r="UML211" s="2522"/>
      <c r="UMM211" s="2522"/>
      <c r="UMN211" s="2522"/>
      <c r="UMO211" s="2522"/>
      <c r="UMP211" s="2522"/>
      <c r="UMQ211" s="2522"/>
      <c r="UMR211" s="2522"/>
      <c r="UMS211" s="2522"/>
      <c r="UMT211" s="2522"/>
      <c r="UMU211" s="2522"/>
      <c r="UMV211" s="2522"/>
      <c r="UMW211" s="2522"/>
      <c r="UMX211" s="2522"/>
      <c r="UMY211" s="2522"/>
      <c r="UMZ211" s="2522"/>
      <c r="UNA211" s="2522"/>
      <c r="UNB211" s="2522"/>
      <c r="UNC211" s="2522"/>
      <c r="UND211" s="2522"/>
      <c r="UNE211" s="2522"/>
      <c r="UNF211" s="2522"/>
      <c r="UNG211" s="2522"/>
      <c r="UNH211" s="2522"/>
      <c r="UNI211" s="2522"/>
      <c r="UNJ211" s="2522"/>
      <c r="UNK211" s="2522"/>
      <c r="UNL211" s="2522"/>
      <c r="UNM211" s="2522"/>
      <c r="UNN211" s="2522"/>
      <c r="UNO211" s="2522"/>
      <c r="UNP211" s="2522"/>
      <c r="UNQ211" s="2522"/>
      <c r="UNR211" s="2522"/>
      <c r="UNS211" s="2522"/>
      <c r="UNT211" s="2522"/>
      <c r="UNU211" s="2522"/>
      <c r="UNV211" s="2522"/>
      <c r="UNW211" s="2522"/>
      <c r="UNX211" s="2522"/>
      <c r="UNY211" s="2522"/>
      <c r="UNZ211" s="2522"/>
      <c r="UOA211" s="2522"/>
      <c r="UOB211" s="2522"/>
      <c r="UOC211" s="2522"/>
      <c r="UOD211" s="2522"/>
      <c r="UOE211" s="2522"/>
      <c r="UOF211" s="2522"/>
      <c r="UOG211" s="2522"/>
      <c r="UOH211" s="2522"/>
      <c r="UOI211" s="2522"/>
      <c r="UOJ211" s="2522"/>
      <c r="UOK211" s="2522"/>
      <c r="UOL211" s="2522"/>
      <c r="UOM211" s="2522"/>
      <c r="UON211" s="2522"/>
      <c r="UOO211" s="2522"/>
      <c r="UOP211" s="2522"/>
      <c r="UOQ211" s="2522"/>
      <c r="UOR211" s="2522"/>
      <c r="UOS211" s="2522"/>
      <c r="UOT211" s="2522"/>
      <c r="UOU211" s="2522"/>
      <c r="UOV211" s="2522"/>
      <c r="UOW211" s="2522"/>
      <c r="UOX211" s="2522"/>
      <c r="UOY211" s="2522"/>
      <c r="UOZ211" s="2522"/>
      <c r="UPA211" s="2522"/>
      <c r="UPB211" s="2522"/>
      <c r="UPC211" s="2522"/>
      <c r="UPD211" s="2522"/>
      <c r="UPE211" s="2522"/>
      <c r="UPF211" s="2522"/>
      <c r="UPG211" s="2522"/>
      <c r="UPH211" s="2522"/>
      <c r="UPI211" s="2522"/>
      <c r="UPJ211" s="2522"/>
      <c r="UPK211" s="2522"/>
      <c r="UPL211" s="2522"/>
      <c r="UPM211" s="2522"/>
      <c r="UPN211" s="2522"/>
      <c r="UPO211" s="2522"/>
      <c r="UPP211" s="2522"/>
      <c r="UPQ211" s="2522"/>
      <c r="UPR211" s="2522"/>
      <c r="UPS211" s="2522"/>
      <c r="UPT211" s="2522"/>
      <c r="UPU211" s="2522"/>
      <c r="UPV211" s="2522"/>
      <c r="UPW211" s="2522"/>
      <c r="UPX211" s="2522"/>
      <c r="UPY211" s="2522"/>
      <c r="UPZ211" s="2522"/>
      <c r="UQA211" s="2522"/>
      <c r="UQB211" s="2522"/>
      <c r="UQC211" s="2522"/>
      <c r="UQD211" s="2522"/>
      <c r="UQE211" s="2522"/>
      <c r="UQF211" s="2522"/>
      <c r="UQG211" s="2522"/>
      <c r="UQH211" s="2522"/>
      <c r="UQI211" s="2522"/>
      <c r="UQJ211" s="2522"/>
      <c r="UQK211" s="2522"/>
      <c r="UQL211" s="2522"/>
      <c r="UQM211" s="2522"/>
      <c r="UQN211" s="2522"/>
      <c r="UQO211" s="2522"/>
      <c r="UQP211" s="2522"/>
      <c r="UQQ211" s="2522"/>
      <c r="UQR211" s="2522"/>
      <c r="UQS211" s="2522"/>
      <c r="UQT211" s="2522"/>
      <c r="UQU211" s="2522"/>
      <c r="UQV211" s="2522"/>
      <c r="UQW211" s="2522"/>
      <c r="UQX211" s="2522"/>
      <c r="UQY211" s="2522"/>
      <c r="UQZ211" s="2522"/>
      <c r="URA211" s="2522"/>
      <c r="URB211" s="2522"/>
      <c r="URC211" s="2522"/>
      <c r="URD211" s="2522"/>
      <c r="URE211" s="2522"/>
      <c r="URF211" s="2522"/>
      <c r="URG211" s="2522"/>
      <c r="URH211" s="2522"/>
      <c r="URI211" s="2522"/>
      <c r="URJ211" s="2522"/>
      <c r="URK211" s="2522"/>
      <c r="URL211" s="2522"/>
      <c r="URM211" s="2522"/>
      <c r="URN211" s="2522"/>
      <c r="URO211" s="2522"/>
      <c r="URP211" s="2522"/>
      <c r="URQ211" s="2522"/>
      <c r="URR211" s="2522"/>
      <c r="URS211" s="2522"/>
      <c r="URT211" s="2522"/>
      <c r="URU211" s="2522"/>
      <c r="URV211" s="2522"/>
      <c r="URW211" s="2522"/>
      <c r="URX211" s="2522"/>
      <c r="URY211" s="2522"/>
      <c r="URZ211" s="2522"/>
      <c r="USA211" s="2522"/>
      <c r="USB211" s="2522"/>
      <c r="USC211" s="2522"/>
      <c r="USD211" s="2522"/>
      <c r="USE211" s="2522"/>
      <c r="USF211" s="2522"/>
      <c r="USG211" s="2522"/>
      <c r="USH211" s="2522"/>
      <c r="USI211" s="2522"/>
      <c r="USJ211" s="2522"/>
      <c r="USK211" s="2522"/>
      <c r="USL211" s="2522"/>
      <c r="USM211" s="2522"/>
      <c r="USN211" s="2522"/>
      <c r="USO211" s="2522"/>
      <c r="USP211" s="2522"/>
      <c r="USQ211" s="2522"/>
      <c r="USR211" s="2522"/>
      <c r="USS211" s="2522"/>
      <c r="UST211" s="2522"/>
      <c r="USU211" s="2522"/>
      <c r="USV211" s="2522"/>
      <c r="USW211" s="2522"/>
      <c r="USX211" s="2522"/>
      <c r="USY211" s="2522"/>
      <c r="USZ211" s="2522"/>
      <c r="UTA211" s="2522"/>
      <c r="UTB211" s="2522"/>
      <c r="UTC211" s="2522"/>
      <c r="UTD211" s="2522"/>
      <c r="UTE211" s="2522"/>
      <c r="UTF211" s="2522"/>
      <c r="UTG211" s="2522"/>
      <c r="UTH211" s="2522"/>
      <c r="UTI211" s="2522"/>
      <c r="UTJ211" s="2522"/>
      <c r="UTK211" s="2522"/>
      <c r="UTL211" s="2522"/>
      <c r="UTM211" s="2522"/>
      <c r="UTN211" s="2522"/>
      <c r="UTO211" s="2522"/>
      <c r="UTP211" s="2522"/>
      <c r="UTQ211" s="2522"/>
      <c r="UTR211" s="2522"/>
      <c r="UTS211" s="2522"/>
      <c r="UTT211" s="2522"/>
      <c r="UTU211" s="2522"/>
      <c r="UTV211" s="2522"/>
      <c r="UTW211" s="2522"/>
      <c r="UTX211" s="2522"/>
      <c r="UTY211" s="2522"/>
      <c r="UTZ211" s="2522"/>
      <c r="UUA211" s="2522"/>
      <c r="UUB211" s="2522"/>
      <c r="UUC211" s="2522"/>
      <c r="UUD211" s="2522"/>
      <c r="UUE211" s="2522"/>
      <c r="UUF211" s="2522"/>
      <c r="UUG211" s="2522"/>
      <c r="UUH211" s="2522"/>
      <c r="UUI211" s="2522"/>
      <c r="UUJ211" s="2522"/>
      <c r="UUK211" s="2522"/>
      <c r="UUL211" s="2522"/>
      <c r="UUM211" s="2522"/>
      <c r="UUN211" s="2522"/>
      <c r="UUO211" s="2522"/>
      <c r="UUP211" s="2522"/>
      <c r="UUQ211" s="2522"/>
      <c r="UUR211" s="2522"/>
      <c r="UUS211" s="2522"/>
      <c r="UUT211" s="2522"/>
      <c r="UUU211" s="2522"/>
      <c r="UUV211" s="2522"/>
      <c r="UUW211" s="2522"/>
      <c r="UUX211" s="2522"/>
      <c r="UUY211" s="2522"/>
      <c r="UUZ211" s="2522"/>
      <c r="UVA211" s="2522"/>
      <c r="UVB211" s="2522"/>
      <c r="UVC211" s="2522"/>
      <c r="UVD211" s="2522"/>
      <c r="UVE211" s="2522"/>
      <c r="UVF211" s="2522"/>
      <c r="UVG211" s="2522"/>
      <c r="UVH211" s="2522"/>
      <c r="UVI211" s="2522"/>
      <c r="UVJ211" s="2522"/>
      <c r="UVK211" s="2522"/>
      <c r="UVL211" s="2522"/>
      <c r="UVM211" s="2522"/>
      <c r="UVN211" s="2522"/>
      <c r="UVO211" s="2522"/>
      <c r="UVP211" s="2522"/>
      <c r="UVQ211" s="2522"/>
      <c r="UVR211" s="2522"/>
      <c r="UVS211" s="2522"/>
      <c r="UVT211" s="2522"/>
      <c r="UVU211" s="2522"/>
      <c r="UVV211" s="2522"/>
      <c r="UVW211" s="2522"/>
      <c r="UVX211" s="2522"/>
      <c r="UVY211" s="2522"/>
      <c r="UVZ211" s="2522"/>
      <c r="UWA211" s="2522"/>
      <c r="UWB211" s="2522"/>
      <c r="UWC211" s="2522"/>
      <c r="UWD211" s="2522"/>
      <c r="UWE211" s="2522"/>
      <c r="UWF211" s="2522"/>
      <c r="UWG211" s="2522"/>
      <c r="UWH211" s="2522"/>
      <c r="UWI211" s="2522"/>
      <c r="UWJ211" s="2522"/>
      <c r="UWK211" s="2522"/>
      <c r="UWL211" s="2522"/>
      <c r="UWM211" s="2522"/>
      <c r="UWN211" s="2522"/>
      <c r="UWO211" s="2522"/>
      <c r="UWP211" s="2522"/>
      <c r="UWQ211" s="2522"/>
      <c r="UWR211" s="2522"/>
      <c r="UWS211" s="2522"/>
      <c r="UWT211" s="2522"/>
      <c r="UWU211" s="2522"/>
      <c r="UWV211" s="2522"/>
      <c r="UWW211" s="2522"/>
      <c r="UWX211" s="2522"/>
      <c r="UWY211" s="2522"/>
      <c r="UWZ211" s="2522"/>
      <c r="UXA211" s="2522"/>
      <c r="UXB211" s="2522"/>
      <c r="UXC211" s="2522"/>
      <c r="UXD211" s="2522"/>
      <c r="UXE211" s="2522"/>
      <c r="UXF211" s="2522"/>
      <c r="UXG211" s="2522"/>
      <c r="UXH211" s="2522"/>
      <c r="UXI211" s="2522"/>
      <c r="UXJ211" s="2522"/>
      <c r="UXK211" s="2522"/>
      <c r="UXL211" s="2522"/>
      <c r="UXM211" s="2522"/>
      <c r="UXN211" s="2522"/>
      <c r="UXO211" s="2522"/>
      <c r="UXP211" s="2522"/>
      <c r="UXQ211" s="2522"/>
      <c r="UXR211" s="2522"/>
      <c r="UXS211" s="2522"/>
      <c r="UXT211" s="2522"/>
      <c r="UXU211" s="2522"/>
      <c r="UXV211" s="2522"/>
      <c r="UXW211" s="2522"/>
      <c r="UXX211" s="2522"/>
      <c r="UXY211" s="2522"/>
      <c r="UXZ211" s="2522"/>
      <c r="UYA211" s="2522"/>
      <c r="UYB211" s="2522"/>
      <c r="UYC211" s="2522"/>
      <c r="UYD211" s="2522"/>
      <c r="UYE211" s="2522"/>
      <c r="UYF211" s="2522"/>
      <c r="UYG211" s="2522"/>
      <c r="UYH211" s="2522"/>
      <c r="UYI211" s="2522"/>
      <c r="UYJ211" s="2522"/>
      <c r="UYK211" s="2522"/>
      <c r="UYL211" s="2522"/>
      <c r="UYM211" s="2522"/>
      <c r="UYN211" s="2522"/>
      <c r="UYO211" s="2522"/>
      <c r="UYP211" s="2522"/>
      <c r="UYQ211" s="2522"/>
      <c r="UYR211" s="2522"/>
      <c r="UYS211" s="2522"/>
      <c r="UYT211" s="2522"/>
      <c r="UYU211" s="2522"/>
      <c r="UYV211" s="2522"/>
      <c r="UYW211" s="2522"/>
      <c r="UYX211" s="2522"/>
      <c r="UYY211" s="2522"/>
      <c r="UYZ211" s="2522"/>
      <c r="UZA211" s="2522"/>
      <c r="UZB211" s="2522"/>
      <c r="UZC211" s="2522"/>
      <c r="UZD211" s="2522"/>
      <c r="UZE211" s="2522"/>
      <c r="UZF211" s="2522"/>
      <c r="UZG211" s="2522"/>
      <c r="UZH211" s="2522"/>
      <c r="UZI211" s="2522"/>
      <c r="UZJ211" s="2522"/>
      <c r="UZK211" s="2522"/>
      <c r="UZL211" s="2522"/>
      <c r="UZM211" s="2522"/>
      <c r="UZN211" s="2522"/>
      <c r="UZO211" s="2522"/>
      <c r="UZP211" s="2522"/>
      <c r="UZQ211" s="2522"/>
      <c r="UZR211" s="2522"/>
      <c r="UZS211" s="2522"/>
      <c r="UZT211" s="2522"/>
      <c r="UZU211" s="2522"/>
      <c r="UZV211" s="2522"/>
      <c r="UZW211" s="2522"/>
      <c r="UZX211" s="2522"/>
      <c r="UZY211" s="2522"/>
      <c r="UZZ211" s="2522"/>
      <c r="VAA211" s="2522"/>
      <c r="VAB211" s="2522"/>
      <c r="VAC211" s="2522"/>
      <c r="VAD211" s="2522"/>
      <c r="VAE211" s="2522"/>
      <c r="VAF211" s="2522"/>
      <c r="VAG211" s="2522"/>
      <c r="VAH211" s="2522"/>
      <c r="VAI211" s="2522"/>
      <c r="VAJ211" s="2522"/>
      <c r="VAK211" s="2522"/>
      <c r="VAL211" s="2522"/>
      <c r="VAM211" s="2522"/>
      <c r="VAN211" s="2522"/>
      <c r="VAO211" s="2522"/>
      <c r="VAP211" s="2522"/>
      <c r="VAQ211" s="2522"/>
      <c r="VAR211" s="2522"/>
      <c r="VAS211" s="2522"/>
      <c r="VAT211" s="2522"/>
      <c r="VAU211" s="2522"/>
      <c r="VAV211" s="2522"/>
      <c r="VAW211" s="2522"/>
      <c r="VAX211" s="2522"/>
      <c r="VAY211" s="2522"/>
      <c r="VAZ211" s="2522"/>
      <c r="VBA211" s="2522"/>
      <c r="VBB211" s="2522"/>
      <c r="VBC211" s="2522"/>
      <c r="VBD211" s="2522"/>
      <c r="VBE211" s="2522"/>
      <c r="VBF211" s="2522"/>
      <c r="VBG211" s="2522"/>
      <c r="VBH211" s="2522"/>
      <c r="VBI211" s="2522"/>
      <c r="VBJ211" s="2522"/>
      <c r="VBK211" s="2522"/>
      <c r="VBL211" s="2522"/>
      <c r="VBM211" s="2522"/>
      <c r="VBN211" s="2522"/>
      <c r="VBO211" s="2522"/>
      <c r="VBP211" s="2522"/>
      <c r="VBQ211" s="2522"/>
      <c r="VBR211" s="2522"/>
      <c r="VBS211" s="2522"/>
      <c r="VBT211" s="2522"/>
      <c r="VBU211" s="2522"/>
      <c r="VBV211" s="2522"/>
      <c r="VBW211" s="2522"/>
      <c r="VBX211" s="2522"/>
      <c r="VBY211" s="2522"/>
      <c r="VBZ211" s="2522"/>
      <c r="VCA211" s="2522"/>
      <c r="VCB211" s="2522"/>
      <c r="VCC211" s="2522"/>
      <c r="VCD211" s="2522"/>
      <c r="VCE211" s="2522"/>
      <c r="VCF211" s="2522"/>
      <c r="VCG211" s="2522"/>
      <c r="VCH211" s="2522"/>
      <c r="VCI211" s="2522"/>
      <c r="VCJ211" s="2522"/>
      <c r="VCK211" s="2522"/>
      <c r="VCL211" s="2522"/>
      <c r="VCM211" s="2522"/>
      <c r="VCN211" s="2522"/>
      <c r="VCO211" s="2522"/>
      <c r="VCP211" s="2522"/>
      <c r="VCQ211" s="2522"/>
      <c r="VCR211" s="2522"/>
      <c r="VCS211" s="2522"/>
      <c r="VCT211" s="2522"/>
      <c r="VCU211" s="2522"/>
      <c r="VCV211" s="2522"/>
      <c r="VCW211" s="2522"/>
      <c r="VCX211" s="2522"/>
      <c r="VCY211" s="2522"/>
      <c r="VCZ211" s="2522"/>
      <c r="VDA211" s="2522"/>
      <c r="VDB211" s="2522"/>
      <c r="VDC211" s="2522"/>
      <c r="VDD211" s="2522"/>
      <c r="VDE211" s="2522"/>
      <c r="VDF211" s="2522"/>
      <c r="VDG211" s="2522"/>
      <c r="VDH211" s="2522"/>
      <c r="VDI211" s="2522"/>
      <c r="VDJ211" s="2522"/>
      <c r="VDK211" s="2522"/>
      <c r="VDL211" s="2522"/>
      <c r="VDM211" s="2522"/>
      <c r="VDN211" s="2522"/>
      <c r="VDO211" s="2522"/>
      <c r="VDP211" s="2522"/>
      <c r="VDQ211" s="2522"/>
      <c r="VDR211" s="2522"/>
      <c r="VDS211" s="2522"/>
      <c r="VDT211" s="2522"/>
      <c r="VDU211" s="2522"/>
      <c r="VDV211" s="2522"/>
      <c r="VDW211" s="2522"/>
      <c r="VDX211" s="2522"/>
      <c r="VDY211" s="2522"/>
      <c r="VDZ211" s="2522"/>
      <c r="VEA211" s="2522"/>
      <c r="VEB211" s="2522"/>
      <c r="VEC211" s="2522"/>
      <c r="VED211" s="2522"/>
      <c r="VEE211" s="2522"/>
      <c r="VEF211" s="2522"/>
      <c r="VEG211" s="2522"/>
      <c r="VEH211" s="2522"/>
      <c r="VEI211" s="2522"/>
      <c r="VEJ211" s="2522"/>
      <c r="VEK211" s="2522"/>
      <c r="VEL211" s="2522"/>
      <c r="VEM211" s="2522"/>
      <c r="VEN211" s="2522"/>
      <c r="VEO211" s="2522"/>
      <c r="VEP211" s="2522"/>
      <c r="VEQ211" s="2522"/>
      <c r="VER211" s="2522"/>
      <c r="VES211" s="2522"/>
      <c r="VET211" s="2522"/>
      <c r="VEU211" s="2522"/>
      <c r="VEV211" s="2522"/>
      <c r="VEW211" s="2522"/>
      <c r="VEX211" s="2522"/>
      <c r="VEY211" s="2522"/>
      <c r="VEZ211" s="2522"/>
      <c r="VFA211" s="2522"/>
      <c r="VFB211" s="2522"/>
      <c r="VFC211" s="2522"/>
      <c r="VFD211" s="2522"/>
      <c r="VFE211" s="2522"/>
      <c r="VFF211" s="2522"/>
      <c r="VFG211" s="2522"/>
      <c r="VFH211" s="2522"/>
      <c r="VFI211" s="2522"/>
      <c r="VFJ211" s="2522"/>
      <c r="VFK211" s="2522"/>
      <c r="VFL211" s="2522"/>
      <c r="VFM211" s="2522"/>
      <c r="VFN211" s="2522"/>
      <c r="VFO211" s="2522"/>
      <c r="VFP211" s="2522"/>
      <c r="VFQ211" s="2522"/>
      <c r="VFR211" s="2522"/>
      <c r="VFS211" s="2522"/>
      <c r="VFT211" s="2522"/>
      <c r="VFU211" s="2522"/>
      <c r="VFV211" s="2522"/>
      <c r="VFW211" s="2522"/>
      <c r="VFX211" s="2522"/>
      <c r="VFY211" s="2522"/>
      <c r="VFZ211" s="2522"/>
      <c r="VGA211" s="2522"/>
      <c r="VGB211" s="2522"/>
      <c r="VGC211" s="2522"/>
      <c r="VGD211" s="2522"/>
      <c r="VGE211" s="2522"/>
      <c r="VGF211" s="2522"/>
      <c r="VGG211" s="2522"/>
      <c r="VGH211" s="2522"/>
      <c r="VGI211" s="2522"/>
      <c r="VGJ211" s="2522"/>
      <c r="VGK211" s="2522"/>
      <c r="VGL211" s="2522"/>
      <c r="VGM211" s="2522"/>
      <c r="VGN211" s="2522"/>
      <c r="VGO211" s="2522"/>
      <c r="VGP211" s="2522"/>
      <c r="VGQ211" s="2522"/>
      <c r="VGR211" s="2522"/>
      <c r="VGS211" s="2522"/>
      <c r="VGT211" s="2522"/>
      <c r="VGU211" s="2522"/>
      <c r="VGV211" s="2522"/>
      <c r="VGW211" s="2522"/>
      <c r="VGX211" s="2522"/>
      <c r="VGY211" s="2522"/>
      <c r="VGZ211" s="2522"/>
      <c r="VHA211" s="2522"/>
      <c r="VHB211" s="2522"/>
      <c r="VHC211" s="2522"/>
      <c r="VHD211" s="2522"/>
      <c r="VHE211" s="2522"/>
      <c r="VHF211" s="2522"/>
      <c r="VHG211" s="2522"/>
      <c r="VHH211" s="2522"/>
      <c r="VHI211" s="2522"/>
      <c r="VHJ211" s="2522"/>
      <c r="VHK211" s="2522"/>
      <c r="VHL211" s="2522"/>
      <c r="VHM211" s="2522"/>
      <c r="VHN211" s="2522"/>
      <c r="VHO211" s="2522"/>
      <c r="VHP211" s="2522"/>
      <c r="VHQ211" s="2522"/>
      <c r="VHR211" s="2522"/>
      <c r="VHS211" s="2522"/>
      <c r="VHT211" s="2522"/>
      <c r="VHU211" s="2522"/>
      <c r="VHV211" s="2522"/>
      <c r="VHW211" s="2522"/>
      <c r="VHX211" s="2522"/>
      <c r="VHY211" s="2522"/>
      <c r="VHZ211" s="2522"/>
      <c r="VIA211" s="2522"/>
      <c r="VIB211" s="2522"/>
      <c r="VIC211" s="2522"/>
      <c r="VID211" s="2522"/>
      <c r="VIE211" s="2522"/>
      <c r="VIF211" s="2522"/>
      <c r="VIG211" s="2522"/>
      <c r="VIH211" s="2522"/>
      <c r="VII211" s="2522"/>
      <c r="VIJ211" s="2522"/>
      <c r="VIK211" s="2522"/>
      <c r="VIL211" s="2522"/>
      <c r="VIM211" s="2522"/>
      <c r="VIN211" s="2522"/>
      <c r="VIO211" s="2522"/>
      <c r="VIP211" s="2522"/>
      <c r="VIQ211" s="2522"/>
      <c r="VIR211" s="2522"/>
      <c r="VIS211" s="2522"/>
      <c r="VIT211" s="2522"/>
      <c r="VIU211" s="2522"/>
      <c r="VIV211" s="2522"/>
      <c r="VIW211" s="2522"/>
      <c r="VIX211" s="2522"/>
      <c r="VIY211" s="2522"/>
      <c r="VIZ211" s="2522"/>
      <c r="VJA211" s="2522"/>
      <c r="VJB211" s="2522"/>
      <c r="VJC211" s="2522"/>
      <c r="VJD211" s="2522"/>
      <c r="VJE211" s="2522"/>
      <c r="VJF211" s="2522"/>
      <c r="VJG211" s="2522"/>
      <c r="VJH211" s="2522"/>
      <c r="VJI211" s="2522"/>
      <c r="VJJ211" s="2522"/>
      <c r="VJK211" s="2522"/>
      <c r="VJL211" s="2522"/>
      <c r="VJM211" s="2522"/>
      <c r="VJN211" s="2522"/>
      <c r="VJO211" s="2522"/>
      <c r="VJP211" s="2522"/>
      <c r="VJQ211" s="2522"/>
      <c r="VJR211" s="2522"/>
      <c r="VJS211" s="2522"/>
      <c r="VJT211" s="2522"/>
      <c r="VJU211" s="2522"/>
      <c r="VJV211" s="2522"/>
      <c r="VJW211" s="2522"/>
      <c r="VJX211" s="2522"/>
      <c r="VJY211" s="2522"/>
      <c r="VJZ211" s="2522"/>
      <c r="VKA211" s="2522"/>
      <c r="VKB211" s="2522"/>
      <c r="VKC211" s="2522"/>
      <c r="VKD211" s="2522"/>
      <c r="VKE211" s="2522"/>
      <c r="VKF211" s="2522"/>
      <c r="VKG211" s="2522"/>
      <c r="VKH211" s="2522"/>
      <c r="VKI211" s="2522"/>
      <c r="VKJ211" s="2522"/>
      <c r="VKK211" s="2522"/>
      <c r="VKL211" s="2522"/>
      <c r="VKM211" s="2522"/>
      <c r="VKN211" s="2522"/>
      <c r="VKO211" s="2522"/>
      <c r="VKP211" s="2522"/>
      <c r="VKQ211" s="2522"/>
      <c r="VKR211" s="2522"/>
      <c r="VKS211" s="2522"/>
      <c r="VKT211" s="2522"/>
      <c r="VKU211" s="2522"/>
      <c r="VKV211" s="2522"/>
      <c r="VKW211" s="2522"/>
      <c r="VKX211" s="2522"/>
      <c r="VKY211" s="2522"/>
      <c r="VKZ211" s="2522"/>
      <c r="VLA211" s="2522"/>
      <c r="VLB211" s="2522"/>
      <c r="VLC211" s="2522"/>
      <c r="VLD211" s="2522"/>
      <c r="VLE211" s="2522"/>
      <c r="VLF211" s="2522"/>
      <c r="VLG211" s="2522"/>
      <c r="VLH211" s="2522"/>
      <c r="VLI211" s="2522"/>
      <c r="VLJ211" s="2522"/>
      <c r="VLK211" s="2522"/>
      <c r="VLL211" s="2522"/>
      <c r="VLM211" s="2522"/>
      <c r="VLN211" s="2522"/>
      <c r="VLO211" s="2522"/>
      <c r="VLP211" s="2522"/>
      <c r="VLQ211" s="2522"/>
      <c r="VLR211" s="2522"/>
      <c r="VLS211" s="2522"/>
      <c r="VLT211" s="2522"/>
      <c r="VLU211" s="2522"/>
      <c r="VLV211" s="2522"/>
      <c r="VLW211" s="2522"/>
      <c r="VLX211" s="2522"/>
      <c r="VLY211" s="2522"/>
      <c r="VLZ211" s="2522"/>
      <c r="VMA211" s="2522"/>
      <c r="VMB211" s="2522"/>
      <c r="VMC211" s="2522"/>
      <c r="VMD211" s="2522"/>
      <c r="VME211" s="2522"/>
      <c r="VMF211" s="2522"/>
      <c r="VMG211" s="2522"/>
      <c r="VMH211" s="2522"/>
      <c r="VMI211" s="2522"/>
      <c r="VMJ211" s="2522"/>
      <c r="VMK211" s="2522"/>
      <c r="VML211" s="2522"/>
      <c r="VMM211" s="2522"/>
      <c r="VMN211" s="2522"/>
      <c r="VMO211" s="2522"/>
      <c r="VMP211" s="2522"/>
      <c r="VMQ211" s="2522"/>
      <c r="VMR211" s="2522"/>
      <c r="VMS211" s="2522"/>
      <c r="VMT211" s="2522"/>
      <c r="VMU211" s="2522"/>
      <c r="VMV211" s="2522"/>
      <c r="VMW211" s="2522"/>
      <c r="VMX211" s="2522"/>
      <c r="VMY211" s="2522"/>
      <c r="VMZ211" s="2522"/>
      <c r="VNA211" s="2522"/>
      <c r="VNB211" s="2522"/>
      <c r="VNC211" s="2522"/>
      <c r="VND211" s="2522"/>
      <c r="VNE211" s="2522"/>
      <c r="VNF211" s="2522"/>
      <c r="VNG211" s="2522"/>
      <c r="VNH211" s="2522"/>
      <c r="VNI211" s="2522"/>
      <c r="VNJ211" s="2522"/>
      <c r="VNK211" s="2522"/>
      <c r="VNL211" s="2522"/>
      <c r="VNM211" s="2522"/>
      <c r="VNN211" s="2522"/>
      <c r="VNO211" s="2522"/>
      <c r="VNP211" s="2522"/>
      <c r="VNQ211" s="2522"/>
      <c r="VNR211" s="2522"/>
      <c r="VNS211" s="2522"/>
      <c r="VNT211" s="2522"/>
      <c r="VNU211" s="2522"/>
      <c r="VNV211" s="2522"/>
      <c r="VNW211" s="2522"/>
      <c r="VNX211" s="2522"/>
      <c r="VNY211" s="2522"/>
      <c r="VNZ211" s="2522"/>
      <c r="VOA211" s="2522"/>
      <c r="VOB211" s="2522"/>
      <c r="VOC211" s="2522"/>
      <c r="VOD211" s="2522"/>
      <c r="VOE211" s="2522"/>
      <c r="VOF211" s="2522"/>
      <c r="VOG211" s="2522"/>
      <c r="VOH211" s="2522"/>
      <c r="VOI211" s="2522"/>
      <c r="VOJ211" s="2522"/>
      <c r="VOK211" s="2522"/>
      <c r="VOL211" s="2522"/>
      <c r="VOM211" s="2522"/>
      <c r="VON211" s="2522"/>
      <c r="VOO211" s="2522"/>
      <c r="VOP211" s="2522"/>
      <c r="VOQ211" s="2522"/>
      <c r="VOR211" s="2522"/>
      <c r="VOS211" s="2522"/>
      <c r="VOT211" s="2522"/>
      <c r="VOU211" s="2522"/>
      <c r="VOV211" s="2522"/>
      <c r="VOW211" s="2522"/>
      <c r="VOX211" s="2522"/>
      <c r="VOY211" s="2522"/>
      <c r="VOZ211" s="2522"/>
      <c r="VPA211" s="2522"/>
      <c r="VPB211" s="2522"/>
      <c r="VPC211" s="2522"/>
      <c r="VPD211" s="2522"/>
      <c r="VPE211" s="2522"/>
      <c r="VPF211" s="2522"/>
      <c r="VPG211" s="2522"/>
      <c r="VPH211" s="2522"/>
      <c r="VPI211" s="2522"/>
      <c r="VPJ211" s="2522"/>
      <c r="VPK211" s="2522"/>
      <c r="VPL211" s="2522"/>
      <c r="VPM211" s="2522"/>
      <c r="VPN211" s="2522"/>
      <c r="VPO211" s="2522"/>
      <c r="VPP211" s="2522"/>
      <c r="VPQ211" s="2522"/>
      <c r="VPR211" s="2522"/>
      <c r="VPS211" s="2522"/>
      <c r="VPT211" s="2522"/>
      <c r="VPU211" s="2522"/>
      <c r="VPV211" s="2522"/>
      <c r="VPW211" s="2522"/>
      <c r="VPX211" s="2522"/>
      <c r="VPY211" s="2522"/>
      <c r="VPZ211" s="2522"/>
      <c r="VQA211" s="2522"/>
      <c r="VQB211" s="2522"/>
      <c r="VQC211" s="2522"/>
      <c r="VQD211" s="2522"/>
      <c r="VQE211" s="2522"/>
      <c r="VQF211" s="2522"/>
      <c r="VQG211" s="2522"/>
      <c r="VQH211" s="2522"/>
      <c r="VQI211" s="2522"/>
      <c r="VQJ211" s="2522"/>
      <c r="VQK211" s="2522"/>
      <c r="VQL211" s="2522"/>
      <c r="VQM211" s="2522"/>
      <c r="VQN211" s="2522"/>
      <c r="VQO211" s="2522"/>
      <c r="VQP211" s="2522"/>
      <c r="VQQ211" s="2522"/>
      <c r="VQR211" s="2522"/>
      <c r="VQS211" s="2522"/>
      <c r="VQT211" s="2522"/>
      <c r="VQU211" s="2522"/>
      <c r="VQV211" s="2522"/>
      <c r="VQW211" s="2522"/>
      <c r="VQX211" s="2522"/>
      <c r="VQY211" s="2522"/>
      <c r="VQZ211" s="2522"/>
      <c r="VRA211" s="2522"/>
      <c r="VRB211" s="2522"/>
      <c r="VRC211" s="2522"/>
      <c r="VRD211" s="2522"/>
      <c r="VRE211" s="2522"/>
      <c r="VRF211" s="2522"/>
      <c r="VRG211" s="2522"/>
      <c r="VRH211" s="2522"/>
      <c r="VRI211" s="2522"/>
      <c r="VRJ211" s="2522"/>
      <c r="VRK211" s="2522"/>
      <c r="VRL211" s="2522"/>
      <c r="VRM211" s="2522"/>
      <c r="VRN211" s="2522"/>
      <c r="VRO211" s="2522"/>
      <c r="VRP211" s="2522"/>
      <c r="VRQ211" s="2522"/>
      <c r="VRR211" s="2522"/>
      <c r="VRS211" s="2522"/>
      <c r="VRT211" s="2522"/>
      <c r="VRU211" s="2522"/>
      <c r="VRV211" s="2522"/>
      <c r="VRW211" s="2522"/>
      <c r="VRX211" s="2522"/>
      <c r="VRY211" s="2522"/>
      <c r="VRZ211" s="2522"/>
      <c r="VSA211" s="2522"/>
      <c r="VSB211" s="2522"/>
      <c r="VSC211" s="2522"/>
      <c r="VSD211" s="2522"/>
      <c r="VSE211" s="2522"/>
      <c r="VSF211" s="2522"/>
      <c r="VSG211" s="2522"/>
      <c r="VSH211" s="2522"/>
      <c r="VSI211" s="2522"/>
      <c r="VSJ211" s="2522"/>
      <c r="VSK211" s="2522"/>
      <c r="VSL211" s="2522"/>
      <c r="VSM211" s="2522"/>
      <c r="VSN211" s="2522"/>
      <c r="VSO211" s="2522"/>
      <c r="VSP211" s="2522"/>
      <c r="VSQ211" s="2522"/>
      <c r="VSR211" s="2522"/>
      <c r="VSS211" s="2522"/>
      <c r="VST211" s="2522"/>
      <c r="VSU211" s="2522"/>
      <c r="VSV211" s="2522"/>
      <c r="VSW211" s="2522"/>
      <c r="VSX211" s="2522"/>
      <c r="VSY211" s="2522"/>
      <c r="VSZ211" s="2522"/>
      <c r="VTA211" s="2522"/>
      <c r="VTB211" s="2522"/>
      <c r="VTC211" s="2522"/>
      <c r="VTD211" s="2522"/>
      <c r="VTE211" s="2522"/>
      <c r="VTF211" s="2522"/>
      <c r="VTG211" s="2522"/>
      <c r="VTH211" s="2522"/>
      <c r="VTI211" s="2522"/>
      <c r="VTJ211" s="2522"/>
      <c r="VTK211" s="2522"/>
      <c r="VTL211" s="2522"/>
      <c r="VTM211" s="2522"/>
      <c r="VTN211" s="2522"/>
      <c r="VTO211" s="2522"/>
      <c r="VTP211" s="2522"/>
      <c r="VTQ211" s="2522"/>
      <c r="VTR211" s="2522"/>
      <c r="VTS211" s="2522"/>
      <c r="VTT211" s="2522"/>
      <c r="VTU211" s="2522"/>
      <c r="VTV211" s="2522"/>
      <c r="VTW211" s="2522"/>
      <c r="VTX211" s="2522"/>
      <c r="VTY211" s="2522"/>
      <c r="VTZ211" s="2522"/>
      <c r="VUA211" s="2522"/>
      <c r="VUB211" s="2522"/>
      <c r="VUC211" s="2522"/>
      <c r="VUD211" s="2522"/>
      <c r="VUE211" s="2522"/>
      <c r="VUF211" s="2522"/>
      <c r="VUG211" s="2522"/>
      <c r="VUH211" s="2522"/>
      <c r="VUI211" s="2522"/>
      <c r="VUJ211" s="2522"/>
      <c r="VUK211" s="2522"/>
      <c r="VUL211" s="2522"/>
      <c r="VUM211" s="2522"/>
      <c r="VUN211" s="2522"/>
      <c r="VUO211" s="2522"/>
      <c r="VUP211" s="2522"/>
      <c r="VUQ211" s="2522"/>
      <c r="VUR211" s="2522"/>
      <c r="VUS211" s="2522"/>
      <c r="VUT211" s="2522"/>
      <c r="VUU211" s="2522"/>
      <c r="VUV211" s="2522"/>
      <c r="VUW211" s="2522"/>
      <c r="VUX211" s="2522"/>
      <c r="VUY211" s="2522"/>
      <c r="VUZ211" s="2522"/>
      <c r="VVA211" s="2522"/>
      <c r="VVB211" s="2522"/>
      <c r="VVC211" s="2522"/>
      <c r="VVD211" s="2522"/>
      <c r="VVE211" s="2522"/>
      <c r="VVF211" s="2522"/>
      <c r="VVG211" s="2522"/>
      <c r="VVH211" s="2522"/>
      <c r="VVI211" s="2522"/>
      <c r="VVJ211" s="2522"/>
      <c r="VVK211" s="2522"/>
      <c r="VVL211" s="2522"/>
      <c r="VVM211" s="2522"/>
      <c r="VVN211" s="2522"/>
      <c r="VVO211" s="2522"/>
      <c r="VVP211" s="2522"/>
      <c r="VVQ211" s="2522"/>
      <c r="VVR211" s="2522"/>
      <c r="VVS211" s="2522"/>
      <c r="VVT211" s="2522"/>
      <c r="VVU211" s="2522"/>
      <c r="VVV211" s="2522"/>
      <c r="VVW211" s="2522"/>
      <c r="VVX211" s="2522"/>
      <c r="VVY211" s="2522"/>
      <c r="VVZ211" s="2522"/>
      <c r="VWA211" s="2522"/>
      <c r="VWB211" s="2522"/>
      <c r="VWC211" s="2522"/>
      <c r="VWD211" s="2522"/>
      <c r="VWE211" s="2522"/>
      <c r="VWF211" s="2522"/>
      <c r="VWG211" s="2522"/>
      <c r="VWH211" s="2522"/>
      <c r="VWI211" s="2522"/>
      <c r="VWJ211" s="2522"/>
      <c r="VWK211" s="2522"/>
      <c r="VWL211" s="2522"/>
      <c r="VWM211" s="2522"/>
      <c r="VWN211" s="2522"/>
      <c r="VWO211" s="2522"/>
      <c r="VWP211" s="2522"/>
      <c r="VWQ211" s="2522"/>
      <c r="VWR211" s="2522"/>
      <c r="VWS211" s="2522"/>
      <c r="VWT211" s="2522"/>
      <c r="VWU211" s="2522"/>
      <c r="VWV211" s="2522"/>
      <c r="VWW211" s="2522"/>
      <c r="VWX211" s="2522"/>
      <c r="VWY211" s="2522"/>
      <c r="VWZ211" s="2522"/>
      <c r="VXA211" s="2522"/>
      <c r="VXB211" s="2522"/>
      <c r="VXC211" s="2522"/>
      <c r="VXD211" s="2522"/>
      <c r="VXE211" s="2522"/>
      <c r="VXF211" s="2522"/>
      <c r="VXG211" s="2522"/>
      <c r="VXH211" s="2522"/>
      <c r="VXI211" s="2522"/>
      <c r="VXJ211" s="2522"/>
      <c r="VXK211" s="2522"/>
      <c r="VXL211" s="2522"/>
      <c r="VXM211" s="2522"/>
      <c r="VXN211" s="2522"/>
      <c r="VXO211" s="2522"/>
      <c r="VXP211" s="2522"/>
      <c r="VXQ211" s="2522"/>
      <c r="VXR211" s="2522"/>
      <c r="VXS211" s="2522"/>
      <c r="VXT211" s="2522"/>
      <c r="VXU211" s="2522"/>
      <c r="VXV211" s="2522"/>
      <c r="VXW211" s="2522"/>
      <c r="VXX211" s="2522"/>
      <c r="VXY211" s="2522"/>
      <c r="VXZ211" s="2522"/>
      <c r="VYA211" s="2522"/>
      <c r="VYB211" s="2522"/>
      <c r="VYC211" s="2522"/>
      <c r="VYD211" s="2522"/>
      <c r="VYE211" s="2522"/>
      <c r="VYF211" s="2522"/>
      <c r="VYG211" s="2522"/>
      <c r="VYH211" s="2522"/>
      <c r="VYI211" s="2522"/>
      <c r="VYJ211" s="2522"/>
      <c r="VYK211" s="2522"/>
      <c r="VYL211" s="2522"/>
      <c r="VYM211" s="2522"/>
      <c r="VYN211" s="2522"/>
      <c r="VYO211" s="2522"/>
      <c r="VYP211" s="2522"/>
      <c r="VYQ211" s="2522"/>
      <c r="VYR211" s="2522"/>
      <c r="VYS211" s="2522"/>
      <c r="VYT211" s="2522"/>
      <c r="VYU211" s="2522"/>
      <c r="VYV211" s="2522"/>
      <c r="VYW211" s="2522"/>
      <c r="VYX211" s="2522"/>
      <c r="VYY211" s="2522"/>
      <c r="VYZ211" s="2522"/>
      <c r="VZA211" s="2522"/>
      <c r="VZB211" s="2522"/>
      <c r="VZC211" s="2522"/>
      <c r="VZD211" s="2522"/>
      <c r="VZE211" s="2522"/>
      <c r="VZF211" s="2522"/>
      <c r="VZG211" s="2522"/>
      <c r="VZH211" s="2522"/>
      <c r="VZI211" s="2522"/>
      <c r="VZJ211" s="2522"/>
      <c r="VZK211" s="2522"/>
      <c r="VZL211" s="2522"/>
      <c r="VZM211" s="2522"/>
      <c r="VZN211" s="2522"/>
      <c r="VZO211" s="2522"/>
      <c r="VZP211" s="2522"/>
      <c r="VZQ211" s="2522"/>
      <c r="VZR211" s="2522"/>
      <c r="VZS211" s="2522"/>
      <c r="VZT211" s="2522"/>
      <c r="VZU211" s="2522"/>
      <c r="VZV211" s="2522"/>
      <c r="VZW211" s="2522"/>
      <c r="VZX211" s="2522"/>
      <c r="VZY211" s="2522"/>
      <c r="VZZ211" s="2522"/>
      <c r="WAA211" s="2522"/>
      <c r="WAB211" s="2522"/>
      <c r="WAC211" s="2522"/>
      <c r="WAD211" s="2522"/>
      <c r="WAE211" s="2522"/>
      <c r="WAF211" s="2522"/>
      <c r="WAG211" s="2522"/>
      <c r="WAH211" s="2522"/>
      <c r="WAI211" s="2522"/>
      <c r="WAJ211" s="2522"/>
      <c r="WAK211" s="2522"/>
      <c r="WAL211" s="2522"/>
      <c r="WAM211" s="2522"/>
      <c r="WAN211" s="2522"/>
      <c r="WAO211" s="2522"/>
      <c r="WAP211" s="2522"/>
      <c r="WAQ211" s="2522"/>
      <c r="WAR211" s="2522"/>
      <c r="WAS211" s="2522"/>
      <c r="WAT211" s="2522"/>
      <c r="WAU211" s="2522"/>
      <c r="WAV211" s="2522"/>
      <c r="WAW211" s="2522"/>
      <c r="WAX211" s="2522"/>
      <c r="WAY211" s="2522"/>
      <c r="WAZ211" s="2522"/>
      <c r="WBA211" s="2522"/>
      <c r="WBB211" s="2522"/>
      <c r="WBC211" s="2522"/>
      <c r="WBD211" s="2522"/>
      <c r="WBE211" s="2522"/>
      <c r="WBF211" s="2522"/>
      <c r="WBG211" s="2522"/>
      <c r="WBH211" s="2522"/>
      <c r="WBI211" s="2522"/>
      <c r="WBJ211" s="2522"/>
      <c r="WBK211" s="2522"/>
      <c r="WBL211" s="2522"/>
      <c r="WBM211" s="2522"/>
      <c r="WBN211" s="2522"/>
      <c r="WBO211" s="2522"/>
      <c r="WBP211" s="2522"/>
      <c r="WBQ211" s="2522"/>
      <c r="WBR211" s="2522"/>
      <c r="WBS211" s="2522"/>
      <c r="WBT211" s="2522"/>
      <c r="WBU211" s="2522"/>
      <c r="WBV211" s="2522"/>
      <c r="WBW211" s="2522"/>
      <c r="WBX211" s="2522"/>
      <c r="WBY211" s="2522"/>
      <c r="WBZ211" s="2522"/>
      <c r="WCA211" s="2522"/>
      <c r="WCB211" s="2522"/>
      <c r="WCC211" s="2522"/>
      <c r="WCD211" s="2522"/>
      <c r="WCE211" s="2522"/>
      <c r="WCF211" s="2522"/>
      <c r="WCG211" s="2522"/>
      <c r="WCH211" s="2522"/>
      <c r="WCI211" s="2522"/>
      <c r="WCJ211" s="2522"/>
      <c r="WCK211" s="2522"/>
      <c r="WCL211" s="2522"/>
      <c r="WCM211" s="2522"/>
      <c r="WCN211" s="2522"/>
      <c r="WCO211" s="2522"/>
      <c r="WCP211" s="2522"/>
      <c r="WCQ211" s="2522"/>
      <c r="WCR211" s="2522"/>
      <c r="WCS211" s="2522"/>
      <c r="WCT211" s="2522"/>
      <c r="WCU211" s="2522"/>
      <c r="WCV211" s="2522"/>
      <c r="WCW211" s="2522"/>
      <c r="WCX211" s="2522"/>
      <c r="WCY211" s="2522"/>
      <c r="WCZ211" s="2522"/>
      <c r="WDA211" s="2522"/>
      <c r="WDB211" s="2522"/>
      <c r="WDC211" s="2522"/>
      <c r="WDD211" s="2522"/>
      <c r="WDE211" s="2522"/>
      <c r="WDF211" s="2522"/>
      <c r="WDG211" s="2522"/>
      <c r="WDH211" s="2522"/>
      <c r="WDI211" s="2522"/>
      <c r="WDJ211" s="2522"/>
      <c r="WDK211" s="2522"/>
      <c r="WDL211" s="2522"/>
      <c r="WDM211" s="2522"/>
      <c r="WDN211" s="2522"/>
      <c r="WDO211" s="2522"/>
      <c r="WDP211" s="2522"/>
      <c r="WDQ211" s="2522"/>
      <c r="WDR211" s="2522"/>
      <c r="WDS211" s="2522"/>
      <c r="WDT211" s="2522"/>
      <c r="WDU211" s="2522"/>
      <c r="WDV211" s="2522"/>
      <c r="WDW211" s="2522"/>
      <c r="WDX211" s="2522"/>
      <c r="WDY211" s="2522"/>
      <c r="WDZ211" s="2522"/>
      <c r="WEA211" s="2522"/>
      <c r="WEB211" s="2522"/>
      <c r="WEC211" s="2522"/>
      <c r="WED211" s="2522"/>
      <c r="WEE211" s="2522"/>
      <c r="WEF211" s="2522"/>
      <c r="WEG211" s="2522"/>
      <c r="WEH211" s="2522"/>
      <c r="WEI211" s="2522"/>
      <c r="WEJ211" s="2522"/>
      <c r="WEK211" s="2522"/>
      <c r="WEL211" s="2522"/>
      <c r="WEM211" s="2522"/>
      <c r="WEN211" s="2522"/>
      <c r="WEO211" s="2522"/>
      <c r="WEP211" s="2522"/>
      <c r="WEQ211" s="2522"/>
      <c r="WER211" s="2522"/>
      <c r="WES211" s="2522"/>
      <c r="WET211" s="2522"/>
      <c r="WEU211" s="2522"/>
      <c r="WEV211" s="2522"/>
      <c r="WEW211" s="2522"/>
      <c r="WEX211" s="2522"/>
      <c r="WEY211" s="2522"/>
      <c r="WEZ211" s="2522"/>
      <c r="WFA211" s="2522"/>
      <c r="WFB211" s="2522"/>
      <c r="WFC211" s="2522"/>
      <c r="WFD211" s="2522"/>
      <c r="WFE211" s="2522"/>
      <c r="WFF211" s="2522"/>
      <c r="WFG211" s="2522"/>
      <c r="WFH211" s="2522"/>
      <c r="WFI211" s="2522"/>
      <c r="WFJ211" s="2522"/>
      <c r="WFK211" s="2522"/>
      <c r="WFL211" s="2522"/>
      <c r="WFM211" s="2522"/>
      <c r="WFN211" s="2522"/>
      <c r="WFO211" s="2522"/>
      <c r="WFP211" s="2522"/>
      <c r="WFQ211" s="2522"/>
      <c r="WFR211" s="2522"/>
      <c r="WFS211" s="2522"/>
      <c r="WFT211" s="2522"/>
      <c r="WFU211" s="2522"/>
      <c r="WFV211" s="2522"/>
      <c r="WFW211" s="2522"/>
      <c r="WFX211" s="2522"/>
      <c r="WFY211" s="2522"/>
      <c r="WFZ211" s="2522"/>
      <c r="WGA211" s="2522"/>
      <c r="WGB211" s="2522"/>
      <c r="WGC211" s="2522"/>
      <c r="WGD211" s="2522"/>
      <c r="WGE211" s="2522"/>
      <c r="WGF211" s="2522"/>
      <c r="WGG211" s="2522"/>
      <c r="WGH211" s="2522"/>
      <c r="WGI211" s="2522"/>
      <c r="WGJ211" s="2522"/>
      <c r="WGK211" s="2522"/>
      <c r="WGL211" s="2522"/>
      <c r="WGM211" s="2522"/>
      <c r="WGN211" s="2522"/>
      <c r="WGO211" s="2522"/>
      <c r="WGP211" s="2522"/>
      <c r="WGQ211" s="2522"/>
      <c r="WGR211" s="2522"/>
      <c r="WGS211" s="2522"/>
      <c r="WGT211" s="2522"/>
      <c r="WGU211" s="2522"/>
      <c r="WGV211" s="2522"/>
      <c r="WGW211" s="2522"/>
      <c r="WGX211" s="2522"/>
      <c r="WGY211" s="2522"/>
      <c r="WGZ211" s="2522"/>
      <c r="WHA211" s="2522"/>
      <c r="WHB211" s="2522"/>
      <c r="WHC211" s="2522"/>
      <c r="WHD211" s="2522"/>
      <c r="WHE211" s="2522"/>
      <c r="WHF211" s="2522"/>
      <c r="WHG211" s="2522"/>
      <c r="WHH211" s="2522"/>
      <c r="WHI211" s="2522"/>
      <c r="WHJ211" s="2522"/>
      <c r="WHK211" s="2522"/>
      <c r="WHL211" s="2522"/>
      <c r="WHM211" s="2522"/>
      <c r="WHN211" s="2522"/>
      <c r="WHO211" s="2522"/>
      <c r="WHP211" s="2522"/>
      <c r="WHQ211" s="2522"/>
      <c r="WHR211" s="2522"/>
      <c r="WHS211" s="2522"/>
      <c r="WHT211" s="2522"/>
      <c r="WHU211" s="2522"/>
      <c r="WHV211" s="2522"/>
      <c r="WHW211" s="2522"/>
      <c r="WHX211" s="2522"/>
      <c r="WHY211" s="2522"/>
      <c r="WHZ211" s="2522"/>
      <c r="WIA211" s="2522"/>
      <c r="WIB211" s="2522"/>
      <c r="WIC211" s="2522"/>
      <c r="WID211" s="2522"/>
      <c r="WIE211" s="2522"/>
      <c r="WIF211" s="2522"/>
      <c r="WIG211" s="2522"/>
      <c r="WIH211" s="2522"/>
      <c r="WII211" s="2522"/>
      <c r="WIJ211" s="2522"/>
      <c r="WIK211" s="2522"/>
      <c r="WIL211" s="2522"/>
      <c r="WIM211" s="2522"/>
      <c r="WIN211" s="2522"/>
      <c r="WIO211" s="2522"/>
      <c r="WIP211" s="2522"/>
      <c r="WIQ211" s="2522"/>
      <c r="WIR211" s="2522"/>
      <c r="WIS211" s="2522"/>
      <c r="WIT211" s="2522"/>
      <c r="WIU211" s="2522"/>
      <c r="WIV211" s="2522"/>
      <c r="WIW211" s="2522"/>
      <c r="WIX211" s="2522"/>
      <c r="WIY211" s="2522"/>
      <c r="WIZ211" s="2522"/>
      <c r="WJA211" s="2522"/>
      <c r="WJB211" s="2522"/>
      <c r="WJC211" s="2522"/>
      <c r="WJD211" s="2522"/>
      <c r="WJE211" s="2522"/>
      <c r="WJF211" s="2522"/>
      <c r="WJG211" s="2522"/>
      <c r="WJH211" s="2522"/>
      <c r="WJI211" s="2522"/>
      <c r="WJJ211" s="2522"/>
      <c r="WJK211" s="2522"/>
      <c r="WJL211" s="2522"/>
      <c r="WJM211" s="2522"/>
      <c r="WJN211" s="2522"/>
      <c r="WJO211" s="2522"/>
      <c r="WJP211" s="2522"/>
      <c r="WJQ211" s="2522"/>
      <c r="WJR211" s="2522"/>
      <c r="WJS211" s="2522"/>
      <c r="WJT211" s="2522"/>
      <c r="WJU211" s="2522"/>
      <c r="WJV211" s="2522"/>
      <c r="WJW211" s="2522"/>
      <c r="WJX211" s="2522"/>
      <c r="WJY211" s="2522"/>
      <c r="WJZ211" s="2522"/>
      <c r="WKA211" s="2522"/>
      <c r="WKB211" s="2522"/>
      <c r="WKC211" s="2522"/>
      <c r="WKD211" s="2522"/>
      <c r="WKE211" s="2522"/>
      <c r="WKF211" s="2522"/>
      <c r="WKG211" s="2522"/>
      <c r="WKH211" s="2522"/>
      <c r="WKI211" s="2522"/>
      <c r="WKJ211" s="2522"/>
      <c r="WKK211" s="2522"/>
      <c r="WKL211" s="2522"/>
      <c r="WKM211" s="2522"/>
      <c r="WKN211" s="2522"/>
      <c r="WKO211" s="2522"/>
      <c r="WKP211" s="2522"/>
      <c r="WKQ211" s="2522"/>
      <c r="WKR211" s="2522"/>
      <c r="WKS211" s="2522"/>
      <c r="WKT211" s="2522"/>
      <c r="WKU211" s="2522"/>
      <c r="WKV211" s="2522"/>
      <c r="WKW211" s="2522"/>
      <c r="WKX211" s="2522"/>
      <c r="WKY211" s="2522"/>
      <c r="WKZ211" s="2522"/>
      <c r="WLA211" s="2522"/>
      <c r="WLB211" s="2522"/>
      <c r="WLC211" s="2522"/>
      <c r="WLD211" s="2522"/>
      <c r="WLE211" s="2522"/>
      <c r="WLF211" s="2522"/>
      <c r="WLG211" s="2522"/>
      <c r="WLH211" s="2522"/>
      <c r="WLI211" s="2522"/>
      <c r="WLJ211" s="2522"/>
      <c r="WLK211" s="2522"/>
      <c r="WLL211" s="2522"/>
      <c r="WLM211" s="2522"/>
      <c r="WLN211" s="2522"/>
      <c r="WLO211" s="2522"/>
      <c r="WLP211" s="2522"/>
      <c r="WLQ211" s="2522"/>
      <c r="WLR211" s="2522"/>
      <c r="WLS211" s="2522"/>
      <c r="WLT211" s="2522"/>
      <c r="WLU211" s="2522"/>
      <c r="WLV211" s="2522"/>
      <c r="WLW211" s="2522"/>
      <c r="WLX211" s="2522"/>
      <c r="WLY211" s="2522"/>
      <c r="WLZ211" s="2522"/>
      <c r="WMA211" s="2522"/>
      <c r="WMB211" s="2522"/>
      <c r="WMC211" s="2522"/>
      <c r="WMD211" s="2522"/>
      <c r="WME211" s="2522"/>
      <c r="WMF211" s="2522"/>
      <c r="WMG211" s="2522"/>
      <c r="WMH211" s="2522"/>
      <c r="WMI211" s="2522"/>
      <c r="WMJ211" s="2522"/>
      <c r="WMK211" s="2522"/>
      <c r="WML211" s="2522"/>
      <c r="WMM211" s="2522"/>
      <c r="WMN211" s="2522"/>
      <c r="WMO211" s="2522"/>
      <c r="WMP211" s="2522"/>
      <c r="WMQ211" s="2522"/>
      <c r="WMR211" s="2522"/>
      <c r="WMS211" s="2522"/>
      <c r="WMT211" s="2522"/>
      <c r="WMU211" s="2522"/>
      <c r="WMV211" s="2522"/>
      <c r="WMW211" s="2522"/>
      <c r="WMX211" s="2522"/>
      <c r="WMY211" s="2522"/>
      <c r="WMZ211" s="2522"/>
      <c r="WNA211" s="2522"/>
      <c r="WNB211" s="2522"/>
      <c r="WNC211" s="2522"/>
      <c r="WND211" s="2522"/>
      <c r="WNE211" s="2522"/>
      <c r="WNF211" s="2522"/>
      <c r="WNG211" s="2522"/>
      <c r="WNH211" s="2522"/>
      <c r="WNI211" s="2522"/>
      <c r="WNJ211" s="2522"/>
      <c r="WNK211" s="2522"/>
      <c r="WNL211" s="2522"/>
      <c r="WNM211" s="2522"/>
      <c r="WNN211" s="2522"/>
      <c r="WNO211" s="2522"/>
      <c r="WNP211" s="2522"/>
      <c r="WNQ211" s="2522"/>
      <c r="WNR211" s="2522"/>
      <c r="WNS211" s="2522"/>
      <c r="WNT211" s="2522"/>
      <c r="WNU211" s="2522"/>
      <c r="WNV211" s="2522"/>
      <c r="WNW211" s="2522"/>
      <c r="WNX211" s="2522"/>
      <c r="WNY211" s="2522"/>
      <c r="WNZ211" s="2522"/>
      <c r="WOA211" s="2522"/>
      <c r="WOB211" s="2522"/>
      <c r="WOC211" s="2522"/>
      <c r="WOD211" s="2522"/>
      <c r="WOE211" s="2522"/>
      <c r="WOF211" s="2522"/>
      <c r="WOG211" s="2522"/>
      <c r="WOH211" s="2522"/>
      <c r="WOI211" s="2522"/>
      <c r="WOJ211" s="2522"/>
      <c r="WOK211" s="2522"/>
      <c r="WOL211" s="2522"/>
      <c r="WOM211" s="2522"/>
      <c r="WON211" s="2522"/>
      <c r="WOO211" s="2522"/>
      <c r="WOP211" s="2522"/>
      <c r="WOQ211" s="2522"/>
      <c r="WOR211" s="2522"/>
      <c r="WOS211" s="2522"/>
      <c r="WOT211" s="2522"/>
      <c r="WOU211" s="2522"/>
      <c r="WOV211" s="2522"/>
      <c r="WOW211" s="2522"/>
      <c r="WOX211" s="2522"/>
      <c r="WOY211" s="2522"/>
      <c r="WOZ211" s="2522"/>
      <c r="WPA211" s="2522"/>
      <c r="WPB211" s="2522"/>
      <c r="WPC211" s="2522"/>
      <c r="WPD211" s="2522"/>
      <c r="WPE211" s="2522"/>
      <c r="WPF211" s="2522"/>
      <c r="WPG211" s="2522"/>
      <c r="WPH211" s="2522"/>
      <c r="WPI211" s="2522"/>
      <c r="WPJ211" s="2522"/>
      <c r="WPK211" s="2522"/>
      <c r="WPL211" s="2522"/>
      <c r="WPM211" s="2522"/>
      <c r="WPN211" s="2522"/>
      <c r="WPO211" s="2522"/>
      <c r="WPP211" s="2522"/>
      <c r="WPQ211" s="2522"/>
      <c r="WPR211" s="2522"/>
      <c r="WPS211" s="2522"/>
      <c r="WPT211" s="2522"/>
      <c r="WPU211" s="2522"/>
      <c r="WPV211" s="2522"/>
      <c r="WPW211" s="2522"/>
      <c r="WPX211" s="2522"/>
      <c r="WPY211" s="2522"/>
      <c r="WPZ211" s="2522"/>
      <c r="WQA211" s="2522"/>
      <c r="WQB211" s="2522"/>
      <c r="WQC211" s="2522"/>
      <c r="WQD211" s="2522"/>
      <c r="WQE211" s="2522"/>
      <c r="WQF211" s="2522"/>
      <c r="WQG211" s="2522"/>
      <c r="WQH211" s="2522"/>
      <c r="WQI211" s="2522"/>
      <c r="WQJ211" s="2522"/>
      <c r="WQK211" s="2522"/>
      <c r="WQL211" s="2522"/>
      <c r="WQM211" s="2522"/>
      <c r="WQN211" s="2522"/>
      <c r="WQO211" s="2522"/>
      <c r="WQP211" s="2522"/>
      <c r="WQQ211" s="2522"/>
      <c r="WQR211" s="2522"/>
      <c r="WQS211" s="2522"/>
      <c r="WQT211" s="2522"/>
      <c r="WQU211" s="2522"/>
      <c r="WQV211" s="2522"/>
      <c r="WQW211" s="2522"/>
      <c r="WQX211" s="2522"/>
      <c r="WQY211" s="2522"/>
      <c r="WQZ211" s="2522"/>
      <c r="WRA211" s="2522"/>
      <c r="WRB211" s="2522"/>
      <c r="WRC211" s="2522"/>
      <c r="WRD211" s="2522"/>
      <c r="WRE211" s="2522"/>
      <c r="WRF211" s="2522"/>
      <c r="WRG211" s="2522"/>
      <c r="WRH211" s="2522"/>
      <c r="WRI211" s="2522"/>
      <c r="WRJ211" s="2522"/>
      <c r="WRK211" s="2522"/>
      <c r="WRL211" s="2522"/>
      <c r="WRM211" s="2522"/>
      <c r="WRN211" s="2522"/>
      <c r="WRO211" s="2522"/>
      <c r="WRP211" s="2522"/>
      <c r="WRQ211" s="2522"/>
      <c r="WRR211" s="2522"/>
      <c r="WRS211" s="2522"/>
      <c r="WRT211" s="2522"/>
      <c r="WRU211" s="2522"/>
      <c r="WRV211" s="2522"/>
      <c r="WRW211" s="2522"/>
      <c r="WRX211" s="2522"/>
      <c r="WRY211" s="2522"/>
      <c r="WRZ211" s="2522"/>
      <c r="WSA211" s="2522"/>
      <c r="WSB211" s="2522"/>
      <c r="WSC211" s="2522"/>
      <c r="WSD211" s="2522"/>
      <c r="WSE211" s="2522"/>
      <c r="WSF211" s="2522"/>
      <c r="WSG211" s="2522"/>
      <c r="WSH211" s="2522"/>
      <c r="WSI211" s="2522"/>
      <c r="WSJ211" s="2522"/>
      <c r="WSK211" s="2522"/>
      <c r="WSL211" s="2522"/>
      <c r="WSM211" s="2522"/>
      <c r="WSN211" s="2522"/>
      <c r="WSO211" s="2522"/>
      <c r="WSP211" s="2522"/>
      <c r="WSQ211" s="2522"/>
      <c r="WSR211" s="2522"/>
      <c r="WSS211" s="2522"/>
      <c r="WST211" s="2522"/>
      <c r="WSU211" s="2522"/>
      <c r="WSV211" s="2522"/>
      <c r="WSW211" s="2522"/>
      <c r="WSX211" s="2522"/>
      <c r="WSY211" s="2522"/>
      <c r="WSZ211" s="2522"/>
      <c r="WTA211" s="2522"/>
      <c r="WTB211" s="2522"/>
      <c r="WTC211" s="2522"/>
      <c r="WTD211" s="2522"/>
      <c r="WTE211" s="2522"/>
      <c r="WTF211" s="2522"/>
      <c r="WTG211" s="2522"/>
      <c r="WTH211" s="2522"/>
      <c r="WTI211" s="2522"/>
      <c r="WTJ211" s="2522"/>
      <c r="WTK211" s="2522"/>
      <c r="WTL211" s="2522"/>
      <c r="WTM211" s="2522"/>
      <c r="WTN211" s="2522"/>
      <c r="WTO211" s="2522"/>
      <c r="WTP211" s="2522"/>
      <c r="WTQ211" s="2522"/>
      <c r="WTR211" s="2522"/>
      <c r="WTS211" s="2522"/>
      <c r="WTT211" s="2522"/>
      <c r="WTU211" s="2522"/>
      <c r="WTV211" s="2522"/>
      <c r="WTW211" s="2522"/>
      <c r="WTX211" s="2522"/>
      <c r="WTY211" s="2522"/>
      <c r="WTZ211" s="2522"/>
      <c r="WUA211" s="2522"/>
      <c r="WUB211" s="2522"/>
      <c r="WUC211" s="2522"/>
      <c r="WUD211" s="2522"/>
      <c r="WUE211" s="2522"/>
      <c r="WUF211" s="2522"/>
      <c r="WUG211" s="2522"/>
      <c r="WUH211" s="2522"/>
      <c r="WUI211" s="2522"/>
      <c r="WUJ211" s="2522"/>
      <c r="WUK211" s="2522"/>
      <c r="WUL211" s="2522"/>
      <c r="WUM211" s="2522"/>
      <c r="WUN211" s="2522"/>
      <c r="WUO211" s="2522"/>
      <c r="WUP211" s="2522"/>
      <c r="WUQ211" s="2522"/>
      <c r="WUR211" s="2522"/>
      <c r="WUS211" s="2522"/>
      <c r="WUT211" s="2522"/>
      <c r="WUU211" s="2522"/>
      <c r="WUV211" s="2522"/>
      <c r="WUW211" s="2522"/>
      <c r="WUX211" s="2522"/>
      <c r="WUY211" s="2522"/>
      <c r="WUZ211" s="2522"/>
      <c r="WVA211" s="2522"/>
      <c r="WVB211" s="2522"/>
      <c r="WVC211" s="2522"/>
      <c r="WVD211" s="2522"/>
      <c r="WVE211" s="2522"/>
      <c r="WVF211" s="2522"/>
      <c r="WVG211" s="2522"/>
      <c r="WVH211" s="2522"/>
      <c r="WVI211" s="2522"/>
      <c r="WVJ211" s="2522"/>
      <c r="WVK211" s="2522"/>
      <c r="WVL211" s="2522"/>
      <c r="WVM211" s="2522"/>
      <c r="WVN211" s="2522"/>
      <c r="WVO211" s="2522"/>
      <c r="WVP211" s="2522"/>
      <c r="WVQ211" s="2522"/>
      <c r="WVR211" s="2522"/>
      <c r="WVS211" s="2522"/>
      <c r="WVT211" s="2522"/>
      <c r="WVU211" s="2522"/>
      <c r="WVV211" s="2522"/>
      <c r="WVW211" s="2522"/>
      <c r="WVX211" s="2522"/>
      <c r="WVY211" s="2522"/>
      <c r="WVZ211" s="2522"/>
      <c r="WWA211" s="2522"/>
      <c r="WWB211" s="2522"/>
      <c r="WWC211" s="2522"/>
      <c r="WWD211" s="2522"/>
      <c r="WWE211" s="2522"/>
      <c r="WWF211" s="2522"/>
      <c r="WWG211" s="2522"/>
      <c r="WWH211" s="2522"/>
      <c r="WWI211" s="2522"/>
      <c r="WWJ211" s="2522"/>
      <c r="WWK211" s="2522"/>
      <c r="WWL211" s="2522"/>
      <c r="WWM211" s="2522"/>
      <c r="WWN211" s="2522"/>
      <c r="WWO211" s="2522"/>
      <c r="WWP211" s="2522"/>
      <c r="WWQ211" s="2522"/>
      <c r="WWR211" s="2522"/>
      <c r="WWS211" s="2522"/>
      <c r="WWT211" s="2522"/>
      <c r="WWU211" s="2522"/>
      <c r="WWV211" s="2522"/>
      <c r="WWW211" s="2522"/>
      <c r="WWX211" s="2522"/>
      <c r="WWY211" s="2522"/>
      <c r="WWZ211" s="2522"/>
      <c r="WXA211" s="2522"/>
      <c r="WXB211" s="2522"/>
      <c r="WXC211" s="2522"/>
      <c r="WXD211" s="2522"/>
      <c r="WXE211" s="2522"/>
      <c r="WXF211" s="2522"/>
      <c r="WXG211" s="2522"/>
      <c r="WXH211" s="2522"/>
      <c r="WXI211" s="2522"/>
      <c r="WXJ211" s="2522"/>
      <c r="WXK211" s="2522"/>
      <c r="WXL211" s="2522"/>
      <c r="WXM211" s="2522"/>
      <c r="WXN211" s="2522"/>
      <c r="WXO211" s="2522"/>
      <c r="WXP211" s="2522"/>
      <c r="WXQ211" s="2522"/>
      <c r="WXR211" s="2522"/>
      <c r="WXS211" s="2522"/>
      <c r="WXT211" s="2522"/>
      <c r="WXU211" s="2522"/>
      <c r="WXV211" s="2522"/>
      <c r="WXW211" s="2522"/>
      <c r="WXX211" s="2522"/>
      <c r="WXY211" s="2522"/>
      <c r="WXZ211" s="2522"/>
      <c r="WYA211" s="2522"/>
      <c r="WYB211" s="2522"/>
      <c r="WYC211" s="2522"/>
      <c r="WYD211" s="2522"/>
      <c r="WYE211" s="2522"/>
      <c r="WYF211" s="2522"/>
      <c r="WYG211" s="2522"/>
      <c r="WYH211" s="2522"/>
      <c r="WYI211" s="2522"/>
      <c r="WYJ211" s="2522"/>
      <c r="WYK211" s="2522"/>
      <c r="WYL211" s="2522"/>
      <c r="WYM211" s="2522"/>
      <c r="WYN211" s="2522"/>
      <c r="WYO211" s="2522"/>
      <c r="WYP211" s="2522"/>
      <c r="WYQ211" s="2522"/>
      <c r="WYR211" s="2522"/>
      <c r="WYS211" s="2522"/>
      <c r="WYT211" s="2522"/>
      <c r="WYU211" s="2522"/>
      <c r="WYV211" s="2522"/>
      <c r="WYW211" s="2522"/>
      <c r="WYX211" s="2522"/>
      <c r="WYY211" s="2522"/>
      <c r="WYZ211" s="2522"/>
      <c r="WZA211" s="2522"/>
      <c r="WZB211" s="2522"/>
      <c r="WZC211" s="2522"/>
      <c r="WZD211" s="2522"/>
      <c r="WZE211" s="2522"/>
      <c r="WZF211" s="2522"/>
      <c r="WZG211" s="2522"/>
      <c r="WZH211" s="2522"/>
      <c r="WZI211" s="2522"/>
      <c r="WZJ211" s="2522"/>
      <c r="WZK211" s="2522"/>
      <c r="WZL211" s="2522"/>
      <c r="WZM211" s="2522"/>
      <c r="WZN211" s="2522"/>
      <c r="WZO211" s="2522"/>
      <c r="WZP211" s="2522"/>
      <c r="WZQ211" s="2522"/>
      <c r="WZR211" s="2522"/>
      <c r="WZS211" s="2522"/>
      <c r="WZT211" s="2522"/>
      <c r="WZU211" s="2522"/>
      <c r="WZV211" s="2522"/>
      <c r="WZW211" s="2522"/>
      <c r="WZX211" s="2522"/>
      <c r="WZY211" s="2522"/>
      <c r="WZZ211" s="2522"/>
      <c r="XAA211" s="2522"/>
      <c r="XAB211" s="2522"/>
      <c r="XAC211" s="2522"/>
      <c r="XAD211" s="2522"/>
      <c r="XAE211" s="2522"/>
      <c r="XAF211" s="2522"/>
      <c r="XAG211" s="2522"/>
      <c r="XAH211" s="2522"/>
      <c r="XAI211" s="2522"/>
      <c r="XAJ211" s="2522"/>
      <c r="XAK211" s="2522"/>
      <c r="XAL211" s="2522"/>
      <c r="XAM211" s="2522"/>
      <c r="XAN211" s="2522"/>
      <c r="XAO211" s="2522"/>
      <c r="XAP211" s="2522"/>
      <c r="XAQ211" s="2522"/>
      <c r="XAR211" s="2522"/>
      <c r="XAS211" s="2522"/>
      <c r="XAT211" s="2522"/>
      <c r="XAU211" s="2522"/>
      <c r="XAV211" s="2522"/>
      <c r="XAW211" s="2522"/>
      <c r="XAX211" s="2522"/>
      <c r="XAY211" s="2522"/>
      <c r="XAZ211" s="2522"/>
    </row>
    <row r="212" spans="1:16276" s="2290" customFormat="1" x14ac:dyDescent="0.25">
      <c r="B212" s="2398">
        <v>912</v>
      </c>
      <c r="C212" s="2521"/>
      <c r="D212" s="2384"/>
      <c r="E212" s="2525"/>
      <c r="F212" s="2417">
        <f>F117</f>
        <v>0</v>
      </c>
      <c r="G212" s="2417">
        <f>G117</f>
        <v>0</v>
      </c>
      <c r="H212" s="2417"/>
      <c r="I212" s="2417"/>
      <c r="J212" s="2417">
        <f>J117</f>
        <v>0</v>
      </c>
      <c r="K212" s="2417">
        <f>K117</f>
        <v>7</v>
      </c>
      <c r="L212" s="2417"/>
      <c r="M212" s="2417"/>
      <c r="N212" s="2417">
        <f>N117</f>
        <v>0</v>
      </c>
      <c r="O212" s="2417">
        <f>O117</f>
        <v>7</v>
      </c>
      <c r="P212" s="2417"/>
      <c r="Q212" s="2417"/>
      <c r="R212" s="2417">
        <f t="shared" ref="R212:Y213" si="41">R117</f>
        <v>0</v>
      </c>
      <c r="S212" s="2417">
        <f t="shared" si="41"/>
        <v>0</v>
      </c>
      <c r="T212" s="2417">
        <f t="shared" si="41"/>
        <v>0</v>
      </c>
      <c r="U212" s="2417">
        <f t="shared" si="41"/>
        <v>7</v>
      </c>
      <c r="V212" s="2417">
        <f t="shared" si="41"/>
        <v>0</v>
      </c>
      <c r="W212" s="2417">
        <f t="shared" si="41"/>
        <v>0</v>
      </c>
      <c r="X212" s="2417">
        <f t="shared" si="41"/>
        <v>0</v>
      </c>
      <c r="Y212" s="2417">
        <f t="shared" si="41"/>
        <v>0</v>
      </c>
      <c r="AA212" s="2292"/>
    </row>
    <row r="213" spans="1:16276" s="2290" customFormat="1" x14ac:dyDescent="0.25">
      <c r="B213" s="2398">
        <v>921</v>
      </c>
      <c r="C213" s="2521"/>
      <c r="D213" s="2384"/>
      <c r="E213" s="2525"/>
      <c r="F213" s="2417">
        <f>F118</f>
        <v>0</v>
      </c>
      <c r="G213" s="2417">
        <f>G118</f>
        <v>0</v>
      </c>
      <c r="H213" s="2417"/>
      <c r="I213" s="2417"/>
      <c r="J213" s="2417">
        <f>J118</f>
        <v>0</v>
      </c>
      <c r="K213" s="2417">
        <f>K118</f>
        <v>68</v>
      </c>
      <c r="L213" s="2417"/>
      <c r="M213" s="2417"/>
      <c r="N213" s="2417">
        <f>N118</f>
        <v>0</v>
      </c>
      <c r="O213" s="2417">
        <f>O118</f>
        <v>68</v>
      </c>
      <c r="P213" s="2417"/>
      <c r="Q213" s="2417"/>
      <c r="R213" s="2417">
        <f t="shared" si="41"/>
        <v>0</v>
      </c>
      <c r="S213" s="2417">
        <f t="shared" si="41"/>
        <v>0</v>
      </c>
      <c r="T213" s="2417">
        <f t="shared" si="41"/>
        <v>0</v>
      </c>
      <c r="U213" s="2417">
        <f t="shared" si="41"/>
        <v>68</v>
      </c>
      <c r="V213" s="2417">
        <f t="shared" si="41"/>
        <v>0</v>
      </c>
      <c r="W213" s="2417">
        <f t="shared" si="41"/>
        <v>0</v>
      </c>
      <c r="X213" s="2417">
        <f t="shared" si="41"/>
        <v>0</v>
      </c>
      <c r="Y213" s="2417">
        <f t="shared" si="41"/>
        <v>0</v>
      </c>
      <c r="AA213" s="2292"/>
    </row>
    <row r="214" spans="1:16276" s="2290" customFormat="1" x14ac:dyDescent="0.25">
      <c r="B214" s="2398">
        <v>922</v>
      </c>
      <c r="C214" s="2521"/>
      <c r="D214" s="2384"/>
      <c r="E214" s="2525"/>
      <c r="F214" s="2417">
        <f>F113</f>
        <v>15</v>
      </c>
      <c r="G214" s="2417">
        <f>G113</f>
        <v>0</v>
      </c>
      <c r="H214" s="2417"/>
      <c r="I214" s="2417"/>
      <c r="J214" s="2417">
        <f>J113</f>
        <v>0</v>
      </c>
      <c r="K214" s="2417">
        <f>K113</f>
        <v>0</v>
      </c>
      <c r="L214" s="2417"/>
      <c r="M214" s="2417"/>
      <c r="N214" s="2417">
        <f>N113</f>
        <v>0</v>
      </c>
      <c r="O214" s="2417">
        <f>O113</f>
        <v>0</v>
      </c>
      <c r="P214" s="2417"/>
      <c r="Q214" s="2417"/>
      <c r="R214" s="2417">
        <f t="shared" ref="R214:Y214" si="42">R113</f>
        <v>0</v>
      </c>
      <c r="S214" s="2417">
        <f t="shared" si="42"/>
        <v>0</v>
      </c>
      <c r="T214" s="2417">
        <f t="shared" si="42"/>
        <v>0</v>
      </c>
      <c r="U214" s="2417">
        <f t="shared" si="42"/>
        <v>0</v>
      </c>
      <c r="V214" s="2417">
        <f t="shared" si="42"/>
        <v>0</v>
      </c>
      <c r="W214" s="2417">
        <f t="shared" si="42"/>
        <v>0</v>
      </c>
      <c r="X214" s="2417">
        <f t="shared" si="42"/>
        <v>0</v>
      </c>
      <c r="Y214" s="2417">
        <f t="shared" si="42"/>
        <v>0</v>
      </c>
      <c r="AA214" s="2292"/>
    </row>
    <row r="215" spans="1:16276" s="2290" customFormat="1" x14ac:dyDescent="0.25">
      <c r="B215" s="2398">
        <v>952</v>
      </c>
      <c r="C215" s="2521"/>
      <c r="D215" s="2384"/>
      <c r="E215" s="2525"/>
      <c r="F215" s="2417">
        <f>F119</f>
        <v>0</v>
      </c>
      <c r="G215" s="2417">
        <f>G119</f>
        <v>0</v>
      </c>
      <c r="H215" s="2417"/>
      <c r="I215" s="2417"/>
      <c r="J215" s="2417">
        <f>J119</f>
        <v>0</v>
      </c>
      <c r="K215" s="2417">
        <f>K119</f>
        <v>28</v>
      </c>
      <c r="L215" s="2417"/>
      <c r="M215" s="2417"/>
      <c r="N215" s="2417">
        <f>N119</f>
        <v>0</v>
      </c>
      <c r="O215" s="2417">
        <f>O119</f>
        <v>28</v>
      </c>
      <c r="P215" s="2417"/>
      <c r="Q215" s="2417"/>
      <c r="R215" s="2417">
        <f t="shared" ref="R215:Y215" si="43">R119</f>
        <v>0</v>
      </c>
      <c r="S215" s="2417">
        <f t="shared" si="43"/>
        <v>0</v>
      </c>
      <c r="T215" s="2417">
        <f t="shared" si="43"/>
        <v>0</v>
      </c>
      <c r="U215" s="2417">
        <f t="shared" si="43"/>
        <v>28</v>
      </c>
      <c r="V215" s="2417">
        <f t="shared" si="43"/>
        <v>0</v>
      </c>
      <c r="W215" s="2417">
        <f t="shared" si="43"/>
        <v>0</v>
      </c>
      <c r="X215" s="2417">
        <f t="shared" si="43"/>
        <v>0</v>
      </c>
      <c r="Y215" s="2417">
        <f t="shared" si="43"/>
        <v>0</v>
      </c>
      <c r="AA215" s="2292"/>
    </row>
    <row r="216" spans="1:16276" s="2290" customFormat="1" x14ac:dyDescent="0.25">
      <c r="B216" s="2398">
        <v>955</v>
      </c>
      <c r="C216" s="2521"/>
      <c r="D216" s="2384"/>
      <c r="E216" s="2525"/>
      <c r="F216" s="2417">
        <f>F14+F32+F71+F49+F96+F156</f>
        <v>52.9</v>
      </c>
      <c r="G216" s="2417">
        <f>G14+G32+G71+G49+G96+G156</f>
        <v>0</v>
      </c>
      <c r="H216" s="2417"/>
      <c r="I216" s="2417"/>
      <c r="J216" s="2417">
        <f>J14+J32+J71+J49+J96+J156</f>
        <v>28.1</v>
      </c>
      <c r="K216" s="2417">
        <f>K14+K32+K71+K49+K96+K156</f>
        <v>8.8000000000000007</v>
      </c>
      <c r="L216" s="2417"/>
      <c r="M216" s="2417"/>
      <c r="N216" s="2417">
        <f>N14+N32+N71+N49+N96+N156</f>
        <v>28.1</v>
      </c>
      <c r="O216" s="2417">
        <f>O14+O32+O71+O49+O96+O156</f>
        <v>8.8000000000000007</v>
      </c>
      <c r="P216" s="2417"/>
      <c r="Q216" s="2417"/>
      <c r="R216" s="2417">
        <f>R14+R32+R71+R49+R96+R156+R175+R183+R189+R196</f>
        <v>106.2</v>
      </c>
      <c r="S216" s="2526">
        <f>S14+S32+S71+S49+S96+S156+S175+S183+S189+S196</f>
        <v>106.2</v>
      </c>
      <c r="T216" s="2417">
        <f>T14+T32+T71+T49+T96+T156+T175+T183+T189+T196</f>
        <v>0</v>
      </c>
      <c r="U216" s="2417">
        <f>U14+U32+U71+U49+U96+U156</f>
        <v>13.2</v>
      </c>
      <c r="V216" s="2417">
        <f>V14+V32+V71+V49+V96+V156</f>
        <v>-0.3</v>
      </c>
      <c r="W216" s="2417">
        <f>W14+W32+W71+W49+W96+W156</f>
        <v>77.099999999999994</v>
      </c>
      <c r="X216" s="2417">
        <f>X14+X32+X71+X49+X96+X156+X175+X183+X189+X196</f>
        <v>107.2</v>
      </c>
      <c r="Y216" s="2417">
        <f>Y14+Y32+Y71+Y49+Y96+Y156+Y175+Y183+Y189+Y196</f>
        <v>110.4</v>
      </c>
      <c r="AA216" s="2292"/>
      <c r="AB216" s="2527"/>
    </row>
    <row r="217" spans="1:16276" s="2559" customFormat="1" x14ac:dyDescent="0.25">
      <c r="B217" s="2560">
        <v>963</v>
      </c>
      <c r="C217" s="2561"/>
      <c r="D217" s="2384"/>
      <c r="E217" s="2525"/>
      <c r="F217" s="2417">
        <f>F17+F21+F23+F38+F62+F82+F91+F104+F126+F169</f>
        <v>117.8</v>
      </c>
      <c r="G217" s="2417">
        <f>G17+G21+G23+G38+G62+G82+G91+G104+G126+G169</f>
        <v>0</v>
      </c>
      <c r="H217" s="2417"/>
      <c r="I217" s="2417"/>
      <c r="J217" s="2417">
        <f>J17+J21+J23+J38+J62+J82+J91+J104+J126+J169</f>
        <v>78.599999999999994</v>
      </c>
      <c r="K217" s="2417">
        <f>K17+K21+K23+K38+K62+K82+K91+K104+K126+K169</f>
        <v>8.6</v>
      </c>
      <c r="L217" s="2417"/>
      <c r="M217" s="2417"/>
      <c r="N217" s="2417">
        <f>N17+N21+N23+N38+N62+N82+N91+N104+N126+N169</f>
        <v>79.099999999999994</v>
      </c>
      <c r="O217" s="2417">
        <f>O17+O21+O23+O38+O62+O82+O91+O104+O126+O169</f>
        <v>8.6</v>
      </c>
      <c r="P217" s="2469"/>
      <c r="Q217" s="2469"/>
      <c r="R217" s="2469">
        <f t="shared" ref="R217:Y217" si="44">R17+R21+R23+R38+R62+R82+R91+R104+R126+R169+R204</f>
        <v>253.1</v>
      </c>
      <c r="S217" s="2469">
        <f t="shared" si="44"/>
        <v>253.1</v>
      </c>
      <c r="T217" s="2469">
        <f t="shared" si="44"/>
        <v>0</v>
      </c>
      <c r="U217" s="2469">
        <f t="shared" si="44"/>
        <v>23.4</v>
      </c>
      <c r="V217" s="2469">
        <f t="shared" si="44"/>
        <v>174.5</v>
      </c>
      <c r="W217" s="2469">
        <f t="shared" si="44"/>
        <v>697.4</v>
      </c>
      <c r="X217" s="2469">
        <f t="shared" si="44"/>
        <v>223.8</v>
      </c>
      <c r="Y217" s="2469">
        <f t="shared" si="44"/>
        <v>279.10000000000002</v>
      </c>
      <c r="AA217" s="2562"/>
    </row>
    <row r="218" spans="1:16276" s="2563" customFormat="1" x14ac:dyDescent="0.25">
      <c r="B218" s="2564">
        <v>966</v>
      </c>
      <c r="C218" s="2565"/>
      <c r="D218" s="2384"/>
      <c r="E218" s="2525"/>
      <c r="F218" s="2417">
        <f>F115+F116</f>
        <v>301.3</v>
      </c>
      <c r="G218" s="2417">
        <f>G115+G116</f>
        <v>0</v>
      </c>
      <c r="H218" s="2417"/>
      <c r="I218" s="2417"/>
      <c r="J218" s="2417">
        <f>J115+J116</f>
        <v>280</v>
      </c>
      <c r="K218" s="2417">
        <f>K115+K116</f>
        <v>168</v>
      </c>
      <c r="L218" s="2417"/>
      <c r="M218" s="2417"/>
      <c r="N218" s="2417">
        <f>N115+N116</f>
        <v>280</v>
      </c>
      <c r="O218" s="2417">
        <f>O115+O116</f>
        <v>168</v>
      </c>
      <c r="P218" s="2566"/>
      <c r="Q218" s="2566"/>
      <c r="R218" s="2566">
        <f t="shared" ref="R218:Y218" si="45">R115+R116</f>
        <v>280</v>
      </c>
      <c r="S218" s="2566">
        <f t="shared" si="45"/>
        <v>280</v>
      </c>
      <c r="T218" s="2566">
        <f t="shared" si="45"/>
        <v>0</v>
      </c>
      <c r="U218" s="2566">
        <f t="shared" si="45"/>
        <v>168</v>
      </c>
      <c r="V218" s="2566">
        <f t="shared" si="45"/>
        <v>0</v>
      </c>
      <c r="W218" s="2566">
        <f t="shared" si="45"/>
        <v>100</v>
      </c>
      <c r="X218" s="2566">
        <f t="shared" si="45"/>
        <v>280</v>
      </c>
      <c r="Y218" s="2566">
        <f t="shared" si="45"/>
        <v>280</v>
      </c>
      <c r="AA218" s="2567"/>
    </row>
    <row r="219" spans="1:16276" s="2290" customFormat="1" x14ac:dyDescent="0.25">
      <c r="B219" s="2398">
        <v>971</v>
      </c>
      <c r="C219" s="2521"/>
      <c r="D219" s="2384"/>
      <c r="E219" s="2525"/>
      <c r="F219" s="2417">
        <f>F94</f>
        <v>190</v>
      </c>
      <c r="G219" s="2417"/>
      <c r="H219" s="2384"/>
      <c r="I219" s="2384"/>
      <c r="J219" s="2384"/>
      <c r="K219" s="2384"/>
      <c r="L219" s="2384"/>
      <c r="M219" s="2384"/>
      <c r="N219" s="2384"/>
      <c r="O219" s="2384"/>
      <c r="P219" s="2384"/>
      <c r="Q219" s="2384"/>
      <c r="R219" s="2384"/>
      <c r="S219" s="2384"/>
      <c r="T219" s="2384"/>
      <c r="U219" s="2384"/>
      <c r="V219" s="2384"/>
      <c r="W219" s="2384"/>
      <c r="X219" s="2384"/>
      <c r="Y219" s="2384"/>
      <c r="AA219" s="2292"/>
      <c r="AB219" s="2527"/>
    </row>
    <row r="220" spans="1:16276" s="2290" customFormat="1" x14ac:dyDescent="0.25">
      <c r="B220" s="2398">
        <v>981</v>
      </c>
      <c r="C220" s="2521"/>
      <c r="D220" s="2384"/>
      <c r="E220" s="2525"/>
      <c r="F220" s="2417">
        <f>F24+F26+F30+F41+F44+F45+F54+F58+F67+F75+F78+F80+F86+F102+F106+F109+F121+F111+F131+F132+F133+F134+F135+F136+F138+F139+F140+F141+F142+F162+F165</f>
        <v>162.30000000000001</v>
      </c>
      <c r="G220" s="2417">
        <f>G24+G26+G30+G41+G44+G45+G54+G58+G67+G75+G78+G80+G86+G102+G106+G109+G121+G111+G131+G132+G133+G134+G135+G136+G138+G139+G140+G141+G142+G162+G165</f>
        <v>6.5</v>
      </c>
      <c r="H220" s="2417"/>
      <c r="I220" s="2417"/>
      <c r="J220" s="2417">
        <f>J24+J26+J30+J41+J44+J45+J54+J58+J67+J75+J78+J80+J86+J102+J106+J109+J121+J111+J131+J132+J133+J134+J135+J136+J138+J139+J140+J141+J142+J162+J165</f>
        <v>141.6</v>
      </c>
      <c r="K220" s="2417">
        <f>K24+K26+K30+K41+K44+K45+K54+K58+K67+K75+K78+K80+K86+K102+K106+K109+K121+K111+K131+K132+K133+K134+K135+K136+K138+K139+K140+K141+K142+K162+K165</f>
        <v>20.100000000000001</v>
      </c>
      <c r="L220" s="2417"/>
      <c r="M220" s="2417"/>
      <c r="N220" s="2417">
        <f>N24+N26+N30+N41+N44+N45+N54+N58+N67+N75+N78+N80+N86+N102+N106+N109+N121+N111+N131+N132+N133+N134+N135+N136+N138+N139+N140+N141+N142+N162+N165</f>
        <v>141.1</v>
      </c>
      <c r="O220" s="2417">
        <f>O24+O26+O30+O41+O44+O45+O54+O58+O67+O75+O78+O80+O86+O102+O106+O109+O121+O111+O131+O132+O133+O134+O135+O136+O138+O139+O140+O141+O142+O162+O165</f>
        <v>20.100000000000001</v>
      </c>
      <c r="P220" s="2417"/>
      <c r="Q220" s="2417"/>
      <c r="R220" s="2417">
        <f>R24+R26+R30+R41+R44+R45+R54+R58+R67+R75+R78+R80+R86+R102+R106+R111+R109+R121+R131+R132+R133+R134+R135+R136+R138+R139+R140+R141+R142+R162+R165</f>
        <v>109.5</v>
      </c>
      <c r="S220" s="2417">
        <f>S24+S26+S30+S41+S44+S45+S54+S58+S67+S75+S78+S80+S86+S102+S106+S111+S109+S121+S131+S132+S133+S134+S135+S136+S138+S139+S140+S141+S142+S162+S165</f>
        <v>109.5</v>
      </c>
      <c r="T220" s="2417">
        <f>T24+T26+T30+T41+T44+T45+T54+T58+T67+T75+T78+T80+T86+T102+T106+T111+T109+T121+T131+T132+T133+T134+T135+T136+T138+T139+T140+T141+T142+T162+T165</f>
        <v>0</v>
      </c>
      <c r="U220" s="2417">
        <f>U24+U26+U30+U41+U44+U45+U54+U58+U67+U75+U78+U80+U86+U102+U106+U109+U121+U111+U131+U132+U133+U134+U135+U136+U138+U139+U140+U141+U142+U162+U165</f>
        <v>17.7</v>
      </c>
      <c r="V220" s="2417">
        <f>V24+V26+V30+V41+V44+V45+V54+V58+V67+V75+V78+V80+V86+V102+V106+V109+V121+V111+V131+V132+V133+V134+V135+V136+V138+V139+V140+V141+V142+V162+V165</f>
        <v>-32.1</v>
      </c>
      <c r="W220" s="2417">
        <f>W24+W26+W30+W41+W44+W45+W54+W58+W67+W75+W78+W80+W86+W102+W106+W109+W121+W111+W131+W132+W133+W134+W135+W136+W138+W139+W140+W141+W142+W162+W165</f>
        <v>1683.9</v>
      </c>
      <c r="X220" s="2417">
        <f>X24+X26+X30+X41+X44+X45+X54+X58+X67+X75+X78+X80+X86+X102+X106+X109+X121+X111+X131+X132+X133+X134+X135+X136+X138+X139+X140+X141+X142+X162+X165-5</f>
        <v>112</v>
      </c>
      <c r="Y220" s="2417">
        <f>Y24+Y26+Y30+Y41+Y44+Y45+Y54+Y58+Y67+Y75+Y78+Y80+Y86+Y102+Y106+Y109+Y121+Y111+Y131+Y132+Y133+Y134+Y135+Y136+Y138+Y139+Y140+Y141+Y142+Y162+Y165-5</f>
        <v>114.1</v>
      </c>
      <c r="AA220" s="2292"/>
    </row>
    <row r="221" spans="1:16276" s="2290" customFormat="1" x14ac:dyDescent="0.25">
      <c r="B221" s="2398">
        <v>985</v>
      </c>
      <c r="C221" s="2521"/>
      <c r="D221" s="2384"/>
      <c r="E221" s="2525"/>
      <c r="F221" s="2417">
        <f>F137</f>
        <v>1.5</v>
      </c>
      <c r="G221" s="2417">
        <f>G137</f>
        <v>0</v>
      </c>
      <c r="H221" s="2417"/>
      <c r="I221" s="2417"/>
      <c r="J221" s="2417">
        <f>J137</f>
        <v>1.5</v>
      </c>
      <c r="K221" s="2417">
        <f>K137</f>
        <v>0</v>
      </c>
      <c r="L221" s="2417"/>
      <c r="M221" s="2417"/>
      <c r="N221" s="2417">
        <f>N137</f>
        <v>1.5</v>
      </c>
      <c r="O221" s="2417">
        <f>O137</f>
        <v>0</v>
      </c>
      <c r="P221" s="2417"/>
      <c r="Q221" s="2417"/>
      <c r="R221" s="2417">
        <f t="shared" ref="R221:Y221" si="46">R137</f>
        <v>1.5</v>
      </c>
      <c r="S221" s="2417">
        <f t="shared" si="46"/>
        <v>1.5</v>
      </c>
      <c r="T221" s="2417">
        <f t="shared" si="46"/>
        <v>0</v>
      </c>
      <c r="U221" s="2417">
        <f t="shared" si="46"/>
        <v>0</v>
      </c>
      <c r="V221" s="2417">
        <f t="shared" si="46"/>
        <v>0</v>
      </c>
      <c r="W221" s="2417">
        <f t="shared" si="46"/>
        <v>100</v>
      </c>
      <c r="X221" s="2417">
        <f t="shared" si="46"/>
        <v>1.5</v>
      </c>
      <c r="Y221" s="2417">
        <f t="shared" si="46"/>
        <v>1.5</v>
      </c>
      <c r="AA221" s="2292"/>
    </row>
    <row r="222" spans="1:16276" s="2290" customFormat="1" hidden="1" x14ac:dyDescent="0.25">
      <c r="B222" s="2398">
        <v>912</v>
      </c>
      <c r="C222" s="2521"/>
      <c r="D222" s="2342"/>
      <c r="E222" s="2382"/>
      <c r="F222" s="2333" t="e">
        <f>F212+#REF!+#REF!</f>
        <v>#REF!</v>
      </c>
      <c r="G222" s="2333" t="e">
        <f>G212+#REF!+#REF!</f>
        <v>#REF!</v>
      </c>
      <c r="H222" s="2333" t="e">
        <f>H212+#REF!+#REF!</f>
        <v>#REF!</v>
      </c>
      <c r="I222" s="2333" t="e">
        <f>I212+#REF!+#REF!</f>
        <v>#REF!</v>
      </c>
      <c r="J222" s="2333" t="e">
        <f>J212+#REF!+#REF!</f>
        <v>#REF!</v>
      </c>
      <c r="K222" s="2333" t="e">
        <f>K212+#REF!+#REF!</f>
        <v>#REF!</v>
      </c>
      <c r="L222" s="2333" t="e">
        <f>L212+#REF!+#REF!</f>
        <v>#REF!</v>
      </c>
      <c r="M222" s="2333" t="e">
        <f>M212+#REF!+#REF!</f>
        <v>#REF!</v>
      </c>
      <c r="N222" s="2333" t="e">
        <f>N212+#REF!+#REF!</f>
        <v>#REF!</v>
      </c>
      <c r="O222" s="2333" t="e">
        <f>O212+#REF!+#REF!</f>
        <v>#REF!</v>
      </c>
      <c r="P222" s="2333" t="e">
        <f>P212+#REF!+#REF!</f>
        <v>#REF!</v>
      </c>
      <c r="Q222" s="2333" t="e">
        <f>Q212+#REF!+#REF!</f>
        <v>#REF!</v>
      </c>
      <c r="R222" s="2333" t="e">
        <f>R212+#REF!+#REF!</f>
        <v>#REF!</v>
      </c>
      <c r="S222" s="2333"/>
      <c r="T222" s="2333"/>
      <c r="U222" s="2333" t="e">
        <f>U212+#REF!+#REF!</f>
        <v>#REF!</v>
      </c>
      <c r="V222" s="2333" t="e">
        <f>V212+#REF!+#REF!</f>
        <v>#REF!</v>
      </c>
      <c r="W222" s="2333" t="e">
        <f>W212+#REF!+#REF!</f>
        <v>#REF!</v>
      </c>
      <c r="X222" s="2333" t="e">
        <f>X212+#REF!+#REF!</f>
        <v>#REF!</v>
      </c>
      <c r="Y222" s="2333" t="e">
        <f>Y212+#REF!+#REF!</f>
        <v>#REF!</v>
      </c>
      <c r="AA222" s="2292"/>
    </row>
    <row r="223" spans="1:16276" s="2290" customFormat="1" hidden="1" x14ac:dyDescent="0.25">
      <c r="B223" s="2398">
        <v>921</v>
      </c>
      <c r="C223" s="2521"/>
      <c r="D223" s="2342"/>
      <c r="E223" s="2382"/>
      <c r="F223" s="2333" t="e">
        <f>#REF!+F213+#REF!+#REF!</f>
        <v>#REF!</v>
      </c>
      <c r="G223" s="2333" t="e">
        <f>#REF!+G213+#REF!+#REF!</f>
        <v>#REF!</v>
      </c>
      <c r="H223" s="2333" t="e">
        <f>#REF!+H213+#REF!+#REF!</f>
        <v>#REF!</v>
      </c>
      <c r="I223" s="2333" t="e">
        <f>#REF!+I213+#REF!+#REF!</f>
        <v>#REF!</v>
      </c>
      <c r="J223" s="2333" t="e">
        <f>#REF!+J213+#REF!+#REF!</f>
        <v>#REF!</v>
      </c>
      <c r="K223" s="2333" t="e">
        <f>#REF!+K213+#REF!+#REF!</f>
        <v>#REF!</v>
      </c>
      <c r="L223" s="2333" t="e">
        <f>#REF!+L213+#REF!+#REF!</f>
        <v>#REF!</v>
      </c>
      <c r="M223" s="2333" t="e">
        <f>#REF!+M213+#REF!+#REF!</f>
        <v>#REF!</v>
      </c>
      <c r="N223" s="2333" t="e">
        <f>#REF!+N213+#REF!+#REF!</f>
        <v>#REF!</v>
      </c>
      <c r="O223" s="2333" t="e">
        <f>#REF!+O213+#REF!+#REF!</f>
        <v>#REF!</v>
      </c>
      <c r="P223" s="2333" t="e">
        <f>#REF!+P213+#REF!+#REF!</f>
        <v>#REF!</v>
      </c>
      <c r="Q223" s="2333" t="e">
        <f>#REF!+Q213+#REF!+#REF!</f>
        <v>#REF!</v>
      </c>
      <c r="R223" s="2333" t="e">
        <f>#REF!+R213+#REF!+#REF!</f>
        <v>#REF!</v>
      </c>
      <c r="S223" s="2333"/>
      <c r="T223" s="2333"/>
      <c r="U223" s="2333" t="e">
        <f>#REF!+U213+#REF!+#REF!</f>
        <v>#REF!</v>
      </c>
      <c r="V223" s="2333" t="e">
        <f>#REF!+V213+#REF!+#REF!</f>
        <v>#REF!</v>
      </c>
      <c r="W223" s="2333" t="e">
        <f>#REF!+W213+#REF!+#REF!</f>
        <v>#REF!</v>
      </c>
      <c r="X223" s="2333" t="e">
        <f>#REF!+X213+#REF!+#REF!</f>
        <v>#REF!</v>
      </c>
      <c r="Y223" s="2333" t="e">
        <f>#REF!+Y213+#REF!+#REF!</f>
        <v>#REF!</v>
      </c>
      <c r="AA223" s="2292"/>
    </row>
    <row r="224" spans="1:16276" s="2290" customFormat="1" hidden="1" x14ac:dyDescent="0.25">
      <c r="B224" s="2398">
        <v>922</v>
      </c>
      <c r="C224" s="2521"/>
      <c r="D224" s="2342"/>
      <c r="E224" s="2382"/>
      <c r="F224" s="2333" t="e">
        <f>F214+#REF!+#REF!+#REF!</f>
        <v>#REF!</v>
      </c>
      <c r="G224" s="2333" t="e">
        <f>G214+#REF!+#REF!+#REF!</f>
        <v>#REF!</v>
      </c>
      <c r="H224" s="2333" t="e">
        <f>H214+#REF!+#REF!+#REF!</f>
        <v>#REF!</v>
      </c>
      <c r="I224" s="2333" t="e">
        <f>I214+#REF!+#REF!+#REF!</f>
        <v>#REF!</v>
      </c>
      <c r="J224" s="2333" t="e">
        <f>J214+#REF!+#REF!+#REF!</f>
        <v>#REF!</v>
      </c>
      <c r="K224" s="2333" t="e">
        <f>K214+#REF!+#REF!+#REF!</f>
        <v>#REF!</v>
      </c>
      <c r="L224" s="2333" t="e">
        <f>L214+#REF!+#REF!+#REF!</f>
        <v>#REF!</v>
      </c>
      <c r="M224" s="2333" t="e">
        <f>M214+#REF!+#REF!+#REF!</f>
        <v>#REF!</v>
      </c>
      <c r="N224" s="2333" t="e">
        <f>N214+#REF!+#REF!+#REF!</f>
        <v>#REF!</v>
      </c>
      <c r="O224" s="2333" t="e">
        <f>O214+#REF!+#REF!+#REF!</f>
        <v>#REF!</v>
      </c>
      <c r="P224" s="2333" t="e">
        <f>P214+#REF!+#REF!+#REF!</f>
        <v>#REF!</v>
      </c>
      <c r="Q224" s="2333" t="e">
        <f>Q214+#REF!+#REF!+#REF!</f>
        <v>#REF!</v>
      </c>
      <c r="R224" s="2333" t="e">
        <f>R214+#REF!+#REF!+#REF!</f>
        <v>#REF!</v>
      </c>
      <c r="S224" s="2333"/>
      <c r="T224" s="2333"/>
      <c r="U224" s="2333" t="e">
        <f>U214+#REF!+#REF!+#REF!</f>
        <v>#REF!</v>
      </c>
      <c r="V224" s="2333" t="e">
        <f>V214+#REF!+#REF!+#REF!</f>
        <v>#REF!</v>
      </c>
      <c r="W224" s="2333" t="e">
        <f>W214+#REF!+#REF!+#REF!</f>
        <v>#REF!</v>
      </c>
      <c r="X224" s="2333" t="e">
        <f>X214+#REF!+#REF!+#REF!</f>
        <v>#REF!</v>
      </c>
      <c r="Y224" s="2333" t="e">
        <f>Y214+#REF!+#REF!+#REF!</f>
        <v>#REF!</v>
      </c>
      <c r="AA224" s="2292"/>
    </row>
    <row r="225" spans="2:27" s="2290" customFormat="1" hidden="1" x14ac:dyDescent="0.25">
      <c r="B225" s="2398">
        <v>925</v>
      </c>
      <c r="C225" s="2521"/>
      <c r="D225" s="2342"/>
      <c r="E225" s="2382"/>
      <c r="F225" s="2333" t="e">
        <f>#REF!</f>
        <v>#REF!</v>
      </c>
      <c r="G225" s="2333" t="e">
        <f>#REF!</f>
        <v>#REF!</v>
      </c>
      <c r="H225" s="2333" t="e">
        <f>#REF!</f>
        <v>#REF!</v>
      </c>
      <c r="I225" s="2333" t="e">
        <f>#REF!</f>
        <v>#REF!</v>
      </c>
      <c r="J225" s="2333" t="e">
        <f>#REF!</f>
        <v>#REF!</v>
      </c>
      <c r="K225" s="2333" t="e">
        <f>#REF!</f>
        <v>#REF!</v>
      </c>
      <c r="L225" s="2333" t="e">
        <f>#REF!</f>
        <v>#REF!</v>
      </c>
      <c r="M225" s="2333" t="e">
        <f>#REF!</f>
        <v>#REF!</v>
      </c>
      <c r="N225" s="2333" t="e">
        <f>#REF!</f>
        <v>#REF!</v>
      </c>
      <c r="O225" s="2333" t="e">
        <f>#REF!</f>
        <v>#REF!</v>
      </c>
      <c r="P225" s="2333" t="e">
        <f>#REF!</f>
        <v>#REF!</v>
      </c>
      <c r="Q225" s="2333" t="e">
        <f>#REF!</f>
        <v>#REF!</v>
      </c>
      <c r="R225" s="2333" t="e">
        <f>#REF!</f>
        <v>#REF!</v>
      </c>
      <c r="S225" s="2333"/>
      <c r="T225" s="2333"/>
      <c r="U225" s="2333" t="e">
        <f>#REF!</f>
        <v>#REF!</v>
      </c>
      <c r="V225" s="2333" t="e">
        <f>#REF!</f>
        <v>#REF!</v>
      </c>
      <c r="W225" s="2333" t="e">
        <f>#REF!</f>
        <v>#REF!</v>
      </c>
      <c r="X225" s="2333" t="e">
        <f>#REF!</f>
        <v>#REF!</v>
      </c>
      <c r="Y225" s="2333" t="e">
        <f>#REF!</f>
        <v>#REF!</v>
      </c>
      <c r="AA225" s="2292"/>
    </row>
    <row r="226" spans="2:27" s="2290" customFormat="1" hidden="1" x14ac:dyDescent="0.25">
      <c r="B226" s="2398">
        <v>926</v>
      </c>
      <c r="C226" s="2521"/>
      <c r="D226" s="2342"/>
      <c r="E226" s="2382"/>
      <c r="F226" s="2333" t="e">
        <f>#REF!</f>
        <v>#REF!</v>
      </c>
      <c r="G226" s="2333" t="e">
        <f>#REF!</f>
        <v>#REF!</v>
      </c>
      <c r="H226" s="2333" t="e">
        <f>#REF!</f>
        <v>#REF!</v>
      </c>
      <c r="I226" s="2333" t="e">
        <f>#REF!</f>
        <v>#REF!</v>
      </c>
      <c r="J226" s="2333" t="e">
        <f>#REF!</f>
        <v>#REF!</v>
      </c>
      <c r="K226" s="2333" t="e">
        <f>#REF!</f>
        <v>#REF!</v>
      </c>
      <c r="L226" s="2333" t="e">
        <f>#REF!</f>
        <v>#REF!</v>
      </c>
      <c r="M226" s="2333" t="e">
        <f>#REF!</f>
        <v>#REF!</v>
      </c>
      <c r="N226" s="2333" t="e">
        <f>#REF!</f>
        <v>#REF!</v>
      </c>
      <c r="O226" s="2333" t="e">
        <f>#REF!</f>
        <v>#REF!</v>
      </c>
      <c r="P226" s="2333" t="e">
        <f>#REF!</f>
        <v>#REF!</v>
      </c>
      <c r="Q226" s="2333" t="e">
        <f>#REF!</f>
        <v>#REF!</v>
      </c>
      <c r="R226" s="2333" t="e">
        <f>#REF!</f>
        <v>#REF!</v>
      </c>
      <c r="S226" s="2333"/>
      <c r="T226" s="2333"/>
      <c r="U226" s="2333" t="e">
        <f>#REF!</f>
        <v>#REF!</v>
      </c>
      <c r="V226" s="2333" t="e">
        <f>#REF!</f>
        <v>#REF!</v>
      </c>
      <c r="W226" s="2333" t="e">
        <f>#REF!</f>
        <v>#REF!</v>
      </c>
      <c r="X226" s="2333" t="e">
        <f>#REF!</f>
        <v>#REF!</v>
      </c>
      <c r="Y226" s="2333" t="e">
        <f>#REF!</f>
        <v>#REF!</v>
      </c>
      <c r="AA226" s="2292"/>
    </row>
    <row r="227" spans="2:27" s="2290" customFormat="1" hidden="1" x14ac:dyDescent="0.25">
      <c r="B227" s="2398">
        <v>951</v>
      </c>
      <c r="C227" s="2521"/>
      <c r="D227" s="2342"/>
      <c r="E227" s="2382"/>
      <c r="F227" s="2333" t="e">
        <f>#REF!</f>
        <v>#REF!</v>
      </c>
      <c r="G227" s="2333" t="e">
        <f>#REF!</f>
        <v>#REF!</v>
      </c>
      <c r="H227" s="2333" t="e">
        <f>#REF!</f>
        <v>#REF!</v>
      </c>
      <c r="I227" s="2333" t="e">
        <f>#REF!</f>
        <v>#REF!</v>
      </c>
      <c r="J227" s="2333" t="e">
        <f>#REF!</f>
        <v>#REF!</v>
      </c>
      <c r="K227" s="2333" t="e">
        <f>#REF!</f>
        <v>#REF!</v>
      </c>
      <c r="L227" s="2333" t="e">
        <f>#REF!</f>
        <v>#REF!</v>
      </c>
      <c r="M227" s="2333" t="e">
        <f>#REF!</f>
        <v>#REF!</v>
      </c>
      <c r="N227" s="2333" t="e">
        <f>#REF!</f>
        <v>#REF!</v>
      </c>
      <c r="O227" s="2333" t="e">
        <f>#REF!</f>
        <v>#REF!</v>
      </c>
      <c r="P227" s="2333" t="e">
        <f>#REF!</f>
        <v>#REF!</v>
      </c>
      <c r="Q227" s="2333" t="e">
        <f>#REF!</f>
        <v>#REF!</v>
      </c>
      <c r="R227" s="2333" t="e">
        <f>#REF!</f>
        <v>#REF!</v>
      </c>
      <c r="S227" s="2333"/>
      <c r="T227" s="2333"/>
      <c r="U227" s="2333" t="e">
        <f>#REF!</f>
        <v>#REF!</v>
      </c>
      <c r="V227" s="2333" t="e">
        <f>#REF!</f>
        <v>#REF!</v>
      </c>
      <c r="W227" s="2333" t="e">
        <f>#REF!</f>
        <v>#REF!</v>
      </c>
      <c r="X227" s="2333" t="e">
        <f>#REF!</f>
        <v>#REF!</v>
      </c>
      <c r="Y227" s="2333" t="e">
        <f>#REF!</f>
        <v>#REF!</v>
      </c>
      <c r="AA227" s="2292"/>
    </row>
    <row r="228" spans="2:27" s="2290" customFormat="1" hidden="1" x14ac:dyDescent="0.25">
      <c r="B228" s="2398">
        <v>952</v>
      </c>
      <c r="C228" s="2521"/>
      <c r="D228" s="2342"/>
      <c r="E228" s="2382"/>
      <c r="F228" s="2333" t="e">
        <f>F215+#REF!+#REF!</f>
        <v>#REF!</v>
      </c>
      <c r="G228" s="2333" t="e">
        <f>G215+#REF!+#REF!</f>
        <v>#REF!</v>
      </c>
      <c r="H228" s="2333" t="e">
        <f>H215+#REF!+#REF!</f>
        <v>#REF!</v>
      </c>
      <c r="I228" s="2333" t="e">
        <f>I215+#REF!+#REF!</f>
        <v>#REF!</v>
      </c>
      <c r="J228" s="2333" t="e">
        <f>J215+#REF!+#REF!</f>
        <v>#REF!</v>
      </c>
      <c r="K228" s="2333" t="e">
        <f>K215+#REF!+#REF!</f>
        <v>#REF!</v>
      </c>
      <c r="L228" s="2333" t="e">
        <f>L215+#REF!+#REF!</f>
        <v>#REF!</v>
      </c>
      <c r="M228" s="2333" t="e">
        <f>M215+#REF!+#REF!</f>
        <v>#REF!</v>
      </c>
      <c r="N228" s="2333" t="e">
        <f>N215+#REF!+#REF!</f>
        <v>#REF!</v>
      </c>
      <c r="O228" s="2333" t="e">
        <f>O215+#REF!+#REF!</f>
        <v>#REF!</v>
      </c>
      <c r="P228" s="2333" t="e">
        <f>P215+#REF!+#REF!</f>
        <v>#REF!</v>
      </c>
      <c r="Q228" s="2333" t="e">
        <f>Q215+#REF!+#REF!</f>
        <v>#REF!</v>
      </c>
      <c r="R228" s="2333" t="e">
        <f>R215+#REF!+#REF!</f>
        <v>#REF!</v>
      </c>
      <c r="S228" s="2333"/>
      <c r="T228" s="2333"/>
      <c r="U228" s="2333" t="e">
        <f>U215+#REF!+#REF!</f>
        <v>#REF!</v>
      </c>
      <c r="V228" s="2333" t="e">
        <f>V215+#REF!+#REF!</f>
        <v>#REF!</v>
      </c>
      <c r="W228" s="2333" t="e">
        <f>W215+#REF!+#REF!</f>
        <v>#REF!</v>
      </c>
      <c r="X228" s="2333" t="e">
        <f>X215+#REF!+#REF!</f>
        <v>#REF!</v>
      </c>
      <c r="Y228" s="2333" t="e">
        <f>Y215+#REF!+#REF!</f>
        <v>#REF!</v>
      </c>
      <c r="AA228" s="2292"/>
    </row>
    <row r="229" spans="2:27" s="2290" customFormat="1" hidden="1" x14ac:dyDescent="0.25">
      <c r="B229" s="2398">
        <v>953</v>
      </c>
      <c r="C229" s="2521"/>
      <c r="D229" s="2342"/>
      <c r="E229" s="2382"/>
      <c r="F229" s="2333" t="e">
        <f>#REF!+#REF!</f>
        <v>#REF!</v>
      </c>
      <c r="G229" s="2333" t="e">
        <f>#REF!+#REF!</f>
        <v>#REF!</v>
      </c>
      <c r="H229" s="2333" t="e">
        <f>#REF!+#REF!</f>
        <v>#REF!</v>
      </c>
      <c r="I229" s="2333" t="e">
        <f>#REF!+#REF!</f>
        <v>#REF!</v>
      </c>
      <c r="J229" s="2333" t="e">
        <f>#REF!+#REF!</f>
        <v>#REF!</v>
      </c>
      <c r="K229" s="2333" t="e">
        <f>#REF!+#REF!</f>
        <v>#REF!</v>
      </c>
      <c r="L229" s="2333" t="e">
        <f>#REF!+#REF!</f>
        <v>#REF!</v>
      </c>
      <c r="M229" s="2333" t="e">
        <f>#REF!+#REF!</f>
        <v>#REF!</v>
      </c>
      <c r="N229" s="2333" t="e">
        <f>#REF!+#REF!</f>
        <v>#REF!</v>
      </c>
      <c r="O229" s="2333" t="e">
        <f>#REF!+#REF!</f>
        <v>#REF!</v>
      </c>
      <c r="P229" s="2333" t="e">
        <f>#REF!+#REF!</f>
        <v>#REF!</v>
      </c>
      <c r="Q229" s="2333" t="e">
        <f>#REF!+#REF!</f>
        <v>#REF!</v>
      </c>
      <c r="R229" s="2333" t="e">
        <f>#REF!+#REF!</f>
        <v>#REF!</v>
      </c>
      <c r="S229" s="2333"/>
      <c r="T229" s="2333"/>
      <c r="U229" s="2333" t="e">
        <f>#REF!+#REF!</f>
        <v>#REF!</v>
      </c>
      <c r="V229" s="2333" t="e">
        <f>#REF!+#REF!</f>
        <v>#REF!</v>
      </c>
      <c r="W229" s="2333" t="e">
        <f>#REF!+#REF!</f>
        <v>#REF!</v>
      </c>
      <c r="X229" s="2333" t="e">
        <f>#REF!+#REF!</f>
        <v>#REF!</v>
      </c>
      <c r="Y229" s="2333" t="e">
        <f>#REF!+#REF!</f>
        <v>#REF!</v>
      </c>
      <c r="AA229" s="2292"/>
    </row>
    <row r="230" spans="2:27" s="2290" customFormat="1" hidden="1" x14ac:dyDescent="0.25">
      <c r="B230" s="2398">
        <v>954</v>
      </c>
      <c r="C230" s="2521"/>
      <c r="D230" s="2342"/>
      <c r="E230" s="2382"/>
      <c r="F230" s="2333" t="e">
        <f>#REF!+#REF!+#REF!+#REF!+#REF!+#REF!+#REF!</f>
        <v>#REF!</v>
      </c>
      <c r="G230" s="2333" t="e">
        <f>#REF!+#REF!+#REF!+#REF!+#REF!+#REF!+#REF!</f>
        <v>#REF!</v>
      </c>
      <c r="H230" s="2333" t="e">
        <f>#REF!+#REF!+#REF!+#REF!+#REF!+#REF!+#REF!</f>
        <v>#REF!</v>
      </c>
      <c r="I230" s="2333" t="e">
        <f>#REF!+#REF!+#REF!+#REF!+#REF!+#REF!+#REF!</f>
        <v>#REF!</v>
      </c>
      <c r="J230" s="2333" t="e">
        <f>#REF!+#REF!+#REF!+#REF!+#REF!+#REF!+#REF!</f>
        <v>#REF!</v>
      </c>
      <c r="K230" s="2333" t="e">
        <f>#REF!+#REF!+#REF!+#REF!+#REF!+#REF!+#REF!</f>
        <v>#REF!</v>
      </c>
      <c r="L230" s="2333" t="e">
        <f>#REF!+#REF!+#REF!+#REF!+#REF!+#REF!+#REF!</f>
        <v>#REF!</v>
      </c>
      <c r="M230" s="2333" t="e">
        <f>#REF!+#REF!+#REF!+#REF!+#REF!+#REF!+#REF!</f>
        <v>#REF!</v>
      </c>
      <c r="N230" s="2333" t="e">
        <f>#REF!+#REF!+#REF!+#REF!+#REF!+#REF!+#REF!</f>
        <v>#REF!</v>
      </c>
      <c r="O230" s="2333" t="e">
        <f>#REF!+#REF!+#REF!+#REF!+#REF!+#REF!+#REF!</f>
        <v>#REF!</v>
      </c>
      <c r="P230" s="2333" t="e">
        <f>#REF!+#REF!+#REF!+#REF!+#REF!+#REF!+#REF!</f>
        <v>#REF!</v>
      </c>
      <c r="Q230" s="2333" t="e">
        <f>#REF!+#REF!+#REF!+#REF!+#REF!+#REF!+#REF!</f>
        <v>#REF!</v>
      </c>
      <c r="R230" s="2333" t="e">
        <f>#REF!+#REF!+#REF!+#REF!+#REF!+#REF!+#REF!+#REF!</f>
        <v>#REF!</v>
      </c>
      <c r="S230" s="2333"/>
      <c r="T230" s="2333"/>
      <c r="U230" s="2333" t="e">
        <f>#REF!+#REF!+#REF!+#REF!+#REF!+#REF!+#REF!</f>
        <v>#REF!</v>
      </c>
      <c r="V230" s="2333" t="e">
        <f>#REF!+#REF!+#REF!+#REF!+#REF!+#REF!+#REF!</f>
        <v>#REF!</v>
      </c>
      <c r="W230" s="2333" t="e">
        <f>#REF!+#REF!+#REF!+#REF!+#REF!+#REF!+#REF!</f>
        <v>#REF!</v>
      </c>
      <c r="X230" s="2333" t="e">
        <f>#REF!+#REF!+#REF!+#REF!+#REF!+#REF!+#REF!+#REF!</f>
        <v>#REF!</v>
      </c>
      <c r="Y230" s="2333" t="e">
        <f>#REF!+#REF!+#REF!+#REF!+#REF!+#REF!+#REF!+#REF!</f>
        <v>#REF!</v>
      </c>
      <c r="AA230" s="2292"/>
    </row>
    <row r="231" spans="2:27" s="2290" customFormat="1" hidden="1" x14ac:dyDescent="0.25">
      <c r="B231" s="2398">
        <v>955</v>
      </c>
      <c r="C231" s="2521"/>
      <c r="D231" s="2342"/>
      <c r="E231" s="2382"/>
      <c r="F231" s="2333" t="e">
        <f>#REF!+F216+#REF!+#REF!+#REF!+#REF!+#REF!</f>
        <v>#REF!</v>
      </c>
      <c r="G231" s="2333" t="e">
        <f>#REF!+G216+#REF!+#REF!+#REF!+#REF!+#REF!</f>
        <v>#REF!</v>
      </c>
      <c r="H231" s="2333" t="e">
        <f>#REF!+H216+#REF!+#REF!+#REF!+#REF!+#REF!</f>
        <v>#REF!</v>
      </c>
      <c r="I231" s="2333" t="e">
        <f>#REF!+I216+#REF!+#REF!+#REF!+#REF!+#REF!</f>
        <v>#REF!</v>
      </c>
      <c r="J231" s="2333" t="e">
        <f>#REF!+J216+#REF!+#REF!+#REF!+#REF!+#REF!</f>
        <v>#REF!</v>
      </c>
      <c r="K231" s="2333" t="e">
        <f>#REF!+K216+#REF!+#REF!+#REF!+#REF!+#REF!</f>
        <v>#REF!</v>
      </c>
      <c r="L231" s="2333" t="e">
        <f>#REF!+L216+#REF!+#REF!+#REF!+#REF!+#REF!</f>
        <v>#REF!</v>
      </c>
      <c r="M231" s="2333" t="e">
        <f>#REF!+M216+#REF!+#REF!+#REF!+#REF!+#REF!</f>
        <v>#REF!</v>
      </c>
      <c r="N231" s="2333" t="e">
        <f>#REF!+N216+#REF!+#REF!+#REF!+#REF!+#REF!</f>
        <v>#REF!</v>
      </c>
      <c r="O231" s="2333" t="e">
        <f>#REF!+O216+#REF!+#REF!+#REF!+#REF!+#REF!</f>
        <v>#REF!</v>
      </c>
      <c r="P231" s="2333" t="e">
        <f>#REF!+P216+#REF!+#REF!+#REF!+#REF!+#REF!</f>
        <v>#REF!</v>
      </c>
      <c r="Q231" s="2333" t="e">
        <f>#REF!+Q216+#REF!+#REF!+#REF!+#REF!+#REF!</f>
        <v>#REF!</v>
      </c>
      <c r="R231" s="2333" t="e">
        <f>#REF!+R216+#REF!+#REF!+#REF!+#REF!+#REF!</f>
        <v>#REF!</v>
      </c>
      <c r="S231" s="2333"/>
      <c r="T231" s="2333"/>
      <c r="U231" s="2333" t="e">
        <f>#REF!+U216+#REF!+#REF!+#REF!+#REF!+#REF!</f>
        <v>#REF!</v>
      </c>
      <c r="V231" s="2333" t="e">
        <f>#REF!+V216+#REF!+#REF!+#REF!+#REF!+#REF!</f>
        <v>#REF!</v>
      </c>
      <c r="W231" s="2333" t="e">
        <f>#REF!+W216+#REF!+#REF!+#REF!+#REF!+#REF!</f>
        <v>#REF!</v>
      </c>
      <c r="X231" s="2333" t="e">
        <f>X216+#REF!+#REF!+#REF!+#REF!+#REF!</f>
        <v>#REF!</v>
      </c>
      <c r="Y231" s="2333" t="e">
        <f>Y216+#REF!+#REF!+#REF!+#REF!+#REF!</f>
        <v>#REF!</v>
      </c>
      <c r="AA231" s="2292"/>
    </row>
    <row r="232" spans="2:27" s="2290" customFormat="1" hidden="1" x14ac:dyDescent="0.25">
      <c r="B232" s="2398">
        <v>958</v>
      </c>
      <c r="C232" s="2521"/>
      <c r="D232" s="2342"/>
      <c r="E232" s="2382"/>
      <c r="F232" s="2333" t="e">
        <f>#REF!</f>
        <v>#REF!</v>
      </c>
      <c r="G232" s="2333" t="e">
        <f>#REF!</f>
        <v>#REF!</v>
      </c>
      <c r="H232" s="2333" t="e">
        <f>#REF!</f>
        <v>#REF!</v>
      </c>
      <c r="I232" s="2333" t="e">
        <f>#REF!</f>
        <v>#REF!</v>
      </c>
      <c r="J232" s="2333" t="e">
        <f>#REF!</f>
        <v>#REF!</v>
      </c>
      <c r="K232" s="2333" t="e">
        <f>#REF!</f>
        <v>#REF!</v>
      </c>
      <c r="L232" s="2333" t="e">
        <f>#REF!</f>
        <v>#REF!</v>
      </c>
      <c r="M232" s="2333" t="e">
        <f>#REF!</f>
        <v>#REF!</v>
      </c>
      <c r="N232" s="2333" t="e">
        <f>#REF!</f>
        <v>#REF!</v>
      </c>
      <c r="O232" s="2333" t="e">
        <f>#REF!</f>
        <v>#REF!</v>
      </c>
      <c r="P232" s="2333" t="e">
        <f>#REF!</f>
        <v>#REF!</v>
      </c>
      <c r="Q232" s="2333" t="e">
        <f>#REF!</f>
        <v>#REF!</v>
      </c>
      <c r="R232" s="2333" t="e">
        <f>#REF!</f>
        <v>#REF!</v>
      </c>
      <c r="S232" s="2333"/>
      <c r="T232" s="2333"/>
      <c r="U232" s="2333" t="e">
        <f>#REF!</f>
        <v>#REF!</v>
      </c>
      <c r="V232" s="2333" t="e">
        <f>#REF!</f>
        <v>#REF!</v>
      </c>
      <c r="W232" s="2333" t="e">
        <f>#REF!</f>
        <v>#REF!</v>
      </c>
      <c r="X232" s="2333" t="e">
        <f>#REF!</f>
        <v>#REF!</v>
      </c>
      <c r="Y232" s="2333" t="e">
        <f>#REF!</f>
        <v>#REF!</v>
      </c>
      <c r="AA232" s="2292"/>
    </row>
    <row r="233" spans="2:27" s="2290" customFormat="1" hidden="1" x14ac:dyDescent="0.25">
      <c r="B233" s="2398">
        <v>963</v>
      </c>
      <c r="C233" s="2521"/>
      <c r="D233" s="2342"/>
      <c r="E233" s="2382"/>
      <c r="F233" s="2333" t="e">
        <f>#REF!+#REF!+#REF!+#REF!+#REF!+#REF!+#REF!+F217+#REF!+#REF!+#REF!+#REF!+#REF!</f>
        <v>#REF!</v>
      </c>
      <c r="G233" s="2333" t="e">
        <f>#REF!+#REF!+#REF!+#REF!+#REF!+#REF!+#REF!+G217+#REF!+#REF!+#REF!+#REF!+#REF!</f>
        <v>#REF!</v>
      </c>
      <c r="H233" s="2333" t="e">
        <f>#REF!+#REF!+#REF!+#REF!+#REF!+#REF!+#REF!+H217+#REF!+#REF!+#REF!+#REF!+#REF!</f>
        <v>#REF!</v>
      </c>
      <c r="I233" s="2333" t="e">
        <f>#REF!+#REF!+#REF!+#REF!+#REF!+#REF!+#REF!+I217+#REF!+#REF!+#REF!+#REF!+#REF!</f>
        <v>#REF!</v>
      </c>
      <c r="J233" s="2333" t="e">
        <f>#REF!+#REF!+#REF!+#REF!+#REF!+#REF!+#REF!+J217+#REF!+#REF!+#REF!+#REF!+#REF!</f>
        <v>#REF!</v>
      </c>
      <c r="K233" s="2333" t="e">
        <f>#REF!+#REF!+#REF!+#REF!+#REF!+#REF!+#REF!+K217+#REF!+#REF!+#REF!+#REF!+#REF!</f>
        <v>#REF!</v>
      </c>
      <c r="L233" s="2333" t="e">
        <f>#REF!+#REF!+#REF!+#REF!+#REF!+#REF!+#REF!+L217+#REF!+#REF!+#REF!+#REF!+#REF!</f>
        <v>#REF!</v>
      </c>
      <c r="M233" s="2333" t="e">
        <f>#REF!+#REF!+#REF!+#REF!+#REF!+#REF!+#REF!+M217+#REF!+#REF!+#REF!+#REF!+#REF!</f>
        <v>#REF!</v>
      </c>
      <c r="N233" s="2333" t="e">
        <f>#REF!+#REF!+#REF!+#REF!+#REF!+#REF!+#REF!+N217+#REF!+#REF!+#REF!+#REF!+#REF!</f>
        <v>#REF!</v>
      </c>
      <c r="O233" s="2333" t="e">
        <f>#REF!+#REF!+#REF!+#REF!+#REF!+#REF!+#REF!+O217+#REF!+#REF!+#REF!+#REF!+#REF!</f>
        <v>#REF!</v>
      </c>
      <c r="P233" s="2333" t="e">
        <f>#REF!+#REF!+#REF!+#REF!+#REF!+#REF!+#REF!+P217+#REF!+#REF!+#REF!+#REF!+#REF!</f>
        <v>#REF!</v>
      </c>
      <c r="Q233" s="2333" t="e">
        <f>#REF!+#REF!+#REF!+#REF!+#REF!+#REF!+#REF!+Q217+#REF!+#REF!+#REF!+#REF!+#REF!</f>
        <v>#REF!</v>
      </c>
      <c r="R233" s="2333" t="e">
        <f>#REF!+#REF!+#REF!+#REF!+#REF!+#REF!+#REF!+R217+#REF!+#REF!+#REF!+#REF!+#REF!</f>
        <v>#REF!</v>
      </c>
      <c r="S233" s="2333"/>
      <c r="T233" s="2333"/>
      <c r="U233" s="2333" t="e">
        <f>#REF!+#REF!+#REF!+#REF!+#REF!+#REF!+#REF!+U217+#REF!+#REF!+#REF!+#REF!+#REF!</f>
        <v>#REF!</v>
      </c>
      <c r="V233" s="2333" t="e">
        <f>#REF!+#REF!+#REF!+#REF!+#REF!+#REF!+#REF!+V217+#REF!+#REF!+#REF!+#REF!+#REF!</f>
        <v>#REF!</v>
      </c>
      <c r="W233" s="2333" t="e">
        <f>#REF!+#REF!+#REF!+#REF!+#REF!+#REF!+#REF!+W217+#REF!+#REF!+#REF!+#REF!+#REF!</f>
        <v>#REF!</v>
      </c>
      <c r="X233" s="2333" t="e">
        <f>#REF!+#REF!+#REF!+#REF!+#REF!+#REF!+#REF!+X217+#REF!+#REF!+#REF!+#REF!+#REF!</f>
        <v>#REF!</v>
      </c>
      <c r="Y233" s="2333" t="e">
        <f>#REF!+#REF!+#REF!+#REF!+#REF!+#REF!+#REF!+Y217+#REF!+#REF!+#REF!+#REF!+#REF!</f>
        <v>#REF!</v>
      </c>
      <c r="AA233" s="2292"/>
    </row>
    <row r="234" spans="2:27" s="2290" customFormat="1" hidden="1" x14ac:dyDescent="0.25">
      <c r="B234" s="2398">
        <v>966</v>
      </c>
      <c r="C234" s="2521"/>
      <c r="D234" s="2342"/>
      <c r="E234" s="2382"/>
      <c r="F234" s="2333" t="e">
        <f>#REF!+#REF!+#REF!+F218+#REF!+#REF!+#REF!</f>
        <v>#REF!</v>
      </c>
      <c r="G234" s="2333" t="e">
        <f>#REF!+#REF!+#REF!+G218+#REF!+#REF!+#REF!</f>
        <v>#REF!</v>
      </c>
      <c r="H234" s="2333" t="e">
        <f>#REF!+#REF!+#REF!+H218+#REF!+#REF!+#REF!</f>
        <v>#REF!</v>
      </c>
      <c r="I234" s="2333" t="e">
        <f>#REF!+#REF!+#REF!+I218+#REF!+#REF!+#REF!</f>
        <v>#REF!</v>
      </c>
      <c r="J234" s="2333" t="e">
        <f>#REF!+#REF!+#REF!+J218+#REF!+#REF!+#REF!</f>
        <v>#REF!</v>
      </c>
      <c r="K234" s="2333" t="e">
        <f>#REF!+#REF!+#REF!+K218+#REF!+#REF!+#REF!</f>
        <v>#REF!</v>
      </c>
      <c r="L234" s="2333" t="e">
        <f>#REF!+#REF!+#REF!+L218+#REF!+#REF!+#REF!</f>
        <v>#REF!</v>
      </c>
      <c r="M234" s="2333" t="e">
        <f>#REF!+#REF!+#REF!+M218+#REF!+#REF!+#REF!</f>
        <v>#REF!</v>
      </c>
      <c r="N234" s="2333" t="e">
        <f>#REF!+#REF!+#REF!+N218+#REF!+#REF!+#REF!</f>
        <v>#REF!</v>
      </c>
      <c r="O234" s="2333" t="e">
        <f>#REF!+#REF!+#REF!+O218+#REF!+#REF!+#REF!</f>
        <v>#REF!</v>
      </c>
      <c r="P234" s="2333" t="e">
        <f>#REF!+#REF!+#REF!+P218+#REF!+#REF!+#REF!</f>
        <v>#REF!</v>
      </c>
      <c r="Q234" s="2333" t="e">
        <f>#REF!+#REF!+#REF!+Q218+#REF!+#REF!+#REF!</f>
        <v>#REF!</v>
      </c>
      <c r="R234" s="2333" t="e">
        <f>#REF!+#REF!+#REF!+R218+#REF!+#REF!+#REF!</f>
        <v>#REF!</v>
      </c>
      <c r="S234" s="2333"/>
      <c r="T234" s="2333"/>
      <c r="U234" s="2333" t="e">
        <f>#REF!+#REF!+#REF!+U218+#REF!+#REF!+#REF!</f>
        <v>#REF!</v>
      </c>
      <c r="V234" s="2333" t="e">
        <f>#REF!+#REF!+#REF!+V218+#REF!+#REF!+#REF!</f>
        <v>#REF!</v>
      </c>
      <c r="W234" s="2333" t="e">
        <f>#REF!+#REF!+#REF!+W218+#REF!+#REF!+#REF!</f>
        <v>#REF!</v>
      </c>
      <c r="X234" s="2333" t="e">
        <f>#REF!+#REF!+#REF!+X218+#REF!+#REF!+#REF!</f>
        <v>#REF!</v>
      </c>
      <c r="Y234" s="2333" t="e">
        <f>#REF!+#REF!+#REF!+Y218+#REF!+#REF!+#REF!</f>
        <v>#REF!</v>
      </c>
      <c r="AA234" s="2292"/>
    </row>
    <row r="235" spans="2:27" s="2290" customFormat="1" hidden="1" x14ac:dyDescent="0.25">
      <c r="B235" s="2398">
        <v>971</v>
      </c>
      <c r="C235" s="2521"/>
      <c r="D235" s="2342"/>
      <c r="E235" s="2382"/>
      <c r="F235" s="2333" t="e">
        <f>F219+#REF!+#REF!+#REF!+#REF!+#REF!</f>
        <v>#REF!</v>
      </c>
      <c r="G235" s="2333" t="e">
        <f>G219+#REF!+#REF!+#REF!+#REF!+#REF!</f>
        <v>#REF!</v>
      </c>
      <c r="H235" s="2333" t="e">
        <f>H219+#REF!+#REF!+#REF!+#REF!+#REF!</f>
        <v>#REF!</v>
      </c>
      <c r="I235" s="2333" t="e">
        <f>I219+#REF!+#REF!+#REF!+#REF!+#REF!</f>
        <v>#REF!</v>
      </c>
      <c r="J235" s="2333" t="e">
        <f>J219+#REF!+#REF!+#REF!+#REF!+#REF!</f>
        <v>#REF!</v>
      </c>
      <c r="K235" s="2333" t="e">
        <f>K219+#REF!+#REF!+#REF!+#REF!+#REF!</f>
        <v>#REF!</v>
      </c>
      <c r="L235" s="2333" t="e">
        <f>L219+#REF!+#REF!+#REF!+#REF!+#REF!</f>
        <v>#REF!</v>
      </c>
      <c r="M235" s="2333" t="e">
        <f>M219+#REF!+#REF!+#REF!+#REF!+#REF!</f>
        <v>#REF!</v>
      </c>
      <c r="N235" s="2333" t="e">
        <f>N219+#REF!+#REF!+#REF!+#REF!+#REF!</f>
        <v>#REF!</v>
      </c>
      <c r="O235" s="2333" t="e">
        <f>O219+#REF!+#REF!+#REF!+#REF!+#REF!</f>
        <v>#REF!</v>
      </c>
      <c r="P235" s="2333" t="e">
        <f>P219+#REF!+#REF!+#REF!+#REF!+#REF!</f>
        <v>#REF!</v>
      </c>
      <c r="Q235" s="2333" t="e">
        <f>Q219+#REF!+#REF!+#REF!+#REF!+#REF!</f>
        <v>#REF!</v>
      </c>
      <c r="R235" s="2333" t="e">
        <f>R219+#REF!+#REF!+#REF!+#REF!+#REF!</f>
        <v>#REF!</v>
      </c>
      <c r="S235" s="2333"/>
      <c r="T235" s="2333"/>
      <c r="U235" s="2333" t="e">
        <f>U219+#REF!+#REF!+#REF!+#REF!+#REF!</f>
        <v>#REF!</v>
      </c>
      <c r="V235" s="2333" t="e">
        <f>V219+#REF!+#REF!+#REF!+#REF!+#REF!</f>
        <v>#REF!</v>
      </c>
      <c r="W235" s="2333" t="e">
        <f>W219+#REF!+#REF!+#REF!+#REF!+#REF!</f>
        <v>#REF!</v>
      </c>
      <c r="X235" s="2333" t="e">
        <f>X219+#REF!+#REF!+#REF!+#REF!+#REF!</f>
        <v>#REF!</v>
      </c>
      <c r="Y235" s="2333" t="e">
        <f>Y219+#REF!+#REF!+#REF!+#REF!+#REF!</f>
        <v>#REF!</v>
      </c>
      <c r="AA235" s="2292"/>
    </row>
    <row r="236" spans="2:27" s="2290" customFormat="1" hidden="1" x14ac:dyDescent="0.25">
      <c r="B236" s="2398">
        <v>981</v>
      </c>
      <c r="C236" s="2521"/>
      <c r="D236" s="2342"/>
      <c r="E236" s="2382"/>
      <c r="F236" s="2333" t="e">
        <f>#REF!+#REF!+#REF!+#REF!+#REF!+F220+#REF!+#REF!+#REF!+#REF!+#REF!</f>
        <v>#REF!</v>
      </c>
      <c r="G236" s="2333" t="e">
        <f>#REF!+#REF!+#REF!+#REF!+#REF!+G220+#REF!+#REF!+#REF!+#REF!+#REF!</f>
        <v>#REF!</v>
      </c>
      <c r="H236" s="2333" t="e">
        <f>#REF!+#REF!+#REF!+#REF!+#REF!+H220+#REF!+#REF!+#REF!+#REF!+#REF!</f>
        <v>#REF!</v>
      </c>
      <c r="I236" s="2333" t="e">
        <f>#REF!+#REF!+#REF!+#REF!+#REF!+I220+#REF!+#REF!+#REF!+#REF!+#REF!</f>
        <v>#REF!</v>
      </c>
      <c r="J236" s="2333" t="e">
        <f>#REF!+#REF!+#REF!+#REF!+#REF!+J220+#REF!+#REF!+#REF!+#REF!+#REF!</f>
        <v>#REF!</v>
      </c>
      <c r="K236" s="2333" t="e">
        <f>#REF!+#REF!+#REF!+#REF!+#REF!+K220+#REF!+#REF!+#REF!+#REF!+#REF!</f>
        <v>#REF!</v>
      </c>
      <c r="L236" s="2333" t="e">
        <f>#REF!+#REF!+#REF!+#REF!+#REF!+L220+#REF!+#REF!+#REF!+#REF!+#REF!</f>
        <v>#REF!</v>
      </c>
      <c r="M236" s="2333" t="e">
        <f>#REF!+#REF!+#REF!+#REF!+#REF!+M220+#REF!+#REF!+#REF!+#REF!+#REF!</f>
        <v>#REF!</v>
      </c>
      <c r="N236" s="2333" t="e">
        <f>#REF!+#REF!+#REF!+#REF!+#REF!+N220+#REF!+#REF!+#REF!+#REF!+#REF!</f>
        <v>#REF!</v>
      </c>
      <c r="O236" s="2333" t="e">
        <f>#REF!+#REF!+#REF!+#REF!+#REF!+O220+#REF!+#REF!+#REF!+#REF!+#REF!</f>
        <v>#REF!</v>
      </c>
      <c r="P236" s="2333" t="e">
        <f>#REF!+#REF!+#REF!+#REF!+#REF!+P220+#REF!+#REF!+#REF!+#REF!+#REF!</f>
        <v>#REF!</v>
      </c>
      <c r="Q236" s="2333" t="e">
        <f>#REF!+#REF!+#REF!+#REF!+#REF!+Q220+#REF!+#REF!+#REF!+#REF!+#REF!</f>
        <v>#REF!</v>
      </c>
      <c r="R236" s="2333" t="e">
        <f>#REF!+#REF!+#REF!+#REF!+#REF!+R220+#REF!+#REF!+#REF!+#REF!+#REF!</f>
        <v>#REF!</v>
      </c>
      <c r="S236" s="2333"/>
      <c r="T236" s="2333"/>
      <c r="U236" s="2333" t="e">
        <f>#REF!+#REF!+#REF!+#REF!+#REF!+U220+#REF!+#REF!+#REF!+#REF!+#REF!</f>
        <v>#REF!</v>
      </c>
      <c r="V236" s="2333" t="e">
        <f>#REF!+#REF!+#REF!+#REF!+#REF!+V220+#REF!+#REF!+#REF!+#REF!+#REF!</f>
        <v>#REF!</v>
      </c>
      <c r="W236" s="2333" t="e">
        <f>#REF!+#REF!+#REF!+#REF!+#REF!+W220+#REF!+#REF!+#REF!+#REF!+#REF!</f>
        <v>#REF!</v>
      </c>
      <c r="X236" s="2333" t="e">
        <f>#REF!+#REF!+#REF!+#REF!+#REF!+X220+#REF!+#REF!+#REF!+#REF!+#REF!</f>
        <v>#REF!</v>
      </c>
      <c r="Y236" s="2333" t="e">
        <f>#REF!+#REF!+#REF!+#REF!+#REF!+Y220+#REF!+#REF!+#REF!+#REF!+#REF!</f>
        <v>#REF!</v>
      </c>
      <c r="AA236" s="2292"/>
    </row>
    <row r="237" spans="2:27" s="2290" customFormat="1" hidden="1" x14ac:dyDescent="0.25">
      <c r="B237" s="2398">
        <v>982</v>
      </c>
      <c r="C237" s="2521"/>
      <c r="D237" s="2342"/>
      <c r="E237" s="2382"/>
      <c r="F237" s="2333" t="e">
        <f>#REF!</f>
        <v>#REF!</v>
      </c>
      <c r="G237" s="2333" t="e">
        <f>#REF!</f>
        <v>#REF!</v>
      </c>
      <c r="H237" s="2333" t="e">
        <f>#REF!</f>
        <v>#REF!</v>
      </c>
      <c r="I237" s="2333" t="e">
        <f>#REF!</f>
        <v>#REF!</v>
      </c>
      <c r="J237" s="2333" t="e">
        <f>#REF!</f>
        <v>#REF!</v>
      </c>
      <c r="K237" s="2333" t="e">
        <f>#REF!</f>
        <v>#REF!</v>
      </c>
      <c r="L237" s="2333" t="e">
        <f>#REF!</f>
        <v>#REF!</v>
      </c>
      <c r="M237" s="2333" t="e">
        <f>#REF!</f>
        <v>#REF!</v>
      </c>
      <c r="N237" s="2333" t="e">
        <f>#REF!</f>
        <v>#REF!</v>
      </c>
      <c r="O237" s="2333" t="e">
        <f>#REF!</f>
        <v>#REF!</v>
      </c>
      <c r="P237" s="2333" t="e">
        <f>#REF!</f>
        <v>#REF!</v>
      </c>
      <c r="Q237" s="2333" t="e">
        <f>#REF!</f>
        <v>#REF!</v>
      </c>
      <c r="R237" s="2333" t="e">
        <f>#REF!</f>
        <v>#REF!</v>
      </c>
      <c r="S237" s="2333"/>
      <c r="T237" s="2333"/>
      <c r="U237" s="2333" t="e">
        <f>#REF!</f>
        <v>#REF!</v>
      </c>
      <c r="V237" s="2333" t="e">
        <f>#REF!</f>
        <v>#REF!</v>
      </c>
      <c r="W237" s="2333" t="e">
        <f>#REF!</f>
        <v>#REF!</v>
      </c>
      <c r="X237" s="2333" t="e">
        <f>#REF!</f>
        <v>#REF!</v>
      </c>
      <c r="Y237" s="2333" t="e">
        <f>#REF!</f>
        <v>#REF!</v>
      </c>
      <c r="AA237" s="2292"/>
    </row>
    <row r="238" spans="2:27" s="2290" customFormat="1" hidden="1" x14ac:dyDescent="0.25">
      <c r="B238" s="2398">
        <v>983</v>
      </c>
      <c r="C238" s="2521"/>
      <c r="D238" s="2342"/>
      <c r="E238" s="2382"/>
      <c r="F238" s="2333" t="e">
        <f>#REF!+#REF!</f>
        <v>#REF!</v>
      </c>
      <c r="G238" s="2333" t="e">
        <f>#REF!+#REF!</f>
        <v>#REF!</v>
      </c>
      <c r="H238" s="2333" t="e">
        <f>#REF!+#REF!</f>
        <v>#REF!</v>
      </c>
      <c r="I238" s="2333" t="e">
        <f>#REF!+#REF!</f>
        <v>#REF!</v>
      </c>
      <c r="J238" s="2333" t="e">
        <f>#REF!+#REF!</f>
        <v>#REF!</v>
      </c>
      <c r="K238" s="2333" t="e">
        <f>#REF!+#REF!</f>
        <v>#REF!</v>
      </c>
      <c r="L238" s="2333" t="e">
        <f>#REF!+#REF!</f>
        <v>#REF!</v>
      </c>
      <c r="M238" s="2333" t="e">
        <f>#REF!+#REF!</f>
        <v>#REF!</v>
      </c>
      <c r="N238" s="2333" t="e">
        <f>#REF!+#REF!</f>
        <v>#REF!</v>
      </c>
      <c r="O238" s="2333" t="e">
        <f>#REF!+#REF!</f>
        <v>#REF!</v>
      </c>
      <c r="P238" s="2333" t="e">
        <f>#REF!+#REF!</f>
        <v>#REF!</v>
      </c>
      <c r="Q238" s="2333" t="e">
        <f>#REF!+#REF!</f>
        <v>#REF!</v>
      </c>
      <c r="R238" s="2333" t="e">
        <f>#REF!+#REF!</f>
        <v>#REF!</v>
      </c>
      <c r="S238" s="2333"/>
      <c r="T238" s="2333"/>
      <c r="U238" s="2333" t="e">
        <f>#REF!+#REF!</f>
        <v>#REF!</v>
      </c>
      <c r="V238" s="2333" t="e">
        <f>#REF!+#REF!</f>
        <v>#REF!</v>
      </c>
      <c r="W238" s="2333" t="e">
        <f>#REF!+#REF!</f>
        <v>#REF!</v>
      </c>
      <c r="X238" s="2333" t="e">
        <f>#REF!+#REF!</f>
        <v>#REF!</v>
      </c>
      <c r="Y238" s="2333" t="e">
        <f>#REF!+#REF!</f>
        <v>#REF!</v>
      </c>
      <c r="AA238" s="2292"/>
    </row>
    <row r="239" spans="2:27" s="2290" customFormat="1" hidden="1" x14ac:dyDescent="0.25">
      <c r="B239" s="2398">
        <v>985</v>
      </c>
      <c r="C239" s="2521"/>
      <c r="D239" s="2342"/>
      <c r="E239" s="2382"/>
      <c r="F239" s="2333" t="e">
        <f>F221+#REF!+#REF!+#REF!</f>
        <v>#REF!</v>
      </c>
      <c r="G239" s="2333" t="e">
        <f>G221+#REF!+#REF!+#REF!</f>
        <v>#REF!</v>
      </c>
      <c r="H239" s="2333" t="e">
        <f>H221+#REF!+#REF!+#REF!</f>
        <v>#REF!</v>
      </c>
      <c r="I239" s="2333" t="e">
        <f>I221+#REF!+#REF!+#REF!</f>
        <v>#REF!</v>
      </c>
      <c r="J239" s="2333" t="e">
        <f>J221+#REF!+#REF!+#REF!</f>
        <v>#REF!</v>
      </c>
      <c r="K239" s="2333" t="e">
        <f>K221+#REF!+#REF!+#REF!</f>
        <v>#REF!</v>
      </c>
      <c r="L239" s="2333" t="e">
        <f>L221+#REF!+#REF!+#REF!</f>
        <v>#REF!</v>
      </c>
      <c r="M239" s="2333" t="e">
        <f>M221+#REF!+#REF!+#REF!</f>
        <v>#REF!</v>
      </c>
      <c r="N239" s="2333" t="e">
        <f>N221+#REF!+#REF!+#REF!</f>
        <v>#REF!</v>
      </c>
      <c r="O239" s="2333" t="e">
        <f>O221+#REF!+#REF!+#REF!</f>
        <v>#REF!</v>
      </c>
      <c r="P239" s="2333" t="e">
        <f>P221+#REF!+#REF!+#REF!</f>
        <v>#REF!</v>
      </c>
      <c r="Q239" s="2333" t="e">
        <f>Q221+#REF!+#REF!+#REF!</f>
        <v>#REF!</v>
      </c>
      <c r="R239" s="2333" t="e">
        <f>R221+#REF!+#REF!+#REF!</f>
        <v>#REF!</v>
      </c>
      <c r="S239" s="2333"/>
      <c r="T239" s="2333"/>
      <c r="U239" s="2333" t="e">
        <f>U221+#REF!+#REF!+#REF!</f>
        <v>#REF!</v>
      </c>
      <c r="V239" s="2333" t="e">
        <f>V221+#REF!+#REF!+#REF!</f>
        <v>#REF!</v>
      </c>
      <c r="W239" s="2333" t="e">
        <f>W221+#REF!+#REF!+#REF!</f>
        <v>#REF!</v>
      </c>
      <c r="X239" s="2333" t="e">
        <f>X221+#REF!+#REF!+#REF!</f>
        <v>#REF!</v>
      </c>
      <c r="Y239" s="2333" t="e">
        <f>Y221+#REF!+#REF!+#REF!</f>
        <v>#REF!</v>
      </c>
      <c r="AA239" s="2292"/>
    </row>
    <row r="240" spans="2:27" s="2290" customFormat="1" hidden="1" x14ac:dyDescent="0.25">
      <c r="B240" s="2398">
        <v>986</v>
      </c>
      <c r="C240" s="2521"/>
      <c r="D240" s="2342"/>
      <c r="E240" s="2382"/>
      <c r="F240" s="2333" t="e">
        <f>#REF!</f>
        <v>#REF!</v>
      </c>
      <c r="G240" s="2333" t="e">
        <f>#REF!</f>
        <v>#REF!</v>
      </c>
      <c r="H240" s="2333" t="e">
        <f>#REF!</f>
        <v>#REF!</v>
      </c>
      <c r="I240" s="2333" t="e">
        <f>#REF!</f>
        <v>#REF!</v>
      </c>
      <c r="J240" s="2333" t="e">
        <f>#REF!</f>
        <v>#REF!</v>
      </c>
      <c r="K240" s="2333" t="e">
        <f>#REF!</f>
        <v>#REF!</v>
      </c>
      <c r="L240" s="2333" t="e">
        <f>#REF!</f>
        <v>#REF!</v>
      </c>
      <c r="M240" s="2333" t="e">
        <f>#REF!</f>
        <v>#REF!</v>
      </c>
      <c r="N240" s="2333" t="e">
        <f>#REF!</f>
        <v>#REF!</v>
      </c>
      <c r="O240" s="2333" t="e">
        <f>#REF!</f>
        <v>#REF!</v>
      </c>
      <c r="P240" s="2333" t="e">
        <f>#REF!</f>
        <v>#REF!</v>
      </c>
      <c r="Q240" s="2333" t="e">
        <f>#REF!</f>
        <v>#REF!</v>
      </c>
      <c r="R240" s="2333" t="e">
        <f>#REF!</f>
        <v>#REF!</v>
      </c>
      <c r="S240" s="2333"/>
      <c r="T240" s="2333"/>
      <c r="U240" s="2333" t="e">
        <f>#REF!</f>
        <v>#REF!</v>
      </c>
      <c r="V240" s="2333" t="e">
        <f>#REF!</f>
        <v>#REF!</v>
      </c>
      <c r="W240" s="2333" t="e">
        <f>#REF!</f>
        <v>#REF!</v>
      </c>
      <c r="X240" s="2333" t="e">
        <f>#REF!</f>
        <v>#REF!</v>
      </c>
      <c r="Y240" s="2333" t="e">
        <f>#REF!</f>
        <v>#REF!</v>
      </c>
      <c r="AA240" s="2292"/>
    </row>
    <row r="241" spans="2:27" s="2290" customFormat="1" hidden="1" x14ac:dyDescent="0.25">
      <c r="B241" s="2291"/>
      <c r="C241" s="2292"/>
      <c r="D241" s="2527"/>
      <c r="E241" s="2528"/>
      <c r="F241" s="2529" t="e">
        <f>SUM(F222:F240)</f>
        <v>#REF!</v>
      </c>
      <c r="G241" s="2529" t="e">
        <f t="shared" ref="G241:Y241" si="47">SUM(G222:G240)</f>
        <v>#REF!</v>
      </c>
      <c r="H241" s="2529" t="e">
        <f t="shared" si="47"/>
        <v>#REF!</v>
      </c>
      <c r="I241" s="2529" t="e">
        <f t="shared" si="47"/>
        <v>#REF!</v>
      </c>
      <c r="J241" s="2529" t="e">
        <f t="shared" si="47"/>
        <v>#REF!</v>
      </c>
      <c r="K241" s="2529" t="e">
        <f t="shared" si="47"/>
        <v>#REF!</v>
      </c>
      <c r="L241" s="2529" t="e">
        <f t="shared" si="47"/>
        <v>#REF!</v>
      </c>
      <c r="M241" s="2529" t="e">
        <f t="shared" si="47"/>
        <v>#REF!</v>
      </c>
      <c r="N241" s="2529" t="e">
        <f t="shared" si="47"/>
        <v>#REF!</v>
      </c>
      <c r="O241" s="2529" t="e">
        <f t="shared" si="47"/>
        <v>#REF!</v>
      </c>
      <c r="P241" s="2529" t="e">
        <f t="shared" si="47"/>
        <v>#REF!</v>
      </c>
      <c r="Q241" s="2529" t="e">
        <f t="shared" si="47"/>
        <v>#REF!</v>
      </c>
      <c r="R241" s="2529" t="e">
        <f>SUM(R222:R240)</f>
        <v>#REF!</v>
      </c>
      <c r="S241" s="2529"/>
      <c r="T241" s="2529"/>
      <c r="U241" s="2529" t="e">
        <f t="shared" si="47"/>
        <v>#REF!</v>
      </c>
      <c r="V241" s="2529" t="e">
        <f t="shared" si="47"/>
        <v>#REF!</v>
      </c>
      <c r="W241" s="2529" t="e">
        <f t="shared" si="47"/>
        <v>#REF!</v>
      </c>
      <c r="X241" s="2529" t="e">
        <f t="shared" si="47"/>
        <v>#REF!</v>
      </c>
      <c r="Y241" s="2529" t="e">
        <f t="shared" si="47"/>
        <v>#REF!</v>
      </c>
      <c r="AA241" s="2292"/>
    </row>
    <row r="242" spans="2:27" s="2290" customFormat="1" hidden="1" x14ac:dyDescent="0.25">
      <c r="B242" s="2291"/>
      <c r="C242" s="2292"/>
      <c r="D242" s="2527"/>
      <c r="E242" s="2528"/>
      <c r="F242" s="2529" t="e">
        <f>#REF!-F241</f>
        <v>#REF!</v>
      </c>
      <c r="G242" s="2529" t="e">
        <f>#REF!-G241</f>
        <v>#REF!</v>
      </c>
      <c r="H242" s="2529" t="e">
        <f>#REF!-H241</f>
        <v>#REF!</v>
      </c>
      <c r="I242" s="2529" t="e">
        <f>#REF!-I241</f>
        <v>#REF!</v>
      </c>
      <c r="J242" s="2529" t="e">
        <f>#REF!-J241</f>
        <v>#REF!</v>
      </c>
      <c r="K242" s="2529" t="e">
        <f>#REF!-K241</f>
        <v>#REF!</v>
      </c>
      <c r="L242" s="2529" t="e">
        <f>#REF!-L241</f>
        <v>#REF!</v>
      </c>
      <c r="M242" s="2529" t="e">
        <f>#REF!-M241</f>
        <v>#REF!</v>
      </c>
      <c r="N242" s="2529" t="e">
        <f>#REF!-N241</f>
        <v>#REF!</v>
      </c>
      <c r="O242" s="2529" t="e">
        <f>#REF!-O241</f>
        <v>#REF!</v>
      </c>
      <c r="P242" s="2529" t="e">
        <f>#REF!-P241</f>
        <v>#REF!</v>
      </c>
      <c r="Q242" s="2529" t="e">
        <f>#REF!-Q241</f>
        <v>#REF!</v>
      </c>
      <c r="R242" s="2529" t="e">
        <f>#REF!-R241</f>
        <v>#REF!</v>
      </c>
      <c r="S242" s="2529"/>
      <c r="T242" s="2529"/>
      <c r="U242" s="2529" t="e">
        <f>#REF!-U241</f>
        <v>#REF!</v>
      </c>
      <c r="V242" s="2529" t="e">
        <f>#REF!-V241</f>
        <v>#REF!</v>
      </c>
      <c r="W242" s="2529" t="e">
        <f>#REF!-W241</f>
        <v>#REF!</v>
      </c>
      <c r="X242" s="2529" t="e">
        <f>#REF!-X241</f>
        <v>#REF!</v>
      </c>
      <c r="Y242" s="2529" t="e">
        <f>#REF!-Y241</f>
        <v>#REF!</v>
      </c>
      <c r="AA242" s="2292"/>
    </row>
    <row r="243" spans="2:27" s="2290" customFormat="1" hidden="1" x14ac:dyDescent="0.25">
      <c r="B243" s="2291"/>
      <c r="C243" s="2292"/>
      <c r="D243" s="2527"/>
      <c r="E243" s="2528"/>
      <c r="F243" s="2527" t="e">
        <f>F242</f>
        <v>#REF!</v>
      </c>
      <c r="G243" s="2527"/>
      <c r="H243" s="2527"/>
      <c r="I243" s="2527"/>
      <c r="J243" s="2527"/>
      <c r="K243" s="2527"/>
      <c r="L243" s="2527"/>
      <c r="M243" s="2527"/>
      <c r="N243" s="2527"/>
      <c r="O243" s="2527"/>
      <c r="P243" s="2527"/>
      <c r="Q243" s="2527"/>
      <c r="R243" s="2527"/>
      <c r="S243" s="2527"/>
      <c r="T243" s="2527"/>
      <c r="U243" s="2527"/>
      <c r="V243" s="2527"/>
      <c r="W243" s="2527"/>
      <c r="X243" s="2527"/>
      <c r="Y243" s="2527"/>
      <c r="Z243" s="2527" t="e">
        <f>#REF!-Z242</f>
        <v>#REF!</v>
      </c>
      <c r="AA243" s="2292"/>
    </row>
    <row r="244" spans="2:27" x14ac:dyDescent="0.25">
      <c r="D244" s="2531"/>
      <c r="E244" s="2531"/>
      <c r="F244" s="2531"/>
      <c r="G244" s="2531"/>
      <c r="H244" s="2531"/>
      <c r="I244" s="2531"/>
      <c r="J244" s="2531"/>
      <c r="K244" s="2531"/>
      <c r="L244" s="2531"/>
      <c r="M244" s="2531"/>
      <c r="N244" s="2531"/>
      <c r="O244" s="2531"/>
      <c r="P244" s="2531"/>
      <c r="Q244" s="2531"/>
      <c r="R244" s="2531"/>
      <c r="S244" s="2531"/>
      <c r="T244" s="2531"/>
      <c r="U244" s="2531"/>
      <c r="V244" s="2531"/>
      <c r="W244" s="2531"/>
      <c r="X244" s="2531"/>
      <c r="Y244" s="2531"/>
      <c r="Z244" s="2531"/>
    </row>
    <row r="245" spans="2:27" x14ac:dyDescent="0.25">
      <c r="D245" s="2531"/>
      <c r="E245" s="2531"/>
      <c r="F245" s="2531"/>
      <c r="G245" s="2531"/>
      <c r="H245" s="2531"/>
      <c r="I245" s="2531"/>
      <c r="J245" s="2531"/>
      <c r="K245" s="2531"/>
      <c r="L245" s="2531"/>
      <c r="M245" s="2531"/>
      <c r="N245" s="2531"/>
      <c r="O245" s="2531"/>
      <c r="P245" s="2531"/>
      <c r="Q245" s="2531"/>
      <c r="R245" s="2531"/>
      <c r="S245" s="2531"/>
      <c r="T245" s="2531"/>
      <c r="U245" s="2531"/>
      <c r="V245" s="2531"/>
      <c r="W245" s="2531"/>
      <c r="X245" s="2531"/>
      <c r="Y245" s="2531"/>
      <c r="Z245" s="2531"/>
    </row>
    <row r="252" spans="2:27" x14ac:dyDescent="0.25">
      <c r="T252" s="2532"/>
    </row>
  </sheetData>
  <autoFilter ref="A10:XEJ207">
    <filterColumn colId="1">
      <filters>
        <filter val="966"/>
      </filters>
    </filterColumn>
  </autoFilter>
  <mergeCells count="54">
    <mergeCell ref="A5:A9"/>
    <mergeCell ref="B5:B9"/>
    <mergeCell ref="C5:C9"/>
    <mergeCell ref="D5:G6"/>
    <mergeCell ref="H5:O5"/>
    <mergeCell ref="D7:D9"/>
    <mergeCell ref="E7:E9"/>
    <mergeCell ref="F7:G7"/>
    <mergeCell ref="L7:L9"/>
    <mergeCell ref="V5:W6"/>
    <mergeCell ref="X5:X6"/>
    <mergeCell ref="Y5:Y6"/>
    <mergeCell ref="Z5:Z9"/>
    <mergeCell ref="H6:K6"/>
    <mergeCell ref="L6:O6"/>
    <mergeCell ref="P6:U6"/>
    <mergeCell ref="H7:H9"/>
    <mergeCell ref="I7:I9"/>
    <mergeCell ref="J7:K7"/>
    <mergeCell ref="P5:U5"/>
    <mergeCell ref="M7:M9"/>
    <mergeCell ref="N7:O7"/>
    <mergeCell ref="P7:P9"/>
    <mergeCell ref="Q7:Q9"/>
    <mergeCell ref="R7:U7"/>
    <mergeCell ref="Z65:Z66"/>
    <mergeCell ref="W7:W9"/>
    <mergeCell ref="X7:Y7"/>
    <mergeCell ref="R8:R9"/>
    <mergeCell ref="S8:T8"/>
    <mergeCell ref="U8:U9"/>
    <mergeCell ref="X9:Y9"/>
    <mergeCell ref="V7:V9"/>
    <mergeCell ref="Z196:Z201"/>
    <mergeCell ref="F209:G209"/>
    <mergeCell ref="J209:K209"/>
    <mergeCell ref="N209:O209"/>
    <mergeCell ref="R209:U209"/>
    <mergeCell ref="A2:Z2"/>
    <mergeCell ref="A3:Z3"/>
    <mergeCell ref="Z175:Z182"/>
    <mergeCell ref="Z183:Z188"/>
    <mergeCell ref="Z189:Z195"/>
    <mergeCell ref="Z75:Z76"/>
    <mergeCell ref="Z102:Z103"/>
    <mergeCell ref="Z104:Z105"/>
    <mergeCell ref="Z109:Z112"/>
    <mergeCell ref="Z115:Z119"/>
    <mergeCell ref="Z157:Z160"/>
    <mergeCell ref="A11:Y11"/>
    <mergeCell ref="A12:Y12"/>
    <mergeCell ref="Z50:Z53"/>
    <mergeCell ref="Z55:Z57"/>
    <mergeCell ref="Z58:Z61"/>
  </mergeCells>
  <pageMargins left="0.70866141732283472" right="0.70866141732283472" top="0.74803149606299213" bottom="0.74803149606299213" header="0.31496062992125984" footer="0.31496062992125984"/>
  <pageSetup paperSize="9" scale="28" orientation="portrait" r:id="rId1"/>
  <rowBreaks count="2" manualBreakCount="2">
    <brk id="25" max="23" man="1"/>
    <brk id="128" min="16" max="2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tabColor rgb="FF00B0F0"/>
  </sheetPr>
  <dimension ref="A1:AP74"/>
  <sheetViews>
    <sheetView view="pageBreakPreview" zoomScale="80" zoomScaleNormal="80" zoomScaleSheetLayoutView="80" workbookViewId="0">
      <pane xSplit="3" ySplit="8" topLeftCell="O21"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8" style="33" customWidth="1"/>
    <col min="2" max="2" width="30.83203125" style="22" customWidth="1"/>
    <col min="3" max="3" width="13.83203125" style="22" customWidth="1"/>
    <col min="4" max="4" width="13.1640625" style="22" customWidth="1"/>
    <col min="5" max="5" width="13" style="22" customWidth="1"/>
    <col min="6" max="6" width="14.6640625" style="22" customWidth="1"/>
    <col min="7" max="7" width="13.1640625" style="22" customWidth="1"/>
    <col min="8" max="8" width="15.6640625" style="22" customWidth="1"/>
    <col min="9" max="9" width="13.5" style="22" customWidth="1"/>
    <col min="10" max="10" width="20.33203125" style="22" customWidth="1"/>
    <col min="11" max="11" width="13" style="22" customWidth="1"/>
    <col min="12" max="16" width="14.83203125" style="22" customWidth="1"/>
    <col min="17" max="17" width="12.33203125" style="22" customWidth="1"/>
    <col min="18" max="18" width="13" style="22" customWidth="1"/>
    <col min="19" max="19" width="18.1640625" style="22" customWidth="1"/>
    <col min="20" max="20" width="14.83203125" style="22" customWidth="1"/>
    <col min="21" max="21" width="14" style="22" customWidth="1"/>
    <col min="22" max="22" width="15.6640625" style="22" customWidth="1"/>
    <col min="23" max="23" width="14.5" style="22" customWidth="1"/>
    <col min="24" max="24" width="11.33203125" style="22" customWidth="1"/>
    <col min="25" max="25" width="11" style="22" customWidth="1"/>
    <col min="26" max="26" width="11.5" style="22" customWidth="1"/>
    <col min="27" max="28" width="9.33203125" style="22" customWidth="1"/>
    <col min="29" max="29" width="10.1640625" style="22" customWidth="1"/>
    <col min="30" max="30" width="8.5" style="22" customWidth="1"/>
    <col min="31" max="31" width="10.83203125" style="22" customWidth="1"/>
    <col min="32" max="32" width="10.33203125" style="22" customWidth="1"/>
    <col min="33" max="33" width="11.5" style="22" customWidth="1"/>
    <col min="34" max="34" width="13.83203125" style="22" customWidth="1"/>
    <col min="35" max="35" width="12" style="34" customWidth="1"/>
    <col min="36" max="36" width="17.83203125" style="22" customWidth="1"/>
    <col min="37" max="37" width="14" style="22" bestFit="1" customWidth="1"/>
    <col min="38" max="39" width="9.5" style="22" bestFit="1" customWidth="1"/>
    <col min="40" max="40" width="11.5" style="22" bestFit="1" customWidth="1"/>
    <col min="41" max="41" width="9.33203125" style="22"/>
    <col min="42" max="42" width="9.5" style="22" bestFit="1" customWidth="1"/>
    <col min="43" max="16384" width="9.33203125" style="22"/>
  </cols>
  <sheetData>
    <row r="1" spans="1:42" ht="21.75" customHeight="1" x14ac:dyDescent="0.2">
      <c r="AE1" s="3180"/>
      <c r="AF1" s="3180"/>
      <c r="AG1" s="3180"/>
      <c r="AH1" s="3180"/>
    </row>
    <row r="2" spans="1:42" ht="33" customHeight="1" x14ac:dyDescent="0.2">
      <c r="A2" s="3181" t="s">
        <v>137</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2"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37"/>
    </row>
    <row r="4" spans="1:42" x14ac:dyDescent="0.2">
      <c r="L4" s="38">
        <v>0.32216</v>
      </c>
      <c r="O4" s="39"/>
      <c r="P4" s="39"/>
    </row>
    <row r="5" spans="1:42" ht="38.25" customHeight="1" x14ac:dyDescent="0.2">
      <c r="A5" s="3183" t="s">
        <v>78</v>
      </c>
      <c r="B5" s="3183"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2" ht="60" customHeight="1" x14ac:dyDescent="0.2">
      <c r="A6" s="3183"/>
      <c r="B6" s="3183"/>
      <c r="C6" s="3184"/>
      <c r="D6" s="3185" t="s">
        <v>79</v>
      </c>
      <c r="E6" s="3185" t="s">
        <v>69</v>
      </c>
      <c r="F6" s="3185" t="s">
        <v>89</v>
      </c>
      <c r="G6" s="3185" t="s">
        <v>1</v>
      </c>
      <c r="H6" s="3185" t="s">
        <v>2</v>
      </c>
      <c r="I6" s="3185" t="s">
        <v>70</v>
      </c>
      <c r="J6" s="3185" t="s">
        <v>61</v>
      </c>
      <c r="K6" s="3185" t="s">
        <v>27</v>
      </c>
      <c r="L6" s="3186" t="s">
        <v>65</v>
      </c>
      <c r="M6" s="3186" t="s">
        <v>86</v>
      </c>
      <c r="N6" s="3187" t="s">
        <v>90</v>
      </c>
      <c r="O6" s="3187"/>
      <c r="P6" s="3187" t="s">
        <v>88</v>
      </c>
      <c r="Q6" s="3186" t="s">
        <v>82</v>
      </c>
      <c r="R6" s="3185" t="s">
        <v>83</v>
      </c>
      <c r="S6" s="3186"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2" ht="57" customHeight="1" x14ac:dyDescent="0.2">
      <c r="A7" s="3183"/>
      <c r="B7" s="3183"/>
      <c r="C7" s="3184"/>
      <c r="D7" s="3185"/>
      <c r="E7" s="3185"/>
      <c r="F7" s="3185"/>
      <c r="G7" s="3185"/>
      <c r="H7" s="3185"/>
      <c r="I7" s="3185"/>
      <c r="J7" s="3185"/>
      <c r="K7" s="3185"/>
      <c r="L7" s="3186" t="s">
        <v>66</v>
      </c>
      <c r="M7" s="3186"/>
      <c r="N7" s="41" t="s">
        <v>80</v>
      </c>
      <c r="O7" s="41" t="s">
        <v>81</v>
      </c>
      <c r="P7" s="3187"/>
      <c r="Q7" s="3186"/>
      <c r="R7" s="3185"/>
      <c r="S7" s="3186" t="s">
        <v>67</v>
      </c>
      <c r="T7" s="3185"/>
      <c r="U7" s="3185"/>
      <c r="V7" s="3185"/>
      <c r="W7" s="3185"/>
      <c r="X7" s="42" t="s">
        <v>5</v>
      </c>
      <c r="Y7" s="42" t="s">
        <v>6</v>
      </c>
      <c r="Z7" s="42" t="s">
        <v>74</v>
      </c>
      <c r="AA7" s="42" t="s">
        <v>5</v>
      </c>
      <c r="AB7" s="42" t="s">
        <v>6</v>
      </c>
      <c r="AC7" s="42" t="s">
        <v>75</v>
      </c>
      <c r="AD7" s="42" t="s">
        <v>5</v>
      </c>
      <c r="AE7" s="42" t="s">
        <v>6</v>
      </c>
      <c r="AF7" s="42" t="s">
        <v>76</v>
      </c>
      <c r="AG7" s="3184"/>
      <c r="AH7" s="3184"/>
      <c r="AJ7" s="33" t="s">
        <v>64</v>
      </c>
    </row>
    <row r="8" spans="1:42" ht="12.75" customHeight="1" x14ac:dyDescent="0.2">
      <c r="A8" s="23">
        <v>1</v>
      </c>
      <c r="B8" s="23">
        <v>2</v>
      </c>
      <c r="C8" s="23">
        <v>3</v>
      </c>
      <c r="D8" s="23">
        <v>4</v>
      </c>
      <c r="E8" s="23">
        <v>5</v>
      </c>
      <c r="F8" s="23">
        <v>6</v>
      </c>
      <c r="G8" s="23">
        <v>7</v>
      </c>
      <c r="H8" s="23">
        <v>8</v>
      </c>
      <c r="I8" s="23">
        <v>9</v>
      </c>
      <c r="J8" s="23">
        <v>10</v>
      </c>
      <c r="K8" s="23">
        <v>11</v>
      </c>
      <c r="L8" s="23">
        <v>12</v>
      </c>
      <c r="M8" s="23">
        <v>13</v>
      </c>
      <c r="N8" s="23">
        <v>14</v>
      </c>
      <c r="O8" s="23">
        <v>15</v>
      </c>
      <c r="P8" s="23">
        <v>16</v>
      </c>
      <c r="Q8" s="23">
        <v>17</v>
      </c>
      <c r="R8" s="23">
        <v>18</v>
      </c>
      <c r="S8" s="23">
        <v>19</v>
      </c>
      <c r="T8" s="23">
        <v>20</v>
      </c>
      <c r="U8" s="23">
        <v>21</v>
      </c>
      <c r="V8" s="23">
        <v>22</v>
      </c>
      <c r="W8" s="23">
        <v>23</v>
      </c>
      <c r="X8" s="23">
        <v>24</v>
      </c>
      <c r="Y8" s="23">
        <v>25</v>
      </c>
      <c r="Z8" s="23">
        <v>26</v>
      </c>
      <c r="AA8" s="23">
        <v>27</v>
      </c>
      <c r="AB8" s="23">
        <v>28</v>
      </c>
      <c r="AC8" s="23">
        <v>29</v>
      </c>
      <c r="AD8" s="23">
        <v>30</v>
      </c>
      <c r="AE8" s="23">
        <v>31</v>
      </c>
      <c r="AF8" s="23">
        <v>32</v>
      </c>
      <c r="AG8" s="23">
        <v>33</v>
      </c>
      <c r="AH8" s="23">
        <v>34</v>
      </c>
      <c r="AK8" s="43" t="s">
        <v>116</v>
      </c>
      <c r="AL8" s="43" t="s">
        <v>117</v>
      </c>
      <c r="AM8" s="43" t="s">
        <v>118</v>
      </c>
      <c r="AN8" s="43" t="s">
        <v>119</v>
      </c>
    </row>
    <row r="9" spans="1:42" ht="27" customHeight="1" x14ac:dyDescent="0.2">
      <c r="A9" s="23">
        <v>1</v>
      </c>
      <c r="B9" s="44" t="s">
        <v>21</v>
      </c>
      <c r="C9" s="23">
        <v>1</v>
      </c>
      <c r="D9" s="45">
        <v>21.991</v>
      </c>
      <c r="E9" s="46">
        <f>C9*D9</f>
        <v>21.99</v>
      </c>
      <c r="F9" s="47">
        <f>E9*12</f>
        <v>263.89999999999998</v>
      </c>
      <c r="G9" s="24"/>
      <c r="H9" s="24"/>
      <c r="I9" s="24"/>
      <c r="J9" s="24"/>
      <c r="K9" s="24">
        <f>D9*0.3*12+0.05*9</f>
        <v>79.599999999999994</v>
      </c>
      <c r="L9" s="24">
        <f>F9*$L$4</f>
        <v>85</v>
      </c>
      <c r="M9" s="24">
        <f t="shared" ref="M9:M27" si="0">F9+G9+H9+I9+J9+K9+L9</f>
        <v>428.5</v>
      </c>
      <c r="N9" s="48">
        <v>1.1100000000000001</v>
      </c>
      <c r="O9" s="24">
        <f t="shared" ref="O9:O27" si="1">M9*N9</f>
        <v>475.6</v>
      </c>
      <c r="P9" s="24">
        <f>M9+O9</f>
        <v>904.1</v>
      </c>
      <c r="Q9" s="24">
        <f>P9*0.8</f>
        <v>723.3</v>
      </c>
      <c r="R9" s="24">
        <f t="shared" ref="R9:R27" si="2">P9*0.8</f>
        <v>723.3</v>
      </c>
      <c r="S9" s="24">
        <f>(P9+Q9+R9)*0.032</f>
        <v>75.2</v>
      </c>
      <c r="T9" s="49">
        <f t="shared" ref="T9:T27" si="3">P9+Q9+R9+S9</f>
        <v>2425.9</v>
      </c>
      <c r="U9" s="3192">
        <v>1</v>
      </c>
      <c r="V9" s="49">
        <f>T9*$U$9</f>
        <v>2425.9</v>
      </c>
      <c r="W9" s="49">
        <f>AN9</f>
        <v>534.29999999999995</v>
      </c>
      <c r="X9" s="23">
        <v>1</v>
      </c>
      <c r="Y9" s="24">
        <v>30</v>
      </c>
      <c r="Z9" s="48">
        <f t="shared" ref="Z9:Z25" si="4">X9*Y9</f>
        <v>30</v>
      </c>
      <c r="AA9" s="23"/>
      <c r="AB9" s="24">
        <v>15</v>
      </c>
      <c r="AC9" s="48">
        <f t="shared" ref="AC9:AC25" si="5">AA9*AB9</f>
        <v>0</v>
      </c>
      <c r="AD9" s="23"/>
      <c r="AE9" s="24">
        <v>30</v>
      </c>
      <c r="AF9" s="48">
        <f t="shared" ref="AF9:AF25" si="6">AD9*AE9</f>
        <v>0</v>
      </c>
      <c r="AG9" s="48">
        <f t="shared" ref="AG9:AG25" si="7">(Z9+AC9+AF9)*1%*30</f>
        <v>9</v>
      </c>
      <c r="AH9" s="48">
        <f t="shared" ref="AH9:AH25" si="8">Z9+AC9+AF9+AG9</f>
        <v>39</v>
      </c>
      <c r="AI9" s="34">
        <f t="shared" ref="AI9:AI27" si="9">V9/12/C9*1000</f>
        <v>202158.3</v>
      </c>
      <c r="AJ9" s="34">
        <f t="shared" ref="AJ9:AJ27" si="10">V9/C9</f>
        <v>2425.9</v>
      </c>
      <c r="AK9" s="50">
        <f>1150*0.22*C9+(V9-1150*C9)*0.1</f>
        <v>380.6</v>
      </c>
      <c r="AL9" s="50">
        <f>865*0.029*C9</f>
        <v>25.1</v>
      </c>
      <c r="AM9" s="50">
        <f t="shared" ref="AM9:AM27" si="11">V9*0.053</f>
        <v>128.6</v>
      </c>
      <c r="AN9" s="50">
        <f>SUM(AK9:AM9)</f>
        <v>534.29999999999995</v>
      </c>
      <c r="AP9" s="51"/>
    </row>
    <row r="10" spans="1:42" ht="27" customHeight="1" x14ac:dyDescent="0.2">
      <c r="A10" s="23">
        <v>2</v>
      </c>
      <c r="B10" s="44" t="s">
        <v>125</v>
      </c>
      <c r="C10" s="23">
        <v>3</v>
      </c>
      <c r="D10" s="45">
        <v>15.394</v>
      </c>
      <c r="E10" s="46">
        <f>C10*D10</f>
        <v>46.18</v>
      </c>
      <c r="F10" s="47">
        <f>E10*12</f>
        <v>554.20000000000005</v>
      </c>
      <c r="G10" s="24"/>
      <c r="H10" s="24"/>
      <c r="I10" s="24"/>
      <c r="J10" s="24"/>
      <c r="K10" s="24">
        <f>D10*0.2*2*12+D10*0.4*12+D10*0.05*3</f>
        <v>150.1</v>
      </c>
      <c r="L10" s="24">
        <f t="shared" ref="L10:L25" si="12">F10*$L$4</f>
        <v>178.5</v>
      </c>
      <c r="M10" s="24">
        <f>F10+G10+H10+I10+J10+K10+L10</f>
        <v>882.8</v>
      </c>
      <c r="N10" s="48">
        <v>0.47</v>
      </c>
      <c r="O10" s="24">
        <f>M10*N10</f>
        <v>414.9</v>
      </c>
      <c r="P10" s="24">
        <f>M10+O10</f>
        <v>1297.7</v>
      </c>
      <c r="Q10" s="24">
        <f>P10*0.8</f>
        <v>1038.2</v>
      </c>
      <c r="R10" s="24">
        <f>P10*0.8</f>
        <v>1038.2</v>
      </c>
      <c r="S10" s="24">
        <f>(P10+Q10+R10)*0.032</f>
        <v>108</v>
      </c>
      <c r="T10" s="49">
        <f>P10+Q10+R10+S10</f>
        <v>3482.1</v>
      </c>
      <c r="U10" s="3193"/>
      <c r="V10" s="49">
        <f>T10*$U$9</f>
        <v>3482.1</v>
      </c>
      <c r="W10" s="49">
        <f>AN10</f>
        <v>1022.1</v>
      </c>
      <c r="X10" s="23">
        <v>2</v>
      </c>
      <c r="Y10" s="24">
        <v>30</v>
      </c>
      <c r="Z10" s="48">
        <f>X10*Y10</f>
        <v>60</v>
      </c>
      <c r="AA10" s="23">
        <v>1</v>
      </c>
      <c r="AB10" s="24">
        <v>15</v>
      </c>
      <c r="AC10" s="48">
        <f>AA10*AB10</f>
        <v>15</v>
      </c>
      <c r="AD10" s="23">
        <v>3</v>
      </c>
      <c r="AE10" s="24">
        <v>30</v>
      </c>
      <c r="AF10" s="48">
        <f>AD10*AE10</f>
        <v>90</v>
      </c>
      <c r="AG10" s="48">
        <f>(Z10+AC10+AF10)*1%*30</f>
        <v>49.5</v>
      </c>
      <c r="AH10" s="48">
        <f>Z10+AC10+AF10+AG10</f>
        <v>214.5</v>
      </c>
      <c r="AI10" s="34">
        <f t="shared" si="9"/>
        <v>96725</v>
      </c>
      <c r="AJ10" s="34">
        <f t="shared" si="10"/>
        <v>1160.7</v>
      </c>
      <c r="AK10" s="50">
        <f>1150*0.22*C10+(V10-1150*C10)*0.1</f>
        <v>762.2</v>
      </c>
      <c r="AL10" s="50">
        <f>865*0.029*C10</f>
        <v>75.3</v>
      </c>
      <c r="AM10" s="50">
        <f t="shared" ref="AM10" si="13">V10*0.053</f>
        <v>184.6</v>
      </c>
      <c r="AN10" s="50">
        <f>SUM(AK10:AM10)</f>
        <v>1022.1</v>
      </c>
      <c r="AP10" s="51"/>
    </row>
    <row r="11" spans="1:42" ht="27" customHeight="1" x14ac:dyDescent="0.2">
      <c r="A11" s="23">
        <v>3</v>
      </c>
      <c r="B11" s="52" t="s">
        <v>23</v>
      </c>
      <c r="C11" s="23">
        <v>7</v>
      </c>
      <c r="D11" s="53">
        <v>11.061999999999999</v>
      </c>
      <c r="E11" s="46">
        <f t="shared" ref="E11:E27" si="14">C11*D11</f>
        <v>77.430000000000007</v>
      </c>
      <c r="F11" s="47">
        <f t="shared" ref="F11:F27" si="15">E11*12</f>
        <v>929.2</v>
      </c>
      <c r="G11" s="24"/>
      <c r="H11" s="24">
        <f>(6470.9+1198.32)/1000</f>
        <v>7.7</v>
      </c>
      <c r="I11" s="24"/>
      <c r="J11" s="24"/>
      <c r="K11" s="24">
        <f>D11*0.25*12+D11*0.35*12+D11*0.4*4*12</f>
        <v>292</v>
      </c>
      <c r="L11" s="24">
        <f t="shared" si="12"/>
        <v>299.39999999999998</v>
      </c>
      <c r="M11" s="24">
        <f t="shared" si="0"/>
        <v>1528.3</v>
      </c>
      <c r="N11" s="48">
        <v>0.43</v>
      </c>
      <c r="O11" s="24">
        <f t="shared" si="1"/>
        <v>657.2</v>
      </c>
      <c r="P11" s="24">
        <f t="shared" ref="P11:P27" si="16">M11+O11</f>
        <v>2185.5</v>
      </c>
      <c r="Q11" s="24">
        <f t="shared" ref="Q11:Q27" si="17">P11*0.8</f>
        <v>1748.4</v>
      </c>
      <c r="R11" s="24">
        <f t="shared" si="2"/>
        <v>1748.4</v>
      </c>
      <c r="S11" s="24">
        <f t="shared" ref="S11:S27" si="18">(P11+Q11+R11)*0.032</f>
        <v>181.8</v>
      </c>
      <c r="T11" s="49">
        <f t="shared" si="3"/>
        <v>5864.1</v>
      </c>
      <c r="U11" s="3193"/>
      <c r="V11" s="49">
        <f t="shared" ref="V11:V25" si="19">T11*$U$9</f>
        <v>5864.1</v>
      </c>
      <c r="W11" s="49">
        <f>V11*0.302</f>
        <v>1771</v>
      </c>
      <c r="X11" s="23">
        <v>2</v>
      </c>
      <c r="Y11" s="24">
        <v>30</v>
      </c>
      <c r="Z11" s="48">
        <f t="shared" si="4"/>
        <v>60</v>
      </c>
      <c r="AA11" s="23">
        <v>3</v>
      </c>
      <c r="AB11" s="24">
        <v>15</v>
      </c>
      <c r="AC11" s="48">
        <f t="shared" si="5"/>
        <v>45</v>
      </c>
      <c r="AD11" s="23"/>
      <c r="AE11" s="24">
        <v>30</v>
      </c>
      <c r="AF11" s="48">
        <f t="shared" si="6"/>
        <v>0</v>
      </c>
      <c r="AG11" s="48">
        <f>(Z11+AC11+AF11)*1%*30</f>
        <v>31.5</v>
      </c>
      <c r="AH11" s="48">
        <f t="shared" si="8"/>
        <v>136.5</v>
      </c>
      <c r="AI11" s="34">
        <f t="shared" si="9"/>
        <v>69810.7</v>
      </c>
      <c r="AJ11" s="34">
        <f t="shared" si="10"/>
        <v>837.7</v>
      </c>
      <c r="AK11" s="50">
        <f t="shared" ref="AK11:AK27" si="20">V11*0.22</f>
        <v>1290.0999999999999</v>
      </c>
      <c r="AL11" s="50">
        <f>865*0.029*C11</f>
        <v>175.6</v>
      </c>
      <c r="AM11" s="50">
        <f t="shared" si="11"/>
        <v>310.8</v>
      </c>
      <c r="AN11" s="50">
        <f t="shared" ref="AN11:AN27" si="21">SUM(AK11:AM11)</f>
        <v>1776.5</v>
      </c>
      <c r="AP11" s="51"/>
    </row>
    <row r="12" spans="1:42" ht="27" customHeight="1" x14ac:dyDescent="0.2">
      <c r="A12" s="23">
        <v>4</v>
      </c>
      <c r="B12" s="52" t="s">
        <v>134</v>
      </c>
      <c r="C12" s="23">
        <v>1</v>
      </c>
      <c r="D12" s="53">
        <v>11.061999999999999</v>
      </c>
      <c r="E12" s="46">
        <f t="shared" ref="E12" si="22">C12*D12</f>
        <v>11.06</v>
      </c>
      <c r="F12" s="47">
        <f t="shared" ref="F12" si="23">E12*12</f>
        <v>132.69999999999999</v>
      </c>
      <c r="G12" s="24"/>
      <c r="H12" s="24">
        <f>1078.5/1000</f>
        <v>1.1000000000000001</v>
      </c>
      <c r="I12" s="24"/>
      <c r="J12" s="24"/>
      <c r="K12" s="24"/>
      <c r="L12" s="24">
        <f t="shared" ref="L12" si="24">F12*$L$4</f>
        <v>42.8</v>
      </c>
      <c r="M12" s="24">
        <f t="shared" ref="M12" si="25">F12+G12+H12+I12+J12+K12+L12</f>
        <v>176.6</v>
      </c>
      <c r="N12" s="48">
        <v>0.43</v>
      </c>
      <c r="O12" s="24">
        <f t="shared" ref="O12" si="26">M12*N12</f>
        <v>75.900000000000006</v>
      </c>
      <c r="P12" s="24">
        <f t="shared" ref="P12" si="27">M12+O12</f>
        <v>252.5</v>
      </c>
      <c r="Q12" s="24">
        <f t="shared" ref="Q12" si="28">P12*0.8</f>
        <v>202</v>
      </c>
      <c r="R12" s="24">
        <f t="shared" ref="R12" si="29">P12*0.8</f>
        <v>202</v>
      </c>
      <c r="S12" s="24">
        <f t="shared" ref="S12" si="30">(P12+Q12+R12)*0.032</f>
        <v>21</v>
      </c>
      <c r="T12" s="49">
        <f t="shared" ref="T12" si="31">P12+Q12+R12+S12</f>
        <v>677.5</v>
      </c>
      <c r="U12" s="3193"/>
      <c r="V12" s="49">
        <f t="shared" ref="V12" si="32">T12*$U$9</f>
        <v>677.5</v>
      </c>
      <c r="W12" s="49">
        <f t="shared" ref="W12:W26" si="33">V12*0.302</f>
        <v>204.6</v>
      </c>
      <c r="X12" s="23"/>
      <c r="Y12" s="24">
        <v>30</v>
      </c>
      <c r="Z12" s="48">
        <f t="shared" ref="Z12" si="34">X12*Y12</f>
        <v>0</v>
      </c>
      <c r="AA12" s="23"/>
      <c r="AB12" s="24">
        <v>15</v>
      </c>
      <c r="AC12" s="48">
        <f t="shared" ref="AC12" si="35">AA12*AB12</f>
        <v>0</v>
      </c>
      <c r="AD12" s="23"/>
      <c r="AE12" s="24">
        <v>30</v>
      </c>
      <c r="AF12" s="48">
        <f t="shared" ref="AF12" si="36">AD12*AE12</f>
        <v>0</v>
      </c>
      <c r="AG12" s="48">
        <f>(Z12+AC12+AF12)*1%*30</f>
        <v>0</v>
      </c>
      <c r="AH12" s="48">
        <f t="shared" ref="AH12" si="37">Z12+AC12+AF12+AG12</f>
        <v>0</v>
      </c>
      <c r="AI12" s="34">
        <f t="shared" si="9"/>
        <v>56458.3</v>
      </c>
      <c r="AJ12" s="34">
        <f t="shared" si="10"/>
        <v>677.5</v>
      </c>
      <c r="AK12" s="50">
        <f t="shared" si="20"/>
        <v>149.1</v>
      </c>
      <c r="AL12" s="50">
        <f t="shared" ref="AL12:AL27" si="38">912*0.029*C12</f>
        <v>26.4</v>
      </c>
      <c r="AM12" s="50">
        <f t="shared" si="11"/>
        <v>35.9</v>
      </c>
      <c r="AN12" s="50">
        <f t="shared" si="21"/>
        <v>211.4</v>
      </c>
      <c r="AP12" s="51"/>
    </row>
    <row r="13" spans="1:42" ht="27" customHeight="1" x14ac:dyDescent="0.2">
      <c r="A13" s="23">
        <v>5</v>
      </c>
      <c r="B13" s="52" t="s">
        <v>17</v>
      </c>
      <c r="C13" s="23">
        <v>1</v>
      </c>
      <c r="D13" s="53">
        <v>12.335000000000001</v>
      </c>
      <c r="E13" s="46">
        <f t="shared" si="14"/>
        <v>12.34</v>
      </c>
      <c r="F13" s="47">
        <f t="shared" si="15"/>
        <v>148.1</v>
      </c>
      <c r="G13" s="24"/>
      <c r="H13" s="24">
        <f>1202.6/1000</f>
        <v>1.2</v>
      </c>
      <c r="I13" s="24"/>
      <c r="J13" s="24"/>
      <c r="K13" s="24">
        <f>F13*0.4</f>
        <v>59.2</v>
      </c>
      <c r="L13" s="24">
        <f t="shared" si="12"/>
        <v>47.7</v>
      </c>
      <c r="M13" s="24">
        <f t="shared" si="0"/>
        <v>256.2</v>
      </c>
      <c r="N13" s="48">
        <v>0.47</v>
      </c>
      <c r="O13" s="24">
        <f t="shared" si="1"/>
        <v>120.4</v>
      </c>
      <c r="P13" s="24">
        <f t="shared" si="16"/>
        <v>376.6</v>
      </c>
      <c r="Q13" s="24">
        <f t="shared" si="17"/>
        <v>301.3</v>
      </c>
      <c r="R13" s="24">
        <f t="shared" si="2"/>
        <v>301.3</v>
      </c>
      <c r="S13" s="24">
        <f t="shared" si="18"/>
        <v>31.3</v>
      </c>
      <c r="T13" s="49">
        <f t="shared" si="3"/>
        <v>1010.5</v>
      </c>
      <c r="U13" s="3193"/>
      <c r="V13" s="49">
        <f t="shared" si="19"/>
        <v>1010.5</v>
      </c>
      <c r="W13" s="49">
        <f>AN13</f>
        <v>301</v>
      </c>
      <c r="X13" s="23">
        <v>1</v>
      </c>
      <c r="Y13" s="24">
        <v>30</v>
      </c>
      <c r="Z13" s="48">
        <f t="shared" si="4"/>
        <v>30</v>
      </c>
      <c r="AA13" s="23">
        <v>1</v>
      </c>
      <c r="AB13" s="24">
        <v>15</v>
      </c>
      <c r="AC13" s="48">
        <f t="shared" si="5"/>
        <v>15</v>
      </c>
      <c r="AD13" s="23">
        <v>1</v>
      </c>
      <c r="AE13" s="24">
        <v>30</v>
      </c>
      <c r="AF13" s="48">
        <f t="shared" si="6"/>
        <v>30</v>
      </c>
      <c r="AG13" s="48">
        <f t="shared" si="7"/>
        <v>22.5</v>
      </c>
      <c r="AH13" s="48">
        <f t="shared" si="8"/>
        <v>97.5</v>
      </c>
      <c r="AI13" s="34">
        <f t="shared" si="9"/>
        <v>84208.3</v>
      </c>
      <c r="AJ13" s="34">
        <f t="shared" si="10"/>
        <v>1010.5</v>
      </c>
      <c r="AK13" s="50">
        <f t="shared" ref="AK13" si="39">V13*0.22</f>
        <v>222.3</v>
      </c>
      <c r="AL13" s="50">
        <f>865*0.029*C13</f>
        <v>25.1</v>
      </c>
      <c r="AM13" s="50">
        <f t="shared" ref="AM13" si="40">V13*0.053</f>
        <v>53.6</v>
      </c>
      <c r="AN13" s="50">
        <f t="shared" ref="AN13" si="41">SUM(AK13:AM13)</f>
        <v>301</v>
      </c>
      <c r="AP13" s="51"/>
    </row>
    <row r="14" spans="1:42" ht="34.5" customHeight="1" x14ac:dyDescent="0.2">
      <c r="A14" s="23">
        <v>6</v>
      </c>
      <c r="B14" s="52" t="s">
        <v>129</v>
      </c>
      <c r="C14" s="54">
        <v>1</v>
      </c>
      <c r="D14" s="53">
        <v>8.4730000000000008</v>
      </c>
      <c r="E14" s="46">
        <f>C14*D14</f>
        <v>8.4700000000000006</v>
      </c>
      <c r="F14" s="47">
        <f>E14*11</f>
        <v>93.2</v>
      </c>
      <c r="G14" s="24"/>
      <c r="H14" s="24">
        <f>826.1/1000</f>
        <v>0.8</v>
      </c>
      <c r="I14" s="24"/>
      <c r="J14" s="24"/>
      <c r="K14" s="24">
        <f>F14*0.2</f>
        <v>18.600000000000001</v>
      </c>
      <c r="L14" s="24">
        <f t="shared" ref="L14" si="42">F14*$L$4</f>
        <v>30</v>
      </c>
      <c r="M14" s="24">
        <f t="shared" ref="M14" si="43">F14+G14+H14+I14+J14+K14+L14</f>
        <v>142.6</v>
      </c>
      <c r="N14" s="48">
        <v>0.41</v>
      </c>
      <c r="O14" s="24">
        <f t="shared" ref="O14" si="44">M14*N14</f>
        <v>58.5</v>
      </c>
      <c r="P14" s="24">
        <f t="shared" ref="P14" si="45">M14+O14</f>
        <v>201.1</v>
      </c>
      <c r="Q14" s="24">
        <f t="shared" ref="Q14" si="46">P14*0.8</f>
        <v>160.9</v>
      </c>
      <c r="R14" s="24">
        <f t="shared" ref="R14" si="47">P14*0.8</f>
        <v>160.9</v>
      </c>
      <c r="S14" s="24">
        <f t="shared" ref="S14" si="48">(P14+Q14+R14)*0.032</f>
        <v>16.7</v>
      </c>
      <c r="T14" s="49">
        <f t="shared" ref="T14" si="49">P14+Q14+R14+S14</f>
        <v>539.6</v>
      </c>
      <c r="U14" s="3193"/>
      <c r="V14" s="49">
        <f>T14*$U$9</f>
        <v>539.6</v>
      </c>
      <c r="W14" s="49">
        <f t="shared" si="33"/>
        <v>163</v>
      </c>
      <c r="X14" s="23">
        <v>1</v>
      </c>
      <c r="Y14" s="24">
        <v>30</v>
      </c>
      <c r="Z14" s="48">
        <f t="shared" ref="Z14" si="50">X14*Y14</f>
        <v>30</v>
      </c>
      <c r="AA14" s="23">
        <v>1</v>
      </c>
      <c r="AB14" s="24">
        <v>15</v>
      </c>
      <c r="AC14" s="48">
        <f t="shared" ref="AC14" si="51">AA14*AB14</f>
        <v>15</v>
      </c>
      <c r="AD14" s="23">
        <v>1</v>
      </c>
      <c r="AE14" s="24">
        <v>30</v>
      </c>
      <c r="AF14" s="48">
        <f t="shared" ref="AF14" si="52">AD14*AE14</f>
        <v>30</v>
      </c>
      <c r="AG14" s="48">
        <f t="shared" ref="AG14" si="53">(Z14+AC14+AF14)*1%*30</f>
        <v>22.5</v>
      </c>
      <c r="AH14" s="48">
        <f t="shared" ref="AH14" si="54">Z14+AC14+AF14+AG14</f>
        <v>97.5</v>
      </c>
      <c r="AI14" s="34">
        <f t="shared" si="9"/>
        <v>44966.7</v>
      </c>
      <c r="AJ14" s="34">
        <f t="shared" si="10"/>
        <v>539.6</v>
      </c>
      <c r="AK14" s="50">
        <f t="shared" si="20"/>
        <v>118.7</v>
      </c>
      <c r="AL14" s="50">
        <f t="shared" si="38"/>
        <v>26.4</v>
      </c>
      <c r="AM14" s="50">
        <f t="shared" si="11"/>
        <v>28.6</v>
      </c>
      <c r="AN14" s="50">
        <f t="shared" si="21"/>
        <v>173.7</v>
      </c>
      <c r="AP14" s="51"/>
    </row>
    <row r="15" spans="1:42" ht="27" customHeight="1" x14ac:dyDescent="0.2">
      <c r="A15" s="23">
        <v>7</v>
      </c>
      <c r="B15" s="52" t="s">
        <v>22</v>
      </c>
      <c r="C15" s="277">
        <v>1</v>
      </c>
      <c r="D15" s="53">
        <v>11.061999999999999</v>
      </c>
      <c r="E15" s="46">
        <f>C15*D15</f>
        <v>11.06</v>
      </c>
      <c r="F15" s="47">
        <f>E15*12</f>
        <v>132.69999999999999</v>
      </c>
      <c r="G15" s="24"/>
      <c r="H15" s="24">
        <f>1078.5/1000</f>
        <v>1.1000000000000001</v>
      </c>
      <c r="I15" s="24"/>
      <c r="J15" s="24"/>
      <c r="K15" s="24">
        <f>F15*0.4</f>
        <v>53.1</v>
      </c>
      <c r="L15" s="24">
        <f t="shared" si="12"/>
        <v>42.8</v>
      </c>
      <c r="M15" s="24">
        <f>F15+G15+H15+I15+J15+K15+L15</f>
        <v>229.7</v>
      </c>
      <c r="N15" s="48">
        <v>0.43</v>
      </c>
      <c r="O15" s="24">
        <f>M15*N15</f>
        <v>98.8</v>
      </c>
      <c r="P15" s="24">
        <f>M15+O15</f>
        <v>328.5</v>
      </c>
      <c r="Q15" s="24">
        <f>P15*0.8</f>
        <v>262.8</v>
      </c>
      <c r="R15" s="24">
        <f>P15*0.8</f>
        <v>262.8</v>
      </c>
      <c r="S15" s="24">
        <f>(P15+Q15+R15)*0.032</f>
        <v>27.3</v>
      </c>
      <c r="T15" s="49">
        <f>P15+Q15+R15+S15</f>
        <v>881.4</v>
      </c>
      <c r="U15" s="3193"/>
      <c r="V15" s="49">
        <f>T15*$U$9</f>
        <v>881.4</v>
      </c>
      <c r="W15" s="49">
        <f>AN15</f>
        <v>265.7</v>
      </c>
      <c r="X15" s="23">
        <v>1</v>
      </c>
      <c r="Y15" s="24">
        <v>30</v>
      </c>
      <c r="Z15" s="48">
        <f>X15*Y15</f>
        <v>30</v>
      </c>
      <c r="AA15" s="23"/>
      <c r="AB15" s="24">
        <v>15</v>
      </c>
      <c r="AC15" s="48">
        <f>AA15*AB15</f>
        <v>0</v>
      </c>
      <c r="AD15" s="23"/>
      <c r="AE15" s="24">
        <v>30</v>
      </c>
      <c r="AF15" s="48">
        <f>AD15*AE15</f>
        <v>0</v>
      </c>
      <c r="AG15" s="48">
        <f>(Z15+AC15+AF15)*1%*30</f>
        <v>9</v>
      </c>
      <c r="AH15" s="48">
        <f>Z15+AC15+AF15+AG15</f>
        <v>39</v>
      </c>
      <c r="AI15" s="34">
        <f t="shared" si="9"/>
        <v>73450</v>
      </c>
      <c r="AJ15" s="34">
        <f t="shared" si="10"/>
        <v>881.4</v>
      </c>
      <c r="AK15" s="50">
        <f t="shared" ref="AK15" si="55">V15*0.22</f>
        <v>193.9</v>
      </c>
      <c r="AL15" s="50">
        <f>865*0.029*C15</f>
        <v>25.1</v>
      </c>
      <c r="AM15" s="50">
        <f t="shared" ref="AM15" si="56">V15*0.053</f>
        <v>46.7</v>
      </c>
      <c r="AN15" s="50">
        <f t="shared" ref="AN15" si="57">SUM(AK15:AM15)</f>
        <v>265.7</v>
      </c>
      <c r="AP15" s="51"/>
    </row>
    <row r="16" spans="1:42" ht="27" customHeight="1" x14ac:dyDescent="0.2">
      <c r="A16" s="23">
        <v>8</v>
      </c>
      <c r="B16" s="52" t="s">
        <v>28</v>
      </c>
      <c r="C16" s="54">
        <v>5</v>
      </c>
      <c r="D16" s="53">
        <v>9.593</v>
      </c>
      <c r="E16" s="46">
        <f t="shared" si="14"/>
        <v>47.97</v>
      </c>
      <c r="F16" s="47">
        <f t="shared" si="15"/>
        <v>575.6</v>
      </c>
      <c r="G16" s="24"/>
      <c r="H16" s="24">
        <f>4.78</f>
        <v>4.8</v>
      </c>
      <c r="I16" s="24"/>
      <c r="J16" s="24"/>
      <c r="K16" s="24">
        <f>D16*0.2*2*12+D16*0.05*5.5+D16*0.2*7.5</f>
        <v>63.1</v>
      </c>
      <c r="L16" s="24">
        <f t="shared" si="12"/>
        <v>185.4</v>
      </c>
      <c r="M16" s="24">
        <f t="shared" si="0"/>
        <v>828.9</v>
      </c>
      <c r="N16" s="48">
        <v>0.43</v>
      </c>
      <c r="O16" s="24">
        <f t="shared" si="1"/>
        <v>356.4</v>
      </c>
      <c r="P16" s="24">
        <f t="shared" si="16"/>
        <v>1185.3</v>
      </c>
      <c r="Q16" s="24">
        <f t="shared" si="17"/>
        <v>948.2</v>
      </c>
      <c r="R16" s="24">
        <f t="shared" si="2"/>
        <v>948.2</v>
      </c>
      <c r="S16" s="24">
        <f t="shared" si="18"/>
        <v>98.6</v>
      </c>
      <c r="T16" s="49">
        <f t="shared" si="3"/>
        <v>3180.3</v>
      </c>
      <c r="U16" s="3193"/>
      <c r="V16" s="49">
        <f>T16*$U$9</f>
        <v>3180.3</v>
      </c>
      <c r="W16" s="49">
        <f t="shared" si="33"/>
        <v>960.5</v>
      </c>
      <c r="X16" s="23"/>
      <c r="Y16" s="24">
        <v>30</v>
      </c>
      <c r="Z16" s="48">
        <f t="shared" si="4"/>
        <v>0</v>
      </c>
      <c r="AA16" s="23"/>
      <c r="AB16" s="24">
        <v>15</v>
      </c>
      <c r="AC16" s="48">
        <f t="shared" si="5"/>
        <v>0</v>
      </c>
      <c r="AD16" s="23"/>
      <c r="AE16" s="24">
        <v>30</v>
      </c>
      <c r="AF16" s="48">
        <f t="shared" si="6"/>
        <v>0</v>
      </c>
      <c r="AG16" s="48">
        <f t="shared" si="7"/>
        <v>0</v>
      </c>
      <c r="AH16" s="48">
        <f t="shared" si="8"/>
        <v>0</v>
      </c>
      <c r="AI16" s="34">
        <f t="shared" si="9"/>
        <v>53005</v>
      </c>
      <c r="AJ16" s="34">
        <f t="shared" si="10"/>
        <v>636.1</v>
      </c>
      <c r="AK16" s="50">
        <f t="shared" si="20"/>
        <v>699.7</v>
      </c>
      <c r="AL16" s="50">
        <f t="shared" si="38"/>
        <v>132.19999999999999</v>
      </c>
      <c r="AM16" s="50">
        <f t="shared" si="11"/>
        <v>168.6</v>
      </c>
      <c r="AN16" s="50">
        <f t="shared" si="21"/>
        <v>1000.5</v>
      </c>
      <c r="AP16" s="51"/>
    </row>
    <row r="17" spans="1:42" ht="27" customHeight="1" x14ac:dyDescent="0.2">
      <c r="A17" s="23">
        <v>9</v>
      </c>
      <c r="B17" s="52" t="s">
        <v>24</v>
      </c>
      <c r="C17" s="54">
        <v>15</v>
      </c>
      <c r="D17" s="53">
        <v>8.5419999999999998</v>
      </c>
      <c r="E17" s="46">
        <f t="shared" si="14"/>
        <v>128.13</v>
      </c>
      <c r="F17" s="47">
        <f t="shared" si="15"/>
        <v>1537.6</v>
      </c>
      <c r="G17" s="24"/>
      <c r="H17" s="24">
        <f>14.25</f>
        <v>14.3</v>
      </c>
      <c r="I17" s="24"/>
      <c r="J17" s="24"/>
      <c r="K17" s="24">
        <f>D17*0.2*8*12+D17*0.25*12+D17*0.05*12+D17*0.3*12</f>
        <v>225.5</v>
      </c>
      <c r="L17" s="24">
        <f t="shared" si="12"/>
        <v>495.4</v>
      </c>
      <c r="M17" s="24">
        <f t="shared" si="0"/>
        <v>2272.8000000000002</v>
      </c>
      <c r="N17" s="48">
        <v>0.4</v>
      </c>
      <c r="O17" s="24">
        <f t="shared" si="1"/>
        <v>909.1</v>
      </c>
      <c r="P17" s="24">
        <f t="shared" si="16"/>
        <v>3181.9</v>
      </c>
      <c r="Q17" s="24">
        <f t="shared" si="17"/>
        <v>2545.5</v>
      </c>
      <c r="R17" s="24">
        <f t="shared" si="2"/>
        <v>2545.5</v>
      </c>
      <c r="S17" s="24">
        <f t="shared" si="18"/>
        <v>264.7</v>
      </c>
      <c r="T17" s="49">
        <f t="shared" si="3"/>
        <v>8537.6</v>
      </c>
      <c r="U17" s="3193"/>
      <c r="V17" s="49">
        <f t="shared" si="19"/>
        <v>8537.6</v>
      </c>
      <c r="W17" s="49">
        <f t="shared" si="33"/>
        <v>2578.4</v>
      </c>
      <c r="X17" s="23">
        <v>10</v>
      </c>
      <c r="Y17" s="24">
        <v>30</v>
      </c>
      <c r="Z17" s="48">
        <f t="shared" si="4"/>
        <v>300</v>
      </c>
      <c r="AA17" s="23">
        <v>3</v>
      </c>
      <c r="AB17" s="24">
        <v>15</v>
      </c>
      <c r="AC17" s="48">
        <f t="shared" si="5"/>
        <v>45</v>
      </c>
      <c r="AD17" s="23">
        <v>2</v>
      </c>
      <c r="AE17" s="24">
        <v>30</v>
      </c>
      <c r="AF17" s="48">
        <f t="shared" si="6"/>
        <v>60</v>
      </c>
      <c r="AG17" s="48">
        <f>(Z17+AC17+AF17)*1%*30</f>
        <v>121.5</v>
      </c>
      <c r="AH17" s="48">
        <f t="shared" si="8"/>
        <v>526.5</v>
      </c>
      <c r="AI17" s="34">
        <f t="shared" si="9"/>
        <v>47431.1</v>
      </c>
      <c r="AJ17" s="34">
        <f t="shared" si="10"/>
        <v>569.20000000000005</v>
      </c>
      <c r="AK17" s="50">
        <f t="shared" si="20"/>
        <v>1878.3</v>
      </c>
      <c r="AL17" s="50">
        <f t="shared" si="38"/>
        <v>396.7</v>
      </c>
      <c r="AM17" s="50">
        <f t="shared" si="11"/>
        <v>452.5</v>
      </c>
      <c r="AN17" s="50">
        <f t="shared" si="21"/>
        <v>2727.5</v>
      </c>
      <c r="AP17" s="51"/>
    </row>
    <row r="18" spans="1:42" ht="27" customHeight="1" x14ac:dyDescent="0.2">
      <c r="A18" s="23">
        <v>10</v>
      </c>
      <c r="B18" s="55" t="s">
        <v>26</v>
      </c>
      <c r="C18" s="56">
        <v>16</v>
      </c>
      <c r="D18" s="53">
        <v>4.3109999999999999</v>
      </c>
      <c r="E18" s="46">
        <f>C18*D18</f>
        <v>68.98</v>
      </c>
      <c r="F18" s="47">
        <f>E18*12</f>
        <v>827.8</v>
      </c>
      <c r="G18" s="24"/>
      <c r="H18" s="24">
        <f>27739.8/1000</f>
        <v>27.7</v>
      </c>
      <c r="I18" s="24"/>
      <c r="J18" s="24"/>
      <c r="K18" s="24"/>
      <c r="L18" s="24">
        <v>390</v>
      </c>
      <c r="M18" s="24">
        <f>F18+G18+H18+I18+J18+K18+L18</f>
        <v>1245.5</v>
      </c>
      <c r="N18" s="48">
        <v>0.75</v>
      </c>
      <c r="O18" s="24">
        <f>M18*N18</f>
        <v>934.1</v>
      </c>
      <c r="P18" s="24">
        <f>M18+O18</f>
        <v>2179.6</v>
      </c>
      <c r="Q18" s="24">
        <f>P18*0.8</f>
        <v>1743.7</v>
      </c>
      <c r="R18" s="24">
        <f>P18*0.8</f>
        <v>1743.7</v>
      </c>
      <c r="S18" s="24">
        <f>(P18+Q18+R18)*0.032</f>
        <v>181.3</v>
      </c>
      <c r="T18" s="49">
        <f>P18+Q18+R18+S18</f>
        <v>5848.3</v>
      </c>
      <c r="U18" s="3193"/>
      <c r="V18" s="49">
        <f>T18*$U$9</f>
        <v>5848.3</v>
      </c>
      <c r="W18" s="49">
        <f t="shared" si="33"/>
        <v>1766.2</v>
      </c>
      <c r="X18" s="23">
        <v>7</v>
      </c>
      <c r="Y18" s="24">
        <v>30</v>
      </c>
      <c r="Z18" s="48">
        <f>X18*Y18</f>
        <v>210</v>
      </c>
      <c r="AA18" s="23">
        <v>2</v>
      </c>
      <c r="AB18" s="24">
        <v>15</v>
      </c>
      <c r="AC18" s="48">
        <f>AA18*AB18</f>
        <v>30</v>
      </c>
      <c r="AD18" s="23">
        <v>1</v>
      </c>
      <c r="AE18" s="24">
        <v>30</v>
      </c>
      <c r="AF18" s="48">
        <f>AD18*AE18</f>
        <v>30</v>
      </c>
      <c r="AG18" s="48">
        <f>(Z18+AC18+AF18)*1%*30</f>
        <v>81</v>
      </c>
      <c r="AH18" s="48">
        <f>Z18+AC18+AF18+AG18</f>
        <v>351</v>
      </c>
      <c r="AI18" s="34">
        <f t="shared" si="9"/>
        <v>30459.9</v>
      </c>
      <c r="AJ18" s="34">
        <f t="shared" si="10"/>
        <v>365.5</v>
      </c>
      <c r="AK18" s="50">
        <f t="shared" si="20"/>
        <v>1286.5999999999999</v>
      </c>
      <c r="AL18" s="50">
        <f t="shared" si="38"/>
        <v>423.2</v>
      </c>
      <c r="AM18" s="50">
        <f t="shared" si="11"/>
        <v>310</v>
      </c>
      <c r="AN18" s="50">
        <f t="shared" si="21"/>
        <v>2019.8</v>
      </c>
      <c r="AP18" s="51"/>
    </row>
    <row r="19" spans="1:42" ht="27" customHeight="1" x14ac:dyDescent="0.2">
      <c r="A19" s="23">
        <v>11</v>
      </c>
      <c r="B19" s="55" t="s">
        <v>50</v>
      </c>
      <c r="C19" s="57">
        <v>2</v>
      </c>
      <c r="D19" s="53">
        <v>8.4730000000000008</v>
      </c>
      <c r="E19" s="46">
        <f t="shared" si="14"/>
        <v>16.95</v>
      </c>
      <c r="F19" s="47">
        <f t="shared" si="15"/>
        <v>203.4</v>
      </c>
      <c r="G19" s="24"/>
      <c r="H19" s="24">
        <f>1652.1/1000</f>
        <v>1.7</v>
      </c>
      <c r="I19" s="24"/>
      <c r="J19" s="24"/>
      <c r="K19" s="24">
        <f>D19*0.25*12+D19*0.2*12</f>
        <v>45.8</v>
      </c>
      <c r="L19" s="24">
        <f t="shared" si="12"/>
        <v>65.5</v>
      </c>
      <c r="M19" s="24">
        <f t="shared" si="0"/>
        <v>316.39999999999998</v>
      </c>
      <c r="N19" s="48">
        <v>0.41</v>
      </c>
      <c r="O19" s="24">
        <f t="shared" si="1"/>
        <v>129.69999999999999</v>
      </c>
      <c r="P19" s="24">
        <f t="shared" si="16"/>
        <v>446.1</v>
      </c>
      <c r="Q19" s="24">
        <f t="shared" si="17"/>
        <v>356.9</v>
      </c>
      <c r="R19" s="24">
        <f t="shared" si="2"/>
        <v>356.9</v>
      </c>
      <c r="S19" s="24">
        <f t="shared" si="18"/>
        <v>37.1</v>
      </c>
      <c r="T19" s="49">
        <f t="shared" si="3"/>
        <v>1197</v>
      </c>
      <c r="U19" s="3193"/>
      <c r="V19" s="49">
        <f t="shared" si="19"/>
        <v>1197</v>
      </c>
      <c r="W19" s="49">
        <f t="shared" si="33"/>
        <v>361.5</v>
      </c>
      <c r="X19" s="23">
        <v>2</v>
      </c>
      <c r="Y19" s="24">
        <v>30</v>
      </c>
      <c r="Z19" s="48">
        <f t="shared" si="4"/>
        <v>60</v>
      </c>
      <c r="AA19" s="23"/>
      <c r="AB19" s="24">
        <v>15</v>
      </c>
      <c r="AC19" s="48">
        <f t="shared" si="5"/>
        <v>0</v>
      </c>
      <c r="AD19" s="23"/>
      <c r="AE19" s="24">
        <v>30</v>
      </c>
      <c r="AF19" s="48">
        <f t="shared" si="6"/>
        <v>0</v>
      </c>
      <c r="AG19" s="48">
        <f t="shared" si="7"/>
        <v>18</v>
      </c>
      <c r="AH19" s="48">
        <f t="shared" si="8"/>
        <v>78</v>
      </c>
      <c r="AI19" s="34">
        <f t="shared" si="9"/>
        <v>49875</v>
      </c>
      <c r="AJ19" s="34">
        <f t="shared" si="10"/>
        <v>598.5</v>
      </c>
      <c r="AK19" s="50">
        <f t="shared" si="20"/>
        <v>263.3</v>
      </c>
      <c r="AL19" s="50">
        <f t="shared" si="38"/>
        <v>52.9</v>
      </c>
      <c r="AM19" s="50">
        <f t="shared" si="11"/>
        <v>63.4</v>
      </c>
      <c r="AN19" s="50">
        <f t="shared" si="21"/>
        <v>379.6</v>
      </c>
      <c r="AP19" s="51"/>
    </row>
    <row r="20" spans="1:42" ht="27" customHeight="1" x14ac:dyDescent="0.2">
      <c r="A20" s="23">
        <v>12</v>
      </c>
      <c r="B20" s="52" t="s">
        <v>18</v>
      </c>
      <c r="C20" s="47">
        <v>1</v>
      </c>
      <c r="D20" s="53">
        <v>8.4730000000000008</v>
      </c>
      <c r="E20" s="46">
        <f t="shared" si="14"/>
        <v>8.4700000000000006</v>
      </c>
      <c r="F20" s="47">
        <f t="shared" si="15"/>
        <v>101.6</v>
      </c>
      <c r="G20" s="24"/>
      <c r="H20" s="24">
        <f>826.1/1000</f>
        <v>0.8</v>
      </c>
      <c r="I20" s="24"/>
      <c r="J20" s="24"/>
      <c r="K20" s="24">
        <f>D20*0.35*12+D20*0.05*9</f>
        <v>39.4</v>
      </c>
      <c r="L20" s="24">
        <f t="shared" si="12"/>
        <v>32.700000000000003</v>
      </c>
      <c r="M20" s="24">
        <f t="shared" si="0"/>
        <v>174.5</v>
      </c>
      <c r="N20" s="48">
        <v>0.41</v>
      </c>
      <c r="O20" s="24">
        <f t="shared" si="1"/>
        <v>71.5</v>
      </c>
      <c r="P20" s="24">
        <f t="shared" si="16"/>
        <v>246</v>
      </c>
      <c r="Q20" s="24">
        <f t="shared" si="17"/>
        <v>196.8</v>
      </c>
      <c r="R20" s="24">
        <f t="shared" si="2"/>
        <v>196.8</v>
      </c>
      <c r="S20" s="24">
        <f t="shared" si="18"/>
        <v>20.5</v>
      </c>
      <c r="T20" s="49">
        <f t="shared" si="3"/>
        <v>660.1</v>
      </c>
      <c r="U20" s="3193"/>
      <c r="V20" s="49">
        <f t="shared" si="19"/>
        <v>660.1</v>
      </c>
      <c r="W20" s="49">
        <f t="shared" si="33"/>
        <v>199.4</v>
      </c>
      <c r="X20" s="23"/>
      <c r="Y20" s="24">
        <v>30</v>
      </c>
      <c r="Z20" s="48">
        <f t="shared" si="4"/>
        <v>0</v>
      </c>
      <c r="AA20" s="23"/>
      <c r="AB20" s="24">
        <v>15</v>
      </c>
      <c r="AC20" s="48">
        <f t="shared" si="5"/>
        <v>0</v>
      </c>
      <c r="AD20" s="23"/>
      <c r="AE20" s="24">
        <v>30</v>
      </c>
      <c r="AF20" s="48">
        <f t="shared" si="6"/>
        <v>0</v>
      </c>
      <c r="AG20" s="48">
        <f t="shared" si="7"/>
        <v>0</v>
      </c>
      <c r="AH20" s="48">
        <f t="shared" si="8"/>
        <v>0</v>
      </c>
      <c r="AI20" s="34">
        <f t="shared" si="9"/>
        <v>55008.3</v>
      </c>
      <c r="AJ20" s="34">
        <f t="shared" si="10"/>
        <v>660.1</v>
      </c>
      <c r="AK20" s="50">
        <f t="shared" si="20"/>
        <v>145.19999999999999</v>
      </c>
      <c r="AL20" s="50">
        <f t="shared" si="38"/>
        <v>26.4</v>
      </c>
      <c r="AM20" s="50">
        <f t="shared" si="11"/>
        <v>35</v>
      </c>
      <c r="AN20" s="50">
        <f t="shared" si="21"/>
        <v>206.6</v>
      </c>
      <c r="AP20" s="51"/>
    </row>
    <row r="21" spans="1:42" ht="27" customHeight="1" x14ac:dyDescent="0.2">
      <c r="A21" s="23">
        <v>13</v>
      </c>
      <c r="B21" s="52" t="s">
        <v>106</v>
      </c>
      <c r="C21" s="47">
        <v>1</v>
      </c>
      <c r="D21" s="53">
        <v>8.4730000000000008</v>
      </c>
      <c r="E21" s="46">
        <f t="shared" ref="E21" si="58">C21*D21</f>
        <v>8.4700000000000006</v>
      </c>
      <c r="F21" s="47">
        <f t="shared" ref="F21" si="59">E21*12</f>
        <v>101.6</v>
      </c>
      <c r="G21" s="24"/>
      <c r="H21" s="24">
        <f>917.9/1000</f>
        <v>0.9</v>
      </c>
      <c r="I21" s="24"/>
      <c r="J21" s="24"/>
      <c r="K21" s="24"/>
      <c r="L21" s="24">
        <f t="shared" ref="L21" si="60">F21*$L$4</f>
        <v>32.700000000000003</v>
      </c>
      <c r="M21" s="24">
        <f t="shared" ref="M21" si="61">F21+G21+H21+I21+J21+K21+L21</f>
        <v>135.19999999999999</v>
      </c>
      <c r="N21" s="48">
        <v>0.47</v>
      </c>
      <c r="O21" s="24">
        <f t="shared" si="1"/>
        <v>63.5</v>
      </c>
      <c r="P21" s="24">
        <f t="shared" si="16"/>
        <v>198.7</v>
      </c>
      <c r="Q21" s="24">
        <f t="shared" si="17"/>
        <v>159</v>
      </c>
      <c r="R21" s="24">
        <f t="shared" si="2"/>
        <v>159</v>
      </c>
      <c r="S21" s="24">
        <f t="shared" si="18"/>
        <v>16.5</v>
      </c>
      <c r="T21" s="49">
        <f t="shared" si="3"/>
        <v>533.20000000000005</v>
      </c>
      <c r="U21" s="3193"/>
      <c r="V21" s="49">
        <f t="shared" si="19"/>
        <v>533.20000000000005</v>
      </c>
      <c r="W21" s="49">
        <f t="shared" si="33"/>
        <v>161</v>
      </c>
      <c r="X21" s="23"/>
      <c r="Y21" s="24">
        <v>30</v>
      </c>
      <c r="Z21" s="48">
        <f t="shared" ref="Z21" si="62">X21*Y21</f>
        <v>0</v>
      </c>
      <c r="AA21" s="23"/>
      <c r="AB21" s="24">
        <v>15</v>
      </c>
      <c r="AC21" s="48">
        <f t="shared" ref="AC21" si="63">AA21*AB21</f>
        <v>0</v>
      </c>
      <c r="AD21" s="23"/>
      <c r="AE21" s="24">
        <v>30</v>
      </c>
      <c r="AF21" s="48">
        <f t="shared" ref="AF21" si="64">AD21*AE21</f>
        <v>0</v>
      </c>
      <c r="AG21" s="48">
        <f t="shared" ref="AG21" si="65">(Z21+AC21+AF21)*1%*30</f>
        <v>0</v>
      </c>
      <c r="AH21" s="48">
        <f t="shared" ref="AH21" si="66">Z21+AC21+AF21+AG21</f>
        <v>0</v>
      </c>
      <c r="AI21" s="34">
        <f t="shared" si="9"/>
        <v>44433.3</v>
      </c>
      <c r="AJ21" s="34">
        <f t="shared" si="10"/>
        <v>533.20000000000005</v>
      </c>
      <c r="AK21" s="50">
        <f t="shared" si="20"/>
        <v>117.3</v>
      </c>
      <c r="AL21" s="50">
        <f t="shared" si="38"/>
        <v>26.4</v>
      </c>
      <c r="AM21" s="50">
        <f t="shared" si="11"/>
        <v>28.3</v>
      </c>
      <c r="AN21" s="50">
        <f t="shared" si="21"/>
        <v>172</v>
      </c>
      <c r="AP21" s="51"/>
    </row>
    <row r="22" spans="1:42" ht="23.25" customHeight="1" x14ac:dyDescent="0.2">
      <c r="A22" s="23">
        <v>14</v>
      </c>
      <c r="B22" s="52" t="s">
        <v>29</v>
      </c>
      <c r="C22" s="57">
        <v>1</v>
      </c>
      <c r="D22" s="53">
        <v>8.4730000000000008</v>
      </c>
      <c r="E22" s="46">
        <f>C22*D22</f>
        <v>8.4700000000000006</v>
      </c>
      <c r="F22" s="47">
        <f>E22*12</f>
        <v>101.6</v>
      </c>
      <c r="G22" s="24"/>
      <c r="H22" s="24">
        <f>1239.1/1000</f>
        <v>1.2</v>
      </c>
      <c r="I22" s="24"/>
      <c r="J22" s="24"/>
      <c r="K22" s="24">
        <f>D22*0.4*12</f>
        <v>40.700000000000003</v>
      </c>
      <c r="L22" s="24">
        <f t="shared" si="12"/>
        <v>32.700000000000003</v>
      </c>
      <c r="M22" s="24">
        <f>F22+G22+H22+I22+J22+K22+L22</f>
        <v>176.2</v>
      </c>
      <c r="N22" s="48">
        <v>0.41</v>
      </c>
      <c r="O22" s="24">
        <f t="shared" si="1"/>
        <v>72.2</v>
      </c>
      <c r="P22" s="24">
        <f t="shared" si="16"/>
        <v>248.4</v>
      </c>
      <c r="Q22" s="24">
        <f t="shared" si="17"/>
        <v>198.7</v>
      </c>
      <c r="R22" s="24">
        <f t="shared" si="2"/>
        <v>198.7</v>
      </c>
      <c r="S22" s="24">
        <f t="shared" si="18"/>
        <v>20.7</v>
      </c>
      <c r="T22" s="49">
        <f t="shared" si="3"/>
        <v>666.5</v>
      </c>
      <c r="U22" s="3193"/>
      <c r="V22" s="49">
        <f t="shared" si="19"/>
        <v>666.5</v>
      </c>
      <c r="W22" s="49">
        <f t="shared" si="33"/>
        <v>201.3</v>
      </c>
      <c r="X22" s="23">
        <v>2</v>
      </c>
      <c r="Y22" s="24">
        <v>30</v>
      </c>
      <c r="Z22" s="48">
        <f t="shared" si="4"/>
        <v>60</v>
      </c>
      <c r="AA22" s="23">
        <v>1</v>
      </c>
      <c r="AB22" s="24">
        <v>15</v>
      </c>
      <c r="AC22" s="48">
        <f t="shared" si="5"/>
        <v>15</v>
      </c>
      <c r="AD22" s="23"/>
      <c r="AE22" s="24">
        <v>30</v>
      </c>
      <c r="AF22" s="48">
        <f t="shared" si="6"/>
        <v>0</v>
      </c>
      <c r="AG22" s="48">
        <f t="shared" si="7"/>
        <v>22.5</v>
      </c>
      <c r="AH22" s="48">
        <f t="shared" si="8"/>
        <v>97.5</v>
      </c>
      <c r="AI22" s="34">
        <f t="shared" si="9"/>
        <v>55541.7</v>
      </c>
      <c r="AJ22" s="34">
        <f t="shared" si="10"/>
        <v>666.5</v>
      </c>
      <c r="AK22" s="50">
        <f t="shared" si="20"/>
        <v>146.6</v>
      </c>
      <c r="AL22" s="50">
        <f t="shared" si="38"/>
        <v>26.4</v>
      </c>
      <c r="AM22" s="50">
        <f t="shared" si="11"/>
        <v>35.299999999999997</v>
      </c>
      <c r="AN22" s="50">
        <f t="shared" si="21"/>
        <v>208.3</v>
      </c>
      <c r="AP22" s="51"/>
    </row>
    <row r="23" spans="1:42" ht="23.25" customHeight="1" x14ac:dyDescent="0.2">
      <c r="A23" s="23">
        <v>15</v>
      </c>
      <c r="B23" s="52" t="s">
        <v>20</v>
      </c>
      <c r="C23" s="47">
        <v>0.5</v>
      </c>
      <c r="D23" s="53">
        <v>8.4730000000000008</v>
      </c>
      <c r="E23" s="46">
        <f>C23*D23</f>
        <v>4.24</v>
      </c>
      <c r="F23" s="47">
        <f>E23*12</f>
        <v>50.9</v>
      </c>
      <c r="G23" s="24"/>
      <c r="H23" s="24"/>
      <c r="I23" s="24"/>
      <c r="J23" s="24"/>
      <c r="K23" s="24"/>
      <c r="L23" s="24">
        <f t="shared" ref="L23" si="67">F23*$L$4</f>
        <v>16.399999999999999</v>
      </c>
      <c r="M23" s="24">
        <f>F23+G23+H23+I23+J23+K23+L23</f>
        <v>67.3</v>
      </c>
      <c r="N23" s="48">
        <v>0.41</v>
      </c>
      <c r="O23" s="24">
        <f t="shared" ref="O23" si="68">M23*N23</f>
        <v>27.6</v>
      </c>
      <c r="P23" s="24">
        <f t="shared" ref="P23" si="69">M23+O23</f>
        <v>94.9</v>
      </c>
      <c r="Q23" s="24">
        <f t="shared" ref="Q23" si="70">P23*0.8</f>
        <v>75.900000000000006</v>
      </c>
      <c r="R23" s="24">
        <f t="shared" ref="R23" si="71">P23*0.8</f>
        <v>75.900000000000006</v>
      </c>
      <c r="S23" s="24">
        <f t="shared" ref="S23" si="72">(P23+Q23+R23)*0.032</f>
        <v>7.9</v>
      </c>
      <c r="T23" s="49">
        <f t="shared" ref="T23" si="73">P23+Q23+R23+S23</f>
        <v>254.6</v>
      </c>
      <c r="U23" s="3193"/>
      <c r="V23" s="49">
        <f t="shared" ref="V23" si="74">T23*$U$9</f>
        <v>254.6</v>
      </c>
      <c r="W23" s="49">
        <f t="shared" si="33"/>
        <v>76.900000000000006</v>
      </c>
      <c r="X23" s="23"/>
      <c r="Y23" s="24">
        <v>30</v>
      </c>
      <c r="Z23" s="48">
        <f t="shared" ref="Z23" si="75">X23*Y23</f>
        <v>0</v>
      </c>
      <c r="AA23" s="23"/>
      <c r="AB23" s="24">
        <v>15</v>
      </c>
      <c r="AC23" s="48">
        <f t="shared" ref="AC23" si="76">AA23*AB23</f>
        <v>0</v>
      </c>
      <c r="AD23" s="23"/>
      <c r="AE23" s="24">
        <v>30</v>
      </c>
      <c r="AF23" s="48">
        <f t="shared" ref="AF23" si="77">AD23*AE23</f>
        <v>0</v>
      </c>
      <c r="AG23" s="48">
        <f t="shared" ref="AG23" si="78">(Z23+AC23+AF23)*1%*30</f>
        <v>0</v>
      </c>
      <c r="AH23" s="48">
        <f t="shared" ref="AH23" si="79">Z23+AC23+AF23+AG23</f>
        <v>0</v>
      </c>
      <c r="AI23" s="34">
        <f t="shared" si="9"/>
        <v>42433.3</v>
      </c>
      <c r="AJ23" s="34">
        <f t="shared" si="10"/>
        <v>509.2</v>
      </c>
      <c r="AK23" s="50">
        <f t="shared" si="20"/>
        <v>56</v>
      </c>
      <c r="AL23" s="50">
        <f t="shared" si="38"/>
        <v>13.2</v>
      </c>
      <c r="AM23" s="50">
        <f t="shared" si="11"/>
        <v>13.5</v>
      </c>
      <c r="AN23" s="50">
        <f t="shared" si="21"/>
        <v>82.7</v>
      </c>
      <c r="AP23" s="51"/>
    </row>
    <row r="24" spans="1:42" ht="23.25" customHeight="1" x14ac:dyDescent="0.2">
      <c r="A24" s="23">
        <v>16</v>
      </c>
      <c r="B24" s="52" t="s">
        <v>30</v>
      </c>
      <c r="C24" s="57">
        <v>2</v>
      </c>
      <c r="D24" s="53">
        <v>8.4730000000000008</v>
      </c>
      <c r="E24" s="46">
        <f>C24*D24</f>
        <v>16.95</v>
      </c>
      <c r="F24" s="47">
        <f>E24*12</f>
        <v>203.4</v>
      </c>
      <c r="G24" s="24"/>
      <c r="H24" s="24">
        <f>1652.1/1000</f>
        <v>1.7</v>
      </c>
      <c r="I24" s="24"/>
      <c r="J24" s="24"/>
      <c r="K24" s="24">
        <f>D24*0.3*12+D24*0.25*12+D24*0.05*1</f>
        <v>56.3</v>
      </c>
      <c r="L24" s="24">
        <f t="shared" si="12"/>
        <v>65.5</v>
      </c>
      <c r="M24" s="24">
        <f>F24+G24+H24+I24+J24+K24+L24</f>
        <v>326.89999999999998</v>
      </c>
      <c r="N24" s="48">
        <v>0.41</v>
      </c>
      <c r="O24" s="24">
        <f t="shared" si="1"/>
        <v>134</v>
      </c>
      <c r="P24" s="24">
        <f t="shared" si="16"/>
        <v>460.9</v>
      </c>
      <c r="Q24" s="24">
        <f t="shared" si="17"/>
        <v>368.7</v>
      </c>
      <c r="R24" s="24">
        <f t="shared" si="2"/>
        <v>368.7</v>
      </c>
      <c r="S24" s="24">
        <f t="shared" si="18"/>
        <v>38.299999999999997</v>
      </c>
      <c r="T24" s="49">
        <f t="shared" si="3"/>
        <v>1236.5999999999999</v>
      </c>
      <c r="U24" s="3193"/>
      <c r="V24" s="49">
        <f t="shared" si="19"/>
        <v>1236.5999999999999</v>
      </c>
      <c r="W24" s="49">
        <f t="shared" si="33"/>
        <v>373.5</v>
      </c>
      <c r="X24" s="23"/>
      <c r="Y24" s="24">
        <v>30</v>
      </c>
      <c r="Z24" s="48">
        <f t="shared" si="4"/>
        <v>0</v>
      </c>
      <c r="AA24" s="23"/>
      <c r="AB24" s="24">
        <v>15</v>
      </c>
      <c r="AC24" s="48">
        <f t="shared" si="5"/>
        <v>0</v>
      </c>
      <c r="AD24" s="23"/>
      <c r="AE24" s="24">
        <v>30</v>
      </c>
      <c r="AF24" s="48">
        <f t="shared" si="6"/>
        <v>0</v>
      </c>
      <c r="AG24" s="48">
        <f t="shared" si="7"/>
        <v>0</v>
      </c>
      <c r="AH24" s="48">
        <f t="shared" si="8"/>
        <v>0</v>
      </c>
      <c r="AI24" s="34">
        <f t="shared" si="9"/>
        <v>51525</v>
      </c>
      <c r="AJ24" s="34">
        <f t="shared" si="10"/>
        <v>618.29999999999995</v>
      </c>
      <c r="AK24" s="50">
        <f t="shared" si="20"/>
        <v>272.10000000000002</v>
      </c>
      <c r="AL24" s="50">
        <f t="shared" si="38"/>
        <v>52.9</v>
      </c>
      <c r="AM24" s="50">
        <f t="shared" si="11"/>
        <v>65.5</v>
      </c>
      <c r="AN24" s="50">
        <f t="shared" si="21"/>
        <v>390.5</v>
      </c>
      <c r="AP24" s="51"/>
    </row>
    <row r="25" spans="1:42" ht="27" customHeight="1" x14ac:dyDescent="0.2">
      <c r="A25" s="23">
        <v>17</v>
      </c>
      <c r="B25" s="52" t="s">
        <v>33</v>
      </c>
      <c r="C25" s="57">
        <v>1</v>
      </c>
      <c r="D25" s="53">
        <v>8.4730000000000008</v>
      </c>
      <c r="E25" s="46">
        <f t="shared" si="14"/>
        <v>8.4700000000000006</v>
      </c>
      <c r="F25" s="47">
        <f t="shared" si="15"/>
        <v>101.6</v>
      </c>
      <c r="G25" s="24"/>
      <c r="H25" s="24">
        <f>826.1/1000</f>
        <v>0.8</v>
      </c>
      <c r="I25" s="24"/>
      <c r="J25" s="24"/>
      <c r="K25" s="24">
        <f>F25*0.2</f>
        <v>20.3</v>
      </c>
      <c r="L25" s="24">
        <f t="shared" si="12"/>
        <v>32.700000000000003</v>
      </c>
      <c r="M25" s="24">
        <f>F25+G25+H25+I25+J25+K25+L25</f>
        <v>155.4</v>
      </c>
      <c r="N25" s="48">
        <v>0.41</v>
      </c>
      <c r="O25" s="24">
        <f t="shared" si="1"/>
        <v>63.7</v>
      </c>
      <c r="P25" s="24">
        <f t="shared" si="16"/>
        <v>219.1</v>
      </c>
      <c r="Q25" s="24">
        <f t="shared" si="17"/>
        <v>175.3</v>
      </c>
      <c r="R25" s="24">
        <f t="shared" si="2"/>
        <v>175.3</v>
      </c>
      <c r="S25" s="24">
        <f t="shared" si="18"/>
        <v>18.2</v>
      </c>
      <c r="T25" s="49">
        <f t="shared" si="3"/>
        <v>587.9</v>
      </c>
      <c r="U25" s="3193"/>
      <c r="V25" s="49">
        <f t="shared" si="19"/>
        <v>587.9</v>
      </c>
      <c r="W25" s="49">
        <f t="shared" si="33"/>
        <v>177.5</v>
      </c>
      <c r="X25" s="23"/>
      <c r="Y25" s="24">
        <v>30</v>
      </c>
      <c r="Z25" s="48">
        <f t="shared" si="4"/>
        <v>0</v>
      </c>
      <c r="AA25" s="23"/>
      <c r="AB25" s="24">
        <v>15</v>
      </c>
      <c r="AC25" s="48">
        <f t="shared" si="5"/>
        <v>0</v>
      </c>
      <c r="AD25" s="23"/>
      <c r="AE25" s="24">
        <v>30</v>
      </c>
      <c r="AF25" s="48">
        <f t="shared" si="6"/>
        <v>0</v>
      </c>
      <c r="AG25" s="48">
        <f t="shared" si="7"/>
        <v>0</v>
      </c>
      <c r="AH25" s="48">
        <f t="shared" si="8"/>
        <v>0</v>
      </c>
      <c r="AI25" s="34">
        <f t="shared" si="9"/>
        <v>48991.7</v>
      </c>
      <c r="AJ25" s="34">
        <f t="shared" si="10"/>
        <v>587.9</v>
      </c>
      <c r="AK25" s="50">
        <f t="shared" si="20"/>
        <v>129.30000000000001</v>
      </c>
      <c r="AL25" s="50">
        <f t="shared" si="38"/>
        <v>26.4</v>
      </c>
      <c r="AM25" s="50">
        <f t="shared" si="11"/>
        <v>31.2</v>
      </c>
      <c r="AN25" s="50">
        <f t="shared" si="21"/>
        <v>186.9</v>
      </c>
      <c r="AP25" s="51"/>
    </row>
    <row r="26" spans="1:42" ht="27" customHeight="1" x14ac:dyDescent="0.2">
      <c r="A26" s="23">
        <v>18</v>
      </c>
      <c r="B26" s="55" t="s">
        <v>92</v>
      </c>
      <c r="C26" s="56">
        <v>3</v>
      </c>
      <c r="D26" s="53">
        <v>4.3769999999999998</v>
      </c>
      <c r="E26" s="46">
        <f t="shared" si="14"/>
        <v>13.13</v>
      </c>
      <c r="F26" s="47">
        <f t="shared" si="15"/>
        <v>157.6</v>
      </c>
      <c r="G26" s="24"/>
      <c r="H26" s="24">
        <f>7681.2/1000</f>
        <v>7.7</v>
      </c>
      <c r="I26" s="24"/>
      <c r="J26" s="24"/>
      <c r="K26" s="24"/>
      <c r="L26" s="24">
        <v>105</v>
      </c>
      <c r="M26" s="24">
        <f t="shared" si="0"/>
        <v>270.3</v>
      </c>
      <c r="N26" s="48">
        <v>0.47</v>
      </c>
      <c r="O26" s="24">
        <f t="shared" si="1"/>
        <v>127</v>
      </c>
      <c r="P26" s="24">
        <f t="shared" si="16"/>
        <v>397.3</v>
      </c>
      <c r="Q26" s="24">
        <f t="shared" si="17"/>
        <v>317.8</v>
      </c>
      <c r="R26" s="24">
        <f t="shared" si="2"/>
        <v>317.8</v>
      </c>
      <c r="S26" s="24">
        <f t="shared" si="18"/>
        <v>33.1</v>
      </c>
      <c r="T26" s="49">
        <f t="shared" si="3"/>
        <v>1066</v>
      </c>
      <c r="U26" s="3193"/>
      <c r="V26" s="49">
        <f>T26*$U$9</f>
        <v>1066</v>
      </c>
      <c r="W26" s="49">
        <f t="shared" si="33"/>
        <v>321.89999999999998</v>
      </c>
      <c r="X26" s="23"/>
      <c r="Y26" s="24">
        <v>30</v>
      </c>
      <c r="Z26" s="48">
        <f>X26*Y26</f>
        <v>0</v>
      </c>
      <c r="AA26" s="23"/>
      <c r="AB26" s="24">
        <v>15</v>
      </c>
      <c r="AC26" s="48">
        <f>AA26*AB26</f>
        <v>0</v>
      </c>
      <c r="AD26" s="23"/>
      <c r="AE26" s="24">
        <v>30</v>
      </c>
      <c r="AF26" s="48">
        <f>AD26*AE26</f>
        <v>0</v>
      </c>
      <c r="AG26" s="48">
        <f>(Z26+AC26+AF26)*1%*30</f>
        <v>0</v>
      </c>
      <c r="AH26" s="48">
        <f>Z26+AC26+AF26+AG26</f>
        <v>0</v>
      </c>
      <c r="AI26" s="34">
        <f t="shared" si="9"/>
        <v>29611.1</v>
      </c>
      <c r="AJ26" s="34">
        <f t="shared" si="10"/>
        <v>355.3</v>
      </c>
      <c r="AK26" s="50">
        <f t="shared" si="20"/>
        <v>234.5</v>
      </c>
      <c r="AL26" s="50">
        <f t="shared" si="38"/>
        <v>79.3</v>
      </c>
      <c r="AM26" s="50">
        <f t="shared" si="11"/>
        <v>56.5</v>
      </c>
      <c r="AN26" s="50">
        <f t="shared" si="21"/>
        <v>370.3</v>
      </c>
      <c r="AP26" s="51"/>
    </row>
    <row r="27" spans="1:42" ht="27" customHeight="1" x14ac:dyDescent="0.2">
      <c r="A27" s="23">
        <v>19</v>
      </c>
      <c r="B27" s="44" t="s">
        <v>102</v>
      </c>
      <c r="C27" s="58">
        <v>2</v>
      </c>
      <c r="D27" s="53">
        <v>4.3769999999999998</v>
      </c>
      <c r="E27" s="46">
        <f t="shared" si="14"/>
        <v>8.75</v>
      </c>
      <c r="F27" s="47">
        <f t="shared" si="15"/>
        <v>105</v>
      </c>
      <c r="G27" s="24"/>
      <c r="H27" s="24">
        <f>948.3/1000</f>
        <v>0.9</v>
      </c>
      <c r="I27" s="24"/>
      <c r="J27" s="24"/>
      <c r="K27" s="24"/>
      <c r="L27" s="24">
        <v>72</v>
      </c>
      <c r="M27" s="24">
        <f t="shared" si="0"/>
        <v>177.9</v>
      </c>
      <c r="N27" s="48">
        <v>0.49</v>
      </c>
      <c r="O27" s="24">
        <f t="shared" si="1"/>
        <v>87.2</v>
      </c>
      <c r="P27" s="24">
        <f t="shared" si="16"/>
        <v>265.10000000000002</v>
      </c>
      <c r="Q27" s="24">
        <f t="shared" si="17"/>
        <v>212.1</v>
      </c>
      <c r="R27" s="24">
        <f t="shared" si="2"/>
        <v>212.1</v>
      </c>
      <c r="S27" s="24">
        <f t="shared" si="18"/>
        <v>22.1</v>
      </c>
      <c r="T27" s="49">
        <f t="shared" si="3"/>
        <v>711.4</v>
      </c>
      <c r="U27" s="3193"/>
      <c r="V27" s="49">
        <f>T27*$U$9-0.2</f>
        <v>711.2</v>
      </c>
      <c r="W27" s="49">
        <f>V27*0.302</f>
        <v>214.8</v>
      </c>
      <c r="X27" s="23"/>
      <c r="Y27" s="24">
        <v>30</v>
      </c>
      <c r="Z27" s="48">
        <f>X27*Y27</f>
        <v>0</v>
      </c>
      <c r="AA27" s="23"/>
      <c r="AB27" s="24">
        <v>15</v>
      </c>
      <c r="AC27" s="48">
        <f>AA27*AB27</f>
        <v>0</v>
      </c>
      <c r="AD27" s="23"/>
      <c r="AE27" s="24">
        <v>30</v>
      </c>
      <c r="AF27" s="48">
        <f>AD27*AE27</f>
        <v>0</v>
      </c>
      <c r="AG27" s="48">
        <f>(Z27+AC27+AF27)*1%*30</f>
        <v>0</v>
      </c>
      <c r="AH27" s="48">
        <f>Z27+AC27+AF27+AG27</f>
        <v>0</v>
      </c>
      <c r="AI27" s="34">
        <f t="shared" si="9"/>
        <v>29633.3</v>
      </c>
      <c r="AJ27" s="34">
        <f t="shared" si="10"/>
        <v>355.6</v>
      </c>
      <c r="AK27" s="50">
        <f t="shared" si="20"/>
        <v>156.5</v>
      </c>
      <c r="AL27" s="50">
        <f t="shared" si="38"/>
        <v>52.9</v>
      </c>
      <c r="AM27" s="50">
        <f t="shared" si="11"/>
        <v>37.700000000000003</v>
      </c>
      <c r="AN27" s="50">
        <f t="shared" si="21"/>
        <v>247.1</v>
      </c>
      <c r="AP27" s="51"/>
    </row>
    <row r="28" spans="1:42" s="62" customFormat="1" ht="20.25" customHeight="1" x14ac:dyDescent="0.2">
      <c r="A28" s="3194" t="s">
        <v>97</v>
      </c>
      <c r="B28" s="3195"/>
      <c r="C28" s="59">
        <f t="shared" ref="C28:AH28" si="80">SUM(C9:C27)</f>
        <v>64.5</v>
      </c>
      <c r="D28" s="25">
        <f t="shared" si="80"/>
        <v>181.9</v>
      </c>
      <c r="E28" s="25">
        <f t="shared" si="80"/>
        <v>527.5</v>
      </c>
      <c r="F28" s="25">
        <f t="shared" si="80"/>
        <v>6321.7</v>
      </c>
      <c r="G28" s="25">
        <f t="shared" si="80"/>
        <v>0</v>
      </c>
      <c r="H28" s="25">
        <f>SUM(H9:H27)</f>
        <v>74.400000000000006</v>
      </c>
      <c r="I28" s="25">
        <f t="shared" si="80"/>
        <v>0</v>
      </c>
      <c r="J28" s="25">
        <f t="shared" si="80"/>
        <v>0</v>
      </c>
      <c r="K28" s="25">
        <f t="shared" si="80"/>
        <v>1143.7</v>
      </c>
      <c r="L28" s="25">
        <f t="shared" si="80"/>
        <v>2252.1999999999998</v>
      </c>
      <c r="M28" s="25">
        <f t="shared" si="80"/>
        <v>9792</v>
      </c>
      <c r="N28" s="25">
        <f t="shared" si="80"/>
        <v>9.1999999999999993</v>
      </c>
      <c r="O28" s="25">
        <f t="shared" si="80"/>
        <v>4877.3</v>
      </c>
      <c r="P28" s="25">
        <f t="shared" si="80"/>
        <v>14669.3</v>
      </c>
      <c r="Q28" s="25">
        <f t="shared" si="80"/>
        <v>11735.5</v>
      </c>
      <c r="R28" s="25">
        <f t="shared" si="80"/>
        <v>11735.5</v>
      </c>
      <c r="S28" s="25">
        <f t="shared" si="80"/>
        <v>1220.3</v>
      </c>
      <c r="T28" s="25">
        <f t="shared" si="80"/>
        <v>39360.6</v>
      </c>
      <c r="U28" s="25">
        <f t="shared" si="80"/>
        <v>1</v>
      </c>
      <c r="V28" s="25">
        <f t="shared" si="80"/>
        <v>39360.400000000001</v>
      </c>
      <c r="W28" s="25">
        <f>SUM(W9:W27)</f>
        <v>11654.6</v>
      </c>
      <c r="X28" s="25">
        <f t="shared" si="80"/>
        <v>29</v>
      </c>
      <c r="Y28" s="25">
        <f t="shared" si="80"/>
        <v>570</v>
      </c>
      <c r="Z28" s="25">
        <f t="shared" si="80"/>
        <v>870</v>
      </c>
      <c r="AA28" s="25">
        <f t="shared" si="80"/>
        <v>12</v>
      </c>
      <c r="AB28" s="25">
        <f t="shared" si="80"/>
        <v>285</v>
      </c>
      <c r="AC28" s="25">
        <f t="shared" si="80"/>
        <v>180</v>
      </c>
      <c r="AD28" s="25">
        <f t="shared" si="80"/>
        <v>8</v>
      </c>
      <c r="AE28" s="25">
        <f t="shared" si="80"/>
        <v>570</v>
      </c>
      <c r="AF28" s="25">
        <f t="shared" si="80"/>
        <v>240</v>
      </c>
      <c r="AG28" s="25">
        <f t="shared" si="80"/>
        <v>387</v>
      </c>
      <c r="AH28" s="25">
        <f t="shared" si="80"/>
        <v>1677</v>
      </c>
      <c r="AI28" s="60"/>
      <c r="AJ28" s="61"/>
      <c r="AN28" s="60">
        <f>SUM(AN9:AN27)</f>
        <v>12276.5</v>
      </c>
    </row>
    <row r="29" spans="1:42" s="62" customFormat="1" ht="20.25" customHeight="1" x14ac:dyDescent="0.2">
      <c r="A29" s="63"/>
      <c r="B29" s="63"/>
      <c r="C29" s="26"/>
      <c r="D29" s="26"/>
      <c r="E29" s="26"/>
      <c r="F29" s="26"/>
      <c r="G29" s="26"/>
      <c r="H29" s="26"/>
      <c r="I29" s="26"/>
      <c r="J29" s="26"/>
      <c r="K29" s="26"/>
      <c r="L29" s="26"/>
      <c r="M29" s="26"/>
      <c r="N29" s="26"/>
      <c r="O29" s="26"/>
      <c r="P29" s="26"/>
      <c r="Q29" s="26"/>
      <c r="R29" s="26"/>
      <c r="S29" s="26"/>
      <c r="T29" s="26"/>
      <c r="U29" s="64"/>
      <c r="V29" s="65"/>
      <c r="W29" s="66"/>
      <c r="X29" s="65"/>
      <c r="Y29" s="65"/>
      <c r="Z29" s="65"/>
      <c r="AA29" s="65"/>
      <c r="AB29" s="65"/>
      <c r="AC29" s="65"/>
      <c r="AD29" s="65"/>
      <c r="AE29" s="65"/>
      <c r="AF29" s="65"/>
      <c r="AG29" s="65"/>
      <c r="AH29" s="65"/>
      <c r="AI29" s="67"/>
      <c r="AJ29" s="61"/>
    </row>
    <row r="30" spans="1:42" s="62" customFormat="1" ht="14.25" x14ac:dyDescent="0.2">
      <c r="A30" s="68"/>
      <c r="B30" s="63"/>
      <c r="C30" s="26"/>
      <c r="D30" s="26"/>
      <c r="E30" s="26"/>
      <c r="F30" s="26"/>
      <c r="G30" s="26"/>
      <c r="H30" s="26"/>
      <c r="I30" s="26"/>
      <c r="J30" s="26"/>
      <c r="K30" s="26"/>
      <c r="L30" s="26"/>
      <c r="M30" s="26"/>
      <c r="N30" s="26"/>
      <c r="O30" s="26"/>
      <c r="P30" s="26"/>
      <c r="Q30" s="26"/>
      <c r="R30" s="26"/>
      <c r="S30" s="26"/>
      <c r="T30" s="26"/>
      <c r="U30" s="64"/>
      <c r="V30" s="69"/>
      <c r="W30" s="69"/>
      <c r="X30" s="65"/>
      <c r="Y30" s="65"/>
      <c r="Z30" s="65"/>
      <c r="AA30" s="65"/>
      <c r="AB30" s="65"/>
      <c r="AC30" s="65"/>
      <c r="AD30" s="65"/>
      <c r="AE30" s="65"/>
      <c r="AF30" s="65"/>
      <c r="AG30" s="65"/>
      <c r="AH30" s="65"/>
      <c r="AI30" s="67"/>
      <c r="AJ30" s="61"/>
    </row>
    <row r="31" spans="1:42" s="75" customFormat="1" ht="15" x14ac:dyDescent="0.2">
      <c r="A31" s="70"/>
      <c r="B31" s="70"/>
      <c r="C31" s="71"/>
      <c r="D31" s="72"/>
      <c r="E31" s="72"/>
      <c r="F31" s="72"/>
      <c r="G31" s="72"/>
      <c r="H31" s="73"/>
      <c r="I31" s="73"/>
      <c r="J31" s="27"/>
      <c r="K31" s="27"/>
      <c r="L31" s="27"/>
      <c r="M31" s="27"/>
      <c r="N31" s="74"/>
      <c r="O31" s="27"/>
      <c r="P31" s="27"/>
      <c r="Q31" s="27"/>
      <c r="R31" s="27"/>
      <c r="S31" s="27"/>
      <c r="T31" s="27"/>
      <c r="U31" s="27"/>
      <c r="V31" s="27"/>
      <c r="W31" s="27"/>
      <c r="X31" s="27"/>
      <c r="Y31" s="27"/>
      <c r="Z31" s="27"/>
      <c r="AA31" s="27"/>
      <c r="AB31" s="27"/>
      <c r="AC31" s="27"/>
      <c r="AD31" s="27"/>
      <c r="AE31" s="27"/>
      <c r="AF31" s="27"/>
      <c r="AG31" s="27"/>
      <c r="AH31" s="27"/>
      <c r="AI31" s="27"/>
      <c r="AK31" s="76"/>
      <c r="AL31" s="76"/>
      <c r="AM31" s="76"/>
      <c r="AN31" s="76"/>
      <c r="AO31" s="76"/>
    </row>
    <row r="32" spans="1:42" s="75" customFormat="1" ht="39.75" customHeight="1" x14ac:dyDescent="0.2">
      <c r="A32" s="70"/>
      <c r="B32" s="70"/>
      <c r="C32" s="71"/>
      <c r="D32" s="77"/>
      <c r="E32" s="77"/>
      <c r="F32" s="27"/>
      <c r="G32" s="3191" t="s">
        <v>140</v>
      </c>
      <c r="H32" s="3191"/>
      <c r="I32" s="3188" t="s">
        <v>141</v>
      </c>
      <c r="J32" s="3189"/>
      <c r="K32" s="3188" t="s">
        <v>128</v>
      </c>
      <c r="L32" s="3189"/>
      <c r="M32" s="70"/>
      <c r="N32" s="70"/>
      <c r="O32" s="70"/>
      <c r="P32" s="70"/>
      <c r="Q32" s="27"/>
      <c r="R32" s="27"/>
      <c r="S32" s="27"/>
      <c r="T32" s="27"/>
      <c r="U32" s="27"/>
      <c r="V32" s="27"/>
      <c r="W32" s="27"/>
      <c r="X32" s="27"/>
      <c r="Y32" s="27"/>
      <c r="Z32" s="27"/>
      <c r="AA32" s="27"/>
      <c r="AB32" s="27"/>
      <c r="AC32" s="27"/>
      <c r="AD32" s="27"/>
      <c r="AE32" s="27"/>
      <c r="AF32" s="27"/>
      <c r="AG32" s="27"/>
      <c r="AH32" s="27"/>
      <c r="AI32" s="27"/>
      <c r="AK32" s="76"/>
      <c r="AL32" s="76"/>
      <c r="AM32" s="76"/>
      <c r="AN32" s="76"/>
      <c r="AO32" s="76"/>
    </row>
    <row r="33" spans="1:41" s="75" customFormat="1" ht="15" x14ac:dyDescent="0.2">
      <c r="A33" s="70"/>
      <c r="B33" s="70"/>
      <c r="C33" s="71"/>
      <c r="D33" s="77"/>
      <c r="E33" s="77"/>
      <c r="F33" s="27"/>
      <c r="G33" s="28">
        <v>991</v>
      </c>
      <c r="H33" s="28">
        <v>992</v>
      </c>
      <c r="I33" s="28">
        <v>991</v>
      </c>
      <c r="J33" s="28">
        <v>992</v>
      </c>
      <c r="K33" s="28">
        <v>991</v>
      </c>
      <c r="L33" s="28">
        <v>992</v>
      </c>
      <c r="M33" s="79"/>
      <c r="N33" s="79"/>
      <c r="O33" s="79"/>
      <c r="P33" s="79"/>
      <c r="Q33" s="27"/>
      <c r="R33" s="27"/>
      <c r="S33" s="27"/>
      <c r="T33" s="27"/>
      <c r="U33" s="27"/>
      <c r="V33" s="27"/>
      <c r="W33" s="27"/>
      <c r="X33" s="27"/>
      <c r="Y33" s="27"/>
      <c r="Z33" s="27"/>
      <c r="AA33" s="27"/>
      <c r="AB33" s="27"/>
      <c r="AC33" s="27"/>
      <c r="AD33" s="27"/>
      <c r="AE33" s="27"/>
      <c r="AF33" s="27"/>
      <c r="AG33" s="27"/>
      <c r="AH33" s="27"/>
      <c r="AI33" s="27"/>
      <c r="AK33" s="76"/>
      <c r="AL33" s="76"/>
      <c r="AM33" s="76"/>
      <c r="AN33" s="76"/>
      <c r="AO33" s="76"/>
    </row>
    <row r="34" spans="1:41" s="75" customFormat="1" ht="15" x14ac:dyDescent="0.2">
      <c r="A34" s="70"/>
      <c r="B34" s="70"/>
      <c r="C34" s="71"/>
      <c r="D34" s="77"/>
      <c r="E34" s="77"/>
      <c r="F34" s="27"/>
      <c r="G34" s="29">
        <v>39360.400000000001</v>
      </c>
      <c r="H34" s="29">
        <v>11661.7</v>
      </c>
      <c r="I34" s="29">
        <f>V28</f>
        <v>39360.400000000001</v>
      </c>
      <c r="J34" s="29">
        <f>W28</f>
        <v>11654.6</v>
      </c>
      <c r="K34" s="29">
        <f>G34-I34</f>
        <v>0</v>
      </c>
      <c r="L34" s="29">
        <f>H34-J34</f>
        <v>7.1</v>
      </c>
      <c r="M34" s="80"/>
      <c r="N34" s="80"/>
      <c r="O34" s="80"/>
      <c r="P34" s="80"/>
      <c r="Q34" s="27"/>
      <c r="R34" s="27"/>
      <c r="S34" s="27"/>
      <c r="T34" s="27"/>
      <c r="U34" s="27"/>
      <c r="V34" s="27"/>
      <c r="W34" s="27"/>
      <c r="X34" s="27"/>
      <c r="Y34" s="27"/>
      <c r="Z34" s="27"/>
      <c r="AA34" s="27"/>
      <c r="AB34" s="27"/>
      <c r="AC34" s="27"/>
      <c r="AD34" s="27"/>
      <c r="AE34" s="27"/>
      <c r="AF34" s="27"/>
      <c r="AG34" s="27"/>
      <c r="AH34" s="27"/>
      <c r="AI34" s="27"/>
      <c r="AK34" s="76"/>
      <c r="AL34" s="76"/>
      <c r="AM34" s="76"/>
      <c r="AN34" s="76"/>
      <c r="AO34" s="76"/>
    </row>
    <row r="35" spans="1:41" s="75" customFormat="1" ht="15" x14ac:dyDescent="0.2">
      <c r="A35" s="70"/>
      <c r="B35" s="70"/>
      <c r="C35" s="71"/>
      <c r="D35" s="77"/>
      <c r="E35" s="77"/>
      <c r="F35" s="27"/>
      <c r="G35" s="27"/>
      <c r="H35" s="73"/>
      <c r="I35" s="73"/>
      <c r="J35" s="27"/>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K35" s="76"/>
      <c r="AL35" s="76"/>
      <c r="AM35" s="76"/>
      <c r="AN35" s="76"/>
      <c r="AO35" s="76"/>
    </row>
    <row r="36" spans="1:41" s="75" customFormat="1" ht="15" x14ac:dyDescent="0.2">
      <c r="A36" s="70"/>
      <c r="B36" s="70"/>
      <c r="C36" s="71"/>
      <c r="D36" s="77"/>
      <c r="E36" s="77"/>
      <c r="F36" s="27"/>
      <c r="G36" s="27"/>
      <c r="H36" s="73"/>
      <c r="I36" s="73"/>
      <c r="J36" s="27"/>
      <c r="K36" s="27"/>
      <c r="L36" s="27"/>
      <c r="M36" s="27"/>
      <c r="N36" s="74"/>
      <c r="O36" s="27"/>
      <c r="P36" s="27"/>
      <c r="Q36" s="27"/>
      <c r="R36" s="27"/>
      <c r="S36" s="27"/>
      <c r="T36" s="27"/>
      <c r="U36" s="27"/>
      <c r="V36" s="27"/>
      <c r="W36" s="27"/>
      <c r="X36" s="27"/>
      <c r="Y36" s="27"/>
      <c r="Z36" s="27"/>
      <c r="AA36" s="27"/>
      <c r="AB36" s="27"/>
      <c r="AC36" s="27"/>
      <c r="AD36" s="27"/>
      <c r="AE36" s="27"/>
      <c r="AF36" s="27"/>
      <c r="AG36" s="27"/>
      <c r="AH36" s="27"/>
      <c r="AI36" s="27"/>
      <c r="AK36" s="76"/>
      <c r="AL36" s="76"/>
      <c r="AM36" s="76"/>
      <c r="AN36" s="76"/>
      <c r="AO36" s="76"/>
    </row>
    <row r="37" spans="1:41" s="35" customFormat="1" ht="20.25" x14ac:dyDescent="0.2">
      <c r="A37" s="81"/>
      <c r="B37" s="82" t="s">
        <v>138</v>
      </c>
      <c r="C37" s="83"/>
      <c r="D37" s="84"/>
      <c r="E37" s="84"/>
      <c r="F37" s="85"/>
      <c r="G37" s="85"/>
      <c r="H37" s="86"/>
      <c r="I37" s="86"/>
      <c r="J37" s="85"/>
      <c r="K37" s="30" t="s">
        <v>166</v>
      </c>
      <c r="L37" s="85"/>
      <c r="M37" s="85"/>
      <c r="N37" s="87"/>
      <c r="O37" s="85"/>
      <c r="P37" s="85"/>
      <c r="Q37" s="85"/>
      <c r="R37" s="85"/>
      <c r="S37" s="85"/>
      <c r="T37" s="85"/>
      <c r="U37" s="85"/>
      <c r="V37" s="85"/>
      <c r="W37" s="85"/>
      <c r="X37" s="85"/>
      <c r="Y37" s="85"/>
      <c r="Z37" s="85"/>
      <c r="AA37" s="85"/>
      <c r="AB37" s="85"/>
      <c r="AC37" s="85"/>
      <c r="AD37" s="85"/>
      <c r="AE37" s="85"/>
      <c r="AF37" s="85"/>
      <c r="AG37" s="85"/>
      <c r="AH37" s="85"/>
      <c r="AI37" s="85"/>
      <c r="AK37" s="88"/>
      <c r="AL37" s="88"/>
      <c r="AM37" s="88"/>
      <c r="AN37" s="88"/>
      <c r="AO37" s="88"/>
    </row>
    <row r="38" spans="1:41" s="75" customFormat="1" ht="15" x14ac:dyDescent="0.2">
      <c r="A38" s="70"/>
      <c r="B38" s="70"/>
      <c r="C38" s="71"/>
      <c r="D38" s="77"/>
      <c r="E38" s="77"/>
      <c r="F38" s="27"/>
      <c r="G38" s="27"/>
      <c r="H38" s="73"/>
      <c r="I38" s="73"/>
      <c r="J38" s="27"/>
      <c r="K38" s="27"/>
      <c r="L38" s="27"/>
      <c r="M38" s="27"/>
      <c r="N38" s="74"/>
      <c r="O38" s="27"/>
      <c r="P38" s="27"/>
      <c r="Q38" s="27"/>
      <c r="R38" s="27"/>
      <c r="S38" s="27"/>
      <c r="T38" s="27"/>
      <c r="U38" s="27"/>
      <c r="V38" s="27"/>
      <c r="W38" s="27"/>
      <c r="X38" s="27"/>
      <c r="Y38" s="27"/>
      <c r="Z38" s="27"/>
      <c r="AA38" s="27"/>
      <c r="AB38" s="27"/>
      <c r="AC38" s="27"/>
      <c r="AD38" s="27"/>
      <c r="AE38" s="27"/>
      <c r="AF38" s="27"/>
      <c r="AG38" s="27"/>
      <c r="AH38" s="27"/>
      <c r="AI38" s="27"/>
      <c r="AK38" s="76"/>
      <c r="AL38" s="76"/>
      <c r="AM38" s="76"/>
      <c r="AN38" s="76"/>
      <c r="AO38" s="76"/>
    </row>
    <row r="39" spans="1:41" s="75" customFormat="1" ht="20.25" customHeight="1" x14ac:dyDescent="0.2">
      <c r="A39" s="89" t="s">
        <v>96</v>
      </c>
      <c r="B39" s="89"/>
      <c r="C39" s="31"/>
      <c r="D39" s="31"/>
      <c r="E39" s="31"/>
      <c r="F39" s="31"/>
      <c r="G39" s="31"/>
      <c r="H39" s="31"/>
      <c r="I39" s="31"/>
      <c r="J39" s="31"/>
      <c r="K39" s="31"/>
      <c r="L39" s="90"/>
      <c r="M39" s="90"/>
      <c r="N39" s="91"/>
      <c r="O39" s="90"/>
      <c r="P39" s="90"/>
      <c r="Q39" s="90"/>
      <c r="R39" s="90"/>
      <c r="S39" s="90"/>
      <c r="T39" s="90"/>
      <c r="U39" s="90"/>
      <c r="V39" s="90"/>
      <c r="W39" s="90"/>
      <c r="X39" s="90"/>
      <c r="Y39" s="90"/>
      <c r="Z39" s="90"/>
      <c r="AA39" s="90"/>
      <c r="AB39" s="90"/>
      <c r="AC39" s="90"/>
      <c r="AD39" s="90"/>
      <c r="AE39" s="90"/>
      <c r="AF39" s="90"/>
      <c r="AG39" s="90"/>
      <c r="AH39" s="90"/>
      <c r="AI39" s="90"/>
      <c r="AK39" s="76"/>
      <c r="AL39" s="76"/>
      <c r="AM39" s="76"/>
      <c r="AN39" s="76"/>
      <c r="AO39" s="76"/>
    </row>
    <row r="40" spans="1:41" s="75" customFormat="1" ht="20.25" customHeight="1" x14ac:dyDescent="0.2">
      <c r="A40" s="89" t="s">
        <v>139</v>
      </c>
      <c r="B40" s="92"/>
      <c r="C40" s="93"/>
      <c r="D40" s="93"/>
      <c r="E40" s="32"/>
      <c r="F40" s="32"/>
      <c r="G40" s="32"/>
      <c r="H40" s="32"/>
      <c r="I40" s="32"/>
      <c r="J40" s="32"/>
      <c r="K40" s="32"/>
      <c r="L40" s="90"/>
      <c r="M40" s="90"/>
      <c r="N40" s="90"/>
      <c r="O40" s="90"/>
      <c r="P40" s="90"/>
      <c r="Q40" s="90"/>
      <c r="R40" s="90"/>
      <c r="S40" s="90"/>
      <c r="T40" s="90"/>
      <c r="U40" s="90"/>
      <c r="V40" s="90"/>
      <c r="W40" s="90"/>
      <c r="X40" s="90"/>
      <c r="Y40" s="90"/>
      <c r="Z40" s="90"/>
      <c r="AA40" s="90"/>
      <c r="AB40" s="90"/>
      <c r="AC40" s="90"/>
      <c r="AD40" s="90"/>
      <c r="AE40" s="90"/>
      <c r="AF40" s="90"/>
      <c r="AG40" s="90"/>
      <c r="AH40" s="90"/>
      <c r="AI40" s="90"/>
      <c r="AK40" s="76"/>
      <c r="AL40" s="76"/>
      <c r="AM40" s="76"/>
      <c r="AN40" s="76"/>
      <c r="AO40" s="76"/>
    </row>
    <row r="41" spans="1:41" ht="15.75" x14ac:dyDescent="0.2">
      <c r="A41" s="3190"/>
      <c r="B41" s="3190"/>
      <c r="C41" s="3190"/>
    </row>
    <row r="43" spans="1:41" x14ac:dyDescent="0.2">
      <c r="E43" s="51"/>
    </row>
    <row r="44" spans="1:41" x14ac:dyDescent="0.2">
      <c r="E44" s="51"/>
    </row>
    <row r="45" spans="1:41" x14ac:dyDescent="0.2">
      <c r="E45" s="51"/>
    </row>
    <row r="46" spans="1:41" x14ac:dyDescent="0.2">
      <c r="E46" s="51"/>
    </row>
    <row r="47" spans="1:41" x14ac:dyDescent="0.2">
      <c r="E47" s="51"/>
    </row>
    <row r="48" spans="1:41" x14ac:dyDescent="0.2">
      <c r="E48" s="51"/>
    </row>
    <row r="49" spans="5:5" x14ac:dyDescent="0.2">
      <c r="E49" s="51"/>
    </row>
    <row r="50" spans="5:5" x14ac:dyDescent="0.2">
      <c r="E50" s="51"/>
    </row>
    <row r="51" spans="5:5" x14ac:dyDescent="0.2">
      <c r="E51" s="51"/>
    </row>
    <row r="52" spans="5:5" x14ac:dyDescent="0.2">
      <c r="E52" s="51"/>
    </row>
    <row r="53" spans="5:5" x14ac:dyDescent="0.2">
      <c r="E53" s="51"/>
    </row>
    <row r="54" spans="5:5" x14ac:dyDescent="0.2">
      <c r="E54" s="51"/>
    </row>
    <row r="55" spans="5:5" x14ac:dyDescent="0.2">
      <c r="E55" s="51"/>
    </row>
    <row r="56" spans="5:5" x14ac:dyDescent="0.2">
      <c r="E56" s="51"/>
    </row>
    <row r="57" spans="5:5" x14ac:dyDescent="0.2">
      <c r="E57" s="51"/>
    </row>
    <row r="58" spans="5:5" x14ac:dyDescent="0.2">
      <c r="E58" s="51"/>
    </row>
    <row r="59" spans="5:5" x14ac:dyDescent="0.2">
      <c r="E59" s="51"/>
    </row>
    <row r="60" spans="5:5" x14ac:dyDescent="0.2">
      <c r="E60" s="51"/>
    </row>
    <row r="61" spans="5:5" x14ac:dyDescent="0.2">
      <c r="E61" s="51"/>
    </row>
    <row r="62" spans="5:5" x14ac:dyDescent="0.2">
      <c r="E62" s="51"/>
    </row>
    <row r="63" spans="5:5" x14ac:dyDescent="0.2">
      <c r="E63" s="51"/>
    </row>
    <row r="64" spans="5:5" x14ac:dyDescent="0.2">
      <c r="E64" s="51"/>
    </row>
    <row r="65" spans="5:5" x14ac:dyDescent="0.2">
      <c r="E65" s="51"/>
    </row>
    <row r="66" spans="5:5" x14ac:dyDescent="0.2">
      <c r="E66" s="51"/>
    </row>
    <row r="67" spans="5:5" x14ac:dyDescent="0.2">
      <c r="E67" s="51"/>
    </row>
    <row r="68" spans="5:5" x14ac:dyDescent="0.2">
      <c r="E68" s="51"/>
    </row>
    <row r="69" spans="5:5" x14ac:dyDescent="0.2">
      <c r="E69" s="51"/>
    </row>
    <row r="70" spans="5:5" x14ac:dyDescent="0.2">
      <c r="E70" s="51"/>
    </row>
    <row r="71" spans="5:5" x14ac:dyDescent="0.2">
      <c r="E71" s="51"/>
    </row>
    <row r="72" spans="5:5" x14ac:dyDescent="0.2">
      <c r="E72" s="51"/>
    </row>
    <row r="73" spans="5:5" x14ac:dyDescent="0.2">
      <c r="E73" s="51"/>
    </row>
    <row r="74" spans="5:5" x14ac:dyDescent="0.2">
      <c r="E74" s="51"/>
    </row>
  </sheetData>
  <autoFilter ref="A8:AP30"/>
  <mergeCells count="38">
    <mergeCell ref="I32:J32"/>
    <mergeCell ref="K32:L32"/>
    <mergeCell ref="X5:AH5"/>
    <mergeCell ref="A41:C41"/>
    <mergeCell ref="G32:H32"/>
    <mergeCell ref="AA6:AC6"/>
    <mergeCell ref="R6:R7"/>
    <mergeCell ref="F6:F7"/>
    <mergeCell ref="G6:G7"/>
    <mergeCell ref="H6:H7"/>
    <mergeCell ref="I6:I7"/>
    <mergeCell ref="J6:J7"/>
    <mergeCell ref="K6:K7"/>
    <mergeCell ref="U9:U27"/>
    <mergeCell ref="A28:B28"/>
    <mergeCell ref="T6:T7"/>
    <mergeCell ref="U6:U7"/>
    <mergeCell ref="L6:L7"/>
    <mergeCell ref="M6:M7"/>
    <mergeCell ref="N6:O6"/>
    <mergeCell ref="P6:P7"/>
    <mergeCell ref="Q6:Q7"/>
    <mergeCell ref="AE1:AH1"/>
    <mergeCell ref="A2:AH2"/>
    <mergeCell ref="A3:AH3"/>
    <mergeCell ref="A5:A7"/>
    <mergeCell ref="B5:B7"/>
    <mergeCell ref="C5:C7"/>
    <mergeCell ref="D5:W5"/>
    <mergeCell ref="D6:D7"/>
    <mergeCell ref="E6:E7"/>
    <mergeCell ref="AD6:AF6"/>
    <mergeCell ref="AG6:AG7"/>
    <mergeCell ref="AH6:AH7"/>
    <mergeCell ref="V6:V7"/>
    <mergeCell ref="W6:W7"/>
    <mergeCell ref="X6:Z6"/>
    <mergeCell ref="S6:S7"/>
  </mergeCells>
  <printOptions horizontalCentered="1"/>
  <pageMargins left="0.25" right="0.25" top="0.75" bottom="0.75" header="0.3" footer="0.3"/>
  <pageSetup paperSize="9" scale="33"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00FFFF"/>
  </sheetPr>
  <dimension ref="A1:E17"/>
  <sheetViews>
    <sheetView view="pageBreakPreview" zoomScale="80" zoomScaleNormal="100" zoomScaleSheetLayoutView="80" workbookViewId="0">
      <selection activeCell="A2" sqref="A2:E2"/>
    </sheetView>
  </sheetViews>
  <sheetFormatPr defaultRowHeight="39.75" customHeight="1" x14ac:dyDescent="0.25"/>
  <cols>
    <col min="1" max="1" width="81.33203125" style="313" customWidth="1"/>
    <col min="2" max="2" width="10" style="313" customWidth="1"/>
    <col min="3" max="5" width="25.83203125" style="313" customWidth="1"/>
    <col min="6" max="16384" width="9.33203125" style="313"/>
  </cols>
  <sheetData>
    <row r="1" spans="1:5" ht="55.5" customHeight="1" x14ac:dyDescent="0.25">
      <c r="A1" s="3511" t="s">
        <v>708</v>
      </c>
      <c r="B1" s="3511"/>
      <c r="C1" s="3511"/>
      <c r="D1" s="3511"/>
      <c r="E1" s="3511"/>
    </row>
    <row r="2" spans="1:5" ht="34.5" customHeight="1" x14ac:dyDescent="0.25">
      <c r="A2" s="3511" t="s">
        <v>1442</v>
      </c>
      <c r="B2" s="3511"/>
      <c r="C2" s="3511"/>
      <c r="D2" s="3511"/>
      <c r="E2" s="3511"/>
    </row>
    <row r="3" spans="1:5" ht="13.5" customHeight="1" x14ac:dyDescent="0.25">
      <c r="A3" s="329"/>
      <c r="B3" s="329"/>
      <c r="C3" s="329"/>
      <c r="D3" s="329"/>
      <c r="E3" s="329"/>
    </row>
    <row r="4" spans="1:5" ht="39.75" customHeight="1" x14ac:dyDescent="0.25">
      <c r="A4" s="3512" t="s">
        <v>386</v>
      </c>
      <c r="B4" s="3512" t="s">
        <v>387</v>
      </c>
      <c r="C4" s="3512" t="s">
        <v>388</v>
      </c>
      <c r="D4" s="3512"/>
      <c r="E4" s="3512"/>
    </row>
    <row r="5" spans="1:5" ht="39.75" customHeight="1" x14ac:dyDescent="0.25">
      <c r="A5" s="3512"/>
      <c r="B5" s="3512"/>
      <c r="C5" s="372" t="s">
        <v>458</v>
      </c>
      <c r="D5" s="372" t="s">
        <v>458</v>
      </c>
      <c r="E5" s="372" t="s">
        <v>458</v>
      </c>
    </row>
    <row r="6" spans="1:5" ht="39.75" customHeight="1" x14ac:dyDescent="0.25">
      <c r="A6" s="3512"/>
      <c r="B6" s="3512"/>
      <c r="C6" s="372" t="s">
        <v>389</v>
      </c>
      <c r="D6" s="372" t="s">
        <v>390</v>
      </c>
      <c r="E6" s="372" t="s">
        <v>391</v>
      </c>
    </row>
    <row r="7" spans="1:5" ht="16.5" customHeight="1" x14ac:dyDescent="0.25">
      <c r="A7" s="372">
        <v>1</v>
      </c>
      <c r="B7" s="372">
        <v>2</v>
      </c>
      <c r="C7" s="372">
        <v>3</v>
      </c>
      <c r="D7" s="372">
        <v>4</v>
      </c>
      <c r="E7" s="372">
        <v>5</v>
      </c>
    </row>
    <row r="8" spans="1:5" ht="20.25" customHeight="1" x14ac:dyDescent="0.25">
      <c r="A8" s="373" t="s">
        <v>510</v>
      </c>
      <c r="B8" s="372">
        <v>100</v>
      </c>
      <c r="C8" s="373"/>
      <c r="D8" s="373"/>
      <c r="E8" s="373"/>
    </row>
    <row r="9" spans="1:5" ht="20.25" customHeight="1" x14ac:dyDescent="0.25">
      <c r="A9" s="373" t="s">
        <v>511</v>
      </c>
      <c r="B9" s="372">
        <v>200</v>
      </c>
      <c r="C9" s="373"/>
      <c r="D9" s="373"/>
      <c r="E9" s="373"/>
    </row>
    <row r="10" spans="1:5" ht="30.75" customHeight="1" x14ac:dyDescent="0.25">
      <c r="A10" s="373" t="s">
        <v>512</v>
      </c>
      <c r="B10" s="372">
        <v>300</v>
      </c>
      <c r="C10" s="373"/>
      <c r="D10" s="373"/>
      <c r="E10" s="373"/>
    </row>
    <row r="11" spans="1:5" ht="30.75" customHeight="1" x14ac:dyDescent="0.25">
      <c r="A11" s="373" t="s">
        <v>513</v>
      </c>
      <c r="B11" s="372">
        <v>301</v>
      </c>
      <c r="C11" s="373"/>
      <c r="D11" s="373"/>
      <c r="E11" s="373"/>
    </row>
    <row r="12" spans="1:5" ht="20.25" customHeight="1" x14ac:dyDescent="0.25">
      <c r="A12" s="373" t="s">
        <v>514</v>
      </c>
      <c r="B12" s="372">
        <v>302</v>
      </c>
      <c r="C12" s="373"/>
      <c r="D12" s="373"/>
      <c r="E12" s="373"/>
    </row>
    <row r="13" spans="1:5" ht="30.75" customHeight="1" x14ac:dyDescent="0.25">
      <c r="A13" s="373" t="s">
        <v>515</v>
      </c>
      <c r="B13" s="372">
        <v>303</v>
      </c>
      <c r="C13" s="373"/>
      <c r="D13" s="373"/>
      <c r="E13" s="373"/>
    </row>
    <row r="14" spans="1:5" ht="30.75" customHeight="1" x14ac:dyDescent="0.25">
      <c r="A14" s="373" t="s">
        <v>516</v>
      </c>
      <c r="B14" s="372">
        <v>304</v>
      </c>
      <c r="C14" s="373"/>
      <c r="D14" s="373"/>
      <c r="E14" s="373"/>
    </row>
    <row r="15" spans="1:5" ht="22.5" customHeight="1" x14ac:dyDescent="0.25">
      <c r="A15" s="373" t="s">
        <v>482</v>
      </c>
      <c r="B15" s="372">
        <v>400</v>
      </c>
      <c r="C15" s="373"/>
      <c r="D15" s="373"/>
      <c r="E15" s="373"/>
    </row>
    <row r="16" spans="1:5" ht="22.5" customHeight="1" x14ac:dyDescent="0.25">
      <c r="A16" s="373" t="s">
        <v>483</v>
      </c>
      <c r="B16" s="372">
        <v>500</v>
      </c>
      <c r="C16" s="373"/>
      <c r="D16" s="373"/>
      <c r="E16" s="373"/>
    </row>
    <row r="17" spans="1:5" s="316" customFormat="1" ht="49.5" customHeight="1" x14ac:dyDescent="0.25">
      <c r="A17" s="314" t="s">
        <v>517</v>
      </c>
      <c r="B17" s="315">
        <v>600</v>
      </c>
      <c r="C17" s="314"/>
      <c r="D17" s="314"/>
      <c r="E17" s="314"/>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00FFFF"/>
  </sheetPr>
  <dimension ref="A1:H35"/>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activeCell="D12" sqref="D12"/>
    </sheetView>
  </sheetViews>
  <sheetFormatPr defaultRowHeight="15" x14ac:dyDescent="0.25"/>
  <cols>
    <col min="1" max="1" width="67.83203125" style="642" customWidth="1"/>
    <col min="2" max="2" width="10.83203125" style="642" customWidth="1"/>
    <col min="3" max="3" width="26.33203125" style="642" customWidth="1"/>
    <col min="4" max="4" width="29" style="642" customWidth="1"/>
    <col min="5" max="5" width="27.6640625" style="642" customWidth="1"/>
    <col min="6" max="6" width="13" style="642" customWidth="1"/>
    <col min="7" max="8" width="14.1640625" style="642" bestFit="1" customWidth="1"/>
    <col min="9" max="16384" width="9.33203125" style="642"/>
  </cols>
  <sheetData>
    <row r="1" spans="1:5" x14ac:dyDescent="0.25">
      <c r="A1" s="3419" t="s">
        <v>2861</v>
      </c>
      <c r="B1" s="3419"/>
      <c r="C1" s="3419"/>
      <c r="D1" s="3419"/>
      <c r="E1" s="3419"/>
    </row>
    <row r="2" spans="1:5" x14ac:dyDescent="0.25">
      <c r="A2" s="3419" t="s">
        <v>1442</v>
      </c>
      <c r="B2" s="3419"/>
      <c r="C2" s="3419"/>
      <c r="D2" s="3419"/>
      <c r="E2" s="3419"/>
    </row>
    <row r="3" spans="1:5" x14ac:dyDescent="0.25">
      <c r="A3" s="1768"/>
      <c r="B3" s="1768"/>
      <c r="C3" s="1768"/>
      <c r="D3" s="1768"/>
      <c r="E3" s="957">
        <v>43831</v>
      </c>
    </row>
    <row r="4" spans="1:5" x14ac:dyDescent="0.25">
      <c r="A4" s="3422" t="s">
        <v>386</v>
      </c>
      <c r="B4" s="3422" t="s">
        <v>387</v>
      </c>
      <c r="C4" s="3422" t="s">
        <v>388</v>
      </c>
      <c r="D4" s="3422"/>
      <c r="E4" s="3422"/>
    </row>
    <row r="5" spans="1:5" ht="20.25" customHeight="1" x14ac:dyDescent="0.25">
      <c r="A5" s="3422"/>
      <c r="B5" s="3422"/>
      <c r="C5" s="1767" t="s">
        <v>397</v>
      </c>
      <c r="D5" s="1767" t="s">
        <v>398</v>
      </c>
      <c r="E5" s="1767" t="s">
        <v>399</v>
      </c>
    </row>
    <row r="6" spans="1:5" ht="47.25" customHeight="1" x14ac:dyDescent="0.25">
      <c r="A6" s="3422"/>
      <c r="B6" s="3422"/>
      <c r="C6" s="1767" t="s">
        <v>389</v>
      </c>
      <c r="D6" s="1767" t="s">
        <v>390</v>
      </c>
      <c r="E6" s="1767" t="s">
        <v>391</v>
      </c>
    </row>
    <row r="7" spans="1:5" x14ac:dyDescent="0.25">
      <c r="A7" s="1767">
        <v>1</v>
      </c>
      <c r="B7" s="1767">
        <v>2</v>
      </c>
      <c r="C7" s="1767">
        <v>3</v>
      </c>
      <c r="D7" s="1767">
        <v>4</v>
      </c>
      <c r="E7" s="1767">
        <v>5</v>
      </c>
    </row>
    <row r="8" spans="1:5" ht="60" customHeight="1" x14ac:dyDescent="0.25">
      <c r="A8" s="644" t="s">
        <v>405</v>
      </c>
      <c r="B8" s="1767">
        <v>100</v>
      </c>
      <c r="C8" s="645"/>
      <c r="D8" s="645"/>
      <c r="E8" s="645"/>
    </row>
    <row r="9" spans="1:5" ht="42" customHeight="1" x14ac:dyDescent="0.25">
      <c r="A9" s="644" t="s">
        <v>406</v>
      </c>
      <c r="B9" s="1767">
        <v>200</v>
      </c>
      <c r="C9" s="645"/>
      <c r="D9" s="645"/>
      <c r="E9" s="645"/>
    </row>
    <row r="10" spans="1:5" ht="17.25" customHeight="1" x14ac:dyDescent="0.25">
      <c r="A10" s="644" t="s">
        <v>407</v>
      </c>
      <c r="B10" s="1767">
        <v>300</v>
      </c>
      <c r="C10" s="645">
        <f>SUM(C12:C30)</f>
        <v>6969900</v>
      </c>
      <c r="D10" s="645">
        <f t="shared" ref="D10:E10" si="0">SUM(D12:D30)</f>
        <v>6877200</v>
      </c>
      <c r="E10" s="645">
        <f t="shared" si="0"/>
        <v>6937600</v>
      </c>
    </row>
    <row r="11" spans="1:5" x14ac:dyDescent="0.25">
      <c r="A11" s="644" t="s">
        <v>408</v>
      </c>
      <c r="B11" s="644"/>
      <c r="C11" s="645"/>
      <c r="D11" s="645"/>
      <c r="E11" s="645"/>
    </row>
    <row r="12" spans="1:5" x14ac:dyDescent="0.25">
      <c r="A12" s="644" t="s">
        <v>410</v>
      </c>
      <c r="B12" s="1767">
        <v>301</v>
      </c>
      <c r="C12" s="645">
        <f>'б-т 922 ПГ (01.01.20) '!R421*1000</f>
        <v>77500</v>
      </c>
      <c r="D12" s="645">
        <f>'б-т 922 ПГ (01.01.20) '!V421*1000</f>
        <v>85000</v>
      </c>
      <c r="E12" s="645">
        <f>'б-т 922 ПГ (01.01.20) '!Y421*1000</f>
        <v>85000</v>
      </c>
    </row>
    <row r="13" spans="1:5" x14ac:dyDescent="0.25">
      <c r="A13" s="644" t="s">
        <v>409</v>
      </c>
      <c r="B13" s="1767">
        <v>302</v>
      </c>
      <c r="C13" s="645">
        <f>'б-т 925 (01.01.20)'!R83*1000</f>
        <v>60700</v>
      </c>
      <c r="D13" s="645">
        <f>'б-т 925 (01.01.20)'!U83*1000</f>
        <v>60700</v>
      </c>
      <c r="E13" s="645">
        <f>'б-т 925 (01.01.20)'!V83*1000</f>
        <v>60700</v>
      </c>
    </row>
    <row r="14" spans="1:5" x14ac:dyDescent="0.25">
      <c r="A14" s="644" t="s">
        <v>411</v>
      </c>
      <c r="B14" s="1767">
        <v>303</v>
      </c>
      <c r="C14" s="645">
        <f>'б-т 931,932,933 (01.01.20)'!S40*1000</f>
        <v>1668900</v>
      </c>
      <c r="D14" s="645">
        <f>'б-т 931,932,933 (01.01.20)'!T40*1000</f>
        <v>1668900</v>
      </c>
      <c r="E14" s="645">
        <f>'б-т 931,932,933 (01.01.20)'!U40*1000</f>
        <v>1668900</v>
      </c>
    </row>
    <row r="15" spans="1:5" x14ac:dyDescent="0.25">
      <c r="A15" s="644" t="s">
        <v>863</v>
      </c>
      <c r="B15" s="1767">
        <v>304</v>
      </c>
      <c r="C15" s="645">
        <f>'б-т 934 (01.01.20)'!J19*1000</f>
        <v>166600</v>
      </c>
      <c r="D15" s="645">
        <f>'б-т 934 (01.01.20)'!K19*1000</f>
        <v>166600</v>
      </c>
      <c r="E15" s="645">
        <f>'б-т 934 (01.01.20)'!L19*1000</f>
        <v>166600</v>
      </c>
    </row>
    <row r="16" spans="1:5" x14ac:dyDescent="0.25">
      <c r="A16" s="644" t="s">
        <v>546</v>
      </c>
      <c r="B16" s="1767">
        <v>305</v>
      </c>
      <c r="C16" s="645">
        <f>'б-т 927 (01.01.20)'!P37*1000</f>
        <v>1459200</v>
      </c>
      <c r="D16" s="645">
        <f>'б-т 927 (01.01.20)'!T37*1000</f>
        <v>1516400</v>
      </c>
      <c r="E16" s="645">
        <f>'б-т 927 (01.01.20)'!W37*1000</f>
        <v>1576800</v>
      </c>
    </row>
    <row r="17" spans="1:8" x14ac:dyDescent="0.25">
      <c r="A17" s="644" t="s">
        <v>412</v>
      </c>
      <c r="B17" s="1767">
        <v>306</v>
      </c>
      <c r="C17" s="645"/>
      <c r="D17" s="645"/>
      <c r="E17" s="645"/>
    </row>
    <row r="18" spans="1:8" x14ac:dyDescent="0.25">
      <c r="A18" s="644" t="s">
        <v>413</v>
      </c>
      <c r="B18" s="1767">
        <v>307</v>
      </c>
      <c r="C18" s="645">
        <f>('б-т 941 (01.01.20)'!P33+'б-т 947 (01.01.20)'!Q43)*1000</f>
        <v>729800</v>
      </c>
      <c r="D18" s="645">
        <f>('б-т 941 (01.01.20)'!T33+'б-т 947 (01.01.20)'!U43)*1000</f>
        <v>729800</v>
      </c>
      <c r="E18" s="645">
        <f>('б-т 941 (01.01.20)'!W33+'б-т 947 (01.01.20)'!X43)*1000</f>
        <v>729800</v>
      </c>
    </row>
    <row r="19" spans="1:8" ht="22.5" customHeight="1" x14ac:dyDescent="0.25">
      <c r="A19" s="644" t="s">
        <v>684</v>
      </c>
      <c r="B19" s="1767">
        <v>308</v>
      </c>
      <c r="C19" s="645">
        <f>'б-т 953 (01.01.20)'!Q30*1000</f>
        <v>940300</v>
      </c>
      <c r="D19" s="645">
        <f>'б-т 953 (01.01.20)'!U30*1000</f>
        <v>940300</v>
      </c>
      <c r="E19" s="645">
        <f>'б-т 953 (01.01.20)'!X30*1000</f>
        <v>940300</v>
      </c>
    </row>
    <row r="20" spans="1:8" x14ac:dyDescent="0.25">
      <c r="A20" s="644" t="s">
        <v>414</v>
      </c>
      <c r="B20" s="1767">
        <v>309</v>
      </c>
      <c r="C20" s="645"/>
      <c r="D20" s="645"/>
      <c r="E20" s="645"/>
    </row>
    <row r="21" spans="1:8" x14ac:dyDescent="0.25">
      <c r="A21" s="644" t="s">
        <v>422</v>
      </c>
      <c r="B21" s="1767">
        <v>310</v>
      </c>
      <c r="C21" s="2972">
        <f>'б-т 954 (01.01.20)'!Q30*1000</f>
        <v>31200</v>
      </c>
      <c r="D21" s="2972">
        <f>'б-т 954 (01.01.20)'!U30*1000</f>
        <v>31200</v>
      </c>
      <c r="E21" s="2972">
        <f>'б-т 954 (01.01.20)'!X30*1000</f>
        <v>31200</v>
      </c>
    </row>
    <row r="22" spans="1:8" ht="18" customHeight="1" x14ac:dyDescent="0.25">
      <c r="A22" s="644" t="s">
        <v>415</v>
      </c>
      <c r="B22" s="1767">
        <v>311</v>
      </c>
      <c r="C22" s="645"/>
      <c r="D22" s="645"/>
      <c r="E22" s="645"/>
    </row>
    <row r="23" spans="1:8" ht="26.25" customHeight="1" x14ac:dyDescent="0.25">
      <c r="A23" s="644" t="s">
        <v>710</v>
      </c>
      <c r="B23" s="1767">
        <v>312</v>
      </c>
      <c r="C23" s="645">
        <f>'б-т 955 ПГ (01.01.20)'!T434*1000</f>
        <v>584600</v>
      </c>
      <c r="D23" s="645">
        <f>'б-т 955 ПГ (01.01.20)'!U434*1000</f>
        <v>521600</v>
      </c>
      <c r="E23" s="645">
        <f>'б-т 955 ПГ (01.01.20)'!V434*1000</f>
        <v>521600</v>
      </c>
    </row>
    <row r="24" spans="1:8" ht="26.25" customHeight="1" x14ac:dyDescent="0.25">
      <c r="A24" s="644" t="s">
        <v>711</v>
      </c>
      <c r="B24" s="1767">
        <v>313</v>
      </c>
      <c r="C24" s="645"/>
      <c r="D24" s="645"/>
      <c r="E24" s="645"/>
    </row>
    <row r="25" spans="1:8" ht="28.5" customHeight="1" x14ac:dyDescent="0.25">
      <c r="A25" s="644" t="s">
        <v>423</v>
      </c>
      <c r="B25" s="1767">
        <v>314</v>
      </c>
      <c r="C25" s="645">
        <f>'б-т 963 ПГ (01.01.20)'!S434*1000</f>
        <v>347600</v>
      </c>
      <c r="D25" s="645">
        <f>'б-т 963 ПГ (01.01.20)'!T434*1000</f>
        <v>354900</v>
      </c>
      <c r="E25" s="645">
        <f>'б-т 963 ПГ (01.01.20)'!U434*1000</f>
        <v>354900</v>
      </c>
    </row>
    <row r="26" spans="1:8" ht="15" customHeight="1" x14ac:dyDescent="0.25">
      <c r="A26" s="644" t="s">
        <v>424</v>
      </c>
      <c r="B26" s="1767">
        <v>315</v>
      </c>
      <c r="C26" s="645"/>
      <c r="D26" s="645"/>
      <c r="E26" s="645"/>
    </row>
    <row r="27" spans="1:8" ht="63.75" customHeight="1" x14ac:dyDescent="0.25">
      <c r="A27" s="644" t="s">
        <v>416</v>
      </c>
      <c r="B27" s="1767">
        <v>316</v>
      </c>
      <c r="C27" s="645">
        <f>'б-т 995 (01.01.20)'!Z36*1000</f>
        <v>28500</v>
      </c>
      <c r="D27" s="645">
        <f>'б-т 995 (01.01.20)'!AF36*1000</f>
        <v>28500</v>
      </c>
      <c r="E27" s="645">
        <f>'б-т 995 (01.01.20)'!AK36*1000</f>
        <v>28500</v>
      </c>
    </row>
    <row r="28" spans="1:8" ht="20.25" customHeight="1" x14ac:dyDescent="0.25">
      <c r="A28" s="644" t="s">
        <v>417</v>
      </c>
      <c r="B28" s="1767">
        <v>317</v>
      </c>
      <c r="C28" s="645">
        <f>'б-т 971 ПГ (01.01.20)'!R423*1000</f>
        <v>115600</v>
      </c>
      <c r="D28" s="645">
        <v>0</v>
      </c>
      <c r="E28" s="645">
        <v>0</v>
      </c>
    </row>
    <row r="29" spans="1:8" ht="20.25" customHeight="1" x14ac:dyDescent="0.25">
      <c r="A29" s="644" t="s">
        <v>418</v>
      </c>
      <c r="B29" s="1767">
        <v>318</v>
      </c>
      <c r="C29" s="645">
        <f>'б-т 981 (01.01.20)'!R587*1000+'б-т 982 (01.01.20)'!L8+'б-т 985 (01.01.20)'!U8*1000+'б-т 986 (01.01.20)'!W20*1000</f>
        <v>635200</v>
      </c>
      <c r="D29" s="645">
        <f>'б-т 981 (01.01.20)'!S587*1000+'б-т 982 (01.01.20)'!P8+'б-т 985 (01.01.20)'!Z8*1000+'б-т 986 (01.01.20)'!AB20*1000</f>
        <v>649100</v>
      </c>
      <c r="E29" s="645">
        <f>'б-т 981 (01.01.20)'!T587*1000+'б-т 982 (01.01.20)'!R8+'б-т 985 (01.01.20)'!AA8*1000+'б-т 986 (01.01.20)'!AC20*1000</f>
        <v>649100</v>
      </c>
      <c r="F29" s="958"/>
      <c r="G29" s="958"/>
      <c r="H29" s="958"/>
    </row>
    <row r="30" spans="1:8" ht="20.25" customHeight="1" x14ac:dyDescent="0.25">
      <c r="A30" s="644" t="s">
        <v>777</v>
      </c>
      <c r="B30" s="1767">
        <v>319</v>
      </c>
      <c r="C30" s="645">
        <f>'б-т 996 (01.01.20)'!AD23</f>
        <v>124200</v>
      </c>
      <c r="D30" s="645">
        <f>'б-т 996 (01.01.20)'!AK23</f>
        <v>124200</v>
      </c>
      <c r="E30" s="645">
        <f>'б-т 996 (01.01.20)'!AR23</f>
        <v>124200</v>
      </c>
      <c r="G30" s="958"/>
    </row>
    <row r="31" spans="1:8" ht="59.25" customHeight="1" x14ac:dyDescent="0.25">
      <c r="A31" s="644" t="s">
        <v>419</v>
      </c>
      <c r="B31" s="1767">
        <v>400</v>
      </c>
      <c r="C31" s="645"/>
      <c r="D31" s="645"/>
      <c r="E31" s="645"/>
      <c r="F31" s="958"/>
    </row>
    <row r="32" spans="1:8" ht="49.5" customHeight="1" x14ac:dyDescent="0.25">
      <c r="A32" s="644" t="s">
        <v>420</v>
      </c>
      <c r="B32" s="1767">
        <v>500</v>
      </c>
      <c r="C32" s="645"/>
      <c r="D32" s="645"/>
      <c r="E32" s="645"/>
    </row>
    <row r="33" spans="1:6" s="649" customFormat="1" ht="31.5" customHeight="1" x14ac:dyDescent="0.2">
      <c r="A33" s="646" t="s">
        <v>1293</v>
      </c>
      <c r="B33" s="647">
        <v>600</v>
      </c>
      <c r="C33" s="648">
        <f>C8-C9+C10-C31+C32</f>
        <v>6969900</v>
      </c>
      <c r="D33" s="648">
        <f>D8-D9+D10-D31+D32</f>
        <v>6877200</v>
      </c>
      <c r="E33" s="648">
        <f>E8-E9+E10-E31+E32</f>
        <v>6937600</v>
      </c>
    </row>
    <row r="34" spans="1:6" x14ac:dyDescent="0.25">
      <c r="A34" s="642" t="s">
        <v>183</v>
      </c>
      <c r="C34" s="958">
        <v>6969900</v>
      </c>
      <c r="D34" s="958">
        <v>6877200</v>
      </c>
      <c r="E34" s="958">
        <v>6937600</v>
      </c>
      <c r="F34" s="958"/>
    </row>
    <row r="35" spans="1:6" x14ac:dyDescent="0.25">
      <c r="C35" s="958">
        <f>C33-C34</f>
        <v>0</v>
      </c>
      <c r="D35" s="958">
        <f>D33-D34</f>
        <v>0</v>
      </c>
      <c r="E35" s="958">
        <f>E33-E34</f>
        <v>0</v>
      </c>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N432"/>
  <sheetViews>
    <sheetView view="pageBreakPreview" zoomScale="70" zoomScaleNormal="70" zoomScaleSheetLayoutView="70" workbookViewId="0">
      <pane xSplit="4" ySplit="9" topLeftCell="E10" activePane="bottomRight" state="frozen"/>
      <selection pane="topRight" activeCell="E1" sqref="E1"/>
      <selection pane="bottomLeft" activeCell="A10" sqref="A10"/>
      <selection pane="bottomRight" activeCell="A2" sqref="A2:AB2"/>
    </sheetView>
  </sheetViews>
  <sheetFormatPr defaultColWidth="10.6640625" defaultRowHeight="15" x14ac:dyDescent="0.25"/>
  <cols>
    <col min="1" max="1" width="9.33203125" style="585" customWidth="1"/>
    <col min="2" max="2" width="66.33203125" style="467" customWidth="1"/>
    <col min="3" max="3" width="20.1640625" style="586" customWidth="1"/>
    <col min="4" max="5" width="16.1640625" style="585" customWidth="1"/>
    <col min="6" max="6" width="16.5" style="563" hidden="1" customWidth="1"/>
    <col min="7" max="7" width="16.5" style="564" hidden="1" customWidth="1"/>
    <col min="8" max="8" width="16.5" style="565" hidden="1" customWidth="1"/>
    <col min="9" max="9" width="10.83203125" style="470" hidden="1" customWidth="1"/>
    <col min="10" max="10" width="17.33203125" style="470" hidden="1" customWidth="1"/>
    <col min="11" max="11" width="14.83203125" style="470" hidden="1" customWidth="1"/>
    <col min="12" max="12" width="25.1640625" style="470" hidden="1" customWidth="1"/>
    <col min="13" max="13" width="17.33203125" style="470" hidden="1" customWidth="1"/>
    <col min="14" max="14" width="14.83203125" style="470" hidden="1" customWidth="1"/>
    <col min="15" max="17" width="14.83203125" style="470" customWidth="1"/>
    <col min="18" max="18" width="18.33203125" style="470" customWidth="1"/>
    <col min="19" max="25" width="14.83203125" style="470" customWidth="1"/>
    <col min="26" max="27" width="14.83203125" style="566" customWidth="1"/>
    <col min="28" max="28" width="42.1640625" style="465" customWidth="1"/>
    <col min="29" max="29" width="14.83203125" style="583" customWidth="1"/>
    <col min="30" max="30" width="12.83203125" style="467" customWidth="1"/>
    <col min="31" max="31" width="10.83203125" style="467" bestFit="1" customWidth="1"/>
    <col min="32" max="32" width="18.5" style="584" customWidth="1"/>
    <col min="33" max="33" width="13.5" style="467" customWidth="1"/>
    <col min="34" max="16384" width="10.6640625" style="467"/>
  </cols>
  <sheetData>
    <row r="1" spans="1:40" x14ac:dyDescent="0.25">
      <c r="A1" s="1034"/>
      <c r="B1" s="374"/>
      <c r="C1" s="374"/>
      <c r="D1" s="1034"/>
      <c r="E1" s="1034"/>
      <c r="F1" s="375"/>
      <c r="G1" s="376"/>
      <c r="H1" s="377"/>
      <c r="I1" s="378"/>
      <c r="J1" s="378"/>
      <c r="K1" s="463"/>
      <c r="L1" s="378"/>
      <c r="M1" s="378"/>
      <c r="N1" s="463"/>
      <c r="O1" s="378"/>
      <c r="P1" s="378"/>
      <c r="Q1" s="463"/>
      <c r="R1" s="463"/>
      <c r="S1" s="463"/>
      <c r="T1" s="378"/>
      <c r="U1" s="378"/>
      <c r="V1" s="463"/>
      <c r="W1" s="378"/>
      <c r="X1" s="378"/>
      <c r="Y1" s="463"/>
      <c r="Z1" s="377"/>
      <c r="AA1" s="377"/>
      <c r="AB1" s="379"/>
      <c r="AC1" s="464"/>
      <c r="AD1" s="465"/>
      <c r="AE1" s="465"/>
      <c r="AF1" s="466"/>
      <c r="AG1" s="465"/>
      <c r="AH1" s="465"/>
    </row>
    <row r="2" spans="1:40" ht="19.5" x14ac:dyDescent="0.25">
      <c r="A2" s="3513" t="s">
        <v>1998</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464"/>
      <c r="AD2" s="465"/>
      <c r="AE2" s="465"/>
      <c r="AF2" s="466"/>
      <c r="AG2" s="465"/>
      <c r="AH2" s="465"/>
    </row>
    <row r="3" spans="1:40" ht="45" customHeight="1" x14ac:dyDescent="0.25">
      <c r="A3" s="3538" t="s">
        <v>1442</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464"/>
      <c r="AD3" s="465"/>
      <c r="AE3" s="465"/>
      <c r="AF3" s="466"/>
      <c r="AG3" s="465"/>
      <c r="AH3" s="465"/>
    </row>
    <row r="4" spans="1:40" ht="21" customHeight="1" x14ac:dyDescent="0.25">
      <c r="A4" s="1034"/>
      <c r="B4" s="374"/>
      <c r="C4" s="374"/>
      <c r="D4" s="1034"/>
      <c r="E4" s="1034"/>
      <c r="F4" s="375"/>
      <c r="G4" s="376"/>
      <c r="H4" s="377"/>
      <c r="I4" s="378"/>
      <c r="J4" s="378"/>
      <c r="K4" s="463"/>
      <c r="L4" s="378"/>
      <c r="M4" s="378"/>
      <c r="N4" s="463"/>
      <c r="O4" s="378"/>
      <c r="P4" s="378"/>
      <c r="Q4" s="463"/>
      <c r="R4" s="463"/>
      <c r="S4" s="463"/>
      <c r="T4" s="378"/>
      <c r="U4" s="378"/>
      <c r="V4" s="463"/>
      <c r="W4" s="378"/>
      <c r="X4" s="378"/>
      <c r="Y4" s="463"/>
      <c r="Z4" s="377"/>
      <c r="AA4" s="377"/>
      <c r="AB4" s="683">
        <v>43831</v>
      </c>
      <c r="AC4" s="464"/>
      <c r="AD4" s="465"/>
      <c r="AE4" s="465"/>
      <c r="AF4" s="466"/>
      <c r="AG4" s="465"/>
      <c r="AH4" s="465"/>
    </row>
    <row r="5" spans="1:40" ht="63.75" customHeight="1" x14ac:dyDescent="0.25">
      <c r="A5" s="3539" t="s">
        <v>78</v>
      </c>
      <c r="B5" s="3539" t="s">
        <v>484</v>
      </c>
      <c r="C5" s="3540" t="s">
        <v>485</v>
      </c>
      <c r="D5" s="3539" t="s">
        <v>486</v>
      </c>
      <c r="E5" s="3539" t="s">
        <v>219</v>
      </c>
      <c r="F5" s="3533" t="s">
        <v>344</v>
      </c>
      <c r="G5" s="3533"/>
      <c r="H5" s="3533"/>
      <c r="I5" s="3533" t="s">
        <v>487</v>
      </c>
      <c r="J5" s="3533"/>
      <c r="K5" s="3533"/>
      <c r="L5" s="3541" t="s">
        <v>488</v>
      </c>
      <c r="M5" s="3542"/>
      <c r="N5" s="3543"/>
      <c r="O5" s="3533" t="s">
        <v>489</v>
      </c>
      <c r="P5" s="3533"/>
      <c r="Q5" s="3533"/>
      <c r="R5" s="3531" t="s">
        <v>490</v>
      </c>
      <c r="S5" s="3532"/>
      <c r="T5" s="3533" t="s">
        <v>205</v>
      </c>
      <c r="U5" s="3533"/>
      <c r="V5" s="3533"/>
      <c r="W5" s="3534" t="s">
        <v>206</v>
      </c>
      <c r="X5" s="3535"/>
      <c r="Y5" s="3536"/>
      <c r="Z5" s="3537" t="s">
        <v>120</v>
      </c>
      <c r="AA5" s="3537"/>
      <c r="AB5" s="3530" t="s">
        <v>491</v>
      </c>
      <c r="AC5" s="464"/>
      <c r="AD5" s="465"/>
      <c r="AE5" s="465"/>
      <c r="AF5" s="466"/>
      <c r="AG5" s="465"/>
      <c r="AH5" s="465"/>
    </row>
    <row r="6" spans="1:40" s="465" customFormat="1" ht="62.25" customHeight="1" x14ac:dyDescent="0.25">
      <c r="A6" s="3539"/>
      <c r="B6" s="3539"/>
      <c r="C6" s="3540"/>
      <c r="D6" s="3539"/>
      <c r="E6" s="3539"/>
      <c r="F6" s="3544" t="s">
        <v>492</v>
      </c>
      <c r="G6" s="3545" t="s">
        <v>493</v>
      </c>
      <c r="H6" s="3520" t="s">
        <v>494</v>
      </c>
      <c r="I6" s="3520" t="s">
        <v>492</v>
      </c>
      <c r="J6" s="3520" t="s">
        <v>493</v>
      </c>
      <c r="K6" s="3520" t="s">
        <v>494</v>
      </c>
      <c r="L6" s="3521" t="s">
        <v>492</v>
      </c>
      <c r="M6" s="3521" t="s">
        <v>493</v>
      </c>
      <c r="N6" s="3521" t="s">
        <v>494</v>
      </c>
      <c r="O6" s="3520" t="s">
        <v>492</v>
      </c>
      <c r="P6" s="3520" t="s">
        <v>493</v>
      </c>
      <c r="Q6" s="3520" t="s">
        <v>494</v>
      </c>
      <c r="R6" s="468" t="s">
        <v>495</v>
      </c>
      <c r="S6" s="1243" t="s">
        <v>496</v>
      </c>
      <c r="T6" s="3520" t="s">
        <v>492</v>
      </c>
      <c r="U6" s="3520" t="s">
        <v>493</v>
      </c>
      <c r="V6" s="3520" t="s">
        <v>494</v>
      </c>
      <c r="W6" s="3521" t="s">
        <v>492</v>
      </c>
      <c r="X6" s="3521" t="s">
        <v>493</v>
      </c>
      <c r="Y6" s="3521" t="s">
        <v>494</v>
      </c>
      <c r="Z6" s="3520" t="s">
        <v>497</v>
      </c>
      <c r="AA6" s="3526" t="s">
        <v>498</v>
      </c>
      <c r="AB6" s="3530"/>
      <c r="AC6" s="469">
        <f>Z9+[16]РМС!X9+[16]СПЖ!X9+[16]ОД!X9+[16]Наркомания!X9+[16]Молодежь!X9+[16]Стимулирование!V1392</f>
        <v>1715.8</v>
      </c>
      <c r="AD6" s="470">
        <f>S9+[16]Стимулирование!T873+1750</f>
        <v>2183.6999999999998</v>
      </c>
      <c r="AF6" s="466"/>
    </row>
    <row r="7" spans="1:40" s="465" customFormat="1" ht="59.25" hidden="1" customHeight="1" x14ac:dyDescent="0.25">
      <c r="A7" s="3539"/>
      <c r="B7" s="3539"/>
      <c r="C7" s="3540"/>
      <c r="D7" s="3539"/>
      <c r="E7" s="3539"/>
      <c r="F7" s="3544"/>
      <c r="G7" s="3545"/>
      <c r="H7" s="3520"/>
      <c r="I7" s="3520"/>
      <c r="J7" s="3520"/>
      <c r="K7" s="3520"/>
      <c r="L7" s="3522"/>
      <c r="M7" s="3522"/>
      <c r="N7" s="3522"/>
      <c r="O7" s="3520"/>
      <c r="P7" s="3520"/>
      <c r="Q7" s="3520"/>
      <c r="R7" s="1243"/>
      <c r="S7" s="1243"/>
      <c r="T7" s="3520"/>
      <c r="U7" s="3520"/>
      <c r="V7" s="3520"/>
      <c r="W7" s="3522"/>
      <c r="X7" s="3522"/>
      <c r="Y7" s="3522"/>
      <c r="Z7" s="3520"/>
      <c r="AA7" s="3526"/>
      <c r="AB7" s="3530"/>
      <c r="AC7" s="464"/>
      <c r="AD7" s="470"/>
      <c r="AE7" s="470"/>
      <c r="AF7" s="466"/>
    </row>
    <row r="8" spans="1:40" s="465" customFormat="1" x14ac:dyDescent="0.25">
      <c r="A8" s="1240">
        <v>1</v>
      </c>
      <c r="B8" s="1240">
        <v>2</v>
      </c>
      <c r="C8" s="1240">
        <v>3</v>
      </c>
      <c r="D8" s="1240">
        <v>4</v>
      </c>
      <c r="E8" s="1240">
        <v>5</v>
      </c>
      <c r="F8" s="471">
        <v>6</v>
      </c>
      <c r="G8" s="471">
        <v>7</v>
      </c>
      <c r="H8" s="1240">
        <v>8</v>
      </c>
      <c r="I8" s="1240">
        <v>9</v>
      </c>
      <c r="J8" s="1240">
        <v>10</v>
      </c>
      <c r="K8" s="1240">
        <v>11</v>
      </c>
      <c r="L8" s="1240">
        <v>12</v>
      </c>
      <c r="M8" s="1240">
        <v>13</v>
      </c>
      <c r="N8" s="1240">
        <v>14</v>
      </c>
      <c r="O8" s="472">
        <v>15</v>
      </c>
      <c r="P8" s="472">
        <v>16</v>
      </c>
      <c r="Q8" s="472">
        <v>17</v>
      </c>
      <c r="R8" s="473" t="s">
        <v>499</v>
      </c>
      <c r="S8" s="473" t="s">
        <v>500</v>
      </c>
      <c r="T8" s="472">
        <v>18</v>
      </c>
      <c r="U8" s="472">
        <v>19</v>
      </c>
      <c r="V8" s="472">
        <v>20</v>
      </c>
      <c r="W8" s="472">
        <v>21</v>
      </c>
      <c r="X8" s="472">
        <v>22</v>
      </c>
      <c r="Y8" s="472">
        <v>23</v>
      </c>
      <c r="Z8" s="1240">
        <v>24</v>
      </c>
      <c r="AA8" s="1240">
        <v>25</v>
      </c>
      <c r="AB8" s="1240">
        <v>26</v>
      </c>
      <c r="AC8" s="464"/>
      <c r="AF8" s="466"/>
    </row>
    <row r="9" spans="1:40" s="486" customFormat="1" ht="26.25" hidden="1" customHeight="1" x14ac:dyDescent="0.25">
      <c r="A9" s="474"/>
      <c r="B9" s="475" t="s">
        <v>501</v>
      </c>
      <c r="C9" s="476"/>
      <c r="D9" s="477"/>
      <c r="E9" s="474"/>
      <c r="F9" s="478"/>
      <c r="G9" s="479"/>
      <c r="H9" s="480" t="e">
        <f>#REF!+H10+H32+#REF!+#REF!+#REF!+#REF!+H51+H73+#REF!+H146+#REF!+H157+#REF!+#REF!+H181+H190+H213+H252+#REF!+#REF!+#REF!+H281+H302+#REF!+H316+#REF!+#REF!+H336+#REF!+#REF!+H352+#REF!+#REF!+#REF!+#REF!+#REF!+#REF!+#REF!+#REF!+#REF!+#REF!+#REF!+H412</f>
        <v>#REF!</v>
      </c>
      <c r="I9" s="480"/>
      <c r="J9" s="480"/>
      <c r="K9" s="480">
        <f>K10+K32+K51+K73+K146+K157+K181+K190+K213+K252+K281+K302+K316+K336+K352+K412</f>
        <v>891.2</v>
      </c>
      <c r="L9" s="480"/>
      <c r="M9" s="480"/>
      <c r="N9" s="480">
        <f>N10+N32+N51+N73+N146+N157+N181+N190+N213+N252+N281+N302+N316+N336+N352+N412</f>
        <v>891.2</v>
      </c>
      <c r="O9" s="480"/>
      <c r="P9" s="480"/>
      <c r="Q9" s="480">
        <f>Q10+Q32+Q51+Q73+Q146+Q157+Q181+Q190+Q213+Q252+Q281+Q302+Q316+Q336+Q352+Q412</f>
        <v>1363.4</v>
      </c>
      <c r="R9" s="480">
        <f>R10+R32+R51+R73+R146+R157+R181+R190+R213+R252+R281+R302+R316+R336+R352+R412</f>
        <v>1129.4000000000001</v>
      </c>
      <c r="S9" s="480">
        <f>S10+S32+S51+S73+S146+S157+S181+S190+S213+S252+S281+S302+S316+S336+S352+S412</f>
        <v>233.9</v>
      </c>
      <c r="T9" s="480"/>
      <c r="U9" s="480"/>
      <c r="V9" s="480">
        <f>V10+V32+V51+V73+V146+V157+V181+V190+V213+V252+V281+V302+V316+V336+V352+V412</f>
        <v>1248.4000000000001</v>
      </c>
      <c r="W9" s="480"/>
      <c r="X9" s="480"/>
      <c r="Y9" s="480">
        <f>Y10+Y32+Y51+Y73+Y146+Y157+Y181+Y190+Y213+Y252+Y281+Y302+Y316+Y336+Y352+Y412</f>
        <v>1248.4000000000001</v>
      </c>
      <c r="Z9" s="480">
        <f t="shared" ref="Z9:Z72" si="0">Q9-K9</f>
        <v>472.2</v>
      </c>
      <c r="AA9" s="480">
        <f t="shared" ref="AA9:AA72" si="1">IFERROR(Q9/K9*100,"-")</f>
        <v>153</v>
      </c>
      <c r="AB9" s="481"/>
      <c r="AC9" s="482"/>
      <c r="AD9" s="483"/>
      <c r="AE9" s="483"/>
      <c r="AF9" s="484"/>
      <c r="AG9" s="485"/>
      <c r="AH9" s="484"/>
      <c r="AI9" s="483"/>
      <c r="AJ9" s="483"/>
      <c r="AL9" s="483"/>
      <c r="AM9" s="483"/>
      <c r="AN9" s="483"/>
    </row>
    <row r="10" spans="1:40" s="492" customFormat="1" ht="14.25" hidden="1" x14ac:dyDescent="0.2">
      <c r="A10" s="487"/>
      <c r="B10" s="831" t="s">
        <v>1231</v>
      </c>
      <c r="C10" s="490"/>
      <c r="D10" s="487"/>
      <c r="E10" s="487"/>
      <c r="F10" s="832"/>
      <c r="G10" s="833"/>
      <c r="H10" s="513" t="e">
        <f>#REF!+H11+#REF!</f>
        <v>#REF!</v>
      </c>
      <c r="I10" s="513"/>
      <c r="J10" s="513"/>
      <c r="K10" s="513">
        <f>K11</f>
        <v>34.200000000000003</v>
      </c>
      <c r="L10" s="513"/>
      <c r="M10" s="513"/>
      <c r="N10" s="513">
        <f>N11</f>
        <v>34.200000000000003</v>
      </c>
      <c r="O10" s="513"/>
      <c r="P10" s="513"/>
      <c r="Q10" s="513">
        <f>Q11</f>
        <v>31.1</v>
      </c>
      <c r="R10" s="513">
        <f>Q10</f>
        <v>31.1</v>
      </c>
      <c r="S10" s="513"/>
      <c r="T10" s="513"/>
      <c r="U10" s="513"/>
      <c r="V10" s="513">
        <f>V11</f>
        <v>31.1</v>
      </c>
      <c r="W10" s="513"/>
      <c r="X10" s="513"/>
      <c r="Y10" s="513">
        <f>Y11</f>
        <v>31.1</v>
      </c>
      <c r="Z10" s="513">
        <f t="shared" si="0"/>
        <v>-3.1</v>
      </c>
      <c r="AA10" s="513">
        <f t="shared" si="1"/>
        <v>90.9</v>
      </c>
      <c r="AB10" s="834"/>
      <c r="AC10" s="491"/>
      <c r="AD10" s="835"/>
      <c r="AE10" s="835"/>
      <c r="AF10" s="836"/>
      <c r="AG10" s="466"/>
      <c r="AH10" s="466"/>
    </row>
    <row r="11" spans="1:40" s="492" customFormat="1" ht="38.25" hidden="1" x14ac:dyDescent="0.2">
      <c r="A11" s="522"/>
      <c r="B11" s="825" t="s">
        <v>1664</v>
      </c>
      <c r="C11" s="837"/>
      <c r="D11" s="522" t="s">
        <v>1444</v>
      </c>
      <c r="E11" s="838"/>
      <c r="F11" s="839"/>
      <c r="G11" s="840"/>
      <c r="H11" s="841">
        <f>H12+H16+H20+H21+H22+H23+H24+H26</f>
        <v>58.3</v>
      </c>
      <c r="I11" s="841"/>
      <c r="J11" s="841"/>
      <c r="K11" s="841">
        <f>K12+K16+K20+K21+K22+K23+K24+K26</f>
        <v>34.200000000000003</v>
      </c>
      <c r="L11" s="841"/>
      <c r="M11" s="841"/>
      <c r="N11" s="841">
        <f>N12+N16+N20+N21+N22+N23+N24+N26</f>
        <v>34.200000000000003</v>
      </c>
      <c r="O11" s="841"/>
      <c r="P11" s="841"/>
      <c r="Q11" s="841">
        <f>Q12+Q16+Q20+Q21+Q24+Q26</f>
        <v>31.1</v>
      </c>
      <c r="R11" s="841">
        <f t="shared" ref="R11:R72" si="2">Q11</f>
        <v>31.1</v>
      </c>
      <c r="S11" s="841"/>
      <c r="T11" s="841"/>
      <c r="U11" s="841"/>
      <c r="V11" s="841">
        <f>V12+V16+V20+V21+V24+V26</f>
        <v>31.1</v>
      </c>
      <c r="W11" s="841"/>
      <c r="X11" s="841"/>
      <c r="Y11" s="841">
        <f>Y12+Y16+Y20+Y21+Y24+Y26</f>
        <v>31.1</v>
      </c>
      <c r="Z11" s="841">
        <f t="shared" si="0"/>
        <v>-3.1</v>
      </c>
      <c r="AA11" s="841">
        <f t="shared" si="1"/>
        <v>90.9</v>
      </c>
      <c r="AB11" s="849"/>
      <c r="AC11" s="491" t="s">
        <v>1665</v>
      </c>
      <c r="AF11" s="466"/>
      <c r="AG11" s="466"/>
      <c r="AH11" s="466"/>
    </row>
    <row r="12" spans="1:40" s="492" customFormat="1" ht="14.25" hidden="1" x14ac:dyDescent="0.2">
      <c r="A12" s="1240"/>
      <c r="B12" s="500" t="s">
        <v>1228</v>
      </c>
      <c r="C12" s="501" t="s">
        <v>797</v>
      </c>
      <c r="D12" s="1240"/>
      <c r="E12" s="842"/>
      <c r="F12" s="530"/>
      <c r="G12" s="531"/>
      <c r="H12" s="542">
        <f>SUM(H13:H15)</f>
        <v>7.8</v>
      </c>
      <c r="I12" s="532"/>
      <c r="J12" s="532"/>
      <c r="K12" s="533">
        <f>SUM(K13:K15)</f>
        <v>4</v>
      </c>
      <c r="L12" s="532"/>
      <c r="M12" s="532"/>
      <c r="N12" s="533">
        <f>SUM(N13:N15)</f>
        <v>4</v>
      </c>
      <c r="O12" s="532"/>
      <c r="P12" s="532"/>
      <c r="Q12" s="533">
        <f>SUM(Q13:Q15)</f>
        <v>4</v>
      </c>
      <c r="R12" s="533">
        <f t="shared" si="2"/>
        <v>4</v>
      </c>
      <c r="S12" s="533"/>
      <c r="T12" s="532"/>
      <c r="U12" s="532"/>
      <c r="V12" s="533">
        <f>SUM(V13:V15)</f>
        <v>4</v>
      </c>
      <c r="W12" s="532"/>
      <c r="X12" s="532"/>
      <c r="Y12" s="533">
        <f>SUM(Y13:Y15)</f>
        <v>4</v>
      </c>
      <c r="Z12" s="542">
        <f t="shared" si="0"/>
        <v>0</v>
      </c>
      <c r="AA12" s="542">
        <f t="shared" si="1"/>
        <v>100</v>
      </c>
      <c r="AB12" s="1030"/>
      <c r="AC12" s="1822" t="s">
        <v>1665</v>
      </c>
      <c r="AF12" s="466"/>
      <c r="AG12" s="466"/>
      <c r="AH12" s="466"/>
    </row>
    <row r="13" spans="1:40" s="498" customFormat="1" hidden="1" x14ac:dyDescent="0.25">
      <c r="A13" s="962"/>
      <c r="B13" s="856" t="s">
        <v>1666</v>
      </c>
      <c r="C13" s="499"/>
      <c r="D13" s="962"/>
      <c r="E13" s="1031" t="s">
        <v>227</v>
      </c>
      <c r="F13" s="494">
        <v>1</v>
      </c>
      <c r="G13" s="495">
        <v>3</v>
      </c>
      <c r="H13" s="559">
        <f>F13*G13</f>
        <v>3</v>
      </c>
      <c r="I13" s="496"/>
      <c r="J13" s="496"/>
      <c r="K13" s="857">
        <v>0</v>
      </c>
      <c r="L13" s="496"/>
      <c r="M13" s="496"/>
      <c r="N13" s="857">
        <v>0</v>
      </c>
      <c r="O13" s="496"/>
      <c r="P13" s="496"/>
      <c r="Q13" s="857"/>
      <c r="R13" s="857">
        <f t="shared" si="2"/>
        <v>0</v>
      </c>
      <c r="S13" s="857"/>
      <c r="T13" s="496"/>
      <c r="U13" s="496"/>
      <c r="V13" s="857"/>
      <c r="W13" s="496"/>
      <c r="X13" s="496"/>
      <c r="Y13" s="857"/>
      <c r="Z13" s="559">
        <f t="shared" si="0"/>
        <v>0</v>
      </c>
      <c r="AA13" s="559" t="str">
        <f t="shared" si="1"/>
        <v>-</v>
      </c>
      <c r="AB13" s="900"/>
      <c r="AC13" s="1823" t="s">
        <v>1665</v>
      </c>
      <c r="AF13" s="466"/>
      <c r="AG13" s="465"/>
      <c r="AH13" s="465"/>
    </row>
    <row r="14" spans="1:40" s="498" customFormat="1" ht="63.75" hidden="1" x14ac:dyDescent="0.25">
      <c r="A14" s="962"/>
      <c r="B14" s="1824" t="s">
        <v>1667</v>
      </c>
      <c r="C14" s="499"/>
      <c r="D14" s="962"/>
      <c r="E14" s="1031"/>
      <c r="F14" s="494"/>
      <c r="G14" s="495"/>
      <c r="H14" s="559"/>
      <c r="I14" s="496">
        <v>2</v>
      </c>
      <c r="J14" s="496">
        <v>1</v>
      </c>
      <c r="K14" s="857">
        <f>I14*J14</f>
        <v>2</v>
      </c>
      <c r="L14" s="496">
        <v>2</v>
      </c>
      <c r="M14" s="496">
        <v>1</v>
      </c>
      <c r="N14" s="857">
        <f>L14*M14</f>
        <v>2</v>
      </c>
      <c r="O14" s="496">
        <v>2</v>
      </c>
      <c r="P14" s="496">
        <v>2</v>
      </c>
      <c r="Q14" s="857">
        <f>O14*P14</f>
        <v>4</v>
      </c>
      <c r="R14" s="857">
        <f t="shared" si="2"/>
        <v>4</v>
      </c>
      <c r="S14" s="857"/>
      <c r="T14" s="496">
        <v>2</v>
      </c>
      <c r="U14" s="496">
        <v>2</v>
      </c>
      <c r="V14" s="857">
        <f>T14*U14</f>
        <v>4</v>
      </c>
      <c r="W14" s="496">
        <v>2</v>
      </c>
      <c r="X14" s="496">
        <v>2</v>
      </c>
      <c r="Y14" s="857">
        <f>W14*X14</f>
        <v>4</v>
      </c>
      <c r="Z14" s="559">
        <f t="shared" si="0"/>
        <v>2</v>
      </c>
      <c r="AA14" s="559">
        <f t="shared" si="1"/>
        <v>200</v>
      </c>
      <c r="AB14" s="900" t="s">
        <v>1668</v>
      </c>
      <c r="AC14" s="1823" t="s">
        <v>1665</v>
      </c>
      <c r="AF14" s="466"/>
      <c r="AG14" s="465"/>
      <c r="AH14" s="465"/>
    </row>
    <row r="15" spans="1:40" s="498" customFormat="1" hidden="1" x14ac:dyDescent="0.25">
      <c r="A15" s="962"/>
      <c r="B15" s="856" t="s">
        <v>1669</v>
      </c>
      <c r="C15" s="499"/>
      <c r="D15" s="962"/>
      <c r="E15" s="1031" t="s">
        <v>310</v>
      </c>
      <c r="F15" s="494">
        <v>40</v>
      </c>
      <c r="G15" s="495">
        <v>0.12</v>
      </c>
      <c r="H15" s="559">
        <f>F15*G15</f>
        <v>4.8</v>
      </c>
      <c r="I15" s="496">
        <v>40</v>
      </c>
      <c r="J15" s="883">
        <v>0.05</v>
      </c>
      <c r="K15" s="857">
        <f>I15*J15</f>
        <v>2</v>
      </c>
      <c r="L15" s="496">
        <v>40</v>
      </c>
      <c r="M15" s="883">
        <v>0.05</v>
      </c>
      <c r="N15" s="857">
        <f>L15*M15</f>
        <v>2</v>
      </c>
      <c r="O15" s="496"/>
      <c r="P15" s="496"/>
      <c r="Q15" s="857"/>
      <c r="R15" s="857">
        <f t="shared" si="2"/>
        <v>0</v>
      </c>
      <c r="S15" s="857"/>
      <c r="T15" s="496"/>
      <c r="U15" s="496"/>
      <c r="V15" s="857"/>
      <c r="W15" s="496"/>
      <c r="X15" s="496"/>
      <c r="Y15" s="857"/>
      <c r="Z15" s="559">
        <f t="shared" si="0"/>
        <v>-2</v>
      </c>
      <c r="AA15" s="559">
        <f t="shared" si="1"/>
        <v>0</v>
      </c>
      <c r="AB15" s="900"/>
      <c r="AC15" s="1823" t="s">
        <v>1665</v>
      </c>
      <c r="AF15" s="466"/>
      <c r="AG15" s="465"/>
      <c r="AH15" s="465"/>
    </row>
    <row r="16" spans="1:40" s="492" customFormat="1" ht="25.5" hidden="1" x14ac:dyDescent="0.2">
      <c r="A16" s="1240"/>
      <c r="B16" s="865" t="s">
        <v>1670</v>
      </c>
      <c r="C16" s="508" t="s">
        <v>797</v>
      </c>
      <c r="D16" s="1240"/>
      <c r="E16" s="842" t="s">
        <v>310</v>
      </c>
      <c r="F16" s="530"/>
      <c r="G16" s="531"/>
      <c r="H16" s="542">
        <f>SUM(H17:H19)</f>
        <v>6.6</v>
      </c>
      <c r="I16" s="532"/>
      <c r="J16" s="532"/>
      <c r="K16" s="533">
        <f>SUM(K17:K19)</f>
        <v>1.4</v>
      </c>
      <c r="L16" s="532"/>
      <c r="M16" s="532"/>
      <c r="N16" s="533">
        <f>SUM(N17:N19)</f>
        <v>1.4</v>
      </c>
      <c r="O16" s="532"/>
      <c r="P16" s="532"/>
      <c r="Q16" s="533">
        <f>SUM(Q17:Q19)</f>
        <v>1.4</v>
      </c>
      <c r="R16" s="533">
        <f t="shared" si="2"/>
        <v>1.4</v>
      </c>
      <c r="S16" s="533"/>
      <c r="T16" s="532"/>
      <c r="U16" s="532"/>
      <c r="V16" s="533">
        <f>SUM(V17:V19)</f>
        <v>1.4</v>
      </c>
      <c r="W16" s="532"/>
      <c r="X16" s="532"/>
      <c r="Y16" s="533">
        <f>SUM(Y17:Y19)</f>
        <v>1.4</v>
      </c>
      <c r="Z16" s="542">
        <f t="shared" si="0"/>
        <v>0</v>
      </c>
      <c r="AA16" s="542">
        <f t="shared" si="1"/>
        <v>100</v>
      </c>
      <c r="AB16" s="900"/>
      <c r="AC16" s="1823" t="s">
        <v>1665</v>
      </c>
      <c r="AF16" s="466"/>
      <c r="AG16" s="466"/>
      <c r="AH16" s="466"/>
    </row>
    <row r="17" spans="1:34" s="498" customFormat="1" ht="63.75" hidden="1" x14ac:dyDescent="0.25">
      <c r="A17" s="962"/>
      <c r="B17" s="502" t="s">
        <v>1671</v>
      </c>
      <c r="C17" s="499"/>
      <c r="D17" s="962"/>
      <c r="E17" s="1031" t="s">
        <v>227</v>
      </c>
      <c r="F17" s="494">
        <v>28</v>
      </c>
      <c r="G17" s="495">
        <v>0.1</v>
      </c>
      <c r="H17" s="559">
        <f t="shared" ref="H17:H24" si="3">F17*G17</f>
        <v>2.8</v>
      </c>
      <c r="I17" s="496">
        <v>14</v>
      </c>
      <c r="J17" s="883">
        <v>0.1</v>
      </c>
      <c r="K17" s="857">
        <f>I17*J17</f>
        <v>1.4</v>
      </c>
      <c r="L17" s="496">
        <v>14</v>
      </c>
      <c r="M17" s="883">
        <v>0.1</v>
      </c>
      <c r="N17" s="857">
        <f>L17*M17</f>
        <v>1.4</v>
      </c>
      <c r="O17" s="496">
        <v>14</v>
      </c>
      <c r="P17" s="496">
        <v>0.1</v>
      </c>
      <c r="Q17" s="857">
        <f>O17*P17</f>
        <v>1.4</v>
      </c>
      <c r="R17" s="857">
        <f t="shared" si="2"/>
        <v>1.4</v>
      </c>
      <c r="S17" s="857"/>
      <c r="T17" s="496">
        <f>O17</f>
        <v>14</v>
      </c>
      <c r="U17" s="496">
        <v>0.1</v>
      </c>
      <c r="V17" s="857">
        <f>T17*U17</f>
        <v>1.4</v>
      </c>
      <c r="W17" s="496">
        <f>T17</f>
        <v>14</v>
      </c>
      <c r="X17" s="496">
        <v>0.1</v>
      </c>
      <c r="Y17" s="857">
        <f>W17*X17</f>
        <v>1.4</v>
      </c>
      <c r="Z17" s="559">
        <f t="shared" si="0"/>
        <v>0</v>
      </c>
      <c r="AA17" s="559">
        <f t="shared" si="1"/>
        <v>100</v>
      </c>
      <c r="AB17" s="900" t="s">
        <v>1672</v>
      </c>
      <c r="AC17" s="1823" t="s">
        <v>1665</v>
      </c>
      <c r="AF17" s="466"/>
      <c r="AG17" s="465"/>
      <c r="AH17" s="465"/>
    </row>
    <row r="18" spans="1:34" s="498" customFormat="1" hidden="1" x14ac:dyDescent="0.25">
      <c r="A18" s="962"/>
      <c r="B18" s="502" t="s">
        <v>1673</v>
      </c>
      <c r="C18" s="503"/>
      <c r="D18" s="962"/>
      <c r="E18" s="1031" t="s">
        <v>227</v>
      </c>
      <c r="F18" s="494" t="s">
        <v>1087</v>
      </c>
      <c r="G18" s="495">
        <v>2</v>
      </c>
      <c r="H18" s="559">
        <f t="shared" si="3"/>
        <v>2</v>
      </c>
      <c r="I18" s="496"/>
      <c r="J18" s="496"/>
      <c r="K18" s="857">
        <f>I18*J18</f>
        <v>0</v>
      </c>
      <c r="L18" s="496"/>
      <c r="M18" s="496"/>
      <c r="N18" s="857">
        <f>L18*M18</f>
        <v>0</v>
      </c>
      <c r="O18" s="496"/>
      <c r="P18" s="496"/>
      <c r="Q18" s="857"/>
      <c r="R18" s="857">
        <f t="shared" si="2"/>
        <v>0</v>
      </c>
      <c r="S18" s="857"/>
      <c r="T18" s="496"/>
      <c r="U18" s="496"/>
      <c r="V18" s="857"/>
      <c r="W18" s="496"/>
      <c r="X18" s="496"/>
      <c r="Y18" s="857"/>
      <c r="Z18" s="559">
        <f t="shared" si="0"/>
        <v>0</v>
      </c>
      <c r="AA18" s="559" t="str">
        <f t="shared" si="1"/>
        <v>-</v>
      </c>
      <c r="AB18" s="900"/>
      <c r="AC18" s="1822" t="s">
        <v>1665</v>
      </c>
      <c r="AF18" s="466"/>
      <c r="AG18" s="465"/>
      <c r="AH18" s="465"/>
    </row>
    <row r="19" spans="1:34" s="498" customFormat="1" ht="76.5" hidden="1" x14ac:dyDescent="0.25">
      <c r="A19" s="962"/>
      <c r="B19" s="856" t="s">
        <v>1674</v>
      </c>
      <c r="C19" s="499"/>
      <c r="D19" s="962"/>
      <c r="E19" s="1031" t="s">
        <v>227</v>
      </c>
      <c r="F19" s="494" t="s">
        <v>1092</v>
      </c>
      <c r="G19" s="495" t="s">
        <v>1675</v>
      </c>
      <c r="H19" s="559">
        <f t="shared" si="3"/>
        <v>1.8</v>
      </c>
      <c r="I19" s="496"/>
      <c r="J19" s="496"/>
      <c r="K19" s="857">
        <f>I19*J19</f>
        <v>0</v>
      </c>
      <c r="L19" s="496"/>
      <c r="M19" s="496"/>
      <c r="N19" s="857">
        <f>L19*M19</f>
        <v>0</v>
      </c>
      <c r="O19" s="496"/>
      <c r="P19" s="496"/>
      <c r="Q19" s="857"/>
      <c r="R19" s="857">
        <f t="shared" si="2"/>
        <v>0</v>
      </c>
      <c r="S19" s="857"/>
      <c r="T19" s="496"/>
      <c r="U19" s="496"/>
      <c r="V19" s="857"/>
      <c r="W19" s="496"/>
      <c r="X19" s="496"/>
      <c r="Y19" s="857"/>
      <c r="Z19" s="559">
        <f t="shared" si="0"/>
        <v>0</v>
      </c>
      <c r="AA19" s="559" t="str">
        <f t="shared" si="1"/>
        <v>-</v>
      </c>
      <c r="AB19" s="900" t="s">
        <v>1676</v>
      </c>
      <c r="AC19" s="1823" t="s">
        <v>1665</v>
      </c>
      <c r="AF19" s="466"/>
      <c r="AG19" s="465"/>
      <c r="AH19" s="465"/>
    </row>
    <row r="20" spans="1:34" s="492" customFormat="1" ht="14.25" hidden="1" x14ac:dyDescent="0.2">
      <c r="A20" s="1240"/>
      <c r="B20" s="865" t="s">
        <v>1677</v>
      </c>
      <c r="C20" s="508" t="s">
        <v>796</v>
      </c>
      <c r="D20" s="1240"/>
      <c r="E20" s="842" t="s">
        <v>227</v>
      </c>
      <c r="F20" s="863">
        <v>330</v>
      </c>
      <c r="G20" s="864">
        <v>0.02</v>
      </c>
      <c r="H20" s="542">
        <f t="shared" si="3"/>
        <v>6.6</v>
      </c>
      <c r="I20" s="1825">
        <v>330</v>
      </c>
      <c r="J20" s="1825">
        <v>0</v>
      </c>
      <c r="K20" s="533">
        <f>I20*J20</f>
        <v>0</v>
      </c>
      <c r="L20" s="1825">
        <v>330</v>
      </c>
      <c r="M20" s="1825">
        <v>0</v>
      </c>
      <c r="N20" s="533">
        <f>L20*M20</f>
        <v>0</v>
      </c>
      <c r="O20" s="1825">
        <v>330</v>
      </c>
      <c r="P20" s="1825">
        <v>0</v>
      </c>
      <c r="Q20" s="533">
        <f>O20*P20</f>
        <v>0</v>
      </c>
      <c r="R20" s="533">
        <f t="shared" si="2"/>
        <v>0</v>
      </c>
      <c r="S20" s="533"/>
      <c r="T20" s="1825">
        <v>330</v>
      </c>
      <c r="U20" s="1825">
        <v>0</v>
      </c>
      <c r="V20" s="533">
        <f>T20*U20</f>
        <v>0</v>
      </c>
      <c r="W20" s="1825">
        <v>330</v>
      </c>
      <c r="X20" s="1825">
        <v>0</v>
      </c>
      <c r="Y20" s="533">
        <f>W20*X20</f>
        <v>0</v>
      </c>
      <c r="Z20" s="542">
        <f t="shared" si="0"/>
        <v>0</v>
      </c>
      <c r="AA20" s="542" t="str">
        <f t="shared" si="1"/>
        <v>-</v>
      </c>
      <c r="AB20" s="900"/>
      <c r="AC20" s="1823" t="s">
        <v>1665</v>
      </c>
      <c r="AF20" s="466"/>
      <c r="AG20" s="466"/>
      <c r="AH20" s="466"/>
    </row>
    <row r="21" spans="1:34" s="492" customFormat="1" ht="14.25" hidden="1" x14ac:dyDescent="0.2">
      <c r="A21" s="1240"/>
      <c r="B21" s="865" t="s">
        <v>1678</v>
      </c>
      <c r="C21" s="508" t="s">
        <v>797</v>
      </c>
      <c r="D21" s="1240"/>
      <c r="E21" s="842" t="s">
        <v>227</v>
      </c>
      <c r="F21" s="863">
        <v>30</v>
      </c>
      <c r="G21" s="864">
        <v>0.06</v>
      </c>
      <c r="H21" s="1826">
        <f t="shared" si="3"/>
        <v>1.8</v>
      </c>
      <c r="I21" s="1825">
        <v>30</v>
      </c>
      <c r="J21" s="1825">
        <v>0.1</v>
      </c>
      <c r="K21" s="1825">
        <f>I21*J21</f>
        <v>3</v>
      </c>
      <c r="L21" s="1825">
        <v>30</v>
      </c>
      <c r="M21" s="1825">
        <v>0.1</v>
      </c>
      <c r="N21" s="1825">
        <f>L21*M21</f>
        <v>3</v>
      </c>
      <c r="O21" s="1825">
        <v>30</v>
      </c>
      <c r="P21" s="1825">
        <v>0.1</v>
      </c>
      <c r="Q21" s="533">
        <f>O21*P21</f>
        <v>3</v>
      </c>
      <c r="R21" s="533">
        <f t="shared" si="2"/>
        <v>3</v>
      </c>
      <c r="S21" s="533"/>
      <c r="T21" s="1825">
        <v>30</v>
      </c>
      <c r="U21" s="1825">
        <v>0.1</v>
      </c>
      <c r="V21" s="533">
        <f>T21*U21</f>
        <v>3</v>
      </c>
      <c r="W21" s="1825">
        <v>30</v>
      </c>
      <c r="X21" s="1825">
        <v>0.1</v>
      </c>
      <c r="Y21" s="533">
        <f>W21*X21</f>
        <v>3</v>
      </c>
      <c r="Z21" s="1826">
        <f t="shared" si="0"/>
        <v>0</v>
      </c>
      <c r="AA21" s="1826">
        <f t="shared" si="1"/>
        <v>100</v>
      </c>
      <c r="AB21" s="900"/>
      <c r="AC21" s="1823" t="s">
        <v>1665</v>
      </c>
      <c r="AF21" s="466"/>
      <c r="AG21" s="466"/>
      <c r="AH21" s="466"/>
    </row>
    <row r="22" spans="1:34" s="492" customFormat="1" ht="14.25" hidden="1" x14ac:dyDescent="0.2">
      <c r="A22" s="1240"/>
      <c r="B22" s="865" t="s">
        <v>1679</v>
      </c>
      <c r="C22" s="508" t="s">
        <v>796</v>
      </c>
      <c r="D22" s="1240"/>
      <c r="E22" s="842" t="s">
        <v>227</v>
      </c>
      <c r="F22" s="557">
        <v>2</v>
      </c>
      <c r="G22" s="558">
        <v>0.6</v>
      </c>
      <c r="H22" s="542">
        <f t="shared" si="3"/>
        <v>1.2</v>
      </c>
      <c r="I22" s="533"/>
      <c r="J22" s="533"/>
      <c r="K22" s="533"/>
      <c r="L22" s="533"/>
      <c r="M22" s="533"/>
      <c r="N22" s="533"/>
      <c r="O22" s="533"/>
      <c r="P22" s="533"/>
      <c r="Q22" s="533"/>
      <c r="R22" s="533">
        <f t="shared" si="2"/>
        <v>0</v>
      </c>
      <c r="S22" s="533"/>
      <c r="T22" s="533"/>
      <c r="U22" s="533"/>
      <c r="V22" s="533"/>
      <c r="W22" s="533"/>
      <c r="X22" s="533"/>
      <c r="Y22" s="533"/>
      <c r="Z22" s="542">
        <f t="shared" si="0"/>
        <v>0</v>
      </c>
      <c r="AA22" s="542" t="str">
        <f t="shared" si="1"/>
        <v>-</v>
      </c>
      <c r="AB22" s="900"/>
      <c r="AC22" s="1823" t="s">
        <v>1665</v>
      </c>
      <c r="AF22" s="466"/>
      <c r="AG22" s="466"/>
      <c r="AH22" s="466"/>
    </row>
    <row r="23" spans="1:34" s="492" customFormat="1" ht="14.25" hidden="1" x14ac:dyDescent="0.2">
      <c r="A23" s="1240"/>
      <c r="B23" s="500" t="s">
        <v>1680</v>
      </c>
      <c r="C23" s="501" t="s">
        <v>796</v>
      </c>
      <c r="D23" s="1240"/>
      <c r="E23" s="842" t="s">
        <v>227</v>
      </c>
      <c r="F23" s="863">
        <v>80</v>
      </c>
      <c r="G23" s="864">
        <v>0.06</v>
      </c>
      <c r="H23" s="1826">
        <f t="shared" si="3"/>
        <v>4.8</v>
      </c>
      <c r="I23" s="1825">
        <v>37</v>
      </c>
      <c r="J23" s="1825">
        <v>0.1</v>
      </c>
      <c r="K23" s="1825">
        <f>I23*J23</f>
        <v>3.7</v>
      </c>
      <c r="L23" s="1825">
        <v>37</v>
      </c>
      <c r="M23" s="1825">
        <v>0.1</v>
      </c>
      <c r="N23" s="1825">
        <f>L23*M23</f>
        <v>3.7</v>
      </c>
      <c r="O23" s="1825"/>
      <c r="P23" s="1825"/>
      <c r="Q23" s="1825"/>
      <c r="R23" s="1825">
        <f t="shared" si="2"/>
        <v>0</v>
      </c>
      <c r="S23" s="1825"/>
      <c r="T23" s="1825"/>
      <c r="U23" s="1825"/>
      <c r="V23" s="1825"/>
      <c r="W23" s="1825"/>
      <c r="X23" s="1825"/>
      <c r="Y23" s="1825"/>
      <c r="Z23" s="1826">
        <f t="shared" si="0"/>
        <v>-3.7</v>
      </c>
      <c r="AA23" s="1826">
        <f t="shared" si="1"/>
        <v>0</v>
      </c>
      <c r="AB23" s="900"/>
      <c r="AC23" s="1822" t="s">
        <v>1665</v>
      </c>
      <c r="AF23" s="466"/>
      <c r="AG23" s="466"/>
      <c r="AH23" s="466"/>
    </row>
    <row r="24" spans="1:34" s="492" customFormat="1" ht="14.25" hidden="1" x14ac:dyDescent="0.2">
      <c r="A24" s="1240"/>
      <c r="B24" s="500" t="s">
        <v>1681</v>
      </c>
      <c r="C24" s="501" t="s">
        <v>796</v>
      </c>
      <c r="D24" s="1240"/>
      <c r="E24" s="842"/>
      <c r="F24" s="863">
        <v>167</v>
      </c>
      <c r="G24" s="864">
        <v>0.1</v>
      </c>
      <c r="H24" s="1826">
        <f t="shared" si="3"/>
        <v>16.7</v>
      </c>
      <c r="I24" s="1825">
        <v>37</v>
      </c>
      <c r="J24" s="1827">
        <v>0.25</v>
      </c>
      <c r="K24" s="1825">
        <f>I24*J24</f>
        <v>9.3000000000000007</v>
      </c>
      <c r="L24" s="1825">
        <v>37</v>
      </c>
      <c r="M24" s="1827">
        <v>0.25</v>
      </c>
      <c r="N24" s="1825">
        <f>L24*M24</f>
        <v>9.3000000000000007</v>
      </c>
      <c r="O24" s="1825"/>
      <c r="P24" s="1825"/>
      <c r="Q24" s="1825">
        <f>SUM(Q25:Q25)</f>
        <v>6</v>
      </c>
      <c r="R24" s="1825">
        <f t="shared" si="2"/>
        <v>6</v>
      </c>
      <c r="S24" s="1825"/>
      <c r="T24" s="1825"/>
      <c r="U24" s="1825"/>
      <c r="V24" s="1825">
        <f>SUM(V25:V25)</f>
        <v>6</v>
      </c>
      <c r="W24" s="1825"/>
      <c r="X24" s="1825"/>
      <c r="Y24" s="1825">
        <f>SUM(Y25:Y25)</f>
        <v>6</v>
      </c>
      <c r="Z24" s="1826">
        <f t="shared" si="0"/>
        <v>-3.3</v>
      </c>
      <c r="AA24" s="1826">
        <f t="shared" si="1"/>
        <v>64.5</v>
      </c>
      <c r="AB24" s="1029"/>
      <c r="AC24" s="1822" t="s">
        <v>1665</v>
      </c>
      <c r="AF24" s="466"/>
      <c r="AG24" s="466"/>
      <c r="AH24" s="466"/>
    </row>
    <row r="25" spans="1:34" s="492" customFormat="1" ht="14.25" hidden="1" x14ac:dyDescent="0.2">
      <c r="A25" s="1240"/>
      <c r="B25" s="500" t="s">
        <v>1682</v>
      </c>
      <c r="C25" s="501"/>
      <c r="D25" s="1240"/>
      <c r="E25" s="842"/>
      <c r="F25" s="863"/>
      <c r="G25" s="864"/>
      <c r="H25" s="1826"/>
      <c r="I25" s="1825"/>
      <c r="J25" s="1827"/>
      <c r="K25" s="1825"/>
      <c r="L25" s="1825"/>
      <c r="M25" s="1827"/>
      <c r="N25" s="1825"/>
      <c r="O25" s="682">
        <v>15</v>
      </c>
      <c r="P25" s="682">
        <v>0.4</v>
      </c>
      <c r="Q25" s="857">
        <f>O25*P25</f>
        <v>6</v>
      </c>
      <c r="R25" s="857">
        <f t="shared" si="2"/>
        <v>6</v>
      </c>
      <c r="S25" s="857"/>
      <c r="T25" s="682">
        <v>15</v>
      </c>
      <c r="U25" s="682">
        <v>0.4</v>
      </c>
      <c r="V25" s="857">
        <f>T25*U25</f>
        <v>6</v>
      </c>
      <c r="W25" s="682">
        <v>15</v>
      </c>
      <c r="X25" s="682">
        <v>0.4</v>
      </c>
      <c r="Y25" s="857">
        <f>W25*X25</f>
        <v>6</v>
      </c>
      <c r="Z25" s="1826">
        <f t="shared" si="0"/>
        <v>6</v>
      </c>
      <c r="AA25" s="1826" t="str">
        <f t="shared" si="1"/>
        <v>-</v>
      </c>
      <c r="AB25" s="1828"/>
      <c r="AC25" s="1822" t="s">
        <v>1665</v>
      </c>
      <c r="AF25" s="466"/>
      <c r="AG25" s="466"/>
      <c r="AH25" s="466"/>
    </row>
    <row r="26" spans="1:34" s="492" customFormat="1" ht="14.25" hidden="1" x14ac:dyDescent="0.2">
      <c r="A26" s="1240"/>
      <c r="B26" s="500" t="s">
        <v>1233</v>
      </c>
      <c r="C26" s="501" t="s">
        <v>1230</v>
      </c>
      <c r="D26" s="1240"/>
      <c r="E26" s="842" t="s">
        <v>318</v>
      </c>
      <c r="F26" s="1829"/>
      <c r="G26" s="1830"/>
      <c r="H26" s="542">
        <f>SUM(H27:H31)</f>
        <v>12.8</v>
      </c>
      <c r="I26" s="1831"/>
      <c r="J26" s="1831"/>
      <c r="K26" s="533">
        <f>SUM(K27:K31)</f>
        <v>12.8</v>
      </c>
      <c r="L26" s="1831"/>
      <c r="M26" s="1831"/>
      <c r="N26" s="533">
        <f>SUM(N27:N31)</f>
        <v>12.8</v>
      </c>
      <c r="O26" s="1831"/>
      <c r="P26" s="1831"/>
      <c r="Q26" s="533">
        <f>SUM(Q27:Q31)</f>
        <v>16.7</v>
      </c>
      <c r="R26" s="533">
        <f t="shared" si="2"/>
        <v>16.7</v>
      </c>
      <c r="S26" s="533"/>
      <c r="T26" s="1831"/>
      <c r="U26" s="1831"/>
      <c r="V26" s="533">
        <f>SUM(V27:V31)</f>
        <v>16.7</v>
      </c>
      <c r="W26" s="1831"/>
      <c r="X26" s="1831"/>
      <c r="Y26" s="533">
        <f>SUM(Y27:Y31)</f>
        <v>16.7</v>
      </c>
      <c r="Z26" s="542">
        <f t="shared" si="0"/>
        <v>3.9</v>
      </c>
      <c r="AA26" s="542">
        <f t="shared" si="1"/>
        <v>130.5</v>
      </c>
      <c r="AB26" s="899"/>
      <c r="AC26" s="1822" t="s">
        <v>1665</v>
      </c>
      <c r="AF26" s="466"/>
      <c r="AG26" s="466"/>
      <c r="AH26" s="466"/>
    </row>
    <row r="27" spans="1:34" s="498" customFormat="1" hidden="1" x14ac:dyDescent="0.25">
      <c r="A27" s="962"/>
      <c r="B27" s="502" t="s">
        <v>1519</v>
      </c>
      <c r="C27" s="503"/>
      <c r="D27" s="962"/>
      <c r="E27" s="1031" t="s">
        <v>318</v>
      </c>
      <c r="F27" s="494">
        <v>1</v>
      </c>
      <c r="G27" s="495">
        <v>3.45</v>
      </c>
      <c r="H27" s="559">
        <f>F27*G27</f>
        <v>3.5</v>
      </c>
      <c r="I27" s="496">
        <v>1</v>
      </c>
      <c r="J27" s="496">
        <v>3.5</v>
      </c>
      <c r="K27" s="857">
        <f>I27*J27</f>
        <v>3.5</v>
      </c>
      <c r="L27" s="496">
        <v>1</v>
      </c>
      <c r="M27" s="496">
        <v>3.5</v>
      </c>
      <c r="N27" s="857">
        <f>L27*M27</f>
        <v>3.5</v>
      </c>
      <c r="O27" s="496">
        <v>1</v>
      </c>
      <c r="P27" s="496">
        <v>3.5</v>
      </c>
      <c r="Q27" s="857">
        <f>O27*P27</f>
        <v>3.5</v>
      </c>
      <c r="R27" s="857">
        <f t="shared" si="2"/>
        <v>3.5</v>
      </c>
      <c r="S27" s="857"/>
      <c r="T27" s="496">
        <v>1</v>
      </c>
      <c r="U27" s="496">
        <v>3.5</v>
      </c>
      <c r="V27" s="857">
        <f>T27*U27</f>
        <v>3.5</v>
      </c>
      <c r="W27" s="496">
        <v>1</v>
      </c>
      <c r="X27" s="496">
        <v>3.5</v>
      </c>
      <c r="Y27" s="857">
        <f>W27*X27</f>
        <v>3.5</v>
      </c>
      <c r="Z27" s="559">
        <f t="shared" si="0"/>
        <v>0</v>
      </c>
      <c r="AA27" s="559">
        <f t="shared" si="1"/>
        <v>100</v>
      </c>
      <c r="AB27" s="1029"/>
      <c r="AC27" s="1822" t="s">
        <v>1665</v>
      </c>
      <c r="AF27" s="466"/>
      <c r="AG27" s="465"/>
      <c r="AH27" s="465"/>
    </row>
    <row r="28" spans="1:34" s="498" customFormat="1" hidden="1" x14ac:dyDescent="0.25">
      <c r="A28" s="962"/>
      <c r="B28" s="1038" t="s">
        <v>1683</v>
      </c>
      <c r="C28" s="1832"/>
      <c r="D28" s="962"/>
      <c r="E28" s="842"/>
      <c r="F28" s="863">
        <v>1</v>
      </c>
      <c r="G28" s="864">
        <v>2</v>
      </c>
      <c r="H28" s="559">
        <f>F28*G28</f>
        <v>2</v>
      </c>
      <c r="I28" s="682">
        <v>1</v>
      </c>
      <c r="J28" s="682">
        <v>2</v>
      </c>
      <c r="K28" s="857">
        <f>I28*J28</f>
        <v>2</v>
      </c>
      <c r="L28" s="682">
        <v>1</v>
      </c>
      <c r="M28" s="682">
        <v>2</v>
      </c>
      <c r="N28" s="857">
        <f>L28*M28</f>
        <v>2</v>
      </c>
      <c r="O28" s="682"/>
      <c r="P28" s="682"/>
      <c r="Q28" s="857"/>
      <c r="R28" s="857">
        <f t="shared" si="2"/>
        <v>0</v>
      </c>
      <c r="S28" s="857"/>
      <c r="T28" s="682"/>
      <c r="U28" s="682"/>
      <c r="V28" s="857"/>
      <c r="W28" s="682"/>
      <c r="X28" s="682"/>
      <c r="Y28" s="857"/>
      <c r="Z28" s="559">
        <f t="shared" si="0"/>
        <v>-2</v>
      </c>
      <c r="AA28" s="559">
        <f t="shared" si="1"/>
        <v>0</v>
      </c>
      <c r="AB28" s="1029"/>
      <c r="AC28" s="1822" t="s">
        <v>1665</v>
      </c>
      <c r="AF28" s="466"/>
      <c r="AG28" s="465"/>
      <c r="AH28" s="465"/>
    </row>
    <row r="29" spans="1:34" s="498" customFormat="1" ht="76.5" hidden="1" x14ac:dyDescent="0.25">
      <c r="A29" s="962"/>
      <c r="B29" s="1038" t="s">
        <v>1684</v>
      </c>
      <c r="C29" s="1832"/>
      <c r="D29" s="962"/>
      <c r="E29" s="842"/>
      <c r="F29" s="863"/>
      <c r="G29" s="864"/>
      <c r="H29" s="559"/>
      <c r="I29" s="682"/>
      <c r="J29" s="682"/>
      <c r="K29" s="857"/>
      <c r="L29" s="682"/>
      <c r="M29" s="682"/>
      <c r="N29" s="857"/>
      <c r="O29" s="682">
        <v>2</v>
      </c>
      <c r="P29" s="682">
        <v>2.5</v>
      </c>
      <c r="Q29" s="857">
        <f>O29*P29</f>
        <v>5</v>
      </c>
      <c r="R29" s="857">
        <f t="shared" si="2"/>
        <v>5</v>
      </c>
      <c r="S29" s="857"/>
      <c r="T29" s="682">
        <v>2</v>
      </c>
      <c r="U29" s="682">
        <v>2.5</v>
      </c>
      <c r="V29" s="857">
        <f>T29*U29</f>
        <v>5</v>
      </c>
      <c r="W29" s="682">
        <v>2</v>
      </c>
      <c r="X29" s="682">
        <v>2.5</v>
      </c>
      <c r="Y29" s="857">
        <f>W29*X29</f>
        <v>5</v>
      </c>
      <c r="Z29" s="559">
        <f t="shared" si="0"/>
        <v>5</v>
      </c>
      <c r="AA29" s="559" t="str">
        <f t="shared" si="1"/>
        <v>-</v>
      </c>
      <c r="AB29" s="843" t="s">
        <v>1685</v>
      </c>
      <c r="AC29" s="1822" t="s">
        <v>1665</v>
      </c>
      <c r="AF29" s="466"/>
      <c r="AG29" s="465"/>
      <c r="AH29" s="465"/>
    </row>
    <row r="30" spans="1:34" s="498" customFormat="1" hidden="1" x14ac:dyDescent="0.25">
      <c r="A30" s="962"/>
      <c r="B30" s="1038" t="s">
        <v>1686</v>
      </c>
      <c r="C30" s="1832"/>
      <c r="D30" s="962"/>
      <c r="E30" s="842"/>
      <c r="F30" s="863">
        <v>2</v>
      </c>
      <c r="G30" s="864">
        <v>2.2999999999999998</v>
      </c>
      <c r="H30" s="559">
        <f>F30*G30</f>
        <v>4.5999999999999996</v>
      </c>
      <c r="I30" s="682">
        <v>2</v>
      </c>
      <c r="J30" s="682">
        <v>2.2999999999999998</v>
      </c>
      <c r="K30" s="857">
        <f>I30*J30</f>
        <v>4.5999999999999996</v>
      </c>
      <c r="L30" s="682">
        <v>2</v>
      </c>
      <c r="M30" s="682">
        <v>2.2999999999999998</v>
      </c>
      <c r="N30" s="857">
        <f>L30*M30</f>
        <v>4.5999999999999996</v>
      </c>
      <c r="O30" s="682">
        <v>2</v>
      </c>
      <c r="P30" s="682">
        <v>2.2999999999999998</v>
      </c>
      <c r="Q30" s="857">
        <f>O30*P30</f>
        <v>4.5999999999999996</v>
      </c>
      <c r="R30" s="857">
        <f t="shared" si="2"/>
        <v>4.5999999999999996</v>
      </c>
      <c r="S30" s="857"/>
      <c r="T30" s="682">
        <v>2</v>
      </c>
      <c r="U30" s="682">
        <v>2.2999999999999998</v>
      </c>
      <c r="V30" s="857">
        <f>T30*U30</f>
        <v>4.5999999999999996</v>
      </c>
      <c r="W30" s="682">
        <v>2</v>
      </c>
      <c r="X30" s="682">
        <v>2.2999999999999998</v>
      </c>
      <c r="Y30" s="857">
        <f>W30*X30</f>
        <v>4.5999999999999996</v>
      </c>
      <c r="Z30" s="559">
        <f t="shared" si="0"/>
        <v>0</v>
      </c>
      <c r="AA30" s="559">
        <f t="shared" si="1"/>
        <v>100</v>
      </c>
      <c r="AB30" s="1029"/>
      <c r="AC30" s="1037" t="s">
        <v>1665</v>
      </c>
      <c r="AF30" s="466"/>
      <c r="AG30" s="465"/>
      <c r="AH30" s="465"/>
    </row>
    <row r="31" spans="1:34" s="498" customFormat="1" hidden="1" x14ac:dyDescent="0.25">
      <c r="A31" s="962"/>
      <c r="B31" s="1038" t="s">
        <v>1234</v>
      </c>
      <c r="C31" s="1832"/>
      <c r="D31" s="962"/>
      <c r="E31" s="842"/>
      <c r="F31" s="494"/>
      <c r="G31" s="495"/>
      <c r="H31" s="1245">
        <f>SUM(H27:H30)*0.271</f>
        <v>2.7</v>
      </c>
      <c r="I31" s="496"/>
      <c r="J31" s="496"/>
      <c r="K31" s="496">
        <f>SUM(K27:K30)*0.271</f>
        <v>2.7</v>
      </c>
      <c r="L31" s="496"/>
      <c r="M31" s="496"/>
      <c r="N31" s="496">
        <f>SUM(N27:N30)*0.271</f>
        <v>2.7</v>
      </c>
      <c r="O31" s="496"/>
      <c r="P31" s="496"/>
      <c r="Q31" s="496">
        <f>SUM(Q27:Q30)*0.271</f>
        <v>3.6</v>
      </c>
      <c r="R31" s="496">
        <f t="shared" si="2"/>
        <v>3.6</v>
      </c>
      <c r="S31" s="496"/>
      <c r="T31" s="496"/>
      <c r="U31" s="496"/>
      <c r="V31" s="496">
        <f>SUM(V27:V30)*0.271</f>
        <v>3.6</v>
      </c>
      <c r="W31" s="496"/>
      <c r="X31" s="496"/>
      <c r="Y31" s="496">
        <f>SUM(Y27:Y30)*0.271</f>
        <v>3.6</v>
      </c>
      <c r="Z31" s="1245">
        <f t="shared" si="0"/>
        <v>0.9</v>
      </c>
      <c r="AA31" s="1245">
        <f t="shared" si="1"/>
        <v>133.30000000000001</v>
      </c>
      <c r="AB31" s="1029"/>
      <c r="AC31" s="1037" t="s">
        <v>1665</v>
      </c>
      <c r="AF31" s="466"/>
      <c r="AG31" s="465"/>
      <c r="AH31" s="465"/>
    </row>
    <row r="32" spans="1:34" s="492" customFormat="1" ht="14.25" hidden="1" x14ac:dyDescent="0.2">
      <c r="A32" s="487"/>
      <c r="B32" s="844" t="s">
        <v>1232</v>
      </c>
      <c r="C32" s="845"/>
      <c r="D32" s="846"/>
      <c r="E32" s="487"/>
      <c r="F32" s="488"/>
      <c r="G32" s="489"/>
      <c r="H32" s="490" t="e">
        <f>#REF!+H33+#REF!</f>
        <v>#REF!</v>
      </c>
      <c r="I32" s="847"/>
      <c r="J32" s="847"/>
      <c r="K32" s="490">
        <f>K33</f>
        <v>61.8</v>
      </c>
      <c r="L32" s="847"/>
      <c r="M32" s="847"/>
      <c r="N32" s="490">
        <f>N33</f>
        <v>61.8</v>
      </c>
      <c r="O32" s="490"/>
      <c r="P32" s="490"/>
      <c r="Q32" s="490">
        <f>Q33</f>
        <v>26.3</v>
      </c>
      <c r="R32" s="490">
        <f t="shared" si="2"/>
        <v>26.3</v>
      </c>
      <c r="S32" s="490"/>
      <c r="T32" s="847"/>
      <c r="U32" s="847"/>
      <c r="V32" s="490">
        <f>V33</f>
        <v>26.3</v>
      </c>
      <c r="W32" s="490"/>
      <c r="X32" s="490"/>
      <c r="Y32" s="490">
        <f>Y33</f>
        <v>26.3</v>
      </c>
      <c r="Z32" s="490">
        <f t="shared" si="0"/>
        <v>-35.5</v>
      </c>
      <c r="AA32" s="490">
        <f t="shared" si="1"/>
        <v>42.6</v>
      </c>
      <c r="AB32" s="848"/>
      <c r="AC32" s="491"/>
      <c r="AF32" s="466"/>
      <c r="AG32" s="466"/>
      <c r="AH32" s="466"/>
    </row>
    <row r="33" spans="1:34" s="492" customFormat="1" ht="38.25" hidden="1" x14ac:dyDescent="0.2">
      <c r="A33" s="522"/>
      <c r="B33" s="825" t="s">
        <v>1664</v>
      </c>
      <c r="C33" s="837"/>
      <c r="D33" s="522" t="s">
        <v>1444</v>
      </c>
      <c r="E33" s="838"/>
      <c r="F33" s="839"/>
      <c r="G33" s="840"/>
      <c r="H33" s="841">
        <f>H34+H38+H43+H44+H46</f>
        <v>76.099999999999994</v>
      </c>
      <c r="I33" s="841"/>
      <c r="J33" s="841"/>
      <c r="K33" s="841">
        <f>K34+K38+K43+K44+K46</f>
        <v>61.8</v>
      </c>
      <c r="L33" s="841"/>
      <c r="M33" s="841"/>
      <c r="N33" s="841">
        <f>N34+N38+N43+N44+N46</f>
        <v>61.8</v>
      </c>
      <c r="O33" s="841"/>
      <c r="P33" s="841"/>
      <c r="Q33" s="841">
        <f>Q34+Q38+Q43+Q44+Q46</f>
        <v>26.3</v>
      </c>
      <c r="R33" s="841">
        <f t="shared" si="2"/>
        <v>26.3</v>
      </c>
      <c r="S33" s="841"/>
      <c r="T33" s="841"/>
      <c r="U33" s="841"/>
      <c r="V33" s="841">
        <f>V34+V38+V43+V44+V46</f>
        <v>26.3</v>
      </c>
      <c r="W33" s="841"/>
      <c r="X33" s="841"/>
      <c r="Y33" s="841">
        <f>Y34+Y38+Y43+Y44+Y46</f>
        <v>26.3</v>
      </c>
      <c r="Z33" s="841">
        <f t="shared" si="0"/>
        <v>-35.5</v>
      </c>
      <c r="AA33" s="841">
        <f t="shared" si="1"/>
        <v>42.6</v>
      </c>
      <c r="AB33" s="1833"/>
      <c r="AC33" s="491" t="s">
        <v>1665</v>
      </c>
      <c r="AF33" s="466"/>
      <c r="AG33" s="466"/>
      <c r="AH33" s="466"/>
    </row>
    <row r="34" spans="1:34" s="492" customFormat="1" ht="14.25" hidden="1" x14ac:dyDescent="0.2">
      <c r="A34" s="1240"/>
      <c r="B34" s="500" t="s">
        <v>1226</v>
      </c>
      <c r="C34" s="501" t="s">
        <v>797</v>
      </c>
      <c r="D34" s="1240"/>
      <c r="E34" s="842"/>
      <c r="F34" s="530"/>
      <c r="G34" s="531"/>
      <c r="H34" s="493">
        <f>SUM(H35:H37)</f>
        <v>16</v>
      </c>
      <c r="I34" s="532"/>
      <c r="J34" s="532"/>
      <c r="K34" s="532">
        <f>SUM(K35:K37)</f>
        <v>7.9</v>
      </c>
      <c r="L34" s="532"/>
      <c r="M34" s="532"/>
      <c r="N34" s="532">
        <v>7.9</v>
      </c>
      <c r="O34" s="532"/>
      <c r="P34" s="532"/>
      <c r="Q34" s="532">
        <f>SUM(Q35:Q37)</f>
        <v>14</v>
      </c>
      <c r="R34" s="532">
        <f t="shared" si="2"/>
        <v>14</v>
      </c>
      <c r="S34" s="532"/>
      <c r="T34" s="532"/>
      <c r="U34" s="532"/>
      <c r="V34" s="532">
        <f>SUM(V35:V37)</f>
        <v>14</v>
      </c>
      <c r="W34" s="532"/>
      <c r="X34" s="532"/>
      <c r="Y34" s="532">
        <f>SUM(Y35:Y37)</f>
        <v>14</v>
      </c>
      <c r="Z34" s="493">
        <f t="shared" si="0"/>
        <v>6.1</v>
      </c>
      <c r="AA34" s="493">
        <f t="shared" si="1"/>
        <v>177.2</v>
      </c>
      <c r="AB34" s="901"/>
      <c r="AC34" s="1822" t="s">
        <v>1665</v>
      </c>
      <c r="AF34" s="466"/>
      <c r="AG34" s="466"/>
      <c r="AH34" s="466"/>
    </row>
    <row r="35" spans="1:34" s="498" customFormat="1" ht="38.25" hidden="1" x14ac:dyDescent="0.25">
      <c r="A35" s="962"/>
      <c r="B35" s="856" t="s">
        <v>1669</v>
      </c>
      <c r="C35" s="499"/>
      <c r="D35" s="962"/>
      <c r="E35" s="1031" t="s">
        <v>227</v>
      </c>
      <c r="F35" s="1834">
        <v>100</v>
      </c>
      <c r="G35" s="495">
        <v>0.12</v>
      </c>
      <c r="H35" s="559">
        <f>F35*G35</f>
        <v>12</v>
      </c>
      <c r="I35" s="1835">
        <v>100</v>
      </c>
      <c r="J35" s="883">
        <v>0.05</v>
      </c>
      <c r="K35" s="857">
        <f>I35*J35</f>
        <v>5</v>
      </c>
      <c r="L35" s="1835">
        <v>100</v>
      </c>
      <c r="M35" s="883">
        <v>0.05</v>
      </c>
      <c r="N35" s="857">
        <v>5</v>
      </c>
      <c r="O35" s="1835">
        <v>50</v>
      </c>
      <c r="P35" s="496">
        <v>0.2</v>
      </c>
      <c r="Q35" s="857">
        <f>O35*P35</f>
        <v>10</v>
      </c>
      <c r="R35" s="857">
        <f t="shared" si="2"/>
        <v>10</v>
      </c>
      <c r="S35" s="857"/>
      <c r="T35" s="1835">
        <v>50</v>
      </c>
      <c r="U35" s="496">
        <v>0.2</v>
      </c>
      <c r="V35" s="857">
        <f>T35*U35</f>
        <v>10</v>
      </c>
      <c r="W35" s="1835">
        <v>50</v>
      </c>
      <c r="X35" s="496">
        <v>0.2</v>
      </c>
      <c r="Y35" s="857">
        <f>W35*X35</f>
        <v>10</v>
      </c>
      <c r="Z35" s="559">
        <f t="shared" si="0"/>
        <v>5</v>
      </c>
      <c r="AA35" s="559">
        <f t="shared" si="1"/>
        <v>200</v>
      </c>
      <c r="AB35" s="901" t="s">
        <v>1687</v>
      </c>
      <c r="AC35" s="1823" t="s">
        <v>1665</v>
      </c>
      <c r="AF35" s="466"/>
      <c r="AG35" s="465"/>
      <c r="AH35" s="465"/>
    </row>
    <row r="36" spans="1:34" s="498" customFormat="1" hidden="1" x14ac:dyDescent="0.25">
      <c r="A36" s="962"/>
      <c r="B36" s="856" t="s">
        <v>1688</v>
      </c>
      <c r="C36" s="499"/>
      <c r="D36" s="962"/>
      <c r="E36" s="1031" t="s">
        <v>227</v>
      </c>
      <c r="F36" s="1834">
        <v>10</v>
      </c>
      <c r="G36" s="495">
        <v>0.1</v>
      </c>
      <c r="H36" s="559">
        <f>F36*G36</f>
        <v>1</v>
      </c>
      <c r="I36" s="1835">
        <v>17</v>
      </c>
      <c r="J36" s="883">
        <v>0.05</v>
      </c>
      <c r="K36" s="857">
        <f>I36*J36</f>
        <v>0.9</v>
      </c>
      <c r="L36" s="1835">
        <v>17</v>
      </c>
      <c r="M36" s="883">
        <v>0.05</v>
      </c>
      <c r="N36" s="857">
        <v>0.9</v>
      </c>
      <c r="O36" s="1835"/>
      <c r="P36" s="496"/>
      <c r="Q36" s="857"/>
      <c r="R36" s="857">
        <f t="shared" si="2"/>
        <v>0</v>
      </c>
      <c r="S36" s="857"/>
      <c r="T36" s="1835"/>
      <c r="U36" s="496"/>
      <c r="V36" s="857"/>
      <c r="W36" s="1835"/>
      <c r="X36" s="496"/>
      <c r="Y36" s="857"/>
      <c r="Z36" s="559">
        <f t="shared" si="0"/>
        <v>-0.9</v>
      </c>
      <c r="AA36" s="559">
        <f t="shared" si="1"/>
        <v>0</v>
      </c>
      <c r="AB36" s="901"/>
      <c r="AC36" s="1823" t="s">
        <v>1665</v>
      </c>
      <c r="AF36" s="466"/>
      <c r="AG36" s="465"/>
      <c r="AH36" s="465"/>
    </row>
    <row r="37" spans="1:34" s="498" customFormat="1" ht="38.25" hidden="1" x14ac:dyDescent="0.25">
      <c r="A37" s="962"/>
      <c r="B37" s="502" t="s">
        <v>1689</v>
      </c>
      <c r="C37" s="503"/>
      <c r="D37" s="962"/>
      <c r="E37" s="1031" t="s">
        <v>227</v>
      </c>
      <c r="F37" s="1834">
        <v>1</v>
      </c>
      <c r="G37" s="495">
        <v>3</v>
      </c>
      <c r="H37" s="559">
        <f>F37*G37</f>
        <v>3</v>
      </c>
      <c r="I37" s="1835">
        <v>2</v>
      </c>
      <c r="J37" s="496">
        <v>1</v>
      </c>
      <c r="K37" s="857">
        <f>I37*J37</f>
        <v>2</v>
      </c>
      <c r="L37" s="1835">
        <v>2</v>
      </c>
      <c r="M37" s="496">
        <v>1</v>
      </c>
      <c r="N37" s="857">
        <v>2</v>
      </c>
      <c r="O37" s="1835">
        <v>2</v>
      </c>
      <c r="P37" s="496">
        <v>2</v>
      </c>
      <c r="Q37" s="857">
        <f>O37*P37</f>
        <v>4</v>
      </c>
      <c r="R37" s="857">
        <f t="shared" si="2"/>
        <v>4</v>
      </c>
      <c r="S37" s="857"/>
      <c r="T37" s="1835">
        <v>2</v>
      </c>
      <c r="U37" s="496">
        <v>2</v>
      </c>
      <c r="V37" s="857">
        <f>T37*U37</f>
        <v>4</v>
      </c>
      <c r="W37" s="1835">
        <v>2</v>
      </c>
      <c r="X37" s="496">
        <v>2</v>
      </c>
      <c r="Y37" s="857">
        <f>W37*X37</f>
        <v>4</v>
      </c>
      <c r="Z37" s="559">
        <f t="shared" si="0"/>
        <v>2</v>
      </c>
      <c r="AA37" s="559">
        <f t="shared" si="1"/>
        <v>200</v>
      </c>
      <c r="AB37" s="901" t="s">
        <v>1690</v>
      </c>
      <c r="AC37" s="1822" t="s">
        <v>1665</v>
      </c>
      <c r="AF37" s="466"/>
      <c r="AG37" s="465"/>
      <c r="AH37" s="465"/>
    </row>
    <row r="38" spans="1:34" s="492" customFormat="1" ht="25.5" hidden="1" x14ac:dyDescent="0.2">
      <c r="A38" s="1240"/>
      <c r="B38" s="500" t="s">
        <v>1691</v>
      </c>
      <c r="C38" s="501" t="s">
        <v>797</v>
      </c>
      <c r="D38" s="1240"/>
      <c r="E38" s="842"/>
      <c r="F38" s="530"/>
      <c r="G38" s="531"/>
      <c r="H38" s="493">
        <f>SUM(H39:H42)</f>
        <v>7.5</v>
      </c>
      <c r="I38" s="532"/>
      <c r="J38" s="532"/>
      <c r="K38" s="532">
        <f>SUM(K39:K42)</f>
        <v>0.9</v>
      </c>
      <c r="L38" s="532"/>
      <c r="M38" s="532"/>
      <c r="N38" s="532">
        <v>0.9</v>
      </c>
      <c r="O38" s="532"/>
      <c r="P38" s="532"/>
      <c r="Q38" s="532">
        <f>SUM(Q39:Q41)</f>
        <v>2</v>
      </c>
      <c r="R38" s="532">
        <f t="shared" si="2"/>
        <v>2</v>
      </c>
      <c r="S38" s="532"/>
      <c r="T38" s="532"/>
      <c r="U38" s="532"/>
      <c r="V38" s="532">
        <f>SUM(V39:V41)</f>
        <v>2</v>
      </c>
      <c r="W38" s="532"/>
      <c r="X38" s="532"/>
      <c r="Y38" s="532">
        <f>SUM(Y39:Y41)</f>
        <v>2</v>
      </c>
      <c r="Z38" s="493">
        <f t="shared" si="0"/>
        <v>1.1000000000000001</v>
      </c>
      <c r="AA38" s="493">
        <f t="shared" si="1"/>
        <v>222.2</v>
      </c>
      <c r="AB38" s="901"/>
      <c r="AC38" s="1822" t="s">
        <v>1665</v>
      </c>
      <c r="AF38" s="466"/>
      <c r="AG38" s="466"/>
      <c r="AH38" s="466"/>
    </row>
    <row r="39" spans="1:34" s="498" customFormat="1" hidden="1" x14ac:dyDescent="0.25">
      <c r="A39" s="962"/>
      <c r="B39" s="856" t="s">
        <v>1692</v>
      </c>
      <c r="C39" s="499"/>
      <c r="D39" s="962"/>
      <c r="E39" s="1031" t="s">
        <v>227</v>
      </c>
      <c r="F39" s="1834">
        <v>4</v>
      </c>
      <c r="G39" s="495">
        <v>0.3</v>
      </c>
      <c r="H39" s="559">
        <f>F39*G39</f>
        <v>1.2</v>
      </c>
      <c r="I39" s="1835"/>
      <c r="J39" s="496"/>
      <c r="K39" s="857"/>
      <c r="L39" s="1835"/>
      <c r="M39" s="496"/>
      <c r="N39" s="857"/>
      <c r="O39" s="1835"/>
      <c r="P39" s="496"/>
      <c r="Q39" s="857"/>
      <c r="R39" s="857">
        <f t="shared" si="2"/>
        <v>0</v>
      </c>
      <c r="S39" s="857"/>
      <c r="T39" s="1835"/>
      <c r="U39" s="496"/>
      <c r="V39" s="857"/>
      <c r="W39" s="1835"/>
      <c r="X39" s="496"/>
      <c r="Y39" s="857"/>
      <c r="Z39" s="559">
        <f t="shared" si="0"/>
        <v>0</v>
      </c>
      <c r="AA39" s="559" t="str">
        <f t="shared" si="1"/>
        <v>-</v>
      </c>
      <c r="AB39" s="901"/>
      <c r="AC39" s="1823" t="s">
        <v>1665</v>
      </c>
      <c r="AF39" s="466"/>
      <c r="AG39" s="465"/>
      <c r="AH39" s="465"/>
    </row>
    <row r="40" spans="1:34" s="498" customFormat="1" ht="63.75" hidden="1" x14ac:dyDescent="0.25">
      <c r="A40" s="962"/>
      <c r="B40" s="502" t="s">
        <v>1693</v>
      </c>
      <c r="C40" s="499"/>
      <c r="D40" s="962"/>
      <c r="E40" s="1031" t="s">
        <v>227</v>
      </c>
      <c r="F40" s="494">
        <v>18</v>
      </c>
      <c r="G40" s="495">
        <v>0.1</v>
      </c>
      <c r="H40" s="559">
        <f>F40*G40</f>
        <v>1.8</v>
      </c>
      <c r="I40" s="496">
        <v>9</v>
      </c>
      <c r="J40" s="883">
        <v>0.1</v>
      </c>
      <c r="K40" s="857">
        <f>I40*J40</f>
        <v>0.9</v>
      </c>
      <c r="L40" s="496">
        <v>9</v>
      </c>
      <c r="M40" s="883">
        <v>0.1</v>
      </c>
      <c r="N40" s="857">
        <v>0.9</v>
      </c>
      <c r="O40" s="496">
        <v>20</v>
      </c>
      <c r="P40" s="496">
        <v>0.1</v>
      </c>
      <c r="Q40" s="857">
        <f>O40*P40</f>
        <v>2</v>
      </c>
      <c r="R40" s="857">
        <f t="shared" si="2"/>
        <v>2</v>
      </c>
      <c r="S40" s="857"/>
      <c r="T40" s="496">
        <v>20</v>
      </c>
      <c r="U40" s="496">
        <v>0.1</v>
      </c>
      <c r="V40" s="857">
        <f>T40*U40</f>
        <v>2</v>
      </c>
      <c r="W40" s="496">
        <v>20</v>
      </c>
      <c r="X40" s="496">
        <v>0.1</v>
      </c>
      <c r="Y40" s="857">
        <f>W40*X40</f>
        <v>2</v>
      </c>
      <c r="Z40" s="559">
        <f t="shared" si="0"/>
        <v>1.1000000000000001</v>
      </c>
      <c r="AA40" s="559">
        <f t="shared" si="1"/>
        <v>222.2</v>
      </c>
      <c r="AB40" s="900" t="s">
        <v>1694</v>
      </c>
      <c r="AC40" s="1823" t="s">
        <v>1665</v>
      </c>
      <c r="AF40" s="466"/>
      <c r="AG40" s="465"/>
      <c r="AH40" s="465"/>
    </row>
    <row r="41" spans="1:34" s="498" customFormat="1" hidden="1" x14ac:dyDescent="0.25">
      <c r="A41" s="962"/>
      <c r="B41" s="856" t="s">
        <v>1695</v>
      </c>
      <c r="C41" s="499"/>
      <c r="D41" s="962"/>
      <c r="E41" s="1031" t="s">
        <v>227</v>
      </c>
      <c r="F41" s="494">
        <v>1</v>
      </c>
      <c r="G41" s="495">
        <v>2</v>
      </c>
      <c r="H41" s="559">
        <f>F41*G41</f>
        <v>2</v>
      </c>
      <c r="I41" s="496"/>
      <c r="J41" s="496"/>
      <c r="K41" s="857"/>
      <c r="L41" s="496"/>
      <c r="M41" s="496"/>
      <c r="N41" s="857"/>
      <c r="O41" s="496"/>
      <c r="P41" s="496"/>
      <c r="Q41" s="857"/>
      <c r="R41" s="857">
        <f t="shared" si="2"/>
        <v>0</v>
      </c>
      <c r="S41" s="857"/>
      <c r="T41" s="496"/>
      <c r="U41" s="496"/>
      <c r="V41" s="857"/>
      <c r="W41" s="496"/>
      <c r="X41" s="496"/>
      <c r="Y41" s="857"/>
      <c r="Z41" s="559">
        <f t="shared" si="0"/>
        <v>0</v>
      </c>
      <c r="AA41" s="559" t="str">
        <f t="shared" si="1"/>
        <v>-</v>
      </c>
      <c r="AB41" s="1246"/>
      <c r="AC41" s="1823" t="s">
        <v>1665</v>
      </c>
      <c r="AF41" s="466"/>
      <c r="AG41" s="465"/>
      <c r="AH41" s="465"/>
    </row>
    <row r="42" spans="1:34" s="498" customFormat="1" hidden="1" x14ac:dyDescent="0.25">
      <c r="A42" s="962"/>
      <c r="B42" s="856" t="s">
        <v>1695</v>
      </c>
      <c r="C42" s="499"/>
      <c r="D42" s="962"/>
      <c r="E42" s="1031" t="s">
        <v>227</v>
      </c>
      <c r="F42" s="494">
        <v>1</v>
      </c>
      <c r="G42" s="495">
        <v>2.5</v>
      </c>
      <c r="H42" s="559">
        <f>F42*G42</f>
        <v>2.5</v>
      </c>
      <c r="I42" s="496"/>
      <c r="J42" s="496"/>
      <c r="K42" s="857"/>
      <c r="L42" s="496"/>
      <c r="M42" s="496"/>
      <c r="N42" s="857"/>
      <c r="O42" s="496"/>
      <c r="P42" s="496"/>
      <c r="Q42" s="857"/>
      <c r="R42" s="857">
        <f t="shared" si="2"/>
        <v>0</v>
      </c>
      <c r="S42" s="857"/>
      <c r="T42" s="496"/>
      <c r="U42" s="496"/>
      <c r="V42" s="857"/>
      <c r="W42" s="496"/>
      <c r="X42" s="496"/>
      <c r="Y42" s="857"/>
      <c r="Z42" s="559">
        <f t="shared" si="0"/>
        <v>0</v>
      </c>
      <c r="AA42" s="559" t="str">
        <f t="shared" si="1"/>
        <v>-</v>
      </c>
      <c r="AB42" s="827"/>
      <c r="AC42" s="1823" t="s">
        <v>1665</v>
      </c>
      <c r="AF42" s="466"/>
      <c r="AG42" s="465"/>
      <c r="AH42" s="465"/>
    </row>
    <row r="43" spans="1:34" s="492" customFormat="1" ht="14.25" hidden="1" x14ac:dyDescent="0.2">
      <c r="A43" s="1240"/>
      <c r="B43" s="500" t="s">
        <v>1696</v>
      </c>
      <c r="C43" s="501" t="s">
        <v>796</v>
      </c>
      <c r="D43" s="1240"/>
      <c r="E43" s="842"/>
      <c r="F43" s="530">
        <v>310</v>
      </c>
      <c r="G43" s="531">
        <v>0.02</v>
      </c>
      <c r="H43" s="493">
        <f>F43*G43</f>
        <v>6.2</v>
      </c>
      <c r="I43" s="532">
        <v>310</v>
      </c>
      <c r="J43" s="1836">
        <v>0.02</v>
      </c>
      <c r="K43" s="532">
        <f>I43*J43</f>
        <v>6.2</v>
      </c>
      <c r="L43" s="532">
        <v>310</v>
      </c>
      <c r="M43" s="1836">
        <v>0.02</v>
      </c>
      <c r="N43" s="532">
        <v>6.2</v>
      </c>
      <c r="O43" s="532">
        <v>310</v>
      </c>
      <c r="P43" s="532">
        <v>0</v>
      </c>
      <c r="Q43" s="532">
        <f>O43*P43</f>
        <v>0</v>
      </c>
      <c r="R43" s="532">
        <f t="shared" si="2"/>
        <v>0</v>
      </c>
      <c r="S43" s="532"/>
      <c r="T43" s="532">
        <v>310</v>
      </c>
      <c r="U43" s="532">
        <v>0</v>
      </c>
      <c r="V43" s="532">
        <f>T43*U43</f>
        <v>0</v>
      </c>
      <c r="W43" s="532">
        <v>310</v>
      </c>
      <c r="X43" s="532">
        <v>0</v>
      </c>
      <c r="Y43" s="532">
        <f>W43*X43</f>
        <v>0</v>
      </c>
      <c r="Z43" s="493">
        <f t="shared" si="0"/>
        <v>-6.2</v>
      </c>
      <c r="AA43" s="493">
        <f t="shared" si="1"/>
        <v>0</v>
      </c>
      <c r="AB43" s="901"/>
      <c r="AC43" s="1822" t="s">
        <v>1665</v>
      </c>
      <c r="AF43" s="466"/>
      <c r="AG43" s="466"/>
      <c r="AH43" s="466"/>
    </row>
    <row r="44" spans="1:34" s="492" customFormat="1" ht="14.25" hidden="1" x14ac:dyDescent="0.2">
      <c r="A44" s="1240"/>
      <c r="B44" s="865" t="s">
        <v>803</v>
      </c>
      <c r="C44" s="508" t="s">
        <v>796</v>
      </c>
      <c r="D44" s="1240"/>
      <c r="E44" s="842" t="s">
        <v>227</v>
      </c>
      <c r="F44" s="530"/>
      <c r="G44" s="531"/>
      <c r="H44" s="542">
        <f>H45</f>
        <v>33.6</v>
      </c>
      <c r="I44" s="532"/>
      <c r="J44" s="532"/>
      <c r="K44" s="533">
        <f>K45</f>
        <v>34</v>
      </c>
      <c r="L44" s="532"/>
      <c r="M44" s="532"/>
      <c r="N44" s="533">
        <v>34</v>
      </c>
      <c r="O44" s="532"/>
      <c r="P44" s="532"/>
      <c r="Q44" s="533"/>
      <c r="R44" s="533">
        <f t="shared" si="2"/>
        <v>0</v>
      </c>
      <c r="S44" s="533"/>
      <c r="T44" s="532"/>
      <c r="U44" s="532"/>
      <c r="V44" s="533"/>
      <c r="W44" s="532"/>
      <c r="X44" s="532"/>
      <c r="Y44" s="533"/>
      <c r="Z44" s="542">
        <f t="shared" si="0"/>
        <v>-34</v>
      </c>
      <c r="AA44" s="542">
        <f t="shared" si="1"/>
        <v>0</v>
      </c>
      <c r="AB44" s="901"/>
      <c r="AC44" s="1823" t="s">
        <v>1665</v>
      </c>
      <c r="AF44" s="466"/>
      <c r="AG44" s="466"/>
      <c r="AH44" s="466"/>
    </row>
    <row r="45" spans="1:34" s="498" customFormat="1" hidden="1" x14ac:dyDescent="0.25">
      <c r="A45" s="962"/>
      <c r="B45" s="502" t="s">
        <v>1697</v>
      </c>
      <c r="C45" s="503"/>
      <c r="D45" s="962"/>
      <c r="E45" s="842"/>
      <c r="F45" s="494">
        <v>168</v>
      </c>
      <c r="G45" s="495">
        <v>0.2</v>
      </c>
      <c r="H45" s="1245">
        <f>F45*G45</f>
        <v>33.6</v>
      </c>
      <c r="I45" s="496">
        <v>170</v>
      </c>
      <c r="J45" s="496">
        <v>0.2</v>
      </c>
      <c r="K45" s="496">
        <f>I45*J45</f>
        <v>34</v>
      </c>
      <c r="L45" s="496">
        <v>170</v>
      </c>
      <c r="M45" s="496">
        <v>0.2</v>
      </c>
      <c r="N45" s="496">
        <v>34</v>
      </c>
      <c r="O45" s="496"/>
      <c r="P45" s="496"/>
      <c r="Q45" s="496"/>
      <c r="R45" s="496">
        <f t="shared" si="2"/>
        <v>0</v>
      </c>
      <c r="S45" s="496"/>
      <c r="T45" s="496"/>
      <c r="U45" s="496"/>
      <c r="V45" s="496"/>
      <c r="W45" s="496"/>
      <c r="X45" s="496"/>
      <c r="Y45" s="496"/>
      <c r="Z45" s="1245">
        <f t="shared" si="0"/>
        <v>-34</v>
      </c>
      <c r="AA45" s="1245">
        <f t="shared" si="1"/>
        <v>0</v>
      </c>
      <c r="AB45" s="901"/>
      <c r="AC45" s="1822" t="s">
        <v>1665</v>
      </c>
      <c r="AF45" s="466"/>
      <c r="AG45" s="465"/>
      <c r="AH45" s="465"/>
    </row>
    <row r="46" spans="1:34" s="492" customFormat="1" ht="14.25" hidden="1" x14ac:dyDescent="0.2">
      <c r="A46" s="1240"/>
      <c r="B46" s="500" t="s">
        <v>1233</v>
      </c>
      <c r="C46" s="501" t="s">
        <v>1230</v>
      </c>
      <c r="D46" s="1240"/>
      <c r="E46" s="842" t="s">
        <v>227</v>
      </c>
      <c r="F46" s="530"/>
      <c r="G46" s="531"/>
      <c r="H46" s="542">
        <f>SUM(H47:H50)</f>
        <v>12.8</v>
      </c>
      <c r="I46" s="532"/>
      <c r="J46" s="532"/>
      <c r="K46" s="533">
        <f>SUM(K47:K50)</f>
        <v>12.8</v>
      </c>
      <c r="L46" s="532"/>
      <c r="M46" s="532"/>
      <c r="N46" s="533">
        <v>12.8</v>
      </c>
      <c r="O46" s="532"/>
      <c r="P46" s="532"/>
      <c r="Q46" s="533">
        <f>SUM(Q47:Q50)</f>
        <v>10.3</v>
      </c>
      <c r="R46" s="533">
        <f t="shared" si="2"/>
        <v>10.3</v>
      </c>
      <c r="S46" s="533"/>
      <c r="T46" s="532"/>
      <c r="U46" s="532"/>
      <c r="V46" s="533">
        <f>SUM(V47:V50)</f>
        <v>10.3</v>
      </c>
      <c r="W46" s="532"/>
      <c r="X46" s="532"/>
      <c r="Y46" s="533">
        <f>SUM(Y47:Y50)</f>
        <v>10.3</v>
      </c>
      <c r="Z46" s="542">
        <f t="shared" si="0"/>
        <v>-2.5</v>
      </c>
      <c r="AA46" s="542">
        <f t="shared" si="1"/>
        <v>80.5</v>
      </c>
      <c r="AB46" s="901"/>
      <c r="AC46" s="1822" t="s">
        <v>1665</v>
      </c>
      <c r="AF46" s="466"/>
      <c r="AG46" s="466"/>
      <c r="AH46" s="466"/>
    </row>
    <row r="47" spans="1:34" s="498" customFormat="1" hidden="1" x14ac:dyDescent="0.25">
      <c r="A47" s="962"/>
      <c r="B47" s="502" t="s">
        <v>1698</v>
      </c>
      <c r="C47" s="503"/>
      <c r="D47" s="962"/>
      <c r="E47" s="1031" t="s">
        <v>227</v>
      </c>
      <c r="F47" s="494">
        <v>1</v>
      </c>
      <c r="G47" s="495">
        <v>3.45</v>
      </c>
      <c r="H47" s="559">
        <f>F47*G47</f>
        <v>3.5</v>
      </c>
      <c r="I47" s="496">
        <v>1</v>
      </c>
      <c r="J47" s="496">
        <v>3.5</v>
      </c>
      <c r="K47" s="857">
        <f>I47*J47</f>
        <v>3.5</v>
      </c>
      <c r="L47" s="496">
        <v>1</v>
      </c>
      <c r="M47" s="496">
        <v>3.5</v>
      </c>
      <c r="N47" s="857">
        <v>3.5</v>
      </c>
      <c r="O47" s="496">
        <v>1</v>
      </c>
      <c r="P47" s="496">
        <v>3.5</v>
      </c>
      <c r="Q47" s="857">
        <f>O47*P47</f>
        <v>3.5</v>
      </c>
      <c r="R47" s="857">
        <f t="shared" si="2"/>
        <v>3.5</v>
      </c>
      <c r="S47" s="857"/>
      <c r="T47" s="496">
        <v>1</v>
      </c>
      <c r="U47" s="496">
        <v>3.5</v>
      </c>
      <c r="V47" s="857">
        <f>T47*U47</f>
        <v>3.5</v>
      </c>
      <c r="W47" s="496">
        <v>1</v>
      </c>
      <c r="X47" s="496">
        <v>3.5</v>
      </c>
      <c r="Y47" s="857">
        <f>W47*X47</f>
        <v>3.5</v>
      </c>
      <c r="Z47" s="559">
        <f t="shared" si="0"/>
        <v>0</v>
      </c>
      <c r="AA47" s="559">
        <f t="shared" si="1"/>
        <v>100</v>
      </c>
      <c r="AB47" s="901"/>
      <c r="AC47" s="1822" t="s">
        <v>1665</v>
      </c>
      <c r="AF47" s="466"/>
      <c r="AG47" s="465"/>
      <c r="AH47" s="465"/>
    </row>
    <row r="48" spans="1:34" s="498" customFormat="1" hidden="1" x14ac:dyDescent="0.25">
      <c r="A48" s="962"/>
      <c r="B48" s="502" t="s">
        <v>1699</v>
      </c>
      <c r="C48" s="503"/>
      <c r="D48" s="962"/>
      <c r="E48" s="1031"/>
      <c r="F48" s="494">
        <v>1</v>
      </c>
      <c r="G48" s="495">
        <v>2</v>
      </c>
      <c r="H48" s="559">
        <f>F48*G48</f>
        <v>2</v>
      </c>
      <c r="I48" s="496">
        <v>1</v>
      </c>
      <c r="J48" s="496">
        <v>2</v>
      </c>
      <c r="K48" s="857">
        <f>I48*J48</f>
        <v>2</v>
      </c>
      <c r="L48" s="496">
        <v>1</v>
      </c>
      <c r="M48" s="496">
        <v>2</v>
      </c>
      <c r="N48" s="857">
        <v>2</v>
      </c>
      <c r="O48" s="496"/>
      <c r="P48" s="496"/>
      <c r="Q48" s="857"/>
      <c r="R48" s="857">
        <f t="shared" si="2"/>
        <v>0</v>
      </c>
      <c r="S48" s="857"/>
      <c r="T48" s="496"/>
      <c r="U48" s="496"/>
      <c r="V48" s="857"/>
      <c r="W48" s="496"/>
      <c r="X48" s="496"/>
      <c r="Y48" s="857"/>
      <c r="Z48" s="559">
        <f t="shared" si="0"/>
        <v>-2</v>
      </c>
      <c r="AA48" s="559">
        <f t="shared" si="1"/>
        <v>0</v>
      </c>
      <c r="AB48" s="901"/>
      <c r="AC48" s="1822" t="s">
        <v>1665</v>
      </c>
      <c r="AF48" s="466"/>
      <c r="AG48" s="465"/>
      <c r="AH48" s="465"/>
    </row>
    <row r="49" spans="1:34" s="498" customFormat="1" hidden="1" x14ac:dyDescent="0.25">
      <c r="A49" s="962"/>
      <c r="B49" s="502" t="s">
        <v>1686</v>
      </c>
      <c r="C49" s="503"/>
      <c r="D49" s="962"/>
      <c r="E49" s="1031"/>
      <c r="F49" s="494">
        <v>2</v>
      </c>
      <c r="G49" s="495">
        <v>2.2999999999999998</v>
      </c>
      <c r="H49" s="559">
        <f>F49*G49</f>
        <v>4.5999999999999996</v>
      </c>
      <c r="I49" s="496">
        <v>2</v>
      </c>
      <c r="J49" s="496">
        <v>2.2999999999999998</v>
      </c>
      <c r="K49" s="857">
        <f>I49*J49</f>
        <v>4.5999999999999996</v>
      </c>
      <c r="L49" s="496">
        <v>2</v>
      </c>
      <c r="M49" s="496">
        <v>2.2999999999999998</v>
      </c>
      <c r="N49" s="857">
        <v>4.5999999999999996</v>
      </c>
      <c r="O49" s="496">
        <v>2</v>
      </c>
      <c r="P49" s="496">
        <v>2.2999999999999998</v>
      </c>
      <c r="Q49" s="857">
        <f>O49*P49</f>
        <v>4.5999999999999996</v>
      </c>
      <c r="R49" s="857">
        <f t="shared" si="2"/>
        <v>4.5999999999999996</v>
      </c>
      <c r="S49" s="857"/>
      <c r="T49" s="496">
        <v>2</v>
      </c>
      <c r="U49" s="496">
        <v>2.2999999999999998</v>
      </c>
      <c r="V49" s="857">
        <f>T49*U49</f>
        <v>4.5999999999999996</v>
      </c>
      <c r="W49" s="496">
        <v>2</v>
      </c>
      <c r="X49" s="496">
        <v>2.2999999999999998</v>
      </c>
      <c r="Y49" s="857">
        <f>W49*X49</f>
        <v>4.5999999999999996</v>
      </c>
      <c r="Z49" s="559">
        <f t="shared" si="0"/>
        <v>0</v>
      </c>
      <c r="AA49" s="559">
        <f t="shared" si="1"/>
        <v>100</v>
      </c>
      <c r="AB49" s="901"/>
      <c r="AC49" s="1822" t="s">
        <v>1665</v>
      </c>
      <c r="AF49" s="466"/>
      <c r="AG49" s="465"/>
      <c r="AH49" s="465"/>
    </row>
    <row r="50" spans="1:34" s="498" customFormat="1" hidden="1" x14ac:dyDescent="0.25">
      <c r="A50" s="962"/>
      <c r="B50" s="502" t="s">
        <v>1234</v>
      </c>
      <c r="C50" s="503"/>
      <c r="D50" s="962"/>
      <c r="E50" s="1031"/>
      <c r="F50" s="557"/>
      <c r="G50" s="558"/>
      <c r="H50" s="559">
        <f>SUM(H47:H49)*0.271</f>
        <v>2.7</v>
      </c>
      <c r="I50" s="857"/>
      <c r="J50" s="857"/>
      <c r="K50" s="857">
        <f>SUM(K47:K49)*0.271</f>
        <v>2.7</v>
      </c>
      <c r="L50" s="857"/>
      <c r="M50" s="857"/>
      <c r="N50" s="857">
        <v>2.7</v>
      </c>
      <c r="O50" s="857"/>
      <c r="P50" s="857"/>
      <c r="Q50" s="857">
        <f>SUM(Q47:Q49)*0.271</f>
        <v>2.2000000000000002</v>
      </c>
      <c r="R50" s="857">
        <f t="shared" si="2"/>
        <v>2.2000000000000002</v>
      </c>
      <c r="S50" s="857"/>
      <c r="T50" s="857"/>
      <c r="U50" s="857"/>
      <c r="V50" s="857">
        <f>SUM(V47:V49)*0.271</f>
        <v>2.2000000000000002</v>
      </c>
      <c r="W50" s="857"/>
      <c r="X50" s="857"/>
      <c r="Y50" s="857">
        <f>SUM(Y47:Y49)*0.271</f>
        <v>2.2000000000000002</v>
      </c>
      <c r="Z50" s="559">
        <f t="shared" si="0"/>
        <v>-0.5</v>
      </c>
      <c r="AA50" s="559">
        <f t="shared" si="1"/>
        <v>81.5</v>
      </c>
      <c r="AB50" s="1837"/>
      <c r="AC50" s="1822" t="s">
        <v>1665</v>
      </c>
      <c r="AF50" s="466"/>
      <c r="AG50" s="465"/>
      <c r="AH50" s="465"/>
    </row>
    <row r="51" spans="1:34" s="492" customFormat="1" ht="14.25" hidden="1" x14ac:dyDescent="0.2">
      <c r="A51" s="487"/>
      <c r="B51" s="543" t="s">
        <v>1236</v>
      </c>
      <c r="C51" s="511"/>
      <c r="D51" s="487"/>
      <c r="E51" s="487"/>
      <c r="F51" s="488"/>
      <c r="G51" s="489"/>
      <c r="H51" s="490" t="e">
        <f>#REF!+H52+#REF!+#REF!</f>
        <v>#REF!</v>
      </c>
      <c r="I51" s="847"/>
      <c r="J51" s="847"/>
      <c r="K51" s="490">
        <f>K52</f>
        <v>49.7</v>
      </c>
      <c r="L51" s="847"/>
      <c r="M51" s="847"/>
      <c r="N51" s="490">
        <f>N52</f>
        <v>49.7</v>
      </c>
      <c r="O51" s="847"/>
      <c r="P51" s="847"/>
      <c r="Q51" s="490">
        <f>Q52</f>
        <v>60</v>
      </c>
      <c r="R51" s="490">
        <f t="shared" si="2"/>
        <v>60</v>
      </c>
      <c r="S51" s="490"/>
      <c r="T51" s="847"/>
      <c r="U51" s="847"/>
      <c r="V51" s="490">
        <f>V52</f>
        <v>60</v>
      </c>
      <c r="W51" s="490"/>
      <c r="X51" s="490"/>
      <c r="Y51" s="490">
        <f>Y52</f>
        <v>60</v>
      </c>
      <c r="Z51" s="490">
        <f t="shared" si="0"/>
        <v>10.3</v>
      </c>
      <c r="AA51" s="490">
        <f t="shared" si="1"/>
        <v>120.7</v>
      </c>
      <c r="AB51" s="555"/>
      <c r="AC51" s="491"/>
      <c r="AF51" s="466"/>
      <c r="AG51" s="466"/>
      <c r="AH51" s="466"/>
    </row>
    <row r="52" spans="1:34" s="492" customFormat="1" ht="38.25" hidden="1" x14ac:dyDescent="0.2">
      <c r="A52" s="522"/>
      <c r="B52" s="858" t="s">
        <v>1700</v>
      </c>
      <c r="C52" s="859"/>
      <c r="D52" s="522" t="s">
        <v>1444</v>
      </c>
      <c r="E52" s="860"/>
      <c r="F52" s="523"/>
      <c r="G52" s="524"/>
      <c r="H52" s="526">
        <f>H53+H60+H65+H68+H72</f>
        <v>66.900000000000006</v>
      </c>
      <c r="I52" s="526"/>
      <c r="J52" s="526"/>
      <c r="K52" s="526">
        <f>K53+K60+K65+K68+K72</f>
        <v>49.7</v>
      </c>
      <c r="L52" s="526"/>
      <c r="M52" s="526"/>
      <c r="N52" s="526">
        <f>N53+N60+N65+N68+N72</f>
        <v>49.7</v>
      </c>
      <c r="O52" s="526"/>
      <c r="P52" s="526"/>
      <c r="Q52" s="526">
        <f>Q53+Q60+Q64+Q65+Q68+Q72+Q71</f>
        <v>60</v>
      </c>
      <c r="R52" s="526">
        <f t="shared" si="2"/>
        <v>60</v>
      </c>
      <c r="S52" s="526"/>
      <c r="T52" s="526"/>
      <c r="U52" s="526"/>
      <c r="V52" s="526">
        <f>V53+V60+V64+V65+V68+V72+V71</f>
        <v>60</v>
      </c>
      <c r="W52" s="526"/>
      <c r="X52" s="526"/>
      <c r="Y52" s="526">
        <f>Y53+Y60+Y64+Y65+Y68+Y72+Y71</f>
        <v>60</v>
      </c>
      <c r="Z52" s="526">
        <f t="shared" si="0"/>
        <v>10.3</v>
      </c>
      <c r="AA52" s="526">
        <f t="shared" si="1"/>
        <v>120.7</v>
      </c>
      <c r="AB52" s="849" t="s">
        <v>1701</v>
      </c>
      <c r="AC52" s="491" t="s">
        <v>1665</v>
      </c>
      <c r="AF52" s="466"/>
      <c r="AG52" s="466"/>
      <c r="AH52" s="466"/>
    </row>
    <row r="53" spans="1:34" s="492" customFormat="1" ht="14.25" hidden="1" x14ac:dyDescent="0.2">
      <c r="A53" s="1240"/>
      <c r="B53" s="507" t="s">
        <v>1242</v>
      </c>
      <c r="C53" s="508" t="s">
        <v>1230</v>
      </c>
      <c r="D53" s="932"/>
      <c r="E53" s="861"/>
      <c r="F53" s="828"/>
      <c r="G53" s="829"/>
      <c r="H53" s="542">
        <f>SUM(H54:H59)</f>
        <v>28.2</v>
      </c>
      <c r="I53" s="533"/>
      <c r="J53" s="533"/>
      <c r="K53" s="533">
        <f>SUM(K54:K59)</f>
        <v>24.8</v>
      </c>
      <c r="L53" s="533"/>
      <c r="M53" s="533"/>
      <c r="N53" s="533">
        <f>SUM(N54:N59)</f>
        <v>24.8</v>
      </c>
      <c r="O53" s="533"/>
      <c r="P53" s="533"/>
      <c r="Q53" s="533">
        <f>SUM(Q54:Q59)</f>
        <v>22</v>
      </c>
      <c r="R53" s="533">
        <f t="shared" si="2"/>
        <v>22</v>
      </c>
      <c r="S53" s="533"/>
      <c r="T53" s="533"/>
      <c r="U53" s="533"/>
      <c r="V53" s="533">
        <f>SUM(V54:V59)</f>
        <v>22</v>
      </c>
      <c r="W53" s="533"/>
      <c r="X53" s="533"/>
      <c r="Y53" s="533">
        <f>SUM(Y54:Y59)</f>
        <v>22</v>
      </c>
      <c r="Z53" s="542">
        <f t="shared" si="0"/>
        <v>-2.8</v>
      </c>
      <c r="AA53" s="542">
        <f t="shared" si="1"/>
        <v>88.7</v>
      </c>
      <c r="AB53" s="1030"/>
      <c r="AC53" s="1823" t="s">
        <v>1665</v>
      </c>
      <c r="AF53" s="466"/>
      <c r="AG53" s="466"/>
      <c r="AH53" s="466"/>
    </row>
    <row r="54" spans="1:34" s="498" customFormat="1" hidden="1" x14ac:dyDescent="0.25">
      <c r="A54" s="962"/>
      <c r="B54" s="856" t="s">
        <v>1702</v>
      </c>
      <c r="C54" s="499"/>
      <c r="D54" s="903"/>
      <c r="E54" s="855" t="s">
        <v>318</v>
      </c>
      <c r="F54" s="557">
        <v>1</v>
      </c>
      <c r="G54" s="558">
        <v>3.45</v>
      </c>
      <c r="H54" s="559">
        <f>F54*G54</f>
        <v>3.5</v>
      </c>
      <c r="I54" s="857">
        <v>1</v>
      </c>
      <c r="J54" s="857">
        <v>3.5</v>
      </c>
      <c r="K54" s="857">
        <f>I54*J54</f>
        <v>3.5</v>
      </c>
      <c r="L54" s="857">
        <v>1</v>
      </c>
      <c r="M54" s="857">
        <v>3.5</v>
      </c>
      <c r="N54" s="857">
        <f>L54*M54</f>
        <v>3.5</v>
      </c>
      <c r="O54" s="857">
        <v>1</v>
      </c>
      <c r="P54" s="857">
        <v>3.5</v>
      </c>
      <c r="Q54" s="857">
        <f>O54*P54</f>
        <v>3.5</v>
      </c>
      <c r="R54" s="857">
        <f t="shared" si="2"/>
        <v>3.5</v>
      </c>
      <c r="S54" s="857"/>
      <c r="T54" s="857">
        <v>1</v>
      </c>
      <c r="U54" s="857">
        <v>3.5</v>
      </c>
      <c r="V54" s="857">
        <f>T54*U54</f>
        <v>3.5</v>
      </c>
      <c r="W54" s="857">
        <v>1</v>
      </c>
      <c r="X54" s="857">
        <v>3.5</v>
      </c>
      <c r="Y54" s="857">
        <f>W54*X54</f>
        <v>3.5</v>
      </c>
      <c r="Z54" s="559">
        <f t="shared" si="0"/>
        <v>0</v>
      </c>
      <c r="AA54" s="559">
        <f t="shared" si="1"/>
        <v>100</v>
      </c>
      <c r="AB54" s="1029"/>
      <c r="AC54" s="1823" t="s">
        <v>1665</v>
      </c>
      <c r="AF54" s="466"/>
      <c r="AG54" s="465"/>
      <c r="AH54" s="465"/>
    </row>
    <row r="55" spans="1:34" s="498" customFormat="1" ht="38.25" hidden="1" x14ac:dyDescent="0.25">
      <c r="A55" s="962"/>
      <c r="B55" s="856" t="s">
        <v>1365</v>
      </c>
      <c r="C55" s="499"/>
      <c r="D55" s="903"/>
      <c r="E55" s="855" t="s">
        <v>318</v>
      </c>
      <c r="F55" s="557">
        <v>1</v>
      </c>
      <c r="G55" s="558">
        <v>2.2999999999999998</v>
      </c>
      <c r="H55" s="559">
        <f>F55*G55</f>
        <v>2.2999999999999998</v>
      </c>
      <c r="I55" s="857">
        <v>1</v>
      </c>
      <c r="J55" s="857">
        <v>2.2999999999999998</v>
      </c>
      <c r="K55" s="857">
        <f>I55*J55</f>
        <v>2.2999999999999998</v>
      </c>
      <c r="L55" s="857">
        <v>1</v>
      </c>
      <c r="M55" s="857">
        <v>2.2999999999999998</v>
      </c>
      <c r="N55" s="857">
        <f>L55*M55</f>
        <v>2.2999999999999998</v>
      </c>
      <c r="O55" s="857">
        <v>2</v>
      </c>
      <c r="P55" s="857">
        <v>2.2999999999999998</v>
      </c>
      <c r="Q55" s="857">
        <f>O55*P55</f>
        <v>4.5999999999999996</v>
      </c>
      <c r="R55" s="857">
        <f t="shared" si="2"/>
        <v>4.5999999999999996</v>
      </c>
      <c r="S55" s="857"/>
      <c r="T55" s="857">
        <v>2</v>
      </c>
      <c r="U55" s="857">
        <v>2.2999999999999998</v>
      </c>
      <c r="V55" s="857">
        <f>T55*U55</f>
        <v>4.5999999999999996</v>
      </c>
      <c r="W55" s="857">
        <v>2</v>
      </c>
      <c r="X55" s="857">
        <v>2.2999999999999998</v>
      </c>
      <c r="Y55" s="857">
        <f>W55*X55</f>
        <v>4.5999999999999996</v>
      </c>
      <c r="Z55" s="559">
        <f t="shared" si="0"/>
        <v>2.2999999999999998</v>
      </c>
      <c r="AA55" s="559">
        <f t="shared" si="1"/>
        <v>200</v>
      </c>
      <c r="AB55" s="1029" t="s">
        <v>1703</v>
      </c>
      <c r="AC55" s="1823" t="s">
        <v>1665</v>
      </c>
      <c r="AF55" s="466"/>
      <c r="AG55" s="465"/>
      <c r="AH55" s="465"/>
    </row>
    <row r="56" spans="1:34" s="498" customFormat="1" hidden="1" x14ac:dyDescent="0.25">
      <c r="A56" s="962"/>
      <c r="B56" s="856" t="s">
        <v>1704</v>
      </c>
      <c r="C56" s="499"/>
      <c r="D56" s="962"/>
      <c r="E56" s="1245" t="s">
        <v>318</v>
      </c>
      <c r="F56" s="557">
        <v>1</v>
      </c>
      <c r="G56" s="558">
        <v>5.2</v>
      </c>
      <c r="H56" s="559">
        <f>F56*G56</f>
        <v>5.2</v>
      </c>
      <c r="I56" s="857">
        <v>1</v>
      </c>
      <c r="J56" s="857">
        <v>2.5</v>
      </c>
      <c r="K56" s="857">
        <f>I56*J56</f>
        <v>2.5</v>
      </c>
      <c r="L56" s="857">
        <v>1</v>
      </c>
      <c r="M56" s="857">
        <v>2.5</v>
      </c>
      <c r="N56" s="857">
        <f>L56*M56</f>
        <v>2.5</v>
      </c>
      <c r="O56" s="857"/>
      <c r="P56" s="857"/>
      <c r="Q56" s="857"/>
      <c r="R56" s="857">
        <f t="shared" si="2"/>
        <v>0</v>
      </c>
      <c r="S56" s="857"/>
      <c r="T56" s="857"/>
      <c r="U56" s="857"/>
      <c r="V56" s="857"/>
      <c r="W56" s="857"/>
      <c r="X56" s="857"/>
      <c r="Y56" s="857"/>
      <c r="Z56" s="559">
        <f t="shared" si="0"/>
        <v>-2.5</v>
      </c>
      <c r="AA56" s="559">
        <f t="shared" si="1"/>
        <v>0</v>
      </c>
      <c r="AB56" s="843"/>
      <c r="AC56" s="1823" t="s">
        <v>1665</v>
      </c>
      <c r="AF56" s="466"/>
      <c r="AG56" s="465"/>
      <c r="AH56" s="465"/>
    </row>
    <row r="57" spans="1:34" s="498" customFormat="1" hidden="1" x14ac:dyDescent="0.25">
      <c r="A57" s="962"/>
      <c r="B57" s="506" t="s">
        <v>1366</v>
      </c>
      <c r="C57" s="499"/>
      <c r="D57" s="903"/>
      <c r="E57" s="1245" t="s">
        <v>318</v>
      </c>
      <c r="F57" s="557">
        <v>4</v>
      </c>
      <c r="G57" s="558">
        <v>2.2999999999999998</v>
      </c>
      <c r="H57" s="559">
        <f>F57*G57</f>
        <v>9.1999999999999993</v>
      </c>
      <c r="I57" s="857">
        <v>4</v>
      </c>
      <c r="J57" s="857">
        <v>2.2999999999999998</v>
      </c>
      <c r="K57" s="857">
        <f>I57*J57</f>
        <v>9.1999999999999993</v>
      </c>
      <c r="L57" s="857">
        <v>4</v>
      </c>
      <c r="M57" s="857">
        <v>2.2999999999999998</v>
      </c>
      <c r="N57" s="857">
        <f>L57*M57</f>
        <v>9.1999999999999993</v>
      </c>
      <c r="O57" s="857"/>
      <c r="P57" s="857"/>
      <c r="Q57" s="857"/>
      <c r="R57" s="857">
        <f t="shared" si="2"/>
        <v>0</v>
      </c>
      <c r="S57" s="857"/>
      <c r="T57" s="857"/>
      <c r="U57" s="857"/>
      <c r="V57" s="857"/>
      <c r="W57" s="857"/>
      <c r="X57" s="857"/>
      <c r="Y57" s="857"/>
      <c r="Z57" s="559">
        <f t="shared" si="0"/>
        <v>-9.1999999999999993</v>
      </c>
      <c r="AA57" s="559">
        <f t="shared" si="1"/>
        <v>0</v>
      </c>
      <c r="AB57" s="1838"/>
      <c r="AC57" s="1823" t="s">
        <v>1665</v>
      </c>
      <c r="AF57" s="466"/>
      <c r="AG57" s="465"/>
      <c r="AH57" s="465"/>
    </row>
    <row r="58" spans="1:34" s="498" customFormat="1" ht="51" hidden="1" x14ac:dyDescent="0.25">
      <c r="A58" s="962"/>
      <c r="B58" s="506" t="s">
        <v>1705</v>
      </c>
      <c r="C58" s="499"/>
      <c r="D58" s="903"/>
      <c r="E58" s="1245" t="s">
        <v>318</v>
      </c>
      <c r="F58" s="557">
        <v>1</v>
      </c>
      <c r="G58" s="558">
        <v>2</v>
      </c>
      <c r="H58" s="559">
        <f>F58*G58</f>
        <v>2</v>
      </c>
      <c r="I58" s="857">
        <v>1</v>
      </c>
      <c r="J58" s="857">
        <v>2</v>
      </c>
      <c r="K58" s="857">
        <f>I58*J58</f>
        <v>2</v>
      </c>
      <c r="L58" s="857">
        <v>1</v>
      </c>
      <c r="M58" s="857">
        <v>2</v>
      </c>
      <c r="N58" s="857">
        <f>L58*M58</f>
        <v>2</v>
      </c>
      <c r="O58" s="857">
        <v>4</v>
      </c>
      <c r="P58" s="857">
        <v>2.2999999999999998</v>
      </c>
      <c r="Q58" s="857">
        <f>O58*P58</f>
        <v>9.1999999999999993</v>
      </c>
      <c r="R58" s="857">
        <f t="shared" si="2"/>
        <v>9.1999999999999993</v>
      </c>
      <c r="S58" s="857"/>
      <c r="T58" s="857">
        <v>4</v>
      </c>
      <c r="U58" s="857">
        <v>2.2999999999999998</v>
      </c>
      <c r="V58" s="857">
        <f>T58*U58</f>
        <v>9.1999999999999993</v>
      </c>
      <c r="W58" s="857">
        <v>4</v>
      </c>
      <c r="X58" s="857">
        <v>2.2999999999999998</v>
      </c>
      <c r="Y58" s="857">
        <f>W58*X58</f>
        <v>9.1999999999999993</v>
      </c>
      <c r="Z58" s="559">
        <f t="shared" si="0"/>
        <v>7.2</v>
      </c>
      <c r="AA58" s="559">
        <f t="shared" si="1"/>
        <v>460</v>
      </c>
      <c r="AB58" s="1838" t="s">
        <v>1706</v>
      </c>
      <c r="AC58" s="1823" t="s">
        <v>1665</v>
      </c>
      <c r="AF58" s="466"/>
      <c r="AG58" s="465"/>
      <c r="AH58" s="465"/>
    </row>
    <row r="59" spans="1:34" s="498" customFormat="1" hidden="1" x14ac:dyDescent="0.25">
      <c r="A59" s="962"/>
      <c r="B59" s="856" t="s">
        <v>842</v>
      </c>
      <c r="C59" s="499"/>
      <c r="D59" s="903"/>
      <c r="E59" s="855"/>
      <c r="F59" s="557"/>
      <c r="G59" s="558"/>
      <c r="H59" s="559">
        <f>SUM(H54:H58)*0.271</f>
        <v>6</v>
      </c>
      <c r="I59" s="857"/>
      <c r="J59" s="857"/>
      <c r="K59" s="857">
        <f>SUM(K54:K58)*0.271</f>
        <v>5.3</v>
      </c>
      <c r="L59" s="857"/>
      <c r="M59" s="857"/>
      <c r="N59" s="857">
        <f>SUM(N54:N58)*0.271</f>
        <v>5.3</v>
      </c>
      <c r="O59" s="857"/>
      <c r="P59" s="857"/>
      <c r="Q59" s="857">
        <f>SUM(Q54:Q58)*0.271</f>
        <v>4.7</v>
      </c>
      <c r="R59" s="857">
        <f t="shared" si="2"/>
        <v>4.7</v>
      </c>
      <c r="S59" s="857"/>
      <c r="T59" s="857"/>
      <c r="U59" s="857"/>
      <c r="V59" s="857">
        <f>SUM(V54:V58)*0.271</f>
        <v>4.7</v>
      </c>
      <c r="W59" s="857"/>
      <c r="X59" s="857"/>
      <c r="Y59" s="857">
        <f>SUM(Y54:Y58)*0.271</f>
        <v>4.7</v>
      </c>
      <c r="Z59" s="559">
        <f t="shared" si="0"/>
        <v>-0.6</v>
      </c>
      <c r="AA59" s="559">
        <f t="shared" si="1"/>
        <v>88.7</v>
      </c>
      <c r="AB59" s="1838"/>
      <c r="AC59" s="1823" t="s">
        <v>1665</v>
      </c>
      <c r="AF59" s="466"/>
      <c r="AG59" s="465"/>
      <c r="AH59" s="465"/>
    </row>
    <row r="60" spans="1:34" s="492" customFormat="1" ht="14.25" hidden="1" x14ac:dyDescent="0.2">
      <c r="A60" s="1240"/>
      <c r="B60" s="865" t="s">
        <v>1707</v>
      </c>
      <c r="C60" s="508" t="s">
        <v>797</v>
      </c>
      <c r="D60" s="932"/>
      <c r="E60" s="861"/>
      <c r="F60" s="828"/>
      <c r="G60" s="829"/>
      <c r="H60" s="542">
        <f>SUM(H61:H63)</f>
        <v>9.1999999999999993</v>
      </c>
      <c r="I60" s="533"/>
      <c r="J60" s="533"/>
      <c r="K60" s="533">
        <f>SUM(K61:K63)</f>
        <v>4.5999999999999996</v>
      </c>
      <c r="L60" s="533"/>
      <c r="M60" s="533"/>
      <c r="N60" s="533">
        <f>SUM(N61:N63)</f>
        <v>4.5999999999999996</v>
      </c>
      <c r="O60" s="533"/>
      <c r="P60" s="533"/>
      <c r="Q60" s="533">
        <f>SUM(Q61:Q63)</f>
        <v>10</v>
      </c>
      <c r="R60" s="533">
        <f t="shared" si="2"/>
        <v>10</v>
      </c>
      <c r="S60" s="533"/>
      <c r="T60" s="533"/>
      <c r="U60" s="533"/>
      <c r="V60" s="533">
        <f>SUM(V61:V63)</f>
        <v>10</v>
      </c>
      <c r="W60" s="533"/>
      <c r="X60" s="533"/>
      <c r="Y60" s="533">
        <f>SUM(Y61:Y63)</f>
        <v>10</v>
      </c>
      <c r="Z60" s="542">
        <f t="shared" si="0"/>
        <v>5.4</v>
      </c>
      <c r="AA60" s="542">
        <f t="shared" si="1"/>
        <v>217.4</v>
      </c>
      <c r="AB60" s="1838"/>
      <c r="AC60" s="1823" t="s">
        <v>1665</v>
      </c>
      <c r="AF60" s="466"/>
      <c r="AG60" s="466"/>
      <c r="AH60" s="466"/>
    </row>
    <row r="61" spans="1:34" s="498" customFormat="1" ht="63.75" hidden="1" x14ac:dyDescent="0.25">
      <c r="A61" s="962"/>
      <c r="B61" s="502" t="s">
        <v>1708</v>
      </c>
      <c r="C61" s="499"/>
      <c r="D61" s="903"/>
      <c r="E61" s="855" t="s">
        <v>227</v>
      </c>
      <c r="F61" s="557">
        <v>20</v>
      </c>
      <c r="G61" s="558">
        <v>0.1</v>
      </c>
      <c r="H61" s="559">
        <f>F61*G61</f>
        <v>2</v>
      </c>
      <c r="I61" s="857">
        <v>10</v>
      </c>
      <c r="J61" s="862">
        <v>0.1</v>
      </c>
      <c r="K61" s="857">
        <f>I61*J61</f>
        <v>1</v>
      </c>
      <c r="L61" s="857">
        <v>10</v>
      </c>
      <c r="M61" s="862">
        <v>0.1</v>
      </c>
      <c r="N61" s="857">
        <f>L61*M61</f>
        <v>1</v>
      </c>
      <c r="O61" s="857">
        <v>20</v>
      </c>
      <c r="P61" s="857">
        <v>0.1</v>
      </c>
      <c r="Q61" s="857">
        <f>O61*P61</f>
        <v>2</v>
      </c>
      <c r="R61" s="857">
        <f t="shared" si="2"/>
        <v>2</v>
      </c>
      <c r="S61" s="857"/>
      <c r="T61" s="857">
        <v>20</v>
      </c>
      <c r="U61" s="857">
        <v>0.1</v>
      </c>
      <c r="V61" s="857">
        <f>T61*U61</f>
        <v>2</v>
      </c>
      <c r="W61" s="857">
        <v>20</v>
      </c>
      <c r="X61" s="857">
        <v>0.1</v>
      </c>
      <c r="Y61" s="857">
        <f>W61*X61</f>
        <v>2</v>
      </c>
      <c r="Z61" s="559">
        <f t="shared" si="0"/>
        <v>1</v>
      </c>
      <c r="AA61" s="559">
        <f t="shared" si="1"/>
        <v>200</v>
      </c>
      <c r="AB61" s="900" t="s">
        <v>1694</v>
      </c>
      <c r="AC61" s="1823" t="s">
        <v>1665</v>
      </c>
      <c r="AF61" s="466"/>
      <c r="AG61" s="465"/>
      <c r="AH61" s="465"/>
    </row>
    <row r="62" spans="1:34" s="498" customFormat="1" hidden="1" x14ac:dyDescent="0.25">
      <c r="A62" s="962"/>
      <c r="B62" s="856" t="s">
        <v>1669</v>
      </c>
      <c r="C62" s="499"/>
      <c r="D62" s="962"/>
      <c r="E62" s="855" t="s">
        <v>1240</v>
      </c>
      <c r="F62" s="557">
        <v>30</v>
      </c>
      <c r="G62" s="558">
        <v>0.1</v>
      </c>
      <c r="H62" s="559">
        <f>F62*G62</f>
        <v>3</v>
      </c>
      <c r="I62" s="857">
        <v>30</v>
      </c>
      <c r="J62" s="862">
        <v>0.05</v>
      </c>
      <c r="K62" s="857">
        <f>I62*J62</f>
        <v>1.5</v>
      </c>
      <c r="L62" s="857">
        <v>30</v>
      </c>
      <c r="M62" s="862">
        <v>0.05</v>
      </c>
      <c r="N62" s="857">
        <f>L62*M62</f>
        <v>1.5</v>
      </c>
      <c r="O62" s="857">
        <v>40</v>
      </c>
      <c r="P62" s="857">
        <v>0.2</v>
      </c>
      <c r="Q62" s="857">
        <f>O62*P62</f>
        <v>8</v>
      </c>
      <c r="R62" s="857">
        <f t="shared" si="2"/>
        <v>8</v>
      </c>
      <c r="S62" s="857"/>
      <c r="T62" s="857">
        <v>40</v>
      </c>
      <c r="U62" s="857">
        <v>0.2</v>
      </c>
      <c r="V62" s="857">
        <f>T62*U62</f>
        <v>8</v>
      </c>
      <c r="W62" s="857">
        <v>40</v>
      </c>
      <c r="X62" s="857">
        <v>0.2</v>
      </c>
      <c r="Y62" s="857">
        <f>W62*X62</f>
        <v>8</v>
      </c>
      <c r="Z62" s="559">
        <f t="shared" si="0"/>
        <v>6.5</v>
      </c>
      <c r="AA62" s="559">
        <f t="shared" si="1"/>
        <v>533.29999999999995</v>
      </c>
      <c r="AB62" s="1838" t="s">
        <v>1709</v>
      </c>
      <c r="AC62" s="1823" t="s">
        <v>1665</v>
      </c>
      <c r="AF62" s="466"/>
      <c r="AG62" s="465"/>
      <c r="AH62" s="465"/>
    </row>
    <row r="63" spans="1:34" s="498" customFormat="1" hidden="1" x14ac:dyDescent="0.25">
      <c r="A63" s="962"/>
      <c r="B63" s="856" t="s">
        <v>1710</v>
      </c>
      <c r="C63" s="499"/>
      <c r="D63" s="903"/>
      <c r="E63" s="855"/>
      <c r="F63" s="557">
        <v>42</v>
      </c>
      <c r="G63" s="558">
        <v>0.1</v>
      </c>
      <c r="H63" s="559">
        <f>F63*G63</f>
        <v>4.2</v>
      </c>
      <c r="I63" s="857">
        <v>42</v>
      </c>
      <c r="J63" s="862">
        <v>0.05</v>
      </c>
      <c r="K63" s="857">
        <f>I63*J63</f>
        <v>2.1</v>
      </c>
      <c r="L63" s="857">
        <v>42</v>
      </c>
      <c r="M63" s="862">
        <v>0.05</v>
      </c>
      <c r="N63" s="857">
        <f>L63*M63</f>
        <v>2.1</v>
      </c>
      <c r="O63" s="857"/>
      <c r="P63" s="857"/>
      <c r="Q63" s="857"/>
      <c r="R63" s="857">
        <f t="shared" si="2"/>
        <v>0</v>
      </c>
      <c r="S63" s="857"/>
      <c r="T63" s="857"/>
      <c r="U63" s="857"/>
      <c r="V63" s="857"/>
      <c r="W63" s="857"/>
      <c r="X63" s="857"/>
      <c r="Y63" s="857"/>
      <c r="Z63" s="559">
        <f t="shared" si="0"/>
        <v>-2.1</v>
      </c>
      <c r="AA63" s="559">
        <f t="shared" si="1"/>
        <v>0</v>
      </c>
      <c r="AB63" s="1838"/>
      <c r="AC63" s="1823" t="s">
        <v>1665</v>
      </c>
      <c r="AF63" s="466"/>
      <c r="AG63" s="465"/>
      <c r="AH63" s="465"/>
    </row>
    <row r="64" spans="1:34" s="498" customFormat="1" ht="63.75" hidden="1" x14ac:dyDescent="0.25">
      <c r="A64" s="962"/>
      <c r="B64" s="865" t="s">
        <v>1711</v>
      </c>
      <c r="C64" s="508" t="s">
        <v>797</v>
      </c>
      <c r="D64" s="497"/>
      <c r="E64" s="497"/>
      <c r="F64" s="497"/>
      <c r="G64" s="497"/>
      <c r="H64" s="497"/>
      <c r="I64" s="497"/>
      <c r="J64" s="497"/>
      <c r="K64" s="497"/>
      <c r="L64" s="497"/>
      <c r="M64" s="497"/>
      <c r="N64" s="497"/>
      <c r="O64" s="857"/>
      <c r="P64" s="857"/>
      <c r="Q64" s="533">
        <v>12</v>
      </c>
      <c r="R64" s="533">
        <f t="shared" si="2"/>
        <v>12</v>
      </c>
      <c r="S64" s="533"/>
      <c r="T64" s="857"/>
      <c r="U64" s="857"/>
      <c r="V64" s="533">
        <v>12</v>
      </c>
      <c r="W64" s="857"/>
      <c r="X64" s="857"/>
      <c r="Y64" s="533">
        <v>12</v>
      </c>
      <c r="Z64" s="559">
        <f t="shared" si="0"/>
        <v>12</v>
      </c>
      <c r="AA64" s="559" t="str">
        <f t="shared" si="1"/>
        <v>-</v>
      </c>
      <c r="AB64" s="1838" t="s">
        <v>1712</v>
      </c>
      <c r="AC64" s="1823" t="s">
        <v>1665</v>
      </c>
      <c r="AF64" s="466"/>
      <c r="AG64" s="465"/>
      <c r="AH64" s="465"/>
    </row>
    <row r="65" spans="1:34" s="492" customFormat="1" ht="14.25" hidden="1" x14ac:dyDescent="0.2">
      <c r="A65" s="1240"/>
      <c r="B65" s="865" t="s">
        <v>1713</v>
      </c>
      <c r="C65" s="508" t="s">
        <v>796</v>
      </c>
      <c r="D65" s="932"/>
      <c r="E65" s="861"/>
      <c r="F65" s="828"/>
      <c r="G65" s="829"/>
      <c r="H65" s="542">
        <f>SUM(H66:H67)</f>
        <v>15.7</v>
      </c>
      <c r="I65" s="533"/>
      <c r="J65" s="533"/>
      <c r="K65" s="533">
        <f>SUM(K66:K67)</f>
        <v>7.8</v>
      </c>
      <c r="L65" s="533"/>
      <c r="M65" s="533"/>
      <c r="N65" s="533">
        <f>SUM(N66:N67)</f>
        <v>7.8</v>
      </c>
      <c r="O65" s="533"/>
      <c r="P65" s="533"/>
      <c r="Q65" s="533"/>
      <c r="R65" s="533">
        <f t="shared" si="2"/>
        <v>0</v>
      </c>
      <c r="S65" s="533"/>
      <c r="T65" s="533"/>
      <c r="U65" s="533"/>
      <c r="V65" s="533"/>
      <c r="W65" s="533"/>
      <c r="X65" s="533"/>
      <c r="Y65" s="533"/>
      <c r="Z65" s="542">
        <f t="shared" si="0"/>
        <v>-7.8</v>
      </c>
      <c r="AA65" s="542">
        <f t="shared" si="1"/>
        <v>0</v>
      </c>
      <c r="AB65" s="1838"/>
      <c r="AC65" s="1823" t="s">
        <v>1665</v>
      </c>
      <c r="AF65" s="466"/>
      <c r="AG65" s="466"/>
      <c r="AH65" s="466"/>
    </row>
    <row r="66" spans="1:34" s="498" customFormat="1" hidden="1" x14ac:dyDescent="0.25">
      <c r="A66" s="962"/>
      <c r="B66" s="856" t="s">
        <v>1714</v>
      </c>
      <c r="C66" s="499"/>
      <c r="D66" s="903"/>
      <c r="E66" s="1245" t="s">
        <v>227</v>
      </c>
      <c r="F66" s="557">
        <v>27</v>
      </c>
      <c r="G66" s="558">
        <v>0.1</v>
      </c>
      <c r="H66" s="559">
        <f>F66*G66</f>
        <v>2.7</v>
      </c>
      <c r="I66" s="857">
        <v>26</v>
      </c>
      <c r="J66" s="862">
        <v>0.05</v>
      </c>
      <c r="K66" s="857">
        <f>I66*J66</f>
        <v>1.3</v>
      </c>
      <c r="L66" s="857">
        <v>26</v>
      </c>
      <c r="M66" s="862">
        <v>0.05</v>
      </c>
      <c r="N66" s="857">
        <f>L66*M66</f>
        <v>1.3</v>
      </c>
      <c r="O66" s="857"/>
      <c r="P66" s="857"/>
      <c r="Q66" s="857"/>
      <c r="R66" s="857">
        <f t="shared" si="2"/>
        <v>0</v>
      </c>
      <c r="S66" s="857"/>
      <c r="T66" s="857"/>
      <c r="U66" s="857"/>
      <c r="V66" s="857"/>
      <c r="W66" s="857"/>
      <c r="X66" s="857"/>
      <c r="Y66" s="857"/>
      <c r="Z66" s="559">
        <f t="shared" si="0"/>
        <v>-1.3</v>
      </c>
      <c r="AA66" s="559">
        <f t="shared" si="1"/>
        <v>0</v>
      </c>
      <c r="AB66" s="1838"/>
      <c r="AC66" s="1823" t="s">
        <v>1665</v>
      </c>
      <c r="AF66" s="466"/>
      <c r="AG66" s="465"/>
      <c r="AH66" s="465"/>
    </row>
    <row r="67" spans="1:34" s="498" customFormat="1" hidden="1" x14ac:dyDescent="0.25">
      <c r="A67" s="962"/>
      <c r="B67" s="856" t="s">
        <v>1715</v>
      </c>
      <c r="C67" s="499"/>
      <c r="D67" s="903"/>
      <c r="E67" s="1245" t="s">
        <v>227</v>
      </c>
      <c r="F67" s="557">
        <v>26</v>
      </c>
      <c r="G67" s="558">
        <v>0.5</v>
      </c>
      <c r="H67" s="559">
        <f>F67*G67</f>
        <v>13</v>
      </c>
      <c r="I67" s="857">
        <v>26</v>
      </c>
      <c r="J67" s="862">
        <v>0.25</v>
      </c>
      <c r="K67" s="857">
        <f>I67*J67</f>
        <v>6.5</v>
      </c>
      <c r="L67" s="857">
        <v>26</v>
      </c>
      <c r="M67" s="862">
        <v>0.25</v>
      </c>
      <c r="N67" s="857">
        <f>L67*M67</f>
        <v>6.5</v>
      </c>
      <c r="O67" s="857"/>
      <c r="P67" s="857"/>
      <c r="Q67" s="857"/>
      <c r="R67" s="857">
        <f t="shared" si="2"/>
        <v>0</v>
      </c>
      <c r="S67" s="857"/>
      <c r="T67" s="857"/>
      <c r="U67" s="857"/>
      <c r="V67" s="857"/>
      <c r="W67" s="857"/>
      <c r="X67" s="857"/>
      <c r="Y67" s="857"/>
      <c r="Z67" s="559">
        <f t="shared" si="0"/>
        <v>-6.5</v>
      </c>
      <c r="AA67" s="559">
        <f t="shared" si="1"/>
        <v>0</v>
      </c>
      <c r="AB67" s="1838"/>
      <c r="AC67" s="1823" t="s">
        <v>1665</v>
      </c>
      <c r="AF67" s="466"/>
      <c r="AG67" s="465"/>
      <c r="AH67" s="465"/>
    </row>
    <row r="68" spans="1:34" s="498" customFormat="1" hidden="1" x14ac:dyDescent="0.25">
      <c r="A68" s="962"/>
      <c r="B68" s="865" t="s">
        <v>1716</v>
      </c>
      <c r="C68" s="508" t="s">
        <v>797</v>
      </c>
      <c r="D68" s="932"/>
      <c r="E68" s="861"/>
      <c r="F68" s="828"/>
      <c r="G68" s="829"/>
      <c r="H68" s="542">
        <f>SUM(H69:H69)</f>
        <v>6.3</v>
      </c>
      <c r="I68" s="533"/>
      <c r="J68" s="533"/>
      <c r="K68" s="533">
        <f>SUM(K69:K69)</f>
        <v>6.2</v>
      </c>
      <c r="L68" s="533"/>
      <c r="M68" s="533"/>
      <c r="N68" s="533">
        <f>SUM(N69:N69)</f>
        <v>6.2</v>
      </c>
      <c r="O68" s="533"/>
      <c r="P68" s="533"/>
      <c r="Q68" s="533">
        <f>SUM(Q69:Q70)</f>
        <v>8</v>
      </c>
      <c r="R68" s="533">
        <f t="shared" si="2"/>
        <v>8</v>
      </c>
      <c r="S68" s="533"/>
      <c r="T68" s="533"/>
      <c r="U68" s="533"/>
      <c r="V68" s="533">
        <f>SUM(V69:V70)</f>
        <v>8</v>
      </c>
      <c r="W68" s="533"/>
      <c r="X68" s="533"/>
      <c r="Y68" s="533">
        <f>SUM(Y69:Y70)</f>
        <v>8</v>
      </c>
      <c r="Z68" s="542">
        <f t="shared" si="0"/>
        <v>1.8</v>
      </c>
      <c r="AA68" s="542">
        <f t="shared" si="1"/>
        <v>129</v>
      </c>
      <c r="AB68" s="1838"/>
      <c r="AC68" s="1823" t="s">
        <v>1665</v>
      </c>
      <c r="AF68" s="466"/>
      <c r="AG68" s="465"/>
      <c r="AH68" s="465"/>
    </row>
    <row r="69" spans="1:34" s="492" customFormat="1" ht="25.5" hidden="1" x14ac:dyDescent="0.2">
      <c r="A69" s="1240"/>
      <c r="B69" s="856" t="s">
        <v>1717</v>
      </c>
      <c r="C69" s="499"/>
      <c r="D69" s="903"/>
      <c r="E69" s="855" t="s">
        <v>227</v>
      </c>
      <c r="F69" s="557">
        <v>210</v>
      </c>
      <c r="G69" s="558">
        <v>0.03</v>
      </c>
      <c r="H69" s="559">
        <f>F69*G69</f>
        <v>6.3</v>
      </c>
      <c r="I69" s="857">
        <v>62</v>
      </c>
      <c r="J69" s="857">
        <v>0.1</v>
      </c>
      <c r="K69" s="857">
        <f>I69*J69</f>
        <v>6.2</v>
      </c>
      <c r="L69" s="857">
        <v>62</v>
      </c>
      <c r="M69" s="857">
        <v>0.1</v>
      </c>
      <c r="N69" s="857">
        <f>L69*M69</f>
        <v>6.2</v>
      </c>
      <c r="O69" s="857">
        <v>50</v>
      </c>
      <c r="P69" s="857">
        <v>0.1</v>
      </c>
      <c r="Q69" s="857">
        <f>O69*P69</f>
        <v>5</v>
      </c>
      <c r="R69" s="857">
        <f t="shared" si="2"/>
        <v>5</v>
      </c>
      <c r="S69" s="857"/>
      <c r="T69" s="857">
        <v>50</v>
      </c>
      <c r="U69" s="857">
        <v>0.1</v>
      </c>
      <c r="V69" s="857">
        <f>T69*U69</f>
        <v>5</v>
      </c>
      <c r="W69" s="857">
        <v>50</v>
      </c>
      <c r="X69" s="857">
        <v>0.1</v>
      </c>
      <c r="Y69" s="857">
        <f>W69*X69</f>
        <v>5</v>
      </c>
      <c r="Z69" s="559">
        <f t="shared" si="0"/>
        <v>-1.2</v>
      </c>
      <c r="AA69" s="559">
        <f t="shared" si="1"/>
        <v>80.599999999999994</v>
      </c>
      <c r="AB69" s="1839" t="s">
        <v>1718</v>
      </c>
      <c r="AC69" s="1823" t="s">
        <v>1665</v>
      </c>
      <c r="AF69" s="466"/>
      <c r="AG69" s="466"/>
      <c r="AH69" s="466"/>
    </row>
    <row r="70" spans="1:34" s="498" customFormat="1" ht="51" hidden="1" x14ac:dyDescent="0.25">
      <c r="A70" s="962"/>
      <c r="B70" s="1840" t="s">
        <v>1719</v>
      </c>
      <c r="C70" s="499"/>
      <c r="D70" s="903"/>
      <c r="E70" s="855"/>
      <c r="F70" s="557"/>
      <c r="G70" s="558"/>
      <c r="H70" s="559"/>
      <c r="I70" s="857"/>
      <c r="J70" s="857"/>
      <c r="K70" s="857"/>
      <c r="L70" s="857"/>
      <c r="M70" s="857"/>
      <c r="N70" s="857"/>
      <c r="O70" s="857">
        <v>150</v>
      </c>
      <c r="P70" s="862">
        <v>0.02</v>
      </c>
      <c r="Q70" s="857">
        <f>O70*P70</f>
        <v>3</v>
      </c>
      <c r="R70" s="857">
        <f t="shared" si="2"/>
        <v>3</v>
      </c>
      <c r="S70" s="857"/>
      <c r="T70" s="857">
        <v>150</v>
      </c>
      <c r="U70" s="862">
        <v>0.02</v>
      </c>
      <c r="V70" s="857">
        <f>T70*U70</f>
        <v>3</v>
      </c>
      <c r="W70" s="857">
        <v>150</v>
      </c>
      <c r="X70" s="862">
        <v>0.02</v>
      </c>
      <c r="Y70" s="857">
        <f>W70*X70</f>
        <v>3</v>
      </c>
      <c r="Z70" s="559">
        <f t="shared" si="0"/>
        <v>3</v>
      </c>
      <c r="AA70" s="559" t="str">
        <f t="shared" si="1"/>
        <v>-</v>
      </c>
      <c r="AB70" s="1839" t="s">
        <v>1720</v>
      </c>
      <c r="AC70" s="1823" t="s">
        <v>1665</v>
      </c>
      <c r="AF70" s="466"/>
      <c r="AG70" s="465"/>
      <c r="AH70" s="465"/>
    </row>
    <row r="71" spans="1:34" s="498" customFormat="1" ht="63.75" hidden="1" x14ac:dyDescent="0.25">
      <c r="A71" s="962"/>
      <c r="B71" s="1841" t="s">
        <v>1721</v>
      </c>
      <c r="C71" s="508" t="s">
        <v>797</v>
      </c>
      <c r="D71" s="497"/>
      <c r="E71" s="497"/>
      <c r="F71" s="497"/>
      <c r="G71" s="497"/>
      <c r="H71" s="497"/>
      <c r="I71" s="497"/>
      <c r="J71" s="497"/>
      <c r="K71" s="497"/>
      <c r="L71" s="497"/>
      <c r="M71" s="497"/>
      <c r="N71" s="497"/>
      <c r="O71" s="857">
        <v>20</v>
      </c>
      <c r="P71" s="857">
        <v>0.4</v>
      </c>
      <c r="Q71" s="533">
        <f>O71*P71</f>
        <v>8</v>
      </c>
      <c r="R71" s="533">
        <f t="shared" si="2"/>
        <v>8</v>
      </c>
      <c r="S71" s="533"/>
      <c r="T71" s="857">
        <v>20</v>
      </c>
      <c r="U71" s="857">
        <v>0.4</v>
      </c>
      <c r="V71" s="533">
        <f>T71*U71</f>
        <v>8</v>
      </c>
      <c r="W71" s="857">
        <v>20</v>
      </c>
      <c r="X71" s="857">
        <v>0.4</v>
      </c>
      <c r="Y71" s="533">
        <f>W71*X71</f>
        <v>8</v>
      </c>
      <c r="Z71" s="559">
        <f t="shared" si="0"/>
        <v>8</v>
      </c>
      <c r="AA71" s="559" t="str">
        <f t="shared" si="1"/>
        <v>-</v>
      </c>
      <c r="AB71" s="1839" t="s">
        <v>1722</v>
      </c>
      <c r="AC71" s="1823" t="s">
        <v>1665</v>
      </c>
      <c r="AF71" s="466"/>
      <c r="AG71" s="465"/>
      <c r="AH71" s="465"/>
    </row>
    <row r="72" spans="1:34" s="492" customFormat="1" ht="14.25" x14ac:dyDescent="0.2">
      <c r="A72" s="1240"/>
      <c r="B72" s="865" t="s">
        <v>1723</v>
      </c>
      <c r="C72" s="508" t="s">
        <v>1237</v>
      </c>
      <c r="D72" s="932"/>
      <c r="E72" s="861"/>
      <c r="F72" s="828">
        <v>3</v>
      </c>
      <c r="G72" s="829">
        <v>2.5</v>
      </c>
      <c r="H72" s="542">
        <f>F72*G72</f>
        <v>7.5</v>
      </c>
      <c r="I72" s="533">
        <v>2.5</v>
      </c>
      <c r="J72" s="533">
        <v>2.5</v>
      </c>
      <c r="K72" s="533">
        <f>I72*J72</f>
        <v>6.3</v>
      </c>
      <c r="L72" s="533">
        <v>2.5</v>
      </c>
      <c r="M72" s="533">
        <v>2.5</v>
      </c>
      <c r="N72" s="533">
        <f>L72*M72</f>
        <v>6.3</v>
      </c>
      <c r="O72" s="533"/>
      <c r="P72" s="533"/>
      <c r="Q72" s="533"/>
      <c r="R72" s="533">
        <f t="shared" si="2"/>
        <v>0</v>
      </c>
      <c r="S72" s="533"/>
      <c r="T72" s="533"/>
      <c r="U72" s="533"/>
      <c r="V72" s="533"/>
      <c r="W72" s="533"/>
      <c r="X72" s="533"/>
      <c r="Y72" s="533"/>
      <c r="Z72" s="542">
        <f t="shared" si="0"/>
        <v>-6.3</v>
      </c>
      <c r="AA72" s="542">
        <f t="shared" si="1"/>
        <v>0</v>
      </c>
      <c r="AB72" s="1838"/>
      <c r="AC72" s="1823" t="s">
        <v>1665</v>
      </c>
      <c r="AF72" s="466"/>
      <c r="AG72" s="466"/>
      <c r="AH72" s="466"/>
    </row>
    <row r="73" spans="1:34" s="517" customFormat="1" ht="14.25" hidden="1" x14ac:dyDescent="0.2">
      <c r="A73" s="487"/>
      <c r="B73" s="510" t="s">
        <v>773</v>
      </c>
      <c r="C73" s="511"/>
      <c r="D73" s="487"/>
      <c r="E73" s="512"/>
      <c r="F73" s="488"/>
      <c r="G73" s="489"/>
      <c r="H73" s="513" t="e">
        <f>#REF!+H3+#REF!+H51628+H74+#REF!+#REF!+#REF!+#REF!</f>
        <v>#REF!</v>
      </c>
      <c r="I73" s="490"/>
      <c r="J73" s="490"/>
      <c r="K73" s="513">
        <f>K74</f>
        <v>229.7</v>
      </c>
      <c r="L73" s="490"/>
      <c r="M73" s="490"/>
      <c r="N73" s="513">
        <f>N74</f>
        <v>229.7</v>
      </c>
      <c r="O73" s="490"/>
      <c r="P73" s="490"/>
      <c r="Q73" s="513">
        <f>Q74</f>
        <v>464.3</v>
      </c>
      <c r="R73" s="513">
        <f t="shared" ref="R73:S73" si="4">R74</f>
        <v>230.3</v>
      </c>
      <c r="S73" s="513">
        <f t="shared" si="4"/>
        <v>233.9</v>
      </c>
      <c r="T73" s="513"/>
      <c r="U73" s="513"/>
      <c r="V73" s="513">
        <f>V74</f>
        <v>255.2</v>
      </c>
      <c r="W73" s="513"/>
      <c r="X73" s="513"/>
      <c r="Y73" s="513">
        <f>Y74</f>
        <v>255.2</v>
      </c>
      <c r="Z73" s="513">
        <f t="shared" ref="Z73:Z136" si="5">Q73-K73</f>
        <v>234.6</v>
      </c>
      <c r="AA73" s="513">
        <f t="shared" ref="AA73:AA136" si="6">IFERROR(Q73/K73*100,"-")</f>
        <v>202.1</v>
      </c>
      <c r="AB73" s="514"/>
      <c r="AC73" s="515"/>
      <c r="AD73" s="516">
        <f>Z73+[16]Стимулирование!R873+-211+225</f>
        <v>448.4</v>
      </c>
      <c r="AF73" s="518"/>
      <c r="AG73" s="519"/>
      <c r="AH73" s="519"/>
    </row>
    <row r="74" spans="1:34" s="527" customFormat="1" ht="38.25" hidden="1" x14ac:dyDescent="0.2">
      <c r="A74" s="522"/>
      <c r="B74" s="892" t="s">
        <v>1664</v>
      </c>
      <c r="C74" s="521"/>
      <c r="D74" s="522" t="s">
        <v>1444</v>
      </c>
      <c r="E74" s="522"/>
      <c r="F74" s="851"/>
      <c r="G74" s="852"/>
      <c r="H74" s="853">
        <f>H75+H85+H103+H134</f>
        <v>259.10000000000002</v>
      </c>
      <c r="I74" s="853"/>
      <c r="J74" s="853"/>
      <c r="K74" s="853">
        <f>K75+K85+K103+K134</f>
        <v>229.7</v>
      </c>
      <c r="L74" s="853"/>
      <c r="M74" s="853"/>
      <c r="N74" s="853">
        <f>N75+N85+N103+N134</f>
        <v>229.7</v>
      </c>
      <c r="O74" s="853"/>
      <c r="P74" s="853"/>
      <c r="Q74" s="853">
        <f>Q75+Q85+Q103+Q134</f>
        <v>464.3</v>
      </c>
      <c r="R74" s="853">
        <f t="shared" ref="R74:S74" si="7">R75+R85+R103+R134</f>
        <v>230.3</v>
      </c>
      <c r="S74" s="853">
        <f t="shared" si="7"/>
        <v>233.9</v>
      </c>
      <c r="T74" s="853"/>
      <c r="U74" s="853"/>
      <c r="V74" s="853">
        <f>V75+V85+V103+V134</f>
        <v>255.2</v>
      </c>
      <c r="W74" s="853"/>
      <c r="X74" s="853"/>
      <c r="Y74" s="853">
        <f>Y75+Y85+Y103+Y134</f>
        <v>255.2</v>
      </c>
      <c r="Z74" s="525">
        <f t="shared" si="5"/>
        <v>234.6</v>
      </c>
      <c r="AA74" s="853">
        <f t="shared" si="6"/>
        <v>202.1</v>
      </c>
      <c r="AB74" s="909"/>
      <c r="AC74" s="549" t="s">
        <v>1665</v>
      </c>
      <c r="AF74" s="528"/>
      <c r="AG74" s="528"/>
      <c r="AH74" s="528"/>
    </row>
    <row r="75" spans="1:34" s="871" customFormat="1" ht="14.25" hidden="1" x14ac:dyDescent="0.2">
      <c r="A75" s="869"/>
      <c r="B75" s="875" t="s">
        <v>1724</v>
      </c>
      <c r="C75" s="868"/>
      <c r="D75" s="869"/>
      <c r="E75" s="869"/>
      <c r="F75" s="879"/>
      <c r="G75" s="880"/>
      <c r="H75" s="681">
        <f>H80+H81+H83</f>
        <v>37</v>
      </c>
      <c r="I75" s="681"/>
      <c r="J75" s="681"/>
      <c r="K75" s="681">
        <f>K80+K81+K83</f>
        <v>33.5</v>
      </c>
      <c r="L75" s="681"/>
      <c r="M75" s="681"/>
      <c r="N75" s="681">
        <f>N80+N81+N83</f>
        <v>18.5</v>
      </c>
      <c r="O75" s="681"/>
      <c r="P75" s="681"/>
      <c r="Q75" s="681">
        <f>Q76+Q80+Q81+Q83</f>
        <v>32.299999999999997</v>
      </c>
      <c r="R75" s="681">
        <f t="shared" ref="R75:S75" si="8">R76+R80+R81+R83</f>
        <v>32.299999999999997</v>
      </c>
      <c r="S75" s="681">
        <f t="shared" si="8"/>
        <v>0</v>
      </c>
      <c r="T75" s="681"/>
      <c r="U75" s="681"/>
      <c r="V75" s="681">
        <f>V76+V80+V81+V83</f>
        <v>27.8</v>
      </c>
      <c r="W75" s="681"/>
      <c r="X75" s="681"/>
      <c r="Y75" s="681">
        <f>Y76+Y80+Y81+Y83</f>
        <v>27.8</v>
      </c>
      <c r="Z75" s="681">
        <f t="shared" si="5"/>
        <v>-1.2</v>
      </c>
      <c r="AA75" s="681">
        <f t="shared" si="6"/>
        <v>96.4</v>
      </c>
      <c r="AB75" s="1842"/>
      <c r="AC75" s="549" t="s">
        <v>1665</v>
      </c>
      <c r="AF75" s="872"/>
      <c r="AG75" s="872"/>
      <c r="AH75" s="872"/>
    </row>
    <row r="76" spans="1:34" s="492" customFormat="1" ht="14.25" hidden="1" x14ac:dyDescent="0.2">
      <c r="A76" s="1240"/>
      <c r="B76" s="876" t="s">
        <v>1233</v>
      </c>
      <c r="C76" s="501" t="s">
        <v>1230</v>
      </c>
      <c r="D76" s="1240"/>
      <c r="E76" s="1240"/>
      <c r="F76" s="530"/>
      <c r="G76" s="531"/>
      <c r="H76" s="493"/>
      <c r="I76" s="493"/>
      <c r="J76" s="493"/>
      <c r="K76" s="493"/>
      <c r="L76" s="493"/>
      <c r="M76" s="493"/>
      <c r="N76" s="493"/>
      <c r="O76" s="493"/>
      <c r="P76" s="493"/>
      <c r="Q76" s="532">
        <f>SUM(Q77:Q79)</f>
        <v>10.3</v>
      </c>
      <c r="R76" s="532">
        <f>Q76</f>
        <v>10.3</v>
      </c>
      <c r="S76" s="532"/>
      <c r="T76" s="493"/>
      <c r="U76" s="493"/>
      <c r="V76" s="532">
        <f>SUM(V77:V79)</f>
        <v>5.8</v>
      </c>
      <c r="W76" s="493"/>
      <c r="X76" s="493"/>
      <c r="Y76" s="532">
        <f>SUM(Y77:Y79)</f>
        <v>5.8</v>
      </c>
      <c r="Z76" s="493">
        <f t="shared" si="5"/>
        <v>10.3</v>
      </c>
      <c r="AA76" s="493" t="str">
        <f t="shared" si="6"/>
        <v>-</v>
      </c>
      <c r="AB76" s="921"/>
      <c r="AC76" s="549" t="s">
        <v>1665</v>
      </c>
      <c r="AF76" s="466"/>
      <c r="AG76" s="466"/>
      <c r="AH76" s="466"/>
    </row>
    <row r="77" spans="1:34" s="492" customFormat="1" ht="63.75" hidden="1" x14ac:dyDescent="0.2">
      <c r="A77" s="1240"/>
      <c r="B77" s="881" t="s">
        <v>1725</v>
      </c>
      <c r="C77" s="501"/>
      <c r="D77" s="1240"/>
      <c r="E77" s="873" t="s">
        <v>318</v>
      </c>
      <c r="F77" s="530"/>
      <c r="G77" s="531"/>
      <c r="H77" s="493"/>
      <c r="I77" s="493"/>
      <c r="J77" s="493"/>
      <c r="K77" s="493"/>
      <c r="L77" s="493"/>
      <c r="M77" s="493"/>
      <c r="N77" s="493"/>
      <c r="O77" s="496">
        <v>2</v>
      </c>
      <c r="P77" s="496">
        <v>2.2999999999999998</v>
      </c>
      <c r="Q77" s="496">
        <f>O77*P77</f>
        <v>4.5999999999999996</v>
      </c>
      <c r="R77" s="496">
        <f t="shared" ref="R77:R84" si="9">Q77</f>
        <v>4.5999999999999996</v>
      </c>
      <c r="S77" s="496"/>
      <c r="T77" s="496">
        <v>2</v>
      </c>
      <c r="U77" s="496">
        <v>2.2999999999999998</v>
      </c>
      <c r="V77" s="496">
        <f>T77*U77</f>
        <v>4.5999999999999996</v>
      </c>
      <c r="W77" s="496">
        <v>2</v>
      </c>
      <c r="X77" s="496">
        <v>2.2999999999999998</v>
      </c>
      <c r="Y77" s="496">
        <f>W77*X77</f>
        <v>4.5999999999999996</v>
      </c>
      <c r="Z77" s="493">
        <f t="shared" si="5"/>
        <v>4.5999999999999996</v>
      </c>
      <c r="AA77" s="493" t="str">
        <f t="shared" si="6"/>
        <v>-</v>
      </c>
      <c r="AB77" s="893" t="s">
        <v>1726</v>
      </c>
      <c r="AC77" s="491" t="s">
        <v>1665</v>
      </c>
      <c r="AF77" s="466"/>
      <c r="AG77" s="466"/>
      <c r="AH77" s="466"/>
    </row>
    <row r="78" spans="1:34" s="492" customFormat="1" ht="51" hidden="1" x14ac:dyDescent="0.2">
      <c r="A78" s="1240"/>
      <c r="B78" s="881" t="s">
        <v>1727</v>
      </c>
      <c r="C78" s="501"/>
      <c r="D78" s="1240"/>
      <c r="E78" s="962" t="s">
        <v>227</v>
      </c>
      <c r="F78" s="530"/>
      <c r="G78" s="531"/>
      <c r="H78" s="493"/>
      <c r="I78" s="493"/>
      <c r="J78" s="493"/>
      <c r="K78" s="493"/>
      <c r="L78" s="493"/>
      <c r="M78" s="493"/>
      <c r="N78" s="493"/>
      <c r="O78" s="496">
        <v>1</v>
      </c>
      <c r="P78" s="496">
        <v>3.5</v>
      </c>
      <c r="Q78" s="496">
        <f>O78*P78</f>
        <v>3.5</v>
      </c>
      <c r="R78" s="496">
        <f t="shared" si="9"/>
        <v>3.5</v>
      </c>
      <c r="S78" s="496"/>
      <c r="T78" s="496"/>
      <c r="U78" s="496"/>
      <c r="V78" s="496"/>
      <c r="W78" s="496"/>
      <c r="X78" s="496"/>
      <c r="Y78" s="496"/>
      <c r="Z78" s="493">
        <f t="shared" si="5"/>
        <v>3.5</v>
      </c>
      <c r="AA78" s="493" t="str">
        <f t="shared" si="6"/>
        <v>-</v>
      </c>
      <c r="AB78" s="893" t="s">
        <v>1728</v>
      </c>
      <c r="AC78" s="491" t="s">
        <v>1665</v>
      </c>
      <c r="AF78" s="466"/>
      <c r="AG78" s="466"/>
      <c r="AH78" s="466"/>
    </row>
    <row r="79" spans="1:34" s="492" customFormat="1" ht="14.25" hidden="1" x14ac:dyDescent="0.2">
      <c r="A79" s="1240"/>
      <c r="B79" s="881" t="s">
        <v>1729</v>
      </c>
      <c r="C79" s="501"/>
      <c r="D79" s="1240"/>
      <c r="E79" s="1240"/>
      <c r="F79" s="530"/>
      <c r="G79" s="531"/>
      <c r="H79" s="493"/>
      <c r="I79" s="493"/>
      <c r="J79" s="493"/>
      <c r="K79" s="493"/>
      <c r="L79" s="493"/>
      <c r="M79" s="493"/>
      <c r="N79" s="493"/>
      <c r="O79" s="496"/>
      <c r="P79" s="496"/>
      <c r="Q79" s="496">
        <f>SUM(Q77:Q78)*0.271</f>
        <v>2.2000000000000002</v>
      </c>
      <c r="R79" s="496">
        <f t="shared" si="9"/>
        <v>2.2000000000000002</v>
      </c>
      <c r="S79" s="496"/>
      <c r="T79" s="496"/>
      <c r="U79" s="496"/>
      <c r="V79" s="496">
        <f>SUM(V77)*0.271</f>
        <v>1.2</v>
      </c>
      <c r="W79" s="496"/>
      <c r="X79" s="496"/>
      <c r="Y79" s="496">
        <f>SUM(Y77)*0.271</f>
        <v>1.2</v>
      </c>
      <c r="Z79" s="493">
        <f t="shared" si="5"/>
        <v>2.2000000000000002</v>
      </c>
      <c r="AA79" s="493" t="str">
        <f t="shared" si="6"/>
        <v>-</v>
      </c>
      <c r="AB79" s="921"/>
      <c r="AC79" s="491" t="s">
        <v>1665</v>
      </c>
      <c r="AF79" s="466"/>
      <c r="AG79" s="466"/>
      <c r="AH79" s="466"/>
    </row>
    <row r="80" spans="1:34" s="492" customFormat="1" ht="14.25" hidden="1" x14ac:dyDescent="0.2">
      <c r="A80" s="1240"/>
      <c r="B80" s="876" t="s">
        <v>1730</v>
      </c>
      <c r="C80" s="501" t="s">
        <v>797</v>
      </c>
      <c r="D80" s="1240"/>
      <c r="E80" s="1240" t="s">
        <v>318</v>
      </c>
      <c r="F80" s="530">
        <v>15</v>
      </c>
      <c r="G80" s="531">
        <v>2</v>
      </c>
      <c r="H80" s="493">
        <f>F80*G80</f>
        <v>30</v>
      </c>
      <c r="I80" s="532">
        <v>15</v>
      </c>
      <c r="J80" s="532">
        <v>2</v>
      </c>
      <c r="K80" s="532">
        <f>I80*J80</f>
        <v>30</v>
      </c>
      <c r="L80" s="532">
        <v>15</v>
      </c>
      <c r="M80" s="532">
        <v>2</v>
      </c>
      <c r="N80" s="532">
        <f>L80*M80-30+15</f>
        <v>15</v>
      </c>
      <c r="O80" s="532">
        <v>15</v>
      </c>
      <c r="P80" s="532">
        <v>2</v>
      </c>
      <c r="Q80" s="532">
        <f>O80*P80-30+15</f>
        <v>15</v>
      </c>
      <c r="R80" s="532">
        <f t="shared" si="9"/>
        <v>15</v>
      </c>
      <c r="S80" s="532"/>
      <c r="T80" s="532">
        <v>15</v>
      </c>
      <c r="U80" s="532">
        <v>2</v>
      </c>
      <c r="V80" s="532">
        <f>T80*U80-30+15</f>
        <v>15</v>
      </c>
      <c r="W80" s="532">
        <v>15</v>
      </c>
      <c r="X80" s="532">
        <v>2</v>
      </c>
      <c r="Y80" s="532">
        <f>W80*X80-30+15</f>
        <v>15</v>
      </c>
      <c r="Z80" s="493">
        <f t="shared" si="5"/>
        <v>-15</v>
      </c>
      <c r="AA80" s="493">
        <f t="shared" si="6"/>
        <v>50</v>
      </c>
      <c r="AB80" s="893"/>
      <c r="AC80" s="491" t="s">
        <v>1665</v>
      </c>
      <c r="AF80" s="466"/>
      <c r="AG80" s="466"/>
      <c r="AH80" s="466"/>
    </row>
    <row r="81" spans="1:34" s="492" customFormat="1" ht="25.5" hidden="1" x14ac:dyDescent="0.2">
      <c r="A81" s="1240"/>
      <c r="B81" s="876" t="s">
        <v>1731</v>
      </c>
      <c r="C81" s="501" t="s">
        <v>797</v>
      </c>
      <c r="D81" s="1240"/>
      <c r="E81" s="1240"/>
      <c r="F81" s="530"/>
      <c r="G81" s="531"/>
      <c r="H81" s="493">
        <f>H82</f>
        <v>5.8</v>
      </c>
      <c r="I81" s="532"/>
      <c r="J81" s="532"/>
      <c r="K81" s="532">
        <f>K82</f>
        <v>2.9</v>
      </c>
      <c r="L81" s="532"/>
      <c r="M81" s="532"/>
      <c r="N81" s="532">
        <f>N82</f>
        <v>2.9</v>
      </c>
      <c r="O81" s="532"/>
      <c r="P81" s="532"/>
      <c r="Q81" s="532">
        <f>Q82</f>
        <v>6</v>
      </c>
      <c r="R81" s="532">
        <f t="shared" si="9"/>
        <v>6</v>
      </c>
      <c r="S81" s="532"/>
      <c r="T81" s="532"/>
      <c r="U81" s="532"/>
      <c r="V81" s="532">
        <f>V82</f>
        <v>6</v>
      </c>
      <c r="W81" s="532"/>
      <c r="X81" s="532"/>
      <c r="Y81" s="532">
        <f>Y82</f>
        <v>6</v>
      </c>
      <c r="Z81" s="493">
        <f t="shared" si="5"/>
        <v>3.1</v>
      </c>
      <c r="AA81" s="493">
        <f t="shared" si="6"/>
        <v>206.9</v>
      </c>
      <c r="AB81" s="893"/>
      <c r="AC81" s="491" t="s">
        <v>1665</v>
      </c>
      <c r="AF81" s="466"/>
      <c r="AG81" s="466"/>
      <c r="AH81" s="466"/>
    </row>
    <row r="82" spans="1:34" s="498" customFormat="1" ht="51" hidden="1" x14ac:dyDescent="0.25">
      <c r="A82" s="962"/>
      <c r="B82" s="881" t="s">
        <v>1669</v>
      </c>
      <c r="C82" s="503"/>
      <c r="D82" s="962"/>
      <c r="E82" s="962" t="s">
        <v>227</v>
      </c>
      <c r="F82" s="494">
        <v>58</v>
      </c>
      <c r="G82" s="495">
        <v>0.1</v>
      </c>
      <c r="H82" s="1245">
        <f>F82*G82</f>
        <v>5.8</v>
      </c>
      <c r="I82" s="496">
        <v>58</v>
      </c>
      <c r="J82" s="862">
        <v>0.05</v>
      </c>
      <c r="K82" s="496">
        <f>I82*J82</f>
        <v>2.9</v>
      </c>
      <c r="L82" s="496">
        <v>58</v>
      </c>
      <c r="M82" s="862">
        <v>0.05</v>
      </c>
      <c r="N82" s="496">
        <f>L82*M82</f>
        <v>2.9</v>
      </c>
      <c r="O82" s="496">
        <v>30</v>
      </c>
      <c r="P82" s="857">
        <v>0.2</v>
      </c>
      <c r="Q82" s="496">
        <f>O82*P82</f>
        <v>6</v>
      </c>
      <c r="R82" s="496">
        <f t="shared" si="9"/>
        <v>6</v>
      </c>
      <c r="S82" s="496"/>
      <c r="T82" s="496">
        <v>30</v>
      </c>
      <c r="U82" s="857">
        <v>0.2</v>
      </c>
      <c r="V82" s="496">
        <f>T82*U82</f>
        <v>6</v>
      </c>
      <c r="W82" s="496">
        <v>30</v>
      </c>
      <c r="X82" s="857">
        <v>0.2</v>
      </c>
      <c r="Y82" s="496">
        <f>W82*X82</f>
        <v>6</v>
      </c>
      <c r="Z82" s="1245">
        <f t="shared" si="5"/>
        <v>3.1</v>
      </c>
      <c r="AA82" s="1245">
        <f t="shared" si="6"/>
        <v>206.9</v>
      </c>
      <c r="AB82" s="901" t="s">
        <v>1732</v>
      </c>
      <c r="AC82" s="491" t="s">
        <v>1665</v>
      </c>
      <c r="AF82" s="466"/>
      <c r="AG82" s="465"/>
      <c r="AH82" s="465"/>
    </row>
    <row r="83" spans="1:34" s="492" customFormat="1" ht="14.25" hidden="1" x14ac:dyDescent="0.2">
      <c r="A83" s="1240"/>
      <c r="B83" s="876" t="s">
        <v>1733</v>
      </c>
      <c r="C83" s="501" t="s">
        <v>797</v>
      </c>
      <c r="D83" s="1240"/>
      <c r="E83" s="1240"/>
      <c r="F83" s="530"/>
      <c r="G83" s="531"/>
      <c r="H83" s="493">
        <f>H84</f>
        <v>1.2</v>
      </c>
      <c r="I83" s="532"/>
      <c r="J83" s="532"/>
      <c r="K83" s="532">
        <f>K84</f>
        <v>0.6</v>
      </c>
      <c r="L83" s="532"/>
      <c r="M83" s="532"/>
      <c r="N83" s="532">
        <f>N84</f>
        <v>0.6</v>
      </c>
      <c r="O83" s="532"/>
      <c r="P83" s="532"/>
      <c r="Q83" s="532">
        <f>Q84</f>
        <v>1</v>
      </c>
      <c r="R83" s="532">
        <f t="shared" si="9"/>
        <v>1</v>
      </c>
      <c r="S83" s="532"/>
      <c r="T83" s="532"/>
      <c r="U83" s="532"/>
      <c r="V83" s="532">
        <f>V84</f>
        <v>1</v>
      </c>
      <c r="W83" s="532"/>
      <c r="X83" s="532"/>
      <c r="Y83" s="532">
        <f>Y84</f>
        <v>1</v>
      </c>
      <c r="Z83" s="493">
        <f t="shared" si="5"/>
        <v>0.4</v>
      </c>
      <c r="AA83" s="493">
        <f t="shared" si="6"/>
        <v>166.7</v>
      </c>
      <c r="AB83" s="893"/>
      <c r="AC83" s="491" t="s">
        <v>1665</v>
      </c>
      <c r="AF83" s="466"/>
      <c r="AG83" s="466"/>
      <c r="AH83" s="466"/>
    </row>
    <row r="84" spans="1:34" s="498" customFormat="1" ht="26.25" hidden="1" x14ac:dyDescent="0.25">
      <c r="A84" s="962"/>
      <c r="B84" s="502" t="s">
        <v>1734</v>
      </c>
      <c r="C84" s="503"/>
      <c r="D84" s="962"/>
      <c r="E84" s="962" t="s">
        <v>227</v>
      </c>
      <c r="F84" s="494">
        <v>12</v>
      </c>
      <c r="G84" s="495">
        <v>0.1</v>
      </c>
      <c r="H84" s="1245">
        <f>F84*G84</f>
        <v>1.2</v>
      </c>
      <c r="I84" s="496">
        <v>6</v>
      </c>
      <c r="J84" s="862">
        <v>0.1</v>
      </c>
      <c r="K84" s="496">
        <f>I84*J84</f>
        <v>0.6</v>
      </c>
      <c r="L84" s="496">
        <v>6</v>
      </c>
      <c r="M84" s="862">
        <v>0.1</v>
      </c>
      <c r="N84" s="496">
        <f>L84*M84</f>
        <v>0.6</v>
      </c>
      <c r="O84" s="496">
        <v>10</v>
      </c>
      <c r="P84" s="857">
        <v>0.1</v>
      </c>
      <c r="Q84" s="496">
        <f>O84*P84</f>
        <v>1</v>
      </c>
      <c r="R84" s="496">
        <f t="shared" si="9"/>
        <v>1</v>
      </c>
      <c r="S84" s="496"/>
      <c r="T84" s="496">
        <v>10</v>
      </c>
      <c r="U84" s="857">
        <v>0.1</v>
      </c>
      <c r="V84" s="496">
        <f>T84*U84</f>
        <v>1</v>
      </c>
      <c r="W84" s="496">
        <v>10</v>
      </c>
      <c r="X84" s="857">
        <v>0.1</v>
      </c>
      <c r="Y84" s="496">
        <f>W84*X84</f>
        <v>1</v>
      </c>
      <c r="Z84" s="1245">
        <f t="shared" si="5"/>
        <v>0.4</v>
      </c>
      <c r="AA84" s="1245">
        <f t="shared" si="6"/>
        <v>166.7</v>
      </c>
      <c r="AB84" s="893" t="s">
        <v>1735</v>
      </c>
      <c r="AC84" s="491" t="s">
        <v>1665</v>
      </c>
      <c r="AF84" s="466"/>
      <c r="AG84" s="465"/>
      <c r="AH84" s="465"/>
    </row>
    <row r="85" spans="1:34" s="871" customFormat="1" ht="25.5" hidden="1" x14ac:dyDescent="0.2">
      <c r="A85" s="869"/>
      <c r="B85" s="875" t="s">
        <v>1736</v>
      </c>
      <c r="C85" s="868"/>
      <c r="D85" s="869"/>
      <c r="E85" s="869"/>
      <c r="F85" s="879"/>
      <c r="G85" s="880"/>
      <c r="H85" s="681">
        <f>H86+H91+H96+H95+H97+H98</f>
        <v>162.19999999999999</v>
      </c>
      <c r="I85" s="681"/>
      <c r="J85" s="1843"/>
      <c r="K85" s="681">
        <f>K86+K91+K96+K95+K97+K98</f>
        <v>138.5</v>
      </c>
      <c r="L85" s="681"/>
      <c r="M85" s="1843"/>
      <c r="N85" s="681">
        <f>N86+N91+N96+N95+N97+N98</f>
        <v>153.5</v>
      </c>
      <c r="O85" s="681"/>
      <c r="P85" s="681"/>
      <c r="Q85" s="681">
        <f>Q86+Q91+Q96+Q95+Q97+Q98</f>
        <v>187.1</v>
      </c>
      <c r="R85" s="681">
        <f>R86+R91+R96+R95+R97+R98</f>
        <v>141.5</v>
      </c>
      <c r="S85" s="681">
        <f>S86+S91+S96+S95+S97+S98</f>
        <v>45.6</v>
      </c>
      <c r="T85" s="681"/>
      <c r="U85" s="681"/>
      <c r="V85" s="681">
        <f>V86+V91+V96+V95+V97+V98</f>
        <v>146.30000000000001</v>
      </c>
      <c r="W85" s="681"/>
      <c r="X85" s="681"/>
      <c r="Y85" s="681">
        <f>Y86+Y91+Y96+Y95+Y97+Y98</f>
        <v>146.30000000000001</v>
      </c>
      <c r="Z85" s="681">
        <f t="shared" si="5"/>
        <v>48.6</v>
      </c>
      <c r="AA85" s="681">
        <f t="shared" si="6"/>
        <v>135.1</v>
      </c>
      <c r="AB85" s="1842"/>
      <c r="AC85" s="491" t="s">
        <v>1665</v>
      </c>
      <c r="AF85" s="872"/>
      <c r="AG85" s="872"/>
      <c r="AH85" s="872"/>
    </row>
    <row r="86" spans="1:34" s="492" customFormat="1" ht="14.25" hidden="1" x14ac:dyDescent="0.2">
      <c r="A86" s="1240"/>
      <c r="B86" s="876" t="s">
        <v>1233</v>
      </c>
      <c r="C86" s="501" t="s">
        <v>1230</v>
      </c>
      <c r="D86" s="1240"/>
      <c r="E86" s="1240"/>
      <c r="F86" s="530"/>
      <c r="G86" s="531"/>
      <c r="H86" s="542">
        <f>SUM(H87:H90)</f>
        <v>10.3</v>
      </c>
      <c r="I86" s="532"/>
      <c r="J86" s="532"/>
      <c r="K86" s="533">
        <f>SUM(K87:K90)</f>
        <v>10.3</v>
      </c>
      <c r="L86" s="532"/>
      <c r="M86" s="532"/>
      <c r="N86" s="533">
        <f>SUM(N87:N90)</f>
        <v>10.3</v>
      </c>
      <c r="O86" s="532"/>
      <c r="P86" s="532"/>
      <c r="Q86" s="533">
        <f>SUM(Q87:Q90)</f>
        <v>17.7</v>
      </c>
      <c r="R86" s="533">
        <f t="shared" ref="R86:S86" si="10">SUM(R87:R90)</f>
        <v>17.7</v>
      </c>
      <c r="S86" s="533">
        <f t="shared" si="10"/>
        <v>0</v>
      </c>
      <c r="T86" s="532"/>
      <c r="U86" s="532"/>
      <c r="V86" s="533">
        <f>SUM(V87:V90)</f>
        <v>16.100000000000001</v>
      </c>
      <c r="W86" s="532"/>
      <c r="X86" s="532"/>
      <c r="Y86" s="533">
        <f>SUM(Y87:Y90)</f>
        <v>16.100000000000001</v>
      </c>
      <c r="Z86" s="542">
        <f t="shared" si="5"/>
        <v>7.4</v>
      </c>
      <c r="AA86" s="542">
        <f t="shared" si="6"/>
        <v>171.8</v>
      </c>
      <c r="AB86" s="893"/>
      <c r="AC86" s="491" t="s">
        <v>1665</v>
      </c>
      <c r="AF86" s="466"/>
      <c r="AG86" s="466"/>
      <c r="AH86" s="466"/>
    </row>
    <row r="87" spans="1:34" s="498" customFormat="1" hidden="1" x14ac:dyDescent="0.25">
      <c r="A87" s="962"/>
      <c r="B87" s="881" t="s">
        <v>1737</v>
      </c>
      <c r="C87" s="503"/>
      <c r="D87" s="962"/>
      <c r="E87" s="962" t="s">
        <v>318</v>
      </c>
      <c r="F87" s="494">
        <v>1</v>
      </c>
      <c r="G87" s="495">
        <v>3.5</v>
      </c>
      <c r="H87" s="559">
        <f>F87*G87</f>
        <v>3.5</v>
      </c>
      <c r="I87" s="496">
        <v>1</v>
      </c>
      <c r="J87" s="496">
        <v>3.5</v>
      </c>
      <c r="K87" s="857">
        <f>I87*J87</f>
        <v>3.5</v>
      </c>
      <c r="L87" s="496">
        <v>1</v>
      </c>
      <c r="M87" s="496">
        <v>3.5</v>
      </c>
      <c r="N87" s="857">
        <f>L87*M87</f>
        <v>3.5</v>
      </c>
      <c r="O87" s="496">
        <v>1</v>
      </c>
      <c r="P87" s="496">
        <v>3.5</v>
      </c>
      <c r="Q87" s="857">
        <f>O87*P87</f>
        <v>3.5</v>
      </c>
      <c r="R87" s="857">
        <f>Q87</f>
        <v>3.5</v>
      </c>
      <c r="S87" s="857"/>
      <c r="T87" s="496">
        <v>1</v>
      </c>
      <c r="U87" s="496">
        <v>3.5</v>
      </c>
      <c r="V87" s="857">
        <f>T87*U87</f>
        <v>3.5</v>
      </c>
      <c r="W87" s="496">
        <v>1</v>
      </c>
      <c r="X87" s="496">
        <v>3.5</v>
      </c>
      <c r="Y87" s="857">
        <f>W87*X87</f>
        <v>3.5</v>
      </c>
      <c r="Z87" s="559">
        <f t="shared" si="5"/>
        <v>0</v>
      </c>
      <c r="AA87" s="559">
        <f t="shared" si="6"/>
        <v>100</v>
      </c>
      <c r="AB87" s="893"/>
      <c r="AC87" s="491" t="s">
        <v>1665</v>
      </c>
      <c r="AF87" s="466"/>
      <c r="AG87" s="465"/>
      <c r="AH87" s="465"/>
    </row>
    <row r="88" spans="1:34" s="498" customFormat="1" ht="51.75" hidden="1" x14ac:dyDescent="0.25">
      <c r="A88" s="962"/>
      <c r="B88" s="881" t="s">
        <v>1738</v>
      </c>
      <c r="C88" s="503"/>
      <c r="D88" s="962"/>
      <c r="E88" s="962" t="s">
        <v>318</v>
      </c>
      <c r="F88" s="494"/>
      <c r="G88" s="495"/>
      <c r="H88" s="559"/>
      <c r="I88" s="496"/>
      <c r="J88" s="496"/>
      <c r="K88" s="857"/>
      <c r="L88" s="496"/>
      <c r="M88" s="496"/>
      <c r="N88" s="857"/>
      <c r="O88" s="496">
        <v>1</v>
      </c>
      <c r="P88" s="496">
        <v>5.8</v>
      </c>
      <c r="Q88" s="857">
        <f>O88*P88</f>
        <v>5.8</v>
      </c>
      <c r="R88" s="857">
        <f>Q88</f>
        <v>5.8</v>
      </c>
      <c r="S88" s="857"/>
      <c r="T88" s="496">
        <v>1</v>
      </c>
      <c r="U88" s="496">
        <v>4.5999999999999996</v>
      </c>
      <c r="V88" s="857">
        <f>T88*U88</f>
        <v>4.5999999999999996</v>
      </c>
      <c r="W88" s="496">
        <v>1</v>
      </c>
      <c r="X88" s="496">
        <v>4.5999999999999996</v>
      </c>
      <c r="Y88" s="857">
        <f>W88*X88</f>
        <v>4.5999999999999996</v>
      </c>
      <c r="Z88" s="559">
        <f t="shared" si="5"/>
        <v>5.8</v>
      </c>
      <c r="AA88" s="559" t="str">
        <f t="shared" si="6"/>
        <v>-</v>
      </c>
      <c r="AB88" s="893" t="s">
        <v>1739</v>
      </c>
      <c r="AC88" s="491" t="s">
        <v>1665</v>
      </c>
      <c r="AF88" s="466"/>
      <c r="AG88" s="465"/>
      <c r="AH88" s="465"/>
    </row>
    <row r="89" spans="1:34" s="498" customFormat="1" hidden="1" x14ac:dyDescent="0.25">
      <c r="A89" s="962"/>
      <c r="B89" s="881" t="s">
        <v>1740</v>
      </c>
      <c r="C89" s="503"/>
      <c r="D89" s="962"/>
      <c r="E89" s="962" t="s">
        <v>318</v>
      </c>
      <c r="F89" s="494">
        <v>2</v>
      </c>
      <c r="G89" s="495">
        <v>2.2999999999999998</v>
      </c>
      <c r="H89" s="559">
        <f>F89*G89</f>
        <v>4.5999999999999996</v>
      </c>
      <c r="I89" s="496">
        <v>2</v>
      </c>
      <c r="J89" s="496">
        <v>2.2999999999999998</v>
      </c>
      <c r="K89" s="857">
        <f>I89*J89</f>
        <v>4.5999999999999996</v>
      </c>
      <c r="L89" s="496">
        <v>2</v>
      </c>
      <c r="M89" s="496">
        <v>2.2999999999999998</v>
      </c>
      <c r="N89" s="857">
        <f>L89*M89</f>
        <v>4.5999999999999996</v>
      </c>
      <c r="O89" s="496">
        <v>2</v>
      </c>
      <c r="P89" s="496">
        <v>2.2999999999999998</v>
      </c>
      <c r="Q89" s="857">
        <f>O89*P89</f>
        <v>4.5999999999999996</v>
      </c>
      <c r="R89" s="857">
        <f>Q89</f>
        <v>4.5999999999999996</v>
      </c>
      <c r="S89" s="857"/>
      <c r="T89" s="496">
        <v>2</v>
      </c>
      <c r="U89" s="496">
        <v>2.2999999999999998</v>
      </c>
      <c r="V89" s="857">
        <f>T89*U89</f>
        <v>4.5999999999999996</v>
      </c>
      <c r="W89" s="496">
        <v>2</v>
      </c>
      <c r="X89" s="496">
        <v>2.2999999999999998</v>
      </c>
      <c r="Y89" s="857">
        <f>W89*X89</f>
        <v>4.5999999999999996</v>
      </c>
      <c r="Z89" s="559">
        <f t="shared" si="5"/>
        <v>0</v>
      </c>
      <c r="AA89" s="559">
        <f t="shared" si="6"/>
        <v>100</v>
      </c>
      <c r="AB89" s="893"/>
      <c r="AC89" s="491" t="s">
        <v>1665</v>
      </c>
      <c r="AF89" s="466"/>
      <c r="AG89" s="465"/>
      <c r="AH89" s="465"/>
    </row>
    <row r="90" spans="1:34" s="498" customFormat="1" hidden="1" x14ac:dyDescent="0.25">
      <c r="A90" s="962"/>
      <c r="B90" s="881" t="s">
        <v>1729</v>
      </c>
      <c r="C90" s="503"/>
      <c r="D90" s="962"/>
      <c r="E90" s="962"/>
      <c r="F90" s="494"/>
      <c r="G90" s="495"/>
      <c r="H90" s="1245">
        <f>SUM(H87:H89)*0.271</f>
        <v>2.2000000000000002</v>
      </c>
      <c r="I90" s="496"/>
      <c r="J90" s="496"/>
      <c r="K90" s="496">
        <f>SUM(K87:K89)*0.271</f>
        <v>2.2000000000000002</v>
      </c>
      <c r="L90" s="496"/>
      <c r="M90" s="496"/>
      <c r="N90" s="496">
        <f>SUM(N87:N89)*0.271</f>
        <v>2.2000000000000002</v>
      </c>
      <c r="O90" s="496"/>
      <c r="P90" s="496"/>
      <c r="Q90" s="496">
        <f>SUM(Q87:Q89)*0.271</f>
        <v>3.8</v>
      </c>
      <c r="R90" s="496">
        <f t="shared" ref="R90:S90" si="11">SUM(R87:R89)*0.271</f>
        <v>3.8</v>
      </c>
      <c r="S90" s="496">
        <f t="shared" si="11"/>
        <v>0</v>
      </c>
      <c r="T90" s="496"/>
      <c r="U90" s="496"/>
      <c r="V90" s="496">
        <f>SUM(V87:V89)*0.271</f>
        <v>3.4</v>
      </c>
      <c r="W90" s="496"/>
      <c r="X90" s="496"/>
      <c r="Y90" s="496">
        <f>SUM(Y87:Y89)*0.271</f>
        <v>3.4</v>
      </c>
      <c r="Z90" s="1245">
        <f t="shared" si="5"/>
        <v>1.6</v>
      </c>
      <c r="AA90" s="1245">
        <f t="shared" si="6"/>
        <v>172.7</v>
      </c>
      <c r="AB90" s="921"/>
      <c r="AC90" s="491" t="s">
        <v>1665</v>
      </c>
      <c r="AF90" s="466"/>
      <c r="AG90" s="465"/>
      <c r="AH90" s="465"/>
    </row>
    <row r="91" spans="1:34" s="492" customFormat="1" ht="14.25" hidden="1" x14ac:dyDescent="0.2">
      <c r="A91" s="1240"/>
      <c r="B91" s="876" t="s">
        <v>1741</v>
      </c>
      <c r="C91" s="501" t="s">
        <v>797</v>
      </c>
      <c r="D91" s="1240"/>
      <c r="E91" s="1240"/>
      <c r="F91" s="530"/>
      <c r="G91" s="531"/>
      <c r="H91" s="542">
        <f>SUM(H92:H94)</f>
        <v>4.4000000000000004</v>
      </c>
      <c r="I91" s="532"/>
      <c r="J91" s="532"/>
      <c r="K91" s="533">
        <f>SUM(K92:K94)</f>
        <v>1.2</v>
      </c>
      <c r="L91" s="532"/>
      <c r="M91" s="532"/>
      <c r="N91" s="533">
        <f>SUM(N92:N94)</f>
        <v>1.2</v>
      </c>
      <c r="O91" s="532"/>
      <c r="P91" s="532"/>
      <c r="Q91" s="533">
        <f>SUM(Q92:Q94)</f>
        <v>22.2</v>
      </c>
      <c r="R91" s="533">
        <f>SUM(R92:R94)</f>
        <v>0</v>
      </c>
      <c r="S91" s="533">
        <f>SUM(S92:S94)</f>
        <v>22.2</v>
      </c>
      <c r="T91" s="532"/>
      <c r="U91" s="532"/>
      <c r="V91" s="533">
        <f>SUM(V92:V94)</f>
        <v>4.2</v>
      </c>
      <c r="W91" s="532"/>
      <c r="X91" s="532"/>
      <c r="Y91" s="533">
        <f>SUM(Y92:Y94)</f>
        <v>4.2</v>
      </c>
      <c r="Z91" s="542">
        <f t="shared" si="5"/>
        <v>21</v>
      </c>
      <c r="AA91" s="542">
        <f t="shared" si="6"/>
        <v>1850</v>
      </c>
      <c r="AB91" s="921"/>
      <c r="AC91" s="491" t="s">
        <v>1665</v>
      </c>
      <c r="AF91" s="466"/>
      <c r="AG91" s="466"/>
      <c r="AH91" s="466"/>
    </row>
    <row r="92" spans="1:34" s="498" customFormat="1" hidden="1" x14ac:dyDescent="0.25">
      <c r="A92" s="962"/>
      <c r="B92" s="502" t="s">
        <v>1742</v>
      </c>
      <c r="C92" s="499"/>
      <c r="D92" s="962"/>
      <c r="E92" s="962" t="s">
        <v>227</v>
      </c>
      <c r="F92" s="494">
        <v>26</v>
      </c>
      <c r="G92" s="495">
        <v>0.1</v>
      </c>
      <c r="H92" s="559">
        <f>F92*G92</f>
        <v>2.6</v>
      </c>
      <c r="I92" s="496">
        <v>12</v>
      </c>
      <c r="J92" s="862">
        <v>0.1</v>
      </c>
      <c r="K92" s="857">
        <f>I92*J92</f>
        <v>1.2</v>
      </c>
      <c r="L92" s="496">
        <v>12</v>
      </c>
      <c r="M92" s="862">
        <v>0.1</v>
      </c>
      <c r="N92" s="857">
        <f>L92*M92</f>
        <v>1.2</v>
      </c>
      <c r="O92" s="496">
        <v>10</v>
      </c>
      <c r="P92" s="857">
        <v>0.1</v>
      </c>
      <c r="Q92" s="857">
        <f>O92*P92</f>
        <v>1</v>
      </c>
      <c r="R92" s="857"/>
      <c r="S92" s="857">
        <v>1</v>
      </c>
      <c r="T92" s="496">
        <v>10</v>
      </c>
      <c r="U92" s="857">
        <v>0.1</v>
      </c>
      <c r="V92" s="857">
        <f t="shared" ref="V92:V97" si="12">T92*U92</f>
        <v>1</v>
      </c>
      <c r="W92" s="496">
        <v>10</v>
      </c>
      <c r="X92" s="857">
        <v>0.1</v>
      </c>
      <c r="Y92" s="857">
        <f t="shared" ref="Y92:Y97" si="13">W92*X92</f>
        <v>1</v>
      </c>
      <c r="Z92" s="559">
        <f t="shared" si="5"/>
        <v>-0.2</v>
      </c>
      <c r="AA92" s="559">
        <f t="shared" si="6"/>
        <v>83.3</v>
      </c>
      <c r="AB92" s="893"/>
      <c r="AC92" s="491" t="s">
        <v>1665</v>
      </c>
      <c r="AF92" s="466"/>
      <c r="AG92" s="465"/>
      <c r="AH92" s="465"/>
    </row>
    <row r="93" spans="1:34" s="498" customFormat="1" ht="39" hidden="1" x14ac:dyDescent="0.25">
      <c r="A93" s="962"/>
      <c r="B93" s="502" t="s">
        <v>1743</v>
      </c>
      <c r="C93" s="499"/>
      <c r="D93" s="962"/>
      <c r="E93" s="962" t="s">
        <v>1238</v>
      </c>
      <c r="F93" s="494"/>
      <c r="G93" s="495"/>
      <c r="H93" s="559"/>
      <c r="I93" s="496"/>
      <c r="J93" s="862"/>
      <c r="K93" s="857"/>
      <c r="L93" s="496"/>
      <c r="M93" s="862"/>
      <c r="N93" s="857"/>
      <c r="O93" s="496">
        <v>20</v>
      </c>
      <c r="P93" s="857">
        <v>0.9</v>
      </c>
      <c r="Q93" s="857">
        <f>O93*P93</f>
        <v>18</v>
      </c>
      <c r="R93" s="857"/>
      <c r="S93" s="857">
        <f>Q93-R93</f>
        <v>18</v>
      </c>
      <c r="T93" s="496"/>
      <c r="U93" s="857"/>
      <c r="V93" s="857">
        <f t="shared" si="12"/>
        <v>0</v>
      </c>
      <c r="W93" s="496"/>
      <c r="X93" s="857"/>
      <c r="Y93" s="857">
        <f t="shared" si="13"/>
        <v>0</v>
      </c>
      <c r="Z93" s="559">
        <f t="shared" si="5"/>
        <v>18</v>
      </c>
      <c r="AA93" s="559" t="str">
        <f t="shared" si="6"/>
        <v>-</v>
      </c>
      <c r="AB93" s="1844" t="s">
        <v>1744</v>
      </c>
      <c r="AC93" s="491" t="s">
        <v>1665</v>
      </c>
      <c r="AF93" s="466"/>
      <c r="AG93" s="465"/>
      <c r="AH93" s="465"/>
    </row>
    <row r="94" spans="1:34" s="498" customFormat="1" hidden="1" x14ac:dyDescent="0.25">
      <c r="A94" s="962"/>
      <c r="B94" s="878" t="s">
        <v>1692</v>
      </c>
      <c r="C94" s="499"/>
      <c r="D94" s="962"/>
      <c r="E94" s="962" t="s">
        <v>227</v>
      </c>
      <c r="F94" s="494">
        <v>6</v>
      </c>
      <c r="G94" s="495">
        <v>0.3</v>
      </c>
      <c r="H94" s="559">
        <f>F94*G94</f>
        <v>1.8</v>
      </c>
      <c r="I94" s="496"/>
      <c r="J94" s="496"/>
      <c r="K94" s="857">
        <f>I94*J94</f>
        <v>0</v>
      </c>
      <c r="L94" s="496"/>
      <c r="M94" s="496"/>
      <c r="N94" s="857">
        <f>L94*M94</f>
        <v>0</v>
      </c>
      <c r="O94" s="496">
        <v>8</v>
      </c>
      <c r="P94" s="496">
        <v>0.4</v>
      </c>
      <c r="Q94" s="857">
        <f>O94*P94</f>
        <v>3.2</v>
      </c>
      <c r="R94" s="857"/>
      <c r="S94" s="857">
        <f>Q94</f>
        <v>3.2</v>
      </c>
      <c r="T94" s="496">
        <v>8</v>
      </c>
      <c r="U94" s="496">
        <v>0.4</v>
      </c>
      <c r="V94" s="857">
        <f t="shared" si="12"/>
        <v>3.2</v>
      </c>
      <c r="W94" s="496">
        <v>8</v>
      </c>
      <c r="X94" s="496">
        <v>0.4</v>
      </c>
      <c r="Y94" s="857">
        <f t="shared" si="13"/>
        <v>3.2</v>
      </c>
      <c r="Z94" s="559">
        <f t="shared" si="5"/>
        <v>3.2</v>
      </c>
      <c r="AA94" s="559" t="str">
        <f t="shared" si="6"/>
        <v>-</v>
      </c>
      <c r="AB94" s="1845"/>
      <c r="AC94" s="491" t="s">
        <v>1665</v>
      </c>
      <c r="AF94" s="466"/>
      <c r="AG94" s="465"/>
      <c r="AH94" s="465"/>
    </row>
    <row r="95" spans="1:34" s="492" customFormat="1" ht="38.25" hidden="1" x14ac:dyDescent="0.2">
      <c r="A95" s="1240"/>
      <c r="B95" s="877" t="s">
        <v>1745</v>
      </c>
      <c r="C95" s="508" t="s">
        <v>796</v>
      </c>
      <c r="D95" s="1240"/>
      <c r="E95" s="1240" t="s">
        <v>1235</v>
      </c>
      <c r="F95" s="530">
        <v>12</v>
      </c>
      <c r="G95" s="1846">
        <v>0.5</v>
      </c>
      <c r="H95" s="542">
        <f>F95*G95</f>
        <v>6</v>
      </c>
      <c r="I95" s="532">
        <v>15</v>
      </c>
      <c r="J95" s="1847">
        <v>0.4</v>
      </c>
      <c r="K95" s="533">
        <f>I95*J95</f>
        <v>6</v>
      </c>
      <c r="L95" s="532">
        <v>15</v>
      </c>
      <c r="M95" s="1847">
        <v>0.4</v>
      </c>
      <c r="N95" s="533">
        <f>L95*M95</f>
        <v>6</v>
      </c>
      <c r="O95" s="532"/>
      <c r="P95" s="1847"/>
      <c r="Q95" s="533"/>
      <c r="R95" s="533"/>
      <c r="S95" s="533"/>
      <c r="T95" s="532"/>
      <c r="U95" s="1847"/>
      <c r="V95" s="533"/>
      <c r="W95" s="532"/>
      <c r="X95" s="1847"/>
      <c r="Y95" s="533"/>
      <c r="Z95" s="542">
        <f t="shared" si="5"/>
        <v>-6</v>
      </c>
      <c r="AA95" s="542">
        <f t="shared" si="6"/>
        <v>0</v>
      </c>
      <c r="AB95" s="893" t="s">
        <v>1746</v>
      </c>
      <c r="AC95" s="491" t="s">
        <v>1665</v>
      </c>
      <c r="AF95" s="466"/>
      <c r="AG95" s="466"/>
      <c r="AH95" s="466"/>
    </row>
    <row r="96" spans="1:34" s="492" customFormat="1" ht="14.25" x14ac:dyDescent="0.2">
      <c r="A96" s="1240"/>
      <c r="B96" s="876" t="s">
        <v>1246</v>
      </c>
      <c r="C96" s="501" t="s">
        <v>1237</v>
      </c>
      <c r="D96" s="1240"/>
      <c r="E96" s="1240" t="s">
        <v>664</v>
      </c>
      <c r="F96" s="1848">
        <v>2</v>
      </c>
      <c r="G96" s="1830">
        <v>2.5</v>
      </c>
      <c r="H96" s="542">
        <f>F96*G96</f>
        <v>5</v>
      </c>
      <c r="I96" s="1849">
        <v>2</v>
      </c>
      <c r="J96" s="1831">
        <v>2.5</v>
      </c>
      <c r="K96" s="533">
        <f>I96*J96</f>
        <v>5</v>
      </c>
      <c r="L96" s="1849">
        <v>2</v>
      </c>
      <c r="M96" s="1831">
        <v>2.5</v>
      </c>
      <c r="N96" s="533">
        <f>L96*M96</f>
        <v>5</v>
      </c>
      <c r="O96" s="1849">
        <v>2</v>
      </c>
      <c r="P96" s="1831">
        <v>2.5</v>
      </c>
      <c r="Q96" s="533">
        <f>O96*P96</f>
        <v>5</v>
      </c>
      <c r="R96" s="533">
        <f>Q96</f>
        <v>5</v>
      </c>
      <c r="S96" s="533"/>
      <c r="T96" s="1849">
        <v>2</v>
      </c>
      <c r="U96" s="1831">
        <v>2.5</v>
      </c>
      <c r="V96" s="533">
        <f t="shared" si="12"/>
        <v>5</v>
      </c>
      <c r="W96" s="1849">
        <v>2</v>
      </c>
      <c r="X96" s="1831">
        <v>2.5</v>
      </c>
      <c r="Y96" s="533">
        <f t="shared" si="13"/>
        <v>5</v>
      </c>
      <c r="Z96" s="542">
        <f t="shared" si="5"/>
        <v>0</v>
      </c>
      <c r="AA96" s="542">
        <f t="shared" si="6"/>
        <v>100</v>
      </c>
      <c r="AB96" s="893"/>
      <c r="AC96" s="491" t="s">
        <v>1665</v>
      </c>
      <c r="AF96" s="466"/>
      <c r="AG96" s="466"/>
      <c r="AH96" s="466"/>
    </row>
    <row r="97" spans="1:34" s="492" customFormat="1" ht="14.25" hidden="1" x14ac:dyDescent="0.2">
      <c r="A97" s="1240"/>
      <c r="B97" s="876" t="s">
        <v>1367</v>
      </c>
      <c r="C97" s="501" t="s">
        <v>797</v>
      </c>
      <c r="D97" s="1240"/>
      <c r="E97" s="1240" t="s">
        <v>227</v>
      </c>
      <c r="F97" s="1848">
        <v>3</v>
      </c>
      <c r="G97" s="1830">
        <v>35</v>
      </c>
      <c r="H97" s="542">
        <f>F97*G97</f>
        <v>105</v>
      </c>
      <c r="I97" s="1849">
        <v>3</v>
      </c>
      <c r="J97" s="1831">
        <v>35</v>
      </c>
      <c r="K97" s="533">
        <f>I97*J97</f>
        <v>105</v>
      </c>
      <c r="L97" s="1849">
        <v>3</v>
      </c>
      <c r="M97" s="1831">
        <v>35</v>
      </c>
      <c r="N97" s="533">
        <f>L97*M97</f>
        <v>105</v>
      </c>
      <c r="O97" s="1849">
        <v>3</v>
      </c>
      <c r="P97" s="1831">
        <v>35</v>
      </c>
      <c r="Q97" s="533">
        <f>O97*P97</f>
        <v>105</v>
      </c>
      <c r="R97" s="533">
        <f>Q97</f>
        <v>105</v>
      </c>
      <c r="S97" s="533"/>
      <c r="T97" s="1849">
        <v>3</v>
      </c>
      <c r="U97" s="1831">
        <v>35</v>
      </c>
      <c r="V97" s="533">
        <f t="shared" si="12"/>
        <v>105</v>
      </c>
      <c r="W97" s="1849">
        <v>3</v>
      </c>
      <c r="X97" s="1831">
        <v>35</v>
      </c>
      <c r="Y97" s="533">
        <f t="shared" si="13"/>
        <v>105</v>
      </c>
      <c r="Z97" s="542">
        <f t="shared" si="5"/>
        <v>0</v>
      </c>
      <c r="AA97" s="542">
        <f t="shared" si="6"/>
        <v>100</v>
      </c>
      <c r="AB97" s="893"/>
      <c r="AC97" s="491" t="s">
        <v>1665</v>
      </c>
      <c r="AF97" s="466"/>
      <c r="AG97" s="466"/>
      <c r="AH97" s="466"/>
    </row>
    <row r="98" spans="1:34" s="492" customFormat="1" ht="25.5" hidden="1" x14ac:dyDescent="0.2">
      <c r="A98" s="1240"/>
      <c r="B98" s="877" t="s">
        <v>1747</v>
      </c>
      <c r="C98" s="508" t="s">
        <v>797</v>
      </c>
      <c r="D98" s="1240"/>
      <c r="E98" s="1240"/>
      <c r="F98" s="1848"/>
      <c r="G98" s="1830"/>
      <c r="H98" s="493">
        <f>H99+H102</f>
        <v>31.5</v>
      </c>
      <c r="I98" s="1849"/>
      <c r="J98" s="1831"/>
      <c r="K98" s="532">
        <f>K99+K102</f>
        <v>11</v>
      </c>
      <c r="L98" s="1849"/>
      <c r="M98" s="1831"/>
      <c r="N98" s="532">
        <f>N99+N102</f>
        <v>26</v>
      </c>
      <c r="O98" s="1849"/>
      <c r="P98" s="1831"/>
      <c r="Q98" s="532">
        <f>SUM(Q99:Q102)</f>
        <v>37.200000000000003</v>
      </c>
      <c r="R98" s="532">
        <f t="shared" ref="R98:S98" si="14">SUM(R99:R102)</f>
        <v>13.8</v>
      </c>
      <c r="S98" s="532">
        <f t="shared" si="14"/>
        <v>23.4</v>
      </c>
      <c r="T98" s="1849"/>
      <c r="U98" s="1831"/>
      <c r="V98" s="532">
        <f>SUM(V99:V102)</f>
        <v>16</v>
      </c>
      <c r="W98" s="1849"/>
      <c r="X98" s="1831"/>
      <c r="Y98" s="532">
        <f>SUM(Y99:Y102)</f>
        <v>16</v>
      </c>
      <c r="Z98" s="493">
        <f t="shared" si="5"/>
        <v>26.2</v>
      </c>
      <c r="AA98" s="493">
        <f t="shared" si="6"/>
        <v>338.2</v>
      </c>
      <c r="AB98" s="921"/>
      <c r="AC98" s="491" t="s">
        <v>1665</v>
      </c>
      <c r="AF98" s="466"/>
      <c r="AG98" s="466"/>
      <c r="AH98" s="466"/>
    </row>
    <row r="99" spans="1:34" s="498" customFormat="1" hidden="1" x14ac:dyDescent="0.25">
      <c r="A99" s="962"/>
      <c r="B99" s="1850" t="s">
        <v>1748</v>
      </c>
      <c r="C99" s="499"/>
      <c r="D99" s="962"/>
      <c r="E99" s="962" t="s">
        <v>227</v>
      </c>
      <c r="F99" s="494">
        <v>210</v>
      </c>
      <c r="G99" s="495">
        <v>0.12</v>
      </c>
      <c r="H99" s="1851">
        <f>F99*G99</f>
        <v>25.2</v>
      </c>
      <c r="I99" s="496">
        <v>220</v>
      </c>
      <c r="J99" s="883">
        <v>0.05</v>
      </c>
      <c r="K99" s="1852">
        <f>I99*J99</f>
        <v>11</v>
      </c>
      <c r="L99" s="496">
        <v>220</v>
      </c>
      <c r="M99" s="883">
        <v>0.05</v>
      </c>
      <c r="N99" s="1852">
        <f>L99*M99</f>
        <v>11</v>
      </c>
      <c r="O99" s="496"/>
      <c r="P99" s="496"/>
      <c r="Q99" s="1852"/>
      <c r="R99" s="1852"/>
      <c r="S99" s="1852"/>
      <c r="T99" s="496"/>
      <c r="U99" s="496"/>
      <c r="V99" s="1852"/>
      <c r="W99" s="496"/>
      <c r="X99" s="496"/>
      <c r="Y99" s="1852"/>
      <c r="Z99" s="1851">
        <f t="shared" si="5"/>
        <v>-11</v>
      </c>
      <c r="AA99" s="1851">
        <f t="shared" si="6"/>
        <v>0</v>
      </c>
      <c r="AB99" s="893"/>
      <c r="AC99" s="491" t="s">
        <v>1665</v>
      </c>
      <c r="AF99" s="466"/>
      <c r="AG99" s="465"/>
      <c r="AH99" s="465"/>
    </row>
    <row r="100" spans="1:34" s="498" customFormat="1" ht="25.5" hidden="1" x14ac:dyDescent="0.25">
      <c r="A100" s="962"/>
      <c r="B100" s="1850" t="s">
        <v>1689</v>
      </c>
      <c r="C100" s="499"/>
      <c r="D100" s="962"/>
      <c r="E100" s="541" t="s">
        <v>1238</v>
      </c>
      <c r="F100" s="494"/>
      <c r="G100" s="495"/>
      <c r="H100" s="1851"/>
      <c r="I100" s="496"/>
      <c r="J100" s="883"/>
      <c r="K100" s="1852"/>
      <c r="L100" s="496"/>
      <c r="M100" s="883"/>
      <c r="N100" s="1852"/>
      <c r="O100" s="496">
        <v>4</v>
      </c>
      <c r="P100" s="496">
        <v>2</v>
      </c>
      <c r="Q100" s="1852">
        <f>O100*P100</f>
        <v>8</v>
      </c>
      <c r="R100" s="1852"/>
      <c r="S100" s="1852">
        <f>Q100</f>
        <v>8</v>
      </c>
      <c r="T100" s="496">
        <v>4</v>
      </c>
      <c r="U100" s="496">
        <v>2</v>
      </c>
      <c r="V100" s="1852"/>
      <c r="W100" s="496">
        <v>4</v>
      </c>
      <c r="X100" s="496">
        <v>2</v>
      </c>
      <c r="Y100" s="1852"/>
      <c r="Z100" s="1851">
        <f t="shared" si="5"/>
        <v>8</v>
      </c>
      <c r="AA100" s="1851" t="str">
        <f t="shared" si="6"/>
        <v>-</v>
      </c>
      <c r="AB100" s="1853" t="s">
        <v>1749</v>
      </c>
      <c r="AC100" s="491" t="s">
        <v>1665</v>
      </c>
      <c r="AF100" s="466"/>
      <c r="AG100" s="465"/>
      <c r="AH100" s="465"/>
    </row>
    <row r="101" spans="1:34" s="498" customFormat="1" hidden="1" x14ac:dyDescent="0.25">
      <c r="A101" s="962"/>
      <c r="B101" s="1850" t="s">
        <v>1750</v>
      </c>
      <c r="C101" s="499"/>
      <c r="D101" s="962"/>
      <c r="E101" s="541" t="s">
        <v>1238</v>
      </c>
      <c r="F101" s="494"/>
      <c r="G101" s="495"/>
      <c r="H101" s="1851"/>
      <c r="I101" s="496"/>
      <c r="J101" s="883"/>
      <c r="K101" s="1852"/>
      <c r="L101" s="496"/>
      <c r="M101" s="883"/>
      <c r="N101" s="1852"/>
      <c r="O101" s="496">
        <v>6</v>
      </c>
      <c r="P101" s="496">
        <v>2.2000000000000002</v>
      </c>
      <c r="Q101" s="1852">
        <f>O101*P101</f>
        <v>13.2</v>
      </c>
      <c r="R101" s="1852"/>
      <c r="S101" s="1852">
        <f>Q101</f>
        <v>13.2</v>
      </c>
      <c r="T101" s="496"/>
      <c r="U101" s="496"/>
      <c r="V101" s="1852"/>
      <c r="W101" s="496"/>
      <c r="X101" s="496"/>
      <c r="Y101" s="1852"/>
      <c r="Z101" s="1851">
        <f t="shared" si="5"/>
        <v>13.2</v>
      </c>
      <c r="AA101" s="1851" t="str">
        <f t="shared" si="6"/>
        <v>-</v>
      </c>
      <c r="AB101" s="1854"/>
      <c r="AC101" s="491" t="s">
        <v>1665</v>
      </c>
      <c r="AF101" s="466"/>
      <c r="AG101" s="465"/>
      <c r="AH101" s="465"/>
    </row>
    <row r="102" spans="1:34" s="498" customFormat="1" ht="64.5" hidden="1" x14ac:dyDescent="0.25">
      <c r="A102" s="962"/>
      <c r="B102" s="1855" t="s">
        <v>1751</v>
      </c>
      <c r="C102" s="499"/>
      <c r="D102" s="962"/>
      <c r="E102" s="962" t="s">
        <v>1240</v>
      </c>
      <c r="F102" s="494">
        <v>1</v>
      </c>
      <c r="G102" s="495">
        <v>6.3</v>
      </c>
      <c r="H102" s="1851">
        <f>F102*G102</f>
        <v>6.3</v>
      </c>
      <c r="I102" s="496"/>
      <c r="J102" s="496"/>
      <c r="K102" s="1852">
        <f>I102*J102</f>
        <v>0</v>
      </c>
      <c r="L102" s="496"/>
      <c r="M102" s="496"/>
      <c r="N102" s="1852">
        <v>15</v>
      </c>
      <c r="O102" s="496">
        <v>2</v>
      </c>
      <c r="P102" s="496">
        <v>8</v>
      </c>
      <c r="Q102" s="1852">
        <f>O102*P102</f>
        <v>16</v>
      </c>
      <c r="R102" s="1852">
        <f>11+2.8</f>
        <v>13.8</v>
      </c>
      <c r="S102" s="1852">
        <f>Q102-R102</f>
        <v>2.2000000000000002</v>
      </c>
      <c r="T102" s="496">
        <v>2</v>
      </c>
      <c r="U102" s="496">
        <v>8</v>
      </c>
      <c r="V102" s="1852">
        <f>T102*U102</f>
        <v>16</v>
      </c>
      <c r="W102" s="496">
        <v>2</v>
      </c>
      <c r="X102" s="496">
        <v>8</v>
      </c>
      <c r="Y102" s="1852">
        <f>W102*X102</f>
        <v>16</v>
      </c>
      <c r="Z102" s="1851">
        <f t="shared" si="5"/>
        <v>16</v>
      </c>
      <c r="AA102" s="1851" t="str">
        <f t="shared" si="6"/>
        <v>-</v>
      </c>
      <c r="AB102" s="893" t="s">
        <v>1752</v>
      </c>
      <c r="AC102" s="491" t="s">
        <v>1665</v>
      </c>
      <c r="AF102" s="466"/>
      <c r="AG102" s="465"/>
      <c r="AH102" s="465"/>
    </row>
    <row r="103" spans="1:34" s="871" customFormat="1" ht="14.25" hidden="1" x14ac:dyDescent="0.2">
      <c r="A103" s="869"/>
      <c r="B103" s="1856" t="s">
        <v>1753</v>
      </c>
      <c r="C103" s="1857"/>
      <c r="D103" s="869"/>
      <c r="E103" s="869"/>
      <c r="F103" s="1858"/>
      <c r="G103" s="1859"/>
      <c r="H103" s="681">
        <f>H104+H114+H115+H118+H119+H120</f>
        <v>59.9</v>
      </c>
      <c r="I103" s="1860"/>
      <c r="J103" s="888"/>
      <c r="K103" s="681">
        <f>K104+K114+K115+K118+K119+K120</f>
        <v>57.7</v>
      </c>
      <c r="L103" s="1860"/>
      <c r="M103" s="888"/>
      <c r="N103" s="681">
        <f>N104+N114+N115+N118+N119+N120</f>
        <v>57.7</v>
      </c>
      <c r="O103" s="1860"/>
      <c r="P103" s="888"/>
      <c r="Q103" s="681">
        <f>Q104+Q114+Q115+Q118+Q119+Q120+Q126+Q125</f>
        <v>169.8</v>
      </c>
      <c r="R103" s="681">
        <f t="shared" ref="R103" si="15">R104+R114+R115+R118+R119+R120+R126+R125</f>
        <v>56.5</v>
      </c>
      <c r="S103" s="681">
        <f>S104+S114+S115+S118+S119+S120+S126+S125</f>
        <v>113.2</v>
      </c>
      <c r="T103" s="1860"/>
      <c r="U103" s="888"/>
      <c r="V103" s="681">
        <f>V104+V114+V115+V118+V119+V120+V126</f>
        <v>81.099999999999994</v>
      </c>
      <c r="W103" s="1860"/>
      <c r="X103" s="888"/>
      <c r="Y103" s="681">
        <f>Y104+Y114+Y115+Y118+Y119+Y120+Y126</f>
        <v>81.099999999999994</v>
      </c>
      <c r="Z103" s="681">
        <f t="shared" si="5"/>
        <v>112.1</v>
      </c>
      <c r="AA103" s="681">
        <f t="shared" si="6"/>
        <v>294.3</v>
      </c>
      <c r="AB103" s="896"/>
      <c r="AC103" s="920" t="s">
        <v>1665</v>
      </c>
      <c r="AF103" s="872"/>
      <c r="AG103" s="872"/>
      <c r="AH103" s="872"/>
    </row>
    <row r="104" spans="1:34" s="492" customFormat="1" ht="14.25" hidden="1" x14ac:dyDescent="0.2">
      <c r="A104" s="1240"/>
      <c r="B104" s="1861" t="s">
        <v>1233</v>
      </c>
      <c r="C104" s="508" t="s">
        <v>1230</v>
      </c>
      <c r="D104" s="1240"/>
      <c r="E104" s="1240"/>
      <c r="F104" s="530"/>
      <c r="G104" s="531"/>
      <c r="H104" s="542">
        <f>SUM(H105:H113)</f>
        <v>26.1</v>
      </c>
      <c r="I104" s="532"/>
      <c r="J104" s="532"/>
      <c r="K104" s="533">
        <f>SUM(K105:K113)</f>
        <v>25.8</v>
      </c>
      <c r="L104" s="532"/>
      <c r="M104" s="532"/>
      <c r="N104" s="533">
        <f>SUM(N105:N113)</f>
        <v>25.8</v>
      </c>
      <c r="O104" s="532"/>
      <c r="P104" s="532"/>
      <c r="Q104" s="533">
        <f>SUM(Q105:Q113)</f>
        <v>47.7</v>
      </c>
      <c r="R104" s="533">
        <f>SUM(R105:R113)</f>
        <v>37.200000000000003</v>
      </c>
      <c r="S104" s="533">
        <f t="shared" ref="S104" si="16">SUM(S105:S113)</f>
        <v>10.4</v>
      </c>
      <c r="T104" s="532"/>
      <c r="U104" s="532"/>
      <c r="V104" s="533">
        <f>SUM(V105:V113)</f>
        <v>43.1</v>
      </c>
      <c r="W104" s="532"/>
      <c r="X104" s="532"/>
      <c r="Y104" s="533">
        <f>SUM(Y105:Y113)</f>
        <v>43.1</v>
      </c>
      <c r="Z104" s="542">
        <f t="shared" si="5"/>
        <v>21.9</v>
      </c>
      <c r="AA104" s="542">
        <f t="shared" si="6"/>
        <v>184.9</v>
      </c>
      <c r="AB104" s="893"/>
      <c r="AC104" s="491" t="s">
        <v>1665</v>
      </c>
      <c r="AF104" s="466"/>
      <c r="AG104" s="466"/>
      <c r="AH104" s="466"/>
    </row>
    <row r="105" spans="1:34" s="498" customFormat="1" hidden="1" x14ac:dyDescent="0.25">
      <c r="A105" s="962"/>
      <c r="B105" s="1862" t="s">
        <v>1737</v>
      </c>
      <c r="C105" s="499"/>
      <c r="D105" s="962"/>
      <c r="E105" s="962" t="s">
        <v>318</v>
      </c>
      <c r="F105" s="494">
        <v>1</v>
      </c>
      <c r="G105" s="495">
        <v>3.5</v>
      </c>
      <c r="H105" s="559">
        <f>F105*G105</f>
        <v>3.5</v>
      </c>
      <c r="I105" s="496">
        <v>1</v>
      </c>
      <c r="J105" s="496">
        <v>3.5</v>
      </c>
      <c r="K105" s="857">
        <f>I105*J105</f>
        <v>3.5</v>
      </c>
      <c r="L105" s="496">
        <v>1</v>
      </c>
      <c r="M105" s="496">
        <v>3.5</v>
      </c>
      <c r="N105" s="857">
        <f>L105*M105</f>
        <v>3.5</v>
      </c>
      <c r="O105" s="496">
        <v>1</v>
      </c>
      <c r="P105" s="496">
        <v>3.5</v>
      </c>
      <c r="Q105" s="857">
        <f t="shared" ref="Q105:Q111" si="17">O105*P105</f>
        <v>3.5</v>
      </c>
      <c r="R105" s="857">
        <f>K105</f>
        <v>3.5</v>
      </c>
      <c r="S105" s="857">
        <f>Q105-R105</f>
        <v>0</v>
      </c>
      <c r="T105" s="496">
        <v>1</v>
      </c>
      <c r="U105" s="496">
        <v>3.5</v>
      </c>
      <c r="V105" s="857">
        <f>T105*U105</f>
        <v>3.5</v>
      </c>
      <c r="W105" s="496">
        <v>1</v>
      </c>
      <c r="X105" s="496">
        <v>3.5</v>
      </c>
      <c r="Y105" s="857">
        <f>W105*X105</f>
        <v>3.5</v>
      </c>
      <c r="Z105" s="559">
        <f t="shared" si="5"/>
        <v>0</v>
      </c>
      <c r="AA105" s="559">
        <f t="shared" si="6"/>
        <v>100</v>
      </c>
      <c r="AB105" s="893"/>
      <c r="AC105" s="491" t="s">
        <v>1665</v>
      </c>
      <c r="AF105" s="466"/>
      <c r="AG105" s="465"/>
      <c r="AH105" s="465"/>
    </row>
    <row r="106" spans="1:34" s="498" customFormat="1" hidden="1" x14ac:dyDescent="0.25">
      <c r="A106" s="962"/>
      <c r="B106" s="1862" t="s">
        <v>1754</v>
      </c>
      <c r="C106" s="499"/>
      <c r="D106" s="962"/>
      <c r="E106" s="962" t="s">
        <v>318</v>
      </c>
      <c r="F106" s="494">
        <v>2</v>
      </c>
      <c r="G106" s="495">
        <v>2.2999999999999998</v>
      </c>
      <c r="H106" s="559">
        <f>F106*G106</f>
        <v>4.5999999999999996</v>
      </c>
      <c r="I106" s="496">
        <v>2</v>
      </c>
      <c r="J106" s="496">
        <v>2.2999999999999998</v>
      </c>
      <c r="K106" s="857">
        <f t="shared" ref="K106:K112" si="18">I106*J106</f>
        <v>4.5999999999999996</v>
      </c>
      <c r="L106" s="496">
        <v>2</v>
      </c>
      <c r="M106" s="496">
        <v>2.2999999999999998</v>
      </c>
      <c r="N106" s="857">
        <f t="shared" ref="N106:N112" si="19">L106*M106</f>
        <v>4.5999999999999996</v>
      </c>
      <c r="O106" s="496">
        <v>2</v>
      </c>
      <c r="P106" s="496">
        <v>2.2999999999999998</v>
      </c>
      <c r="Q106" s="857">
        <f t="shared" si="17"/>
        <v>4.5999999999999996</v>
      </c>
      <c r="R106" s="857">
        <f t="shared" ref="R106:R107" si="20">K106</f>
        <v>4.5999999999999996</v>
      </c>
      <c r="S106" s="857">
        <f t="shared" ref="S106:S112" si="21">Q106-R106</f>
        <v>0</v>
      </c>
      <c r="T106" s="496">
        <v>2</v>
      </c>
      <c r="U106" s="496">
        <v>2.2999999999999998</v>
      </c>
      <c r="V106" s="857">
        <f>T106*U106</f>
        <v>4.5999999999999996</v>
      </c>
      <c r="W106" s="496">
        <v>2</v>
      </c>
      <c r="X106" s="496">
        <v>2.2999999999999998</v>
      </c>
      <c r="Y106" s="857">
        <f>W106*X106</f>
        <v>4.5999999999999996</v>
      </c>
      <c r="Z106" s="559">
        <f t="shared" si="5"/>
        <v>0</v>
      </c>
      <c r="AA106" s="559">
        <f t="shared" si="6"/>
        <v>100</v>
      </c>
      <c r="AB106" s="893"/>
      <c r="AC106" s="491" t="s">
        <v>1665</v>
      </c>
      <c r="AF106" s="466"/>
      <c r="AG106" s="465"/>
      <c r="AH106" s="465"/>
    </row>
    <row r="107" spans="1:34" s="498" customFormat="1" ht="127.5" hidden="1" x14ac:dyDescent="0.25">
      <c r="A107" s="962"/>
      <c r="B107" s="1855" t="s">
        <v>1755</v>
      </c>
      <c r="C107" s="499"/>
      <c r="D107" s="962"/>
      <c r="E107" s="962" t="s">
        <v>318</v>
      </c>
      <c r="F107" s="494">
        <v>6</v>
      </c>
      <c r="G107" s="495">
        <v>1.73</v>
      </c>
      <c r="H107" s="559">
        <f>F107*G107</f>
        <v>10.4</v>
      </c>
      <c r="I107" s="496">
        <v>6</v>
      </c>
      <c r="J107" s="496">
        <v>1.7</v>
      </c>
      <c r="K107" s="857">
        <f t="shared" si="18"/>
        <v>10.199999999999999</v>
      </c>
      <c r="L107" s="496">
        <v>6</v>
      </c>
      <c r="M107" s="496">
        <v>1.7</v>
      </c>
      <c r="N107" s="857">
        <f t="shared" si="19"/>
        <v>10.199999999999999</v>
      </c>
      <c r="O107" s="496">
        <v>6</v>
      </c>
      <c r="P107" s="496">
        <v>2.2999999999999998</v>
      </c>
      <c r="Q107" s="857">
        <f t="shared" si="17"/>
        <v>13.8</v>
      </c>
      <c r="R107" s="857">
        <f t="shared" si="20"/>
        <v>10.199999999999999</v>
      </c>
      <c r="S107" s="857">
        <f t="shared" si="21"/>
        <v>3.6</v>
      </c>
      <c r="T107" s="496">
        <v>6</v>
      </c>
      <c r="U107" s="496">
        <v>1.7</v>
      </c>
      <c r="V107" s="857">
        <f>T107*U107</f>
        <v>10.199999999999999</v>
      </c>
      <c r="W107" s="496">
        <v>6</v>
      </c>
      <c r="X107" s="496">
        <v>1.7</v>
      </c>
      <c r="Y107" s="857">
        <f>W107*X107</f>
        <v>10.199999999999999</v>
      </c>
      <c r="Z107" s="559">
        <f t="shared" si="5"/>
        <v>3.6</v>
      </c>
      <c r="AA107" s="559">
        <f t="shared" si="6"/>
        <v>135.30000000000001</v>
      </c>
      <c r="AB107" s="1863" t="s">
        <v>1756</v>
      </c>
      <c r="AC107" s="491" t="s">
        <v>1665</v>
      </c>
      <c r="AF107" s="466"/>
      <c r="AG107" s="465"/>
      <c r="AH107" s="465"/>
    </row>
    <row r="108" spans="1:34" s="498" customFormat="1" ht="39.75" hidden="1" customHeight="1" x14ac:dyDescent="0.25">
      <c r="A108" s="962"/>
      <c r="B108" s="1855" t="s">
        <v>1757</v>
      </c>
      <c r="C108" s="499"/>
      <c r="D108" s="962"/>
      <c r="E108" s="541" t="s">
        <v>318</v>
      </c>
      <c r="F108" s="494"/>
      <c r="G108" s="495"/>
      <c r="H108" s="559"/>
      <c r="I108" s="496"/>
      <c r="J108" s="496"/>
      <c r="K108" s="857"/>
      <c r="L108" s="496"/>
      <c r="M108" s="496"/>
      <c r="N108" s="857"/>
      <c r="O108" s="496">
        <v>1</v>
      </c>
      <c r="P108" s="496">
        <v>3.5</v>
      </c>
      <c r="Q108" s="857">
        <f t="shared" si="17"/>
        <v>3.5</v>
      </c>
      <c r="R108" s="857">
        <f>Q108</f>
        <v>3.5</v>
      </c>
      <c r="S108" s="857"/>
      <c r="T108" s="496">
        <v>1</v>
      </c>
      <c r="U108" s="496">
        <v>3.5</v>
      </c>
      <c r="V108" s="857">
        <f t="shared" ref="V108:V109" si="22">T108*U108</f>
        <v>3.5</v>
      </c>
      <c r="W108" s="496">
        <v>1</v>
      </c>
      <c r="X108" s="496">
        <v>3.5</v>
      </c>
      <c r="Y108" s="857">
        <f t="shared" ref="Y108:Y109" si="23">W108*X108</f>
        <v>3.5</v>
      </c>
      <c r="Z108" s="559">
        <f t="shared" si="5"/>
        <v>3.5</v>
      </c>
      <c r="AA108" s="559" t="str">
        <f t="shared" si="6"/>
        <v>-</v>
      </c>
      <c r="AB108" s="1863" t="s">
        <v>1758</v>
      </c>
      <c r="AC108" s="491" t="s">
        <v>1665</v>
      </c>
      <c r="AF108" s="466"/>
      <c r="AG108" s="465"/>
      <c r="AH108" s="465"/>
    </row>
    <row r="109" spans="1:34" s="498" customFormat="1" ht="34.5" hidden="1" customHeight="1" x14ac:dyDescent="0.25">
      <c r="A109" s="962"/>
      <c r="B109" s="1855" t="s">
        <v>1759</v>
      </c>
      <c r="C109" s="499"/>
      <c r="D109" s="962"/>
      <c r="E109" s="541" t="s">
        <v>318</v>
      </c>
      <c r="F109" s="494"/>
      <c r="G109" s="495"/>
      <c r="H109" s="559"/>
      <c r="I109" s="496"/>
      <c r="J109" s="496"/>
      <c r="K109" s="857"/>
      <c r="L109" s="496"/>
      <c r="M109" s="496"/>
      <c r="N109" s="857"/>
      <c r="O109" s="496">
        <v>1</v>
      </c>
      <c r="P109" s="496">
        <v>3.5</v>
      </c>
      <c r="Q109" s="857">
        <f t="shared" si="17"/>
        <v>3.5</v>
      </c>
      <c r="R109" s="857">
        <f>Q109</f>
        <v>3.5</v>
      </c>
      <c r="S109" s="857"/>
      <c r="T109" s="496">
        <v>1</v>
      </c>
      <c r="U109" s="496">
        <v>3.5</v>
      </c>
      <c r="V109" s="857">
        <f t="shared" si="22"/>
        <v>3.5</v>
      </c>
      <c r="W109" s="496">
        <v>1</v>
      </c>
      <c r="X109" s="496">
        <v>3.5</v>
      </c>
      <c r="Y109" s="857">
        <f t="shared" si="23"/>
        <v>3.5</v>
      </c>
      <c r="Z109" s="559">
        <f t="shared" si="5"/>
        <v>3.5</v>
      </c>
      <c r="AA109" s="559" t="str">
        <f t="shared" si="6"/>
        <v>-</v>
      </c>
      <c r="AB109" s="1863" t="s">
        <v>1760</v>
      </c>
      <c r="AC109" s="491" t="s">
        <v>1665</v>
      </c>
      <c r="AF109" s="466"/>
      <c r="AG109" s="465"/>
      <c r="AH109" s="465"/>
    </row>
    <row r="110" spans="1:34" s="498" customFormat="1" ht="25.5" hidden="1" x14ac:dyDescent="0.25">
      <c r="A110" s="962"/>
      <c r="B110" s="1855" t="s">
        <v>1761</v>
      </c>
      <c r="C110" s="499"/>
      <c r="D110" s="962"/>
      <c r="E110" s="541" t="s">
        <v>1762</v>
      </c>
      <c r="F110" s="494"/>
      <c r="G110" s="495"/>
      <c r="H110" s="559"/>
      <c r="I110" s="496"/>
      <c r="J110" s="496"/>
      <c r="K110" s="857"/>
      <c r="L110" s="496"/>
      <c r="M110" s="496"/>
      <c r="N110" s="857"/>
      <c r="O110" s="496">
        <v>2</v>
      </c>
      <c r="P110" s="496">
        <v>2.2999999999999998</v>
      </c>
      <c r="Q110" s="857">
        <f t="shared" si="17"/>
        <v>4.5999999999999996</v>
      </c>
      <c r="R110" s="857"/>
      <c r="S110" s="857">
        <f>Q110</f>
        <v>4.5999999999999996</v>
      </c>
      <c r="T110" s="496">
        <v>2</v>
      </c>
      <c r="U110" s="496">
        <v>2.2999999999999998</v>
      </c>
      <c r="V110" s="857">
        <f>T110*U110</f>
        <v>4.5999999999999996</v>
      </c>
      <c r="W110" s="496">
        <v>2</v>
      </c>
      <c r="X110" s="496">
        <v>2.2999999999999998</v>
      </c>
      <c r="Y110" s="857">
        <f>W110*X110</f>
        <v>4.5999999999999996</v>
      </c>
      <c r="Z110" s="559">
        <f t="shared" si="5"/>
        <v>4.5999999999999996</v>
      </c>
      <c r="AA110" s="559" t="str">
        <f t="shared" si="6"/>
        <v>-</v>
      </c>
      <c r="AB110" s="1863" t="s">
        <v>1763</v>
      </c>
      <c r="AC110" s="491" t="s">
        <v>1665</v>
      </c>
      <c r="AF110" s="466"/>
      <c r="AG110" s="465"/>
      <c r="AH110" s="465"/>
    </row>
    <row r="111" spans="1:34" s="498" customFormat="1" ht="77.25" hidden="1" x14ac:dyDescent="0.25">
      <c r="A111" s="962"/>
      <c r="B111" s="551" t="s">
        <v>1764</v>
      </c>
      <c r="C111" s="499"/>
      <c r="D111" s="962"/>
      <c r="E111" s="541" t="s">
        <v>318</v>
      </c>
      <c r="F111" s="494"/>
      <c r="G111" s="495"/>
      <c r="H111" s="559"/>
      <c r="I111" s="496"/>
      <c r="J111" s="496"/>
      <c r="K111" s="857"/>
      <c r="L111" s="496"/>
      <c r="M111" s="496"/>
      <c r="N111" s="857"/>
      <c r="O111" s="1864">
        <v>1</v>
      </c>
      <c r="P111" s="1864">
        <v>4</v>
      </c>
      <c r="Q111" s="857">
        <f t="shared" si="17"/>
        <v>4</v>
      </c>
      <c r="R111" s="857">
        <f>Q111</f>
        <v>4</v>
      </c>
      <c r="S111" s="857"/>
      <c r="T111" s="1864">
        <v>1</v>
      </c>
      <c r="U111" s="1864">
        <v>4</v>
      </c>
      <c r="V111" s="1865">
        <f>U111*T111</f>
        <v>4</v>
      </c>
      <c r="W111" s="1864">
        <v>1</v>
      </c>
      <c r="X111" s="1864">
        <v>4</v>
      </c>
      <c r="Y111" s="1865">
        <f>X111*W111</f>
        <v>4</v>
      </c>
      <c r="Z111" s="559">
        <f t="shared" si="5"/>
        <v>4</v>
      </c>
      <c r="AA111" s="559" t="str">
        <f t="shared" si="6"/>
        <v>-</v>
      </c>
      <c r="AB111" s="893" t="s">
        <v>1765</v>
      </c>
      <c r="AC111" s="491" t="s">
        <v>1665</v>
      </c>
      <c r="AF111" s="466"/>
      <c r="AG111" s="465"/>
      <c r="AH111" s="465"/>
    </row>
    <row r="112" spans="1:34" s="498" customFormat="1" hidden="1" x14ac:dyDescent="0.25">
      <c r="A112" s="962"/>
      <c r="B112" s="881" t="s">
        <v>1766</v>
      </c>
      <c r="C112" s="503"/>
      <c r="D112" s="962"/>
      <c r="E112" s="962" t="s">
        <v>318</v>
      </c>
      <c r="F112" s="494">
        <v>1</v>
      </c>
      <c r="G112" s="495">
        <v>2</v>
      </c>
      <c r="H112" s="559">
        <f>F112*G112</f>
        <v>2</v>
      </c>
      <c r="I112" s="496">
        <v>1</v>
      </c>
      <c r="J112" s="496">
        <v>2</v>
      </c>
      <c r="K112" s="857">
        <f t="shared" si="18"/>
        <v>2</v>
      </c>
      <c r="L112" s="496">
        <v>1</v>
      </c>
      <c r="M112" s="496">
        <v>2</v>
      </c>
      <c r="N112" s="857">
        <f t="shared" si="19"/>
        <v>2</v>
      </c>
      <c r="O112" s="496"/>
      <c r="P112" s="496"/>
      <c r="Q112" s="857"/>
      <c r="R112" s="857"/>
      <c r="S112" s="857">
        <f t="shared" si="21"/>
        <v>0</v>
      </c>
      <c r="T112" s="496"/>
      <c r="U112" s="496"/>
      <c r="V112" s="857">
        <f>T112*U112</f>
        <v>0</v>
      </c>
      <c r="W112" s="496"/>
      <c r="X112" s="496"/>
      <c r="Y112" s="857">
        <f>W112*X112</f>
        <v>0</v>
      </c>
      <c r="Z112" s="559">
        <f t="shared" si="5"/>
        <v>-2</v>
      </c>
      <c r="AA112" s="559">
        <f t="shared" si="6"/>
        <v>0</v>
      </c>
      <c r="AB112" s="893"/>
      <c r="AC112" s="491" t="s">
        <v>1665</v>
      </c>
      <c r="AF112" s="466"/>
      <c r="AG112" s="465"/>
      <c r="AH112" s="465"/>
    </row>
    <row r="113" spans="1:34" s="498" customFormat="1" hidden="1" x14ac:dyDescent="0.25">
      <c r="A113" s="962"/>
      <c r="B113" s="881" t="s">
        <v>1729</v>
      </c>
      <c r="C113" s="503"/>
      <c r="D113" s="962"/>
      <c r="E113" s="962"/>
      <c r="F113" s="494"/>
      <c r="G113" s="495"/>
      <c r="H113" s="559">
        <f>SUM(H105:H112)*0.271</f>
        <v>5.6</v>
      </c>
      <c r="I113" s="496"/>
      <c r="J113" s="496"/>
      <c r="K113" s="857">
        <f>SUM(K105:K112)*0.271</f>
        <v>5.5</v>
      </c>
      <c r="L113" s="496"/>
      <c r="M113" s="496"/>
      <c r="N113" s="857">
        <f>SUM(N105:N112)*0.271</f>
        <v>5.5</v>
      </c>
      <c r="O113" s="496"/>
      <c r="P113" s="496"/>
      <c r="Q113" s="857">
        <f>SUM(Q105:Q112)*0.271</f>
        <v>10.199999999999999</v>
      </c>
      <c r="R113" s="857">
        <f t="shared" ref="R113:S113" si="24">SUM(R105:R112)*0.271</f>
        <v>7.9</v>
      </c>
      <c r="S113" s="857">
        <f t="shared" si="24"/>
        <v>2.2000000000000002</v>
      </c>
      <c r="T113" s="496"/>
      <c r="U113" s="496"/>
      <c r="V113" s="857">
        <f>SUM(V105:V112)*0.271</f>
        <v>9.1999999999999993</v>
      </c>
      <c r="W113" s="496"/>
      <c r="X113" s="496"/>
      <c r="Y113" s="857">
        <f>SUM(Y105:Y112)*0.271</f>
        <v>9.1999999999999993</v>
      </c>
      <c r="Z113" s="559">
        <f t="shared" si="5"/>
        <v>4.7</v>
      </c>
      <c r="AA113" s="559">
        <f t="shared" si="6"/>
        <v>185.5</v>
      </c>
      <c r="AB113" s="551"/>
      <c r="AC113" s="491" t="s">
        <v>1665</v>
      </c>
      <c r="AF113" s="466"/>
      <c r="AG113" s="465"/>
      <c r="AH113" s="465"/>
    </row>
    <row r="114" spans="1:34" s="492" customFormat="1" ht="14.25" hidden="1" x14ac:dyDescent="0.2">
      <c r="A114" s="1240"/>
      <c r="B114" s="876" t="s">
        <v>1767</v>
      </c>
      <c r="C114" s="501" t="s">
        <v>796</v>
      </c>
      <c r="D114" s="1240"/>
      <c r="E114" s="1240" t="s">
        <v>227</v>
      </c>
      <c r="F114" s="530">
        <v>50</v>
      </c>
      <c r="G114" s="531">
        <v>0.05</v>
      </c>
      <c r="H114" s="542">
        <f>F114*G114</f>
        <v>2.5</v>
      </c>
      <c r="I114" s="532">
        <v>50</v>
      </c>
      <c r="J114" s="532">
        <v>0.1</v>
      </c>
      <c r="K114" s="533">
        <f>I114*J114</f>
        <v>5</v>
      </c>
      <c r="L114" s="532">
        <v>50</v>
      </c>
      <c r="M114" s="532">
        <v>0.1</v>
      </c>
      <c r="N114" s="533">
        <f>L114*M114</f>
        <v>5</v>
      </c>
      <c r="O114" s="532">
        <v>25</v>
      </c>
      <c r="P114" s="532">
        <v>0.1</v>
      </c>
      <c r="Q114" s="533">
        <f>O114*P114</f>
        <v>2.5</v>
      </c>
      <c r="R114" s="533">
        <f>Q114</f>
        <v>2.5</v>
      </c>
      <c r="S114" s="533"/>
      <c r="T114" s="532">
        <v>25</v>
      </c>
      <c r="U114" s="532">
        <v>0.1</v>
      </c>
      <c r="V114" s="533">
        <f>T114*U114</f>
        <v>2.5</v>
      </c>
      <c r="W114" s="532">
        <v>25</v>
      </c>
      <c r="X114" s="532">
        <v>0.1</v>
      </c>
      <c r="Y114" s="533">
        <f>W114*X114</f>
        <v>2.5</v>
      </c>
      <c r="Z114" s="542">
        <f t="shared" si="5"/>
        <v>-2.5</v>
      </c>
      <c r="AA114" s="542">
        <f t="shared" si="6"/>
        <v>50</v>
      </c>
      <c r="AB114" s="893"/>
      <c r="AC114" s="491" t="s">
        <v>1665</v>
      </c>
      <c r="AF114" s="466"/>
      <c r="AG114" s="466"/>
      <c r="AH114" s="466"/>
    </row>
    <row r="115" spans="1:34" s="492" customFormat="1" ht="14.25" hidden="1" x14ac:dyDescent="0.2">
      <c r="A115" s="1240"/>
      <c r="B115" s="876" t="s">
        <v>1768</v>
      </c>
      <c r="C115" s="501" t="s">
        <v>797</v>
      </c>
      <c r="D115" s="1240"/>
      <c r="E115" s="1240"/>
      <c r="F115" s="530"/>
      <c r="G115" s="531"/>
      <c r="H115" s="493">
        <f>H116+H117</f>
        <v>7.8</v>
      </c>
      <c r="I115" s="532"/>
      <c r="J115" s="532"/>
      <c r="K115" s="532">
        <f>K116+K117</f>
        <v>1</v>
      </c>
      <c r="L115" s="532"/>
      <c r="M115" s="532"/>
      <c r="N115" s="532">
        <f>N116+N117</f>
        <v>1</v>
      </c>
      <c r="O115" s="532"/>
      <c r="P115" s="532"/>
      <c r="Q115" s="532">
        <f>SUM(Q116:Q117)</f>
        <v>22</v>
      </c>
      <c r="R115" s="532">
        <f t="shared" ref="R115:S115" si="25">SUM(R116:R117)</f>
        <v>5.4</v>
      </c>
      <c r="S115" s="532">
        <f t="shared" si="25"/>
        <v>16.600000000000001</v>
      </c>
      <c r="T115" s="532"/>
      <c r="U115" s="532"/>
      <c r="V115" s="532">
        <f>SUM(V116:V117)</f>
        <v>22</v>
      </c>
      <c r="W115" s="532"/>
      <c r="X115" s="532"/>
      <c r="Y115" s="532">
        <f>SUM(Y116:Y117)</f>
        <v>22</v>
      </c>
      <c r="Z115" s="493">
        <f t="shared" si="5"/>
        <v>21</v>
      </c>
      <c r="AA115" s="493">
        <f t="shared" si="6"/>
        <v>2200</v>
      </c>
      <c r="AB115" s="893"/>
      <c r="AC115" s="491" t="s">
        <v>1665</v>
      </c>
      <c r="AF115" s="466"/>
      <c r="AG115" s="466"/>
      <c r="AH115" s="466"/>
    </row>
    <row r="116" spans="1:34" s="498" customFormat="1" ht="51.75" hidden="1" x14ac:dyDescent="0.25">
      <c r="A116" s="962"/>
      <c r="B116" s="502" t="s">
        <v>1769</v>
      </c>
      <c r="C116" s="503"/>
      <c r="D116" s="962"/>
      <c r="E116" s="962" t="s">
        <v>227</v>
      </c>
      <c r="F116" s="494">
        <v>20</v>
      </c>
      <c r="G116" s="495">
        <v>0.1</v>
      </c>
      <c r="H116" s="1245">
        <f>F116*G116</f>
        <v>2</v>
      </c>
      <c r="I116" s="496">
        <v>10</v>
      </c>
      <c r="J116" s="883">
        <v>0.1</v>
      </c>
      <c r="K116" s="496">
        <f>I116*J116</f>
        <v>1</v>
      </c>
      <c r="L116" s="496">
        <v>10</v>
      </c>
      <c r="M116" s="883">
        <v>0.1</v>
      </c>
      <c r="N116" s="496">
        <f>L116*M116</f>
        <v>1</v>
      </c>
      <c r="O116" s="496">
        <v>20</v>
      </c>
      <c r="P116" s="496">
        <v>0.1</v>
      </c>
      <c r="Q116" s="496">
        <f>O116*P116</f>
        <v>2</v>
      </c>
      <c r="R116" s="496"/>
      <c r="S116" s="496">
        <f>Q116</f>
        <v>2</v>
      </c>
      <c r="T116" s="496">
        <v>20</v>
      </c>
      <c r="U116" s="496">
        <v>0.1</v>
      </c>
      <c r="V116" s="496">
        <f>T116*U116</f>
        <v>2</v>
      </c>
      <c r="W116" s="496">
        <v>20</v>
      </c>
      <c r="X116" s="496">
        <v>0.1</v>
      </c>
      <c r="Y116" s="496">
        <f>W116*X116</f>
        <v>2</v>
      </c>
      <c r="Z116" s="1245">
        <f t="shared" si="5"/>
        <v>1</v>
      </c>
      <c r="AA116" s="1245">
        <f t="shared" si="6"/>
        <v>200</v>
      </c>
      <c r="AB116" s="893" t="s">
        <v>1770</v>
      </c>
      <c r="AC116" s="491" t="s">
        <v>1665</v>
      </c>
      <c r="AF116" s="466"/>
      <c r="AG116" s="465"/>
      <c r="AH116" s="465"/>
    </row>
    <row r="117" spans="1:34" s="498" customFormat="1" ht="26.25" hidden="1" x14ac:dyDescent="0.25">
      <c r="A117" s="962"/>
      <c r="B117" s="881" t="s">
        <v>1771</v>
      </c>
      <c r="C117" s="503"/>
      <c r="D117" s="962"/>
      <c r="E117" s="962" t="s">
        <v>227</v>
      </c>
      <c r="F117" s="494">
        <v>58</v>
      </c>
      <c r="G117" s="495">
        <v>0.1</v>
      </c>
      <c r="H117" s="559">
        <f>F117*G117</f>
        <v>5.8</v>
      </c>
      <c r="I117" s="496"/>
      <c r="J117" s="496"/>
      <c r="K117" s="496">
        <f>I117*J117</f>
        <v>0</v>
      </c>
      <c r="L117" s="496"/>
      <c r="M117" s="496"/>
      <c r="N117" s="496">
        <f>L117*M117</f>
        <v>0</v>
      </c>
      <c r="O117" s="496">
        <v>100</v>
      </c>
      <c r="P117" s="496">
        <v>0.2</v>
      </c>
      <c r="Q117" s="496">
        <f>O117*P117</f>
        <v>20</v>
      </c>
      <c r="R117" s="496">
        <v>5.4</v>
      </c>
      <c r="S117" s="496">
        <f>Q117-R117</f>
        <v>14.6</v>
      </c>
      <c r="T117" s="496">
        <v>100</v>
      </c>
      <c r="U117" s="496">
        <v>0.2</v>
      </c>
      <c r="V117" s="496">
        <f>T117*U117</f>
        <v>20</v>
      </c>
      <c r="W117" s="496">
        <v>100</v>
      </c>
      <c r="X117" s="496">
        <v>0.2</v>
      </c>
      <c r="Y117" s="496">
        <f>W117*X117</f>
        <v>20</v>
      </c>
      <c r="Z117" s="559">
        <f t="shared" si="5"/>
        <v>20</v>
      </c>
      <c r="AA117" s="559" t="str">
        <f t="shared" si="6"/>
        <v>-</v>
      </c>
      <c r="AB117" s="893" t="s">
        <v>1772</v>
      </c>
      <c r="AC117" s="491" t="s">
        <v>1665</v>
      </c>
      <c r="AF117" s="466"/>
      <c r="AG117" s="465"/>
      <c r="AH117" s="465"/>
    </row>
    <row r="118" spans="1:34" s="492" customFormat="1" ht="14.25" x14ac:dyDescent="0.2">
      <c r="A118" s="1240"/>
      <c r="B118" s="876" t="s">
        <v>1246</v>
      </c>
      <c r="C118" s="501" t="s">
        <v>1237</v>
      </c>
      <c r="D118" s="1240"/>
      <c r="E118" s="1240" t="s">
        <v>664</v>
      </c>
      <c r="F118" s="530">
        <v>3</v>
      </c>
      <c r="G118" s="531">
        <v>2.5</v>
      </c>
      <c r="H118" s="542">
        <f>F118*G118</f>
        <v>7.5</v>
      </c>
      <c r="I118" s="532">
        <v>3</v>
      </c>
      <c r="J118" s="532">
        <v>2.5</v>
      </c>
      <c r="K118" s="533">
        <f>I118*J118</f>
        <v>7.5</v>
      </c>
      <c r="L118" s="532">
        <v>3</v>
      </c>
      <c r="M118" s="532">
        <v>2.5</v>
      </c>
      <c r="N118" s="533">
        <f>L118*M118</f>
        <v>7.5</v>
      </c>
      <c r="O118" s="532">
        <v>3</v>
      </c>
      <c r="P118" s="532">
        <v>2.5</v>
      </c>
      <c r="Q118" s="533">
        <f>O118*P118</f>
        <v>7.5</v>
      </c>
      <c r="R118" s="533"/>
      <c r="S118" s="533">
        <f>Q118</f>
        <v>7.5</v>
      </c>
      <c r="T118" s="532">
        <v>3</v>
      </c>
      <c r="U118" s="532">
        <v>2.5</v>
      </c>
      <c r="V118" s="533">
        <v>7.5</v>
      </c>
      <c r="W118" s="532">
        <v>3</v>
      </c>
      <c r="X118" s="532">
        <v>2.5</v>
      </c>
      <c r="Y118" s="533">
        <v>7.5</v>
      </c>
      <c r="Z118" s="542">
        <f t="shared" si="5"/>
        <v>0</v>
      </c>
      <c r="AA118" s="542">
        <f t="shared" si="6"/>
        <v>100</v>
      </c>
      <c r="AB118" s="893"/>
      <c r="AC118" s="491" t="s">
        <v>1665</v>
      </c>
      <c r="AF118" s="466"/>
      <c r="AG118" s="466"/>
      <c r="AH118" s="466"/>
    </row>
    <row r="119" spans="1:34" s="492" customFormat="1" ht="14.25" hidden="1" x14ac:dyDescent="0.2">
      <c r="A119" s="1240"/>
      <c r="B119" s="876" t="s">
        <v>1773</v>
      </c>
      <c r="C119" s="501" t="s">
        <v>797</v>
      </c>
      <c r="D119" s="1240"/>
      <c r="E119" s="1240" t="s">
        <v>227</v>
      </c>
      <c r="F119" s="1829">
        <v>100</v>
      </c>
      <c r="G119" s="1830">
        <v>0.06</v>
      </c>
      <c r="H119" s="542">
        <f>F119*G119</f>
        <v>6</v>
      </c>
      <c r="I119" s="1831">
        <v>60</v>
      </c>
      <c r="J119" s="1831">
        <v>0.1</v>
      </c>
      <c r="K119" s="533">
        <f>I119*J119</f>
        <v>6</v>
      </c>
      <c r="L119" s="1831">
        <v>60</v>
      </c>
      <c r="M119" s="1831">
        <v>0.1</v>
      </c>
      <c r="N119" s="533">
        <f>L119*M119</f>
        <v>6</v>
      </c>
      <c r="O119" s="1831">
        <v>60</v>
      </c>
      <c r="P119" s="1831">
        <v>0.1</v>
      </c>
      <c r="Q119" s="533">
        <f>O119*P119</f>
        <v>6</v>
      </c>
      <c r="R119" s="533"/>
      <c r="S119" s="533">
        <f>Q119</f>
        <v>6</v>
      </c>
      <c r="T119" s="1831">
        <v>60</v>
      </c>
      <c r="U119" s="1831">
        <v>0.1</v>
      </c>
      <c r="V119" s="533">
        <f>T119*U119</f>
        <v>6</v>
      </c>
      <c r="W119" s="1831">
        <v>60</v>
      </c>
      <c r="X119" s="1831">
        <v>0.1</v>
      </c>
      <c r="Y119" s="533">
        <f>W119*X119</f>
        <v>6</v>
      </c>
      <c r="Z119" s="542">
        <f t="shared" si="5"/>
        <v>0</v>
      </c>
      <c r="AA119" s="542">
        <f t="shared" si="6"/>
        <v>100</v>
      </c>
      <c r="AB119" s="893"/>
      <c r="AC119" s="491" t="s">
        <v>1665</v>
      </c>
      <c r="AF119" s="466"/>
      <c r="AG119" s="466"/>
      <c r="AH119" s="466"/>
    </row>
    <row r="120" spans="1:34" s="492" customFormat="1" ht="14.25" hidden="1" x14ac:dyDescent="0.2">
      <c r="A120" s="1240"/>
      <c r="B120" s="876" t="s">
        <v>1368</v>
      </c>
      <c r="C120" s="501" t="s">
        <v>797</v>
      </c>
      <c r="D120" s="1240"/>
      <c r="E120" s="1240"/>
      <c r="F120" s="1829"/>
      <c r="G120" s="1830"/>
      <c r="H120" s="493">
        <f>SUM(H121:H124)</f>
        <v>10</v>
      </c>
      <c r="I120" s="1831"/>
      <c r="J120" s="1831"/>
      <c r="K120" s="532">
        <f>SUM(K121:K124)</f>
        <v>12.4</v>
      </c>
      <c r="L120" s="1831"/>
      <c r="M120" s="1831"/>
      <c r="N120" s="532">
        <f>SUM(N121:N124)</f>
        <v>12.4</v>
      </c>
      <c r="O120" s="1831"/>
      <c r="P120" s="1831"/>
      <c r="Q120" s="532">
        <f>SUM(Q121:Q124)</f>
        <v>21.4</v>
      </c>
      <c r="R120" s="532">
        <f t="shared" ref="R120:S120" si="26">SUM(R121:R124)</f>
        <v>11.4</v>
      </c>
      <c r="S120" s="532">
        <f t="shared" si="26"/>
        <v>10</v>
      </c>
      <c r="T120" s="1831"/>
      <c r="U120" s="1831"/>
      <c r="V120" s="532">
        <f>SUM(V121:V124)</f>
        <v>0</v>
      </c>
      <c r="W120" s="1831"/>
      <c r="X120" s="1831"/>
      <c r="Y120" s="532">
        <f>SUM(Y121:Y124)</f>
        <v>0</v>
      </c>
      <c r="Z120" s="493">
        <f t="shared" si="5"/>
        <v>9</v>
      </c>
      <c r="AA120" s="493">
        <f t="shared" si="6"/>
        <v>172.6</v>
      </c>
      <c r="AB120" s="893"/>
      <c r="AC120" s="491" t="s">
        <v>1665</v>
      </c>
      <c r="AF120" s="466"/>
      <c r="AG120" s="466"/>
      <c r="AH120" s="466"/>
    </row>
    <row r="121" spans="1:34" s="498" customFormat="1" hidden="1" x14ac:dyDescent="0.25">
      <c r="A121" s="962"/>
      <c r="B121" s="878" t="s">
        <v>1774</v>
      </c>
      <c r="C121" s="499"/>
      <c r="D121" s="962"/>
      <c r="E121" s="541" t="s">
        <v>227</v>
      </c>
      <c r="F121" s="494">
        <v>100</v>
      </c>
      <c r="G121" s="495">
        <v>0.02</v>
      </c>
      <c r="H121" s="1245">
        <f>F121*G121</f>
        <v>2</v>
      </c>
      <c r="I121" s="496">
        <v>10</v>
      </c>
      <c r="J121" s="496">
        <v>0.1</v>
      </c>
      <c r="K121" s="496">
        <f>I121*J121</f>
        <v>1</v>
      </c>
      <c r="L121" s="496">
        <v>10</v>
      </c>
      <c r="M121" s="496">
        <v>0.1</v>
      </c>
      <c r="N121" s="496">
        <f>L121*M121</f>
        <v>1</v>
      </c>
      <c r="O121" s="496"/>
      <c r="P121" s="496"/>
      <c r="Q121" s="496"/>
      <c r="R121" s="496"/>
      <c r="S121" s="496"/>
      <c r="T121" s="496"/>
      <c r="U121" s="496"/>
      <c r="V121" s="496">
        <f>T121*U121</f>
        <v>0</v>
      </c>
      <c r="W121" s="496"/>
      <c r="X121" s="496"/>
      <c r="Y121" s="496">
        <f>W121*X121</f>
        <v>0</v>
      </c>
      <c r="Z121" s="1245">
        <f t="shared" si="5"/>
        <v>-1</v>
      </c>
      <c r="AA121" s="1245">
        <f t="shared" si="6"/>
        <v>0</v>
      </c>
      <c r="AB121" s="893"/>
      <c r="AC121" s="491" t="s">
        <v>1665</v>
      </c>
      <c r="AF121" s="466"/>
      <c r="AG121" s="465"/>
      <c r="AH121" s="465"/>
    </row>
    <row r="122" spans="1:34" s="498" customFormat="1" ht="25.5" hidden="1" x14ac:dyDescent="0.25">
      <c r="A122" s="962"/>
      <c r="B122" s="878" t="s">
        <v>1775</v>
      </c>
      <c r="C122" s="499"/>
      <c r="D122" s="962"/>
      <c r="E122" s="541" t="s">
        <v>227</v>
      </c>
      <c r="F122" s="494"/>
      <c r="G122" s="495"/>
      <c r="H122" s="1245"/>
      <c r="I122" s="496">
        <v>3</v>
      </c>
      <c r="J122" s="496">
        <v>3.8</v>
      </c>
      <c r="K122" s="496">
        <f>I122*J122</f>
        <v>11.4</v>
      </c>
      <c r="L122" s="496">
        <v>3</v>
      </c>
      <c r="M122" s="496">
        <v>3.8</v>
      </c>
      <c r="N122" s="496">
        <f>L122*M122</f>
        <v>11.4</v>
      </c>
      <c r="O122" s="496">
        <v>3</v>
      </c>
      <c r="P122" s="496">
        <v>3.8</v>
      </c>
      <c r="Q122" s="496">
        <f>O122*P122</f>
        <v>11.4</v>
      </c>
      <c r="R122" s="496">
        <f>Q122</f>
        <v>11.4</v>
      </c>
      <c r="S122" s="496"/>
      <c r="T122" s="496"/>
      <c r="U122" s="496"/>
      <c r="V122" s="496"/>
      <c r="W122" s="496"/>
      <c r="X122" s="496"/>
      <c r="Y122" s="496"/>
      <c r="Z122" s="1245">
        <f t="shared" si="5"/>
        <v>0</v>
      </c>
      <c r="AA122" s="1245">
        <f t="shared" si="6"/>
        <v>100</v>
      </c>
      <c r="AB122" s="1031" t="s">
        <v>1776</v>
      </c>
      <c r="AC122" s="491" t="s">
        <v>1665</v>
      </c>
      <c r="AF122" s="466"/>
      <c r="AG122" s="465"/>
      <c r="AH122" s="465"/>
    </row>
    <row r="123" spans="1:34" s="498" customFormat="1" hidden="1" x14ac:dyDescent="0.25">
      <c r="A123" s="962"/>
      <c r="B123" s="878" t="s">
        <v>1777</v>
      </c>
      <c r="C123" s="499"/>
      <c r="D123" s="962"/>
      <c r="E123" s="541" t="s">
        <v>227</v>
      </c>
      <c r="F123" s="494"/>
      <c r="G123" s="495"/>
      <c r="H123" s="1245"/>
      <c r="I123" s="496"/>
      <c r="J123" s="496"/>
      <c r="K123" s="496"/>
      <c r="L123" s="496"/>
      <c r="M123" s="496"/>
      <c r="N123" s="496"/>
      <c r="O123" s="496">
        <v>10</v>
      </c>
      <c r="P123" s="496">
        <v>0.5</v>
      </c>
      <c r="Q123" s="496">
        <f>O123*P123</f>
        <v>5</v>
      </c>
      <c r="R123" s="496"/>
      <c r="S123" s="496">
        <f>Q123</f>
        <v>5</v>
      </c>
      <c r="T123" s="496"/>
      <c r="U123" s="496"/>
      <c r="V123" s="496"/>
      <c r="W123" s="496"/>
      <c r="X123" s="496"/>
      <c r="Y123" s="496"/>
      <c r="Z123" s="1245">
        <f t="shared" si="5"/>
        <v>5</v>
      </c>
      <c r="AA123" s="1245" t="str">
        <f t="shared" si="6"/>
        <v>-</v>
      </c>
      <c r="AB123" s="1031"/>
      <c r="AC123" s="491" t="s">
        <v>1665</v>
      </c>
      <c r="AF123" s="466"/>
      <c r="AG123" s="465"/>
      <c r="AH123" s="465"/>
    </row>
    <row r="124" spans="1:34" s="498" customFormat="1" hidden="1" x14ac:dyDescent="0.25">
      <c r="A124" s="962"/>
      <c r="B124" s="878" t="s">
        <v>1778</v>
      </c>
      <c r="C124" s="499"/>
      <c r="D124" s="962"/>
      <c r="E124" s="962" t="s">
        <v>227</v>
      </c>
      <c r="F124" s="494">
        <v>1</v>
      </c>
      <c r="G124" s="495">
        <v>8</v>
      </c>
      <c r="H124" s="1245">
        <v>8</v>
      </c>
      <c r="I124" s="496"/>
      <c r="J124" s="496"/>
      <c r="K124" s="496">
        <v>0</v>
      </c>
      <c r="L124" s="496"/>
      <c r="M124" s="496"/>
      <c r="N124" s="496">
        <v>0</v>
      </c>
      <c r="O124" s="496">
        <v>2</v>
      </c>
      <c r="P124" s="496">
        <v>2.5</v>
      </c>
      <c r="Q124" s="496">
        <f>O124*P124</f>
        <v>5</v>
      </c>
      <c r="R124" s="496"/>
      <c r="S124" s="496">
        <f>Q124-R124</f>
        <v>5</v>
      </c>
      <c r="T124" s="496"/>
      <c r="U124" s="496"/>
      <c r="V124" s="496">
        <f>T124*U124</f>
        <v>0</v>
      </c>
      <c r="W124" s="496"/>
      <c r="X124" s="496"/>
      <c r="Y124" s="496">
        <f>W124*X124</f>
        <v>0</v>
      </c>
      <c r="Z124" s="1245">
        <f t="shared" si="5"/>
        <v>5</v>
      </c>
      <c r="AA124" s="1245" t="str">
        <f t="shared" si="6"/>
        <v>-</v>
      </c>
      <c r="AB124" s="893"/>
      <c r="AC124" s="491" t="s">
        <v>1665</v>
      </c>
      <c r="AF124" s="466"/>
      <c r="AG124" s="465"/>
      <c r="AH124" s="465"/>
    </row>
    <row r="125" spans="1:34" s="498" customFormat="1" ht="51.75" hidden="1" x14ac:dyDescent="0.25">
      <c r="A125" s="962"/>
      <c r="B125" s="877" t="s">
        <v>1779</v>
      </c>
      <c r="C125" s="508" t="s">
        <v>797</v>
      </c>
      <c r="D125" s="962"/>
      <c r="E125" s="962"/>
      <c r="F125" s="494"/>
      <c r="G125" s="495"/>
      <c r="H125" s="1245"/>
      <c r="I125" s="496"/>
      <c r="J125" s="496"/>
      <c r="K125" s="496"/>
      <c r="L125" s="496"/>
      <c r="M125" s="496"/>
      <c r="N125" s="496"/>
      <c r="O125" s="496"/>
      <c r="P125" s="496"/>
      <c r="Q125" s="532">
        <v>6</v>
      </c>
      <c r="R125" s="532"/>
      <c r="S125" s="532">
        <f>Q125</f>
        <v>6</v>
      </c>
      <c r="T125" s="496"/>
      <c r="U125" s="496"/>
      <c r="V125" s="496"/>
      <c r="W125" s="496"/>
      <c r="X125" s="496"/>
      <c r="Y125" s="496"/>
      <c r="Z125" s="1245">
        <f t="shared" si="5"/>
        <v>6</v>
      </c>
      <c r="AA125" s="1245" t="str">
        <f t="shared" si="6"/>
        <v>-</v>
      </c>
      <c r="AB125" s="893" t="s">
        <v>1780</v>
      </c>
      <c r="AC125" s="491" t="s">
        <v>1665</v>
      </c>
      <c r="AF125" s="466"/>
      <c r="AG125" s="465"/>
      <c r="AH125" s="465"/>
    </row>
    <row r="126" spans="1:34" s="498" customFormat="1" ht="26.25" hidden="1" x14ac:dyDescent="0.25">
      <c r="A126" s="962"/>
      <c r="B126" s="877" t="s">
        <v>1370</v>
      </c>
      <c r="C126" s="508" t="s">
        <v>800</v>
      </c>
      <c r="D126" s="962"/>
      <c r="E126" s="962"/>
      <c r="F126" s="494"/>
      <c r="G126" s="495"/>
      <c r="H126" s="1245"/>
      <c r="I126" s="496"/>
      <c r="J126" s="496"/>
      <c r="K126" s="496"/>
      <c r="L126" s="496"/>
      <c r="M126" s="496"/>
      <c r="N126" s="496"/>
      <c r="O126" s="496"/>
      <c r="P126" s="496"/>
      <c r="Q126" s="532">
        <f>SUM(Q127:Q133)</f>
        <v>56.7</v>
      </c>
      <c r="R126" s="532"/>
      <c r="S126" s="532">
        <f>Q126</f>
        <v>56.7</v>
      </c>
      <c r="T126" s="496"/>
      <c r="U126" s="496"/>
      <c r="V126" s="532">
        <f>SUM(V130:V133)</f>
        <v>0</v>
      </c>
      <c r="W126" s="496"/>
      <c r="X126" s="496"/>
      <c r="Y126" s="532">
        <f>SUM(Y130:Y133)</f>
        <v>0</v>
      </c>
      <c r="Z126" s="1245">
        <f t="shared" si="5"/>
        <v>56.7</v>
      </c>
      <c r="AA126" s="1245" t="str">
        <f t="shared" si="6"/>
        <v>-</v>
      </c>
      <c r="AB126" s="893" t="s">
        <v>1781</v>
      </c>
      <c r="AC126" s="491" t="s">
        <v>1665</v>
      </c>
      <c r="AF126" s="466"/>
      <c r="AG126" s="465"/>
      <c r="AH126" s="465"/>
    </row>
    <row r="127" spans="1:34" s="498" customFormat="1" ht="51" hidden="1" x14ac:dyDescent="0.25">
      <c r="A127" s="962"/>
      <c r="B127" s="878" t="s">
        <v>1782</v>
      </c>
      <c r="C127" s="499"/>
      <c r="D127" s="962"/>
      <c r="E127" s="541" t="s">
        <v>227</v>
      </c>
      <c r="F127" s="494"/>
      <c r="G127" s="495"/>
      <c r="H127" s="1245"/>
      <c r="I127" s="496"/>
      <c r="J127" s="496"/>
      <c r="K127" s="496"/>
      <c r="L127" s="496"/>
      <c r="M127" s="496"/>
      <c r="N127" s="496"/>
      <c r="O127" s="496">
        <v>2</v>
      </c>
      <c r="P127" s="496">
        <v>3.2</v>
      </c>
      <c r="Q127" s="496">
        <f t="shared" ref="Q127:Q133" si="27">O127*P127</f>
        <v>6.4</v>
      </c>
      <c r="R127" s="496"/>
      <c r="S127" s="496">
        <f>Q127</f>
        <v>6.4</v>
      </c>
      <c r="T127" s="496"/>
      <c r="U127" s="496"/>
      <c r="V127" s="532"/>
      <c r="W127" s="496"/>
      <c r="X127" s="496"/>
      <c r="Y127" s="532"/>
      <c r="Z127" s="1245">
        <f t="shared" si="5"/>
        <v>6.4</v>
      </c>
      <c r="AA127" s="1245" t="str">
        <f t="shared" si="6"/>
        <v>-</v>
      </c>
      <c r="AB127" s="1031" t="s">
        <v>1783</v>
      </c>
      <c r="AC127" s="491" t="s">
        <v>1665</v>
      </c>
      <c r="AF127" s="466"/>
      <c r="AG127" s="465"/>
      <c r="AH127" s="465"/>
    </row>
    <row r="128" spans="1:34" s="498" customFormat="1" hidden="1" x14ac:dyDescent="0.25">
      <c r="A128" s="962"/>
      <c r="B128" s="878" t="s">
        <v>1784</v>
      </c>
      <c r="C128" s="499"/>
      <c r="D128" s="962"/>
      <c r="E128" s="541" t="s">
        <v>227</v>
      </c>
      <c r="F128" s="494"/>
      <c r="G128" s="495"/>
      <c r="H128" s="1245"/>
      <c r="I128" s="496"/>
      <c r="J128" s="496"/>
      <c r="K128" s="496"/>
      <c r="L128" s="496"/>
      <c r="M128" s="496"/>
      <c r="N128" s="496"/>
      <c r="O128" s="496">
        <v>2</v>
      </c>
      <c r="P128" s="496">
        <v>1.9</v>
      </c>
      <c r="Q128" s="496">
        <f t="shared" si="27"/>
        <v>3.8</v>
      </c>
      <c r="R128" s="496"/>
      <c r="S128" s="496">
        <f>Q128</f>
        <v>3.8</v>
      </c>
      <c r="T128" s="496"/>
      <c r="U128" s="496"/>
      <c r="V128" s="532"/>
      <c r="W128" s="496"/>
      <c r="X128" s="496"/>
      <c r="Y128" s="532"/>
      <c r="Z128" s="1245">
        <f t="shared" si="5"/>
        <v>3.8</v>
      </c>
      <c r="AA128" s="1245" t="str">
        <f t="shared" si="6"/>
        <v>-</v>
      </c>
      <c r="AB128" s="1031"/>
      <c r="AC128" s="491" t="s">
        <v>1665</v>
      </c>
      <c r="AF128" s="466"/>
      <c r="AG128" s="465"/>
      <c r="AH128" s="465"/>
    </row>
    <row r="129" spans="1:34" s="498" customFormat="1" ht="51.75" hidden="1" x14ac:dyDescent="0.25">
      <c r="A129" s="962"/>
      <c r="B129" s="878" t="s">
        <v>1785</v>
      </c>
      <c r="C129" s="499"/>
      <c r="D129" s="962"/>
      <c r="E129" s="541" t="s">
        <v>227</v>
      </c>
      <c r="F129" s="494"/>
      <c r="G129" s="495"/>
      <c r="H129" s="1245"/>
      <c r="I129" s="496"/>
      <c r="J129" s="496"/>
      <c r="K129" s="496"/>
      <c r="L129" s="496"/>
      <c r="M129" s="496"/>
      <c r="N129" s="496"/>
      <c r="O129" s="496">
        <v>2</v>
      </c>
      <c r="P129" s="496">
        <v>2</v>
      </c>
      <c r="Q129" s="496">
        <f t="shared" si="27"/>
        <v>4</v>
      </c>
      <c r="R129" s="496"/>
      <c r="S129" s="496">
        <f t="shared" ref="S129:S133" si="28">Q129</f>
        <v>4</v>
      </c>
      <c r="T129" s="496"/>
      <c r="U129" s="496"/>
      <c r="V129" s="532"/>
      <c r="W129" s="496"/>
      <c r="X129" s="496"/>
      <c r="Y129" s="532"/>
      <c r="Z129" s="1245">
        <f t="shared" si="5"/>
        <v>4</v>
      </c>
      <c r="AA129" s="1245" t="str">
        <f t="shared" si="6"/>
        <v>-</v>
      </c>
      <c r="AB129" s="893" t="s">
        <v>1786</v>
      </c>
      <c r="AC129" s="491" t="s">
        <v>1665</v>
      </c>
      <c r="AF129" s="466"/>
      <c r="AG129" s="465"/>
      <c r="AH129" s="465"/>
    </row>
    <row r="130" spans="1:34" s="498" customFormat="1" ht="51.75" hidden="1" x14ac:dyDescent="0.25">
      <c r="A130" s="962"/>
      <c r="B130" s="878" t="s">
        <v>1787</v>
      </c>
      <c r="C130" s="499"/>
      <c r="D130" s="962"/>
      <c r="E130" s="541" t="s">
        <v>227</v>
      </c>
      <c r="F130" s="494"/>
      <c r="G130" s="495"/>
      <c r="H130" s="1245"/>
      <c r="I130" s="496"/>
      <c r="J130" s="496"/>
      <c r="K130" s="496"/>
      <c r="L130" s="496"/>
      <c r="M130" s="496"/>
      <c r="N130" s="496"/>
      <c r="O130" s="496">
        <v>20</v>
      </c>
      <c r="P130" s="496">
        <v>1.3</v>
      </c>
      <c r="Q130" s="496">
        <f t="shared" si="27"/>
        <v>26</v>
      </c>
      <c r="R130" s="496"/>
      <c r="S130" s="496">
        <f t="shared" si="28"/>
        <v>26</v>
      </c>
      <c r="T130" s="496"/>
      <c r="U130" s="496"/>
      <c r="V130" s="496"/>
      <c r="W130" s="496"/>
      <c r="X130" s="496"/>
      <c r="Y130" s="496"/>
      <c r="Z130" s="1245">
        <f t="shared" si="5"/>
        <v>26</v>
      </c>
      <c r="AA130" s="1245" t="str">
        <f t="shared" si="6"/>
        <v>-</v>
      </c>
      <c r="AB130" s="893" t="s">
        <v>1788</v>
      </c>
      <c r="AC130" s="491" t="s">
        <v>1665</v>
      </c>
      <c r="AF130" s="466"/>
      <c r="AG130" s="465"/>
      <c r="AH130" s="465"/>
    </row>
    <row r="131" spans="1:34" s="498" customFormat="1" ht="38.25" hidden="1" x14ac:dyDescent="0.25">
      <c r="A131" s="962"/>
      <c r="B131" s="878" t="s">
        <v>1789</v>
      </c>
      <c r="C131" s="499"/>
      <c r="D131" s="962"/>
      <c r="E131" s="541" t="s">
        <v>227</v>
      </c>
      <c r="F131" s="494"/>
      <c r="G131" s="495"/>
      <c r="H131" s="1245"/>
      <c r="I131" s="496"/>
      <c r="J131" s="496"/>
      <c r="K131" s="496"/>
      <c r="L131" s="496"/>
      <c r="M131" s="496"/>
      <c r="N131" s="496"/>
      <c r="O131" s="496">
        <v>10</v>
      </c>
      <c r="P131" s="496">
        <v>0.5</v>
      </c>
      <c r="Q131" s="496">
        <f t="shared" si="27"/>
        <v>5</v>
      </c>
      <c r="R131" s="496"/>
      <c r="S131" s="496">
        <f t="shared" si="28"/>
        <v>5</v>
      </c>
      <c r="T131" s="496"/>
      <c r="U131" s="496"/>
      <c r="V131" s="496"/>
      <c r="W131" s="496"/>
      <c r="X131" s="496"/>
      <c r="Y131" s="496"/>
      <c r="Z131" s="1245">
        <f t="shared" si="5"/>
        <v>5</v>
      </c>
      <c r="AA131" s="1245" t="str">
        <f t="shared" si="6"/>
        <v>-</v>
      </c>
      <c r="AB131" s="843" t="s">
        <v>1790</v>
      </c>
      <c r="AC131" s="491" t="s">
        <v>1665</v>
      </c>
      <c r="AF131" s="466"/>
      <c r="AG131" s="465"/>
      <c r="AH131" s="465"/>
    </row>
    <row r="132" spans="1:34" s="498" customFormat="1" hidden="1" x14ac:dyDescent="0.25">
      <c r="A132" s="962"/>
      <c r="B132" s="878" t="s">
        <v>1791</v>
      </c>
      <c r="C132" s="499"/>
      <c r="D132" s="962"/>
      <c r="E132" s="541" t="s">
        <v>227</v>
      </c>
      <c r="F132" s="494"/>
      <c r="G132" s="495"/>
      <c r="H132" s="1245"/>
      <c r="I132" s="496"/>
      <c r="J132" s="496"/>
      <c r="K132" s="496"/>
      <c r="L132" s="496"/>
      <c r="M132" s="496"/>
      <c r="N132" s="496"/>
      <c r="O132" s="496">
        <v>1</v>
      </c>
      <c r="P132" s="496">
        <v>1.5</v>
      </c>
      <c r="Q132" s="496">
        <f t="shared" si="27"/>
        <v>1.5</v>
      </c>
      <c r="R132" s="496"/>
      <c r="S132" s="496">
        <f t="shared" si="28"/>
        <v>1.5</v>
      </c>
      <c r="T132" s="496"/>
      <c r="U132" s="496"/>
      <c r="V132" s="496"/>
      <c r="W132" s="496"/>
      <c r="X132" s="496"/>
      <c r="Y132" s="496"/>
      <c r="Z132" s="1245">
        <f t="shared" si="5"/>
        <v>1.5</v>
      </c>
      <c r="AA132" s="1245" t="str">
        <f t="shared" si="6"/>
        <v>-</v>
      </c>
      <c r="AB132" s="843"/>
      <c r="AC132" s="491" t="s">
        <v>1665</v>
      </c>
      <c r="AF132" s="466"/>
      <c r="AG132" s="465"/>
      <c r="AH132" s="465"/>
    </row>
    <row r="133" spans="1:34" s="498" customFormat="1" hidden="1" x14ac:dyDescent="0.25">
      <c r="A133" s="962"/>
      <c r="B133" s="878" t="s">
        <v>1792</v>
      </c>
      <c r="C133" s="499"/>
      <c r="D133" s="962"/>
      <c r="E133" s="541" t="s">
        <v>227</v>
      </c>
      <c r="F133" s="494"/>
      <c r="G133" s="495"/>
      <c r="H133" s="1245"/>
      <c r="I133" s="496"/>
      <c r="J133" s="496"/>
      <c r="K133" s="496"/>
      <c r="L133" s="496"/>
      <c r="M133" s="496"/>
      <c r="N133" s="496"/>
      <c r="O133" s="496">
        <v>10</v>
      </c>
      <c r="P133" s="496">
        <v>1</v>
      </c>
      <c r="Q133" s="496">
        <f t="shared" si="27"/>
        <v>10</v>
      </c>
      <c r="R133" s="496"/>
      <c r="S133" s="496">
        <f t="shared" si="28"/>
        <v>10</v>
      </c>
      <c r="T133" s="496"/>
      <c r="U133" s="496"/>
      <c r="V133" s="496"/>
      <c r="W133" s="496"/>
      <c r="X133" s="496"/>
      <c r="Y133" s="496"/>
      <c r="Z133" s="1245">
        <f t="shared" si="5"/>
        <v>10</v>
      </c>
      <c r="AA133" s="1245" t="str">
        <f t="shared" si="6"/>
        <v>-</v>
      </c>
      <c r="AB133" s="843"/>
      <c r="AC133" s="491" t="s">
        <v>1665</v>
      </c>
      <c r="AF133" s="466"/>
      <c r="AG133" s="465"/>
      <c r="AH133" s="465"/>
    </row>
    <row r="134" spans="1:34" s="889" customFormat="1" ht="107.25" hidden="1" customHeight="1" x14ac:dyDescent="0.25">
      <c r="A134" s="885"/>
      <c r="B134" s="1866" t="s">
        <v>1793</v>
      </c>
      <c r="C134" s="894"/>
      <c r="D134" s="885"/>
      <c r="E134" s="1867"/>
      <c r="F134" s="1868"/>
      <c r="G134" s="1868"/>
      <c r="H134" s="887"/>
      <c r="I134" s="1868"/>
      <c r="J134" s="1868"/>
      <c r="K134" s="887"/>
      <c r="L134" s="1868"/>
      <c r="M134" s="1868"/>
      <c r="N134" s="887"/>
      <c r="O134" s="1868"/>
      <c r="P134" s="1868"/>
      <c r="Q134" s="884">
        <f>Q135+Q141+Q142+Q144</f>
        <v>75.099999999999994</v>
      </c>
      <c r="R134" s="884">
        <f t="shared" ref="R134" si="29">R135+R141+R142+R144</f>
        <v>0</v>
      </c>
      <c r="S134" s="884">
        <f>S135+S141+S142+S144</f>
        <v>75.099999999999994</v>
      </c>
      <c r="T134" s="1868"/>
      <c r="U134" s="1868"/>
      <c r="V134" s="887"/>
      <c r="W134" s="1868"/>
      <c r="X134" s="1868"/>
      <c r="Y134" s="887"/>
      <c r="Z134" s="895">
        <f t="shared" si="5"/>
        <v>75.099999999999994</v>
      </c>
      <c r="AA134" s="895" t="str">
        <f t="shared" si="6"/>
        <v>-</v>
      </c>
      <c r="AB134" s="1869" t="s">
        <v>1794</v>
      </c>
      <c r="AC134" s="491" t="s">
        <v>1665</v>
      </c>
      <c r="AF134" s="872"/>
      <c r="AG134" s="890"/>
      <c r="AH134" s="890"/>
    </row>
    <row r="135" spans="1:34" s="498" customFormat="1" hidden="1" x14ac:dyDescent="0.25">
      <c r="A135" s="962"/>
      <c r="B135" s="1861" t="s">
        <v>1233</v>
      </c>
      <c r="C135" s="508" t="s">
        <v>1230</v>
      </c>
      <c r="D135" s="962"/>
      <c r="E135" s="535"/>
      <c r="F135" s="682"/>
      <c r="G135" s="682"/>
      <c r="H135" s="496"/>
      <c r="I135" s="682"/>
      <c r="J135" s="682"/>
      <c r="K135" s="496"/>
      <c r="L135" s="682"/>
      <c r="M135" s="682"/>
      <c r="N135" s="496"/>
      <c r="O135" s="682"/>
      <c r="P135" s="682"/>
      <c r="Q135" s="532">
        <f>SUM(Q136:Q140)</f>
        <v>38.1</v>
      </c>
      <c r="R135" s="532"/>
      <c r="S135" s="532">
        <f>Q135</f>
        <v>38.1</v>
      </c>
      <c r="T135" s="682"/>
      <c r="U135" s="682"/>
      <c r="V135" s="496"/>
      <c r="W135" s="682"/>
      <c r="X135" s="682"/>
      <c r="Y135" s="496"/>
      <c r="Z135" s="1245">
        <f t="shared" si="5"/>
        <v>38.1</v>
      </c>
      <c r="AA135" s="1245" t="str">
        <f t="shared" si="6"/>
        <v>-</v>
      </c>
      <c r="AB135" s="1870"/>
      <c r="AC135" s="491" t="s">
        <v>1665</v>
      </c>
      <c r="AF135" s="466"/>
      <c r="AG135" s="465"/>
      <c r="AH135" s="465"/>
    </row>
    <row r="136" spans="1:34" s="1876" customFormat="1" hidden="1" x14ac:dyDescent="0.25">
      <c r="A136" s="541"/>
      <c r="B136" s="1871" t="s">
        <v>1737</v>
      </c>
      <c r="C136" s="1872"/>
      <c r="D136" s="541"/>
      <c r="E136" s="1040" t="s">
        <v>318</v>
      </c>
      <c r="F136" s="1873"/>
      <c r="G136" s="1873"/>
      <c r="H136" s="908"/>
      <c r="I136" s="1873"/>
      <c r="J136" s="1873"/>
      <c r="K136" s="908"/>
      <c r="L136" s="1873"/>
      <c r="M136" s="1873"/>
      <c r="N136" s="908"/>
      <c r="O136" s="1873">
        <v>1</v>
      </c>
      <c r="P136" s="1873">
        <v>10</v>
      </c>
      <c r="Q136" s="908">
        <f>O136*P136</f>
        <v>10</v>
      </c>
      <c r="R136" s="908"/>
      <c r="S136" s="908">
        <f t="shared" ref="S136:S145" si="30">Q136</f>
        <v>10</v>
      </c>
      <c r="T136" s="1873"/>
      <c r="U136" s="1873"/>
      <c r="V136" s="908"/>
      <c r="W136" s="1873"/>
      <c r="X136" s="1873"/>
      <c r="Y136" s="908"/>
      <c r="Z136" s="1874">
        <f t="shared" si="5"/>
        <v>10</v>
      </c>
      <c r="AA136" s="1874" t="str">
        <f t="shared" si="6"/>
        <v>-</v>
      </c>
      <c r="AB136" s="3527" t="s">
        <v>1795</v>
      </c>
      <c r="AC136" s="1875" t="s">
        <v>1665</v>
      </c>
      <c r="AF136" s="1877"/>
      <c r="AG136" s="379"/>
      <c r="AH136" s="379"/>
    </row>
    <row r="137" spans="1:34" s="1876" customFormat="1" hidden="1" x14ac:dyDescent="0.25">
      <c r="A137" s="541"/>
      <c r="B137" s="1871" t="s">
        <v>1754</v>
      </c>
      <c r="C137" s="1872"/>
      <c r="D137" s="541"/>
      <c r="E137" s="1040" t="s">
        <v>318</v>
      </c>
      <c r="F137" s="1873"/>
      <c r="G137" s="1873"/>
      <c r="H137" s="908"/>
      <c r="I137" s="1873"/>
      <c r="J137" s="1873"/>
      <c r="K137" s="908"/>
      <c r="L137" s="1873"/>
      <c r="M137" s="1873"/>
      <c r="N137" s="908"/>
      <c r="O137" s="1873">
        <v>2</v>
      </c>
      <c r="P137" s="1873">
        <v>5</v>
      </c>
      <c r="Q137" s="908">
        <f>O137*P137</f>
        <v>10</v>
      </c>
      <c r="R137" s="908"/>
      <c r="S137" s="908">
        <f t="shared" si="30"/>
        <v>10</v>
      </c>
      <c r="T137" s="1873"/>
      <c r="U137" s="1873"/>
      <c r="V137" s="908"/>
      <c r="W137" s="1873"/>
      <c r="X137" s="1873"/>
      <c r="Y137" s="908"/>
      <c r="Z137" s="1874">
        <f t="shared" ref="Z137:Z173" si="31">Q137-K137</f>
        <v>10</v>
      </c>
      <c r="AA137" s="1874" t="str">
        <f t="shared" ref="AA137:AA173" si="32">IFERROR(Q137/K137*100,"-")</f>
        <v>-</v>
      </c>
      <c r="AB137" s="3528"/>
      <c r="AC137" s="1875" t="s">
        <v>1665</v>
      </c>
      <c r="AF137" s="1877"/>
      <c r="AG137" s="1878">
        <f>Q134-[17]ПГ!$Q$187</f>
        <v>2.5</v>
      </c>
      <c r="AH137" s="379"/>
    </row>
    <row r="138" spans="1:34" s="1876" customFormat="1" hidden="1" x14ac:dyDescent="0.25">
      <c r="A138" s="541"/>
      <c r="B138" s="1879" t="s">
        <v>1796</v>
      </c>
      <c r="C138" s="1872"/>
      <c r="D138" s="541"/>
      <c r="E138" s="1040" t="s">
        <v>318</v>
      </c>
      <c r="F138" s="1873"/>
      <c r="G138" s="1873"/>
      <c r="H138" s="908"/>
      <c r="I138" s="1873"/>
      <c r="J138" s="1873"/>
      <c r="K138" s="908"/>
      <c r="L138" s="1873"/>
      <c r="M138" s="1873"/>
      <c r="N138" s="908"/>
      <c r="O138" s="1873">
        <v>1</v>
      </c>
      <c r="P138" s="1873">
        <v>10</v>
      </c>
      <c r="Q138" s="908">
        <f>O138*P138</f>
        <v>10</v>
      </c>
      <c r="R138" s="908"/>
      <c r="S138" s="908">
        <f t="shared" si="30"/>
        <v>10</v>
      </c>
      <c r="T138" s="1873"/>
      <c r="U138" s="1873"/>
      <c r="V138" s="908"/>
      <c r="W138" s="1873"/>
      <c r="X138" s="1873"/>
      <c r="Y138" s="908"/>
      <c r="Z138" s="1874">
        <f t="shared" si="31"/>
        <v>10</v>
      </c>
      <c r="AA138" s="1874" t="str">
        <f t="shared" si="32"/>
        <v>-</v>
      </c>
      <c r="AB138" s="3529"/>
      <c r="AC138" s="1875" t="s">
        <v>1665</v>
      </c>
      <c r="AF138" s="1877"/>
      <c r="AG138" s="379"/>
      <c r="AH138" s="379"/>
    </row>
    <row r="139" spans="1:34" s="1876" customFormat="1" hidden="1" x14ac:dyDescent="0.25">
      <c r="A139" s="541"/>
      <c r="B139" s="1879" t="s">
        <v>1797</v>
      </c>
      <c r="C139" s="1872"/>
      <c r="D139" s="541"/>
      <c r="E139" s="1040" t="s">
        <v>318</v>
      </c>
      <c r="F139" s="1873"/>
      <c r="G139" s="1873"/>
      <c r="H139" s="908"/>
      <c r="I139" s="1873"/>
      <c r="J139" s="1873"/>
      <c r="K139" s="908"/>
      <c r="L139" s="1873"/>
      <c r="M139" s="1873"/>
      <c r="N139" s="908"/>
      <c r="O139" s="1873"/>
      <c r="P139" s="1873"/>
      <c r="Q139" s="908">
        <f>O139*P139</f>
        <v>0</v>
      </c>
      <c r="R139" s="908"/>
      <c r="S139" s="908">
        <f t="shared" si="30"/>
        <v>0</v>
      </c>
      <c r="T139" s="1873"/>
      <c r="U139" s="1873"/>
      <c r="V139" s="908"/>
      <c r="W139" s="1873"/>
      <c r="X139" s="1873"/>
      <c r="Y139" s="908"/>
      <c r="Z139" s="1874">
        <f t="shared" si="31"/>
        <v>0</v>
      </c>
      <c r="AA139" s="1874" t="str">
        <f t="shared" si="32"/>
        <v>-</v>
      </c>
      <c r="AB139" s="1870"/>
      <c r="AC139" s="1875" t="s">
        <v>1665</v>
      </c>
      <c r="AF139" s="1877"/>
      <c r="AG139" s="379"/>
      <c r="AH139" s="379"/>
    </row>
    <row r="140" spans="1:34" s="1876" customFormat="1" hidden="1" x14ac:dyDescent="0.25">
      <c r="A140" s="541"/>
      <c r="B140" s="1880" t="s">
        <v>1729</v>
      </c>
      <c r="C140" s="1872"/>
      <c r="D140" s="541"/>
      <c r="E140" s="1040"/>
      <c r="F140" s="1873"/>
      <c r="G140" s="1873"/>
      <c r="H140" s="908"/>
      <c r="I140" s="1873"/>
      <c r="J140" s="1873"/>
      <c r="K140" s="908"/>
      <c r="L140" s="1873"/>
      <c r="M140" s="1873"/>
      <c r="N140" s="908"/>
      <c r="O140" s="1873"/>
      <c r="P140" s="1873"/>
      <c r="Q140" s="908">
        <f>SUM(Q136:Q139)*0.271</f>
        <v>8.1</v>
      </c>
      <c r="R140" s="908"/>
      <c r="S140" s="908">
        <f t="shared" si="30"/>
        <v>8.1</v>
      </c>
      <c r="T140" s="1873"/>
      <c r="U140" s="1873"/>
      <c r="V140" s="908"/>
      <c r="W140" s="1873"/>
      <c r="X140" s="1873"/>
      <c r="Y140" s="908"/>
      <c r="Z140" s="1874">
        <f t="shared" si="31"/>
        <v>8.1</v>
      </c>
      <c r="AA140" s="1874" t="str">
        <f t="shared" si="32"/>
        <v>-</v>
      </c>
      <c r="AB140" s="1870"/>
      <c r="AC140" s="1875" t="s">
        <v>1665</v>
      </c>
      <c r="AF140" s="1877"/>
      <c r="AG140" s="379"/>
      <c r="AH140" s="379"/>
    </row>
    <row r="141" spans="1:34" s="1876" customFormat="1" hidden="1" x14ac:dyDescent="0.25">
      <c r="A141" s="541"/>
      <c r="B141" s="876" t="s">
        <v>1798</v>
      </c>
      <c r="C141" s="508" t="s">
        <v>797</v>
      </c>
      <c r="D141" s="962"/>
      <c r="E141" s="535" t="s">
        <v>227</v>
      </c>
      <c r="F141" s="682"/>
      <c r="G141" s="682"/>
      <c r="H141" s="496"/>
      <c r="I141" s="682"/>
      <c r="J141" s="682"/>
      <c r="K141" s="496"/>
      <c r="L141" s="682"/>
      <c r="M141" s="682"/>
      <c r="N141" s="496"/>
      <c r="O141" s="1825">
        <v>50</v>
      </c>
      <c r="P141" s="1825">
        <v>0.1</v>
      </c>
      <c r="Q141" s="532">
        <f>O141*P141</f>
        <v>5</v>
      </c>
      <c r="R141" s="532"/>
      <c r="S141" s="532">
        <f t="shared" si="30"/>
        <v>5</v>
      </c>
      <c r="T141" s="682"/>
      <c r="U141" s="1873"/>
      <c r="V141" s="908"/>
      <c r="W141" s="1873"/>
      <c r="X141" s="1873"/>
      <c r="Y141" s="908"/>
      <c r="Z141" s="1874">
        <f t="shared" si="31"/>
        <v>5</v>
      </c>
      <c r="AA141" s="1874" t="str">
        <f t="shared" si="32"/>
        <v>-</v>
      </c>
      <c r="AB141" s="1881" t="s">
        <v>1799</v>
      </c>
      <c r="AC141" s="1875" t="s">
        <v>1665</v>
      </c>
      <c r="AF141" s="1877"/>
      <c r="AG141" s="379"/>
      <c r="AH141" s="379"/>
    </row>
    <row r="142" spans="1:34" s="1876" customFormat="1" ht="28.5" hidden="1" customHeight="1" x14ac:dyDescent="0.25">
      <c r="A142" s="541"/>
      <c r="B142" s="876" t="s">
        <v>1226</v>
      </c>
      <c r="C142" s="1882" t="s">
        <v>796</v>
      </c>
      <c r="D142" s="962"/>
      <c r="E142" s="535"/>
      <c r="F142" s="682"/>
      <c r="G142" s="682"/>
      <c r="H142" s="496"/>
      <c r="I142" s="682"/>
      <c r="J142" s="682"/>
      <c r="K142" s="496"/>
      <c r="L142" s="682"/>
      <c r="M142" s="682"/>
      <c r="N142" s="496"/>
      <c r="O142" s="682"/>
      <c r="P142" s="682"/>
      <c r="Q142" s="532">
        <f>SUM(Q143:Q143)</f>
        <v>30</v>
      </c>
      <c r="R142" s="532"/>
      <c r="S142" s="532">
        <f t="shared" si="30"/>
        <v>30</v>
      </c>
      <c r="T142" s="682"/>
      <c r="U142" s="1873"/>
      <c r="V142" s="908"/>
      <c r="W142" s="1873"/>
      <c r="X142" s="1873"/>
      <c r="Y142" s="908"/>
      <c r="Z142" s="1874">
        <f t="shared" si="31"/>
        <v>30</v>
      </c>
      <c r="AA142" s="1874" t="str">
        <f t="shared" si="32"/>
        <v>-</v>
      </c>
      <c r="AB142" s="3527" t="s">
        <v>1800</v>
      </c>
      <c r="AC142" s="1875" t="s">
        <v>1665</v>
      </c>
      <c r="AF142" s="1877"/>
      <c r="AG142" s="379"/>
      <c r="AH142" s="379"/>
    </row>
    <row r="143" spans="1:34" s="1876" customFormat="1" hidden="1" x14ac:dyDescent="0.25">
      <c r="A143" s="541"/>
      <c r="B143" s="1880" t="s">
        <v>1801</v>
      </c>
      <c r="C143" s="1872"/>
      <c r="D143" s="541"/>
      <c r="E143" s="1040" t="s">
        <v>227</v>
      </c>
      <c r="F143" s="1873"/>
      <c r="G143" s="1873"/>
      <c r="H143" s="908"/>
      <c r="I143" s="1873"/>
      <c r="J143" s="1873"/>
      <c r="K143" s="908"/>
      <c r="L143" s="1873"/>
      <c r="M143" s="1873"/>
      <c r="N143" s="908"/>
      <c r="O143" s="1873">
        <v>3</v>
      </c>
      <c r="P143" s="1873">
        <v>10</v>
      </c>
      <c r="Q143" s="908">
        <v>30</v>
      </c>
      <c r="R143" s="908"/>
      <c r="S143" s="908">
        <f t="shared" si="30"/>
        <v>30</v>
      </c>
      <c r="T143" s="1873"/>
      <c r="U143" s="1873"/>
      <c r="V143" s="908"/>
      <c r="W143" s="1873"/>
      <c r="X143" s="1873"/>
      <c r="Y143" s="908"/>
      <c r="Z143" s="1874">
        <f t="shared" si="31"/>
        <v>30</v>
      </c>
      <c r="AA143" s="1874" t="str">
        <f t="shared" si="32"/>
        <v>-</v>
      </c>
      <c r="AB143" s="3529"/>
      <c r="AC143" s="1875" t="s">
        <v>1665</v>
      </c>
      <c r="AF143" s="1877"/>
      <c r="AG143" s="379"/>
      <c r="AH143" s="379"/>
    </row>
    <row r="144" spans="1:34" s="498" customFormat="1" hidden="1" x14ac:dyDescent="0.25">
      <c r="A144" s="962"/>
      <c r="B144" s="876" t="s">
        <v>1741</v>
      </c>
      <c r="C144" s="508" t="s">
        <v>797</v>
      </c>
      <c r="D144" s="962"/>
      <c r="E144" s="535"/>
      <c r="F144" s="682"/>
      <c r="G144" s="682"/>
      <c r="H144" s="496"/>
      <c r="I144" s="682"/>
      <c r="J144" s="682"/>
      <c r="K144" s="496"/>
      <c r="L144" s="682"/>
      <c r="M144" s="682"/>
      <c r="N144" s="496"/>
      <c r="O144" s="682"/>
      <c r="P144" s="682"/>
      <c r="Q144" s="532">
        <f>Q145</f>
        <v>2</v>
      </c>
      <c r="R144" s="532"/>
      <c r="S144" s="532">
        <f t="shared" si="30"/>
        <v>2</v>
      </c>
      <c r="T144" s="682"/>
      <c r="U144" s="682"/>
      <c r="V144" s="496"/>
      <c r="W144" s="682"/>
      <c r="X144" s="682"/>
      <c r="Y144" s="496"/>
      <c r="Z144" s="1245">
        <f t="shared" si="31"/>
        <v>2</v>
      </c>
      <c r="AA144" s="1245" t="str">
        <f t="shared" si="32"/>
        <v>-</v>
      </c>
      <c r="AB144" s="1870"/>
      <c r="AC144" s="491" t="s">
        <v>1665</v>
      </c>
      <c r="AF144" s="466"/>
      <c r="AG144" s="465"/>
      <c r="AH144" s="465"/>
    </row>
    <row r="145" spans="1:34" s="498" customFormat="1" hidden="1" x14ac:dyDescent="0.25">
      <c r="A145" s="962"/>
      <c r="B145" s="502" t="s">
        <v>1769</v>
      </c>
      <c r="C145" s="499"/>
      <c r="D145" s="962"/>
      <c r="E145" s="535" t="s">
        <v>227</v>
      </c>
      <c r="F145" s="682"/>
      <c r="G145" s="682"/>
      <c r="H145" s="496"/>
      <c r="I145" s="682"/>
      <c r="J145" s="682"/>
      <c r="K145" s="496"/>
      <c r="L145" s="682"/>
      <c r="M145" s="682"/>
      <c r="N145" s="496"/>
      <c r="O145" s="682">
        <v>20</v>
      </c>
      <c r="P145" s="682">
        <v>0.1</v>
      </c>
      <c r="Q145" s="496">
        <f>O145*P145</f>
        <v>2</v>
      </c>
      <c r="R145" s="496"/>
      <c r="S145" s="496">
        <f t="shared" si="30"/>
        <v>2</v>
      </c>
      <c r="T145" s="682"/>
      <c r="U145" s="682"/>
      <c r="V145" s="496"/>
      <c r="W145" s="682"/>
      <c r="X145" s="682"/>
      <c r="Y145" s="496"/>
      <c r="Z145" s="1245">
        <f t="shared" si="31"/>
        <v>2</v>
      </c>
      <c r="AA145" s="1245" t="str">
        <f t="shared" si="32"/>
        <v>-</v>
      </c>
      <c r="AB145" s="1870"/>
      <c r="AC145" s="491" t="s">
        <v>1665</v>
      </c>
      <c r="AF145" s="466"/>
      <c r="AG145" s="465"/>
      <c r="AH145" s="465"/>
    </row>
    <row r="146" spans="1:34" s="517" customFormat="1" ht="14.25" hidden="1" x14ac:dyDescent="0.2">
      <c r="A146" s="487"/>
      <c r="B146" s="543" t="s">
        <v>1802</v>
      </c>
      <c r="C146" s="511"/>
      <c r="D146" s="487"/>
      <c r="E146" s="490"/>
      <c r="F146" s="832"/>
      <c r="G146" s="833"/>
      <c r="H146" s="513" t="e">
        <f>#REF!+#REF!+H147</f>
        <v>#REF!</v>
      </c>
      <c r="I146" s="513"/>
      <c r="J146" s="513"/>
      <c r="K146" s="513">
        <f>K147</f>
        <v>27</v>
      </c>
      <c r="L146" s="513"/>
      <c r="M146" s="513"/>
      <c r="N146" s="513">
        <f>N147</f>
        <v>27</v>
      </c>
      <c r="O146" s="513"/>
      <c r="P146" s="513"/>
      <c r="Q146" s="513">
        <f>Q147</f>
        <v>62</v>
      </c>
      <c r="R146" s="513">
        <f>R147</f>
        <v>62</v>
      </c>
      <c r="S146" s="513">
        <f>S147</f>
        <v>0</v>
      </c>
      <c r="T146" s="513"/>
      <c r="U146" s="513"/>
      <c r="V146" s="513">
        <f>V147</f>
        <v>50.9</v>
      </c>
      <c r="W146" s="513"/>
      <c r="X146" s="513"/>
      <c r="Y146" s="513">
        <f>Y147</f>
        <v>50.9</v>
      </c>
      <c r="Z146" s="513">
        <f t="shared" si="31"/>
        <v>35</v>
      </c>
      <c r="AA146" s="513">
        <f t="shared" si="32"/>
        <v>229.6</v>
      </c>
      <c r="AB146" s="897"/>
      <c r="AC146" s="515"/>
      <c r="AF146" s="518"/>
      <c r="AG146" s="519"/>
      <c r="AH146" s="519"/>
    </row>
    <row r="147" spans="1:34" s="527" customFormat="1" ht="38.25" hidden="1" x14ac:dyDescent="0.2">
      <c r="A147" s="522"/>
      <c r="B147" s="520" t="s">
        <v>1664</v>
      </c>
      <c r="C147" s="521"/>
      <c r="D147" s="522" t="s">
        <v>1444</v>
      </c>
      <c r="E147" s="522"/>
      <c r="F147" s="851"/>
      <c r="G147" s="852"/>
      <c r="H147" s="526">
        <f>H154+H156</f>
        <v>29</v>
      </c>
      <c r="I147" s="853"/>
      <c r="J147" s="853"/>
      <c r="K147" s="526">
        <f>K154+K155+K156</f>
        <v>27</v>
      </c>
      <c r="L147" s="853"/>
      <c r="M147" s="853"/>
      <c r="N147" s="526">
        <f>N154+N155+N156</f>
        <v>27</v>
      </c>
      <c r="O147" s="853"/>
      <c r="P147" s="853"/>
      <c r="Q147" s="526">
        <f>Q148+Q154+Q155+Q156</f>
        <v>62</v>
      </c>
      <c r="R147" s="526">
        <f t="shared" ref="R147:R210" si="33">Q147</f>
        <v>62</v>
      </c>
      <c r="S147" s="526"/>
      <c r="T147" s="853"/>
      <c r="U147" s="853"/>
      <c r="V147" s="526">
        <f>V148+V154+V155+V156</f>
        <v>50.9</v>
      </c>
      <c r="W147" s="853"/>
      <c r="X147" s="853"/>
      <c r="Y147" s="526">
        <f>Y148+Y154+Y155+Y156</f>
        <v>50.9</v>
      </c>
      <c r="Z147" s="526">
        <f t="shared" si="31"/>
        <v>35</v>
      </c>
      <c r="AA147" s="526">
        <f t="shared" si="32"/>
        <v>229.6</v>
      </c>
      <c r="AB147" s="1883"/>
      <c r="AC147" s="549" t="s">
        <v>1665</v>
      </c>
      <c r="AF147" s="528"/>
      <c r="AG147" s="528"/>
      <c r="AH147" s="528"/>
    </row>
    <row r="148" spans="1:34" s="492" customFormat="1" ht="14.25" hidden="1" x14ac:dyDescent="0.2">
      <c r="A148" s="1240"/>
      <c r="B148" s="1861" t="s">
        <v>1233</v>
      </c>
      <c r="C148" s="501" t="s">
        <v>1230</v>
      </c>
      <c r="D148" s="1240"/>
      <c r="E148" s="1240"/>
      <c r="F148" s="530"/>
      <c r="G148" s="531"/>
      <c r="H148" s="542"/>
      <c r="I148" s="493"/>
      <c r="J148" s="493"/>
      <c r="K148" s="542"/>
      <c r="L148" s="493"/>
      <c r="M148" s="493"/>
      <c r="N148" s="542"/>
      <c r="O148" s="493"/>
      <c r="P148" s="493"/>
      <c r="Q148" s="542">
        <f>SUM(Q149:Q153)</f>
        <v>30.2</v>
      </c>
      <c r="R148" s="542">
        <f t="shared" si="33"/>
        <v>30.2</v>
      </c>
      <c r="S148" s="542"/>
      <c r="T148" s="493"/>
      <c r="U148" s="493"/>
      <c r="V148" s="542">
        <f>SUM(V149:V153)</f>
        <v>19.100000000000001</v>
      </c>
      <c r="W148" s="493"/>
      <c r="X148" s="493"/>
      <c r="Y148" s="542">
        <f>SUM(Y149:Y153)</f>
        <v>19.100000000000001</v>
      </c>
      <c r="Z148" s="542">
        <f t="shared" si="31"/>
        <v>30.2</v>
      </c>
      <c r="AA148" s="542" t="str">
        <f t="shared" si="32"/>
        <v>-</v>
      </c>
      <c r="AB148" s="1884" t="s">
        <v>1803</v>
      </c>
      <c r="AC148" s="549" t="s">
        <v>1665</v>
      </c>
      <c r="AF148" s="466"/>
      <c r="AG148" s="466"/>
      <c r="AH148" s="466"/>
    </row>
    <row r="149" spans="1:34" s="492" customFormat="1" ht="14.25" hidden="1" x14ac:dyDescent="0.2">
      <c r="A149" s="1240"/>
      <c r="B149" s="1885" t="s">
        <v>1804</v>
      </c>
      <c r="C149" s="501"/>
      <c r="D149" s="1240"/>
      <c r="E149" s="962" t="s">
        <v>318</v>
      </c>
      <c r="F149" s="530"/>
      <c r="G149" s="531"/>
      <c r="H149" s="542"/>
      <c r="I149" s="493"/>
      <c r="J149" s="493"/>
      <c r="K149" s="542"/>
      <c r="L149" s="493"/>
      <c r="M149" s="493"/>
      <c r="N149" s="542"/>
      <c r="O149" s="1886">
        <v>1</v>
      </c>
      <c r="P149" s="1245">
        <v>2.2999999999999998</v>
      </c>
      <c r="Q149" s="857">
        <f>O149*P149</f>
        <v>2.2999999999999998</v>
      </c>
      <c r="R149" s="857">
        <f t="shared" si="33"/>
        <v>2.2999999999999998</v>
      </c>
      <c r="S149" s="857"/>
      <c r="T149" s="1886">
        <v>1</v>
      </c>
      <c r="U149" s="1245">
        <v>2.2999999999999998</v>
      </c>
      <c r="V149" s="857">
        <f>T149*U149</f>
        <v>2.2999999999999998</v>
      </c>
      <c r="W149" s="1886">
        <v>1</v>
      </c>
      <c r="X149" s="1245">
        <v>2.2999999999999998</v>
      </c>
      <c r="Y149" s="857">
        <f>W149*X149</f>
        <v>2.2999999999999998</v>
      </c>
      <c r="Z149" s="542">
        <f t="shared" si="31"/>
        <v>2.2999999999999998</v>
      </c>
      <c r="AA149" s="542" t="str">
        <f t="shared" si="32"/>
        <v>-</v>
      </c>
      <c r="AB149" s="1884" t="s">
        <v>1805</v>
      </c>
      <c r="AC149" s="491" t="s">
        <v>1665</v>
      </c>
      <c r="AF149" s="466"/>
      <c r="AG149" s="466"/>
      <c r="AH149" s="466"/>
    </row>
    <row r="150" spans="1:34" s="492" customFormat="1" ht="52.5" hidden="1" customHeight="1" x14ac:dyDescent="0.2">
      <c r="A150" s="1240"/>
      <c r="B150" s="1885" t="s">
        <v>1757</v>
      </c>
      <c r="C150" s="501"/>
      <c r="D150" s="1240"/>
      <c r="E150" s="962" t="s">
        <v>318</v>
      </c>
      <c r="F150" s="530"/>
      <c r="G150" s="531"/>
      <c r="H150" s="542"/>
      <c r="I150" s="493"/>
      <c r="J150" s="493"/>
      <c r="K150" s="542"/>
      <c r="L150" s="493"/>
      <c r="M150" s="493"/>
      <c r="N150" s="542"/>
      <c r="O150" s="1886">
        <v>2</v>
      </c>
      <c r="P150" s="1245">
        <v>3.5</v>
      </c>
      <c r="Q150" s="857">
        <f t="shared" ref="Q150:Q151" si="34">O150*P150</f>
        <v>7</v>
      </c>
      <c r="R150" s="857">
        <f t="shared" si="33"/>
        <v>7</v>
      </c>
      <c r="S150" s="857"/>
      <c r="T150" s="1886">
        <v>2</v>
      </c>
      <c r="U150" s="1245">
        <v>3.5</v>
      </c>
      <c r="V150" s="857">
        <f t="shared" ref="V150:V151" si="35">T150*U150</f>
        <v>7</v>
      </c>
      <c r="W150" s="1886">
        <v>2</v>
      </c>
      <c r="X150" s="1245">
        <v>3.5</v>
      </c>
      <c r="Y150" s="857">
        <f t="shared" ref="Y150:Y151" si="36">W150*X150</f>
        <v>7</v>
      </c>
      <c r="Z150" s="542">
        <f t="shared" si="31"/>
        <v>7</v>
      </c>
      <c r="AA150" s="542" t="str">
        <f t="shared" si="32"/>
        <v>-</v>
      </c>
      <c r="AB150" s="1884" t="s">
        <v>1806</v>
      </c>
      <c r="AC150" s="491" t="s">
        <v>1665</v>
      </c>
      <c r="AF150" s="466"/>
      <c r="AG150" s="466"/>
      <c r="AH150" s="466"/>
    </row>
    <row r="151" spans="1:34" s="492" customFormat="1" ht="72" hidden="1" customHeight="1" x14ac:dyDescent="0.2">
      <c r="A151" s="1240"/>
      <c r="B151" s="1885" t="s">
        <v>1807</v>
      </c>
      <c r="C151" s="501"/>
      <c r="D151" s="1240"/>
      <c r="E151" s="962" t="s">
        <v>318</v>
      </c>
      <c r="F151" s="530"/>
      <c r="G151" s="531"/>
      <c r="H151" s="542"/>
      <c r="I151" s="493"/>
      <c r="J151" s="493"/>
      <c r="K151" s="542"/>
      <c r="L151" s="493"/>
      <c r="M151" s="493"/>
      <c r="N151" s="542"/>
      <c r="O151" s="1886">
        <v>1</v>
      </c>
      <c r="P151" s="1245">
        <v>4</v>
      </c>
      <c r="Q151" s="857">
        <f t="shared" si="34"/>
        <v>4</v>
      </c>
      <c r="R151" s="857">
        <f t="shared" si="33"/>
        <v>4</v>
      </c>
      <c r="S151" s="857"/>
      <c r="T151" s="1886">
        <v>1</v>
      </c>
      <c r="U151" s="1245">
        <v>4</v>
      </c>
      <c r="V151" s="857">
        <f t="shared" si="35"/>
        <v>4</v>
      </c>
      <c r="W151" s="1886">
        <v>1</v>
      </c>
      <c r="X151" s="1245">
        <v>4</v>
      </c>
      <c r="Y151" s="857">
        <f t="shared" si="36"/>
        <v>4</v>
      </c>
      <c r="Z151" s="542">
        <f t="shared" si="31"/>
        <v>4</v>
      </c>
      <c r="AA151" s="542" t="str">
        <f t="shared" si="32"/>
        <v>-</v>
      </c>
      <c r="AB151" s="901" t="s">
        <v>1808</v>
      </c>
      <c r="AC151" s="491" t="s">
        <v>1665</v>
      </c>
      <c r="AF151" s="466"/>
      <c r="AG151" s="466"/>
      <c r="AH151" s="466"/>
    </row>
    <row r="152" spans="1:34" s="492" customFormat="1" ht="38.25" hidden="1" x14ac:dyDescent="0.2">
      <c r="A152" s="1240"/>
      <c r="B152" s="1862" t="s">
        <v>1809</v>
      </c>
      <c r="C152" s="501"/>
      <c r="D152" s="1240"/>
      <c r="E152" s="1240" t="s">
        <v>318</v>
      </c>
      <c r="F152" s="530"/>
      <c r="G152" s="531"/>
      <c r="H152" s="542"/>
      <c r="I152" s="493"/>
      <c r="J152" s="493"/>
      <c r="K152" s="542"/>
      <c r="L152" s="493"/>
      <c r="M152" s="493"/>
      <c r="N152" s="542"/>
      <c r="O152" s="1886">
        <v>3</v>
      </c>
      <c r="P152" s="1245">
        <v>3.5</v>
      </c>
      <c r="Q152" s="857">
        <f>O152*P152</f>
        <v>10.5</v>
      </c>
      <c r="R152" s="857">
        <f t="shared" si="33"/>
        <v>10.5</v>
      </c>
      <c r="S152" s="857"/>
      <c r="T152" s="1245">
        <v>2</v>
      </c>
      <c r="U152" s="1245">
        <v>2.2999999999999998</v>
      </c>
      <c r="V152" s="857">
        <f>T152*U152</f>
        <v>4.5999999999999996</v>
      </c>
      <c r="W152" s="1245">
        <v>2</v>
      </c>
      <c r="X152" s="1245">
        <v>2.2999999999999998</v>
      </c>
      <c r="Y152" s="857">
        <f>W152*X152</f>
        <v>4.5999999999999996</v>
      </c>
      <c r="Z152" s="542">
        <f t="shared" si="31"/>
        <v>10.5</v>
      </c>
      <c r="AA152" s="542" t="str">
        <f t="shared" si="32"/>
        <v>-</v>
      </c>
      <c r="AB152" s="1839" t="s">
        <v>1810</v>
      </c>
      <c r="AC152" s="491" t="s">
        <v>1665</v>
      </c>
      <c r="AF152" s="466"/>
      <c r="AG152" s="466"/>
      <c r="AH152" s="466"/>
    </row>
    <row r="153" spans="1:34" s="492" customFormat="1" ht="14.25" hidden="1" x14ac:dyDescent="0.2">
      <c r="A153" s="1240"/>
      <c r="B153" s="881" t="s">
        <v>1729</v>
      </c>
      <c r="C153" s="501"/>
      <c r="D153" s="1240"/>
      <c r="E153" s="1240"/>
      <c r="F153" s="530"/>
      <c r="G153" s="531"/>
      <c r="H153" s="542"/>
      <c r="I153" s="493"/>
      <c r="J153" s="493"/>
      <c r="K153" s="542"/>
      <c r="L153" s="493"/>
      <c r="M153" s="493"/>
      <c r="N153" s="542"/>
      <c r="O153" s="493"/>
      <c r="P153" s="493"/>
      <c r="Q153" s="857">
        <f>SUM(Q149:Q152)*0.271</f>
        <v>6.4</v>
      </c>
      <c r="R153" s="857">
        <f t="shared" si="33"/>
        <v>6.4</v>
      </c>
      <c r="S153" s="857"/>
      <c r="T153" s="493"/>
      <c r="U153" s="493"/>
      <c r="V153" s="857">
        <f>SUM(V152)*0.271</f>
        <v>1.2</v>
      </c>
      <c r="W153" s="493"/>
      <c r="X153" s="493"/>
      <c r="Y153" s="857">
        <f>SUM(Y152)*0.271</f>
        <v>1.2</v>
      </c>
      <c r="Z153" s="542">
        <f t="shared" si="31"/>
        <v>6.4</v>
      </c>
      <c r="AA153" s="542" t="str">
        <f t="shared" si="32"/>
        <v>-</v>
      </c>
      <c r="AB153" s="1884"/>
      <c r="AC153" s="549" t="s">
        <v>1665</v>
      </c>
      <c r="AF153" s="466"/>
      <c r="AG153" s="466"/>
      <c r="AH153" s="466"/>
    </row>
    <row r="154" spans="1:34" s="498" customFormat="1" hidden="1" x14ac:dyDescent="0.25">
      <c r="A154" s="962"/>
      <c r="B154" s="502" t="s">
        <v>1811</v>
      </c>
      <c r="C154" s="501" t="s">
        <v>796</v>
      </c>
      <c r="D154" s="903"/>
      <c r="E154" s="962" t="s">
        <v>227</v>
      </c>
      <c r="F154" s="494">
        <v>240</v>
      </c>
      <c r="G154" s="495">
        <v>0.1</v>
      </c>
      <c r="H154" s="559">
        <f>F154*G154</f>
        <v>24</v>
      </c>
      <c r="I154" s="1245">
        <v>120</v>
      </c>
      <c r="J154" s="1245">
        <v>0.2</v>
      </c>
      <c r="K154" s="559">
        <f>I154*J154</f>
        <v>24</v>
      </c>
      <c r="L154" s="1245">
        <v>120</v>
      </c>
      <c r="M154" s="1245">
        <v>0.2</v>
      </c>
      <c r="N154" s="559">
        <f>L154*M154</f>
        <v>24</v>
      </c>
      <c r="O154" s="1245">
        <v>96</v>
      </c>
      <c r="P154" s="1245">
        <v>0.3</v>
      </c>
      <c r="Q154" s="533">
        <f>O154*P154</f>
        <v>28.8</v>
      </c>
      <c r="R154" s="533">
        <f t="shared" si="33"/>
        <v>28.8</v>
      </c>
      <c r="S154" s="533"/>
      <c r="T154" s="1245">
        <v>96</v>
      </c>
      <c r="U154" s="1245">
        <v>0.3</v>
      </c>
      <c r="V154" s="533">
        <f>T154*U154</f>
        <v>28.8</v>
      </c>
      <c r="W154" s="1245">
        <v>96</v>
      </c>
      <c r="X154" s="1245">
        <v>0.3</v>
      </c>
      <c r="Y154" s="533">
        <f>W154*X154</f>
        <v>28.8</v>
      </c>
      <c r="Z154" s="559">
        <f t="shared" si="31"/>
        <v>4.8</v>
      </c>
      <c r="AA154" s="559">
        <f t="shared" si="32"/>
        <v>120</v>
      </c>
      <c r="AB154" s="893"/>
      <c r="AC154" s="549" t="s">
        <v>1665</v>
      </c>
      <c r="AF154" s="466"/>
      <c r="AG154" s="465"/>
      <c r="AH154" s="465"/>
    </row>
    <row r="155" spans="1:34" s="498" customFormat="1" ht="25.5" hidden="1" x14ac:dyDescent="0.25">
      <c r="A155" s="962"/>
      <c r="B155" s="502" t="s">
        <v>1812</v>
      </c>
      <c r="C155" s="501" t="s">
        <v>797</v>
      </c>
      <c r="D155" s="903"/>
      <c r="E155" s="962" t="s">
        <v>227</v>
      </c>
      <c r="F155" s="494"/>
      <c r="G155" s="495"/>
      <c r="H155" s="559"/>
      <c r="I155" s="1245">
        <v>10</v>
      </c>
      <c r="J155" s="1245">
        <v>0.1</v>
      </c>
      <c r="K155" s="559">
        <f>I155*J155</f>
        <v>1</v>
      </c>
      <c r="L155" s="1245">
        <v>10</v>
      </c>
      <c r="M155" s="1245">
        <v>0.1</v>
      </c>
      <c r="N155" s="559">
        <f>L155*M155</f>
        <v>1</v>
      </c>
      <c r="O155" s="1245">
        <v>10</v>
      </c>
      <c r="P155" s="1245">
        <v>0.1</v>
      </c>
      <c r="Q155" s="533">
        <f>O155*P155</f>
        <v>1</v>
      </c>
      <c r="R155" s="533">
        <f t="shared" si="33"/>
        <v>1</v>
      </c>
      <c r="S155" s="533"/>
      <c r="T155" s="1245">
        <v>10</v>
      </c>
      <c r="U155" s="1245">
        <v>0.1</v>
      </c>
      <c r="V155" s="533">
        <f>T155*U155</f>
        <v>1</v>
      </c>
      <c r="W155" s="1245">
        <v>10</v>
      </c>
      <c r="X155" s="1245">
        <v>0.1</v>
      </c>
      <c r="Y155" s="533">
        <f>W155*X155</f>
        <v>1</v>
      </c>
      <c r="Z155" s="559">
        <f t="shared" si="31"/>
        <v>0</v>
      </c>
      <c r="AA155" s="559">
        <f t="shared" si="32"/>
        <v>100</v>
      </c>
      <c r="AB155" s="893"/>
      <c r="AC155" s="549" t="s">
        <v>1665</v>
      </c>
      <c r="AF155" s="466"/>
      <c r="AG155" s="465"/>
      <c r="AH155" s="465"/>
    </row>
    <row r="156" spans="1:34" s="498" customFormat="1" ht="38.25" hidden="1" x14ac:dyDescent="0.25">
      <c r="A156" s="962"/>
      <c r="B156" s="502" t="s">
        <v>1813</v>
      </c>
      <c r="C156" s="501" t="s">
        <v>797</v>
      </c>
      <c r="D156" s="903"/>
      <c r="E156" s="962" t="s">
        <v>227</v>
      </c>
      <c r="F156" s="494">
        <v>25</v>
      </c>
      <c r="G156" s="495">
        <v>0.2</v>
      </c>
      <c r="H156" s="1245">
        <f>F156*G156</f>
        <v>5</v>
      </c>
      <c r="I156" s="1245">
        <v>20</v>
      </c>
      <c r="J156" s="1245">
        <v>0.1</v>
      </c>
      <c r="K156" s="559">
        <f>I156*J156</f>
        <v>2</v>
      </c>
      <c r="L156" s="1245">
        <v>20</v>
      </c>
      <c r="M156" s="1245">
        <v>0.1</v>
      </c>
      <c r="N156" s="559">
        <f>L156*M156</f>
        <v>2</v>
      </c>
      <c r="O156" s="1245">
        <v>20</v>
      </c>
      <c r="P156" s="1245">
        <v>0.1</v>
      </c>
      <c r="Q156" s="533">
        <f>O156*P156</f>
        <v>2</v>
      </c>
      <c r="R156" s="533">
        <f t="shared" si="33"/>
        <v>2</v>
      </c>
      <c r="S156" s="533"/>
      <c r="T156" s="1245">
        <v>20</v>
      </c>
      <c r="U156" s="1245">
        <v>0.1</v>
      </c>
      <c r="V156" s="533">
        <f>T156*U156</f>
        <v>2</v>
      </c>
      <c r="W156" s="1245">
        <v>20</v>
      </c>
      <c r="X156" s="1245">
        <v>0.1</v>
      </c>
      <c r="Y156" s="533">
        <f>W156*X156</f>
        <v>2</v>
      </c>
      <c r="Z156" s="559">
        <f t="shared" si="31"/>
        <v>0</v>
      </c>
      <c r="AA156" s="559">
        <f t="shared" si="32"/>
        <v>100</v>
      </c>
      <c r="AB156" s="1887" t="s">
        <v>1814</v>
      </c>
      <c r="AC156" s="549" t="s">
        <v>1665</v>
      </c>
      <c r="AF156" s="466"/>
      <c r="AG156" s="465"/>
      <c r="AH156" s="465"/>
    </row>
    <row r="157" spans="1:34" s="517" customFormat="1" ht="14.25" hidden="1" x14ac:dyDescent="0.2">
      <c r="A157" s="487"/>
      <c r="B157" s="543" t="s">
        <v>1241</v>
      </c>
      <c r="C157" s="511"/>
      <c r="D157" s="487"/>
      <c r="E157" s="554"/>
      <c r="F157" s="488"/>
      <c r="G157" s="489"/>
      <c r="H157" s="513" t="e">
        <f>#REF!+#REF!+H158+#REF!</f>
        <v>#REF!</v>
      </c>
      <c r="I157" s="490"/>
      <c r="J157" s="490"/>
      <c r="K157" s="513">
        <f>K158</f>
        <v>53.1</v>
      </c>
      <c r="L157" s="490"/>
      <c r="M157" s="490"/>
      <c r="N157" s="513">
        <f>N158</f>
        <v>53.1</v>
      </c>
      <c r="O157" s="490"/>
      <c r="P157" s="490"/>
      <c r="Q157" s="513">
        <f>Q158</f>
        <v>70.2</v>
      </c>
      <c r="R157" s="513">
        <f t="shared" si="33"/>
        <v>70.2</v>
      </c>
      <c r="S157" s="513"/>
      <c r="T157" s="490"/>
      <c r="U157" s="490"/>
      <c r="V157" s="513">
        <f>V158</f>
        <v>70.2</v>
      </c>
      <c r="W157" s="513"/>
      <c r="X157" s="513"/>
      <c r="Y157" s="513">
        <f>Y158</f>
        <v>70.2</v>
      </c>
      <c r="Z157" s="513">
        <f t="shared" si="31"/>
        <v>17.100000000000001</v>
      </c>
      <c r="AA157" s="513">
        <f t="shared" si="32"/>
        <v>132.19999999999999</v>
      </c>
      <c r="AB157" s="897"/>
      <c r="AC157" s="515"/>
      <c r="AF157" s="519"/>
      <c r="AG157" s="519"/>
      <c r="AH157" s="519"/>
    </row>
    <row r="158" spans="1:34" s="527" customFormat="1" ht="38.25" hidden="1" x14ac:dyDescent="0.2">
      <c r="A158" s="522"/>
      <c r="B158" s="520" t="s">
        <v>1664</v>
      </c>
      <c r="C158" s="521"/>
      <c r="D158" s="1888" t="s">
        <v>1444</v>
      </c>
      <c r="E158" s="522"/>
      <c r="F158" s="851"/>
      <c r="G158" s="852"/>
      <c r="H158" s="853">
        <f>H159+H163+H166+H169+H179+H180</f>
        <v>58.9</v>
      </c>
      <c r="I158" s="853"/>
      <c r="J158" s="853"/>
      <c r="K158" s="853">
        <f>K159+K163+K166+K169+K179+K180</f>
        <v>53.1</v>
      </c>
      <c r="L158" s="853"/>
      <c r="M158" s="853"/>
      <c r="N158" s="853">
        <f>N159+N163+N166+N169+N179+N180</f>
        <v>53.1</v>
      </c>
      <c r="O158" s="853"/>
      <c r="P158" s="853"/>
      <c r="Q158" s="853">
        <f>Q159+Q163+Q166+Q169+Q179+Q180</f>
        <v>70.2</v>
      </c>
      <c r="R158" s="853">
        <f t="shared" si="33"/>
        <v>70.2</v>
      </c>
      <c r="S158" s="853"/>
      <c r="T158" s="853"/>
      <c r="U158" s="853"/>
      <c r="V158" s="853">
        <f>V159+V163+V166+V169+V179+V180</f>
        <v>70.2</v>
      </c>
      <c r="W158" s="853"/>
      <c r="X158" s="853"/>
      <c r="Y158" s="853">
        <f>Y159+Y163+Y166+Y169+Y179+Y180</f>
        <v>70.2</v>
      </c>
      <c r="Z158" s="853">
        <f t="shared" si="31"/>
        <v>17.100000000000001</v>
      </c>
      <c r="AA158" s="853">
        <f t="shared" si="32"/>
        <v>132.19999999999999</v>
      </c>
      <c r="AB158" s="907"/>
      <c r="AC158" s="549" t="s">
        <v>1665</v>
      </c>
      <c r="AF158" s="528"/>
      <c r="AG158" s="528"/>
      <c r="AH158" s="528"/>
    </row>
    <row r="159" spans="1:34" s="492" customFormat="1" ht="14.25" hidden="1" x14ac:dyDescent="0.2">
      <c r="A159" s="1240"/>
      <c r="B159" s="500" t="s">
        <v>1226</v>
      </c>
      <c r="C159" s="501" t="s">
        <v>797</v>
      </c>
      <c r="D159" s="552"/>
      <c r="E159" s="1240"/>
      <c r="F159" s="530"/>
      <c r="G159" s="531"/>
      <c r="H159" s="493">
        <f>H162</f>
        <v>9.6</v>
      </c>
      <c r="I159" s="532"/>
      <c r="J159" s="532"/>
      <c r="K159" s="532">
        <f>K162</f>
        <v>4.8</v>
      </c>
      <c r="L159" s="532"/>
      <c r="M159" s="532"/>
      <c r="N159" s="532">
        <f>N162</f>
        <v>4.8</v>
      </c>
      <c r="O159" s="532"/>
      <c r="P159" s="532"/>
      <c r="Q159" s="532">
        <f>Q162+Q160+Q161</f>
        <v>2</v>
      </c>
      <c r="R159" s="532">
        <f t="shared" si="33"/>
        <v>2</v>
      </c>
      <c r="S159" s="532"/>
      <c r="T159" s="532"/>
      <c r="U159" s="532"/>
      <c r="V159" s="532">
        <f>V162+V160+V161</f>
        <v>2</v>
      </c>
      <c r="W159" s="532"/>
      <c r="X159" s="532"/>
      <c r="Y159" s="532">
        <f>Y162+Y160+Y161</f>
        <v>2</v>
      </c>
      <c r="Z159" s="493">
        <f t="shared" si="31"/>
        <v>-2.8</v>
      </c>
      <c r="AA159" s="493">
        <f t="shared" si="32"/>
        <v>41.7</v>
      </c>
      <c r="AB159" s="827"/>
      <c r="AC159" s="549" t="s">
        <v>1665</v>
      </c>
      <c r="AF159" s="466"/>
      <c r="AG159" s="466"/>
      <c r="AH159" s="466"/>
    </row>
    <row r="160" spans="1:34" s="492" customFormat="1" ht="38.25" hidden="1" x14ac:dyDescent="0.2">
      <c r="A160" s="1240"/>
      <c r="B160" s="500" t="s">
        <v>1815</v>
      </c>
      <c r="C160" s="501"/>
      <c r="D160" s="932"/>
      <c r="E160" s="873" t="s">
        <v>1238</v>
      </c>
      <c r="F160" s="530"/>
      <c r="G160" s="531"/>
      <c r="H160" s="493"/>
      <c r="I160" s="532"/>
      <c r="J160" s="532"/>
      <c r="K160" s="532"/>
      <c r="L160" s="532"/>
      <c r="M160" s="532"/>
      <c r="N160" s="532"/>
      <c r="O160" s="496">
        <v>2</v>
      </c>
      <c r="P160" s="496">
        <v>1</v>
      </c>
      <c r="Q160" s="496">
        <f>O160*P160</f>
        <v>2</v>
      </c>
      <c r="R160" s="496">
        <f t="shared" si="33"/>
        <v>2</v>
      </c>
      <c r="S160" s="496"/>
      <c r="T160" s="496">
        <v>2</v>
      </c>
      <c r="U160" s="496">
        <v>1</v>
      </c>
      <c r="V160" s="496">
        <f>T160*U160</f>
        <v>2</v>
      </c>
      <c r="W160" s="496">
        <v>2</v>
      </c>
      <c r="X160" s="496">
        <v>1</v>
      </c>
      <c r="Y160" s="496">
        <f>W160*X160</f>
        <v>2</v>
      </c>
      <c r="Z160" s="493">
        <f t="shared" si="31"/>
        <v>2</v>
      </c>
      <c r="AA160" s="493" t="str">
        <f t="shared" si="32"/>
        <v>-</v>
      </c>
      <c r="AB160" s="827" t="s">
        <v>1816</v>
      </c>
      <c r="AC160" s="549" t="s">
        <v>1665</v>
      </c>
      <c r="AF160" s="466"/>
      <c r="AG160" s="466"/>
      <c r="AH160" s="466"/>
    </row>
    <row r="161" spans="1:34" s="492" customFormat="1" ht="25.5" hidden="1" x14ac:dyDescent="0.2">
      <c r="A161" s="1240"/>
      <c r="B161" s="502" t="s">
        <v>1817</v>
      </c>
      <c r="C161" s="501"/>
      <c r="D161" s="932"/>
      <c r="E161" s="873" t="s">
        <v>1238</v>
      </c>
      <c r="F161" s="530"/>
      <c r="G161" s="531"/>
      <c r="H161" s="493"/>
      <c r="I161" s="532"/>
      <c r="J161" s="532"/>
      <c r="K161" s="532"/>
      <c r="L161" s="532"/>
      <c r="M161" s="532"/>
      <c r="N161" s="532"/>
      <c r="O161" s="496"/>
      <c r="P161" s="496"/>
      <c r="Q161" s="496"/>
      <c r="R161" s="496">
        <f t="shared" si="33"/>
        <v>0</v>
      </c>
      <c r="S161" s="496"/>
      <c r="T161" s="496"/>
      <c r="U161" s="496"/>
      <c r="V161" s="496"/>
      <c r="W161" s="496"/>
      <c r="X161" s="496"/>
      <c r="Y161" s="496"/>
      <c r="Z161" s="493">
        <f t="shared" si="31"/>
        <v>0</v>
      </c>
      <c r="AA161" s="493" t="str">
        <f t="shared" si="32"/>
        <v>-</v>
      </c>
      <c r="AB161" s="827" t="s">
        <v>1818</v>
      </c>
      <c r="AC161" s="549" t="s">
        <v>1665</v>
      </c>
      <c r="AF161" s="466"/>
      <c r="AG161" s="466"/>
      <c r="AH161" s="466"/>
    </row>
    <row r="162" spans="1:34" s="498" customFormat="1" hidden="1" x14ac:dyDescent="0.25">
      <c r="A162" s="962"/>
      <c r="B162" s="856" t="s">
        <v>1819</v>
      </c>
      <c r="C162" s="499"/>
      <c r="D162" s="903"/>
      <c r="E162" s="962"/>
      <c r="F162" s="1834">
        <v>1</v>
      </c>
      <c r="G162" s="495">
        <v>9.6</v>
      </c>
      <c r="H162" s="1245">
        <f>F162*G162</f>
        <v>9.6</v>
      </c>
      <c r="I162" s="1835">
        <v>1</v>
      </c>
      <c r="J162" s="496">
        <v>4.8</v>
      </c>
      <c r="K162" s="496">
        <f>I162*J162</f>
        <v>4.8</v>
      </c>
      <c r="L162" s="1835">
        <v>1</v>
      </c>
      <c r="M162" s="496">
        <v>4.8</v>
      </c>
      <c r="N162" s="496">
        <f>L162*M162</f>
        <v>4.8</v>
      </c>
      <c r="O162" s="1835"/>
      <c r="P162" s="496"/>
      <c r="Q162" s="496"/>
      <c r="R162" s="496">
        <f t="shared" si="33"/>
        <v>0</v>
      </c>
      <c r="S162" s="496"/>
      <c r="T162" s="1835"/>
      <c r="U162" s="496"/>
      <c r="V162" s="496"/>
      <c r="W162" s="1835"/>
      <c r="X162" s="496"/>
      <c r="Y162" s="496"/>
      <c r="Z162" s="1245">
        <f t="shared" si="31"/>
        <v>-4.8</v>
      </c>
      <c r="AA162" s="1245">
        <f t="shared" si="32"/>
        <v>0</v>
      </c>
      <c r="AB162" s="827"/>
      <c r="AC162" s="549" t="s">
        <v>1665</v>
      </c>
      <c r="AF162" s="466"/>
      <c r="AG162" s="465"/>
      <c r="AH162" s="465"/>
    </row>
    <row r="163" spans="1:34" s="492" customFormat="1" ht="25.5" hidden="1" x14ac:dyDescent="0.2">
      <c r="A163" s="1240"/>
      <c r="B163" s="500" t="s">
        <v>1239</v>
      </c>
      <c r="C163" s="501" t="s">
        <v>797</v>
      </c>
      <c r="D163" s="932"/>
      <c r="E163" s="1240"/>
      <c r="F163" s="530"/>
      <c r="G163" s="531"/>
      <c r="H163" s="493">
        <f>SUM(H164:H165)</f>
        <v>7.2</v>
      </c>
      <c r="I163" s="532"/>
      <c r="J163" s="532"/>
      <c r="K163" s="532">
        <f>SUM(K164:K165)</f>
        <v>1.6</v>
      </c>
      <c r="L163" s="532"/>
      <c r="M163" s="532"/>
      <c r="N163" s="532">
        <f>SUM(N164:N165)</f>
        <v>1.6</v>
      </c>
      <c r="O163" s="532"/>
      <c r="P163" s="532"/>
      <c r="Q163" s="532">
        <f>SUM(Q164:Q165)</f>
        <v>2</v>
      </c>
      <c r="R163" s="532">
        <f t="shared" si="33"/>
        <v>2</v>
      </c>
      <c r="S163" s="532"/>
      <c r="T163" s="532"/>
      <c r="U163" s="532"/>
      <c r="V163" s="532">
        <f>SUM(V164:V165)</f>
        <v>2</v>
      </c>
      <c r="W163" s="532"/>
      <c r="X163" s="532"/>
      <c r="Y163" s="532">
        <f>SUM(Y164:Y165)</f>
        <v>2</v>
      </c>
      <c r="Z163" s="493">
        <f t="shared" si="31"/>
        <v>0.4</v>
      </c>
      <c r="AA163" s="493">
        <f t="shared" si="32"/>
        <v>125</v>
      </c>
      <c r="AB163" s="827"/>
      <c r="AC163" s="549" t="s">
        <v>1665</v>
      </c>
      <c r="AF163" s="466"/>
      <c r="AG163" s="466"/>
      <c r="AH163" s="466"/>
    </row>
    <row r="164" spans="1:34" s="498" customFormat="1" ht="127.5" hidden="1" x14ac:dyDescent="0.25">
      <c r="A164" s="962"/>
      <c r="B164" s="502" t="s">
        <v>1769</v>
      </c>
      <c r="C164" s="499"/>
      <c r="D164" s="903"/>
      <c r="E164" s="962" t="s">
        <v>227</v>
      </c>
      <c r="F164" s="494">
        <v>32</v>
      </c>
      <c r="G164" s="495">
        <v>0.1</v>
      </c>
      <c r="H164" s="1245">
        <f>F164*G164</f>
        <v>3.2</v>
      </c>
      <c r="I164" s="496">
        <v>16</v>
      </c>
      <c r="J164" s="883">
        <v>0.1</v>
      </c>
      <c r="K164" s="496">
        <f>I164*J164</f>
        <v>1.6</v>
      </c>
      <c r="L164" s="496">
        <v>16</v>
      </c>
      <c r="M164" s="883">
        <v>0.1</v>
      </c>
      <c r="N164" s="496">
        <f>L164*M164</f>
        <v>1.6</v>
      </c>
      <c r="O164" s="496">
        <v>20</v>
      </c>
      <c r="P164" s="496">
        <v>0.1</v>
      </c>
      <c r="Q164" s="496">
        <f>O164*P164</f>
        <v>2</v>
      </c>
      <c r="R164" s="496">
        <f t="shared" si="33"/>
        <v>2</v>
      </c>
      <c r="S164" s="496"/>
      <c r="T164" s="496">
        <v>20</v>
      </c>
      <c r="U164" s="496">
        <v>0.1</v>
      </c>
      <c r="V164" s="496">
        <f>T164*U164</f>
        <v>2</v>
      </c>
      <c r="W164" s="496">
        <v>20</v>
      </c>
      <c r="X164" s="496">
        <v>0.1</v>
      </c>
      <c r="Y164" s="496">
        <f>W164*X164</f>
        <v>2</v>
      </c>
      <c r="Z164" s="1245">
        <f t="shared" si="31"/>
        <v>0.4</v>
      </c>
      <c r="AA164" s="1245">
        <f t="shared" si="32"/>
        <v>125</v>
      </c>
      <c r="AB164" s="900" t="s">
        <v>1820</v>
      </c>
      <c r="AC164" s="549" t="s">
        <v>1665</v>
      </c>
      <c r="AF164" s="466"/>
      <c r="AG164" s="465"/>
      <c r="AH164" s="465"/>
    </row>
    <row r="165" spans="1:34" s="498" customFormat="1" hidden="1" x14ac:dyDescent="0.25">
      <c r="A165" s="962"/>
      <c r="B165" s="856" t="s">
        <v>1821</v>
      </c>
      <c r="C165" s="499"/>
      <c r="D165" s="903"/>
      <c r="E165" s="962" t="s">
        <v>1240</v>
      </c>
      <c r="F165" s="494">
        <v>40</v>
      </c>
      <c r="G165" s="495">
        <v>0.1</v>
      </c>
      <c r="H165" s="1245">
        <f>F165*G165</f>
        <v>4</v>
      </c>
      <c r="I165" s="496"/>
      <c r="J165" s="496"/>
      <c r="K165" s="496">
        <f>I165*J165</f>
        <v>0</v>
      </c>
      <c r="L165" s="496"/>
      <c r="M165" s="496"/>
      <c r="N165" s="496">
        <f>L165*M165</f>
        <v>0</v>
      </c>
      <c r="O165" s="496"/>
      <c r="P165" s="496"/>
      <c r="Q165" s="496"/>
      <c r="R165" s="496">
        <f t="shared" si="33"/>
        <v>0</v>
      </c>
      <c r="S165" s="496"/>
      <c r="T165" s="496"/>
      <c r="U165" s="496"/>
      <c r="V165" s="496"/>
      <c r="W165" s="496"/>
      <c r="X165" s="496"/>
      <c r="Y165" s="496"/>
      <c r="Z165" s="1245">
        <f t="shared" si="31"/>
        <v>0</v>
      </c>
      <c r="AA165" s="1245" t="str">
        <f t="shared" si="32"/>
        <v>-</v>
      </c>
      <c r="AB165" s="827"/>
      <c r="AC165" s="549" t="s">
        <v>1665</v>
      </c>
      <c r="AF165" s="466"/>
      <c r="AG165" s="465"/>
      <c r="AH165" s="465"/>
    </row>
    <row r="166" spans="1:34" s="492" customFormat="1" ht="14.25" hidden="1" x14ac:dyDescent="0.2">
      <c r="A166" s="1240"/>
      <c r="B166" s="500" t="s">
        <v>1822</v>
      </c>
      <c r="C166" s="501" t="s">
        <v>796</v>
      </c>
      <c r="D166" s="932"/>
      <c r="E166" s="1240"/>
      <c r="F166" s="530"/>
      <c r="G166" s="531"/>
      <c r="H166" s="493">
        <f>SUM(H167:H168)</f>
        <v>6</v>
      </c>
      <c r="I166" s="532"/>
      <c r="J166" s="532"/>
      <c r="K166" s="532">
        <f>SUM(K167:K168)</f>
        <v>9</v>
      </c>
      <c r="L166" s="532"/>
      <c r="M166" s="532"/>
      <c r="N166" s="532">
        <f>SUM(N167:N168)</f>
        <v>9</v>
      </c>
      <c r="O166" s="532"/>
      <c r="P166" s="532"/>
      <c r="Q166" s="532">
        <f>SUM(Q167:Q168)</f>
        <v>9</v>
      </c>
      <c r="R166" s="532">
        <f t="shared" si="33"/>
        <v>9</v>
      </c>
      <c r="S166" s="532"/>
      <c r="T166" s="532"/>
      <c r="U166" s="532"/>
      <c r="V166" s="532">
        <f>SUM(V167:V168)</f>
        <v>9</v>
      </c>
      <c r="W166" s="532"/>
      <c r="X166" s="532"/>
      <c r="Y166" s="532">
        <f>SUM(Y167:Y168)</f>
        <v>9</v>
      </c>
      <c r="Z166" s="493">
        <f t="shared" si="31"/>
        <v>0</v>
      </c>
      <c r="AA166" s="493">
        <f t="shared" si="32"/>
        <v>100</v>
      </c>
      <c r="AB166" s="901"/>
      <c r="AC166" s="549" t="s">
        <v>1665</v>
      </c>
      <c r="AF166" s="466"/>
      <c r="AG166" s="466"/>
      <c r="AH166" s="466"/>
    </row>
    <row r="167" spans="1:34" s="498" customFormat="1" hidden="1" x14ac:dyDescent="0.25">
      <c r="A167" s="962"/>
      <c r="B167" s="502" t="s">
        <v>1823</v>
      </c>
      <c r="C167" s="503"/>
      <c r="D167" s="903"/>
      <c r="E167" s="962" t="s">
        <v>227</v>
      </c>
      <c r="F167" s="494">
        <v>6</v>
      </c>
      <c r="G167" s="495">
        <v>0.5</v>
      </c>
      <c r="H167" s="1245">
        <f>F167*G167</f>
        <v>3</v>
      </c>
      <c r="I167" s="496">
        <v>6</v>
      </c>
      <c r="J167" s="496">
        <v>0.5</v>
      </c>
      <c r="K167" s="496">
        <f>I167*J167</f>
        <v>3</v>
      </c>
      <c r="L167" s="496">
        <v>6</v>
      </c>
      <c r="M167" s="496">
        <v>0.5</v>
      </c>
      <c r="N167" s="496">
        <f>L167*M167</f>
        <v>3</v>
      </c>
      <c r="O167" s="496">
        <v>6</v>
      </c>
      <c r="P167" s="496">
        <v>0.5</v>
      </c>
      <c r="Q167" s="496">
        <f>O167*P167</f>
        <v>3</v>
      </c>
      <c r="R167" s="496">
        <f t="shared" si="33"/>
        <v>3</v>
      </c>
      <c r="S167" s="496"/>
      <c r="T167" s="496">
        <v>6</v>
      </c>
      <c r="U167" s="496">
        <v>0.5</v>
      </c>
      <c r="V167" s="496">
        <f>T167*U167</f>
        <v>3</v>
      </c>
      <c r="W167" s="496">
        <v>6</v>
      </c>
      <c r="X167" s="496">
        <v>0.5</v>
      </c>
      <c r="Y167" s="496">
        <f>W167*X167</f>
        <v>3</v>
      </c>
      <c r="Z167" s="1245">
        <f t="shared" si="31"/>
        <v>0</v>
      </c>
      <c r="AA167" s="1245">
        <f t="shared" si="32"/>
        <v>100</v>
      </c>
      <c r="AB167" s="901"/>
      <c r="AC167" s="549" t="s">
        <v>1665</v>
      </c>
      <c r="AF167" s="466"/>
      <c r="AG167" s="465"/>
      <c r="AH167" s="465"/>
    </row>
    <row r="168" spans="1:34" s="498" customFormat="1" hidden="1" x14ac:dyDescent="0.25">
      <c r="A168" s="962"/>
      <c r="B168" s="502" t="s">
        <v>1824</v>
      </c>
      <c r="C168" s="503"/>
      <c r="D168" s="903"/>
      <c r="E168" s="962" t="s">
        <v>227</v>
      </c>
      <c r="F168" s="494">
        <v>30</v>
      </c>
      <c r="G168" s="495">
        <v>0.1</v>
      </c>
      <c r="H168" s="1245">
        <f>F168*G168</f>
        <v>3</v>
      </c>
      <c r="I168" s="496">
        <v>60</v>
      </c>
      <c r="J168" s="496">
        <v>0.1</v>
      </c>
      <c r="K168" s="496">
        <f>I168*J168</f>
        <v>6</v>
      </c>
      <c r="L168" s="496">
        <v>60</v>
      </c>
      <c r="M168" s="496">
        <v>0.1</v>
      </c>
      <c r="N168" s="496">
        <f>L168*M168</f>
        <v>6</v>
      </c>
      <c r="O168" s="496">
        <v>60</v>
      </c>
      <c r="P168" s="496">
        <v>0.1</v>
      </c>
      <c r="Q168" s="496">
        <f>O168*P168</f>
        <v>6</v>
      </c>
      <c r="R168" s="496">
        <f t="shared" si="33"/>
        <v>6</v>
      </c>
      <c r="S168" s="496"/>
      <c r="T168" s="496">
        <v>60</v>
      </c>
      <c r="U168" s="496">
        <v>0.1</v>
      </c>
      <c r="V168" s="496">
        <f>T168*U168</f>
        <v>6</v>
      </c>
      <c r="W168" s="496">
        <v>60</v>
      </c>
      <c r="X168" s="496">
        <v>0.1</v>
      </c>
      <c r="Y168" s="496">
        <f>W168*X168</f>
        <v>6</v>
      </c>
      <c r="Z168" s="1245">
        <f t="shared" si="31"/>
        <v>0</v>
      </c>
      <c r="AA168" s="1245">
        <f t="shared" si="32"/>
        <v>100</v>
      </c>
      <c r="AB168" s="901"/>
      <c r="AC168" s="549" t="s">
        <v>1665</v>
      </c>
      <c r="AF168" s="466"/>
      <c r="AG168" s="465"/>
      <c r="AH168" s="465"/>
    </row>
    <row r="169" spans="1:34" s="492" customFormat="1" ht="14.25" hidden="1" x14ac:dyDescent="0.2">
      <c r="A169" s="1240"/>
      <c r="B169" s="500" t="s">
        <v>1233</v>
      </c>
      <c r="C169" s="501" t="s">
        <v>1230</v>
      </c>
      <c r="D169" s="932"/>
      <c r="E169" s="1240"/>
      <c r="F169" s="530"/>
      <c r="G169" s="531"/>
      <c r="H169" s="493">
        <f>SUM(H170:H178)</f>
        <v>18.7</v>
      </c>
      <c r="I169" s="532"/>
      <c r="J169" s="532"/>
      <c r="K169" s="532">
        <f>SUM(K170:K178)</f>
        <v>17.899999999999999</v>
      </c>
      <c r="L169" s="532"/>
      <c r="M169" s="532"/>
      <c r="N169" s="532">
        <f>SUM(N170:N178)</f>
        <v>17.899999999999999</v>
      </c>
      <c r="O169" s="532"/>
      <c r="P169" s="532"/>
      <c r="Q169" s="532">
        <f>SUM(Q170:Q178)</f>
        <v>37.4</v>
      </c>
      <c r="R169" s="532">
        <f t="shared" si="33"/>
        <v>37.4</v>
      </c>
      <c r="S169" s="532"/>
      <c r="T169" s="532"/>
      <c r="U169" s="532"/>
      <c r="V169" s="532">
        <f>SUM(V170:V178)</f>
        <v>37.4</v>
      </c>
      <c r="W169" s="532"/>
      <c r="X169" s="532"/>
      <c r="Y169" s="532">
        <f>SUM(Y170:Y178)</f>
        <v>37.4</v>
      </c>
      <c r="Z169" s="493">
        <f t="shared" si="31"/>
        <v>19.5</v>
      </c>
      <c r="AA169" s="493">
        <f t="shared" si="32"/>
        <v>208.9</v>
      </c>
      <c r="AB169" s="893"/>
      <c r="AC169" s="549" t="s">
        <v>1665</v>
      </c>
      <c r="AF169" s="466"/>
      <c r="AG169" s="466"/>
      <c r="AH169" s="466"/>
    </row>
    <row r="170" spans="1:34" s="498" customFormat="1" hidden="1" x14ac:dyDescent="0.25">
      <c r="A170" s="962"/>
      <c r="B170" s="502" t="s">
        <v>1737</v>
      </c>
      <c r="C170" s="503"/>
      <c r="D170" s="903"/>
      <c r="E170" s="962" t="s">
        <v>318</v>
      </c>
      <c r="F170" s="494">
        <v>1</v>
      </c>
      <c r="G170" s="495">
        <v>3.5</v>
      </c>
      <c r="H170" s="1245">
        <f>F170*G170</f>
        <v>3.5</v>
      </c>
      <c r="I170" s="496">
        <v>1</v>
      </c>
      <c r="J170" s="496">
        <v>3.5</v>
      </c>
      <c r="K170" s="496">
        <f>I170*J170</f>
        <v>3.5</v>
      </c>
      <c r="L170" s="496">
        <v>1</v>
      </c>
      <c r="M170" s="496">
        <v>3.5</v>
      </c>
      <c r="N170" s="496">
        <f>L170*M170</f>
        <v>3.5</v>
      </c>
      <c r="O170" s="496">
        <v>1</v>
      </c>
      <c r="P170" s="496">
        <v>3.5</v>
      </c>
      <c r="Q170" s="496">
        <f>O170*P170</f>
        <v>3.5</v>
      </c>
      <c r="R170" s="496">
        <f t="shared" si="33"/>
        <v>3.5</v>
      </c>
      <c r="S170" s="496"/>
      <c r="T170" s="496">
        <v>1</v>
      </c>
      <c r="U170" s="496">
        <v>3.5</v>
      </c>
      <c r="V170" s="496">
        <f>T170*U170</f>
        <v>3.5</v>
      </c>
      <c r="W170" s="496">
        <v>1</v>
      </c>
      <c r="X170" s="496">
        <v>3.5</v>
      </c>
      <c r="Y170" s="496">
        <f>W170*X170</f>
        <v>3.5</v>
      </c>
      <c r="Z170" s="1245">
        <f t="shared" si="31"/>
        <v>0</v>
      </c>
      <c r="AA170" s="1245">
        <f t="shared" si="32"/>
        <v>100</v>
      </c>
      <c r="AB170" s="893"/>
      <c r="AC170" s="549" t="s">
        <v>1665</v>
      </c>
      <c r="AF170" s="466"/>
      <c r="AG170" s="465"/>
      <c r="AH170" s="465"/>
    </row>
    <row r="171" spans="1:34" s="498" customFormat="1" hidden="1" x14ac:dyDescent="0.25">
      <c r="A171" s="962"/>
      <c r="B171" s="502" t="s">
        <v>1755</v>
      </c>
      <c r="C171" s="503"/>
      <c r="D171" s="903"/>
      <c r="E171" s="962" t="s">
        <v>318</v>
      </c>
      <c r="F171" s="494">
        <v>4</v>
      </c>
      <c r="G171" s="495">
        <v>1.73</v>
      </c>
      <c r="H171" s="1245">
        <f>F171*G171</f>
        <v>6.9</v>
      </c>
      <c r="I171" s="496">
        <v>4</v>
      </c>
      <c r="J171" s="496">
        <v>1.7</v>
      </c>
      <c r="K171" s="496">
        <f>I171*J171</f>
        <v>6.8</v>
      </c>
      <c r="L171" s="496">
        <v>4</v>
      </c>
      <c r="M171" s="496">
        <v>1.7</v>
      </c>
      <c r="N171" s="496">
        <f>L171*M171</f>
        <v>6.8</v>
      </c>
      <c r="O171" s="496">
        <v>4</v>
      </c>
      <c r="P171" s="496">
        <v>1.7</v>
      </c>
      <c r="Q171" s="496">
        <f>O171*P171</f>
        <v>6.8</v>
      </c>
      <c r="R171" s="496">
        <f t="shared" si="33"/>
        <v>6.8</v>
      </c>
      <c r="S171" s="496"/>
      <c r="T171" s="496">
        <v>4</v>
      </c>
      <c r="U171" s="496">
        <v>1.7</v>
      </c>
      <c r="V171" s="496">
        <f>T171*U171</f>
        <v>6.8</v>
      </c>
      <c r="W171" s="496">
        <v>4</v>
      </c>
      <c r="X171" s="496">
        <v>1.7</v>
      </c>
      <c r="Y171" s="496">
        <f>W171*X171</f>
        <v>6.8</v>
      </c>
      <c r="Z171" s="1245">
        <f t="shared" si="31"/>
        <v>0</v>
      </c>
      <c r="AA171" s="1245">
        <f t="shared" si="32"/>
        <v>100</v>
      </c>
      <c r="AB171" s="893"/>
      <c r="AC171" s="549" t="s">
        <v>1665</v>
      </c>
      <c r="AF171" s="466"/>
      <c r="AG171" s="465"/>
      <c r="AH171" s="465"/>
    </row>
    <row r="172" spans="1:34" s="498" customFormat="1" hidden="1" x14ac:dyDescent="0.25">
      <c r="A172" s="962"/>
      <c r="B172" s="502" t="s">
        <v>1754</v>
      </c>
      <c r="C172" s="503"/>
      <c r="D172" s="903"/>
      <c r="E172" s="962" t="s">
        <v>318</v>
      </c>
      <c r="F172" s="494">
        <v>1</v>
      </c>
      <c r="G172" s="495">
        <v>2.2999999999999998</v>
      </c>
      <c r="H172" s="1245">
        <f>F172*G172</f>
        <v>2.2999999999999998</v>
      </c>
      <c r="I172" s="496">
        <v>1</v>
      </c>
      <c r="J172" s="496">
        <v>2.2999999999999998</v>
      </c>
      <c r="K172" s="496">
        <f>I172*J172</f>
        <v>2.2999999999999998</v>
      </c>
      <c r="L172" s="496">
        <v>1</v>
      </c>
      <c r="M172" s="496">
        <v>2.2999999999999998</v>
      </c>
      <c r="N172" s="496">
        <f>L172*M172</f>
        <v>2.2999999999999998</v>
      </c>
      <c r="O172" s="496">
        <v>1</v>
      </c>
      <c r="P172" s="496">
        <v>2.2999999999999998</v>
      </c>
      <c r="Q172" s="496">
        <f>O172*P172</f>
        <v>2.2999999999999998</v>
      </c>
      <c r="R172" s="496">
        <f t="shared" si="33"/>
        <v>2.2999999999999998</v>
      </c>
      <c r="S172" s="496"/>
      <c r="T172" s="496">
        <v>1</v>
      </c>
      <c r="U172" s="496">
        <v>2.2999999999999998</v>
      </c>
      <c r="V172" s="496">
        <f>T172*U172</f>
        <v>2.2999999999999998</v>
      </c>
      <c r="W172" s="496">
        <v>1</v>
      </c>
      <c r="X172" s="496">
        <v>2.2999999999999998</v>
      </c>
      <c r="Y172" s="496">
        <f>W172*X172</f>
        <v>2.2999999999999998</v>
      </c>
      <c r="Z172" s="1245">
        <f t="shared" si="31"/>
        <v>0</v>
      </c>
      <c r="AA172" s="1245">
        <f t="shared" si="32"/>
        <v>100</v>
      </c>
      <c r="AB172" s="893"/>
      <c r="AC172" s="549" t="s">
        <v>1665</v>
      </c>
      <c r="AF172" s="466"/>
      <c r="AG172" s="465"/>
      <c r="AH172" s="465"/>
    </row>
    <row r="173" spans="1:34" s="498" customFormat="1" hidden="1" x14ac:dyDescent="0.25">
      <c r="A173" s="962"/>
      <c r="B173" s="502" t="s">
        <v>1825</v>
      </c>
      <c r="C173" s="503"/>
      <c r="D173" s="903"/>
      <c r="E173" s="962" t="s">
        <v>318</v>
      </c>
      <c r="F173" s="494">
        <v>1</v>
      </c>
      <c r="G173" s="495">
        <v>2</v>
      </c>
      <c r="H173" s="1245">
        <f>F173*G173</f>
        <v>2</v>
      </c>
      <c r="I173" s="496">
        <v>1</v>
      </c>
      <c r="J173" s="496">
        <v>2</v>
      </c>
      <c r="K173" s="496">
        <v>1.5</v>
      </c>
      <c r="L173" s="496">
        <v>1</v>
      </c>
      <c r="M173" s="496">
        <v>2</v>
      </c>
      <c r="N173" s="496">
        <v>1.5</v>
      </c>
      <c r="O173" s="496"/>
      <c r="P173" s="496"/>
      <c r="Q173" s="496"/>
      <c r="R173" s="496">
        <f t="shared" si="33"/>
        <v>0</v>
      </c>
      <c r="S173" s="496"/>
      <c r="T173" s="496"/>
      <c r="U173" s="496"/>
      <c r="V173" s="496"/>
      <c r="W173" s="496"/>
      <c r="X173" s="496"/>
      <c r="Y173" s="496"/>
      <c r="Z173" s="1245">
        <f t="shared" si="31"/>
        <v>-1.5</v>
      </c>
      <c r="AA173" s="1245">
        <f t="shared" si="32"/>
        <v>0</v>
      </c>
      <c r="AB173" s="893"/>
      <c r="AC173" s="549" t="s">
        <v>1665</v>
      </c>
      <c r="AF173" s="466"/>
      <c r="AG173" s="465"/>
      <c r="AH173" s="465"/>
    </row>
    <row r="174" spans="1:34" s="498" customFormat="1" hidden="1" x14ac:dyDescent="0.25">
      <c r="A174" s="962"/>
      <c r="B174" s="502" t="s">
        <v>1826</v>
      </c>
      <c r="C174" s="503"/>
      <c r="D174" s="903"/>
      <c r="E174" s="962" t="s">
        <v>318</v>
      </c>
      <c r="F174" s="496"/>
      <c r="G174" s="496"/>
      <c r="H174" s="496"/>
      <c r="I174" s="496"/>
      <c r="J174" s="496"/>
      <c r="K174" s="496"/>
      <c r="L174" s="496"/>
      <c r="M174" s="496"/>
      <c r="N174" s="496"/>
      <c r="O174" s="1886">
        <v>1</v>
      </c>
      <c r="P174" s="496">
        <v>2.2999999999999998</v>
      </c>
      <c r="Q174" s="496">
        <f>O174*P174</f>
        <v>2.2999999999999998</v>
      </c>
      <c r="R174" s="496">
        <f t="shared" si="33"/>
        <v>2.2999999999999998</v>
      </c>
      <c r="S174" s="496"/>
      <c r="T174" s="1886">
        <v>1</v>
      </c>
      <c r="U174" s="496">
        <v>2.2999999999999998</v>
      </c>
      <c r="V174" s="496">
        <f>T174*U174</f>
        <v>2.2999999999999998</v>
      </c>
      <c r="W174" s="1886">
        <v>1</v>
      </c>
      <c r="X174" s="496">
        <v>2.2999999999999998</v>
      </c>
      <c r="Y174" s="496">
        <f>W174*X174</f>
        <v>2.2999999999999998</v>
      </c>
      <c r="Z174" s="496"/>
      <c r="AA174" s="496"/>
      <c r="AB174" s="3514" t="s">
        <v>1803</v>
      </c>
      <c r="AC174" s="491" t="s">
        <v>1665</v>
      </c>
      <c r="AF174" s="466"/>
      <c r="AG174" s="465"/>
      <c r="AH174" s="465"/>
    </row>
    <row r="175" spans="1:34" s="498" customFormat="1" ht="25.5" hidden="1" x14ac:dyDescent="0.25">
      <c r="A175" s="962"/>
      <c r="B175" s="1885" t="s">
        <v>1757</v>
      </c>
      <c r="C175" s="503"/>
      <c r="D175" s="903"/>
      <c r="E175" s="962" t="s">
        <v>318</v>
      </c>
      <c r="F175" s="496"/>
      <c r="G175" s="496"/>
      <c r="H175" s="496"/>
      <c r="I175" s="496"/>
      <c r="J175" s="496"/>
      <c r="K175" s="496"/>
      <c r="L175" s="496"/>
      <c r="M175" s="496"/>
      <c r="N175" s="496"/>
      <c r="O175" s="1886">
        <v>1</v>
      </c>
      <c r="P175" s="496">
        <v>3.5</v>
      </c>
      <c r="Q175" s="496">
        <f t="shared" ref="Q175:Q177" si="37">O175*P175</f>
        <v>3.5</v>
      </c>
      <c r="R175" s="496">
        <f t="shared" si="33"/>
        <v>3.5</v>
      </c>
      <c r="S175" s="496"/>
      <c r="T175" s="1886">
        <v>1</v>
      </c>
      <c r="U175" s="496">
        <v>3.5</v>
      </c>
      <c r="V175" s="496">
        <f t="shared" ref="V175:V177" si="38">T175*U175</f>
        <v>3.5</v>
      </c>
      <c r="W175" s="1886">
        <v>1</v>
      </c>
      <c r="X175" s="496">
        <v>3.5</v>
      </c>
      <c r="Y175" s="496">
        <f t="shared" ref="Y175:Y177" si="39">W175*X175</f>
        <v>3.5</v>
      </c>
      <c r="Z175" s="496"/>
      <c r="AA175" s="496"/>
      <c r="AB175" s="3515"/>
      <c r="AC175" s="491" t="s">
        <v>1665</v>
      </c>
      <c r="AF175" s="466"/>
      <c r="AG175" s="465"/>
      <c r="AH175" s="465"/>
    </row>
    <row r="176" spans="1:34" s="498" customFormat="1" hidden="1" x14ac:dyDescent="0.25">
      <c r="A176" s="962"/>
      <c r="B176" s="1885" t="s">
        <v>1827</v>
      </c>
      <c r="C176" s="503"/>
      <c r="D176" s="903"/>
      <c r="E176" s="962" t="s">
        <v>318</v>
      </c>
      <c r="F176" s="496"/>
      <c r="G176" s="496"/>
      <c r="H176" s="496"/>
      <c r="I176" s="496"/>
      <c r="J176" s="496"/>
      <c r="K176" s="496"/>
      <c r="L176" s="496"/>
      <c r="M176" s="496"/>
      <c r="N176" s="496"/>
      <c r="O176" s="1886">
        <v>2</v>
      </c>
      <c r="P176" s="496">
        <v>3.5</v>
      </c>
      <c r="Q176" s="496">
        <f t="shared" si="37"/>
        <v>7</v>
      </c>
      <c r="R176" s="496">
        <f t="shared" si="33"/>
        <v>7</v>
      </c>
      <c r="S176" s="496"/>
      <c r="T176" s="1886">
        <v>2</v>
      </c>
      <c r="U176" s="496">
        <v>3.5</v>
      </c>
      <c r="V176" s="496">
        <f t="shared" si="38"/>
        <v>7</v>
      </c>
      <c r="W176" s="1886">
        <v>2</v>
      </c>
      <c r="X176" s="496">
        <v>3.5</v>
      </c>
      <c r="Y176" s="496">
        <f t="shared" si="39"/>
        <v>7</v>
      </c>
      <c r="Z176" s="496"/>
      <c r="AA176" s="496"/>
      <c r="AB176" s="3515"/>
      <c r="AC176" s="491" t="s">
        <v>1665</v>
      </c>
      <c r="AF176" s="466"/>
      <c r="AG176" s="465"/>
      <c r="AH176" s="465"/>
    </row>
    <row r="177" spans="1:34" s="498" customFormat="1" hidden="1" x14ac:dyDescent="0.25">
      <c r="A177" s="962"/>
      <c r="B177" s="1885" t="s">
        <v>1807</v>
      </c>
      <c r="C177" s="503"/>
      <c r="D177" s="903"/>
      <c r="E177" s="962" t="s">
        <v>318</v>
      </c>
      <c r="F177" s="496"/>
      <c r="G177" s="496"/>
      <c r="H177" s="496"/>
      <c r="I177" s="496"/>
      <c r="J177" s="496"/>
      <c r="K177" s="496"/>
      <c r="L177" s="496"/>
      <c r="M177" s="496"/>
      <c r="N177" s="496"/>
      <c r="O177" s="1886">
        <v>1</v>
      </c>
      <c r="P177" s="496">
        <v>4</v>
      </c>
      <c r="Q177" s="496">
        <f t="shared" si="37"/>
        <v>4</v>
      </c>
      <c r="R177" s="496">
        <f t="shared" si="33"/>
        <v>4</v>
      </c>
      <c r="S177" s="496"/>
      <c r="T177" s="1886">
        <v>1</v>
      </c>
      <c r="U177" s="496">
        <v>4</v>
      </c>
      <c r="V177" s="496">
        <f t="shared" si="38"/>
        <v>4</v>
      </c>
      <c r="W177" s="1886">
        <v>1</v>
      </c>
      <c r="X177" s="496">
        <v>4</v>
      </c>
      <c r="Y177" s="496">
        <f t="shared" si="39"/>
        <v>4</v>
      </c>
      <c r="Z177" s="496"/>
      <c r="AA177" s="496"/>
      <c r="AB177" s="3516"/>
      <c r="AC177" s="491" t="s">
        <v>1665</v>
      </c>
      <c r="AF177" s="466"/>
      <c r="AG177" s="465"/>
      <c r="AH177" s="465"/>
    </row>
    <row r="178" spans="1:34" s="498" customFormat="1" hidden="1" x14ac:dyDescent="0.25">
      <c r="A178" s="962"/>
      <c r="B178" s="502" t="s">
        <v>1729</v>
      </c>
      <c r="C178" s="503"/>
      <c r="D178" s="903"/>
      <c r="E178" s="962"/>
      <c r="F178" s="494"/>
      <c r="G178" s="495"/>
      <c r="H178" s="1245">
        <f>SUM(H170:H173)*0.271</f>
        <v>4</v>
      </c>
      <c r="I178" s="496"/>
      <c r="J178" s="496"/>
      <c r="K178" s="496">
        <f>SUM(K170:K173)*0.271</f>
        <v>3.8</v>
      </c>
      <c r="L178" s="496"/>
      <c r="M178" s="496"/>
      <c r="N178" s="496">
        <f>SUM(N170:N173)*0.271</f>
        <v>3.8</v>
      </c>
      <c r="O178" s="496"/>
      <c r="P178" s="496"/>
      <c r="Q178" s="496">
        <f>SUM(Q170:Q177)*0.271</f>
        <v>8</v>
      </c>
      <c r="R178" s="496">
        <f t="shared" si="33"/>
        <v>8</v>
      </c>
      <c r="S178" s="496"/>
      <c r="T178" s="496"/>
      <c r="U178" s="496"/>
      <c r="V178" s="496">
        <f>SUM(V170:V177)*0.271</f>
        <v>8</v>
      </c>
      <c r="W178" s="496"/>
      <c r="X178" s="496"/>
      <c r="Y178" s="496">
        <f>SUM(Y170:Y177)*0.271</f>
        <v>8</v>
      </c>
      <c r="Z178" s="1245">
        <f t="shared" ref="Z178:Z224" si="40">Q178-K178</f>
        <v>4.2</v>
      </c>
      <c r="AA178" s="1245">
        <f t="shared" ref="AA178:AA241" si="41">IFERROR(Q178/K178*100,"-")</f>
        <v>210.5</v>
      </c>
      <c r="AB178" s="893"/>
      <c r="AC178" s="549" t="s">
        <v>1665</v>
      </c>
      <c r="AF178" s="466"/>
      <c r="AG178" s="465"/>
      <c r="AH178" s="465"/>
    </row>
    <row r="179" spans="1:34" s="492" customFormat="1" ht="14.25" hidden="1" x14ac:dyDescent="0.2">
      <c r="A179" s="1240"/>
      <c r="B179" s="500" t="s">
        <v>1828</v>
      </c>
      <c r="C179" s="501" t="s">
        <v>797</v>
      </c>
      <c r="D179" s="932"/>
      <c r="E179" s="1240" t="s">
        <v>227</v>
      </c>
      <c r="F179" s="530">
        <v>40</v>
      </c>
      <c r="G179" s="531">
        <v>0.06</v>
      </c>
      <c r="H179" s="493">
        <f>F179*G179</f>
        <v>2.4</v>
      </c>
      <c r="I179" s="532">
        <v>48</v>
      </c>
      <c r="J179" s="532">
        <v>0.1</v>
      </c>
      <c r="K179" s="532">
        <f>I179*J179</f>
        <v>4.8</v>
      </c>
      <c r="L179" s="532">
        <v>48</v>
      </c>
      <c r="M179" s="532">
        <v>0.1</v>
      </c>
      <c r="N179" s="532">
        <f>L179*M179</f>
        <v>4.8</v>
      </c>
      <c r="O179" s="532">
        <v>48</v>
      </c>
      <c r="P179" s="532">
        <v>0.1</v>
      </c>
      <c r="Q179" s="532">
        <f>O179*P179</f>
        <v>4.8</v>
      </c>
      <c r="R179" s="532">
        <f t="shared" si="33"/>
        <v>4.8</v>
      </c>
      <c r="S179" s="532"/>
      <c r="T179" s="532">
        <v>48</v>
      </c>
      <c r="U179" s="532">
        <v>0.1</v>
      </c>
      <c r="V179" s="532">
        <f>T179*U179</f>
        <v>4.8</v>
      </c>
      <c r="W179" s="532">
        <v>48</v>
      </c>
      <c r="X179" s="532">
        <v>0.1</v>
      </c>
      <c r="Y179" s="532">
        <f>W179*X179</f>
        <v>4.8</v>
      </c>
      <c r="Z179" s="493">
        <f t="shared" si="40"/>
        <v>0</v>
      </c>
      <c r="AA179" s="493">
        <f t="shared" si="41"/>
        <v>100</v>
      </c>
      <c r="AB179" s="827"/>
      <c r="AC179" s="549" t="s">
        <v>1665</v>
      </c>
      <c r="AF179" s="466"/>
      <c r="AG179" s="466"/>
      <c r="AH179" s="466"/>
    </row>
    <row r="180" spans="1:34" s="492" customFormat="1" ht="14.25" x14ac:dyDescent="0.2">
      <c r="A180" s="1240"/>
      <c r="B180" s="500" t="s">
        <v>1246</v>
      </c>
      <c r="C180" s="501" t="s">
        <v>1237</v>
      </c>
      <c r="D180" s="932"/>
      <c r="E180" s="1240" t="s">
        <v>1829</v>
      </c>
      <c r="F180" s="530">
        <v>6</v>
      </c>
      <c r="G180" s="531">
        <v>2.5</v>
      </c>
      <c r="H180" s="493">
        <f>F180*G180</f>
        <v>15</v>
      </c>
      <c r="I180" s="532">
        <v>6</v>
      </c>
      <c r="J180" s="532">
        <v>2.5</v>
      </c>
      <c r="K180" s="532">
        <f>I180*J180</f>
        <v>15</v>
      </c>
      <c r="L180" s="532">
        <v>6</v>
      </c>
      <c r="M180" s="532">
        <v>2.5</v>
      </c>
      <c r="N180" s="532">
        <f>L180*M180</f>
        <v>15</v>
      </c>
      <c r="O180" s="532">
        <v>6</v>
      </c>
      <c r="P180" s="532">
        <v>2.5</v>
      </c>
      <c r="Q180" s="532">
        <f>O180*P180</f>
        <v>15</v>
      </c>
      <c r="R180" s="532">
        <f t="shared" si="33"/>
        <v>15</v>
      </c>
      <c r="S180" s="532"/>
      <c r="T180" s="532">
        <v>6</v>
      </c>
      <c r="U180" s="532">
        <v>2.5</v>
      </c>
      <c r="V180" s="532">
        <f>T180*U180</f>
        <v>15</v>
      </c>
      <c r="W180" s="532">
        <v>6</v>
      </c>
      <c r="X180" s="532">
        <v>2.5</v>
      </c>
      <c r="Y180" s="532">
        <f>W180*X180</f>
        <v>15</v>
      </c>
      <c r="Z180" s="493">
        <f t="shared" si="40"/>
        <v>0</v>
      </c>
      <c r="AA180" s="493">
        <f t="shared" si="41"/>
        <v>100</v>
      </c>
      <c r="AB180" s="827"/>
      <c r="AC180" s="549" t="s">
        <v>1665</v>
      </c>
      <c r="AF180" s="466"/>
      <c r="AG180" s="466"/>
      <c r="AH180" s="466"/>
    </row>
    <row r="181" spans="1:34" s="517" customFormat="1" ht="14.25" hidden="1" x14ac:dyDescent="0.2">
      <c r="A181" s="487"/>
      <c r="B181" s="543" t="s">
        <v>1243</v>
      </c>
      <c r="C181" s="511"/>
      <c r="D181" s="487"/>
      <c r="E181" s="554"/>
      <c r="F181" s="488"/>
      <c r="G181" s="489"/>
      <c r="H181" s="537" t="e">
        <f>#REF!+#REF!+H182</f>
        <v>#REF!</v>
      </c>
      <c r="I181" s="537"/>
      <c r="J181" s="537"/>
      <c r="K181" s="537">
        <f>K182</f>
        <v>5.2</v>
      </c>
      <c r="L181" s="537"/>
      <c r="M181" s="537"/>
      <c r="N181" s="537">
        <f>N182</f>
        <v>5.2</v>
      </c>
      <c r="O181" s="537"/>
      <c r="P181" s="537"/>
      <c r="Q181" s="537">
        <f>Q182</f>
        <v>2.4</v>
      </c>
      <c r="R181" s="537">
        <f t="shared" si="33"/>
        <v>2.4</v>
      </c>
      <c r="S181" s="537"/>
      <c r="T181" s="537"/>
      <c r="U181" s="537"/>
      <c r="V181" s="537">
        <f>V182</f>
        <v>2.4</v>
      </c>
      <c r="W181" s="537"/>
      <c r="X181" s="537"/>
      <c r="Y181" s="537">
        <f>Y182</f>
        <v>2.4</v>
      </c>
      <c r="Z181" s="537">
        <f t="shared" si="40"/>
        <v>-2.8</v>
      </c>
      <c r="AA181" s="537">
        <f t="shared" si="41"/>
        <v>46.2</v>
      </c>
      <c r="AB181" s="902"/>
      <c r="AC181" s="515"/>
      <c r="AF181" s="519"/>
      <c r="AG181" s="519"/>
      <c r="AH181" s="519"/>
    </row>
    <row r="182" spans="1:34" s="1891" customFormat="1" ht="38.25" hidden="1" x14ac:dyDescent="0.25">
      <c r="A182" s="850"/>
      <c r="B182" s="520" t="s">
        <v>1664</v>
      </c>
      <c r="C182" s="521"/>
      <c r="D182" s="522" t="s">
        <v>1444</v>
      </c>
      <c r="E182" s="850"/>
      <c r="F182" s="1889"/>
      <c r="G182" s="1889"/>
      <c r="H182" s="526">
        <f>H185+H188</f>
        <v>4.4000000000000004</v>
      </c>
      <c r="I182" s="1889"/>
      <c r="J182" s="1889"/>
      <c r="K182" s="526">
        <f>K185+K188+K183</f>
        <v>5.2</v>
      </c>
      <c r="L182" s="1889"/>
      <c r="M182" s="1889"/>
      <c r="N182" s="526">
        <f>N185+N188+N183</f>
        <v>5.2</v>
      </c>
      <c r="O182" s="1889"/>
      <c r="P182" s="1889"/>
      <c r="Q182" s="526">
        <f>Q185+Q188</f>
        <v>2.4</v>
      </c>
      <c r="R182" s="526">
        <f t="shared" si="33"/>
        <v>2.4</v>
      </c>
      <c r="S182" s="526"/>
      <c r="T182" s="526"/>
      <c r="U182" s="526"/>
      <c r="V182" s="526">
        <f>V185+V188</f>
        <v>2.4</v>
      </c>
      <c r="W182" s="526"/>
      <c r="X182" s="526"/>
      <c r="Y182" s="526">
        <f>Y185+Y188</f>
        <v>2.4</v>
      </c>
      <c r="Z182" s="526">
        <f t="shared" si="40"/>
        <v>-2.8</v>
      </c>
      <c r="AA182" s="526">
        <f t="shared" si="41"/>
        <v>46.2</v>
      </c>
      <c r="AB182" s="1890"/>
      <c r="AC182" s="534" t="s">
        <v>1665</v>
      </c>
      <c r="AF182" s="528"/>
      <c r="AG182" s="1892"/>
      <c r="AH182" s="1892"/>
    </row>
    <row r="183" spans="1:34" s="498" customFormat="1" hidden="1" x14ac:dyDescent="0.25">
      <c r="A183" s="962"/>
      <c r="B183" s="865" t="s">
        <v>1830</v>
      </c>
      <c r="C183" s="508" t="s">
        <v>796</v>
      </c>
      <c r="D183" s="903"/>
      <c r="E183" s="962"/>
      <c r="F183" s="857"/>
      <c r="G183" s="857"/>
      <c r="H183" s="533"/>
      <c r="I183" s="857"/>
      <c r="J183" s="857"/>
      <c r="K183" s="533">
        <f>K184</f>
        <v>3</v>
      </c>
      <c r="L183" s="857"/>
      <c r="M183" s="857"/>
      <c r="N183" s="533">
        <f>N184</f>
        <v>3</v>
      </c>
      <c r="O183" s="857"/>
      <c r="P183" s="857"/>
      <c r="Q183" s="533"/>
      <c r="R183" s="533">
        <f t="shared" si="33"/>
        <v>0</v>
      </c>
      <c r="S183" s="533"/>
      <c r="T183" s="857"/>
      <c r="U183" s="857"/>
      <c r="V183" s="533"/>
      <c r="W183" s="533"/>
      <c r="X183" s="533"/>
      <c r="Y183" s="533"/>
      <c r="Z183" s="559">
        <f t="shared" si="40"/>
        <v>-3</v>
      </c>
      <c r="AA183" s="559">
        <f t="shared" si="41"/>
        <v>0</v>
      </c>
      <c r="AB183" s="1893"/>
      <c r="AC183" s="534" t="s">
        <v>1665</v>
      </c>
      <c r="AF183" s="466"/>
      <c r="AG183" s="465"/>
      <c r="AH183" s="465"/>
    </row>
    <row r="184" spans="1:34" s="498" customFormat="1" ht="38.25" hidden="1" x14ac:dyDescent="0.25">
      <c r="A184" s="962"/>
      <c r="B184" s="856" t="s">
        <v>1831</v>
      </c>
      <c r="C184" s="499"/>
      <c r="D184" s="903"/>
      <c r="E184" s="962"/>
      <c r="F184" s="857"/>
      <c r="G184" s="857"/>
      <c r="H184" s="857"/>
      <c r="I184" s="857">
        <v>30</v>
      </c>
      <c r="J184" s="857">
        <v>0.1</v>
      </c>
      <c r="K184" s="857">
        <f>I184*J184</f>
        <v>3</v>
      </c>
      <c r="L184" s="857">
        <v>30</v>
      </c>
      <c r="M184" s="857">
        <v>0.1</v>
      </c>
      <c r="N184" s="857">
        <f>L184*M184</f>
        <v>3</v>
      </c>
      <c r="O184" s="857"/>
      <c r="P184" s="857"/>
      <c r="Q184" s="857"/>
      <c r="R184" s="857">
        <f t="shared" si="33"/>
        <v>0</v>
      </c>
      <c r="S184" s="857"/>
      <c r="T184" s="857"/>
      <c r="U184" s="857"/>
      <c r="V184" s="857"/>
      <c r="W184" s="857"/>
      <c r="X184" s="857"/>
      <c r="Y184" s="857"/>
      <c r="Z184" s="559">
        <f t="shared" si="40"/>
        <v>-3</v>
      </c>
      <c r="AA184" s="559">
        <f t="shared" si="41"/>
        <v>0</v>
      </c>
      <c r="AB184" s="1884" t="s">
        <v>1746</v>
      </c>
      <c r="AC184" s="534" t="s">
        <v>1665</v>
      </c>
      <c r="AF184" s="466"/>
      <c r="AG184" s="465"/>
      <c r="AH184" s="465"/>
    </row>
    <row r="185" spans="1:34" s="498" customFormat="1" hidden="1" x14ac:dyDescent="0.25">
      <c r="A185" s="962"/>
      <c r="B185" s="865" t="s">
        <v>1228</v>
      </c>
      <c r="C185" s="508" t="s">
        <v>797</v>
      </c>
      <c r="D185" s="903"/>
      <c r="E185" s="962"/>
      <c r="F185" s="857"/>
      <c r="G185" s="857"/>
      <c r="H185" s="533">
        <f>H186</f>
        <v>3.6</v>
      </c>
      <c r="I185" s="857"/>
      <c r="J185" s="857"/>
      <c r="K185" s="533">
        <f>SUM(K186:K187)</f>
        <v>1.8</v>
      </c>
      <c r="L185" s="857"/>
      <c r="M185" s="857"/>
      <c r="N185" s="533">
        <f>SUM(N186:N187)</f>
        <v>1.8</v>
      </c>
      <c r="O185" s="533"/>
      <c r="P185" s="533"/>
      <c r="Q185" s="533">
        <f>SUM(Q186:Q187)</f>
        <v>2</v>
      </c>
      <c r="R185" s="533">
        <f t="shared" si="33"/>
        <v>2</v>
      </c>
      <c r="S185" s="533"/>
      <c r="T185" s="533"/>
      <c r="U185" s="533"/>
      <c r="V185" s="533">
        <f>SUM(V186:V187)</f>
        <v>2</v>
      </c>
      <c r="W185" s="533"/>
      <c r="X185" s="533"/>
      <c r="Y185" s="533">
        <f>SUM(Y186:Y187)</f>
        <v>2</v>
      </c>
      <c r="Z185" s="559">
        <f t="shared" si="40"/>
        <v>0.2</v>
      </c>
      <c r="AA185" s="559">
        <f t="shared" si="41"/>
        <v>111.1</v>
      </c>
      <c r="AB185" s="1893"/>
      <c r="AC185" s="534" t="s">
        <v>1665</v>
      </c>
      <c r="AF185" s="466"/>
      <c r="AG185" s="465"/>
      <c r="AH185" s="465"/>
    </row>
    <row r="186" spans="1:34" s="498" customFormat="1" hidden="1" x14ac:dyDescent="0.25">
      <c r="A186" s="962"/>
      <c r="B186" s="856" t="s">
        <v>1832</v>
      </c>
      <c r="C186" s="508"/>
      <c r="D186" s="903"/>
      <c r="E186" s="962"/>
      <c r="F186" s="857">
        <v>36</v>
      </c>
      <c r="G186" s="857">
        <v>0.1</v>
      </c>
      <c r="H186" s="857">
        <f>F186*G186</f>
        <v>3.6</v>
      </c>
      <c r="I186" s="857">
        <v>36</v>
      </c>
      <c r="J186" s="862">
        <v>0.05</v>
      </c>
      <c r="K186" s="857">
        <f>I186*J186</f>
        <v>1.8</v>
      </c>
      <c r="L186" s="857">
        <v>36</v>
      </c>
      <c r="M186" s="862">
        <v>0.05</v>
      </c>
      <c r="N186" s="857">
        <f>L186*M186</f>
        <v>1.8</v>
      </c>
      <c r="O186" s="533"/>
      <c r="P186" s="533"/>
      <c r="Q186" s="533"/>
      <c r="R186" s="533">
        <f t="shared" si="33"/>
        <v>0</v>
      </c>
      <c r="S186" s="533"/>
      <c r="T186" s="533"/>
      <c r="U186" s="533"/>
      <c r="V186" s="533"/>
      <c r="W186" s="533"/>
      <c r="X186" s="533"/>
      <c r="Y186" s="533"/>
      <c r="Z186" s="559">
        <f t="shared" si="40"/>
        <v>-1.8</v>
      </c>
      <c r="AA186" s="559">
        <f t="shared" si="41"/>
        <v>0</v>
      </c>
      <c r="AB186" s="1893"/>
      <c r="AC186" s="534" t="s">
        <v>1665</v>
      </c>
      <c r="AF186" s="466"/>
      <c r="AG186" s="465"/>
      <c r="AH186" s="465"/>
    </row>
    <row r="187" spans="1:34" s="498" customFormat="1" ht="25.5" hidden="1" x14ac:dyDescent="0.25">
      <c r="A187" s="962"/>
      <c r="B187" s="856" t="s">
        <v>1833</v>
      </c>
      <c r="C187" s="499"/>
      <c r="D187" s="903"/>
      <c r="E187" s="962" t="s">
        <v>227</v>
      </c>
      <c r="F187" s="857"/>
      <c r="G187" s="857"/>
      <c r="H187" s="857"/>
      <c r="I187" s="857"/>
      <c r="J187" s="862"/>
      <c r="K187" s="857"/>
      <c r="L187" s="857"/>
      <c r="M187" s="862"/>
      <c r="N187" s="857"/>
      <c r="O187" s="857">
        <v>1</v>
      </c>
      <c r="P187" s="857">
        <v>2</v>
      </c>
      <c r="Q187" s="857">
        <f>O187*P187</f>
        <v>2</v>
      </c>
      <c r="R187" s="857">
        <f t="shared" si="33"/>
        <v>2</v>
      </c>
      <c r="S187" s="857"/>
      <c r="T187" s="857">
        <v>1</v>
      </c>
      <c r="U187" s="857">
        <v>2</v>
      </c>
      <c r="V187" s="857">
        <f>T187*U187</f>
        <v>2</v>
      </c>
      <c r="W187" s="857">
        <v>1</v>
      </c>
      <c r="X187" s="857">
        <v>2</v>
      </c>
      <c r="Y187" s="857">
        <f>W187*X187</f>
        <v>2</v>
      </c>
      <c r="Z187" s="559">
        <f t="shared" si="40"/>
        <v>2</v>
      </c>
      <c r="AA187" s="559" t="str">
        <f t="shared" si="41"/>
        <v>-</v>
      </c>
      <c r="AB187" s="1884" t="s">
        <v>1834</v>
      </c>
      <c r="AC187" s="534" t="s">
        <v>1665</v>
      </c>
      <c r="AF187" s="466"/>
      <c r="AG187" s="465"/>
      <c r="AH187" s="465"/>
    </row>
    <row r="188" spans="1:34" s="498" customFormat="1" hidden="1" x14ac:dyDescent="0.25">
      <c r="A188" s="962"/>
      <c r="B188" s="865" t="s">
        <v>801</v>
      </c>
      <c r="C188" s="508" t="s">
        <v>797</v>
      </c>
      <c r="D188" s="903"/>
      <c r="E188" s="962"/>
      <c r="F188" s="857"/>
      <c r="G188" s="857"/>
      <c r="H188" s="533">
        <f>H189</f>
        <v>0.8</v>
      </c>
      <c r="I188" s="857"/>
      <c r="J188" s="857"/>
      <c r="K188" s="533">
        <f>K189</f>
        <v>0.4</v>
      </c>
      <c r="L188" s="857"/>
      <c r="M188" s="857"/>
      <c r="N188" s="533">
        <f>N189</f>
        <v>0.4</v>
      </c>
      <c r="O188" s="533"/>
      <c r="P188" s="533"/>
      <c r="Q188" s="533">
        <f>Q189</f>
        <v>0.4</v>
      </c>
      <c r="R188" s="533">
        <f t="shared" si="33"/>
        <v>0.4</v>
      </c>
      <c r="S188" s="533"/>
      <c r="T188" s="533"/>
      <c r="U188" s="533"/>
      <c r="V188" s="533">
        <f>V189</f>
        <v>0.4</v>
      </c>
      <c r="W188" s="533"/>
      <c r="X188" s="533"/>
      <c r="Y188" s="533">
        <f>Y189</f>
        <v>0.4</v>
      </c>
      <c r="Z188" s="559">
        <f t="shared" si="40"/>
        <v>0</v>
      </c>
      <c r="AA188" s="559">
        <f t="shared" si="41"/>
        <v>100</v>
      </c>
      <c r="AB188" s="1893"/>
      <c r="AC188" s="534" t="s">
        <v>1665</v>
      </c>
      <c r="AF188" s="466"/>
      <c r="AG188" s="465"/>
      <c r="AH188" s="465"/>
    </row>
    <row r="189" spans="1:34" s="498" customFormat="1" hidden="1" x14ac:dyDescent="0.25">
      <c r="A189" s="962"/>
      <c r="B189" s="502" t="s">
        <v>1835</v>
      </c>
      <c r="C189" s="499"/>
      <c r="D189" s="903"/>
      <c r="E189" s="962" t="s">
        <v>227</v>
      </c>
      <c r="F189" s="857">
        <v>8</v>
      </c>
      <c r="G189" s="857">
        <v>0.1</v>
      </c>
      <c r="H189" s="857">
        <f>F189*G189</f>
        <v>0.8</v>
      </c>
      <c r="I189" s="857">
        <v>4</v>
      </c>
      <c r="J189" s="862">
        <v>0.1</v>
      </c>
      <c r="K189" s="857">
        <f>I189*J189</f>
        <v>0.4</v>
      </c>
      <c r="L189" s="857">
        <v>4</v>
      </c>
      <c r="M189" s="862">
        <v>0.1</v>
      </c>
      <c r="N189" s="857">
        <f>L189*M189</f>
        <v>0.4</v>
      </c>
      <c r="O189" s="857">
        <v>4</v>
      </c>
      <c r="P189" s="857">
        <v>0.1</v>
      </c>
      <c r="Q189" s="857">
        <f>O189*P189</f>
        <v>0.4</v>
      </c>
      <c r="R189" s="857">
        <f t="shared" si="33"/>
        <v>0.4</v>
      </c>
      <c r="S189" s="857"/>
      <c r="T189" s="857">
        <v>4</v>
      </c>
      <c r="U189" s="857">
        <v>0.1</v>
      </c>
      <c r="V189" s="857">
        <f>T189*U189</f>
        <v>0.4</v>
      </c>
      <c r="W189" s="857">
        <v>4</v>
      </c>
      <c r="X189" s="857">
        <v>0.1</v>
      </c>
      <c r="Y189" s="857">
        <f>W189*X189</f>
        <v>0.4</v>
      </c>
      <c r="Z189" s="559">
        <f t="shared" si="40"/>
        <v>0</v>
      </c>
      <c r="AA189" s="559">
        <f t="shared" si="41"/>
        <v>100</v>
      </c>
      <c r="AB189" s="1884"/>
      <c r="AC189" s="534" t="s">
        <v>1665</v>
      </c>
      <c r="AF189" s="466"/>
      <c r="AG189" s="465"/>
      <c r="AH189" s="465"/>
    </row>
    <row r="190" spans="1:34" s="517" customFormat="1" ht="14.25" hidden="1" x14ac:dyDescent="0.2">
      <c r="A190" s="487"/>
      <c r="B190" s="904" t="s">
        <v>1244</v>
      </c>
      <c r="C190" s="905"/>
      <c r="D190" s="487"/>
      <c r="E190" s="490"/>
      <c r="F190" s="488"/>
      <c r="G190" s="489"/>
      <c r="H190" s="490" t="e">
        <f>#REF!+H191+#REF!</f>
        <v>#REF!</v>
      </c>
      <c r="I190" s="847"/>
      <c r="J190" s="847"/>
      <c r="K190" s="490">
        <f>K191</f>
        <v>36.799999999999997</v>
      </c>
      <c r="L190" s="847"/>
      <c r="M190" s="847"/>
      <c r="N190" s="490">
        <f>N191</f>
        <v>36.799999999999997</v>
      </c>
      <c r="O190" s="847"/>
      <c r="P190" s="847"/>
      <c r="Q190" s="490">
        <f>Q191</f>
        <v>43.9</v>
      </c>
      <c r="R190" s="490">
        <f t="shared" si="33"/>
        <v>43.9</v>
      </c>
      <c r="S190" s="490"/>
      <c r="T190" s="847"/>
      <c r="U190" s="847"/>
      <c r="V190" s="490">
        <f>V191</f>
        <v>43.9</v>
      </c>
      <c r="W190" s="490"/>
      <c r="X190" s="490"/>
      <c r="Y190" s="490">
        <f>Y191</f>
        <v>43.9</v>
      </c>
      <c r="Z190" s="490">
        <f t="shared" si="40"/>
        <v>7.1</v>
      </c>
      <c r="AA190" s="490">
        <f t="shared" si="41"/>
        <v>119.3</v>
      </c>
      <c r="AB190" s="555"/>
      <c r="AC190" s="515"/>
      <c r="AF190" s="518"/>
      <c r="AG190" s="519"/>
      <c r="AH190" s="519"/>
    </row>
    <row r="191" spans="1:34" s="527" customFormat="1" ht="38.25" hidden="1" x14ac:dyDescent="0.2">
      <c r="A191" s="522"/>
      <c r="B191" s="858" t="s">
        <v>1700</v>
      </c>
      <c r="C191" s="859"/>
      <c r="D191" s="522" t="s">
        <v>1444</v>
      </c>
      <c r="E191" s="525"/>
      <c r="F191" s="1894"/>
      <c r="G191" s="1895"/>
      <c r="H191" s="860">
        <f>H192+H201+H203+H209+H210</f>
        <v>51.6</v>
      </c>
      <c r="I191" s="1896"/>
      <c r="J191" s="1896"/>
      <c r="K191" s="860">
        <f>K192+K201+K203+K209+K210</f>
        <v>36.799999999999997</v>
      </c>
      <c r="L191" s="1896"/>
      <c r="M191" s="1896"/>
      <c r="N191" s="860">
        <f>N192+N201+N203+N209+N210</f>
        <v>36.799999999999997</v>
      </c>
      <c r="O191" s="1896"/>
      <c r="P191" s="1896"/>
      <c r="Q191" s="860">
        <f>Q192+Q201+Q203+Q207+Q208+Q209+Q210</f>
        <v>43.9</v>
      </c>
      <c r="R191" s="860">
        <f t="shared" si="33"/>
        <v>43.9</v>
      </c>
      <c r="S191" s="860"/>
      <c r="T191" s="860"/>
      <c r="U191" s="860"/>
      <c r="V191" s="860">
        <f>V192+V201+V203+V207+V208+V209+V210</f>
        <v>43.9</v>
      </c>
      <c r="W191" s="860"/>
      <c r="X191" s="860"/>
      <c r="Y191" s="860">
        <f>Y192+Y201+Y203+Y207+Y208+Y209+Y210</f>
        <v>43.9</v>
      </c>
      <c r="Z191" s="860">
        <f t="shared" si="40"/>
        <v>7.1</v>
      </c>
      <c r="AA191" s="860">
        <f t="shared" si="41"/>
        <v>119.3</v>
      </c>
      <c r="AB191" s="1897"/>
      <c r="AC191" s="549" t="s">
        <v>1665</v>
      </c>
      <c r="AF191" s="528"/>
      <c r="AG191" s="528"/>
      <c r="AH191" s="528"/>
    </row>
    <row r="192" spans="1:34" s="492" customFormat="1" ht="14.25" hidden="1" x14ac:dyDescent="0.2">
      <c r="A192" s="1240"/>
      <c r="B192" s="1042" t="s">
        <v>1395</v>
      </c>
      <c r="C192" s="501" t="s">
        <v>1230</v>
      </c>
      <c r="D192" s="1240"/>
      <c r="E192" s="854"/>
      <c r="F192" s="1898"/>
      <c r="G192" s="1899"/>
      <c r="H192" s="493">
        <f>SUM(H193:H200)</f>
        <v>26.1</v>
      </c>
      <c r="I192" s="1900"/>
      <c r="J192" s="1900"/>
      <c r="K192" s="532">
        <f>SUM(K193:K200)</f>
        <v>20.8</v>
      </c>
      <c r="L192" s="1900"/>
      <c r="M192" s="1900"/>
      <c r="N192" s="532">
        <f>SUM(N193:N200)</f>
        <v>20.8</v>
      </c>
      <c r="O192" s="532"/>
      <c r="P192" s="532"/>
      <c r="Q192" s="532">
        <f>SUM(Q193:Q200)</f>
        <v>24.8</v>
      </c>
      <c r="R192" s="532">
        <f t="shared" si="33"/>
        <v>24.8</v>
      </c>
      <c r="S192" s="532"/>
      <c r="T192" s="532"/>
      <c r="U192" s="532"/>
      <c r="V192" s="532">
        <f>SUM(V193:V200)</f>
        <v>24.8</v>
      </c>
      <c r="W192" s="532"/>
      <c r="X192" s="532"/>
      <c r="Y192" s="532">
        <f>SUM(Y193:Y200)</f>
        <v>24.8</v>
      </c>
      <c r="Z192" s="493">
        <f t="shared" si="40"/>
        <v>4</v>
      </c>
      <c r="AA192" s="493">
        <f t="shared" si="41"/>
        <v>119.2</v>
      </c>
      <c r="AB192" s="1042"/>
      <c r="AC192" s="491" t="s">
        <v>1665</v>
      </c>
      <c r="AF192" s="466"/>
      <c r="AG192" s="466"/>
      <c r="AH192" s="466"/>
    </row>
    <row r="193" spans="1:34" s="498" customFormat="1" hidden="1" x14ac:dyDescent="0.25">
      <c r="A193" s="962"/>
      <c r="B193" s="1043" t="s">
        <v>1836</v>
      </c>
      <c r="C193" s="503"/>
      <c r="D193" s="903"/>
      <c r="E193" s="535" t="s">
        <v>1837</v>
      </c>
      <c r="F193" s="494">
        <v>2</v>
      </c>
      <c r="G193" s="495">
        <v>2.2999999999999998</v>
      </c>
      <c r="H193" s="1245">
        <f>F193*G193</f>
        <v>4.5999999999999996</v>
      </c>
      <c r="I193" s="496">
        <v>2</v>
      </c>
      <c r="J193" s="496">
        <v>2.2999999999999998</v>
      </c>
      <c r="K193" s="496">
        <f>I193*J193</f>
        <v>4.5999999999999996</v>
      </c>
      <c r="L193" s="496">
        <v>2</v>
      </c>
      <c r="M193" s="496">
        <v>2.2999999999999998</v>
      </c>
      <c r="N193" s="496">
        <f>L193*M193</f>
        <v>4.5999999999999996</v>
      </c>
      <c r="O193" s="496">
        <v>2</v>
      </c>
      <c r="P193" s="496">
        <v>2.2999999999999998</v>
      </c>
      <c r="Q193" s="496">
        <f>O193*P193</f>
        <v>4.5999999999999996</v>
      </c>
      <c r="R193" s="496">
        <f t="shared" si="33"/>
        <v>4.5999999999999996</v>
      </c>
      <c r="S193" s="496"/>
      <c r="T193" s="496">
        <v>2</v>
      </c>
      <c r="U193" s="496">
        <v>2.2999999999999998</v>
      </c>
      <c r="V193" s="496">
        <f>T193*U193</f>
        <v>4.5999999999999996</v>
      </c>
      <c r="W193" s="496">
        <v>2</v>
      </c>
      <c r="X193" s="496">
        <v>2.2999999999999998</v>
      </c>
      <c r="Y193" s="496">
        <f>W193*X193</f>
        <v>4.5999999999999996</v>
      </c>
      <c r="Z193" s="1245">
        <f t="shared" si="40"/>
        <v>0</v>
      </c>
      <c r="AA193" s="1245">
        <f t="shared" si="41"/>
        <v>100</v>
      </c>
      <c r="AB193" s="1043"/>
      <c r="AC193" s="491" t="s">
        <v>1665</v>
      </c>
      <c r="AF193" s="466"/>
      <c r="AG193" s="465"/>
      <c r="AH193" s="465"/>
    </row>
    <row r="194" spans="1:34" s="498" customFormat="1" hidden="1" x14ac:dyDescent="0.25">
      <c r="A194" s="962"/>
      <c r="B194" s="1043" t="s">
        <v>1838</v>
      </c>
      <c r="C194" s="503"/>
      <c r="D194" s="903"/>
      <c r="E194" s="535" t="s">
        <v>1837</v>
      </c>
      <c r="F194" s="494">
        <v>3</v>
      </c>
      <c r="G194" s="495">
        <v>1.1499999999999999</v>
      </c>
      <c r="H194" s="1245">
        <f>F194*G194</f>
        <v>3.5</v>
      </c>
      <c r="I194" s="496"/>
      <c r="J194" s="496"/>
      <c r="K194" s="496">
        <f>I194*J194</f>
        <v>0</v>
      </c>
      <c r="L194" s="496"/>
      <c r="M194" s="496"/>
      <c r="N194" s="496">
        <f>L194*M194</f>
        <v>0</v>
      </c>
      <c r="O194" s="496"/>
      <c r="P194" s="496"/>
      <c r="Q194" s="496"/>
      <c r="R194" s="496">
        <f t="shared" si="33"/>
        <v>0</v>
      </c>
      <c r="S194" s="496"/>
      <c r="T194" s="496"/>
      <c r="U194" s="496"/>
      <c r="V194" s="496"/>
      <c r="W194" s="496"/>
      <c r="X194" s="496"/>
      <c r="Y194" s="496"/>
      <c r="Z194" s="1245">
        <f t="shared" si="40"/>
        <v>0</v>
      </c>
      <c r="AA194" s="1245" t="str">
        <f t="shared" si="41"/>
        <v>-</v>
      </c>
      <c r="AB194" s="1043"/>
      <c r="AC194" s="491" t="s">
        <v>1665</v>
      </c>
      <c r="AF194" s="466"/>
      <c r="AG194" s="465"/>
      <c r="AH194" s="465"/>
    </row>
    <row r="195" spans="1:34" s="498" customFormat="1" hidden="1" x14ac:dyDescent="0.25">
      <c r="A195" s="962"/>
      <c r="B195" s="1043" t="s">
        <v>1839</v>
      </c>
      <c r="C195" s="503"/>
      <c r="D195" s="903"/>
      <c r="E195" s="535" t="s">
        <v>1837</v>
      </c>
      <c r="F195" s="494">
        <v>4</v>
      </c>
      <c r="G195" s="495">
        <v>1.73</v>
      </c>
      <c r="H195" s="1245">
        <f>F195*G195</f>
        <v>6.9</v>
      </c>
      <c r="I195" s="496">
        <v>4</v>
      </c>
      <c r="J195" s="496">
        <v>1.7</v>
      </c>
      <c r="K195" s="496">
        <f>I195*J195</f>
        <v>6.8</v>
      </c>
      <c r="L195" s="496">
        <v>4</v>
      </c>
      <c r="M195" s="496">
        <v>1.7</v>
      </c>
      <c r="N195" s="496">
        <f>L195*M195</f>
        <v>6.8</v>
      </c>
      <c r="O195" s="496">
        <v>4</v>
      </c>
      <c r="P195" s="496">
        <v>1.7</v>
      </c>
      <c r="Q195" s="496">
        <f>O195*P195</f>
        <v>6.8</v>
      </c>
      <c r="R195" s="496">
        <f t="shared" si="33"/>
        <v>6.8</v>
      </c>
      <c r="S195" s="496"/>
      <c r="T195" s="496">
        <v>4</v>
      </c>
      <c r="U195" s="496">
        <v>1.7</v>
      </c>
      <c r="V195" s="496">
        <f>T195*U195</f>
        <v>6.8</v>
      </c>
      <c r="W195" s="496">
        <v>4</v>
      </c>
      <c r="X195" s="496">
        <v>1.7</v>
      </c>
      <c r="Y195" s="496">
        <f>W195*X195</f>
        <v>6.8</v>
      </c>
      <c r="Z195" s="1245">
        <f t="shared" si="40"/>
        <v>0</v>
      </c>
      <c r="AA195" s="1245">
        <f t="shared" si="41"/>
        <v>100</v>
      </c>
      <c r="AB195" s="1043"/>
      <c r="AC195" s="491" t="s">
        <v>1665</v>
      </c>
      <c r="AF195" s="466"/>
      <c r="AG195" s="465"/>
      <c r="AH195" s="465"/>
    </row>
    <row r="196" spans="1:34" s="498" customFormat="1" hidden="1" x14ac:dyDescent="0.25">
      <c r="A196" s="962"/>
      <c r="B196" s="1901" t="s">
        <v>1519</v>
      </c>
      <c r="C196" s="1902"/>
      <c r="D196" s="903"/>
      <c r="E196" s="535" t="s">
        <v>1837</v>
      </c>
      <c r="F196" s="863">
        <v>1</v>
      </c>
      <c r="G196" s="864">
        <v>3.5</v>
      </c>
      <c r="H196" s="1245">
        <f>F196*G196</f>
        <v>3.5</v>
      </c>
      <c r="I196" s="682">
        <v>1</v>
      </c>
      <c r="J196" s="682">
        <v>3.5</v>
      </c>
      <c r="K196" s="496">
        <f>I196*J196</f>
        <v>3.5</v>
      </c>
      <c r="L196" s="682">
        <v>1</v>
      </c>
      <c r="M196" s="682">
        <v>3.5</v>
      </c>
      <c r="N196" s="496">
        <f>L196*M196</f>
        <v>3.5</v>
      </c>
      <c r="O196" s="682">
        <v>1</v>
      </c>
      <c r="P196" s="682">
        <v>3.5</v>
      </c>
      <c r="Q196" s="496">
        <f>O196*P196</f>
        <v>3.5</v>
      </c>
      <c r="R196" s="496">
        <f t="shared" si="33"/>
        <v>3.5</v>
      </c>
      <c r="S196" s="496"/>
      <c r="T196" s="682">
        <v>1</v>
      </c>
      <c r="U196" s="682">
        <v>3.5</v>
      </c>
      <c r="V196" s="496">
        <f>T196*U196</f>
        <v>3.5</v>
      </c>
      <c r="W196" s="682">
        <v>1</v>
      </c>
      <c r="X196" s="682">
        <v>3.5</v>
      </c>
      <c r="Y196" s="496">
        <f>W196*X196</f>
        <v>3.5</v>
      </c>
      <c r="Z196" s="1245">
        <f t="shared" si="40"/>
        <v>0</v>
      </c>
      <c r="AA196" s="1245">
        <f t="shared" si="41"/>
        <v>100</v>
      </c>
      <c r="AB196" s="1901"/>
      <c r="AC196" s="491" t="s">
        <v>1665</v>
      </c>
      <c r="AF196" s="466"/>
      <c r="AG196" s="465"/>
      <c r="AH196" s="465"/>
    </row>
    <row r="197" spans="1:34" s="498" customFormat="1" hidden="1" x14ac:dyDescent="0.25">
      <c r="A197" s="962"/>
      <c r="B197" s="1901" t="s">
        <v>1840</v>
      </c>
      <c r="C197" s="1902"/>
      <c r="D197" s="903"/>
      <c r="E197" s="535"/>
      <c r="F197" s="863"/>
      <c r="G197" s="864"/>
      <c r="H197" s="1245"/>
      <c r="I197" s="682">
        <v>3</v>
      </c>
      <c r="J197" s="682">
        <v>1.2</v>
      </c>
      <c r="K197" s="496">
        <v>0</v>
      </c>
      <c r="L197" s="682">
        <v>3</v>
      </c>
      <c r="M197" s="682">
        <v>1.2</v>
      </c>
      <c r="N197" s="496">
        <v>0</v>
      </c>
      <c r="O197" s="682"/>
      <c r="P197" s="682"/>
      <c r="Q197" s="496"/>
      <c r="R197" s="496">
        <f t="shared" si="33"/>
        <v>0</v>
      </c>
      <c r="S197" s="496"/>
      <c r="T197" s="682"/>
      <c r="U197" s="682"/>
      <c r="V197" s="496"/>
      <c r="W197" s="682"/>
      <c r="X197" s="682"/>
      <c r="Y197" s="496"/>
      <c r="Z197" s="1245">
        <f t="shared" si="40"/>
        <v>0</v>
      </c>
      <c r="AA197" s="1245" t="str">
        <f t="shared" si="41"/>
        <v>-</v>
      </c>
      <c r="AB197" s="1901"/>
      <c r="AC197" s="491" t="s">
        <v>1665</v>
      </c>
      <c r="AF197" s="466"/>
      <c r="AG197" s="465"/>
      <c r="AH197" s="465"/>
    </row>
    <row r="198" spans="1:34" s="498" customFormat="1" hidden="1" x14ac:dyDescent="0.25">
      <c r="A198" s="962"/>
      <c r="B198" s="1903" t="s">
        <v>1683</v>
      </c>
      <c r="C198" s="1904"/>
      <c r="D198" s="903"/>
      <c r="E198" s="535" t="s">
        <v>1837</v>
      </c>
      <c r="F198" s="863">
        <v>1</v>
      </c>
      <c r="G198" s="864">
        <v>2</v>
      </c>
      <c r="H198" s="1245">
        <f>F198*G198</f>
        <v>2</v>
      </c>
      <c r="I198" s="682">
        <v>1</v>
      </c>
      <c r="J198" s="682">
        <v>2</v>
      </c>
      <c r="K198" s="496">
        <v>1.5</v>
      </c>
      <c r="L198" s="682">
        <v>1</v>
      </c>
      <c r="M198" s="682">
        <v>2</v>
      </c>
      <c r="N198" s="496">
        <v>1.5</v>
      </c>
      <c r="O198" s="682"/>
      <c r="P198" s="682"/>
      <c r="Q198" s="496"/>
      <c r="R198" s="496">
        <f t="shared" si="33"/>
        <v>0</v>
      </c>
      <c r="S198" s="496"/>
      <c r="T198" s="682"/>
      <c r="U198" s="682"/>
      <c r="V198" s="496"/>
      <c r="W198" s="682"/>
      <c r="X198" s="682"/>
      <c r="Y198" s="496"/>
      <c r="Z198" s="1245">
        <f t="shared" si="40"/>
        <v>-1.5</v>
      </c>
      <c r="AA198" s="1245">
        <f t="shared" si="41"/>
        <v>0</v>
      </c>
      <c r="AB198" s="1903"/>
      <c r="AC198" s="491" t="s">
        <v>1665</v>
      </c>
      <c r="AF198" s="466"/>
      <c r="AG198" s="465"/>
      <c r="AH198" s="465"/>
    </row>
    <row r="199" spans="1:34" s="498" customFormat="1" hidden="1" x14ac:dyDescent="0.25">
      <c r="A199" s="962"/>
      <c r="B199" s="1903" t="s">
        <v>1841</v>
      </c>
      <c r="C199" s="1904"/>
      <c r="D199" s="903"/>
      <c r="E199" s="535"/>
      <c r="F199" s="863"/>
      <c r="G199" s="864"/>
      <c r="H199" s="1245"/>
      <c r="I199" s="682"/>
      <c r="J199" s="682"/>
      <c r="K199" s="496"/>
      <c r="L199" s="682"/>
      <c r="M199" s="682"/>
      <c r="N199" s="496"/>
      <c r="O199" s="682">
        <v>2</v>
      </c>
      <c r="P199" s="682">
        <v>2.2999999999999998</v>
      </c>
      <c r="Q199" s="496">
        <f>O199*P199</f>
        <v>4.5999999999999996</v>
      </c>
      <c r="R199" s="496">
        <f t="shared" si="33"/>
        <v>4.5999999999999996</v>
      </c>
      <c r="S199" s="496"/>
      <c r="T199" s="682">
        <v>2</v>
      </c>
      <c r="U199" s="682">
        <v>2.2999999999999998</v>
      </c>
      <c r="V199" s="496">
        <f>T199*U199</f>
        <v>4.5999999999999996</v>
      </c>
      <c r="W199" s="682">
        <v>2</v>
      </c>
      <c r="X199" s="682">
        <v>2.2999999999999998</v>
      </c>
      <c r="Y199" s="496">
        <f>W199*X199</f>
        <v>4.5999999999999996</v>
      </c>
      <c r="Z199" s="1245">
        <f t="shared" si="40"/>
        <v>4.5999999999999996</v>
      </c>
      <c r="AA199" s="1245" t="str">
        <f t="shared" si="41"/>
        <v>-</v>
      </c>
      <c r="AB199" s="1903"/>
      <c r="AC199" s="491" t="s">
        <v>1665</v>
      </c>
      <c r="AF199" s="466"/>
      <c r="AG199" s="465"/>
      <c r="AH199" s="465"/>
    </row>
    <row r="200" spans="1:34" s="498" customFormat="1" hidden="1" x14ac:dyDescent="0.25">
      <c r="A200" s="962"/>
      <c r="B200" s="1030" t="s">
        <v>842</v>
      </c>
      <c r="C200" s="553"/>
      <c r="D200" s="903"/>
      <c r="E200" s="535"/>
      <c r="F200" s="504"/>
      <c r="G200" s="505"/>
      <c r="H200" s="535">
        <f>SUM(H193:H198)*0.271</f>
        <v>5.6</v>
      </c>
      <c r="I200" s="1905"/>
      <c r="J200" s="1905"/>
      <c r="K200" s="1905">
        <f>SUM(K193:K198)*0.271</f>
        <v>4.4000000000000004</v>
      </c>
      <c r="L200" s="1905"/>
      <c r="M200" s="1905"/>
      <c r="N200" s="1905">
        <f>SUM(N193:N198)*0.271</f>
        <v>4.4000000000000004</v>
      </c>
      <c r="O200" s="1905"/>
      <c r="P200" s="1905"/>
      <c r="Q200" s="1905">
        <f>SUM(Q193:Q199)*0.271</f>
        <v>5.3</v>
      </c>
      <c r="R200" s="1905">
        <f t="shared" si="33"/>
        <v>5.3</v>
      </c>
      <c r="S200" s="1905"/>
      <c r="T200" s="1905"/>
      <c r="U200" s="1905"/>
      <c r="V200" s="1905">
        <f>SUM(V193:V199)*0.271</f>
        <v>5.3</v>
      </c>
      <c r="W200" s="1905"/>
      <c r="X200" s="1905"/>
      <c r="Y200" s="1905">
        <f>SUM(Y193:Y199)*0.271</f>
        <v>5.3</v>
      </c>
      <c r="Z200" s="535">
        <f t="shared" si="40"/>
        <v>0.9</v>
      </c>
      <c r="AA200" s="535">
        <f t="shared" si="41"/>
        <v>120.5</v>
      </c>
      <c r="AB200" s="1030"/>
      <c r="AC200" s="491" t="s">
        <v>1665</v>
      </c>
      <c r="AF200" s="466"/>
      <c r="AG200" s="465"/>
      <c r="AH200" s="465"/>
    </row>
    <row r="201" spans="1:34" s="492" customFormat="1" ht="25.5" hidden="1" x14ac:dyDescent="0.2">
      <c r="A201" s="1240"/>
      <c r="B201" s="898" t="s">
        <v>1842</v>
      </c>
      <c r="C201" s="529" t="s">
        <v>797</v>
      </c>
      <c r="D201" s="932"/>
      <c r="E201" s="854"/>
      <c r="F201" s="530"/>
      <c r="G201" s="531"/>
      <c r="H201" s="493">
        <f>SUM(H202:H202)</f>
        <v>1.6</v>
      </c>
      <c r="I201" s="532"/>
      <c r="J201" s="532"/>
      <c r="K201" s="532">
        <f>SUM(K202:K202)</f>
        <v>0.8</v>
      </c>
      <c r="L201" s="532"/>
      <c r="M201" s="532"/>
      <c r="N201" s="532">
        <f>SUM(N202:N202)</f>
        <v>0.8</v>
      </c>
      <c r="O201" s="532"/>
      <c r="P201" s="532"/>
      <c r="Q201" s="532">
        <f>SUM(Q202:Q202)</f>
        <v>1.2</v>
      </c>
      <c r="R201" s="532">
        <f t="shared" si="33"/>
        <v>1.2</v>
      </c>
      <c r="S201" s="532"/>
      <c r="T201" s="532"/>
      <c r="U201" s="532"/>
      <c r="V201" s="532">
        <f>SUM(V202:V202)</f>
        <v>1.2</v>
      </c>
      <c r="W201" s="532"/>
      <c r="X201" s="532"/>
      <c r="Y201" s="532">
        <f>SUM(Y202:Y202)</f>
        <v>1.2</v>
      </c>
      <c r="Z201" s="493">
        <f t="shared" si="40"/>
        <v>0.4</v>
      </c>
      <c r="AA201" s="493">
        <f t="shared" si="41"/>
        <v>150</v>
      </c>
      <c r="AB201" s="900"/>
      <c r="AC201" s="491" t="s">
        <v>1665</v>
      </c>
      <c r="AF201" s="466"/>
      <c r="AG201" s="466"/>
      <c r="AH201" s="466"/>
    </row>
    <row r="202" spans="1:34" s="498" customFormat="1" ht="89.25" hidden="1" x14ac:dyDescent="0.25">
      <c r="A202" s="962"/>
      <c r="B202" s="1030" t="s">
        <v>1843</v>
      </c>
      <c r="C202" s="553"/>
      <c r="D202" s="903"/>
      <c r="E202" s="535" t="s">
        <v>310</v>
      </c>
      <c r="F202" s="863">
        <v>16</v>
      </c>
      <c r="G202" s="864">
        <v>0.1</v>
      </c>
      <c r="H202" s="1245">
        <f>F202*G202</f>
        <v>1.6</v>
      </c>
      <c r="I202" s="682">
        <v>8</v>
      </c>
      <c r="J202" s="1906">
        <v>0.1</v>
      </c>
      <c r="K202" s="496">
        <f>I202*J202</f>
        <v>0.8</v>
      </c>
      <c r="L202" s="682">
        <v>8</v>
      </c>
      <c r="M202" s="1906">
        <v>0.1</v>
      </c>
      <c r="N202" s="496">
        <f>L202*M202</f>
        <v>0.8</v>
      </c>
      <c r="O202" s="682">
        <v>12</v>
      </c>
      <c r="P202" s="682">
        <v>0.1</v>
      </c>
      <c r="Q202" s="496">
        <f>O202*P202</f>
        <v>1.2</v>
      </c>
      <c r="R202" s="496">
        <f t="shared" si="33"/>
        <v>1.2</v>
      </c>
      <c r="S202" s="496"/>
      <c r="T202" s="682">
        <v>12</v>
      </c>
      <c r="U202" s="682">
        <v>0.1</v>
      </c>
      <c r="V202" s="496">
        <f>T202*U202</f>
        <v>1.2</v>
      </c>
      <c r="W202" s="682">
        <v>12</v>
      </c>
      <c r="X202" s="682">
        <v>0.1</v>
      </c>
      <c r="Y202" s="496">
        <f>W202*X202</f>
        <v>1.2</v>
      </c>
      <c r="Z202" s="1245">
        <f t="shared" si="40"/>
        <v>0.4</v>
      </c>
      <c r="AA202" s="1245">
        <f t="shared" si="41"/>
        <v>150</v>
      </c>
      <c r="AB202" s="900" t="s">
        <v>1844</v>
      </c>
      <c r="AC202" s="491" t="s">
        <v>1665</v>
      </c>
      <c r="AF202" s="466"/>
      <c r="AG202" s="465"/>
      <c r="AH202" s="465"/>
    </row>
    <row r="203" spans="1:34" s="492" customFormat="1" ht="14.25" hidden="1" x14ac:dyDescent="0.2">
      <c r="A203" s="1240"/>
      <c r="B203" s="898" t="s">
        <v>1845</v>
      </c>
      <c r="C203" s="529" t="s">
        <v>797</v>
      </c>
      <c r="D203" s="932"/>
      <c r="E203" s="854"/>
      <c r="F203" s="1898"/>
      <c r="G203" s="1899"/>
      <c r="H203" s="493">
        <f>SUM(H204:H206)</f>
        <v>9</v>
      </c>
      <c r="I203" s="1900"/>
      <c r="J203" s="1900"/>
      <c r="K203" s="532">
        <f>SUM(K204:K206)</f>
        <v>8</v>
      </c>
      <c r="L203" s="1900"/>
      <c r="M203" s="1900"/>
      <c r="N203" s="532">
        <f>SUM(N204:N206)</f>
        <v>8</v>
      </c>
      <c r="O203" s="532"/>
      <c r="P203" s="532"/>
      <c r="Q203" s="532">
        <f>SUM(Q204:Q206)</f>
        <v>4</v>
      </c>
      <c r="R203" s="532">
        <f t="shared" si="33"/>
        <v>4</v>
      </c>
      <c r="S203" s="532"/>
      <c r="T203" s="532"/>
      <c r="U203" s="532"/>
      <c r="V203" s="532">
        <f>SUM(V204:V206)</f>
        <v>4</v>
      </c>
      <c r="W203" s="532"/>
      <c r="X203" s="532"/>
      <c r="Y203" s="532">
        <f>SUM(Y204:Y206)</f>
        <v>4</v>
      </c>
      <c r="Z203" s="493">
        <f t="shared" si="40"/>
        <v>-4</v>
      </c>
      <c r="AA203" s="493">
        <f t="shared" si="41"/>
        <v>50</v>
      </c>
      <c r="AB203" s="900"/>
      <c r="AC203" s="491" t="s">
        <v>1665</v>
      </c>
      <c r="AF203" s="466"/>
      <c r="AG203" s="466"/>
      <c r="AH203" s="466"/>
    </row>
    <row r="204" spans="1:34" s="492" customFormat="1" ht="14.25" hidden="1" x14ac:dyDescent="0.2">
      <c r="A204" s="1240"/>
      <c r="B204" s="867" t="s">
        <v>1846</v>
      </c>
      <c r="C204" s="553"/>
      <c r="D204" s="903"/>
      <c r="E204" s="535" t="s">
        <v>227</v>
      </c>
      <c r="F204" s="1907">
        <v>60</v>
      </c>
      <c r="G204" s="1908">
        <v>0.1</v>
      </c>
      <c r="H204" s="1245">
        <f>F204*G204</f>
        <v>6</v>
      </c>
      <c r="I204" s="1864">
        <v>20</v>
      </c>
      <c r="J204" s="1906">
        <v>0.05</v>
      </c>
      <c r="K204" s="496">
        <f>I204*J204</f>
        <v>1</v>
      </c>
      <c r="L204" s="1864">
        <v>20</v>
      </c>
      <c r="M204" s="1906">
        <v>0.05</v>
      </c>
      <c r="N204" s="496">
        <f>L204*M204</f>
        <v>1</v>
      </c>
      <c r="O204" s="1864"/>
      <c r="P204" s="682"/>
      <c r="Q204" s="496"/>
      <c r="R204" s="496">
        <f t="shared" si="33"/>
        <v>0</v>
      </c>
      <c r="S204" s="496"/>
      <c r="T204" s="1864"/>
      <c r="U204" s="682"/>
      <c r="V204" s="496"/>
      <c r="W204" s="1864"/>
      <c r="X204" s="682"/>
      <c r="Y204" s="496"/>
      <c r="Z204" s="1245">
        <f t="shared" si="40"/>
        <v>-1</v>
      </c>
      <c r="AA204" s="1245">
        <f t="shared" si="41"/>
        <v>0</v>
      </c>
      <c r="AB204" s="900"/>
      <c r="AC204" s="491" t="s">
        <v>1665</v>
      </c>
      <c r="AF204" s="466"/>
      <c r="AG204" s="466"/>
      <c r="AH204" s="466"/>
    </row>
    <row r="205" spans="1:34" s="492" customFormat="1" ht="38.25" hidden="1" x14ac:dyDescent="0.2">
      <c r="A205" s="1240"/>
      <c r="B205" s="867" t="s">
        <v>1847</v>
      </c>
      <c r="C205" s="553"/>
      <c r="D205" s="903"/>
      <c r="E205" s="535"/>
      <c r="F205" s="1907"/>
      <c r="G205" s="1908"/>
      <c r="H205" s="1245"/>
      <c r="I205" s="1864">
        <v>4</v>
      </c>
      <c r="J205" s="1864">
        <v>1</v>
      </c>
      <c r="K205" s="496">
        <f>I205*J205</f>
        <v>4</v>
      </c>
      <c r="L205" s="1864">
        <v>4</v>
      </c>
      <c r="M205" s="1864">
        <v>1</v>
      </c>
      <c r="N205" s="496">
        <f>L205*M205</f>
        <v>4</v>
      </c>
      <c r="O205" s="1864">
        <v>1</v>
      </c>
      <c r="P205" s="1864">
        <v>4</v>
      </c>
      <c r="Q205" s="496">
        <f>O205*P205</f>
        <v>4</v>
      </c>
      <c r="R205" s="496">
        <f t="shared" si="33"/>
        <v>4</v>
      </c>
      <c r="S205" s="496"/>
      <c r="T205" s="1864">
        <v>1</v>
      </c>
      <c r="U205" s="1864">
        <v>4</v>
      </c>
      <c r="V205" s="496">
        <f>T205*U205</f>
        <v>4</v>
      </c>
      <c r="W205" s="1864">
        <v>1</v>
      </c>
      <c r="X205" s="1864">
        <v>4</v>
      </c>
      <c r="Y205" s="496">
        <f>W205*X205</f>
        <v>4</v>
      </c>
      <c r="Z205" s="1245">
        <f t="shared" si="40"/>
        <v>0</v>
      </c>
      <c r="AA205" s="1245">
        <f t="shared" si="41"/>
        <v>100</v>
      </c>
      <c r="AB205" s="900" t="s">
        <v>1848</v>
      </c>
      <c r="AC205" s="491" t="s">
        <v>1665</v>
      </c>
      <c r="AF205" s="466"/>
      <c r="AG205" s="466"/>
      <c r="AH205" s="466"/>
    </row>
    <row r="206" spans="1:34" s="498" customFormat="1" ht="38.25" hidden="1" x14ac:dyDescent="0.25">
      <c r="A206" s="962"/>
      <c r="B206" s="867" t="s">
        <v>1849</v>
      </c>
      <c r="C206" s="553"/>
      <c r="D206" s="903"/>
      <c r="E206" s="535"/>
      <c r="F206" s="1907"/>
      <c r="G206" s="1908"/>
      <c r="H206" s="1245">
        <v>3</v>
      </c>
      <c r="I206" s="1864"/>
      <c r="J206" s="1864"/>
      <c r="K206" s="496">
        <v>3</v>
      </c>
      <c r="L206" s="1864"/>
      <c r="M206" s="1864"/>
      <c r="N206" s="496">
        <v>3</v>
      </c>
      <c r="O206" s="1864"/>
      <c r="P206" s="1864"/>
      <c r="Q206" s="496"/>
      <c r="R206" s="496">
        <f t="shared" si="33"/>
        <v>0</v>
      </c>
      <c r="S206" s="496"/>
      <c r="T206" s="1864"/>
      <c r="U206" s="1864"/>
      <c r="V206" s="496"/>
      <c r="W206" s="1864"/>
      <c r="X206" s="1864"/>
      <c r="Y206" s="496"/>
      <c r="Z206" s="1245">
        <f t="shared" si="40"/>
        <v>-3</v>
      </c>
      <c r="AA206" s="1245">
        <f t="shared" si="41"/>
        <v>0</v>
      </c>
      <c r="AB206" s="900"/>
      <c r="AC206" s="491" t="s">
        <v>1665</v>
      </c>
      <c r="AF206" s="466"/>
      <c r="AG206" s="465"/>
      <c r="AH206" s="465"/>
    </row>
    <row r="207" spans="1:34" s="498" customFormat="1" ht="38.25" hidden="1" x14ac:dyDescent="0.25">
      <c r="A207" s="962"/>
      <c r="B207" s="866" t="s">
        <v>1850</v>
      </c>
      <c r="C207" s="1909">
        <v>981</v>
      </c>
      <c r="D207" s="497"/>
      <c r="E207" s="497"/>
      <c r="F207" s="497"/>
      <c r="G207" s="497"/>
      <c r="H207" s="497"/>
      <c r="I207" s="497"/>
      <c r="J207" s="497"/>
      <c r="K207" s="497"/>
      <c r="L207" s="497"/>
      <c r="M207" s="497"/>
      <c r="N207" s="497"/>
      <c r="O207" s="1864"/>
      <c r="P207" s="1864"/>
      <c r="Q207" s="532">
        <v>4</v>
      </c>
      <c r="R207" s="532">
        <f t="shared" si="33"/>
        <v>4</v>
      </c>
      <c r="S207" s="532"/>
      <c r="T207" s="1864"/>
      <c r="U207" s="1864"/>
      <c r="V207" s="532">
        <v>4</v>
      </c>
      <c r="W207" s="1864"/>
      <c r="X207" s="1864"/>
      <c r="Y207" s="532">
        <v>4</v>
      </c>
      <c r="Z207" s="1245">
        <f t="shared" si="40"/>
        <v>4</v>
      </c>
      <c r="AA207" s="1245" t="str">
        <f t="shared" si="41"/>
        <v>-</v>
      </c>
      <c r="AB207" s="900" t="s">
        <v>1851</v>
      </c>
      <c r="AC207" s="491" t="s">
        <v>1665</v>
      </c>
      <c r="AF207" s="466"/>
      <c r="AG207" s="465"/>
      <c r="AH207" s="465"/>
    </row>
    <row r="208" spans="1:34" s="498" customFormat="1" ht="63.75" hidden="1" x14ac:dyDescent="0.25">
      <c r="A208" s="962"/>
      <c r="B208" s="866" t="s">
        <v>1852</v>
      </c>
      <c r="C208" s="1909">
        <v>981</v>
      </c>
      <c r="D208" s="497"/>
      <c r="E208" s="497"/>
      <c r="F208" s="497"/>
      <c r="G208" s="497"/>
      <c r="H208" s="497"/>
      <c r="I208" s="497"/>
      <c r="J208" s="497"/>
      <c r="K208" s="497"/>
      <c r="L208" s="497"/>
      <c r="M208" s="497"/>
      <c r="N208" s="497"/>
      <c r="O208" s="1864"/>
      <c r="P208" s="1864"/>
      <c r="Q208" s="532">
        <v>2</v>
      </c>
      <c r="R208" s="532">
        <f t="shared" si="33"/>
        <v>2</v>
      </c>
      <c r="S208" s="532"/>
      <c r="T208" s="1864"/>
      <c r="U208" s="1864"/>
      <c r="V208" s="532">
        <v>2</v>
      </c>
      <c r="W208" s="1864"/>
      <c r="X208" s="1864"/>
      <c r="Y208" s="532">
        <v>2</v>
      </c>
      <c r="Z208" s="1245">
        <f t="shared" si="40"/>
        <v>2</v>
      </c>
      <c r="AA208" s="1245" t="str">
        <f t="shared" si="41"/>
        <v>-</v>
      </c>
      <c r="AB208" s="900" t="s">
        <v>1853</v>
      </c>
      <c r="AC208" s="491" t="s">
        <v>1665</v>
      </c>
      <c r="AF208" s="466"/>
      <c r="AG208" s="465"/>
      <c r="AH208" s="465"/>
    </row>
    <row r="209" spans="1:34" s="492" customFormat="1" ht="38.25" hidden="1" x14ac:dyDescent="0.2">
      <c r="A209" s="1240"/>
      <c r="B209" s="898" t="s">
        <v>1854</v>
      </c>
      <c r="C209" s="529" t="s">
        <v>796</v>
      </c>
      <c r="D209" s="932"/>
      <c r="E209" s="854" t="s">
        <v>227</v>
      </c>
      <c r="F209" s="530">
        <v>15</v>
      </c>
      <c r="G209" s="531">
        <v>0.5</v>
      </c>
      <c r="H209" s="493">
        <f>F209*G209</f>
        <v>7.5</v>
      </c>
      <c r="I209" s="532">
        <v>15</v>
      </c>
      <c r="J209" s="1836">
        <v>0.25</v>
      </c>
      <c r="K209" s="532">
        <f>I209*J209</f>
        <v>3.8</v>
      </c>
      <c r="L209" s="532">
        <v>15</v>
      </c>
      <c r="M209" s="1836">
        <v>0.25</v>
      </c>
      <c r="N209" s="532">
        <f>L209*M209</f>
        <v>3.8</v>
      </c>
      <c r="O209" s="532">
        <v>15</v>
      </c>
      <c r="P209" s="532">
        <v>0.3</v>
      </c>
      <c r="Q209" s="532">
        <f>O209*P209</f>
        <v>4.5</v>
      </c>
      <c r="R209" s="532">
        <f t="shared" si="33"/>
        <v>4.5</v>
      </c>
      <c r="S209" s="532"/>
      <c r="T209" s="532">
        <v>15</v>
      </c>
      <c r="U209" s="532">
        <v>0.3</v>
      </c>
      <c r="V209" s="532">
        <f>T209*U209</f>
        <v>4.5</v>
      </c>
      <c r="W209" s="532">
        <v>15</v>
      </c>
      <c r="X209" s="532">
        <v>0.3</v>
      </c>
      <c r="Y209" s="532">
        <f>W209*X209</f>
        <v>4.5</v>
      </c>
      <c r="Z209" s="493">
        <f t="shared" si="40"/>
        <v>0.7</v>
      </c>
      <c r="AA209" s="493">
        <f t="shared" si="41"/>
        <v>118.4</v>
      </c>
      <c r="AB209" s="900" t="s">
        <v>1855</v>
      </c>
      <c r="AC209" s="491" t="s">
        <v>1665</v>
      </c>
      <c r="AF209" s="466"/>
      <c r="AG209" s="466"/>
      <c r="AH209" s="466"/>
    </row>
    <row r="210" spans="1:34" s="492" customFormat="1" ht="14.25" hidden="1" x14ac:dyDescent="0.2">
      <c r="A210" s="1240"/>
      <c r="B210" s="866" t="s">
        <v>1856</v>
      </c>
      <c r="C210" s="529" t="s">
        <v>797</v>
      </c>
      <c r="D210" s="1240"/>
      <c r="E210" s="854"/>
      <c r="F210" s="530"/>
      <c r="G210" s="531"/>
      <c r="H210" s="493">
        <f>SUM(H211:H212)</f>
        <v>7.4</v>
      </c>
      <c r="I210" s="532"/>
      <c r="J210" s="532"/>
      <c r="K210" s="532">
        <f>SUM(K211:K212)</f>
        <v>3.4</v>
      </c>
      <c r="L210" s="532"/>
      <c r="M210" s="532"/>
      <c r="N210" s="532">
        <f>SUM(N211:N212)</f>
        <v>3.4</v>
      </c>
      <c r="O210" s="532"/>
      <c r="P210" s="532"/>
      <c r="Q210" s="532">
        <f>SUM(Q211:Q212)</f>
        <v>3.4</v>
      </c>
      <c r="R210" s="532">
        <f t="shared" si="33"/>
        <v>3.4</v>
      </c>
      <c r="S210" s="532"/>
      <c r="T210" s="532"/>
      <c r="U210" s="532"/>
      <c r="V210" s="532">
        <f>SUM(V211:V212)</f>
        <v>3.4</v>
      </c>
      <c r="W210" s="532"/>
      <c r="X210" s="532"/>
      <c r="Y210" s="532">
        <f>SUM(Y211:Y212)</f>
        <v>3.4</v>
      </c>
      <c r="Z210" s="493">
        <f t="shared" si="40"/>
        <v>0</v>
      </c>
      <c r="AA210" s="493">
        <f t="shared" si="41"/>
        <v>100</v>
      </c>
      <c r="AB210" s="900"/>
      <c r="AC210" s="491" t="s">
        <v>1665</v>
      </c>
      <c r="AF210" s="466"/>
      <c r="AG210" s="466"/>
      <c r="AH210" s="466"/>
    </row>
    <row r="211" spans="1:34" s="498" customFormat="1" hidden="1" x14ac:dyDescent="0.25">
      <c r="A211" s="962"/>
      <c r="B211" s="867" t="s">
        <v>1857</v>
      </c>
      <c r="C211" s="553"/>
      <c r="D211" s="903"/>
      <c r="E211" s="535" t="s">
        <v>310</v>
      </c>
      <c r="F211" s="494">
        <v>1</v>
      </c>
      <c r="G211" s="495">
        <v>4</v>
      </c>
      <c r="H211" s="1245">
        <f>F211*G211</f>
        <v>4</v>
      </c>
      <c r="I211" s="509"/>
      <c r="J211" s="509"/>
      <c r="K211" s="509">
        <v>0</v>
      </c>
      <c r="L211" s="509"/>
      <c r="M211" s="509"/>
      <c r="N211" s="509">
        <v>0</v>
      </c>
      <c r="O211" s="509"/>
      <c r="P211" s="509"/>
      <c r="Q211" s="509"/>
      <c r="R211" s="509">
        <f t="shared" ref="R211:R274" si="42">Q211</f>
        <v>0</v>
      </c>
      <c r="S211" s="509"/>
      <c r="T211" s="509"/>
      <c r="U211" s="509"/>
      <c r="V211" s="509"/>
      <c r="W211" s="509"/>
      <c r="X211" s="509"/>
      <c r="Y211" s="509"/>
      <c r="Z211" s="1245">
        <f t="shared" si="40"/>
        <v>0</v>
      </c>
      <c r="AA211" s="1245" t="str">
        <f t="shared" si="41"/>
        <v>-</v>
      </c>
      <c r="AB211" s="900"/>
      <c r="AC211" s="491" t="s">
        <v>1665</v>
      </c>
      <c r="AF211" s="466"/>
      <c r="AG211" s="465"/>
      <c r="AH211" s="465"/>
    </row>
    <row r="212" spans="1:34" s="498" customFormat="1" hidden="1" x14ac:dyDescent="0.25">
      <c r="A212" s="962"/>
      <c r="B212" s="867" t="s">
        <v>1858</v>
      </c>
      <c r="C212" s="553"/>
      <c r="D212" s="903"/>
      <c r="E212" s="535" t="s">
        <v>310</v>
      </c>
      <c r="F212" s="494">
        <v>34</v>
      </c>
      <c r="G212" s="495">
        <v>0.1</v>
      </c>
      <c r="H212" s="1245">
        <f>F212*G212</f>
        <v>3.4</v>
      </c>
      <c r="I212" s="496">
        <v>34</v>
      </c>
      <c r="J212" s="496">
        <v>0.1</v>
      </c>
      <c r="K212" s="496">
        <f>I212*J212</f>
        <v>3.4</v>
      </c>
      <c r="L212" s="496">
        <v>34</v>
      </c>
      <c r="M212" s="496">
        <v>0.1</v>
      </c>
      <c r="N212" s="496">
        <f>L212*M212</f>
        <v>3.4</v>
      </c>
      <c r="O212" s="496">
        <v>34</v>
      </c>
      <c r="P212" s="496">
        <v>0.1</v>
      </c>
      <c r="Q212" s="496">
        <f>O212*P212</f>
        <v>3.4</v>
      </c>
      <c r="R212" s="496">
        <f t="shared" si="42"/>
        <v>3.4</v>
      </c>
      <c r="S212" s="496"/>
      <c r="T212" s="496">
        <v>34</v>
      </c>
      <c r="U212" s="496">
        <v>0.1</v>
      </c>
      <c r="V212" s="496">
        <f>T212*U212</f>
        <v>3.4</v>
      </c>
      <c r="W212" s="496">
        <v>34</v>
      </c>
      <c r="X212" s="496">
        <v>0.1</v>
      </c>
      <c r="Y212" s="496">
        <f>W212*X212</f>
        <v>3.4</v>
      </c>
      <c r="Z212" s="1245">
        <f t="shared" si="40"/>
        <v>0</v>
      </c>
      <c r="AA212" s="1245">
        <f t="shared" si="41"/>
        <v>100</v>
      </c>
      <c r="AB212" s="1910"/>
      <c r="AC212" s="491" t="s">
        <v>1665</v>
      </c>
      <c r="AF212" s="466"/>
      <c r="AG212" s="465"/>
      <c r="AH212" s="465"/>
    </row>
    <row r="213" spans="1:34" s="539" customFormat="1" hidden="1" x14ac:dyDescent="0.25">
      <c r="A213" s="536"/>
      <c r="B213" s="543" t="s">
        <v>799</v>
      </c>
      <c r="C213" s="511"/>
      <c r="D213" s="536"/>
      <c r="E213" s="544"/>
      <c r="F213" s="545"/>
      <c r="G213" s="546"/>
      <c r="H213" s="537" t="e">
        <f>#REF!+H214+#REF!+#REF!</f>
        <v>#REF!</v>
      </c>
      <c r="I213" s="537"/>
      <c r="J213" s="537"/>
      <c r="K213" s="537">
        <f>K214</f>
        <v>71.5</v>
      </c>
      <c r="L213" s="537"/>
      <c r="M213" s="537"/>
      <c r="N213" s="537">
        <f>N214</f>
        <v>71.5</v>
      </c>
      <c r="O213" s="537"/>
      <c r="P213" s="537"/>
      <c r="Q213" s="537">
        <f>Q214</f>
        <v>141.5</v>
      </c>
      <c r="R213" s="537">
        <f t="shared" si="42"/>
        <v>141.5</v>
      </c>
      <c r="S213" s="537"/>
      <c r="T213" s="537"/>
      <c r="U213" s="537"/>
      <c r="V213" s="537">
        <f>V214</f>
        <v>116</v>
      </c>
      <c r="W213" s="537"/>
      <c r="X213" s="537"/>
      <c r="Y213" s="537">
        <f>Y214</f>
        <v>116</v>
      </c>
      <c r="Z213" s="537">
        <f t="shared" si="40"/>
        <v>70</v>
      </c>
      <c r="AA213" s="537">
        <f t="shared" si="41"/>
        <v>197.9</v>
      </c>
      <c r="AC213" s="538"/>
      <c r="AF213" s="518"/>
      <c r="AG213" s="540"/>
      <c r="AH213" s="540"/>
    </row>
    <row r="214" spans="1:34" s="527" customFormat="1" ht="38.25" hidden="1" x14ac:dyDescent="0.2">
      <c r="A214" s="522"/>
      <c r="B214" s="520" t="s">
        <v>1664</v>
      </c>
      <c r="C214" s="521"/>
      <c r="D214" s="522" t="s">
        <v>1444</v>
      </c>
      <c r="E214" s="556"/>
      <c r="F214" s="523"/>
      <c r="G214" s="524"/>
      <c r="H214" s="526">
        <f>H215+H222+H223+H227+H230+H242+H244+H248+H249</f>
        <v>196.8</v>
      </c>
      <c r="I214" s="526"/>
      <c r="J214" s="526"/>
      <c r="K214" s="526">
        <f>K215+K222+K223+K227+K230+K242+K244+K248+K249</f>
        <v>71.5</v>
      </c>
      <c r="L214" s="526"/>
      <c r="M214" s="526"/>
      <c r="N214" s="526">
        <f>N215+N222+N223+N227+N230+N242+N244+N248+N249</f>
        <v>71.5</v>
      </c>
      <c r="O214" s="526"/>
      <c r="P214" s="526"/>
      <c r="Q214" s="526">
        <f>Q215+Q222+Q223+Q227+Q230+Q242+Q244+Q248+Q249</f>
        <v>141.5</v>
      </c>
      <c r="R214" s="526">
        <f t="shared" si="42"/>
        <v>141.5</v>
      </c>
      <c r="S214" s="526"/>
      <c r="T214" s="526"/>
      <c r="U214" s="526"/>
      <c r="V214" s="526">
        <f>V215+V222+V223+V227+V230+V242+V244+V248+V249</f>
        <v>116</v>
      </c>
      <c r="W214" s="526"/>
      <c r="X214" s="526"/>
      <c r="Y214" s="526">
        <f>Y215+Y222+Y223+Y227+Y230+Y242+Y244+Y248+Y249</f>
        <v>116</v>
      </c>
      <c r="Z214" s="526">
        <f t="shared" si="40"/>
        <v>70</v>
      </c>
      <c r="AA214" s="526">
        <f t="shared" si="41"/>
        <v>197.9</v>
      </c>
      <c r="AB214" s="1911"/>
      <c r="AC214" s="549" t="s">
        <v>1665</v>
      </c>
      <c r="AF214" s="528"/>
      <c r="AG214" s="528"/>
      <c r="AH214" s="528"/>
    </row>
    <row r="215" spans="1:34" s="492" customFormat="1" ht="14.25" hidden="1" x14ac:dyDescent="0.2">
      <c r="A215" s="1240"/>
      <c r="B215" s="500" t="s">
        <v>1859</v>
      </c>
      <c r="C215" s="501" t="s">
        <v>797</v>
      </c>
      <c r="D215" s="1240"/>
      <c r="E215" s="842"/>
      <c r="F215" s="828"/>
      <c r="G215" s="829"/>
      <c r="H215" s="542"/>
      <c r="I215" s="542"/>
      <c r="J215" s="542"/>
      <c r="K215" s="542">
        <f>SUM(K216:K221)</f>
        <v>7.9</v>
      </c>
      <c r="L215" s="542"/>
      <c r="M215" s="542"/>
      <c r="N215" s="542">
        <f>SUM(N216:N221)</f>
        <v>7.9</v>
      </c>
      <c r="O215" s="542"/>
      <c r="P215" s="542"/>
      <c r="Q215" s="533">
        <f>SUM(Q219:Q221)</f>
        <v>3.3</v>
      </c>
      <c r="R215" s="533">
        <f t="shared" si="42"/>
        <v>3.3</v>
      </c>
      <c r="S215" s="533"/>
      <c r="T215" s="542"/>
      <c r="U215" s="542"/>
      <c r="V215" s="533">
        <f>SUM(V219:V221)</f>
        <v>3.3</v>
      </c>
      <c r="W215" s="542"/>
      <c r="X215" s="542"/>
      <c r="Y215" s="533">
        <f>SUM(Y219:Y221)</f>
        <v>3.3</v>
      </c>
      <c r="Z215" s="542">
        <f t="shared" si="40"/>
        <v>-4.5999999999999996</v>
      </c>
      <c r="AA215" s="542">
        <f t="shared" si="41"/>
        <v>41.8</v>
      </c>
      <c r="AB215" s="921"/>
      <c r="AC215" s="549" t="s">
        <v>1665</v>
      </c>
      <c r="AF215" s="466"/>
      <c r="AG215" s="466"/>
      <c r="AH215" s="466"/>
    </row>
    <row r="216" spans="1:34" s="498" customFormat="1" hidden="1" x14ac:dyDescent="0.25">
      <c r="A216" s="962"/>
      <c r="B216" s="1879" t="s">
        <v>1860</v>
      </c>
      <c r="C216" s="499"/>
      <c r="D216" s="903"/>
      <c r="E216" s="535" t="s">
        <v>227</v>
      </c>
      <c r="F216" s="857"/>
      <c r="G216" s="857"/>
      <c r="H216" s="857"/>
      <c r="I216" s="857">
        <v>150</v>
      </c>
      <c r="J216" s="862">
        <v>0.05</v>
      </c>
      <c r="K216" s="857">
        <f>I216*J216</f>
        <v>7.5</v>
      </c>
      <c r="L216" s="857">
        <v>150</v>
      </c>
      <c r="M216" s="862">
        <v>0.05</v>
      </c>
      <c r="N216" s="857">
        <f>L216*M216</f>
        <v>7.5</v>
      </c>
      <c r="O216" s="857"/>
      <c r="P216" s="862"/>
      <c r="Q216" s="857"/>
      <c r="R216" s="857">
        <f t="shared" si="42"/>
        <v>0</v>
      </c>
      <c r="S216" s="857"/>
      <c r="T216" s="857"/>
      <c r="U216" s="862"/>
      <c r="V216" s="857"/>
      <c r="W216" s="857"/>
      <c r="X216" s="857"/>
      <c r="Y216" s="857"/>
      <c r="Z216" s="559">
        <f t="shared" si="40"/>
        <v>-7.5</v>
      </c>
      <c r="AA216" s="559">
        <f t="shared" si="41"/>
        <v>0</v>
      </c>
      <c r="AB216" s="1912"/>
      <c r="AC216" s="549" t="s">
        <v>1665</v>
      </c>
      <c r="AF216" s="466"/>
      <c r="AG216" s="465"/>
      <c r="AH216" s="465"/>
    </row>
    <row r="217" spans="1:34" s="498" customFormat="1" hidden="1" x14ac:dyDescent="0.25">
      <c r="A217" s="962"/>
      <c r="B217" s="856" t="s">
        <v>1861</v>
      </c>
      <c r="C217" s="499"/>
      <c r="D217" s="903"/>
      <c r="E217" s="535"/>
      <c r="F217" s="857"/>
      <c r="G217" s="857"/>
      <c r="H217" s="857"/>
      <c r="I217" s="857"/>
      <c r="J217" s="857"/>
      <c r="K217" s="857"/>
      <c r="L217" s="857"/>
      <c r="M217" s="857"/>
      <c r="N217" s="857"/>
      <c r="O217" s="857"/>
      <c r="P217" s="857"/>
      <c r="Q217" s="857"/>
      <c r="R217" s="857">
        <f t="shared" si="42"/>
        <v>0</v>
      </c>
      <c r="S217" s="857"/>
      <c r="T217" s="857"/>
      <c r="U217" s="857"/>
      <c r="V217" s="857"/>
      <c r="W217" s="857"/>
      <c r="X217" s="857"/>
      <c r="Y217" s="857"/>
      <c r="Z217" s="559">
        <f t="shared" si="40"/>
        <v>0</v>
      </c>
      <c r="AA217" s="559" t="str">
        <f t="shared" si="41"/>
        <v>-</v>
      </c>
      <c r="AB217" s="1912"/>
      <c r="AC217" s="549" t="s">
        <v>1665</v>
      </c>
      <c r="AF217" s="466"/>
      <c r="AG217" s="465"/>
      <c r="AH217" s="465"/>
    </row>
    <row r="218" spans="1:34" s="498" customFormat="1" hidden="1" x14ac:dyDescent="0.25">
      <c r="A218" s="962"/>
      <c r="B218" s="856" t="s">
        <v>1862</v>
      </c>
      <c r="C218" s="499"/>
      <c r="D218" s="903"/>
      <c r="E218" s="535" t="s">
        <v>227</v>
      </c>
      <c r="F218" s="857"/>
      <c r="G218" s="857"/>
      <c r="H218" s="857"/>
      <c r="I218" s="857">
        <v>40</v>
      </c>
      <c r="J218" s="862">
        <v>0.01</v>
      </c>
      <c r="K218" s="857">
        <f>I218*J218</f>
        <v>0.4</v>
      </c>
      <c r="L218" s="857">
        <v>40</v>
      </c>
      <c r="M218" s="862">
        <v>0.01</v>
      </c>
      <c r="N218" s="857">
        <f>L218*M218</f>
        <v>0.4</v>
      </c>
      <c r="O218" s="857"/>
      <c r="P218" s="862"/>
      <c r="Q218" s="857"/>
      <c r="R218" s="857">
        <f t="shared" si="42"/>
        <v>0</v>
      </c>
      <c r="S218" s="857"/>
      <c r="T218" s="857"/>
      <c r="U218" s="862"/>
      <c r="V218" s="857"/>
      <c r="W218" s="857"/>
      <c r="X218" s="857"/>
      <c r="Y218" s="857"/>
      <c r="Z218" s="559">
        <f t="shared" si="40"/>
        <v>-0.4</v>
      </c>
      <c r="AA218" s="559">
        <f t="shared" si="41"/>
        <v>0</v>
      </c>
      <c r="AB218" s="1912"/>
      <c r="AC218" s="549" t="s">
        <v>1665</v>
      </c>
      <c r="AF218" s="466"/>
      <c r="AG218" s="465"/>
      <c r="AH218" s="465"/>
    </row>
    <row r="219" spans="1:34" s="492" customFormat="1" ht="51" hidden="1" x14ac:dyDescent="0.2">
      <c r="A219" s="1240"/>
      <c r="B219" s="856" t="s">
        <v>1863</v>
      </c>
      <c r="C219" s="501"/>
      <c r="D219" s="1240"/>
      <c r="E219" s="842"/>
      <c r="F219" s="828"/>
      <c r="G219" s="829"/>
      <c r="H219" s="542"/>
      <c r="I219" s="542"/>
      <c r="J219" s="542"/>
      <c r="K219" s="542"/>
      <c r="L219" s="542"/>
      <c r="M219" s="542"/>
      <c r="N219" s="542"/>
      <c r="O219" s="857">
        <v>1</v>
      </c>
      <c r="P219" s="857">
        <v>0.4</v>
      </c>
      <c r="Q219" s="857">
        <f>O219*P219</f>
        <v>0.4</v>
      </c>
      <c r="R219" s="857">
        <f t="shared" si="42"/>
        <v>0.4</v>
      </c>
      <c r="S219" s="857"/>
      <c r="T219" s="857">
        <v>1</v>
      </c>
      <c r="U219" s="857">
        <v>0.4</v>
      </c>
      <c r="V219" s="857">
        <f>T219*U219</f>
        <v>0.4</v>
      </c>
      <c r="W219" s="857">
        <v>1</v>
      </c>
      <c r="X219" s="857">
        <v>0.4</v>
      </c>
      <c r="Y219" s="857">
        <f>W219*X219</f>
        <v>0.4</v>
      </c>
      <c r="Z219" s="559">
        <f t="shared" si="40"/>
        <v>0.4</v>
      </c>
      <c r="AA219" s="559" t="str">
        <f t="shared" si="41"/>
        <v>-</v>
      </c>
      <c r="AB219" s="827" t="s">
        <v>1864</v>
      </c>
      <c r="AC219" s="549" t="s">
        <v>1665</v>
      </c>
      <c r="AF219" s="466"/>
      <c r="AG219" s="466"/>
      <c r="AH219" s="466"/>
    </row>
    <row r="220" spans="1:34" s="492" customFormat="1" ht="25.5" hidden="1" x14ac:dyDescent="0.2">
      <c r="A220" s="1240"/>
      <c r="B220" s="856" t="s">
        <v>1865</v>
      </c>
      <c r="C220" s="501"/>
      <c r="D220" s="1240"/>
      <c r="E220" s="842"/>
      <c r="F220" s="828"/>
      <c r="G220" s="829"/>
      <c r="H220" s="542"/>
      <c r="I220" s="542"/>
      <c r="J220" s="542"/>
      <c r="K220" s="542"/>
      <c r="L220" s="542"/>
      <c r="M220" s="542"/>
      <c r="N220" s="542"/>
      <c r="O220" s="857">
        <v>1</v>
      </c>
      <c r="P220" s="857">
        <v>0.9</v>
      </c>
      <c r="Q220" s="857">
        <f>O220*P220</f>
        <v>0.9</v>
      </c>
      <c r="R220" s="857">
        <f t="shared" si="42"/>
        <v>0.9</v>
      </c>
      <c r="S220" s="857"/>
      <c r="T220" s="857">
        <v>1</v>
      </c>
      <c r="U220" s="857">
        <v>0.9</v>
      </c>
      <c r="V220" s="857">
        <f>T220*U220</f>
        <v>0.9</v>
      </c>
      <c r="W220" s="857">
        <v>1</v>
      </c>
      <c r="X220" s="857">
        <v>0.9</v>
      </c>
      <c r="Y220" s="857">
        <f>W220*X220</f>
        <v>0.9</v>
      </c>
      <c r="Z220" s="559">
        <f t="shared" si="40"/>
        <v>0.9</v>
      </c>
      <c r="AA220" s="559" t="str">
        <f t="shared" si="41"/>
        <v>-</v>
      </c>
      <c r="AB220" s="827" t="s">
        <v>1866</v>
      </c>
      <c r="AC220" s="549" t="s">
        <v>1665</v>
      </c>
      <c r="AF220" s="466"/>
      <c r="AG220" s="466"/>
      <c r="AH220" s="466"/>
    </row>
    <row r="221" spans="1:34" s="492" customFormat="1" ht="25.5" hidden="1" x14ac:dyDescent="0.2">
      <c r="A221" s="1240"/>
      <c r="B221" s="856" t="s">
        <v>1867</v>
      </c>
      <c r="C221" s="501"/>
      <c r="D221" s="1240"/>
      <c r="E221" s="842"/>
      <c r="F221" s="828"/>
      <c r="G221" s="829"/>
      <c r="H221" s="542"/>
      <c r="I221" s="542"/>
      <c r="J221" s="542"/>
      <c r="K221" s="542"/>
      <c r="L221" s="542"/>
      <c r="M221" s="542"/>
      <c r="N221" s="542"/>
      <c r="O221" s="857">
        <v>10</v>
      </c>
      <c r="P221" s="857">
        <v>0.2</v>
      </c>
      <c r="Q221" s="857">
        <f>O221*P221</f>
        <v>2</v>
      </c>
      <c r="R221" s="857">
        <f t="shared" si="42"/>
        <v>2</v>
      </c>
      <c r="S221" s="857"/>
      <c r="T221" s="857">
        <v>10</v>
      </c>
      <c r="U221" s="857">
        <v>0.2</v>
      </c>
      <c r="V221" s="857">
        <f>T221*U221</f>
        <v>2</v>
      </c>
      <c r="W221" s="857">
        <v>10</v>
      </c>
      <c r="X221" s="857">
        <v>0.2</v>
      </c>
      <c r="Y221" s="857">
        <f>W221*X221</f>
        <v>2</v>
      </c>
      <c r="Z221" s="559">
        <f t="shared" si="40"/>
        <v>2</v>
      </c>
      <c r="AA221" s="559" t="str">
        <f t="shared" si="41"/>
        <v>-</v>
      </c>
      <c r="AB221" s="827" t="s">
        <v>1868</v>
      </c>
      <c r="AC221" s="549" t="s">
        <v>1665</v>
      </c>
      <c r="AF221" s="466"/>
      <c r="AG221" s="466"/>
      <c r="AH221" s="466"/>
    </row>
    <row r="222" spans="1:34" s="492" customFormat="1" ht="14.25" hidden="1" x14ac:dyDescent="0.2">
      <c r="A222" s="1240"/>
      <c r="B222" s="500" t="s">
        <v>1869</v>
      </c>
      <c r="C222" s="501" t="s">
        <v>797</v>
      </c>
      <c r="D222" s="1240"/>
      <c r="E222" s="842"/>
      <c r="F222" s="828"/>
      <c r="G222" s="829"/>
      <c r="H222" s="542"/>
      <c r="I222" s="542">
        <v>60</v>
      </c>
      <c r="J222" s="542">
        <v>0.1</v>
      </c>
      <c r="K222" s="542">
        <f>I222*J222</f>
        <v>6</v>
      </c>
      <c r="L222" s="542">
        <v>60</v>
      </c>
      <c r="M222" s="542">
        <v>0.1</v>
      </c>
      <c r="N222" s="542">
        <f>L222*M222</f>
        <v>6</v>
      </c>
      <c r="O222" s="533">
        <v>60</v>
      </c>
      <c r="P222" s="533">
        <v>0.1</v>
      </c>
      <c r="Q222" s="533">
        <f>O222*P222</f>
        <v>6</v>
      </c>
      <c r="R222" s="533">
        <f t="shared" si="42"/>
        <v>6</v>
      </c>
      <c r="S222" s="533"/>
      <c r="T222" s="533">
        <v>60</v>
      </c>
      <c r="U222" s="533">
        <v>0.1</v>
      </c>
      <c r="V222" s="533">
        <f>T222*U222</f>
        <v>6</v>
      </c>
      <c r="W222" s="533">
        <v>60</v>
      </c>
      <c r="X222" s="533">
        <v>0.1</v>
      </c>
      <c r="Y222" s="533">
        <f>W222*X222</f>
        <v>6</v>
      </c>
      <c r="Z222" s="542">
        <f t="shared" si="40"/>
        <v>0</v>
      </c>
      <c r="AA222" s="542">
        <f t="shared" si="41"/>
        <v>100</v>
      </c>
      <c r="AB222" s="827"/>
      <c r="AC222" s="549" t="s">
        <v>1665</v>
      </c>
      <c r="AF222" s="466"/>
      <c r="AG222" s="466"/>
      <c r="AH222" s="466"/>
    </row>
    <row r="223" spans="1:34" s="492" customFormat="1" ht="25.5" hidden="1" x14ac:dyDescent="0.2">
      <c r="A223" s="1240"/>
      <c r="B223" s="500" t="s">
        <v>1239</v>
      </c>
      <c r="C223" s="501" t="s">
        <v>797</v>
      </c>
      <c r="D223" s="932"/>
      <c r="E223" s="854"/>
      <c r="F223" s="828"/>
      <c r="G223" s="829"/>
      <c r="H223" s="542">
        <f>SUM(H224:H229)</f>
        <v>15.4</v>
      </c>
      <c r="I223" s="533"/>
      <c r="J223" s="533"/>
      <c r="K223" s="533">
        <f>SUM(K224:K226)</f>
        <v>0.6</v>
      </c>
      <c r="L223" s="533"/>
      <c r="M223" s="533"/>
      <c r="N223" s="533">
        <f>SUM(N224:N226)</f>
        <v>0.6</v>
      </c>
      <c r="O223" s="533"/>
      <c r="P223" s="533"/>
      <c r="Q223" s="533">
        <f>SUM(Q224:Q226)</f>
        <v>4.5</v>
      </c>
      <c r="R223" s="533">
        <f t="shared" si="42"/>
        <v>4.5</v>
      </c>
      <c r="S223" s="533"/>
      <c r="T223" s="533"/>
      <c r="U223" s="533"/>
      <c r="V223" s="533">
        <f>SUM(V224:V226)</f>
        <v>6.2</v>
      </c>
      <c r="W223" s="533"/>
      <c r="X223" s="533"/>
      <c r="Y223" s="533">
        <f>SUM(Y224:Y226)</f>
        <v>6.2</v>
      </c>
      <c r="Z223" s="542">
        <f t="shared" si="40"/>
        <v>3.9</v>
      </c>
      <c r="AA223" s="542">
        <f t="shared" si="41"/>
        <v>750</v>
      </c>
      <c r="AB223" s="827"/>
      <c r="AC223" s="549" t="s">
        <v>1665</v>
      </c>
      <c r="AF223" s="466"/>
      <c r="AG223" s="466"/>
      <c r="AH223" s="466"/>
    </row>
    <row r="224" spans="1:34" s="498" customFormat="1" ht="140.25" hidden="1" x14ac:dyDescent="0.25">
      <c r="A224" s="962"/>
      <c r="B224" s="502" t="s">
        <v>1870</v>
      </c>
      <c r="C224" s="499"/>
      <c r="D224" s="903"/>
      <c r="E224" s="535" t="s">
        <v>227</v>
      </c>
      <c r="F224" s="557">
        <v>40</v>
      </c>
      <c r="G224" s="558">
        <v>0.08</v>
      </c>
      <c r="H224" s="559">
        <f>F224*G224</f>
        <v>3.2</v>
      </c>
      <c r="I224" s="857">
        <v>6</v>
      </c>
      <c r="J224" s="862">
        <v>0.1</v>
      </c>
      <c r="K224" s="857">
        <f>I224*J224</f>
        <v>0.6</v>
      </c>
      <c r="L224" s="857">
        <v>6</v>
      </c>
      <c r="M224" s="862">
        <v>0.1</v>
      </c>
      <c r="N224" s="857">
        <f>L224*M224</f>
        <v>0.6</v>
      </c>
      <c r="O224" s="496">
        <v>15</v>
      </c>
      <c r="P224" s="496">
        <v>0.1</v>
      </c>
      <c r="Q224" s="496">
        <f>O224*P224</f>
        <v>1.5</v>
      </c>
      <c r="R224" s="496">
        <f t="shared" si="42"/>
        <v>1.5</v>
      </c>
      <c r="S224" s="496"/>
      <c r="T224" s="496">
        <v>32</v>
      </c>
      <c r="U224" s="496">
        <v>0.1</v>
      </c>
      <c r="V224" s="496">
        <f>T224*U224</f>
        <v>3.2</v>
      </c>
      <c r="W224" s="496">
        <v>32</v>
      </c>
      <c r="X224" s="496">
        <v>0.1</v>
      </c>
      <c r="Y224" s="496">
        <f>W224*X224</f>
        <v>3.2</v>
      </c>
      <c r="Z224" s="559">
        <f t="shared" si="40"/>
        <v>0.9</v>
      </c>
      <c r="AA224" s="559">
        <f t="shared" si="41"/>
        <v>250</v>
      </c>
      <c r="AB224" s="900" t="s">
        <v>1871</v>
      </c>
      <c r="AC224" s="549" t="s">
        <v>1665</v>
      </c>
      <c r="AF224" s="466"/>
      <c r="AG224" s="465"/>
      <c r="AH224" s="465"/>
    </row>
    <row r="225" spans="1:34" s="498" customFormat="1" ht="38.25" hidden="1" x14ac:dyDescent="0.25">
      <c r="A225" s="962"/>
      <c r="B225" s="856" t="s">
        <v>1692</v>
      </c>
      <c r="C225" s="499"/>
      <c r="D225" s="903"/>
      <c r="E225" s="535" t="s">
        <v>227</v>
      </c>
      <c r="F225" s="557"/>
      <c r="G225" s="558">
        <v>0.3</v>
      </c>
      <c r="H225" s="559">
        <f>F225*G225</f>
        <v>0</v>
      </c>
      <c r="I225" s="857"/>
      <c r="J225" s="857"/>
      <c r="K225" s="857">
        <f>I225*J225</f>
        <v>0</v>
      </c>
      <c r="L225" s="857"/>
      <c r="M225" s="857"/>
      <c r="N225" s="857">
        <f>L225*M225</f>
        <v>0</v>
      </c>
      <c r="O225" s="857"/>
      <c r="P225" s="857"/>
      <c r="Q225" s="496"/>
      <c r="R225" s="496">
        <f t="shared" si="42"/>
        <v>0</v>
      </c>
      <c r="S225" s="496"/>
      <c r="T225" s="857"/>
      <c r="U225" s="857"/>
      <c r="V225" s="496"/>
      <c r="W225" s="857"/>
      <c r="X225" s="857"/>
      <c r="Y225" s="496"/>
      <c r="Z225" s="559"/>
      <c r="AA225" s="559" t="str">
        <f t="shared" si="41"/>
        <v>-</v>
      </c>
      <c r="AB225" s="900" t="s">
        <v>1872</v>
      </c>
      <c r="AC225" s="549" t="s">
        <v>1665</v>
      </c>
      <c r="AF225" s="466"/>
      <c r="AG225" s="465"/>
      <c r="AH225" s="465"/>
    </row>
    <row r="226" spans="1:34" s="498" customFormat="1" hidden="1" x14ac:dyDescent="0.25">
      <c r="A226" s="962"/>
      <c r="B226" s="856" t="s">
        <v>1873</v>
      </c>
      <c r="C226" s="499"/>
      <c r="D226" s="903"/>
      <c r="E226" s="535"/>
      <c r="F226" s="557"/>
      <c r="G226" s="558"/>
      <c r="H226" s="559"/>
      <c r="I226" s="857"/>
      <c r="J226" s="857"/>
      <c r="K226" s="857"/>
      <c r="L226" s="857"/>
      <c r="M226" s="857"/>
      <c r="N226" s="857"/>
      <c r="O226" s="857"/>
      <c r="P226" s="857"/>
      <c r="Q226" s="857">
        <v>3</v>
      </c>
      <c r="R226" s="857">
        <f t="shared" si="42"/>
        <v>3</v>
      </c>
      <c r="S226" s="857"/>
      <c r="T226" s="857"/>
      <c r="U226" s="857"/>
      <c r="V226" s="857">
        <v>3</v>
      </c>
      <c r="W226" s="857"/>
      <c r="X226" s="857"/>
      <c r="Y226" s="857">
        <v>3</v>
      </c>
      <c r="Z226" s="559">
        <f t="shared" ref="Z226:Z289" si="43">Q226-K226</f>
        <v>3</v>
      </c>
      <c r="AA226" s="559" t="str">
        <f t="shared" si="41"/>
        <v>-</v>
      </c>
      <c r="AB226" s="827"/>
      <c r="AC226" s="549" t="s">
        <v>1665</v>
      </c>
      <c r="AF226" s="466"/>
      <c r="AG226" s="465"/>
      <c r="AH226" s="465"/>
    </row>
    <row r="227" spans="1:34" s="498" customFormat="1" ht="48" hidden="1" customHeight="1" x14ac:dyDescent="0.25">
      <c r="A227" s="962"/>
      <c r="B227" s="865" t="s">
        <v>1874</v>
      </c>
      <c r="C227" s="508" t="s">
        <v>797</v>
      </c>
      <c r="D227" s="903"/>
      <c r="E227" s="535"/>
      <c r="F227" s="557"/>
      <c r="G227" s="558"/>
      <c r="H227" s="542">
        <f>SUM(H228:H229)</f>
        <v>6.1</v>
      </c>
      <c r="I227" s="857"/>
      <c r="J227" s="857"/>
      <c r="K227" s="542">
        <f>SUM(K228:K229)</f>
        <v>3</v>
      </c>
      <c r="L227" s="857"/>
      <c r="M227" s="857"/>
      <c r="N227" s="542">
        <f>SUM(N228:N229)</f>
        <v>3</v>
      </c>
      <c r="O227" s="857"/>
      <c r="P227" s="857"/>
      <c r="Q227" s="533"/>
      <c r="R227" s="533">
        <f t="shared" si="42"/>
        <v>0</v>
      </c>
      <c r="S227" s="533"/>
      <c r="T227" s="857"/>
      <c r="U227" s="857"/>
      <c r="V227" s="533"/>
      <c r="W227" s="857"/>
      <c r="X227" s="857"/>
      <c r="Y227" s="533"/>
      <c r="Z227" s="559">
        <f t="shared" si="43"/>
        <v>-3</v>
      </c>
      <c r="AA227" s="559">
        <f t="shared" si="41"/>
        <v>0</v>
      </c>
      <c r="AB227" s="900" t="s">
        <v>1875</v>
      </c>
      <c r="AC227" s="549" t="s">
        <v>1665</v>
      </c>
      <c r="AF227" s="466"/>
      <c r="AG227" s="465"/>
      <c r="AH227" s="465"/>
    </row>
    <row r="228" spans="1:34" s="498" customFormat="1" hidden="1" x14ac:dyDescent="0.25">
      <c r="A228" s="962"/>
      <c r="B228" s="856" t="s">
        <v>1876</v>
      </c>
      <c r="C228" s="499"/>
      <c r="D228" s="903"/>
      <c r="E228" s="535" t="s">
        <v>227</v>
      </c>
      <c r="F228" s="557">
        <v>9</v>
      </c>
      <c r="G228" s="558">
        <v>0.4</v>
      </c>
      <c r="H228" s="559">
        <f>F228*G228</f>
        <v>3.6</v>
      </c>
      <c r="I228" s="857"/>
      <c r="J228" s="857"/>
      <c r="K228" s="857"/>
      <c r="L228" s="857"/>
      <c r="M228" s="857"/>
      <c r="N228" s="857"/>
      <c r="O228" s="857"/>
      <c r="P228" s="857"/>
      <c r="Q228" s="533"/>
      <c r="R228" s="533">
        <f t="shared" si="42"/>
        <v>0</v>
      </c>
      <c r="S228" s="533"/>
      <c r="T228" s="857"/>
      <c r="U228" s="857"/>
      <c r="V228" s="533"/>
      <c r="W228" s="1913"/>
      <c r="X228" s="1913"/>
      <c r="Y228" s="533"/>
      <c r="Z228" s="559">
        <f t="shared" si="43"/>
        <v>0</v>
      </c>
      <c r="AA228" s="559" t="str">
        <f t="shared" si="41"/>
        <v>-</v>
      </c>
      <c r="AB228" s="500"/>
      <c r="AC228" s="549" t="s">
        <v>1665</v>
      </c>
      <c r="AF228" s="466"/>
      <c r="AG228" s="465"/>
      <c r="AH228" s="465"/>
    </row>
    <row r="229" spans="1:34" s="498" customFormat="1" hidden="1" x14ac:dyDescent="0.25">
      <c r="A229" s="962"/>
      <c r="B229" s="856" t="s">
        <v>1873</v>
      </c>
      <c r="C229" s="499"/>
      <c r="D229" s="903"/>
      <c r="E229" s="535" t="s">
        <v>227</v>
      </c>
      <c r="F229" s="557">
        <v>18</v>
      </c>
      <c r="G229" s="558">
        <v>0.14000000000000001</v>
      </c>
      <c r="H229" s="559">
        <f>F229*G229</f>
        <v>2.5</v>
      </c>
      <c r="I229" s="857"/>
      <c r="J229" s="857"/>
      <c r="K229" s="857">
        <v>3</v>
      </c>
      <c r="L229" s="857"/>
      <c r="M229" s="857"/>
      <c r="N229" s="857">
        <v>3</v>
      </c>
      <c r="O229" s="857"/>
      <c r="P229" s="857"/>
      <c r="Q229" s="857"/>
      <c r="R229" s="857">
        <f t="shared" si="42"/>
        <v>0</v>
      </c>
      <c r="S229" s="857"/>
      <c r="T229" s="857"/>
      <c r="U229" s="857"/>
      <c r="V229" s="857"/>
      <c r="W229" s="857"/>
      <c r="X229" s="857"/>
      <c r="Y229" s="857"/>
      <c r="Z229" s="559">
        <f t="shared" si="43"/>
        <v>-3</v>
      </c>
      <c r="AA229" s="559">
        <f t="shared" si="41"/>
        <v>0</v>
      </c>
      <c r="AB229" s="551"/>
      <c r="AC229" s="549" t="s">
        <v>1665</v>
      </c>
      <c r="AF229" s="466"/>
      <c r="AG229" s="465"/>
      <c r="AH229" s="465"/>
    </row>
    <row r="230" spans="1:34" s="492" customFormat="1" ht="14.25" hidden="1" x14ac:dyDescent="0.2">
      <c r="A230" s="1240"/>
      <c r="B230" s="500" t="s">
        <v>1233</v>
      </c>
      <c r="C230" s="501" t="s">
        <v>1230</v>
      </c>
      <c r="D230" s="932"/>
      <c r="E230" s="854"/>
      <c r="F230" s="828"/>
      <c r="G230" s="829"/>
      <c r="H230" s="542">
        <f>SUM(H231:H241)</f>
        <v>23.3</v>
      </c>
      <c r="I230" s="533"/>
      <c r="J230" s="533"/>
      <c r="K230" s="533">
        <f>SUM(K231:K241)</f>
        <v>22.5</v>
      </c>
      <c r="L230" s="533"/>
      <c r="M230" s="533"/>
      <c r="N230" s="533">
        <f>SUM(N231:N241)</f>
        <v>22.5</v>
      </c>
      <c r="O230" s="533"/>
      <c r="P230" s="533"/>
      <c r="Q230" s="533">
        <f>SUM(Q231:Q241)</f>
        <v>46</v>
      </c>
      <c r="R230" s="533">
        <f t="shared" si="42"/>
        <v>46</v>
      </c>
      <c r="S230" s="533"/>
      <c r="T230" s="533"/>
      <c r="U230" s="533"/>
      <c r="V230" s="533">
        <f>SUM(V231:V241)</f>
        <v>46</v>
      </c>
      <c r="W230" s="533"/>
      <c r="X230" s="533"/>
      <c r="Y230" s="533">
        <f>SUM(Y231:Y241)</f>
        <v>46</v>
      </c>
      <c r="Z230" s="542">
        <f t="shared" si="43"/>
        <v>23.5</v>
      </c>
      <c r="AA230" s="542">
        <f t="shared" si="41"/>
        <v>204.4</v>
      </c>
      <c r="AB230" s="921"/>
      <c r="AC230" s="549" t="s">
        <v>1665</v>
      </c>
      <c r="AF230" s="466"/>
      <c r="AG230" s="466"/>
      <c r="AH230" s="466"/>
    </row>
    <row r="231" spans="1:34" s="498" customFormat="1" ht="90" hidden="1" x14ac:dyDescent="0.25">
      <c r="A231" s="962"/>
      <c r="B231" s="551" t="s">
        <v>1519</v>
      </c>
      <c r="C231" s="553"/>
      <c r="D231" s="903"/>
      <c r="E231" s="535" t="s">
        <v>318</v>
      </c>
      <c r="F231" s="1907">
        <v>1</v>
      </c>
      <c r="G231" s="1908">
        <v>3.5</v>
      </c>
      <c r="H231" s="559">
        <f>F231*G231</f>
        <v>3.5</v>
      </c>
      <c r="I231" s="1864">
        <v>1</v>
      </c>
      <c r="J231" s="1864">
        <v>3.5</v>
      </c>
      <c r="K231" s="857">
        <f>I231*J231</f>
        <v>3.5</v>
      </c>
      <c r="L231" s="1864">
        <v>1</v>
      </c>
      <c r="M231" s="1864">
        <v>3.5</v>
      </c>
      <c r="N231" s="857">
        <f>L231*M231</f>
        <v>3.5</v>
      </c>
      <c r="O231" s="1864">
        <v>1</v>
      </c>
      <c r="P231" s="1864">
        <v>3.5</v>
      </c>
      <c r="Q231" s="1865">
        <f>P231*O231</f>
        <v>3.5</v>
      </c>
      <c r="R231" s="1865">
        <f t="shared" si="42"/>
        <v>3.5</v>
      </c>
      <c r="S231" s="1865"/>
      <c r="T231" s="1864">
        <v>1</v>
      </c>
      <c r="U231" s="1864">
        <v>3.5</v>
      </c>
      <c r="V231" s="1865">
        <f>U231*T231</f>
        <v>3.5</v>
      </c>
      <c r="W231" s="1864">
        <v>1</v>
      </c>
      <c r="X231" s="1864">
        <v>3.5</v>
      </c>
      <c r="Y231" s="1865">
        <f>X231*W231</f>
        <v>3.5</v>
      </c>
      <c r="Z231" s="559">
        <f t="shared" si="43"/>
        <v>0</v>
      </c>
      <c r="AA231" s="559">
        <f t="shared" si="41"/>
        <v>100</v>
      </c>
      <c r="AB231" s="893" t="s">
        <v>1877</v>
      </c>
      <c r="AC231" s="549" t="s">
        <v>1665</v>
      </c>
      <c r="AF231" s="466"/>
      <c r="AG231" s="465"/>
      <c r="AH231" s="465"/>
    </row>
    <row r="232" spans="1:34" s="498" customFormat="1" ht="51.75" hidden="1" x14ac:dyDescent="0.25">
      <c r="A232" s="962"/>
      <c r="B232" s="551" t="s">
        <v>1686</v>
      </c>
      <c r="C232" s="553"/>
      <c r="D232" s="903"/>
      <c r="E232" s="535" t="s">
        <v>318</v>
      </c>
      <c r="F232" s="1907">
        <v>1</v>
      </c>
      <c r="G232" s="1908">
        <v>2.2999999999999998</v>
      </c>
      <c r="H232" s="559">
        <f>F232*G232</f>
        <v>2.2999999999999998</v>
      </c>
      <c r="I232" s="1864">
        <v>1</v>
      </c>
      <c r="J232" s="1864">
        <v>2.2999999999999998</v>
      </c>
      <c r="K232" s="857">
        <f>I232*J232</f>
        <v>2.2999999999999998</v>
      </c>
      <c r="L232" s="1864">
        <v>1</v>
      </c>
      <c r="M232" s="1864">
        <v>2.2999999999999998</v>
      </c>
      <c r="N232" s="857">
        <f>L232*M232</f>
        <v>2.2999999999999998</v>
      </c>
      <c r="O232" s="1864">
        <v>2</v>
      </c>
      <c r="P232" s="1864">
        <v>2.2999999999999998</v>
      </c>
      <c r="Q232" s="1865">
        <f>P232*O232</f>
        <v>4.5999999999999996</v>
      </c>
      <c r="R232" s="1865">
        <f t="shared" si="42"/>
        <v>4.5999999999999996</v>
      </c>
      <c r="S232" s="1865"/>
      <c r="T232" s="1864">
        <v>2</v>
      </c>
      <c r="U232" s="1864">
        <v>2.2999999999999998</v>
      </c>
      <c r="V232" s="1865">
        <f>U232*T232</f>
        <v>4.5999999999999996</v>
      </c>
      <c r="W232" s="1864">
        <v>2</v>
      </c>
      <c r="X232" s="1864">
        <v>2.2999999999999998</v>
      </c>
      <c r="Y232" s="1865">
        <f>X232*W232</f>
        <v>4.5999999999999996</v>
      </c>
      <c r="Z232" s="559">
        <f t="shared" si="43"/>
        <v>2.2999999999999998</v>
      </c>
      <c r="AA232" s="559">
        <f t="shared" si="41"/>
        <v>200</v>
      </c>
      <c r="AB232" s="893" t="s">
        <v>1878</v>
      </c>
      <c r="AC232" s="549" t="s">
        <v>1665</v>
      </c>
      <c r="AF232" s="466"/>
      <c r="AG232" s="465"/>
      <c r="AH232" s="465"/>
    </row>
    <row r="233" spans="1:34" s="498" customFormat="1" hidden="1" x14ac:dyDescent="0.25">
      <c r="A233" s="962"/>
      <c r="B233" s="551" t="s">
        <v>1683</v>
      </c>
      <c r="C233" s="553"/>
      <c r="D233" s="903"/>
      <c r="E233" s="535" t="s">
        <v>318</v>
      </c>
      <c r="F233" s="1907">
        <v>1</v>
      </c>
      <c r="G233" s="1908">
        <v>2</v>
      </c>
      <c r="H233" s="559">
        <f>F233*G233</f>
        <v>2</v>
      </c>
      <c r="I233" s="1864">
        <v>1</v>
      </c>
      <c r="J233" s="1864">
        <v>2</v>
      </c>
      <c r="K233" s="857">
        <v>1.5</v>
      </c>
      <c r="L233" s="1864">
        <v>1</v>
      </c>
      <c r="M233" s="1864">
        <v>2</v>
      </c>
      <c r="N233" s="857">
        <v>1.5</v>
      </c>
      <c r="O233" s="1864"/>
      <c r="P233" s="1864"/>
      <c r="Q233" s="1865"/>
      <c r="R233" s="1865">
        <f t="shared" si="42"/>
        <v>0</v>
      </c>
      <c r="S233" s="1865"/>
      <c r="T233" s="1864"/>
      <c r="U233" s="1864"/>
      <c r="V233" s="1865"/>
      <c r="W233" s="1864"/>
      <c r="X233" s="1864"/>
      <c r="Y233" s="1865"/>
      <c r="Z233" s="559">
        <f t="shared" si="43"/>
        <v>-1.5</v>
      </c>
      <c r="AA233" s="559">
        <f t="shared" si="41"/>
        <v>0</v>
      </c>
      <c r="AB233" s="893"/>
      <c r="AC233" s="549" t="s">
        <v>1665</v>
      </c>
      <c r="AF233" s="466"/>
      <c r="AG233" s="465"/>
      <c r="AH233" s="465"/>
    </row>
    <row r="234" spans="1:34" s="498" customFormat="1" hidden="1" x14ac:dyDescent="0.25">
      <c r="A234" s="962"/>
      <c r="B234" s="551" t="s">
        <v>1879</v>
      </c>
      <c r="C234" s="553"/>
      <c r="D234" s="903"/>
      <c r="E234" s="535" t="s">
        <v>318</v>
      </c>
      <c r="F234" s="1907">
        <v>2</v>
      </c>
      <c r="G234" s="1908">
        <v>1.8</v>
      </c>
      <c r="H234" s="559">
        <f>F234*G234</f>
        <v>3.6</v>
      </c>
      <c r="I234" s="1864">
        <v>2</v>
      </c>
      <c r="J234" s="1864">
        <v>1.8</v>
      </c>
      <c r="K234" s="857">
        <f>I234*J234</f>
        <v>3.6</v>
      </c>
      <c r="L234" s="1864">
        <v>2</v>
      </c>
      <c r="M234" s="1864">
        <v>1.8</v>
      </c>
      <c r="N234" s="857">
        <f>L234*M234</f>
        <v>3.6</v>
      </c>
      <c r="O234" s="1864"/>
      <c r="P234" s="1864"/>
      <c r="Q234" s="1865"/>
      <c r="R234" s="1865">
        <f t="shared" si="42"/>
        <v>0</v>
      </c>
      <c r="S234" s="1865"/>
      <c r="T234" s="1864"/>
      <c r="U234" s="1864"/>
      <c r="V234" s="1865"/>
      <c r="W234" s="1864"/>
      <c r="X234" s="1864"/>
      <c r="Y234" s="1865"/>
      <c r="Z234" s="559">
        <f t="shared" si="43"/>
        <v>-3.6</v>
      </c>
      <c r="AA234" s="559">
        <f t="shared" si="41"/>
        <v>0</v>
      </c>
      <c r="AB234" s="893"/>
      <c r="AC234" s="549" t="s">
        <v>1665</v>
      </c>
      <c r="AF234" s="466"/>
      <c r="AG234" s="465"/>
      <c r="AH234" s="465"/>
    </row>
    <row r="235" spans="1:34" s="498" customFormat="1" ht="77.25" hidden="1" x14ac:dyDescent="0.25">
      <c r="A235" s="962"/>
      <c r="B235" s="551" t="s">
        <v>1880</v>
      </c>
      <c r="C235" s="553"/>
      <c r="D235" s="903"/>
      <c r="E235" s="535"/>
      <c r="F235" s="1907"/>
      <c r="G235" s="1908"/>
      <c r="H235" s="559"/>
      <c r="I235" s="1864"/>
      <c r="J235" s="1864"/>
      <c r="K235" s="857"/>
      <c r="L235" s="1864"/>
      <c r="M235" s="1864"/>
      <c r="N235" s="857"/>
      <c r="O235" s="1864">
        <v>1</v>
      </c>
      <c r="P235" s="1864">
        <v>4</v>
      </c>
      <c r="Q235" s="1865">
        <f>P235*O235</f>
        <v>4</v>
      </c>
      <c r="R235" s="1865">
        <f t="shared" si="42"/>
        <v>4</v>
      </c>
      <c r="S235" s="1865"/>
      <c r="T235" s="1864">
        <v>1</v>
      </c>
      <c r="U235" s="1864">
        <v>4</v>
      </c>
      <c r="V235" s="1865">
        <f>U235*T235</f>
        <v>4</v>
      </c>
      <c r="W235" s="1864">
        <v>1</v>
      </c>
      <c r="X235" s="1864">
        <v>4</v>
      </c>
      <c r="Y235" s="1865">
        <f>X235*W235</f>
        <v>4</v>
      </c>
      <c r="Z235" s="559">
        <f t="shared" si="43"/>
        <v>4</v>
      </c>
      <c r="AA235" s="559" t="str">
        <f t="shared" si="41"/>
        <v>-</v>
      </c>
      <c r="AB235" s="893" t="s">
        <v>1881</v>
      </c>
      <c r="AC235" s="491" t="s">
        <v>1665</v>
      </c>
      <c r="AF235" s="466"/>
      <c r="AG235" s="465"/>
      <c r="AH235" s="465"/>
    </row>
    <row r="236" spans="1:34" s="498" customFormat="1" ht="93" hidden="1" customHeight="1" x14ac:dyDescent="0.25">
      <c r="A236" s="962"/>
      <c r="B236" s="551" t="s">
        <v>1839</v>
      </c>
      <c r="C236" s="553"/>
      <c r="D236" s="903"/>
      <c r="E236" s="535" t="s">
        <v>318</v>
      </c>
      <c r="F236" s="1907">
        <v>4</v>
      </c>
      <c r="G236" s="1908">
        <v>1.73</v>
      </c>
      <c r="H236" s="559">
        <f>F236*G236</f>
        <v>6.9</v>
      </c>
      <c r="I236" s="1864">
        <v>4</v>
      </c>
      <c r="J236" s="1864">
        <v>1.7</v>
      </c>
      <c r="K236" s="857">
        <f>I236*J236</f>
        <v>6.8</v>
      </c>
      <c r="L236" s="1864">
        <v>4</v>
      </c>
      <c r="M236" s="1864">
        <v>1.7</v>
      </c>
      <c r="N236" s="857">
        <f>L236*M236</f>
        <v>6.8</v>
      </c>
      <c r="O236" s="1864">
        <v>4</v>
      </c>
      <c r="P236" s="1864">
        <v>1.7</v>
      </c>
      <c r="Q236" s="1865">
        <f>P236*O236</f>
        <v>6.8</v>
      </c>
      <c r="R236" s="1865">
        <f t="shared" si="42"/>
        <v>6.8</v>
      </c>
      <c r="S236" s="1865"/>
      <c r="T236" s="1864">
        <v>4</v>
      </c>
      <c r="U236" s="1864">
        <v>1.7</v>
      </c>
      <c r="V236" s="1865">
        <f>U236*T236</f>
        <v>6.8</v>
      </c>
      <c r="W236" s="1864">
        <v>4</v>
      </c>
      <c r="X236" s="1864">
        <v>1.7</v>
      </c>
      <c r="Y236" s="1865">
        <f>X236*W236</f>
        <v>6.8</v>
      </c>
      <c r="Z236" s="559">
        <f t="shared" si="43"/>
        <v>0</v>
      </c>
      <c r="AA236" s="559">
        <f t="shared" si="41"/>
        <v>100</v>
      </c>
      <c r="AB236" s="893" t="s">
        <v>1882</v>
      </c>
      <c r="AC236" s="491" t="s">
        <v>1665</v>
      </c>
      <c r="AF236" s="466"/>
      <c r="AG236" s="465"/>
      <c r="AH236" s="465"/>
    </row>
    <row r="237" spans="1:34" s="498" customFormat="1" ht="33.75" hidden="1" customHeight="1" x14ac:dyDescent="0.25">
      <c r="A237" s="962"/>
      <c r="B237" s="551" t="s">
        <v>1883</v>
      </c>
      <c r="C237" s="553"/>
      <c r="D237" s="903"/>
      <c r="E237" s="535"/>
      <c r="F237" s="1907"/>
      <c r="G237" s="1908"/>
      <c r="H237" s="559"/>
      <c r="I237" s="1864"/>
      <c r="J237" s="1864"/>
      <c r="K237" s="857"/>
      <c r="L237" s="1864"/>
      <c r="M237" s="1864"/>
      <c r="N237" s="857"/>
      <c r="O237" s="1864">
        <v>2</v>
      </c>
      <c r="P237" s="1864">
        <v>2.2999999999999998</v>
      </c>
      <c r="Q237" s="1865">
        <f>P237*O237</f>
        <v>4.5999999999999996</v>
      </c>
      <c r="R237" s="1865">
        <f t="shared" si="42"/>
        <v>4.5999999999999996</v>
      </c>
      <c r="S237" s="1865"/>
      <c r="T237" s="1864">
        <v>2</v>
      </c>
      <c r="U237" s="1864">
        <v>2.2999999999999998</v>
      </c>
      <c r="V237" s="1865">
        <f>U237*T237</f>
        <v>4.5999999999999996</v>
      </c>
      <c r="W237" s="1864">
        <v>2</v>
      </c>
      <c r="X237" s="1864">
        <v>2.2999999999999998</v>
      </c>
      <c r="Y237" s="1865">
        <f>X237*W237</f>
        <v>4.5999999999999996</v>
      </c>
      <c r="Z237" s="559">
        <f t="shared" si="43"/>
        <v>4.5999999999999996</v>
      </c>
      <c r="AA237" s="559" t="str">
        <f t="shared" si="41"/>
        <v>-</v>
      </c>
      <c r="AB237" s="827" t="s">
        <v>1884</v>
      </c>
      <c r="AC237" s="491" t="s">
        <v>1665</v>
      </c>
      <c r="AF237" s="466"/>
      <c r="AG237" s="465"/>
      <c r="AH237" s="465"/>
    </row>
    <row r="238" spans="1:34" s="498" customFormat="1" hidden="1" x14ac:dyDescent="0.25">
      <c r="A238" s="962"/>
      <c r="B238" s="551" t="s">
        <v>1826</v>
      </c>
      <c r="C238" s="553"/>
      <c r="D238" s="903"/>
      <c r="E238" s="535" t="s">
        <v>318</v>
      </c>
      <c r="F238" s="1864"/>
      <c r="G238" s="1864"/>
      <c r="H238" s="857"/>
      <c r="I238" s="1864"/>
      <c r="J238" s="1864"/>
      <c r="K238" s="857"/>
      <c r="L238" s="1864"/>
      <c r="M238" s="1864"/>
      <c r="N238" s="857"/>
      <c r="O238" s="1864">
        <v>1</v>
      </c>
      <c r="P238" s="1914">
        <v>2.2999999999999998</v>
      </c>
      <c r="Q238" s="1865">
        <f>O238*P238</f>
        <v>2.2999999999999998</v>
      </c>
      <c r="R238" s="1865">
        <f t="shared" si="42"/>
        <v>2.2999999999999998</v>
      </c>
      <c r="S238" s="1865"/>
      <c r="T238" s="1864">
        <v>1</v>
      </c>
      <c r="U238" s="1914">
        <v>2.2999999999999998</v>
      </c>
      <c r="V238" s="1865">
        <f>T238*U238</f>
        <v>2.2999999999999998</v>
      </c>
      <c r="W238" s="1864">
        <v>1</v>
      </c>
      <c r="X238" s="1914">
        <v>2.2999999999999998</v>
      </c>
      <c r="Y238" s="1865">
        <f>W238*X238</f>
        <v>2.2999999999999998</v>
      </c>
      <c r="Z238" s="857">
        <f t="shared" si="43"/>
        <v>2.2999999999999998</v>
      </c>
      <c r="AA238" s="857" t="str">
        <f t="shared" si="41"/>
        <v>-</v>
      </c>
      <c r="AB238" s="3514" t="s">
        <v>1885</v>
      </c>
      <c r="AC238" s="491" t="s">
        <v>1665</v>
      </c>
      <c r="AF238" s="466"/>
      <c r="AG238" s="465"/>
      <c r="AH238" s="465"/>
    </row>
    <row r="239" spans="1:34" s="498" customFormat="1" ht="25.5" hidden="1" x14ac:dyDescent="0.25">
      <c r="A239" s="962"/>
      <c r="B239" s="1885" t="s">
        <v>1757</v>
      </c>
      <c r="C239" s="553"/>
      <c r="D239" s="903"/>
      <c r="E239" s="535" t="s">
        <v>318</v>
      </c>
      <c r="F239" s="1864"/>
      <c r="G239" s="1864"/>
      <c r="H239" s="857"/>
      <c r="I239" s="1864"/>
      <c r="J239" s="1864"/>
      <c r="K239" s="857"/>
      <c r="L239" s="1864"/>
      <c r="M239" s="1864"/>
      <c r="N239" s="857"/>
      <c r="O239" s="1864">
        <v>2</v>
      </c>
      <c r="P239" s="1914">
        <v>3.45</v>
      </c>
      <c r="Q239" s="1865">
        <f t="shared" ref="Q239:Q240" si="44">O239*P239</f>
        <v>6.9</v>
      </c>
      <c r="R239" s="1865">
        <f t="shared" si="42"/>
        <v>6.9</v>
      </c>
      <c r="S239" s="1865"/>
      <c r="T239" s="1864">
        <v>2</v>
      </c>
      <c r="U239" s="1914">
        <v>3.45</v>
      </c>
      <c r="V239" s="1865">
        <f t="shared" ref="V239:V240" si="45">T239*U239</f>
        <v>6.9</v>
      </c>
      <c r="W239" s="1864">
        <v>2</v>
      </c>
      <c r="X239" s="1914">
        <v>3.45</v>
      </c>
      <c r="Y239" s="1865">
        <f t="shared" ref="Y239:Y240" si="46">W239*X239</f>
        <v>6.9</v>
      </c>
      <c r="Z239" s="857">
        <f t="shared" si="43"/>
        <v>6.9</v>
      </c>
      <c r="AA239" s="857" t="str">
        <f t="shared" si="41"/>
        <v>-</v>
      </c>
      <c r="AB239" s="3515"/>
      <c r="AC239" s="491" t="s">
        <v>1665</v>
      </c>
      <c r="AF239" s="466"/>
      <c r="AG239" s="465"/>
      <c r="AH239" s="465"/>
    </row>
    <row r="240" spans="1:34" s="498" customFormat="1" hidden="1" x14ac:dyDescent="0.25">
      <c r="A240" s="962"/>
      <c r="B240" s="1885" t="s">
        <v>1886</v>
      </c>
      <c r="C240" s="553"/>
      <c r="D240" s="903"/>
      <c r="E240" s="535" t="s">
        <v>318</v>
      </c>
      <c r="F240" s="1864"/>
      <c r="G240" s="1864"/>
      <c r="H240" s="857"/>
      <c r="I240" s="1864"/>
      <c r="J240" s="1864"/>
      <c r="K240" s="857"/>
      <c r="L240" s="1864"/>
      <c r="M240" s="1864"/>
      <c r="N240" s="857"/>
      <c r="O240" s="1864">
        <v>1</v>
      </c>
      <c r="P240" s="1914">
        <v>3.45</v>
      </c>
      <c r="Q240" s="1865">
        <f t="shared" si="44"/>
        <v>3.5</v>
      </c>
      <c r="R240" s="1865">
        <f t="shared" si="42"/>
        <v>3.5</v>
      </c>
      <c r="S240" s="1865"/>
      <c r="T240" s="1864">
        <v>1</v>
      </c>
      <c r="U240" s="1914">
        <v>3.45</v>
      </c>
      <c r="V240" s="1865">
        <f t="shared" si="45"/>
        <v>3.5</v>
      </c>
      <c r="W240" s="1864">
        <v>1</v>
      </c>
      <c r="X240" s="1914">
        <v>3.45</v>
      </c>
      <c r="Y240" s="1865">
        <f t="shared" si="46"/>
        <v>3.5</v>
      </c>
      <c r="Z240" s="857">
        <f t="shared" si="43"/>
        <v>3.5</v>
      </c>
      <c r="AA240" s="857" t="str">
        <f t="shared" si="41"/>
        <v>-</v>
      </c>
      <c r="AB240" s="3516"/>
      <c r="AC240" s="491" t="s">
        <v>1665</v>
      </c>
      <c r="AF240" s="466"/>
      <c r="AG240" s="465"/>
      <c r="AH240" s="465"/>
    </row>
    <row r="241" spans="1:34" s="498" customFormat="1" hidden="1" x14ac:dyDescent="0.25">
      <c r="A241" s="962"/>
      <c r="B241" s="551" t="s">
        <v>1729</v>
      </c>
      <c r="C241" s="553"/>
      <c r="D241" s="903"/>
      <c r="E241" s="535"/>
      <c r="F241" s="1907"/>
      <c r="G241" s="1908"/>
      <c r="H241" s="559">
        <f>SUM(H231:H236)*0.271</f>
        <v>5</v>
      </c>
      <c r="I241" s="1864"/>
      <c r="J241" s="1864"/>
      <c r="K241" s="857">
        <f>SUM(K231:K236)*0.271</f>
        <v>4.8</v>
      </c>
      <c r="L241" s="1864"/>
      <c r="M241" s="1864"/>
      <c r="N241" s="857">
        <f>SUM(N231:N236)*0.271</f>
        <v>4.8</v>
      </c>
      <c r="O241" s="857"/>
      <c r="P241" s="857"/>
      <c r="Q241" s="1865">
        <f>SUM(Q231:Q240)*0.271</f>
        <v>9.8000000000000007</v>
      </c>
      <c r="R241" s="1865">
        <f t="shared" si="42"/>
        <v>9.8000000000000007</v>
      </c>
      <c r="S241" s="1865"/>
      <c r="T241" s="857"/>
      <c r="U241" s="857"/>
      <c r="V241" s="1865">
        <f>SUM(V231:V240)*0.271</f>
        <v>9.8000000000000007</v>
      </c>
      <c r="W241" s="857"/>
      <c r="X241" s="857"/>
      <c r="Y241" s="1865">
        <f>SUM(Y231:Y240)*0.271</f>
        <v>9.8000000000000007</v>
      </c>
      <c r="Z241" s="559">
        <f t="shared" si="43"/>
        <v>5</v>
      </c>
      <c r="AA241" s="559">
        <f t="shared" si="41"/>
        <v>204.2</v>
      </c>
      <c r="AB241" s="921"/>
      <c r="AC241" s="491" t="s">
        <v>1665</v>
      </c>
      <c r="AF241" s="466"/>
      <c r="AG241" s="465"/>
      <c r="AH241" s="465"/>
    </row>
    <row r="242" spans="1:34" s="492" customFormat="1" ht="14.25" hidden="1" x14ac:dyDescent="0.2">
      <c r="A242" s="1240"/>
      <c r="B242" s="500" t="s">
        <v>1887</v>
      </c>
      <c r="C242" s="501" t="s">
        <v>796</v>
      </c>
      <c r="D242" s="932"/>
      <c r="E242" s="1042"/>
      <c r="F242" s="828">
        <v>13</v>
      </c>
      <c r="G242" s="829">
        <v>0.5</v>
      </c>
      <c r="H242" s="542">
        <f>F242*G242</f>
        <v>6.5</v>
      </c>
      <c r="I242" s="533">
        <v>13</v>
      </c>
      <c r="J242" s="533">
        <v>0.5</v>
      </c>
      <c r="K242" s="533">
        <f>I242*J242</f>
        <v>6.5</v>
      </c>
      <c r="L242" s="533">
        <v>13</v>
      </c>
      <c r="M242" s="533">
        <v>0.5</v>
      </c>
      <c r="N242" s="533">
        <f>L242*M242</f>
        <v>6.5</v>
      </c>
      <c r="O242" s="533"/>
      <c r="P242" s="533"/>
      <c r="Q242" s="533">
        <f>Q243</f>
        <v>6.5</v>
      </c>
      <c r="R242" s="533">
        <f t="shared" si="42"/>
        <v>6.5</v>
      </c>
      <c r="S242" s="533"/>
      <c r="T242" s="533"/>
      <c r="U242" s="533"/>
      <c r="V242" s="533">
        <f>V243</f>
        <v>6.5</v>
      </c>
      <c r="W242" s="533"/>
      <c r="X242" s="533"/>
      <c r="Y242" s="533">
        <f>Y243</f>
        <v>6.5</v>
      </c>
      <c r="Z242" s="542">
        <f t="shared" si="43"/>
        <v>0</v>
      </c>
      <c r="AA242" s="542">
        <f t="shared" ref="AA242:AA305" si="47">IFERROR(Q242/K242*100,"-")</f>
        <v>100</v>
      </c>
      <c r="AB242" s="921"/>
      <c r="AC242" s="491" t="s">
        <v>1665</v>
      </c>
      <c r="AF242" s="466"/>
      <c r="AG242" s="466"/>
      <c r="AH242" s="466"/>
    </row>
    <row r="243" spans="1:34" s="492" customFormat="1" ht="14.25" hidden="1" x14ac:dyDescent="0.2">
      <c r="A243" s="1240"/>
      <c r="B243" s="502" t="s">
        <v>1364</v>
      </c>
      <c r="C243" s="501"/>
      <c r="D243" s="932"/>
      <c r="E243" s="1042"/>
      <c r="F243" s="828"/>
      <c r="G243" s="829"/>
      <c r="H243" s="542"/>
      <c r="I243" s="533"/>
      <c r="J243" s="533"/>
      <c r="K243" s="533"/>
      <c r="L243" s="533"/>
      <c r="M243" s="533"/>
      <c r="N243" s="533"/>
      <c r="O243" s="857">
        <v>13</v>
      </c>
      <c r="P243" s="857">
        <v>0.5</v>
      </c>
      <c r="Q243" s="1865">
        <f>O243*P243</f>
        <v>6.5</v>
      </c>
      <c r="R243" s="1865">
        <f t="shared" si="42"/>
        <v>6.5</v>
      </c>
      <c r="S243" s="1865"/>
      <c r="T243" s="857">
        <v>13</v>
      </c>
      <c r="U243" s="857">
        <v>0.5</v>
      </c>
      <c r="V243" s="1865">
        <f>T243*U243</f>
        <v>6.5</v>
      </c>
      <c r="W243" s="857">
        <v>13</v>
      </c>
      <c r="X243" s="857">
        <v>0.5</v>
      </c>
      <c r="Y243" s="1865">
        <f>W243*X243</f>
        <v>6.5</v>
      </c>
      <c r="Z243" s="542">
        <f t="shared" si="43"/>
        <v>6.5</v>
      </c>
      <c r="AA243" s="542" t="str">
        <f t="shared" si="47"/>
        <v>-</v>
      </c>
      <c r="AB243" s="921"/>
      <c r="AC243" s="491" t="s">
        <v>1665</v>
      </c>
      <c r="AF243" s="466"/>
      <c r="AG243" s="466"/>
      <c r="AH243" s="466"/>
    </row>
    <row r="244" spans="1:34" s="492" customFormat="1" ht="14.25" hidden="1" x14ac:dyDescent="0.2">
      <c r="A244" s="1240"/>
      <c r="B244" s="500" t="s">
        <v>1888</v>
      </c>
      <c r="C244" s="501" t="s">
        <v>800</v>
      </c>
      <c r="D244" s="932"/>
      <c r="E244" s="552"/>
      <c r="F244" s="552"/>
      <c r="G244" s="552"/>
      <c r="H244" s="1915">
        <f>SUM(H245:H247)</f>
        <v>120.5</v>
      </c>
      <c r="I244" s="533">
        <v>1</v>
      </c>
      <c r="J244" s="533">
        <v>34</v>
      </c>
      <c r="K244" s="533"/>
      <c r="L244" s="533">
        <v>1</v>
      </c>
      <c r="M244" s="533">
        <v>34</v>
      </c>
      <c r="N244" s="533"/>
      <c r="O244" s="857"/>
      <c r="P244" s="857"/>
      <c r="Q244" s="1916">
        <f>SUM(Q245:Q247)</f>
        <v>37.200000000000003</v>
      </c>
      <c r="R244" s="1916">
        <f t="shared" si="42"/>
        <v>37.200000000000003</v>
      </c>
      <c r="S244" s="1916"/>
      <c r="T244" s="857"/>
      <c r="U244" s="857"/>
      <c r="V244" s="1916">
        <f>V245+V246</f>
        <v>10</v>
      </c>
      <c r="W244" s="857"/>
      <c r="X244" s="857"/>
      <c r="Y244" s="1916">
        <f>Y245+Y246</f>
        <v>10</v>
      </c>
      <c r="Z244" s="542">
        <f t="shared" si="43"/>
        <v>37.200000000000003</v>
      </c>
      <c r="AA244" s="542" t="str">
        <f t="shared" si="47"/>
        <v>-</v>
      </c>
      <c r="AB244" s="921"/>
      <c r="AC244" s="549" t="s">
        <v>1665</v>
      </c>
      <c r="AF244" s="466"/>
      <c r="AG244" s="466"/>
      <c r="AH244" s="466"/>
    </row>
    <row r="245" spans="1:34" s="492" customFormat="1" ht="38.25" hidden="1" x14ac:dyDescent="0.2">
      <c r="A245" s="1240"/>
      <c r="B245" s="502" t="s">
        <v>1889</v>
      </c>
      <c r="C245" s="501"/>
      <c r="D245" s="932"/>
      <c r="E245" s="854" t="s">
        <v>227</v>
      </c>
      <c r="F245" s="557">
        <v>2</v>
      </c>
      <c r="G245" s="558">
        <f>H245/F245</f>
        <v>15.25</v>
      </c>
      <c r="H245" s="559">
        <v>30.5</v>
      </c>
      <c r="I245" s="533"/>
      <c r="J245" s="533"/>
      <c r="K245" s="533"/>
      <c r="L245" s="533"/>
      <c r="M245" s="533"/>
      <c r="N245" s="533"/>
      <c r="O245" s="857">
        <v>3</v>
      </c>
      <c r="P245" s="857">
        <v>10</v>
      </c>
      <c r="Q245" s="1865">
        <f>O245*P245</f>
        <v>30</v>
      </c>
      <c r="R245" s="1865">
        <f t="shared" si="42"/>
        <v>30</v>
      </c>
      <c r="S245" s="1865"/>
      <c r="T245" s="857">
        <v>1</v>
      </c>
      <c r="U245" s="857">
        <v>10</v>
      </c>
      <c r="V245" s="1865">
        <f>T245*U245</f>
        <v>10</v>
      </c>
      <c r="W245" s="857">
        <v>1</v>
      </c>
      <c r="X245" s="857">
        <v>10</v>
      </c>
      <c r="Y245" s="1865">
        <f>W245*X245</f>
        <v>10</v>
      </c>
      <c r="Z245" s="542">
        <f t="shared" si="43"/>
        <v>30</v>
      </c>
      <c r="AA245" s="542" t="str">
        <f t="shared" si="47"/>
        <v>-</v>
      </c>
      <c r="AB245" s="827" t="s">
        <v>1890</v>
      </c>
      <c r="AC245" s="549" t="s">
        <v>1665</v>
      </c>
      <c r="AF245" s="466"/>
      <c r="AG245" s="466"/>
      <c r="AH245" s="466"/>
    </row>
    <row r="246" spans="1:34" s="492" customFormat="1" ht="38.25" hidden="1" x14ac:dyDescent="0.2">
      <c r="A246" s="1240"/>
      <c r="B246" s="502" t="s">
        <v>1891</v>
      </c>
      <c r="C246" s="501"/>
      <c r="D246" s="932"/>
      <c r="E246" s="854"/>
      <c r="F246" s="828"/>
      <c r="G246" s="829"/>
      <c r="H246" s="542"/>
      <c r="I246" s="533"/>
      <c r="J246" s="533"/>
      <c r="K246" s="533"/>
      <c r="L246" s="533"/>
      <c r="M246" s="533"/>
      <c r="N246" s="533"/>
      <c r="O246" s="857">
        <v>3</v>
      </c>
      <c r="P246" s="857">
        <v>2.4</v>
      </c>
      <c r="Q246" s="1865">
        <f>O246*P246</f>
        <v>7.2</v>
      </c>
      <c r="R246" s="1865">
        <f t="shared" si="42"/>
        <v>7.2</v>
      </c>
      <c r="S246" s="1865"/>
      <c r="T246" s="857"/>
      <c r="U246" s="857"/>
      <c r="V246" s="1865"/>
      <c r="W246" s="857"/>
      <c r="X246" s="857"/>
      <c r="Y246" s="1865"/>
      <c r="Z246" s="542">
        <f t="shared" si="43"/>
        <v>7.2</v>
      </c>
      <c r="AA246" s="542" t="str">
        <f t="shared" si="47"/>
        <v>-</v>
      </c>
      <c r="AB246" s="827" t="s">
        <v>1892</v>
      </c>
      <c r="AC246" s="549" t="s">
        <v>1665</v>
      </c>
      <c r="AF246" s="466"/>
      <c r="AG246" s="466"/>
      <c r="AH246" s="466"/>
    </row>
    <row r="247" spans="1:34" s="492" customFormat="1" ht="14.25" hidden="1" x14ac:dyDescent="0.2">
      <c r="A247" s="1240"/>
      <c r="B247" s="502" t="s">
        <v>1893</v>
      </c>
      <c r="C247" s="503"/>
      <c r="D247" s="903"/>
      <c r="E247" s="535" t="s">
        <v>227</v>
      </c>
      <c r="F247" s="557">
        <v>3</v>
      </c>
      <c r="G247" s="558">
        <v>30</v>
      </c>
      <c r="H247" s="559">
        <f>F247*G247</f>
        <v>90</v>
      </c>
      <c r="I247" s="857"/>
      <c r="J247" s="857"/>
      <c r="K247" s="857"/>
      <c r="L247" s="857"/>
      <c r="M247" s="857"/>
      <c r="N247" s="857"/>
      <c r="O247" s="857"/>
      <c r="P247" s="857"/>
      <c r="Q247" s="857"/>
      <c r="R247" s="857">
        <f t="shared" si="42"/>
        <v>0</v>
      </c>
      <c r="S247" s="857"/>
      <c r="T247" s="857"/>
      <c r="U247" s="857"/>
      <c r="V247" s="857"/>
      <c r="W247" s="857"/>
      <c r="X247" s="857"/>
      <c r="Y247" s="857"/>
      <c r="Z247" s="1245">
        <f t="shared" si="43"/>
        <v>0</v>
      </c>
      <c r="AA247" s="1245" t="str">
        <f t="shared" si="47"/>
        <v>-</v>
      </c>
      <c r="AB247" s="827"/>
      <c r="AC247" s="549" t="s">
        <v>1665</v>
      </c>
      <c r="AF247" s="466"/>
      <c r="AG247" s="466"/>
      <c r="AH247" s="466"/>
    </row>
    <row r="248" spans="1:34" s="492" customFormat="1" ht="14.25" x14ac:dyDescent="0.2">
      <c r="A248" s="1240"/>
      <c r="B248" s="500" t="s">
        <v>1246</v>
      </c>
      <c r="C248" s="501" t="s">
        <v>1237</v>
      </c>
      <c r="D248" s="932"/>
      <c r="E248" s="854" t="s">
        <v>1829</v>
      </c>
      <c r="F248" s="828">
        <v>10</v>
      </c>
      <c r="G248" s="829">
        <v>2.5</v>
      </c>
      <c r="H248" s="542">
        <f>F248*G248</f>
        <v>25</v>
      </c>
      <c r="I248" s="533">
        <v>10</v>
      </c>
      <c r="J248" s="533">
        <v>2.5</v>
      </c>
      <c r="K248" s="533">
        <f>I248*J248</f>
        <v>25</v>
      </c>
      <c r="L248" s="533">
        <v>10</v>
      </c>
      <c r="M248" s="533">
        <v>2.5</v>
      </c>
      <c r="N248" s="533">
        <f>L248*M248</f>
        <v>25</v>
      </c>
      <c r="O248" s="533">
        <v>10</v>
      </c>
      <c r="P248" s="533">
        <v>2.5</v>
      </c>
      <c r="Q248" s="533">
        <f>O248*P248</f>
        <v>25</v>
      </c>
      <c r="R248" s="533">
        <f t="shared" si="42"/>
        <v>25</v>
      </c>
      <c r="S248" s="533"/>
      <c r="T248" s="533">
        <v>10</v>
      </c>
      <c r="U248" s="533">
        <v>2.5</v>
      </c>
      <c r="V248" s="533">
        <f>T248*U248</f>
        <v>25</v>
      </c>
      <c r="W248" s="533">
        <v>10</v>
      </c>
      <c r="X248" s="533">
        <v>2.5</v>
      </c>
      <c r="Y248" s="533">
        <f>W248*X248</f>
        <v>25</v>
      </c>
      <c r="Z248" s="542">
        <f t="shared" si="43"/>
        <v>0</v>
      </c>
      <c r="AA248" s="542">
        <f t="shared" si="47"/>
        <v>100</v>
      </c>
      <c r="AB248" s="827"/>
      <c r="AC248" s="549" t="s">
        <v>1665</v>
      </c>
      <c r="AF248" s="466"/>
      <c r="AG248" s="466"/>
      <c r="AH248" s="466"/>
    </row>
    <row r="249" spans="1:34" s="492" customFormat="1" ht="14.25" hidden="1" x14ac:dyDescent="0.2">
      <c r="A249" s="1240"/>
      <c r="B249" s="1917" t="s">
        <v>1894</v>
      </c>
      <c r="C249" s="501" t="s">
        <v>797</v>
      </c>
      <c r="D249" s="932"/>
      <c r="E249" s="854"/>
      <c r="F249" s="828"/>
      <c r="G249" s="829"/>
      <c r="H249" s="542"/>
      <c r="I249" s="533"/>
      <c r="J249" s="533"/>
      <c r="K249" s="533">
        <f>SUM(K247:K247)</f>
        <v>0</v>
      </c>
      <c r="L249" s="533"/>
      <c r="M249" s="533"/>
      <c r="N249" s="533">
        <f>SUM(N247:N247)</f>
        <v>0</v>
      </c>
      <c r="O249" s="533"/>
      <c r="P249" s="533"/>
      <c r="Q249" s="533">
        <f>Q250+Q251</f>
        <v>13</v>
      </c>
      <c r="R249" s="533">
        <f t="shared" si="42"/>
        <v>13</v>
      </c>
      <c r="S249" s="533"/>
      <c r="T249" s="533"/>
      <c r="U249" s="533"/>
      <c r="V249" s="533">
        <f>V250+V251</f>
        <v>13</v>
      </c>
      <c r="W249" s="533"/>
      <c r="X249" s="533"/>
      <c r="Y249" s="533">
        <f>Y250+Y251</f>
        <v>13</v>
      </c>
      <c r="Z249" s="493">
        <f t="shared" si="43"/>
        <v>13</v>
      </c>
      <c r="AA249" s="493" t="str">
        <f t="shared" si="47"/>
        <v>-</v>
      </c>
      <c r="AB249" s="827"/>
      <c r="AC249" s="549" t="s">
        <v>1665</v>
      </c>
      <c r="AF249" s="466"/>
      <c r="AG249" s="466"/>
      <c r="AH249" s="466"/>
    </row>
    <row r="250" spans="1:34" s="492" customFormat="1" ht="51" hidden="1" x14ac:dyDescent="0.2">
      <c r="A250" s="1240"/>
      <c r="B250" s="502" t="s">
        <v>1895</v>
      </c>
      <c r="C250" s="501"/>
      <c r="D250" s="932"/>
      <c r="E250" s="854"/>
      <c r="F250" s="828"/>
      <c r="G250" s="829"/>
      <c r="H250" s="542"/>
      <c r="I250" s="533"/>
      <c r="J250" s="533"/>
      <c r="K250" s="533"/>
      <c r="L250" s="533"/>
      <c r="M250" s="533"/>
      <c r="N250" s="533"/>
      <c r="O250" s="533"/>
      <c r="P250" s="533"/>
      <c r="Q250" s="857">
        <v>8</v>
      </c>
      <c r="R250" s="857">
        <f t="shared" si="42"/>
        <v>8</v>
      </c>
      <c r="S250" s="857"/>
      <c r="T250" s="533"/>
      <c r="U250" s="533"/>
      <c r="V250" s="857">
        <v>8</v>
      </c>
      <c r="W250" s="533"/>
      <c r="X250" s="533"/>
      <c r="Y250" s="857">
        <v>8</v>
      </c>
      <c r="Z250" s="493">
        <f t="shared" si="43"/>
        <v>8</v>
      </c>
      <c r="AA250" s="493" t="str">
        <f t="shared" si="47"/>
        <v>-</v>
      </c>
      <c r="AB250" s="1246" t="s">
        <v>1896</v>
      </c>
      <c r="AC250" s="549" t="s">
        <v>1665</v>
      </c>
      <c r="AF250" s="466"/>
      <c r="AG250" s="466"/>
      <c r="AH250" s="466"/>
    </row>
    <row r="251" spans="1:34" s="492" customFormat="1" ht="14.25" hidden="1" x14ac:dyDescent="0.2">
      <c r="A251" s="1240"/>
      <c r="B251" s="502" t="s">
        <v>1897</v>
      </c>
      <c r="C251" s="501"/>
      <c r="D251" s="932"/>
      <c r="E251" s="854"/>
      <c r="F251" s="828"/>
      <c r="G251" s="829"/>
      <c r="H251" s="542"/>
      <c r="I251" s="533"/>
      <c r="J251" s="533"/>
      <c r="K251" s="533"/>
      <c r="L251" s="533"/>
      <c r="M251" s="533"/>
      <c r="N251" s="533"/>
      <c r="O251" s="533"/>
      <c r="P251" s="533"/>
      <c r="Q251" s="857">
        <v>5</v>
      </c>
      <c r="R251" s="857">
        <f t="shared" si="42"/>
        <v>5</v>
      </c>
      <c r="S251" s="857"/>
      <c r="T251" s="533"/>
      <c r="U251" s="533"/>
      <c r="V251" s="857">
        <v>5</v>
      </c>
      <c r="W251" s="533"/>
      <c r="X251" s="533"/>
      <c r="Y251" s="857">
        <v>5</v>
      </c>
      <c r="Z251" s="493">
        <f t="shared" si="43"/>
        <v>5</v>
      </c>
      <c r="AA251" s="493" t="str">
        <f t="shared" si="47"/>
        <v>-</v>
      </c>
      <c r="AB251" s="1247"/>
      <c r="AC251" s="549" t="s">
        <v>1665</v>
      </c>
      <c r="AF251" s="466"/>
      <c r="AG251" s="466"/>
      <c r="AH251" s="466"/>
    </row>
    <row r="252" spans="1:34" s="539" customFormat="1" hidden="1" x14ac:dyDescent="0.25">
      <c r="A252" s="536"/>
      <c r="B252" s="543" t="s">
        <v>1898</v>
      </c>
      <c r="C252" s="511"/>
      <c r="D252" s="1918"/>
      <c r="E252" s="490"/>
      <c r="F252" s="488"/>
      <c r="G252" s="489"/>
      <c r="H252" s="490">
        <f>H253</f>
        <v>113.2</v>
      </c>
      <c r="I252" s="490"/>
      <c r="J252" s="490"/>
      <c r="K252" s="490">
        <f>K253</f>
        <v>98.6</v>
      </c>
      <c r="L252" s="490"/>
      <c r="M252" s="490"/>
      <c r="N252" s="490">
        <f>N253</f>
        <v>98.6</v>
      </c>
      <c r="O252" s="1919"/>
      <c r="P252" s="1919"/>
      <c r="Q252" s="490">
        <f>Q253</f>
        <v>113</v>
      </c>
      <c r="R252" s="490">
        <f t="shared" si="42"/>
        <v>113</v>
      </c>
      <c r="S252" s="490"/>
      <c r="T252" s="1919"/>
      <c r="U252" s="1919"/>
      <c r="V252" s="490">
        <f>V253</f>
        <v>112.9</v>
      </c>
      <c r="W252" s="1919"/>
      <c r="X252" s="1919"/>
      <c r="Y252" s="490">
        <f>Y253</f>
        <v>112.9</v>
      </c>
      <c r="Z252" s="490">
        <f t="shared" si="43"/>
        <v>14.4</v>
      </c>
      <c r="AA252" s="490">
        <f t="shared" si="47"/>
        <v>114.6</v>
      </c>
      <c r="AB252" s="1920"/>
      <c r="AC252" s="538"/>
      <c r="AF252" s="518"/>
      <c r="AG252" s="540"/>
      <c r="AH252" s="540"/>
    </row>
    <row r="253" spans="1:34" s="527" customFormat="1" ht="38.25" hidden="1" x14ac:dyDescent="0.2">
      <c r="A253" s="522"/>
      <c r="B253" s="520" t="s">
        <v>1664</v>
      </c>
      <c r="C253" s="521"/>
      <c r="D253" s="522" t="s">
        <v>1444</v>
      </c>
      <c r="E253" s="556"/>
      <c r="F253" s="523"/>
      <c r="G253" s="524"/>
      <c r="H253" s="526">
        <f>H254+H258+H265+H266+H279+H280</f>
        <v>113.2</v>
      </c>
      <c r="I253" s="526"/>
      <c r="J253" s="526"/>
      <c r="K253" s="526">
        <f>K254+K258+K265+K266+K279+K280</f>
        <v>98.6</v>
      </c>
      <c r="L253" s="526"/>
      <c r="M253" s="526"/>
      <c r="N253" s="526">
        <f>N254+N258+N265+N266+N279+N280</f>
        <v>98.6</v>
      </c>
      <c r="O253" s="1921"/>
      <c r="P253" s="1921"/>
      <c r="Q253" s="526">
        <f>Q254+Q258+Q264+Q265+Q266+Q279+Q280</f>
        <v>113</v>
      </c>
      <c r="R253" s="526">
        <f t="shared" si="42"/>
        <v>113</v>
      </c>
      <c r="S253" s="526"/>
      <c r="T253" s="1921"/>
      <c r="U253" s="1921"/>
      <c r="V253" s="526">
        <f>V254+V258+V264+V265+V266+V279+V280</f>
        <v>112.9</v>
      </c>
      <c r="W253" s="1921"/>
      <c r="X253" s="1921"/>
      <c r="Y253" s="526">
        <f>Y254+Y258+Y264+Y265+Y266+Y279+Y280</f>
        <v>112.9</v>
      </c>
      <c r="Z253" s="526">
        <f t="shared" si="43"/>
        <v>14.4</v>
      </c>
      <c r="AA253" s="526">
        <f t="shared" si="47"/>
        <v>114.6</v>
      </c>
      <c r="AB253" s="1922"/>
      <c r="AC253" s="549" t="s">
        <v>1665</v>
      </c>
      <c r="AF253" s="528"/>
      <c r="AG253" s="528"/>
      <c r="AH253" s="528"/>
    </row>
    <row r="254" spans="1:34" s="492" customFormat="1" ht="14.25" hidden="1" x14ac:dyDescent="0.2">
      <c r="A254" s="1240"/>
      <c r="B254" s="500" t="s">
        <v>1899</v>
      </c>
      <c r="C254" s="501" t="s">
        <v>797</v>
      </c>
      <c r="D254" s="932"/>
      <c r="E254" s="842"/>
      <c r="F254" s="828"/>
      <c r="G254" s="829"/>
      <c r="H254" s="542">
        <f>SUM(H255:H257)</f>
        <v>11.2</v>
      </c>
      <c r="I254" s="533"/>
      <c r="J254" s="533"/>
      <c r="K254" s="533">
        <f>SUM(K255:K257)</f>
        <v>5.2</v>
      </c>
      <c r="L254" s="533"/>
      <c r="M254" s="533"/>
      <c r="N254" s="533">
        <f>SUM(N255:N257)</f>
        <v>5.2</v>
      </c>
      <c r="O254" s="533"/>
      <c r="P254" s="533"/>
      <c r="Q254" s="533">
        <f>SUM(Q255:Q257)</f>
        <v>5.2</v>
      </c>
      <c r="R254" s="533">
        <f t="shared" si="42"/>
        <v>5.2</v>
      </c>
      <c r="S254" s="533"/>
      <c r="T254" s="533"/>
      <c r="U254" s="533"/>
      <c r="V254" s="533">
        <f>SUM(V255:V257)</f>
        <v>5.2</v>
      </c>
      <c r="W254" s="533"/>
      <c r="X254" s="533"/>
      <c r="Y254" s="533">
        <f>SUM(Y255:Y257)</f>
        <v>5.2</v>
      </c>
      <c r="Z254" s="542">
        <f t="shared" si="43"/>
        <v>0</v>
      </c>
      <c r="AA254" s="542">
        <f t="shared" si="47"/>
        <v>100</v>
      </c>
      <c r="AB254" s="921"/>
      <c r="AC254" s="491" t="s">
        <v>1665</v>
      </c>
      <c r="AF254" s="466"/>
      <c r="AG254" s="466"/>
      <c r="AH254" s="466"/>
    </row>
    <row r="255" spans="1:34" s="498" customFormat="1" ht="127.5" hidden="1" x14ac:dyDescent="0.25">
      <c r="A255" s="962"/>
      <c r="B255" s="502" t="s">
        <v>1835</v>
      </c>
      <c r="C255" s="503"/>
      <c r="D255" s="903"/>
      <c r="E255" s="1031" t="s">
        <v>227</v>
      </c>
      <c r="F255" s="557">
        <v>30</v>
      </c>
      <c r="G255" s="558">
        <v>0.08</v>
      </c>
      <c r="H255" s="559">
        <f>F255*G255</f>
        <v>2.4</v>
      </c>
      <c r="I255" s="857">
        <v>12</v>
      </c>
      <c r="J255" s="862">
        <v>0.1</v>
      </c>
      <c r="K255" s="857">
        <f>I255*J255</f>
        <v>1.2</v>
      </c>
      <c r="L255" s="857">
        <v>12</v>
      </c>
      <c r="M255" s="862">
        <v>0.1</v>
      </c>
      <c r="N255" s="857">
        <f>L255*M255</f>
        <v>1.2</v>
      </c>
      <c r="O255" s="496">
        <v>12</v>
      </c>
      <c r="P255" s="496">
        <v>0.1</v>
      </c>
      <c r="Q255" s="496">
        <f>O255*P255</f>
        <v>1.2</v>
      </c>
      <c r="R255" s="496">
        <f t="shared" si="42"/>
        <v>1.2</v>
      </c>
      <c r="S255" s="496"/>
      <c r="T255" s="496">
        <v>12</v>
      </c>
      <c r="U255" s="496">
        <v>0.1</v>
      </c>
      <c r="V255" s="496">
        <f>T255*U255</f>
        <v>1.2</v>
      </c>
      <c r="W255" s="496">
        <v>12</v>
      </c>
      <c r="X255" s="496">
        <v>0.1</v>
      </c>
      <c r="Y255" s="496">
        <f>W255*X255</f>
        <v>1.2</v>
      </c>
      <c r="Z255" s="1245">
        <f t="shared" si="43"/>
        <v>0</v>
      </c>
      <c r="AA255" s="1245">
        <f t="shared" si="47"/>
        <v>100</v>
      </c>
      <c r="AB255" s="900" t="s">
        <v>1900</v>
      </c>
      <c r="AC255" s="491" t="s">
        <v>1665</v>
      </c>
      <c r="AF255" s="466"/>
      <c r="AG255" s="465"/>
      <c r="AH255" s="465"/>
    </row>
    <row r="256" spans="1:34" s="498" customFormat="1" hidden="1" x14ac:dyDescent="0.25">
      <c r="A256" s="962"/>
      <c r="B256" s="856" t="s">
        <v>1901</v>
      </c>
      <c r="C256" s="499"/>
      <c r="D256" s="903"/>
      <c r="E256" s="1031" t="s">
        <v>1240</v>
      </c>
      <c r="F256" s="557">
        <v>55</v>
      </c>
      <c r="G256" s="558">
        <v>0.12</v>
      </c>
      <c r="H256" s="559">
        <f>F256*G256</f>
        <v>6.6</v>
      </c>
      <c r="I256" s="857"/>
      <c r="J256" s="857"/>
      <c r="K256" s="857">
        <f>I256*J256</f>
        <v>0</v>
      </c>
      <c r="L256" s="857"/>
      <c r="M256" s="857"/>
      <c r="N256" s="857">
        <f>L256*M256</f>
        <v>0</v>
      </c>
      <c r="O256" s="857"/>
      <c r="P256" s="857"/>
      <c r="Q256" s="857"/>
      <c r="R256" s="857">
        <f t="shared" si="42"/>
        <v>0</v>
      </c>
      <c r="S256" s="857"/>
      <c r="T256" s="857"/>
      <c r="U256" s="857"/>
      <c r="V256" s="857"/>
      <c r="W256" s="857"/>
      <c r="X256" s="857"/>
      <c r="Y256" s="857"/>
      <c r="Z256" s="559">
        <f t="shared" si="43"/>
        <v>0</v>
      </c>
      <c r="AA256" s="559" t="str">
        <f t="shared" si="47"/>
        <v>-</v>
      </c>
      <c r="AB256" s="893"/>
      <c r="AC256" s="491" t="s">
        <v>1665</v>
      </c>
      <c r="AF256" s="466"/>
      <c r="AG256" s="465"/>
      <c r="AH256" s="465"/>
    </row>
    <row r="257" spans="1:34" s="498" customFormat="1" hidden="1" x14ac:dyDescent="0.25">
      <c r="A257" s="962"/>
      <c r="B257" s="856" t="s">
        <v>1873</v>
      </c>
      <c r="C257" s="499"/>
      <c r="D257" s="903"/>
      <c r="E257" s="1031" t="s">
        <v>1902</v>
      </c>
      <c r="F257" s="557">
        <v>10</v>
      </c>
      <c r="G257" s="558">
        <v>0.22</v>
      </c>
      <c r="H257" s="559">
        <f>F257*G257</f>
        <v>2.2000000000000002</v>
      </c>
      <c r="I257" s="857"/>
      <c r="J257" s="857"/>
      <c r="K257" s="857">
        <v>4</v>
      </c>
      <c r="L257" s="857"/>
      <c r="M257" s="857"/>
      <c r="N257" s="857">
        <v>4</v>
      </c>
      <c r="O257" s="857"/>
      <c r="P257" s="857"/>
      <c r="Q257" s="857">
        <v>4</v>
      </c>
      <c r="R257" s="857">
        <f t="shared" si="42"/>
        <v>4</v>
      </c>
      <c r="S257" s="857"/>
      <c r="T257" s="857"/>
      <c r="U257" s="857"/>
      <c r="V257" s="857">
        <v>4</v>
      </c>
      <c r="W257" s="857"/>
      <c r="X257" s="857"/>
      <c r="Y257" s="857">
        <v>4</v>
      </c>
      <c r="Z257" s="559">
        <f t="shared" si="43"/>
        <v>0</v>
      </c>
      <c r="AA257" s="559">
        <f t="shared" si="47"/>
        <v>100</v>
      </c>
      <c r="AB257" s="893"/>
      <c r="AC257" s="491" t="s">
        <v>1665</v>
      </c>
      <c r="AF257" s="466"/>
      <c r="AG257" s="465"/>
      <c r="AH257" s="465"/>
    </row>
    <row r="258" spans="1:34" s="492" customFormat="1" ht="14.25" hidden="1" x14ac:dyDescent="0.2">
      <c r="A258" s="1240"/>
      <c r="B258" s="865" t="s">
        <v>1903</v>
      </c>
      <c r="C258" s="508" t="s">
        <v>797</v>
      </c>
      <c r="D258" s="932"/>
      <c r="E258" s="842"/>
      <c r="F258" s="828"/>
      <c r="G258" s="829"/>
      <c r="H258" s="542">
        <f>SUM(H259:H263)</f>
        <v>15.9</v>
      </c>
      <c r="I258" s="533"/>
      <c r="J258" s="533"/>
      <c r="K258" s="542">
        <f>SUM(K259:K263)</f>
        <v>7.3</v>
      </c>
      <c r="L258" s="533"/>
      <c r="M258" s="533"/>
      <c r="N258" s="542">
        <f>SUM(N259:N263)</f>
        <v>7.3</v>
      </c>
      <c r="O258" s="533"/>
      <c r="P258" s="533"/>
      <c r="Q258" s="533">
        <f>SUM(Q259:Q263)</f>
        <v>10</v>
      </c>
      <c r="R258" s="533">
        <f t="shared" si="42"/>
        <v>10</v>
      </c>
      <c r="S258" s="533"/>
      <c r="T258" s="533"/>
      <c r="U258" s="533"/>
      <c r="V258" s="533">
        <f>SUM(V259:V263)</f>
        <v>10</v>
      </c>
      <c r="W258" s="533"/>
      <c r="X258" s="533"/>
      <c r="Y258" s="533">
        <f>SUM(Y259:Y263)</f>
        <v>10</v>
      </c>
      <c r="Z258" s="542">
        <f t="shared" si="43"/>
        <v>2.7</v>
      </c>
      <c r="AA258" s="542">
        <f t="shared" si="47"/>
        <v>137</v>
      </c>
      <c r="AB258" s="893"/>
      <c r="AC258" s="491" t="s">
        <v>1665</v>
      </c>
      <c r="AF258" s="466"/>
      <c r="AG258" s="466"/>
      <c r="AH258" s="466"/>
    </row>
    <row r="259" spans="1:34" s="492" customFormat="1" ht="14.25" hidden="1" x14ac:dyDescent="0.2">
      <c r="A259" s="1240"/>
      <c r="B259" s="502" t="s">
        <v>1860</v>
      </c>
      <c r="C259" s="503"/>
      <c r="D259" s="932"/>
      <c r="E259" s="842"/>
      <c r="F259" s="857">
        <v>48</v>
      </c>
      <c r="G259" s="857">
        <v>0.1</v>
      </c>
      <c r="H259" s="857">
        <f>F259*G259</f>
        <v>4.8</v>
      </c>
      <c r="I259" s="857">
        <v>48</v>
      </c>
      <c r="J259" s="862">
        <v>0.05</v>
      </c>
      <c r="K259" s="857">
        <f>I259*J259</f>
        <v>2.4</v>
      </c>
      <c r="L259" s="857">
        <v>48</v>
      </c>
      <c r="M259" s="862">
        <v>0.05</v>
      </c>
      <c r="N259" s="857">
        <f>L259*M259</f>
        <v>2.4</v>
      </c>
      <c r="O259" s="857"/>
      <c r="P259" s="857"/>
      <c r="Q259" s="857"/>
      <c r="R259" s="857">
        <f t="shared" si="42"/>
        <v>0</v>
      </c>
      <c r="S259" s="857"/>
      <c r="T259" s="857"/>
      <c r="U259" s="857"/>
      <c r="V259" s="857"/>
      <c r="W259" s="857"/>
      <c r="X259" s="857"/>
      <c r="Y259" s="857"/>
      <c r="Z259" s="559">
        <f t="shared" si="43"/>
        <v>-2.4</v>
      </c>
      <c r="AA259" s="559">
        <f t="shared" si="47"/>
        <v>0</v>
      </c>
      <c r="AB259" s="893"/>
      <c r="AC259" s="491" t="s">
        <v>1665</v>
      </c>
      <c r="AF259" s="466"/>
      <c r="AG259" s="466"/>
      <c r="AH259" s="466"/>
    </row>
    <row r="260" spans="1:34" s="498" customFormat="1" ht="51.75" hidden="1" x14ac:dyDescent="0.25">
      <c r="A260" s="962"/>
      <c r="B260" s="502" t="s">
        <v>1904</v>
      </c>
      <c r="C260" s="503"/>
      <c r="D260" s="903"/>
      <c r="E260" s="1031" t="s">
        <v>227</v>
      </c>
      <c r="F260" s="857"/>
      <c r="G260" s="857"/>
      <c r="H260" s="857"/>
      <c r="I260" s="857"/>
      <c r="J260" s="857"/>
      <c r="K260" s="857">
        <f>I260*J260</f>
        <v>0</v>
      </c>
      <c r="L260" s="857"/>
      <c r="M260" s="857"/>
      <c r="N260" s="857">
        <f>L260*M260</f>
        <v>0</v>
      </c>
      <c r="O260" s="857">
        <v>25</v>
      </c>
      <c r="P260" s="857">
        <v>0.4</v>
      </c>
      <c r="Q260" s="857">
        <f>O260*P260</f>
        <v>10</v>
      </c>
      <c r="R260" s="857">
        <f t="shared" si="42"/>
        <v>10</v>
      </c>
      <c r="S260" s="857"/>
      <c r="T260" s="857">
        <v>25</v>
      </c>
      <c r="U260" s="857">
        <v>0.4</v>
      </c>
      <c r="V260" s="857">
        <f>T260*U260</f>
        <v>10</v>
      </c>
      <c r="W260" s="857">
        <v>25</v>
      </c>
      <c r="X260" s="857">
        <v>0.4</v>
      </c>
      <c r="Y260" s="857">
        <f>W260*X260</f>
        <v>10</v>
      </c>
      <c r="Z260" s="559">
        <f t="shared" si="43"/>
        <v>10</v>
      </c>
      <c r="AA260" s="559" t="str">
        <f t="shared" si="47"/>
        <v>-</v>
      </c>
      <c r="AB260" s="893" t="s">
        <v>1905</v>
      </c>
      <c r="AC260" s="491" t="s">
        <v>1665</v>
      </c>
      <c r="AF260" s="466"/>
      <c r="AG260" s="465"/>
      <c r="AH260" s="465"/>
    </row>
    <row r="261" spans="1:34" s="498" customFormat="1" ht="38.25" hidden="1" x14ac:dyDescent="0.25">
      <c r="A261" s="962"/>
      <c r="B261" s="502" t="s">
        <v>1906</v>
      </c>
      <c r="C261" s="499"/>
      <c r="D261" s="903"/>
      <c r="E261" s="1031" t="s">
        <v>227</v>
      </c>
      <c r="F261" s="857">
        <v>1</v>
      </c>
      <c r="G261" s="857">
        <v>4.7</v>
      </c>
      <c r="H261" s="857">
        <f>F261*G261</f>
        <v>4.7</v>
      </c>
      <c r="I261" s="857">
        <v>2</v>
      </c>
      <c r="J261" s="857">
        <v>0.2</v>
      </c>
      <c r="K261" s="857">
        <f>I261*J261</f>
        <v>0.4</v>
      </c>
      <c r="L261" s="857">
        <v>2</v>
      </c>
      <c r="M261" s="857">
        <v>0.2</v>
      </c>
      <c r="N261" s="857">
        <f>L261*M261</f>
        <v>0.4</v>
      </c>
      <c r="O261" s="857"/>
      <c r="P261" s="857"/>
      <c r="Q261" s="857"/>
      <c r="R261" s="857">
        <f t="shared" si="42"/>
        <v>0</v>
      </c>
      <c r="S261" s="857"/>
      <c r="T261" s="857"/>
      <c r="U261" s="857"/>
      <c r="V261" s="857"/>
      <c r="W261" s="857"/>
      <c r="X261" s="857"/>
      <c r="Y261" s="857"/>
      <c r="Z261" s="559">
        <f t="shared" si="43"/>
        <v>-0.4</v>
      </c>
      <c r="AA261" s="559">
        <f t="shared" si="47"/>
        <v>0</v>
      </c>
      <c r="AB261" s="901" t="s">
        <v>1907</v>
      </c>
      <c r="AC261" s="491" t="s">
        <v>1665</v>
      </c>
      <c r="AF261" s="466"/>
      <c r="AG261" s="465"/>
      <c r="AH261" s="465"/>
    </row>
    <row r="262" spans="1:34" s="498" customFormat="1" hidden="1" x14ac:dyDescent="0.25">
      <c r="A262" s="962"/>
      <c r="B262" s="856" t="s">
        <v>1908</v>
      </c>
      <c r="C262" s="499"/>
      <c r="D262" s="903"/>
      <c r="E262" s="1031" t="s">
        <v>227</v>
      </c>
      <c r="F262" s="857">
        <v>2</v>
      </c>
      <c r="G262" s="857">
        <v>0.2</v>
      </c>
      <c r="H262" s="857">
        <f>F262*G262</f>
        <v>0.4</v>
      </c>
      <c r="I262" s="857"/>
      <c r="J262" s="857"/>
      <c r="K262" s="857"/>
      <c r="L262" s="857"/>
      <c r="M262" s="857"/>
      <c r="N262" s="857"/>
      <c r="O262" s="857"/>
      <c r="P262" s="857"/>
      <c r="Q262" s="857"/>
      <c r="R262" s="857">
        <f t="shared" si="42"/>
        <v>0</v>
      </c>
      <c r="S262" s="857"/>
      <c r="T262" s="857"/>
      <c r="U262" s="857"/>
      <c r="V262" s="857"/>
      <c r="W262" s="857"/>
      <c r="X262" s="857"/>
      <c r="Y262" s="857"/>
      <c r="Z262" s="559">
        <f t="shared" si="43"/>
        <v>0</v>
      </c>
      <c r="AA262" s="559" t="str">
        <f t="shared" si="47"/>
        <v>-</v>
      </c>
      <c r="AB262" s="1923"/>
      <c r="AC262" s="491" t="s">
        <v>1665</v>
      </c>
      <c r="AF262" s="466"/>
      <c r="AG262" s="465"/>
      <c r="AH262" s="465"/>
    </row>
    <row r="263" spans="1:34" s="498" customFormat="1" hidden="1" x14ac:dyDescent="0.25">
      <c r="A263" s="962"/>
      <c r="B263" s="856" t="s">
        <v>1909</v>
      </c>
      <c r="C263" s="499"/>
      <c r="D263" s="903"/>
      <c r="E263" s="1031" t="s">
        <v>227</v>
      </c>
      <c r="F263" s="857">
        <v>60</v>
      </c>
      <c r="G263" s="857">
        <v>0.1</v>
      </c>
      <c r="H263" s="857">
        <f>F263*G263</f>
        <v>6</v>
      </c>
      <c r="I263" s="857">
        <v>22.5</v>
      </c>
      <c r="J263" s="857">
        <v>0.2</v>
      </c>
      <c r="K263" s="857">
        <f>I263*J263</f>
        <v>4.5</v>
      </c>
      <c r="L263" s="857">
        <v>22.5</v>
      </c>
      <c r="M263" s="857">
        <v>0.2</v>
      </c>
      <c r="N263" s="857">
        <f>L263*M263</f>
        <v>4.5</v>
      </c>
      <c r="O263" s="857"/>
      <c r="P263" s="857"/>
      <c r="Q263" s="857"/>
      <c r="R263" s="857">
        <f t="shared" si="42"/>
        <v>0</v>
      </c>
      <c r="S263" s="857"/>
      <c r="T263" s="857"/>
      <c r="U263" s="857"/>
      <c r="V263" s="857"/>
      <c r="W263" s="857"/>
      <c r="X263" s="857"/>
      <c r="Y263" s="857"/>
      <c r="Z263" s="559">
        <f t="shared" si="43"/>
        <v>-4.5</v>
      </c>
      <c r="AA263" s="559">
        <f t="shared" si="47"/>
        <v>0</v>
      </c>
      <c r="AB263" s="827"/>
      <c r="AC263" s="491" t="s">
        <v>1665</v>
      </c>
      <c r="AF263" s="466"/>
      <c r="AG263" s="465"/>
      <c r="AH263" s="465"/>
    </row>
    <row r="264" spans="1:34" s="498" customFormat="1" ht="38.25" hidden="1" x14ac:dyDescent="0.25">
      <c r="A264" s="962"/>
      <c r="B264" s="865" t="s">
        <v>1910</v>
      </c>
      <c r="C264" s="508" t="s">
        <v>797</v>
      </c>
      <c r="D264" s="903"/>
      <c r="E264" s="1031" t="s">
        <v>1240</v>
      </c>
      <c r="F264" s="497"/>
      <c r="G264" s="497"/>
      <c r="H264" s="497"/>
      <c r="I264" s="497"/>
      <c r="J264" s="497"/>
      <c r="K264" s="497"/>
      <c r="L264" s="497"/>
      <c r="M264" s="497"/>
      <c r="N264" s="497"/>
      <c r="O264" s="857"/>
      <c r="P264" s="857"/>
      <c r="Q264" s="533"/>
      <c r="R264" s="533">
        <f t="shared" si="42"/>
        <v>0</v>
      </c>
      <c r="S264" s="533"/>
      <c r="T264" s="857"/>
      <c r="U264" s="857"/>
      <c r="V264" s="533"/>
      <c r="W264" s="857"/>
      <c r="X264" s="857"/>
      <c r="Y264" s="533"/>
      <c r="Z264" s="559">
        <f t="shared" si="43"/>
        <v>0</v>
      </c>
      <c r="AA264" s="559" t="str">
        <f t="shared" si="47"/>
        <v>-</v>
      </c>
      <c r="AB264" s="900" t="s">
        <v>1911</v>
      </c>
      <c r="AC264" s="491" t="s">
        <v>1665</v>
      </c>
      <c r="AF264" s="466"/>
      <c r="AG264" s="465"/>
      <c r="AH264" s="465"/>
    </row>
    <row r="265" spans="1:34" s="492" customFormat="1" ht="51" hidden="1" x14ac:dyDescent="0.2">
      <c r="A265" s="1240"/>
      <c r="B265" s="500" t="s">
        <v>1869</v>
      </c>
      <c r="C265" s="501" t="s">
        <v>797</v>
      </c>
      <c r="D265" s="932"/>
      <c r="E265" s="842" t="s">
        <v>227</v>
      </c>
      <c r="F265" s="828">
        <v>50</v>
      </c>
      <c r="G265" s="829">
        <v>7.0000000000000007E-2</v>
      </c>
      <c r="H265" s="542">
        <f>F265*G265</f>
        <v>3.5</v>
      </c>
      <c r="I265" s="533">
        <v>68</v>
      </c>
      <c r="J265" s="533">
        <v>0.1</v>
      </c>
      <c r="K265" s="533">
        <f>I265*J265</f>
        <v>6.8</v>
      </c>
      <c r="L265" s="533">
        <v>68</v>
      </c>
      <c r="M265" s="533">
        <v>0.1</v>
      </c>
      <c r="N265" s="533">
        <f>L265*M265</f>
        <v>6.8</v>
      </c>
      <c r="O265" s="533">
        <v>68</v>
      </c>
      <c r="P265" s="533">
        <v>0.1</v>
      </c>
      <c r="Q265" s="533">
        <f>O265*P265</f>
        <v>6.8</v>
      </c>
      <c r="R265" s="533">
        <f t="shared" si="42"/>
        <v>6.8</v>
      </c>
      <c r="S265" s="533"/>
      <c r="T265" s="533">
        <v>68</v>
      </c>
      <c r="U265" s="533">
        <v>0.1</v>
      </c>
      <c r="V265" s="533">
        <f>T265*U265</f>
        <v>6.8</v>
      </c>
      <c r="W265" s="533">
        <v>68</v>
      </c>
      <c r="X265" s="533">
        <v>0.1</v>
      </c>
      <c r="Y265" s="533">
        <f>W265*X265</f>
        <v>6.8</v>
      </c>
      <c r="Z265" s="542">
        <f t="shared" si="43"/>
        <v>0</v>
      </c>
      <c r="AA265" s="542">
        <f t="shared" si="47"/>
        <v>100</v>
      </c>
      <c r="AB265" s="827" t="s">
        <v>1912</v>
      </c>
      <c r="AC265" s="491" t="s">
        <v>1665</v>
      </c>
      <c r="AF265" s="466"/>
      <c r="AG265" s="466"/>
      <c r="AH265" s="466"/>
    </row>
    <row r="266" spans="1:34" s="492" customFormat="1" ht="14.25" hidden="1" x14ac:dyDescent="0.2">
      <c r="A266" s="1240"/>
      <c r="B266" s="500" t="s">
        <v>1233</v>
      </c>
      <c r="C266" s="501" t="s">
        <v>1230</v>
      </c>
      <c r="D266" s="932"/>
      <c r="E266" s="842"/>
      <c r="F266" s="533"/>
      <c r="G266" s="533"/>
      <c r="H266" s="533">
        <f>SUM(H267:H278)</f>
        <v>51.6</v>
      </c>
      <c r="I266" s="533"/>
      <c r="J266" s="533"/>
      <c r="K266" s="533">
        <f>SUM(K267:K278)</f>
        <v>48.3</v>
      </c>
      <c r="L266" s="533"/>
      <c r="M266" s="533"/>
      <c r="N266" s="533">
        <f>SUM(N267:N278)</f>
        <v>48.3</v>
      </c>
      <c r="O266" s="533"/>
      <c r="P266" s="533"/>
      <c r="Q266" s="533">
        <f>SUM(Q267:Q278)</f>
        <v>60</v>
      </c>
      <c r="R266" s="533">
        <f t="shared" si="42"/>
        <v>60</v>
      </c>
      <c r="S266" s="533"/>
      <c r="T266" s="533"/>
      <c r="U266" s="533"/>
      <c r="V266" s="533">
        <f>SUM(V267:V278)</f>
        <v>59.9</v>
      </c>
      <c r="W266" s="533"/>
      <c r="X266" s="533"/>
      <c r="Y266" s="533">
        <f>SUM(Y267:Y278)</f>
        <v>59.9</v>
      </c>
      <c r="Z266" s="542">
        <f t="shared" si="43"/>
        <v>11.7</v>
      </c>
      <c r="AA266" s="542">
        <f t="shared" si="47"/>
        <v>124.2</v>
      </c>
      <c r="AB266" s="893"/>
      <c r="AC266" s="491" t="s">
        <v>1665</v>
      </c>
      <c r="AF266" s="466"/>
      <c r="AG266" s="466"/>
      <c r="AH266" s="466"/>
    </row>
    <row r="267" spans="1:34" s="492" customFormat="1" ht="14.25" hidden="1" x14ac:dyDescent="0.2">
      <c r="A267" s="1240"/>
      <c r="B267" s="502" t="s">
        <v>1519</v>
      </c>
      <c r="C267" s="503"/>
      <c r="D267" s="932"/>
      <c r="E267" s="874" t="s">
        <v>318</v>
      </c>
      <c r="F267" s="857">
        <v>1</v>
      </c>
      <c r="G267" s="857">
        <v>3.5</v>
      </c>
      <c r="H267" s="682">
        <f t="shared" ref="H267:H272" si="48">F267*G267</f>
        <v>3.5</v>
      </c>
      <c r="I267" s="857">
        <v>1</v>
      </c>
      <c r="J267" s="857">
        <v>3.5</v>
      </c>
      <c r="K267" s="682">
        <f t="shared" ref="K267:K272" si="49">I267*J267</f>
        <v>3.5</v>
      </c>
      <c r="L267" s="857">
        <v>1</v>
      </c>
      <c r="M267" s="857">
        <v>3.5</v>
      </c>
      <c r="N267" s="682">
        <f t="shared" ref="N267:N272" si="50">L267*M267</f>
        <v>3.5</v>
      </c>
      <c r="O267" s="857">
        <v>1</v>
      </c>
      <c r="P267" s="857">
        <v>3.5</v>
      </c>
      <c r="Q267" s="682">
        <f>O267*P267</f>
        <v>3.5</v>
      </c>
      <c r="R267" s="682">
        <f t="shared" si="42"/>
        <v>3.5</v>
      </c>
      <c r="S267" s="682"/>
      <c r="T267" s="857">
        <v>1</v>
      </c>
      <c r="U267" s="857">
        <v>3.5</v>
      </c>
      <c r="V267" s="682">
        <f>T267*U267</f>
        <v>3.5</v>
      </c>
      <c r="W267" s="857">
        <v>1</v>
      </c>
      <c r="X267" s="857">
        <v>3.5</v>
      </c>
      <c r="Y267" s="682">
        <f>W267*X267</f>
        <v>3.5</v>
      </c>
      <c r="Z267" s="812">
        <f t="shared" si="43"/>
        <v>0</v>
      </c>
      <c r="AA267" s="812">
        <f t="shared" si="47"/>
        <v>100</v>
      </c>
      <c r="AB267" s="1924"/>
      <c r="AC267" s="491" t="s">
        <v>1665</v>
      </c>
      <c r="AF267" s="466"/>
      <c r="AG267" s="466"/>
      <c r="AH267" s="466"/>
    </row>
    <row r="268" spans="1:34" s="492" customFormat="1" ht="38.25" hidden="1" x14ac:dyDescent="0.2">
      <c r="A268" s="1240"/>
      <c r="B268" s="502" t="s">
        <v>1686</v>
      </c>
      <c r="C268" s="503"/>
      <c r="D268" s="932"/>
      <c r="E268" s="874" t="s">
        <v>318</v>
      </c>
      <c r="F268" s="857">
        <v>2</v>
      </c>
      <c r="G268" s="857">
        <v>2.2999999999999998</v>
      </c>
      <c r="H268" s="682">
        <f t="shared" si="48"/>
        <v>4.5999999999999996</v>
      </c>
      <c r="I268" s="857">
        <v>1</v>
      </c>
      <c r="J268" s="857">
        <v>2.2999999999999998</v>
      </c>
      <c r="K268" s="682">
        <f t="shared" si="49"/>
        <v>2.2999999999999998</v>
      </c>
      <c r="L268" s="857">
        <v>1</v>
      </c>
      <c r="M268" s="857">
        <v>2.2999999999999998</v>
      </c>
      <c r="N268" s="682">
        <f t="shared" si="50"/>
        <v>2.2999999999999998</v>
      </c>
      <c r="O268" s="857">
        <v>2</v>
      </c>
      <c r="P268" s="857">
        <v>2.2999999999999998</v>
      </c>
      <c r="Q268" s="682">
        <f>O268*P268</f>
        <v>4.5999999999999996</v>
      </c>
      <c r="R268" s="682">
        <f t="shared" si="42"/>
        <v>4.5999999999999996</v>
      </c>
      <c r="S268" s="682"/>
      <c r="T268" s="857">
        <v>2</v>
      </c>
      <c r="U268" s="857">
        <v>2.2999999999999998</v>
      </c>
      <c r="V268" s="682">
        <f>T268*U268</f>
        <v>4.5999999999999996</v>
      </c>
      <c r="W268" s="857">
        <v>2</v>
      </c>
      <c r="X268" s="857">
        <v>2.2999999999999998</v>
      </c>
      <c r="Y268" s="682">
        <f>W268*X268</f>
        <v>4.5999999999999996</v>
      </c>
      <c r="Z268" s="812">
        <f t="shared" si="43"/>
        <v>2.2999999999999998</v>
      </c>
      <c r="AA268" s="812">
        <f t="shared" si="47"/>
        <v>200</v>
      </c>
      <c r="AB268" s="1924" t="s">
        <v>1913</v>
      </c>
      <c r="AC268" s="491" t="s">
        <v>1665</v>
      </c>
      <c r="AF268" s="466"/>
      <c r="AG268" s="466"/>
      <c r="AH268" s="466"/>
    </row>
    <row r="269" spans="1:34" s="498" customFormat="1" hidden="1" x14ac:dyDescent="0.25">
      <c r="A269" s="962"/>
      <c r="B269" s="502" t="s">
        <v>1879</v>
      </c>
      <c r="C269" s="503"/>
      <c r="D269" s="903"/>
      <c r="E269" s="1031" t="s">
        <v>318</v>
      </c>
      <c r="F269" s="857">
        <v>5</v>
      </c>
      <c r="G269" s="857">
        <v>1.8</v>
      </c>
      <c r="H269" s="682">
        <f t="shared" si="48"/>
        <v>9</v>
      </c>
      <c r="I269" s="857">
        <v>5</v>
      </c>
      <c r="J269" s="857">
        <v>1.8</v>
      </c>
      <c r="K269" s="682">
        <f t="shared" si="49"/>
        <v>9</v>
      </c>
      <c r="L269" s="857">
        <v>5</v>
      </c>
      <c r="M269" s="857">
        <v>1.8</v>
      </c>
      <c r="N269" s="682">
        <f t="shared" si="50"/>
        <v>9</v>
      </c>
      <c r="O269" s="857"/>
      <c r="P269" s="857"/>
      <c r="Q269" s="682"/>
      <c r="R269" s="682">
        <f t="shared" si="42"/>
        <v>0</v>
      </c>
      <c r="S269" s="682"/>
      <c r="T269" s="857"/>
      <c r="U269" s="857"/>
      <c r="V269" s="682"/>
      <c r="W269" s="857"/>
      <c r="X269" s="857"/>
      <c r="Y269" s="682"/>
      <c r="Z269" s="812">
        <f t="shared" si="43"/>
        <v>-9</v>
      </c>
      <c r="AA269" s="812">
        <f t="shared" si="47"/>
        <v>0</v>
      </c>
      <c r="AB269" s="1924"/>
      <c r="AC269" s="491" t="s">
        <v>1665</v>
      </c>
      <c r="AF269" s="466"/>
      <c r="AG269" s="465"/>
      <c r="AH269" s="465"/>
    </row>
    <row r="270" spans="1:34" s="498" customFormat="1" hidden="1" x14ac:dyDescent="0.25">
      <c r="A270" s="962"/>
      <c r="B270" s="502" t="s">
        <v>1839</v>
      </c>
      <c r="C270" s="503"/>
      <c r="D270" s="903"/>
      <c r="E270" s="1031" t="s">
        <v>318</v>
      </c>
      <c r="F270" s="857">
        <v>4</v>
      </c>
      <c r="G270" s="857">
        <v>2.2999999999999998</v>
      </c>
      <c r="H270" s="682">
        <f t="shared" si="48"/>
        <v>9.1999999999999993</v>
      </c>
      <c r="I270" s="857">
        <v>4</v>
      </c>
      <c r="J270" s="857">
        <v>2.2999999999999998</v>
      </c>
      <c r="K270" s="682">
        <f t="shared" si="49"/>
        <v>9.1999999999999993</v>
      </c>
      <c r="L270" s="857">
        <v>4</v>
      </c>
      <c r="M270" s="857">
        <v>2.2999999999999998</v>
      </c>
      <c r="N270" s="682">
        <f t="shared" si="50"/>
        <v>9.1999999999999993</v>
      </c>
      <c r="O270" s="857">
        <v>4</v>
      </c>
      <c r="P270" s="857">
        <v>1.7</v>
      </c>
      <c r="Q270" s="682">
        <f>O270*P270</f>
        <v>6.8</v>
      </c>
      <c r="R270" s="682">
        <f t="shared" si="42"/>
        <v>6.8</v>
      </c>
      <c r="S270" s="682"/>
      <c r="T270" s="857">
        <v>4</v>
      </c>
      <c r="U270" s="857">
        <v>1.7</v>
      </c>
      <c r="V270" s="682">
        <f>T270*U270</f>
        <v>6.8</v>
      </c>
      <c r="W270" s="857">
        <v>4</v>
      </c>
      <c r="X270" s="857">
        <v>1.7</v>
      </c>
      <c r="Y270" s="682">
        <f>W270*X270</f>
        <v>6.8</v>
      </c>
      <c r="Z270" s="812">
        <f t="shared" si="43"/>
        <v>-2.4</v>
      </c>
      <c r="AA270" s="812">
        <f t="shared" si="47"/>
        <v>73.900000000000006</v>
      </c>
      <c r="AB270" s="1924"/>
      <c r="AC270" s="491" t="s">
        <v>1665</v>
      </c>
      <c r="AF270" s="466"/>
      <c r="AG270" s="465"/>
      <c r="AH270" s="465"/>
    </row>
    <row r="271" spans="1:34" s="498" customFormat="1" hidden="1" x14ac:dyDescent="0.25">
      <c r="A271" s="962"/>
      <c r="B271" s="502" t="s">
        <v>1683</v>
      </c>
      <c r="C271" s="503"/>
      <c r="D271" s="903"/>
      <c r="E271" s="1031" t="s">
        <v>318</v>
      </c>
      <c r="F271" s="857">
        <v>1</v>
      </c>
      <c r="G271" s="857">
        <v>2</v>
      </c>
      <c r="H271" s="682">
        <f t="shared" si="48"/>
        <v>2</v>
      </c>
      <c r="I271" s="857">
        <v>1</v>
      </c>
      <c r="J271" s="682">
        <v>2</v>
      </c>
      <c r="K271" s="682">
        <f>I271*J271</f>
        <v>2</v>
      </c>
      <c r="L271" s="857">
        <v>1</v>
      </c>
      <c r="M271" s="682">
        <v>2</v>
      </c>
      <c r="N271" s="682">
        <f t="shared" si="50"/>
        <v>2</v>
      </c>
      <c r="O271" s="857"/>
      <c r="P271" s="682"/>
      <c r="Q271" s="682"/>
      <c r="R271" s="682">
        <f t="shared" si="42"/>
        <v>0</v>
      </c>
      <c r="S271" s="682"/>
      <c r="T271" s="857"/>
      <c r="U271" s="682"/>
      <c r="V271" s="682"/>
      <c r="W271" s="857"/>
      <c r="X271" s="682"/>
      <c r="Y271" s="682"/>
      <c r="Z271" s="812">
        <f t="shared" si="43"/>
        <v>-2</v>
      </c>
      <c r="AA271" s="812">
        <f t="shared" si="47"/>
        <v>0</v>
      </c>
      <c r="AB271" s="893"/>
      <c r="AC271" s="491" t="s">
        <v>1665</v>
      </c>
      <c r="AF271" s="466"/>
      <c r="AG271" s="465"/>
      <c r="AH271" s="465"/>
    </row>
    <row r="272" spans="1:34" s="498" customFormat="1" ht="89.25" hidden="1" x14ac:dyDescent="0.25">
      <c r="A272" s="962"/>
      <c r="B272" s="502" t="s">
        <v>1914</v>
      </c>
      <c r="C272" s="503"/>
      <c r="D272" s="903"/>
      <c r="E272" s="1031" t="s">
        <v>318</v>
      </c>
      <c r="F272" s="857">
        <v>1</v>
      </c>
      <c r="G272" s="857">
        <v>12.3</v>
      </c>
      <c r="H272" s="682">
        <f t="shared" si="48"/>
        <v>12.3</v>
      </c>
      <c r="I272" s="857">
        <v>2</v>
      </c>
      <c r="J272" s="857">
        <v>6</v>
      </c>
      <c r="K272" s="682">
        <f t="shared" si="49"/>
        <v>12</v>
      </c>
      <c r="L272" s="857">
        <v>2</v>
      </c>
      <c r="M272" s="857">
        <v>6</v>
      </c>
      <c r="N272" s="682">
        <f t="shared" si="50"/>
        <v>12</v>
      </c>
      <c r="O272" s="857">
        <v>1</v>
      </c>
      <c r="P272" s="857">
        <v>5</v>
      </c>
      <c r="Q272" s="682">
        <f>O272*P272</f>
        <v>5</v>
      </c>
      <c r="R272" s="682">
        <f t="shared" si="42"/>
        <v>5</v>
      </c>
      <c r="S272" s="682"/>
      <c r="T272" s="857">
        <v>1</v>
      </c>
      <c r="U272" s="857">
        <v>5</v>
      </c>
      <c r="V272" s="682">
        <f>T272*U272</f>
        <v>5</v>
      </c>
      <c r="W272" s="857">
        <v>1</v>
      </c>
      <c r="X272" s="857">
        <v>5</v>
      </c>
      <c r="Y272" s="682">
        <f>W272*X272</f>
        <v>5</v>
      </c>
      <c r="Z272" s="812">
        <f t="shared" si="43"/>
        <v>-7</v>
      </c>
      <c r="AA272" s="812">
        <f t="shared" si="47"/>
        <v>41.7</v>
      </c>
      <c r="AB272" s="843" t="s">
        <v>1915</v>
      </c>
      <c r="AC272" s="491" t="s">
        <v>1665</v>
      </c>
      <c r="AF272" s="466"/>
      <c r="AG272" s="465"/>
      <c r="AH272" s="465"/>
    </row>
    <row r="273" spans="1:34" s="498" customFormat="1" hidden="1" x14ac:dyDescent="0.25">
      <c r="A273" s="962"/>
      <c r="B273" s="900" t="s">
        <v>1880</v>
      </c>
      <c r="C273" s="1925"/>
      <c r="D273" s="1926"/>
      <c r="E273" s="1927" t="s">
        <v>1837</v>
      </c>
      <c r="F273" s="1928"/>
      <c r="G273" s="1928"/>
      <c r="H273" s="1929">
        <v>0</v>
      </c>
      <c r="I273" s="1928"/>
      <c r="J273" s="1928"/>
      <c r="K273" s="1929">
        <v>0</v>
      </c>
      <c r="L273" s="1928"/>
      <c r="M273" s="1928"/>
      <c r="N273" s="1929">
        <v>0</v>
      </c>
      <c r="O273" s="1928">
        <v>1</v>
      </c>
      <c r="P273" s="1928">
        <v>4</v>
      </c>
      <c r="Q273" s="1929">
        <f t="shared" ref="Q273:Q277" si="51">P273*O273</f>
        <v>4</v>
      </c>
      <c r="R273" s="1929">
        <f t="shared" si="42"/>
        <v>4</v>
      </c>
      <c r="S273" s="1929"/>
      <c r="T273" s="1928">
        <v>1</v>
      </c>
      <c r="U273" s="1928">
        <v>4</v>
      </c>
      <c r="V273" s="1929">
        <f t="shared" ref="V273" si="52">U273*T273</f>
        <v>4</v>
      </c>
      <c r="W273" s="1928">
        <v>1</v>
      </c>
      <c r="X273" s="1928">
        <v>4</v>
      </c>
      <c r="Y273" s="1929">
        <f t="shared" ref="Y273" si="53">X273*W273</f>
        <v>4</v>
      </c>
      <c r="Z273" s="1929">
        <f t="shared" si="43"/>
        <v>4</v>
      </c>
      <c r="AA273" s="1929" t="str">
        <f t="shared" si="47"/>
        <v>-</v>
      </c>
      <c r="AB273" s="3514" t="s">
        <v>1916</v>
      </c>
      <c r="AC273" s="491" t="s">
        <v>1665</v>
      </c>
      <c r="AF273" s="466"/>
      <c r="AG273" s="465"/>
      <c r="AH273" s="465"/>
    </row>
    <row r="274" spans="1:34" s="498" customFormat="1" hidden="1" x14ac:dyDescent="0.25">
      <c r="A274" s="962"/>
      <c r="B274" s="1041" t="s">
        <v>1917</v>
      </c>
      <c r="C274" s="830"/>
      <c r="D274" s="1926"/>
      <c r="E274" s="1930" t="s">
        <v>318</v>
      </c>
      <c r="F274" s="1929"/>
      <c r="G274" s="1929"/>
      <c r="H274" s="1928"/>
      <c r="I274" s="1929"/>
      <c r="J274" s="1929"/>
      <c r="K274" s="1928"/>
      <c r="L274" s="1929"/>
      <c r="M274" s="1929"/>
      <c r="N274" s="1928"/>
      <c r="O274" s="1929">
        <v>3</v>
      </c>
      <c r="P274" s="1929">
        <v>3.5</v>
      </c>
      <c r="Q274" s="1929">
        <f t="shared" si="51"/>
        <v>10.5</v>
      </c>
      <c r="R274" s="1929">
        <f t="shared" si="42"/>
        <v>10.5</v>
      </c>
      <c r="S274" s="1929"/>
      <c r="T274" s="1929">
        <v>3</v>
      </c>
      <c r="U274" s="1929">
        <v>3.5</v>
      </c>
      <c r="V274" s="1928">
        <f t="shared" ref="V274" si="54">T274*U274</f>
        <v>10.5</v>
      </c>
      <c r="W274" s="1929">
        <v>3</v>
      </c>
      <c r="X274" s="1929">
        <v>3.5</v>
      </c>
      <c r="Y274" s="1928">
        <f t="shared" ref="Y274" si="55">W274*X274</f>
        <v>10.5</v>
      </c>
      <c r="Z274" s="1928">
        <f t="shared" si="43"/>
        <v>10.5</v>
      </c>
      <c r="AA274" s="1928" t="str">
        <f t="shared" si="47"/>
        <v>-</v>
      </c>
      <c r="AB274" s="3515"/>
      <c r="AC274" s="491" t="s">
        <v>1665</v>
      </c>
      <c r="AF274" s="466"/>
      <c r="AG274" s="465"/>
      <c r="AH274" s="465"/>
    </row>
    <row r="275" spans="1:34" s="498" customFormat="1" hidden="1" x14ac:dyDescent="0.25">
      <c r="A275" s="962"/>
      <c r="B275" s="900" t="s">
        <v>1826</v>
      </c>
      <c r="C275" s="830"/>
      <c r="D275" s="1926"/>
      <c r="E275" s="1930" t="s">
        <v>318</v>
      </c>
      <c r="F275" s="1929"/>
      <c r="G275" s="1929"/>
      <c r="H275" s="1928"/>
      <c r="I275" s="1929"/>
      <c r="J275" s="1929"/>
      <c r="K275" s="1928"/>
      <c r="L275" s="1929"/>
      <c r="M275" s="1929"/>
      <c r="N275" s="1928"/>
      <c r="O275" s="1929">
        <v>1</v>
      </c>
      <c r="P275" s="1929">
        <v>2.2999999999999998</v>
      </c>
      <c r="Q275" s="1929">
        <f t="shared" si="51"/>
        <v>2.2999999999999998</v>
      </c>
      <c r="R275" s="1929">
        <f t="shared" ref="R275:R338" si="56">Q275</f>
        <v>2.2999999999999998</v>
      </c>
      <c r="S275" s="1929"/>
      <c r="T275" s="1929">
        <v>1</v>
      </c>
      <c r="U275" s="1929">
        <v>2.2999999999999998</v>
      </c>
      <c r="V275" s="1928">
        <v>2.2999999999999998</v>
      </c>
      <c r="W275" s="1929">
        <v>1</v>
      </c>
      <c r="X275" s="1929">
        <v>2.2999999999999998</v>
      </c>
      <c r="Y275" s="1928">
        <v>2.2999999999999998</v>
      </c>
      <c r="Z275" s="1928">
        <f t="shared" si="43"/>
        <v>2.2999999999999998</v>
      </c>
      <c r="AA275" s="1928" t="str">
        <f t="shared" si="47"/>
        <v>-</v>
      </c>
      <c r="AB275" s="3515"/>
      <c r="AC275" s="491" t="s">
        <v>1665</v>
      </c>
      <c r="AF275" s="466"/>
      <c r="AG275" s="465"/>
      <c r="AH275" s="465"/>
    </row>
    <row r="276" spans="1:34" s="498" customFormat="1" ht="25.5" hidden="1" x14ac:dyDescent="0.25">
      <c r="A276" s="962"/>
      <c r="B276" s="1885" t="s">
        <v>1757</v>
      </c>
      <c r="C276" s="830"/>
      <c r="D276" s="1926"/>
      <c r="E276" s="1930" t="s">
        <v>318</v>
      </c>
      <c r="F276" s="1929"/>
      <c r="G276" s="1929"/>
      <c r="H276" s="1928"/>
      <c r="I276" s="1929"/>
      <c r="J276" s="1929"/>
      <c r="K276" s="1928"/>
      <c r="L276" s="1929"/>
      <c r="M276" s="1929"/>
      <c r="N276" s="1928"/>
      <c r="O276" s="1929">
        <v>2</v>
      </c>
      <c r="P276" s="1929">
        <v>3.5</v>
      </c>
      <c r="Q276" s="1929">
        <f t="shared" si="51"/>
        <v>7</v>
      </c>
      <c r="R276" s="1929">
        <f t="shared" si="56"/>
        <v>7</v>
      </c>
      <c r="S276" s="1929"/>
      <c r="T276" s="1929">
        <v>2</v>
      </c>
      <c r="U276" s="1929">
        <v>3.5</v>
      </c>
      <c r="V276" s="1928">
        <v>6.9</v>
      </c>
      <c r="W276" s="1929">
        <v>2</v>
      </c>
      <c r="X276" s="1929">
        <v>3.5</v>
      </c>
      <c r="Y276" s="1928">
        <v>6.9</v>
      </c>
      <c r="Z276" s="1928">
        <f t="shared" si="43"/>
        <v>7</v>
      </c>
      <c r="AA276" s="1928" t="str">
        <f t="shared" si="47"/>
        <v>-</v>
      </c>
      <c r="AB276" s="3515"/>
      <c r="AC276" s="491" t="s">
        <v>1665</v>
      </c>
      <c r="AF276" s="466"/>
      <c r="AG276" s="465"/>
      <c r="AH276" s="465"/>
    </row>
    <row r="277" spans="1:34" s="498" customFormat="1" hidden="1" x14ac:dyDescent="0.25">
      <c r="A277" s="962"/>
      <c r="B277" s="1885" t="s">
        <v>1886</v>
      </c>
      <c r="C277" s="830"/>
      <c r="D277" s="1926"/>
      <c r="E277" s="1930" t="s">
        <v>318</v>
      </c>
      <c r="F277" s="1929"/>
      <c r="G277" s="1929"/>
      <c r="H277" s="1928"/>
      <c r="I277" s="1929"/>
      <c r="J277" s="1929"/>
      <c r="K277" s="1928"/>
      <c r="L277" s="1929"/>
      <c r="M277" s="1929"/>
      <c r="N277" s="1928"/>
      <c r="O277" s="1929">
        <v>1</v>
      </c>
      <c r="P277" s="1929">
        <v>3.5</v>
      </c>
      <c r="Q277" s="1929">
        <f t="shared" si="51"/>
        <v>3.5</v>
      </c>
      <c r="R277" s="1929">
        <f t="shared" si="56"/>
        <v>3.5</v>
      </c>
      <c r="S277" s="1929"/>
      <c r="T277" s="1929">
        <v>1</v>
      </c>
      <c r="U277" s="1929">
        <v>3.5</v>
      </c>
      <c r="V277" s="1928">
        <v>3.5</v>
      </c>
      <c r="W277" s="1929">
        <v>1</v>
      </c>
      <c r="X277" s="1929">
        <v>3.5</v>
      </c>
      <c r="Y277" s="1928">
        <v>3.5</v>
      </c>
      <c r="Z277" s="1928">
        <f t="shared" si="43"/>
        <v>3.5</v>
      </c>
      <c r="AA277" s="1928" t="str">
        <f t="shared" si="47"/>
        <v>-</v>
      </c>
      <c r="AB277" s="3516"/>
      <c r="AC277" s="491" t="s">
        <v>1665</v>
      </c>
      <c r="AF277" s="466"/>
      <c r="AG277" s="465"/>
      <c r="AH277" s="465"/>
    </row>
    <row r="278" spans="1:34" s="498" customFormat="1" hidden="1" x14ac:dyDescent="0.25">
      <c r="A278" s="962"/>
      <c r="B278" s="502" t="s">
        <v>1729</v>
      </c>
      <c r="C278" s="503"/>
      <c r="D278" s="903"/>
      <c r="E278" s="1031"/>
      <c r="F278" s="857"/>
      <c r="G278" s="857"/>
      <c r="H278" s="682">
        <f>SUM(H267:H272)*0.271</f>
        <v>11</v>
      </c>
      <c r="I278" s="857"/>
      <c r="J278" s="857"/>
      <c r="K278" s="682">
        <f>SUM(K267:K272)*0.271</f>
        <v>10.3</v>
      </c>
      <c r="L278" s="857"/>
      <c r="M278" s="857"/>
      <c r="N278" s="682">
        <f>SUM(N267:N272)*0.271</f>
        <v>10.3</v>
      </c>
      <c r="O278" s="682"/>
      <c r="P278" s="682"/>
      <c r="Q278" s="682">
        <f>SUM(Q267:Q277)*0.271</f>
        <v>12.8</v>
      </c>
      <c r="R278" s="682">
        <f t="shared" si="56"/>
        <v>12.8</v>
      </c>
      <c r="S278" s="682"/>
      <c r="T278" s="682"/>
      <c r="U278" s="682"/>
      <c r="V278" s="682">
        <f>SUM(V267:V277)*0.271</f>
        <v>12.8</v>
      </c>
      <c r="W278" s="682"/>
      <c r="X278" s="682"/>
      <c r="Y278" s="682">
        <f>SUM(Y267:Y277)*0.271</f>
        <v>12.8</v>
      </c>
      <c r="Z278" s="812">
        <f t="shared" si="43"/>
        <v>2.5</v>
      </c>
      <c r="AA278" s="812">
        <f t="shared" si="47"/>
        <v>124.3</v>
      </c>
      <c r="AB278" s="893"/>
      <c r="AC278" s="491" t="s">
        <v>1665</v>
      </c>
      <c r="AF278" s="466"/>
      <c r="AG278" s="465"/>
      <c r="AH278" s="465"/>
    </row>
    <row r="279" spans="1:34" s="492" customFormat="1" ht="14.25" hidden="1" x14ac:dyDescent="0.2">
      <c r="A279" s="1240"/>
      <c r="B279" s="500" t="s">
        <v>798</v>
      </c>
      <c r="C279" s="501" t="s">
        <v>796</v>
      </c>
      <c r="D279" s="932"/>
      <c r="E279" s="842" t="s">
        <v>227</v>
      </c>
      <c r="F279" s="828">
        <v>10</v>
      </c>
      <c r="G279" s="829">
        <v>0.6</v>
      </c>
      <c r="H279" s="542">
        <f>F279*G279</f>
        <v>6</v>
      </c>
      <c r="I279" s="533">
        <v>12</v>
      </c>
      <c r="J279" s="533">
        <v>0.5</v>
      </c>
      <c r="K279" s="533">
        <f>I279*J279</f>
        <v>6</v>
      </c>
      <c r="L279" s="533">
        <v>12</v>
      </c>
      <c r="M279" s="533">
        <v>0.5</v>
      </c>
      <c r="N279" s="533">
        <f>L279*M279</f>
        <v>6</v>
      </c>
      <c r="O279" s="533">
        <v>12</v>
      </c>
      <c r="P279" s="533">
        <v>0.5</v>
      </c>
      <c r="Q279" s="533">
        <f>O279*P279</f>
        <v>6</v>
      </c>
      <c r="R279" s="533">
        <f t="shared" si="56"/>
        <v>6</v>
      </c>
      <c r="S279" s="533"/>
      <c r="T279" s="533">
        <v>12</v>
      </c>
      <c r="U279" s="533">
        <v>0.5</v>
      </c>
      <c r="V279" s="533">
        <f>T279*U279</f>
        <v>6</v>
      </c>
      <c r="W279" s="533">
        <v>12</v>
      </c>
      <c r="X279" s="533">
        <v>0.5</v>
      </c>
      <c r="Y279" s="533">
        <f>W279*X279</f>
        <v>6</v>
      </c>
      <c r="Z279" s="542">
        <f t="shared" si="43"/>
        <v>0</v>
      </c>
      <c r="AA279" s="542">
        <f t="shared" si="47"/>
        <v>100</v>
      </c>
      <c r="AB279" s="893"/>
      <c r="AC279" s="491" t="s">
        <v>1665</v>
      </c>
      <c r="AF279" s="466"/>
      <c r="AG279" s="466"/>
      <c r="AH279" s="466"/>
    </row>
    <row r="280" spans="1:34" s="492" customFormat="1" ht="14.25" x14ac:dyDescent="0.2">
      <c r="A280" s="1240"/>
      <c r="B280" s="500" t="s">
        <v>1246</v>
      </c>
      <c r="C280" s="501" t="s">
        <v>1237</v>
      </c>
      <c r="D280" s="932"/>
      <c r="E280" s="842" t="s">
        <v>1829</v>
      </c>
      <c r="F280" s="828">
        <v>10</v>
      </c>
      <c r="G280" s="829">
        <v>2.5</v>
      </c>
      <c r="H280" s="542">
        <f>F280*G280</f>
        <v>25</v>
      </c>
      <c r="I280" s="533">
        <v>10</v>
      </c>
      <c r="J280" s="533">
        <v>2.5</v>
      </c>
      <c r="K280" s="533">
        <f>I280*J280</f>
        <v>25</v>
      </c>
      <c r="L280" s="533">
        <v>10</v>
      </c>
      <c r="M280" s="533">
        <v>2.5</v>
      </c>
      <c r="N280" s="533">
        <f>L280*M280</f>
        <v>25</v>
      </c>
      <c r="O280" s="533">
        <v>10</v>
      </c>
      <c r="P280" s="533">
        <v>2.5</v>
      </c>
      <c r="Q280" s="533">
        <f>O280*P280</f>
        <v>25</v>
      </c>
      <c r="R280" s="533">
        <f t="shared" si="56"/>
        <v>25</v>
      </c>
      <c r="S280" s="533"/>
      <c r="T280" s="533">
        <v>10</v>
      </c>
      <c r="U280" s="533">
        <v>2.5</v>
      </c>
      <c r="V280" s="533">
        <f>T280*U280</f>
        <v>25</v>
      </c>
      <c r="W280" s="533">
        <v>10</v>
      </c>
      <c r="X280" s="533">
        <v>2.5</v>
      </c>
      <c r="Y280" s="533">
        <f>W280*X280</f>
        <v>25</v>
      </c>
      <c r="Z280" s="542">
        <f t="shared" si="43"/>
        <v>0</v>
      </c>
      <c r="AA280" s="542">
        <f t="shared" si="47"/>
        <v>100</v>
      </c>
      <c r="AB280" s="893"/>
      <c r="AC280" s="491" t="s">
        <v>1665</v>
      </c>
      <c r="AF280" s="466"/>
      <c r="AG280" s="466"/>
      <c r="AH280" s="466"/>
    </row>
    <row r="281" spans="1:34" s="539" customFormat="1" hidden="1" x14ac:dyDescent="0.25">
      <c r="A281" s="536"/>
      <c r="B281" s="510" t="s">
        <v>1247</v>
      </c>
      <c r="C281" s="511"/>
      <c r="D281" s="536"/>
      <c r="E281" s="536"/>
      <c r="F281" s="911"/>
      <c r="G281" s="912"/>
      <c r="H281" s="823" t="e">
        <f>#REF!+#REF!+H282+#REF!</f>
        <v>#REF!</v>
      </c>
      <c r="I281" s="913"/>
      <c r="J281" s="913"/>
      <c r="K281" s="823">
        <f>K282</f>
        <v>37.799999999999997</v>
      </c>
      <c r="L281" s="913"/>
      <c r="M281" s="913"/>
      <c r="N281" s="823">
        <f>N282</f>
        <v>37.799999999999997</v>
      </c>
      <c r="O281" s="913"/>
      <c r="P281" s="913"/>
      <c r="Q281" s="823">
        <f>Q282</f>
        <v>38.6</v>
      </c>
      <c r="R281" s="823">
        <f t="shared" si="56"/>
        <v>38.6</v>
      </c>
      <c r="S281" s="823"/>
      <c r="T281" s="913"/>
      <c r="U281" s="913"/>
      <c r="V281" s="823">
        <f>V282</f>
        <v>38.6</v>
      </c>
      <c r="W281" s="823"/>
      <c r="X281" s="823"/>
      <c r="Y281" s="823">
        <f>Y282</f>
        <v>38.6</v>
      </c>
      <c r="Z281" s="823">
        <f t="shared" si="43"/>
        <v>0.8</v>
      </c>
      <c r="AA281" s="823">
        <f t="shared" si="47"/>
        <v>102.1</v>
      </c>
      <c r="AB281" s="914"/>
      <c r="AC281" s="538"/>
      <c r="AF281" s="519"/>
      <c r="AG281" s="540"/>
      <c r="AH281" s="540"/>
    </row>
    <row r="282" spans="1:34" s="1891" customFormat="1" ht="38.25" hidden="1" x14ac:dyDescent="0.25">
      <c r="A282" s="850"/>
      <c r="B282" s="520" t="s">
        <v>1664</v>
      </c>
      <c r="C282" s="521"/>
      <c r="D282" s="522" t="s">
        <v>1444</v>
      </c>
      <c r="E282" s="556"/>
      <c r="F282" s="523"/>
      <c r="G282" s="524"/>
      <c r="H282" s="526">
        <f>H283+H288+H294+H295</f>
        <v>49.4</v>
      </c>
      <c r="I282" s="526"/>
      <c r="J282" s="526"/>
      <c r="K282" s="526">
        <f>K283+K288+K294+K295</f>
        <v>37.799999999999997</v>
      </c>
      <c r="L282" s="526"/>
      <c r="M282" s="526"/>
      <c r="N282" s="526">
        <f>N283+N288+N294+N295</f>
        <v>37.799999999999997</v>
      </c>
      <c r="O282" s="526"/>
      <c r="P282" s="526"/>
      <c r="Q282" s="526">
        <f>Q283+Q287+Q288+Q293+Q294+Q295</f>
        <v>38.6</v>
      </c>
      <c r="R282" s="526">
        <f t="shared" si="56"/>
        <v>38.6</v>
      </c>
      <c r="S282" s="526"/>
      <c r="T282" s="526"/>
      <c r="U282" s="526"/>
      <c r="V282" s="526">
        <f>V283+V287+V288+V293+V294+V295</f>
        <v>38.6</v>
      </c>
      <c r="W282" s="526"/>
      <c r="X282" s="526"/>
      <c r="Y282" s="526">
        <f>Y283+Y287+Y288+Y293+Y294+Y295</f>
        <v>38.6</v>
      </c>
      <c r="Z282" s="526">
        <f t="shared" si="43"/>
        <v>0.8</v>
      </c>
      <c r="AA282" s="526">
        <f t="shared" si="47"/>
        <v>102.1</v>
      </c>
      <c r="AB282" s="909"/>
      <c r="AC282" s="1931" t="s">
        <v>1665</v>
      </c>
      <c r="AF282" s="528"/>
      <c r="AG282" s="1892"/>
      <c r="AH282" s="1892"/>
    </row>
    <row r="283" spans="1:34" s="492" customFormat="1" ht="14.25" hidden="1" x14ac:dyDescent="0.2">
      <c r="A283" s="1240"/>
      <c r="B283" s="500" t="s">
        <v>1226</v>
      </c>
      <c r="C283" s="501" t="s">
        <v>797</v>
      </c>
      <c r="D283" s="932"/>
      <c r="E283" s="842"/>
      <c r="F283" s="828"/>
      <c r="G283" s="829"/>
      <c r="H283" s="542">
        <f>SUM(H284:H286)</f>
        <v>13.8</v>
      </c>
      <c r="I283" s="533"/>
      <c r="J283" s="533"/>
      <c r="K283" s="533">
        <f>SUM(K284:K286)</f>
        <v>11.2</v>
      </c>
      <c r="L283" s="533"/>
      <c r="M283" s="533"/>
      <c r="N283" s="533">
        <f>SUM(N284:N286)</f>
        <v>11.2</v>
      </c>
      <c r="O283" s="533"/>
      <c r="P283" s="533"/>
      <c r="Q283" s="533">
        <f>SUM(Q284:Q286)</f>
        <v>11.6</v>
      </c>
      <c r="R283" s="533">
        <f t="shared" si="56"/>
        <v>11.6</v>
      </c>
      <c r="S283" s="533"/>
      <c r="T283" s="533"/>
      <c r="U283" s="533"/>
      <c r="V283" s="533">
        <f>SUM(V284:V286)</f>
        <v>11.6</v>
      </c>
      <c r="W283" s="533"/>
      <c r="X283" s="533"/>
      <c r="Y283" s="533">
        <f>SUM(Y284:Y286)</f>
        <v>11.6</v>
      </c>
      <c r="Z283" s="542">
        <f t="shared" si="43"/>
        <v>0.4</v>
      </c>
      <c r="AA283" s="542">
        <f t="shared" si="47"/>
        <v>103.6</v>
      </c>
      <c r="AB283" s="921"/>
      <c r="AC283" s="534" t="s">
        <v>1665</v>
      </c>
      <c r="AF283" s="466"/>
      <c r="AG283" s="466"/>
      <c r="AH283" s="466"/>
    </row>
    <row r="284" spans="1:34" s="498" customFormat="1" ht="25.5" hidden="1" x14ac:dyDescent="0.25">
      <c r="A284" s="962"/>
      <c r="B284" s="856" t="s">
        <v>1918</v>
      </c>
      <c r="C284" s="499"/>
      <c r="D284" s="903"/>
      <c r="E284" s="1031" t="s">
        <v>1919</v>
      </c>
      <c r="F284" s="557">
        <v>26</v>
      </c>
      <c r="G284" s="558">
        <v>0.3</v>
      </c>
      <c r="H284" s="559">
        <f>F284*G284</f>
        <v>7.8</v>
      </c>
      <c r="I284" s="857">
        <v>26</v>
      </c>
      <c r="J284" s="857">
        <v>0.2</v>
      </c>
      <c r="K284" s="857">
        <f>I284*J284</f>
        <v>5.2</v>
      </c>
      <c r="L284" s="857">
        <v>26</v>
      </c>
      <c r="M284" s="857">
        <v>0.2</v>
      </c>
      <c r="N284" s="857">
        <f>L284*M284</f>
        <v>5.2</v>
      </c>
      <c r="O284" s="857">
        <v>14</v>
      </c>
      <c r="P284" s="857">
        <v>0.4</v>
      </c>
      <c r="Q284" s="857">
        <f>O284*P284</f>
        <v>5.6</v>
      </c>
      <c r="R284" s="857">
        <f t="shared" si="56"/>
        <v>5.6</v>
      </c>
      <c r="S284" s="857"/>
      <c r="T284" s="857">
        <v>14</v>
      </c>
      <c r="U284" s="857">
        <v>0.4</v>
      </c>
      <c r="V284" s="857">
        <f>T284*U284</f>
        <v>5.6</v>
      </c>
      <c r="W284" s="857">
        <v>14</v>
      </c>
      <c r="X284" s="857">
        <v>0.4</v>
      </c>
      <c r="Y284" s="857">
        <f>W284*X284</f>
        <v>5.6</v>
      </c>
      <c r="Z284" s="559">
        <f t="shared" si="43"/>
        <v>0.4</v>
      </c>
      <c r="AA284" s="559">
        <f t="shared" si="47"/>
        <v>107.7</v>
      </c>
      <c r="AB284" s="1932" t="s">
        <v>1920</v>
      </c>
      <c r="AC284" s="534" t="s">
        <v>1665</v>
      </c>
      <c r="AF284" s="466"/>
      <c r="AG284" s="465"/>
      <c r="AH284" s="465"/>
    </row>
    <row r="285" spans="1:34" s="498" customFormat="1" hidden="1" x14ac:dyDescent="0.25">
      <c r="A285" s="962"/>
      <c r="B285" s="856" t="s">
        <v>1689</v>
      </c>
      <c r="C285" s="499"/>
      <c r="D285" s="903"/>
      <c r="E285" s="1031"/>
      <c r="F285" s="557"/>
      <c r="G285" s="558"/>
      <c r="H285" s="559"/>
      <c r="I285" s="857"/>
      <c r="J285" s="857"/>
      <c r="K285" s="857"/>
      <c r="L285" s="857"/>
      <c r="M285" s="857"/>
      <c r="N285" s="857"/>
      <c r="O285" s="857">
        <v>1</v>
      </c>
      <c r="P285" s="857">
        <v>2</v>
      </c>
      <c r="Q285" s="857">
        <f>O285*P285</f>
        <v>2</v>
      </c>
      <c r="R285" s="857">
        <f t="shared" si="56"/>
        <v>2</v>
      </c>
      <c r="S285" s="857"/>
      <c r="T285" s="857">
        <v>1</v>
      </c>
      <c r="U285" s="857">
        <v>2</v>
      </c>
      <c r="V285" s="857">
        <f>T285*U285</f>
        <v>2</v>
      </c>
      <c r="W285" s="857">
        <v>1</v>
      </c>
      <c r="X285" s="857">
        <v>2</v>
      </c>
      <c r="Y285" s="857">
        <f>W285*X285</f>
        <v>2</v>
      </c>
      <c r="Z285" s="559">
        <f t="shared" si="43"/>
        <v>2</v>
      </c>
      <c r="AA285" s="559" t="str">
        <f t="shared" si="47"/>
        <v>-</v>
      </c>
      <c r="AB285" s="1933"/>
      <c r="AC285" s="534" t="s">
        <v>1665</v>
      </c>
      <c r="AF285" s="466"/>
      <c r="AG285" s="465"/>
      <c r="AH285" s="465"/>
    </row>
    <row r="286" spans="1:34" s="498" customFormat="1" hidden="1" x14ac:dyDescent="0.25">
      <c r="A286" s="962"/>
      <c r="B286" s="856" t="s">
        <v>1921</v>
      </c>
      <c r="C286" s="499"/>
      <c r="D286" s="903"/>
      <c r="E286" s="1031" t="s">
        <v>227</v>
      </c>
      <c r="F286" s="557">
        <v>6</v>
      </c>
      <c r="G286" s="558">
        <v>1</v>
      </c>
      <c r="H286" s="559">
        <f>F286*G286</f>
        <v>6</v>
      </c>
      <c r="I286" s="857">
        <v>6</v>
      </c>
      <c r="J286" s="857">
        <v>1</v>
      </c>
      <c r="K286" s="857">
        <f>I286*J286</f>
        <v>6</v>
      </c>
      <c r="L286" s="857">
        <v>6</v>
      </c>
      <c r="M286" s="857">
        <v>1</v>
      </c>
      <c r="N286" s="857">
        <f>L286*M286</f>
        <v>6</v>
      </c>
      <c r="O286" s="857">
        <v>4</v>
      </c>
      <c r="P286" s="857">
        <v>1</v>
      </c>
      <c r="Q286" s="857">
        <f>O286*P286</f>
        <v>4</v>
      </c>
      <c r="R286" s="857">
        <f t="shared" si="56"/>
        <v>4</v>
      </c>
      <c r="S286" s="857"/>
      <c r="T286" s="857">
        <v>4</v>
      </c>
      <c r="U286" s="857">
        <v>1</v>
      </c>
      <c r="V286" s="857">
        <f>T286*U286</f>
        <v>4</v>
      </c>
      <c r="W286" s="857">
        <v>4</v>
      </c>
      <c r="X286" s="857">
        <v>1</v>
      </c>
      <c r="Y286" s="857">
        <f>W286*X286</f>
        <v>4</v>
      </c>
      <c r="Z286" s="559">
        <f t="shared" si="43"/>
        <v>-2</v>
      </c>
      <c r="AA286" s="559">
        <f t="shared" si="47"/>
        <v>66.7</v>
      </c>
      <c r="AB286" s="1934"/>
      <c r="AC286" s="534" t="s">
        <v>1665</v>
      </c>
      <c r="AF286" s="466"/>
      <c r="AG286" s="465"/>
      <c r="AH286" s="465"/>
    </row>
    <row r="287" spans="1:34" s="498" customFormat="1" ht="25.5" hidden="1" x14ac:dyDescent="0.25">
      <c r="A287" s="962"/>
      <c r="B287" s="865" t="s">
        <v>1922</v>
      </c>
      <c r="C287" s="508" t="s">
        <v>797</v>
      </c>
      <c r="D287" s="903"/>
      <c r="E287" s="1031"/>
      <c r="F287" s="557"/>
      <c r="G287" s="558"/>
      <c r="H287" s="559"/>
      <c r="I287" s="857"/>
      <c r="J287" s="857"/>
      <c r="K287" s="857"/>
      <c r="L287" s="857"/>
      <c r="M287" s="857"/>
      <c r="N287" s="857"/>
      <c r="O287" s="857"/>
      <c r="P287" s="857"/>
      <c r="Q287" s="533">
        <v>1.7</v>
      </c>
      <c r="R287" s="533">
        <f t="shared" si="56"/>
        <v>1.7</v>
      </c>
      <c r="S287" s="533"/>
      <c r="T287" s="857"/>
      <c r="U287" s="857"/>
      <c r="V287" s="533">
        <v>1.7</v>
      </c>
      <c r="W287" s="857"/>
      <c r="X287" s="857"/>
      <c r="Y287" s="533">
        <v>1.7</v>
      </c>
      <c r="Z287" s="559">
        <f t="shared" si="43"/>
        <v>1.7</v>
      </c>
      <c r="AA287" s="559" t="str">
        <f t="shared" si="47"/>
        <v>-</v>
      </c>
      <c r="AB287" s="900" t="s">
        <v>1923</v>
      </c>
      <c r="AC287" s="534" t="s">
        <v>1665</v>
      </c>
      <c r="AF287" s="466"/>
      <c r="AG287" s="465"/>
      <c r="AH287" s="465"/>
    </row>
    <row r="288" spans="1:34" s="492" customFormat="1" ht="25.5" hidden="1" x14ac:dyDescent="0.2">
      <c r="A288" s="1240"/>
      <c r="B288" s="500" t="s">
        <v>1239</v>
      </c>
      <c r="C288" s="501" t="s">
        <v>797</v>
      </c>
      <c r="D288" s="932"/>
      <c r="E288" s="842"/>
      <c r="F288" s="828"/>
      <c r="G288" s="829"/>
      <c r="H288" s="542">
        <f>SUM(H289:H292)</f>
        <v>11.9</v>
      </c>
      <c r="I288" s="533"/>
      <c r="J288" s="533"/>
      <c r="K288" s="533">
        <f>SUM(K289:K292)</f>
        <v>0.8</v>
      </c>
      <c r="L288" s="533"/>
      <c r="M288" s="533"/>
      <c r="N288" s="533">
        <f>SUM(N289:N292)</f>
        <v>0.8</v>
      </c>
      <c r="O288" s="533"/>
      <c r="P288" s="533"/>
      <c r="Q288" s="533">
        <f>SUM(Q289:Q292)</f>
        <v>2</v>
      </c>
      <c r="R288" s="533">
        <f t="shared" si="56"/>
        <v>2</v>
      </c>
      <c r="S288" s="533"/>
      <c r="T288" s="533"/>
      <c r="U288" s="533"/>
      <c r="V288" s="533">
        <f>SUM(V289:V292)</f>
        <v>2</v>
      </c>
      <c r="W288" s="533"/>
      <c r="X288" s="533"/>
      <c r="Y288" s="533">
        <f>SUM(Y289:Y292)</f>
        <v>2</v>
      </c>
      <c r="Z288" s="542">
        <f t="shared" si="43"/>
        <v>1.2</v>
      </c>
      <c r="AA288" s="542">
        <f t="shared" si="47"/>
        <v>250</v>
      </c>
      <c r="AB288" s="921"/>
      <c r="AC288" s="534" t="s">
        <v>1665</v>
      </c>
      <c r="AF288" s="466"/>
      <c r="AG288" s="466"/>
      <c r="AH288" s="466"/>
    </row>
    <row r="289" spans="1:34" s="498" customFormat="1" ht="38.25" hidden="1" x14ac:dyDescent="0.25">
      <c r="A289" s="962"/>
      <c r="B289" s="502" t="s">
        <v>1924</v>
      </c>
      <c r="C289" s="499"/>
      <c r="D289" s="903"/>
      <c r="E289" s="1031" t="s">
        <v>227</v>
      </c>
      <c r="F289" s="557">
        <v>14</v>
      </c>
      <c r="G289" s="558">
        <v>0.1</v>
      </c>
      <c r="H289" s="559">
        <f>F289*G289</f>
        <v>1.4</v>
      </c>
      <c r="I289" s="857">
        <v>8</v>
      </c>
      <c r="J289" s="862">
        <v>0.1</v>
      </c>
      <c r="K289" s="857">
        <f>I289*J289</f>
        <v>0.8</v>
      </c>
      <c r="L289" s="857">
        <v>8</v>
      </c>
      <c r="M289" s="862">
        <v>0.1</v>
      </c>
      <c r="N289" s="857">
        <f>L289*M289</f>
        <v>0.8</v>
      </c>
      <c r="O289" s="857">
        <v>20</v>
      </c>
      <c r="P289" s="857">
        <v>0.1</v>
      </c>
      <c r="Q289" s="857">
        <f>O289*P289</f>
        <v>2</v>
      </c>
      <c r="R289" s="857">
        <f t="shared" si="56"/>
        <v>2</v>
      </c>
      <c r="S289" s="857"/>
      <c r="T289" s="857">
        <v>20</v>
      </c>
      <c r="U289" s="857">
        <v>0.1</v>
      </c>
      <c r="V289" s="857">
        <f>T289*U289</f>
        <v>2</v>
      </c>
      <c r="W289" s="857">
        <v>20</v>
      </c>
      <c r="X289" s="857">
        <v>0.1</v>
      </c>
      <c r="Y289" s="857">
        <f>W289*X289</f>
        <v>2</v>
      </c>
      <c r="Z289" s="559">
        <f t="shared" si="43"/>
        <v>1.2</v>
      </c>
      <c r="AA289" s="559">
        <f t="shared" si="47"/>
        <v>250</v>
      </c>
      <c r="AB289" s="827" t="s">
        <v>1925</v>
      </c>
      <c r="AC289" s="534" t="s">
        <v>1665</v>
      </c>
      <c r="AF289" s="466"/>
      <c r="AG289" s="465"/>
      <c r="AH289" s="465"/>
    </row>
    <row r="290" spans="1:34" s="498" customFormat="1" hidden="1" x14ac:dyDescent="0.25">
      <c r="A290" s="962"/>
      <c r="B290" s="856" t="s">
        <v>1926</v>
      </c>
      <c r="C290" s="499"/>
      <c r="D290" s="903"/>
      <c r="E290" s="1031" t="s">
        <v>227</v>
      </c>
      <c r="F290" s="557">
        <v>2</v>
      </c>
      <c r="G290" s="558">
        <v>2</v>
      </c>
      <c r="H290" s="559">
        <f>F290*G290</f>
        <v>4</v>
      </c>
      <c r="I290" s="857"/>
      <c r="J290" s="857"/>
      <c r="K290" s="857"/>
      <c r="L290" s="857"/>
      <c r="M290" s="857"/>
      <c r="N290" s="857"/>
      <c r="O290" s="857"/>
      <c r="P290" s="857"/>
      <c r="Q290" s="857"/>
      <c r="R290" s="857">
        <f t="shared" si="56"/>
        <v>0</v>
      </c>
      <c r="S290" s="857"/>
      <c r="T290" s="857"/>
      <c r="U290" s="857"/>
      <c r="V290" s="857"/>
      <c r="W290" s="857"/>
      <c r="X290" s="857"/>
      <c r="Y290" s="857"/>
      <c r="Z290" s="559">
        <f t="shared" ref="Z290:Z353" si="57">Q290-K290</f>
        <v>0</v>
      </c>
      <c r="AA290" s="559" t="str">
        <f t="shared" si="47"/>
        <v>-</v>
      </c>
      <c r="AB290" s="827"/>
      <c r="AC290" s="534" t="s">
        <v>1665</v>
      </c>
      <c r="AF290" s="466"/>
      <c r="AG290" s="465"/>
      <c r="AH290" s="465"/>
    </row>
    <row r="291" spans="1:34" s="498" customFormat="1" hidden="1" x14ac:dyDescent="0.25">
      <c r="A291" s="962"/>
      <c r="B291" s="856" t="s">
        <v>1369</v>
      </c>
      <c r="C291" s="499"/>
      <c r="D291" s="903"/>
      <c r="E291" s="1031" t="s">
        <v>227</v>
      </c>
      <c r="F291" s="557">
        <v>4</v>
      </c>
      <c r="G291" s="558">
        <v>0.75</v>
      </c>
      <c r="H291" s="559">
        <f>F291*G291</f>
        <v>3</v>
      </c>
      <c r="I291" s="857"/>
      <c r="J291" s="857"/>
      <c r="K291" s="857"/>
      <c r="L291" s="857"/>
      <c r="M291" s="857"/>
      <c r="N291" s="857"/>
      <c r="O291" s="857"/>
      <c r="P291" s="857"/>
      <c r="Q291" s="857"/>
      <c r="R291" s="857">
        <f t="shared" si="56"/>
        <v>0</v>
      </c>
      <c r="S291" s="857"/>
      <c r="T291" s="857"/>
      <c r="U291" s="857"/>
      <c r="V291" s="857"/>
      <c r="W291" s="857"/>
      <c r="X291" s="857"/>
      <c r="Y291" s="857"/>
      <c r="Z291" s="559">
        <f t="shared" si="57"/>
        <v>0</v>
      </c>
      <c r="AA291" s="559" t="str">
        <f t="shared" si="47"/>
        <v>-</v>
      </c>
      <c r="AB291" s="901"/>
      <c r="AC291" s="534" t="s">
        <v>1665</v>
      </c>
      <c r="AF291" s="466"/>
      <c r="AG291" s="465"/>
      <c r="AH291" s="465"/>
    </row>
    <row r="292" spans="1:34" s="498" customFormat="1" hidden="1" x14ac:dyDescent="0.25">
      <c r="A292" s="962"/>
      <c r="B292" s="856" t="s">
        <v>1692</v>
      </c>
      <c r="C292" s="499"/>
      <c r="D292" s="903"/>
      <c r="E292" s="1031" t="s">
        <v>227</v>
      </c>
      <c r="F292" s="557">
        <v>10</v>
      </c>
      <c r="G292" s="558">
        <v>0.35</v>
      </c>
      <c r="H292" s="559">
        <f>F292*G292</f>
        <v>3.5</v>
      </c>
      <c r="I292" s="857"/>
      <c r="J292" s="857"/>
      <c r="K292" s="857"/>
      <c r="L292" s="857"/>
      <c r="M292" s="857"/>
      <c r="N292" s="857"/>
      <c r="O292" s="857"/>
      <c r="P292" s="857"/>
      <c r="Q292" s="857"/>
      <c r="R292" s="857">
        <f t="shared" si="56"/>
        <v>0</v>
      </c>
      <c r="S292" s="857"/>
      <c r="T292" s="857"/>
      <c r="U292" s="857"/>
      <c r="V292" s="857"/>
      <c r="W292" s="857"/>
      <c r="X292" s="857"/>
      <c r="Y292" s="857"/>
      <c r="Z292" s="559">
        <f t="shared" si="57"/>
        <v>0</v>
      </c>
      <c r="AA292" s="559" t="str">
        <f t="shared" si="47"/>
        <v>-</v>
      </c>
      <c r="AB292" s="901"/>
      <c r="AC292" s="534" t="s">
        <v>1665</v>
      </c>
      <c r="AF292" s="466"/>
      <c r="AG292" s="465"/>
      <c r="AH292" s="465"/>
    </row>
    <row r="293" spans="1:34" s="498" customFormat="1" ht="26.25" hidden="1" customHeight="1" x14ac:dyDescent="0.25">
      <c r="A293" s="962"/>
      <c r="B293" s="1841" t="s">
        <v>1927</v>
      </c>
      <c r="C293" s="508" t="s">
        <v>797</v>
      </c>
      <c r="D293" s="903"/>
      <c r="E293" s="1031"/>
      <c r="F293" s="557"/>
      <c r="G293" s="558"/>
      <c r="H293" s="559"/>
      <c r="I293" s="857"/>
      <c r="J293" s="857"/>
      <c r="K293" s="857"/>
      <c r="L293" s="857"/>
      <c r="M293" s="857"/>
      <c r="N293" s="857"/>
      <c r="O293" s="533">
        <v>150</v>
      </c>
      <c r="P293" s="906">
        <v>0.02</v>
      </c>
      <c r="Q293" s="533">
        <f>O293*P293</f>
        <v>3</v>
      </c>
      <c r="R293" s="533">
        <f t="shared" si="56"/>
        <v>3</v>
      </c>
      <c r="S293" s="533"/>
      <c r="T293" s="533">
        <v>150</v>
      </c>
      <c r="U293" s="906">
        <v>0.02</v>
      </c>
      <c r="V293" s="533">
        <f>T293*U293</f>
        <v>3</v>
      </c>
      <c r="W293" s="533">
        <v>150</v>
      </c>
      <c r="X293" s="906">
        <v>0.02</v>
      </c>
      <c r="Y293" s="533">
        <f>W293*X293</f>
        <v>3</v>
      </c>
      <c r="Z293" s="559">
        <f t="shared" si="57"/>
        <v>3</v>
      </c>
      <c r="AA293" s="559" t="str">
        <f t="shared" si="47"/>
        <v>-</v>
      </c>
      <c r="AB293" s="1839" t="s">
        <v>1928</v>
      </c>
      <c r="AC293" s="534" t="s">
        <v>1665</v>
      </c>
      <c r="AF293" s="466"/>
      <c r="AG293" s="465"/>
      <c r="AH293" s="465"/>
    </row>
    <row r="294" spans="1:34" s="492" customFormat="1" ht="25.5" hidden="1" x14ac:dyDescent="0.2">
      <c r="A294" s="1240"/>
      <c r="B294" s="865" t="s">
        <v>1929</v>
      </c>
      <c r="C294" s="508" t="s">
        <v>796</v>
      </c>
      <c r="D294" s="932"/>
      <c r="E294" s="842"/>
      <c r="F294" s="828">
        <v>20</v>
      </c>
      <c r="G294" s="829">
        <v>0.5</v>
      </c>
      <c r="H294" s="542">
        <f>F294*G294</f>
        <v>10</v>
      </c>
      <c r="I294" s="533">
        <v>26</v>
      </c>
      <c r="J294" s="533">
        <v>0.5</v>
      </c>
      <c r="K294" s="533">
        <f>I294*J294</f>
        <v>13</v>
      </c>
      <c r="L294" s="533">
        <v>26</v>
      </c>
      <c r="M294" s="533">
        <v>0.5</v>
      </c>
      <c r="N294" s="533">
        <f>L294*M294</f>
        <v>13</v>
      </c>
      <c r="O294" s="533">
        <v>20</v>
      </c>
      <c r="P294" s="533">
        <v>0.5</v>
      </c>
      <c r="Q294" s="533">
        <f>O294*P294</f>
        <v>10</v>
      </c>
      <c r="R294" s="533">
        <f t="shared" si="56"/>
        <v>10</v>
      </c>
      <c r="S294" s="533"/>
      <c r="T294" s="533">
        <v>20</v>
      </c>
      <c r="U294" s="533">
        <v>0.5</v>
      </c>
      <c r="V294" s="533">
        <f>T294*U294</f>
        <v>10</v>
      </c>
      <c r="W294" s="533">
        <v>20</v>
      </c>
      <c r="X294" s="533">
        <v>0.5</v>
      </c>
      <c r="Y294" s="533">
        <f>W294*X294</f>
        <v>10</v>
      </c>
      <c r="Z294" s="542">
        <f t="shared" si="57"/>
        <v>-3</v>
      </c>
      <c r="AA294" s="542">
        <f t="shared" si="47"/>
        <v>76.900000000000006</v>
      </c>
      <c r="AB294" s="901" t="s">
        <v>1372</v>
      </c>
      <c r="AC294" s="534" t="s">
        <v>1665</v>
      </c>
      <c r="AF294" s="466"/>
      <c r="AG294" s="466"/>
      <c r="AH294" s="466"/>
    </row>
    <row r="295" spans="1:34" s="492" customFormat="1" ht="14.25" hidden="1" x14ac:dyDescent="0.2">
      <c r="A295" s="1240"/>
      <c r="B295" s="500" t="s">
        <v>1233</v>
      </c>
      <c r="C295" s="501" t="s">
        <v>1230</v>
      </c>
      <c r="D295" s="932"/>
      <c r="E295" s="842"/>
      <c r="F295" s="828"/>
      <c r="G295" s="829"/>
      <c r="H295" s="542">
        <f>SUM(H296:H301)</f>
        <v>13.7</v>
      </c>
      <c r="I295" s="533"/>
      <c r="J295" s="533"/>
      <c r="K295" s="533">
        <f>SUM(K296:K301)</f>
        <v>12.8</v>
      </c>
      <c r="L295" s="533"/>
      <c r="M295" s="533"/>
      <c r="N295" s="533">
        <f>SUM(N296:N301)</f>
        <v>12.8</v>
      </c>
      <c r="O295" s="533"/>
      <c r="P295" s="533"/>
      <c r="Q295" s="533">
        <f>SUM(Q296:Q301)</f>
        <v>10.3</v>
      </c>
      <c r="R295" s="533">
        <f t="shared" si="56"/>
        <v>10.3</v>
      </c>
      <c r="S295" s="533"/>
      <c r="T295" s="533"/>
      <c r="U295" s="533"/>
      <c r="V295" s="533">
        <f>SUM(V296:V301)</f>
        <v>10.3</v>
      </c>
      <c r="W295" s="533"/>
      <c r="X295" s="533"/>
      <c r="Y295" s="533">
        <f>SUM(Y296:Y301)</f>
        <v>10.3</v>
      </c>
      <c r="Z295" s="542">
        <f t="shared" si="57"/>
        <v>-2.5</v>
      </c>
      <c r="AA295" s="542">
        <f t="shared" si="47"/>
        <v>80.5</v>
      </c>
      <c r="AB295" s="921"/>
      <c r="AC295" s="534" t="s">
        <v>1665</v>
      </c>
      <c r="AF295" s="466"/>
      <c r="AG295" s="466"/>
      <c r="AH295" s="466"/>
    </row>
    <row r="296" spans="1:34" s="498" customFormat="1" hidden="1" x14ac:dyDescent="0.25">
      <c r="A296" s="962"/>
      <c r="B296" s="502" t="s">
        <v>1519</v>
      </c>
      <c r="C296" s="503"/>
      <c r="D296" s="903"/>
      <c r="E296" s="1031" t="s">
        <v>318</v>
      </c>
      <c r="F296" s="557">
        <v>1</v>
      </c>
      <c r="G296" s="558">
        <v>3.45</v>
      </c>
      <c r="H296" s="559">
        <f>F296*G296</f>
        <v>3.5</v>
      </c>
      <c r="I296" s="857">
        <v>1</v>
      </c>
      <c r="J296" s="857">
        <v>3.5</v>
      </c>
      <c r="K296" s="857">
        <f>I296*J296</f>
        <v>3.5</v>
      </c>
      <c r="L296" s="857">
        <v>1</v>
      </c>
      <c r="M296" s="857">
        <v>3.5</v>
      </c>
      <c r="N296" s="857">
        <f>L296*M296</f>
        <v>3.5</v>
      </c>
      <c r="O296" s="857">
        <v>1</v>
      </c>
      <c r="P296" s="857">
        <v>3.5</v>
      </c>
      <c r="Q296" s="857">
        <f>O296*P296</f>
        <v>3.5</v>
      </c>
      <c r="R296" s="857">
        <f t="shared" si="56"/>
        <v>3.5</v>
      </c>
      <c r="S296" s="857"/>
      <c r="T296" s="857">
        <v>1</v>
      </c>
      <c r="U296" s="857">
        <v>3.5</v>
      </c>
      <c r="V296" s="857">
        <f>T296*U296</f>
        <v>3.5</v>
      </c>
      <c r="W296" s="857">
        <v>1</v>
      </c>
      <c r="X296" s="857">
        <v>3.5</v>
      </c>
      <c r="Y296" s="857">
        <f>W296*X296</f>
        <v>3.5</v>
      </c>
      <c r="Z296" s="559">
        <f t="shared" si="57"/>
        <v>0</v>
      </c>
      <c r="AA296" s="559">
        <f t="shared" si="47"/>
        <v>100</v>
      </c>
      <c r="AB296" s="893"/>
      <c r="AC296" s="534" t="s">
        <v>1665</v>
      </c>
      <c r="AF296" s="466"/>
      <c r="AG296" s="465"/>
      <c r="AH296" s="465"/>
    </row>
    <row r="297" spans="1:34" s="498" customFormat="1" hidden="1" x14ac:dyDescent="0.25">
      <c r="A297" s="962"/>
      <c r="B297" s="502" t="s">
        <v>1686</v>
      </c>
      <c r="C297" s="503"/>
      <c r="D297" s="903"/>
      <c r="E297" s="1031" t="s">
        <v>318</v>
      </c>
      <c r="F297" s="557">
        <v>1</v>
      </c>
      <c r="G297" s="558">
        <v>2.2999999999999998</v>
      </c>
      <c r="H297" s="559">
        <f>F297*G297</f>
        <v>2.2999999999999998</v>
      </c>
      <c r="I297" s="857">
        <v>1</v>
      </c>
      <c r="J297" s="857">
        <v>2.2999999999999998</v>
      </c>
      <c r="K297" s="857">
        <f>I297*J297</f>
        <v>2.2999999999999998</v>
      </c>
      <c r="L297" s="857">
        <v>1</v>
      </c>
      <c r="M297" s="857">
        <v>2.2999999999999998</v>
      </c>
      <c r="N297" s="857">
        <f>L297*M297</f>
        <v>2.2999999999999998</v>
      </c>
      <c r="O297" s="857">
        <v>1</v>
      </c>
      <c r="P297" s="857">
        <v>2.2999999999999998</v>
      </c>
      <c r="Q297" s="857">
        <f>O297*P297</f>
        <v>2.2999999999999998</v>
      </c>
      <c r="R297" s="857">
        <f t="shared" si="56"/>
        <v>2.2999999999999998</v>
      </c>
      <c r="S297" s="857"/>
      <c r="T297" s="857">
        <v>1</v>
      </c>
      <c r="U297" s="857">
        <v>2.2999999999999998</v>
      </c>
      <c r="V297" s="857">
        <f>T297*U297</f>
        <v>2.2999999999999998</v>
      </c>
      <c r="W297" s="857">
        <v>1</v>
      </c>
      <c r="X297" s="857">
        <v>2.2999999999999998</v>
      </c>
      <c r="Y297" s="857">
        <f>W297*X297</f>
        <v>2.2999999999999998</v>
      </c>
      <c r="Z297" s="559">
        <f t="shared" si="57"/>
        <v>0</v>
      </c>
      <c r="AA297" s="559">
        <f t="shared" si="47"/>
        <v>100</v>
      </c>
      <c r="AB297" s="893"/>
      <c r="AC297" s="534" t="s">
        <v>1665</v>
      </c>
      <c r="AF297" s="466"/>
      <c r="AG297" s="465"/>
      <c r="AH297" s="465"/>
    </row>
    <row r="298" spans="1:34" s="498" customFormat="1" hidden="1" x14ac:dyDescent="0.25">
      <c r="A298" s="962"/>
      <c r="B298" s="502" t="s">
        <v>1930</v>
      </c>
      <c r="C298" s="503"/>
      <c r="D298" s="903"/>
      <c r="E298" s="1031" t="s">
        <v>318</v>
      </c>
      <c r="F298" s="557">
        <v>1</v>
      </c>
      <c r="G298" s="558">
        <v>3.15</v>
      </c>
      <c r="H298" s="559">
        <f>F298*G298</f>
        <v>3.2</v>
      </c>
      <c r="I298" s="857">
        <v>1</v>
      </c>
      <c r="J298" s="857">
        <v>2.5</v>
      </c>
      <c r="K298" s="857">
        <f>I298*J298</f>
        <v>2.5</v>
      </c>
      <c r="L298" s="857">
        <v>1</v>
      </c>
      <c r="M298" s="857">
        <v>2.5</v>
      </c>
      <c r="N298" s="857">
        <f>L298*M298</f>
        <v>2.5</v>
      </c>
      <c r="O298" s="857"/>
      <c r="P298" s="857"/>
      <c r="Q298" s="857"/>
      <c r="R298" s="857">
        <f t="shared" si="56"/>
        <v>0</v>
      </c>
      <c r="S298" s="857"/>
      <c r="T298" s="857"/>
      <c r="U298" s="857"/>
      <c r="V298" s="857"/>
      <c r="W298" s="857"/>
      <c r="X298" s="857"/>
      <c r="Y298" s="857"/>
      <c r="Z298" s="559">
        <f t="shared" si="57"/>
        <v>-2.5</v>
      </c>
      <c r="AA298" s="559">
        <f t="shared" si="47"/>
        <v>0</v>
      </c>
      <c r="AB298" s="893"/>
      <c r="AC298" s="534" t="s">
        <v>1665</v>
      </c>
      <c r="AF298" s="466"/>
      <c r="AG298" s="465"/>
      <c r="AH298" s="465"/>
    </row>
    <row r="299" spans="1:34" s="498" customFormat="1" hidden="1" x14ac:dyDescent="0.25">
      <c r="A299" s="962"/>
      <c r="B299" s="502" t="s">
        <v>1879</v>
      </c>
      <c r="C299" s="503"/>
      <c r="D299" s="903"/>
      <c r="E299" s="1031" t="s">
        <v>318</v>
      </c>
      <c r="F299" s="557">
        <v>1</v>
      </c>
      <c r="G299" s="558">
        <v>1.8</v>
      </c>
      <c r="H299" s="559">
        <f>F299*G299</f>
        <v>1.8</v>
      </c>
      <c r="I299" s="857">
        <v>1</v>
      </c>
      <c r="J299" s="857">
        <v>1.8</v>
      </c>
      <c r="K299" s="857">
        <f>I299*J299</f>
        <v>1.8</v>
      </c>
      <c r="L299" s="857">
        <v>1</v>
      </c>
      <c r="M299" s="857">
        <v>1.8</v>
      </c>
      <c r="N299" s="857">
        <f>L299*M299</f>
        <v>1.8</v>
      </c>
      <c r="O299" s="857"/>
      <c r="P299" s="857"/>
      <c r="Q299" s="857"/>
      <c r="R299" s="857">
        <f t="shared" si="56"/>
        <v>0</v>
      </c>
      <c r="S299" s="857"/>
      <c r="T299" s="857"/>
      <c r="U299" s="857"/>
      <c r="V299" s="857"/>
      <c r="W299" s="857"/>
      <c r="X299" s="857"/>
      <c r="Y299" s="857"/>
      <c r="Z299" s="559">
        <f t="shared" si="57"/>
        <v>-1.8</v>
      </c>
      <c r="AA299" s="559">
        <f t="shared" si="47"/>
        <v>0</v>
      </c>
      <c r="AB299" s="893"/>
      <c r="AC299" s="534" t="s">
        <v>1665</v>
      </c>
      <c r="AF299" s="466"/>
      <c r="AG299" s="465"/>
      <c r="AH299" s="465"/>
    </row>
    <row r="300" spans="1:34" s="498" customFormat="1" ht="25.5" hidden="1" x14ac:dyDescent="0.25">
      <c r="A300" s="962"/>
      <c r="B300" s="502" t="s">
        <v>1931</v>
      </c>
      <c r="C300" s="503"/>
      <c r="D300" s="903"/>
      <c r="E300" s="1031"/>
      <c r="F300" s="557"/>
      <c r="G300" s="558"/>
      <c r="H300" s="559"/>
      <c r="I300" s="857"/>
      <c r="J300" s="857"/>
      <c r="K300" s="857"/>
      <c r="L300" s="857"/>
      <c r="M300" s="857"/>
      <c r="N300" s="857"/>
      <c r="O300" s="857">
        <v>1</v>
      </c>
      <c r="P300" s="857">
        <v>2.2999999999999998</v>
      </c>
      <c r="Q300" s="857">
        <f>O300*P300</f>
        <v>2.2999999999999998</v>
      </c>
      <c r="R300" s="857">
        <f t="shared" si="56"/>
        <v>2.2999999999999998</v>
      </c>
      <c r="S300" s="857"/>
      <c r="T300" s="857">
        <v>1</v>
      </c>
      <c r="U300" s="857">
        <v>2.2999999999999998</v>
      </c>
      <c r="V300" s="857">
        <f>T300*U300</f>
        <v>2.2999999999999998</v>
      </c>
      <c r="W300" s="857">
        <v>1</v>
      </c>
      <c r="X300" s="857">
        <v>2.2999999999999998</v>
      </c>
      <c r="Y300" s="857">
        <f>W300*X300</f>
        <v>2.2999999999999998</v>
      </c>
      <c r="Z300" s="559">
        <f t="shared" si="57"/>
        <v>2.2999999999999998</v>
      </c>
      <c r="AA300" s="559" t="str">
        <f t="shared" si="47"/>
        <v>-</v>
      </c>
      <c r="AB300" s="1838" t="s">
        <v>1932</v>
      </c>
      <c r="AC300" s="534" t="s">
        <v>1665</v>
      </c>
      <c r="AF300" s="466"/>
      <c r="AG300" s="465"/>
      <c r="AH300" s="465"/>
    </row>
    <row r="301" spans="1:34" s="498" customFormat="1" hidden="1" x14ac:dyDescent="0.25">
      <c r="A301" s="962"/>
      <c r="B301" s="502" t="s">
        <v>1729</v>
      </c>
      <c r="C301" s="503"/>
      <c r="D301" s="903"/>
      <c r="E301" s="1031"/>
      <c r="F301" s="557"/>
      <c r="G301" s="558"/>
      <c r="H301" s="559">
        <f>SUM(H296:H300)*0.271</f>
        <v>2.9</v>
      </c>
      <c r="I301" s="857"/>
      <c r="J301" s="857"/>
      <c r="K301" s="857">
        <f>SUM(K296:K299)*0.271</f>
        <v>2.7</v>
      </c>
      <c r="L301" s="857"/>
      <c r="M301" s="857"/>
      <c r="N301" s="857">
        <f>SUM(N296:N299)*0.271</f>
        <v>2.7</v>
      </c>
      <c r="O301" s="857"/>
      <c r="P301" s="857"/>
      <c r="Q301" s="857">
        <f>SUM(Q296:Q300)*0.271</f>
        <v>2.2000000000000002</v>
      </c>
      <c r="R301" s="857">
        <f t="shared" si="56"/>
        <v>2.2000000000000002</v>
      </c>
      <c r="S301" s="857"/>
      <c r="T301" s="857"/>
      <c r="U301" s="857"/>
      <c r="V301" s="857">
        <f>SUM(V296:V300)*0.271</f>
        <v>2.2000000000000002</v>
      </c>
      <c r="W301" s="857"/>
      <c r="X301" s="857"/>
      <c r="Y301" s="857">
        <f>SUM(Y296:Y300)*0.271</f>
        <v>2.2000000000000002</v>
      </c>
      <c r="Z301" s="559">
        <f t="shared" si="57"/>
        <v>-0.5</v>
      </c>
      <c r="AA301" s="559">
        <f t="shared" si="47"/>
        <v>81.5</v>
      </c>
      <c r="AB301" s="921"/>
      <c r="AC301" s="534" t="s">
        <v>1665</v>
      </c>
      <c r="AF301" s="466"/>
      <c r="AG301" s="465"/>
      <c r="AH301" s="465"/>
    </row>
    <row r="302" spans="1:34" s="517" customFormat="1" ht="21.75" hidden="1" customHeight="1" x14ac:dyDescent="0.2">
      <c r="A302" s="487"/>
      <c r="B302" s="543" t="s">
        <v>1248</v>
      </c>
      <c r="C302" s="511"/>
      <c r="D302" s="487"/>
      <c r="E302" s="487"/>
      <c r="F302" s="821"/>
      <c r="G302" s="822"/>
      <c r="H302" s="823" t="e">
        <f>#REF!+H303+#REF!</f>
        <v>#REF!</v>
      </c>
      <c r="I302" s="915"/>
      <c r="J302" s="915"/>
      <c r="K302" s="823">
        <f>K303</f>
        <v>16.600000000000001</v>
      </c>
      <c r="L302" s="915"/>
      <c r="M302" s="915"/>
      <c r="N302" s="823">
        <f>N303</f>
        <v>16.600000000000001</v>
      </c>
      <c r="O302" s="915"/>
      <c r="P302" s="915"/>
      <c r="Q302" s="823">
        <f>Q303</f>
        <v>32.799999999999997</v>
      </c>
      <c r="R302" s="823">
        <f t="shared" si="56"/>
        <v>32.799999999999997</v>
      </c>
      <c r="S302" s="823"/>
      <c r="T302" s="915"/>
      <c r="U302" s="915"/>
      <c r="V302" s="823">
        <f>V303</f>
        <v>32.799999999999997</v>
      </c>
      <c r="W302" s="823"/>
      <c r="X302" s="823"/>
      <c r="Y302" s="823">
        <f>Y303</f>
        <v>32.799999999999997</v>
      </c>
      <c r="Z302" s="823">
        <f t="shared" si="57"/>
        <v>16.2</v>
      </c>
      <c r="AA302" s="823">
        <f t="shared" si="47"/>
        <v>197.6</v>
      </c>
      <c r="AB302" s="555"/>
      <c r="AC302" s="515"/>
      <c r="AF302" s="519"/>
      <c r="AG302" s="519"/>
      <c r="AH302" s="519"/>
    </row>
    <row r="303" spans="1:34" s="527" customFormat="1" ht="38.25" hidden="1" x14ac:dyDescent="0.2">
      <c r="A303" s="522"/>
      <c r="B303" s="916" t="s">
        <v>1664</v>
      </c>
      <c r="C303" s="521"/>
      <c r="D303" s="522" t="s">
        <v>1444</v>
      </c>
      <c r="E303" s="525"/>
      <c r="F303" s="547"/>
      <c r="G303" s="548"/>
      <c r="H303" s="1935">
        <f>H304+H309+H312+H315</f>
        <v>19.899999999999999</v>
      </c>
      <c r="I303" s="525"/>
      <c r="J303" s="525"/>
      <c r="K303" s="525">
        <f>K304+K309+K312+K315</f>
        <v>16.600000000000001</v>
      </c>
      <c r="L303" s="525"/>
      <c r="M303" s="525"/>
      <c r="N303" s="525">
        <f>N304+N309+N312+N315</f>
        <v>16.600000000000001</v>
      </c>
      <c r="O303" s="525"/>
      <c r="P303" s="525"/>
      <c r="Q303" s="525">
        <f>Q304+Q309+Q312+Q315</f>
        <v>32.799999999999997</v>
      </c>
      <c r="R303" s="525">
        <f t="shared" si="56"/>
        <v>32.799999999999997</v>
      </c>
      <c r="S303" s="525"/>
      <c r="T303" s="525"/>
      <c r="U303" s="525"/>
      <c r="V303" s="525">
        <f>V304+V309+V312+V315</f>
        <v>32.799999999999997</v>
      </c>
      <c r="W303" s="1935"/>
      <c r="X303" s="1935"/>
      <c r="Y303" s="525">
        <f>Y304+Y309+Y312+Y315</f>
        <v>32.799999999999997</v>
      </c>
      <c r="Z303" s="1935">
        <f t="shared" si="57"/>
        <v>16.2</v>
      </c>
      <c r="AA303" s="1935">
        <f t="shared" si="47"/>
        <v>197.6</v>
      </c>
      <c r="AB303" s="1936" t="s">
        <v>1920</v>
      </c>
      <c r="AC303" s="549" t="s">
        <v>1665</v>
      </c>
      <c r="AF303" s="528"/>
      <c r="AG303" s="528"/>
      <c r="AH303" s="528"/>
    </row>
    <row r="304" spans="1:34" s="492" customFormat="1" ht="14.25" hidden="1" x14ac:dyDescent="0.2">
      <c r="A304" s="1240"/>
      <c r="B304" s="500" t="s">
        <v>1233</v>
      </c>
      <c r="C304" s="501" t="s">
        <v>1230</v>
      </c>
      <c r="D304" s="1240"/>
      <c r="E304" s="854"/>
      <c r="F304" s="854"/>
      <c r="G304" s="854"/>
      <c r="H304" s="1831">
        <f>SUM(H307:H308)</f>
        <v>0</v>
      </c>
      <c r="I304" s="1831"/>
      <c r="J304" s="1831"/>
      <c r="K304" s="1831">
        <f>SUM(K307:K308)</f>
        <v>0</v>
      </c>
      <c r="L304" s="1831"/>
      <c r="M304" s="1831"/>
      <c r="N304" s="1831">
        <f>SUM(N307:N308)</f>
        <v>0</v>
      </c>
      <c r="O304" s="1831"/>
      <c r="P304" s="1831"/>
      <c r="Q304" s="1831">
        <f>SUM(Q305:Q308)</f>
        <v>13.2</v>
      </c>
      <c r="R304" s="1831">
        <f t="shared" si="56"/>
        <v>13.2</v>
      </c>
      <c r="S304" s="1831"/>
      <c r="T304" s="1831"/>
      <c r="U304" s="1831"/>
      <c r="V304" s="1831">
        <f>SUM(V305:V308)</f>
        <v>13.2</v>
      </c>
      <c r="W304" s="1831"/>
      <c r="X304" s="1831"/>
      <c r="Y304" s="1831">
        <f>SUM(Y305:Y308)</f>
        <v>13.2</v>
      </c>
      <c r="Z304" s="854">
        <f t="shared" si="57"/>
        <v>13.2</v>
      </c>
      <c r="AA304" s="854" t="str">
        <f t="shared" si="47"/>
        <v>-</v>
      </c>
      <c r="AB304" s="3517" t="s">
        <v>1916</v>
      </c>
      <c r="AC304" s="491" t="s">
        <v>1665</v>
      </c>
      <c r="AF304" s="466"/>
      <c r="AG304" s="466"/>
      <c r="AH304" s="466"/>
    </row>
    <row r="305" spans="1:34" s="492" customFormat="1" ht="14.25" hidden="1" x14ac:dyDescent="0.2">
      <c r="A305" s="1240"/>
      <c r="B305" s="1885" t="s">
        <v>1933</v>
      </c>
      <c r="C305" s="501"/>
      <c r="D305" s="1240"/>
      <c r="E305" s="535" t="s">
        <v>1837</v>
      </c>
      <c r="F305" s="854"/>
      <c r="G305" s="854"/>
      <c r="H305" s="1831"/>
      <c r="I305" s="1831"/>
      <c r="J305" s="1831"/>
      <c r="K305" s="1831"/>
      <c r="L305" s="1831"/>
      <c r="M305" s="1831"/>
      <c r="N305" s="1831"/>
      <c r="O305" s="1905">
        <v>1</v>
      </c>
      <c r="P305" s="1905">
        <v>3.5</v>
      </c>
      <c r="Q305" s="1905">
        <f>O305*P305</f>
        <v>3.5</v>
      </c>
      <c r="R305" s="1905">
        <f t="shared" si="56"/>
        <v>3.5</v>
      </c>
      <c r="S305" s="1905"/>
      <c r="T305" s="1905">
        <v>1</v>
      </c>
      <c r="U305" s="1905">
        <v>3.5</v>
      </c>
      <c r="V305" s="1905">
        <f>T305*U305</f>
        <v>3.5</v>
      </c>
      <c r="W305" s="1905">
        <v>1</v>
      </c>
      <c r="X305" s="1905">
        <v>3.5</v>
      </c>
      <c r="Y305" s="1905">
        <f>W305*X305</f>
        <v>3.5</v>
      </c>
      <c r="Z305" s="854">
        <f t="shared" si="57"/>
        <v>3.5</v>
      </c>
      <c r="AA305" s="854" t="str">
        <f t="shared" si="47"/>
        <v>-</v>
      </c>
      <c r="AB305" s="3518"/>
      <c r="AC305" s="491" t="s">
        <v>1665</v>
      </c>
      <c r="AF305" s="466"/>
      <c r="AG305" s="466"/>
      <c r="AH305" s="466"/>
    </row>
    <row r="306" spans="1:34" s="492" customFormat="1" ht="14.25" hidden="1" x14ac:dyDescent="0.2">
      <c r="A306" s="1240"/>
      <c r="B306" s="1885" t="s">
        <v>1404</v>
      </c>
      <c r="C306" s="501"/>
      <c r="D306" s="1240"/>
      <c r="E306" s="535" t="s">
        <v>318</v>
      </c>
      <c r="F306" s="854"/>
      <c r="G306" s="854"/>
      <c r="H306" s="1831"/>
      <c r="I306" s="1831"/>
      <c r="J306" s="1831"/>
      <c r="K306" s="1831"/>
      <c r="L306" s="1831"/>
      <c r="M306" s="1831"/>
      <c r="N306" s="1831"/>
      <c r="O306" s="1905">
        <v>1</v>
      </c>
      <c r="P306" s="1905">
        <v>2.2999999999999998</v>
      </c>
      <c r="Q306" s="1905">
        <f t="shared" ref="Q306:Q307" si="58">O306*P306</f>
        <v>2.2999999999999998</v>
      </c>
      <c r="R306" s="1905">
        <f t="shared" si="56"/>
        <v>2.2999999999999998</v>
      </c>
      <c r="S306" s="1905"/>
      <c r="T306" s="1905">
        <v>1</v>
      </c>
      <c r="U306" s="1905">
        <v>2.2999999999999998</v>
      </c>
      <c r="V306" s="1905">
        <f t="shared" ref="V306:V307" si="59">T306*U306</f>
        <v>2.2999999999999998</v>
      </c>
      <c r="W306" s="1905">
        <v>1</v>
      </c>
      <c r="X306" s="1905">
        <v>2.2999999999999998</v>
      </c>
      <c r="Y306" s="1905">
        <f t="shared" ref="Y306:Y307" si="60">W306*X306</f>
        <v>2.2999999999999998</v>
      </c>
      <c r="Z306" s="854">
        <f t="shared" si="57"/>
        <v>2.2999999999999998</v>
      </c>
      <c r="AA306" s="854" t="str">
        <f t="shared" ref="AA306:AA369" si="61">IFERROR(Q306/K306*100,"-")</f>
        <v>-</v>
      </c>
      <c r="AB306" s="3518"/>
      <c r="AC306" s="491" t="s">
        <v>1665</v>
      </c>
      <c r="AF306" s="466"/>
      <c r="AG306" s="466"/>
      <c r="AH306" s="466"/>
    </row>
    <row r="307" spans="1:34" s="492" customFormat="1" ht="14.25" hidden="1" x14ac:dyDescent="0.2">
      <c r="A307" s="1240"/>
      <c r="B307" s="1885" t="s">
        <v>1934</v>
      </c>
      <c r="C307" s="501"/>
      <c r="D307" s="1240"/>
      <c r="E307" s="535" t="s">
        <v>318</v>
      </c>
      <c r="F307" s="854"/>
      <c r="G307" s="854"/>
      <c r="H307" s="854"/>
      <c r="I307" s="854"/>
      <c r="J307" s="854"/>
      <c r="K307" s="854"/>
      <c r="L307" s="854"/>
      <c r="M307" s="854"/>
      <c r="N307" s="854"/>
      <c r="O307" s="1905">
        <v>2</v>
      </c>
      <c r="P307" s="1905">
        <v>2.2999999999999998</v>
      </c>
      <c r="Q307" s="1905">
        <f t="shared" si="58"/>
        <v>4.5999999999999996</v>
      </c>
      <c r="R307" s="1905">
        <f t="shared" si="56"/>
        <v>4.5999999999999996</v>
      </c>
      <c r="S307" s="1905"/>
      <c r="T307" s="1905">
        <v>2</v>
      </c>
      <c r="U307" s="1905">
        <v>2.2999999999999998</v>
      </c>
      <c r="V307" s="1905">
        <f t="shared" si="59"/>
        <v>4.5999999999999996</v>
      </c>
      <c r="W307" s="1905">
        <v>2</v>
      </c>
      <c r="X307" s="1905">
        <v>2.2999999999999998</v>
      </c>
      <c r="Y307" s="1905">
        <f t="shared" si="60"/>
        <v>4.5999999999999996</v>
      </c>
      <c r="Z307" s="854">
        <f t="shared" si="57"/>
        <v>4.5999999999999996</v>
      </c>
      <c r="AA307" s="854" t="str">
        <f t="shared" si="61"/>
        <v>-</v>
      </c>
      <c r="AB307" s="3518"/>
      <c r="AC307" s="491" t="s">
        <v>1665</v>
      </c>
      <c r="AF307" s="466"/>
      <c r="AG307" s="466"/>
      <c r="AH307" s="466"/>
    </row>
    <row r="308" spans="1:34" s="492" customFormat="1" ht="14.25" hidden="1" x14ac:dyDescent="0.2">
      <c r="A308" s="1240"/>
      <c r="B308" s="502" t="s">
        <v>1729</v>
      </c>
      <c r="C308" s="501"/>
      <c r="D308" s="1240"/>
      <c r="E308" s="854"/>
      <c r="F308" s="854"/>
      <c r="G308" s="854"/>
      <c r="H308" s="854"/>
      <c r="I308" s="854"/>
      <c r="J308" s="854"/>
      <c r="K308" s="854"/>
      <c r="L308" s="854"/>
      <c r="M308" s="854"/>
      <c r="N308" s="854"/>
      <c r="O308" s="854"/>
      <c r="P308" s="854"/>
      <c r="Q308" s="1905">
        <f>SUM(Q305:Q307)*0.271</f>
        <v>2.8</v>
      </c>
      <c r="R308" s="1905">
        <f t="shared" si="56"/>
        <v>2.8</v>
      </c>
      <c r="S308" s="1905"/>
      <c r="T308" s="854"/>
      <c r="U308" s="854"/>
      <c r="V308" s="1905">
        <f>SUM(V305:V307)*0.271</f>
        <v>2.8</v>
      </c>
      <c r="W308" s="854"/>
      <c r="X308" s="854"/>
      <c r="Y308" s="1905">
        <f>SUM(Y305:Y307)*0.271</f>
        <v>2.8</v>
      </c>
      <c r="Z308" s="854">
        <f t="shared" si="57"/>
        <v>2.8</v>
      </c>
      <c r="AA308" s="854" t="str">
        <f t="shared" si="61"/>
        <v>-</v>
      </c>
      <c r="AB308" s="3519"/>
      <c r="AC308" s="491" t="s">
        <v>1665</v>
      </c>
      <c r="AF308" s="466"/>
      <c r="AG308" s="466"/>
      <c r="AH308" s="466"/>
    </row>
    <row r="309" spans="1:34" s="492" customFormat="1" ht="25.5" hidden="1" x14ac:dyDescent="0.2">
      <c r="A309" s="1240"/>
      <c r="B309" s="500" t="s">
        <v>1239</v>
      </c>
      <c r="C309" s="501" t="s">
        <v>797</v>
      </c>
      <c r="D309" s="932"/>
      <c r="E309" s="842"/>
      <c r="F309" s="828"/>
      <c r="G309" s="829"/>
      <c r="H309" s="542">
        <f>SUM(H310:H311)</f>
        <v>4</v>
      </c>
      <c r="I309" s="533"/>
      <c r="J309" s="533"/>
      <c r="K309" s="533">
        <f>SUM(K310:K311)</f>
        <v>0.8</v>
      </c>
      <c r="L309" s="533"/>
      <c r="M309" s="533"/>
      <c r="N309" s="533">
        <f>SUM(N310:N311)</f>
        <v>0.8</v>
      </c>
      <c r="O309" s="533"/>
      <c r="P309" s="533"/>
      <c r="Q309" s="533">
        <f>SUM(Q310:Q311)</f>
        <v>1.6</v>
      </c>
      <c r="R309" s="533">
        <f t="shared" si="56"/>
        <v>1.6</v>
      </c>
      <c r="S309" s="533"/>
      <c r="T309" s="533"/>
      <c r="U309" s="533"/>
      <c r="V309" s="533">
        <f>SUM(V310:V311)</f>
        <v>1.6</v>
      </c>
      <c r="W309" s="533"/>
      <c r="X309" s="533"/>
      <c r="Y309" s="533">
        <f>SUM(Y310:Y311)</f>
        <v>1.6</v>
      </c>
      <c r="Z309" s="542">
        <f t="shared" si="57"/>
        <v>0.8</v>
      </c>
      <c r="AA309" s="542">
        <f t="shared" si="61"/>
        <v>200</v>
      </c>
      <c r="AB309" s="910"/>
      <c r="AC309" s="491" t="s">
        <v>1665</v>
      </c>
      <c r="AF309" s="466"/>
      <c r="AG309" s="466"/>
      <c r="AH309" s="466"/>
    </row>
    <row r="310" spans="1:34" s="492" customFormat="1" ht="25.5" hidden="1" x14ac:dyDescent="0.2">
      <c r="A310" s="1240"/>
      <c r="B310" s="502" t="s">
        <v>1935</v>
      </c>
      <c r="C310" s="499"/>
      <c r="D310" s="903"/>
      <c r="E310" s="1031" t="s">
        <v>227</v>
      </c>
      <c r="F310" s="557">
        <v>19</v>
      </c>
      <c r="G310" s="558">
        <v>0.1</v>
      </c>
      <c r="H310" s="559">
        <f>F310*G310</f>
        <v>1.9</v>
      </c>
      <c r="I310" s="857">
        <v>8</v>
      </c>
      <c r="J310" s="862">
        <v>0.1</v>
      </c>
      <c r="K310" s="857">
        <f>I310*J310</f>
        <v>0.8</v>
      </c>
      <c r="L310" s="857">
        <v>8</v>
      </c>
      <c r="M310" s="862">
        <v>0.1</v>
      </c>
      <c r="N310" s="857">
        <f>L310*M310</f>
        <v>0.8</v>
      </c>
      <c r="O310" s="857">
        <v>16</v>
      </c>
      <c r="P310" s="857">
        <v>0.1</v>
      </c>
      <c r="Q310" s="857">
        <f>O310*P310</f>
        <v>1.6</v>
      </c>
      <c r="R310" s="857">
        <f t="shared" si="56"/>
        <v>1.6</v>
      </c>
      <c r="S310" s="857"/>
      <c r="T310" s="857">
        <v>16</v>
      </c>
      <c r="U310" s="857">
        <v>0.1</v>
      </c>
      <c r="V310" s="857">
        <f>T310*U310</f>
        <v>1.6</v>
      </c>
      <c r="W310" s="857">
        <v>16</v>
      </c>
      <c r="X310" s="857">
        <v>0.1</v>
      </c>
      <c r="Y310" s="857">
        <f>W310*X310</f>
        <v>1.6</v>
      </c>
      <c r="Z310" s="559">
        <f t="shared" si="57"/>
        <v>0.8</v>
      </c>
      <c r="AA310" s="559">
        <f t="shared" si="61"/>
        <v>200</v>
      </c>
      <c r="AB310" s="827" t="s">
        <v>1936</v>
      </c>
      <c r="AC310" s="491" t="s">
        <v>1665</v>
      </c>
      <c r="AF310" s="466"/>
      <c r="AG310" s="466"/>
      <c r="AH310" s="466"/>
    </row>
    <row r="311" spans="1:34" s="492" customFormat="1" ht="14.25" hidden="1" x14ac:dyDescent="0.2">
      <c r="A311" s="1240"/>
      <c r="B311" s="856" t="s">
        <v>1692</v>
      </c>
      <c r="C311" s="499"/>
      <c r="D311" s="903"/>
      <c r="E311" s="1031" t="s">
        <v>227</v>
      </c>
      <c r="F311" s="557">
        <v>6</v>
      </c>
      <c r="G311" s="558">
        <v>0.35</v>
      </c>
      <c r="H311" s="559">
        <f>F311*G311</f>
        <v>2.1</v>
      </c>
      <c r="I311" s="857"/>
      <c r="J311" s="857"/>
      <c r="K311" s="857"/>
      <c r="L311" s="857"/>
      <c r="M311" s="857"/>
      <c r="N311" s="857"/>
      <c r="O311" s="857"/>
      <c r="P311" s="857"/>
      <c r="Q311" s="857"/>
      <c r="R311" s="857">
        <f t="shared" si="56"/>
        <v>0</v>
      </c>
      <c r="S311" s="857"/>
      <c r="T311" s="857"/>
      <c r="U311" s="857"/>
      <c r="V311" s="857"/>
      <c r="W311" s="857"/>
      <c r="X311" s="857"/>
      <c r="Y311" s="857"/>
      <c r="Z311" s="559">
        <f t="shared" si="57"/>
        <v>0</v>
      </c>
      <c r="AA311" s="559" t="str">
        <f t="shared" si="61"/>
        <v>-</v>
      </c>
      <c r="AB311" s="827"/>
      <c r="AC311" s="491" t="s">
        <v>1665</v>
      </c>
      <c r="AF311" s="466"/>
      <c r="AG311" s="466"/>
      <c r="AH311" s="466"/>
    </row>
    <row r="312" spans="1:34" s="498" customFormat="1" hidden="1" x14ac:dyDescent="0.25">
      <c r="A312" s="962"/>
      <c r="B312" s="500" t="s">
        <v>1937</v>
      </c>
      <c r="C312" s="501" t="s">
        <v>797</v>
      </c>
      <c r="D312" s="932"/>
      <c r="E312" s="842" t="s">
        <v>1240</v>
      </c>
      <c r="F312" s="828"/>
      <c r="G312" s="829"/>
      <c r="H312" s="542">
        <f>SUM(H313:H314)</f>
        <v>5.8</v>
      </c>
      <c r="I312" s="533"/>
      <c r="J312" s="533"/>
      <c r="K312" s="542">
        <f>SUM(K313:K314)</f>
        <v>5.8</v>
      </c>
      <c r="L312" s="533"/>
      <c r="M312" s="533"/>
      <c r="N312" s="542">
        <f>SUM(N313:N314)</f>
        <v>5.8</v>
      </c>
      <c r="O312" s="533"/>
      <c r="P312" s="533"/>
      <c r="Q312" s="533">
        <f>SUM(Q313:Q314)</f>
        <v>2</v>
      </c>
      <c r="R312" s="533">
        <f t="shared" si="56"/>
        <v>2</v>
      </c>
      <c r="S312" s="533"/>
      <c r="T312" s="533"/>
      <c r="U312" s="533"/>
      <c r="V312" s="533">
        <f>SUM(V313:V314)</f>
        <v>2</v>
      </c>
      <c r="W312" s="533"/>
      <c r="X312" s="533"/>
      <c r="Y312" s="533">
        <f>SUM(Y313:Y314)</f>
        <v>2</v>
      </c>
      <c r="Z312" s="542">
        <f t="shared" si="57"/>
        <v>-3.8</v>
      </c>
      <c r="AA312" s="542">
        <f t="shared" si="61"/>
        <v>34.5</v>
      </c>
      <c r="AB312" s="827"/>
      <c r="AC312" s="491" t="s">
        <v>1665</v>
      </c>
      <c r="AF312" s="466"/>
      <c r="AG312" s="465"/>
      <c r="AH312" s="465"/>
    </row>
    <row r="313" spans="1:34" s="498" customFormat="1" hidden="1" x14ac:dyDescent="0.25">
      <c r="A313" s="962"/>
      <c r="B313" s="502" t="s">
        <v>1909</v>
      </c>
      <c r="C313" s="497"/>
      <c r="F313" s="857">
        <v>29</v>
      </c>
      <c r="G313" s="857">
        <v>0.2</v>
      </c>
      <c r="H313" s="857">
        <f>F313*G313</f>
        <v>5.8</v>
      </c>
      <c r="I313" s="857">
        <v>29</v>
      </c>
      <c r="J313" s="857">
        <v>0.2</v>
      </c>
      <c r="K313" s="857">
        <f>I313*J313</f>
        <v>5.8</v>
      </c>
      <c r="L313" s="857">
        <v>29</v>
      </c>
      <c r="M313" s="857">
        <v>0.2</v>
      </c>
      <c r="N313" s="857">
        <f>L313*M313</f>
        <v>5.8</v>
      </c>
      <c r="O313" s="857"/>
      <c r="P313" s="857"/>
      <c r="Q313" s="857"/>
      <c r="R313" s="857">
        <f t="shared" si="56"/>
        <v>0</v>
      </c>
      <c r="S313" s="857"/>
      <c r="T313" s="857"/>
      <c r="U313" s="857"/>
      <c r="V313" s="857"/>
      <c r="W313" s="857"/>
      <c r="X313" s="857"/>
      <c r="Y313" s="857"/>
      <c r="Z313" s="542">
        <f t="shared" si="57"/>
        <v>-5.8</v>
      </c>
      <c r="AA313" s="542">
        <f t="shared" si="61"/>
        <v>0</v>
      </c>
      <c r="AB313" s="827"/>
      <c r="AC313" s="491" t="s">
        <v>1665</v>
      </c>
      <c r="AF313" s="466"/>
      <c r="AG313" s="465"/>
      <c r="AH313" s="465"/>
    </row>
    <row r="314" spans="1:34" s="498" customFormat="1" ht="25.5" hidden="1" x14ac:dyDescent="0.25">
      <c r="A314" s="962"/>
      <c r="B314" s="502" t="s">
        <v>1938</v>
      </c>
      <c r="C314" s="499"/>
      <c r="D314" s="903"/>
      <c r="E314" s="1031"/>
      <c r="F314" s="857"/>
      <c r="G314" s="857"/>
      <c r="H314" s="857"/>
      <c r="I314" s="857"/>
      <c r="J314" s="857"/>
      <c r="K314" s="857"/>
      <c r="L314" s="857"/>
      <c r="M314" s="857"/>
      <c r="N314" s="857"/>
      <c r="O314" s="857">
        <v>1</v>
      </c>
      <c r="P314" s="857">
        <v>2</v>
      </c>
      <c r="Q314" s="857">
        <f>O314*P314</f>
        <v>2</v>
      </c>
      <c r="R314" s="857">
        <f t="shared" si="56"/>
        <v>2</v>
      </c>
      <c r="S314" s="857"/>
      <c r="T314" s="857">
        <v>1</v>
      </c>
      <c r="U314" s="857">
        <v>2</v>
      </c>
      <c r="V314" s="857">
        <f>T314*U314</f>
        <v>2</v>
      </c>
      <c r="W314" s="857">
        <v>1</v>
      </c>
      <c r="X314" s="857">
        <v>2</v>
      </c>
      <c r="Y314" s="857">
        <f>W314*X314</f>
        <v>2</v>
      </c>
      <c r="Z314" s="542">
        <f t="shared" si="57"/>
        <v>2</v>
      </c>
      <c r="AA314" s="542" t="str">
        <f t="shared" si="61"/>
        <v>-</v>
      </c>
      <c r="AB314" s="827" t="s">
        <v>1939</v>
      </c>
      <c r="AC314" s="491" t="s">
        <v>1665</v>
      </c>
      <c r="AF314" s="466"/>
      <c r="AG314" s="465"/>
      <c r="AH314" s="465"/>
    </row>
    <row r="315" spans="1:34" s="492" customFormat="1" ht="25.5" hidden="1" x14ac:dyDescent="0.2">
      <c r="A315" s="1240"/>
      <c r="B315" s="500" t="s">
        <v>1940</v>
      </c>
      <c r="C315" s="501" t="s">
        <v>796</v>
      </c>
      <c r="D315" s="932"/>
      <c r="E315" s="842"/>
      <c r="F315" s="828">
        <v>53</v>
      </c>
      <c r="G315" s="829">
        <v>0.19</v>
      </c>
      <c r="H315" s="542">
        <f>F315*G315</f>
        <v>10.1</v>
      </c>
      <c r="I315" s="533">
        <v>100</v>
      </c>
      <c r="J315" s="533">
        <v>0.1</v>
      </c>
      <c r="K315" s="533">
        <f>I315*J315</f>
        <v>10</v>
      </c>
      <c r="L315" s="533">
        <v>100</v>
      </c>
      <c r="M315" s="533">
        <v>0.1</v>
      </c>
      <c r="N315" s="533">
        <f>L315*M315</f>
        <v>10</v>
      </c>
      <c r="O315" s="533">
        <v>40</v>
      </c>
      <c r="P315" s="533">
        <v>0.4</v>
      </c>
      <c r="Q315" s="533">
        <f>O315*P315</f>
        <v>16</v>
      </c>
      <c r="R315" s="533">
        <f t="shared" si="56"/>
        <v>16</v>
      </c>
      <c r="S315" s="533"/>
      <c r="T315" s="533">
        <v>40</v>
      </c>
      <c r="U315" s="533">
        <v>0.4</v>
      </c>
      <c r="V315" s="533">
        <f>T315*U315</f>
        <v>16</v>
      </c>
      <c r="W315" s="533">
        <v>40</v>
      </c>
      <c r="X315" s="533">
        <v>0.4</v>
      </c>
      <c r="Y315" s="533">
        <f>W315*X315</f>
        <v>16</v>
      </c>
      <c r="Z315" s="542">
        <f t="shared" si="57"/>
        <v>6</v>
      </c>
      <c r="AA315" s="542">
        <f t="shared" si="61"/>
        <v>160</v>
      </c>
      <c r="AB315" s="843" t="s">
        <v>1941</v>
      </c>
      <c r="AC315" s="491" t="s">
        <v>1665</v>
      </c>
      <c r="AF315" s="466"/>
      <c r="AG315" s="466"/>
      <c r="AH315" s="466"/>
    </row>
    <row r="316" spans="1:34" s="517" customFormat="1" ht="14.25" hidden="1" x14ac:dyDescent="0.2">
      <c r="A316" s="487"/>
      <c r="B316" s="510" t="s">
        <v>1249</v>
      </c>
      <c r="C316" s="511"/>
      <c r="D316" s="487"/>
      <c r="E316" s="487"/>
      <c r="F316" s="488"/>
      <c r="G316" s="489"/>
      <c r="H316" s="490" t="e">
        <f>#REF!+H317+#REF!</f>
        <v>#REF!</v>
      </c>
      <c r="I316" s="847"/>
      <c r="J316" s="847"/>
      <c r="K316" s="490">
        <f>K317</f>
        <v>28.6</v>
      </c>
      <c r="L316" s="847"/>
      <c r="M316" s="847"/>
      <c r="N316" s="490">
        <f>N317</f>
        <v>28.6</v>
      </c>
      <c r="O316" s="847"/>
      <c r="P316" s="847"/>
      <c r="Q316" s="490">
        <f>Q317</f>
        <v>34.5</v>
      </c>
      <c r="R316" s="490">
        <f t="shared" si="56"/>
        <v>34.5</v>
      </c>
      <c r="S316" s="490"/>
      <c r="T316" s="847"/>
      <c r="U316" s="847"/>
      <c r="V316" s="490">
        <f>V317</f>
        <v>34.5</v>
      </c>
      <c r="W316" s="490"/>
      <c r="X316" s="490"/>
      <c r="Y316" s="490">
        <f>Y317</f>
        <v>34.5</v>
      </c>
      <c r="Z316" s="490">
        <f t="shared" si="57"/>
        <v>5.9</v>
      </c>
      <c r="AA316" s="490">
        <f t="shared" si="61"/>
        <v>120.6</v>
      </c>
      <c r="AB316" s="555"/>
      <c r="AC316" s="515"/>
      <c r="AF316" s="519"/>
      <c r="AG316" s="519"/>
      <c r="AH316" s="519"/>
    </row>
    <row r="317" spans="1:34" s="527" customFormat="1" ht="38.25" hidden="1" x14ac:dyDescent="0.2">
      <c r="A317" s="522"/>
      <c r="B317" s="858" t="s">
        <v>1700</v>
      </c>
      <c r="C317" s="859"/>
      <c r="D317" s="522" t="s">
        <v>1444</v>
      </c>
      <c r="E317" s="860"/>
      <c r="F317" s="523"/>
      <c r="G317" s="524"/>
      <c r="H317" s="526">
        <f>H318+H324+H329+H333</f>
        <v>48.4</v>
      </c>
      <c r="I317" s="526"/>
      <c r="J317" s="526"/>
      <c r="K317" s="526">
        <f>K318+K324+K329+K333</f>
        <v>28.6</v>
      </c>
      <c r="L317" s="526"/>
      <c r="M317" s="526"/>
      <c r="N317" s="526">
        <f>N318+N324+N329+N333</f>
        <v>28.6</v>
      </c>
      <c r="O317" s="526"/>
      <c r="P317" s="526"/>
      <c r="Q317" s="526">
        <f>Q318+Q324+Q329+Q333</f>
        <v>34.5</v>
      </c>
      <c r="R317" s="526">
        <f t="shared" si="56"/>
        <v>34.5</v>
      </c>
      <c r="S317" s="526"/>
      <c r="T317" s="526"/>
      <c r="U317" s="526"/>
      <c r="V317" s="526">
        <f>V318+V324+V329+V333</f>
        <v>34.5</v>
      </c>
      <c r="W317" s="526"/>
      <c r="X317" s="526"/>
      <c r="Y317" s="526">
        <f>Y318+Y324+Y329+Y333</f>
        <v>34.5</v>
      </c>
      <c r="Z317" s="526">
        <f t="shared" si="57"/>
        <v>5.9</v>
      </c>
      <c r="AA317" s="526">
        <f t="shared" si="61"/>
        <v>120.6</v>
      </c>
      <c r="AB317" s="849"/>
      <c r="AC317" s="549" t="s">
        <v>1665</v>
      </c>
      <c r="AF317" s="528"/>
      <c r="AG317" s="528"/>
      <c r="AH317" s="528"/>
    </row>
    <row r="318" spans="1:34" s="492" customFormat="1" ht="14.25" hidden="1" x14ac:dyDescent="0.2">
      <c r="A318" s="1240"/>
      <c r="B318" s="507" t="s">
        <v>1242</v>
      </c>
      <c r="C318" s="508" t="s">
        <v>1230</v>
      </c>
      <c r="D318" s="932"/>
      <c r="E318" s="493"/>
      <c r="F318" s="828"/>
      <c r="G318" s="829"/>
      <c r="H318" s="542">
        <f>SUM(H319:H323)</f>
        <v>13.2</v>
      </c>
      <c r="I318" s="533"/>
      <c r="J318" s="533"/>
      <c r="K318" s="533">
        <f>SUM(K319:K323)</f>
        <v>12.2</v>
      </c>
      <c r="L318" s="533"/>
      <c r="M318" s="533"/>
      <c r="N318" s="533">
        <f>SUM(N319:N323)</f>
        <v>12.2</v>
      </c>
      <c r="O318" s="533"/>
      <c r="P318" s="533"/>
      <c r="Q318" s="533">
        <f>SUM(Q319:Q323)</f>
        <v>13.5</v>
      </c>
      <c r="R318" s="533">
        <f t="shared" si="56"/>
        <v>13.5</v>
      </c>
      <c r="S318" s="533"/>
      <c r="T318" s="533"/>
      <c r="U318" s="533"/>
      <c r="V318" s="533">
        <f>SUM(V319:V323)</f>
        <v>13.5</v>
      </c>
      <c r="W318" s="533"/>
      <c r="X318" s="533"/>
      <c r="Y318" s="533">
        <f>SUM(Y319:Y323)</f>
        <v>13.5</v>
      </c>
      <c r="Z318" s="542">
        <f t="shared" si="57"/>
        <v>1.3</v>
      </c>
      <c r="AA318" s="542">
        <f t="shared" si="61"/>
        <v>110.7</v>
      </c>
      <c r="AB318" s="1030"/>
      <c r="AC318" s="491" t="s">
        <v>1665</v>
      </c>
      <c r="AF318" s="466"/>
      <c r="AG318" s="466"/>
      <c r="AH318" s="466"/>
    </row>
    <row r="319" spans="1:34" s="498" customFormat="1" hidden="1" x14ac:dyDescent="0.25">
      <c r="A319" s="962"/>
      <c r="B319" s="856" t="s">
        <v>1942</v>
      </c>
      <c r="C319" s="499"/>
      <c r="D319" s="903"/>
      <c r="E319" s="855" t="s">
        <v>318</v>
      </c>
      <c r="F319" s="557">
        <v>1</v>
      </c>
      <c r="G319" s="558">
        <v>3.45</v>
      </c>
      <c r="H319" s="559">
        <f>F319*G319</f>
        <v>3.5</v>
      </c>
      <c r="I319" s="857">
        <v>1</v>
      </c>
      <c r="J319" s="857">
        <v>3.5</v>
      </c>
      <c r="K319" s="857">
        <f>I319*J319</f>
        <v>3.5</v>
      </c>
      <c r="L319" s="857">
        <v>1</v>
      </c>
      <c r="M319" s="857">
        <v>3.5</v>
      </c>
      <c r="N319" s="857">
        <f>L319*M319</f>
        <v>3.5</v>
      </c>
      <c r="O319" s="857">
        <v>1</v>
      </c>
      <c r="P319" s="857">
        <v>3.5</v>
      </c>
      <c r="Q319" s="857">
        <f>O319*P319</f>
        <v>3.5</v>
      </c>
      <c r="R319" s="857">
        <f t="shared" si="56"/>
        <v>3.5</v>
      </c>
      <c r="S319" s="857"/>
      <c r="T319" s="857">
        <v>1</v>
      </c>
      <c r="U319" s="857">
        <v>3.5</v>
      </c>
      <c r="V319" s="857">
        <f>T319*U319</f>
        <v>3.5</v>
      </c>
      <c r="W319" s="857">
        <v>1</v>
      </c>
      <c r="X319" s="857">
        <v>3.5</v>
      </c>
      <c r="Y319" s="857">
        <f>W319*X319</f>
        <v>3.5</v>
      </c>
      <c r="Z319" s="559">
        <f t="shared" si="57"/>
        <v>0</v>
      </c>
      <c r="AA319" s="559">
        <f t="shared" si="61"/>
        <v>100</v>
      </c>
      <c r="AB319" s="900"/>
      <c r="AC319" s="491" t="s">
        <v>1665</v>
      </c>
      <c r="AF319" s="466"/>
      <c r="AG319" s="465"/>
      <c r="AH319" s="465"/>
    </row>
    <row r="320" spans="1:34" s="498" customFormat="1" hidden="1" x14ac:dyDescent="0.25">
      <c r="A320" s="962"/>
      <c r="B320" s="856" t="s">
        <v>1943</v>
      </c>
      <c r="C320" s="499"/>
      <c r="D320" s="903"/>
      <c r="E320" s="855" t="s">
        <v>318</v>
      </c>
      <c r="F320" s="557">
        <v>1</v>
      </c>
      <c r="G320" s="558">
        <v>2.2999999999999998</v>
      </c>
      <c r="H320" s="559">
        <f>F320*G320</f>
        <v>2.2999999999999998</v>
      </c>
      <c r="I320" s="857">
        <v>1</v>
      </c>
      <c r="J320" s="857">
        <v>1.5</v>
      </c>
      <c r="K320" s="857">
        <f>I320*J320</f>
        <v>1.5</v>
      </c>
      <c r="L320" s="857">
        <v>1</v>
      </c>
      <c r="M320" s="857">
        <v>1.5</v>
      </c>
      <c r="N320" s="857">
        <f>L320*M320</f>
        <v>1.5</v>
      </c>
      <c r="O320" s="857"/>
      <c r="P320" s="857"/>
      <c r="Q320" s="857"/>
      <c r="R320" s="857">
        <f t="shared" si="56"/>
        <v>0</v>
      </c>
      <c r="S320" s="857"/>
      <c r="T320" s="857"/>
      <c r="U320" s="857"/>
      <c r="V320" s="857"/>
      <c r="W320" s="857"/>
      <c r="X320" s="857"/>
      <c r="Y320" s="857"/>
      <c r="Z320" s="559">
        <f t="shared" si="57"/>
        <v>-1.5</v>
      </c>
      <c r="AA320" s="559">
        <f t="shared" si="61"/>
        <v>0</v>
      </c>
      <c r="AB320" s="900"/>
      <c r="AC320" s="491" t="s">
        <v>1665</v>
      </c>
      <c r="AF320" s="466"/>
      <c r="AG320" s="465"/>
      <c r="AH320" s="465"/>
    </row>
    <row r="321" spans="1:34" s="498" customFormat="1" ht="76.5" hidden="1" x14ac:dyDescent="0.25">
      <c r="A321" s="962"/>
      <c r="B321" s="856" t="s">
        <v>1944</v>
      </c>
      <c r="C321" s="499"/>
      <c r="D321" s="903"/>
      <c r="E321" s="855"/>
      <c r="F321" s="557"/>
      <c r="G321" s="558"/>
      <c r="H321" s="559"/>
      <c r="I321" s="857"/>
      <c r="J321" s="857"/>
      <c r="K321" s="857"/>
      <c r="L321" s="857"/>
      <c r="M321" s="857"/>
      <c r="N321" s="857"/>
      <c r="O321" s="857">
        <v>1</v>
      </c>
      <c r="P321" s="857">
        <v>2.5</v>
      </c>
      <c r="Q321" s="857">
        <f>O321*P321</f>
        <v>2.5</v>
      </c>
      <c r="R321" s="857">
        <f t="shared" si="56"/>
        <v>2.5</v>
      </c>
      <c r="S321" s="857"/>
      <c r="T321" s="857">
        <v>1</v>
      </c>
      <c r="U321" s="857">
        <v>2.5</v>
      </c>
      <c r="V321" s="857">
        <f>T321*U321</f>
        <v>2.5</v>
      </c>
      <c r="W321" s="857">
        <v>1</v>
      </c>
      <c r="X321" s="857">
        <v>2.5</v>
      </c>
      <c r="Y321" s="857">
        <f>W321*X321</f>
        <v>2.5</v>
      </c>
      <c r="Z321" s="559">
        <f t="shared" si="57"/>
        <v>2.5</v>
      </c>
      <c r="AA321" s="559" t="str">
        <f t="shared" si="61"/>
        <v>-</v>
      </c>
      <c r="AB321" s="900" t="s">
        <v>1945</v>
      </c>
      <c r="AC321" s="491" t="s">
        <v>1665</v>
      </c>
      <c r="AF321" s="466"/>
      <c r="AG321" s="465"/>
      <c r="AH321" s="465"/>
    </row>
    <row r="322" spans="1:34" s="498" customFormat="1" hidden="1" x14ac:dyDescent="0.25">
      <c r="A322" s="962"/>
      <c r="B322" s="856" t="s">
        <v>1404</v>
      </c>
      <c r="C322" s="499"/>
      <c r="D322" s="903"/>
      <c r="E322" s="855" t="s">
        <v>318</v>
      </c>
      <c r="F322" s="557">
        <v>2</v>
      </c>
      <c r="G322" s="558">
        <v>2.2999999999999998</v>
      </c>
      <c r="H322" s="559">
        <f>F322*G322</f>
        <v>4.5999999999999996</v>
      </c>
      <c r="I322" s="857">
        <v>2</v>
      </c>
      <c r="J322" s="857">
        <v>2.2999999999999998</v>
      </c>
      <c r="K322" s="857">
        <f>I322*J322</f>
        <v>4.5999999999999996</v>
      </c>
      <c r="L322" s="857">
        <v>2</v>
      </c>
      <c r="M322" s="857">
        <v>2.2999999999999998</v>
      </c>
      <c r="N322" s="857">
        <f>L322*M322</f>
        <v>4.5999999999999996</v>
      </c>
      <c r="O322" s="857">
        <v>2</v>
      </c>
      <c r="P322" s="857">
        <v>2.2999999999999998</v>
      </c>
      <c r="Q322" s="857">
        <f>O322*P322</f>
        <v>4.5999999999999996</v>
      </c>
      <c r="R322" s="857">
        <f t="shared" si="56"/>
        <v>4.5999999999999996</v>
      </c>
      <c r="S322" s="857"/>
      <c r="T322" s="857">
        <v>2</v>
      </c>
      <c r="U322" s="857">
        <v>2.2999999999999998</v>
      </c>
      <c r="V322" s="857">
        <f>T322*U322</f>
        <v>4.5999999999999996</v>
      </c>
      <c r="W322" s="857">
        <v>2</v>
      </c>
      <c r="X322" s="857">
        <v>2.2999999999999998</v>
      </c>
      <c r="Y322" s="857">
        <f>W322*X322</f>
        <v>4.5999999999999996</v>
      </c>
      <c r="Z322" s="559">
        <f t="shared" si="57"/>
        <v>0</v>
      </c>
      <c r="AA322" s="559">
        <f t="shared" si="61"/>
        <v>100</v>
      </c>
      <c r="AB322" s="900"/>
      <c r="AC322" s="491" t="s">
        <v>1665</v>
      </c>
      <c r="AF322" s="466"/>
      <c r="AG322" s="465"/>
      <c r="AH322" s="465"/>
    </row>
    <row r="323" spans="1:34" s="498" customFormat="1" hidden="1" x14ac:dyDescent="0.25">
      <c r="A323" s="962"/>
      <c r="B323" s="506" t="s">
        <v>842</v>
      </c>
      <c r="C323" s="499"/>
      <c r="D323" s="903"/>
      <c r="E323" s="855"/>
      <c r="F323" s="557"/>
      <c r="G323" s="558"/>
      <c r="H323" s="559">
        <f>(H319+H320+H322)*27.1/100</f>
        <v>2.8</v>
      </c>
      <c r="I323" s="857"/>
      <c r="J323" s="857"/>
      <c r="K323" s="857">
        <f>(K319+K320+K322)*27.1/100</f>
        <v>2.6</v>
      </c>
      <c r="L323" s="857"/>
      <c r="M323" s="857"/>
      <c r="N323" s="857">
        <f>(N319+N320+N322)*27.1/100</f>
        <v>2.6</v>
      </c>
      <c r="O323" s="857"/>
      <c r="P323" s="857"/>
      <c r="Q323" s="857">
        <f>(Q319+Q320+Q322+Q321)*27.1/100</f>
        <v>2.9</v>
      </c>
      <c r="R323" s="857">
        <f t="shared" si="56"/>
        <v>2.9</v>
      </c>
      <c r="S323" s="857"/>
      <c r="T323" s="857"/>
      <c r="U323" s="857"/>
      <c r="V323" s="857">
        <f>(V319+V320+V322+V321)*27.1/100</f>
        <v>2.9</v>
      </c>
      <c r="W323" s="857"/>
      <c r="X323" s="857"/>
      <c r="Y323" s="857">
        <f>(Y319+Y320+Y322+Y321)*27.1/100</f>
        <v>2.9</v>
      </c>
      <c r="Z323" s="559">
        <f t="shared" si="57"/>
        <v>0.3</v>
      </c>
      <c r="AA323" s="559">
        <f t="shared" si="61"/>
        <v>111.5</v>
      </c>
      <c r="AB323" s="900"/>
      <c r="AC323" s="491" t="s">
        <v>1665</v>
      </c>
      <c r="AF323" s="466"/>
      <c r="AG323" s="465"/>
      <c r="AH323" s="465"/>
    </row>
    <row r="324" spans="1:34" s="492" customFormat="1" ht="14.25" hidden="1" x14ac:dyDescent="0.2">
      <c r="A324" s="1240"/>
      <c r="B324" s="507" t="s">
        <v>1707</v>
      </c>
      <c r="C324" s="508" t="s">
        <v>797</v>
      </c>
      <c r="D324" s="932"/>
      <c r="E324" s="493"/>
      <c r="F324" s="828"/>
      <c r="G324" s="829"/>
      <c r="H324" s="542">
        <f>SUM(H325:H328)</f>
        <v>11.2</v>
      </c>
      <c r="I324" s="533"/>
      <c r="J324" s="533"/>
      <c r="K324" s="533">
        <f>SUM(K325:K328)</f>
        <v>1.2</v>
      </c>
      <c r="L324" s="533"/>
      <c r="M324" s="533"/>
      <c r="N324" s="533">
        <f>SUM(N325:N328)</f>
        <v>1.2</v>
      </c>
      <c r="O324" s="533"/>
      <c r="P324" s="533"/>
      <c r="Q324" s="533">
        <f>SUM(Q325:Q328)</f>
        <v>2</v>
      </c>
      <c r="R324" s="533">
        <f t="shared" si="56"/>
        <v>2</v>
      </c>
      <c r="S324" s="533"/>
      <c r="T324" s="533"/>
      <c r="U324" s="533"/>
      <c r="V324" s="533">
        <f>SUM(V325:V328)</f>
        <v>2</v>
      </c>
      <c r="W324" s="533"/>
      <c r="X324" s="533"/>
      <c r="Y324" s="533">
        <f>SUM(Y325:Y328)</f>
        <v>2</v>
      </c>
      <c r="Z324" s="542">
        <f t="shared" si="57"/>
        <v>0.8</v>
      </c>
      <c r="AA324" s="542">
        <f t="shared" si="61"/>
        <v>166.7</v>
      </c>
      <c r="AB324" s="900"/>
      <c r="AC324" s="491" t="s">
        <v>1665</v>
      </c>
      <c r="AF324" s="466"/>
      <c r="AG324" s="466"/>
      <c r="AH324" s="466"/>
    </row>
    <row r="325" spans="1:34" s="498" customFormat="1" hidden="1" x14ac:dyDescent="0.25">
      <c r="A325" s="962"/>
      <c r="B325" s="856" t="s">
        <v>1946</v>
      </c>
      <c r="C325" s="499"/>
      <c r="D325" s="903"/>
      <c r="E325" s="855" t="s">
        <v>227</v>
      </c>
      <c r="F325" s="557">
        <v>6</v>
      </c>
      <c r="G325" s="558">
        <v>0.35</v>
      </c>
      <c r="H325" s="559">
        <f>F325*G325</f>
        <v>2.1</v>
      </c>
      <c r="I325" s="857"/>
      <c r="J325" s="857"/>
      <c r="K325" s="857">
        <f>I325*J325</f>
        <v>0</v>
      </c>
      <c r="L325" s="857"/>
      <c r="M325" s="857"/>
      <c r="N325" s="857">
        <f>L325*M325</f>
        <v>0</v>
      </c>
      <c r="O325" s="857"/>
      <c r="P325" s="857"/>
      <c r="Q325" s="857"/>
      <c r="R325" s="857">
        <f t="shared" si="56"/>
        <v>0</v>
      </c>
      <c r="S325" s="857"/>
      <c r="T325" s="857"/>
      <c r="U325" s="857"/>
      <c r="V325" s="857"/>
      <c r="W325" s="857"/>
      <c r="X325" s="857"/>
      <c r="Y325" s="857"/>
      <c r="Z325" s="559">
        <f t="shared" si="57"/>
        <v>0</v>
      </c>
      <c r="AA325" s="559" t="str">
        <f t="shared" si="61"/>
        <v>-</v>
      </c>
      <c r="AB325" s="900"/>
      <c r="AC325" s="491" t="s">
        <v>1665</v>
      </c>
      <c r="AF325" s="466"/>
      <c r="AG325" s="465"/>
      <c r="AH325" s="465"/>
    </row>
    <row r="326" spans="1:34" s="498" customFormat="1" ht="38.25" hidden="1" x14ac:dyDescent="0.25">
      <c r="A326" s="962"/>
      <c r="B326" s="502" t="s">
        <v>1708</v>
      </c>
      <c r="C326" s="499"/>
      <c r="D326" s="903"/>
      <c r="E326" s="855" t="s">
        <v>227</v>
      </c>
      <c r="F326" s="557">
        <v>26</v>
      </c>
      <c r="G326" s="558">
        <v>0.1</v>
      </c>
      <c r="H326" s="559">
        <f>F326*G326</f>
        <v>2.6</v>
      </c>
      <c r="I326" s="857">
        <v>12</v>
      </c>
      <c r="J326" s="862">
        <v>0.1</v>
      </c>
      <c r="K326" s="857">
        <f>I326*J326</f>
        <v>1.2</v>
      </c>
      <c r="L326" s="857">
        <v>12</v>
      </c>
      <c r="M326" s="862">
        <v>0.1</v>
      </c>
      <c r="N326" s="857">
        <f>L326*M326</f>
        <v>1.2</v>
      </c>
      <c r="O326" s="857">
        <v>20</v>
      </c>
      <c r="P326" s="857">
        <v>0.1</v>
      </c>
      <c r="Q326" s="857">
        <f>O326*P326</f>
        <v>2</v>
      </c>
      <c r="R326" s="857">
        <f t="shared" si="56"/>
        <v>2</v>
      </c>
      <c r="S326" s="857"/>
      <c r="T326" s="857">
        <v>20</v>
      </c>
      <c r="U326" s="857">
        <v>0.1</v>
      </c>
      <c r="V326" s="857">
        <f>T326*U326</f>
        <v>2</v>
      </c>
      <c r="W326" s="857">
        <v>20</v>
      </c>
      <c r="X326" s="857">
        <v>0.1</v>
      </c>
      <c r="Y326" s="857">
        <f>W326*X326</f>
        <v>2</v>
      </c>
      <c r="Z326" s="559">
        <f t="shared" si="57"/>
        <v>0.8</v>
      </c>
      <c r="AA326" s="559">
        <f t="shared" si="61"/>
        <v>166.7</v>
      </c>
      <c r="AB326" s="827" t="s">
        <v>1947</v>
      </c>
      <c r="AC326" s="491" t="s">
        <v>1665</v>
      </c>
      <c r="AF326" s="466"/>
      <c r="AG326" s="465"/>
      <c r="AH326" s="465"/>
    </row>
    <row r="327" spans="1:34" s="498" customFormat="1" hidden="1" x14ac:dyDescent="0.25">
      <c r="A327" s="962"/>
      <c r="B327" s="856" t="s">
        <v>1369</v>
      </c>
      <c r="C327" s="499"/>
      <c r="D327" s="903"/>
      <c r="E327" s="855" t="s">
        <v>227</v>
      </c>
      <c r="F327" s="557">
        <v>6</v>
      </c>
      <c r="G327" s="558">
        <v>0.75</v>
      </c>
      <c r="H327" s="559">
        <f>F327*G327</f>
        <v>4.5</v>
      </c>
      <c r="I327" s="857"/>
      <c r="J327" s="857"/>
      <c r="K327" s="857">
        <f>I327*J327</f>
        <v>0</v>
      </c>
      <c r="L327" s="857"/>
      <c r="M327" s="857"/>
      <c r="N327" s="857">
        <f>L327*M327</f>
        <v>0</v>
      </c>
      <c r="O327" s="857"/>
      <c r="P327" s="857"/>
      <c r="Q327" s="857"/>
      <c r="R327" s="857">
        <f t="shared" si="56"/>
        <v>0</v>
      </c>
      <c r="S327" s="857"/>
      <c r="T327" s="857"/>
      <c r="U327" s="857"/>
      <c r="V327" s="857"/>
      <c r="W327" s="857"/>
      <c r="X327" s="857"/>
      <c r="Y327" s="857"/>
      <c r="Z327" s="559">
        <f t="shared" si="57"/>
        <v>0</v>
      </c>
      <c r="AA327" s="559" t="str">
        <f t="shared" si="61"/>
        <v>-</v>
      </c>
      <c r="AB327" s="1029"/>
      <c r="AC327" s="491" t="s">
        <v>1665</v>
      </c>
      <c r="AF327" s="466"/>
      <c r="AG327" s="465"/>
      <c r="AH327" s="465"/>
    </row>
    <row r="328" spans="1:34" s="498" customFormat="1" hidden="1" x14ac:dyDescent="0.25">
      <c r="A328" s="962"/>
      <c r="B328" s="856" t="s">
        <v>1948</v>
      </c>
      <c r="C328" s="499"/>
      <c r="D328" s="903"/>
      <c r="E328" s="855" t="s">
        <v>227</v>
      </c>
      <c r="F328" s="557">
        <v>1</v>
      </c>
      <c r="G328" s="558">
        <v>2</v>
      </c>
      <c r="H328" s="559">
        <f>F328*G328</f>
        <v>2</v>
      </c>
      <c r="I328" s="857"/>
      <c r="J328" s="857"/>
      <c r="K328" s="857">
        <f>I328*J328</f>
        <v>0</v>
      </c>
      <c r="L328" s="857"/>
      <c r="M328" s="857"/>
      <c r="N328" s="857">
        <f>L328*M328</f>
        <v>0</v>
      </c>
      <c r="O328" s="857"/>
      <c r="P328" s="857"/>
      <c r="Q328" s="857"/>
      <c r="R328" s="857">
        <f t="shared" si="56"/>
        <v>0</v>
      </c>
      <c r="S328" s="857"/>
      <c r="T328" s="857"/>
      <c r="U328" s="857"/>
      <c r="V328" s="857"/>
      <c r="W328" s="857"/>
      <c r="X328" s="857"/>
      <c r="Y328" s="857"/>
      <c r="Z328" s="559">
        <f t="shared" si="57"/>
        <v>0</v>
      </c>
      <c r="AA328" s="559" t="str">
        <f t="shared" si="61"/>
        <v>-</v>
      </c>
      <c r="AB328" s="1029"/>
      <c r="AC328" s="491" t="s">
        <v>1665</v>
      </c>
      <c r="AF328" s="466"/>
      <c r="AG328" s="465"/>
      <c r="AH328" s="465"/>
    </row>
    <row r="329" spans="1:34" s="492" customFormat="1" ht="14.25" hidden="1" x14ac:dyDescent="0.2">
      <c r="A329" s="1240"/>
      <c r="B329" s="507" t="s">
        <v>1226</v>
      </c>
      <c r="C329" s="508" t="s">
        <v>797</v>
      </c>
      <c r="D329" s="932"/>
      <c r="E329" s="493"/>
      <c r="F329" s="828"/>
      <c r="G329" s="829"/>
      <c r="H329" s="542">
        <f>SUM(H330:H332)</f>
        <v>17.2</v>
      </c>
      <c r="I329" s="533"/>
      <c r="J329" s="533"/>
      <c r="K329" s="533">
        <f>SUM(K330:K332)</f>
        <v>11.2</v>
      </c>
      <c r="L329" s="533"/>
      <c r="M329" s="533"/>
      <c r="N329" s="533">
        <f>SUM(N330:N332)</f>
        <v>11.2</v>
      </c>
      <c r="O329" s="533"/>
      <c r="P329" s="533"/>
      <c r="Q329" s="533">
        <f>SUM(Q330:Q332)</f>
        <v>15</v>
      </c>
      <c r="R329" s="533">
        <f t="shared" si="56"/>
        <v>15</v>
      </c>
      <c r="S329" s="533"/>
      <c r="T329" s="533"/>
      <c r="U329" s="533"/>
      <c r="V329" s="533">
        <f>SUM(V330:V332)</f>
        <v>15</v>
      </c>
      <c r="W329" s="533"/>
      <c r="X329" s="533"/>
      <c r="Y329" s="533">
        <f>SUM(Y330:Y332)</f>
        <v>15</v>
      </c>
      <c r="Z329" s="542">
        <f t="shared" si="57"/>
        <v>3.8</v>
      </c>
      <c r="AA329" s="542">
        <f t="shared" si="61"/>
        <v>133.9</v>
      </c>
      <c r="AB329" s="900"/>
      <c r="AC329" s="491" t="s">
        <v>1665</v>
      </c>
      <c r="AF329" s="466"/>
      <c r="AG329" s="466"/>
      <c r="AH329" s="466"/>
    </row>
    <row r="330" spans="1:34" s="498" customFormat="1" hidden="1" x14ac:dyDescent="0.25">
      <c r="A330" s="962"/>
      <c r="B330" s="856" t="s">
        <v>1669</v>
      </c>
      <c r="C330" s="499"/>
      <c r="D330" s="903"/>
      <c r="E330" s="855" t="s">
        <v>227</v>
      </c>
      <c r="F330" s="557">
        <v>100</v>
      </c>
      <c r="G330" s="558">
        <v>0.12</v>
      </c>
      <c r="H330" s="559">
        <f>F330*G330</f>
        <v>12</v>
      </c>
      <c r="I330" s="857">
        <v>120</v>
      </c>
      <c r="J330" s="862">
        <v>0.05</v>
      </c>
      <c r="K330" s="857">
        <f>I330*J330</f>
        <v>6</v>
      </c>
      <c r="L330" s="857">
        <v>120</v>
      </c>
      <c r="M330" s="862">
        <v>0.05</v>
      </c>
      <c r="N330" s="857">
        <f>L330*M330</f>
        <v>6</v>
      </c>
      <c r="O330" s="857"/>
      <c r="P330" s="857"/>
      <c r="Q330" s="857"/>
      <c r="R330" s="857">
        <f t="shared" si="56"/>
        <v>0</v>
      </c>
      <c r="S330" s="857"/>
      <c r="T330" s="857"/>
      <c r="U330" s="857"/>
      <c r="V330" s="857"/>
      <c r="W330" s="857"/>
      <c r="X330" s="857"/>
      <c r="Y330" s="857"/>
      <c r="Z330" s="559">
        <f t="shared" si="57"/>
        <v>-6</v>
      </c>
      <c r="AA330" s="559">
        <f t="shared" si="61"/>
        <v>0</v>
      </c>
      <c r="AB330" s="1029"/>
      <c r="AC330" s="491" t="s">
        <v>1665</v>
      </c>
      <c r="AF330" s="466"/>
      <c r="AG330" s="465"/>
      <c r="AH330" s="465"/>
    </row>
    <row r="331" spans="1:34" s="498" customFormat="1" ht="63.75" hidden="1" x14ac:dyDescent="0.25">
      <c r="A331" s="962"/>
      <c r="B331" s="1824" t="s">
        <v>1949</v>
      </c>
      <c r="C331" s="499"/>
      <c r="D331" s="903"/>
      <c r="E331" s="855" t="s">
        <v>227</v>
      </c>
      <c r="F331" s="557"/>
      <c r="G331" s="558"/>
      <c r="H331" s="559"/>
      <c r="I331" s="857"/>
      <c r="J331" s="857"/>
      <c r="K331" s="857">
        <f>I331*J331</f>
        <v>0</v>
      </c>
      <c r="L331" s="857"/>
      <c r="M331" s="857"/>
      <c r="N331" s="857">
        <f>L331*M331</f>
        <v>0</v>
      </c>
      <c r="O331" s="857">
        <v>2</v>
      </c>
      <c r="P331" s="857">
        <v>7.5</v>
      </c>
      <c r="Q331" s="857">
        <f>P331*O331</f>
        <v>15</v>
      </c>
      <c r="R331" s="857">
        <f t="shared" si="56"/>
        <v>15</v>
      </c>
      <c r="S331" s="857"/>
      <c r="T331" s="857">
        <v>2</v>
      </c>
      <c r="U331" s="857">
        <v>7.5</v>
      </c>
      <c r="V331" s="857">
        <f>U331*T331</f>
        <v>15</v>
      </c>
      <c r="W331" s="857">
        <v>2</v>
      </c>
      <c r="X331" s="857">
        <v>7.5</v>
      </c>
      <c r="Y331" s="857">
        <f>X331*W331</f>
        <v>15</v>
      </c>
      <c r="Z331" s="559">
        <f t="shared" si="57"/>
        <v>15</v>
      </c>
      <c r="AA331" s="559" t="str">
        <f t="shared" si="61"/>
        <v>-</v>
      </c>
      <c r="AB331" s="1029" t="s">
        <v>1950</v>
      </c>
      <c r="AC331" s="491" t="s">
        <v>1665</v>
      </c>
      <c r="AF331" s="466"/>
      <c r="AG331" s="465"/>
      <c r="AH331" s="465"/>
    </row>
    <row r="332" spans="1:34" s="498" customFormat="1" hidden="1" x14ac:dyDescent="0.25">
      <c r="A332" s="962"/>
      <c r="B332" s="506" t="s">
        <v>1951</v>
      </c>
      <c r="C332" s="508"/>
      <c r="D332" s="903"/>
      <c r="E332" s="493" t="s">
        <v>227</v>
      </c>
      <c r="F332" s="557">
        <v>13</v>
      </c>
      <c r="G332" s="558">
        <v>0.4</v>
      </c>
      <c r="H332" s="559">
        <f>F332*G332</f>
        <v>5.2</v>
      </c>
      <c r="I332" s="857">
        <v>13</v>
      </c>
      <c r="J332" s="857">
        <v>0.4</v>
      </c>
      <c r="K332" s="857">
        <f>I332*J332</f>
        <v>5.2</v>
      </c>
      <c r="L332" s="857">
        <v>13</v>
      </c>
      <c r="M332" s="857">
        <v>0.4</v>
      </c>
      <c r="N332" s="857">
        <f>L332*M332</f>
        <v>5.2</v>
      </c>
      <c r="O332" s="857"/>
      <c r="P332" s="857"/>
      <c r="Q332" s="857"/>
      <c r="R332" s="857">
        <f t="shared" si="56"/>
        <v>0</v>
      </c>
      <c r="S332" s="857"/>
      <c r="T332" s="857"/>
      <c r="U332" s="857"/>
      <c r="V332" s="857"/>
      <c r="W332" s="857"/>
      <c r="X332" s="857"/>
      <c r="Y332" s="857"/>
      <c r="Z332" s="559">
        <f t="shared" si="57"/>
        <v>-5.2</v>
      </c>
      <c r="AA332" s="559">
        <f t="shared" si="61"/>
        <v>0</v>
      </c>
      <c r="AB332" s="1029"/>
      <c r="AC332" s="491" t="s">
        <v>1665</v>
      </c>
      <c r="AF332" s="466"/>
      <c r="AG332" s="465"/>
      <c r="AH332" s="465"/>
    </row>
    <row r="333" spans="1:34" s="492" customFormat="1" ht="14.25" hidden="1" x14ac:dyDescent="0.2">
      <c r="A333" s="1240"/>
      <c r="B333" s="865" t="s">
        <v>1952</v>
      </c>
      <c r="C333" s="508"/>
      <c r="D333" s="1240"/>
      <c r="E333" s="861"/>
      <c r="F333" s="828"/>
      <c r="G333" s="829"/>
      <c r="H333" s="542">
        <f>SUM(H334:H335)</f>
        <v>6.8</v>
      </c>
      <c r="I333" s="533"/>
      <c r="J333" s="533"/>
      <c r="K333" s="533">
        <f>SUM(K334:K335)</f>
        <v>4</v>
      </c>
      <c r="L333" s="533"/>
      <c r="M333" s="533"/>
      <c r="N333" s="533">
        <f>SUM(N334:N335)</f>
        <v>4</v>
      </c>
      <c r="O333" s="533"/>
      <c r="P333" s="533"/>
      <c r="Q333" s="533">
        <f>SUM(Q334:Q335)</f>
        <v>4</v>
      </c>
      <c r="R333" s="533">
        <f t="shared" si="56"/>
        <v>4</v>
      </c>
      <c r="S333" s="533"/>
      <c r="T333" s="533"/>
      <c r="U333" s="533"/>
      <c r="V333" s="533">
        <f>SUM(V334:V335)</f>
        <v>4</v>
      </c>
      <c r="W333" s="533"/>
      <c r="X333" s="533"/>
      <c r="Y333" s="533">
        <f>SUM(Y334:Y335)</f>
        <v>4</v>
      </c>
      <c r="Z333" s="542">
        <f t="shared" si="57"/>
        <v>0</v>
      </c>
      <c r="AA333" s="542">
        <f t="shared" si="61"/>
        <v>100</v>
      </c>
      <c r="AB333" s="900"/>
      <c r="AC333" s="491" t="s">
        <v>1665</v>
      </c>
      <c r="AF333" s="466"/>
      <c r="AG333" s="466"/>
      <c r="AH333" s="466"/>
    </row>
    <row r="334" spans="1:34" s="498" customFormat="1" hidden="1" x14ac:dyDescent="0.25">
      <c r="A334" s="962"/>
      <c r="B334" s="856" t="s">
        <v>1953</v>
      </c>
      <c r="C334" s="508" t="s">
        <v>797</v>
      </c>
      <c r="D334" s="903"/>
      <c r="E334" s="855" t="s">
        <v>227</v>
      </c>
      <c r="F334" s="557">
        <v>35</v>
      </c>
      <c r="G334" s="558">
        <v>0.1</v>
      </c>
      <c r="H334" s="559">
        <f>F334*G334</f>
        <v>3.5</v>
      </c>
      <c r="I334" s="857">
        <v>40</v>
      </c>
      <c r="J334" s="857">
        <v>0.1</v>
      </c>
      <c r="K334" s="857">
        <f>I334*J334</f>
        <v>4</v>
      </c>
      <c r="L334" s="857">
        <v>40</v>
      </c>
      <c r="M334" s="857">
        <v>0.1</v>
      </c>
      <c r="N334" s="857">
        <f>L334*M334</f>
        <v>4</v>
      </c>
      <c r="O334" s="857">
        <v>40</v>
      </c>
      <c r="P334" s="857">
        <v>0.1</v>
      </c>
      <c r="Q334" s="857">
        <f>P334*O334</f>
        <v>4</v>
      </c>
      <c r="R334" s="857">
        <f t="shared" si="56"/>
        <v>4</v>
      </c>
      <c r="S334" s="857"/>
      <c r="T334" s="857">
        <v>40</v>
      </c>
      <c r="U334" s="857">
        <v>0.1</v>
      </c>
      <c r="V334" s="857">
        <f>U334*T334</f>
        <v>4</v>
      </c>
      <c r="W334" s="857">
        <v>40</v>
      </c>
      <c r="X334" s="857">
        <v>0.1</v>
      </c>
      <c r="Y334" s="857">
        <f>X334*W334</f>
        <v>4</v>
      </c>
      <c r="Z334" s="559">
        <f t="shared" si="57"/>
        <v>0</v>
      </c>
      <c r="AA334" s="559">
        <f t="shared" si="61"/>
        <v>100</v>
      </c>
      <c r="AB334" s="900"/>
      <c r="AC334" s="491" t="s">
        <v>1665</v>
      </c>
      <c r="AF334" s="466"/>
      <c r="AG334" s="465"/>
      <c r="AH334" s="465"/>
    </row>
    <row r="335" spans="1:34" s="498" customFormat="1" ht="38.25" hidden="1" x14ac:dyDescent="0.25">
      <c r="A335" s="962"/>
      <c r="B335" s="856" t="s">
        <v>1954</v>
      </c>
      <c r="C335" s="508" t="s">
        <v>796</v>
      </c>
      <c r="D335" s="903"/>
      <c r="E335" s="855" t="s">
        <v>227</v>
      </c>
      <c r="F335" s="557">
        <v>330</v>
      </c>
      <c r="G335" s="558">
        <v>0.01</v>
      </c>
      <c r="H335" s="559">
        <f>F335*G335</f>
        <v>3.3</v>
      </c>
      <c r="I335" s="857">
        <v>330</v>
      </c>
      <c r="J335" s="857">
        <v>0</v>
      </c>
      <c r="K335" s="857">
        <f>I335*J335</f>
        <v>0</v>
      </c>
      <c r="L335" s="857">
        <v>330</v>
      </c>
      <c r="M335" s="857">
        <v>0</v>
      </c>
      <c r="N335" s="857">
        <f>L335*M335</f>
        <v>0</v>
      </c>
      <c r="O335" s="857">
        <v>150</v>
      </c>
      <c r="P335" s="857">
        <v>0</v>
      </c>
      <c r="Q335" s="857">
        <f>P335*O335</f>
        <v>0</v>
      </c>
      <c r="R335" s="857">
        <f t="shared" si="56"/>
        <v>0</v>
      </c>
      <c r="S335" s="857"/>
      <c r="T335" s="857">
        <v>150</v>
      </c>
      <c r="U335" s="857">
        <v>0</v>
      </c>
      <c r="V335" s="857">
        <f>U335*T335</f>
        <v>0</v>
      </c>
      <c r="W335" s="857">
        <v>150</v>
      </c>
      <c r="X335" s="857">
        <v>0</v>
      </c>
      <c r="Y335" s="857">
        <f>X335*W335</f>
        <v>0</v>
      </c>
      <c r="Z335" s="559">
        <f t="shared" si="57"/>
        <v>0</v>
      </c>
      <c r="AA335" s="559" t="str">
        <f t="shared" si="61"/>
        <v>-</v>
      </c>
      <c r="AB335" s="1937" t="s">
        <v>1955</v>
      </c>
      <c r="AC335" s="491" t="s">
        <v>1665</v>
      </c>
      <c r="AF335" s="466"/>
      <c r="AG335" s="465"/>
      <c r="AH335" s="465"/>
    </row>
    <row r="336" spans="1:34" s="517" customFormat="1" ht="25.5" hidden="1" x14ac:dyDescent="0.2">
      <c r="A336" s="487"/>
      <c r="B336" s="543" t="s">
        <v>1250</v>
      </c>
      <c r="C336" s="511"/>
      <c r="D336" s="487"/>
      <c r="E336" s="487"/>
      <c r="F336" s="821"/>
      <c r="G336" s="822"/>
      <c r="H336" s="823" t="e">
        <f>#REF!+H337+#REF!</f>
        <v>#REF!</v>
      </c>
      <c r="I336" s="915"/>
      <c r="J336" s="915"/>
      <c r="K336" s="823">
        <f>K337</f>
        <v>19.8</v>
      </c>
      <c r="L336" s="915"/>
      <c r="M336" s="915"/>
      <c r="N336" s="823">
        <f>N337</f>
        <v>19.8</v>
      </c>
      <c r="O336" s="915"/>
      <c r="P336" s="915"/>
      <c r="Q336" s="823">
        <f>Q337</f>
        <v>21.9</v>
      </c>
      <c r="R336" s="823">
        <f t="shared" si="56"/>
        <v>21.9</v>
      </c>
      <c r="S336" s="823"/>
      <c r="T336" s="915"/>
      <c r="U336" s="915"/>
      <c r="V336" s="823">
        <f>V337</f>
        <v>21.9</v>
      </c>
      <c r="W336" s="823"/>
      <c r="X336" s="823"/>
      <c r="Y336" s="823">
        <f>Y337</f>
        <v>21.9</v>
      </c>
      <c r="Z336" s="823">
        <f t="shared" si="57"/>
        <v>2.1</v>
      </c>
      <c r="AA336" s="823">
        <f t="shared" si="61"/>
        <v>110.6</v>
      </c>
      <c r="AB336" s="555"/>
      <c r="AC336" s="515"/>
      <c r="AF336" s="519"/>
      <c r="AG336" s="519"/>
      <c r="AH336" s="519"/>
    </row>
    <row r="337" spans="1:34" s="527" customFormat="1" ht="38.25" hidden="1" x14ac:dyDescent="0.2">
      <c r="A337" s="522"/>
      <c r="B337" s="1938" t="s">
        <v>1664</v>
      </c>
      <c r="C337" s="1939"/>
      <c r="D337" s="522" t="s">
        <v>1444</v>
      </c>
      <c r="E337" s="556"/>
      <c r="F337" s="523"/>
      <c r="G337" s="524"/>
      <c r="H337" s="526">
        <f>H338+H343+H344+H345+H349</f>
        <v>32.200000000000003</v>
      </c>
      <c r="I337" s="526"/>
      <c r="J337" s="526"/>
      <c r="K337" s="526">
        <f>K338+K343+K344+K345+K349</f>
        <v>19.8</v>
      </c>
      <c r="L337" s="526"/>
      <c r="M337" s="526"/>
      <c r="N337" s="526">
        <f>N338+N343+N344+N345+N349</f>
        <v>19.8</v>
      </c>
      <c r="O337" s="526"/>
      <c r="P337" s="526"/>
      <c r="Q337" s="526">
        <f>Q338+Q343+Q344+Q345+Q349</f>
        <v>21.9</v>
      </c>
      <c r="R337" s="526">
        <f t="shared" si="56"/>
        <v>21.9</v>
      </c>
      <c r="S337" s="526"/>
      <c r="T337" s="526"/>
      <c r="U337" s="526"/>
      <c r="V337" s="526">
        <f>V338+V343+V344+V345+V349</f>
        <v>21.9</v>
      </c>
      <c r="W337" s="526"/>
      <c r="X337" s="526"/>
      <c r="Y337" s="526">
        <f>Y338+Y343+Y344+Y345+Y349</f>
        <v>21.9</v>
      </c>
      <c r="Z337" s="526">
        <f t="shared" si="57"/>
        <v>2.1</v>
      </c>
      <c r="AA337" s="526">
        <f t="shared" si="61"/>
        <v>110.6</v>
      </c>
      <c r="AB337" s="909"/>
      <c r="AC337" s="549" t="s">
        <v>1665</v>
      </c>
      <c r="AF337" s="528"/>
      <c r="AG337" s="528"/>
      <c r="AH337" s="528"/>
    </row>
    <row r="338" spans="1:34" s="492" customFormat="1" ht="14.25" hidden="1" x14ac:dyDescent="0.2">
      <c r="A338" s="1240"/>
      <c r="B338" s="500" t="s">
        <v>1233</v>
      </c>
      <c r="C338" s="501" t="s">
        <v>1230</v>
      </c>
      <c r="D338" s="932"/>
      <c r="E338" s="842"/>
      <c r="F338" s="828"/>
      <c r="G338" s="829"/>
      <c r="H338" s="542">
        <f>SUM(H339:H342)</f>
        <v>9.9</v>
      </c>
      <c r="I338" s="533"/>
      <c r="J338" s="533"/>
      <c r="K338" s="533">
        <f>SUM(K339:K342)</f>
        <v>9.3000000000000007</v>
      </c>
      <c r="L338" s="533"/>
      <c r="M338" s="533"/>
      <c r="N338" s="533">
        <f>SUM(N339:N342)</f>
        <v>9.3000000000000007</v>
      </c>
      <c r="O338" s="533"/>
      <c r="P338" s="533"/>
      <c r="Q338" s="533">
        <f>SUM(Q339:Q342)</f>
        <v>10.3</v>
      </c>
      <c r="R338" s="533">
        <f t="shared" si="56"/>
        <v>10.3</v>
      </c>
      <c r="S338" s="533"/>
      <c r="T338" s="533"/>
      <c r="U338" s="533"/>
      <c r="V338" s="533">
        <f>SUM(V339:V342)</f>
        <v>10.3</v>
      </c>
      <c r="W338" s="533"/>
      <c r="X338" s="533"/>
      <c r="Y338" s="533">
        <f>SUM(Y339:Y342)</f>
        <v>10.3</v>
      </c>
      <c r="Z338" s="542">
        <f t="shared" si="57"/>
        <v>1</v>
      </c>
      <c r="AA338" s="542">
        <f t="shared" si="61"/>
        <v>110.8</v>
      </c>
      <c r="AB338" s="921"/>
      <c r="AC338" s="491" t="s">
        <v>1665</v>
      </c>
      <c r="AF338" s="466"/>
      <c r="AG338" s="466"/>
      <c r="AH338" s="466"/>
    </row>
    <row r="339" spans="1:34" s="498" customFormat="1" hidden="1" x14ac:dyDescent="0.25">
      <c r="A339" s="962"/>
      <c r="B339" s="502" t="s">
        <v>1519</v>
      </c>
      <c r="C339" s="503"/>
      <c r="D339" s="903"/>
      <c r="E339" s="1031" t="s">
        <v>318</v>
      </c>
      <c r="F339" s="557">
        <v>1</v>
      </c>
      <c r="G339" s="558">
        <v>3.45</v>
      </c>
      <c r="H339" s="559">
        <f>F339*G339</f>
        <v>3.5</v>
      </c>
      <c r="I339" s="857">
        <v>1</v>
      </c>
      <c r="J339" s="857">
        <v>3.5</v>
      </c>
      <c r="K339" s="857">
        <f>I339*J339</f>
        <v>3.5</v>
      </c>
      <c r="L339" s="857">
        <v>1</v>
      </c>
      <c r="M339" s="857">
        <v>3.5</v>
      </c>
      <c r="N339" s="857">
        <f>L339*M339</f>
        <v>3.5</v>
      </c>
      <c r="O339" s="857">
        <v>1</v>
      </c>
      <c r="P339" s="857">
        <v>3.5</v>
      </c>
      <c r="Q339" s="857">
        <f>P339*O339</f>
        <v>3.5</v>
      </c>
      <c r="R339" s="857">
        <f t="shared" ref="R339:R402" si="62">Q339</f>
        <v>3.5</v>
      </c>
      <c r="S339" s="857"/>
      <c r="T339" s="857">
        <v>1</v>
      </c>
      <c r="U339" s="857">
        <v>3.5</v>
      </c>
      <c r="V339" s="857">
        <f>U339*T339</f>
        <v>3.5</v>
      </c>
      <c r="W339" s="857">
        <v>1</v>
      </c>
      <c r="X339" s="857">
        <v>3.5</v>
      </c>
      <c r="Y339" s="857">
        <f>X339*W339</f>
        <v>3.5</v>
      </c>
      <c r="Z339" s="559">
        <f t="shared" si="57"/>
        <v>0</v>
      </c>
      <c r="AA339" s="559">
        <f t="shared" si="61"/>
        <v>100</v>
      </c>
      <c r="AB339" s="1924"/>
      <c r="AC339" s="491" t="s">
        <v>1665</v>
      </c>
      <c r="AF339" s="466"/>
      <c r="AG339" s="465"/>
      <c r="AH339" s="465"/>
    </row>
    <row r="340" spans="1:34" s="498" customFormat="1" ht="51.75" hidden="1" x14ac:dyDescent="0.25">
      <c r="A340" s="962"/>
      <c r="B340" s="502" t="s">
        <v>1686</v>
      </c>
      <c r="C340" s="503"/>
      <c r="D340" s="903"/>
      <c r="E340" s="1031" t="s">
        <v>318</v>
      </c>
      <c r="F340" s="557">
        <v>1</v>
      </c>
      <c r="G340" s="558">
        <v>2.2999999999999998</v>
      </c>
      <c r="H340" s="559">
        <f>F340*G340</f>
        <v>2.2999999999999998</v>
      </c>
      <c r="I340" s="857">
        <v>1</v>
      </c>
      <c r="J340" s="857">
        <v>2.2999999999999998</v>
      </c>
      <c r="K340" s="857">
        <f>I340*J340</f>
        <v>2.2999999999999998</v>
      </c>
      <c r="L340" s="857">
        <v>1</v>
      </c>
      <c r="M340" s="857">
        <v>2.2999999999999998</v>
      </c>
      <c r="N340" s="857">
        <f>L340*M340</f>
        <v>2.2999999999999998</v>
      </c>
      <c r="O340" s="857">
        <v>2</v>
      </c>
      <c r="P340" s="857">
        <v>2.2999999999999998</v>
      </c>
      <c r="Q340" s="857">
        <f>P340*O340</f>
        <v>4.5999999999999996</v>
      </c>
      <c r="R340" s="857">
        <f t="shared" si="62"/>
        <v>4.5999999999999996</v>
      </c>
      <c r="S340" s="857"/>
      <c r="T340" s="857">
        <v>2</v>
      </c>
      <c r="U340" s="857">
        <v>2.2999999999999998</v>
      </c>
      <c r="V340" s="857">
        <f>U340*T340</f>
        <v>4.5999999999999996</v>
      </c>
      <c r="W340" s="857">
        <v>2</v>
      </c>
      <c r="X340" s="857">
        <v>2.2999999999999998</v>
      </c>
      <c r="Y340" s="857">
        <f>X340*W340</f>
        <v>4.5999999999999996</v>
      </c>
      <c r="Z340" s="559">
        <f t="shared" si="57"/>
        <v>2.2999999999999998</v>
      </c>
      <c r="AA340" s="559">
        <f t="shared" si="61"/>
        <v>200</v>
      </c>
      <c r="AB340" s="1924" t="s">
        <v>1956</v>
      </c>
      <c r="AC340" s="491" t="s">
        <v>1665</v>
      </c>
      <c r="AF340" s="466"/>
      <c r="AG340" s="465"/>
      <c r="AH340" s="465"/>
    </row>
    <row r="341" spans="1:34" s="498" customFormat="1" hidden="1" x14ac:dyDescent="0.25">
      <c r="A341" s="962"/>
      <c r="B341" s="502" t="s">
        <v>1683</v>
      </c>
      <c r="C341" s="503"/>
      <c r="D341" s="903"/>
      <c r="E341" s="1031" t="s">
        <v>318</v>
      </c>
      <c r="F341" s="557">
        <v>1</v>
      </c>
      <c r="G341" s="558">
        <v>2</v>
      </c>
      <c r="H341" s="559">
        <f>F341*G341</f>
        <v>2</v>
      </c>
      <c r="I341" s="857">
        <v>1</v>
      </c>
      <c r="J341" s="857">
        <v>1.5</v>
      </c>
      <c r="K341" s="857">
        <f>I341*J341</f>
        <v>1.5</v>
      </c>
      <c r="L341" s="857">
        <v>1</v>
      </c>
      <c r="M341" s="857">
        <v>1.5</v>
      </c>
      <c r="N341" s="857">
        <f>L341*M341</f>
        <v>1.5</v>
      </c>
      <c r="O341" s="857"/>
      <c r="P341" s="857"/>
      <c r="Q341" s="857"/>
      <c r="R341" s="857">
        <f t="shared" si="62"/>
        <v>0</v>
      </c>
      <c r="S341" s="857"/>
      <c r="T341" s="857"/>
      <c r="U341" s="857"/>
      <c r="V341" s="857"/>
      <c r="W341" s="857"/>
      <c r="X341" s="857"/>
      <c r="Y341" s="857"/>
      <c r="Z341" s="559">
        <f t="shared" si="57"/>
        <v>-1.5</v>
      </c>
      <c r="AA341" s="559">
        <f t="shared" si="61"/>
        <v>0</v>
      </c>
      <c r="AB341" s="1924"/>
      <c r="AC341" s="491" t="s">
        <v>1665</v>
      </c>
      <c r="AF341" s="466"/>
      <c r="AG341" s="465"/>
      <c r="AH341" s="465"/>
    </row>
    <row r="342" spans="1:34" s="498" customFormat="1" hidden="1" x14ac:dyDescent="0.25">
      <c r="A342" s="962"/>
      <c r="B342" s="502" t="s">
        <v>1234</v>
      </c>
      <c r="C342" s="503"/>
      <c r="D342" s="903"/>
      <c r="E342" s="1031"/>
      <c r="F342" s="557"/>
      <c r="G342" s="558"/>
      <c r="H342" s="559">
        <f>SUM(H339:H341)*0.271</f>
        <v>2.1</v>
      </c>
      <c r="I342" s="857"/>
      <c r="J342" s="857"/>
      <c r="K342" s="857">
        <f>SUM(K339:K341)*0.271</f>
        <v>2</v>
      </c>
      <c r="L342" s="857"/>
      <c r="M342" s="857"/>
      <c r="N342" s="857">
        <f>SUM(N339:N341)*0.271</f>
        <v>2</v>
      </c>
      <c r="O342" s="857"/>
      <c r="P342" s="857"/>
      <c r="Q342" s="857">
        <f>SUM(Q339:Q341)*0.271</f>
        <v>2.2000000000000002</v>
      </c>
      <c r="R342" s="857">
        <f t="shared" si="62"/>
        <v>2.2000000000000002</v>
      </c>
      <c r="S342" s="857"/>
      <c r="T342" s="857"/>
      <c r="U342" s="857"/>
      <c r="V342" s="857">
        <f>SUM(V339:V341)*0.271</f>
        <v>2.2000000000000002</v>
      </c>
      <c r="W342" s="857"/>
      <c r="X342" s="857"/>
      <c r="Y342" s="857">
        <f>SUM(Y339:Y341)*0.271</f>
        <v>2.2000000000000002</v>
      </c>
      <c r="Z342" s="559">
        <f t="shared" si="57"/>
        <v>0.2</v>
      </c>
      <c r="AA342" s="559">
        <f t="shared" si="61"/>
        <v>110</v>
      </c>
      <c r="AB342" s="921"/>
      <c r="AC342" s="491" t="s">
        <v>1665</v>
      </c>
      <c r="AF342" s="466"/>
      <c r="AG342" s="465"/>
      <c r="AH342" s="465"/>
    </row>
    <row r="343" spans="1:34" s="492" customFormat="1" ht="14.25" hidden="1" x14ac:dyDescent="0.2">
      <c r="A343" s="1240"/>
      <c r="B343" s="500" t="s">
        <v>1927</v>
      </c>
      <c r="C343" s="501" t="s">
        <v>796</v>
      </c>
      <c r="D343" s="932"/>
      <c r="E343" s="842"/>
      <c r="F343" s="828">
        <v>30</v>
      </c>
      <c r="G343" s="829">
        <v>0.21</v>
      </c>
      <c r="H343" s="542">
        <f>F343*G343</f>
        <v>6.3</v>
      </c>
      <c r="I343" s="533">
        <v>320</v>
      </c>
      <c r="J343" s="533">
        <v>0</v>
      </c>
      <c r="K343" s="533">
        <f>I343*J343</f>
        <v>0</v>
      </c>
      <c r="L343" s="533">
        <v>320</v>
      </c>
      <c r="M343" s="533">
        <v>0</v>
      </c>
      <c r="N343" s="533">
        <f>L343*M343</f>
        <v>0</v>
      </c>
      <c r="O343" s="533">
        <v>320</v>
      </c>
      <c r="P343" s="533">
        <v>0</v>
      </c>
      <c r="Q343" s="533">
        <f>O343*P343</f>
        <v>0</v>
      </c>
      <c r="R343" s="533">
        <f t="shared" si="62"/>
        <v>0</v>
      </c>
      <c r="S343" s="533"/>
      <c r="T343" s="533">
        <v>320</v>
      </c>
      <c r="U343" s="533">
        <v>0</v>
      </c>
      <c r="V343" s="533">
        <f>T343*U343</f>
        <v>0</v>
      </c>
      <c r="W343" s="533">
        <v>320</v>
      </c>
      <c r="X343" s="533">
        <v>0</v>
      </c>
      <c r="Y343" s="533">
        <f>W343*X343</f>
        <v>0</v>
      </c>
      <c r="Z343" s="542">
        <f t="shared" si="57"/>
        <v>0</v>
      </c>
      <c r="AA343" s="542" t="str">
        <f t="shared" si="61"/>
        <v>-</v>
      </c>
      <c r="AB343" s="1246"/>
      <c r="AC343" s="491" t="s">
        <v>1665</v>
      </c>
      <c r="AF343" s="466"/>
      <c r="AG343" s="466"/>
      <c r="AH343" s="466"/>
    </row>
    <row r="344" spans="1:34" s="492" customFormat="1" ht="14.25" hidden="1" x14ac:dyDescent="0.2">
      <c r="A344" s="1240"/>
      <c r="B344" s="500" t="s">
        <v>1957</v>
      </c>
      <c r="C344" s="501" t="s">
        <v>797</v>
      </c>
      <c r="D344" s="932"/>
      <c r="E344" s="842"/>
      <c r="F344" s="828">
        <v>320</v>
      </c>
      <c r="G344" s="829">
        <v>0.01</v>
      </c>
      <c r="H344" s="542">
        <v>1.8</v>
      </c>
      <c r="I344" s="533">
        <v>36</v>
      </c>
      <c r="J344" s="533">
        <v>0.1</v>
      </c>
      <c r="K344" s="533">
        <f>I344*J344</f>
        <v>3.6</v>
      </c>
      <c r="L344" s="533">
        <v>36</v>
      </c>
      <c r="M344" s="533">
        <v>0.1</v>
      </c>
      <c r="N344" s="533">
        <f>L344*M344</f>
        <v>3.6</v>
      </c>
      <c r="O344" s="533">
        <v>36</v>
      </c>
      <c r="P344" s="533">
        <v>0.1</v>
      </c>
      <c r="Q344" s="533">
        <f>P344*O344</f>
        <v>3.6</v>
      </c>
      <c r="R344" s="533">
        <f t="shared" si="62"/>
        <v>3.6</v>
      </c>
      <c r="S344" s="533"/>
      <c r="T344" s="533">
        <v>36</v>
      </c>
      <c r="U344" s="533">
        <v>0.1</v>
      </c>
      <c r="V344" s="533">
        <f>U344*T344</f>
        <v>3.6</v>
      </c>
      <c r="W344" s="533">
        <v>36</v>
      </c>
      <c r="X344" s="533">
        <v>0.1</v>
      </c>
      <c r="Y344" s="533">
        <f>X344*W344</f>
        <v>3.6</v>
      </c>
      <c r="Z344" s="542">
        <f t="shared" si="57"/>
        <v>0</v>
      </c>
      <c r="AA344" s="542">
        <f t="shared" si="61"/>
        <v>100</v>
      </c>
      <c r="AB344" s="1247"/>
      <c r="AC344" s="491" t="s">
        <v>1665</v>
      </c>
      <c r="AF344" s="466"/>
      <c r="AG344" s="466"/>
      <c r="AH344" s="466"/>
    </row>
    <row r="345" spans="1:34" s="492" customFormat="1" ht="14.25" hidden="1" x14ac:dyDescent="0.2">
      <c r="A345" s="1240"/>
      <c r="B345" s="865" t="s">
        <v>1226</v>
      </c>
      <c r="C345" s="508" t="s">
        <v>797</v>
      </c>
      <c r="D345" s="932"/>
      <c r="E345" s="842"/>
      <c r="F345" s="828"/>
      <c r="G345" s="829"/>
      <c r="H345" s="542">
        <f>SUM(H346:H347)</f>
        <v>8.8000000000000007</v>
      </c>
      <c r="I345" s="533"/>
      <c r="J345" s="533"/>
      <c r="K345" s="533">
        <f>SUM(K346:K347)</f>
        <v>5.7</v>
      </c>
      <c r="L345" s="533"/>
      <c r="M345" s="533"/>
      <c r="N345" s="533">
        <f>SUM(N346:N347)</f>
        <v>5.7</v>
      </c>
      <c r="O345" s="533"/>
      <c r="P345" s="533"/>
      <c r="Q345" s="533">
        <f>SUM(Q346:Q348)</f>
        <v>6</v>
      </c>
      <c r="R345" s="533">
        <f t="shared" si="62"/>
        <v>6</v>
      </c>
      <c r="S345" s="533"/>
      <c r="T345" s="533"/>
      <c r="U345" s="533"/>
      <c r="V345" s="533">
        <f>SUM(V346:V348)</f>
        <v>6</v>
      </c>
      <c r="W345" s="533"/>
      <c r="X345" s="533"/>
      <c r="Y345" s="533">
        <f>SUM(Y346:Y348)</f>
        <v>6</v>
      </c>
      <c r="Z345" s="542">
        <f t="shared" si="57"/>
        <v>0.3</v>
      </c>
      <c r="AA345" s="542">
        <f t="shared" si="61"/>
        <v>105.3</v>
      </c>
      <c r="AB345" s="921"/>
      <c r="AC345" s="491" t="s">
        <v>1665</v>
      </c>
      <c r="AF345" s="466"/>
      <c r="AG345" s="466"/>
      <c r="AH345" s="466"/>
    </row>
    <row r="346" spans="1:34" s="498" customFormat="1" hidden="1" x14ac:dyDescent="0.25">
      <c r="A346" s="962"/>
      <c r="B346" s="856" t="s">
        <v>1921</v>
      </c>
      <c r="C346" s="499"/>
      <c r="D346" s="903"/>
      <c r="E346" s="1031" t="s">
        <v>227</v>
      </c>
      <c r="F346" s="557">
        <v>6</v>
      </c>
      <c r="G346" s="558">
        <v>1</v>
      </c>
      <c r="H346" s="559">
        <f>F346*G346</f>
        <v>6</v>
      </c>
      <c r="I346" s="857">
        <v>6</v>
      </c>
      <c r="J346" s="862">
        <v>0.5</v>
      </c>
      <c r="K346" s="857">
        <f>I346*J346</f>
        <v>3</v>
      </c>
      <c r="L346" s="857">
        <v>6</v>
      </c>
      <c r="M346" s="862">
        <v>0.5</v>
      </c>
      <c r="N346" s="857">
        <f>L346*M346</f>
        <v>3</v>
      </c>
      <c r="O346" s="857">
        <v>2</v>
      </c>
      <c r="P346" s="857">
        <v>1</v>
      </c>
      <c r="Q346" s="857">
        <f>O346*P346</f>
        <v>2</v>
      </c>
      <c r="R346" s="857">
        <f t="shared" si="62"/>
        <v>2</v>
      </c>
      <c r="S346" s="857"/>
      <c r="T346" s="857">
        <v>2</v>
      </c>
      <c r="U346" s="857">
        <v>1</v>
      </c>
      <c r="V346" s="857">
        <f>T346*U346</f>
        <v>2</v>
      </c>
      <c r="W346" s="857">
        <v>2</v>
      </c>
      <c r="X346" s="857">
        <v>1</v>
      </c>
      <c r="Y346" s="857">
        <f>W346*X346</f>
        <v>2</v>
      </c>
      <c r="Z346" s="559">
        <f t="shared" si="57"/>
        <v>-1</v>
      </c>
      <c r="AA346" s="559">
        <f t="shared" si="61"/>
        <v>66.7</v>
      </c>
      <c r="AB346" s="893"/>
      <c r="AC346" s="491" t="s">
        <v>1665</v>
      </c>
      <c r="AF346" s="466"/>
      <c r="AG346" s="465"/>
      <c r="AH346" s="465"/>
    </row>
    <row r="347" spans="1:34" s="498" customFormat="1" hidden="1" x14ac:dyDescent="0.25">
      <c r="A347" s="962"/>
      <c r="B347" s="500" t="s">
        <v>1909</v>
      </c>
      <c r="C347" s="501"/>
      <c r="D347" s="903"/>
      <c r="E347" s="1031" t="s">
        <v>1240</v>
      </c>
      <c r="F347" s="557">
        <v>14</v>
      </c>
      <c r="G347" s="558">
        <v>0.2</v>
      </c>
      <c r="H347" s="559">
        <f>F347*G347</f>
        <v>2.8</v>
      </c>
      <c r="I347" s="857">
        <v>13.5</v>
      </c>
      <c r="J347" s="857">
        <v>0.2</v>
      </c>
      <c r="K347" s="857">
        <f>I347*J347</f>
        <v>2.7</v>
      </c>
      <c r="L347" s="857">
        <v>13.5</v>
      </c>
      <c r="M347" s="857">
        <v>0.2</v>
      </c>
      <c r="N347" s="857">
        <f>L347*M347</f>
        <v>2.7</v>
      </c>
      <c r="O347" s="857"/>
      <c r="P347" s="857"/>
      <c r="Q347" s="857"/>
      <c r="R347" s="857">
        <f t="shared" si="62"/>
        <v>0</v>
      </c>
      <c r="S347" s="857"/>
      <c r="T347" s="857"/>
      <c r="U347" s="857"/>
      <c r="V347" s="857"/>
      <c r="W347" s="857"/>
      <c r="X347" s="857"/>
      <c r="Y347" s="857"/>
      <c r="Z347" s="559">
        <f t="shared" si="57"/>
        <v>-2.7</v>
      </c>
      <c r="AA347" s="559">
        <f t="shared" si="61"/>
        <v>0</v>
      </c>
      <c r="AB347" s="827"/>
      <c r="AC347" s="491" t="s">
        <v>1665</v>
      </c>
      <c r="AF347" s="466"/>
      <c r="AG347" s="465"/>
      <c r="AH347" s="465"/>
    </row>
    <row r="348" spans="1:34" s="498" customFormat="1" ht="25.5" hidden="1" x14ac:dyDescent="0.25">
      <c r="A348" s="962"/>
      <c r="B348" s="502" t="s">
        <v>1958</v>
      </c>
      <c r="C348" s="501"/>
      <c r="D348" s="903"/>
      <c r="E348" s="1031"/>
      <c r="F348" s="557"/>
      <c r="G348" s="558"/>
      <c r="H348" s="559"/>
      <c r="I348" s="857"/>
      <c r="J348" s="857"/>
      <c r="K348" s="857"/>
      <c r="L348" s="857"/>
      <c r="M348" s="857"/>
      <c r="N348" s="857"/>
      <c r="O348" s="857">
        <v>2</v>
      </c>
      <c r="P348" s="857">
        <v>2</v>
      </c>
      <c r="Q348" s="857">
        <f>P348*O348</f>
        <v>4</v>
      </c>
      <c r="R348" s="857">
        <f t="shared" si="62"/>
        <v>4</v>
      </c>
      <c r="S348" s="857"/>
      <c r="T348" s="857">
        <v>2</v>
      </c>
      <c r="U348" s="857">
        <v>2</v>
      </c>
      <c r="V348" s="857">
        <f>U348*T348</f>
        <v>4</v>
      </c>
      <c r="W348" s="857">
        <v>2</v>
      </c>
      <c r="X348" s="857">
        <v>2</v>
      </c>
      <c r="Y348" s="857">
        <f>X348*W348</f>
        <v>4</v>
      </c>
      <c r="Z348" s="559">
        <f t="shared" si="57"/>
        <v>4</v>
      </c>
      <c r="AA348" s="559" t="str">
        <f t="shared" si="61"/>
        <v>-</v>
      </c>
      <c r="AB348" s="827" t="s">
        <v>1959</v>
      </c>
      <c r="AC348" s="491" t="s">
        <v>1665</v>
      </c>
      <c r="AF348" s="466"/>
      <c r="AG348" s="465"/>
      <c r="AH348" s="465"/>
    </row>
    <row r="349" spans="1:34" s="492" customFormat="1" ht="25.5" hidden="1" x14ac:dyDescent="0.2">
      <c r="A349" s="1240"/>
      <c r="B349" s="865" t="s">
        <v>1239</v>
      </c>
      <c r="C349" s="508" t="s">
        <v>797</v>
      </c>
      <c r="D349" s="932"/>
      <c r="E349" s="842"/>
      <c r="F349" s="828"/>
      <c r="G349" s="829"/>
      <c r="H349" s="542">
        <f>SUM(H350:H351)</f>
        <v>5.4</v>
      </c>
      <c r="I349" s="533"/>
      <c r="J349" s="533"/>
      <c r="K349" s="533">
        <f>SUM(K350:K351)</f>
        <v>1.2</v>
      </c>
      <c r="L349" s="533"/>
      <c r="M349" s="533"/>
      <c r="N349" s="533">
        <f>SUM(N350:N351)</f>
        <v>1.2</v>
      </c>
      <c r="O349" s="533"/>
      <c r="P349" s="533"/>
      <c r="Q349" s="533">
        <f>SUM(Q350:Q351)</f>
        <v>2</v>
      </c>
      <c r="R349" s="533">
        <f t="shared" si="62"/>
        <v>2</v>
      </c>
      <c r="S349" s="533"/>
      <c r="T349" s="533"/>
      <c r="U349" s="533"/>
      <c r="V349" s="533">
        <f>SUM(V350:V351)</f>
        <v>2</v>
      </c>
      <c r="W349" s="533"/>
      <c r="X349" s="533"/>
      <c r="Y349" s="533">
        <f>SUM(Y350:Y351)</f>
        <v>2</v>
      </c>
      <c r="Z349" s="542">
        <f t="shared" si="57"/>
        <v>0.8</v>
      </c>
      <c r="AA349" s="542">
        <f t="shared" si="61"/>
        <v>166.7</v>
      </c>
      <c r="AB349" s="552"/>
      <c r="AC349" s="491" t="s">
        <v>1665</v>
      </c>
      <c r="AF349" s="466"/>
      <c r="AG349" s="466"/>
      <c r="AH349" s="466"/>
    </row>
    <row r="350" spans="1:34" s="498" customFormat="1" ht="39" hidden="1" x14ac:dyDescent="0.25">
      <c r="A350" s="962"/>
      <c r="B350" s="502" t="s">
        <v>1960</v>
      </c>
      <c r="C350" s="499"/>
      <c r="D350" s="903"/>
      <c r="E350" s="1031" t="s">
        <v>227</v>
      </c>
      <c r="F350" s="557">
        <v>26</v>
      </c>
      <c r="G350" s="558">
        <v>0.1</v>
      </c>
      <c r="H350" s="559">
        <f>F350*G350</f>
        <v>2.6</v>
      </c>
      <c r="I350" s="857">
        <v>12</v>
      </c>
      <c r="J350" s="862">
        <v>0.1</v>
      </c>
      <c r="K350" s="857">
        <f>I350*J350</f>
        <v>1.2</v>
      </c>
      <c r="L350" s="857">
        <v>12</v>
      </c>
      <c r="M350" s="862">
        <v>0.1</v>
      </c>
      <c r="N350" s="857">
        <f>L350*M350</f>
        <v>1.2</v>
      </c>
      <c r="O350" s="857">
        <v>20</v>
      </c>
      <c r="P350" s="857">
        <v>0.1</v>
      </c>
      <c r="Q350" s="857">
        <f>P350*O350</f>
        <v>2</v>
      </c>
      <c r="R350" s="857">
        <f t="shared" si="62"/>
        <v>2</v>
      </c>
      <c r="S350" s="857"/>
      <c r="T350" s="857">
        <v>20</v>
      </c>
      <c r="U350" s="857">
        <v>0.1</v>
      </c>
      <c r="V350" s="857">
        <f>U350*T350</f>
        <v>2</v>
      </c>
      <c r="W350" s="857">
        <v>20</v>
      </c>
      <c r="X350" s="857">
        <v>0.1</v>
      </c>
      <c r="Y350" s="857">
        <f>X350*W350</f>
        <v>2</v>
      </c>
      <c r="Z350" s="559">
        <f t="shared" si="57"/>
        <v>0.8</v>
      </c>
      <c r="AA350" s="559">
        <f t="shared" si="61"/>
        <v>166.7</v>
      </c>
      <c r="AB350" s="893" t="s">
        <v>1961</v>
      </c>
      <c r="AC350" s="491" t="s">
        <v>1665</v>
      </c>
      <c r="AF350" s="466"/>
      <c r="AG350" s="465"/>
      <c r="AH350" s="465"/>
    </row>
    <row r="351" spans="1:34" s="498" customFormat="1" hidden="1" x14ac:dyDescent="0.25">
      <c r="A351" s="962"/>
      <c r="B351" s="856" t="s">
        <v>1692</v>
      </c>
      <c r="C351" s="499"/>
      <c r="D351" s="903"/>
      <c r="E351" s="1031" t="s">
        <v>227</v>
      </c>
      <c r="F351" s="557">
        <v>8</v>
      </c>
      <c r="G351" s="558">
        <v>0.35</v>
      </c>
      <c r="H351" s="559">
        <f>F351*G351</f>
        <v>2.8</v>
      </c>
      <c r="I351" s="857"/>
      <c r="J351" s="857"/>
      <c r="K351" s="857">
        <f>I351*J351</f>
        <v>0</v>
      </c>
      <c r="L351" s="857"/>
      <c r="M351" s="857"/>
      <c r="N351" s="857">
        <f>L351*M351</f>
        <v>0</v>
      </c>
      <c r="O351" s="857"/>
      <c r="P351" s="857"/>
      <c r="Q351" s="857"/>
      <c r="R351" s="857">
        <f t="shared" si="62"/>
        <v>0</v>
      </c>
      <c r="S351" s="857"/>
      <c r="T351" s="857"/>
      <c r="U351" s="857"/>
      <c r="V351" s="857"/>
      <c r="W351" s="857"/>
      <c r="X351" s="857"/>
      <c r="Y351" s="857"/>
      <c r="Z351" s="559">
        <f t="shared" si="57"/>
        <v>0</v>
      </c>
      <c r="AA351" s="559" t="str">
        <f t="shared" si="61"/>
        <v>-</v>
      </c>
      <c r="AB351" s="1924"/>
      <c r="AC351" s="491" t="s">
        <v>1665</v>
      </c>
      <c r="AF351" s="466"/>
      <c r="AG351" s="465"/>
      <c r="AH351" s="465"/>
    </row>
    <row r="352" spans="1:34" s="517" customFormat="1" ht="14.25" hidden="1" x14ac:dyDescent="0.2">
      <c r="A352" s="487"/>
      <c r="B352" s="510" t="s">
        <v>1251</v>
      </c>
      <c r="C352" s="511"/>
      <c r="D352" s="487"/>
      <c r="E352" s="487"/>
      <c r="F352" s="821"/>
      <c r="G352" s="822"/>
      <c r="H352" s="823" t="e">
        <f>#REF!+#REF!+#REF!+H353</f>
        <v>#REF!</v>
      </c>
      <c r="I352" s="824"/>
      <c r="J352" s="824"/>
      <c r="K352" s="823">
        <f>K353</f>
        <v>120.8</v>
      </c>
      <c r="L352" s="824"/>
      <c r="M352" s="824"/>
      <c r="N352" s="823">
        <f>N353</f>
        <v>120.8</v>
      </c>
      <c r="O352" s="824"/>
      <c r="P352" s="824"/>
      <c r="Q352" s="823">
        <f>Q353</f>
        <v>220.9</v>
      </c>
      <c r="R352" s="823">
        <f t="shared" si="62"/>
        <v>220.9</v>
      </c>
      <c r="S352" s="823"/>
      <c r="T352" s="824"/>
      <c r="U352" s="824"/>
      <c r="V352" s="823">
        <f>V353</f>
        <v>201.7</v>
      </c>
      <c r="W352" s="823"/>
      <c r="X352" s="823"/>
      <c r="Y352" s="823">
        <f>Y353</f>
        <v>201.7</v>
      </c>
      <c r="Z352" s="823">
        <f t="shared" si="57"/>
        <v>100.1</v>
      </c>
      <c r="AA352" s="823">
        <f t="shared" si="61"/>
        <v>182.9</v>
      </c>
      <c r="AB352" s="555"/>
      <c r="AC352" s="515"/>
      <c r="AF352" s="519"/>
      <c r="AG352" s="519"/>
      <c r="AH352" s="519"/>
    </row>
    <row r="353" spans="1:34" s="527" customFormat="1" ht="38.25" hidden="1" x14ac:dyDescent="0.2">
      <c r="A353" s="522"/>
      <c r="B353" s="916" t="s">
        <v>1664</v>
      </c>
      <c r="C353" s="521"/>
      <c r="D353" s="522" t="s">
        <v>1444</v>
      </c>
      <c r="E353" s="556"/>
      <c r="F353" s="523"/>
      <c r="G353" s="524"/>
      <c r="H353" s="526">
        <f>H354+H375</f>
        <v>175.2</v>
      </c>
      <c r="I353" s="526"/>
      <c r="J353" s="526"/>
      <c r="K353" s="526">
        <f>K354+K375</f>
        <v>120.8</v>
      </c>
      <c r="L353" s="526"/>
      <c r="M353" s="526"/>
      <c r="N353" s="526">
        <f>N354+N375</f>
        <v>120.8</v>
      </c>
      <c r="O353" s="526"/>
      <c r="P353" s="526"/>
      <c r="Q353" s="526">
        <f>Q354+Q375</f>
        <v>220.9</v>
      </c>
      <c r="R353" s="526">
        <f t="shared" si="62"/>
        <v>220.9</v>
      </c>
      <c r="S353" s="526"/>
      <c r="T353" s="526"/>
      <c r="U353" s="526"/>
      <c r="V353" s="526">
        <f>V354+V375</f>
        <v>201.7</v>
      </c>
      <c r="W353" s="526"/>
      <c r="X353" s="526"/>
      <c r="Y353" s="526">
        <f>Y354+Y375</f>
        <v>201.7</v>
      </c>
      <c r="Z353" s="526">
        <f t="shared" si="57"/>
        <v>100.1</v>
      </c>
      <c r="AA353" s="526">
        <f t="shared" si="61"/>
        <v>182.9</v>
      </c>
      <c r="AB353" s="909"/>
      <c r="AC353" s="549" t="s">
        <v>1665</v>
      </c>
      <c r="AF353" s="528"/>
      <c r="AG353" s="528"/>
      <c r="AH353" s="528"/>
    </row>
    <row r="354" spans="1:34" s="871" customFormat="1" ht="14.25" hidden="1" x14ac:dyDescent="0.2">
      <c r="A354" s="869"/>
      <c r="B354" s="917" t="s">
        <v>1252</v>
      </c>
      <c r="C354" s="868"/>
      <c r="D354" s="1039"/>
      <c r="E354" s="870"/>
      <c r="F354" s="918"/>
      <c r="G354" s="919"/>
      <c r="H354" s="886">
        <f>H355+H361+H369+H370+H371+H374</f>
        <v>58.7</v>
      </c>
      <c r="I354" s="886"/>
      <c r="J354" s="886"/>
      <c r="K354" s="886">
        <f>K355+K361+K369+K370+K371+K374</f>
        <v>51.4</v>
      </c>
      <c r="L354" s="886"/>
      <c r="M354" s="886"/>
      <c r="N354" s="886">
        <f>N355+N361+N369+N370+N371+N374</f>
        <v>51.4</v>
      </c>
      <c r="O354" s="886"/>
      <c r="P354" s="886"/>
      <c r="Q354" s="886">
        <f>Q355+Q358+Q361+Q369+Q370+Q371+Q374</f>
        <v>83</v>
      </c>
      <c r="R354" s="886">
        <f t="shared" si="62"/>
        <v>83</v>
      </c>
      <c r="S354" s="886"/>
      <c r="T354" s="886"/>
      <c r="U354" s="886"/>
      <c r="V354" s="886">
        <f>V355+V358+V361+V369+V370+V371+V374</f>
        <v>58</v>
      </c>
      <c r="W354" s="886"/>
      <c r="X354" s="886"/>
      <c r="Y354" s="886">
        <f>Y355+Y358+Y361+Y369+Y370+Y371+Y374</f>
        <v>58</v>
      </c>
      <c r="Z354" s="886">
        <f t="shared" ref="Z354:Z395" si="63">Q354-K354</f>
        <v>31.6</v>
      </c>
      <c r="AA354" s="886">
        <f t="shared" si="61"/>
        <v>161.5</v>
      </c>
      <c r="AB354" s="1842"/>
      <c r="AC354" s="920" t="s">
        <v>1665</v>
      </c>
      <c r="AF354" s="872"/>
      <c r="AG354" s="872"/>
      <c r="AH354" s="872"/>
    </row>
    <row r="355" spans="1:34" s="492" customFormat="1" ht="25.5" hidden="1" x14ac:dyDescent="0.2">
      <c r="A355" s="1240"/>
      <c r="B355" s="500" t="s">
        <v>1239</v>
      </c>
      <c r="C355" s="501" t="s">
        <v>797</v>
      </c>
      <c r="D355" s="932"/>
      <c r="E355" s="842"/>
      <c r="F355" s="828"/>
      <c r="G355" s="829"/>
      <c r="H355" s="542">
        <f>SUM(H356:H357)</f>
        <v>4.8</v>
      </c>
      <c r="I355" s="533"/>
      <c r="J355" s="533"/>
      <c r="K355" s="533">
        <f>SUM(K356:K357)</f>
        <v>0.8</v>
      </c>
      <c r="L355" s="533"/>
      <c r="M355" s="533"/>
      <c r="N355" s="533">
        <f>SUM(N356:N357)</f>
        <v>0.8</v>
      </c>
      <c r="O355" s="533"/>
      <c r="P355" s="533"/>
      <c r="Q355" s="533">
        <f>SUM(Q356:Q357)</f>
        <v>0.8</v>
      </c>
      <c r="R355" s="533">
        <f t="shared" si="62"/>
        <v>0.8</v>
      </c>
      <c r="S355" s="533"/>
      <c r="T355" s="533"/>
      <c r="U355" s="533"/>
      <c r="V355" s="533">
        <f>SUM(V356:V357)</f>
        <v>0.8</v>
      </c>
      <c r="W355" s="533"/>
      <c r="X355" s="533"/>
      <c r="Y355" s="533">
        <f>SUM(Y356:Y357)</f>
        <v>0.8</v>
      </c>
      <c r="Z355" s="542">
        <f t="shared" si="63"/>
        <v>0</v>
      </c>
      <c r="AA355" s="542">
        <f t="shared" si="61"/>
        <v>100</v>
      </c>
      <c r="AB355" s="921"/>
      <c r="AC355" s="491" t="s">
        <v>1665</v>
      </c>
      <c r="AF355" s="466"/>
      <c r="AG355" s="466"/>
      <c r="AH355" s="466"/>
    </row>
    <row r="356" spans="1:34" s="498" customFormat="1" hidden="1" x14ac:dyDescent="0.25">
      <c r="A356" s="962"/>
      <c r="B356" s="502" t="s">
        <v>1962</v>
      </c>
      <c r="C356" s="499"/>
      <c r="D356" s="903"/>
      <c r="E356" s="1031" t="s">
        <v>227</v>
      </c>
      <c r="F356" s="557">
        <v>16</v>
      </c>
      <c r="G356" s="558">
        <v>0.1</v>
      </c>
      <c r="H356" s="559">
        <f>F356*G356</f>
        <v>1.6</v>
      </c>
      <c r="I356" s="857">
        <v>8</v>
      </c>
      <c r="J356" s="862">
        <v>0.1</v>
      </c>
      <c r="K356" s="857">
        <f>I356*J356</f>
        <v>0.8</v>
      </c>
      <c r="L356" s="857">
        <v>8</v>
      </c>
      <c r="M356" s="862">
        <v>0.1</v>
      </c>
      <c r="N356" s="857">
        <f>L356*M356</f>
        <v>0.8</v>
      </c>
      <c r="O356" s="857">
        <v>8</v>
      </c>
      <c r="P356" s="857">
        <v>0.1</v>
      </c>
      <c r="Q356" s="857">
        <f>P356*O356</f>
        <v>0.8</v>
      </c>
      <c r="R356" s="857">
        <f t="shared" si="62"/>
        <v>0.8</v>
      </c>
      <c r="S356" s="857"/>
      <c r="T356" s="857">
        <v>8</v>
      </c>
      <c r="U356" s="857">
        <v>0.1</v>
      </c>
      <c r="V356" s="857">
        <f>U356*T356</f>
        <v>0.8</v>
      </c>
      <c r="W356" s="857">
        <v>8</v>
      </c>
      <c r="X356" s="857">
        <v>0.1</v>
      </c>
      <c r="Y356" s="857">
        <f>X356*W356</f>
        <v>0.8</v>
      </c>
      <c r="Z356" s="559">
        <f t="shared" si="63"/>
        <v>0</v>
      </c>
      <c r="AA356" s="559">
        <f t="shared" si="61"/>
        <v>100</v>
      </c>
      <c r="AB356" s="893"/>
      <c r="AC356" s="491" t="s">
        <v>1665</v>
      </c>
      <c r="AF356" s="466"/>
      <c r="AG356" s="465"/>
      <c r="AH356" s="465"/>
    </row>
    <row r="357" spans="1:34" s="498" customFormat="1" hidden="1" x14ac:dyDescent="0.25">
      <c r="A357" s="962"/>
      <c r="B357" s="502" t="s">
        <v>1821</v>
      </c>
      <c r="C357" s="503"/>
      <c r="D357" s="903"/>
      <c r="E357" s="1031" t="s">
        <v>1240</v>
      </c>
      <c r="F357" s="557">
        <v>40</v>
      </c>
      <c r="G357" s="558">
        <v>0.08</v>
      </c>
      <c r="H357" s="559">
        <f>F357*G357</f>
        <v>3.2</v>
      </c>
      <c r="I357" s="857"/>
      <c r="J357" s="857"/>
      <c r="K357" s="857"/>
      <c r="L357" s="857"/>
      <c r="M357" s="857"/>
      <c r="N357" s="857"/>
      <c r="O357" s="857"/>
      <c r="P357" s="857"/>
      <c r="Q357" s="857"/>
      <c r="R357" s="857">
        <f t="shared" si="62"/>
        <v>0</v>
      </c>
      <c r="S357" s="857"/>
      <c r="T357" s="857"/>
      <c r="U357" s="857"/>
      <c r="V357" s="857"/>
      <c r="W357" s="857"/>
      <c r="X357" s="857"/>
      <c r="Y357" s="857"/>
      <c r="Z357" s="559">
        <f t="shared" si="63"/>
        <v>0</v>
      </c>
      <c r="AA357" s="559" t="str">
        <f t="shared" si="61"/>
        <v>-</v>
      </c>
      <c r="AB357" s="893"/>
      <c r="AC357" s="491" t="s">
        <v>1665</v>
      </c>
      <c r="AF357" s="466"/>
      <c r="AG357" s="465"/>
      <c r="AH357" s="465"/>
    </row>
    <row r="358" spans="1:34" s="498" customFormat="1" hidden="1" x14ac:dyDescent="0.25">
      <c r="A358" s="962"/>
      <c r="B358" s="500" t="s">
        <v>1963</v>
      </c>
      <c r="C358" s="501" t="s">
        <v>800</v>
      </c>
      <c r="D358" s="903"/>
      <c r="E358" s="1031"/>
      <c r="F358" s="557"/>
      <c r="G358" s="558"/>
      <c r="H358" s="559"/>
      <c r="I358" s="857"/>
      <c r="J358" s="857"/>
      <c r="K358" s="857"/>
      <c r="L358" s="857"/>
      <c r="M358" s="857"/>
      <c r="N358" s="857"/>
      <c r="O358" s="533"/>
      <c r="P358" s="533"/>
      <c r="Q358" s="533">
        <f>SUM(Q359:Q360)</f>
        <v>25</v>
      </c>
      <c r="R358" s="533">
        <f t="shared" si="62"/>
        <v>25</v>
      </c>
      <c r="S358" s="533"/>
      <c r="T358" s="533"/>
      <c r="U358" s="533"/>
      <c r="V358" s="533">
        <f>SUM(V359:V360)</f>
        <v>0</v>
      </c>
      <c r="W358" s="533"/>
      <c r="X358" s="533"/>
      <c r="Y358" s="533">
        <f>SUM(Y359:Y360)</f>
        <v>0</v>
      </c>
      <c r="Z358" s="559">
        <f t="shared" si="63"/>
        <v>25</v>
      </c>
      <c r="AA358" s="559" t="str">
        <f t="shared" si="61"/>
        <v>-</v>
      </c>
      <c r="AB358" s="893"/>
      <c r="AC358" s="491" t="s">
        <v>1665</v>
      </c>
      <c r="AF358" s="466"/>
      <c r="AG358" s="465"/>
      <c r="AH358" s="465"/>
    </row>
    <row r="359" spans="1:34" s="498" customFormat="1" ht="26.25" hidden="1" x14ac:dyDescent="0.25">
      <c r="A359" s="962"/>
      <c r="B359" s="502" t="s">
        <v>1964</v>
      </c>
      <c r="C359" s="501"/>
      <c r="D359" s="903"/>
      <c r="E359" s="882" t="s">
        <v>227</v>
      </c>
      <c r="F359" s="557"/>
      <c r="G359" s="558"/>
      <c r="H359" s="559"/>
      <c r="I359" s="857"/>
      <c r="J359" s="857"/>
      <c r="K359" s="857"/>
      <c r="L359" s="857"/>
      <c r="M359" s="857"/>
      <c r="N359" s="857"/>
      <c r="O359" s="857"/>
      <c r="P359" s="857"/>
      <c r="Q359" s="857"/>
      <c r="R359" s="857">
        <f t="shared" si="62"/>
        <v>0</v>
      </c>
      <c r="S359" s="857"/>
      <c r="T359" s="533"/>
      <c r="U359" s="533"/>
      <c r="V359" s="857">
        <f>U359*T359</f>
        <v>0</v>
      </c>
      <c r="W359" s="857"/>
      <c r="X359" s="857"/>
      <c r="Y359" s="857">
        <f>X359*W359</f>
        <v>0</v>
      </c>
      <c r="Z359" s="559">
        <f t="shared" si="63"/>
        <v>0</v>
      </c>
      <c r="AA359" s="559" t="str">
        <f t="shared" si="61"/>
        <v>-</v>
      </c>
      <c r="AB359" s="1940" t="s">
        <v>1965</v>
      </c>
      <c r="AC359" s="491" t="s">
        <v>1665</v>
      </c>
      <c r="AF359" s="466"/>
      <c r="AG359" s="465"/>
      <c r="AH359" s="465"/>
    </row>
    <row r="360" spans="1:34" s="498" customFormat="1" ht="26.25" hidden="1" x14ac:dyDescent="0.25">
      <c r="A360" s="962"/>
      <c r="B360" s="502" t="s">
        <v>1966</v>
      </c>
      <c r="C360" s="501"/>
      <c r="D360" s="903"/>
      <c r="E360" s="882" t="s">
        <v>227</v>
      </c>
      <c r="F360" s="557"/>
      <c r="G360" s="558"/>
      <c r="H360" s="559"/>
      <c r="I360" s="857"/>
      <c r="J360" s="857"/>
      <c r="K360" s="857"/>
      <c r="L360" s="857"/>
      <c r="M360" s="857"/>
      <c r="N360" s="857"/>
      <c r="O360" s="857">
        <v>1</v>
      </c>
      <c r="P360" s="857">
        <v>25</v>
      </c>
      <c r="Q360" s="857">
        <f>P360*O360</f>
        <v>25</v>
      </c>
      <c r="R360" s="857">
        <f t="shared" si="62"/>
        <v>25</v>
      </c>
      <c r="S360" s="857"/>
      <c r="T360" s="533"/>
      <c r="U360" s="533"/>
      <c r="V360" s="857">
        <f>U360*T360</f>
        <v>0</v>
      </c>
      <c r="W360" s="857"/>
      <c r="X360" s="857"/>
      <c r="Y360" s="857">
        <f>X360*W360</f>
        <v>0</v>
      </c>
      <c r="Z360" s="559">
        <f t="shared" si="63"/>
        <v>25</v>
      </c>
      <c r="AA360" s="559" t="str">
        <f t="shared" si="61"/>
        <v>-</v>
      </c>
      <c r="AB360" s="1940" t="s">
        <v>1967</v>
      </c>
      <c r="AC360" s="491" t="s">
        <v>1665</v>
      </c>
      <c r="AF360" s="466"/>
      <c r="AG360" s="465"/>
      <c r="AH360" s="465"/>
    </row>
    <row r="361" spans="1:34" s="492" customFormat="1" ht="14.25" hidden="1" x14ac:dyDescent="0.2">
      <c r="A361" s="1240"/>
      <c r="B361" s="500" t="s">
        <v>1233</v>
      </c>
      <c r="C361" s="501" t="s">
        <v>1230</v>
      </c>
      <c r="D361" s="932"/>
      <c r="E361" s="842"/>
      <c r="F361" s="828"/>
      <c r="G361" s="829"/>
      <c r="H361" s="542">
        <f>SUM(H362:H368)</f>
        <v>25.9</v>
      </c>
      <c r="I361" s="533"/>
      <c r="J361" s="533"/>
      <c r="K361" s="533">
        <f>SUM(K362:K368)</f>
        <v>28.7</v>
      </c>
      <c r="L361" s="533"/>
      <c r="M361" s="533"/>
      <c r="N361" s="533">
        <f>SUM(N362:N368)</f>
        <v>28.7</v>
      </c>
      <c r="O361" s="533"/>
      <c r="P361" s="533"/>
      <c r="Q361" s="533">
        <f>SUM(Q362:Q368)</f>
        <v>35.700000000000003</v>
      </c>
      <c r="R361" s="533">
        <f t="shared" si="62"/>
        <v>35.700000000000003</v>
      </c>
      <c r="S361" s="533"/>
      <c r="T361" s="533"/>
      <c r="U361" s="533"/>
      <c r="V361" s="533">
        <f>SUM(V362:V368)</f>
        <v>35.700000000000003</v>
      </c>
      <c r="W361" s="533"/>
      <c r="X361" s="533"/>
      <c r="Y361" s="533">
        <f>SUM(Y362:Y368)</f>
        <v>35.700000000000003</v>
      </c>
      <c r="Z361" s="542">
        <f t="shared" si="63"/>
        <v>7</v>
      </c>
      <c r="AA361" s="542">
        <f t="shared" si="61"/>
        <v>124.4</v>
      </c>
      <c r="AB361" s="893"/>
      <c r="AC361" s="491" t="s">
        <v>1665</v>
      </c>
      <c r="AF361" s="466"/>
      <c r="AG361" s="466"/>
      <c r="AH361" s="466"/>
    </row>
    <row r="362" spans="1:34" s="498" customFormat="1" hidden="1" x14ac:dyDescent="0.25">
      <c r="A362" s="962"/>
      <c r="B362" s="502" t="s">
        <v>1737</v>
      </c>
      <c r="C362" s="503"/>
      <c r="D362" s="903"/>
      <c r="E362" s="1031" t="s">
        <v>318</v>
      </c>
      <c r="F362" s="557">
        <v>1</v>
      </c>
      <c r="G362" s="558">
        <v>3.5</v>
      </c>
      <c r="H362" s="559">
        <f>F362*G362</f>
        <v>3.5</v>
      </c>
      <c r="I362" s="857">
        <v>1</v>
      </c>
      <c r="J362" s="857">
        <v>3.5</v>
      </c>
      <c r="K362" s="857">
        <f>I362*J362</f>
        <v>3.5</v>
      </c>
      <c r="L362" s="857">
        <v>1</v>
      </c>
      <c r="M362" s="857">
        <v>3.5</v>
      </c>
      <c r="N362" s="857">
        <f>L362*M362</f>
        <v>3.5</v>
      </c>
      <c r="O362" s="857">
        <v>1</v>
      </c>
      <c r="P362" s="857">
        <v>3.5</v>
      </c>
      <c r="Q362" s="857">
        <f>P362*O362</f>
        <v>3.5</v>
      </c>
      <c r="R362" s="857">
        <f t="shared" si="62"/>
        <v>3.5</v>
      </c>
      <c r="S362" s="857"/>
      <c r="T362" s="857">
        <v>1</v>
      </c>
      <c r="U362" s="857">
        <v>3.5</v>
      </c>
      <c r="V362" s="857">
        <f>U362*T362</f>
        <v>3.5</v>
      </c>
      <c r="W362" s="857">
        <v>1</v>
      </c>
      <c r="X362" s="857">
        <v>3.5</v>
      </c>
      <c r="Y362" s="857">
        <f>X362*W362</f>
        <v>3.5</v>
      </c>
      <c r="Z362" s="559">
        <f t="shared" si="63"/>
        <v>0</v>
      </c>
      <c r="AA362" s="559">
        <f t="shared" si="61"/>
        <v>100</v>
      </c>
      <c r="AB362" s="893"/>
      <c r="AC362" s="491" t="s">
        <v>1665</v>
      </c>
      <c r="AF362" s="466"/>
      <c r="AG362" s="465"/>
      <c r="AH362" s="465"/>
    </row>
    <row r="363" spans="1:34" s="498" customFormat="1" hidden="1" x14ac:dyDescent="0.25">
      <c r="A363" s="962"/>
      <c r="B363" s="502" t="s">
        <v>1968</v>
      </c>
      <c r="C363" s="503"/>
      <c r="D363" s="903"/>
      <c r="E363" s="1031" t="s">
        <v>318</v>
      </c>
      <c r="F363" s="557">
        <v>6</v>
      </c>
      <c r="G363" s="558">
        <v>1.8</v>
      </c>
      <c r="H363" s="559">
        <f>F363*G363</f>
        <v>10.8</v>
      </c>
      <c r="I363" s="857">
        <v>6</v>
      </c>
      <c r="J363" s="857">
        <v>1.8</v>
      </c>
      <c r="K363" s="857">
        <f>I363*J363</f>
        <v>10.8</v>
      </c>
      <c r="L363" s="857">
        <v>6</v>
      </c>
      <c r="M363" s="857">
        <v>1.8</v>
      </c>
      <c r="N363" s="857">
        <f>L363*M363</f>
        <v>10.8</v>
      </c>
      <c r="O363" s="857">
        <v>6</v>
      </c>
      <c r="P363" s="857">
        <v>1.8</v>
      </c>
      <c r="Q363" s="857">
        <f>P363*O363</f>
        <v>10.8</v>
      </c>
      <c r="R363" s="857">
        <f t="shared" si="62"/>
        <v>10.8</v>
      </c>
      <c r="S363" s="857"/>
      <c r="T363" s="857">
        <v>6</v>
      </c>
      <c r="U363" s="857">
        <v>1.8</v>
      </c>
      <c r="V363" s="857">
        <f>U363*T363</f>
        <v>10.8</v>
      </c>
      <c r="W363" s="857">
        <v>6</v>
      </c>
      <c r="X363" s="857">
        <v>1.8</v>
      </c>
      <c r="Y363" s="857">
        <f>X363*W363</f>
        <v>10.8</v>
      </c>
      <c r="Z363" s="559">
        <f t="shared" si="63"/>
        <v>0</v>
      </c>
      <c r="AA363" s="559">
        <f t="shared" si="61"/>
        <v>100</v>
      </c>
      <c r="AB363" s="893"/>
      <c r="AC363" s="491" t="s">
        <v>1665</v>
      </c>
      <c r="AF363" s="466"/>
      <c r="AG363" s="465"/>
      <c r="AH363" s="465"/>
    </row>
    <row r="364" spans="1:34" s="498" customFormat="1" hidden="1" x14ac:dyDescent="0.25">
      <c r="A364" s="962"/>
      <c r="B364" s="502" t="s">
        <v>1366</v>
      </c>
      <c r="C364" s="501"/>
      <c r="D364" s="903"/>
      <c r="E364" s="1031" t="s">
        <v>318</v>
      </c>
      <c r="F364" s="557">
        <v>4</v>
      </c>
      <c r="G364" s="558">
        <v>1.73</v>
      </c>
      <c r="H364" s="559">
        <f>F364*G364</f>
        <v>6.9</v>
      </c>
      <c r="I364" s="857">
        <v>4</v>
      </c>
      <c r="J364" s="857">
        <v>1.7</v>
      </c>
      <c r="K364" s="857">
        <f>I364*J364</f>
        <v>6.8</v>
      </c>
      <c r="L364" s="857">
        <v>4</v>
      </c>
      <c r="M364" s="857">
        <v>1.7</v>
      </c>
      <c r="N364" s="857">
        <f>L364*M364</f>
        <v>6.8</v>
      </c>
      <c r="O364" s="857">
        <v>4</v>
      </c>
      <c r="P364" s="857">
        <v>1.7</v>
      </c>
      <c r="Q364" s="857">
        <f>P364*O364</f>
        <v>6.8</v>
      </c>
      <c r="R364" s="857">
        <f t="shared" si="62"/>
        <v>6.8</v>
      </c>
      <c r="S364" s="857"/>
      <c r="T364" s="857">
        <v>4</v>
      </c>
      <c r="U364" s="857">
        <v>1.7</v>
      </c>
      <c r="V364" s="857">
        <f>U364*T364</f>
        <v>6.8</v>
      </c>
      <c r="W364" s="857">
        <v>4</v>
      </c>
      <c r="X364" s="857">
        <v>1.7</v>
      </c>
      <c r="Y364" s="857">
        <f>X364*W364</f>
        <v>6.8</v>
      </c>
      <c r="Z364" s="559">
        <f t="shared" si="63"/>
        <v>0</v>
      </c>
      <c r="AA364" s="559">
        <f t="shared" si="61"/>
        <v>100</v>
      </c>
      <c r="AB364" s="893"/>
      <c r="AC364" s="491" t="s">
        <v>1665</v>
      </c>
      <c r="AF364" s="466"/>
      <c r="AG364" s="465"/>
      <c r="AH364" s="465"/>
    </row>
    <row r="365" spans="1:34" s="498" customFormat="1" hidden="1" x14ac:dyDescent="0.25">
      <c r="A365" s="962"/>
      <c r="B365" s="502" t="s">
        <v>1825</v>
      </c>
      <c r="C365" s="501"/>
      <c r="D365" s="903"/>
      <c r="E365" s="1031"/>
      <c r="F365" s="557"/>
      <c r="G365" s="558"/>
      <c r="H365" s="559"/>
      <c r="I365" s="857">
        <v>1</v>
      </c>
      <c r="J365" s="857">
        <v>1.5</v>
      </c>
      <c r="K365" s="857">
        <f>I365*J365</f>
        <v>1.5</v>
      </c>
      <c r="L365" s="857">
        <v>1</v>
      </c>
      <c r="M365" s="857">
        <v>1.5</v>
      </c>
      <c r="N365" s="857">
        <f>L365*M365</f>
        <v>1.5</v>
      </c>
      <c r="O365" s="857"/>
      <c r="P365" s="857"/>
      <c r="Q365" s="857"/>
      <c r="R365" s="857">
        <f t="shared" si="62"/>
        <v>0</v>
      </c>
      <c r="S365" s="857"/>
      <c r="T365" s="857"/>
      <c r="U365" s="857"/>
      <c r="V365" s="857"/>
      <c r="W365" s="857"/>
      <c r="X365" s="857"/>
      <c r="Y365" s="857"/>
      <c r="Z365" s="559">
        <f t="shared" si="63"/>
        <v>-1.5</v>
      </c>
      <c r="AA365" s="559">
        <f t="shared" si="61"/>
        <v>0</v>
      </c>
      <c r="AB365" s="1924"/>
      <c r="AC365" s="491" t="s">
        <v>1665</v>
      </c>
      <c r="AF365" s="466"/>
      <c r="AG365" s="465"/>
      <c r="AH365" s="465"/>
    </row>
    <row r="366" spans="1:34" s="498" customFormat="1" hidden="1" x14ac:dyDescent="0.25">
      <c r="A366" s="962"/>
      <c r="B366" s="1885" t="s">
        <v>1969</v>
      </c>
      <c r="C366" s="826"/>
      <c r="D366" s="1926"/>
      <c r="E366" s="1930" t="s">
        <v>318</v>
      </c>
      <c r="F366" s="1929"/>
      <c r="G366" s="1929"/>
      <c r="H366" s="1929"/>
      <c r="I366" s="1929"/>
      <c r="J366" s="1929"/>
      <c r="K366" s="1929"/>
      <c r="L366" s="1929"/>
      <c r="M366" s="1941"/>
      <c r="N366" s="1929"/>
      <c r="O366" s="1929">
        <v>1</v>
      </c>
      <c r="P366" s="1929">
        <v>3.5</v>
      </c>
      <c r="Q366" s="1942">
        <f>O366*P366</f>
        <v>3.5</v>
      </c>
      <c r="R366" s="1942">
        <f t="shared" si="62"/>
        <v>3.5</v>
      </c>
      <c r="S366" s="1942"/>
      <c r="T366" s="1929">
        <v>1</v>
      </c>
      <c r="U366" s="1929">
        <v>3.5</v>
      </c>
      <c r="V366" s="1942">
        <f>T366*U366</f>
        <v>3.5</v>
      </c>
      <c r="W366" s="1929">
        <v>1</v>
      </c>
      <c r="X366" s="1929">
        <v>3.5</v>
      </c>
      <c r="Y366" s="1942">
        <f>W366*X366</f>
        <v>3.5</v>
      </c>
      <c r="Z366" s="1929">
        <f t="shared" si="63"/>
        <v>3.5</v>
      </c>
      <c r="AA366" s="1929" t="str">
        <f t="shared" si="61"/>
        <v>-</v>
      </c>
      <c r="AB366" s="3514" t="s">
        <v>1885</v>
      </c>
      <c r="AC366" s="491" t="s">
        <v>1665</v>
      </c>
      <c r="AF366" s="466"/>
      <c r="AG366" s="465"/>
      <c r="AH366" s="465"/>
    </row>
    <row r="367" spans="1:34" s="498" customFormat="1" hidden="1" x14ac:dyDescent="0.25">
      <c r="A367" s="962"/>
      <c r="B367" s="1885" t="s">
        <v>1970</v>
      </c>
      <c r="C367" s="826"/>
      <c r="D367" s="1926"/>
      <c r="E367" s="1930" t="s">
        <v>318</v>
      </c>
      <c r="F367" s="1929"/>
      <c r="G367" s="1929"/>
      <c r="H367" s="1929"/>
      <c r="I367" s="1929"/>
      <c r="J367" s="1929"/>
      <c r="K367" s="1929"/>
      <c r="L367" s="1929"/>
      <c r="M367" s="1941"/>
      <c r="N367" s="1929"/>
      <c r="O367" s="1929">
        <v>1</v>
      </c>
      <c r="P367" s="1929">
        <v>3.5</v>
      </c>
      <c r="Q367" s="1942">
        <f>O367*P367</f>
        <v>3.5</v>
      </c>
      <c r="R367" s="1942">
        <f t="shared" si="62"/>
        <v>3.5</v>
      </c>
      <c r="S367" s="1942"/>
      <c r="T367" s="1929">
        <v>1</v>
      </c>
      <c r="U367" s="1929">
        <v>3.5</v>
      </c>
      <c r="V367" s="1942">
        <f>T367*U367</f>
        <v>3.5</v>
      </c>
      <c r="W367" s="1929">
        <v>1</v>
      </c>
      <c r="X367" s="1929">
        <v>3.5</v>
      </c>
      <c r="Y367" s="1942">
        <f>W367*X367</f>
        <v>3.5</v>
      </c>
      <c r="Z367" s="1929">
        <f t="shared" si="63"/>
        <v>3.5</v>
      </c>
      <c r="AA367" s="1929" t="str">
        <f t="shared" si="61"/>
        <v>-</v>
      </c>
      <c r="AB367" s="3516"/>
      <c r="AC367" s="491" t="s">
        <v>1665</v>
      </c>
      <c r="AF367" s="466"/>
      <c r="AG367" s="465"/>
      <c r="AH367" s="465"/>
    </row>
    <row r="368" spans="1:34" s="498" customFormat="1" hidden="1" x14ac:dyDescent="0.25">
      <c r="A368" s="962"/>
      <c r="B368" s="502" t="s">
        <v>1971</v>
      </c>
      <c r="C368" s="503"/>
      <c r="D368" s="903"/>
      <c r="E368" s="1031"/>
      <c r="F368" s="557"/>
      <c r="G368" s="558"/>
      <c r="H368" s="559">
        <v>4.7</v>
      </c>
      <c r="I368" s="857"/>
      <c r="J368" s="857"/>
      <c r="K368" s="857">
        <f>(K362+K363+K364+K365)*27.1/100</f>
        <v>6.1</v>
      </c>
      <c r="L368" s="857"/>
      <c r="M368" s="857"/>
      <c r="N368" s="857">
        <f>(N362+N363+N364+N365)*27.1/100</f>
        <v>6.1</v>
      </c>
      <c r="O368" s="857"/>
      <c r="P368" s="857"/>
      <c r="Q368" s="857">
        <f>SUM(Q362:Q367)*0.271</f>
        <v>7.6</v>
      </c>
      <c r="R368" s="857">
        <f t="shared" si="62"/>
        <v>7.6</v>
      </c>
      <c r="S368" s="857"/>
      <c r="T368" s="857"/>
      <c r="U368" s="857"/>
      <c r="V368" s="857">
        <f>SUM(V362:V367)*0.271</f>
        <v>7.6</v>
      </c>
      <c r="W368" s="857"/>
      <c r="X368" s="857"/>
      <c r="Y368" s="857">
        <f>SUM(Y362:Y367)*0.271</f>
        <v>7.6</v>
      </c>
      <c r="Z368" s="559">
        <f t="shared" si="63"/>
        <v>1.5</v>
      </c>
      <c r="AA368" s="559">
        <f t="shared" si="61"/>
        <v>124.6</v>
      </c>
      <c r="AB368" s="893"/>
      <c r="AC368" s="491" t="s">
        <v>1665</v>
      </c>
      <c r="AF368" s="466"/>
      <c r="AG368" s="465"/>
      <c r="AH368" s="465"/>
    </row>
    <row r="369" spans="1:34" s="492" customFormat="1" ht="25.5" hidden="1" x14ac:dyDescent="0.2">
      <c r="A369" s="1240"/>
      <c r="B369" s="500" t="s">
        <v>1972</v>
      </c>
      <c r="C369" s="501" t="s">
        <v>800</v>
      </c>
      <c r="D369" s="932"/>
      <c r="E369" s="842" t="s">
        <v>227</v>
      </c>
      <c r="F369" s="828">
        <v>1</v>
      </c>
      <c r="G369" s="829">
        <v>3.5</v>
      </c>
      <c r="H369" s="542">
        <f>F369*G369</f>
        <v>3.5</v>
      </c>
      <c r="I369" s="533">
        <v>1</v>
      </c>
      <c r="J369" s="533">
        <v>3.5</v>
      </c>
      <c r="K369" s="533">
        <f>I369*J369</f>
        <v>3.5</v>
      </c>
      <c r="L369" s="533">
        <v>1</v>
      </c>
      <c r="M369" s="533">
        <v>3.5</v>
      </c>
      <c r="N369" s="533">
        <f>L369*M369</f>
        <v>3.5</v>
      </c>
      <c r="O369" s="533">
        <v>1</v>
      </c>
      <c r="P369" s="533">
        <v>3.5</v>
      </c>
      <c r="Q369" s="533">
        <f>O369*P369</f>
        <v>3.5</v>
      </c>
      <c r="R369" s="533">
        <f t="shared" si="62"/>
        <v>3.5</v>
      </c>
      <c r="S369" s="533"/>
      <c r="T369" s="533">
        <v>1</v>
      </c>
      <c r="U369" s="533">
        <v>3.5</v>
      </c>
      <c r="V369" s="533">
        <f>T369*U369</f>
        <v>3.5</v>
      </c>
      <c r="W369" s="533">
        <v>1</v>
      </c>
      <c r="X369" s="533">
        <v>3.5</v>
      </c>
      <c r="Y369" s="533">
        <f>W369*X369</f>
        <v>3.5</v>
      </c>
      <c r="Z369" s="542">
        <f t="shared" si="63"/>
        <v>0</v>
      </c>
      <c r="AA369" s="542">
        <f t="shared" si="61"/>
        <v>100</v>
      </c>
      <c r="AB369" s="893"/>
      <c r="AC369" s="491" t="s">
        <v>1665</v>
      </c>
      <c r="AF369" s="466"/>
      <c r="AG369" s="466"/>
      <c r="AH369" s="466"/>
    </row>
    <row r="370" spans="1:34" s="492" customFormat="1" ht="14.25" hidden="1" x14ac:dyDescent="0.2">
      <c r="A370" s="1240"/>
      <c r="B370" s="865" t="s">
        <v>1973</v>
      </c>
      <c r="C370" s="501" t="s">
        <v>797</v>
      </c>
      <c r="D370" s="932"/>
      <c r="E370" s="842" t="s">
        <v>227</v>
      </c>
      <c r="F370" s="828">
        <v>34</v>
      </c>
      <c r="G370" s="829">
        <v>0.1</v>
      </c>
      <c r="H370" s="542">
        <f>F370*G370</f>
        <v>3.4</v>
      </c>
      <c r="I370" s="533">
        <v>34</v>
      </c>
      <c r="J370" s="533">
        <v>0.1</v>
      </c>
      <c r="K370" s="533">
        <f>I370*J370</f>
        <v>3.4</v>
      </c>
      <c r="L370" s="533">
        <v>34</v>
      </c>
      <c r="M370" s="533">
        <v>0.1</v>
      </c>
      <c r="N370" s="533">
        <f>L370*M370</f>
        <v>3.4</v>
      </c>
      <c r="O370" s="533">
        <v>30</v>
      </c>
      <c r="P370" s="533">
        <v>0.1</v>
      </c>
      <c r="Q370" s="533">
        <f>O370*P370</f>
        <v>3</v>
      </c>
      <c r="R370" s="533">
        <f t="shared" si="62"/>
        <v>3</v>
      </c>
      <c r="S370" s="533"/>
      <c r="T370" s="533">
        <v>30</v>
      </c>
      <c r="U370" s="533">
        <v>0.1</v>
      </c>
      <c r="V370" s="533">
        <f>T370*U370</f>
        <v>3</v>
      </c>
      <c r="W370" s="533">
        <v>30</v>
      </c>
      <c r="X370" s="533">
        <v>0.1</v>
      </c>
      <c r="Y370" s="533">
        <f>W370*X370</f>
        <v>3</v>
      </c>
      <c r="Z370" s="542">
        <f t="shared" si="63"/>
        <v>-0.4</v>
      </c>
      <c r="AA370" s="542">
        <f t="shared" ref="AA370:AA395" si="64">IFERROR(Q370/K370*100,"-")</f>
        <v>88.2</v>
      </c>
      <c r="AB370" s="893"/>
      <c r="AC370" s="491" t="s">
        <v>1665</v>
      </c>
      <c r="AF370" s="466"/>
      <c r="AG370" s="466"/>
      <c r="AH370" s="466"/>
    </row>
    <row r="371" spans="1:34" s="492" customFormat="1" ht="14.25" hidden="1" x14ac:dyDescent="0.2">
      <c r="A371" s="1240"/>
      <c r="B371" s="865" t="s">
        <v>1226</v>
      </c>
      <c r="C371" s="508" t="s">
        <v>797</v>
      </c>
      <c r="D371" s="932"/>
      <c r="E371" s="842"/>
      <c r="F371" s="828"/>
      <c r="G371" s="829"/>
      <c r="H371" s="542">
        <f>SUM(H372:H373)</f>
        <v>13.6</v>
      </c>
      <c r="I371" s="533"/>
      <c r="J371" s="533"/>
      <c r="K371" s="533">
        <f>SUM(K372:K373)</f>
        <v>7.5</v>
      </c>
      <c r="L371" s="533"/>
      <c r="M371" s="533"/>
      <c r="N371" s="533">
        <f>SUM(N372:N373)</f>
        <v>7.5</v>
      </c>
      <c r="O371" s="533"/>
      <c r="P371" s="533"/>
      <c r="Q371" s="533">
        <f>SUM(Q372:Q373)</f>
        <v>7.5</v>
      </c>
      <c r="R371" s="533">
        <f t="shared" si="62"/>
        <v>7.5</v>
      </c>
      <c r="S371" s="533"/>
      <c r="T371" s="533"/>
      <c r="U371" s="533"/>
      <c r="V371" s="533">
        <f>SUM(V372:V373)</f>
        <v>7.5</v>
      </c>
      <c r="W371" s="533"/>
      <c r="X371" s="533"/>
      <c r="Y371" s="533">
        <f>SUM(Y372:Y373)</f>
        <v>7.5</v>
      </c>
      <c r="Z371" s="542">
        <f t="shared" si="63"/>
        <v>0</v>
      </c>
      <c r="AA371" s="542">
        <f t="shared" si="64"/>
        <v>100</v>
      </c>
      <c r="AB371" s="893"/>
      <c r="AC371" s="491" t="s">
        <v>1665</v>
      </c>
      <c r="AF371" s="466"/>
      <c r="AG371" s="466"/>
      <c r="AH371" s="466"/>
    </row>
    <row r="372" spans="1:34" s="498" customFormat="1" hidden="1" x14ac:dyDescent="0.25">
      <c r="A372" s="962"/>
      <c r="B372" s="502" t="s">
        <v>1974</v>
      </c>
      <c r="C372" s="503"/>
      <c r="D372" s="903"/>
      <c r="E372" s="1031" t="s">
        <v>227</v>
      </c>
      <c r="F372" s="557">
        <v>15</v>
      </c>
      <c r="G372" s="558">
        <v>0.6</v>
      </c>
      <c r="H372" s="559">
        <f>F372*G372</f>
        <v>9</v>
      </c>
      <c r="I372" s="857">
        <v>15</v>
      </c>
      <c r="J372" s="857">
        <v>0.3</v>
      </c>
      <c r="K372" s="857">
        <f>I372*J372</f>
        <v>4.5</v>
      </c>
      <c r="L372" s="857">
        <v>15</v>
      </c>
      <c r="M372" s="857">
        <v>0.3</v>
      </c>
      <c r="N372" s="857">
        <f>L372*M372</f>
        <v>4.5</v>
      </c>
      <c r="O372" s="857">
        <v>15</v>
      </c>
      <c r="P372" s="857">
        <v>0.3</v>
      </c>
      <c r="Q372" s="857">
        <f>O372*P372</f>
        <v>4.5</v>
      </c>
      <c r="R372" s="857">
        <f t="shared" si="62"/>
        <v>4.5</v>
      </c>
      <c r="S372" s="857"/>
      <c r="T372" s="857">
        <v>15</v>
      </c>
      <c r="U372" s="857">
        <v>0.3</v>
      </c>
      <c r="V372" s="857">
        <f>T372*U372</f>
        <v>4.5</v>
      </c>
      <c r="W372" s="857">
        <v>15</v>
      </c>
      <c r="X372" s="857">
        <v>0.3</v>
      </c>
      <c r="Y372" s="857">
        <f>W372*X372</f>
        <v>4.5</v>
      </c>
      <c r="Z372" s="559">
        <f t="shared" si="63"/>
        <v>0</v>
      </c>
      <c r="AA372" s="559">
        <f t="shared" si="64"/>
        <v>100</v>
      </c>
      <c r="AB372" s="893"/>
      <c r="AC372" s="491" t="s">
        <v>1665</v>
      </c>
      <c r="AF372" s="466"/>
      <c r="AG372" s="465"/>
      <c r="AH372" s="465"/>
    </row>
    <row r="373" spans="1:34" s="498" customFormat="1" hidden="1" x14ac:dyDescent="0.25">
      <c r="A373" s="962"/>
      <c r="B373" s="502" t="s">
        <v>1909</v>
      </c>
      <c r="C373" s="503"/>
      <c r="D373" s="903"/>
      <c r="E373" s="1031" t="s">
        <v>1240</v>
      </c>
      <c r="F373" s="557">
        <v>23</v>
      </c>
      <c r="G373" s="558">
        <v>0.2</v>
      </c>
      <c r="H373" s="559">
        <f>F373*G373</f>
        <v>4.5999999999999996</v>
      </c>
      <c r="I373" s="857">
        <v>15</v>
      </c>
      <c r="J373" s="857">
        <v>0.2</v>
      </c>
      <c r="K373" s="857">
        <f>I373*J373</f>
        <v>3</v>
      </c>
      <c r="L373" s="857">
        <v>15</v>
      </c>
      <c r="M373" s="857">
        <v>0.2</v>
      </c>
      <c r="N373" s="857">
        <f>L373*M373</f>
        <v>3</v>
      </c>
      <c r="O373" s="857">
        <v>15</v>
      </c>
      <c r="P373" s="857">
        <v>0.2</v>
      </c>
      <c r="Q373" s="857">
        <f>O373*P373</f>
        <v>3</v>
      </c>
      <c r="R373" s="857">
        <f t="shared" si="62"/>
        <v>3</v>
      </c>
      <c r="S373" s="857"/>
      <c r="T373" s="857">
        <v>15</v>
      </c>
      <c r="U373" s="857">
        <v>0.2</v>
      </c>
      <c r="V373" s="857">
        <f>T373*U373</f>
        <v>3</v>
      </c>
      <c r="W373" s="857">
        <v>15</v>
      </c>
      <c r="X373" s="857">
        <v>0.2</v>
      </c>
      <c r="Y373" s="857">
        <f>W373*X373</f>
        <v>3</v>
      </c>
      <c r="Z373" s="559">
        <f t="shared" si="63"/>
        <v>0</v>
      </c>
      <c r="AA373" s="559">
        <f t="shared" si="64"/>
        <v>100</v>
      </c>
      <c r="AB373" s="893"/>
      <c r="AC373" s="491" t="s">
        <v>1665</v>
      </c>
      <c r="AF373" s="466"/>
      <c r="AG373" s="465"/>
      <c r="AH373" s="465"/>
    </row>
    <row r="374" spans="1:34" s="492" customFormat="1" ht="14.25" x14ac:dyDescent="0.2">
      <c r="A374" s="1240"/>
      <c r="B374" s="500" t="s">
        <v>1227</v>
      </c>
      <c r="C374" s="501" t="s">
        <v>1237</v>
      </c>
      <c r="D374" s="932"/>
      <c r="E374" s="842" t="s">
        <v>1829</v>
      </c>
      <c r="F374" s="828">
        <v>3</v>
      </c>
      <c r="G374" s="829">
        <v>2.5</v>
      </c>
      <c r="H374" s="542">
        <f>F374*G374</f>
        <v>7.5</v>
      </c>
      <c r="I374" s="533">
        <v>3</v>
      </c>
      <c r="J374" s="533">
        <v>2.5</v>
      </c>
      <c r="K374" s="533">
        <f>I374*J374</f>
        <v>7.5</v>
      </c>
      <c r="L374" s="533">
        <v>3</v>
      </c>
      <c r="M374" s="533">
        <v>2.5</v>
      </c>
      <c r="N374" s="533">
        <f>L374*M374</f>
        <v>7.5</v>
      </c>
      <c r="O374" s="533">
        <v>3</v>
      </c>
      <c r="P374" s="533">
        <v>2.5</v>
      </c>
      <c r="Q374" s="533">
        <f>O374*P374</f>
        <v>7.5</v>
      </c>
      <c r="R374" s="533">
        <f t="shared" si="62"/>
        <v>7.5</v>
      </c>
      <c r="S374" s="533"/>
      <c r="T374" s="533">
        <v>3</v>
      </c>
      <c r="U374" s="533">
        <v>2.5</v>
      </c>
      <c r="V374" s="533">
        <f>T374*U374</f>
        <v>7.5</v>
      </c>
      <c r="W374" s="533">
        <v>3</v>
      </c>
      <c r="X374" s="533">
        <v>2.5</v>
      </c>
      <c r="Y374" s="533">
        <f>W374*X374</f>
        <v>7.5</v>
      </c>
      <c r="Z374" s="542">
        <f t="shared" si="63"/>
        <v>0</v>
      </c>
      <c r="AA374" s="542">
        <f t="shared" si="64"/>
        <v>100</v>
      </c>
      <c r="AB374" s="893"/>
      <c r="AC374" s="491" t="s">
        <v>1665</v>
      </c>
      <c r="AF374" s="466"/>
      <c r="AG374" s="466"/>
      <c r="AH374" s="466"/>
    </row>
    <row r="375" spans="1:34" s="871" customFormat="1" ht="14.25" hidden="1" x14ac:dyDescent="0.2">
      <c r="A375" s="869"/>
      <c r="B375" s="917" t="s">
        <v>1375</v>
      </c>
      <c r="C375" s="868"/>
      <c r="D375" s="869"/>
      <c r="E375" s="870"/>
      <c r="F375" s="918"/>
      <c r="G375" s="919"/>
      <c r="H375" s="886">
        <f>H380+H386+H392+H393+H394+H395</f>
        <v>116.5</v>
      </c>
      <c r="I375" s="886"/>
      <c r="J375" s="886"/>
      <c r="K375" s="886">
        <f>K380+K386+K392+K393+K394+K395</f>
        <v>69.400000000000006</v>
      </c>
      <c r="L375" s="886"/>
      <c r="M375" s="886"/>
      <c r="N375" s="886">
        <f>N380+N386+N392+N393+N394+N395</f>
        <v>69.400000000000006</v>
      </c>
      <c r="O375" s="886"/>
      <c r="P375" s="886"/>
      <c r="Q375" s="886">
        <f>Q376+Q380+Q386+Q392+Q393+Q394+Q395</f>
        <v>137.9</v>
      </c>
      <c r="R375" s="886">
        <f t="shared" si="62"/>
        <v>137.9</v>
      </c>
      <c r="S375" s="886"/>
      <c r="T375" s="886"/>
      <c r="U375" s="886"/>
      <c r="V375" s="886">
        <f>V376+V380+V386+V392+V393+V394+V395</f>
        <v>143.69999999999999</v>
      </c>
      <c r="W375" s="886"/>
      <c r="X375" s="886"/>
      <c r="Y375" s="886">
        <f>Y376+Y380+Y386+Y392+Y393+Y394+Y395</f>
        <v>143.69999999999999</v>
      </c>
      <c r="Z375" s="886">
        <f t="shared" si="63"/>
        <v>68.5</v>
      </c>
      <c r="AA375" s="886">
        <f t="shared" si="64"/>
        <v>198.7</v>
      </c>
      <c r="AB375" s="896"/>
      <c r="AC375" s="920" t="s">
        <v>1665</v>
      </c>
      <c r="AF375" s="872"/>
      <c r="AG375" s="872"/>
      <c r="AH375" s="872"/>
    </row>
    <row r="376" spans="1:34" s="492" customFormat="1" ht="14.25" hidden="1" x14ac:dyDescent="0.2">
      <c r="A376" s="1240"/>
      <c r="B376" s="500" t="s">
        <v>1233</v>
      </c>
      <c r="C376" s="501" t="s">
        <v>1230</v>
      </c>
      <c r="D376" s="1240"/>
      <c r="E376" s="842"/>
      <c r="F376" s="828"/>
      <c r="G376" s="829"/>
      <c r="H376" s="542"/>
      <c r="I376" s="542"/>
      <c r="J376" s="542"/>
      <c r="K376" s="542"/>
      <c r="L376" s="542"/>
      <c r="M376" s="542"/>
      <c r="N376" s="542"/>
      <c r="O376" s="533"/>
      <c r="P376" s="533"/>
      <c r="Q376" s="533">
        <f>SUM(Q377:Q379)</f>
        <v>6.4</v>
      </c>
      <c r="R376" s="533">
        <f t="shared" si="62"/>
        <v>6.4</v>
      </c>
      <c r="S376" s="533"/>
      <c r="T376" s="533"/>
      <c r="U376" s="533"/>
      <c r="V376" s="533">
        <f>SUM(V377:V379)</f>
        <v>12.2</v>
      </c>
      <c r="W376" s="533"/>
      <c r="X376" s="533"/>
      <c r="Y376" s="533">
        <f>SUM(Y377:Y379)</f>
        <v>12.2</v>
      </c>
      <c r="Z376" s="542">
        <f t="shared" si="63"/>
        <v>6.4</v>
      </c>
      <c r="AA376" s="542" t="str">
        <f t="shared" si="64"/>
        <v>-</v>
      </c>
      <c r="AB376" s="893"/>
      <c r="AC376" s="491" t="s">
        <v>1665</v>
      </c>
      <c r="AF376" s="466"/>
      <c r="AG376" s="466"/>
      <c r="AH376" s="466"/>
    </row>
    <row r="377" spans="1:34" s="492" customFormat="1" ht="38.25" hidden="1" x14ac:dyDescent="0.2">
      <c r="A377" s="1240"/>
      <c r="B377" s="502" t="s">
        <v>1975</v>
      </c>
      <c r="C377" s="501"/>
      <c r="D377" s="1240"/>
      <c r="E377" s="842"/>
      <c r="F377" s="828"/>
      <c r="G377" s="829"/>
      <c r="H377" s="542"/>
      <c r="I377" s="542"/>
      <c r="J377" s="542"/>
      <c r="K377" s="542"/>
      <c r="L377" s="542"/>
      <c r="M377" s="542"/>
      <c r="N377" s="542"/>
      <c r="O377" s="559">
        <v>1</v>
      </c>
      <c r="P377" s="559">
        <v>5</v>
      </c>
      <c r="Q377" s="857">
        <f>O377*P377</f>
        <v>5</v>
      </c>
      <c r="R377" s="857">
        <f t="shared" si="62"/>
        <v>5</v>
      </c>
      <c r="S377" s="857"/>
      <c r="T377" s="559">
        <v>1</v>
      </c>
      <c r="U377" s="559">
        <v>5</v>
      </c>
      <c r="V377" s="857">
        <f>T377*U377</f>
        <v>5</v>
      </c>
      <c r="W377" s="559">
        <v>1</v>
      </c>
      <c r="X377" s="559">
        <v>5</v>
      </c>
      <c r="Y377" s="857">
        <f>W377*X377</f>
        <v>5</v>
      </c>
      <c r="Z377" s="542">
        <f t="shared" si="63"/>
        <v>5</v>
      </c>
      <c r="AA377" s="542" t="str">
        <f t="shared" si="64"/>
        <v>-</v>
      </c>
      <c r="AB377" s="843" t="s">
        <v>1976</v>
      </c>
      <c r="AC377" s="491" t="s">
        <v>1665</v>
      </c>
      <c r="AF377" s="466"/>
      <c r="AG377" s="466"/>
      <c r="AH377" s="466"/>
    </row>
    <row r="378" spans="1:34" s="492" customFormat="1" ht="14.25" hidden="1" x14ac:dyDescent="0.2">
      <c r="A378" s="1240"/>
      <c r="B378" s="502" t="s">
        <v>1761</v>
      </c>
      <c r="C378" s="501"/>
      <c r="D378" s="1240"/>
      <c r="E378" s="842"/>
      <c r="F378" s="828"/>
      <c r="G378" s="829"/>
      <c r="H378" s="542"/>
      <c r="I378" s="542"/>
      <c r="J378" s="542"/>
      <c r="K378" s="542"/>
      <c r="L378" s="542"/>
      <c r="M378" s="542"/>
      <c r="N378" s="542"/>
      <c r="O378" s="559"/>
      <c r="P378" s="559"/>
      <c r="Q378" s="857"/>
      <c r="R378" s="857">
        <f t="shared" si="62"/>
        <v>0</v>
      </c>
      <c r="S378" s="857"/>
      <c r="T378" s="559">
        <v>2</v>
      </c>
      <c r="U378" s="559">
        <v>2.2999999999999998</v>
      </c>
      <c r="V378" s="857">
        <f>T378*U378</f>
        <v>4.5999999999999996</v>
      </c>
      <c r="W378" s="559">
        <v>2</v>
      </c>
      <c r="X378" s="559">
        <v>2.2999999999999998</v>
      </c>
      <c r="Y378" s="857">
        <f>W378*X378</f>
        <v>4.5999999999999996</v>
      </c>
      <c r="Z378" s="542">
        <f t="shared" si="63"/>
        <v>0</v>
      </c>
      <c r="AA378" s="542" t="str">
        <f t="shared" si="64"/>
        <v>-</v>
      </c>
      <c r="AB378" s="1887"/>
      <c r="AC378" s="491" t="s">
        <v>1665</v>
      </c>
      <c r="AF378" s="466"/>
      <c r="AG378" s="466"/>
      <c r="AH378" s="466"/>
    </row>
    <row r="379" spans="1:34" s="492" customFormat="1" ht="14.25" hidden="1" x14ac:dyDescent="0.2">
      <c r="A379" s="1240"/>
      <c r="B379" s="502" t="s">
        <v>1971</v>
      </c>
      <c r="C379" s="501"/>
      <c r="D379" s="1240"/>
      <c r="E379" s="842"/>
      <c r="F379" s="828"/>
      <c r="G379" s="829"/>
      <c r="H379" s="542"/>
      <c r="I379" s="542"/>
      <c r="J379" s="542"/>
      <c r="K379" s="542"/>
      <c r="L379" s="542"/>
      <c r="M379" s="542"/>
      <c r="N379" s="542"/>
      <c r="O379" s="857"/>
      <c r="P379" s="857"/>
      <c r="Q379" s="857">
        <f>(Q377+Q378)*27.1/100</f>
        <v>1.4</v>
      </c>
      <c r="R379" s="857">
        <f t="shared" si="62"/>
        <v>1.4</v>
      </c>
      <c r="S379" s="857"/>
      <c r="T379" s="857"/>
      <c r="U379" s="857"/>
      <c r="V379" s="857">
        <f>(V377+V378)*27.1/100</f>
        <v>2.6</v>
      </c>
      <c r="W379" s="857"/>
      <c r="X379" s="857"/>
      <c r="Y379" s="857">
        <f>(Y377+Y378)*27.1/100</f>
        <v>2.6</v>
      </c>
      <c r="Z379" s="542">
        <f t="shared" si="63"/>
        <v>1.4</v>
      </c>
      <c r="AA379" s="542" t="str">
        <f t="shared" si="64"/>
        <v>-</v>
      </c>
      <c r="AB379" s="893"/>
      <c r="AC379" s="491" t="s">
        <v>1665</v>
      </c>
      <c r="AF379" s="466"/>
      <c r="AG379" s="466"/>
      <c r="AH379" s="466"/>
    </row>
    <row r="380" spans="1:34" s="492" customFormat="1" ht="14.25" hidden="1" x14ac:dyDescent="0.2">
      <c r="A380" s="1240"/>
      <c r="B380" s="500" t="s">
        <v>1226</v>
      </c>
      <c r="C380" s="501" t="s">
        <v>797</v>
      </c>
      <c r="D380" s="932"/>
      <c r="E380" s="842"/>
      <c r="F380" s="828"/>
      <c r="G380" s="829"/>
      <c r="H380" s="542">
        <f>SUM(H381:H383)</f>
        <v>18.100000000000001</v>
      </c>
      <c r="I380" s="533"/>
      <c r="J380" s="533"/>
      <c r="K380" s="533">
        <f>SUM(K381:K384)</f>
        <v>17</v>
      </c>
      <c r="L380" s="533"/>
      <c r="M380" s="533"/>
      <c r="N380" s="533">
        <f>SUM(N381:N384)</f>
        <v>17</v>
      </c>
      <c r="O380" s="533"/>
      <c r="P380" s="533"/>
      <c r="Q380" s="533">
        <f>SUM(Q381:Q385)</f>
        <v>15</v>
      </c>
      <c r="R380" s="533">
        <f t="shared" si="62"/>
        <v>15</v>
      </c>
      <c r="S380" s="533"/>
      <c r="T380" s="533"/>
      <c r="U380" s="533"/>
      <c r="V380" s="533">
        <f>SUM(V381:V385)</f>
        <v>15</v>
      </c>
      <c r="W380" s="533"/>
      <c r="X380" s="533"/>
      <c r="Y380" s="533">
        <f>SUM(Y381:Y385)</f>
        <v>15</v>
      </c>
      <c r="Z380" s="542">
        <f t="shared" si="63"/>
        <v>-2</v>
      </c>
      <c r="AA380" s="542">
        <f t="shared" si="64"/>
        <v>88.2</v>
      </c>
      <c r="AB380" s="901"/>
      <c r="AC380" s="491" t="s">
        <v>1665</v>
      </c>
      <c r="AF380" s="466"/>
      <c r="AG380" s="466"/>
      <c r="AH380" s="466"/>
    </row>
    <row r="381" spans="1:34" s="498" customFormat="1" hidden="1" x14ac:dyDescent="0.25">
      <c r="A381" s="962"/>
      <c r="B381" s="502" t="s">
        <v>1977</v>
      </c>
      <c r="C381" s="503"/>
      <c r="D381" s="903"/>
      <c r="E381" s="842" t="s">
        <v>227</v>
      </c>
      <c r="F381" s="557">
        <v>36</v>
      </c>
      <c r="G381" s="558">
        <v>0.25</v>
      </c>
      <c r="H381" s="559">
        <f>F381*G381</f>
        <v>9</v>
      </c>
      <c r="I381" s="857">
        <v>36</v>
      </c>
      <c r="J381" s="857">
        <v>0.3</v>
      </c>
      <c r="K381" s="857">
        <f>I381*J381</f>
        <v>10.8</v>
      </c>
      <c r="L381" s="857">
        <v>36</v>
      </c>
      <c r="M381" s="857">
        <v>0.3</v>
      </c>
      <c r="N381" s="857">
        <f>L381*M381</f>
        <v>10.8</v>
      </c>
      <c r="O381" s="857"/>
      <c r="P381" s="857"/>
      <c r="Q381" s="857"/>
      <c r="R381" s="857">
        <f t="shared" si="62"/>
        <v>0</v>
      </c>
      <c r="S381" s="857"/>
      <c r="T381" s="857"/>
      <c r="U381" s="857"/>
      <c r="V381" s="857"/>
      <c r="W381" s="857"/>
      <c r="X381" s="857"/>
      <c r="Y381" s="857"/>
      <c r="Z381" s="559">
        <f t="shared" si="63"/>
        <v>-10.8</v>
      </c>
      <c r="AA381" s="559">
        <f t="shared" si="64"/>
        <v>0</v>
      </c>
      <c r="AB381" s="901"/>
      <c r="AC381" s="491" t="s">
        <v>1665</v>
      </c>
      <c r="AF381" s="466"/>
      <c r="AG381" s="465"/>
      <c r="AH381" s="465"/>
    </row>
    <row r="382" spans="1:34" s="498" customFormat="1" hidden="1" x14ac:dyDescent="0.25">
      <c r="A382" s="962"/>
      <c r="B382" s="502" t="s">
        <v>1978</v>
      </c>
      <c r="C382" s="503"/>
      <c r="D382" s="903"/>
      <c r="E382" s="842" t="s">
        <v>1240</v>
      </c>
      <c r="F382" s="557">
        <v>23</v>
      </c>
      <c r="G382" s="558">
        <v>0.2</v>
      </c>
      <c r="H382" s="559">
        <f>F382*G382</f>
        <v>4.5999999999999996</v>
      </c>
      <c r="I382" s="857">
        <v>42</v>
      </c>
      <c r="J382" s="857">
        <v>0.1</v>
      </c>
      <c r="K382" s="857">
        <f>I382*J382</f>
        <v>4.2</v>
      </c>
      <c r="L382" s="857">
        <v>42</v>
      </c>
      <c r="M382" s="857">
        <v>0.1</v>
      </c>
      <c r="N382" s="857">
        <f>L382*M382</f>
        <v>4.2</v>
      </c>
      <c r="O382" s="857"/>
      <c r="P382" s="857"/>
      <c r="Q382" s="857"/>
      <c r="R382" s="857">
        <f t="shared" si="62"/>
        <v>0</v>
      </c>
      <c r="S382" s="857"/>
      <c r="T382" s="857"/>
      <c r="U382" s="857"/>
      <c r="V382" s="857"/>
      <c r="W382" s="857"/>
      <c r="X382" s="857"/>
      <c r="Y382" s="857"/>
      <c r="Z382" s="559">
        <f t="shared" si="63"/>
        <v>-4.2</v>
      </c>
      <c r="AA382" s="559">
        <f t="shared" si="64"/>
        <v>0</v>
      </c>
      <c r="AB382" s="893"/>
      <c r="AC382" s="491" t="s">
        <v>1665</v>
      </c>
      <c r="AF382" s="466"/>
      <c r="AG382" s="465"/>
      <c r="AH382" s="465"/>
    </row>
    <row r="383" spans="1:34" s="498" customFormat="1" hidden="1" x14ac:dyDescent="0.25">
      <c r="A383" s="962"/>
      <c r="B383" s="502" t="s">
        <v>1979</v>
      </c>
      <c r="C383" s="503"/>
      <c r="D383" s="903"/>
      <c r="E383" s="842" t="s">
        <v>227</v>
      </c>
      <c r="F383" s="557">
        <v>9</v>
      </c>
      <c r="G383" s="558">
        <v>0.5</v>
      </c>
      <c r="H383" s="559">
        <f>F383*G383</f>
        <v>4.5</v>
      </c>
      <c r="I383" s="857"/>
      <c r="J383" s="857"/>
      <c r="K383" s="857"/>
      <c r="L383" s="857"/>
      <c r="M383" s="857"/>
      <c r="N383" s="857"/>
      <c r="O383" s="857"/>
      <c r="P383" s="857"/>
      <c r="Q383" s="857"/>
      <c r="R383" s="857">
        <f t="shared" si="62"/>
        <v>0</v>
      </c>
      <c r="S383" s="857"/>
      <c r="T383" s="857"/>
      <c r="U383" s="857"/>
      <c r="V383" s="857"/>
      <c r="W383" s="857"/>
      <c r="X383" s="857"/>
      <c r="Y383" s="857"/>
      <c r="Z383" s="559">
        <f t="shared" si="63"/>
        <v>0</v>
      </c>
      <c r="AA383" s="559" t="str">
        <f t="shared" si="64"/>
        <v>-</v>
      </c>
      <c r="AB383" s="1943"/>
      <c r="AC383" s="491" t="s">
        <v>1665</v>
      </c>
      <c r="AF383" s="466"/>
      <c r="AG383" s="465"/>
      <c r="AH383" s="465"/>
    </row>
    <row r="384" spans="1:34" s="498" customFormat="1" hidden="1" x14ac:dyDescent="0.25">
      <c r="A384" s="962"/>
      <c r="B384" s="502" t="s">
        <v>1833</v>
      </c>
      <c r="C384" s="503"/>
      <c r="D384" s="903"/>
      <c r="E384" s="842"/>
      <c r="F384" s="557"/>
      <c r="G384" s="558"/>
      <c r="H384" s="559"/>
      <c r="I384" s="857">
        <v>2</v>
      </c>
      <c r="J384" s="857">
        <v>1</v>
      </c>
      <c r="K384" s="857">
        <f>I384*J384</f>
        <v>2</v>
      </c>
      <c r="L384" s="857">
        <v>2</v>
      </c>
      <c r="M384" s="857">
        <v>1</v>
      </c>
      <c r="N384" s="857">
        <f>L384*M384</f>
        <v>2</v>
      </c>
      <c r="O384" s="857"/>
      <c r="P384" s="857"/>
      <c r="Q384" s="857"/>
      <c r="R384" s="857">
        <f t="shared" si="62"/>
        <v>0</v>
      </c>
      <c r="S384" s="857"/>
      <c r="T384" s="857"/>
      <c r="U384" s="857"/>
      <c r="V384" s="857"/>
      <c r="W384" s="857"/>
      <c r="X384" s="857"/>
      <c r="Y384" s="857"/>
      <c r="Z384" s="559">
        <f t="shared" si="63"/>
        <v>-2</v>
      </c>
      <c r="AA384" s="559">
        <f t="shared" si="64"/>
        <v>0</v>
      </c>
      <c r="AB384" s="1943"/>
      <c r="AC384" s="491" t="s">
        <v>1665</v>
      </c>
      <c r="AF384" s="466"/>
      <c r="AG384" s="465"/>
      <c r="AH384" s="465"/>
    </row>
    <row r="385" spans="1:34" s="498" customFormat="1" ht="83.25" hidden="1" customHeight="1" x14ac:dyDescent="0.25">
      <c r="A385" s="962"/>
      <c r="B385" s="502" t="s">
        <v>1980</v>
      </c>
      <c r="C385" s="503"/>
      <c r="D385" s="903"/>
      <c r="E385" s="842"/>
      <c r="F385" s="557"/>
      <c r="G385" s="558"/>
      <c r="H385" s="559"/>
      <c r="I385" s="857"/>
      <c r="J385" s="857"/>
      <c r="K385" s="857"/>
      <c r="L385" s="857"/>
      <c r="M385" s="857"/>
      <c r="N385" s="857"/>
      <c r="O385" s="857"/>
      <c r="P385" s="857"/>
      <c r="Q385" s="857">
        <v>15</v>
      </c>
      <c r="R385" s="857">
        <f t="shared" si="62"/>
        <v>15</v>
      </c>
      <c r="S385" s="857"/>
      <c r="T385" s="857"/>
      <c r="U385" s="857"/>
      <c r="V385" s="857">
        <v>15</v>
      </c>
      <c r="W385" s="857"/>
      <c r="X385" s="857"/>
      <c r="Y385" s="857">
        <v>15</v>
      </c>
      <c r="Z385" s="559">
        <f t="shared" si="63"/>
        <v>15</v>
      </c>
      <c r="AA385" s="559" t="str">
        <f t="shared" si="64"/>
        <v>-</v>
      </c>
      <c r="AB385" s="901" t="s">
        <v>1981</v>
      </c>
      <c r="AC385" s="491" t="s">
        <v>1665</v>
      </c>
      <c r="AF385" s="466"/>
      <c r="AG385" s="465"/>
      <c r="AH385" s="465"/>
    </row>
    <row r="386" spans="1:34" s="492" customFormat="1" ht="25.5" hidden="1" x14ac:dyDescent="0.2">
      <c r="A386" s="1240"/>
      <c r="B386" s="500" t="s">
        <v>1239</v>
      </c>
      <c r="C386" s="501" t="s">
        <v>797</v>
      </c>
      <c r="D386" s="932"/>
      <c r="E386" s="842"/>
      <c r="F386" s="828"/>
      <c r="G386" s="829"/>
      <c r="H386" s="542">
        <f>SUM(H387:H391)</f>
        <v>19.8</v>
      </c>
      <c r="I386" s="533"/>
      <c r="J386" s="533"/>
      <c r="K386" s="533">
        <f>SUM(K387:K391)</f>
        <v>2.2000000000000002</v>
      </c>
      <c r="L386" s="533"/>
      <c r="M386" s="533"/>
      <c r="N386" s="533">
        <f>SUM(N387:N391)</f>
        <v>2.2000000000000002</v>
      </c>
      <c r="O386" s="533"/>
      <c r="P386" s="533"/>
      <c r="Q386" s="533">
        <f>SUM(Q387:Q391)</f>
        <v>5.5</v>
      </c>
      <c r="R386" s="533">
        <f t="shared" si="62"/>
        <v>5.5</v>
      </c>
      <c r="S386" s="533"/>
      <c r="T386" s="533"/>
      <c r="U386" s="533"/>
      <c r="V386" s="533">
        <f>SUM(V387:V391)</f>
        <v>5.5</v>
      </c>
      <c r="W386" s="533"/>
      <c r="X386" s="533"/>
      <c r="Y386" s="533">
        <f>SUM(Y387:Y391)</f>
        <v>5.5</v>
      </c>
      <c r="Z386" s="542">
        <f t="shared" si="63"/>
        <v>3.3</v>
      </c>
      <c r="AA386" s="542">
        <f t="shared" si="64"/>
        <v>250</v>
      </c>
      <c r="AB386" s="1943"/>
      <c r="AC386" s="491" t="s">
        <v>1665</v>
      </c>
      <c r="AF386" s="466"/>
      <c r="AG386" s="466"/>
      <c r="AH386" s="466"/>
    </row>
    <row r="387" spans="1:34" s="498" customFormat="1" ht="114.75" hidden="1" x14ac:dyDescent="0.25">
      <c r="A387" s="962"/>
      <c r="B387" s="502" t="s">
        <v>1962</v>
      </c>
      <c r="C387" s="503"/>
      <c r="D387" s="903"/>
      <c r="E387" s="1031" t="s">
        <v>227</v>
      </c>
      <c r="F387" s="557">
        <v>40</v>
      </c>
      <c r="G387" s="558">
        <v>0.1</v>
      </c>
      <c r="H387" s="559">
        <f t="shared" ref="H387:H394" si="65">F387*G387</f>
        <v>4</v>
      </c>
      <c r="I387" s="857">
        <v>22</v>
      </c>
      <c r="J387" s="862">
        <v>0.1</v>
      </c>
      <c r="K387" s="857">
        <f t="shared" ref="K387:K393" si="66">I387*J387</f>
        <v>2.2000000000000002</v>
      </c>
      <c r="L387" s="857">
        <v>22</v>
      </c>
      <c r="M387" s="862">
        <v>0.1</v>
      </c>
      <c r="N387" s="857">
        <f>L387*M387</f>
        <v>2.2000000000000002</v>
      </c>
      <c r="O387" s="857">
        <v>25</v>
      </c>
      <c r="P387" s="857">
        <v>0.1</v>
      </c>
      <c r="Q387" s="857">
        <f>O387*P387</f>
        <v>2.5</v>
      </c>
      <c r="R387" s="857">
        <f t="shared" si="62"/>
        <v>2.5</v>
      </c>
      <c r="S387" s="857"/>
      <c r="T387" s="857">
        <v>25</v>
      </c>
      <c r="U387" s="857">
        <v>0.1</v>
      </c>
      <c r="V387" s="857">
        <f>T387*U387</f>
        <v>2.5</v>
      </c>
      <c r="W387" s="857">
        <v>25</v>
      </c>
      <c r="X387" s="857">
        <v>0.1</v>
      </c>
      <c r="Y387" s="857">
        <f>W387*X387</f>
        <v>2.5</v>
      </c>
      <c r="Z387" s="559">
        <f t="shared" si="63"/>
        <v>0.3</v>
      </c>
      <c r="AA387" s="559">
        <f t="shared" si="64"/>
        <v>113.6</v>
      </c>
      <c r="AB387" s="843" t="s">
        <v>1982</v>
      </c>
      <c r="AC387" s="491" t="s">
        <v>1665</v>
      </c>
      <c r="AF387" s="466"/>
      <c r="AG387" s="465"/>
      <c r="AH387" s="465"/>
    </row>
    <row r="388" spans="1:34" s="498" customFormat="1" hidden="1" x14ac:dyDescent="0.25">
      <c r="A388" s="962"/>
      <c r="B388" s="856" t="s">
        <v>1369</v>
      </c>
      <c r="C388" s="499"/>
      <c r="D388" s="903"/>
      <c r="E388" s="1031" t="s">
        <v>227</v>
      </c>
      <c r="F388" s="557">
        <v>4</v>
      </c>
      <c r="G388" s="558">
        <v>0.75</v>
      </c>
      <c r="H388" s="559">
        <f t="shared" si="65"/>
        <v>3</v>
      </c>
      <c r="I388" s="857"/>
      <c r="J388" s="857"/>
      <c r="K388" s="857"/>
      <c r="L388" s="857"/>
      <c r="M388" s="857"/>
      <c r="N388" s="857"/>
      <c r="O388" s="857"/>
      <c r="P388" s="857"/>
      <c r="Q388" s="857"/>
      <c r="R388" s="857">
        <f t="shared" si="62"/>
        <v>0</v>
      </c>
      <c r="S388" s="857"/>
      <c r="T388" s="857"/>
      <c r="U388" s="857"/>
      <c r="V388" s="857"/>
      <c r="W388" s="857"/>
      <c r="X388" s="857"/>
      <c r="Y388" s="857"/>
      <c r="Z388" s="559">
        <f t="shared" si="63"/>
        <v>0</v>
      </c>
      <c r="AA388" s="559" t="str">
        <f t="shared" si="64"/>
        <v>-</v>
      </c>
      <c r="AB388" s="893"/>
      <c r="AC388" s="491" t="s">
        <v>1665</v>
      </c>
      <c r="AF388" s="466"/>
      <c r="AG388" s="465"/>
      <c r="AH388" s="465"/>
    </row>
    <row r="389" spans="1:34" s="498" customFormat="1" ht="26.25" hidden="1" x14ac:dyDescent="0.25">
      <c r="A389" s="962"/>
      <c r="B389" s="856" t="s">
        <v>1692</v>
      </c>
      <c r="C389" s="499"/>
      <c r="D389" s="903"/>
      <c r="E389" s="1031" t="s">
        <v>227</v>
      </c>
      <c r="F389" s="557">
        <v>8</v>
      </c>
      <c r="G389" s="558">
        <v>0.35</v>
      </c>
      <c r="H389" s="559">
        <f t="shared" si="65"/>
        <v>2.8</v>
      </c>
      <c r="I389" s="857"/>
      <c r="J389" s="857"/>
      <c r="K389" s="857">
        <f t="shared" si="66"/>
        <v>0</v>
      </c>
      <c r="L389" s="857"/>
      <c r="M389" s="857"/>
      <c r="N389" s="857">
        <f>L389*M389</f>
        <v>0</v>
      </c>
      <c r="O389" s="857">
        <v>10</v>
      </c>
      <c r="P389" s="857">
        <v>0.3</v>
      </c>
      <c r="Q389" s="857">
        <f>O389*P389</f>
        <v>3</v>
      </c>
      <c r="R389" s="857">
        <f t="shared" si="62"/>
        <v>3</v>
      </c>
      <c r="S389" s="857"/>
      <c r="T389" s="857">
        <v>10</v>
      </c>
      <c r="U389" s="857">
        <v>0.3</v>
      </c>
      <c r="V389" s="857">
        <f>T389*U389</f>
        <v>3</v>
      </c>
      <c r="W389" s="857">
        <v>10</v>
      </c>
      <c r="X389" s="857">
        <v>0.3</v>
      </c>
      <c r="Y389" s="857">
        <f>W389*X389</f>
        <v>3</v>
      </c>
      <c r="Z389" s="559">
        <f t="shared" si="63"/>
        <v>3</v>
      </c>
      <c r="AA389" s="559" t="str">
        <f t="shared" si="64"/>
        <v>-</v>
      </c>
      <c r="AB389" s="893" t="s">
        <v>1983</v>
      </c>
      <c r="AC389" s="491" t="s">
        <v>1665</v>
      </c>
      <c r="AF389" s="466"/>
      <c r="AG389" s="465"/>
      <c r="AH389" s="465"/>
    </row>
    <row r="390" spans="1:34" s="498" customFormat="1" hidden="1" x14ac:dyDescent="0.25">
      <c r="A390" s="962"/>
      <c r="B390" s="856" t="s">
        <v>1673</v>
      </c>
      <c r="C390" s="499"/>
      <c r="D390" s="903"/>
      <c r="E390" s="1031" t="s">
        <v>227</v>
      </c>
      <c r="F390" s="557">
        <v>4</v>
      </c>
      <c r="G390" s="558">
        <v>1</v>
      </c>
      <c r="H390" s="559">
        <f t="shared" si="65"/>
        <v>4</v>
      </c>
      <c r="I390" s="857"/>
      <c r="J390" s="857"/>
      <c r="K390" s="857">
        <f t="shared" si="66"/>
        <v>0</v>
      </c>
      <c r="L390" s="857"/>
      <c r="M390" s="857"/>
      <c r="N390" s="857">
        <f>L390*M390</f>
        <v>0</v>
      </c>
      <c r="O390" s="857"/>
      <c r="P390" s="857"/>
      <c r="Q390" s="857"/>
      <c r="R390" s="857">
        <f t="shared" si="62"/>
        <v>0</v>
      </c>
      <c r="S390" s="857"/>
      <c r="T390" s="857"/>
      <c r="U390" s="857"/>
      <c r="V390" s="857"/>
      <c r="W390" s="857"/>
      <c r="X390" s="857"/>
      <c r="Y390" s="857"/>
      <c r="Z390" s="559">
        <f t="shared" si="63"/>
        <v>0</v>
      </c>
      <c r="AA390" s="559" t="str">
        <f t="shared" si="64"/>
        <v>-</v>
      </c>
      <c r="AB390" s="893"/>
      <c r="AC390" s="491" t="s">
        <v>1665</v>
      </c>
      <c r="AF390" s="466"/>
      <c r="AG390" s="465"/>
      <c r="AH390" s="465"/>
    </row>
    <row r="391" spans="1:34" s="498" customFormat="1" hidden="1" x14ac:dyDescent="0.25">
      <c r="A391" s="962"/>
      <c r="B391" s="856" t="s">
        <v>1673</v>
      </c>
      <c r="C391" s="499"/>
      <c r="D391" s="903"/>
      <c r="E391" s="1031" t="s">
        <v>227</v>
      </c>
      <c r="F391" s="557">
        <v>3</v>
      </c>
      <c r="G391" s="558">
        <v>2</v>
      </c>
      <c r="H391" s="559">
        <f t="shared" si="65"/>
        <v>6</v>
      </c>
      <c r="I391" s="857"/>
      <c r="J391" s="857"/>
      <c r="K391" s="857">
        <f t="shared" si="66"/>
        <v>0</v>
      </c>
      <c r="L391" s="857"/>
      <c r="M391" s="857"/>
      <c r="N391" s="857">
        <f>L391*M391</f>
        <v>0</v>
      </c>
      <c r="O391" s="857"/>
      <c r="P391" s="857"/>
      <c r="Q391" s="857"/>
      <c r="R391" s="857">
        <f t="shared" si="62"/>
        <v>0</v>
      </c>
      <c r="S391" s="857"/>
      <c r="T391" s="857"/>
      <c r="U391" s="857"/>
      <c r="V391" s="857"/>
      <c r="W391" s="857"/>
      <c r="X391" s="857"/>
      <c r="Y391" s="857"/>
      <c r="Z391" s="559">
        <f t="shared" si="63"/>
        <v>0</v>
      </c>
      <c r="AA391" s="559" t="str">
        <f t="shared" si="64"/>
        <v>-</v>
      </c>
      <c r="AB391" s="893"/>
      <c r="AC391" s="491" t="s">
        <v>1665</v>
      </c>
      <c r="AF391" s="466"/>
      <c r="AG391" s="465"/>
      <c r="AH391" s="465"/>
    </row>
    <row r="392" spans="1:34" s="492" customFormat="1" ht="76.5" hidden="1" x14ac:dyDescent="0.2">
      <c r="A392" s="1240"/>
      <c r="B392" s="865" t="s">
        <v>1984</v>
      </c>
      <c r="C392" s="508" t="s">
        <v>796</v>
      </c>
      <c r="D392" s="932"/>
      <c r="E392" s="842" t="s">
        <v>227</v>
      </c>
      <c r="F392" s="828">
        <v>568</v>
      </c>
      <c r="G392" s="829">
        <v>0.05</v>
      </c>
      <c r="H392" s="542">
        <f t="shared" si="65"/>
        <v>28.4</v>
      </c>
      <c r="I392" s="533">
        <v>292</v>
      </c>
      <c r="J392" s="533">
        <v>0.1</v>
      </c>
      <c r="K392" s="533">
        <f>I392*J392</f>
        <v>29.2</v>
      </c>
      <c r="L392" s="533">
        <v>292</v>
      </c>
      <c r="M392" s="533">
        <v>0.1</v>
      </c>
      <c r="N392" s="533">
        <f>L392*M392</f>
        <v>29.2</v>
      </c>
      <c r="O392" s="533">
        <v>200</v>
      </c>
      <c r="P392" s="533">
        <v>0.2</v>
      </c>
      <c r="Q392" s="533">
        <f>O392*P392</f>
        <v>40</v>
      </c>
      <c r="R392" s="533">
        <f t="shared" si="62"/>
        <v>40</v>
      </c>
      <c r="S392" s="533"/>
      <c r="T392" s="533">
        <v>200</v>
      </c>
      <c r="U392" s="533">
        <v>0.2</v>
      </c>
      <c r="V392" s="533">
        <f>T392*U392</f>
        <v>40</v>
      </c>
      <c r="W392" s="533">
        <v>200</v>
      </c>
      <c r="X392" s="533">
        <v>0.2</v>
      </c>
      <c r="Y392" s="533">
        <f>W392*X392</f>
        <v>40</v>
      </c>
      <c r="Z392" s="542">
        <f t="shared" si="63"/>
        <v>10.8</v>
      </c>
      <c r="AA392" s="542">
        <f t="shared" si="64"/>
        <v>137</v>
      </c>
      <c r="AB392" s="893" t="s">
        <v>1985</v>
      </c>
      <c r="AC392" s="491" t="s">
        <v>1665</v>
      </c>
      <c r="AF392" s="466"/>
      <c r="AG392" s="466"/>
      <c r="AH392" s="466"/>
    </row>
    <row r="393" spans="1:34" s="492" customFormat="1" ht="14.25" hidden="1" x14ac:dyDescent="0.2">
      <c r="A393" s="1240"/>
      <c r="B393" s="865" t="s">
        <v>1986</v>
      </c>
      <c r="C393" s="508" t="s">
        <v>797</v>
      </c>
      <c r="D393" s="932"/>
      <c r="E393" s="842" t="s">
        <v>227</v>
      </c>
      <c r="F393" s="828">
        <v>150</v>
      </c>
      <c r="G393" s="829">
        <v>0.1</v>
      </c>
      <c r="H393" s="542">
        <f t="shared" si="65"/>
        <v>15</v>
      </c>
      <c r="I393" s="533">
        <v>150</v>
      </c>
      <c r="J393" s="533">
        <v>0.1</v>
      </c>
      <c r="K393" s="533">
        <f t="shared" si="66"/>
        <v>15</v>
      </c>
      <c r="L393" s="533">
        <v>150</v>
      </c>
      <c r="M393" s="533">
        <v>0.1</v>
      </c>
      <c r="N393" s="533">
        <f>L393*M393</f>
        <v>15</v>
      </c>
      <c r="O393" s="533">
        <v>150</v>
      </c>
      <c r="P393" s="533">
        <v>0.1</v>
      </c>
      <c r="Q393" s="533">
        <f>O393*P393</f>
        <v>15</v>
      </c>
      <c r="R393" s="533">
        <f t="shared" si="62"/>
        <v>15</v>
      </c>
      <c r="S393" s="533"/>
      <c r="T393" s="533">
        <v>150</v>
      </c>
      <c r="U393" s="533">
        <v>0.1</v>
      </c>
      <c r="V393" s="533">
        <f>T393*U393</f>
        <v>15</v>
      </c>
      <c r="W393" s="533">
        <v>150</v>
      </c>
      <c r="X393" s="533">
        <v>0.1</v>
      </c>
      <c r="Y393" s="533">
        <f>W393*X393</f>
        <v>15</v>
      </c>
      <c r="Z393" s="542">
        <f t="shared" si="63"/>
        <v>0</v>
      </c>
      <c r="AA393" s="542">
        <f t="shared" si="64"/>
        <v>100</v>
      </c>
      <c r="AB393" s="893"/>
      <c r="AC393" s="491" t="s">
        <v>1665</v>
      </c>
      <c r="AF393" s="466"/>
      <c r="AG393" s="466"/>
      <c r="AH393" s="466"/>
    </row>
    <row r="394" spans="1:34" s="492" customFormat="1" ht="38.25" hidden="1" x14ac:dyDescent="0.2">
      <c r="A394" s="1240"/>
      <c r="B394" s="865" t="s">
        <v>1245</v>
      </c>
      <c r="C394" s="508" t="s">
        <v>800</v>
      </c>
      <c r="D394" s="932"/>
      <c r="E394" s="842" t="s">
        <v>227</v>
      </c>
      <c r="F394" s="828">
        <v>2</v>
      </c>
      <c r="G394" s="829">
        <v>14.45</v>
      </c>
      <c r="H394" s="542">
        <f t="shared" si="65"/>
        <v>28.9</v>
      </c>
      <c r="I394" s="533">
        <v>1</v>
      </c>
      <c r="J394" s="533">
        <v>29</v>
      </c>
      <c r="K394" s="533"/>
      <c r="L394" s="533">
        <v>1</v>
      </c>
      <c r="M394" s="533">
        <v>29</v>
      </c>
      <c r="N394" s="533"/>
      <c r="O394" s="533">
        <v>2</v>
      </c>
      <c r="P394" s="533">
        <v>25</v>
      </c>
      <c r="Q394" s="533">
        <f>P394*O394</f>
        <v>50</v>
      </c>
      <c r="R394" s="533">
        <f t="shared" si="62"/>
        <v>50</v>
      </c>
      <c r="S394" s="533"/>
      <c r="T394" s="533">
        <v>2</v>
      </c>
      <c r="U394" s="533">
        <v>25</v>
      </c>
      <c r="V394" s="533">
        <f>U394*T394</f>
        <v>50</v>
      </c>
      <c r="W394" s="533">
        <v>2</v>
      </c>
      <c r="X394" s="533">
        <v>25</v>
      </c>
      <c r="Y394" s="533">
        <f>X394*W394</f>
        <v>50</v>
      </c>
      <c r="Z394" s="542">
        <f t="shared" si="63"/>
        <v>50</v>
      </c>
      <c r="AA394" s="542" t="str">
        <f t="shared" si="64"/>
        <v>-</v>
      </c>
      <c r="AB394" s="893" t="s">
        <v>1987</v>
      </c>
      <c r="AC394" s="491" t="s">
        <v>1665</v>
      </c>
      <c r="AF394" s="466"/>
      <c r="AG394" s="466"/>
      <c r="AH394" s="466"/>
    </row>
    <row r="395" spans="1:34" s="492" customFormat="1" ht="14.25" hidden="1" x14ac:dyDescent="0.2">
      <c r="A395" s="1240"/>
      <c r="B395" s="500" t="s">
        <v>1696</v>
      </c>
      <c r="C395" s="501" t="s">
        <v>797</v>
      </c>
      <c r="D395" s="932"/>
      <c r="E395" s="842" t="s">
        <v>227</v>
      </c>
      <c r="F395" s="828">
        <v>30</v>
      </c>
      <c r="G395" s="829">
        <v>0.21</v>
      </c>
      <c r="H395" s="542">
        <f>F395*G395</f>
        <v>6.3</v>
      </c>
      <c r="I395" s="533">
        <v>600</v>
      </c>
      <c r="J395" s="906">
        <v>0.01</v>
      </c>
      <c r="K395" s="533">
        <f>I395*J395</f>
        <v>6</v>
      </c>
      <c r="L395" s="533">
        <v>600</v>
      </c>
      <c r="M395" s="906">
        <v>0.01</v>
      </c>
      <c r="N395" s="533">
        <f>L395*M395</f>
        <v>6</v>
      </c>
      <c r="O395" s="533">
        <v>300</v>
      </c>
      <c r="P395" s="906">
        <v>0.02</v>
      </c>
      <c r="Q395" s="533">
        <f>O395*P395</f>
        <v>6</v>
      </c>
      <c r="R395" s="533">
        <f t="shared" si="62"/>
        <v>6</v>
      </c>
      <c r="S395" s="533"/>
      <c r="T395" s="533">
        <v>300</v>
      </c>
      <c r="U395" s="906">
        <v>0.02</v>
      </c>
      <c r="V395" s="533">
        <f>T395*U395</f>
        <v>6</v>
      </c>
      <c r="W395" s="533">
        <v>300</v>
      </c>
      <c r="X395" s="906">
        <v>0.02</v>
      </c>
      <c r="Y395" s="533">
        <f>W395*X395</f>
        <v>6</v>
      </c>
      <c r="Z395" s="542">
        <f t="shared" si="63"/>
        <v>0</v>
      </c>
      <c r="AA395" s="542">
        <f t="shared" si="64"/>
        <v>100</v>
      </c>
      <c r="AB395" s="893"/>
      <c r="AC395" s="491" t="s">
        <v>1665</v>
      </c>
      <c r="AF395" s="466"/>
      <c r="AG395" s="466"/>
      <c r="AH395" s="466"/>
    </row>
    <row r="396" spans="1:34" s="539" customFormat="1" ht="38.25" hidden="1" x14ac:dyDescent="0.25">
      <c r="A396" s="536"/>
      <c r="B396" s="1944" t="s">
        <v>1988</v>
      </c>
      <c r="C396" s="1945"/>
      <c r="D396" s="1918" t="s">
        <v>1444</v>
      </c>
      <c r="E396" s="1946"/>
      <c r="F396" s="1947"/>
      <c r="G396" s="1947"/>
      <c r="H396" s="1947"/>
      <c r="I396" s="1947"/>
      <c r="J396" s="1947"/>
      <c r="K396" s="1947"/>
      <c r="L396" s="1947"/>
      <c r="M396" s="1947"/>
      <c r="N396" s="1947"/>
      <c r="O396" s="1947"/>
      <c r="P396" s="1947"/>
      <c r="Q396" s="1948">
        <f>Q397</f>
        <v>30.5</v>
      </c>
      <c r="R396" s="1948">
        <f t="shared" si="62"/>
        <v>30.5</v>
      </c>
      <c r="S396" s="1948"/>
      <c r="T396" s="1947"/>
      <c r="U396" s="1947"/>
      <c r="V396" s="1947"/>
      <c r="W396" s="1947"/>
      <c r="X396" s="1947"/>
      <c r="Y396" s="1947"/>
      <c r="Z396" s="1947"/>
      <c r="AA396" s="1947"/>
      <c r="AB396" s="3523" t="s">
        <v>1916</v>
      </c>
      <c r="AC396" s="515" t="s">
        <v>1665</v>
      </c>
      <c r="AF396" s="519"/>
      <c r="AG396" s="540"/>
      <c r="AH396" s="540"/>
    </row>
    <row r="397" spans="1:34" s="498" customFormat="1" hidden="1" x14ac:dyDescent="0.25">
      <c r="A397" s="962"/>
      <c r="B397" s="500" t="s">
        <v>1233</v>
      </c>
      <c r="C397" s="529" t="s">
        <v>1230</v>
      </c>
      <c r="D397" s="903"/>
      <c r="E397" s="1245"/>
      <c r="F397" s="857"/>
      <c r="G397" s="857"/>
      <c r="H397" s="857"/>
      <c r="I397" s="857"/>
      <c r="J397" s="857"/>
      <c r="K397" s="857"/>
      <c r="L397" s="857"/>
      <c r="M397" s="857"/>
      <c r="N397" s="857"/>
      <c r="O397" s="857"/>
      <c r="P397" s="857"/>
      <c r="Q397" s="533">
        <f>SUM(Q398:Q403)</f>
        <v>30.5</v>
      </c>
      <c r="R397" s="533">
        <f t="shared" si="62"/>
        <v>30.5</v>
      </c>
      <c r="S397" s="533"/>
      <c r="T397" s="857"/>
      <c r="U397" s="857"/>
      <c r="V397" s="857"/>
      <c r="W397" s="857"/>
      <c r="X397" s="857"/>
      <c r="Y397" s="857"/>
      <c r="Z397" s="857"/>
      <c r="AA397" s="857"/>
      <c r="AB397" s="3524"/>
      <c r="AC397" s="491" t="s">
        <v>1665</v>
      </c>
      <c r="AF397" s="466"/>
      <c r="AG397" s="465"/>
      <c r="AH397" s="465"/>
    </row>
    <row r="398" spans="1:34" s="498" customFormat="1" hidden="1" x14ac:dyDescent="0.25">
      <c r="A398" s="962"/>
      <c r="B398" s="1885" t="s">
        <v>1933</v>
      </c>
      <c r="C398" s="553"/>
      <c r="D398" s="903"/>
      <c r="E398" s="1245" t="s">
        <v>318</v>
      </c>
      <c r="F398" s="857"/>
      <c r="G398" s="857"/>
      <c r="H398" s="857"/>
      <c r="I398" s="857"/>
      <c r="J398" s="857"/>
      <c r="K398" s="857"/>
      <c r="L398" s="857"/>
      <c r="M398" s="857"/>
      <c r="N398" s="857"/>
      <c r="O398" s="857">
        <v>1</v>
      </c>
      <c r="P398" s="857">
        <v>3.5</v>
      </c>
      <c r="Q398" s="857">
        <f>O398*P398</f>
        <v>3.5</v>
      </c>
      <c r="R398" s="857">
        <f t="shared" si="62"/>
        <v>3.5</v>
      </c>
      <c r="S398" s="857"/>
      <c r="T398" s="857"/>
      <c r="U398" s="857"/>
      <c r="V398" s="857"/>
      <c r="W398" s="857"/>
      <c r="X398" s="857"/>
      <c r="Y398" s="857"/>
      <c r="Z398" s="857"/>
      <c r="AA398" s="857"/>
      <c r="AB398" s="3524"/>
      <c r="AC398" s="491" t="s">
        <v>1665</v>
      </c>
      <c r="AF398" s="466"/>
      <c r="AG398" s="465"/>
      <c r="AH398" s="465"/>
    </row>
    <row r="399" spans="1:34" s="498" customFormat="1" hidden="1" x14ac:dyDescent="0.25">
      <c r="A399" s="962"/>
      <c r="B399" s="1885" t="s">
        <v>1404</v>
      </c>
      <c r="C399" s="553"/>
      <c r="D399" s="903"/>
      <c r="E399" s="1245" t="s">
        <v>318</v>
      </c>
      <c r="F399" s="857"/>
      <c r="G399" s="857"/>
      <c r="H399" s="857"/>
      <c r="I399" s="857"/>
      <c r="J399" s="857"/>
      <c r="K399" s="857"/>
      <c r="L399" s="857"/>
      <c r="M399" s="857"/>
      <c r="N399" s="857"/>
      <c r="O399" s="857">
        <v>2</v>
      </c>
      <c r="P399" s="857">
        <v>2.2999999999999998</v>
      </c>
      <c r="Q399" s="857">
        <f t="shared" ref="Q399:Q402" si="67">O399*P399</f>
        <v>4.5999999999999996</v>
      </c>
      <c r="R399" s="857">
        <f t="shared" si="62"/>
        <v>4.5999999999999996</v>
      </c>
      <c r="S399" s="857"/>
      <c r="T399" s="857"/>
      <c r="U399" s="857"/>
      <c r="V399" s="857"/>
      <c r="W399" s="857"/>
      <c r="X399" s="857"/>
      <c r="Y399" s="857"/>
      <c r="Z399" s="857"/>
      <c r="AA399" s="857"/>
      <c r="AB399" s="3524"/>
      <c r="AC399" s="491" t="s">
        <v>1665</v>
      </c>
      <c r="AF399" s="466"/>
      <c r="AG399" s="465"/>
      <c r="AH399" s="465"/>
    </row>
    <row r="400" spans="1:34" s="498" customFormat="1" hidden="1" x14ac:dyDescent="0.25">
      <c r="A400" s="962"/>
      <c r="B400" s="1885" t="s">
        <v>1934</v>
      </c>
      <c r="C400" s="553"/>
      <c r="D400" s="903"/>
      <c r="E400" s="1245" t="s">
        <v>318</v>
      </c>
      <c r="F400" s="857"/>
      <c r="G400" s="857"/>
      <c r="H400" s="857"/>
      <c r="I400" s="857"/>
      <c r="J400" s="857"/>
      <c r="K400" s="857"/>
      <c r="L400" s="857"/>
      <c r="M400" s="857"/>
      <c r="N400" s="857"/>
      <c r="O400" s="857">
        <v>3</v>
      </c>
      <c r="P400" s="857">
        <v>2.2999999999999998</v>
      </c>
      <c r="Q400" s="857">
        <f t="shared" si="67"/>
        <v>6.9</v>
      </c>
      <c r="R400" s="857">
        <f t="shared" si="62"/>
        <v>6.9</v>
      </c>
      <c r="S400" s="857"/>
      <c r="T400" s="857"/>
      <c r="U400" s="857"/>
      <c r="V400" s="857"/>
      <c r="W400" s="857"/>
      <c r="X400" s="857"/>
      <c r="Y400" s="857"/>
      <c r="Z400" s="857"/>
      <c r="AA400" s="857"/>
      <c r="AB400" s="3524"/>
      <c r="AC400" s="491" t="s">
        <v>1665</v>
      </c>
      <c r="AF400" s="466"/>
      <c r="AG400" s="465"/>
      <c r="AH400" s="465"/>
    </row>
    <row r="401" spans="1:34" s="498" customFormat="1" hidden="1" x14ac:dyDescent="0.25">
      <c r="A401" s="962"/>
      <c r="B401" s="1885" t="s">
        <v>1807</v>
      </c>
      <c r="C401" s="553"/>
      <c r="D401" s="903"/>
      <c r="E401" s="1245" t="s">
        <v>318</v>
      </c>
      <c r="F401" s="857"/>
      <c r="G401" s="857"/>
      <c r="H401" s="857"/>
      <c r="I401" s="857"/>
      <c r="J401" s="857"/>
      <c r="K401" s="857"/>
      <c r="L401" s="857"/>
      <c r="M401" s="857"/>
      <c r="N401" s="857"/>
      <c r="O401" s="857">
        <v>1</v>
      </c>
      <c r="P401" s="857">
        <v>4</v>
      </c>
      <c r="Q401" s="857">
        <f t="shared" si="67"/>
        <v>4</v>
      </c>
      <c r="R401" s="857">
        <f t="shared" si="62"/>
        <v>4</v>
      </c>
      <c r="S401" s="857"/>
      <c r="T401" s="857"/>
      <c r="U401" s="857"/>
      <c r="V401" s="857"/>
      <c r="W401" s="857"/>
      <c r="X401" s="857"/>
      <c r="Y401" s="857"/>
      <c r="Z401" s="857"/>
      <c r="AA401" s="857"/>
      <c r="AB401" s="3524"/>
      <c r="AC401" s="491" t="s">
        <v>1665</v>
      </c>
      <c r="AF401" s="466"/>
      <c r="AG401" s="465"/>
      <c r="AH401" s="465"/>
    </row>
    <row r="402" spans="1:34" s="498" customFormat="1" hidden="1" x14ac:dyDescent="0.25">
      <c r="A402" s="962"/>
      <c r="B402" s="1885" t="s">
        <v>1989</v>
      </c>
      <c r="C402" s="553"/>
      <c r="D402" s="903"/>
      <c r="E402" s="1245" t="s">
        <v>318</v>
      </c>
      <c r="F402" s="857"/>
      <c r="G402" s="857"/>
      <c r="H402" s="857"/>
      <c r="I402" s="857"/>
      <c r="J402" s="857"/>
      <c r="K402" s="857"/>
      <c r="L402" s="857"/>
      <c r="M402" s="857"/>
      <c r="N402" s="857"/>
      <c r="O402" s="857">
        <v>2</v>
      </c>
      <c r="P402" s="857">
        <v>2.5</v>
      </c>
      <c r="Q402" s="857">
        <f t="shared" si="67"/>
        <v>5</v>
      </c>
      <c r="R402" s="857">
        <f t="shared" si="62"/>
        <v>5</v>
      </c>
      <c r="S402" s="857"/>
      <c r="T402" s="857"/>
      <c r="U402" s="857"/>
      <c r="V402" s="857"/>
      <c r="W402" s="857"/>
      <c r="X402" s="857"/>
      <c r="Y402" s="857"/>
      <c r="Z402" s="857"/>
      <c r="AA402" s="857"/>
      <c r="AB402" s="3524"/>
      <c r="AC402" s="491" t="s">
        <v>1665</v>
      </c>
      <c r="AF402" s="466"/>
      <c r="AG402" s="465"/>
      <c r="AH402" s="465"/>
    </row>
    <row r="403" spans="1:34" s="498" customFormat="1" hidden="1" x14ac:dyDescent="0.25">
      <c r="A403" s="962"/>
      <c r="B403" s="502" t="s">
        <v>1971</v>
      </c>
      <c r="C403" s="553"/>
      <c r="D403" s="903"/>
      <c r="E403" s="1245"/>
      <c r="F403" s="857"/>
      <c r="G403" s="857"/>
      <c r="H403" s="857"/>
      <c r="I403" s="857"/>
      <c r="J403" s="857"/>
      <c r="K403" s="857"/>
      <c r="L403" s="857"/>
      <c r="M403" s="857"/>
      <c r="N403" s="857"/>
      <c r="O403" s="857"/>
      <c r="P403" s="857"/>
      <c r="Q403" s="857">
        <f>SUM(Q398:Q402)*0.271</f>
        <v>6.5</v>
      </c>
      <c r="R403" s="857">
        <f t="shared" ref="R403:R416" si="68">Q403</f>
        <v>6.5</v>
      </c>
      <c r="S403" s="857"/>
      <c r="T403" s="857"/>
      <c r="U403" s="857"/>
      <c r="V403" s="857"/>
      <c r="W403" s="857"/>
      <c r="X403" s="857"/>
      <c r="Y403" s="857"/>
      <c r="Z403" s="857"/>
      <c r="AA403" s="857"/>
      <c r="AB403" s="3525"/>
      <c r="AC403" s="491" t="s">
        <v>1665</v>
      </c>
      <c r="AF403" s="466"/>
      <c r="AG403" s="465"/>
      <c r="AH403" s="465"/>
    </row>
    <row r="404" spans="1:34" s="539" customFormat="1" ht="38.25" hidden="1" x14ac:dyDescent="0.25">
      <c r="A404" s="536"/>
      <c r="B404" s="1949" t="s">
        <v>1990</v>
      </c>
      <c r="C404" s="1945"/>
      <c r="D404" s="1918" t="s">
        <v>1444</v>
      </c>
      <c r="E404" s="1946"/>
      <c r="F404" s="1947"/>
      <c r="G404" s="1947"/>
      <c r="H404" s="1947"/>
      <c r="I404" s="1947"/>
      <c r="J404" s="1947"/>
      <c r="K404" s="1947"/>
      <c r="L404" s="1947"/>
      <c r="M404" s="1947"/>
      <c r="N404" s="1947"/>
      <c r="O404" s="1947"/>
      <c r="P404" s="1947"/>
      <c r="Q404" s="1948">
        <f>Q405</f>
        <v>27.6</v>
      </c>
      <c r="R404" s="1948">
        <f t="shared" si="68"/>
        <v>27.6</v>
      </c>
      <c r="S404" s="1948"/>
      <c r="T404" s="1947"/>
      <c r="U404" s="1947"/>
      <c r="V404" s="1947"/>
      <c r="W404" s="1947"/>
      <c r="X404" s="1947"/>
      <c r="Y404" s="1947"/>
      <c r="Z404" s="1947"/>
      <c r="AA404" s="1947"/>
      <c r="AB404" s="3523" t="s">
        <v>1916</v>
      </c>
      <c r="AC404" s="515" t="s">
        <v>1665</v>
      </c>
      <c r="AF404" s="519"/>
      <c r="AG404" s="540"/>
      <c r="AH404" s="540"/>
    </row>
    <row r="405" spans="1:34" s="498" customFormat="1" hidden="1" x14ac:dyDescent="0.25">
      <c r="A405" s="962"/>
      <c r="B405" s="500" t="s">
        <v>1233</v>
      </c>
      <c r="C405" s="529" t="s">
        <v>1230</v>
      </c>
      <c r="D405" s="903"/>
      <c r="E405" s="1245"/>
      <c r="F405" s="857"/>
      <c r="G405" s="857"/>
      <c r="H405" s="857"/>
      <c r="I405" s="857"/>
      <c r="J405" s="857"/>
      <c r="K405" s="857"/>
      <c r="L405" s="857"/>
      <c r="M405" s="857"/>
      <c r="N405" s="857"/>
      <c r="O405" s="857"/>
      <c r="P405" s="857"/>
      <c r="Q405" s="533">
        <f>SUM(Q406:Q411)</f>
        <v>27.6</v>
      </c>
      <c r="R405" s="533">
        <f t="shared" si="68"/>
        <v>27.6</v>
      </c>
      <c r="S405" s="533"/>
      <c r="T405" s="857"/>
      <c r="U405" s="857"/>
      <c r="V405" s="857"/>
      <c r="W405" s="857"/>
      <c r="X405" s="857"/>
      <c r="Y405" s="857"/>
      <c r="Z405" s="857"/>
      <c r="AA405" s="857"/>
      <c r="AB405" s="3524"/>
      <c r="AC405" s="491" t="s">
        <v>1665</v>
      </c>
      <c r="AF405" s="466"/>
      <c r="AG405" s="465"/>
      <c r="AH405" s="465"/>
    </row>
    <row r="406" spans="1:34" s="498" customFormat="1" hidden="1" x14ac:dyDescent="0.25">
      <c r="A406" s="962"/>
      <c r="B406" s="1885" t="s">
        <v>1933</v>
      </c>
      <c r="C406" s="553"/>
      <c r="D406" s="903"/>
      <c r="E406" s="1245"/>
      <c r="F406" s="857"/>
      <c r="G406" s="857"/>
      <c r="H406" s="857"/>
      <c r="I406" s="857"/>
      <c r="J406" s="857"/>
      <c r="K406" s="857"/>
      <c r="L406" s="857"/>
      <c r="M406" s="857"/>
      <c r="N406" s="857"/>
      <c r="O406" s="857">
        <v>1</v>
      </c>
      <c r="P406" s="857">
        <v>3.5</v>
      </c>
      <c r="Q406" s="857">
        <f t="shared" ref="Q406:Q410" si="69">O406*P406</f>
        <v>3.5</v>
      </c>
      <c r="R406" s="857">
        <f t="shared" si="68"/>
        <v>3.5</v>
      </c>
      <c r="S406" s="857"/>
      <c r="T406" s="857"/>
      <c r="U406" s="857"/>
      <c r="V406" s="857"/>
      <c r="W406" s="857"/>
      <c r="X406" s="857"/>
      <c r="Y406" s="857"/>
      <c r="Z406" s="857"/>
      <c r="AA406" s="857"/>
      <c r="AB406" s="3524"/>
      <c r="AC406" s="491" t="s">
        <v>1665</v>
      </c>
      <c r="AF406" s="466"/>
      <c r="AG406" s="465"/>
      <c r="AH406" s="465"/>
    </row>
    <row r="407" spans="1:34" s="498" customFormat="1" hidden="1" x14ac:dyDescent="0.25">
      <c r="A407" s="962"/>
      <c r="B407" s="1885" t="s">
        <v>1404</v>
      </c>
      <c r="C407" s="553"/>
      <c r="D407" s="903"/>
      <c r="E407" s="1245"/>
      <c r="F407" s="857"/>
      <c r="G407" s="857"/>
      <c r="H407" s="857"/>
      <c r="I407" s="857"/>
      <c r="J407" s="857"/>
      <c r="K407" s="857"/>
      <c r="L407" s="857"/>
      <c r="M407" s="857"/>
      <c r="N407" s="857"/>
      <c r="O407" s="857">
        <v>2</v>
      </c>
      <c r="P407" s="857">
        <v>2.2999999999999998</v>
      </c>
      <c r="Q407" s="857">
        <f t="shared" si="69"/>
        <v>4.5999999999999996</v>
      </c>
      <c r="R407" s="857">
        <f t="shared" si="68"/>
        <v>4.5999999999999996</v>
      </c>
      <c r="S407" s="857"/>
      <c r="T407" s="857"/>
      <c r="U407" s="857"/>
      <c r="V407" s="857"/>
      <c r="W407" s="857"/>
      <c r="X407" s="857"/>
      <c r="Y407" s="857"/>
      <c r="Z407" s="857"/>
      <c r="AA407" s="857"/>
      <c r="AB407" s="3524"/>
      <c r="AC407" s="491" t="s">
        <v>1665</v>
      </c>
      <c r="AF407" s="466"/>
      <c r="AG407" s="465"/>
      <c r="AH407" s="465"/>
    </row>
    <row r="408" spans="1:34" s="498" customFormat="1" hidden="1" x14ac:dyDescent="0.25">
      <c r="A408" s="962"/>
      <c r="B408" s="1885" t="s">
        <v>1934</v>
      </c>
      <c r="C408" s="553"/>
      <c r="D408" s="903"/>
      <c r="E408" s="1245"/>
      <c r="F408" s="857"/>
      <c r="G408" s="857"/>
      <c r="H408" s="857"/>
      <c r="I408" s="857"/>
      <c r="J408" s="857"/>
      <c r="K408" s="857"/>
      <c r="L408" s="857"/>
      <c r="M408" s="857"/>
      <c r="N408" s="857"/>
      <c r="O408" s="857">
        <v>2</v>
      </c>
      <c r="P408" s="857">
        <v>2.2999999999999998</v>
      </c>
      <c r="Q408" s="857">
        <f t="shared" si="69"/>
        <v>4.5999999999999996</v>
      </c>
      <c r="R408" s="857">
        <f t="shared" si="68"/>
        <v>4.5999999999999996</v>
      </c>
      <c r="S408" s="857"/>
      <c r="T408" s="857"/>
      <c r="U408" s="857"/>
      <c r="V408" s="857"/>
      <c r="W408" s="857"/>
      <c r="X408" s="857"/>
      <c r="Y408" s="857"/>
      <c r="Z408" s="857"/>
      <c r="AA408" s="857"/>
      <c r="AB408" s="3524"/>
      <c r="AC408" s="491" t="s">
        <v>1665</v>
      </c>
      <c r="AF408" s="466"/>
      <c r="AG408" s="465"/>
      <c r="AH408" s="465"/>
    </row>
    <row r="409" spans="1:34" s="498" customFormat="1" hidden="1" x14ac:dyDescent="0.25">
      <c r="A409" s="962"/>
      <c r="B409" s="1885" t="s">
        <v>1807</v>
      </c>
      <c r="C409" s="553"/>
      <c r="D409" s="903"/>
      <c r="E409" s="1245"/>
      <c r="F409" s="857"/>
      <c r="G409" s="857"/>
      <c r="H409" s="857"/>
      <c r="I409" s="857"/>
      <c r="J409" s="857"/>
      <c r="K409" s="857"/>
      <c r="L409" s="857"/>
      <c r="M409" s="857"/>
      <c r="N409" s="857"/>
      <c r="O409" s="857">
        <v>1</v>
      </c>
      <c r="P409" s="857">
        <v>4</v>
      </c>
      <c r="Q409" s="857">
        <f t="shared" si="69"/>
        <v>4</v>
      </c>
      <c r="R409" s="857">
        <f t="shared" si="68"/>
        <v>4</v>
      </c>
      <c r="S409" s="857"/>
      <c r="T409" s="857"/>
      <c r="U409" s="857"/>
      <c r="V409" s="857"/>
      <c r="W409" s="857"/>
      <c r="X409" s="857"/>
      <c r="Y409" s="857"/>
      <c r="Z409" s="857"/>
      <c r="AA409" s="857"/>
      <c r="AB409" s="3524"/>
      <c r="AC409" s="491" t="s">
        <v>1665</v>
      </c>
      <c r="AF409" s="466"/>
      <c r="AG409" s="465"/>
      <c r="AH409" s="465"/>
    </row>
    <row r="410" spans="1:34" s="498" customFormat="1" hidden="1" x14ac:dyDescent="0.25">
      <c r="A410" s="962"/>
      <c r="B410" s="1885" t="s">
        <v>1989</v>
      </c>
      <c r="C410" s="553"/>
      <c r="D410" s="903"/>
      <c r="E410" s="1245"/>
      <c r="F410" s="857"/>
      <c r="G410" s="857"/>
      <c r="H410" s="857"/>
      <c r="I410" s="857"/>
      <c r="J410" s="857"/>
      <c r="K410" s="857"/>
      <c r="L410" s="857"/>
      <c r="M410" s="857"/>
      <c r="N410" s="857"/>
      <c r="O410" s="857">
        <v>2</v>
      </c>
      <c r="P410" s="857">
        <v>2.5</v>
      </c>
      <c r="Q410" s="857">
        <f t="shared" si="69"/>
        <v>5</v>
      </c>
      <c r="R410" s="857">
        <f t="shared" si="68"/>
        <v>5</v>
      </c>
      <c r="S410" s="857"/>
      <c r="T410" s="857"/>
      <c r="U410" s="857"/>
      <c r="V410" s="857"/>
      <c r="W410" s="857"/>
      <c r="X410" s="857"/>
      <c r="Y410" s="857"/>
      <c r="Z410" s="857"/>
      <c r="AA410" s="857"/>
      <c r="AB410" s="3524"/>
      <c r="AC410" s="491" t="s">
        <v>1665</v>
      </c>
      <c r="AF410" s="466"/>
      <c r="AG410" s="465"/>
      <c r="AH410" s="465"/>
    </row>
    <row r="411" spans="1:34" s="498" customFormat="1" hidden="1" x14ac:dyDescent="0.25">
      <c r="A411" s="962"/>
      <c r="B411" s="1885" t="s">
        <v>1991</v>
      </c>
      <c r="C411" s="553"/>
      <c r="D411" s="903"/>
      <c r="E411" s="1245"/>
      <c r="F411" s="857"/>
      <c r="G411" s="857"/>
      <c r="H411" s="857"/>
      <c r="I411" s="857"/>
      <c r="J411" s="857"/>
      <c r="K411" s="857"/>
      <c r="L411" s="857"/>
      <c r="M411" s="857"/>
      <c r="N411" s="857"/>
      <c r="O411" s="857"/>
      <c r="P411" s="857"/>
      <c r="Q411" s="857">
        <f>SUM(Q406:Q410)*0.271</f>
        <v>5.9</v>
      </c>
      <c r="R411" s="857">
        <f t="shared" si="68"/>
        <v>5.9</v>
      </c>
      <c r="S411" s="857"/>
      <c r="T411" s="857"/>
      <c r="U411" s="857"/>
      <c r="V411" s="857"/>
      <c r="W411" s="857"/>
      <c r="X411" s="857"/>
      <c r="Y411" s="857"/>
      <c r="Z411" s="857"/>
      <c r="AA411" s="857"/>
      <c r="AB411" s="3525"/>
      <c r="AC411" s="491" t="s">
        <v>1665</v>
      </c>
      <c r="AF411" s="466"/>
      <c r="AG411" s="465"/>
      <c r="AH411" s="465"/>
    </row>
    <row r="412" spans="1:34" s="539" customFormat="1" hidden="1" x14ac:dyDescent="0.25">
      <c r="A412" s="536"/>
      <c r="B412" s="510" t="s">
        <v>1992</v>
      </c>
      <c r="C412" s="1918"/>
      <c r="D412" s="536"/>
      <c r="E412" s="536"/>
      <c r="F412" s="1950"/>
      <c r="G412" s="1951"/>
      <c r="H412" s="490" t="e">
        <f>#REF!+H413</f>
        <v>#REF!</v>
      </c>
      <c r="I412" s="1952"/>
      <c r="J412" s="1952"/>
      <c r="K412" s="490">
        <f>K413</f>
        <v>0</v>
      </c>
      <c r="L412" s="1952"/>
      <c r="M412" s="1952"/>
      <c r="N412" s="490">
        <f>N413</f>
        <v>0</v>
      </c>
      <c r="O412" s="1952"/>
      <c r="P412" s="1952"/>
      <c r="Q412" s="490">
        <f>Q413</f>
        <v>0</v>
      </c>
      <c r="R412" s="490">
        <f t="shared" si="68"/>
        <v>0</v>
      </c>
      <c r="S412" s="490"/>
      <c r="T412" s="1952"/>
      <c r="U412" s="1952"/>
      <c r="V412" s="490">
        <f>V413</f>
        <v>150</v>
      </c>
      <c r="W412" s="490"/>
      <c r="X412" s="490"/>
      <c r="Y412" s="490">
        <f>Y413</f>
        <v>150</v>
      </c>
      <c r="Z412" s="490">
        <f t="shared" ref="Z412:Z416" si="70">Q412-K412</f>
        <v>0</v>
      </c>
      <c r="AA412" s="490" t="str">
        <f t="shared" ref="AA412:AA416" si="71">IFERROR(Q412/K412*100,"-")</f>
        <v>-</v>
      </c>
      <c r="AB412" s="555"/>
      <c r="AC412" s="538"/>
      <c r="AF412" s="519"/>
      <c r="AG412" s="540"/>
      <c r="AH412" s="540"/>
    </row>
    <row r="413" spans="1:34" s="871" customFormat="1" ht="38.25" hidden="1" x14ac:dyDescent="0.2">
      <c r="A413" s="869"/>
      <c r="B413" s="922" t="s">
        <v>1993</v>
      </c>
      <c r="C413" s="923"/>
      <c r="D413" s="869" t="s">
        <v>1444</v>
      </c>
      <c r="E413" s="869"/>
      <c r="F413" s="918"/>
      <c r="G413" s="919"/>
      <c r="H413" s="886">
        <f>H414</f>
        <v>90</v>
      </c>
      <c r="I413" s="891"/>
      <c r="J413" s="891"/>
      <c r="K413" s="891">
        <f>K414</f>
        <v>0</v>
      </c>
      <c r="L413" s="891"/>
      <c r="M413" s="891"/>
      <c r="N413" s="891">
        <f>N414</f>
        <v>0</v>
      </c>
      <c r="O413" s="891"/>
      <c r="P413" s="891"/>
      <c r="Q413" s="891">
        <f>Q414</f>
        <v>0</v>
      </c>
      <c r="R413" s="891">
        <f t="shared" si="68"/>
        <v>0</v>
      </c>
      <c r="S413" s="891"/>
      <c r="T413" s="891"/>
      <c r="U413" s="891"/>
      <c r="V413" s="891">
        <f>V414</f>
        <v>150</v>
      </c>
      <c r="W413" s="891"/>
      <c r="X413" s="891"/>
      <c r="Y413" s="891">
        <f>Y414</f>
        <v>150</v>
      </c>
      <c r="Z413" s="886">
        <f t="shared" si="70"/>
        <v>0</v>
      </c>
      <c r="AA413" s="886" t="str">
        <f t="shared" si="71"/>
        <v>-</v>
      </c>
      <c r="AB413" s="1953"/>
      <c r="AC413" s="920" t="s">
        <v>1665</v>
      </c>
      <c r="AF413" s="872"/>
      <c r="AG413" s="872"/>
      <c r="AH413" s="872"/>
    </row>
    <row r="414" spans="1:34" s="492" customFormat="1" ht="14.25" hidden="1" x14ac:dyDescent="0.2">
      <c r="A414" s="1240"/>
      <c r="B414" s="866" t="s">
        <v>1245</v>
      </c>
      <c r="C414" s="529" t="s">
        <v>800</v>
      </c>
      <c r="D414" s="932"/>
      <c r="E414" s="1240"/>
      <c r="F414" s="828"/>
      <c r="G414" s="829"/>
      <c r="H414" s="542">
        <f>H415+H416</f>
        <v>90</v>
      </c>
      <c r="I414" s="533"/>
      <c r="J414" s="533"/>
      <c r="K414" s="533">
        <f>K415</f>
        <v>0</v>
      </c>
      <c r="L414" s="533"/>
      <c r="M414" s="533"/>
      <c r="N414" s="533">
        <f>N415</f>
        <v>0</v>
      </c>
      <c r="O414" s="533"/>
      <c r="P414" s="533"/>
      <c r="Q414" s="533">
        <f>Q415</f>
        <v>0</v>
      </c>
      <c r="R414" s="533">
        <f t="shared" si="68"/>
        <v>0</v>
      </c>
      <c r="S414" s="533"/>
      <c r="T414" s="533"/>
      <c r="U414" s="533"/>
      <c r="V414" s="533">
        <f>V415</f>
        <v>150</v>
      </c>
      <c r="W414" s="533"/>
      <c r="X414" s="533"/>
      <c r="Y414" s="533">
        <f>Y415</f>
        <v>150</v>
      </c>
      <c r="Z414" s="542">
        <f t="shared" si="70"/>
        <v>0</v>
      </c>
      <c r="AA414" s="542" t="str">
        <f t="shared" si="71"/>
        <v>-</v>
      </c>
      <c r="AB414" s="1893"/>
      <c r="AC414" s="491" t="s">
        <v>1665</v>
      </c>
      <c r="AF414" s="466"/>
      <c r="AG414" s="466"/>
      <c r="AH414" s="466"/>
    </row>
    <row r="415" spans="1:34" s="498" customFormat="1" ht="89.25" hidden="1" x14ac:dyDescent="0.25">
      <c r="A415" s="962"/>
      <c r="B415" s="1863" t="s">
        <v>1994</v>
      </c>
      <c r="C415" s="553"/>
      <c r="D415" s="903"/>
      <c r="E415" s="1245" t="s">
        <v>1995</v>
      </c>
      <c r="F415" s="557">
        <v>6</v>
      </c>
      <c r="G415" s="558">
        <v>12.2</v>
      </c>
      <c r="H415" s="559">
        <f>F415*G415</f>
        <v>73.2</v>
      </c>
      <c r="I415" s="857"/>
      <c r="J415" s="857"/>
      <c r="K415" s="857"/>
      <c r="L415" s="857"/>
      <c r="M415" s="857"/>
      <c r="N415" s="857"/>
      <c r="O415" s="857"/>
      <c r="P415" s="857"/>
      <c r="Q415" s="857"/>
      <c r="R415" s="857">
        <f t="shared" si="68"/>
        <v>0</v>
      </c>
      <c r="S415" s="857"/>
      <c r="T415" s="857">
        <v>10</v>
      </c>
      <c r="U415" s="857">
        <v>15</v>
      </c>
      <c r="V415" s="857">
        <f>T415*U415</f>
        <v>150</v>
      </c>
      <c r="W415" s="857">
        <v>10</v>
      </c>
      <c r="X415" s="857">
        <v>15</v>
      </c>
      <c r="Y415" s="857">
        <f>W415*X415</f>
        <v>150</v>
      </c>
      <c r="Z415" s="559">
        <f t="shared" si="70"/>
        <v>0</v>
      </c>
      <c r="AA415" s="559" t="str">
        <f t="shared" si="71"/>
        <v>-</v>
      </c>
      <c r="AB415" s="1954" t="s">
        <v>1996</v>
      </c>
      <c r="AC415" s="491" t="s">
        <v>1665</v>
      </c>
      <c r="AF415" s="466"/>
      <c r="AG415" s="465"/>
      <c r="AH415" s="465"/>
    </row>
    <row r="416" spans="1:34" s="498" customFormat="1" hidden="1" x14ac:dyDescent="0.25">
      <c r="A416" s="962"/>
      <c r="B416" s="1863" t="s">
        <v>1997</v>
      </c>
      <c r="C416" s="553"/>
      <c r="D416" s="903"/>
      <c r="E416" s="1245" t="s">
        <v>227</v>
      </c>
      <c r="F416" s="557">
        <v>14</v>
      </c>
      <c r="G416" s="558">
        <v>1.2</v>
      </c>
      <c r="H416" s="559">
        <f>F416*G416</f>
        <v>16.8</v>
      </c>
      <c r="I416" s="857"/>
      <c r="J416" s="857"/>
      <c r="K416" s="857"/>
      <c r="L416" s="857"/>
      <c r="M416" s="857"/>
      <c r="N416" s="857"/>
      <c r="O416" s="857"/>
      <c r="P416" s="857"/>
      <c r="Q416" s="857"/>
      <c r="R416" s="857">
        <f t="shared" si="68"/>
        <v>0</v>
      </c>
      <c r="S416" s="857"/>
      <c r="T416" s="857"/>
      <c r="U416" s="857"/>
      <c r="V416" s="857"/>
      <c r="W416" s="857"/>
      <c r="X416" s="857"/>
      <c r="Y416" s="857"/>
      <c r="Z416" s="559">
        <f t="shared" si="70"/>
        <v>0</v>
      </c>
      <c r="AA416" s="559" t="str">
        <f t="shared" si="71"/>
        <v>-</v>
      </c>
      <c r="AB416" s="1954"/>
      <c r="AC416" s="491" t="s">
        <v>1665</v>
      </c>
      <c r="AF416" s="466"/>
      <c r="AG416" s="465"/>
      <c r="AH416" s="465"/>
    </row>
    <row r="417" spans="1:35" s="561" customFormat="1" x14ac:dyDescent="0.25">
      <c r="A417" s="560"/>
      <c r="C417" s="562"/>
      <c r="D417" s="560"/>
      <c r="E417" s="560"/>
      <c r="F417" s="563"/>
      <c r="G417" s="564"/>
      <c r="H417" s="565"/>
      <c r="I417" s="470"/>
      <c r="J417" s="470"/>
      <c r="K417" s="470"/>
      <c r="L417" s="470"/>
      <c r="M417" s="470"/>
      <c r="N417" s="470"/>
      <c r="O417" s="470"/>
      <c r="P417" s="470"/>
      <c r="Q417" s="470"/>
      <c r="R417" s="470"/>
      <c r="S417" s="470"/>
      <c r="T417" s="470"/>
      <c r="U417" s="470"/>
      <c r="V417" s="470"/>
      <c r="W417" s="470"/>
      <c r="X417" s="470"/>
      <c r="Y417" s="470"/>
      <c r="Z417" s="566"/>
      <c r="AA417" s="566"/>
      <c r="AB417" s="470"/>
      <c r="AC417" s="567"/>
      <c r="AF417" s="568"/>
    </row>
    <row r="418" spans="1:35" s="561" customFormat="1" ht="47.25" customHeight="1" x14ac:dyDescent="0.25">
      <c r="A418" s="560"/>
      <c r="C418" s="562"/>
      <c r="D418" s="560"/>
      <c r="E418" s="560"/>
      <c r="F418" s="569"/>
      <c r="G418" s="570"/>
      <c r="H418" s="560"/>
      <c r="I418" s="560"/>
      <c r="J418" s="560"/>
      <c r="K418" s="565"/>
      <c r="L418" s="565"/>
      <c r="M418" s="565"/>
      <c r="N418" s="565"/>
      <c r="O418" s="565"/>
      <c r="P418" s="565"/>
      <c r="Q418" s="565"/>
      <c r="R418" s="565"/>
      <c r="S418" s="565"/>
      <c r="T418" s="560"/>
      <c r="U418" s="560"/>
      <c r="V418" s="565"/>
      <c r="W418" s="560"/>
      <c r="X418" s="560"/>
      <c r="Y418" s="565"/>
      <c r="Z418" s="566"/>
      <c r="AA418" s="566"/>
      <c r="AB418" s="470"/>
      <c r="AC418" s="567"/>
      <c r="AF418" s="568"/>
    </row>
    <row r="419" spans="1:35" s="576" customFormat="1" ht="17.25" customHeight="1" x14ac:dyDescent="0.25">
      <c r="A419" s="571"/>
      <c r="B419" s="606"/>
      <c r="C419" s="606"/>
      <c r="D419" s="571"/>
      <c r="E419" s="571"/>
      <c r="F419" s="924"/>
      <c r="G419" s="925"/>
      <c r="H419" s="571"/>
      <c r="I419" s="571"/>
      <c r="J419" s="571"/>
      <c r="K419" s="575"/>
      <c r="L419" s="571"/>
      <c r="M419" s="571"/>
      <c r="N419" s="575"/>
      <c r="O419" s="571"/>
      <c r="P419" s="571"/>
      <c r="Q419" s="575"/>
      <c r="R419" s="575"/>
      <c r="S419" s="575"/>
      <c r="T419" s="571"/>
      <c r="U419" s="571"/>
      <c r="V419" s="575"/>
      <c r="W419" s="571"/>
      <c r="X419" s="571"/>
      <c r="Y419" s="575"/>
      <c r="Z419" s="575"/>
      <c r="AA419" s="575"/>
      <c r="AC419" s="926"/>
      <c r="AD419" s="562"/>
      <c r="AE419" s="562"/>
      <c r="AF419" s="568"/>
      <c r="AG419" s="561"/>
      <c r="AH419" s="561"/>
      <c r="AI419" s="927"/>
    </row>
    <row r="420" spans="1:35" s="1959" customFormat="1" ht="14.25" x14ac:dyDescent="0.2">
      <c r="A420" s="1955"/>
      <c r="B420" s="1955"/>
      <c r="C420" s="572" t="s">
        <v>1665</v>
      </c>
      <c r="D420" s="572"/>
      <c r="E420" s="572"/>
      <c r="F420" s="573"/>
      <c r="G420" s="574"/>
      <c r="H420" s="572">
        <f>H421+H422+H423+H424+H425+H426+H427</f>
        <v>1329.4</v>
      </c>
      <c r="I420" s="572"/>
      <c r="J420" s="572"/>
      <c r="K420" s="572">
        <f>K421+K422+K423+K424+K425+K426+K427</f>
        <v>891.2</v>
      </c>
      <c r="L420" s="572"/>
      <c r="M420" s="572"/>
      <c r="N420" s="572">
        <f>N421+N422+N423+N424+N425+N426+N427</f>
        <v>891.2</v>
      </c>
      <c r="O420" s="572"/>
      <c r="P420" s="572"/>
      <c r="Q420" s="572">
        <f>Q421+Q422+Q423+Q424+Q425+Q426+Q427</f>
        <v>1421.5</v>
      </c>
      <c r="R420" s="572">
        <f t="shared" ref="R420:S420" si="72">R421+R422+R423+R424+R425+R426+R427</f>
        <v>1187.5</v>
      </c>
      <c r="S420" s="572">
        <f t="shared" si="72"/>
        <v>233.9</v>
      </c>
      <c r="T420" s="572"/>
      <c r="U420" s="572"/>
      <c r="V420" s="572">
        <f>V421+V422+V423+V424+V425+V426+V427</f>
        <v>1248.4000000000001</v>
      </c>
      <c r="W420" s="572"/>
      <c r="X420" s="572"/>
      <c r="Y420" s="572">
        <f>Y421+Y422+Y423+Y424+Y425+Y426+Y427</f>
        <v>1248.4000000000001</v>
      </c>
      <c r="Z420" s="579"/>
      <c r="AA420" s="579"/>
      <c r="AB420" s="576"/>
      <c r="AC420" s="1956"/>
      <c r="AD420" s="1957"/>
      <c r="AE420" s="1957"/>
      <c r="AF420" s="1958"/>
      <c r="AG420" s="1958"/>
      <c r="AH420" s="1958"/>
    </row>
    <row r="421" spans="1:35" s="1982" customFormat="1" x14ac:dyDescent="0.25">
      <c r="A421" s="1978"/>
      <c r="B421" s="1978"/>
      <c r="C421" s="1979" t="s">
        <v>1237</v>
      </c>
      <c r="D421" s="1979"/>
      <c r="E421" s="1979"/>
      <c r="F421" s="1241"/>
      <c r="G421" s="1242"/>
      <c r="H421" s="1243">
        <f>H72+H96+H118+H180+H248+H280+H374</f>
        <v>92.5</v>
      </c>
      <c r="I421" s="1243"/>
      <c r="J421" s="1243"/>
      <c r="K421" s="1243">
        <f>K72+K96+K118+K180+K248+K280+K374</f>
        <v>91.3</v>
      </c>
      <c r="L421" s="1243"/>
      <c r="M421" s="1243"/>
      <c r="N421" s="1243">
        <f>N72+N96+N118+N180+N248+N280+N374</f>
        <v>91.3</v>
      </c>
      <c r="O421" s="1979"/>
      <c r="P421" s="1979"/>
      <c r="Q421" s="1979">
        <f>Q72+Q96+Q118+Q180+Q248+Q280+Q374</f>
        <v>85</v>
      </c>
      <c r="R421" s="1979">
        <f>R72+R96+R118+R180+R248+R280+R374</f>
        <v>77.5</v>
      </c>
      <c r="S421" s="1979">
        <f>S72+S96+S118+S180+S248+S280+S374</f>
        <v>7.5</v>
      </c>
      <c r="T421" s="1979"/>
      <c r="U421" s="1979"/>
      <c r="V421" s="1979">
        <f>V72+V96+V118+V180+V248+V280+V374</f>
        <v>85</v>
      </c>
      <c r="W421" s="1979"/>
      <c r="X421" s="1979"/>
      <c r="Y421" s="1979">
        <f>Y72+Y96+Y118+Y180+Y248+Y280+Y374</f>
        <v>85</v>
      </c>
      <c r="Z421" s="1978"/>
      <c r="AA421" s="1978"/>
      <c r="AB421" s="1980"/>
      <c r="AC421" s="1981"/>
      <c r="AF421" s="1983"/>
      <c r="AG421" s="1984"/>
      <c r="AH421" s="1984"/>
    </row>
    <row r="422" spans="1:35" s="1961" customFormat="1" x14ac:dyDescent="0.25">
      <c r="A422" s="571"/>
      <c r="B422" s="571"/>
      <c r="C422" s="578" t="s">
        <v>1230</v>
      </c>
      <c r="D422" s="578"/>
      <c r="E422" s="578"/>
      <c r="F422" s="1241"/>
      <c r="G422" s="1242"/>
      <c r="H422" s="1243">
        <f>H26+H46+H53+H76+H86+H104+H135+H148+H169+H192+H230+H266+H295+H304+H318+H338+H361+H376</f>
        <v>272.60000000000002</v>
      </c>
      <c r="I422" s="1243"/>
      <c r="J422" s="1243"/>
      <c r="K422" s="1243">
        <f>K26+K46+K53+K76+K86+K104+K135+K148+K169+K192+K230+K266+K295+K304+K318+K338+K361+K376</f>
        <v>259</v>
      </c>
      <c r="L422" s="1243"/>
      <c r="M422" s="1243"/>
      <c r="N422" s="1243">
        <f>N26+N46+N53+N76+N86+N104+N135+N148+N169+N192+N230+N266+N295+N304+N318+N338+N361+N376</f>
        <v>259</v>
      </c>
      <c r="O422" s="1243"/>
      <c r="P422" s="1243"/>
      <c r="Q422" s="1036">
        <f>Q26+Q46+Q53+Q76+Q86+Q104+Q135+Q148+Q169+Q192+Q230+Q266+Q295+Q304+Q318+Q338+Q361+Q376+Q397+Q405</f>
        <v>508.7</v>
      </c>
      <c r="R422" s="1962">
        <f>R26+R46+R53+R76+R86+R104+R135+R148+R169+R192+R230+R266+R295+R304+R318+R338+R361+R376+R397+R405</f>
        <v>460.1</v>
      </c>
      <c r="S422" s="1036">
        <f>S26+S46+S53+S76+S86+S104+S135+S148+S169+S192+S230+S266+S295+S304+S318+S338+S361+S376+S397+S405</f>
        <v>48.5</v>
      </c>
      <c r="T422" s="1243"/>
      <c r="U422" s="1243"/>
      <c r="V422" s="1243">
        <f>V26+V46+V53+V76+V86+V104+V135+V148+V169+V192+V230+V266+V295+V304+V318+V338+V361+V376</f>
        <v>396.4</v>
      </c>
      <c r="W422" s="1243"/>
      <c r="X422" s="1243"/>
      <c r="Y422" s="1243">
        <f>Y26+Y46+Y53+Y76+Y86+Y104+Y135+Y148+Y169+Y192+Y230+Y266+Y295+Y304+Y318+Y338+Y361+Y376</f>
        <v>396.4</v>
      </c>
      <c r="Z422" s="575"/>
      <c r="AA422" s="575"/>
      <c r="AB422" s="576"/>
      <c r="AC422" s="577"/>
      <c r="AD422" s="1960"/>
      <c r="AE422" s="1960"/>
      <c r="AF422" s="1958"/>
      <c r="AG422" s="560"/>
      <c r="AH422" s="560"/>
    </row>
    <row r="423" spans="1:35" s="1961" customFormat="1" x14ac:dyDescent="0.25">
      <c r="A423" s="571"/>
      <c r="B423" s="571"/>
      <c r="C423" s="578" t="s">
        <v>796</v>
      </c>
      <c r="D423" s="578"/>
      <c r="E423" s="578"/>
      <c r="F423" s="1241"/>
      <c r="G423" s="1242"/>
      <c r="H423" s="1243">
        <f>H20+H22+H23+H24+H43+H44+H65+H95+H114+H142+H154+H166+H183+H209+H242+H279+H294+H315+H335+H343+H392</f>
        <v>201.4</v>
      </c>
      <c r="I423" s="1243"/>
      <c r="J423" s="1243"/>
      <c r="K423" s="1243">
        <f>K20+K22+K23+K24+K43+K44+K65+K95+K114+K142+K154+K166+K183+K209+K242+K279+K294+K315+K335+K343+K392</f>
        <v>176.5</v>
      </c>
      <c r="L423" s="1243"/>
      <c r="M423" s="1243"/>
      <c r="N423" s="1243">
        <f>N20+N22+N23+N24+N43+N44+N65+N95+N114+N142+N154+N166+N183+N209+N242+N279+N294+N315+N335+N343+N392</f>
        <v>176.5</v>
      </c>
      <c r="O423" s="1243"/>
      <c r="P423" s="1243"/>
      <c r="Q423" s="1243">
        <f>Q20+Q22+Q23+Q24+Q43+Q44+Q65+Q95+Q114+Q142+Q154+Q166+Q183+Q209+Q242+Q279+Q294+Q315+Q335+Q343+Q392</f>
        <v>159.30000000000001</v>
      </c>
      <c r="R423" s="1243">
        <f>R20+R22+R23+R24+R43+R44+R65+R95+R114+R142+R154+R166+R183+R209+R242+R279+R294+R315+R335+R343+R392</f>
        <v>129.30000000000001</v>
      </c>
      <c r="S423" s="1243">
        <f>S20+S22+S23+S24+S43+S44+S65+S95+S114+S142+S154+S166+S183+S209+S242+S279+S294+S315+S335+S343+S392</f>
        <v>30</v>
      </c>
      <c r="T423" s="1243"/>
      <c r="U423" s="1243"/>
      <c r="V423" s="1243">
        <f>V20+V22+V23+V24+V43+V44+V65+V95+V114+V142+V154+V166+V183+V209+V242+V279+V294+V315+V335+V343+V392</f>
        <v>129.30000000000001</v>
      </c>
      <c r="W423" s="1243"/>
      <c r="X423" s="1243"/>
      <c r="Y423" s="1243">
        <f>Y20+Y22+Y23+Y24+Y43+Y44+Y65+Y95+Y114+Y142+Y154+Y166+Y183+Y209+Y242+Y279+Y294+Y315+Y335+Y343+Y392</f>
        <v>129.30000000000001</v>
      </c>
      <c r="Z423" s="575"/>
      <c r="AA423" s="575"/>
      <c r="AB423" s="576"/>
      <c r="AC423" s="577"/>
      <c r="AD423" s="1960"/>
      <c r="AE423" s="1960"/>
      <c r="AF423" s="1958"/>
      <c r="AG423" s="560"/>
      <c r="AH423" s="560"/>
    </row>
    <row r="424" spans="1:35" s="1961" customFormat="1" x14ac:dyDescent="0.25">
      <c r="A424" s="571"/>
      <c r="B424" s="571"/>
      <c r="C424" s="578" t="s">
        <v>800</v>
      </c>
      <c r="D424" s="578"/>
      <c r="E424" s="578"/>
      <c r="F424" s="1241"/>
      <c r="G424" s="1242"/>
      <c r="H424" s="1243">
        <f>H126+H244+H358+H369+H394+H414</f>
        <v>242.9</v>
      </c>
      <c r="I424" s="1243"/>
      <c r="J424" s="1243"/>
      <c r="K424" s="1243">
        <f>K126+K244+K247+K358+K369+K394+K414</f>
        <v>3.5</v>
      </c>
      <c r="L424" s="1243"/>
      <c r="M424" s="1243"/>
      <c r="N424" s="1243">
        <f>N126+N244+N247+N358+N369+N394+N414</f>
        <v>3.5</v>
      </c>
      <c r="O424" s="1243"/>
      <c r="P424" s="1243"/>
      <c r="Q424" s="1243">
        <f>Q126+Q244+Q247+Q358+Q369+Q394+Q414</f>
        <v>172.4</v>
      </c>
      <c r="R424" s="1243">
        <f>R126+R244+R247+R358+R369+R394+R414</f>
        <v>115.7</v>
      </c>
      <c r="S424" s="1243">
        <f>S126+S244+S247+S358+S369+S394+S414</f>
        <v>56.7</v>
      </c>
      <c r="T424" s="1243"/>
      <c r="U424" s="1243"/>
      <c r="V424" s="1243">
        <f>V126+V244+V247+V358+V369+V394+V414</f>
        <v>213.5</v>
      </c>
      <c r="W424" s="1243"/>
      <c r="X424" s="1243"/>
      <c r="Y424" s="1243">
        <f>Y126+Y244+Y247+Y358+Y369+Y394+Y414</f>
        <v>213.5</v>
      </c>
      <c r="Z424" s="575"/>
      <c r="AA424" s="575"/>
      <c r="AB424" s="576"/>
      <c r="AC424" s="577"/>
      <c r="AD424" s="1960"/>
      <c r="AE424" s="1960"/>
      <c r="AF424" s="1958"/>
      <c r="AG424" s="560"/>
      <c r="AH424" s="560"/>
    </row>
    <row r="425" spans="1:35" s="1961" customFormat="1" x14ac:dyDescent="0.25">
      <c r="A425" s="571"/>
      <c r="B425" s="571"/>
      <c r="C425" s="578" t="s">
        <v>797</v>
      </c>
      <c r="D425" s="578"/>
      <c r="E425" s="578"/>
      <c r="F425" s="1241"/>
      <c r="G425" s="1242"/>
      <c r="H425" s="1243">
        <f>H12+H16+H21+H34+H38+H60+H64+H68+H81+H83+H91+H98+H115+H119+H120+H141+H144+H155+H156+H159+H163+H179+H185+H188+H201+H203+H207+H210+H215+H222+H223+H227+H249+H254+H258+H265+H287+H283+H288+H293+H309+H312+H324+H329+H334+H344+H345+H349+H355+H370+H371+H380+H386+H393+H395</f>
        <v>385</v>
      </c>
      <c r="I425" s="1243"/>
      <c r="J425" s="1243"/>
      <c r="K425" s="1243">
        <f>K12+K16+K21+K34+K38+K60+K64+K68+K81+K83+K91+K98+K115+K119+K120+K141+K144+K155+K156+K159+K163+K179+K185+K188+K201+K203+K207+K210+K215+K222+K223+K227+K249+K254+K258+K265+K287+K283+K288+K293+K309+K312+K324+K329+K334+K344+K345+K349+K355+K370+K371+K380+K386+K393+K395</f>
        <v>225.9</v>
      </c>
      <c r="L425" s="1243"/>
      <c r="M425" s="1243"/>
      <c r="N425" s="1243">
        <f>N12+N16+N21+N34+N38+N60+N64+N68+N81+N83+N91+N98+N115+N119+N120+N141+N144+N155+N156+N159+N163+N179+N185+N188+N201+N203+N207+N210+N215+N222+N223+N227+N249+N254+N258+N265+N287+N283+N288+N293+N309+N312+N324+N329+N334+N344+N345+N349+N355+N370+N371+N380+N386+N393+N395</f>
        <v>240.9</v>
      </c>
      <c r="O425" s="1243"/>
      <c r="P425" s="1243"/>
      <c r="Q425" s="1243">
        <f>Q12+Q16+Q21+Q34+Q38+Q60+Q64+Q68+Q81+Q83+Q91+Q98+Q115+Q119+Q120+Q141+Q144+Q155+Q156+Q159+Q163+Q179+Q185+Q188+Q201+Q203+Q207+Q210+Q215+Q222+Q223+Q227+Q249+Q254+Q258+Q265+Q287+Q283+Q288+Q293+Q309+Q312+Q324+Q329+Q334+Q344+Q345+Q349+Q355+Q370+Q371+Q380+Q386+Q393+Q395</f>
        <v>360.1</v>
      </c>
      <c r="R425" s="1243">
        <f>R12+R16+R21+R34+R38+R60+R64+R68+R81+R83+R91+R98+R115+R119+R120+R141+R144+R155+R156+R159+R163+R179+R185+R188+R201+R203+R207+R210+R215+R222+R223+R227+R249+R254+R258+R265+R287+R283+R288+R293+R309+R312+R324+R329+R334+R344+R345+R349+R355+R370+R371+R380+R386+R393+R395</f>
        <v>274.89999999999998</v>
      </c>
      <c r="S425" s="1243">
        <f>S12+S16+S21+S34+S38+S60+S64+S68+S81+S83+S91+S98+S115+S119+S120+S141+S144+S155+S156+S159+S163+S179+S185+S188+S201+S203+S207+S210+S215+S222+S223+S227+S249+S254+S258+S265+S287+S283+S288+S293+S309+S312+S324+S329+S334+S344+S345+S349+S355+S370+S371+S380+S386+S393+S395</f>
        <v>85.2</v>
      </c>
      <c r="T425" s="1243"/>
      <c r="U425" s="1243"/>
      <c r="V425" s="1243">
        <f>V12+V16+V21+V34+V38+V60+V64+V68+V81+V83+V91+V98+V115+V119+V120+V141+V144+V155+V156+V159+V163+V179+V185+V188+V201+V203+V207+V210+V215+V222+V223+V227+V249+V254+V258+V265+V287+V283+V288+V293+V309+V312+V324+V329+V334+V344+V345+V349+V355+V370+V371+V380+V386+V393+V395</f>
        <v>294.2</v>
      </c>
      <c r="W425" s="1243"/>
      <c r="X425" s="1243"/>
      <c r="Y425" s="1243">
        <f>Y12+Y16+Y21+Y34+Y38+Y60+Y64+Y68+Y81+Y83+Y91+Y98+Y115+Y119+Y120+Y141+Y144+Y155+Y156+Y159+Y163+Y179+Y185+Y188+Y201+Y203+Y207+Y210+Y215+Y222+Y223+Y227+Y249+Y254+Y258+Y265+Y287+Y283+Y288+Y293+Y309+Y312+Y324+Y329+Y334+Y344+Y345+Y349+Y355+Y370+Y371+Y380+Y386+Y393+Y395</f>
        <v>294.2</v>
      </c>
      <c r="Z425" s="575"/>
      <c r="AA425" s="575"/>
      <c r="AB425" s="576"/>
      <c r="AC425" s="577"/>
      <c r="AD425" s="1960"/>
      <c r="AE425" s="1960"/>
      <c r="AF425" s="1958"/>
      <c r="AG425" s="560"/>
      <c r="AH425" s="560"/>
    </row>
    <row r="426" spans="1:35" s="1961" customFormat="1" x14ac:dyDescent="0.25">
      <c r="A426" s="571"/>
      <c r="B426" s="571"/>
      <c r="C426" s="607">
        <v>981</v>
      </c>
      <c r="D426" s="578"/>
      <c r="E426" s="578"/>
      <c r="F426" s="1241"/>
      <c r="G426" s="1242"/>
      <c r="H426" s="1243">
        <f>H80+H97</f>
        <v>135</v>
      </c>
      <c r="I426" s="1243"/>
      <c r="J426" s="1243"/>
      <c r="K426" s="1243">
        <f>K80+K97</f>
        <v>135</v>
      </c>
      <c r="L426" s="1243"/>
      <c r="M426" s="1243"/>
      <c r="N426" s="1243">
        <f>N80+N97</f>
        <v>120</v>
      </c>
      <c r="O426" s="1243"/>
      <c r="P426" s="1243"/>
      <c r="Q426" s="1243">
        <f>Q80+Q97</f>
        <v>120</v>
      </c>
      <c r="R426" s="1243">
        <f>R80+R97</f>
        <v>120</v>
      </c>
      <c r="S426" s="1243">
        <f>S80+S97</f>
        <v>0</v>
      </c>
      <c r="T426" s="1243"/>
      <c r="U426" s="1243"/>
      <c r="V426" s="1243">
        <f>V80+V97</f>
        <v>120</v>
      </c>
      <c r="W426" s="1243"/>
      <c r="X426" s="1243"/>
      <c r="Y426" s="1243">
        <f>Y80+Y97</f>
        <v>120</v>
      </c>
      <c r="Z426" s="575"/>
      <c r="AA426" s="575"/>
      <c r="AB426" s="576"/>
      <c r="AC426" s="577"/>
      <c r="AD426" s="1960"/>
      <c r="AE426" s="1960"/>
      <c r="AF426" s="1958"/>
      <c r="AG426" s="560"/>
      <c r="AH426" s="560"/>
    </row>
    <row r="427" spans="1:35" s="1961" customFormat="1" x14ac:dyDescent="0.25">
      <c r="A427" s="571"/>
      <c r="B427" s="571"/>
      <c r="C427" s="607">
        <v>981</v>
      </c>
      <c r="D427" s="578"/>
      <c r="E427" s="578"/>
      <c r="F427" s="1241"/>
      <c r="G427" s="1242"/>
      <c r="H427" s="1243">
        <f>H71+H125+H208+H264</f>
        <v>0</v>
      </c>
      <c r="I427" s="1243"/>
      <c r="J427" s="1243"/>
      <c r="K427" s="1243">
        <f>K71+K125+K208+K264</f>
        <v>0</v>
      </c>
      <c r="L427" s="1243"/>
      <c r="M427" s="1243"/>
      <c r="N427" s="1243">
        <f>N71+N125+N208+N264</f>
        <v>0</v>
      </c>
      <c r="O427" s="1243"/>
      <c r="P427" s="1243"/>
      <c r="Q427" s="1243">
        <f>Q71+Q125+Q208+Q264</f>
        <v>16</v>
      </c>
      <c r="R427" s="1243">
        <f>R71+R125+R208+R264</f>
        <v>10</v>
      </c>
      <c r="S427" s="1243">
        <f>S71+S125+S208+S264</f>
        <v>6</v>
      </c>
      <c r="T427" s="1243"/>
      <c r="U427" s="1243"/>
      <c r="V427" s="1243">
        <f>V71+V125+V208+V264</f>
        <v>10</v>
      </c>
      <c r="W427" s="1243"/>
      <c r="X427" s="1243"/>
      <c r="Y427" s="1243">
        <f>Y71+Y125+Y208+Y264</f>
        <v>10</v>
      </c>
      <c r="Z427" s="575"/>
      <c r="AA427" s="575"/>
      <c r="AB427" s="576"/>
      <c r="AC427" s="577"/>
      <c r="AD427" s="1960"/>
      <c r="AE427" s="1960"/>
      <c r="AF427" s="1958"/>
      <c r="AG427" s="560"/>
      <c r="AH427" s="560"/>
    </row>
    <row r="428" spans="1:35" s="1961" customFormat="1" x14ac:dyDescent="0.25">
      <c r="A428" s="571"/>
      <c r="B428" s="571"/>
      <c r="C428" s="580" t="s">
        <v>217</v>
      </c>
      <c r="D428" s="580"/>
      <c r="E428" s="580"/>
      <c r="F428" s="581"/>
      <c r="G428" s="582"/>
      <c r="H428" s="580">
        <f>H11+H33+H52+H74+H147+H158+H182+H191+H214+H253+H282+H303+H317+H337+H353+H413</f>
        <v>1329.4</v>
      </c>
      <c r="I428" s="580"/>
      <c r="J428" s="580"/>
      <c r="K428" s="580">
        <f>K11+K33+K52+K74+K147+K158+K182+K191+K214+K253+K282+K303+K317+K337+K353+K413</f>
        <v>891.2</v>
      </c>
      <c r="L428" s="580"/>
      <c r="M428" s="580"/>
      <c r="N428" s="580">
        <f>N11+N33+N52+N74+N147+N158+N182+N191+N214+N253+N282+N303+N317+N337+N353+N413</f>
        <v>891.2</v>
      </c>
      <c r="O428" s="580"/>
      <c r="P428" s="580"/>
      <c r="Q428" s="580">
        <f>Q11+Q33+Q52+Q74+Q147+Q158+Q182+Q191+Q214+Q253+Q282+Q303+Q317+Q337+Q353+Q413+Q404+Q396</f>
        <v>1421.5</v>
      </c>
      <c r="R428" s="580">
        <f>R11+R33+R52+R74+R147+R158+R182+R191+R214+R253+R282+R303+R317+R337+R353+R413+R404+R396</f>
        <v>1187.5</v>
      </c>
      <c r="S428" s="580">
        <f>S11+S33+S52+S74+S147+S158+S182+S191+S214+S253+S282+S303+S317+S337+S353+S413+S404+S396</f>
        <v>233.9</v>
      </c>
      <c r="T428" s="580"/>
      <c r="U428" s="580"/>
      <c r="V428" s="580">
        <f>V11+V33+V52+V74+V147+V158+V182+V191+V214+V253+V282+V303+V317+V337+V353+V413</f>
        <v>1248.4000000000001</v>
      </c>
      <c r="W428" s="580"/>
      <c r="X428" s="580"/>
      <c r="Y428" s="580">
        <f>Y11+Y33+Y52+Y74+Y147+Y158+Y182+Y191+Y214+Y253+Y282+Y303+Y317+Y337+Y353+Y413</f>
        <v>1248.4000000000001</v>
      </c>
      <c r="Z428" s="575"/>
      <c r="AA428" s="575"/>
      <c r="AB428" s="576"/>
      <c r="AC428" s="577"/>
      <c r="AD428" s="1960"/>
      <c r="AE428" s="1960"/>
      <c r="AF428" s="1958"/>
      <c r="AG428" s="560"/>
      <c r="AH428" s="560"/>
    </row>
    <row r="429" spans="1:35" s="1961" customFormat="1" x14ac:dyDescent="0.25">
      <c r="A429" s="571"/>
      <c r="B429" s="571"/>
      <c r="C429" s="578"/>
      <c r="D429" s="578"/>
      <c r="E429" s="578"/>
      <c r="F429" s="1241"/>
      <c r="G429" s="1242"/>
      <c r="H429" s="1243">
        <f t="shared" ref="H429:Y429" si="73">H428-H420</f>
        <v>0</v>
      </c>
      <c r="I429" s="1243">
        <f t="shared" si="73"/>
        <v>0</v>
      </c>
      <c r="J429" s="1243">
        <f t="shared" si="73"/>
        <v>0</v>
      </c>
      <c r="K429" s="1243">
        <f t="shared" si="73"/>
        <v>0</v>
      </c>
      <c r="L429" s="1243">
        <f t="shared" si="73"/>
        <v>0</v>
      </c>
      <c r="M429" s="1243">
        <f t="shared" si="73"/>
        <v>0</v>
      </c>
      <c r="N429" s="1243">
        <f t="shared" si="73"/>
        <v>0</v>
      </c>
      <c r="O429" s="1243">
        <f t="shared" si="73"/>
        <v>0</v>
      </c>
      <c r="P429" s="1243">
        <f t="shared" si="73"/>
        <v>0</v>
      </c>
      <c r="Q429" s="1243">
        <f t="shared" si="73"/>
        <v>0</v>
      </c>
      <c r="R429" s="1243">
        <f t="shared" si="73"/>
        <v>0</v>
      </c>
      <c r="S429" s="1243">
        <f t="shared" si="73"/>
        <v>0</v>
      </c>
      <c r="T429" s="1243">
        <f t="shared" si="73"/>
        <v>0</v>
      </c>
      <c r="U429" s="1243">
        <f t="shared" si="73"/>
        <v>0</v>
      </c>
      <c r="V429" s="1243">
        <f t="shared" si="73"/>
        <v>0</v>
      </c>
      <c r="W429" s="1243">
        <f t="shared" si="73"/>
        <v>0</v>
      </c>
      <c r="X429" s="1243">
        <f t="shared" si="73"/>
        <v>0</v>
      </c>
      <c r="Y429" s="1243">
        <f t="shared" si="73"/>
        <v>0</v>
      </c>
      <c r="Z429" s="575"/>
      <c r="AA429" s="575"/>
      <c r="AB429" s="576"/>
      <c r="AC429" s="577"/>
      <c r="AD429" s="1960"/>
      <c r="AE429" s="1960"/>
      <c r="AF429" s="1958"/>
      <c r="AG429" s="560"/>
      <c r="AH429" s="560"/>
    </row>
    <row r="432" spans="1:35" x14ac:dyDescent="0.25">
      <c r="R432" s="1963"/>
    </row>
  </sheetData>
  <autoFilter ref="A8:AN416">
    <filterColumn colId="2">
      <filters>
        <filter val="922"/>
      </filters>
    </filterColumn>
  </autoFilter>
  <mergeCells count="45">
    <mergeCell ref="A3:AB3"/>
    <mergeCell ref="A5:A7"/>
    <mergeCell ref="B5:B7"/>
    <mergeCell ref="C5:C7"/>
    <mergeCell ref="D5:D7"/>
    <mergeCell ref="E5:E7"/>
    <mergeCell ref="F5:H5"/>
    <mergeCell ref="I5:K5"/>
    <mergeCell ref="L5:N5"/>
    <mergeCell ref="O5:Q5"/>
    <mergeCell ref="F6:F7"/>
    <mergeCell ref="G6:G7"/>
    <mergeCell ref="H6:H7"/>
    <mergeCell ref="I6:I7"/>
    <mergeCell ref="J6:J7"/>
    <mergeCell ref="P6:P7"/>
    <mergeCell ref="R5:S5"/>
    <mergeCell ref="T5:V5"/>
    <mergeCell ref="W5:Y5"/>
    <mergeCell ref="Z5:AA5"/>
    <mergeCell ref="AB396:AB403"/>
    <mergeCell ref="AB404:AB411"/>
    <mergeCell ref="Y6:Y7"/>
    <mergeCell ref="Z6:Z7"/>
    <mergeCell ref="AA6:AA7"/>
    <mergeCell ref="AB136:AB138"/>
    <mergeCell ref="AB142:AB143"/>
    <mergeCell ref="AB174:AB177"/>
    <mergeCell ref="AB5:AB7"/>
    <mergeCell ref="A2:AB2"/>
    <mergeCell ref="AB238:AB240"/>
    <mergeCell ref="AB273:AB277"/>
    <mergeCell ref="AB304:AB308"/>
    <mergeCell ref="AB366:AB367"/>
    <mergeCell ref="Q6:Q7"/>
    <mergeCell ref="T6:T7"/>
    <mergeCell ref="U6:U7"/>
    <mergeCell ref="V6:V7"/>
    <mergeCell ref="W6:W7"/>
    <mergeCell ref="X6:X7"/>
    <mergeCell ref="K6:K7"/>
    <mergeCell ref="L6:L7"/>
    <mergeCell ref="M6:M7"/>
    <mergeCell ref="N6:N7"/>
    <mergeCell ref="O6:O7"/>
  </mergeCells>
  <pageMargins left="0.7" right="0.7" top="0.75" bottom="0.75" header="0.3" footer="0.3"/>
  <pageSetup paperSize="9" scale="2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89"/>
  <sheetViews>
    <sheetView view="pageBreakPreview" zoomScale="80" zoomScaleNormal="85" zoomScaleSheetLayoutView="80" workbookViewId="0">
      <pane ySplit="8" topLeftCell="A9" activePane="bottomLeft" state="frozen"/>
      <selection pane="bottomLeft" activeCell="R17" sqref="R17"/>
    </sheetView>
  </sheetViews>
  <sheetFormatPr defaultRowHeight="11.25" x14ac:dyDescent="0.2"/>
  <cols>
    <col min="1" max="1" width="9.1640625" style="419" bestFit="1" customWidth="1"/>
    <col min="2" max="2" width="42.5" style="399" customWidth="1"/>
    <col min="3" max="3" width="10.33203125" style="400" customWidth="1"/>
    <col min="4" max="4" width="9.6640625" style="402" customWidth="1"/>
    <col min="5" max="5" width="12.6640625" style="402" customWidth="1"/>
    <col min="6" max="7" width="9.6640625" style="402" customWidth="1"/>
    <col min="8" max="8" width="9.33203125" style="402"/>
    <col min="9" max="12" width="10.6640625" style="401" customWidth="1"/>
    <col min="13" max="14" width="9.83203125" style="401" customWidth="1"/>
    <col min="15" max="15" width="10.5" style="401" customWidth="1"/>
    <col min="16" max="16" width="13.5" style="401" customWidth="1"/>
    <col min="17" max="17" width="13.1640625" style="401" customWidth="1"/>
    <col min="18" max="18" width="11.6640625" style="401" bestFit="1" customWidth="1"/>
    <col min="19" max="19" width="11.5" style="401" bestFit="1" customWidth="1"/>
    <col min="20" max="20" width="38.5" style="401" customWidth="1"/>
    <col min="21" max="21" width="10.6640625" style="401" customWidth="1"/>
    <col min="22" max="22" width="16.1640625" style="401" customWidth="1"/>
    <col min="23" max="16384" width="9.33203125" style="402"/>
  </cols>
  <sheetData>
    <row r="1" spans="1:22" ht="16.5" x14ac:dyDescent="0.25">
      <c r="A1" s="398"/>
      <c r="N1" s="3558" t="s">
        <v>547</v>
      </c>
      <c r="O1" s="3559"/>
      <c r="P1" s="3559"/>
      <c r="Q1" s="3559"/>
      <c r="R1" s="3559"/>
      <c r="S1" s="3559"/>
      <c r="T1" s="3559"/>
      <c r="U1" s="3559"/>
      <c r="V1" s="3559"/>
    </row>
    <row r="2" spans="1:22" ht="52.5" customHeight="1" x14ac:dyDescent="0.2">
      <c r="A2" s="3560" t="s">
        <v>709</v>
      </c>
      <c r="B2" s="3560"/>
      <c r="C2" s="3560"/>
      <c r="D2" s="3560"/>
      <c r="E2" s="3560"/>
      <c r="F2" s="3560"/>
      <c r="G2" s="3560"/>
      <c r="H2" s="3560"/>
      <c r="I2" s="3560"/>
      <c r="J2" s="3560"/>
      <c r="K2" s="3560"/>
      <c r="L2" s="3560"/>
      <c r="M2" s="3560"/>
      <c r="N2" s="3560"/>
      <c r="O2" s="3560"/>
      <c r="P2" s="3560"/>
      <c r="Q2" s="3560"/>
      <c r="R2" s="3560"/>
      <c r="S2" s="3560"/>
      <c r="T2" s="3560"/>
      <c r="U2" s="3560"/>
      <c r="V2" s="3560"/>
    </row>
    <row r="3" spans="1:22" ht="30" customHeight="1" x14ac:dyDescent="0.2">
      <c r="A3" s="3560" t="s">
        <v>1999</v>
      </c>
      <c r="B3" s="3560"/>
      <c r="C3" s="3560"/>
      <c r="D3" s="3560"/>
      <c r="E3" s="3560"/>
      <c r="F3" s="3560"/>
      <c r="G3" s="3560"/>
      <c r="H3" s="3560"/>
      <c r="I3" s="3560"/>
      <c r="J3" s="3560"/>
      <c r="K3" s="3560"/>
      <c r="L3" s="3560"/>
      <c r="M3" s="3560"/>
      <c r="N3" s="3560"/>
      <c r="O3" s="3560"/>
      <c r="P3" s="3560"/>
      <c r="Q3" s="3560"/>
      <c r="R3" s="3560"/>
      <c r="S3" s="3560"/>
      <c r="T3" s="3560"/>
      <c r="U3" s="3560"/>
      <c r="V3" s="3560"/>
    </row>
    <row r="4" spans="1:22" ht="25.5" x14ac:dyDescent="0.2">
      <c r="A4" s="421"/>
      <c r="B4" s="421"/>
      <c r="C4" s="421"/>
      <c r="D4" s="421"/>
      <c r="E4" s="421"/>
      <c r="F4" s="421"/>
      <c r="G4" s="421"/>
      <c r="H4" s="421"/>
      <c r="I4" s="421"/>
      <c r="J4" s="421"/>
      <c r="K4" s="421"/>
      <c r="L4" s="421"/>
      <c r="M4" s="421"/>
      <c r="N4" s="421"/>
      <c r="O4" s="421"/>
      <c r="P4" s="421"/>
      <c r="Q4" s="421"/>
      <c r="R4" s="421"/>
      <c r="S4" s="421"/>
      <c r="T4" s="421"/>
      <c r="U4" s="421"/>
      <c r="V4" s="1045">
        <v>43831</v>
      </c>
    </row>
    <row r="5" spans="1:22" s="403" customFormat="1" ht="12.75" x14ac:dyDescent="0.2">
      <c r="A5" s="3561" t="s">
        <v>191</v>
      </c>
      <c r="B5" s="3562" t="s">
        <v>192</v>
      </c>
      <c r="C5" s="3563" t="s">
        <v>193</v>
      </c>
      <c r="D5" s="3564" t="s">
        <v>548</v>
      </c>
      <c r="E5" s="3564"/>
      <c r="F5" s="3564"/>
      <c r="G5" s="3564"/>
      <c r="H5" s="3564"/>
      <c r="I5" s="3564" t="s">
        <v>549</v>
      </c>
      <c r="J5" s="3564"/>
      <c r="K5" s="3564"/>
      <c r="L5" s="3564"/>
      <c r="M5" s="3564"/>
      <c r="N5" s="3564"/>
      <c r="O5" s="3564" t="s">
        <v>550</v>
      </c>
      <c r="P5" s="3564"/>
      <c r="Q5" s="3564"/>
      <c r="R5" s="3564"/>
      <c r="S5" s="3564"/>
      <c r="T5" s="3565" t="s">
        <v>435</v>
      </c>
      <c r="U5" s="3557" t="s">
        <v>551</v>
      </c>
      <c r="V5" s="3557" t="s">
        <v>552</v>
      </c>
    </row>
    <row r="6" spans="1:22" s="403" customFormat="1" ht="11.25" customHeight="1" x14ac:dyDescent="0.2">
      <c r="A6" s="3561"/>
      <c r="B6" s="3562"/>
      <c r="C6" s="3563"/>
      <c r="D6" s="3550" t="s">
        <v>553</v>
      </c>
      <c r="E6" s="3550" t="s">
        <v>554</v>
      </c>
      <c r="F6" s="3550" t="s">
        <v>555</v>
      </c>
      <c r="G6" s="3550" t="s">
        <v>200</v>
      </c>
      <c r="H6" s="3550" t="s">
        <v>556</v>
      </c>
      <c r="I6" s="3551" t="s">
        <v>553</v>
      </c>
      <c r="J6" s="3551" t="s">
        <v>554</v>
      </c>
      <c r="K6" s="3551" t="s">
        <v>555</v>
      </c>
      <c r="L6" s="3551" t="s">
        <v>200</v>
      </c>
      <c r="M6" s="3551" t="s">
        <v>556</v>
      </c>
      <c r="N6" s="3550" t="s">
        <v>557</v>
      </c>
      <c r="O6" s="3550" t="s">
        <v>553</v>
      </c>
      <c r="P6" s="3550" t="s">
        <v>558</v>
      </c>
      <c r="Q6" s="3550"/>
      <c r="R6" s="3550" t="s">
        <v>200</v>
      </c>
      <c r="S6" s="3550" t="s">
        <v>556</v>
      </c>
      <c r="T6" s="3565"/>
      <c r="U6" s="3557"/>
      <c r="V6" s="3557"/>
    </row>
    <row r="7" spans="1:22" s="403" customFormat="1" ht="11.25" customHeight="1" x14ac:dyDescent="0.2">
      <c r="A7" s="3561"/>
      <c r="B7" s="3562"/>
      <c r="C7" s="3563"/>
      <c r="D7" s="3550"/>
      <c r="E7" s="3550"/>
      <c r="F7" s="3550"/>
      <c r="G7" s="3550"/>
      <c r="H7" s="3550"/>
      <c r="I7" s="3552"/>
      <c r="J7" s="3552"/>
      <c r="K7" s="3552"/>
      <c r="L7" s="3552"/>
      <c r="M7" s="3552"/>
      <c r="N7" s="3550"/>
      <c r="O7" s="3550"/>
      <c r="P7" s="3550" t="s">
        <v>559</v>
      </c>
      <c r="Q7" s="3550" t="s">
        <v>449</v>
      </c>
      <c r="R7" s="3550"/>
      <c r="S7" s="3550"/>
      <c r="T7" s="3565"/>
      <c r="U7" s="3557"/>
      <c r="V7" s="3557"/>
    </row>
    <row r="8" spans="1:22" s="403" customFormat="1" ht="11.25" customHeight="1" x14ac:dyDescent="0.2">
      <c r="A8" s="3561"/>
      <c r="B8" s="3562"/>
      <c r="C8" s="3563"/>
      <c r="D8" s="3550"/>
      <c r="E8" s="3550"/>
      <c r="F8" s="3550"/>
      <c r="G8" s="3550"/>
      <c r="H8" s="3550"/>
      <c r="I8" s="3553"/>
      <c r="J8" s="3553"/>
      <c r="K8" s="3553"/>
      <c r="L8" s="3553"/>
      <c r="M8" s="3553"/>
      <c r="N8" s="3550"/>
      <c r="O8" s="3550"/>
      <c r="P8" s="3550"/>
      <c r="Q8" s="3550"/>
      <c r="R8" s="3550"/>
      <c r="S8" s="3550"/>
      <c r="T8" s="3565"/>
      <c r="U8" s="3557"/>
      <c r="V8" s="3557"/>
    </row>
    <row r="9" spans="1:22" s="405" customFormat="1" ht="25.5" x14ac:dyDescent="0.2">
      <c r="A9" s="1985" t="s">
        <v>560</v>
      </c>
      <c r="B9" s="1986" t="s">
        <v>561</v>
      </c>
      <c r="C9" s="1987"/>
      <c r="D9" s="1988"/>
      <c r="E9" s="1988"/>
      <c r="F9" s="1988"/>
      <c r="G9" s="1988"/>
      <c r="H9" s="404">
        <f>IFERROR(G9/E9,0)</f>
        <v>0</v>
      </c>
      <c r="I9" s="1989"/>
      <c r="J9" s="1989"/>
      <c r="K9" s="1989"/>
      <c r="L9" s="1989"/>
      <c r="M9" s="404">
        <f>IFERROR(L9/J9,0)</f>
        <v>0</v>
      </c>
      <c r="N9" s="404">
        <f>IFERROR(J9/I9,0)</f>
        <v>0</v>
      </c>
      <c r="O9" s="1989"/>
      <c r="P9" s="1989"/>
      <c r="Q9" s="1989"/>
      <c r="R9" s="1989"/>
      <c r="S9" s="404">
        <f t="shared" ref="S9:S73" si="0">IFERROR(R9/P9,0)</f>
        <v>0</v>
      </c>
      <c r="T9" s="1989"/>
      <c r="U9" s="1989"/>
      <c r="V9" s="1989"/>
    </row>
    <row r="10" spans="1:22" x14ac:dyDescent="0.2">
      <c r="A10" s="1990" t="s">
        <v>562</v>
      </c>
      <c r="B10" s="1991" t="s">
        <v>563</v>
      </c>
      <c r="C10" s="1992" t="s">
        <v>564</v>
      </c>
      <c r="D10" s="1993">
        <v>0</v>
      </c>
      <c r="E10" s="1993">
        <v>0</v>
      </c>
      <c r="F10" s="1993">
        <v>0</v>
      </c>
      <c r="G10" s="1993">
        <v>0</v>
      </c>
      <c r="H10" s="404">
        <f t="shared" ref="H10:H75" si="1">IFERROR(G10/E10,0)</f>
        <v>0</v>
      </c>
      <c r="I10" s="404">
        <v>0</v>
      </c>
      <c r="J10" s="404">
        <v>0</v>
      </c>
      <c r="K10" s="404">
        <v>0</v>
      </c>
      <c r="L10" s="404">
        <v>0</v>
      </c>
      <c r="M10" s="404">
        <f t="shared" ref="M10:M75" si="2">IFERROR(L10/J10,0)</f>
        <v>0</v>
      </c>
      <c r="N10" s="404">
        <f t="shared" ref="N10:N75" si="3">IFERROR(J10/I10,0)</f>
        <v>0</v>
      </c>
      <c r="O10" s="404">
        <v>0</v>
      </c>
      <c r="P10" s="404">
        <v>0</v>
      </c>
      <c r="Q10" s="404">
        <v>0</v>
      </c>
      <c r="R10" s="404">
        <v>0</v>
      </c>
      <c r="S10" s="404">
        <f t="shared" si="0"/>
        <v>0</v>
      </c>
      <c r="T10" s="1994"/>
      <c r="U10" s="404">
        <f>R10</f>
        <v>0</v>
      </c>
      <c r="V10" s="404">
        <f>U10</f>
        <v>0</v>
      </c>
    </row>
    <row r="11" spans="1:22" ht="22.5" hidden="1" x14ac:dyDescent="0.2">
      <c r="A11" s="1990" t="s">
        <v>565</v>
      </c>
      <c r="B11" s="1991" t="s">
        <v>566</v>
      </c>
      <c r="C11" s="1992" t="s">
        <v>564</v>
      </c>
      <c r="D11" s="1993"/>
      <c r="E11" s="1993"/>
      <c r="F11" s="1993"/>
      <c r="G11" s="1993"/>
      <c r="H11" s="404">
        <f t="shared" si="1"/>
        <v>0</v>
      </c>
      <c r="I11" s="404"/>
      <c r="J11" s="404"/>
      <c r="K11" s="404"/>
      <c r="L11" s="404"/>
      <c r="M11" s="404">
        <f t="shared" si="2"/>
        <v>0</v>
      </c>
      <c r="N11" s="404">
        <f t="shared" si="3"/>
        <v>0</v>
      </c>
      <c r="O11" s="404"/>
      <c r="P11" s="404"/>
      <c r="Q11" s="404"/>
      <c r="R11" s="404"/>
      <c r="S11" s="404">
        <f t="shared" si="0"/>
        <v>0</v>
      </c>
      <c r="T11" s="404"/>
      <c r="U11" s="404"/>
      <c r="V11" s="404"/>
    </row>
    <row r="12" spans="1:22" ht="22.5" hidden="1" x14ac:dyDescent="0.2">
      <c r="A12" s="1990" t="s">
        <v>567</v>
      </c>
      <c r="B12" s="1991" t="s">
        <v>568</v>
      </c>
      <c r="C12" s="1992" t="s">
        <v>564</v>
      </c>
      <c r="D12" s="1993"/>
      <c r="E12" s="1993"/>
      <c r="F12" s="1993"/>
      <c r="G12" s="1993"/>
      <c r="H12" s="404">
        <f t="shared" si="1"/>
        <v>0</v>
      </c>
      <c r="I12" s="404"/>
      <c r="J12" s="404"/>
      <c r="K12" s="404"/>
      <c r="L12" s="404"/>
      <c r="M12" s="404">
        <f t="shared" si="2"/>
        <v>0</v>
      </c>
      <c r="N12" s="404">
        <f t="shared" si="3"/>
        <v>0</v>
      </c>
      <c r="O12" s="404"/>
      <c r="P12" s="404"/>
      <c r="Q12" s="404"/>
      <c r="R12" s="404"/>
      <c r="S12" s="404">
        <f t="shared" si="0"/>
        <v>0</v>
      </c>
      <c r="T12" s="404"/>
      <c r="U12" s="404"/>
      <c r="V12" s="404"/>
    </row>
    <row r="13" spans="1:22" ht="22.5" hidden="1" x14ac:dyDescent="0.2">
      <c r="A13" s="1990" t="s">
        <v>569</v>
      </c>
      <c r="B13" s="1991" t="s">
        <v>570</v>
      </c>
      <c r="C13" s="1992" t="s">
        <v>571</v>
      </c>
      <c r="D13" s="1993"/>
      <c r="E13" s="1993"/>
      <c r="F13" s="1993"/>
      <c r="G13" s="1993"/>
      <c r="H13" s="404">
        <f t="shared" si="1"/>
        <v>0</v>
      </c>
      <c r="I13" s="404"/>
      <c r="J13" s="404"/>
      <c r="K13" s="404"/>
      <c r="L13" s="404"/>
      <c r="M13" s="404">
        <f t="shared" si="2"/>
        <v>0</v>
      </c>
      <c r="N13" s="404">
        <f t="shared" si="3"/>
        <v>0</v>
      </c>
      <c r="O13" s="404"/>
      <c r="P13" s="404"/>
      <c r="Q13" s="404"/>
      <c r="R13" s="404"/>
      <c r="S13" s="404">
        <f t="shared" si="0"/>
        <v>0</v>
      </c>
      <c r="T13" s="404"/>
      <c r="U13" s="404"/>
      <c r="V13" s="404"/>
    </row>
    <row r="14" spans="1:22" ht="22.5" hidden="1" x14ac:dyDescent="0.2">
      <c r="A14" s="1990" t="s">
        <v>572</v>
      </c>
      <c r="B14" s="1991" t="s">
        <v>573</v>
      </c>
      <c r="C14" s="1992" t="s">
        <v>564</v>
      </c>
      <c r="D14" s="1993"/>
      <c r="E14" s="1993"/>
      <c r="F14" s="1993"/>
      <c r="G14" s="1993"/>
      <c r="H14" s="404">
        <f t="shared" si="1"/>
        <v>0</v>
      </c>
      <c r="I14" s="404"/>
      <c r="J14" s="404"/>
      <c r="K14" s="404"/>
      <c r="L14" s="404"/>
      <c r="M14" s="404">
        <f t="shared" si="2"/>
        <v>0</v>
      </c>
      <c r="N14" s="404">
        <f t="shared" si="3"/>
        <v>0</v>
      </c>
      <c r="O14" s="404"/>
      <c r="P14" s="404"/>
      <c r="Q14" s="404"/>
      <c r="R14" s="404"/>
      <c r="S14" s="404">
        <f t="shared" si="0"/>
        <v>0</v>
      </c>
      <c r="T14" s="404"/>
      <c r="U14" s="404"/>
      <c r="V14" s="404"/>
    </row>
    <row r="15" spans="1:22" s="405" customFormat="1" ht="38.25" x14ac:dyDescent="0.2">
      <c r="A15" s="1985" t="s">
        <v>574</v>
      </c>
      <c r="B15" s="1986" t="s">
        <v>575</v>
      </c>
      <c r="C15" s="1987"/>
      <c r="D15" s="1993"/>
      <c r="E15" s="1993"/>
      <c r="F15" s="1993"/>
      <c r="G15" s="1993"/>
      <c r="H15" s="404">
        <f t="shared" si="1"/>
        <v>0</v>
      </c>
      <c r="I15" s="404"/>
      <c r="J15" s="404"/>
      <c r="K15" s="404"/>
      <c r="L15" s="404"/>
      <c r="M15" s="404">
        <f t="shared" si="2"/>
        <v>0</v>
      </c>
      <c r="N15" s="404">
        <f t="shared" si="3"/>
        <v>0</v>
      </c>
      <c r="O15" s="404"/>
      <c r="P15" s="404"/>
      <c r="Q15" s="404"/>
      <c r="R15" s="404"/>
      <c r="S15" s="404">
        <f t="shared" si="0"/>
        <v>0</v>
      </c>
      <c r="T15" s="404"/>
      <c r="U15" s="404"/>
      <c r="V15" s="404"/>
    </row>
    <row r="16" spans="1:22" ht="32.25" customHeight="1" x14ac:dyDescent="0.2">
      <c r="A16" s="1990" t="s">
        <v>576</v>
      </c>
      <c r="B16" s="1991" t="s">
        <v>577</v>
      </c>
      <c r="C16" s="1992" t="s">
        <v>564</v>
      </c>
      <c r="D16" s="1993">
        <v>8</v>
      </c>
      <c r="E16" s="1993">
        <v>8</v>
      </c>
      <c r="F16" s="1993">
        <v>8</v>
      </c>
      <c r="G16" s="1993">
        <v>8</v>
      </c>
      <c r="H16" s="404">
        <f>G16/F16</f>
        <v>1</v>
      </c>
      <c r="I16" s="404">
        <v>637.20000000000005</v>
      </c>
      <c r="J16" s="404">
        <v>637.20000000000005</v>
      </c>
      <c r="K16" s="404">
        <v>648</v>
      </c>
      <c r="L16" s="404">
        <v>648</v>
      </c>
      <c r="M16" s="404">
        <f>L16/K16</f>
        <v>1</v>
      </c>
      <c r="N16" s="404">
        <f>J16/I16</f>
        <v>1</v>
      </c>
      <c r="O16" s="404">
        <f>D16*I16*12/1000</f>
        <v>61.17</v>
      </c>
      <c r="P16" s="404">
        <f>E16*J16*12/1000</f>
        <v>61.17</v>
      </c>
      <c r="Q16" s="404">
        <f>F16*K16*12/1000</f>
        <v>62.21</v>
      </c>
      <c r="R16" s="408">
        <f>G16*L16*12/1000-1.51</f>
        <v>60.7</v>
      </c>
      <c r="S16" s="404">
        <f>R16/P16</f>
        <v>0.99</v>
      </c>
      <c r="T16" s="3554" t="s">
        <v>2000</v>
      </c>
      <c r="U16" s="404">
        <f>R16</f>
        <v>60.7</v>
      </c>
      <c r="V16" s="404">
        <f>U16</f>
        <v>60.7</v>
      </c>
    </row>
    <row r="17" spans="1:22" ht="52.5" customHeight="1" x14ac:dyDescent="0.2">
      <c r="A17" s="1990" t="s">
        <v>578</v>
      </c>
      <c r="B17" s="1991" t="s">
        <v>579</v>
      </c>
      <c r="C17" s="1992" t="s">
        <v>564</v>
      </c>
      <c r="D17" s="1993">
        <v>3</v>
      </c>
      <c r="E17" s="1993">
        <v>3</v>
      </c>
      <c r="F17" s="1993">
        <v>3</v>
      </c>
      <c r="G17" s="1993">
        <v>3</v>
      </c>
      <c r="H17" s="404">
        <f>G17/F17</f>
        <v>1</v>
      </c>
      <c r="I17" s="404">
        <v>256.06</v>
      </c>
      <c r="J17" s="404">
        <v>256.06</v>
      </c>
      <c r="K17" s="404">
        <v>260.39999999999998</v>
      </c>
      <c r="L17" s="404">
        <v>260.39999999999998</v>
      </c>
      <c r="M17" s="404">
        <f>L17/K17</f>
        <v>1</v>
      </c>
      <c r="N17" s="404">
        <f>J17/I17</f>
        <v>1</v>
      </c>
      <c r="O17" s="404">
        <f>D17*I17*12/1000</f>
        <v>9.2200000000000006</v>
      </c>
      <c r="P17" s="404">
        <f t="shared" ref="P17:Q17" si="4">E17*J17*12/1000</f>
        <v>9.2200000000000006</v>
      </c>
      <c r="Q17" s="404">
        <f t="shared" si="4"/>
        <v>9.3699999999999992</v>
      </c>
      <c r="R17" s="408"/>
      <c r="S17" s="404">
        <f>R17/P17</f>
        <v>0</v>
      </c>
      <c r="T17" s="3555"/>
      <c r="U17" s="404">
        <f>R17</f>
        <v>0</v>
      </c>
      <c r="V17" s="404">
        <f>U17</f>
        <v>0</v>
      </c>
    </row>
    <row r="18" spans="1:22" hidden="1" x14ac:dyDescent="0.2">
      <c r="A18" s="1990"/>
      <c r="B18" s="1991"/>
      <c r="C18" s="1992"/>
      <c r="D18" s="1993"/>
      <c r="E18" s="1993"/>
      <c r="F18" s="1993"/>
      <c r="G18" s="1993"/>
      <c r="H18" s="404">
        <f t="shared" si="1"/>
        <v>0</v>
      </c>
      <c r="I18" s="404"/>
      <c r="J18" s="404"/>
      <c r="K18" s="404"/>
      <c r="L18" s="404"/>
      <c r="M18" s="404">
        <f t="shared" si="2"/>
        <v>0</v>
      </c>
      <c r="N18" s="404">
        <f t="shared" si="3"/>
        <v>0</v>
      </c>
      <c r="O18" s="404"/>
      <c r="P18" s="404"/>
      <c r="Q18" s="404"/>
      <c r="R18" s="408"/>
      <c r="S18" s="404">
        <f t="shared" si="0"/>
        <v>0</v>
      </c>
      <c r="T18" s="404"/>
      <c r="U18" s="404"/>
      <c r="V18" s="404"/>
    </row>
    <row r="19" spans="1:22" hidden="1" x14ac:dyDescent="0.2">
      <c r="A19" s="1990"/>
      <c r="B19" s="1991"/>
      <c r="C19" s="1992"/>
      <c r="D19" s="1993"/>
      <c r="E19" s="1993"/>
      <c r="F19" s="1993"/>
      <c r="G19" s="1993"/>
      <c r="H19" s="404">
        <f t="shared" si="1"/>
        <v>0</v>
      </c>
      <c r="I19" s="404"/>
      <c r="J19" s="404"/>
      <c r="K19" s="404"/>
      <c r="L19" s="404"/>
      <c r="M19" s="404">
        <f t="shared" si="2"/>
        <v>0</v>
      </c>
      <c r="N19" s="404">
        <f t="shared" si="3"/>
        <v>0</v>
      </c>
      <c r="O19" s="404"/>
      <c r="P19" s="404"/>
      <c r="Q19" s="404"/>
      <c r="R19" s="408"/>
      <c r="S19" s="404">
        <f t="shared" si="0"/>
        <v>0</v>
      </c>
      <c r="T19" s="404"/>
      <c r="U19" s="404"/>
      <c r="V19" s="404"/>
    </row>
    <row r="20" spans="1:22" ht="22.5" hidden="1" x14ac:dyDescent="0.2">
      <c r="A20" s="1990" t="s">
        <v>578</v>
      </c>
      <c r="B20" s="1991" t="s">
        <v>580</v>
      </c>
      <c r="C20" s="1992" t="s">
        <v>564</v>
      </c>
      <c r="D20" s="1993"/>
      <c r="E20" s="1993"/>
      <c r="F20" s="1993"/>
      <c r="G20" s="1993"/>
      <c r="H20" s="404">
        <f t="shared" si="1"/>
        <v>0</v>
      </c>
      <c r="I20" s="404"/>
      <c r="J20" s="404"/>
      <c r="K20" s="404"/>
      <c r="L20" s="404"/>
      <c r="M20" s="404">
        <f t="shared" si="2"/>
        <v>0</v>
      </c>
      <c r="N20" s="404">
        <f t="shared" si="3"/>
        <v>0</v>
      </c>
      <c r="O20" s="404"/>
      <c r="P20" s="404"/>
      <c r="Q20" s="404"/>
      <c r="R20" s="408"/>
      <c r="S20" s="404">
        <f t="shared" si="0"/>
        <v>0</v>
      </c>
      <c r="T20" s="404"/>
      <c r="U20" s="404"/>
      <c r="V20" s="404"/>
    </row>
    <row r="21" spans="1:22" ht="33.75" hidden="1" x14ac:dyDescent="0.2">
      <c r="A21" s="1990" t="s">
        <v>581</v>
      </c>
      <c r="B21" s="1991" t="s">
        <v>582</v>
      </c>
      <c r="C21" s="1992" t="s">
        <v>564</v>
      </c>
      <c r="D21" s="1993"/>
      <c r="E21" s="1993"/>
      <c r="F21" s="1993"/>
      <c r="G21" s="1993"/>
      <c r="H21" s="404">
        <f t="shared" si="1"/>
        <v>0</v>
      </c>
      <c r="I21" s="404"/>
      <c r="J21" s="404"/>
      <c r="K21" s="404"/>
      <c r="L21" s="404"/>
      <c r="M21" s="404">
        <f t="shared" si="2"/>
        <v>0</v>
      </c>
      <c r="N21" s="404">
        <f t="shared" si="3"/>
        <v>0</v>
      </c>
      <c r="O21" s="404"/>
      <c r="P21" s="404"/>
      <c r="Q21" s="404"/>
      <c r="R21" s="408"/>
      <c r="S21" s="404">
        <f t="shared" si="0"/>
        <v>0</v>
      </c>
      <c r="T21" s="404"/>
      <c r="U21" s="404"/>
      <c r="V21" s="404"/>
    </row>
    <row r="22" spans="1:22" ht="33.75" hidden="1" x14ac:dyDescent="0.2">
      <c r="A22" s="1990" t="s">
        <v>583</v>
      </c>
      <c r="B22" s="1991" t="s">
        <v>584</v>
      </c>
      <c r="C22" s="1992"/>
      <c r="D22" s="1993"/>
      <c r="E22" s="1993"/>
      <c r="F22" s="1993"/>
      <c r="G22" s="1993"/>
      <c r="H22" s="404">
        <f t="shared" si="1"/>
        <v>0</v>
      </c>
      <c r="I22" s="404"/>
      <c r="J22" s="404"/>
      <c r="K22" s="404"/>
      <c r="L22" s="404"/>
      <c r="M22" s="404">
        <f t="shared" si="2"/>
        <v>0</v>
      </c>
      <c r="N22" s="404">
        <f t="shared" si="3"/>
        <v>0</v>
      </c>
      <c r="O22" s="404"/>
      <c r="P22" s="404"/>
      <c r="Q22" s="404"/>
      <c r="R22" s="408"/>
      <c r="S22" s="404">
        <f t="shared" si="0"/>
        <v>0</v>
      </c>
      <c r="T22" s="404"/>
      <c r="U22" s="404"/>
      <c r="V22" s="404"/>
    </row>
    <row r="23" spans="1:22" hidden="1" x14ac:dyDescent="0.2">
      <c r="A23" s="1995" t="s">
        <v>585</v>
      </c>
      <c r="B23" s="1996" t="s">
        <v>586</v>
      </c>
      <c r="C23" s="1997" t="s">
        <v>564</v>
      </c>
      <c r="D23" s="1998"/>
      <c r="E23" s="1998"/>
      <c r="F23" s="1998"/>
      <c r="G23" s="1998"/>
      <c r="H23" s="404">
        <f t="shared" si="1"/>
        <v>0</v>
      </c>
      <c r="I23" s="1999"/>
      <c r="J23" s="1999"/>
      <c r="K23" s="1999"/>
      <c r="L23" s="1999"/>
      <c r="M23" s="404">
        <f t="shared" si="2"/>
        <v>0</v>
      </c>
      <c r="N23" s="404">
        <f t="shared" si="3"/>
        <v>0</v>
      </c>
      <c r="O23" s="1999"/>
      <c r="P23" s="1999"/>
      <c r="Q23" s="1999"/>
      <c r="R23" s="407"/>
      <c r="S23" s="404">
        <f t="shared" si="0"/>
        <v>0</v>
      </c>
      <c r="T23" s="1999"/>
      <c r="U23" s="1999"/>
      <c r="V23" s="1999"/>
    </row>
    <row r="24" spans="1:22" hidden="1" x14ac:dyDescent="0.2">
      <c r="A24" s="1995" t="s">
        <v>587</v>
      </c>
      <c r="B24" s="1996" t="s">
        <v>588</v>
      </c>
      <c r="C24" s="1997" t="s">
        <v>564</v>
      </c>
      <c r="D24" s="1998"/>
      <c r="E24" s="1998"/>
      <c r="F24" s="1998"/>
      <c r="G24" s="1998"/>
      <c r="H24" s="404">
        <f t="shared" si="1"/>
        <v>0</v>
      </c>
      <c r="I24" s="1999"/>
      <c r="J24" s="1999"/>
      <c r="K24" s="1999"/>
      <c r="L24" s="1999"/>
      <c r="M24" s="404">
        <f t="shared" si="2"/>
        <v>0</v>
      </c>
      <c r="N24" s="404">
        <f t="shared" si="3"/>
        <v>0</v>
      </c>
      <c r="O24" s="1999"/>
      <c r="P24" s="1999"/>
      <c r="Q24" s="1999"/>
      <c r="R24" s="407"/>
      <c r="S24" s="404">
        <f t="shared" si="0"/>
        <v>0</v>
      </c>
      <c r="T24" s="1999"/>
      <c r="U24" s="1999"/>
      <c r="V24" s="1999"/>
    </row>
    <row r="25" spans="1:22" ht="45" hidden="1" x14ac:dyDescent="0.2">
      <c r="A25" s="1990" t="s">
        <v>589</v>
      </c>
      <c r="B25" s="1991" t="s">
        <v>590</v>
      </c>
      <c r="C25" s="1992" t="s">
        <v>564</v>
      </c>
      <c r="D25" s="1993"/>
      <c r="E25" s="1993"/>
      <c r="F25" s="1993"/>
      <c r="G25" s="1993"/>
      <c r="H25" s="404">
        <f t="shared" si="1"/>
        <v>0</v>
      </c>
      <c r="I25" s="404"/>
      <c r="J25" s="404"/>
      <c r="K25" s="404"/>
      <c r="L25" s="404"/>
      <c r="M25" s="404">
        <f t="shared" si="2"/>
        <v>0</v>
      </c>
      <c r="N25" s="404">
        <f t="shared" si="3"/>
        <v>0</v>
      </c>
      <c r="O25" s="404"/>
      <c r="P25" s="404"/>
      <c r="Q25" s="404"/>
      <c r="R25" s="408"/>
      <c r="S25" s="404">
        <f t="shared" si="0"/>
        <v>0</v>
      </c>
      <c r="T25" s="404"/>
      <c r="U25" s="404"/>
      <c r="V25" s="404"/>
    </row>
    <row r="26" spans="1:22" ht="56.25" hidden="1" x14ac:dyDescent="0.2">
      <c r="A26" s="1990" t="s">
        <v>591</v>
      </c>
      <c r="B26" s="1991" t="s">
        <v>592</v>
      </c>
      <c r="C26" s="1992" t="s">
        <v>564</v>
      </c>
      <c r="D26" s="1993"/>
      <c r="E26" s="1993"/>
      <c r="F26" s="1993"/>
      <c r="G26" s="1993"/>
      <c r="H26" s="404">
        <f t="shared" si="1"/>
        <v>0</v>
      </c>
      <c r="I26" s="404"/>
      <c r="J26" s="404"/>
      <c r="K26" s="404"/>
      <c r="L26" s="404"/>
      <c r="M26" s="404">
        <f t="shared" si="2"/>
        <v>0</v>
      </c>
      <c r="N26" s="404">
        <f t="shared" si="3"/>
        <v>0</v>
      </c>
      <c r="O26" s="404"/>
      <c r="P26" s="404"/>
      <c r="Q26" s="404"/>
      <c r="R26" s="408"/>
      <c r="S26" s="404">
        <f t="shared" si="0"/>
        <v>0</v>
      </c>
      <c r="T26" s="404"/>
      <c r="U26" s="404"/>
      <c r="V26" s="404"/>
    </row>
    <row r="27" spans="1:22" hidden="1" x14ac:dyDescent="0.2">
      <c r="A27" s="1990" t="s">
        <v>593</v>
      </c>
      <c r="B27" s="1991" t="s">
        <v>594</v>
      </c>
      <c r="C27" s="1992" t="s">
        <v>564</v>
      </c>
      <c r="D27" s="1993"/>
      <c r="E27" s="1993"/>
      <c r="F27" s="1993"/>
      <c r="G27" s="1993"/>
      <c r="H27" s="404">
        <f t="shared" si="1"/>
        <v>0</v>
      </c>
      <c r="I27" s="404"/>
      <c r="J27" s="404"/>
      <c r="K27" s="404"/>
      <c r="L27" s="404"/>
      <c r="M27" s="404">
        <f t="shared" si="2"/>
        <v>0</v>
      </c>
      <c r="N27" s="404">
        <f t="shared" si="3"/>
        <v>0</v>
      </c>
      <c r="O27" s="404"/>
      <c r="P27" s="404"/>
      <c r="Q27" s="404"/>
      <c r="R27" s="408"/>
      <c r="S27" s="404">
        <f t="shared" si="0"/>
        <v>0</v>
      </c>
      <c r="T27" s="404"/>
      <c r="U27" s="404"/>
      <c r="V27" s="404"/>
    </row>
    <row r="28" spans="1:22" s="405" customFormat="1" ht="25.5" hidden="1" x14ac:dyDescent="0.2">
      <c r="A28" s="1985" t="s">
        <v>595</v>
      </c>
      <c r="B28" s="1986" t="s">
        <v>596</v>
      </c>
      <c r="C28" s="1987"/>
      <c r="D28" s="1993"/>
      <c r="E28" s="1993"/>
      <c r="F28" s="1993"/>
      <c r="G28" s="1993"/>
      <c r="H28" s="404">
        <f t="shared" si="1"/>
        <v>0</v>
      </c>
      <c r="I28" s="404"/>
      <c r="J28" s="404"/>
      <c r="K28" s="404"/>
      <c r="L28" s="404"/>
      <c r="M28" s="404">
        <f t="shared" si="2"/>
        <v>0</v>
      </c>
      <c r="N28" s="404">
        <f t="shared" si="3"/>
        <v>0</v>
      </c>
      <c r="O28" s="404"/>
      <c r="P28" s="404"/>
      <c r="Q28" s="404"/>
      <c r="R28" s="408"/>
      <c r="S28" s="404">
        <f t="shared" si="0"/>
        <v>0</v>
      </c>
      <c r="T28" s="404"/>
      <c r="U28" s="404"/>
      <c r="V28" s="404"/>
    </row>
    <row r="29" spans="1:22" hidden="1" x14ac:dyDescent="0.2">
      <c r="A29" s="1990" t="s">
        <v>597</v>
      </c>
      <c r="B29" s="2000" t="s">
        <v>598</v>
      </c>
      <c r="C29" s="1992"/>
      <c r="D29" s="1993"/>
      <c r="E29" s="1993"/>
      <c r="F29" s="1993"/>
      <c r="G29" s="1993"/>
      <c r="H29" s="404">
        <f t="shared" si="1"/>
        <v>0</v>
      </c>
      <c r="I29" s="404"/>
      <c r="J29" s="404"/>
      <c r="K29" s="404"/>
      <c r="L29" s="404"/>
      <c r="M29" s="404">
        <f t="shared" si="2"/>
        <v>0</v>
      </c>
      <c r="N29" s="404">
        <f t="shared" si="3"/>
        <v>0</v>
      </c>
      <c r="O29" s="404"/>
      <c r="P29" s="404"/>
      <c r="Q29" s="404"/>
      <c r="R29" s="408"/>
      <c r="S29" s="404">
        <f t="shared" si="0"/>
        <v>0</v>
      </c>
      <c r="T29" s="404"/>
      <c r="U29" s="404"/>
      <c r="V29" s="404"/>
    </row>
    <row r="30" spans="1:22" ht="45" hidden="1" x14ac:dyDescent="0.2">
      <c r="A30" s="1990" t="s">
        <v>599</v>
      </c>
      <c r="B30" s="1991" t="s">
        <v>1304</v>
      </c>
      <c r="C30" s="1992" t="s">
        <v>564</v>
      </c>
      <c r="D30" s="1993"/>
      <c r="E30" s="1993"/>
      <c r="F30" s="1993"/>
      <c r="G30" s="1993"/>
      <c r="H30" s="404">
        <f t="shared" si="1"/>
        <v>0</v>
      </c>
      <c r="I30" s="404"/>
      <c r="J30" s="404"/>
      <c r="K30" s="404"/>
      <c r="L30" s="404"/>
      <c r="M30" s="404">
        <f t="shared" si="2"/>
        <v>0</v>
      </c>
      <c r="N30" s="404">
        <f t="shared" si="3"/>
        <v>0</v>
      </c>
      <c r="O30" s="404"/>
      <c r="P30" s="404"/>
      <c r="Q30" s="404"/>
      <c r="R30" s="408"/>
      <c r="S30" s="404">
        <f t="shared" si="0"/>
        <v>0</v>
      </c>
      <c r="T30" s="404"/>
      <c r="U30" s="404"/>
      <c r="V30" s="404"/>
    </row>
    <row r="31" spans="1:22" ht="22.5" hidden="1" x14ac:dyDescent="0.2">
      <c r="A31" s="1990" t="s">
        <v>600</v>
      </c>
      <c r="B31" s="1991" t="s">
        <v>601</v>
      </c>
      <c r="C31" s="1992" t="s">
        <v>564</v>
      </c>
      <c r="D31" s="1993"/>
      <c r="E31" s="1993"/>
      <c r="F31" s="1993"/>
      <c r="G31" s="1993"/>
      <c r="H31" s="404">
        <f t="shared" si="1"/>
        <v>0</v>
      </c>
      <c r="I31" s="404"/>
      <c r="J31" s="404"/>
      <c r="K31" s="404"/>
      <c r="L31" s="404"/>
      <c r="M31" s="404">
        <f t="shared" si="2"/>
        <v>0</v>
      </c>
      <c r="N31" s="404">
        <f t="shared" si="3"/>
        <v>0</v>
      </c>
      <c r="O31" s="404"/>
      <c r="P31" s="404"/>
      <c r="Q31" s="404"/>
      <c r="R31" s="408"/>
      <c r="S31" s="404">
        <f t="shared" si="0"/>
        <v>0</v>
      </c>
      <c r="T31" s="404"/>
      <c r="U31" s="404"/>
      <c r="V31" s="404"/>
    </row>
    <row r="32" spans="1:22" ht="33.75" hidden="1" x14ac:dyDescent="0.2">
      <c r="A32" s="1990" t="s">
        <v>602</v>
      </c>
      <c r="B32" s="2001" t="s">
        <v>603</v>
      </c>
      <c r="C32" s="1992" t="s">
        <v>564</v>
      </c>
      <c r="D32" s="1993"/>
      <c r="E32" s="1993"/>
      <c r="F32" s="1993"/>
      <c r="G32" s="1993"/>
      <c r="H32" s="404">
        <f t="shared" si="1"/>
        <v>0</v>
      </c>
      <c r="I32" s="404"/>
      <c r="J32" s="404"/>
      <c r="K32" s="404"/>
      <c r="L32" s="404"/>
      <c r="M32" s="404">
        <f t="shared" si="2"/>
        <v>0</v>
      </c>
      <c r="N32" s="404">
        <f t="shared" si="3"/>
        <v>0</v>
      </c>
      <c r="O32" s="404"/>
      <c r="P32" s="404"/>
      <c r="Q32" s="404"/>
      <c r="R32" s="408"/>
      <c r="S32" s="404">
        <f t="shared" si="0"/>
        <v>0</v>
      </c>
      <c r="T32" s="404"/>
      <c r="U32" s="404"/>
      <c r="V32" s="404"/>
    </row>
    <row r="33" spans="1:22" ht="21" hidden="1" x14ac:dyDescent="0.2">
      <c r="A33" s="1990" t="s">
        <v>604</v>
      </c>
      <c r="B33" s="2002" t="s">
        <v>605</v>
      </c>
      <c r="C33" s="1992"/>
      <c r="D33" s="1993"/>
      <c r="E33" s="1993"/>
      <c r="F33" s="1993"/>
      <c r="G33" s="1993"/>
      <c r="H33" s="404">
        <f t="shared" si="1"/>
        <v>0</v>
      </c>
      <c r="I33" s="404"/>
      <c r="J33" s="404"/>
      <c r="K33" s="404"/>
      <c r="L33" s="404"/>
      <c r="M33" s="404">
        <f t="shared" si="2"/>
        <v>0</v>
      </c>
      <c r="N33" s="404">
        <f t="shared" si="3"/>
        <v>0</v>
      </c>
      <c r="O33" s="404"/>
      <c r="P33" s="404"/>
      <c r="Q33" s="404"/>
      <c r="R33" s="408"/>
      <c r="S33" s="404">
        <f t="shared" si="0"/>
        <v>0</v>
      </c>
      <c r="T33" s="404"/>
      <c r="U33" s="404"/>
      <c r="V33" s="404"/>
    </row>
    <row r="34" spans="1:22" ht="22.5" hidden="1" x14ac:dyDescent="0.2">
      <c r="A34" s="1990" t="s">
        <v>606</v>
      </c>
      <c r="B34" s="1991" t="s">
        <v>607</v>
      </c>
      <c r="C34" s="1992"/>
      <c r="D34" s="1993"/>
      <c r="E34" s="1993"/>
      <c r="F34" s="1993"/>
      <c r="G34" s="1993"/>
      <c r="H34" s="404">
        <f t="shared" si="1"/>
        <v>0</v>
      </c>
      <c r="I34" s="404"/>
      <c r="J34" s="404"/>
      <c r="K34" s="404"/>
      <c r="L34" s="404"/>
      <c r="M34" s="404">
        <f t="shared" si="2"/>
        <v>0</v>
      </c>
      <c r="N34" s="404">
        <f t="shared" si="3"/>
        <v>0</v>
      </c>
      <c r="O34" s="404"/>
      <c r="P34" s="404"/>
      <c r="Q34" s="404"/>
      <c r="R34" s="408"/>
      <c r="S34" s="404">
        <f t="shared" si="0"/>
        <v>0</v>
      </c>
      <c r="T34" s="404"/>
      <c r="U34" s="404"/>
      <c r="V34" s="404"/>
    </row>
    <row r="35" spans="1:22" hidden="1" x14ac:dyDescent="0.2">
      <c r="A35" s="1990" t="s">
        <v>608</v>
      </c>
      <c r="B35" s="1991" t="s">
        <v>609</v>
      </c>
      <c r="C35" s="1992" t="s">
        <v>564</v>
      </c>
      <c r="D35" s="1993"/>
      <c r="E35" s="1993"/>
      <c r="F35" s="1993"/>
      <c r="G35" s="1993"/>
      <c r="H35" s="404">
        <f t="shared" si="1"/>
        <v>0</v>
      </c>
      <c r="I35" s="404"/>
      <c r="J35" s="404"/>
      <c r="K35" s="404"/>
      <c r="L35" s="404"/>
      <c r="M35" s="404">
        <f t="shared" si="2"/>
        <v>0</v>
      </c>
      <c r="N35" s="404">
        <f t="shared" si="3"/>
        <v>0</v>
      </c>
      <c r="O35" s="404"/>
      <c r="P35" s="404"/>
      <c r="Q35" s="404"/>
      <c r="R35" s="408"/>
      <c r="S35" s="404">
        <f t="shared" si="0"/>
        <v>0</v>
      </c>
      <c r="T35" s="404"/>
      <c r="U35" s="404"/>
      <c r="V35" s="404"/>
    </row>
    <row r="36" spans="1:22" hidden="1" x14ac:dyDescent="0.2">
      <c r="A36" s="1990" t="s">
        <v>610</v>
      </c>
      <c r="B36" s="1991" t="s">
        <v>611</v>
      </c>
      <c r="C36" s="1992" t="s">
        <v>564</v>
      </c>
      <c r="D36" s="1993"/>
      <c r="E36" s="1993"/>
      <c r="F36" s="1993"/>
      <c r="G36" s="1993"/>
      <c r="H36" s="404">
        <f t="shared" si="1"/>
        <v>0</v>
      </c>
      <c r="I36" s="404"/>
      <c r="J36" s="404"/>
      <c r="K36" s="404"/>
      <c r="L36" s="404"/>
      <c r="M36" s="404">
        <f t="shared" si="2"/>
        <v>0</v>
      </c>
      <c r="N36" s="404">
        <f t="shared" si="3"/>
        <v>0</v>
      </c>
      <c r="O36" s="404"/>
      <c r="P36" s="404"/>
      <c r="Q36" s="404"/>
      <c r="R36" s="408"/>
      <c r="S36" s="404">
        <f t="shared" si="0"/>
        <v>0</v>
      </c>
      <c r="T36" s="404"/>
      <c r="U36" s="404"/>
      <c r="V36" s="404"/>
    </row>
    <row r="37" spans="1:22" hidden="1" x14ac:dyDescent="0.2">
      <c r="A37" s="1990" t="s">
        <v>612</v>
      </c>
      <c r="B37" s="1991" t="s">
        <v>613</v>
      </c>
      <c r="C37" s="1992" t="s">
        <v>564</v>
      </c>
      <c r="D37" s="1993"/>
      <c r="E37" s="1993"/>
      <c r="F37" s="1993"/>
      <c r="G37" s="1993"/>
      <c r="H37" s="404">
        <f t="shared" si="1"/>
        <v>0</v>
      </c>
      <c r="I37" s="404"/>
      <c r="J37" s="404"/>
      <c r="K37" s="404"/>
      <c r="L37" s="404"/>
      <c r="M37" s="404">
        <f t="shared" si="2"/>
        <v>0</v>
      </c>
      <c r="N37" s="404">
        <f t="shared" si="3"/>
        <v>0</v>
      </c>
      <c r="O37" s="404"/>
      <c r="P37" s="404"/>
      <c r="Q37" s="404"/>
      <c r="R37" s="408"/>
      <c r="S37" s="404">
        <f t="shared" si="0"/>
        <v>0</v>
      </c>
      <c r="T37" s="404"/>
      <c r="U37" s="404"/>
      <c r="V37" s="404"/>
    </row>
    <row r="38" spans="1:22" hidden="1" x14ac:dyDescent="0.2">
      <c r="A38" s="1990" t="s">
        <v>614</v>
      </c>
      <c r="B38" s="1991" t="s">
        <v>615</v>
      </c>
      <c r="C38" s="1992"/>
      <c r="D38" s="1993"/>
      <c r="E38" s="1993"/>
      <c r="F38" s="1993"/>
      <c r="G38" s="1993"/>
      <c r="H38" s="404">
        <f t="shared" si="1"/>
        <v>0</v>
      </c>
      <c r="I38" s="404"/>
      <c r="J38" s="404"/>
      <c r="K38" s="404"/>
      <c r="L38" s="404"/>
      <c r="M38" s="404">
        <f t="shared" si="2"/>
        <v>0</v>
      </c>
      <c r="N38" s="404">
        <f t="shared" si="3"/>
        <v>0</v>
      </c>
      <c r="O38" s="404"/>
      <c r="P38" s="404"/>
      <c r="Q38" s="404"/>
      <c r="R38" s="408"/>
      <c r="S38" s="404">
        <f t="shared" si="0"/>
        <v>0</v>
      </c>
      <c r="T38" s="404"/>
      <c r="U38" s="404"/>
      <c r="V38" s="404"/>
    </row>
    <row r="39" spans="1:22" hidden="1" x14ac:dyDescent="0.2">
      <c r="A39" s="1990" t="s">
        <v>616</v>
      </c>
      <c r="B39" s="1991" t="s">
        <v>609</v>
      </c>
      <c r="C39" s="1992" t="s">
        <v>564</v>
      </c>
      <c r="D39" s="1993"/>
      <c r="E39" s="1993"/>
      <c r="F39" s="1993"/>
      <c r="G39" s="1993"/>
      <c r="H39" s="404">
        <f t="shared" si="1"/>
        <v>0</v>
      </c>
      <c r="I39" s="404"/>
      <c r="J39" s="404"/>
      <c r="K39" s="404"/>
      <c r="L39" s="404"/>
      <c r="M39" s="404">
        <f t="shared" si="2"/>
        <v>0</v>
      </c>
      <c r="N39" s="404">
        <f t="shared" si="3"/>
        <v>0</v>
      </c>
      <c r="O39" s="404"/>
      <c r="P39" s="404"/>
      <c r="Q39" s="404"/>
      <c r="R39" s="408"/>
      <c r="S39" s="404">
        <f t="shared" si="0"/>
        <v>0</v>
      </c>
      <c r="T39" s="404"/>
      <c r="U39" s="404"/>
      <c r="V39" s="404"/>
    </row>
    <row r="40" spans="1:22" hidden="1" x14ac:dyDescent="0.2">
      <c r="A40" s="1990" t="s">
        <v>617</v>
      </c>
      <c r="B40" s="1991" t="s">
        <v>611</v>
      </c>
      <c r="C40" s="1992" t="s">
        <v>564</v>
      </c>
      <c r="D40" s="1993"/>
      <c r="E40" s="1993"/>
      <c r="F40" s="1993"/>
      <c r="G40" s="1993"/>
      <c r="H40" s="404">
        <f t="shared" si="1"/>
        <v>0</v>
      </c>
      <c r="I40" s="404"/>
      <c r="J40" s="404"/>
      <c r="K40" s="404"/>
      <c r="L40" s="404"/>
      <c r="M40" s="404">
        <f t="shared" si="2"/>
        <v>0</v>
      </c>
      <c r="N40" s="404">
        <f t="shared" si="3"/>
        <v>0</v>
      </c>
      <c r="O40" s="404"/>
      <c r="P40" s="404"/>
      <c r="Q40" s="404"/>
      <c r="R40" s="408"/>
      <c r="S40" s="404">
        <f t="shared" si="0"/>
        <v>0</v>
      </c>
      <c r="T40" s="404"/>
      <c r="U40" s="404"/>
      <c r="V40" s="404"/>
    </row>
    <row r="41" spans="1:22" hidden="1" x14ac:dyDescent="0.2">
      <c r="A41" s="1990" t="s">
        <v>618</v>
      </c>
      <c r="B41" s="1991" t="s">
        <v>613</v>
      </c>
      <c r="C41" s="1992" t="s">
        <v>564</v>
      </c>
      <c r="D41" s="1993"/>
      <c r="E41" s="1993"/>
      <c r="F41" s="1993"/>
      <c r="G41" s="1993"/>
      <c r="H41" s="404">
        <f t="shared" si="1"/>
        <v>0</v>
      </c>
      <c r="I41" s="404"/>
      <c r="J41" s="404"/>
      <c r="K41" s="404"/>
      <c r="L41" s="404"/>
      <c r="M41" s="404">
        <f t="shared" si="2"/>
        <v>0</v>
      </c>
      <c r="N41" s="404">
        <f t="shared" si="3"/>
        <v>0</v>
      </c>
      <c r="O41" s="404"/>
      <c r="P41" s="404"/>
      <c r="Q41" s="404"/>
      <c r="R41" s="408"/>
      <c r="S41" s="404">
        <f t="shared" si="0"/>
        <v>0</v>
      </c>
      <c r="T41" s="404"/>
      <c r="U41" s="404"/>
      <c r="V41" s="404"/>
    </row>
    <row r="42" spans="1:22" ht="22.5" hidden="1" x14ac:dyDescent="0.2">
      <c r="A42" s="1990" t="s">
        <v>619</v>
      </c>
      <c r="B42" s="1991" t="s">
        <v>620</v>
      </c>
      <c r="C42" s="1992"/>
      <c r="D42" s="1993"/>
      <c r="E42" s="1993"/>
      <c r="F42" s="1993"/>
      <c r="G42" s="1993"/>
      <c r="H42" s="404">
        <f t="shared" si="1"/>
        <v>0</v>
      </c>
      <c r="I42" s="404"/>
      <c r="J42" s="404"/>
      <c r="K42" s="404"/>
      <c r="L42" s="404"/>
      <c r="M42" s="404">
        <f t="shared" si="2"/>
        <v>0</v>
      </c>
      <c r="N42" s="404">
        <f t="shared" si="3"/>
        <v>0</v>
      </c>
      <c r="O42" s="404"/>
      <c r="P42" s="404"/>
      <c r="Q42" s="404"/>
      <c r="R42" s="408"/>
      <c r="S42" s="404">
        <f t="shared" si="0"/>
        <v>0</v>
      </c>
      <c r="T42" s="404"/>
      <c r="U42" s="404"/>
      <c r="V42" s="404"/>
    </row>
    <row r="43" spans="1:22" hidden="1" x14ac:dyDescent="0.2">
      <c r="A43" s="1990" t="s">
        <v>621</v>
      </c>
      <c r="B43" s="1991" t="s">
        <v>622</v>
      </c>
      <c r="C43" s="1992" t="s">
        <v>564</v>
      </c>
      <c r="D43" s="1993"/>
      <c r="E43" s="1993"/>
      <c r="F43" s="1993"/>
      <c r="G43" s="1993"/>
      <c r="H43" s="404">
        <f t="shared" si="1"/>
        <v>0</v>
      </c>
      <c r="I43" s="404"/>
      <c r="J43" s="404"/>
      <c r="K43" s="404"/>
      <c r="L43" s="404"/>
      <c r="M43" s="404">
        <f t="shared" si="2"/>
        <v>0</v>
      </c>
      <c r="N43" s="404">
        <f t="shared" si="3"/>
        <v>0</v>
      </c>
      <c r="O43" s="404"/>
      <c r="P43" s="404"/>
      <c r="Q43" s="404"/>
      <c r="R43" s="408"/>
      <c r="S43" s="404">
        <f t="shared" si="0"/>
        <v>0</v>
      </c>
      <c r="T43" s="404"/>
      <c r="U43" s="404"/>
      <c r="V43" s="404"/>
    </row>
    <row r="44" spans="1:22" hidden="1" x14ac:dyDescent="0.2">
      <c r="A44" s="1990" t="s">
        <v>623</v>
      </c>
      <c r="B44" s="1991" t="s">
        <v>611</v>
      </c>
      <c r="C44" s="1992" t="s">
        <v>564</v>
      </c>
      <c r="D44" s="1993"/>
      <c r="E44" s="1993"/>
      <c r="F44" s="1993"/>
      <c r="G44" s="1993"/>
      <c r="H44" s="404">
        <f t="shared" si="1"/>
        <v>0</v>
      </c>
      <c r="I44" s="404"/>
      <c r="J44" s="404"/>
      <c r="K44" s="404"/>
      <c r="L44" s="404"/>
      <c r="M44" s="404">
        <f t="shared" si="2"/>
        <v>0</v>
      </c>
      <c r="N44" s="404">
        <f t="shared" si="3"/>
        <v>0</v>
      </c>
      <c r="O44" s="404"/>
      <c r="P44" s="404"/>
      <c r="Q44" s="404"/>
      <c r="R44" s="408"/>
      <c r="S44" s="404">
        <f t="shared" si="0"/>
        <v>0</v>
      </c>
      <c r="T44" s="404"/>
      <c r="U44" s="404"/>
      <c r="V44" s="404"/>
    </row>
    <row r="45" spans="1:22" hidden="1" x14ac:dyDescent="0.2">
      <c r="A45" s="1990" t="s">
        <v>624</v>
      </c>
      <c r="B45" s="1991" t="s">
        <v>625</v>
      </c>
      <c r="C45" s="1992" t="s">
        <v>564</v>
      </c>
      <c r="D45" s="1993"/>
      <c r="E45" s="1993"/>
      <c r="F45" s="1993"/>
      <c r="G45" s="1993"/>
      <c r="H45" s="404">
        <f t="shared" si="1"/>
        <v>0</v>
      </c>
      <c r="I45" s="404"/>
      <c r="J45" s="404"/>
      <c r="K45" s="404"/>
      <c r="L45" s="404"/>
      <c r="M45" s="404">
        <f t="shared" si="2"/>
        <v>0</v>
      </c>
      <c r="N45" s="404">
        <f t="shared" si="3"/>
        <v>0</v>
      </c>
      <c r="O45" s="404"/>
      <c r="P45" s="404"/>
      <c r="Q45" s="404"/>
      <c r="R45" s="408"/>
      <c r="S45" s="404">
        <f t="shared" si="0"/>
        <v>0</v>
      </c>
      <c r="T45" s="404"/>
      <c r="U45" s="404"/>
      <c r="V45" s="404"/>
    </row>
    <row r="46" spans="1:22" ht="22.5" hidden="1" x14ac:dyDescent="0.2">
      <c r="A46" s="1990" t="s">
        <v>626</v>
      </c>
      <c r="B46" s="1991" t="s">
        <v>627</v>
      </c>
      <c r="C46" s="1992" t="s">
        <v>564</v>
      </c>
      <c r="D46" s="1993"/>
      <c r="E46" s="1993"/>
      <c r="F46" s="1993"/>
      <c r="G46" s="1993"/>
      <c r="H46" s="404">
        <f t="shared" si="1"/>
        <v>0</v>
      </c>
      <c r="I46" s="404"/>
      <c r="J46" s="404"/>
      <c r="K46" s="404"/>
      <c r="L46" s="404"/>
      <c r="M46" s="404">
        <f t="shared" si="2"/>
        <v>0</v>
      </c>
      <c r="N46" s="404">
        <f t="shared" si="3"/>
        <v>0</v>
      </c>
      <c r="O46" s="404"/>
      <c r="P46" s="404"/>
      <c r="Q46" s="404"/>
      <c r="R46" s="408"/>
      <c r="S46" s="404">
        <f t="shared" si="0"/>
        <v>0</v>
      </c>
      <c r="T46" s="404"/>
      <c r="U46" s="404"/>
      <c r="V46" s="404"/>
    </row>
    <row r="47" spans="1:22" hidden="1" x14ac:dyDescent="0.2">
      <c r="A47" s="1990" t="s">
        <v>628</v>
      </c>
      <c r="B47" s="1991" t="s">
        <v>629</v>
      </c>
      <c r="C47" s="1992" t="s">
        <v>564</v>
      </c>
      <c r="D47" s="1993"/>
      <c r="E47" s="1993"/>
      <c r="F47" s="1993"/>
      <c r="G47" s="1993"/>
      <c r="H47" s="404">
        <f t="shared" si="1"/>
        <v>0</v>
      </c>
      <c r="I47" s="404"/>
      <c r="J47" s="404"/>
      <c r="K47" s="404"/>
      <c r="L47" s="404"/>
      <c r="M47" s="404">
        <f t="shared" si="2"/>
        <v>0</v>
      </c>
      <c r="N47" s="404">
        <f t="shared" si="3"/>
        <v>0</v>
      </c>
      <c r="O47" s="404"/>
      <c r="P47" s="404"/>
      <c r="Q47" s="404"/>
      <c r="R47" s="408"/>
      <c r="S47" s="404">
        <f t="shared" si="0"/>
        <v>0</v>
      </c>
      <c r="T47" s="404"/>
      <c r="U47" s="404"/>
      <c r="V47" s="404"/>
    </row>
    <row r="48" spans="1:22" hidden="1" x14ac:dyDescent="0.2">
      <c r="A48" s="1990" t="s">
        <v>630</v>
      </c>
      <c r="B48" s="2000" t="s">
        <v>631</v>
      </c>
      <c r="C48" s="1992"/>
      <c r="D48" s="1993"/>
      <c r="E48" s="1993"/>
      <c r="F48" s="1993"/>
      <c r="G48" s="1993"/>
      <c r="H48" s="404">
        <f t="shared" si="1"/>
        <v>0</v>
      </c>
      <c r="I48" s="404"/>
      <c r="J48" s="404"/>
      <c r="K48" s="404"/>
      <c r="L48" s="404"/>
      <c r="M48" s="404">
        <f t="shared" si="2"/>
        <v>0</v>
      </c>
      <c r="N48" s="404">
        <f t="shared" si="3"/>
        <v>0</v>
      </c>
      <c r="O48" s="404"/>
      <c r="P48" s="404"/>
      <c r="Q48" s="404"/>
      <c r="R48" s="408"/>
      <c r="S48" s="404">
        <f t="shared" si="0"/>
        <v>0</v>
      </c>
      <c r="T48" s="404"/>
      <c r="U48" s="404"/>
      <c r="V48" s="404"/>
    </row>
    <row r="49" spans="1:22" hidden="1" x14ac:dyDescent="0.2">
      <c r="A49" s="1990" t="s">
        <v>632</v>
      </c>
      <c r="B49" s="1991" t="s">
        <v>633</v>
      </c>
      <c r="C49" s="1992" t="s">
        <v>564</v>
      </c>
      <c r="D49" s="1993"/>
      <c r="E49" s="1993"/>
      <c r="F49" s="1993"/>
      <c r="G49" s="1993"/>
      <c r="H49" s="404">
        <f t="shared" si="1"/>
        <v>0</v>
      </c>
      <c r="I49" s="404"/>
      <c r="J49" s="404"/>
      <c r="K49" s="404"/>
      <c r="L49" s="404"/>
      <c r="M49" s="404">
        <f t="shared" si="2"/>
        <v>0</v>
      </c>
      <c r="N49" s="404">
        <f t="shared" si="3"/>
        <v>0</v>
      </c>
      <c r="O49" s="404"/>
      <c r="P49" s="404"/>
      <c r="Q49" s="404"/>
      <c r="R49" s="408"/>
      <c r="S49" s="404">
        <f t="shared" si="0"/>
        <v>0</v>
      </c>
      <c r="T49" s="404"/>
      <c r="U49" s="404"/>
      <c r="V49" s="404"/>
    </row>
    <row r="50" spans="1:22" hidden="1" x14ac:dyDescent="0.2">
      <c r="A50" s="1990" t="s">
        <v>634</v>
      </c>
      <c r="B50" s="1991" t="s">
        <v>635</v>
      </c>
      <c r="C50" s="1992" t="s">
        <v>564</v>
      </c>
      <c r="D50" s="1993"/>
      <c r="E50" s="1993"/>
      <c r="F50" s="1993"/>
      <c r="G50" s="1993"/>
      <c r="H50" s="404">
        <f t="shared" si="1"/>
        <v>0</v>
      </c>
      <c r="I50" s="404"/>
      <c r="J50" s="404"/>
      <c r="K50" s="404"/>
      <c r="L50" s="404"/>
      <c r="M50" s="404">
        <f t="shared" si="2"/>
        <v>0</v>
      </c>
      <c r="N50" s="404">
        <f t="shared" si="3"/>
        <v>0</v>
      </c>
      <c r="O50" s="404"/>
      <c r="P50" s="404"/>
      <c r="Q50" s="404"/>
      <c r="R50" s="408"/>
      <c r="S50" s="404">
        <f t="shared" si="0"/>
        <v>0</v>
      </c>
      <c r="T50" s="404"/>
      <c r="U50" s="404"/>
      <c r="V50" s="404"/>
    </row>
    <row r="51" spans="1:22" hidden="1" x14ac:dyDescent="0.2">
      <c r="A51" s="1990" t="s">
        <v>636</v>
      </c>
      <c r="B51" s="2000" t="s">
        <v>637</v>
      </c>
      <c r="C51" s="1992"/>
      <c r="D51" s="1993"/>
      <c r="E51" s="1993"/>
      <c r="F51" s="1993"/>
      <c r="G51" s="1993"/>
      <c r="H51" s="404">
        <f t="shared" si="1"/>
        <v>0</v>
      </c>
      <c r="I51" s="404"/>
      <c r="J51" s="404"/>
      <c r="K51" s="404"/>
      <c r="L51" s="404"/>
      <c r="M51" s="404">
        <f t="shared" si="2"/>
        <v>0</v>
      </c>
      <c r="N51" s="404">
        <f t="shared" si="3"/>
        <v>0</v>
      </c>
      <c r="O51" s="404"/>
      <c r="P51" s="404"/>
      <c r="Q51" s="404"/>
      <c r="R51" s="408"/>
      <c r="S51" s="404">
        <f t="shared" si="0"/>
        <v>0</v>
      </c>
      <c r="T51" s="404"/>
      <c r="U51" s="404"/>
      <c r="V51" s="404"/>
    </row>
    <row r="52" spans="1:22" ht="33.75" hidden="1" x14ac:dyDescent="0.2">
      <c r="A52" s="1990" t="s">
        <v>638</v>
      </c>
      <c r="B52" s="2001" t="s">
        <v>639</v>
      </c>
      <c r="C52" s="1992" t="s">
        <v>564</v>
      </c>
      <c r="D52" s="1993"/>
      <c r="E52" s="1993"/>
      <c r="F52" s="1993"/>
      <c r="G52" s="1993"/>
      <c r="H52" s="404">
        <f t="shared" si="1"/>
        <v>0</v>
      </c>
      <c r="I52" s="404"/>
      <c r="J52" s="404"/>
      <c r="K52" s="404"/>
      <c r="L52" s="404"/>
      <c r="M52" s="404">
        <f t="shared" si="2"/>
        <v>0</v>
      </c>
      <c r="N52" s="404">
        <f t="shared" si="3"/>
        <v>0</v>
      </c>
      <c r="O52" s="404"/>
      <c r="P52" s="404"/>
      <c r="Q52" s="404"/>
      <c r="R52" s="408"/>
      <c r="S52" s="404">
        <f t="shared" si="0"/>
        <v>0</v>
      </c>
      <c r="T52" s="404"/>
      <c r="U52" s="404"/>
      <c r="V52" s="404"/>
    </row>
    <row r="53" spans="1:22" hidden="1" x14ac:dyDescent="0.2">
      <c r="A53" s="1990" t="s">
        <v>640</v>
      </c>
      <c r="B53" s="2001" t="s">
        <v>641</v>
      </c>
      <c r="C53" s="1992" t="s">
        <v>564</v>
      </c>
      <c r="D53" s="1993"/>
      <c r="E53" s="1993"/>
      <c r="F53" s="1993"/>
      <c r="G53" s="1993"/>
      <c r="H53" s="404">
        <f t="shared" si="1"/>
        <v>0</v>
      </c>
      <c r="I53" s="404"/>
      <c r="J53" s="404"/>
      <c r="K53" s="404"/>
      <c r="L53" s="404"/>
      <c r="M53" s="404">
        <f t="shared" si="2"/>
        <v>0</v>
      </c>
      <c r="N53" s="404">
        <f t="shared" si="3"/>
        <v>0</v>
      </c>
      <c r="O53" s="404"/>
      <c r="P53" s="404"/>
      <c r="Q53" s="404"/>
      <c r="R53" s="408"/>
      <c r="S53" s="404">
        <f t="shared" si="0"/>
        <v>0</v>
      </c>
      <c r="T53" s="404"/>
      <c r="U53" s="404"/>
      <c r="V53" s="404"/>
    </row>
    <row r="54" spans="1:22" ht="22.5" hidden="1" x14ac:dyDescent="0.2">
      <c r="A54" s="1990" t="s">
        <v>642</v>
      </c>
      <c r="B54" s="2003" t="s">
        <v>643</v>
      </c>
      <c r="C54" s="1992"/>
      <c r="D54" s="1993"/>
      <c r="E54" s="1993"/>
      <c r="F54" s="1993"/>
      <c r="G54" s="1993"/>
      <c r="H54" s="404">
        <f t="shared" si="1"/>
        <v>0</v>
      </c>
      <c r="I54" s="404"/>
      <c r="J54" s="404"/>
      <c r="K54" s="404"/>
      <c r="L54" s="404"/>
      <c r="M54" s="404">
        <f t="shared" si="2"/>
        <v>0</v>
      </c>
      <c r="N54" s="404">
        <f t="shared" si="3"/>
        <v>0</v>
      </c>
      <c r="O54" s="404"/>
      <c r="P54" s="404"/>
      <c r="Q54" s="404"/>
      <c r="R54" s="408"/>
      <c r="S54" s="404">
        <f t="shared" si="0"/>
        <v>0</v>
      </c>
      <c r="T54" s="404"/>
      <c r="U54" s="404"/>
      <c r="V54" s="404"/>
    </row>
    <row r="55" spans="1:22" ht="33.75" hidden="1" x14ac:dyDescent="0.2">
      <c r="A55" s="1990" t="s">
        <v>644</v>
      </c>
      <c r="B55" s="2001" t="s">
        <v>645</v>
      </c>
      <c r="C55" s="1992" t="s">
        <v>564</v>
      </c>
      <c r="D55" s="1993"/>
      <c r="E55" s="1993"/>
      <c r="F55" s="1993"/>
      <c r="G55" s="1993"/>
      <c r="H55" s="404">
        <f t="shared" si="1"/>
        <v>0</v>
      </c>
      <c r="I55" s="404"/>
      <c r="J55" s="404"/>
      <c r="K55" s="404"/>
      <c r="L55" s="404"/>
      <c r="M55" s="404">
        <f t="shared" si="2"/>
        <v>0</v>
      </c>
      <c r="N55" s="404">
        <f t="shared" si="3"/>
        <v>0</v>
      </c>
      <c r="O55" s="404"/>
      <c r="P55" s="404"/>
      <c r="Q55" s="404"/>
      <c r="R55" s="408"/>
      <c r="S55" s="404">
        <f t="shared" si="0"/>
        <v>0</v>
      </c>
      <c r="T55" s="404"/>
      <c r="U55" s="404"/>
      <c r="V55" s="404"/>
    </row>
    <row r="56" spans="1:22" ht="22.5" hidden="1" x14ac:dyDescent="0.2">
      <c r="A56" s="1990" t="s">
        <v>646</v>
      </c>
      <c r="B56" s="2001" t="s">
        <v>647</v>
      </c>
      <c r="C56" s="1992" t="s">
        <v>564</v>
      </c>
      <c r="D56" s="1993"/>
      <c r="E56" s="1993"/>
      <c r="F56" s="1993"/>
      <c r="G56" s="1993"/>
      <c r="H56" s="404">
        <f t="shared" si="1"/>
        <v>0</v>
      </c>
      <c r="I56" s="404"/>
      <c r="J56" s="404"/>
      <c r="K56" s="404"/>
      <c r="L56" s="404"/>
      <c r="M56" s="404">
        <f t="shared" si="2"/>
        <v>0</v>
      </c>
      <c r="N56" s="404">
        <f t="shared" si="3"/>
        <v>0</v>
      </c>
      <c r="O56" s="404"/>
      <c r="P56" s="404"/>
      <c r="Q56" s="404"/>
      <c r="R56" s="408"/>
      <c r="S56" s="404">
        <f t="shared" si="0"/>
        <v>0</v>
      </c>
      <c r="T56" s="404"/>
      <c r="U56" s="404"/>
      <c r="V56" s="404"/>
    </row>
    <row r="57" spans="1:22" ht="22.5" hidden="1" x14ac:dyDescent="0.2">
      <c r="A57" s="1990" t="s">
        <v>648</v>
      </c>
      <c r="B57" s="2003" t="s">
        <v>649</v>
      </c>
      <c r="C57" s="1992" t="s">
        <v>564</v>
      </c>
      <c r="D57" s="1993"/>
      <c r="E57" s="1993"/>
      <c r="F57" s="1993"/>
      <c r="G57" s="1993"/>
      <c r="H57" s="404">
        <f t="shared" si="1"/>
        <v>0</v>
      </c>
      <c r="I57" s="404"/>
      <c r="J57" s="404"/>
      <c r="K57" s="404"/>
      <c r="L57" s="404"/>
      <c r="M57" s="404">
        <f t="shared" si="2"/>
        <v>0</v>
      </c>
      <c r="N57" s="404">
        <f t="shared" si="3"/>
        <v>0</v>
      </c>
      <c r="O57" s="404"/>
      <c r="P57" s="404"/>
      <c r="Q57" s="404"/>
      <c r="R57" s="408"/>
      <c r="S57" s="404">
        <f t="shared" si="0"/>
        <v>0</v>
      </c>
      <c r="T57" s="404"/>
      <c r="U57" s="404"/>
      <c r="V57" s="404"/>
    </row>
    <row r="58" spans="1:22" s="405" customFormat="1" ht="12.75" x14ac:dyDescent="0.2">
      <c r="A58" s="1985" t="s">
        <v>650</v>
      </c>
      <c r="B58" s="1986" t="s">
        <v>651</v>
      </c>
      <c r="C58" s="1987"/>
      <c r="D58" s="1993"/>
      <c r="E58" s="1993"/>
      <c r="F58" s="1993"/>
      <c r="G58" s="1993"/>
      <c r="H58" s="404">
        <f t="shared" si="1"/>
        <v>0</v>
      </c>
      <c r="I58" s="404"/>
      <c r="J58" s="404"/>
      <c r="K58" s="404"/>
      <c r="L58" s="404"/>
      <c r="M58" s="404"/>
      <c r="N58" s="404"/>
      <c r="O58" s="404"/>
      <c r="P58" s="404"/>
      <c r="Q58" s="404"/>
      <c r="R58" s="408"/>
      <c r="S58" s="404">
        <f t="shared" si="0"/>
        <v>0</v>
      </c>
      <c r="T58" s="410"/>
      <c r="U58" s="404"/>
      <c r="V58" s="404"/>
    </row>
    <row r="59" spans="1:22" s="405" customFormat="1" ht="12.75" x14ac:dyDescent="0.2">
      <c r="A59" s="1985"/>
      <c r="B59" s="1986"/>
      <c r="C59" s="1987"/>
      <c r="D59" s="1993"/>
      <c r="E59" s="1993"/>
      <c r="F59" s="1993"/>
      <c r="G59" s="1993"/>
      <c r="H59" s="404">
        <f t="shared" si="1"/>
        <v>0</v>
      </c>
      <c r="I59" s="404"/>
      <c r="J59" s="404"/>
      <c r="K59" s="404"/>
      <c r="L59" s="404"/>
      <c r="M59" s="404">
        <f t="shared" si="2"/>
        <v>0</v>
      </c>
      <c r="N59" s="404">
        <f t="shared" si="3"/>
        <v>0</v>
      </c>
      <c r="O59" s="404"/>
      <c r="P59" s="404"/>
      <c r="Q59" s="404"/>
      <c r="R59" s="408"/>
      <c r="S59" s="404">
        <f t="shared" si="0"/>
        <v>0</v>
      </c>
      <c r="T59" s="404"/>
      <c r="U59" s="404"/>
      <c r="V59" s="404"/>
    </row>
    <row r="60" spans="1:22" x14ac:dyDescent="0.2">
      <c r="A60" s="1990" t="s">
        <v>652</v>
      </c>
      <c r="B60" s="2004" t="s">
        <v>2001</v>
      </c>
      <c r="C60" s="1992"/>
      <c r="D60" s="1993"/>
      <c r="E60" s="1993"/>
      <c r="F60" s="1993"/>
      <c r="G60" s="1993"/>
      <c r="H60" s="404">
        <f t="shared" si="1"/>
        <v>0</v>
      </c>
      <c r="I60" s="404">
        <v>0</v>
      </c>
      <c r="J60" s="404">
        <v>4200</v>
      </c>
      <c r="K60" s="404">
        <v>0</v>
      </c>
      <c r="L60" s="404">
        <v>0</v>
      </c>
      <c r="M60" s="404">
        <f t="shared" si="2"/>
        <v>0</v>
      </c>
      <c r="N60" s="404">
        <f t="shared" si="3"/>
        <v>0</v>
      </c>
      <c r="O60" s="404">
        <v>0</v>
      </c>
      <c r="P60" s="404">
        <v>6.31</v>
      </c>
      <c r="Q60" s="404">
        <v>0</v>
      </c>
      <c r="R60" s="408">
        <v>0</v>
      </c>
      <c r="S60" s="404">
        <f t="shared" si="0"/>
        <v>0</v>
      </c>
      <c r="T60" s="404"/>
      <c r="U60" s="404">
        <f>R60</f>
        <v>0</v>
      </c>
      <c r="V60" s="404">
        <f>U60</f>
        <v>0</v>
      </c>
    </row>
    <row r="61" spans="1:22" x14ac:dyDescent="0.2">
      <c r="A61" s="1990" t="s">
        <v>653</v>
      </c>
      <c r="B61" s="1991" t="s">
        <v>654</v>
      </c>
      <c r="C61" s="1992" t="s">
        <v>564</v>
      </c>
      <c r="D61" s="1993"/>
      <c r="E61" s="1993"/>
      <c r="F61" s="1993"/>
      <c r="G61" s="1993"/>
      <c r="H61" s="404">
        <f t="shared" si="1"/>
        <v>0</v>
      </c>
      <c r="I61" s="404"/>
      <c r="J61" s="404"/>
      <c r="K61" s="404"/>
      <c r="L61" s="404"/>
      <c r="M61" s="404">
        <f t="shared" si="2"/>
        <v>0</v>
      </c>
      <c r="N61" s="404">
        <f t="shared" si="3"/>
        <v>0</v>
      </c>
      <c r="O61" s="404"/>
      <c r="P61" s="404"/>
      <c r="Q61" s="404"/>
      <c r="R61" s="408"/>
      <c r="S61" s="404">
        <f t="shared" si="0"/>
        <v>0</v>
      </c>
      <c r="T61" s="404"/>
      <c r="U61" s="404"/>
      <c r="V61" s="404"/>
    </row>
    <row r="62" spans="1:22" x14ac:dyDescent="0.2">
      <c r="A62" s="1990" t="s">
        <v>655</v>
      </c>
      <c r="B62" s="2004" t="s">
        <v>656</v>
      </c>
      <c r="C62" s="1992"/>
      <c r="D62" s="1993"/>
      <c r="E62" s="1993"/>
      <c r="F62" s="1993"/>
      <c r="G62" s="1993"/>
      <c r="H62" s="404">
        <f t="shared" si="1"/>
        <v>0</v>
      </c>
      <c r="I62" s="404"/>
      <c r="J62" s="404"/>
      <c r="K62" s="404"/>
      <c r="L62" s="404"/>
      <c r="M62" s="404">
        <f t="shared" si="2"/>
        <v>0</v>
      </c>
      <c r="N62" s="404">
        <f t="shared" si="3"/>
        <v>0</v>
      </c>
      <c r="O62" s="404"/>
      <c r="P62" s="404"/>
      <c r="Q62" s="404"/>
      <c r="R62" s="408"/>
      <c r="S62" s="404">
        <f t="shared" si="0"/>
        <v>0</v>
      </c>
      <c r="T62" s="404"/>
      <c r="U62" s="404"/>
      <c r="V62" s="404"/>
    </row>
    <row r="63" spans="1:22" ht="101.25" x14ac:dyDescent="0.2">
      <c r="A63" s="1990" t="s">
        <v>657</v>
      </c>
      <c r="B63" s="1991" t="s">
        <v>654</v>
      </c>
      <c r="C63" s="1992" t="s">
        <v>658</v>
      </c>
      <c r="D63" s="2005">
        <v>0</v>
      </c>
      <c r="E63" s="2005">
        <v>1</v>
      </c>
      <c r="F63" s="2005">
        <v>0</v>
      </c>
      <c r="G63" s="2005">
        <v>0</v>
      </c>
      <c r="H63" s="404">
        <v>0</v>
      </c>
      <c r="I63" s="404">
        <v>4600</v>
      </c>
      <c r="J63" s="404">
        <v>4600</v>
      </c>
      <c r="K63" s="404">
        <v>4200</v>
      </c>
      <c r="L63" s="404">
        <v>4200</v>
      </c>
      <c r="M63" s="404"/>
      <c r="N63" s="404"/>
      <c r="O63" s="404">
        <v>1.7</v>
      </c>
      <c r="P63" s="404">
        <f>E63*J63/1000</f>
        <v>4.5999999999999996</v>
      </c>
      <c r="Q63" s="404">
        <v>2</v>
      </c>
      <c r="R63" s="408"/>
      <c r="S63" s="404">
        <f>R63/P63</f>
        <v>0</v>
      </c>
      <c r="T63" s="1994" t="s">
        <v>2002</v>
      </c>
      <c r="U63" s="404">
        <f>R63</f>
        <v>0</v>
      </c>
      <c r="V63" s="2006">
        <f>U63</f>
        <v>0</v>
      </c>
    </row>
    <row r="64" spans="1:22" s="405" customFormat="1" ht="12.75" x14ac:dyDescent="0.2">
      <c r="A64" s="1985" t="s">
        <v>659</v>
      </c>
      <c r="B64" s="1986" t="s">
        <v>660</v>
      </c>
      <c r="C64" s="1987"/>
      <c r="D64" s="1993"/>
      <c r="E64" s="1993"/>
      <c r="F64" s="1993"/>
      <c r="G64" s="1993"/>
      <c r="H64" s="404">
        <f t="shared" si="1"/>
        <v>0</v>
      </c>
      <c r="I64" s="404"/>
      <c r="J64" s="404"/>
      <c r="K64" s="404"/>
      <c r="L64" s="404"/>
      <c r="M64" s="404">
        <f t="shared" si="2"/>
        <v>0</v>
      </c>
      <c r="N64" s="404">
        <f t="shared" si="3"/>
        <v>0</v>
      </c>
      <c r="O64" s="404"/>
      <c r="P64" s="404"/>
      <c r="Q64" s="404"/>
      <c r="R64" s="408"/>
      <c r="S64" s="404">
        <f t="shared" si="0"/>
        <v>0</v>
      </c>
      <c r="T64" s="404"/>
      <c r="U64" s="404"/>
      <c r="V64" s="404"/>
    </row>
    <row r="65" spans="1:22" ht="117.75" customHeight="1" x14ac:dyDescent="0.2">
      <c r="A65" s="1990" t="s">
        <v>661</v>
      </c>
      <c r="B65" s="1991" t="s">
        <v>2003</v>
      </c>
      <c r="C65" s="1992" t="s">
        <v>201</v>
      </c>
      <c r="D65" s="1993">
        <v>12</v>
      </c>
      <c r="E65" s="1993">
        <v>12</v>
      </c>
      <c r="F65" s="1993">
        <v>12</v>
      </c>
      <c r="G65" s="1993">
        <v>12</v>
      </c>
      <c r="H65" s="404">
        <f>G65/F65</f>
        <v>1</v>
      </c>
      <c r="I65" s="404">
        <v>22000</v>
      </c>
      <c r="J65" s="404">
        <v>19167</v>
      </c>
      <c r="K65" s="404">
        <v>22000</v>
      </c>
      <c r="L65" s="404">
        <v>22000</v>
      </c>
      <c r="M65" s="404">
        <f>L65/K65</f>
        <v>1</v>
      </c>
      <c r="N65" s="404">
        <f>J65/I65</f>
        <v>0.87</v>
      </c>
      <c r="O65" s="404">
        <f>D65*I65/1000</f>
        <v>264</v>
      </c>
      <c r="P65" s="404">
        <f>E65*J65/1000</f>
        <v>230</v>
      </c>
      <c r="Q65" s="404">
        <f t="shared" ref="Q65" si="5">F65*K65/1000</f>
        <v>264</v>
      </c>
      <c r="R65" s="408"/>
      <c r="S65" s="404">
        <f>R65/P65</f>
        <v>0</v>
      </c>
      <c r="T65" s="1994" t="s">
        <v>2004</v>
      </c>
      <c r="U65" s="404">
        <f>R65</f>
        <v>0</v>
      </c>
      <c r="V65" s="2006">
        <f>U65</f>
        <v>0</v>
      </c>
    </row>
    <row r="66" spans="1:22" ht="22.5" hidden="1" customHeight="1" x14ac:dyDescent="0.2">
      <c r="A66" s="1990" t="s">
        <v>662</v>
      </c>
      <c r="B66" s="1991" t="s">
        <v>663</v>
      </c>
      <c r="C66" s="1992" t="s">
        <v>664</v>
      </c>
      <c r="D66" s="2005"/>
      <c r="E66" s="2005"/>
      <c r="F66" s="2005"/>
      <c r="G66" s="2005"/>
      <c r="H66" s="404">
        <f t="shared" si="1"/>
        <v>0</v>
      </c>
      <c r="I66" s="404"/>
      <c r="J66" s="404"/>
      <c r="K66" s="404"/>
      <c r="L66" s="404"/>
      <c r="M66" s="404">
        <f t="shared" si="2"/>
        <v>0</v>
      </c>
      <c r="N66" s="404">
        <f t="shared" si="3"/>
        <v>0</v>
      </c>
      <c r="O66" s="404"/>
      <c r="P66" s="404"/>
      <c r="Q66" s="404"/>
      <c r="R66" s="408"/>
      <c r="S66" s="404">
        <f t="shared" si="0"/>
        <v>0</v>
      </c>
      <c r="T66" s="404"/>
      <c r="U66" s="404"/>
      <c r="V66" s="2006"/>
    </row>
    <row r="67" spans="1:22" ht="22.5" hidden="1" customHeight="1" x14ac:dyDescent="0.2">
      <c r="A67" s="1990"/>
      <c r="B67" s="1991" t="s">
        <v>665</v>
      </c>
      <c r="C67" s="1992"/>
      <c r="D67" s="2005"/>
      <c r="E67" s="2005"/>
      <c r="F67" s="2005"/>
      <c r="G67" s="2005"/>
      <c r="H67" s="404"/>
      <c r="I67" s="404"/>
      <c r="J67" s="404"/>
      <c r="K67" s="404"/>
      <c r="L67" s="404"/>
      <c r="M67" s="404"/>
      <c r="N67" s="404"/>
      <c r="O67" s="404"/>
      <c r="P67" s="404"/>
      <c r="Q67" s="404"/>
      <c r="R67" s="408"/>
      <c r="S67" s="404"/>
      <c r="T67" s="404"/>
      <c r="U67" s="404"/>
      <c r="V67" s="2006"/>
    </row>
    <row r="68" spans="1:22" s="405" customFormat="1" ht="12.75" x14ac:dyDescent="0.2">
      <c r="A68" s="1985" t="s">
        <v>666</v>
      </c>
      <c r="B68" s="1986" t="s">
        <v>667</v>
      </c>
      <c r="C68" s="1987"/>
      <c r="D68" s="1993"/>
      <c r="E68" s="1993"/>
      <c r="F68" s="1993"/>
      <c r="G68" s="1993"/>
      <c r="H68" s="404">
        <f t="shared" si="1"/>
        <v>0</v>
      </c>
      <c r="I68" s="404"/>
      <c r="J68" s="404"/>
      <c r="K68" s="404"/>
      <c r="L68" s="404"/>
      <c r="M68" s="404">
        <f t="shared" si="2"/>
        <v>0</v>
      </c>
      <c r="N68" s="404">
        <f t="shared" si="3"/>
        <v>0</v>
      </c>
      <c r="O68" s="404"/>
      <c r="P68" s="404"/>
      <c r="Q68" s="404"/>
      <c r="R68" s="408"/>
      <c r="S68" s="404">
        <f t="shared" si="0"/>
        <v>0</v>
      </c>
      <c r="T68" s="404"/>
      <c r="U68" s="404"/>
      <c r="V68" s="404"/>
    </row>
    <row r="69" spans="1:22" ht="122.25" customHeight="1" x14ac:dyDescent="0.2">
      <c r="A69" s="1990" t="s">
        <v>668</v>
      </c>
      <c r="B69" s="1991" t="s">
        <v>669</v>
      </c>
      <c r="C69" s="1992" t="s">
        <v>227</v>
      </c>
      <c r="D69" s="2005">
        <v>0</v>
      </c>
      <c r="E69" s="2005">
        <v>100</v>
      </c>
      <c r="F69" s="2005">
        <v>300</v>
      </c>
      <c r="G69" s="2005">
        <v>200</v>
      </c>
      <c r="H69" s="404">
        <v>0</v>
      </c>
      <c r="I69" s="404">
        <v>0</v>
      </c>
      <c r="J69" s="404">
        <v>10</v>
      </c>
      <c r="K69" s="404">
        <v>66.680000000000007</v>
      </c>
      <c r="L69" s="404">
        <v>25</v>
      </c>
      <c r="M69" s="404">
        <f>L69/J69</f>
        <v>2.5</v>
      </c>
      <c r="N69" s="404">
        <v>0</v>
      </c>
      <c r="O69" s="404">
        <v>0</v>
      </c>
      <c r="P69" s="404">
        <f>E69*J69/1000</f>
        <v>1</v>
      </c>
      <c r="Q69" s="404">
        <f>F69*K69/1000</f>
        <v>20</v>
      </c>
      <c r="R69" s="408"/>
      <c r="S69" s="404">
        <f>R69/P69</f>
        <v>0</v>
      </c>
      <c r="T69" s="1994" t="s">
        <v>2005</v>
      </c>
      <c r="U69" s="404">
        <f>R69</f>
        <v>0</v>
      </c>
      <c r="V69" s="2006">
        <f>U69</f>
        <v>0</v>
      </c>
    </row>
    <row r="70" spans="1:22" x14ac:dyDescent="0.2">
      <c r="A70" s="1990" t="s">
        <v>670</v>
      </c>
      <c r="B70" s="1991" t="s">
        <v>671</v>
      </c>
      <c r="C70" s="1992" t="s">
        <v>227</v>
      </c>
      <c r="D70" s="2007"/>
      <c r="E70" s="2007"/>
      <c r="F70" s="2007"/>
      <c r="G70" s="2007"/>
      <c r="H70" s="404">
        <f t="shared" si="1"/>
        <v>0</v>
      </c>
      <c r="I70" s="2008"/>
      <c r="J70" s="2008"/>
      <c r="K70" s="2008"/>
      <c r="L70" s="2008"/>
      <c r="M70" s="404">
        <f t="shared" si="2"/>
        <v>0</v>
      </c>
      <c r="N70" s="404">
        <f t="shared" si="3"/>
        <v>0</v>
      </c>
      <c r="O70" s="2008"/>
      <c r="P70" s="2008"/>
      <c r="Q70" s="2008"/>
      <c r="R70" s="406"/>
      <c r="S70" s="404">
        <f t="shared" si="0"/>
        <v>0</v>
      </c>
      <c r="T70" s="1989"/>
      <c r="U70" s="2008"/>
      <c r="V70" s="2009"/>
    </row>
    <row r="71" spans="1:22" x14ac:dyDescent="0.2">
      <c r="A71" s="1990" t="s">
        <v>672</v>
      </c>
      <c r="B71" s="1991" t="s">
        <v>673</v>
      </c>
      <c r="C71" s="1992" t="s">
        <v>564</v>
      </c>
      <c r="D71" s="2007"/>
      <c r="E71" s="2007"/>
      <c r="F71" s="2007"/>
      <c r="G71" s="2007"/>
      <c r="H71" s="404">
        <f t="shared" si="1"/>
        <v>0</v>
      </c>
      <c r="I71" s="2008"/>
      <c r="J71" s="2008"/>
      <c r="K71" s="2008"/>
      <c r="L71" s="2008"/>
      <c r="M71" s="404">
        <f t="shared" si="2"/>
        <v>0</v>
      </c>
      <c r="N71" s="404">
        <f t="shared" si="3"/>
        <v>0</v>
      </c>
      <c r="O71" s="2008"/>
      <c r="P71" s="2008"/>
      <c r="Q71" s="2008"/>
      <c r="R71" s="406"/>
      <c r="S71" s="404">
        <f t="shared" si="0"/>
        <v>0</v>
      </c>
      <c r="T71" s="1989"/>
      <c r="U71" s="2008"/>
      <c r="V71" s="2009"/>
    </row>
    <row r="72" spans="1:22" x14ac:dyDescent="0.2">
      <c r="A72" s="2010" t="s">
        <v>674</v>
      </c>
      <c r="B72" s="2011" t="s">
        <v>675</v>
      </c>
      <c r="C72" s="1992" t="s">
        <v>227</v>
      </c>
      <c r="D72" s="2007"/>
      <c r="E72" s="2007"/>
      <c r="F72" s="2007"/>
      <c r="G72" s="2007"/>
      <c r="H72" s="404">
        <f t="shared" si="1"/>
        <v>0</v>
      </c>
      <c r="I72" s="2008"/>
      <c r="J72" s="2008"/>
      <c r="K72" s="2008"/>
      <c r="L72" s="2008"/>
      <c r="M72" s="404">
        <f t="shared" si="2"/>
        <v>0</v>
      </c>
      <c r="N72" s="404">
        <f t="shared" si="3"/>
        <v>0</v>
      </c>
      <c r="O72" s="2008"/>
      <c r="P72" s="2008"/>
      <c r="Q72" s="2008"/>
      <c r="R72" s="406"/>
      <c r="S72" s="404">
        <f t="shared" si="0"/>
        <v>0</v>
      </c>
      <c r="T72" s="1989"/>
      <c r="U72" s="2008"/>
      <c r="V72" s="2009"/>
    </row>
    <row r="73" spans="1:22" x14ac:dyDescent="0.2">
      <c r="A73" s="1985" t="s">
        <v>676</v>
      </c>
      <c r="B73" s="2011" t="s">
        <v>2006</v>
      </c>
      <c r="C73" s="1987"/>
      <c r="D73" s="1988"/>
      <c r="E73" s="1988"/>
      <c r="F73" s="1988"/>
      <c r="G73" s="1988"/>
      <c r="H73" s="404">
        <f t="shared" si="1"/>
        <v>0</v>
      </c>
      <c r="I73" s="404"/>
      <c r="J73" s="404"/>
      <c r="K73" s="404"/>
      <c r="L73" s="404"/>
      <c r="M73" s="404">
        <f t="shared" si="2"/>
        <v>0</v>
      </c>
      <c r="N73" s="404">
        <f t="shared" si="3"/>
        <v>0</v>
      </c>
      <c r="O73" s="404"/>
      <c r="P73" s="404"/>
      <c r="Q73" s="404"/>
      <c r="R73" s="408"/>
      <c r="S73" s="404">
        <f t="shared" si="0"/>
        <v>0</v>
      </c>
      <c r="T73" s="1989"/>
      <c r="U73" s="2008"/>
      <c r="V73" s="2012"/>
    </row>
    <row r="74" spans="1:22" ht="25.5" x14ac:dyDescent="0.2">
      <c r="A74" s="1985"/>
      <c r="B74" s="409" t="s">
        <v>2007</v>
      </c>
      <c r="C74" s="1987"/>
      <c r="D74" s="1988"/>
      <c r="E74" s="1988"/>
      <c r="F74" s="1988"/>
      <c r="G74" s="1988"/>
      <c r="H74" s="404"/>
      <c r="I74" s="404"/>
      <c r="J74" s="404"/>
      <c r="K74" s="404"/>
      <c r="L74" s="404"/>
      <c r="M74" s="404"/>
      <c r="N74" s="404"/>
      <c r="O74" s="404"/>
      <c r="P74" s="404"/>
      <c r="Q74" s="404"/>
      <c r="R74" s="408"/>
      <c r="S74" s="404"/>
      <c r="T74" s="1989"/>
      <c r="U74" s="2008"/>
      <c r="V74" s="2012"/>
    </row>
    <row r="75" spans="1:22" ht="12.75" x14ac:dyDescent="0.2">
      <c r="A75" s="1985"/>
      <c r="B75" s="2013" t="s">
        <v>2008</v>
      </c>
      <c r="C75" s="1987"/>
      <c r="D75" s="1988"/>
      <c r="E75" s="1988"/>
      <c r="F75" s="1988"/>
      <c r="G75" s="1988"/>
      <c r="H75" s="404">
        <f t="shared" si="1"/>
        <v>0</v>
      </c>
      <c r="I75" s="1989"/>
      <c r="J75" s="1989"/>
      <c r="K75" s="1989"/>
      <c r="L75" s="1989"/>
      <c r="M75" s="404">
        <f t="shared" si="2"/>
        <v>0</v>
      </c>
      <c r="N75" s="404">
        <f t="shared" si="3"/>
        <v>0</v>
      </c>
      <c r="O75" s="1989"/>
      <c r="P75" s="1989"/>
      <c r="Q75" s="1989"/>
      <c r="R75" s="408"/>
      <c r="S75" s="404">
        <f t="shared" ref="S75:S83" si="6">IFERROR(R75/P75,0)</f>
        <v>0</v>
      </c>
      <c r="T75" s="1989"/>
      <c r="U75" s="2008"/>
      <c r="V75" s="2012"/>
    </row>
    <row r="76" spans="1:22" ht="22.5" x14ac:dyDescent="0.2">
      <c r="A76" s="1985"/>
      <c r="B76" s="2014" t="s">
        <v>677</v>
      </c>
      <c r="C76" s="1987"/>
      <c r="D76" s="1988"/>
      <c r="E76" s="1988"/>
      <c r="F76" s="1988"/>
      <c r="G76" s="1988"/>
      <c r="H76" s="404">
        <f t="shared" ref="H76:H80" si="7">IFERROR(G76/E76,0)</f>
        <v>0</v>
      </c>
      <c r="I76" s="404"/>
      <c r="J76" s="404"/>
      <c r="K76" s="404"/>
      <c r="L76" s="404"/>
      <c r="M76" s="404">
        <f t="shared" ref="M76:M80" si="8">IFERROR(L76/J76,0)</f>
        <v>0</v>
      </c>
      <c r="N76" s="404">
        <f t="shared" ref="N76:N80" si="9">IFERROR(J76/I76,0)</f>
        <v>0</v>
      </c>
      <c r="O76" s="404"/>
      <c r="P76" s="404"/>
      <c r="Q76" s="404"/>
      <c r="R76" s="408"/>
      <c r="S76" s="404">
        <f t="shared" si="6"/>
        <v>0</v>
      </c>
      <c r="T76" s="1989"/>
      <c r="U76" s="2008"/>
      <c r="V76" s="2012"/>
    </row>
    <row r="77" spans="1:22" ht="22.5" x14ac:dyDescent="0.2">
      <c r="A77" s="1985"/>
      <c r="B77" s="2014" t="s">
        <v>678</v>
      </c>
      <c r="C77" s="1987"/>
      <c r="D77" s="1988"/>
      <c r="E77" s="1988"/>
      <c r="F77" s="1988"/>
      <c r="G77" s="1988"/>
      <c r="H77" s="404">
        <f t="shared" si="7"/>
        <v>0</v>
      </c>
      <c r="I77" s="404"/>
      <c r="J77" s="404"/>
      <c r="K77" s="404"/>
      <c r="L77" s="404"/>
      <c r="M77" s="404">
        <f t="shared" si="8"/>
        <v>0</v>
      </c>
      <c r="N77" s="404">
        <f t="shared" si="9"/>
        <v>0</v>
      </c>
      <c r="O77" s="404"/>
      <c r="P77" s="404"/>
      <c r="Q77" s="404"/>
      <c r="R77" s="408"/>
      <c r="S77" s="404">
        <f t="shared" si="6"/>
        <v>0</v>
      </c>
      <c r="T77" s="1989"/>
      <c r="U77" s="2008"/>
      <c r="V77" s="2012"/>
    </row>
    <row r="78" spans="1:22" x14ac:dyDescent="0.2">
      <c r="A78" s="1985"/>
      <c r="B78" s="2014" t="s">
        <v>679</v>
      </c>
      <c r="C78" s="1987"/>
      <c r="D78" s="1988"/>
      <c r="E78" s="1988"/>
      <c r="F78" s="1988"/>
      <c r="G78" s="1988"/>
      <c r="H78" s="404">
        <f t="shared" si="7"/>
        <v>0</v>
      </c>
      <c r="I78" s="1989"/>
      <c r="J78" s="1989"/>
      <c r="K78" s="1989"/>
      <c r="L78" s="1989"/>
      <c r="M78" s="404">
        <f t="shared" si="8"/>
        <v>0</v>
      </c>
      <c r="N78" s="404">
        <f t="shared" si="9"/>
        <v>0</v>
      </c>
      <c r="O78" s="1989"/>
      <c r="P78" s="1989"/>
      <c r="Q78" s="1989"/>
      <c r="R78" s="408"/>
      <c r="S78" s="404">
        <f t="shared" si="6"/>
        <v>0</v>
      </c>
      <c r="T78" s="1989"/>
      <c r="U78" s="2008"/>
      <c r="V78" s="2012"/>
    </row>
    <row r="79" spans="1:22" x14ac:dyDescent="0.2">
      <c r="A79" s="1985"/>
      <c r="B79" s="2014" t="s">
        <v>680</v>
      </c>
      <c r="C79" s="1987"/>
      <c r="D79" s="1988"/>
      <c r="E79" s="1988"/>
      <c r="F79" s="1988"/>
      <c r="G79" s="1988"/>
      <c r="H79" s="404">
        <f t="shared" si="7"/>
        <v>0</v>
      </c>
      <c r="I79" s="404">
        <v>290</v>
      </c>
      <c r="J79" s="404">
        <v>0</v>
      </c>
      <c r="K79" s="404">
        <v>0</v>
      </c>
      <c r="L79" s="404">
        <v>0</v>
      </c>
      <c r="M79" s="404">
        <f t="shared" si="8"/>
        <v>0</v>
      </c>
      <c r="N79" s="404">
        <f t="shared" si="9"/>
        <v>0</v>
      </c>
      <c r="O79" s="404">
        <v>0.28999999999999998</v>
      </c>
      <c r="P79" s="404">
        <v>0</v>
      </c>
      <c r="Q79" s="404">
        <v>0</v>
      </c>
      <c r="R79" s="408">
        <v>0</v>
      </c>
      <c r="S79" s="404">
        <f t="shared" si="6"/>
        <v>0</v>
      </c>
      <c r="T79" s="1989"/>
      <c r="U79" s="2008">
        <f>R79</f>
        <v>0</v>
      </c>
      <c r="V79" s="2012">
        <f>U79</f>
        <v>0</v>
      </c>
    </row>
    <row r="80" spans="1:22" ht="22.5" x14ac:dyDescent="0.2">
      <c r="A80" s="1985"/>
      <c r="B80" s="2014" t="s">
        <v>681</v>
      </c>
      <c r="C80" s="1987"/>
      <c r="D80" s="1988"/>
      <c r="E80" s="1988"/>
      <c r="F80" s="1988"/>
      <c r="G80" s="1988"/>
      <c r="H80" s="404">
        <f t="shared" si="7"/>
        <v>0</v>
      </c>
      <c r="I80" s="1989"/>
      <c r="J80" s="1989"/>
      <c r="K80" s="1989"/>
      <c r="L80" s="1989"/>
      <c r="M80" s="404">
        <f t="shared" si="8"/>
        <v>0</v>
      </c>
      <c r="N80" s="404">
        <f t="shared" si="9"/>
        <v>0</v>
      </c>
      <c r="O80" s="1989"/>
      <c r="P80" s="1989"/>
      <c r="Q80" s="1989"/>
      <c r="R80" s="408"/>
      <c r="S80" s="404">
        <f t="shared" si="6"/>
        <v>0</v>
      </c>
      <c r="T80" s="1989"/>
      <c r="U80" s="2008"/>
      <c r="V80" s="2012"/>
    </row>
    <row r="81" spans="1:22" ht="12.75" x14ac:dyDescent="0.2">
      <c r="A81" s="1985"/>
      <c r="B81" s="2013" t="s">
        <v>682</v>
      </c>
      <c r="C81" s="1987"/>
      <c r="D81" s="1988">
        <v>1</v>
      </c>
      <c r="E81" s="1988">
        <v>1</v>
      </c>
      <c r="F81" s="1988">
        <v>1</v>
      </c>
      <c r="G81" s="1988">
        <v>1</v>
      </c>
      <c r="H81" s="404"/>
      <c r="I81" s="404">
        <v>124599</v>
      </c>
      <c r="J81" s="404">
        <v>100000</v>
      </c>
      <c r="K81" s="404">
        <v>100000</v>
      </c>
      <c r="L81" s="404">
        <v>100000</v>
      </c>
      <c r="M81" s="404">
        <f>L81/K81</f>
        <v>1</v>
      </c>
      <c r="N81" s="404">
        <f>J81/I81</f>
        <v>0.8</v>
      </c>
      <c r="O81" s="404">
        <f>D81*I81/1000</f>
        <v>124.6</v>
      </c>
      <c r="P81" s="404">
        <f>E81*J81/1000</f>
        <v>100</v>
      </c>
      <c r="Q81" s="404">
        <f t="shared" ref="Q81" si="10">F81*K81/1000</f>
        <v>100</v>
      </c>
      <c r="R81" s="408"/>
      <c r="S81" s="404">
        <f>R81/Q81</f>
        <v>0</v>
      </c>
      <c r="T81" s="1989"/>
      <c r="U81" s="2008">
        <f>R81</f>
        <v>0</v>
      </c>
      <c r="V81" s="2012">
        <f>U81</f>
        <v>0</v>
      </c>
    </row>
    <row r="82" spans="1:22" s="1044" customFormat="1" ht="45" x14ac:dyDescent="0.2">
      <c r="A82" s="2015"/>
      <c r="B82" s="2013" t="s">
        <v>1376</v>
      </c>
      <c r="C82" s="2016"/>
      <c r="D82" s="1993">
        <v>12</v>
      </c>
      <c r="E82" s="1993">
        <v>12</v>
      </c>
      <c r="F82" s="1993">
        <v>7</v>
      </c>
      <c r="G82" s="1993">
        <v>0</v>
      </c>
      <c r="H82" s="404">
        <f>G82/F82</f>
        <v>0</v>
      </c>
      <c r="I82" s="404">
        <v>8000</v>
      </c>
      <c r="J82" s="404">
        <v>8000</v>
      </c>
      <c r="K82" s="404">
        <v>8000</v>
      </c>
      <c r="L82" s="404">
        <v>0</v>
      </c>
      <c r="M82" s="404">
        <f>L82/K82</f>
        <v>0</v>
      </c>
      <c r="N82" s="404">
        <f>J82/I82</f>
        <v>1</v>
      </c>
      <c r="O82" s="404">
        <v>96</v>
      </c>
      <c r="P82" s="404">
        <f>E82*J82/1000</f>
        <v>96</v>
      </c>
      <c r="Q82" s="404">
        <v>56</v>
      </c>
      <c r="R82" s="408">
        <v>0</v>
      </c>
      <c r="S82" s="404">
        <f>R82/Q82</f>
        <v>0</v>
      </c>
      <c r="T82" s="1994" t="s">
        <v>2009</v>
      </c>
      <c r="U82" s="404">
        <f>R82</f>
        <v>0</v>
      </c>
      <c r="V82" s="2006">
        <f>U82</f>
        <v>0</v>
      </c>
    </row>
    <row r="83" spans="1:22" s="2020" customFormat="1" ht="14.25" x14ac:dyDescent="0.2">
      <c r="A83" s="2010"/>
      <c r="B83" s="2017" t="s">
        <v>202</v>
      </c>
      <c r="C83" s="2018"/>
      <c r="D83" s="2019"/>
      <c r="E83" s="2019"/>
      <c r="F83" s="2019"/>
      <c r="G83" s="2019"/>
      <c r="H83" s="411"/>
      <c r="I83" s="411"/>
      <c r="J83" s="411"/>
      <c r="K83" s="411"/>
      <c r="L83" s="411"/>
      <c r="M83" s="411"/>
      <c r="N83" s="411"/>
      <c r="O83" s="411">
        <f>SUM(O10:O82)</f>
        <v>556.98</v>
      </c>
      <c r="P83" s="411">
        <f>SUM(P10:P82)</f>
        <v>508.3</v>
      </c>
      <c r="Q83" s="411">
        <f>SUM(Q10:Q82)</f>
        <v>513.58000000000004</v>
      </c>
      <c r="R83" s="411">
        <f>SUM(R10:R82)</f>
        <v>60.7</v>
      </c>
      <c r="S83" s="411">
        <f t="shared" si="6"/>
        <v>0.12</v>
      </c>
      <c r="T83" s="411"/>
      <c r="U83" s="411">
        <f>SUM(U10:U82)</f>
        <v>60.7</v>
      </c>
      <c r="V83" s="411">
        <f>SUM(V10:V82)</f>
        <v>60.7</v>
      </c>
    </row>
    <row r="84" spans="1:22" s="931" customFormat="1" ht="16.5" x14ac:dyDescent="0.2">
      <c r="A84" s="930"/>
      <c r="B84" s="3556"/>
      <c r="C84" s="3556"/>
      <c r="D84" s="3556"/>
      <c r="E84" s="3556"/>
      <c r="F84" s="3556"/>
      <c r="G84" s="3556"/>
      <c r="H84" s="3556"/>
      <c r="I84" s="3556"/>
      <c r="J84" s="3556"/>
      <c r="K84" s="3556"/>
      <c r="L84" s="3556"/>
      <c r="M84" s="3556"/>
      <c r="N84" s="3556"/>
      <c r="O84" s="3556"/>
      <c r="P84" s="3556"/>
      <c r="Q84" s="3556"/>
      <c r="R84" s="3556"/>
      <c r="S84" s="3556"/>
      <c r="T84" s="3556"/>
      <c r="U84" s="3556"/>
      <c r="V84" s="3556"/>
    </row>
    <row r="85" spans="1:22" s="412" customFormat="1" ht="15.75" x14ac:dyDescent="0.25">
      <c r="A85" s="413"/>
      <c r="B85" s="2021" t="s">
        <v>445</v>
      </c>
      <c r="C85" s="2022"/>
      <c r="D85" s="2022"/>
      <c r="E85" s="3546"/>
      <c r="F85" s="3546"/>
      <c r="G85" s="3546"/>
      <c r="H85" s="3546"/>
      <c r="I85" s="2023"/>
      <c r="J85" s="2023"/>
      <c r="K85" s="3547" t="s">
        <v>176</v>
      </c>
      <c r="L85" s="3547"/>
      <c r="M85" s="3547"/>
      <c r="N85" s="3547"/>
      <c r="O85" s="414"/>
      <c r="P85" s="414"/>
      <c r="Q85" s="415"/>
      <c r="R85" s="414"/>
      <c r="S85" s="414"/>
      <c r="T85" s="414"/>
      <c r="U85" s="414"/>
      <c r="V85" s="414"/>
    </row>
    <row r="86" spans="1:22" s="412" customFormat="1" ht="16.5" x14ac:dyDescent="0.25">
      <c r="A86" s="413"/>
      <c r="B86" s="2021"/>
      <c r="C86" s="2022"/>
      <c r="D86" s="2022"/>
      <c r="E86" s="3548" t="s">
        <v>189</v>
      </c>
      <c r="F86" s="3548"/>
      <c r="G86" s="3548"/>
      <c r="H86" s="3548"/>
      <c r="I86" s="2023"/>
      <c r="J86" s="2023"/>
      <c r="K86" s="3549" t="s">
        <v>184</v>
      </c>
      <c r="L86" s="3549"/>
      <c r="M86" s="3549"/>
      <c r="N86" s="3549"/>
      <c r="O86" s="414"/>
      <c r="P86" s="414"/>
      <c r="Q86" s="416"/>
      <c r="R86" s="417"/>
      <c r="S86" s="417"/>
      <c r="T86" s="417"/>
      <c r="U86" s="417"/>
      <c r="V86" s="417"/>
    </row>
    <row r="87" spans="1:22" s="412" customFormat="1" ht="15.75" x14ac:dyDescent="0.25">
      <c r="A87" s="413"/>
      <c r="B87" s="2021" t="s">
        <v>96</v>
      </c>
      <c r="C87" s="418"/>
      <c r="I87" s="414"/>
      <c r="J87" s="414"/>
      <c r="K87" s="414"/>
      <c r="L87" s="414"/>
      <c r="M87" s="414"/>
      <c r="N87" s="414"/>
      <c r="O87" s="414"/>
      <c r="P87" s="414"/>
      <c r="Q87" s="414"/>
      <c r="R87" s="414"/>
      <c r="S87" s="414"/>
      <c r="T87" s="414"/>
      <c r="U87" s="414"/>
      <c r="V87" s="414"/>
    </row>
    <row r="88" spans="1:22" s="412" customFormat="1" ht="15.75" x14ac:dyDescent="0.25">
      <c r="A88" s="413"/>
      <c r="B88" s="2024" t="s">
        <v>683</v>
      </c>
      <c r="C88" s="418"/>
      <c r="I88" s="414"/>
      <c r="J88" s="414"/>
      <c r="K88" s="414"/>
      <c r="L88" s="414"/>
      <c r="M88" s="414"/>
      <c r="N88" s="414"/>
      <c r="O88" s="414"/>
      <c r="P88" s="414"/>
      <c r="Q88" s="414"/>
      <c r="R88" s="414"/>
      <c r="S88" s="414"/>
      <c r="T88" s="414"/>
      <c r="U88" s="414"/>
      <c r="V88" s="414"/>
    </row>
    <row r="89" spans="1:22" ht="15.75" x14ac:dyDescent="0.2">
      <c r="B89" s="420"/>
      <c r="R89" s="401">
        <f>60.7-R83</f>
        <v>0</v>
      </c>
      <c r="U89" s="401">
        <f>60.7-U83</f>
        <v>0</v>
      </c>
      <c r="V89" s="401">
        <f>60.7-V83</f>
        <v>0</v>
      </c>
    </row>
  </sheetData>
  <mergeCells count="35">
    <mergeCell ref="N1:V1"/>
    <mergeCell ref="A2:V2"/>
    <mergeCell ref="A3:V3"/>
    <mergeCell ref="A5:A8"/>
    <mergeCell ref="B5:B8"/>
    <mergeCell ref="C5:C8"/>
    <mergeCell ref="D5:H5"/>
    <mergeCell ref="I5:N5"/>
    <mergeCell ref="O5:S5"/>
    <mergeCell ref="T5:T8"/>
    <mergeCell ref="T16:T17"/>
    <mergeCell ref="B84:V84"/>
    <mergeCell ref="L6:L8"/>
    <mergeCell ref="M6:M8"/>
    <mergeCell ref="N6:N8"/>
    <mergeCell ref="O6:O8"/>
    <mergeCell ref="P6:Q6"/>
    <mergeCell ref="R6:R8"/>
    <mergeCell ref="U5:U8"/>
    <mergeCell ref="V5:V8"/>
    <mergeCell ref="D6:D8"/>
    <mergeCell ref="E6:E8"/>
    <mergeCell ref="F6:F8"/>
    <mergeCell ref="G6:G8"/>
    <mergeCell ref="H6:H8"/>
    <mergeCell ref="I6:I8"/>
    <mergeCell ref="E85:H85"/>
    <mergeCell ref="K85:N85"/>
    <mergeCell ref="E86:H86"/>
    <mergeCell ref="K86:N86"/>
    <mergeCell ref="S6:S8"/>
    <mergeCell ref="P7:P8"/>
    <mergeCell ref="Q7:Q8"/>
    <mergeCell ref="J6:J8"/>
    <mergeCell ref="K6:K8"/>
  </mergeCells>
  <pageMargins left="0.35433070866141736" right="0.15748031496062992" top="0.51181102362204722" bottom="0.35433070866141736" header="0.23622047244094491" footer="0.15748031496062992"/>
  <pageSetup paperSize="9" scale="49" fitToHeight="2" orientation="landscape"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A48"/>
  <sheetViews>
    <sheetView view="pageBreakPreview" zoomScale="80" zoomScaleNormal="90" zoomScaleSheetLayoutView="80" workbookViewId="0">
      <selection activeCell="AE29" sqref="AE29"/>
    </sheetView>
  </sheetViews>
  <sheetFormatPr defaultRowHeight="12.75" x14ac:dyDescent="0.2"/>
  <cols>
    <col min="1" max="1" width="4.33203125" style="938" customWidth="1"/>
    <col min="2" max="2" width="7.5" style="936" bestFit="1" customWidth="1"/>
    <col min="3" max="3" width="31.33203125" style="936" customWidth="1"/>
    <col min="4" max="4" width="13.1640625" style="936" bestFit="1" customWidth="1"/>
    <col min="5" max="5" width="10" style="936" hidden="1" customWidth="1"/>
    <col min="6" max="6" width="12.83203125" style="936" hidden="1" customWidth="1"/>
    <col min="7" max="7" width="10.6640625" style="936" hidden="1" customWidth="1"/>
    <col min="8" max="8" width="10" style="936" hidden="1" customWidth="1"/>
    <col min="9" max="9" width="12.83203125" style="936" hidden="1" customWidth="1"/>
    <col min="10" max="10" width="10.83203125" style="936" hidden="1" customWidth="1"/>
    <col min="11" max="11" width="10" style="936" hidden="1" customWidth="1"/>
    <col min="12" max="12" width="12.83203125" style="936" hidden="1" customWidth="1"/>
    <col min="13" max="13" width="9.83203125" style="936" hidden="1" customWidth="1"/>
    <col min="14" max="14" width="10" style="936" bestFit="1" customWidth="1"/>
    <col min="15" max="15" width="12.83203125" style="936" bestFit="1" customWidth="1"/>
    <col min="16" max="16" width="13.1640625" style="936" bestFit="1" customWidth="1"/>
    <col min="17" max="17" width="7.83203125" style="936" customWidth="1"/>
    <col min="18" max="18" width="10" style="936" bestFit="1" customWidth="1"/>
    <col min="19" max="19" width="13.1640625" style="936" bestFit="1" customWidth="1"/>
    <col min="20" max="20" width="12.6640625" style="936" bestFit="1" customWidth="1"/>
    <col min="21" max="21" width="10" style="936" bestFit="1" customWidth="1"/>
    <col min="22" max="22" width="12.83203125" style="936" bestFit="1" customWidth="1"/>
    <col min="23" max="23" width="13.1640625" style="936" bestFit="1" customWidth="1"/>
    <col min="24" max="256" width="9.33203125" style="938"/>
    <col min="257" max="257" width="4.33203125" style="938" customWidth="1"/>
    <col min="258" max="258" width="7.5" style="938" bestFit="1" customWidth="1"/>
    <col min="259" max="259" width="31.33203125" style="938" customWidth="1"/>
    <col min="260" max="260" width="13.1640625" style="938" bestFit="1" customWidth="1"/>
    <col min="261" max="269" width="0" style="938" hidden="1" customWidth="1"/>
    <col min="270" max="270" width="10" style="938" bestFit="1" customWidth="1"/>
    <col min="271" max="271" width="12.83203125" style="938" bestFit="1" customWidth="1"/>
    <col min="272" max="272" width="13.1640625" style="938" bestFit="1" customWidth="1"/>
    <col min="273" max="273" width="7.83203125" style="938" customWidth="1"/>
    <col min="274" max="274" width="10" style="938" bestFit="1" customWidth="1"/>
    <col min="275" max="275" width="13.1640625" style="938" bestFit="1" customWidth="1"/>
    <col min="276" max="276" width="12.6640625" style="938" bestFit="1" customWidth="1"/>
    <col min="277" max="277" width="10" style="938" bestFit="1" customWidth="1"/>
    <col min="278" max="278" width="12.83203125" style="938" bestFit="1" customWidth="1"/>
    <col min="279" max="279" width="13.1640625" style="938" bestFit="1" customWidth="1"/>
    <col min="280" max="512" width="9.33203125" style="938"/>
    <col min="513" max="513" width="4.33203125" style="938" customWidth="1"/>
    <col min="514" max="514" width="7.5" style="938" bestFit="1" customWidth="1"/>
    <col min="515" max="515" width="31.33203125" style="938" customWidth="1"/>
    <col min="516" max="516" width="13.1640625" style="938" bestFit="1" customWidth="1"/>
    <col min="517" max="525" width="0" style="938" hidden="1" customWidth="1"/>
    <col min="526" max="526" width="10" style="938" bestFit="1" customWidth="1"/>
    <col min="527" max="527" width="12.83203125" style="938" bestFit="1" customWidth="1"/>
    <col min="528" max="528" width="13.1640625" style="938" bestFit="1" customWidth="1"/>
    <col min="529" max="529" width="7.83203125" style="938" customWidth="1"/>
    <col min="530" max="530" width="10" style="938" bestFit="1" customWidth="1"/>
    <col min="531" max="531" width="13.1640625" style="938" bestFit="1" customWidth="1"/>
    <col min="532" max="532" width="12.6640625" style="938" bestFit="1" customWidth="1"/>
    <col min="533" max="533" width="10" style="938" bestFit="1" customWidth="1"/>
    <col min="534" max="534" width="12.83203125" style="938" bestFit="1" customWidth="1"/>
    <col min="535" max="535" width="13.1640625" style="938" bestFit="1" customWidth="1"/>
    <col min="536" max="768" width="9.33203125" style="938"/>
    <col min="769" max="769" width="4.33203125" style="938" customWidth="1"/>
    <col min="770" max="770" width="7.5" style="938" bestFit="1" customWidth="1"/>
    <col min="771" max="771" width="31.33203125" style="938" customWidth="1"/>
    <col min="772" max="772" width="13.1640625" style="938" bestFit="1" customWidth="1"/>
    <col min="773" max="781" width="0" style="938" hidden="1" customWidth="1"/>
    <col min="782" max="782" width="10" style="938" bestFit="1" customWidth="1"/>
    <col min="783" max="783" width="12.83203125" style="938" bestFit="1" customWidth="1"/>
    <col min="784" max="784" width="13.1640625" style="938" bestFit="1" customWidth="1"/>
    <col min="785" max="785" width="7.83203125" style="938" customWidth="1"/>
    <col min="786" max="786" width="10" style="938" bestFit="1" customWidth="1"/>
    <col min="787" max="787" width="13.1640625" style="938" bestFit="1" customWidth="1"/>
    <col min="788" max="788" width="12.6640625" style="938" bestFit="1" customWidth="1"/>
    <col min="789" max="789" width="10" style="938" bestFit="1" customWidth="1"/>
    <col min="790" max="790" width="12.83203125" style="938" bestFit="1" customWidth="1"/>
    <col min="791" max="791" width="13.1640625" style="938" bestFit="1" customWidth="1"/>
    <col min="792" max="1024" width="9.33203125" style="938"/>
    <col min="1025" max="1025" width="4.33203125" style="938" customWidth="1"/>
    <col min="1026" max="1026" width="7.5" style="938" bestFit="1" customWidth="1"/>
    <col min="1027" max="1027" width="31.33203125" style="938" customWidth="1"/>
    <col min="1028" max="1028" width="13.1640625" style="938" bestFit="1" customWidth="1"/>
    <col min="1029" max="1037" width="0" style="938" hidden="1" customWidth="1"/>
    <col min="1038" max="1038" width="10" style="938" bestFit="1" customWidth="1"/>
    <col min="1039" max="1039" width="12.83203125" style="938" bestFit="1" customWidth="1"/>
    <col min="1040" max="1040" width="13.1640625" style="938" bestFit="1" customWidth="1"/>
    <col min="1041" max="1041" width="7.83203125" style="938" customWidth="1"/>
    <col min="1042" max="1042" width="10" style="938" bestFit="1" customWidth="1"/>
    <col min="1043" max="1043" width="13.1640625" style="938" bestFit="1" customWidth="1"/>
    <col min="1044" max="1044" width="12.6640625" style="938" bestFit="1" customWidth="1"/>
    <col min="1045" max="1045" width="10" style="938" bestFit="1" customWidth="1"/>
    <col min="1046" max="1046" width="12.83203125" style="938" bestFit="1" customWidth="1"/>
    <col min="1047" max="1047" width="13.1640625" style="938" bestFit="1" customWidth="1"/>
    <col min="1048" max="1280" width="9.33203125" style="938"/>
    <col min="1281" max="1281" width="4.33203125" style="938" customWidth="1"/>
    <col min="1282" max="1282" width="7.5" style="938" bestFit="1" customWidth="1"/>
    <col min="1283" max="1283" width="31.33203125" style="938" customWidth="1"/>
    <col min="1284" max="1284" width="13.1640625" style="938" bestFit="1" customWidth="1"/>
    <col min="1285" max="1293" width="0" style="938" hidden="1" customWidth="1"/>
    <col min="1294" max="1294" width="10" style="938" bestFit="1" customWidth="1"/>
    <col min="1295" max="1295" width="12.83203125" style="938" bestFit="1" customWidth="1"/>
    <col min="1296" max="1296" width="13.1640625" style="938" bestFit="1" customWidth="1"/>
    <col min="1297" max="1297" width="7.83203125" style="938" customWidth="1"/>
    <col min="1298" max="1298" width="10" style="938" bestFit="1" customWidth="1"/>
    <col min="1299" max="1299" width="13.1640625" style="938" bestFit="1" customWidth="1"/>
    <col min="1300" max="1300" width="12.6640625" style="938" bestFit="1" customWidth="1"/>
    <col min="1301" max="1301" width="10" style="938" bestFit="1" customWidth="1"/>
    <col min="1302" max="1302" width="12.83203125" style="938" bestFit="1" customWidth="1"/>
    <col min="1303" max="1303" width="13.1640625" style="938" bestFit="1" customWidth="1"/>
    <col min="1304" max="1536" width="9.33203125" style="938"/>
    <col min="1537" max="1537" width="4.33203125" style="938" customWidth="1"/>
    <col min="1538" max="1538" width="7.5" style="938" bestFit="1" customWidth="1"/>
    <col min="1539" max="1539" width="31.33203125" style="938" customWidth="1"/>
    <col min="1540" max="1540" width="13.1640625" style="938" bestFit="1" customWidth="1"/>
    <col min="1541" max="1549" width="0" style="938" hidden="1" customWidth="1"/>
    <col min="1550" max="1550" width="10" style="938" bestFit="1" customWidth="1"/>
    <col min="1551" max="1551" width="12.83203125" style="938" bestFit="1" customWidth="1"/>
    <col min="1552" max="1552" width="13.1640625" style="938" bestFit="1" customWidth="1"/>
    <col min="1553" max="1553" width="7.83203125" style="938" customWidth="1"/>
    <col min="1554" max="1554" width="10" style="938" bestFit="1" customWidth="1"/>
    <col min="1555" max="1555" width="13.1640625" style="938" bestFit="1" customWidth="1"/>
    <col min="1556" max="1556" width="12.6640625" style="938" bestFit="1" customWidth="1"/>
    <col min="1557" max="1557" width="10" style="938" bestFit="1" customWidth="1"/>
    <col min="1558" max="1558" width="12.83203125" style="938" bestFit="1" customWidth="1"/>
    <col min="1559" max="1559" width="13.1640625" style="938" bestFit="1" customWidth="1"/>
    <col min="1560" max="1792" width="9.33203125" style="938"/>
    <col min="1793" max="1793" width="4.33203125" style="938" customWidth="1"/>
    <col min="1794" max="1794" width="7.5" style="938" bestFit="1" customWidth="1"/>
    <col min="1795" max="1795" width="31.33203125" style="938" customWidth="1"/>
    <col min="1796" max="1796" width="13.1640625" style="938" bestFit="1" customWidth="1"/>
    <col min="1797" max="1805" width="0" style="938" hidden="1" customWidth="1"/>
    <col min="1806" max="1806" width="10" style="938" bestFit="1" customWidth="1"/>
    <col min="1807" max="1807" width="12.83203125" style="938" bestFit="1" customWidth="1"/>
    <col min="1808" max="1808" width="13.1640625" style="938" bestFit="1" customWidth="1"/>
    <col min="1809" max="1809" width="7.83203125" style="938" customWidth="1"/>
    <col min="1810" max="1810" width="10" style="938" bestFit="1" customWidth="1"/>
    <col min="1811" max="1811" width="13.1640625" style="938" bestFit="1" customWidth="1"/>
    <col min="1812" max="1812" width="12.6640625" style="938" bestFit="1" customWidth="1"/>
    <col min="1813" max="1813" width="10" style="938" bestFit="1" customWidth="1"/>
    <col min="1814" max="1814" width="12.83203125" style="938" bestFit="1" customWidth="1"/>
    <col min="1815" max="1815" width="13.1640625" style="938" bestFit="1" customWidth="1"/>
    <col min="1816" max="2048" width="9.33203125" style="938"/>
    <col min="2049" max="2049" width="4.33203125" style="938" customWidth="1"/>
    <col min="2050" max="2050" width="7.5" style="938" bestFit="1" customWidth="1"/>
    <col min="2051" max="2051" width="31.33203125" style="938" customWidth="1"/>
    <col min="2052" max="2052" width="13.1640625" style="938" bestFit="1" customWidth="1"/>
    <col min="2053" max="2061" width="0" style="938" hidden="1" customWidth="1"/>
    <col min="2062" max="2062" width="10" style="938" bestFit="1" customWidth="1"/>
    <col min="2063" max="2063" width="12.83203125" style="938" bestFit="1" customWidth="1"/>
    <col min="2064" max="2064" width="13.1640625" style="938" bestFit="1" customWidth="1"/>
    <col min="2065" max="2065" width="7.83203125" style="938" customWidth="1"/>
    <col min="2066" max="2066" width="10" style="938" bestFit="1" customWidth="1"/>
    <col min="2067" max="2067" width="13.1640625" style="938" bestFit="1" customWidth="1"/>
    <col min="2068" max="2068" width="12.6640625" style="938" bestFit="1" customWidth="1"/>
    <col min="2069" max="2069" width="10" style="938" bestFit="1" customWidth="1"/>
    <col min="2070" max="2070" width="12.83203125" style="938" bestFit="1" customWidth="1"/>
    <col min="2071" max="2071" width="13.1640625" style="938" bestFit="1" customWidth="1"/>
    <col min="2072" max="2304" width="9.33203125" style="938"/>
    <col min="2305" max="2305" width="4.33203125" style="938" customWidth="1"/>
    <col min="2306" max="2306" width="7.5" style="938" bestFit="1" customWidth="1"/>
    <col min="2307" max="2307" width="31.33203125" style="938" customWidth="1"/>
    <col min="2308" max="2308" width="13.1640625" style="938" bestFit="1" customWidth="1"/>
    <col min="2309" max="2317" width="0" style="938" hidden="1" customWidth="1"/>
    <col min="2318" max="2318" width="10" style="938" bestFit="1" customWidth="1"/>
    <col min="2319" max="2319" width="12.83203125" style="938" bestFit="1" customWidth="1"/>
    <col min="2320" max="2320" width="13.1640625" style="938" bestFit="1" customWidth="1"/>
    <col min="2321" max="2321" width="7.83203125" style="938" customWidth="1"/>
    <col min="2322" max="2322" width="10" style="938" bestFit="1" customWidth="1"/>
    <col min="2323" max="2323" width="13.1640625" style="938" bestFit="1" customWidth="1"/>
    <col min="2324" max="2324" width="12.6640625" style="938" bestFit="1" customWidth="1"/>
    <col min="2325" max="2325" width="10" style="938" bestFit="1" customWidth="1"/>
    <col min="2326" max="2326" width="12.83203125" style="938" bestFit="1" customWidth="1"/>
    <col min="2327" max="2327" width="13.1640625" style="938" bestFit="1" customWidth="1"/>
    <col min="2328" max="2560" width="9.33203125" style="938"/>
    <col min="2561" max="2561" width="4.33203125" style="938" customWidth="1"/>
    <col min="2562" max="2562" width="7.5" style="938" bestFit="1" customWidth="1"/>
    <col min="2563" max="2563" width="31.33203125" style="938" customWidth="1"/>
    <col min="2564" max="2564" width="13.1640625" style="938" bestFit="1" customWidth="1"/>
    <col min="2565" max="2573" width="0" style="938" hidden="1" customWidth="1"/>
    <col min="2574" max="2574" width="10" style="938" bestFit="1" customWidth="1"/>
    <col min="2575" max="2575" width="12.83203125" style="938" bestFit="1" customWidth="1"/>
    <col min="2576" max="2576" width="13.1640625" style="938" bestFit="1" customWidth="1"/>
    <col min="2577" max="2577" width="7.83203125" style="938" customWidth="1"/>
    <col min="2578" max="2578" width="10" style="938" bestFit="1" customWidth="1"/>
    <col min="2579" max="2579" width="13.1640625" style="938" bestFit="1" customWidth="1"/>
    <col min="2580" max="2580" width="12.6640625" style="938" bestFit="1" customWidth="1"/>
    <col min="2581" max="2581" width="10" style="938" bestFit="1" customWidth="1"/>
    <col min="2582" max="2582" width="12.83203125" style="938" bestFit="1" customWidth="1"/>
    <col min="2583" max="2583" width="13.1640625" style="938" bestFit="1" customWidth="1"/>
    <col min="2584" max="2816" width="9.33203125" style="938"/>
    <col min="2817" max="2817" width="4.33203125" style="938" customWidth="1"/>
    <col min="2818" max="2818" width="7.5" style="938" bestFit="1" customWidth="1"/>
    <col min="2819" max="2819" width="31.33203125" style="938" customWidth="1"/>
    <col min="2820" max="2820" width="13.1640625" style="938" bestFit="1" customWidth="1"/>
    <col min="2821" max="2829" width="0" style="938" hidden="1" customWidth="1"/>
    <col min="2830" max="2830" width="10" style="938" bestFit="1" customWidth="1"/>
    <col min="2831" max="2831" width="12.83203125" style="938" bestFit="1" customWidth="1"/>
    <col min="2832" max="2832" width="13.1640625" style="938" bestFit="1" customWidth="1"/>
    <col min="2833" max="2833" width="7.83203125" style="938" customWidth="1"/>
    <col min="2834" max="2834" width="10" style="938" bestFit="1" customWidth="1"/>
    <col min="2835" max="2835" width="13.1640625" style="938" bestFit="1" customWidth="1"/>
    <col min="2836" max="2836" width="12.6640625" style="938" bestFit="1" customWidth="1"/>
    <col min="2837" max="2837" width="10" style="938" bestFit="1" customWidth="1"/>
    <col min="2838" max="2838" width="12.83203125" style="938" bestFit="1" customWidth="1"/>
    <col min="2839" max="2839" width="13.1640625" style="938" bestFit="1" customWidth="1"/>
    <col min="2840" max="3072" width="9.33203125" style="938"/>
    <col min="3073" max="3073" width="4.33203125" style="938" customWidth="1"/>
    <col min="3074" max="3074" width="7.5" style="938" bestFit="1" customWidth="1"/>
    <col min="3075" max="3075" width="31.33203125" style="938" customWidth="1"/>
    <col min="3076" max="3076" width="13.1640625" style="938" bestFit="1" customWidth="1"/>
    <col min="3077" max="3085" width="0" style="938" hidden="1" customWidth="1"/>
    <col min="3086" max="3086" width="10" style="938" bestFit="1" customWidth="1"/>
    <col min="3087" max="3087" width="12.83203125" style="938" bestFit="1" customWidth="1"/>
    <col min="3088" max="3088" width="13.1640625" style="938" bestFit="1" customWidth="1"/>
    <col min="3089" max="3089" width="7.83203125" style="938" customWidth="1"/>
    <col min="3090" max="3090" width="10" style="938" bestFit="1" customWidth="1"/>
    <col min="3091" max="3091" width="13.1640625" style="938" bestFit="1" customWidth="1"/>
    <col min="3092" max="3092" width="12.6640625" style="938" bestFit="1" customWidth="1"/>
    <col min="3093" max="3093" width="10" style="938" bestFit="1" customWidth="1"/>
    <col min="3094" max="3094" width="12.83203125" style="938" bestFit="1" customWidth="1"/>
    <col min="3095" max="3095" width="13.1640625" style="938" bestFit="1" customWidth="1"/>
    <col min="3096" max="3328" width="9.33203125" style="938"/>
    <col min="3329" max="3329" width="4.33203125" style="938" customWidth="1"/>
    <col min="3330" max="3330" width="7.5" style="938" bestFit="1" customWidth="1"/>
    <col min="3331" max="3331" width="31.33203125" style="938" customWidth="1"/>
    <col min="3332" max="3332" width="13.1640625" style="938" bestFit="1" customWidth="1"/>
    <col min="3333" max="3341" width="0" style="938" hidden="1" customWidth="1"/>
    <col min="3342" max="3342" width="10" style="938" bestFit="1" customWidth="1"/>
    <col min="3343" max="3343" width="12.83203125" style="938" bestFit="1" customWidth="1"/>
    <col min="3344" max="3344" width="13.1640625" style="938" bestFit="1" customWidth="1"/>
    <col min="3345" max="3345" width="7.83203125" style="938" customWidth="1"/>
    <col min="3346" max="3346" width="10" style="938" bestFit="1" customWidth="1"/>
    <col min="3347" max="3347" width="13.1640625" style="938" bestFit="1" customWidth="1"/>
    <col min="3348" max="3348" width="12.6640625" style="938" bestFit="1" customWidth="1"/>
    <col min="3349" max="3349" width="10" style="938" bestFit="1" customWidth="1"/>
    <col min="3350" max="3350" width="12.83203125" style="938" bestFit="1" customWidth="1"/>
    <col min="3351" max="3351" width="13.1640625" style="938" bestFit="1" customWidth="1"/>
    <col min="3352" max="3584" width="9.33203125" style="938"/>
    <col min="3585" max="3585" width="4.33203125" style="938" customWidth="1"/>
    <col min="3586" max="3586" width="7.5" style="938" bestFit="1" customWidth="1"/>
    <col min="3587" max="3587" width="31.33203125" style="938" customWidth="1"/>
    <col min="3588" max="3588" width="13.1640625" style="938" bestFit="1" customWidth="1"/>
    <col min="3589" max="3597" width="0" style="938" hidden="1" customWidth="1"/>
    <col min="3598" max="3598" width="10" style="938" bestFit="1" customWidth="1"/>
    <col min="3599" max="3599" width="12.83203125" style="938" bestFit="1" customWidth="1"/>
    <col min="3600" max="3600" width="13.1640625" style="938" bestFit="1" customWidth="1"/>
    <col min="3601" max="3601" width="7.83203125" style="938" customWidth="1"/>
    <col min="3602" max="3602" width="10" style="938" bestFit="1" customWidth="1"/>
    <col min="3603" max="3603" width="13.1640625" style="938" bestFit="1" customWidth="1"/>
    <col min="3604" max="3604" width="12.6640625" style="938" bestFit="1" customWidth="1"/>
    <col min="3605" max="3605" width="10" style="938" bestFit="1" customWidth="1"/>
    <col min="3606" max="3606" width="12.83203125" style="938" bestFit="1" customWidth="1"/>
    <col min="3607" max="3607" width="13.1640625" style="938" bestFit="1" customWidth="1"/>
    <col min="3608" max="3840" width="9.33203125" style="938"/>
    <col min="3841" max="3841" width="4.33203125" style="938" customWidth="1"/>
    <col min="3842" max="3842" width="7.5" style="938" bestFit="1" customWidth="1"/>
    <col min="3843" max="3843" width="31.33203125" style="938" customWidth="1"/>
    <col min="3844" max="3844" width="13.1640625" style="938" bestFit="1" customWidth="1"/>
    <col min="3845" max="3853" width="0" style="938" hidden="1" customWidth="1"/>
    <col min="3854" max="3854" width="10" style="938" bestFit="1" customWidth="1"/>
    <col min="3855" max="3855" width="12.83203125" style="938" bestFit="1" customWidth="1"/>
    <col min="3856" max="3856" width="13.1640625" style="938" bestFit="1" customWidth="1"/>
    <col min="3857" max="3857" width="7.83203125" style="938" customWidth="1"/>
    <col min="3858" max="3858" width="10" style="938" bestFit="1" customWidth="1"/>
    <col min="3859" max="3859" width="13.1640625" style="938" bestFit="1" customWidth="1"/>
    <col min="3860" max="3860" width="12.6640625" style="938" bestFit="1" customWidth="1"/>
    <col min="3861" max="3861" width="10" style="938" bestFit="1" customWidth="1"/>
    <col min="3862" max="3862" width="12.83203125" style="938" bestFit="1" customWidth="1"/>
    <col min="3863" max="3863" width="13.1640625" style="938" bestFit="1" customWidth="1"/>
    <col min="3864" max="4096" width="9.33203125" style="938"/>
    <col min="4097" max="4097" width="4.33203125" style="938" customWidth="1"/>
    <col min="4098" max="4098" width="7.5" style="938" bestFit="1" customWidth="1"/>
    <col min="4099" max="4099" width="31.33203125" style="938" customWidth="1"/>
    <col min="4100" max="4100" width="13.1640625" style="938" bestFit="1" customWidth="1"/>
    <col min="4101" max="4109" width="0" style="938" hidden="1" customWidth="1"/>
    <col min="4110" max="4110" width="10" style="938" bestFit="1" customWidth="1"/>
    <col min="4111" max="4111" width="12.83203125" style="938" bestFit="1" customWidth="1"/>
    <col min="4112" max="4112" width="13.1640625" style="938" bestFit="1" customWidth="1"/>
    <col min="4113" max="4113" width="7.83203125" style="938" customWidth="1"/>
    <col min="4114" max="4114" width="10" style="938" bestFit="1" customWidth="1"/>
    <col min="4115" max="4115" width="13.1640625" style="938" bestFit="1" customWidth="1"/>
    <col min="4116" max="4116" width="12.6640625" style="938" bestFit="1" customWidth="1"/>
    <col min="4117" max="4117" width="10" style="938" bestFit="1" customWidth="1"/>
    <col min="4118" max="4118" width="12.83203125" style="938" bestFit="1" customWidth="1"/>
    <col min="4119" max="4119" width="13.1640625" style="938" bestFit="1" customWidth="1"/>
    <col min="4120" max="4352" width="9.33203125" style="938"/>
    <col min="4353" max="4353" width="4.33203125" style="938" customWidth="1"/>
    <col min="4354" max="4354" width="7.5" style="938" bestFit="1" customWidth="1"/>
    <col min="4355" max="4355" width="31.33203125" style="938" customWidth="1"/>
    <col min="4356" max="4356" width="13.1640625" style="938" bestFit="1" customWidth="1"/>
    <col min="4357" max="4365" width="0" style="938" hidden="1" customWidth="1"/>
    <col min="4366" max="4366" width="10" style="938" bestFit="1" customWidth="1"/>
    <col min="4367" max="4367" width="12.83203125" style="938" bestFit="1" customWidth="1"/>
    <col min="4368" max="4368" width="13.1640625" style="938" bestFit="1" customWidth="1"/>
    <col min="4369" max="4369" width="7.83203125" style="938" customWidth="1"/>
    <col min="4370" max="4370" width="10" style="938" bestFit="1" customWidth="1"/>
    <col min="4371" max="4371" width="13.1640625" style="938" bestFit="1" customWidth="1"/>
    <col min="4372" max="4372" width="12.6640625" style="938" bestFit="1" customWidth="1"/>
    <col min="4373" max="4373" width="10" style="938" bestFit="1" customWidth="1"/>
    <col min="4374" max="4374" width="12.83203125" style="938" bestFit="1" customWidth="1"/>
    <col min="4375" max="4375" width="13.1640625" style="938" bestFit="1" customWidth="1"/>
    <col min="4376" max="4608" width="9.33203125" style="938"/>
    <col min="4609" max="4609" width="4.33203125" style="938" customWidth="1"/>
    <col min="4610" max="4610" width="7.5" style="938" bestFit="1" customWidth="1"/>
    <col min="4611" max="4611" width="31.33203125" style="938" customWidth="1"/>
    <col min="4612" max="4612" width="13.1640625" style="938" bestFit="1" customWidth="1"/>
    <col min="4613" max="4621" width="0" style="938" hidden="1" customWidth="1"/>
    <col min="4622" max="4622" width="10" style="938" bestFit="1" customWidth="1"/>
    <col min="4623" max="4623" width="12.83203125" style="938" bestFit="1" customWidth="1"/>
    <col min="4624" max="4624" width="13.1640625" style="938" bestFit="1" customWidth="1"/>
    <col min="4625" max="4625" width="7.83203125" style="938" customWidth="1"/>
    <col min="4626" max="4626" width="10" style="938" bestFit="1" customWidth="1"/>
    <col min="4627" max="4627" width="13.1640625" style="938" bestFit="1" customWidth="1"/>
    <col min="4628" max="4628" width="12.6640625" style="938" bestFit="1" customWidth="1"/>
    <col min="4629" max="4629" width="10" style="938" bestFit="1" customWidth="1"/>
    <col min="4630" max="4630" width="12.83203125" style="938" bestFit="1" customWidth="1"/>
    <col min="4631" max="4631" width="13.1640625" style="938" bestFit="1" customWidth="1"/>
    <col min="4632" max="4864" width="9.33203125" style="938"/>
    <col min="4865" max="4865" width="4.33203125" style="938" customWidth="1"/>
    <col min="4866" max="4866" width="7.5" style="938" bestFit="1" customWidth="1"/>
    <col min="4867" max="4867" width="31.33203125" style="938" customWidth="1"/>
    <col min="4868" max="4868" width="13.1640625" style="938" bestFit="1" customWidth="1"/>
    <col min="4869" max="4877" width="0" style="938" hidden="1" customWidth="1"/>
    <col min="4878" max="4878" width="10" style="938" bestFit="1" customWidth="1"/>
    <col min="4879" max="4879" width="12.83203125" style="938" bestFit="1" customWidth="1"/>
    <col min="4880" max="4880" width="13.1640625" style="938" bestFit="1" customWidth="1"/>
    <col min="4881" max="4881" width="7.83203125" style="938" customWidth="1"/>
    <col min="4882" max="4882" width="10" style="938" bestFit="1" customWidth="1"/>
    <col min="4883" max="4883" width="13.1640625" style="938" bestFit="1" customWidth="1"/>
    <col min="4884" max="4884" width="12.6640625" style="938" bestFit="1" customWidth="1"/>
    <col min="4885" max="4885" width="10" style="938" bestFit="1" customWidth="1"/>
    <col min="4886" max="4886" width="12.83203125" style="938" bestFit="1" customWidth="1"/>
    <col min="4887" max="4887" width="13.1640625" style="938" bestFit="1" customWidth="1"/>
    <col min="4888" max="5120" width="9.33203125" style="938"/>
    <col min="5121" max="5121" width="4.33203125" style="938" customWidth="1"/>
    <col min="5122" max="5122" width="7.5" style="938" bestFit="1" customWidth="1"/>
    <col min="5123" max="5123" width="31.33203125" style="938" customWidth="1"/>
    <col min="5124" max="5124" width="13.1640625" style="938" bestFit="1" customWidth="1"/>
    <col min="5125" max="5133" width="0" style="938" hidden="1" customWidth="1"/>
    <col min="5134" max="5134" width="10" style="938" bestFit="1" customWidth="1"/>
    <col min="5135" max="5135" width="12.83203125" style="938" bestFit="1" customWidth="1"/>
    <col min="5136" max="5136" width="13.1640625" style="938" bestFit="1" customWidth="1"/>
    <col min="5137" max="5137" width="7.83203125" style="938" customWidth="1"/>
    <col min="5138" max="5138" width="10" style="938" bestFit="1" customWidth="1"/>
    <col min="5139" max="5139" width="13.1640625" style="938" bestFit="1" customWidth="1"/>
    <col min="5140" max="5140" width="12.6640625" style="938" bestFit="1" customWidth="1"/>
    <col min="5141" max="5141" width="10" style="938" bestFit="1" customWidth="1"/>
    <col min="5142" max="5142" width="12.83203125" style="938" bestFit="1" customWidth="1"/>
    <col min="5143" max="5143" width="13.1640625" style="938" bestFit="1" customWidth="1"/>
    <col min="5144" max="5376" width="9.33203125" style="938"/>
    <col min="5377" max="5377" width="4.33203125" style="938" customWidth="1"/>
    <col min="5378" max="5378" width="7.5" style="938" bestFit="1" customWidth="1"/>
    <col min="5379" max="5379" width="31.33203125" style="938" customWidth="1"/>
    <col min="5380" max="5380" width="13.1640625" style="938" bestFit="1" customWidth="1"/>
    <col min="5381" max="5389" width="0" style="938" hidden="1" customWidth="1"/>
    <col min="5390" max="5390" width="10" style="938" bestFit="1" customWidth="1"/>
    <col min="5391" max="5391" width="12.83203125" style="938" bestFit="1" customWidth="1"/>
    <col min="5392" max="5392" width="13.1640625" style="938" bestFit="1" customWidth="1"/>
    <col min="5393" max="5393" width="7.83203125" style="938" customWidth="1"/>
    <col min="5394" max="5394" width="10" style="938" bestFit="1" customWidth="1"/>
    <col min="5395" max="5395" width="13.1640625" style="938" bestFit="1" customWidth="1"/>
    <col min="5396" max="5396" width="12.6640625" style="938" bestFit="1" customWidth="1"/>
    <col min="5397" max="5397" width="10" style="938" bestFit="1" customWidth="1"/>
    <col min="5398" max="5398" width="12.83203125" style="938" bestFit="1" customWidth="1"/>
    <col min="5399" max="5399" width="13.1640625" style="938" bestFit="1" customWidth="1"/>
    <col min="5400" max="5632" width="9.33203125" style="938"/>
    <col min="5633" max="5633" width="4.33203125" style="938" customWidth="1"/>
    <col min="5634" max="5634" width="7.5" style="938" bestFit="1" customWidth="1"/>
    <col min="5635" max="5635" width="31.33203125" style="938" customWidth="1"/>
    <col min="5636" max="5636" width="13.1640625" style="938" bestFit="1" customWidth="1"/>
    <col min="5637" max="5645" width="0" style="938" hidden="1" customWidth="1"/>
    <col min="5646" max="5646" width="10" style="938" bestFit="1" customWidth="1"/>
    <col min="5647" max="5647" width="12.83203125" style="938" bestFit="1" customWidth="1"/>
    <col min="5648" max="5648" width="13.1640625" style="938" bestFit="1" customWidth="1"/>
    <col min="5649" max="5649" width="7.83203125" style="938" customWidth="1"/>
    <col min="5650" max="5650" width="10" style="938" bestFit="1" customWidth="1"/>
    <col min="5651" max="5651" width="13.1640625" style="938" bestFit="1" customWidth="1"/>
    <col min="5652" max="5652" width="12.6640625" style="938" bestFit="1" customWidth="1"/>
    <col min="5653" max="5653" width="10" style="938" bestFit="1" customWidth="1"/>
    <col min="5654" max="5654" width="12.83203125" style="938" bestFit="1" customWidth="1"/>
    <col min="5655" max="5655" width="13.1640625" style="938" bestFit="1" customWidth="1"/>
    <col min="5656" max="5888" width="9.33203125" style="938"/>
    <col min="5889" max="5889" width="4.33203125" style="938" customWidth="1"/>
    <col min="5890" max="5890" width="7.5" style="938" bestFit="1" customWidth="1"/>
    <col min="5891" max="5891" width="31.33203125" style="938" customWidth="1"/>
    <col min="5892" max="5892" width="13.1640625" style="938" bestFit="1" customWidth="1"/>
    <col min="5893" max="5901" width="0" style="938" hidden="1" customWidth="1"/>
    <col min="5902" max="5902" width="10" style="938" bestFit="1" customWidth="1"/>
    <col min="5903" max="5903" width="12.83203125" style="938" bestFit="1" customWidth="1"/>
    <col min="5904" max="5904" width="13.1640625" style="938" bestFit="1" customWidth="1"/>
    <col min="5905" max="5905" width="7.83203125" style="938" customWidth="1"/>
    <col min="5906" max="5906" width="10" style="938" bestFit="1" customWidth="1"/>
    <col min="5907" max="5907" width="13.1640625" style="938" bestFit="1" customWidth="1"/>
    <col min="5908" max="5908" width="12.6640625" style="938" bestFit="1" customWidth="1"/>
    <col min="5909" max="5909" width="10" style="938" bestFit="1" customWidth="1"/>
    <col min="5910" max="5910" width="12.83203125" style="938" bestFit="1" customWidth="1"/>
    <col min="5911" max="5911" width="13.1640625" style="938" bestFit="1" customWidth="1"/>
    <col min="5912" max="6144" width="9.33203125" style="938"/>
    <col min="6145" max="6145" width="4.33203125" style="938" customWidth="1"/>
    <col min="6146" max="6146" width="7.5" style="938" bestFit="1" customWidth="1"/>
    <col min="6147" max="6147" width="31.33203125" style="938" customWidth="1"/>
    <col min="6148" max="6148" width="13.1640625" style="938" bestFit="1" customWidth="1"/>
    <col min="6149" max="6157" width="0" style="938" hidden="1" customWidth="1"/>
    <col min="6158" max="6158" width="10" style="938" bestFit="1" customWidth="1"/>
    <col min="6159" max="6159" width="12.83203125" style="938" bestFit="1" customWidth="1"/>
    <col min="6160" max="6160" width="13.1640625" style="938" bestFit="1" customWidth="1"/>
    <col min="6161" max="6161" width="7.83203125" style="938" customWidth="1"/>
    <col min="6162" max="6162" width="10" style="938" bestFit="1" customWidth="1"/>
    <col min="6163" max="6163" width="13.1640625" style="938" bestFit="1" customWidth="1"/>
    <col min="6164" max="6164" width="12.6640625" style="938" bestFit="1" customWidth="1"/>
    <col min="6165" max="6165" width="10" style="938" bestFit="1" customWidth="1"/>
    <col min="6166" max="6166" width="12.83203125" style="938" bestFit="1" customWidth="1"/>
    <col min="6167" max="6167" width="13.1640625" style="938" bestFit="1" customWidth="1"/>
    <col min="6168" max="6400" width="9.33203125" style="938"/>
    <col min="6401" max="6401" width="4.33203125" style="938" customWidth="1"/>
    <col min="6402" max="6402" width="7.5" style="938" bestFit="1" customWidth="1"/>
    <col min="6403" max="6403" width="31.33203125" style="938" customWidth="1"/>
    <col min="6404" max="6404" width="13.1640625" style="938" bestFit="1" customWidth="1"/>
    <col min="6405" max="6413" width="0" style="938" hidden="1" customWidth="1"/>
    <col min="6414" max="6414" width="10" style="938" bestFit="1" customWidth="1"/>
    <col min="6415" max="6415" width="12.83203125" style="938" bestFit="1" customWidth="1"/>
    <col min="6416" max="6416" width="13.1640625" style="938" bestFit="1" customWidth="1"/>
    <col min="6417" max="6417" width="7.83203125" style="938" customWidth="1"/>
    <col min="6418" max="6418" width="10" style="938" bestFit="1" customWidth="1"/>
    <col min="6419" max="6419" width="13.1640625" style="938" bestFit="1" customWidth="1"/>
    <col min="6420" max="6420" width="12.6640625" style="938" bestFit="1" customWidth="1"/>
    <col min="6421" max="6421" width="10" style="938" bestFit="1" customWidth="1"/>
    <col min="6422" max="6422" width="12.83203125" style="938" bestFit="1" customWidth="1"/>
    <col min="6423" max="6423" width="13.1640625" style="938" bestFit="1" customWidth="1"/>
    <col min="6424" max="6656" width="9.33203125" style="938"/>
    <col min="6657" max="6657" width="4.33203125" style="938" customWidth="1"/>
    <col min="6658" max="6658" width="7.5" style="938" bestFit="1" customWidth="1"/>
    <col min="6659" max="6659" width="31.33203125" style="938" customWidth="1"/>
    <col min="6660" max="6660" width="13.1640625" style="938" bestFit="1" customWidth="1"/>
    <col min="6661" max="6669" width="0" style="938" hidden="1" customWidth="1"/>
    <col min="6670" max="6670" width="10" style="938" bestFit="1" customWidth="1"/>
    <col min="6671" max="6671" width="12.83203125" style="938" bestFit="1" customWidth="1"/>
    <col min="6672" max="6672" width="13.1640625" style="938" bestFit="1" customWidth="1"/>
    <col min="6673" max="6673" width="7.83203125" style="938" customWidth="1"/>
    <col min="6674" max="6674" width="10" style="938" bestFit="1" customWidth="1"/>
    <col min="6675" max="6675" width="13.1640625" style="938" bestFit="1" customWidth="1"/>
    <col min="6676" max="6676" width="12.6640625" style="938" bestFit="1" customWidth="1"/>
    <col min="6677" max="6677" width="10" style="938" bestFit="1" customWidth="1"/>
    <col min="6678" max="6678" width="12.83203125" style="938" bestFit="1" customWidth="1"/>
    <col min="6679" max="6679" width="13.1640625" style="938" bestFit="1" customWidth="1"/>
    <col min="6680" max="6912" width="9.33203125" style="938"/>
    <col min="6913" max="6913" width="4.33203125" style="938" customWidth="1"/>
    <col min="6914" max="6914" width="7.5" style="938" bestFit="1" customWidth="1"/>
    <col min="6915" max="6915" width="31.33203125" style="938" customWidth="1"/>
    <col min="6916" max="6916" width="13.1640625" style="938" bestFit="1" customWidth="1"/>
    <col min="6917" max="6925" width="0" style="938" hidden="1" customWidth="1"/>
    <col min="6926" max="6926" width="10" style="938" bestFit="1" customWidth="1"/>
    <col min="6927" max="6927" width="12.83203125" style="938" bestFit="1" customWidth="1"/>
    <col min="6928" max="6928" width="13.1640625" style="938" bestFit="1" customWidth="1"/>
    <col min="6929" max="6929" width="7.83203125" style="938" customWidth="1"/>
    <col min="6930" max="6930" width="10" style="938" bestFit="1" customWidth="1"/>
    <col min="6931" max="6931" width="13.1640625" style="938" bestFit="1" customWidth="1"/>
    <col min="6932" max="6932" width="12.6640625" style="938" bestFit="1" customWidth="1"/>
    <col min="6933" max="6933" width="10" style="938" bestFit="1" customWidth="1"/>
    <col min="6934" max="6934" width="12.83203125" style="938" bestFit="1" customWidth="1"/>
    <col min="6935" max="6935" width="13.1640625" style="938" bestFit="1" customWidth="1"/>
    <col min="6936" max="7168" width="9.33203125" style="938"/>
    <col min="7169" max="7169" width="4.33203125" style="938" customWidth="1"/>
    <col min="7170" max="7170" width="7.5" style="938" bestFit="1" customWidth="1"/>
    <col min="7171" max="7171" width="31.33203125" style="938" customWidth="1"/>
    <col min="7172" max="7172" width="13.1640625" style="938" bestFit="1" customWidth="1"/>
    <col min="7173" max="7181" width="0" style="938" hidden="1" customWidth="1"/>
    <col min="7182" max="7182" width="10" style="938" bestFit="1" customWidth="1"/>
    <col min="7183" max="7183" width="12.83203125" style="938" bestFit="1" customWidth="1"/>
    <col min="7184" max="7184" width="13.1640625" style="938" bestFit="1" customWidth="1"/>
    <col min="7185" max="7185" width="7.83203125" style="938" customWidth="1"/>
    <col min="7186" max="7186" width="10" style="938" bestFit="1" customWidth="1"/>
    <col min="7187" max="7187" width="13.1640625" style="938" bestFit="1" customWidth="1"/>
    <col min="7188" max="7188" width="12.6640625" style="938" bestFit="1" customWidth="1"/>
    <col min="7189" max="7189" width="10" style="938" bestFit="1" customWidth="1"/>
    <col min="7190" max="7190" width="12.83203125" style="938" bestFit="1" customWidth="1"/>
    <col min="7191" max="7191" width="13.1640625" style="938" bestFit="1" customWidth="1"/>
    <col min="7192" max="7424" width="9.33203125" style="938"/>
    <col min="7425" max="7425" width="4.33203125" style="938" customWidth="1"/>
    <col min="7426" max="7426" width="7.5" style="938" bestFit="1" customWidth="1"/>
    <col min="7427" max="7427" width="31.33203125" style="938" customWidth="1"/>
    <col min="7428" max="7428" width="13.1640625" style="938" bestFit="1" customWidth="1"/>
    <col min="7429" max="7437" width="0" style="938" hidden="1" customWidth="1"/>
    <col min="7438" max="7438" width="10" style="938" bestFit="1" customWidth="1"/>
    <col min="7439" max="7439" width="12.83203125" style="938" bestFit="1" customWidth="1"/>
    <col min="7440" max="7440" width="13.1640625" style="938" bestFit="1" customWidth="1"/>
    <col min="7441" max="7441" width="7.83203125" style="938" customWidth="1"/>
    <col min="7442" max="7442" width="10" style="938" bestFit="1" customWidth="1"/>
    <col min="7443" max="7443" width="13.1640625" style="938" bestFit="1" customWidth="1"/>
    <col min="7444" max="7444" width="12.6640625" style="938" bestFit="1" customWidth="1"/>
    <col min="7445" max="7445" width="10" style="938" bestFit="1" customWidth="1"/>
    <col min="7446" max="7446" width="12.83203125" style="938" bestFit="1" customWidth="1"/>
    <col min="7447" max="7447" width="13.1640625" style="938" bestFit="1" customWidth="1"/>
    <col min="7448" max="7680" width="9.33203125" style="938"/>
    <col min="7681" max="7681" width="4.33203125" style="938" customWidth="1"/>
    <col min="7682" max="7682" width="7.5" style="938" bestFit="1" customWidth="1"/>
    <col min="7683" max="7683" width="31.33203125" style="938" customWidth="1"/>
    <col min="7684" max="7684" width="13.1640625" style="938" bestFit="1" customWidth="1"/>
    <col min="7685" max="7693" width="0" style="938" hidden="1" customWidth="1"/>
    <col min="7694" max="7694" width="10" style="938" bestFit="1" customWidth="1"/>
    <col min="7695" max="7695" width="12.83203125" style="938" bestFit="1" customWidth="1"/>
    <col min="7696" max="7696" width="13.1640625" style="938" bestFit="1" customWidth="1"/>
    <col min="7697" max="7697" width="7.83203125" style="938" customWidth="1"/>
    <col min="7698" max="7698" width="10" style="938" bestFit="1" customWidth="1"/>
    <col min="7699" max="7699" width="13.1640625" style="938" bestFit="1" customWidth="1"/>
    <col min="7700" max="7700" width="12.6640625" style="938" bestFit="1" customWidth="1"/>
    <col min="7701" max="7701" width="10" style="938" bestFit="1" customWidth="1"/>
    <col min="7702" max="7702" width="12.83203125" style="938" bestFit="1" customWidth="1"/>
    <col min="7703" max="7703" width="13.1640625" style="938" bestFit="1" customWidth="1"/>
    <col min="7704" max="7936" width="9.33203125" style="938"/>
    <col min="7937" max="7937" width="4.33203125" style="938" customWidth="1"/>
    <col min="7938" max="7938" width="7.5" style="938" bestFit="1" customWidth="1"/>
    <col min="7939" max="7939" width="31.33203125" style="938" customWidth="1"/>
    <col min="7940" max="7940" width="13.1640625" style="938" bestFit="1" customWidth="1"/>
    <col min="7941" max="7949" width="0" style="938" hidden="1" customWidth="1"/>
    <col min="7950" max="7950" width="10" style="938" bestFit="1" customWidth="1"/>
    <col min="7951" max="7951" width="12.83203125" style="938" bestFit="1" customWidth="1"/>
    <col min="7952" max="7952" width="13.1640625" style="938" bestFit="1" customWidth="1"/>
    <col min="7953" max="7953" width="7.83203125" style="938" customWidth="1"/>
    <col min="7954" max="7954" width="10" style="938" bestFit="1" customWidth="1"/>
    <col min="7955" max="7955" width="13.1640625" style="938" bestFit="1" customWidth="1"/>
    <col min="7956" max="7956" width="12.6640625" style="938" bestFit="1" customWidth="1"/>
    <col min="7957" max="7957" width="10" style="938" bestFit="1" customWidth="1"/>
    <col min="7958" max="7958" width="12.83203125" style="938" bestFit="1" customWidth="1"/>
    <col min="7959" max="7959" width="13.1640625" style="938" bestFit="1" customWidth="1"/>
    <col min="7960" max="8192" width="9.33203125" style="938"/>
    <col min="8193" max="8193" width="4.33203125" style="938" customWidth="1"/>
    <col min="8194" max="8194" width="7.5" style="938" bestFit="1" customWidth="1"/>
    <col min="8195" max="8195" width="31.33203125" style="938" customWidth="1"/>
    <col min="8196" max="8196" width="13.1640625" style="938" bestFit="1" customWidth="1"/>
    <col min="8197" max="8205" width="0" style="938" hidden="1" customWidth="1"/>
    <col min="8206" max="8206" width="10" style="938" bestFit="1" customWidth="1"/>
    <col min="8207" max="8207" width="12.83203125" style="938" bestFit="1" customWidth="1"/>
    <col min="8208" max="8208" width="13.1640625" style="938" bestFit="1" customWidth="1"/>
    <col min="8209" max="8209" width="7.83203125" style="938" customWidth="1"/>
    <col min="8210" max="8210" width="10" style="938" bestFit="1" customWidth="1"/>
    <col min="8211" max="8211" width="13.1640625" style="938" bestFit="1" customWidth="1"/>
    <col min="8212" max="8212" width="12.6640625" style="938" bestFit="1" customWidth="1"/>
    <col min="8213" max="8213" width="10" style="938" bestFit="1" customWidth="1"/>
    <col min="8214" max="8214" width="12.83203125" style="938" bestFit="1" customWidth="1"/>
    <col min="8215" max="8215" width="13.1640625" style="938" bestFit="1" customWidth="1"/>
    <col min="8216" max="8448" width="9.33203125" style="938"/>
    <col min="8449" max="8449" width="4.33203125" style="938" customWidth="1"/>
    <col min="8450" max="8450" width="7.5" style="938" bestFit="1" customWidth="1"/>
    <col min="8451" max="8451" width="31.33203125" style="938" customWidth="1"/>
    <col min="8452" max="8452" width="13.1640625" style="938" bestFit="1" customWidth="1"/>
    <col min="8453" max="8461" width="0" style="938" hidden="1" customWidth="1"/>
    <col min="8462" max="8462" width="10" style="938" bestFit="1" customWidth="1"/>
    <col min="8463" max="8463" width="12.83203125" style="938" bestFit="1" customWidth="1"/>
    <col min="8464" max="8464" width="13.1640625" style="938" bestFit="1" customWidth="1"/>
    <col min="8465" max="8465" width="7.83203125" style="938" customWidth="1"/>
    <col min="8466" max="8466" width="10" style="938" bestFit="1" customWidth="1"/>
    <col min="8467" max="8467" width="13.1640625" style="938" bestFit="1" customWidth="1"/>
    <col min="8468" max="8468" width="12.6640625" style="938" bestFit="1" customWidth="1"/>
    <col min="8469" max="8469" width="10" style="938" bestFit="1" customWidth="1"/>
    <col min="8470" max="8470" width="12.83203125" style="938" bestFit="1" customWidth="1"/>
    <col min="8471" max="8471" width="13.1640625" style="938" bestFit="1" customWidth="1"/>
    <col min="8472" max="8704" width="9.33203125" style="938"/>
    <col min="8705" max="8705" width="4.33203125" style="938" customWidth="1"/>
    <col min="8706" max="8706" width="7.5" style="938" bestFit="1" customWidth="1"/>
    <col min="8707" max="8707" width="31.33203125" style="938" customWidth="1"/>
    <col min="8708" max="8708" width="13.1640625" style="938" bestFit="1" customWidth="1"/>
    <col min="8709" max="8717" width="0" style="938" hidden="1" customWidth="1"/>
    <col min="8718" max="8718" width="10" style="938" bestFit="1" customWidth="1"/>
    <col min="8719" max="8719" width="12.83203125" style="938" bestFit="1" customWidth="1"/>
    <col min="8720" max="8720" width="13.1640625" style="938" bestFit="1" customWidth="1"/>
    <col min="8721" max="8721" width="7.83203125" style="938" customWidth="1"/>
    <col min="8722" max="8722" width="10" style="938" bestFit="1" customWidth="1"/>
    <col min="8723" max="8723" width="13.1640625" style="938" bestFit="1" customWidth="1"/>
    <col min="8724" max="8724" width="12.6640625" style="938" bestFit="1" customWidth="1"/>
    <col min="8725" max="8725" width="10" style="938" bestFit="1" customWidth="1"/>
    <col min="8726" max="8726" width="12.83203125" style="938" bestFit="1" customWidth="1"/>
    <col min="8727" max="8727" width="13.1640625" style="938" bestFit="1" customWidth="1"/>
    <col min="8728" max="8960" width="9.33203125" style="938"/>
    <col min="8961" max="8961" width="4.33203125" style="938" customWidth="1"/>
    <col min="8962" max="8962" width="7.5" style="938" bestFit="1" customWidth="1"/>
    <col min="8963" max="8963" width="31.33203125" style="938" customWidth="1"/>
    <col min="8964" max="8964" width="13.1640625" style="938" bestFit="1" customWidth="1"/>
    <col min="8965" max="8973" width="0" style="938" hidden="1" customWidth="1"/>
    <col min="8974" max="8974" width="10" style="938" bestFit="1" customWidth="1"/>
    <col min="8975" max="8975" width="12.83203125" style="938" bestFit="1" customWidth="1"/>
    <col min="8976" max="8976" width="13.1640625" style="938" bestFit="1" customWidth="1"/>
    <col min="8977" max="8977" width="7.83203125" style="938" customWidth="1"/>
    <col min="8978" max="8978" width="10" style="938" bestFit="1" customWidth="1"/>
    <col min="8979" max="8979" width="13.1640625" style="938" bestFit="1" customWidth="1"/>
    <col min="8980" max="8980" width="12.6640625" style="938" bestFit="1" customWidth="1"/>
    <col min="8981" max="8981" width="10" style="938" bestFit="1" customWidth="1"/>
    <col min="8982" max="8982" width="12.83203125" style="938" bestFit="1" customWidth="1"/>
    <col min="8983" max="8983" width="13.1640625" style="938" bestFit="1" customWidth="1"/>
    <col min="8984" max="9216" width="9.33203125" style="938"/>
    <col min="9217" max="9217" width="4.33203125" style="938" customWidth="1"/>
    <col min="9218" max="9218" width="7.5" style="938" bestFit="1" customWidth="1"/>
    <col min="9219" max="9219" width="31.33203125" style="938" customWidth="1"/>
    <col min="9220" max="9220" width="13.1640625" style="938" bestFit="1" customWidth="1"/>
    <col min="9221" max="9229" width="0" style="938" hidden="1" customWidth="1"/>
    <col min="9230" max="9230" width="10" style="938" bestFit="1" customWidth="1"/>
    <col min="9231" max="9231" width="12.83203125" style="938" bestFit="1" customWidth="1"/>
    <col min="9232" max="9232" width="13.1640625" style="938" bestFit="1" customWidth="1"/>
    <col min="9233" max="9233" width="7.83203125" style="938" customWidth="1"/>
    <col min="9234" max="9234" width="10" style="938" bestFit="1" customWidth="1"/>
    <col min="9235" max="9235" width="13.1640625" style="938" bestFit="1" customWidth="1"/>
    <col min="9236" max="9236" width="12.6640625" style="938" bestFit="1" customWidth="1"/>
    <col min="9237" max="9237" width="10" style="938" bestFit="1" customWidth="1"/>
    <col min="9238" max="9238" width="12.83203125" style="938" bestFit="1" customWidth="1"/>
    <col min="9239" max="9239" width="13.1640625" style="938" bestFit="1" customWidth="1"/>
    <col min="9240" max="9472" width="9.33203125" style="938"/>
    <col min="9473" max="9473" width="4.33203125" style="938" customWidth="1"/>
    <col min="9474" max="9474" width="7.5" style="938" bestFit="1" customWidth="1"/>
    <col min="9475" max="9475" width="31.33203125" style="938" customWidth="1"/>
    <col min="9476" max="9476" width="13.1640625" style="938" bestFit="1" customWidth="1"/>
    <col min="9477" max="9485" width="0" style="938" hidden="1" customWidth="1"/>
    <col min="9486" max="9486" width="10" style="938" bestFit="1" customWidth="1"/>
    <col min="9487" max="9487" width="12.83203125" style="938" bestFit="1" customWidth="1"/>
    <col min="9488" max="9488" width="13.1640625" style="938" bestFit="1" customWidth="1"/>
    <col min="9489" max="9489" width="7.83203125" style="938" customWidth="1"/>
    <col min="9490" max="9490" width="10" style="938" bestFit="1" customWidth="1"/>
    <col min="9491" max="9491" width="13.1640625" style="938" bestFit="1" customWidth="1"/>
    <col min="9492" max="9492" width="12.6640625" style="938" bestFit="1" customWidth="1"/>
    <col min="9493" max="9493" width="10" style="938" bestFit="1" customWidth="1"/>
    <col min="9494" max="9494" width="12.83203125" style="938" bestFit="1" customWidth="1"/>
    <col min="9495" max="9495" width="13.1640625" style="938" bestFit="1" customWidth="1"/>
    <col min="9496" max="9728" width="9.33203125" style="938"/>
    <col min="9729" max="9729" width="4.33203125" style="938" customWidth="1"/>
    <col min="9730" max="9730" width="7.5" style="938" bestFit="1" customWidth="1"/>
    <col min="9731" max="9731" width="31.33203125" style="938" customWidth="1"/>
    <col min="9732" max="9732" width="13.1640625" style="938" bestFit="1" customWidth="1"/>
    <col min="9733" max="9741" width="0" style="938" hidden="1" customWidth="1"/>
    <col min="9742" max="9742" width="10" style="938" bestFit="1" customWidth="1"/>
    <col min="9743" max="9743" width="12.83203125" style="938" bestFit="1" customWidth="1"/>
    <col min="9744" max="9744" width="13.1640625" style="938" bestFit="1" customWidth="1"/>
    <col min="9745" max="9745" width="7.83203125" style="938" customWidth="1"/>
    <col min="9746" max="9746" width="10" style="938" bestFit="1" customWidth="1"/>
    <col min="9747" max="9747" width="13.1640625" style="938" bestFit="1" customWidth="1"/>
    <col min="9748" max="9748" width="12.6640625" style="938" bestFit="1" customWidth="1"/>
    <col min="9749" max="9749" width="10" style="938" bestFit="1" customWidth="1"/>
    <col min="9750" max="9750" width="12.83203125" style="938" bestFit="1" customWidth="1"/>
    <col min="9751" max="9751" width="13.1640625" style="938" bestFit="1" customWidth="1"/>
    <col min="9752" max="9984" width="9.33203125" style="938"/>
    <col min="9985" max="9985" width="4.33203125" style="938" customWidth="1"/>
    <col min="9986" max="9986" width="7.5" style="938" bestFit="1" customWidth="1"/>
    <col min="9987" max="9987" width="31.33203125" style="938" customWidth="1"/>
    <col min="9988" max="9988" width="13.1640625" style="938" bestFit="1" customWidth="1"/>
    <col min="9989" max="9997" width="0" style="938" hidden="1" customWidth="1"/>
    <col min="9998" max="9998" width="10" style="938" bestFit="1" customWidth="1"/>
    <col min="9999" max="9999" width="12.83203125" style="938" bestFit="1" customWidth="1"/>
    <col min="10000" max="10000" width="13.1640625" style="938" bestFit="1" customWidth="1"/>
    <col min="10001" max="10001" width="7.83203125" style="938" customWidth="1"/>
    <col min="10002" max="10002" width="10" style="938" bestFit="1" customWidth="1"/>
    <col min="10003" max="10003" width="13.1640625" style="938" bestFit="1" customWidth="1"/>
    <col min="10004" max="10004" width="12.6640625" style="938" bestFit="1" customWidth="1"/>
    <col min="10005" max="10005" width="10" style="938" bestFit="1" customWidth="1"/>
    <col min="10006" max="10006" width="12.83203125" style="938" bestFit="1" customWidth="1"/>
    <col min="10007" max="10007" width="13.1640625" style="938" bestFit="1" customWidth="1"/>
    <col min="10008" max="10240" width="9.33203125" style="938"/>
    <col min="10241" max="10241" width="4.33203125" style="938" customWidth="1"/>
    <col min="10242" max="10242" width="7.5" style="938" bestFit="1" customWidth="1"/>
    <col min="10243" max="10243" width="31.33203125" style="938" customWidth="1"/>
    <col min="10244" max="10244" width="13.1640625" style="938" bestFit="1" customWidth="1"/>
    <col min="10245" max="10253" width="0" style="938" hidden="1" customWidth="1"/>
    <col min="10254" max="10254" width="10" style="938" bestFit="1" customWidth="1"/>
    <col min="10255" max="10255" width="12.83203125" style="938" bestFit="1" customWidth="1"/>
    <col min="10256" max="10256" width="13.1640625" style="938" bestFit="1" customWidth="1"/>
    <col min="10257" max="10257" width="7.83203125" style="938" customWidth="1"/>
    <col min="10258" max="10258" width="10" style="938" bestFit="1" customWidth="1"/>
    <col min="10259" max="10259" width="13.1640625" style="938" bestFit="1" customWidth="1"/>
    <col min="10260" max="10260" width="12.6640625" style="938" bestFit="1" customWidth="1"/>
    <col min="10261" max="10261" width="10" style="938" bestFit="1" customWidth="1"/>
    <col min="10262" max="10262" width="12.83203125" style="938" bestFit="1" customWidth="1"/>
    <col min="10263" max="10263" width="13.1640625" style="938" bestFit="1" customWidth="1"/>
    <col min="10264" max="10496" width="9.33203125" style="938"/>
    <col min="10497" max="10497" width="4.33203125" style="938" customWidth="1"/>
    <col min="10498" max="10498" width="7.5" style="938" bestFit="1" customWidth="1"/>
    <col min="10499" max="10499" width="31.33203125" style="938" customWidth="1"/>
    <col min="10500" max="10500" width="13.1640625" style="938" bestFit="1" customWidth="1"/>
    <col min="10501" max="10509" width="0" style="938" hidden="1" customWidth="1"/>
    <col min="10510" max="10510" width="10" style="938" bestFit="1" customWidth="1"/>
    <col min="10511" max="10511" width="12.83203125" style="938" bestFit="1" customWidth="1"/>
    <col min="10512" max="10512" width="13.1640625" style="938" bestFit="1" customWidth="1"/>
    <col min="10513" max="10513" width="7.83203125" style="938" customWidth="1"/>
    <col min="10514" max="10514" width="10" style="938" bestFit="1" customWidth="1"/>
    <col min="10515" max="10515" width="13.1640625" style="938" bestFit="1" customWidth="1"/>
    <col min="10516" max="10516" width="12.6640625" style="938" bestFit="1" customWidth="1"/>
    <col min="10517" max="10517" width="10" style="938" bestFit="1" customWidth="1"/>
    <col min="10518" max="10518" width="12.83203125" style="938" bestFit="1" customWidth="1"/>
    <col min="10519" max="10519" width="13.1640625" style="938" bestFit="1" customWidth="1"/>
    <col min="10520" max="10752" width="9.33203125" style="938"/>
    <col min="10753" max="10753" width="4.33203125" style="938" customWidth="1"/>
    <col min="10754" max="10754" width="7.5" style="938" bestFit="1" customWidth="1"/>
    <col min="10755" max="10755" width="31.33203125" style="938" customWidth="1"/>
    <col min="10756" max="10756" width="13.1640625" style="938" bestFit="1" customWidth="1"/>
    <col min="10757" max="10765" width="0" style="938" hidden="1" customWidth="1"/>
    <col min="10766" max="10766" width="10" style="938" bestFit="1" customWidth="1"/>
    <col min="10767" max="10767" width="12.83203125" style="938" bestFit="1" customWidth="1"/>
    <col min="10768" max="10768" width="13.1640625" style="938" bestFit="1" customWidth="1"/>
    <col min="10769" max="10769" width="7.83203125" style="938" customWidth="1"/>
    <col min="10770" max="10770" width="10" style="938" bestFit="1" customWidth="1"/>
    <col min="10771" max="10771" width="13.1640625" style="938" bestFit="1" customWidth="1"/>
    <col min="10772" max="10772" width="12.6640625" style="938" bestFit="1" customWidth="1"/>
    <col min="10773" max="10773" width="10" style="938" bestFit="1" customWidth="1"/>
    <col min="10774" max="10774" width="12.83203125" style="938" bestFit="1" customWidth="1"/>
    <col min="10775" max="10775" width="13.1640625" style="938" bestFit="1" customWidth="1"/>
    <col min="10776" max="11008" width="9.33203125" style="938"/>
    <col min="11009" max="11009" width="4.33203125" style="938" customWidth="1"/>
    <col min="11010" max="11010" width="7.5" style="938" bestFit="1" customWidth="1"/>
    <col min="11011" max="11011" width="31.33203125" style="938" customWidth="1"/>
    <col min="11012" max="11012" width="13.1640625" style="938" bestFit="1" customWidth="1"/>
    <col min="11013" max="11021" width="0" style="938" hidden="1" customWidth="1"/>
    <col min="11022" max="11022" width="10" style="938" bestFit="1" customWidth="1"/>
    <col min="11023" max="11023" width="12.83203125" style="938" bestFit="1" customWidth="1"/>
    <col min="11024" max="11024" width="13.1640625" style="938" bestFit="1" customWidth="1"/>
    <col min="11025" max="11025" width="7.83203125" style="938" customWidth="1"/>
    <col min="11026" max="11026" width="10" style="938" bestFit="1" customWidth="1"/>
    <col min="11027" max="11027" width="13.1640625" style="938" bestFit="1" customWidth="1"/>
    <col min="11028" max="11028" width="12.6640625" style="938" bestFit="1" customWidth="1"/>
    <col min="11029" max="11029" width="10" style="938" bestFit="1" customWidth="1"/>
    <col min="11030" max="11030" width="12.83203125" style="938" bestFit="1" customWidth="1"/>
    <col min="11031" max="11031" width="13.1640625" style="938" bestFit="1" customWidth="1"/>
    <col min="11032" max="11264" width="9.33203125" style="938"/>
    <col min="11265" max="11265" width="4.33203125" style="938" customWidth="1"/>
    <col min="11266" max="11266" width="7.5" style="938" bestFit="1" customWidth="1"/>
    <col min="11267" max="11267" width="31.33203125" style="938" customWidth="1"/>
    <col min="11268" max="11268" width="13.1640625" style="938" bestFit="1" customWidth="1"/>
    <col min="11269" max="11277" width="0" style="938" hidden="1" customWidth="1"/>
    <col min="11278" max="11278" width="10" style="938" bestFit="1" customWidth="1"/>
    <col min="11279" max="11279" width="12.83203125" style="938" bestFit="1" customWidth="1"/>
    <col min="11280" max="11280" width="13.1640625" style="938" bestFit="1" customWidth="1"/>
    <col min="11281" max="11281" width="7.83203125" style="938" customWidth="1"/>
    <col min="11282" max="11282" width="10" style="938" bestFit="1" customWidth="1"/>
    <col min="11283" max="11283" width="13.1640625" style="938" bestFit="1" customWidth="1"/>
    <col min="11284" max="11284" width="12.6640625" style="938" bestFit="1" customWidth="1"/>
    <col min="11285" max="11285" width="10" style="938" bestFit="1" customWidth="1"/>
    <col min="11286" max="11286" width="12.83203125" style="938" bestFit="1" customWidth="1"/>
    <col min="11287" max="11287" width="13.1640625" style="938" bestFit="1" customWidth="1"/>
    <col min="11288" max="11520" width="9.33203125" style="938"/>
    <col min="11521" max="11521" width="4.33203125" style="938" customWidth="1"/>
    <col min="11522" max="11522" width="7.5" style="938" bestFit="1" customWidth="1"/>
    <col min="11523" max="11523" width="31.33203125" style="938" customWidth="1"/>
    <col min="11524" max="11524" width="13.1640625" style="938" bestFit="1" customWidth="1"/>
    <col min="11525" max="11533" width="0" style="938" hidden="1" customWidth="1"/>
    <col min="11534" max="11534" width="10" style="938" bestFit="1" customWidth="1"/>
    <col min="11535" max="11535" width="12.83203125" style="938" bestFit="1" customWidth="1"/>
    <col min="11536" max="11536" width="13.1640625" style="938" bestFit="1" customWidth="1"/>
    <col min="11537" max="11537" width="7.83203125" style="938" customWidth="1"/>
    <col min="11538" max="11538" width="10" style="938" bestFit="1" customWidth="1"/>
    <col min="11539" max="11539" width="13.1640625" style="938" bestFit="1" customWidth="1"/>
    <col min="11540" max="11540" width="12.6640625" style="938" bestFit="1" customWidth="1"/>
    <col min="11541" max="11541" width="10" style="938" bestFit="1" customWidth="1"/>
    <col min="11542" max="11542" width="12.83203125" style="938" bestFit="1" customWidth="1"/>
    <col min="11543" max="11543" width="13.1640625" style="938" bestFit="1" customWidth="1"/>
    <col min="11544" max="11776" width="9.33203125" style="938"/>
    <col min="11777" max="11777" width="4.33203125" style="938" customWidth="1"/>
    <col min="11778" max="11778" width="7.5" style="938" bestFit="1" customWidth="1"/>
    <col min="11779" max="11779" width="31.33203125" style="938" customWidth="1"/>
    <col min="11780" max="11780" width="13.1640625" style="938" bestFit="1" customWidth="1"/>
    <col min="11781" max="11789" width="0" style="938" hidden="1" customWidth="1"/>
    <col min="11790" max="11790" width="10" style="938" bestFit="1" customWidth="1"/>
    <col min="11791" max="11791" width="12.83203125" style="938" bestFit="1" customWidth="1"/>
    <col min="11792" max="11792" width="13.1640625" style="938" bestFit="1" customWidth="1"/>
    <col min="11793" max="11793" width="7.83203125" style="938" customWidth="1"/>
    <col min="11794" max="11794" width="10" style="938" bestFit="1" customWidth="1"/>
    <col min="11795" max="11795" width="13.1640625" style="938" bestFit="1" customWidth="1"/>
    <col min="11796" max="11796" width="12.6640625" style="938" bestFit="1" customWidth="1"/>
    <col min="11797" max="11797" width="10" style="938" bestFit="1" customWidth="1"/>
    <col min="11798" max="11798" width="12.83203125" style="938" bestFit="1" customWidth="1"/>
    <col min="11799" max="11799" width="13.1640625" style="938" bestFit="1" customWidth="1"/>
    <col min="11800" max="12032" width="9.33203125" style="938"/>
    <col min="12033" max="12033" width="4.33203125" style="938" customWidth="1"/>
    <col min="12034" max="12034" width="7.5" style="938" bestFit="1" customWidth="1"/>
    <col min="12035" max="12035" width="31.33203125" style="938" customWidth="1"/>
    <col min="12036" max="12036" width="13.1640625" style="938" bestFit="1" customWidth="1"/>
    <col min="12037" max="12045" width="0" style="938" hidden="1" customWidth="1"/>
    <col min="12046" max="12046" width="10" style="938" bestFit="1" customWidth="1"/>
    <col min="12047" max="12047" width="12.83203125" style="938" bestFit="1" customWidth="1"/>
    <col min="12048" max="12048" width="13.1640625" style="938" bestFit="1" customWidth="1"/>
    <col min="12049" max="12049" width="7.83203125" style="938" customWidth="1"/>
    <col min="12050" max="12050" width="10" style="938" bestFit="1" customWidth="1"/>
    <col min="12051" max="12051" width="13.1640625" style="938" bestFit="1" customWidth="1"/>
    <col min="12052" max="12052" width="12.6640625" style="938" bestFit="1" customWidth="1"/>
    <col min="12053" max="12053" width="10" style="938" bestFit="1" customWidth="1"/>
    <col min="12054" max="12054" width="12.83203125" style="938" bestFit="1" customWidth="1"/>
    <col min="12055" max="12055" width="13.1640625" style="938" bestFit="1" customWidth="1"/>
    <col min="12056" max="12288" width="9.33203125" style="938"/>
    <col min="12289" max="12289" width="4.33203125" style="938" customWidth="1"/>
    <col min="12290" max="12290" width="7.5" style="938" bestFit="1" customWidth="1"/>
    <col min="12291" max="12291" width="31.33203125" style="938" customWidth="1"/>
    <col min="12292" max="12292" width="13.1640625" style="938" bestFit="1" customWidth="1"/>
    <col min="12293" max="12301" width="0" style="938" hidden="1" customWidth="1"/>
    <col min="12302" max="12302" width="10" style="938" bestFit="1" customWidth="1"/>
    <col min="12303" max="12303" width="12.83203125" style="938" bestFit="1" customWidth="1"/>
    <col min="12304" max="12304" width="13.1640625" style="938" bestFit="1" customWidth="1"/>
    <col min="12305" max="12305" width="7.83203125" style="938" customWidth="1"/>
    <col min="12306" max="12306" width="10" style="938" bestFit="1" customWidth="1"/>
    <col min="12307" max="12307" width="13.1640625" style="938" bestFit="1" customWidth="1"/>
    <col min="12308" max="12308" width="12.6640625" style="938" bestFit="1" customWidth="1"/>
    <col min="12309" max="12309" width="10" style="938" bestFit="1" customWidth="1"/>
    <col min="12310" max="12310" width="12.83203125" style="938" bestFit="1" customWidth="1"/>
    <col min="12311" max="12311" width="13.1640625" style="938" bestFit="1" customWidth="1"/>
    <col min="12312" max="12544" width="9.33203125" style="938"/>
    <col min="12545" max="12545" width="4.33203125" style="938" customWidth="1"/>
    <col min="12546" max="12546" width="7.5" style="938" bestFit="1" customWidth="1"/>
    <col min="12547" max="12547" width="31.33203125" style="938" customWidth="1"/>
    <col min="12548" max="12548" width="13.1640625" style="938" bestFit="1" customWidth="1"/>
    <col min="12549" max="12557" width="0" style="938" hidden="1" customWidth="1"/>
    <col min="12558" max="12558" width="10" style="938" bestFit="1" customWidth="1"/>
    <col min="12559" max="12559" width="12.83203125" style="938" bestFit="1" customWidth="1"/>
    <col min="12560" max="12560" width="13.1640625" style="938" bestFit="1" customWidth="1"/>
    <col min="12561" max="12561" width="7.83203125" style="938" customWidth="1"/>
    <col min="12562" max="12562" width="10" style="938" bestFit="1" customWidth="1"/>
    <col min="12563" max="12563" width="13.1640625" style="938" bestFit="1" customWidth="1"/>
    <col min="12564" max="12564" width="12.6640625" style="938" bestFit="1" customWidth="1"/>
    <col min="12565" max="12565" width="10" style="938" bestFit="1" customWidth="1"/>
    <col min="12566" max="12566" width="12.83203125" style="938" bestFit="1" customWidth="1"/>
    <col min="12567" max="12567" width="13.1640625" style="938" bestFit="1" customWidth="1"/>
    <col min="12568" max="12800" width="9.33203125" style="938"/>
    <col min="12801" max="12801" width="4.33203125" style="938" customWidth="1"/>
    <col min="12802" max="12802" width="7.5" style="938" bestFit="1" customWidth="1"/>
    <col min="12803" max="12803" width="31.33203125" style="938" customWidth="1"/>
    <col min="12804" max="12804" width="13.1640625" style="938" bestFit="1" customWidth="1"/>
    <col min="12805" max="12813" width="0" style="938" hidden="1" customWidth="1"/>
    <col min="12814" max="12814" width="10" style="938" bestFit="1" customWidth="1"/>
    <col min="12815" max="12815" width="12.83203125" style="938" bestFit="1" customWidth="1"/>
    <col min="12816" max="12816" width="13.1640625" style="938" bestFit="1" customWidth="1"/>
    <col min="12817" max="12817" width="7.83203125" style="938" customWidth="1"/>
    <col min="12818" max="12818" width="10" style="938" bestFit="1" customWidth="1"/>
    <col min="12819" max="12819" width="13.1640625" style="938" bestFit="1" customWidth="1"/>
    <col min="12820" max="12820" width="12.6640625" style="938" bestFit="1" customWidth="1"/>
    <col min="12821" max="12821" width="10" style="938" bestFit="1" customWidth="1"/>
    <col min="12822" max="12822" width="12.83203125" style="938" bestFit="1" customWidth="1"/>
    <col min="12823" max="12823" width="13.1640625" style="938" bestFit="1" customWidth="1"/>
    <col min="12824" max="13056" width="9.33203125" style="938"/>
    <col min="13057" max="13057" width="4.33203125" style="938" customWidth="1"/>
    <col min="13058" max="13058" width="7.5" style="938" bestFit="1" customWidth="1"/>
    <col min="13059" max="13059" width="31.33203125" style="938" customWidth="1"/>
    <col min="13060" max="13060" width="13.1640625" style="938" bestFit="1" customWidth="1"/>
    <col min="13061" max="13069" width="0" style="938" hidden="1" customWidth="1"/>
    <col min="13070" max="13070" width="10" style="938" bestFit="1" customWidth="1"/>
    <col min="13071" max="13071" width="12.83203125" style="938" bestFit="1" customWidth="1"/>
    <col min="13072" max="13072" width="13.1640625" style="938" bestFit="1" customWidth="1"/>
    <col min="13073" max="13073" width="7.83203125" style="938" customWidth="1"/>
    <col min="13074" max="13074" width="10" style="938" bestFit="1" customWidth="1"/>
    <col min="13075" max="13075" width="13.1640625" style="938" bestFit="1" customWidth="1"/>
    <col min="13076" max="13076" width="12.6640625" style="938" bestFit="1" customWidth="1"/>
    <col min="13077" max="13077" width="10" style="938" bestFit="1" customWidth="1"/>
    <col min="13078" max="13078" width="12.83203125" style="938" bestFit="1" customWidth="1"/>
    <col min="13079" max="13079" width="13.1640625" style="938" bestFit="1" customWidth="1"/>
    <col min="13080" max="13312" width="9.33203125" style="938"/>
    <col min="13313" max="13313" width="4.33203125" style="938" customWidth="1"/>
    <col min="13314" max="13314" width="7.5" style="938" bestFit="1" customWidth="1"/>
    <col min="13315" max="13315" width="31.33203125" style="938" customWidth="1"/>
    <col min="13316" max="13316" width="13.1640625" style="938" bestFit="1" customWidth="1"/>
    <col min="13317" max="13325" width="0" style="938" hidden="1" customWidth="1"/>
    <col min="13326" max="13326" width="10" style="938" bestFit="1" customWidth="1"/>
    <col min="13327" max="13327" width="12.83203125" style="938" bestFit="1" customWidth="1"/>
    <col min="13328" max="13328" width="13.1640625" style="938" bestFit="1" customWidth="1"/>
    <col min="13329" max="13329" width="7.83203125" style="938" customWidth="1"/>
    <col min="13330" max="13330" width="10" style="938" bestFit="1" customWidth="1"/>
    <col min="13331" max="13331" width="13.1640625" style="938" bestFit="1" customWidth="1"/>
    <col min="13332" max="13332" width="12.6640625" style="938" bestFit="1" customWidth="1"/>
    <col min="13333" max="13333" width="10" style="938" bestFit="1" customWidth="1"/>
    <col min="13334" max="13334" width="12.83203125" style="938" bestFit="1" customWidth="1"/>
    <col min="13335" max="13335" width="13.1640625" style="938" bestFit="1" customWidth="1"/>
    <col min="13336" max="13568" width="9.33203125" style="938"/>
    <col min="13569" max="13569" width="4.33203125" style="938" customWidth="1"/>
    <col min="13570" max="13570" width="7.5" style="938" bestFit="1" customWidth="1"/>
    <col min="13571" max="13571" width="31.33203125" style="938" customWidth="1"/>
    <col min="13572" max="13572" width="13.1640625" style="938" bestFit="1" customWidth="1"/>
    <col min="13573" max="13581" width="0" style="938" hidden="1" customWidth="1"/>
    <col min="13582" max="13582" width="10" style="938" bestFit="1" customWidth="1"/>
    <col min="13583" max="13583" width="12.83203125" style="938" bestFit="1" customWidth="1"/>
    <col min="13584" max="13584" width="13.1640625" style="938" bestFit="1" customWidth="1"/>
    <col min="13585" max="13585" width="7.83203125" style="938" customWidth="1"/>
    <col min="13586" max="13586" width="10" style="938" bestFit="1" customWidth="1"/>
    <col min="13587" max="13587" width="13.1640625" style="938" bestFit="1" customWidth="1"/>
    <col min="13588" max="13588" width="12.6640625" style="938" bestFit="1" customWidth="1"/>
    <col min="13589" max="13589" width="10" style="938" bestFit="1" customWidth="1"/>
    <col min="13590" max="13590" width="12.83203125" style="938" bestFit="1" customWidth="1"/>
    <col min="13591" max="13591" width="13.1640625" style="938" bestFit="1" customWidth="1"/>
    <col min="13592" max="13824" width="9.33203125" style="938"/>
    <col min="13825" max="13825" width="4.33203125" style="938" customWidth="1"/>
    <col min="13826" max="13826" width="7.5" style="938" bestFit="1" customWidth="1"/>
    <col min="13827" max="13827" width="31.33203125" style="938" customWidth="1"/>
    <col min="13828" max="13828" width="13.1640625" style="938" bestFit="1" customWidth="1"/>
    <col min="13829" max="13837" width="0" style="938" hidden="1" customWidth="1"/>
    <col min="13838" max="13838" width="10" style="938" bestFit="1" customWidth="1"/>
    <col min="13839" max="13839" width="12.83203125" style="938" bestFit="1" customWidth="1"/>
    <col min="13840" max="13840" width="13.1640625" style="938" bestFit="1" customWidth="1"/>
    <col min="13841" max="13841" width="7.83203125" style="938" customWidth="1"/>
    <col min="13842" max="13842" width="10" style="938" bestFit="1" customWidth="1"/>
    <col min="13843" max="13843" width="13.1640625" style="938" bestFit="1" customWidth="1"/>
    <col min="13844" max="13844" width="12.6640625" style="938" bestFit="1" customWidth="1"/>
    <col min="13845" max="13845" width="10" style="938" bestFit="1" customWidth="1"/>
    <col min="13846" max="13846" width="12.83203125" style="938" bestFit="1" customWidth="1"/>
    <col min="13847" max="13847" width="13.1640625" style="938" bestFit="1" customWidth="1"/>
    <col min="13848" max="14080" width="9.33203125" style="938"/>
    <col min="14081" max="14081" width="4.33203125" style="938" customWidth="1"/>
    <col min="14082" max="14082" width="7.5" style="938" bestFit="1" customWidth="1"/>
    <col min="14083" max="14083" width="31.33203125" style="938" customWidth="1"/>
    <col min="14084" max="14084" width="13.1640625" style="938" bestFit="1" customWidth="1"/>
    <col min="14085" max="14093" width="0" style="938" hidden="1" customWidth="1"/>
    <col min="14094" max="14094" width="10" style="938" bestFit="1" customWidth="1"/>
    <col min="14095" max="14095" width="12.83203125" style="938" bestFit="1" customWidth="1"/>
    <col min="14096" max="14096" width="13.1640625" style="938" bestFit="1" customWidth="1"/>
    <col min="14097" max="14097" width="7.83203125" style="938" customWidth="1"/>
    <col min="14098" max="14098" width="10" style="938" bestFit="1" customWidth="1"/>
    <col min="14099" max="14099" width="13.1640625" style="938" bestFit="1" customWidth="1"/>
    <col min="14100" max="14100" width="12.6640625" style="938" bestFit="1" customWidth="1"/>
    <col min="14101" max="14101" width="10" style="938" bestFit="1" customWidth="1"/>
    <col min="14102" max="14102" width="12.83203125" style="938" bestFit="1" customWidth="1"/>
    <col min="14103" max="14103" width="13.1640625" style="938" bestFit="1" customWidth="1"/>
    <col min="14104" max="14336" width="9.33203125" style="938"/>
    <col min="14337" max="14337" width="4.33203125" style="938" customWidth="1"/>
    <col min="14338" max="14338" width="7.5" style="938" bestFit="1" customWidth="1"/>
    <col min="14339" max="14339" width="31.33203125" style="938" customWidth="1"/>
    <col min="14340" max="14340" width="13.1640625" style="938" bestFit="1" customWidth="1"/>
    <col min="14341" max="14349" width="0" style="938" hidden="1" customWidth="1"/>
    <col min="14350" max="14350" width="10" style="938" bestFit="1" customWidth="1"/>
    <col min="14351" max="14351" width="12.83203125" style="938" bestFit="1" customWidth="1"/>
    <col min="14352" max="14352" width="13.1640625" style="938" bestFit="1" customWidth="1"/>
    <col min="14353" max="14353" width="7.83203125" style="938" customWidth="1"/>
    <col min="14354" max="14354" width="10" style="938" bestFit="1" customWidth="1"/>
    <col min="14355" max="14355" width="13.1640625" style="938" bestFit="1" customWidth="1"/>
    <col min="14356" max="14356" width="12.6640625" style="938" bestFit="1" customWidth="1"/>
    <col min="14357" max="14357" width="10" style="938" bestFit="1" customWidth="1"/>
    <col min="14358" max="14358" width="12.83203125" style="938" bestFit="1" customWidth="1"/>
    <col min="14359" max="14359" width="13.1640625" style="938" bestFit="1" customWidth="1"/>
    <col min="14360" max="14592" width="9.33203125" style="938"/>
    <col min="14593" max="14593" width="4.33203125" style="938" customWidth="1"/>
    <col min="14594" max="14594" width="7.5" style="938" bestFit="1" customWidth="1"/>
    <col min="14595" max="14595" width="31.33203125" style="938" customWidth="1"/>
    <col min="14596" max="14596" width="13.1640625" style="938" bestFit="1" customWidth="1"/>
    <col min="14597" max="14605" width="0" style="938" hidden="1" customWidth="1"/>
    <col min="14606" max="14606" width="10" style="938" bestFit="1" customWidth="1"/>
    <col min="14607" max="14607" width="12.83203125" style="938" bestFit="1" customWidth="1"/>
    <col min="14608" max="14608" width="13.1640625" style="938" bestFit="1" customWidth="1"/>
    <col min="14609" max="14609" width="7.83203125" style="938" customWidth="1"/>
    <col min="14610" max="14610" width="10" style="938" bestFit="1" customWidth="1"/>
    <col min="14611" max="14611" width="13.1640625" style="938" bestFit="1" customWidth="1"/>
    <col min="14612" max="14612" width="12.6640625" style="938" bestFit="1" customWidth="1"/>
    <col min="14613" max="14613" width="10" style="938" bestFit="1" customWidth="1"/>
    <col min="14614" max="14614" width="12.83203125" style="938" bestFit="1" customWidth="1"/>
    <col min="14615" max="14615" width="13.1640625" style="938" bestFit="1" customWidth="1"/>
    <col min="14616" max="14848" width="9.33203125" style="938"/>
    <col min="14849" max="14849" width="4.33203125" style="938" customWidth="1"/>
    <col min="14850" max="14850" width="7.5" style="938" bestFit="1" customWidth="1"/>
    <col min="14851" max="14851" width="31.33203125" style="938" customWidth="1"/>
    <col min="14852" max="14852" width="13.1640625" style="938" bestFit="1" customWidth="1"/>
    <col min="14853" max="14861" width="0" style="938" hidden="1" customWidth="1"/>
    <col min="14862" max="14862" width="10" style="938" bestFit="1" customWidth="1"/>
    <col min="14863" max="14863" width="12.83203125" style="938" bestFit="1" customWidth="1"/>
    <col min="14864" max="14864" width="13.1640625" style="938" bestFit="1" customWidth="1"/>
    <col min="14865" max="14865" width="7.83203125" style="938" customWidth="1"/>
    <col min="14866" max="14866" width="10" style="938" bestFit="1" customWidth="1"/>
    <col min="14867" max="14867" width="13.1640625" style="938" bestFit="1" customWidth="1"/>
    <col min="14868" max="14868" width="12.6640625" style="938" bestFit="1" customWidth="1"/>
    <col min="14869" max="14869" width="10" style="938" bestFit="1" customWidth="1"/>
    <col min="14870" max="14870" width="12.83203125" style="938" bestFit="1" customWidth="1"/>
    <col min="14871" max="14871" width="13.1640625" style="938" bestFit="1" customWidth="1"/>
    <col min="14872" max="15104" width="9.33203125" style="938"/>
    <col min="15105" max="15105" width="4.33203125" style="938" customWidth="1"/>
    <col min="15106" max="15106" width="7.5" style="938" bestFit="1" customWidth="1"/>
    <col min="15107" max="15107" width="31.33203125" style="938" customWidth="1"/>
    <col min="15108" max="15108" width="13.1640625" style="938" bestFit="1" customWidth="1"/>
    <col min="15109" max="15117" width="0" style="938" hidden="1" customWidth="1"/>
    <col min="15118" max="15118" width="10" style="938" bestFit="1" customWidth="1"/>
    <col min="15119" max="15119" width="12.83203125" style="938" bestFit="1" customWidth="1"/>
    <col min="15120" max="15120" width="13.1640625" style="938" bestFit="1" customWidth="1"/>
    <col min="15121" max="15121" width="7.83203125" style="938" customWidth="1"/>
    <col min="15122" max="15122" width="10" style="938" bestFit="1" customWidth="1"/>
    <col min="15123" max="15123" width="13.1640625" style="938" bestFit="1" customWidth="1"/>
    <col min="15124" max="15124" width="12.6640625" style="938" bestFit="1" customWidth="1"/>
    <col min="15125" max="15125" width="10" style="938" bestFit="1" customWidth="1"/>
    <col min="15126" max="15126" width="12.83203125" style="938" bestFit="1" customWidth="1"/>
    <col min="15127" max="15127" width="13.1640625" style="938" bestFit="1" customWidth="1"/>
    <col min="15128" max="15360" width="9.33203125" style="938"/>
    <col min="15361" max="15361" width="4.33203125" style="938" customWidth="1"/>
    <col min="15362" max="15362" width="7.5" style="938" bestFit="1" customWidth="1"/>
    <col min="15363" max="15363" width="31.33203125" style="938" customWidth="1"/>
    <col min="15364" max="15364" width="13.1640625" style="938" bestFit="1" customWidth="1"/>
    <col min="15365" max="15373" width="0" style="938" hidden="1" customWidth="1"/>
    <col min="15374" max="15374" width="10" style="938" bestFit="1" customWidth="1"/>
    <col min="15375" max="15375" width="12.83203125" style="938" bestFit="1" customWidth="1"/>
    <col min="15376" max="15376" width="13.1640625" style="938" bestFit="1" customWidth="1"/>
    <col min="15377" max="15377" width="7.83203125" style="938" customWidth="1"/>
    <col min="15378" max="15378" width="10" style="938" bestFit="1" customWidth="1"/>
    <col min="15379" max="15379" width="13.1640625" style="938" bestFit="1" customWidth="1"/>
    <col min="15380" max="15380" width="12.6640625" style="938" bestFit="1" customWidth="1"/>
    <col min="15381" max="15381" width="10" style="938" bestFit="1" customWidth="1"/>
    <col min="15382" max="15382" width="12.83203125" style="938" bestFit="1" customWidth="1"/>
    <col min="15383" max="15383" width="13.1640625" style="938" bestFit="1" customWidth="1"/>
    <col min="15384" max="15616" width="9.33203125" style="938"/>
    <col min="15617" max="15617" width="4.33203125" style="938" customWidth="1"/>
    <col min="15618" max="15618" width="7.5" style="938" bestFit="1" customWidth="1"/>
    <col min="15619" max="15619" width="31.33203125" style="938" customWidth="1"/>
    <col min="15620" max="15620" width="13.1640625" style="938" bestFit="1" customWidth="1"/>
    <col min="15621" max="15629" width="0" style="938" hidden="1" customWidth="1"/>
    <col min="15630" max="15630" width="10" style="938" bestFit="1" customWidth="1"/>
    <col min="15631" max="15631" width="12.83203125" style="938" bestFit="1" customWidth="1"/>
    <col min="15632" max="15632" width="13.1640625" style="938" bestFit="1" customWidth="1"/>
    <col min="15633" max="15633" width="7.83203125" style="938" customWidth="1"/>
    <col min="15634" max="15634" width="10" style="938" bestFit="1" customWidth="1"/>
    <col min="15635" max="15635" width="13.1640625" style="938" bestFit="1" customWidth="1"/>
    <col min="15636" max="15636" width="12.6640625" style="938" bestFit="1" customWidth="1"/>
    <col min="15637" max="15637" width="10" style="938" bestFit="1" customWidth="1"/>
    <col min="15638" max="15638" width="12.83203125" style="938" bestFit="1" customWidth="1"/>
    <col min="15639" max="15639" width="13.1640625" style="938" bestFit="1" customWidth="1"/>
    <col min="15640" max="15872" width="9.33203125" style="938"/>
    <col min="15873" max="15873" width="4.33203125" style="938" customWidth="1"/>
    <col min="15874" max="15874" width="7.5" style="938" bestFit="1" customWidth="1"/>
    <col min="15875" max="15875" width="31.33203125" style="938" customWidth="1"/>
    <col min="15876" max="15876" width="13.1640625" style="938" bestFit="1" customWidth="1"/>
    <col min="15877" max="15885" width="0" style="938" hidden="1" customWidth="1"/>
    <col min="15886" max="15886" width="10" style="938" bestFit="1" customWidth="1"/>
    <col min="15887" max="15887" width="12.83203125" style="938" bestFit="1" customWidth="1"/>
    <col min="15888" max="15888" width="13.1640625" style="938" bestFit="1" customWidth="1"/>
    <col min="15889" max="15889" width="7.83203125" style="938" customWidth="1"/>
    <col min="15890" max="15890" width="10" style="938" bestFit="1" customWidth="1"/>
    <col min="15891" max="15891" width="13.1640625" style="938" bestFit="1" customWidth="1"/>
    <col min="15892" max="15892" width="12.6640625" style="938" bestFit="1" customWidth="1"/>
    <col min="15893" max="15893" width="10" style="938" bestFit="1" customWidth="1"/>
    <col min="15894" max="15894" width="12.83203125" style="938" bestFit="1" customWidth="1"/>
    <col min="15895" max="15895" width="13.1640625" style="938" bestFit="1" customWidth="1"/>
    <col min="15896" max="16128" width="9.33203125" style="938"/>
    <col min="16129" max="16129" width="4.33203125" style="938" customWidth="1"/>
    <col min="16130" max="16130" width="7.5" style="938" bestFit="1" customWidth="1"/>
    <col min="16131" max="16131" width="31.33203125" style="938" customWidth="1"/>
    <col min="16132" max="16132" width="13.1640625" style="938" bestFit="1" customWidth="1"/>
    <col min="16133" max="16141" width="0" style="938" hidden="1" customWidth="1"/>
    <col min="16142" max="16142" width="10" style="938" bestFit="1" customWidth="1"/>
    <col min="16143" max="16143" width="12.83203125" style="938" bestFit="1" customWidth="1"/>
    <col min="16144" max="16144" width="13.1640625" style="938" bestFit="1" customWidth="1"/>
    <col min="16145" max="16145" width="7.83203125" style="938" customWidth="1"/>
    <col min="16146" max="16146" width="10" style="938" bestFit="1" customWidth="1"/>
    <col min="16147" max="16147" width="13.1640625" style="938" bestFit="1" customWidth="1"/>
    <col min="16148" max="16148" width="12.6640625" style="938" bestFit="1" customWidth="1"/>
    <col min="16149" max="16149" width="10" style="938" bestFit="1" customWidth="1"/>
    <col min="16150" max="16150" width="12.83203125" style="938" bestFit="1" customWidth="1"/>
    <col min="16151" max="16151" width="13.1640625" style="938" bestFit="1" customWidth="1"/>
    <col min="16152" max="16384" width="9.33203125" style="938"/>
  </cols>
  <sheetData>
    <row r="1" spans="2:27" ht="34.5" customHeight="1" x14ac:dyDescent="0.2">
      <c r="P1" s="937"/>
      <c r="R1" s="3567" t="s">
        <v>1377</v>
      </c>
      <c r="S1" s="3568"/>
      <c r="T1" s="3568"/>
      <c r="U1" s="3568"/>
      <c r="V1" s="3568"/>
      <c r="W1" s="3568"/>
    </row>
    <row r="2" spans="2:27" x14ac:dyDescent="0.2">
      <c r="S2" s="937"/>
      <c r="T2" s="937"/>
      <c r="U2" s="937"/>
      <c r="V2" s="937"/>
      <c r="W2" s="937"/>
    </row>
    <row r="3" spans="2:27" ht="12.75" customHeight="1" x14ac:dyDescent="0.2">
      <c r="B3" s="3569" t="s">
        <v>1378</v>
      </c>
      <c r="C3" s="3569"/>
      <c r="D3" s="3569"/>
      <c r="E3" s="3569"/>
      <c r="F3" s="3569"/>
      <c r="G3" s="3569"/>
      <c r="H3" s="3569"/>
      <c r="I3" s="3569"/>
      <c r="J3" s="3569"/>
      <c r="K3" s="3569"/>
      <c r="L3" s="3569"/>
      <c r="M3" s="3569"/>
      <c r="N3" s="3569"/>
      <c r="O3" s="3569"/>
      <c r="P3" s="3569"/>
      <c r="Q3" s="3569"/>
      <c r="R3" s="3569"/>
      <c r="S3" s="3569"/>
      <c r="T3" s="3569"/>
      <c r="U3" s="3569"/>
      <c r="V3" s="3569"/>
      <c r="W3" s="3569"/>
    </row>
    <row r="4" spans="2:27" ht="12.75" customHeight="1" x14ac:dyDescent="0.2">
      <c r="B4" s="3569" t="s">
        <v>2011</v>
      </c>
      <c r="C4" s="3569"/>
      <c r="D4" s="3569"/>
      <c r="E4" s="3569"/>
      <c r="F4" s="3569"/>
      <c r="G4" s="3569"/>
      <c r="H4" s="3569"/>
      <c r="I4" s="3569"/>
      <c r="J4" s="3569"/>
      <c r="K4" s="3569"/>
      <c r="L4" s="3569"/>
      <c r="M4" s="3569"/>
      <c r="N4" s="3569"/>
      <c r="O4" s="3569"/>
      <c r="P4" s="3569"/>
      <c r="Q4" s="3569"/>
      <c r="R4" s="3569"/>
      <c r="S4" s="3569"/>
      <c r="T4" s="3569"/>
      <c r="U4" s="3569"/>
      <c r="V4" s="3569"/>
      <c r="W4" s="3569"/>
    </row>
    <row r="5" spans="2:27" x14ac:dyDescent="0.2">
      <c r="B5" s="3570" t="s">
        <v>2010</v>
      </c>
      <c r="C5" s="3570"/>
      <c r="D5" s="3570"/>
      <c r="E5" s="3570"/>
      <c r="F5" s="3570"/>
      <c r="G5" s="3570"/>
      <c r="H5" s="3570"/>
      <c r="I5" s="3570"/>
      <c r="J5" s="3570"/>
      <c r="K5" s="3570"/>
      <c r="L5" s="3570"/>
      <c r="M5" s="3570"/>
      <c r="N5" s="3570"/>
      <c r="O5" s="3570"/>
      <c r="P5" s="3570"/>
      <c r="Q5" s="3570"/>
      <c r="R5" s="3570"/>
      <c r="S5" s="3570"/>
      <c r="T5" s="3570"/>
      <c r="U5" s="3570"/>
      <c r="V5" s="3570"/>
      <c r="W5" s="3570"/>
    </row>
    <row r="6" spans="2:27" x14ac:dyDescent="0.2">
      <c r="E6" s="939">
        <v>2018</v>
      </c>
      <c r="H6" s="939">
        <v>2019</v>
      </c>
      <c r="J6" s="936" t="s">
        <v>1254</v>
      </c>
      <c r="K6" s="939">
        <v>2019</v>
      </c>
      <c r="M6" s="936" t="s">
        <v>1255</v>
      </c>
      <c r="O6" s="936">
        <v>2020</v>
      </c>
      <c r="S6" s="938">
        <v>2021</v>
      </c>
      <c r="T6" s="937"/>
      <c r="U6" s="937"/>
      <c r="V6" s="937">
        <v>2022</v>
      </c>
      <c r="W6" s="937"/>
    </row>
    <row r="7" spans="2:27" ht="32.25" customHeight="1" x14ac:dyDescent="0.2">
      <c r="B7" s="3566" t="s">
        <v>78</v>
      </c>
      <c r="C7" s="3566" t="s">
        <v>218</v>
      </c>
      <c r="D7" s="3566" t="s">
        <v>219</v>
      </c>
      <c r="E7" s="3566" t="s">
        <v>1256</v>
      </c>
      <c r="F7" s="3566"/>
      <c r="G7" s="3566"/>
      <c r="H7" s="3566" t="s">
        <v>1257</v>
      </c>
      <c r="I7" s="3566"/>
      <c r="J7" s="3566"/>
      <c r="K7" s="3566" t="s">
        <v>1258</v>
      </c>
      <c r="L7" s="3566"/>
      <c r="M7" s="3566"/>
      <c r="N7" s="3566" t="s">
        <v>1379</v>
      </c>
      <c r="O7" s="3566"/>
      <c r="P7" s="3566"/>
      <c r="Q7" s="3566"/>
      <c r="R7" s="3566" t="s">
        <v>1380</v>
      </c>
      <c r="S7" s="3566"/>
      <c r="T7" s="3566"/>
      <c r="U7" s="3566" t="s">
        <v>1381</v>
      </c>
      <c r="V7" s="3566"/>
      <c r="W7" s="3566"/>
    </row>
    <row r="8" spans="2:27" ht="66" customHeight="1" x14ac:dyDescent="0.2">
      <c r="B8" s="3566"/>
      <c r="C8" s="3566"/>
      <c r="D8" s="3566"/>
      <c r="E8" s="940" t="s">
        <v>220</v>
      </c>
      <c r="F8" s="940" t="s">
        <v>450</v>
      </c>
      <c r="G8" s="940" t="s">
        <v>451</v>
      </c>
      <c r="H8" s="940" t="s">
        <v>220</v>
      </c>
      <c r="I8" s="940" t="s">
        <v>450</v>
      </c>
      <c r="J8" s="940" t="s">
        <v>451</v>
      </c>
      <c r="K8" s="940" t="s">
        <v>220</v>
      </c>
      <c r="L8" s="940" t="s">
        <v>450</v>
      </c>
      <c r="M8" s="940" t="s">
        <v>451</v>
      </c>
      <c r="N8" s="940" t="s">
        <v>220</v>
      </c>
      <c r="O8" s="940" t="s">
        <v>450</v>
      </c>
      <c r="P8" s="940" t="s">
        <v>451</v>
      </c>
      <c r="Q8" s="940" t="s">
        <v>180</v>
      </c>
      <c r="R8" s="940" t="s">
        <v>220</v>
      </c>
      <c r="S8" s="940" t="s">
        <v>450</v>
      </c>
      <c r="T8" s="940" t="s">
        <v>451</v>
      </c>
      <c r="U8" s="940" t="s">
        <v>220</v>
      </c>
      <c r="V8" s="940" t="s">
        <v>450</v>
      </c>
      <c r="W8" s="940" t="s">
        <v>451</v>
      </c>
    </row>
    <row r="9" spans="2:27" x14ac:dyDescent="0.2">
      <c r="B9" s="1248">
        <v>1</v>
      </c>
      <c r="C9" s="1248">
        <v>2</v>
      </c>
      <c r="D9" s="1248">
        <v>3</v>
      </c>
      <c r="E9" s="1248">
        <v>4</v>
      </c>
      <c r="F9" s="1248">
        <v>5</v>
      </c>
      <c r="G9" s="1248">
        <v>6</v>
      </c>
      <c r="H9" s="1248">
        <v>7</v>
      </c>
      <c r="I9" s="1248">
        <v>8</v>
      </c>
      <c r="J9" s="1248">
        <v>9</v>
      </c>
      <c r="K9" s="1248">
        <v>10</v>
      </c>
      <c r="L9" s="1248">
        <v>11</v>
      </c>
      <c r="M9" s="1248">
        <v>12</v>
      </c>
      <c r="N9" s="1248">
        <v>13</v>
      </c>
      <c r="O9" s="1248">
        <v>14</v>
      </c>
      <c r="P9" s="1248">
        <v>15</v>
      </c>
      <c r="Q9" s="1248">
        <v>16</v>
      </c>
      <c r="R9" s="1248">
        <v>17</v>
      </c>
      <c r="S9" s="1248">
        <v>18</v>
      </c>
      <c r="T9" s="1248">
        <v>19</v>
      </c>
      <c r="U9" s="1248">
        <v>20</v>
      </c>
      <c r="V9" s="1248">
        <v>21</v>
      </c>
      <c r="W9" s="1248">
        <v>22</v>
      </c>
    </row>
    <row r="10" spans="2:27" x14ac:dyDescent="0.2">
      <c r="B10" s="1248">
        <v>1</v>
      </c>
      <c r="C10" s="941" t="s">
        <v>222</v>
      </c>
      <c r="D10" s="1248" t="s">
        <v>223</v>
      </c>
      <c r="E10" s="366">
        <v>1645.24</v>
      </c>
      <c r="F10" s="366">
        <v>21.73</v>
      </c>
      <c r="G10" s="943">
        <f>F10*E10*1.18/1000*12</f>
        <v>506.23500000000001</v>
      </c>
      <c r="H10" s="366">
        <v>1647.1</v>
      </c>
      <c r="I10" s="366">
        <v>21.73</v>
      </c>
      <c r="J10" s="366">
        <f>H10*I10*1.18/1000*12</f>
        <v>506.81</v>
      </c>
      <c r="K10" s="366">
        <v>1647.1</v>
      </c>
      <c r="L10" s="366">
        <v>21.73</v>
      </c>
      <c r="M10" s="366">
        <f>K10*L10*1.18/1000*12</f>
        <v>506.81</v>
      </c>
      <c r="N10" s="366">
        <f>'[18]Выс,С17'!N10+'[18]Выс,Т24'!N10+'[18]Выс,С25'!N10</f>
        <v>2357</v>
      </c>
      <c r="O10" s="365">
        <v>22.49</v>
      </c>
      <c r="P10" s="366">
        <f>'[18]Выс,С17'!P10+'[18]Выс,Т24'!P10+'[18]Выс,С25'!P10</f>
        <v>763.33</v>
      </c>
      <c r="Q10" s="954"/>
      <c r="R10" s="366">
        <f>'[18]Выс,С17'!R10+'[18]Выс,Т24'!R10+'[18]Выс,С25'!R10</f>
        <v>2357</v>
      </c>
      <c r="S10" s="366">
        <v>23.37</v>
      </c>
      <c r="T10" s="366">
        <f>'[18]Выс,С17'!T10+'[18]Выс,Т24'!T10+'[18]Выс,С25'!T10</f>
        <v>793.2</v>
      </c>
      <c r="U10" s="366">
        <f>'[18]Выс,С17'!U10+'[18]Выс,Т24'!U10+'[18]Выс,С25'!U10</f>
        <v>2357</v>
      </c>
      <c r="V10" s="366">
        <v>24.3</v>
      </c>
      <c r="W10" s="366">
        <f>'[18]Выс,С17'!W10+'[18]Выс,Т24'!W10+'[18]Выс,С25'!W10</f>
        <v>824.76</v>
      </c>
    </row>
    <row r="11" spans="2:27" x14ac:dyDescent="0.2">
      <c r="B11" s="1248">
        <v>2</v>
      </c>
      <c r="C11" s="941" t="s">
        <v>224</v>
      </c>
      <c r="D11" s="1248" t="s">
        <v>225</v>
      </c>
      <c r="E11" s="366"/>
      <c r="F11" s="366">
        <v>6.38</v>
      </c>
      <c r="G11" s="943"/>
      <c r="H11" s="366"/>
      <c r="I11" s="366">
        <v>6.38</v>
      </c>
      <c r="J11" s="366"/>
      <c r="K11" s="366"/>
      <c r="L11" s="366">
        <v>6.38</v>
      </c>
      <c r="M11" s="366"/>
      <c r="N11" s="366">
        <f>'[18]Выс,С17'!N11+'[18]Выс,Т24'!N11+'[18]Выс,С25'!N11</f>
        <v>0</v>
      </c>
      <c r="O11" s="365"/>
      <c r="P11" s="366">
        <f>'[18]Выс,С17'!P11+'[18]Выс,Т24'!P11+'[18]Выс,С25'!P11</f>
        <v>0</v>
      </c>
      <c r="Q11" s="366"/>
      <c r="R11" s="366">
        <f>'[18]Выс,С17'!R11+'[18]Выс,Т24'!R11+'[18]Выс,С25'!R11</f>
        <v>0</v>
      </c>
      <c r="S11" s="366"/>
      <c r="T11" s="366">
        <f>'[18]Выс,С17'!T11+'[18]Выс,Т24'!T11+'[18]Выс,С25'!T11</f>
        <v>0</v>
      </c>
      <c r="U11" s="366">
        <f>'[18]Выс,С17'!U11+'[18]Выс,Т24'!U11+'[18]Выс,С25'!U11</f>
        <v>0</v>
      </c>
      <c r="V11" s="366"/>
      <c r="W11" s="366">
        <f>'[18]Выс,С17'!W11+'[18]Выс,Т24'!W11+'[18]Выс,С25'!W11</f>
        <v>0</v>
      </c>
      <c r="AA11" s="2025"/>
    </row>
    <row r="12" spans="2:27" ht="25.5" x14ac:dyDescent="0.2">
      <c r="B12" s="1248">
        <v>3</v>
      </c>
      <c r="C12" s="941" t="s">
        <v>226</v>
      </c>
      <c r="D12" s="1248" t="s">
        <v>227</v>
      </c>
      <c r="E12" s="366">
        <v>20</v>
      </c>
      <c r="F12" s="366">
        <v>2060.7800000000002</v>
      </c>
      <c r="G12" s="943">
        <f>E12*F12*1.18/1000</f>
        <v>48.634</v>
      </c>
      <c r="H12" s="366">
        <v>20</v>
      </c>
      <c r="I12" s="366">
        <v>2060.7800000000002</v>
      </c>
      <c r="J12" s="366">
        <f>H12*I12/1000*1.18</f>
        <v>48.63</v>
      </c>
      <c r="K12" s="366">
        <v>20</v>
      </c>
      <c r="L12" s="366">
        <v>2060.7800000000002</v>
      </c>
      <c r="M12" s="366">
        <f>K12*L12/1000*1.18</f>
        <v>48.63</v>
      </c>
      <c r="N12" s="366">
        <f>'[18]Выс,С17'!N12+'[18]Выс,Т24'!N12+'[18]Выс,С25'!N12</f>
        <v>21</v>
      </c>
      <c r="O12" s="365">
        <v>2132.91</v>
      </c>
      <c r="P12" s="366">
        <f>'[18]Выс,С17'!P12+'[18]Выс,Т24'!P12+'[18]Выс,С25'!P12</f>
        <v>53.75</v>
      </c>
      <c r="Q12" s="366"/>
      <c r="R12" s="366">
        <f>'[18]Выс,С17'!R12+'[18]Выс,Т24'!R12+'[18]Выс,С25'!R12</f>
        <v>21</v>
      </c>
      <c r="S12" s="366">
        <v>2216.09</v>
      </c>
      <c r="T12" s="366">
        <f>'[18]Выс,С17'!T12+'[18]Выс,Т24'!T12+'[18]Выс,С25'!T12</f>
        <v>55.85</v>
      </c>
      <c r="U12" s="366">
        <f>'[18]Выс,С17'!U12+'[18]Выс,Т24'!U12+'[18]Выс,С25'!U12</f>
        <v>21</v>
      </c>
      <c r="V12" s="366">
        <v>2304.73</v>
      </c>
      <c r="W12" s="366">
        <f>'[18]Выс,С17'!W12+'[18]Выс,Т24'!W12+'[18]Выс,С25'!W12</f>
        <v>58.08</v>
      </c>
    </row>
    <row r="13" spans="2:27" ht="25.5" x14ac:dyDescent="0.2">
      <c r="B13" s="1248">
        <v>4</v>
      </c>
      <c r="C13" s="941" t="s">
        <v>228</v>
      </c>
      <c r="D13" s="1248" t="s">
        <v>229</v>
      </c>
      <c r="E13" s="366">
        <v>0.15</v>
      </c>
      <c r="F13" s="366">
        <v>7922.1</v>
      </c>
      <c r="G13" s="943">
        <f>E13*F13*1.18/1000</f>
        <v>1.4019999999999999</v>
      </c>
      <c r="H13" s="366">
        <v>0.15</v>
      </c>
      <c r="I13" s="366">
        <v>7922.1</v>
      </c>
      <c r="J13" s="366">
        <f>H13*I13/1000*1.18</f>
        <v>1.4</v>
      </c>
      <c r="K13" s="366">
        <v>0.15</v>
      </c>
      <c r="L13" s="366">
        <v>7922.1</v>
      </c>
      <c r="M13" s="366">
        <f>K13*L13/1000*1.18</f>
        <v>1.4</v>
      </c>
      <c r="N13" s="366">
        <f>'[18]Выс,С17'!N13+'[18]Выс,Т24'!N13+'[18]Выс,С25'!N13</f>
        <v>0.15</v>
      </c>
      <c r="O13" s="365">
        <v>8199.3700000000008</v>
      </c>
      <c r="P13" s="366">
        <f>'[18]Выс,С17'!P13+'[18]Выс,Т24'!P13+'[18]Выс,С25'!P13</f>
        <v>1.48</v>
      </c>
      <c r="Q13" s="366"/>
      <c r="R13" s="366">
        <f>'[18]Выс,С17'!R13+'[18]Выс,Т24'!R13+'[18]Выс,С25'!R13</f>
        <v>0.15</v>
      </c>
      <c r="S13" s="366">
        <v>8519.15</v>
      </c>
      <c r="T13" s="366">
        <f>'[18]Выс,С17'!T13+'[18]Выс,Т24'!T13+'[18]Выс,С25'!T13</f>
        <v>1.53</v>
      </c>
      <c r="U13" s="366">
        <f>'[18]Выс,С17'!U13+'[18]Выс,Т24'!U13+'[18]Выс,С25'!U13</f>
        <v>0.15</v>
      </c>
      <c r="V13" s="366">
        <v>8859.92</v>
      </c>
      <c r="W13" s="366">
        <f>'[18]Выс,С17'!W13+'[18]Выс,Т24'!W13+'[18]Выс,С25'!W13</f>
        <v>1.59</v>
      </c>
    </row>
    <row r="14" spans="2:27" x14ac:dyDescent="0.2">
      <c r="B14" s="1248">
        <v>5</v>
      </c>
      <c r="C14" s="941" t="s">
        <v>230</v>
      </c>
      <c r="D14" s="1248" t="s">
        <v>231</v>
      </c>
      <c r="E14" s="366"/>
      <c r="F14" s="366">
        <v>7963.77</v>
      </c>
      <c r="G14" s="943">
        <f>E14*F14*1.18/1000</f>
        <v>0</v>
      </c>
      <c r="H14" s="366">
        <v>1</v>
      </c>
      <c r="I14" s="366">
        <v>7963.77</v>
      </c>
      <c r="J14" s="366">
        <f>H14*I14/1000*1.18</f>
        <v>9.4</v>
      </c>
      <c r="K14" s="366">
        <v>1</v>
      </c>
      <c r="L14" s="366">
        <v>1900</v>
      </c>
      <c r="M14" s="366">
        <f>K14*L14/1000*1.2*6</f>
        <v>13.68</v>
      </c>
      <c r="N14" s="366">
        <f>'[18]Выс,С17'!N14+'[18]Выс,Т24'!N14+'[18]Выс,С25'!N14</f>
        <v>5</v>
      </c>
      <c r="O14" s="365">
        <v>686.87</v>
      </c>
      <c r="P14" s="366">
        <f>'[18]Выс,С17'!P14+'[18]Выс,Т24'!P14+'[18]Выс,С25'!P14</f>
        <v>49.45</v>
      </c>
      <c r="Q14" s="2026"/>
      <c r="R14" s="366">
        <f>'[18]Выс,С17'!R14+'[18]Выс,Т24'!R14+'[18]Выс,С25'!R14</f>
        <v>5</v>
      </c>
      <c r="S14" s="366">
        <v>713.66</v>
      </c>
      <c r="T14" s="366">
        <f>'[18]Выс,С17'!T14+'[18]Выс,Т24'!T14+'[18]Выс,С25'!T14</f>
        <v>51.38</v>
      </c>
      <c r="U14" s="366">
        <f>'[18]Выс,С17'!U14+'[18]Выс,Т24'!U14+'[18]Выс,С25'!U14</f>
        <v>5</v>
      </c>
      <c r="V14" s="366">
        <v>742.21</v>
      </c>
      <c r="W14" s="366">
        <f>'[18]Выс,С17'!W14+'[18]Выс,Т24'!W14+'[18]Выс,С25'!W14</f>
        <v>53.44</v>
      </c>
    </row>
    <row r="15" spans="2:27" x14ac:dyDescent="0.2">
      <c r="B15" s="1248">
        <v>6</v>
      </c>
      <c r="C15" s="941" t="s">
        <v>232</v>
      </c>
      <c r="D15" s="1248" t="s">
        <v>231</v>
      </c>
      <c r="E15" s="366"/>
      <c r="F15" s="366">
        <v>4883.6400000000003</v>
      </c>
      <c r="G15" s="943">
        <f>E15*F15*1.18/1000</f>
        <v>0</v>
      </c>
      <c r="H15" s="366">
        <v>3</v>
      </c>
      <c r="I15" s="366">
        <v>4883.6400000000003</v>
      </c>
      <c r="J15" s="366">
        <f>H15*I15/1000*1.18</f>
        <v>17.29</v>
      </c>
      <c r="K15" s="366">
        <v>3</v>
      </c>
      <c r="L15" s="366">
        <v>1626.55</v>
      </c>
      <c r="M15" s="366">
        <f>K15*L15/1000*1.2*6</f>
        <v>35.130000000000003</v>
      </c>
      <c r="N15" s="366">
        <f>'[18]Выс,С17'!N15+'[18]Выс,Т24'!N15+'[18]Выс,С25'!N15</f>
        <v>10</v>
      </c>
      <c r="O15" s="365">
        <v>421.21</v>
      </c>
      <c r="P15" s="366">
        <f>'[18]Выс,С17'!P15+'[18]Выс,Т24'!P15+'[18]Выс,С25'!P15</f>
        <v>60.65</v>
      </c>
      <c r="Q15" s="366"/>
      <c r="R15" s="366">
        <f>'[18]Выс,С17'!R15+'[18]Выс,Т24'!R15+'[18]Выс,С25'!R15</f>
        <v>10</v>
      </c>
      <c r="S15" s="366">
        <v>437.64</v>
      </c>
      <c r="T15" s="366">
        <f>'[18]Выс,С17'!T15+'[18]Выс,Т24'!T15+'[18]Выс,С25'!T15</f>
        <v>63.02</v>
      </c>
      <c r="U15" s="366">
        <f>'[18]Выс,С17'!U15+'[18]Выс,Т24'!U15+'[18]Выс,С25'!U15</f>
        <v>10</v>
      </c>
      <c r="V15" s="366">
        <v>455.15</v>
      </c>
      <c r="W15" s="366">
        <f>'[18]Выс,С17'!W15+'[18]Выс,Т24'!W15+'[18]Выс,С25'!W15</f>
        <v>65.540000000000006</v>
      </c>
    </row>
    <row r="16" spans="2:27" ht="25.5" x14ac:dyDescent="0.2">
      <c r="B16" s="1248">
        <v>7</v>
      </c>
      <c r="C16" s="941" t="s">
        <v>233</v>
      </c>
      <c r="D16" s="1248" t="s">
        <v>231</v>
      </c>
      <c r="E16" s="366"/>
      <c r="F16" s="366">
        <v>14423.1</v>
      </c>
      <c r="G16" s="943">
        <f>E16*F16*1.18/1000</f>
        <v>0</v>
      </c>
      <c r="H16" s="366">
        <v>1</v>
      </c>
      <c r="I16" s="366">
        <v>14423.1</v>
      </c>
      <c r="J16" s="366">
        <f>H16*I16/1000*1.18</f>
        <v>17.02</v>
      </c>
      <c r="K16" s="366"/>
      <c r="L16" s="366"/>
      <c r="M16" s="366">
        <f>K16*L16/1000*1.18</f>
        <v>0</v>
      </c>
      <c r="N16" s="366">
        <f>'[18]Выс,С17'!N16+'[18]Выс,Т24'!N16+'[18]Выс,С25'!N16</f>
        <v>2</v>
      </c>
      <c r="O16" s="365">
        <v>1243.99</v>
      </c>
      <c r="P16" s="366">
        <f>'[18]Выс,С17'!P16+'[18]Выс,Т24'!P16+'[18]Выс,С25'!P16</f>
        <v>35.83</v>
      </c>
      <c r="Q16" s="366"/>
      <c r="R16" s="366">
        <f>'[18]Выс,С17'!R16+'[18]Выс,Т24'!R16+'[18]Выс,С25'!R16</f>
        <v>2</v>
      </c>
      <c r="S16" s="366">
        <v>1292.51</v>
      </c>
      <c r="T16" s="366">
        <f>'[18]Выс,С17'!T16+'[18]Выс,Т24'!T16+'[18]Выс,С25'!T16</f>
        <v>37.22</v>
      </c>
      <c r="U16" s="366">
        <f>'[18]Выс,С17'!U16+'[18]Выс,Т24'!U16+'[18]Выс,С25'!U16</f>
        <v>2</v>
      </c>
      <c r="V16" s="366">
        <v>1344.21</v>
      </c>
      <c r="W16" s="366">
        <f>'[18]Выс,С17'!W16+'[18]Выс,Т24'!W16+'[18]Выс,С25'!W16</f>
        <v>38.71</v>
      </c>
    </row>
    <row r="17" spans="2:23" ht="25.5" x14ac:dyDescent="0.2">
      <c r="B17" s="1248">
        <v>8</v>
      </c>
      <c r="C17" s="941" t="s">
        <v>234</v>
      </c>
      <c r="D17" s="1248" t="s">
        <v>235</v>
      </c>
      <c r="E17" s="366">
        <v>1645.24</v>
      </c>
      <c r="F17" s="366">
        <v>2.62</v>
      </c>
      <c r="G17" s="943">
        <f>F17*E17*1.18/1000*12</f>
        <v>61.036999999999999</v>
      </c>
      <c r="H17" s="366">
        <v>1647.1</v>
      </c>
      <c r="I17" s="366">
        <v>2.62</v>
      </c>
      <c r="J17" s="366">
        <f>H17*I17/1000*1.18*12</f>
        <v>61.11</v>
      </c>
      <c r="K17" s="366">
        <v>1647.1</v>
      </c>
      <c r="L17" s="366">
        <v>2.62</v>
      </c>
      <c r="M17" s="366">
        <f>K17*L17/1000*1.18*12</f>
        <v>61.11</v>
      </c>
      <c r="N17" s="366">
        <f>'[18]Выс,С17'!N17+'[18]Выс,Т24'!N17+'[18]Выс,С25'!N17</f>
        <v>2357</v>
      </c>
      <c r="O17" s="365">
        <v>2.71</v>
      </c>
      <c r="P17" s="366">
        <f>'[18]Выс,С17'!P17+'[18]Выс,Т24'!P17+'[18]Выс,С25'!P17</f>
        <v>91.98</v>
      </c>
      <c r="Q17" s="366"/>
      <c r="R17" s="366">
        <f>'[18]Выс,С17'!R17+'[18]Выс,Т24'!R17+'[18]Выс,С25'!R17</f>
        <v>2357</v>
      </c>
      <c r="S17" s="366">
        <v>2.82</v>
      </c>
      <c r="T17" s="366">
        <f>'[18]Выс,С17'!T17+'[18]Выс,Т24'!T17+'[18]Выс,С25'!T17</f>
        <v>95.71</v>
      </c>
      <c r="U17" s="366">
        <f>'[18]Выс,С17'!U17+'[18]Выс,Т24'!U17+'[18]Выс,С25'!U17</f>
        <v>2357</v>
      </c>
      <c r="V17" s="366">
        <v>2.93</v>
      </c>
      <c r="W17" s="366">
        <f>'[18]Выс,С17'!W17+'[18]Выс,Т24'!W17+'[18]Выс,С25'!W17</f>
        <v>99.45</v>
      </c>
    </row>
    <row r="18" spans="2:23" x14ac:dyDescent="0.2">
      <c r="B18" s="1248">
        <v>9</v>
      </c>
      <c r="C18" s="941" t="s">
        <v>236</v>
      </c>
      <c r="D18" s="1248" t="s">
        <v>227</v>
      </c>
      <c r="E18" s="366">
        <v>4</v>
      </c>
      <c r="F18" s="366">
        <v>4036.11</v>
      </c>
      <c r="G18" s="943">
        <v>214.31700000000001</v>
      </c>
      <c r="H18" s="366">
        <v>4</v>
      </c>
      <c r="I18" s="366">
        <v>4036.11</v>
      </c>
      <c r="J18" s="366">
        <f>H18*I18*1.18/1000*12</f>
        <v>228.61</v>
      </c>
      <c r="K18" s="366">
        <v>4</v>
      </c>
      <c r="L18" s="366">
        <v>4036.11</v>
      </c>
      <c r="M18" s="366">
        <f>K18*L18*1.18/1000*12</f>
        <v>228.61</v>
      </c>
      <c r="N18" s="366">
        <f>'[18]Выс,С17'!N18+'[18]Выс,Т24'!N18+'[18]Выс,С25'!N18</f>
        <v>4</v>
      </c>
      <c r="O18" s="365">
        <v>4177.37</v>
      </c>
      <c r="P18" s="366">
        <f>'[18]Выс,С17'!P18+'[18]Выс,Т24'!P18+'[18]Выс,С25'!P18</f>
        <v>240.62</v>
      </c>
      <c r="Q18" s="366"/>
      <c r="R18" s="366">
        <f>'[18]Выс,С17'!R18+'[18]Выс,Т24'!R18+'[18]Выс,С25'!R18</f>
        <v>4</v>
      </c>
      <c r="S18" s="366">
        <v>4340.29</v>
      </c>
      <c r="T18" s="366">
        <f>'[18]Выс,С17'!T18+'[18]Выс,Т24'!T18+'[18]Выс,С25'!T18</f>
        <v>250</v>
      </c>
      <c r="U18" s="366">
        <f>'[18]Выс,С17'!U18+'[18]Выс,Т24'!U18+'[18]Выс,С25'!U18</f>
        <v>4</v>
      </c>
      <c r="V18" s="366">
        <v>4513.8999999999996</v>
      </c>
      <c r="W18" s="366">
        <f>'[18]Выс,С17'!W18+'[18]Выс,Т24'!W18+'[18]Выс,С25'!W18</f>
        <v>260</v>
      </c>
    </row>
    <row r="19" spans="2:23" x14ac:dyDescent="0.2">
      <c r="B19" s="1248"/>
      <c r="C19" s="941" t="s">
        <v>452</v>
      </c>
      <c r="D19" s="1248"/>
      <c r="E19" s="366"/>
      <c r="F19" s="366"/>
      <c r="G19" s="943"/>
      <c r="H19" s="366"/>
      <c r="I19" s="366"/>
      <c r="J19" s="366"/>
      <c r="K19" s="366"/>
      <c r="L19" s="366"/>
      <c r="M19" s="366"/>
      <c r="N19" s="366">
        <f>'[18]Выс,С17'!N19+'[18]Выс,Т24'!N19+'[18]Выс,С25'!N19</f>
        <v>3</v>
      </c>
      <c r="O19" s="365">
        <v>1660.61</v>
      </c>
      <c r="P19" s="366">
        <f>'[18]Выс,С17'!P19+'[18]Выс,Т24'!P19+'[18]Выс,С25'!P19</f>
        <v>71.739999999999995</v>
      </c>
      <c r="Q19" s="366"/>
      <c r="R19" s="366">
        <f>'[18]Выс,С17'!R19+'[18]Выс,Т24'!R19+'[18]Выс,С25'!R19</f>
        <v>3</v>
      </c>
      <c r="S19" s="365">
        <v>1725.37</v>
      </c>
      <c r="T19" s="366">
        <f>'[18]Выс,С17'!T19+'[18]Выс,Т24'!T19+'[18]Выс,С25'!T19</f>
        <v>74.540000000000006</v>
      </c>
      <c r="U19" s="366">
        <f>'[18]Выс,С17'!U19+'[18]Выс,Т24'!U19+'[18]Выс,С25'!U19</f>
        <v>3</v>
      </c>
      <c r="V19" s="365">
        <v>1794.38</v>
      </c>
      <c r="W19" s="366">
        <f>'[18]Выс,С17'!W19+'[18]Выс,Т24'!W19+'[18]Выс,С25'!W19</f>
        <v>77.52</v>
      </c>
    </row>
    <row r="20" spans="2:23" x14ac:dyDescent="0.2">
      <c r="B20" s="367">
        <v>10</v>
      </c>
      <c r="C20" s="368" t="s">
        <v>257</v>
      </c>
      <c r="D20" s="794"/>
      <c r="E20" s="366"/>
      <c r="F20" s="366"/>
      <c r="G20" s="366"/>
      <c r="H20" s="366"/>
      <c r="I20" s="366"/>
      <c r="J20" s="366"/>
      <c r="K20" s="366"/>
      <c r="L20" s="366"/>
      <c r="M20" s="366"/>
      <c r="N20" s="366">
        <f>'[18]Выс,С17'!N20+'[18]Выс,Т24'!N20+'[18]Выс,С25'!N20</f>
        <v>0</v>
      </c>
      <c r="O20" s="365"/>
      <c r="P20" s="366">
        <f>'[18]Выс,С17'!P20+'[18]Выс,Т24'!P20+'[18]Выс,С25'!P20</f>
        <v>0</v>
      </c>
      <c r="Q20" s="366"/>
      <c r="R20" s="366">
        <f>'[18]Выс,С17'!R20+'[18]Выс,Т24'!R20+'[18]Выс,С25'!R20</f>
        <v>0</v>
      </c>
      <c r="S20" s="366"/>
      <c r="T20" s="366">
        <f>'[18]Выс,С17'!T20+'[18]Выс,Т24'!T20+'[18]Выс,С25'!T20</f>
        <v>0</v>
      </c>
      <c r="U20" s="366">
        <f>'[18]Выс,С17'!U20+'[18]Выс,Т24'!U20+'[18]Выс,С25'!U20</f>
        <v>0</v>
      </c>
      <c r="V20" s="366"/>
      <c r="W20" s="366">
        <f>'[18]Выс,С17'!W20+'[18]Выс,Т24'!W20+'[18]Выс,С25'!W20</f>
        <v>0</v>
      </c>
    </row>
    <row r="21" spans="2:23" x14ac:dyDescent="0.2">
      <c r="B21" s="369" t="s">
        <v>258</v>
      </c>
      <c r="C21" s="368" t="s">
        <v>259</v>
      </c>
      <c r="D21" s="794" t="s">
        <v>227</v>
      </c>
      <c r="E21" s="366">
        <v>6</v>
      </c>
      <c r="F21" s="366">
        <v>196.79</v>
      </c>
      <c r="G21" s="943">
        <v>14.164</v>
      </c>
      <c r="H21" s="366">
        <v>6</v>
      </c>
      <c r="I21" s="366">
        <v>196.79</v>
      </c>
      <c r="J21" s="366">
        <f>H21*I21*1.18/1000*12</f>
        <v>16.72</v>
      </c>
      <c r="K21" s="366">
        <v>6</v>
      </c>
      <c r="L21" s="366">
        <v>196.79</v>
      </c>
      <c r="M21" s="366">
        <f t="shared" ref="M21:M36" si="0">L21*K21*1.18/1000*12</f>
        <v>16.72</v>
      </c>
      <c r="N21" s="366">
        <f>'[18]Выс,С17'!N21+'[18]Выс,Т24'!N21+'[18]Выс,С25'!N21</f>
        <v>6</v>
      </c>
      <c r="O21" s="365">
        <v>203.68</v>
      </c>
      <c r="P21" s="366">
        <f>'[18]Выс,С17'!P21+'[18]Выс,Т24'!P21+'[18]Выс,С25'!P21</f>
        <v>17.600000000000001</v>
      </c>
      <c r="Q21" s="366"/>
      <c r="R21" s="366">
        <f>'[18]Выс,С17'!R21+'[18]Выс,Т24'!R21+'[18]Выс,С25'!R21</f>
        <v>6</v>
      </c>
      <c r="S21" s="366">
        <v>211.62</v>
      </c>
      <c r="T21" s="366">
        <f>'[18]Выс,С17'!T21+'[18]Выс,Т24'!T21+'[18]Выс,С25'!T21</f>
        <v>18.28</v>
      </c>
      <c r="U21" s="366">
        <f>'[18]Выс,С17'!U21+'[18]Выс,Т24'!U21+'[18]Выс,С25'!U21</f>
        <v>6</v>
      </c>
      <c r="V21" s="366">
        <v>220.08</v>
      </c>
      <c r="W21" s="366">
        <f>'[18]Выс,С17'!W21+'[18]Выс,Т24'!W21+'[18]Выс,С25'!W21</f>
        <v>19.010000000000002</v>
      </c>
    </row>
    <row r="22" spans="2:23" x14ac:dyDescent="0.2">
      <c r="B22" s="369" t="s">
        <v>260</v>
      </c>
      <c r="C22" s="368" t="s">
        <v>261</v>
      </c>
      <c r="D22" s="794" t="s">
        <v>227</v>
      </c>
      <c r="E22" s="366">
        <v>1</v>
      </c>
      <c r="F22" s="366">
        <v>213.07</v>
      </c>
      <c r="G22" s="943">
        <f t="shared" ref="G22:G36" si="1">F22*E22*1.18/1000*12</f>
        <v>3.0169999999999999</v>
      </c>
      <c r="H22" s="366">
        <v>1</v>
      </c>
      <c r="I22" s="366">
        <v>213.07</v>
      </c>
      <c r="J22" s="366">
        <f>H22*I22*1.18/1000*12</f>
        <v>3.02</v>
      </c>
      <c r="K22" s="366">
        <v>1</v>
      </c>
      <c r="L22" s="366">
        <v>213.07</v>
      </c>
      <c r="M22" s="366">
        <f t="shared" si="0"/>
        <v>3.02</v>
      </c>
      <c r="N22" s="366">
        <f>'[18]Выс,С17'!N22+'[18]Выс,Т24'!N22+'[18]Выс,С25'!N22</f>
        <v>1</v>
      </c>
      <c r="O22" s="365">
        <v>220.53</v>
      </c>
      <c r="P22" s="366">
        <f>'[18]Выс,С17'!P22+'[18]Выс,Т24'!P22+'[18]Выс,С25'!P22</f>
        <v>3.18</v>
      </c>
      <c r="Q22" s="366"/>
      <c r="R22" s="366">
        <f>'[18]Выс,С17'!R22+'[18]Выс,Т24'!R22+'[18]Выс,С25'!R22</f>
        <v>1</v>
      </c>
      <c r="S22" s="366">
        <v>229.13</v>
      </c>
      <c r="T22" s="366">
        <f>'[18]Выс,С17'!T22+'[18]Выс,Т24'!T22+'[18]Выс,С25'!T22</f>
        <v>3.3</v>
      </c>
      <c r="U22" s="366">
        <f>'[18]Выс,С17'!U22+'[18]Выс,Т24'!U22+'[18]Выс,С25'!U22</f>
        <v>1</v>
      </c>
      <c r="V22" s="366">
        <v>238.3</v>
      </c>
      <c r="W22" s="366">
        <f>'[18]Выс,С17'!W22+'[18]Выс,Т24'!W22+'[18]Выс,С25'!W22</f>
        <v>3.43</v>
      </c>
    </row>
    <row r="23" spans="2:23" x14ac:dyDescent="0.2">
      <c r="B23" s="367" t="s">
        <v>262</v>
      </c>
      <c r="C23" s="368" t="s">
        <v>263</v>
      </c>
      <c r="D23" s="794" t="s">
        <v>227</v>
      </c>
      <c r="E23" s="366">
        <v>1</v>
      </c>
      <c r="F23" s="366">
        <v>222.95</v>
      </c>
      <c r="G23" s="943">
        <v>1.8420000000000001</v>
      </c>
      <c r="H23" s="366">
        <v>1</v>
      </c>
      <c r="I23" s="366">
        <v>222.95</v>
      </c>
      <c r="J23" s="366">
        <f>H23*I23*1.18/1000*12</f>
        <v>3.16</v>
      </c>
      <c r="K23" s="366">
        <v>1</v>
      </c>
      <c r="L23" s="366">
        <v>222.95</v>
      </c>
      <c r="M23" s="366">
        <f t="shared" si="0"/>
        <v>3.16</v>
      </c>
      <c r="N23" s="366">
        <f>'[18]Выс,С17'!N23+'[18]Выс,Т24'!N23+'[18]Выс,С25'!N23</f>
        <v>1</v>
      </c>
      <c r="O23" s="365">
        <v>230.75</v>
      </c>
      <c r="P23" s="366">
        <f>'[18]Выс,С17'!P23+'[18]Выс,Т24'!P23+'[18]Выс,С25'!P23</f>
        <v>3.32</v>
      </c>
      <c r="Q23" s="366"/>
      <c r="R23" s="366">
        <f>'[18]Выс,С17'!R23+'[18]Выс,Т24'!R23+'[18]Выс,С25'!R23</f>
        <v>1</v>
      </c>
      <c r="S23" s="366">
        <v>239.75</v>
      </c>
      <c r="T23" s="366">
        <f>'[18]Выс,С17'!T23+'[18]Выс,Т24'!T23+'[18]Выс,С25'!T23</f>
        <v>3.45</v>
      </c>
      <c r="U23" s="366">
        <f>'[18]Выс,С17'!U23+'[18]Выс,Т24'!U23+'[18]Выс,С25'!U23</f>
        <v>1</v>
      </c>
      <c r="V23" s="366">
        <v>249.34</v>
      </c>
      <c r="W23" s="366">
        <f>'[18]Выс,С17'!W23+'[18]Выс,Т24'!W23+'[18]Выс,С25'!W23</f>
        <v>3.59</v>
      </c>
    </row>
    <row r="24" spans="2:23" x14ac:dyDescent="0.2">
      <c r="B24" s="367" t="s">
        <v>264</v>
      </c>
      <c r="C24" s="368" t="s">
        <v>265</v>
      </c>
      <c r="D24" s="794" t="s">
        <v>227</v>
      </c>
      <c r="E24" s="366"/>
      <c r="F24" s="366">
        <v>239.36</v>
      </c>
      <c r="G24" s="943">
        <f t="shared" si="1"/>
        <v>0</v>
      </c>
      <c r="H24" s="366"/>
      <c r="I24" s="366">
        <v>239.36</v>
      </c>
      <c r="J24" s="366">
        <f>H24*I24*1.18/1000*12</f>
        <v>0</v>
      </c>
      <c r="K24" s="366"/>
      <c r="L24" s="366">
        <v>239.36</v>
      </c>
      <c r="M24" s="366">
        <f t="shared" si="0"/>
        <v>0</v>
      </c>
      <c r="N24" s="366">
        <f>'[18]Выс,С17'!N24+'[18]Выс,Т24'!N24+'[18]Выс,С25'!N24</f>
        <v>0</v>
      </c>
      <c r="O24" s="365">
        <v>247.74</v>
      </c>
      <c r="P24" s="366">
        <f>'[18]Выс,С17'!P24+'[18]Выс,Т24'!P24+'[18]Выс,С25'!P24</f>
        <v>0</v>
      </c>
      <c r="Q24" s="366"/>
      <c r="R24" s="366">
        <f>'[18]Выс,С17'!R24+'[18]Выс,Т24'!R24+'[18]Выс,С25'!R24</f>
        <v>0</v>
      </c>
      <c r="S24" s="366">
        <v>257.39999999999998</v>
      </c>
      <c r="T24" s="366">
        <f>'[18]Выс,С17'!T24+'[18]Выс,Т24'!T24+'[18]Выс,С25'!T24</f>
        <v>0</v>
      </c>
      <c r="U24" s="366">
        <f>'[18]Выс,С17'!U24+'[18]Выс,Т24'!U24+'[18]Выс,С25'!U24</f>
        <v>0</v>
      </c>
      <c r="V24" s="366">
        <v>267.7</v>
      </c>
      <c r="W24" s="366">
        <f>'[18]Выс,С17'!W24+'[18]Выс,Т24'!W24+'[18]Выс,С25'!W24</f>
        <v>0</v>
      </c>
    </row>
    <row r="25" spans="2:23" x14ac:dyDescent="0.2">
      <c r="B25" s="367" t="s">
        <v>266</v>
      </c>
      <c r="C25" s="368" t="s">
        <v>267</v>
      </c>
      <c r="D25" s="794" t="s">
        <v>227</v>
      </c>
      <c r="E25" s="366"/>
      <c r="F25" s="366">
        <v>244.98</v>
      </c>
      <c r="G25" s="943">
        <f t="shared" si="1"/>
        <v>0</v>
      </c>
      <c r="H25" s="366"/>
      <c r="I25" s="366">
        <v>244.98</v>
      </c>
      <c r="J25" s="366">
        <f>H25*I25*1.18/1000*12</f>
        <v>0</v>
      </c>
      <c r="K25" s="366"/>
      <c r="L25" s="366">
        <v>244.98</v>
      </c>
      <c r="M25" s="366">
        <f t="shared" si="0"/>
        <v>0</v>
      </c>
      <c r="N25" s="366">
        <f>'[18]Выс,С17'!N25+'[18]Выс,Т24'!N25+'[18]Выс,С25'!N25</f>
        <v>0</v>
      </c>
      <c r="O25" s="365">
        <v>253.55</v>
      </c>
      <c r="P25" s="366">
        <f>'[18]Выс,С17'!P25+'[18]Выс,Т24'!P25+'[18]Выс,С25'!P25</f>
        <v>0</v>
      </c>
      <c r="Q25" s="366"/>
      <c r="R25" s="366">
        <f>'[18]Выс,С17'!R25+'[18]Выс,Т24'!R25+'[18]Выс,С25'!R25</f>
        <v>0</v>
      </c>
      <c r="S25" s="366">
        <v>263.44</v>
      </c>
      <c r="T25" s="366">
        <f>'[18]Выс,С17'!T25+'[18]Выс,Т24'!T25+'[18]Выс,С25'!T25</f>
        <v>0</v>
      </c>
      <c r="U25" s="366">
        <f>'[18]Выс,С17'!U25+'[18]Выс,Т24'!U25+'[18]Выс,С25'!U25</f>
        <v>0</v>
      </c>
      <c r="V25" s="366">
        <v>273.98</v>
      </c>
      <c r="W25" s="366">
        <f>'[18]Выс,С17'!W25+'[18]Выс,Т24'!W25+'[18]Выс,С25'!W25</f>
        <v>0</v>
      </c>
    </row>
    <row r="26" spans="2:23" x14ac:dyDescent="0.2">
      <c r="B26" s="367">
        <v>11</v>
      </c>
      <c r="C26" s="368" t="s">
        <v>268</v>
      </c>
      <c r="D26" s="794"/>
      <c r="E26" s="366"/>
      <c r="F26" s="366"/>
      <c r="G26" s="943"/>
      <c r="H26" s="366"/>
      <c r="I26" s="366"/>
      <c r="J26" s="366"/>
      <c r="K26" s="366"/>
      <c r="L26" s="366"/>
      <c r="M26" s="366"/>
      <c r="N26" s="366">
        <f>'[18]Выс,С17'!N26+'[18]Выс,Т24'!N26+'[18]Выс,С25'!N26</f>
        <v>0</v>
      </c>
      <c r="O26" s="365"/>
      <c r="P26" s="366">
        <f>'[18]Выс,С17'!P26+'[18]Выс,Т24'!P26+'[18]Выс,С25'!P26</f>
        <v>0</v>
      </c>
      <c r="Q26" s="366"/>
      <c r="R26" s="366">
        <f>'[18]Выс,С17'!R26+'[18]Выс,Т24'!R26+'[18]Выс,С25'!R26</f>
        <v>0</v>
      </c>
      <c r="S26" s="366"/>
      <c r="T26" s="366">
        <f>'[18]Выс,С17'!T26+'[18]Выс,Т24'!T26+'[18]Выс,С25'!T26</f>
        <v>0</v>
      </c>
      <c r="U26" s="366">
        <f>'[18]Выс,С17'!U26+'[18]Выс,Т24'!U26+'[18]Выс,С25'!U26</f>
        <v>0</v>
      </c>
      <c r="V26" s="366"/>
      <c r="W26" s="366">
        <f>'[18]Выс,С17'!W26+'[18]Выс,Т24'!W26+'[18]Выс,С25'!W26</f>
        <v>0</v>
      </c>
    </row>
    <row r="27" spans="2:23" x14ac:dyDescent="0.2">
      <c r="B27" s="367" t="s">
        <v>269</v>
      </c>
      <c r="C27" s="368" t="s">
        <v>259</v>
      </c>
      <c r="D27" s="794" t="s">
        <v>227</v>
      </c>
      <c r="E27" s="366">
        <v>3</v>
      </c>
      <c r="F27" s="366">
        <v>1111.3499999999999</v>
      </c>
      <c r="G27" s="943">
        <v>43.276000000000003</v>
      </c>
      <c r="H27" s="366">
        <v>3</v>
      </c>
      <c r="I27" s="366">
        <v>1111.3499999999999</v>
      </c>
      <c r="J27" s="366">
        <f>H27*I27*1.18/1000*12</f>
        <v>47.21</v>
      </c>
      <c r="K27" s="366">
        <v>3</v>
      </c>
      <c r="L27" s="366">
        <v>1111.3499999999999</v>
      </c>
      <c r="M27" s="366">
        <f t="shared" si="0"/>
        <v>47.21</v>
      </c>
      <c r="N27" s="366">
        <f>'[18]Выс,С17'!N27+'[18]Выс,Т24'!N27+'[18]Выс,С25'!N27</f>
        <v>3</v>
      </c>
      <c r="O27" s="365">
        <v>1150.25</v>
      </c>
      <c r="P27" s="366">
        <f>'[18]Выс,С17'!P27+'[18]Выс,Т24'!P27+'[18]Выс,С25'!P27</f>
        <v>49.7</v>
      </c>
      <c r="Q27" s="366"/>
      <c r="R27" s="366">
        <f>'[18]Выс,С17'!R27+'[18]Выс,Т24'!R27+'[18]Выс,С25'!R27</f>
        <v>3</v>
      </c>
      <c r="S27" s="366">
        <v>1195.1099999999999</v>
      </c>
      <c r="T27" s="366">
        <f>'[18]Выс,С17'!T27+'[18]Выс,Т24'!T27+'[18]Выс,С25'!T27</f>
        <v>51.68</v>
      </c>
      <c r="U27" s="366">
        <f>'[18]Выс,С17'!U27+'[18]Выс,Т24'!U27+'[18]Выс,С25'!U27</f>
        <v>3</v>
      </c>
      <c r="V27" s="366">
        <v>1242.9100000000001</v>
      </c>
      <c r="W27" s="366">
        <f>'[18]Выс,С17'!W27+'[18]Выс,Т24'!W27+'[18]Выс,С25'!W27</f>
        <v>53.75</v>
      </c>
    </row>
    <row r="28" spans="2:23" x14ac:dyDescent="0.2">
      <c r="B28" s="367" t="s">
        <v>270</v>
      </c>
      <c r="C28" s="368" t="s">
        <v>261</v>
      </c>
      <c r="D28" s="794" t="s">
        <v>227</v>
      </c>
      <c r="E28" s="366">
        <v>1</v>
      </c>
      <c r="F28" s="366">
        <v>1112.76</v>
      </c>
      <c r="G28" s="943">
        <f t="shared" si="1"/>
        <v>15.757</v>
      </c>
      <c r="H28" s="366">
        <v>1</v>
      </c>
      <c r="I28" s="366">
        <v>1112.76</v>
      </c>
      <c r="J28" s="366">
        <f>H28*I28*1.18/1000*12</f>
        <v>15.76</v>
      </c>
      <c r="K28" s="366">
        <v>1</v>
      </c>
      <c r="L28" s="366">
        <v>1112.76</v>
      </c>
      <c r="M28" s="366">
        <f t="shared" si="0"/>
        <v>15.76</v>
      </c>
      <c r="N28" s="366">
        <f>'[18]Выс,С17'!N28+'[18]Выс,Т24'!N28+'[18]Выс,С25'!N28</f>
        <v>1</v>
      </c>
      <c r="O28" s="365">
        <v>1151.71</v>
      </c>
      <c r="P28" s="366">
        <f>'[18]Выс,С17'!P28+'[18]Выс,Т24'!P28+'[18]Выс,С25'!P28-0.01</f>
        <v>16.57</v>
      </c>
      <c r="Q28" s="366"/>
      <c r="R28" s="366">
        <f>'[18]Выс,С17'!R28+'[18]Выс,Т24'!R28+'[18]Выс,С25'!R28</f>
        <v>1</v>
      </c>
      <c r="S28" s="366">
        <v>1196.6300000000001</v>
      </c>
      <c r="T28" s="366">
        <f>'[18]Выс,С17'!T28+'[18]Выс,Т24'!T28+'[18]Выс,С25'!T28+0.01</f>
        <v>17.239999999999998</v>
      </c>
      <c r="U28" s="366">
        <f>'[18]Выс,С17'!U28+'[18]Выс,Т24'!U28+'[18]Выс,С25'!U28</f>
        <v>1</v>
      </c>
      <c r="V28" s="366">
        <v>1244.5</v>
      </c>
      <c r="W28" s="366">
        <f>'[18]Выс,С17'!W28+'[18]Выс,Т24'!W28+'[18]Выс,С25'!W28+0.01</f>
        <v>17.93</v>
      </c>
    </row>
    <row r="29" spans="2:23" x14ac:dyDescent="0.2">
      <c r="B29" s="367" t="s">
        <v>271</v>
      </c>
      <c r="C29" s="368" t="s">
        <v>263</v>
      </c>
      <c r="D29" s="794" t="s">
        <v>227</v>
      </c>
      <c r="E29" s="366"/>
      <c r="F29" s="366">
        <v>1113.8399999999999</v>
      </c>
      <c r="G29" s="366">
        <f t="shared" si="1"/>
        <v>0</v>
      </c>
      <c r="H29" s="366"/>
      <c r="I29" s="366">
        <v>1113.8399999999999</v>
      </c>
      <c r="J29" s="366">
        <f>H29*I29*1.18/1000*12</f>
        <v>0</v>
      </c>
      <c r="K29" s="366"/>
      <c r="L29" s="366">
        <v>1113.8399999999999</v>
      </c>
      <c r="M29" s="366">
        <f t="shared" si="0"/>
        <v>0</v>
      </c>
      <c r="N29" s="366">
        <f>'[18]Выс,С17'!N29+'[18]Выс,Т24'!N29+'[18]Выс,С25'!N29</f>
        <v>0</v>
      </c>
      <c r="O29" s="365">
        <v>1152.82</v>
      </c>
      <c r="P29" s="366">
        <f>'[18]Выс,С17'!P29+'[18]Выс,Т24'!P29+'[18]Выс,С25'!P29</f>
        <v>0</v>
      </c>
      <c r="Q29" s="366"/>
      <c r="R29" s="366">
        <f>'[18]Выс,С17'!R29+'[18]Выс,Т24'!R29+'[18]Выс,С25'!R29</f>
        <v>0</v>
      </c>
      <c r="S29" s="366">
        <v>1197.78</v>
      </c>
      <c r="T29" s="366">
        <f>'[18]Выс,С17'!T29+'[18]Выс,Т24'!T29+'[18]Выс,С25'!T29</f>
        <v>0</v>
      </c>
      <c r="U29" s="366">
        <f>'[18]Выс,С17'!U29+'[18]Выс,Т24'!U29+'[18]Выс,С25'!U29</f>
        <v>0</v>
      </c>
      <c r="V29" s="366">
        <v>1245.69</v>
      </c>
      <c r="W29" s="366">
        <f>'[18]Выс,С17'!W29+'[18]Выс,Т24'!W29+'[18]Выс,С25'!W29</f>
        <v>0</v>
      </c>
    </row>
    <row r="30" spans="2:23" x14ac:dyDescent="0.2">
      <c r="B30" s="367" t="s">
        <v>272</v>
      </c>
      <c r="C30" s="368" t="s">
        <v>265</v>
      </c>
      <c r="D30" s="794" t="s">
        <v>227</v>
      </c>
      <c r="E30" s="366"/>
      <c r="F30" s="366">
        <v>1115.3800000000001</v>
      </c>
      <c r="G30" s="366">
        <f t="shared" si="1"/>
        <v>0</v>
      </c>
      <c r="H30" s="366"/>
      <c r="I30" s="366">
        <v>1115.3800000000001</v>
      </c>
      <c r="J30" s="366">
        <f>H30*I30*1.18/1000*12</f>
        <v>0</v>
      </c>
      <c r="K30" s="366"/>
      <c r="L30" s="366">
        <v>1115.3800000000001</v>
      </c>
      <c r="M30" s="366">
        <f t="shared" si="0"/>
        <v>0</v>
      </c>
      <c r="N30" s="366">
        <f>'[18]Выс,С17'!N30+'[18]Выс,Т24'!N30+'[18]Выс,С25'!N30</f>
        <v>0</v>
      </c>
      <c r="O30" s="365">
        <v>1154.42</v>
      </c>
      <c r="P30" s="366">
        <f>'[18]Выс,С17'!P30+'[18]Выс,Т24'!P30+'[18]Выс,С25'!P30</f>
        <v>0</v>
      </c>
      <c r="Q30" s="366"/>
      <c r="R30" s="366">
        <f>'[18]Выс,С17'!R30+'[18]Выс,Т24'!R30+'[18]Выс,С25'!R30</f>
        <v>0</v>
      </c>
      <c r="S30" s="366">
        <v>1199.44</v>
      </c>
      <c r="T30" s="366">
        <f>'[18]Выс,С17'!T30+'[18]Выс,Т24'!T30+'[18]Выс,С25'!T30</f>
        <v>0</v>
      </c>
      <c r="U30" s="366">
        <f>'[18]Выс,С17'!U30+'[18]Выс,Т24'!U30+'[18]Выс,С25'!U30</f>
        <v>0</v>
      </c>
      <c r="V30" s="366">
        <v>1247.42</v>
      </c>
      <c r="W30" s="366">
        <f>'[18]Выс,С17'!W30+'[18]Выс,Т24'!W30+'[18]Выс,С25'!W30</f>
        <v>0</v>
      </c>
    </row>
    <row r="31" spans="2:23" x14ac:dyDescent="0.2">
      <c r="B31" s="367" t="s">
        <v>273</v>
      </c>
      <c r="C31" s="368" t="s">
        <v>267</v>
      </c>
      <c r="D31" s="794" t="s">
        <v>227</v>
      </c>
      <c r="E31" s="366"/>
      <c r="F31" s="366">
        <v>1121</v>
      </c>
      <c r="G31" s="366">
        <f t="shared" si="1"/>
        <v>0</v>
      </c>
      <c r="H31" s="366"/>
      <c r="I31" s="366">
        <v>1121</v>
      </c>
      <c r="J31" s="366">
        <f>H31*I31*1.18/1000*12</f>
        <v>0</v>
      </c>
      <c r="K31" s="366"/>
      <c r="L31" s="366">
        <v>1121</v>
      </c>
      <c r="M31" s="366">
        <f t="shared" si="0"/>
        <v>0</v>
      </c>
      <c r="N31" s="366">
        <f>'[18]Выс,С17'!N31+'[18]Выс,Т24'!N31+'[18]Выс,С25'!N31</f>
        <v>0</v>
      </c>
      <c r="O31" s="365">
        <v>1160.24</v>
      </c>
      <c r="P31" s="366">
        <f>'[18]Выс,С17'!P31+'[18]Выс,Т24'!P31+'[18]Выс,С25'!P31</f>
        <v>0</v>
      </c>
      <c r="Q31" s="366"/>
      <c r="R31" s="366">
        <f>'[18]Выс,С17'!R31+'[18]Выс,Т24'!R31+'[18]Выс,С25'!R31</f>
        <v>0</v>
      </c>
      <c r="S31" s="366">
        <v>1205.49</v>
      </c>
      <c r="T31" s="366">
        <f>'[18]Выс,С17'!T31+'[18]Выс,Т24'!T31+'[18]Выс,С25'!T31</f>
        <v>0</v>
      </c>
      <c r="U31" s="366">
        <f>'[18]Выс,С17'!U31+'[18]Выс,Т24'!U31+'[18]Выс,С25'!U31</f>
        <v>0</v>
      </c>
      <c r="V31" s="366">
        <v>1253.71</v>
      </c>
      <c r="W31" s="366">
        <f>'[18]Выс,С17'!W31+'[18]Выс,Т24'!W31+'[18]Выс,С25'!W31</f>
        <v>0</v>
      </c>
    </row>
    <row r="32" spans="2:23" x14ac:dyDescent="0.2">
      <c r="B32" s="367">
        <v>12</v>
      </c>
      <c r="C32" s="368" t="s">
        <v>274</v>
      </c>
      <c r="D32" s="794"/>
      <c r="E32" s="366"/>
      <c r="F32" s="366"/>
      <c r="G32" s="366">
        <f t="shared" si="1"/>
        <v>0</v>
      </c>
      <c r="H32" s="366"/>
      <c r="I32" s="366"/>
      <c r="J32" s="366"/>
      <c r="K32" s="366"/>
      <c r="L32" s="366"/>
      <c r="M32" s="366"/>
      <c r="N32" s="366">
        <f>'[18]Выс,С17'!N32+'[18]Выс,Т24'!N32+'[18]Выс,С25'!N32</f>
        <v>0</v>
      </c>
      <c r="O32" s="365"/>
      <c r="P32" s="366">
        <f>'[18]Выс,С17'!P32+'[18]Выс,Т24'!P32+'[18]Выс,С25'!P32</f>
        <v>0</v>
      </c>
      <c r="Q32" s="366"/>
      <c r="R32" s="366">
        <f>'[18]Выс,С17'!R32+'[18]Выс,Т24'!R32+'[18]Выс,С25'!R32</f>
        <v>0</v>
      </c>
      <c r="S32" s="366"/>
      <c r="T32" s="366">
        <f>'[18]Выс,С17'!T32+'[18]Выс,Т24'!T32+'[18]Выс,С25'!T32</f>
        <v>0</v>
      </c>
      <c r="U32" s="366">
        <f>'[18]Выс,С17'!U32+'[18]Выс,Т24'!U32+'[18]Выс,С25'!U32</f>
        <v>0</v>
      </c>
      <c r="V32" s="366"/>
      <c r="W32" s="366">
        <f>'[18]Выс,С17'!W32+'[18]Выс,Т24'!W32+'[18]Выс,С25'!W32</f>
        <v>0</v>
      </c>
    </row>
    <row r="33" spans="2:23" x14ac:dyDescent="0.2">
      <c r="B33" s="367" t="s">
        <v>275</v>
      </c>
      <c r="C33" s="368" t="s">
        <v>259</v>
      </c>
      <c r="D33" s="794" t="s">
        <v>227</v>
      </c>
      <c r="E33" s="366"/>
      <c r="F33" s="366">
        <v>732.45</v>
      </c>
      <c r="G33" s="366">
        <f t="shared" si="1"/>
        <v>0</v>
      </c>
      <c r="H33" s="366"/>
      <c r="I33" s="366">
        <v>732.45</v>
      </c>
      <c r="J33" s="366">
        <f>H33*I33*1.18/1000*12</f>
        <v>0</v>
      </c>
      <c r="K33" s="366"/>
      <c r="L33" s="366">
        <v>732.45</v>
      </c>
      <c r="M33" s="366">
        <f t="shared" si="0"/>
        <v>0</v>
      </c>
      <c r="N33" s="366">
        <f>'[18]Выс,С17'!N33+'[18]Выс,Т24'!N33+'[18]Выс,С25'!N33</f>
        <v>0</v>
      </c>
      <c r="O33" s="365">
        <v>758.09</v>
      </c>
      <c r="P33" s="366">
        <f>'[18]Выс,С17'!P33+'[18]Выс,Т24'!P33+'[18]Выс,С25'!P33</f>
        <v>0</v>
      </c>
      <c r="Q33" s="366"/>
      <c r="R33" s="366">
        <f>'[18]Выс,С17'!R33+'[18]Выс,Т24'!R33+'[18]Выс,С25'!R33</f>
        <v>0</v>
      </c>
      <c r="S33" s="366">
        <v>787.66</v>
      </c>
      <c r="T33" s="366">
        <f>'[18]Выс,С17'!T33+'[18]Выс,Т24'!T33+'[18]Выс,С25'!T33</f>
        <v>0</v>
      </c>
      <c r="U33" s="366">
        <f>'[18]Выс,С17'!U33+'[18]Выс,Т24'!U33+'[18]Выс,С25'!U33</f>
        <v>0</v>
      </c>
      <c r="V33" s="366">
        <v>819.17</v>
      </c>
      <c r="W33" s="366">
        <f>'[18]Выс,С17'!W33+'[18]Выс,Т24'!W33+'[18]Выс,С25'!W33</f>
        <v>0</v>
      </c>
    </row>
    <row r="34" spans="2:23" x14ac:dyDescent="0.2">
      <c r="B34" s="367" t="s">
        <v>276</v>
      </c>
      <c r="C34" s="368" t="s">
        <v>261</v>
      </c>
      <c r="D34" s="794" t="s">
        <v>227</v>
      </c>
      <c r="E34" s="366"/>
      <c r="F34" s="366">
        <v>733.01</v>
      </c>
      <c r="G34" s="366">
        <f t="shared" si="1"/>
        <v>0</v>
      </c>
      <c r="H34" s="366"/>
      <c r="I34" s="366">
        <v>733.01</v>
      </c>
      <c r="J34" s="366">
        <f>H34*I34*1.18/1000*12</f>
        <v>0</v>
      </c>
      <c r="K34" s="366"/>
      <c r="L34" s="366">
        <v>733.01</v>
      </c>
      <c r="M34" s="366">
        <f t="shared" si="0"/>
        <v>0</v>
      </c>
      <c r="N34" s="366">
        <f>'[18]Выс,С17'!N34+'[18]Выс,Т24'!N34+'[18]Выс,С25'!N34</f>
        <v>0</v>
      </c>
      <c r="O34" s="365">
        <v>758.67</v>
      </c>
      <c r="P34" s="366">
        <f>'[18]Выс,С17'!P34+'[18]Выс,Т24'!P34+'[18]Выс,С25'!P34</f>
        <v>0</v>
      </c>
      <c r="Q34" s="366"/>
      <c r="R34" s="366">
        <f>'[18]Выс,С17'!R34+'[18]Выс,Т24'!R34+'[18]Выс,С25'!R34</f>
        <v>0</v>
      </c>
      <c r="S34" s="366">
        <v>788.26</v>
      </c>
      <c r="T34" s="366">
        <f>'[18]Выс,С17'!T34+'[18]Выс,Т24'!T34+'[18]Выс,С25'!T34</f>
        <v>0</v>
      </c>
      <c r="U34" s="366">
        <f>'[18]Выс,С17'!U34+'[18]Выс,Т24'!U34+'[18]Выс,С25'!U34</f>
        <v>0</v>
      </c>
      <c r="V34" s="366">
        <v>819.79</v>
      </c>
      <c r="W34" s="366">
        <f>'[18]Выс,С17'!W34+'[18]Выс,Т24'!W34+'[18]Выс,С25'!W34</f>
        <v>0</v>
      </c>
    </row>
    <row r="35" spans="2:23" x14ac:dyDescent="0.2">
      <c r="B35" s="367" t="s">
        <v>277</v>
      </c>
      <c r="C35" s="368" t="s">
        <v>263</v>
      </c>
      <c r="D35" s="794" t="s">
        <v>227</v>
      </c>
      <c r="E35" s="366"/>
      <c r="F35" s="366">
        <v>733.58</v>
      </c>
      <c r="G35" s="366">
        <f t="shared" si="1"/>
        <v>0</v>
      </c>
      <c r="H35" s="366"/>
      <c r="I35" s="366">
        <v>733.58</v>
      </c>
      <c r="J35" s="366">
        <f>H35*I35*1.18/1000*12</f>
        <v>0</v>
      </c>
      <c r="K35" s="366"/>
      <c r="L35" s="366">
        <v>733.58</v>
      </c>
      <c r="M35" s="366">
        <f t="shared" si="0"/>
        <v>0</v>
      </c>
      <c r="N35" s="366">
        <f>'[18]Выс,С17'!N35+'[18]Выс,Т24'!N35+'[18]Выс,С25'!N35</f>
        <v>0</v>
      </c>
      <c r="O35" s="365">
        <v>759.26</v>
      </c>
      <c r="P35" s="366">
        <f>'[18]Выс,С17'!P35+'[18]Выс,Т24'!P35+'[18]Выс,С25'!P35</f>
        <v>0</v>
      </c>
      <c r="Q35" s="366"/>
      <c r="R35" s="366">
        <f>'[18]Выс,С17'!R35+'[18]Выс,Т24'!R35+'[18]Выс,С25'!R35</f>
        <v>0</v>
      </c>
      <c r="S35" s="366">
        <v>788.87</v>
      </c>
      <c r="T35" s="366">
        <f>'[18]Выс,С17'!T35+'[18]Выс,Т24'!T35+'[18]Выс,С25'!T35</f>
        <v>0</v>
      </c>
      <c r="U35" s="366">
        <f>'[18]Выс,С17'!U35+'[18]Выс,Т24'!U35+'[18]Выс,С25'!U35</f>
        <v>0</v>
      </c>
      <c r="V35" s="366">
        <v>820.42</v>
      </c>
      <c r="W35" s="366">
        <f>'[18]Выс,С17'!W35+'[18]Выс,Т24'!W35+'[18]Выс,С25'!W35</f>
        <v>0</v>
      </c>
    </row>
    <row r="36" spans="2:23" x14ac:dyDescent="0.2">
      <c r="B36" s="367" t="s">
        <v>278</v>
      </c>
      <c r="C36" s="368" t="s">
        <v>265</v>
      </c>
      <c r="D36" s="794" t="s">
        <v>227</v>
      </c>
      <c r="E36" s="366"/>
      <c r="F36" s="366">
        <v>734.17</v>
      </c>
      <c r="G36" s="366">
        <f t="shared" si="1"/>
        <v>0</v>
      </c>
      <c r="H36" s="366"/>
      <c r="I36" s="366">
        <v>734.17</v>
      </c>
      <c r="J36" s="366">
        <f>H36*I36*1.18/1000*12</f>
        <v>0</v>
      </c>
      <c r="K36" s="366"/>
      <c r="L36" s="366">
        <v>734.17</v>
      </c>
      <c r="M36" s="366">
        <f t="shared" si="0"/>
        <v>0</v>
      </c>
      <c r="N36" s="366">
        <f>'[18]Выс,С17'!N36+'[18]Выс,Т24'!N36+'[18]Выс,С25'!N36</f>
        <v>0</v>
      </c>
      <c r="O36" s="365">
        <v>759.87</v>
      </c>
      <c r="P36" s="366">
        <f>'[18]Выс,С17'!P36+'[18]Выс,Т24'!P36+'[18]Выс,С25'!P36</f>
        <v>0</v>
      </c>
      <c r="Q36" s="366"/>
      <c r="R36" s="366">
        <f>'[18]Выс,С17'!R36+'[18]Выс,Т24'!R36+'[18]Выс,С25'!R36</f>
        <v>0</v>
      </c>
      <c r="S36" s="366">
        <v>789.5</v>
      </c>
      <c r="T36" s="366">
        <f>'[18]Выс,С17'!T36+'[18]Выс,Т24'!T36+'[18]Выс,С25'!T36</f>
        <v>0</v>
      </c>
      <c r="U36" s="366">
        <f>'[18]Выс,С17'!U36+'[18]Выс,Т24'!U36+'[18]Выс,С25'!U36</f>
        <v>0</v>
      </c>
      <c r="V36" s="366">
        <v>821.08</v>
      </c>
      <c r="W36" s="366">
        <f>'[18]Выс,С17'!W36+'[18]Выс,Т24'!W36+'[18]Выс,С25'!W36</f>
        <v>0</v>
      </c>
    </row>
    <row r="37" spans="2:23" ht="24" x14ac:dyDescent="0.2">
      <c r="B37" s="367">
        <v>21</v>
      </c>
      <c r="C37" s="368" t="s">
        <v>288</v>
      </c>
      <c r="D37" s="367"/>
      <c r="E37" s="366"/>
      <c r="F37" s="366"/>
      <c r="G37" s="944">
        <f>SUM(G10:G36)</f>
        <v>909.68</v>
      </c>
      <c r="H37" s="944"/>
      <c r="I37" s="944"/>
      <c r="J37" s="944">
        <f>SUM(J10:J36)</f>
        <v>976.14</v>
      </c>
      <c r="K37" s="944"/>
      <c r="L37" s="944"/>
      <c r="M37" s="944">
        <f>SUM(M10:M36)</f>
        <v>981.24</v>
      </c>
      <c r="N37" s="944"/>
      <c r="O37" s="944"/>
      <c r="P37" s="1046">
        <f>SUM(P10:P36)</f>
        <v>1459.2</v>
      </c>
      <c r="Q37" s="1046"/>
      <c r="R37" s="1046"/>
      <c r="S37" s="1046"/>
      <c r="T37" s="1046">
        <f>SUM(T10:T36)</f>
        <v>1516.4</v>
      </c>
      <c r="U37" s="1046"/>
      <c r="V37" s="1046"/>
      <c r="W37" s="1046">
        <f>SUM(W10:W36)</f>
        <v>1576.8</v>
      </c>
    </row>
    <row r="38" spans="2:23" x14ac:dyDescent="0.2">
      <c r="B38" s="367"/>
      <c r="C38" s="368" t="s">
        <v>453</v>
      </c>
      <c r="D38" s="367"/>
      <c r="E38" s="366"/>
      <c r="F38" s="366"/>
      <c r="G38" s="366"/>
      <c r="H38" s="366"/>
      <c r="I38" s="366"/>
      <c r="J38" s="366"/>
      <c r="K38" s="366"/>
      <c r="L38" s="366"/>
      <c r="M38" s="366"/>
      <c r="N38" s="366"/>
      <c r="O38" s="942"/>
      <c r="P38" s="366">
        <f>N38*O38/1000*1.18</f>
        <v>0</v>
      </c>
      <c r="Q38" s="366"/>
      <c r="R38" s="366"/>
      <c r="S38" s="366"/>
      <c r="T38" s="366">
        <f>R38*S38/1000*1.18</f>
        <v>0</v>
      </c>
      <c r="U38" s="366"/>
      <c r="V38" s="366"/>
      <c r="W38" s="366">
        <f>U38*V38/1000*1.18</f>
        <v>0</v>
      </c>
    </row>
    <row r="39" spans="2:23" x14ac:dyDescent="0.2">
      <c r="B39" s="367" t="s">
        <v>454</v>
      </c>
      <c r="C39" s="368" t="s">
        <v>455</v>
      </c>
      <c r="D39" s="367"/>
      <c r="E39" s="366"/>
      <c r="F39" s="366"/>
      <c r="G39" s="366"/>
      <c r="H39" s="366"/>
      <c r="I39" s="366"/>
      <c r="J39" s="366"/>
      <c r="K39" s="366"/>
      <c r="L39" s="366"/>
      <c r="M39" s="366"/>
      <c r="N39" s="366"/>
      <c r="O39" s="942"/>
      <c r="P39" s="366">
        <f>N39*O39/1000*1.18</f>
        <v>0</v>
      </c>
      <c r="Q39" s="366"/>
      <c r="R39" s="366"/>
      <c r="S39" s="366"/>
      <c r="T39" s="366">
        <f>R39*S39/1000*1.18</f>
        <v>0</v>
      </c>
      <c r="U39" s="366"/>
      <c r="V39" s="366"/>
      <c r="W39" s="366">
        <f>U39*V39/1000*1.18</f>
        <v>0</v>
      </c>
    </row>
    <row r="40" spans="2:23" x14ac:dyDescent="0.2">
      <c r="B40" s="369" t="s">
        <v>456</v>
      </c>
      <c r="C40" s="368" t="s">
        <v>457</v>
      </c>
      <c r="D40" s="367"/>
      <c r="E40" s="366"/>
      <c r="F40" s="366"/>
      <c r="G40" s="366">
        <f>G37</f>
        <v>909.68</v>
      </c>
      <c r="H40" s="366"/>
      <c r="I40" s="366"/>
      <c r="J40" s="366">
        <f>J37</f>
        <v>976.14</v>
      </c>
      <c r="K40" s="366"/>
      <c r="L40" s="366"/>
      <c r="M40" s="366">
        <f>M37</f>
        <v>981.24</v>
      </c>
      <c r="N40" s="366"/>
      <c r="O40" s="366"/>
      <c r="P40" s="366">
        <f>P37</f>
        <v>1459.2</v>
      </c>
      <c r="Q40" s="366"/>
      <c r="R40" s="366"/>
      <c r="S40" s="366"/>
      <c r="T40" s="366">
        <f>T37</f>
        <v>1516.4</v>
      </c>
      <c r="U40" s="366"/>
      <c r="V40" s="366"/>
      <c r="W40" s="366">
        <f>W37</f>
        <v>1576.8</v>
      </c>
    </row>
    <row r="41" spans="2:23" x14ac:dyDescent="0.2">
      <c r="B41" s="945"/>
      <c r="C41" s="946"/>
      <c r="D41" s="947"/>
      <c r="E41" s="948"/>
      <c r="F41" s="948"/>
      <c r="G41" s="948"/>
      <c r="H41" s="948"/>
      <c r="I41" s="948"/>
      <c r="J41" s="948"/>
      <c r="K41" s="948"/>
      <c r="L41" s="948"/>
      <c r="M41" s="948"/>
      <c r="N41" s="948"/>
      <c r="O41" s="948"/>
      <c r="P41" s="948"/>
      <c r="Q41" s="948"/>
      <c r="R41" s="948"/>
      <c r="S41" s="948"/>
      <c r="T41" s="948"/>
      <c r="U41" s="948"/>
      <c r="V41" s="948"/>
      <c r="W41" s="948"/>
    </row>
    <row r="42" spans="2:23" x14ac:dyDescent="0.2">
      <c r="B42" s="945"/>
      <c r="C42" s="946" t="s">
        <v>1261</v>
      </c>
      <c r="D42" s="947"/>
      <c r="E42" s="948"/>
      <c r="F42" s="948"/>
      <c r="G42" s="948"/>
      <c r="H42" s="948"/>
      <c r="I42" s="948"/>
      <c r="J42" s="948"/>
      <c r="K42" s="948"/>
      <c r="L42" s="948"/>
      <c r="M42" s="948"/>
      <c r="N42" s="948"/>
      <c r="O42" s="948"/>
      <c r="P42" s="948"/>
      <c r="Q42" s="948"/>
      <c r="R42" s="948"/>
      <c r="S42" s="948"/>
      <c r="T42" s="948"/>
      <c r="U42" s="948"/>
      <c r="V42" s="948"/>
      <c r="W42" s="948"/>
    </row>
    <row r="43" spans="2:23" x14ac:dyDescent="0.2">
      <c r="B43" s="945"/>
      <c r="C43" s="946" t="s">
        <v>545</v>
      </c>
      <c r="D43" s="947"/>
      <c r="E43" s="948"/>
      <c r="F43" s="948"/>
      <c r="G43" s="948"/>
      <c r="H43" s="948"/>
      <c r="I43" s="948"/>
      <c r="J43" s="948"/>
      <c r="K43" s="948"/>
      <c r="L43" s="948"/>
      <c r="M43" s="948"/>
      <c r="N43" s="948"/>
      <c r="O43" s="948"/>
      <c r="P43" s="948"/>
      <c r="Q43" s="948"/>
      <c r="R43" s="948"/>
      <c r="S43" s="948"/>
      <c r="T43" s="948"/>
      <c r="U43" s="948"/>
      <c r="V43" s="948"/>
      <c r="W43" s="948"/>
    </row>
    <row r="44" spans="2:23" x14ac:dyDescent="0.2">
      <c r="B44" s="945"/>
      <c r="C44" s="946"/>
      <c r="D44" s="947"/>
      <c r="E44" s="948"/>
      <c r="F44" s="948"/>
      <c r="G44" s="948"/>
      <c r="H44" s="948"/>
      <c r="I44" s="948"/>
      <c r="J44" s="948"/>
      <c r="K44" s="948"/>
      <c r="L44" s="948"/>
      <c r="M44" s="948"/>
      <c r="N44" s="948"/>
      <c r="O44" s="948"/>
      <c r="P44" s="948"/>
      <c r="Q44" s="948"/>
      <c r="R44" s="948"/>
      <c r="S44" s="948"/>
      <c r="T44" s="948"/>
      <c r="U44" s="948"/>
      <c r="V44" s="948"/>
      <c r="W44" s="948"/>
    </row>
    <row r="45" spans="2:23" x14ac:dyDescent="0.2">
      <c r="T45" s="949" t="s">
        <v>1259</v>
      </c>
      <c r="U45" s="949" t="s">
        <v>1260</v>
      </c>
    </row>
    <row r="46" spans="2:23" x14ac:dyDescent="0.2">
      <c r="S46" s="936">
        <v>2020</v>
      </c>
      <c r="T46" s="1047">
        <v>1459.2</v>
      </c>
      <c r="U46" s="617">
        <f>T46-P37</f>
        <v>0</v>
      </c>
    </row>
    <row r="47" spans="2:23" x14ac:dyDescent="0.2">
      <c r="P47" s="950"/>
      <c r="S47" s="936">
        <v>2021</v>
      </c>
      <c r="T47" s="1047">
        <v>1516.4</v>
      </c>
      <c r="U47" s="617">
        <f>T47-T37</f>
        <v>0</v>
      </c>
    </row>
    <row r="48" spans="2:23" x14ac:dyDescent="0.2">
      <c r="S48" s="936">
        <v>2022</v>
      </c>
      <c r="T48" s="1047">
        <v>1576.8</v>
      </c>
      <c r="U48" s="617">
        <f>T48-W37</f>
        <v>0</v>
      </c>
    </row>
  </sheetData>
  <mergeCells count="13">
    <mergeCell ref="N7:Q7"/>
    <mergeCell ref="R7:T7"/>
    <mergeCell ref="U7:W7"/>
    <mergeCell ref="R1:W1"/>
    <mergeCell ref="B3:W3"/>
    <mergeCell ref="B4:W4"/>
    <mergeCell ref="B5:W5"/>
    <mergeCell ref="B7:B8"/>
    <mergeCell ref="C7:C8"/>
    <mergeCell ref="D7:D8"/>
    <mergeCell ref="E7:G7"/>
    <mergeCell ref="H7:J7"/>
    <mergeCell ref="K7:M7"/>
  </mergeCells>
  <pageMargins left="0.7" right="0.7" top="0.75" bottom="0.75" header="0.3" footer="0.3"/>
  <pageSetup paperSize="9" scale="69"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3"/>
  <sheetViews>
    <sheetView view="pageBreakPreview" zoomScale="80" zoomScaleNormal="90" zoomScaleSheetLayoutView="80" workbookViewId="0">
      <selection activeCell="A4" sqref="A4:U4"/>
    </sheetView>
  </sheetViews>
  <sheetFormatPr defaultRowHeight="12.75" x14ac:dyDescent="0.2"/>
  <cols>
    <col min="1" max="1" width="24.1640625" style="1049" customWidth="1"/>
    <col min="2" max="2" width="6" style="1049" customWidth="1"/>
    <col min="3" max="12" width="0" style="1049" hidden="1" customWidth="1"/>
    <col min="13" max="13" width="13" style="1049" customWidth="1"/>
    <col min="14" max="14" width="12.83203125" style="1160" customWidth="1"/>
    <col min="15" max="15" width="12.5" style="1049" customWidth="1"/>
    <col min="16" max="16" width="13.1640625" style="1049" customWidth="1"/>
    <col min="17" max="17" width="20" style="1049" customWidth="1"/>
    <col min="18" max="18" width="12.33203125" style="1049" customWidth="1"/>
    <col min="19" max="21" width="13.1640625" style="1049" customWidth="1"/>
    <col min="22" max="22" width="9.33203125" style="1049"/>
    <col min="23" max="23" width="20.5" style="1049" customWidth="1"/>
    <col min="24" max="25" width="11.83203125" style="1049" bestFit="1" customWidth="1"/>
    <col min="26" max="256" width="9.33203125" style="1049"/>
    <col min="257" max="257" width="24.1640625" style="1049" customWidth="1"/>
    <col min="258" max="258" width="6" style="1049" customWidth="1"/>
    <col min="259" max="268" width="0" style="1049" hidden="1" customWidth="1"/>
    <col min="269" max="269" width="13" style="1049" customWidth="1"/>
    <col min="270" max="270" width="12.83203125" style="1049" customWidth="1"/>
    <col min="271" max="271" width="12.5" style="1049" customWidth="1"/>
    <col min="272" max="272" width="13.1640625" style="1049" customWidth="1"/>
    <col min="273" max="273" width="20" style="1049" customWidth="1"/>
    <col min="274" max="274" width="12.33203125" style="1049" customWidth="1"/>
    <col min="275" max="277" width="13.1640625" style="1049" customWidth="1"/>
    <col min="278" max="278" width="9.33203125" style="1049"/>
    <col min="279" max="279" width="20.5" style="1049" customWidth="1"/>
    <col min="280" max="281" width="11.83203125" style="1049" bestFit="1" customWidth="1"/>
    <col min="282" max="512" width="9.33203125" style="1049"/>
    <col min="513" max="513" width="24.1640625" style="1049" customWidth="1"/>
    <col min="514" max="514" width="6" style="1049" customWidth="1"/>
    <col min="515" max="524" width="0" style="1049" hidden="1" customWidth="1"/>
    <col min="525" max="525" width="13" style="1049" customWidth="1"/>
    <col min="526" max="526" width="12.83203125" style="1049" customWidth="1"/>
    <col min="527" max="527" width="12.5" style="1049" customWidth="1"/>
    <col min="528" max="528" width="13.1640625" style="1049" customWidth="1"/>
    <col min="529" max="529" width="20" style="1049" customWidth="1"/>
    <col min="530" max="530" width="12.33203125" style="1049" customWidth="1"/>
    <col min="531" max="533" width="13.1640625" style="1049" customWidth="1"/>
    <col min="534" max="534" width="9.33203125" style="1049"/>
    <col min="535" max="535" width="20.5" style="1049" customWidth="1"/>
    <col min="536" max="537" width="11.83203125" style="1049" bestFit="1" customWidth="1"/>
    <col min="538" max="768" width="9.33203125" style="1049"/>
    <col min="769" max="769" width="24.1640625" style="1049" customWidth="1"/>
    <col min="770" max="770" width="6" style="1049" customWidth="1"/>
    <col min="771" max="780" width="0" style="1049" hidden="1" customWidth="1"/>
    <col min="781" max="781" width="13" style="1049" customWidth="1"/>
    <col min="782" max="782" width="12.83203125" style="1049" customWidth="1"/>
    <col min="783" max="783" width="12.5" style="1049" customWidth="1"/>
    <col min="784" max="784" width="13.1640625" style="1049" customWidth="1"/>
    <col min="785" max="785" width="20" style="1049" customWidth="1"/>
    <col min="786" max="786" width="12.33203125" style="1049" customWidth="1"/>
    <col min="787" max="789" width="13.1640625" style="1049" customWidth="1"/>
    <col min="790" max="790" width="9.33203125" style="1049"/>
    <col min="791" max="791" width="20.5" style="1049" customWidth="1"/>
    <col min="792" max="793" width="11.83203125" style="1049" bestFit="1" customWidth="1"/>
    <col min="794" max="1024" width="9.33203125" style="1049"/>
    <col min="1025" max="1025" width="24.1640625" style="1049" customWidth="1"/>
    <col min="1026" max="1026" width="6" style="1049" customWidth="1"/>
    <col min="1027" max="1036" width="0" style="1049" hidden="1" customWidth="1"/>
    <col min="1037" max="1037" width="13" style="1049" customWidth="1"/>
    <col min="1038" max="1038" width="12.83203125" style="1049" customWidth="1"/>
    <col min="1039" max="1039" width="12.5" style="1049" customWidth="1"/>
    <col min="1040" max="1040" width="13.1640625" style="1049" customWidth="1"/>
    <col min="1041" max="1041" width="20" style="1049" customWidth="1"/>
    <col min="1042" max="1042" width="12.33203125" style="1049" customWidth="1"/>
    <col min="1043" max="1045" width="13.1640625" style="1049" customWidth="1"/>
    <col min="1046" max="1046" width="9.33203125" style="1049"/>
    <col min="1047" max="1047" width="20.5" style="1049" customWidth="1"/>
    <col min="1048" max="1049" width="11.83203125" style="1049" bestFit="1" customWidth="1"/>
    <col min="1050" max="1280" width="9.33203125" style="1049"/>
    <col min="1281" max="1281" width="24.1640625" style="1049" customWidth="1"/>
    <col min="1282" max="1282" width="6" style="1049" customWidth="1"/>
    <col min="1283" max="1292" width="0" style="1049" hidden="1" customWidth="1"/>
    <col min="1293" max="1293" width="13" style="1049" customWidth="1"/>
    <col min="1294" max="1294" width="12.83203125" style="1049" customWidth="1"/>
    <col min="1295" max="1295" width="12.5" style="1049" customWidth="1"/>
    <col min="1296" max="1296" width="13.1640625" style="1049" customWidth="1"/>
    <col min="1297" max="1297" width="20" style="1049" customWidth="1"/>
    <col min="1298" max="1298" width="12.33203125" style="1049" customWidth="1"/>
    <col min="1299" max="1301" width="13.1640625" style="1049" customWidth="1"/>
    <col min="1302" max="1302" width="9.33203125" style="1049"/>
    <col min="1303" max="1303" width="20.5" style="1049" customWidth="1"/>
    <col min="1304" max="1305" width="11.83203125" style="1049" bestFit="1" customWidth="1"/>
    <col min="1306" max="1536" width="9.33203125" style="1049"/>
    <col min="1537" max="1537" width="24.1640625" style="1049" customWidth="1"/>
    <col min="1538" max="1538" width="6" style="1049" customWidth="1"/>
    <col min="1539" max="1548" width="0" style="1049" hidden="1" customWidth="1"/>
    <col min="1549" max="1549" width="13" style="1049" customWidth="1"/>
    <col min="1550" max="1550" width="12.83203125" style="1049" customWidth="1"/>
    <col min="1551" max="1551" width="12.5" style="1049" customWidth="1"/>
    <col min="1552" max="1552" width="13.1640625" style="1049" customWidth="1"/>
    <col min="1553" max="1553" width="20" style="1049" customWidth="1"/>
    <col min="1554" max="1554" width="12.33203125" style="1049" customWidth="1"/>
    <col min="1555" max="1557" width="13.1640625" style="1049" customWidth="1"/>
    <col min="1558" max="1558" width="9.33203125" style="1049"/>
    <col min="1559" max="1559" width="20.5" style="1049" customWidth="1"/>
    <col min="1560" max="1561" width="11.83203125" style="1049" bestFit="1" customWidth="1"/>
    <col min="1562" max="1792" width="9.33203125" style="1049"/>
    <col min="1793" max="1793" width="24.1640625" style="1049" customWidth="1"/>
    <col min="1794" max="1794" width="6" style="1049" customWidth="1"/>
    <col min="1795" max="1804" width="0" style="1049" hidden="1" customWidth="1"/>
    <col min="1805" max="1805" width="13" style="1049" customWidth="1"/>
    <col min="1806" max="1806" width="12.83203125" style="1049" customWidth="1"/>
    <col min="1807" max="1807" width="12.5" style="1049" customWidth="1"/>
    <col min="1808" max="1808" width="13.1640625" style="1049" customWidth="1"/>
    <col min="1809" max="1809" width="20" style="1049" customWidth="1"/>
    <col min="1810" max="1810" width="12.33203125" style="1049" customWidth="1"/>
    <col min="1811" max="1813" width="13.1640625" style="1049" customWidth="1"/>
    <col min="1814" max="1814" width="9.33203125" style="1049"/>
    <col min="1815" max="1815" width="20.5" style="1049" customWidth="1"/>
    <col min="1816" max="1817" width="11.83203125" style="1049" bestFit="1" customWidth="1"/>
    <col min="1818" max="2048" width="9.33203125" style="1049"/>
    <col min="2049" max="2049" width="24.1640625" style="1049" customWidth="1"/>
    <col min="2050" max="2050" width="6" style="1049" customWidth="1"/>
    <col min="2051" max="2060" width="0" style="1049" hidden="1" customWidth="1"/>
    <col min="2061" max="2061" width="13" style="1049" customWidth="1"/>
    <col min="2062" max="2062" width="12.83203125" style="1049" customWidth="1"/>
    <col min="2063" max="2063" width="12.5" style="1049" customWidth="1"/>
    <col min="2064" max="2064" width="13.1640625" style="1049" customWidth="1"/>
    <col min="2065" max="2065" width="20" style="1049" customWidth="1"/>
    <col min="2066" max="2066" width="12.33203125" style="1049" customWidth="1"/>
    <col min="2067" max="2069" width="13.1640625" style="1049" customWidth="1"/>
    <col min="2070" max="2070" width="9.33203125" style="1049"/>
    <col min="2071" max="2071" width="20.5" style="1049" customWidth="1"/>
    <col min="2072" max="2073" width="11.83203125" style="1049" bestFit="1" customWidth="1"/>
    <col min="2074" max="2304" width="9.33203125" style="1049"/>
    <col min="2305" max="2305" width="24.1640625" style="1049" customWidth="1"/>
    <col min="2306" max="2306" width="6" style="1049" customWidth="1"/>
    <col min="2307" max="2316" width="0" style="1049" hidden="1" customWidth="1"/>
    <col min="2317" max="2317" width="13" style="1049" customWidth="1"/>
    <col min="2318" max="2318" width="12.83203125" style="1049" customWidth="1"/>
    <col min="2319" max="2319" width="12.5" style="1049" customWidth="1"/>
    <col min="2320" max="2320" width="13.1640625" style="1049" customWidth="1"/>
    <col min="2321" max="2321" width="20" style="1049" customWidth="1"/>
    <col min="2322" max="2322" width="12.33203125" style="1049" customWidth="1"/>
    <col min="2323" max="2325" width="13.1640625" style="1049" customWidth="1"/>
    <col min="2326" max="2326" width="9.33203125" style="1049"/>
    <col min="2327" max="2327" width="20.5" style="1049" customWidth="1"/>
    <col min="2328" max="2329" width="11.83203125" style="1049" bestFit="1" customWidth="1"/>
    <col min="2330" max="2560" width="9.33203125" style="1049"/>
    <col min="2561" max="2561" width="24.1640625" style="1049" customWidth="1"/>
    <col min="2562" max="2562" width="6" style="1049" customWidth="1"/>
    <col min="2563" max="2572" width="0" style="1049" hidden="1" customWidth="1"/>
    <col min="2573" max="2573" width="13" style="1049" customWidth="1"/>
    <col min="2574" max="2574" width="12.83203125" style="1049" customWidth="1"/>
    <col min="2575" max="2575" width="12.5" style="1049" customWidth="1"/>
    <col min="2576" max="2576" width="13.1640625" style="1049" customWidth="1"/>
    <col min="2577" max="2577" width="20" style="1049" customWidth="1"/>
    <col min="2578" max="2578" width="12.33203125" style="1049" customWidth="1"/>
    <col min="2579" max="2581" width="13.1640625" style="1049" customWidth="1"/>
    <col min="2582" max="2582" width="9.33203125" style="1049"/>
    <col min="2583" max="2583" width="20.5" style="1049" customWidth="1"/>
    <col min="2584" max="2585" width="11.83203125" style="1049" bestFit="1" customWidth="1"/>
    <col min="2586" max="2816" width="9.33203125" style="1049"/>
    <col min="2817" max="2817" width="24.1640625" style="1049" customWidth="1"/>
    <col min="2818" max="2818" width="6" style="1049" customWidth="1"/>
    <col min="2819" max="2828" width="0" style="1049" hidden="1" customWidth="1"/>
    <col min="2829" max="2829" width="13" style="1049" customWidth="1"/>
    <col min="2830" max="2830" width="12.83203125" style="1049" customWidth="1"/>
    <col min="2831" max="2831" width="12.5" style="1049" customWidth="1"/>
    <col min="2832" max="2832" width="13.1640625" style="1049" customWidth="1"/>
    <col min="2833" max="2833" width="20" style="1049" customWidth="1"/>
    <col min="2834" max="2834" width="12.33203125" style="1049" customWidth="1"/>
    <col min="2835" max="2837" width="13.1640625" style="1049" customWidth="1"/>
    <col min="2838" max="2838" width="9.33203125" style="1049"/>
    <col min="2839" max="2839" width="20.5" style="1049" customWidth="1"/>
    <col min="2840" max="2841" width="11.83203125" style="1049" bestFit="1" customWidth="1"/>
    <col min="2842" max="3072" width="9.33203125" style="1049"/>
    <col min="3073" max="3073" width="24.1640625" style="1049" customWidth="1"/>
    <col min="3074" max="3074" width="6" style="1049" customWidth="1"/>
    <col min="3075" max="3084" width="0" style="1049" hidden="1" customWidth="1"/>
    <col min="3085" max="3085" width="13" style="1049" customWidth="1"/>
    <col min="3086" max="3086" width="12.83203125" style="1049" customWidth="1"/>
    <col min="3087" max="3087" width="12.5" style="1049" customWidth="1"/>
    <col min="3088" max="3088" width="13.1640625" style="1049" customWidth="1"/>
    <col min="3089" max="3089" width="20" style="1049" customWidth="1"/>
    <col min="3090" max="3090" width="12.33203125" style="1049" customWidth="1"/>
    <col min="3091" max="3093" width="13.1640625" style="1049" customWidth="1"/>
    <col min="3094" max="3094" width="9.33203125" style="1049"/>
    <col min="3095" max="3095" width="20.5" style="1049" customWidth="1"/>
    <col min="3096" max="3097" width="11.83203125" style="1049" bestFit="1" customWidth="1"/>
    <col min="3098" max="3328" width="9.33203125" style="1049"/>
    <col min="3329" max="3329" width="24.1640625" style="1049" customWidth="1"/>
    <col min="3330" max="3330" width="6" style="1049" customWidth="1"/>
    <col min="3331" max="3340" width="0" style="1049" hidden="1" customWidth="1"/>
    <col min="3341" max="3341" width="13" style="1049" customWidth="1"/>
    <col min="3342" max="3342" width="12.83203125" style="1049" customWidth="1"/>
    <col min="3343" max="3343" width="12.5" style="1049" customWidth="1"/>
    <col min="3344" max="3344" width="13.1640625" style="1049" customWidth="1"/>
    <col min="3345" max="3345" width="20" style="1049" customWidth="1"/>
    <col min="3346" max="3346" width="12.33203125" style="1049" customWidth="1"/>
    <col min="3347" max="3349" width="13.1640625" style="1049" customWidth="1"/>
    <col min="3350" max="3350" width="9.33203125" style="1049"/>
    <col min="3351" max="3351" width="20.5" style="1049" customWidth="1"/>
    <col min="3352" max="3353" width="11.83203125" style="1049" bestFit="1" customWidth="1"/>
    <col min="3354" max="3584" width="9.33203125" style="1049"/>
    <col min="3585" max="3585" width="24.1640625" style="1049" customWidth="1"/>
    <col min="3586" max="3586" width="6" style="1049" customWidth="1"/>
    <col min="3587" max="3596" width="0" style="1049" hidden="1" customWidth="1"/>
    <col min="3597" max="3597" width="13" style="1049" customWidth="1"/>
    <col min="3598" max="3598" width="12.83203125" style="1049" customWidth="1"/>
    <col min="3599" max="3599" width="12.5" style="1049" customWidth="1"/>
    <col min="3600" max="3600" width="13.1640625" style="1049" customWidth="1"/>
    <col min="3601" max="3601" width="20" style="1049" customWidth="1"/>
    <col min="3602" max="3602" width="12.33203125" style="1049" customWidth="1"/>
    <col min="3603" max="3605" width="13.1640625" style="1049" customWidth="1"/>
    <col min="3606" max="3606" width="9.33203125" style="1049"/>
    <col min="3607" max="3607" width="20.5" style="1049" customWidth="1"/>
    <col min="3608" max="3609" width="11.83203125" style="1049" bestFit="1" customWidth="1"/>
    <col min="3610" max="3840" width="9.33203125" style="1049"/>
    <col min="3841" max="3841" width="24.1640625" style="1049" customWidth="1"/>
    <col min="3842" max="3842" width="6" style="1049" customWidth="1"/>
    <col min="3843" max="3852" width="0" style="1049" hidden="1" customWidth="1"/>
    <col min="3853" max="3853" width="13" style="1049" customWidth="1"/>
    <col min="3854" max="3854" width="12.83203125" style="1049" customWidth="1"/>
    <col min="3855" max="3855" width="12.5" style="1049" customWidth="1"/>
    <col min="3856" max="3856" width="13.1640625" style="1049" customWidth="1"/>
    <col min="3857" max="3857" width="20" style="1049" customWidth="1"/>
    <col min="3858" max="3858" width="12.33203125" style="1049" customWidth="1"/>
    <col min="3859" max="3861" width="13.1640625" style="1049" customWidth="1"/>
    <col min="3862" max="3862" width="9.33203125" style="1049"/>
    <col min="3863" max="3863" width="20.5" style="1049" customWidth="1"/>
    <col min="3864" max="3865" width="11.83203125" style="1049" bestFit="1" customWidth="1"/>
    <col min="3866" max="4096" width="9.33203125" style="1049"/>
    <col min="4097" max="4097" width="24.1640625" style="1049" customWidth="1"/>
    <col min="4098" max="4098" width="6" style="1049" customWidth="1"/>
    <col min="4099" max="4108" width="0" style="1049" hidden="1" customWidth="1"/>
    <col min="4109" max="4109" width="13" style="1049" customWidth="1"/>
    <col min="4110" max="4110" width="12.83203125" style="1049" customWidth="1"/>
    <col min="4111" max="4111" width="12.5" style="1049" customWidth="1"/>
    <col min="4112" max="4112" width="13.1640625" style="1049" customWidth="1"/>
    <col min="4113" max="4113" width="20" style="1049" customWidth="1"/>
    <col min="4114" max="4114" width="12.33203125" style="1049" customWidth="1"/>
    <col min="4115" max="4117" width="13.1640625" style="1049" customWidth="1"/>
    <col min="4118" max="4118" width="9.33203125" style="1049"/>
    <col min="4119" max="4119" width="20.5" style="1049" customWidth="1"/>
    <col min="4120" max="4121" width="11.83203125" style="1049" bestFit="1" customWidth="1"/>
    <col min="4122" max="4352" width="9.33203125" style="1049"/>
    <col min="4353" max="4353" width="24.1640625" style="1049" customWidth="1"/>
    <col min="4354" max="4354" width="6" style="1049" customWidth="1"/>
    <col min="4355" max="4364" width="0" style="1049" hidden="1" customWidth="1"/>
    <col min="4365" max="4365" width="13" style="1049" customWidth="1"/>
    <col min="4366" max="4366" width="12.83203125" style="1049" customWidth="1"/>
    <col min="4367" max="4367" width="12.5" style="1049" customWidth="1"/>
    <col min="4368" max="4368" width="13.1640625" style="1049" customWidth="1"/>
    <col min="4369" max="4369" width="20" style="1049" customWidth="1"/>
    <col min="4370" max="4370" width="12.33203125" style="1049" customWidth="1"/>
    <col min="4371" max="4373" width="13.1640625" style="1049" customWidth="1"/>
    <col min="4374" max="4374" width="9.33203125" style="1049"/>
    <col min="4375" max="4375" width="20.5" style="1049" customWidth="1"/>
    <col min="4376" max="4377" width="11.83203125" style="1049" bestFit="1" customWidth="1"/>
    <col min="4378" max="4608" width="9.33203125" style="1049"/>
    <col min="4609" max="4609" width="24.1640625" style="1049" customWidth="1"/>
    <col min="4610" max="4610" width="6" style="1049" customWidth="1"/>
    <col min="4611" max="4620" width="0" style="1049" hidden="1" customWidth="1"/>
    <col min="4621" max="4621" width="13" style="1049" customWidth="1"/>
    <col min="4622" max="4622" width="12.83203125" style="1049" customWidth="1"/>
    <col min="4623" max="4623" width="12.5" style="1049" customWidth="1"/>
    <col min="4624" max="4624" width="13.1640625" style="1049" customWidth="1"/>
    <col min="4625" max="4625" width="20" style="1049" customWidth="1"/>
    <col min="4626" max="4626" width="12.33203125" style="1049" customWidth="1"/>
    <col min="4627" max="4629" width="13.1640625" style="1049" customWidth="1"/>
    <col min="4630" max="4630" width="9.33203125" style="1049"/>
    <col min="4631" max="4631" width="20.5" style="1049" customWidth="1"/>
    <col min="4632" max="4633" width="11.83203125" style="1049" bestFit="1" customWidth="1"/>
    <col min="4634" max="4864" width="9.33203125" style="1049"/>
    <col min="4865" max="4865" width="24.1640625" style="1049" customWidth="1"/>
    <col min="4866" max="4866" width="6" style="1049" customWidth="1"/>
    <col min="4867" max="4876" width="0" style="1049" hidden="1" customWidth="1"/>
    <col min="4877" max="4877" width="13" style="1049" customWidth="1"/>
    <col min="4878" max="4878" width="12.83203125" style="1049" customWidth="1"/>
    <col min="4879" max="4879" width="12.5" style="1049" customWidth="1"/>
    <col min="4880" max="4880" width="13.1640625" style="1049" customWidth="1"/>
    <col min="4881" max="4881" width="20" style="1049" customWidth="1"/>
    <col min="4882" max="4882" width="12.33203125" style="1049" customWidth="1"/>
    <col min="4883" max="4885" width="13.1640625" style="1049" customWidth="1"/>
    <col min="4886" max="4886" width="9.33203125" style="1049"/>
    <col min="4887" max="4887" width="20.5" style="1049" customWidth="1"/>
    <col min="4888" max="4889" width="11.83203125" style="1049" bestFit="1" customWidth="1"/>
    <col min="4890" max="5120" width="9.33203125" style="1049"/>
    <col min="5121" max="5121" width="24.1640625" style="1049" customWidth="1"/>
    <col min="5122" max="5122" width="6" style="1049" customWidth="1"/>
    <col min="5123" max="5132" width="0" style="1049" hidden="1" customWidth="1"/>
    <col min="5133" max="5133" width="13" style="1049" customWidth="1"/>
    <col min="5134" max="5134" width="12.83203125" style="1049" customWidth="1"/>
    <col min="5135" max="5135" width="12.5" style="1049" customWidth="1"/>
    <col min="5136" max="5136" width="13.1640625" style="1049" customWidth="1"/>
    <col min="5137" max="5137" width="20" style="1049" customWidth="1"/>
    <col min="5138" max="5138" width="12.33203125" style="1049" customWidth="1"/>
    <col min="5139" max="5141" width="13.1640625" style="1049" customWidth="1"/>
    <col min="5142" max="5142" width="9.33203125" style="1049"/>
    <col min="5143" max="5143" width="20.5" style="1049" customWidth="1"/>
    <col min="5144" max="5145" width="11.83203125" style="1049" bestFit="1" customWidth="1"/>
    <col min="5146" max="5376" width="9.33203125" style="1049"/>
    <col min="5377" max="5377" width="24.1640625" style="1049" customWidth="1"/>
    <col min="5378" max="5378" width="6" style="1049" customWidth="1"/>
    <col min="5379" max="5388" width="0" style="1049" hidden="1" customWidth="1"/>
    <col min="5389" max="5389" width="13" style="1049" customWidth="1"/>
    <col min="5390" max="5390" width="12.83203125" style="1049" customWidth="1"/>
    <col min="5391" max="5391" width="12.5" style="1049" customWidth="1"/>
    <col min="5392" max="5392" width="13.1640625" style="1049" customWidth="1"/>
    <col min="5393" max="5393" width="20" style="1049" customWidth="1"/>
    <col min="5394" max="5394" width="12.33203125" style="1049" customWidth="1"/>
    <col min="5395" max="5397" width="13.1640625" style="1049" customWidth="1"/>
    <col min="5398" max="5398" width="9.33203125" style="1049"/>
    <col min="5399" max="5399" width="20.5" style="1049" customWidth="1"/>
    <col min="5400" max="5401" width="11.83203125" style="1049" bestFit="1" customWidth="1"/>
    <col min="5402" max="5632" width="9.33203125" style="1049"/>
    <col min="5633" max="5633" width="24.1640625" style="1049" customWidth="1"/>
    <col min="5634" max="5634" width="6" style="1049" customWidth="1"/>
    <col min="5635" max="5644" width="0" style="1049" hidden="1" customWidth="1"/>
    <col min="5645" max="5645" width="13" style="1049" customWidth="1"/>
    <col min="5646" max="5646" width="12.83203125" style="1049" customWidth="1"/>
    <col min="5647" max="5647" width="12.5" style="1049" customWidth="1"/>
    <col min="5648" max="5648" width="13.1640625" style="1049" customWidth="1"/>
    <col min="5649" max="5649" width="20" style="1049" customWidth="1"/>
    <col min="5650" max="5650" width="12.33203125" style="1049" customWidth="1"/>
    <col min="5651" max="5653" width="13.1640625" style="1049" customWidth="1"/>
    <col min="5654" max="5654" width="9.33203125" style="1049"/>
    <col min="5655" max="5655" width="20.5" style="1049" customWidth="1"/>
    <col min="5656" max="5657" width="11.83203125" style="1049" bestFit="1" customWidth="1"/>
    <col min="5658" max="5888" width="9.33203125" style="1049"/>
    <col min="5889" max="5889" width="24.1640625" style="1049" customWidth="1"/>
    <col min="5890" max="5890" width="6" style="1049" customWidth="1"/>
    <col min="5891" max="5900" width="0" style="1049" hidden="1" customWidth="1"/>
    <col min="5901" max="5901" width="13" style="1049" customWidth="1"/>
    <col min="5902" max="5902" width="12.83203125" style="1049" customWidth="1"/>
    <col min="5903" max="5903" width="12.5" style="1049" customWidth="1"/>
    <col min="5904" max="5904" width="13.1640625" style="1049" customWidth="1"/>
    <col min="5905" max="5905" width="20" style="1049" customWidth="1"/>
    <col min="5906" max="5906" width="12.33203125" style="1049" customWidth="1"/>
    <col min="5907" max="5909" width="13.1640625" style="1049" customWidth="1"/>
    <col min="5910" max="5910" width="9.33203125" style="1049"/>
    <col min="5911" max="5911" width="20.5" style="1049" customWidth="1"/>
    <col min="5912" max="5913" width="11.83203125" style="1049" bestFit="1" customWidth="1"/>
    <col min="5914" max="6144" width="9.33203125" style="1049"/>
    <col min="6145" max="6145" width="24.1640625" style="1049" customWidth="1"/>
    <col min="6146" max="6146" width="6" style="1049" customWidth="1"/>
    <col min="6147" max="6156" width="0" style="1049" hidden="1" customWidth="1"/>
    <col min="6157" max="6157" width="13" style="1049" customWidth="1"/>
    <col min="6158" max="6158" width="12.83203125" style="1049" customWidth="1"/>
    <col min="6159" max="6159" width="12.5" style="1049" customWidth="1"/>
    <col min="6160" max="6160" width="13.1640625" style="1049" customWidth="1"/>
    <col min="6161" max="6161" width="20" style="1049" customWidth="1"/>
    <col min="6162" max="6162" width="12.33203125" style="1049" customWidth="1"/>
    <col min="6163" max="6165" width="13.1640625" style="1049" customWidth="1"/>
    <col min="6166" max="6166" width="9.33203125" style="1049"/>
    <col min="6167" max="6167" width="20.5" style="1049" customWidth="1"/>
    <col min="6168" max="6169" width="11.83203125" style="1049" bestFit="1" customWidth="1"/>
    <col min="6170" max="6400" width="9.33203125" style="1049"/>
    <col min="6401" max="6401" width="24.1640625" style="1049" customWidth="1"/>
    <col min="6402" max="6402" width="6" style="1049" customWidth="1"/>
    <col min="6403" max="6412" width="0" style="1049" hidden="1" customWidth="1"/>
    <col min="6413" max="6413" width="13" style="1049" customWidth="1"/>
    <col min="6414" max="6414" width="12.83203125" style="1049" customWidth="1"/>
    <col min="6415" max="6415" width="12.5" style="1049" customWidth="1"/>
    <col min="6416" max="6416" width="13.1640625" style="1049" customWidth="1"/>
    <col min="6417" max="6417" width="20" style="1049" customWidth="1"/>
    <col min="6418" max="6418" width="12.33203125" style="1049" customWidth="1"/>
    <col min="6419" max="6421" width="13.1640625" style="1049" customWidth="1"/>
    <col min="6422" max="6422" width="9.33203125" style="1049"/>
    <col min="6423" max="6423" width="20.5" style="1049" customWidth="1"/>
    <col min="6424" max="6425" width="11.83203125" style="1049" bestFit="1" customWidth="1"/>
    <col min="6426" max="6656" width="9.33203125" style="1049"/>
    <col min="6657" max="6657" width="24.1640625" style="1049" customWidth="1"/>
    <col min="6658" max="6658" width="6" style="1049" customWidth="1"/>
    <col min="6659" max="6668" width="0" style="1049" hidden="1" customWidth="1"/>
    <col min="6669" max="6669" width="13" style="1049" customWidth="1"/>
    <col min="6670" max="6670" width="12.83203125" style="1049" customWidth="1"/>
    <col min="6671" max="6671" width="12.5" style="1049" customWidth="1"/>
    <col min="6672" max="6672" width="13.1640625" style="1049" customWidth="1"/>
    <col min="6673" max="6673" width="20" style="1049" customWidth="1"/>
    <col min="6674" max="6674" width="12.33203125" style="1049" customWidth="1"/>
    <col min="6675" max="6677" width="13.1640625" style="1049" customWidth="1"/>
    <col min="6678" max="6678" width="9.33203125" style="1049"/>
    <col min="6679" max="6679" width="20.5" style="1049" customWidth="1"/>
    <col min="6680" max="6681" width="11.83203125" style="1049" bestFit="1" customWidth="1"/>
    <col min="6682" max="6912" width="9.33203125" style="1049"/>
    <col min="6913" max="6913" width="24.1640625" style="1049" customWidth="1"/>
    <col min="6914" max="6914" width="6" style="1049" customWidth="1"/>
    <col min="6915" max="6924" width="0" style="1049" hidden="1" customWidth="1"/>
    <col min="6925" max="6925" width="13" style="1049" customWidth="1"/>
    <col min="6926" max="6926" width="12.83203125" style="1049" customWidth="1"/>
    <col min="6927" max="6927" width="12.5" style="1049" customWidth="1"/>
    <col min="6928" max="6928" width="13.1640625" style="1049" customWidth="1"/>
    <col min="6929" max="6929" width="20" style="1049" customWidth="1"/>
    <col min="6930" max="6930" width="12.33203125" style="1049" customWidth="1"/>
    <col min="6931" max="6933" width="13.1640625" style="1049" customWidth="1"/>
    <col min="6934" max="6934" width="9.33203125" style="1049"/>
    <col min="6935" max="6935" width="20.5" style="1049" customWidth="1"/>
    <col min="6936" max="6937" width="11.83203125" style="1049" bestFit="1" customWidth="1"/>
    <col min="6938" max="7168" width="9.33203125" style="1049"/>
    <col min="7169" max="7169" width="24.1640625" style="1049" customWidth="1"/>
    <col min="7170" max="7170" width="6" style="1049" customWidth="1"/>
    <col min="7171" max="7180" width="0" style="1049" hidden="1" customWidth="1"/>
    <col min="7181" max="7181" width="13" style="1049" customWidth="1"/>
    <col min="7182" max="7182" width="12.83203125" style="1049" customWidth="1"/>
    <col min="7183" max="7183" width="12.5" style="1049" customWidth="1"/>
    <col min="7184" max="7184" width="13.1640625" style="1049" customWidth="1"/>
    <col min="7185" max="7185" width="20" style="1049" customWidth="1"/>
    <col min="7186" max="7186" width="12.33203125" style="1049" customWidth="1"/>
    <col min="7187" max="7189" width="13.1640625" style="1049" customWidth="1"/>
    <col min="7190" max="7190" width="9.33203125" style="1049"/>
    <col min="7191" max="7191" width="20.5" style="1049" customWidth="1"/>
    <col min="7192" max="7193" width="11.83203125" style="1049" bestFit="1" customWidth="1"/>
    <col min="7194" max="7424" width="9.33203125" style="1049"/>
    <col min="7425" max="7425" width="24.1640625" style="1049" customWidth="1"/>
    <col min="7426" max="7426" width="6" style="1049" customWidth="1"/>
    <col min="7427" max="7436" width="0" style="1049" hidden="1" customWidth="1"/>
    <col min="7437" max="7437" width="13" style="1049" customWidth="1"/>
    <col min="7438" max="7438" width="12.83203125" style="1049" customWidth="1"/>
    <col min="7439" max="7439" width="12.5" style="1049" customWidth="1"/>
    <col min="7440" max="7440" width="13.1640625" style="1049" customWidth="1"/>
    <col min="7441" max="7441" width="20" style="1049" customWidth="1"/>
    <col min="7442" max="7442" width="12.33203125" style="1049" customWidth="1"/>
    <col min="7443" max="7445" width="13.1640625" style="1049" customWidth="1"/>
    <col min="7446" max="7446" width="9.33203125" style="1049"/>
    <col min="7447" max="7447" width="20.5" style="1049" customWidth="1"/>
    <col min="7448" max="7449" width="11.83203125" style="1049" bestFit="1" customWidth="1"/>
    <col min="7450" max="7680" width="9.33203125" style="1049"/>
    <col min="7681" max="7681" width="24.1640625" style="1049" customWidth="1"/>
    <col min="7682" max="7682" width="6" style="1049" customWidth="1"/>
    <col min="7683" max="7692" width="0" style="1049" hidden="1" customWidth="1"/>
    <col min="7693" max="7693" width="13" style="1049" customWidth="1"/>
    <col min="7694" max="7694" width="12.83203125" style="1049" customWidth="1"/>
    <col min="7695" max="7695" width="12.5" style="1049" customWidth="1"/>
    <col min="7696" max="7696" width="13.1640625" style="1049" customWidth="1"/>
    <col min="7697" max="7697" width="20" style="1049" customWidth="1"/>
    <col min="7698" max="7698" width="12.33203125" style="1049" customWidth="1"/>
    <col min="7699" max="7701" width="13.1640625" style="1049" customWidth="1"/>
    <col min="7702" max="7702" width="9.33203125" style="1049"/>
    <col min="7703" max="7703" width="20.5" style="1049" customWidth="1"/>
    <col min="7704" max="7705" width="11.83203125" style="1049" bestFit="1" customWidth="1"/>
    <col min="7706" max="7936" width="9.33203125" style="1049"/>
    <col min="7937" max="7937" width="24.1640625" style="1049" customWidth="1"/>
    <col min="7938" max="7938" width="6" style="1049" customWidth="1"/>
    <col min="7939" max="7948" width="0" style="1049" hidden="1" customWidth="1"/>
    <col min="7949" max="7949" width="13" style="1049" customWidth="1"/>
    <col min="7950" max="7950" width="12.83203125" style="1049" customWidth="1"/>
    <col min="7951" max="7951" width="12.5" style="1049" customWidth="1"/>
    <col min="7952" max="7952" width="13.1640625" style="1049" customWidth="1"/>
    <col min="7953" max="7953" width="20" style="1049" customWidth="1"/>
    <col min="7954" max="7954" width="12.33203125" style="1049" customWidth="1"/>
    <col min="7955" max="7957" width="13.1640625" style="1049" customWidth="1"/>
    <col min="7958" max="7958" width="9.33203125" style="1049"/>
    <col min="7959" max="7959" width="20.5" style="1049" customWidth="1"/>
    <col min="7960" max="7961" width="11.83203125" style="1049" bestFit="1" customWidth="1"/>
    <col min="7962" max="8192" width="9.33203125" style="1049"/>
    <col min="8193" max="8193" width="24.1640625" style="1049" customWidth="1"/>
    <col min="8194" max="8194" width="6" style="1049" customWidth="1"/>
    <col min="8195" max="8204" width="0" style="1049" hidden="1" customWidth="1"/>
    <col min="8205" max="8205" width="13" style="1049" customWidth="1"/>
    <col min="8206" max="8206" width="12.83203125" style="1049" customWidth="1"/>
    <col min="8207" max="8207" width="12.5" style="1049" customWidth="1"/>
    <col min="8208" max="8208" width="13.1640625" style="1049" customWidth="1"/>
    <col min="8209" max="8209" width="20" style="1049" customWidth="1"/>
    <col min="8210" max="8210" width="12.33203125" style="1049" customWidth="1"/>
    <col min="8211" max="8213" width="13.1640625" style="1049" customWidth="1"/>
    <col min="8214" max="8214" width="9.33203125" style="1049"/>
    <col min="8215" max="8215" width="20.5" style="1049" customWidth="1"/>
    <col min="8216" max="8217" width="11.83203125" style="1049" bestFit="1" customWidth="1"/>
    <col min="8218" max="8448" width="9.33203125" style="1049"/>
    <col min="8449" max="8449" width="24.1640625" style="1049" customWidth="1"/>
    <col min="8450" max="8450" width="6" style="1049" customWidth="1"/>
    <col min="8451" max="8460" width="0" style="1049" hidden="1" customWidth="1"/>
    <col min="8461" max="8461" width="13" style="1049" customWidth="1"/>
    <col min="8462" max="8462" width="12.83203125" style="1049" customWidth="1"/>
    <col min="8463" max="8463" width="12.5" style="1049" customWidth="1"/>
    <col min="8464" max="8464" width="13.1640625" style="1049" customWidth="1"/>
    <col min="8465" max="8465" width="20" style="1049" customWidth="1"/>
    <col min="8466" max="8466" width="12.33203125" style="1049" customWidth="1"/>
    <col min="8467" max="8469" width="13.1640625" style="1049" customWidth="1"/>
    <col min="8470" max="8470" width="9.33203125" style="1049"/>
    <col min="8471" max="8471" width="20.5" style="1049" customWidth="1"/>
    <col min="8472" max="8473" width="11.83203125" style="1049" bestFit="1" customWidth="1"/>
    <col min="8474" max="8704" width="9.33203125" style="1049"/>
    <col min="8705" max="8705" width="24.1640625" style="1049" customWidth="1"/>
    <col min="8706" max="8706" width="6" style="1049" customWidth="1"/>
    <col min="8707" max="8716" width="0" style="1049" hidden="1" customWidth="1"/>
    <col min="8717" max="8717" width="13" style="1049" customWidth="1"/>
    <col min="8718" max="8718" width="12.83203125" style="1049" customWidth="1"/>
    <col min="8719" max="8719" width="12.5" style="1049" customWidth="1"/>
    <col min="8720" max="8720" width="13.1640625" style="1049" customWidth="1"/>
    <col min="8721" max="8721" width="20" style="1049" customWidth="1"/>
    <col min="8722" max="8722" width="12.33203125" style="1049" customWidth="1"/>
    <col min="8723" max="8725" width="13.1640625" style="1049" customWidth="1"/>
    <col min="8726" max="8726" width="9.33203125" style="1049"/>
    <col min="8727" max="8727" width="20.5" style="1049" customWidth="1"/>
    <col min="8728" max="8729" width="11.83203125" style="1049" bestFit="1" customWidth="1"/>
    <col min="8730" max="8960" width="9.33203125" style="1049"/>
    <col min="8961" max="8961" width="24.1640625" style="1049" customWidth="1"/>
    <col min="8962" max="8962" width="6" style="1049" customWidth="1"/>
    <col min="8963" max="8972" width="0" style="1049" hidden="1" customWidth="1"/>
    <col min="8973" max="8973" width="13" style="1049" customWidth="1"/>
    <col min="8974" max="8974" width="12.83203125" style="1049" customWidth="1"/>
    <col min="8975" max="8975" width="12.5" style="1049" customWidth="1"/>
    <col min="8976" max="8976" width="13.1640625" style="1049" customWidth="1"/>
    <col min="8977" max="8977" width="20" style="1049" customWidth="1"/>
    <col min="8978" max="8978" width="12.33203125" style="1049" customWidth="1"/>
    <col min="8979" max="8981" width="13.1640625" style="1049" customWidth="1"/>
    <col min="8982" max="8982" width="9.33203125" style="1049"/>
    <col min="8983" max="8983" width="20.5" style="1049" customWidth="1"/>
    <col min="8984" max="8985" width="11.83203125" style="1049" bestFit="1" customWidth="1"/>
    <col min="8986" max="9216" width="9.33203125" style="1049"/>
    <col min="9217" max="9217" width="24.1640625" style="1049" customWidth="1"/>
    <col min="9218" max="9218" width="6" style="1049" customWidth="1"/>
    <col min="9219" max="9228" width="0" style="1049" hidden="1" customWidth="1"/>
    <col min="9229" max="9229" width="13" style="1049" customWidth="1"/>
    <col min="9230" max="9230" width="12.83203125" style="1049" customWidth="1"/>
    <col min="9231" max="9231" width="12.5" style="1049" customWidth="1"/>
    <col min="9232" max="9232" width="13.1640625" style="1049" customWidth="1"/>
    <col min="9233" max="9233" width="20" style="1049" customWidth="1"/>
    <col min="9234" max="9234" width="12.33203125" style="1049" customWidth="1"/>
    <col min="9235" max="9237" width="13.1640625" style="1049" customWidth="1"/>
    <col min="9238" max="9238" width="9.33203125" style="1049"/>
    <col min="9239" max="9239" width="20.5" style="1049" customWidth="1"/>
    <col min="9240" max="9241" width="11.83203125" style="1049" bestFit="1" customWidth="1"/>
    <col min="9242" max="9472" width="9.33203125" style="1049"/>
    <col min="9473" max="9473" width="24.1640625" style="1049" customWidth="1"/>
    <col min="9474" max="9474" width="6" style="1049" customWidth="1"/>
    <col min="9475" max="9484" width="0" style="1049" hidden="1" customWidth="1"/>
    <col min="9485" max="9485" width="13" style="1049" customWidth="1"/>
    <col min="9486" max="9486" width="12.83203125" style="1049" customWidth="1"/>
    <col min="9487" max="9487" width="12.5" style="1049" customWidth="1"/>
    <col min="9488" max="9488" width="13.1640625" style="1049" customWidth="1"/>
    <col min="9489" max="9489" width="20" style="1049" customWidth="1"/>
    <col min="9490" max="9490" width="12.33203125" style="1049" customWidth="1"/>
    <col min="9491" max="9493" width="13.1640625" style="1049" customWidth="1"/>
    <col min="9494" max="9494" width="9.33203125" style="1049"/>
    <col min="9495" max="9495" width="20.5" style="1049" customWidth="1"/>
    <col min="9496" max="9497" width="11.83203125" style="1049" bestFit="1" customWidth="1"/>
    <col min="9498" max="9728" width="9.33203125" style="1049"/>
    <col min="9729" max="9729" width="24.1640625" style="1049" customWidth="1"/>
    <col min="9730" max="9730" width="6" style="1049" customWidth="1"/>
    <col min="9731" max="9740" width="0" style="1049" hidden="1" customWidth="1"/>
    <col min="9741" max="9741" width="13" style="1049" customWidth="1"/>
    <col min="9742" max="9742" width="12.83203125" style="1049" customWidth="1"/>
    <col min="9743" max="9743" width="12.5" style="1049" customWidth="1"/>
    <col min="9744" max="9744" width="13.1640625" style="1049" customWidth="1"/>
    <col min="9745" max="9745" width="20" style="1049" customWidth="1"/>
    <col min="9746" max="9746" width="12.33203125" style="1049" customWidth="1"/>
    <col min="9747" max="9749" width="13.1640625" style="1049" customWidth="1"/>
    <col min="9750" max="9750" width="9.33203125" style="1049"/>
    <col min="9751" max="9751" width="20.5" style="1049" customWidth="1"/>
    <col min="9752" max="9753" width="11.83203125" style="1049" bestFit="1" customWidth="1"/>
    <col min="9754" max="9984" width="9.33203125" style="1049"/>
    <col min="9985" max="9985" width="24.1640625" style="1049" customWidth="1"/>
    <col min="9986" max="9986" width="6" style="1049" customWidth="1"/>
    <col min="9987" max="9996" width="0" style="1049" hidden="1" customWidth="1"/>
    <col min="9997" max="9997" width="13" style="1049" customWidth="1"/>
    <col min="9998" max="9998" width="12.83203125" style="1049" customWidth="1"/>
    <col min="9999" max="9999" width="12.5" style="1049" customWidth="1"/>
    <col min="10000" max="10000" width="13.1640625" style="1049" customWidth="1"/>
    <col min="10001" max="10001" width="20" style="1049" customWidth="1"/>
    <col min="10002" max="10002" width="12.33203125" style="1049" customWidth="1"/>
    <col min="10003" max="10005" width="13.1640625" style="1049" customWidth="1"/>
    <col min="10006" max="10006" width="9.33203125" style="1049"/>
    <col min="10007" max="10007" width="20.5" style="1049" customWidth="1"/>
    <col min="10008" max="10009" width="11.83203125" style="1049" bestFit="1" customWidth="1"/>
    <col min="10010" max="10240" width="9.33203125" style="1049"/>
    <col min="10241" max="10241" width="24.1640625" style="1049" customWidth="1"/>
    <col min="10242" max="10242" width="6" style="1049" customWidth="1"/>
    <col min="10243" max="10252" width="0" style="1049" hidden="1" customWidth="1"/>
    <col min="10253" max="10253" width="13" style="1049" customWidth="1"/>
    <col min="10254" max="10254" width="12.83203125" style="1049" customWidth="1"/>
    <col min="10255" max="10255" width="12.5" style="1049" customWidth="1"/>
    <col min="10256" max="10256" width="13.1640625" style="1049" customWidth="1"/>
    <col min="10257" max="10257" width="20" style="1049" customWidth="1"/>
    <col min="10258" max="10258" width="12.33203125" style="1049" customWidth="1"/>
    <col min="10259" max="10261" width="13.1640625" style="1049" customWidth="1"/>
    <col min="10262" max="10262" width="9.33203125" style="1049"/>
    <col min="10263" max="10263" width="20.5" style="1049" customWidth="1"/>
    <col min="10264" max="10265" width="11.83203125" style="1049" bestFit="1" customWidth="1"/>
    <col min="10266" max="10496" width="9.33203125" style="1049"/>
    <col min="10497" max="10497" width="24.1640625" style="1049" customWidth="1"/>
    <col min="10498" max="10498" width="6" style="1049" customWidth="1"/>
    <col min="10499" max="10508" width="0" style="1049" hidden="1" customWidth="1"/>
    <col min="10509" max="10509" width="13" style="1049" customWidth="1"/>
    <col min="10510" max="10510" width="12.83203125" style="1049" customWidth="1"/>
    <col min="10511" max="10511" width="12.5" style="1049" customWidth="1"/>
    <col min="10512" max="10512" width="13.1640625" style="1049" customWidth="1"/>
    <col min="10513" max="10513" width="20" style="1049" customWidth="1"/>
    <col min="10514" max="10514" width="12.33203125" style="1049" customWidth="1"/>
    <col min="10515" max="10517" width="13.1640625" style="1049" customWidth="1"/>
    <col min="10518" max="10518" width="9.33203125" style="1049"/>
    <col min="10519" max="10519" width="20.5" style="1049" customWidth="1"/>
    <col min="10520" max="10521" width="11.83203125" style="1049" bestFit="1" customWidth="1"/>
    <col min="10522" max="10752" width="9.33203125" style="1049"/>
    <col min="10753" max="10753" width="24.1640625" style="1049" customWidth="1"/>
    <col min="10754" max="10754" width="6" style="1049" customWidth="1"/>
    <col min="10755" max="10764" width="0" style="1049" hidden="1" customWidth="1"/>
    <col min="10765" max="10765" width="13" style="1049" customWidth="1"/>
    <col min="10766" max="10766" width="12.83203125" style="1049" customWidth="1"/>
    <col min="10767" max="10767" width="12.5" style="1049" customWidth="1"/>
    <col min="10768" max="10768" width="13.1640625" style="1049" customWidth="1"/>
    <col min="10769" max="10769" width="20" style="1049" customWidth="1"/>
    <col min="10770" max="10770" width="12.33203125" style="1049" customWidth="1"/>
    <col min="10771" max="10773" width="13.1640625" style="1049" customWidth="1"/>
    <col min="10774" max="10774" width="9.33203125" style="1049"/>
    <col min="10775" max="10775" width="20.5" style="1049" customWidth="1"/>
    <col min="10776" max="10777" width="11.83203125" style="1049" bestFit="1" customWidth="1"/>
    <col min="10778" max="11008" width="9.33203125" style="1049"/>
    <col min="11009" max="11009" width="24.1640625" style="1049" customWidth="1"/>
    <col min="11010" max="11010" width="6" style="1049" customWidth="1"/>
    <col min="11011" max="11020" width="0" style="1049" hidden="1" customWidth="1"/>
    <col min="11021" max="11021" width="13" style="1049" customWidth="1"/>
    <col min="11022" max="11022" width="12.83203125" style="1049" customWidth="1"/>
    <col min="11023" max="11023" width="12.5" style="1049" customWidth="1"/>
    <col min="11024" max="11024" width="13.1640625" style="1049" customWidth="1"/>
    <col min="11025" max="11025" width="20" style="1049" customWidth="1"/>
    <col min="11026" max="11026" width="12.33203125" style="1049" customWidth="1"/>
    <col min="11027" max="11029" width="13.1640625" style="1049" customWidth="1"/>
    <col min="11030" max="11030" width="9.33203125" style="1049"/>
    <col min="11031" max="11031" width="20.5" style="1049" customWidth="1"/>
    <col min="11032" max="11033" width="11.83203125" style="1049" bestFit="1" customWidth="1"/>
    <col min="11034" max="11264" width="9.33203125" style="1049"/>
    <col min="11265" max="11265" width="24.1640625" style="1049" customWidth="1"/>
    <col min="11266" max="11266" width="6" style="1049" customWidth="1"/>
    <col min="11267" max="11276" width="0" style="1049" hidden="1" customWidth="1"/>
    <col min="11277" max="11277" width="13" style="1049" customWidth="1"/>
    <col min="11278" max="11278" width="12.83203125" style="1049" customWidth="1"/>
    <col min="11279" max="11279" width="12.5" style="1049" customWidth="1"/>
    <col min="11280" max="11280" width="13.1640625" style="1049" customWidth="1"/>
    <col min="11281" max="11281" width="20" style="1049" customWidth="1"/>
    <col min="11282" max="11282" width="12.33203125" style="1049" customWidth="1"/>
    <col min="11283" max="11285" width="13.1640625" style="1049" customWidth="1"/>
    <col min="11286" max="11286" width="9.33203125" style="1049"/>
    <col min="11287" max="11287" width="20.5" style="1049" customWidth="1"/>
    <col min="11288" max="11289" width="11.83203125" style="1049" bestFit="1" customWidth="1"/>
    <col min="11290" max="11520" width="9.33203125" style="1049"/>
    <col min="11521" max="11521" width="24.1640625" style="1049" customWidth="1"/>
    <col min="11522" max="11522" width="6" style="1049" customWidth="1"/>
    <col min="11523" max="11532" width="0" style="1049" hidden="1" customWidth="1"/>
    <col min="11533" max="11533" width="13" style="1049" customWidth="1"/>
    <col min="11534" max="11534" width="12.83203125" style="1049" customWidth="1"/>
    <col min="11535" max="11535" width="12.5" style="1049" customWidth="1"/>
    <col min="11536" max="11536" width="13.1640625" style="1049" customWidth="1"/>
    <col min="11537" max="11537" width="20" style="1049" customWidth="1"/>
    <col min="11538" max="11538" width="12.33203125" style="1049" customWidth="1"/>
    <col min="11539" max="11541" width="13.1640625" style="1049" customWidth="1"/>
    <col min="11542" max="11542" width="9.33203125" style="1049"/>
    <col min="11543" max="11543" width="20.5" style="1049" customWidth="1"/>
    <col min="11544" max="11545" width="11.83203125" style="1049" bestFit="1" customWidth="1"/>
    <col min="11546" max="11776" width="9.33203125" style="1049"/>
    <col min="11777" max="11777" width="24.1640625" style="1049" customWidth="1"/>
    <col min="11778" max="11778" width="6" style="1049" customWidth="1"/>
    <col min="11779" max="11788" width="0" style="1049" hidden="1" customWidth="1"/>
    <col min="11789" max="11789" width="13" style="1049" customWidth="1"/>
    <col min="11790" max="11790" width="12.83203125" style="1049" customWidth="1"/>
    <col min="11791" max="11791" width="12.5" style="1049" customWidth="1"/>
    <col min="11792" max="11792" width="13.1640625" style="1049" customWidth="1"/>
    <col min="11793" max="11793" width="20" style="1049" customWidth="1"/>
    <col min="11794" max="11794" width="12.33203125" style="1049" customWidth="1"/>
    <col min="11795" max="11797" width="13.1640625" style="1049" customWidth="1"/>
    <col min="11798" max="11798" width="9.33203125" style="1049"/>
    <col min="11799" max="11799" width="20.5" style="1049" customWidth="1"/>
    <col min="11800" max="11801" width="11.83203125" style="1049" bestFit="1" customWidth="1"/>
    <col min="11802" max="12032" width="9.33203125" style="1049"/>
    <col min="12033" max="12033" width="24.1640625" style="1049" customWidth="1"/>
    <col min="12034" max="12034" width="6" style="1049" customWidth="1"/>
    <col min="12035" max="12044" width="0" style="1049" hidden="1" customWidth="1"/>
    <col min="12045" max="12045" width="13" style="1049" customWidth="1"/>
    <col min="12046" max="12046" width="12.83203125" style="1049" customWidth="1"/>
    <col min="12047" max="12047" width="12.5" style="1049" customWidth="1"/>
    <col min="12048" max="12048" width="13.1640625" style="1049" customWidth="1"/>
    <col min="12049" max="12049" width="20" style="1049" customWidth="1"/>
    <col min="12050" max="12050" width="12.33203125" style="1049" customWidth="1"/>
    <col min="12051" max="12053" width="13.1640625" style="1049" customWidth="1"/>
    <col min="12054" max="12054" width="9.33203125" style="1049"/>
    <col min="12055" max="12055" width="20.5" style="1049" customWidth="1"/>
    <col min="12056" max="12057" width="11.83203125" style="1049" bestFit="1" customWidth="1"/>
    <col min="12058" max="12288" width="9.33203125" style="1049"/>
    <col min="12289" max="12289" width="24.1640625" style="1049" customWidth="1"/>
    <col min="12290" max="12290" width="6" style="1049" customWidth="1"/>
    <col min="12291" max="12300" width="0" style="1049" hidden="1" customWidth="1"/>
    <col min="12301" max="12301" width="13" style="1049" customWidth="1"/>
    <col min="12302" max="12302" width="12.83203125" style="1049" customWidth="1"/>
    <col min="12303" max="12303" width="12.5" style="1049" customWidth="1"/>
    <col min="12304" max="12304" width="13.1640625" style="1049" customWidth="1"/>
    <col min="12305" max="12305" width="20" style="1049" customWidth="1"/>
    <col min="12306" max="12306" width="12.33203125" style="1049" customWidth="1"/>
    <col min="12307" max="12309" width="13.1640625" style="1049" customWidth="1"/>
    <col min="12310" max="12310" width="9.33203125" style="1049"/>
    <col min="12311" max="12311" width="20.5" style="1049" customWidth="1"/>
    <col min="12312" max="12313" width="11.83203125" style="1049" bestFit="1" customWidth="1"/>
    <col min="12314" max="12544" width="9.33203125" style="1049"/>
    <col min="12545" max="12545" width="24.1640625" style="1049" customWidth="1"/>
    <col min="12546" max="12546" width="6" style="1049" customWidth="1"/>
    <col min="12547" max="12556" width="0" style="1049" hidden="1" customWidth="1"/>
    <col min="12557" max="12557" width="13" style="1049" customWidth="1"/>
    <col min="12558" max="12558" width="12.83203125" style="1049" customWidth="1"/>
    <col min="12559" max="12559" width="12.5" style="1049" customWidth="1"/>
    <col min="12560" max="12560" width="13.1640625" style="1049" customWidth="1"/>
    <col min="12561" max="12561" width="20" style="1049" customWidth="1"/>
    <col min="12562" max="12562" width="12.33203125" style="1049" customWidth="1"/>
    <col min="12563" max="12565" width="13.1640625" style="1049" customWidth="1"/>
    <col min="12566" max="12566" width="9.33203125" style="1049"/>
    <col min="12567" max="12567" width="20.5" style="1049" customWidth="1"/>
    <col min="12568" max="12569" width="11.83203125" style="1049" bestFit="1" customWidth="1"/>
    <col min="12570" max="12800" width="9.33203125" style="1049"/>
    <col min="12801" max="12801" width="24.1640625" style="1049" customWidth="1"/>
    <col min="12802" max="12802" width="6" style="1049" customWidth="1"/>
    <col min="12803" max="12812" width="0" style="1049" hidden="1" customWidth="1"/>
    <col min="12813" max="12813" width="13" style="1049" customWidth="1"/>
    <col min="12814" max="12814" width="12.83203125" style="1049" customWidth="1"/>
    <col min="12815" max="12815" width="12.5" style="1049" customWidth="1"/>
    <col min="12816" max="12816" width="13.1640625" style="1049" customWidth="1"/>
    <col min="12817" max="12817" width="20" style="1049" customWidth="1"/>
    <col min="12818" max="12818" width="12.33203125" style="1049" customWidth="1"/>
    <col min="12819" max="12821" width="13.1640625" style="1049" customWidth="1"/>
    <col min="12822" max="12822" width="9.33203125" style="1049"/>
    <col min="12823" max="12823" width="20.5" style="1049" customWidth="1"/>
    <col min="12824" max="12825" width="11.83203125" style="1049" bestFit="1" customWidth="1"/>
    <col min="12826" max="13056" width="9.33203125" style="1049"/>
    <col min="13057" max="13057" width="24.1640625" style="1049" customWidth="1"/>
    <col min="13058" max="13058" width="6" style="1049" customWidth="1"/>
    <col min="13059" max="13068" width="0" style="1049" hidden="1" customWidth="1"/>
    <col min="13069" max="13069" width="13" style="1049" customWidth="1"/>
    <col min="13070" max="13070" width="12.83203125" style="1049" customWidth="1"/>
    <col min="13071" max="13071" width="12.5" style="1049" customWidth="1"/>
    <col min="13072" max="13072" width="13.1640625" style="1049" customWidth="1"/>
    <col min="13073" max="13073" width="20" style="1049" customWidth="1"/>
    <col min="13074" max="13074" width="12.33203125" style="1049" customWidth="1"/>
    <col min="13075" max="13077" width="13.1640625" style="1049" customWidth="1"/>
    <col min="13078" max="13078" width="9.33203125" style="1049"/>
    <col min="13079" max="13079" width="20.5" style="1049" customWidth="1"/>
    <col min="13080" max="13081" width="11.83203125" style="1049" bestFit="1" customWidth="1"/>
    <col min="13082" max="13312" width="9.33203125" style="1049"/>
    <col min="13313" max="13313" width="24.1640625" style="1049" customWidth="1"/>
    <col min="13314" max="13314" width="6" style="1049" customWidth="1"/>
    <col min="13315" max="13324" width="0" style="1049" hidden="1" customWidth="1"/>
    <col min="13325" max="13325" width="13" style="1049" customWidth="1"/>
    <col min="13326" max="13326" width="12.83203125" style="1049" customWidth="1"/>
    <col min="13327" max="13327" width="12.5" style="1049" customWidth="1"/>
    <col min="13328" max="13328" width="13.1640625" style="1049" customWidth="1"/>
    <col min="13329" max="13329" width="20" style="1049" customWidth="1"/>
    <col min="13330" max="13330" width="12.33203125" style="1049" customWidth="1"/>
    <col min="13331" max="13333" width="13.1640625" style="1049" customWidth="1"/>
    <col min="13334" max="13334" width="9.33203125" style="1049"/>
    <col min="13335" max="13335" width="20.5" style="1049" customWidth="1"/>
    <col min="13336" max="13337" width="11.83203125" style="1049" bestFit="1" customWidth="1"/>
    <col min="13338" max="13568" width="9.33203125" style="1049"/>
    <col min="13569" max="13569" width="24.1640625" style="1049" customWidth="1"/>
    <col min="13570" max="13570" width="6" style="1049" customWidth="1"/>
    <col min="13571" max="13580" width="0" style="1049" hidden="1" customWidth="1"/>
    <col min="13581" max="13581" width="13" style="1049" customWidth="1"/>
    <col min="13582" max="13582" width="12.83203125" style="1049" customWidth="1"/>
    <col min="13583" max="13583" width="12.5" style="1049" customWidth="1"/>
    <col min="13584" max="13584" width="13.1640625" style="1049" customWidth="1"/>
    <col min="13585" max="13585" width="20" style="1049" customWidth="1"/>
    <col min="13586" max="13586" width="12.33203125" style="1049" customWidth="1"/>
    <col min="13587" max="13589" width="13.1640625" style="1049" customWidth="1"/>
    <col min="13590" max="13590" width="9.33203125" style="1049"/>
    <col min="13591" max="13591" width="20.5" style="1049" customWidth="1"/>
    <col min="13592" max="13593" width="11.83203125" style="1049" bestFit="1" customWidth="1"/>
    <col min="13594" max="13824" width="9.33203125" style="1049"/>
    <col min="13825" max="13825" width="24.1640625" style="1049" customWidth="1"/>
    <col min="13826" max="13826" width="6" style="1049" customWidth="1"/>
    <col min="13827" max="13836" width="0" style="1049" hidden="1" customWidth="1"/>
    <col min="13837" max="13837" width="13" style="1049" customWidth="1"/>
    <col min="13838" max="13838" width="12.83203125" style="1049" customWidth="1"/>
    <col min="13839" max="13839" width="12.5" style="1049" customWidth="1"/>
    <col min="13840" max="13840" width="13.1640625" style="1049" customWidth="1"/>
    <col min="13841" max="13841" width="20" style="1049" customWidth="1"/>
    <col min="13842" max="13842" width="12.33203125" style="1049" customWidth="1"/>
    <col min="13843" max="13845" width="13.1640625" style="1049" customWidth="1"/>
    <col min="13846" max="13846" width="9.33203125" style="1049"/>
    <col min="13847" max="13847" width="20.5" style="1049" customWidth="1"/>
    <col min="13848" max="13849" width="11.83203125" style="1049" bestFit="1" customWidth="1"/>
    <col min="13850" max="14080" width="9.33203125" style="1049"/>
    <col min="14081" max="14081" width="24.1640625" style="1049" customWidth="1"/>
    <col min="14082" max="14082" width="6" style="1049" customWidth="1"/>
    <col min="14083" max="14092" width="0" style="1049" hidden="1" customWidth="1"/>
    <col min="14093" max="14093" width="13" style="1049" customWidth="1"/>
    <col min="14094" max="14094" width="12.83203125" style="1049" customWidth="1"/>
    <col min="14095" max="14095" width="12.5" style="1049" customWidth="1"/>
    <col min="14096" max="14096" width="13.1640625" style="1049" customWidth="1"/>
    <col min="14097" max="14097" width="20" style="1049" customWidth="1"/>
    <col min="14098" max="14098" width="12.33203125" style="1049" customWidth="1"/>
    <col min="14099" max="14101" width="13.1640625" style="1049" customWidth="1"/>
    <col min="14102" max="14102" width="9.33203125" style="1049"/>
    <col min="14103" max="14103" width="20.5" style="1049" customWidth="1"/>
    <col min="14104" max="14105" width="11.83203125" style="1049" bestFit="1" customWidth="1"/>
    <col min="14106" max="14336" width="9.33203125" style="1049"/>
    <col min="14337" max="14337" width="24.1640625" style="1049" customWidth="1"/>
    <col min="14338" max="14338" width="6" style="1049" customWidth="1"/>
    <col min="14339" max="14348" width="0" style="1049" hidden="1" customWidth="1"/>
    <col min="14349" max="14349" width="13" style="1049" customWidth="1"/>
    <col min="14350" max="14350" width="12.83203125" style="1049" customWidth="1"/>
    <col min="14351" max="14351" width="12.5" style="1049" customWidth="1"/>
    <col min="14352" max="14352" width="13.1640625" style="1049" customWidth="1"/>
    <col min="14353" max="14353" width="20" style="1049" customWidth="1"/>
    <col min="14354" max="14354" width="12.33203125" style="1049" customWidth="1"/>
    <col min="14355" max="14357" width="13.1640625" style="1049" customWidth="1"/>
    <col min="14358" max="14358" width="9.33203125" style="1049"/>
    <col min="14359" max="14359" width="20.5" style="1049" customWidth="1"/>
    <col min="14360" max="14361" width="11.83203125" style="1049" bestFit="1" customWidth="1"/>
    <col min="14362" max="14592" width="9.33203125" style="1049"/>
    <col min="14593" max="14593" width="24.1640625" style="1049" customWidth="1"/>
    <col min="14594" max="14594" width="6" style="1049" customWidth="1"/>
    <col min="14595" max="14604" width="0" style="1049" hidden="1" customWidth="1"/>
    <col min="14605" max="14605" width="13" style="1049" customWidth="1"/>
    <col min="14606" max="14606" width="12.83203125" style="1049" customWidth="1"/>
    <col min="14607" max="14607" width="12.5" style="1049" customWidth="1"/>
    <col min="14608" max="14608" width="13.1640625" style="1049" customWidth="1"/>
    <col min="14609" max="14609" width="20" style="1049" customWidth="1"/>
    <col min="14610" max="14610" width="12.33203125" style="1049" customWidth="1"/>
    <col min="14611" max="14613" width="13.1640625" style="1049" customWidth="1"/>
    <col min="14614" max="14614" width="9.33203125" style="1049"/>
    <col min="14615" max="14615" width="20.5" style="1049" customWidth="1"/>
    <col min="14616" max="14617" width="11.83203125" style="1049" bestFit="1" customWidth="1"/>
    <col min="14618" max="14848" width="9.33203125" style="1049"/>
    <col min="14849" max="14849" width="24.1640625" style="1049" customWidth="1"/>
    <col min="14850" max="14850" width="6" style="1049" customWidth="1"/>
    <col min="14851" max="14860" width="0" style="1049" hidden="1" customWidth="1"/>
    <col min="14861" max="14861" width="13" style="1049" customWidth="1"/>
    <col min="14862" max="14862" width="12.83203125" style="1049" customWidth="1"/>
    <col min="14863" max="14863" width="12.5" style="1049" customWidth="1"/>
    <col min="14864" max="14864" width="13.1640625" style="1049" customWidth="1"/>
    <col min="14865" max="14865" width="20" style="1049" customWidth="1"/>
    <col min="14866" max="14866" width="12.33203125" style="1049" customWidth="1"/>
    <col min="14867" max="14869" width="13.1640625" style="1049" customWidth="1"/>
    <col min="14870" max="14870" width="9.33203125" style="1049"/>
    <col min="14871" max="14871" width="20.5" style="1049" customWidth="1"/>
    <col min="14872" max="14873" width="11.83203125" style="1049" bestFit="1" customWidth="1"/>
    <col min="14874" max="15104" width="9.33203125" style="1049"/>
    <col min="15105" max="15105" width="24.1640625" style="1049" customWidth="1"/>
    <col min="15106" max="15106" width="6" style="1049" customWidth="1"/>
    <col min="15107" max="15116" width="0" style="1049" hidden="1" customWidth="1"/>
    <col min="15117" max="15117" width="13" style="1049" customWidth="1"/>
    <col min="15118" max="15118" width="12.83203125" style="1049" customWidth="1"/>
    <col min="15119" max="15119" width="12.5" style="1049" customWidth="1"/>
    <col min="15120" max="15120" width="13.1640625" style="1049" customWidth="1"/>
    <col min="15121" max="15121" width="20" style="1049" customWidth="1"/>
    <col min="15122" max="15122" width="12.33203125" style="1049" customWidth="1"/>
    <col min="15123" max="15125" width="13.1640625" style="1049" customWidth="1"/>
    <col min="15126" max="15126" width="9.33203125" style="1049"/>
    <col min="15127" max="15127" width="20.5" style="1049" customWidth="1"/>
    <col min="15128" max="15129" width="11.83203125" style="1049" bestFit="1" customWidth="1"/>
    <col min="15130" max="15360" width="9.33203125" style="1049"/>
    <col min="15361" max="15361" width="24.1640625" style="1049" customWidth="1"/>
    <col min="15362" max="15362" width="6" style="1049" customWidth="1"/>
    <col min="15363" max="15372" width="0" style="1049" hidden="1" customWidth="1"/>
    <col min="15373" max="15373" width="13" style="1049" customWidth="1"/>
    <col min="15374" max="15374" width="12.83203125" style="1049" customWidth="1"/>
    <col min="15375" max="15375" width="12.5" style="1049" customWidth="1"/>
    <col min="15376" max="15376" width="13.1640625" style="1049" customWidth="1"/>
    <col min="15377" max="15377" width="20" style="1049" customWidth="1"/>
    <col min="15378" max="15378" width="12.33203125" style="1049" customWidth="1"/>
    <col min="15379" max="15381" width="13.1640625" style="1049" customWidth="1"/>
    <col min="15382" max="15382" width="9.33203125" style="1049"/>
    <col min="15383" max="15383" width="20.5" style="1049" customWidth="1"/>
    <col min="15384" max="15385" width="11.83203125" style="1049" bestFit="1" customWidth="1"/>
    <col min="15386" max="15616" width="9.33203125" style="1049"/>
    <col min="15617" max="15617" width="24.1640625" style="1049" customWidth="1"/>
    <col min="15618" max="15618" width="6" style="1049" customWidth="1"/>
    <col min="15619" max="15628" width="0" style="1049" hidden="1" customWidth="1"/>
    <col min="15629" max="15629" width="13" style="1049" customWidth="1"/>
    <col min="15630" max="15630" width="12.83203125" style="1049" customWidth="1"/>
    <col min="15631" max="15631" width="12.5" style="1049" customWidth="1"/>
    <col min="15632" max="15632" width="13.1640625" style="1049" customWidth="1"/>
    <col min="15633" max="15633" width="20" style="1049" customWidth="1"/>
    <col min="15634" max="15634" width="12.33203125" style="1049" customWidth="1"/>
    <col min="15635" max="15637" width="13.1640625" style="1049" customWidth="1"/>
    <col min="15638" max="15638" width="9.33203125" style="1049"/>
    <col min="15639" max="15639" width="20.5" style="1049" customWidth="1"/>
    <col min="15640" max="15641" width="11.83203125" style="1049" bestFit="1" customWidth="1"/>
    <col min="15642" max="15872" width="9.33203125" style="1049"/>
    <col min="15873" max="15873" width="24.1640625" style="1049" customWidth="1"/>
    <col min="15874" max="15874" width="6" style="1049" customWidth="1"/>
    <col min="15875" max="15884" width="0" style="1049" hidden="1" customWidth="1"/>
    <col min="15885" max="15885" width="13" style="1049" customWidth="1"/>
    <col min="15886" max="15886" width="12.83203125" style="1049" customWidth="1"/>
    <col min="15887" max="15887" width="12.5" style="1049" customWidth="1"/>
    <col min="15888" max="15888" width="13.1640625" style="1049" customWidth="1"/>
    <col min="15889" max="15889" width="20" style="1049" customWidth="1"/>
    <col min="15890" max="15890" width="12.33203125" style="1049" customWidth="1"/>
    <col min="15891" max="15893" width="13.1640625" style="1049" customWidth="1"/>
    <col min="15894" max="15894" width="9.33203125" style="1049"/>
    <col min="15895" max="15895" width="20.5" style="1049" customWidth="1"/>
    <col min="15896" max="15897" width="11.83203125" style="1049" bestFit="1" customWidth="1"/>
    <col min="15898" max="16128" width="9.33203125" style="1049"/>
    <col min="16129" max="16129" width="24.1640625" style="1049" customWidth="1"/>
    <col min="16130" max="16130" width="6" style="1049" customWidth="1"/>
    <col min="16131" max="16140" width="0" style="1049" hidden="1" customWidth="1"/>
    <col min="16141" max="16141" width="13" style="1049" customWidth="1"/>
    <col min="16142" max="16142" width="12.83203125" style="1049" customWidth="1"/>
    <col min="16143" max="16143" width="12.5" style="1049" customWidth="1"/>
    <col min="16144" max="16144" width="13.1640625" style="1049" customWidth="1"/>
    <col min="16145" max="16145" width="20" style="1049" customWidth="1"/>
    <col min="16146" max="16146" width="12.33203125" style="1049" customWidth="1"/>
    <col min="16147" max="16149" width="13.1640625" style="1049" customWidth="1"/>
    <col min="16150" max="16150" width="9.33203125" style="1049"/>
    <col min="16151" max="16151" width="20.5" style="1049" customWidth="1"/>
    <col min="16152" max="16153" width="11.83203125" style="1049" bestFit="1" customWidth="1"/>
    <col min="16154" max="16384" width="9.33203125" style="1049"/>
  </cols>
  <sheetData>
    <row r="1" spans="1:25" x14ac:dyDescent="0.2">
      <c r="A1" s="1048"/>
      <c r="F1" s="1050" t="s">
        <v>518</v>
      </c>
      <c r="G1" s="1050"/>
      <c r="H1" s="1050"/>
      <c r="I1" s="1050"/>
      <c r="J1" s="1050"/>
      <c r="K1" s="1050"/>
      <c r="L1" s="1048"/>
      <c r="M1" s="1048"/>
      <c r="N1" s="1048"/>
      <c r="O1" s="1048"/>
      <c r="P1" s="1048"/>
      <c r="Q1" s="1048"/>
      <c r="R1" s="1048"/>
      <c r="S1" s="1048"/>
      <c r="T1" s="1048"/>
      <c r="U1" s="1048"/>
    </row>
    <row r="2" spans="1:25" ht="40.5" customHeight="1" x14ac:dyDescent="0.2">
      <c r="A2" s="3578" t="s">
        <v>2013</v>
      </c>
      <c r="B2" s="3578"/>
      <c r="C2" s="3578"/>
      <c r="D2" s="3578"/>
      <c r="E2" s="3578"/>
      <c r="F2" s="3578"/>
      <c r="G2" s="3578"/>
      <c r="H2" s="3578"/>
      <c r="I2" s="3578"/>
      <c r="J2" s="3578"/>
      <c r="K2" s="3578"/>
      <c r="L2" s="3578"/>
      <c r="M2" s="3578"/>
      <c r="N2" s="3578"/>
      <c r="O2" s="3578"/>
      <c r="P2" s="3578"/>
      <c r="Q2" s="3578"/>
      <c r="R2" s="3578"/>
      <c r="S2" s="3578"/>
      <c r="T2" s="3578"/>
      <c r="U2" s="3578"/>
      <c r="V2" s="1051"/>
      <c r="W2" s="1051"/>
    </row>
    <row r="3" spans="1:25" ht="15.75" customHeight="1" x14ac:dyDescent="0.2">
      <c r="A3" s="1249"/>
      <c r="B3" s="1249"/>
      <c r="C3" s="1249"/>
      <c r="D3" s="1249"/>
      <c r="E3" s="1249"/>
      <c r="F3" s="1249"/>
      <c r="G3" s="1249"/>
      <c r="H3" s="1249"/>
      <c r="I3" s="1249"/>
      <c r="J3" s="1249"/>
      <c r="K3" s="1249"/>
      <c r="L3" s="1249"/>
      <c r="M3" s="1249"/>
      <c r="N3" s="1249"/>
      <c r="O3" s="1249"/>
      <c r="P3" s="1249"/>
      <c r="Q3" s="1249"/>
      <c r="R3" s="1249"/>
      <c r="S3" s="1249"/>
      <c r="T3" s="1249"/>
      <c r="U3" s="1249"/>
      <c r="V3" s="1051"/>
      <c r="W3" s="1051"/>
    </row>
    <row r="4" spans="1:25" ht="15.75" customHeight="1" x14ac:dyDescent="0.2">
      <c r="A4" s="3578" t="s">
        <v>2014</v>
      </c>
      <c r="B4" s="3578"/>
      <c r="C4" s="3578"/>
      <c r="D4" s="3578"/>
      <c r="E4" s="3578"/>
      <c r="F4" s="3578"/>
      <c r="G4" s="3578"/>
      <c r="H4" s="3578"/>
      <c r="I4" s="3578"/>
      <c r="J4" s="3578"/>
      <c r="K4" s="3578"/>
      <c r="L4" s="3578"/>
      <c r="M4" s="3578"/>
      <c r="N4" s="3578"/>
      <c r="O4" s="3578"/>
      <c r="P4" s="3578"/>
      <c r="Q4" s="3578"/>
      <c r="R4" s="3578"/>
      <c r="S4" s="3578"/>
      <c r="T4" s="3578"/>
      <c r="U4" s="3578"/>
      <c r="V4" s="1051"/>
      <c r="W4" s="1051"/>
    </row>
    <row r="5" spans="1:25" ht="13.5" thickBot="1" x14ac:dyDescent="0.25">
      <c r="A5" s="1048"/>
      <c r="B5" s="1048"/>
      <c r="C5" s="1048"/>
      <c r="D5" s="1048"/>
      <c r="E5" s="1048"/>
      <c r="F5" s="1048"/>
      <c r="G5" s="1048"/>
      <c r="H5" s="1048"/>
      <c r="I5" s="1048"/>
      <c r="J5" s="1048"/>
      <c r="K5" s="1048"/>
      <c r="L5" s="1048"/>
      <c r="M5" s="1048"/>
      <c r="N5" s="1048"/>
      <c r="O5" s="1048"/>
      <c r="P5" s="1048"/>
      <c r="Q5" s="1048"/>
      <c r="R5" s="1048"/>
      <c r="S5" s="1048"/>
      <c r="T5" s="1048"/>
      <c r="U5" s="2052">
        <v>43831</v>
      </c>
    </row>
    <row r="6" spans="1:25" ht="12.75" customHeight="1" x14ac:dyDescent="0.2">
      <c r="A6" s="1052"/>
      <c r="B6" s="3594" t="s">
        <v>519</v>
      </c>
      <c r="C6" s="3607" t="s">
        <v>520</v>
      </c>
      <c r="D6" s="3608"/>
      <c r="E6" s="3607" t="s">
        <v>521</v>
      </c>
      <c r="F6" s="3608"/>
      <c r="G6" s="3607" t="s">
        <v>522</v>
      </c>
      <c r="H6" s="3608"/>
      <c r="I6" s="3607" t="s">
        <v>447</v>
      </c>
      <c r="J6" s="3609"/>
      <c r="K6" s="3609"/>
      <c r="L6" s="3608"/>
      <c r="M6" s="3610" t="s">
        <v>523</v>
      </c>
      <c r="N6" s="3609"/>
      <c r="O6" s="3609"/>
      <c r="P6" s="3609"/>
      <c r="Q6" s="3611"/>
      <c r="R6" s="3611"/>
      <c r="S6" s="3608"/>
      <c r="T6" s="3601" t="s">
        <v>524</v>
      </c>
      <c r="U6" s="3603" t="s">
        <v>525</v>
      </c>
      <c r="W6" s="3605" t="s">
        <v>526</v>
      </c>
    </row>
    <row r="7" spans="1:25" x14ac:dyDescent="0.2">
      <c r="A7" s="1053"/>
      <c r="B7" s="3595"/>
      <c r="C7" s="3585"/>
      <c r="D7" s="3587"/>
      <c r="E7" s="3585"/>
      <c r="F7" s="3587"/>
      <c r="G7" s="3585"/>
      <c r="H7" s="3587"/>
      <c r="I7" s="3585" t="s">
        <v>331</v>
      </c>
      <c r="J7" s="3586"/>
      <c r="K7" s="3586" t="s">
        <v>527</v>
      </c>
      <c r="L7" s="3587"/>
      <c r="M7" s="3612"/>
      <c r="N7" s="3586"/>
      <c r="O7" s="3586"/>
      <c r="P7" s="3586"/>
      <c r="Q7" s="3613"/>
      <c r="R7" s="3613"/>
      <c r="S7" s="3587"/>
      <c r="T7" s="3602"/>
      <c r="U7" s="3604"/>
      <c r="W7" s="3606"/>
    </row>
    <row r="8" spans="1:25" ht="12.75" customHeight="1" x14ac:dyDescent="0.2">
      <c r="A8" s="1053"/>
      <c r="B8" s="3595"/>
      <c r="C8" s="3590" t="s">
        <v>349</v>
      </c>
      <c r="D8" s="3588" t="s">
        <v>528</v>
      </c>
      <c r="E8" s="3590" t="s">
        <v>349</v>
      </c>
      <c r="F8" s="3588" t="s">
        <v>528</v>
      </c>
      <c r="G8" s="3590" t="s">
        <v>349</v>
      </c>
      <c r="H8" s="3588" t="s">
        <v>528</v>
      </c>
      <c r="I8" s="3590" t="s">
        <v>349</v>
      </c>
      <c r="J8" s="3592" t="s">
        <v>528</v>
      </c>
      <c r="K8" s="3592" t="s">
        <v>349</v>
      </c>
      <c r="L8" s="3588" t="s">
        <v>528</v>
      </c>
      <c r="M8" s="3599" t="s">
        <v>529</v>
      </c>
      <c r="N8" s="3592" t="s">
        <v>530</v>
      </c>
      <c r="O8" s="3599" t="s">
        <v>531</v>
      </c>
      <c r="P8" s="3592" t="s">
        <v>532</v>
      </c>
      <c r="Q8" s="3592" t="s">
        <v>533</v>
      </c>
      <c r="R8" s="3592" t="s">
        <v>534</v>
      </c>
      <c r="S8" s="3597" t="s">
        <v>535</v>
      </c>
      <c r="T8" s="3581" t="s">
        <v>535</v>
      </c>
      <c r="U8" s="3583" t="s">
        <v>535</v>
      </c>
      <c r="W8" s="3606"/>
    </row>
    <row r="9" spans="1:25" ht="54.75" customHeight="1" thickBot="1" x14ac:dyDescent="0.25">
      <c r="A9" s="1053"/>
      <c r="B9" s="3595"/>
      <c r="C9" s="3591"/>
      <c r="D9" s="3589"/>
      <c r="E9" s="3591"/>
      <c r="F9" s="3589"/>
      <c r="G9" s="3591"/>
      <c r="H9" s="3589"/>
      <c r="I9" s="3591"/>
      <c r="J9" s="3593"/>
      <c r="K9" s="3593"/>
      <c r="L9" s="3589"/>
      <c r="M9" s="3600"/>
      <c r="N9" s="3593"/>
      <c r="O9" s="3600"/>
      <c r="P9" s="3593"/>
      <c r="Q9" s="3593"/>
      <c r="R9" s="3593"/>
      <c r="S9" s="3598"/>
      <c r="T9" s="3582"/>
      <c r="U9" s="3584"/>
      <c r="W9" s="3606"/>
      <c r="Y9" s="2027"/>
    </row>
    <row r="10" spans="1:25" ht="13.5" thickBot="1" x14ac:dyDescent="0.25">
      <c r="A10" s="1054">
        <v>1</v>
      </c>
      <c r="B10" s="1055">
        <v>2</v>
      </c>
      <c r="C10" s="1056">
        <v>3</v>
      </c>
      <c r="D10" s="1057">
        <v>4</v>
      </c>
      <c r="E10" s="1056">
        <v>5</v>
      </c>
      <c r="F10" s="1057">
        <v>6</v>
      </c>
      <c r="G10" s="1056">
        <v>7</v>
      </c>
      <c r="H10" s="1057">
        <v>8</v>
      </c>
      <c r="I10" s="1056">
        <v>9</v>
      </c>
      <c r="J10" s="1058">
        <v>10</v>
      </c>
      <c r="K10" s="1058">
        <v>11</v>
      </c>
      <c r="L10" s="1057">
        <v>12</v>
      </c>
      <c r="M10" s="1060">
        <v>13</v>
      </c>
      <c r="N10" s="1059">
        <v>14</v>
      </c>
      <c r="O10" s="1060">
        <v>15</v>
      </c>
      <c r="P10" s="1059">
        <v>16</v>
      </c>
      <c r="Q10" s="1059">
        <v>17</v>
      </c>
      <c r="R10" s="1061">
        <v>18</v>
      </c>
      <c r="S10" s="1062">
        <v>19</v>
      </c>
      <c r="T10" s="1063">
        <v>20</v>
      </c>
      <c r="U10" s="1064">
        <v>21</v>
      </c>
      <c r="W10" s="1065">
        <v>20</v>
      </c>
      <c r="Y10" s="2028"/>
    </row>
    <row r="11" spans="1:25" x14ac:dyDescent="0.2">
      <c r="A11" s="3571" t="s">
        <v>210</v>
      </c>
      <c r="B11" s="3579">
        <v>931</v>
      </c>
      <c r="C11" s="1066">
        <f>'[19]ВЫС, С17'!C9+'[19]ВЫС, С25'!C9+'[19]ВЫС, Т24'!C9</f>
        <v>752.78</v>
      </c>
      <c r="D11" s="1067">
        <f>'[19]ВЫС, С17'!D9+'[19]ВЫС, С25'!D9+'[19]ВЫС, Т24'!D9</f>
        <v>842.06200000000001</v>
      </c>
      <c r="E11" s="1066">
        <f>'[19]ВЫС, С17'!E9+'[19]ВЫС, С25'!E9+'[19]ВЫС, Т24'!E9</f>
        <v>832.93700000000001</v>
      </c>
      <c r="F11" s="1067">
        <f>'[19]ВЫС, С17'!F9+'[19]ВЫС, С25'!F9+'[19]ВЫС, Т24'!F9</f>
        <v>896.69899999999996</v>
      </c>
      <c r="G11" s="1068">
        <f>'[19]ВЫС, С17'!G9+'[19]ВЫС, С25'!G9+'[19]ВЫС, Т24'!G9</f>
        <v>762.5</v>
      </c>
      <c r="H11" s="1069">
        <f>'[19]ВЫС, С17'!H9+'[19]ВЫС, С25'!H9+'[19]ВЫС, Т24'!H9</f>
        <v>915.68</v>
      </c>
      <c r="I11" s="2029">
        <f>'[19]ВЫС, С17'!I9+'[19]ВЫС, С25'!I9+'[19]ВЫС, Т24'!I9</f>
        <v>957.22</v>
      </c>
      <c r="J11" s="1070">
        <f>'[19]ВЫС, С17'!J9+'[19]ВЫС, С25'!J9+'[19]ВЫС, Т24'!J9</f>
        <v>1239.56</v>
      </c>
      <c r="K11" s="1070">
        <f>'[19]ВЫС, С17'!K9+'[19]ВЫС, С25'!K9+'[19]ВЫС, Т24'!K9</f>
        <v>686.73</v>
      </c>
      <c r="L11" s="1067">
        <f>'[19]ВЫС, С17'!L9+'[19]ВЫС, С25'!L9+'[19]ВЫС, Т24'!L9</f>
        <v>868.72400000000005</v>
      </c>
      <c r="M11" s="1071">
        <f>'[19]ВЫС, С17'!M9+'[19]ВЫС, С25'!M9</f>
        <v>376.67899999999997</v>
      </c>
      <c r="N11" s="1070">
        <v>1.07236</v>
      </c>
      <c r="O11" s="1071">
        <f>'[19]ВЫС, С17'!O9+'[19]ВЫС, С25'!O9</f>
        <v>262.56599999999997</v>
      </c>
      <c r="P11" s="1070">
        <v>1.10131</v>
      </c>
      <c r="Q11" s="1072" t="s">
        <v>536</v>
      </c>
      <c r="R11" s="1073">
        <f>SUM(M11+O11)</f>
        <v>639.25</v>
      </c>
      <c r="S11" s="1074">
        <f t="shared" ref="S11:S27" si="0">SUM(M11*N11+O11*P11)*1.2</f>
        <v>831.72</v>
      </c>
      <c r="T11" s="1075">
        <f>S11</f>
        <v>831.72</v>
      </c>
      <c r="U11" s="1076">
        <f>S11</f>
        <v>831.72</v>
      </c>
      <c r="V11" s="1077"/>
      <c r="W11" s="1078">
        <f>'[19]ВЫС, С17'!W9+'[19]ВЫС, С25'!W9</f>
        <v>974.18</v>
      </c>
      <c r="Y11" s="2030"/>
    </row>
    <row r="12" spans="1:25" x14ac:dyDescent="0.2">
      <c r="A12" s="3575"/>
      <c r="B12" s="3576"/>
      <c r="C12" s="1079"/>
      <c r="D12" s="1080"/>
      <c r="E12" s="1079"/>
      <c r="F12" s="1080"/>
      <c r="G12" s="1081"/>
      <c r="H12" s="1082"/>
      <c r="I12" s="1125"/>
      <c r="J12" s="1083"/>
      <c r="K12" s="1083"/>
      <c r="L12" s="1080"/>
      <c r="M12" s="1084"/>
      <c r="N12" s="1083">
        <v>0.97328000000000003</v>
      </c>
      <c r="O12" s="2031"/>
      <c r="P12" s="1083">
        <v>0.99956</v>
      </c>
      <c r="Q12" s="1085" t="s">
        <v>537</v>
      </c>
      <c r="R12" s="1086">
        <f t="shared" ref="R12:R27" si="1">SUM(M12+O12)</f>
        <v>0</v>
      </c>
      <c r="S12" s="1087">
        <f t="shared" si="0"/>
        <v>0</v>
      </c>
      <c r="T12" s="1088">
        <f t="shared" ref="T12:T28" si="2">S12</f>
        <v>0</v>
      </c>
      <c r="U12" s="1089">
        <f t="shared" ref="U12:U28" si="3">S12</f>
        <v>0</v>
      </c>
      <c r="V12" s="1077"/>
      <c r="W12" s="1090"/>
      <c r="Y12" s="2030"/>
    </row>
    <row r="13" spans="1:25" ht="13.5" thickBot="1" x14ac:dyDescent="0.25">
      <c r="A13" s="3572"/>
      <c r="B13" s="3580"/>
      <c r="C13" s="1091"/>
      <c r="D13" s="1092"/>
      <c r="E13" s="1091"/>
      <c r="F13" s="1092"/>
      <c r="G13" s="1093"/>
      <c r="H13" s="1094"/>
      <c r="I13" s="1123"/>
      <c r="J13" s="1095"/>
      <c r="K13" s="1095"/>
      <c r="L13" s="1092"/>
      <c r="M13" s="1096"/>
      <c r="N13" s="1097"/>
      <c r="O13" s="1106"/>
      <c r="P13" s="1097"/>
      <c r="Q13" s="1098"/>
      <c r="R13" s="1099">
        <f t="shared" si="1"/>
        <v>0</v>
      </c>
      <c r="S13" s="1100">
        <f t="shared" si="0"/>
        <v>0</v>
      </c>
      <c r="T13" s="1101">
        <f t="shared" si="2"/>
        <v>0</v>
      </c>
      <c r="U13" s="1102">
        <f t="shared" si="3"/>
        <v>0</v>
      </c>
      <c r="V13" s="1077"/>
      <c r="W13" s="1103"/>
      <c r="Y13" s="2030"/>
    </row>
    <row r="14" spans="1:25" ht="25.5" x14ac:dyDescent="0.2">
      <c r="A14" s="3571" t="s">
        <v>211</v>
      </c>
      <c r="B14" s="3579">
        <v>932</v>
      </c>
      <c r="C14" s="1066">
        <f>'[19]ВЫС, С17'!C12+'[19]ВЫС, С25'!C12+'[19]ВЫС, Т24'!C12</f>
        <v>240.398</v>
      </c>
      <c r="D14" s="1067">
        <f>'[19]ВЫС, С17'!D12+'[19]ВЫС, С25'!D12+'[19]ВЫС, Т24'!D12</f>
        <v>706.49199999999996</v>
      </c>
      <c r="E14" s="1066">
        <f>'[19]ВЫС, С17'!E12+'[19]ВЫС, С25'!E12+'[19]ВЫС, Т24'!E12</f>
        <v>214.36799999999999</v>
      </c>
      <c r="F14" s="1067">
        <f>'[19]ВЫС, С17'!F12+'[19]ВЫС, С25'!F12+'[19]ВЫС, Т24'!F12</f>
        <v>666.73599999999999</v>
      </c>
      <c r="G14" s="1068">
        <f>'[19]ВЫС, С17'!G12+'[19]ВЫС, С25'!G12+'[19]ВЫС, Т24'!G12</f>
        <v>229.28800000000001</v>
      </c>
      <c r="H14" s="1069">
        <f>'[19]ВЫС, С17'!H12+'[19]ВЫС, С25'!H12+'[19]ВЫС, Т24'!H12</f>
        <v>742.95</v>
      </c>
      <c r="I14" s="2029">
        <f>'[19]ВЫС, С17'!I12+'[19]ВЫС, С25'!I12+'[19]ВЫС, Т24'!I12</f>
        <v>241.613</v>
      </c>
      <c r="J14" s="1070">
        <f>'[19]ВЫС, С17'!J12+'[19]ВЫС, С25'!J12+'[19]ВЫС, Т24'!J12</f>
        <v>842.02</v>
      </c>
      <c r="K14" s="1070">
        <f>'[19]ВЫС, С17'!K12+'[19]ВЫС, С25'!K12+'[19]ВЫС, Т24'!K12</f>
        <v>242.23</v>
      </c>
      <c r="L14" s="1067">
        <f>'[19]ВЫС, С17'!L12+'[19]ВЫС, С25'!L12+'[19]ВЫС, Т24'!L12</f>
        <v>782.6</v>
      </c>
      <c r="M14" s="1071">
        <f>'[19]ВЫС, С17'!M12+'[19]ВЫС, С25'!M12</f>
        <v>97.242000000000004</v>
      </c>
      <c r="N14" s="1104">
        <f>2.89*1.053</f>
        <v>3.0431699999999999</v>
      </c>
      <c r="O14" s="1071">
        <f>'[19]ВЫС, С17'!O12+'[19]ВЫС, С25'!O12</f>
        <v>106.767</v>
      </c>
      <c r="P14" s="1104">
        <f>2.89*1.053</f>
        <v>3.0431699999999999</v>
      </c>
      <c r="Q14" s="1105" t="s">
        <v>538</v>
      </c>
      <c r="R14" s="1073">
        <f t="shared" si="1"/>
        <v>204.01</v>
      </c>
      <c r="S14" s="1074">
        <f t="shared" si="0"/>
        <v>745</v>
      </c>
      <c r="T14" s="1075">
        <f t="shared" si="2"/>
        <v>745</v>
      </c>
      <c r="U14" s="1076">
        <f t="shared" si="3"/>
        <v>745</v>
      </c>
      <c r="V14" s="1077"/>
      <c r="W14" s="1078">
        <f>'[19]ВЫС, С17'!W12+'[19]ВЫС, С25'!W12</f>
        <v>665.1</v>
      </c>
      <c r="Y14" s="2030"/>
    </row>
    <row r="15" spans="1:25" x14ac:dyDescent="0.2">
      <c r="A15" s="3575"/>
      <c r="B15" s="3576"/>
      <c r="C15" s="1079"/>
      <c r="D15" s="1080"/>
      <c r="E15" s="1079"/>
      <c r="F15" s="1080"/>
      <c r="G15" s="1081"/>
      <c r="H15" s="1082"/>
      <c r="I15" s="1125"/>
      <c r="J15" s="1083"/>
      <c r="K15" s="1083"/>
      <c r="L15" s="1080"/>
      <c r="M15" s="1106"/>
      <c r="N15" s="1097">
        <v>1.17</v>
      </c>
      <c r="O15" s="2031"/>
      <c r="P15" s="1097">
        <v>1.17</v>
      </c>
      <c r="Q15" s="1107" t="s">
        <v>539</v>
      </c>
      <c r="R15" s="1086">
        <f t="shared" si="1"/>
        <v>0</v>
      </c>
      <c r="S15" s="1087">
        <f t="shared" si="0"/>
        <v>0</v>
      </c>
      <c r="T15" s="1088">
        <f t="shared" si="2"/>
        <v>0</v>
      </c>
      <c r="U15" s="1089">
        <f t="shared" si="3"/>
        <v>0</v>
      </c>
      <c r="V15" s="1077"/>
      <c r="W15" s="1108"/>
      <c r="Y15" s="2030"/>
    </row>
    <row r="16" spans="1:25" ht="13.5" thickBot="1" x14ac:dyDescent="0.25">
      <c r="A16" s="3572"/>
      <c r="B16" s="3580"/>
      <c r="C16" s="1091"/>
      <c r="D16" s="1092"/>
      <c r="E16" s="1091"/>
      <c r="F16" s="1092"/>
      <c r="G16" s="1093"/>
      <c r="H16" s="1094"/>
      <c r="I16" s="1123"/>
      <c r="J16" s="1095"/>
      <c r="K16" s="1095"/>
      <c r="L16" s="1092"/>
      <c r="M16" s="1109"/>
      <c r="N16" s="1095"/>
      <c r="O16" s="2032"/>
      <c r="P16" s="1095"/>
      <c r="Q16" s="1111"/>
      <c r="R16" s="1112">
        <f t="shared" si="1"/>
        <v>0</v>
      </c>
      <c r="S16" s="1113">
        <f t="shared" si="0"/>
        <v>0</v>
      </c>
      <c r="T16" s="1101">
        <f t="shared" si="2"/>
        <v>0</v>
      </c>
      <c r="U16" s="1102">
        <f t="shared" si="3"/>
        <v>0</v>
      </c>
      <c r="V16" s="1077"/>
      <c r="W16" s="1103"/>
      <c r="Y16" s="2030"/>
    </row>
    <row r="17" spans="1:25" ht="14.25" customHeight="1" x14ac:dyDescent="0.2">
      <c r="A17" s="3571" t="s">
        <v>540</v>
      </c>
      <c r="B17" s="3579">
        <v>933</v>
      </c>
      <c r="C17" s="1066">
        <f>'[19]ВЫС, С17'!C15+'[19]ВЫС, С25'!C15+'[19]ВЫС, Т24'!C15</f>
        <v>1.125</v>
      </c>
      <c r="D17" s="1067">
        <f>'[19]ВЫС, С17'!D15+'[19]ВЫС, С25'!D15+'[19]ВЫС, Т24'!D15</f>
        <v>38.159999999999997</v>
      </c>
      <c r="E17" s="1066">
        <f>'[19]ВЫС, С17'!E15+'[19]ВЫС, С25'!E15+'[19]ВЫС, Т24'!E15</f>
        <v>1.1240000000000001</v>
      </c>
      <c r="F17" s="1067">
        <f>'[19]ВЫС, С17'!F15+'[19]ВЫС, С25'!F15+'[19]ВЫС, Т24'!F15</f>
        <v>48.981000000000002</v>
      </c>
      <c r="G17" s="1068">
        <f>'[19]ВЫС, С17'!G15+'[19]ВЫС, С25'!G15+'[19]ВЫС, Т24'!G15</f>
        <v>0.84</v>
      </c>
      <c r="H17" s="1069">
        <f>'[19]ВЫС, С17'!H15+'[19]ВЫС, С25'!H15+'[19]ВЫС, Т24'!H15</f>
        <v>37.18</v>
      </c>
      <c r="I17" s="2029">
        <f>'[19]ВЫС, С17'!I15+'[19]ВЫС, С25'!I15+'[19]ВЫС, Т24'!I15</f>
        <v>1.1539999999999999</v>
      </c>
      <c r="J17" s="1070">
        <f>'[19]ВЫС, С17'!J15+'[19]ВЫС, С25'!J15+'[19]ВЫС, Т24'!J15</f>
        <v>54.9</v>
      </c>
      <c r="K17" s="1070">
        <f>'[19]ВЫС, С17'!K15+'[19]ВЫС, С25'!K15+'[19]ВЫС, Т24'!K15</f>
        <v>1.0554699999999999</v>
      </c>
      <c r="L17" s="1067">
        <f>'[19]ВЫС, С17'!L15+'[19]ВЫС, С25'!L15+'[19]ВЫС, Т24'!L15</f>
        <v>49.783969999999997</v>
      </c>
      <c r="M17" s="1071">
        <f>'[19]ВЫС, С17'!M15+'[19]ВЫС, С25'!M15</f>
        <v>0.39400000000000002</v>
      </c>
      <c r="N17" s="1114">
        <v>40.1</v>
      </c>
      <c r="O17" s="1071">
        <f>'[19]ВЫС, С17'!O15+'[19]ВЫС, С25'!O15</f>
        <v>0.45800000000000002</v>
      </c>
      <c r="P17" s="1114">
        <v>42.69</v>
      </c>
      <c r="Q17" s="1115" t="s">
        <v>538</v>
      </c>
      <c r="R17" s="1086">
        <f t="shared" si="1"/>
        <v>0.85</v>
      </c>
      <c r="S17" s="1087">
        <f t="shared" si="0"/>
        <v>42.42</v>
      </c>
      <c r="T17" s="1075">
        <f t="shared" si="2"/>
        <v>42.42</v>
      </c>
      <c r="U17" s="1076">
        <f t="shared" si="3"/>
        <v>42.42</v>
      </c>
      <c r="V17" s="1077"/>
      <c r="W17" s="1078">
        <f>'[19]ВЫС, С17'!W15+'[19]ВЫС, С25'!W15</f>
        <v>44.8</v>
      </c>
      <c r="X17" s="2033"/>
      <c r="Y17" s="2030"/>
    </row>
    <row r="18" spans="1:25" x14ac:dyDescent="0.2">
      <c r="A18" s="3575"/>
      <c r="B18" s="3576"/>
      <c r="C18" s="1079"/>
      <c r="D18" s="1080"/>
      <c r="E18" s="1079"/>
      <c r="F18" s="1080"/>
      <c r="G18" s="1081"/>
      <c r="H18" s="1082"/>
      <c r="I18" s="1125"/>
      <c r="J18" s="1083"/>
      <c r="K18" s="1083"/>
      <c r="L18" s="1080"/>
      <c r="M18" s="1084"/>
      <c r="N18" s="1083">
        <v>8.82</v>
      </c>
      <c r="O18" s="2031"/>
      <c r="P18" s="1083">
        <v>9.1</v>
      </c>
      <c r="Q18" s="1107" t="s">
        <v>539</v>
      </c>
      <c r="R18" s="1086">
        <f t="shared" si="1"/>
        <v>0</v>
      </c>
      <c r="S18" s="1087">
        <f t="shared" si="0"/>
        <v>0</v>
      </c>
      <c r="T18" s="1088">
        <f t="shared" si="2"/>
        <v>0</v>
      </c>
      <c r="U18" s="1089">
        <f t="shared" si="3"/>
        <v>0</v>
      </c>
      <c r="V18" s="1077"/>
      <c r="W18" s="1090"/>
      <c r="X18" s="2033"/>
      <c r="Y18" s="2030"/>
    </row>
    <row r="19" spans="1:25" ht="13.5" thickBot="1" x14ac:dyDescent="0.25">
      <c r="A19" s="3575"/>
      <c r="B19" s="3576"/>
      <c r="C19" s="1091"/>
      <c r="D19" s="1092"/>
      <c r="E19" s="1091"/>
      <c r="F19" s="1092"/>
      <c r="G19" s="1093"/>
      <c r="H19" s="1094"/>
      <c r="I19" s="1123"/>
      <c r="J19" s="1095"/>
      <c r="K19" s="1095"/>
      <c r="L19" s="1092"/>
      <c r="M19" s="1096"/>
      <c r="N19" s="1116"/>
      <c r="O19" s="1106"/>
      <c r="P19" s="1116"/>
      <c r="Q19" s="1098"/>
      <c r="R19" s="1099">
        <f t="shared" si="1"/>
        <v>0</v>
      </c>
      <c r="S19" s="1100">
        <f t="shared" si="0"/>
        <v>0</v>
      </c>
      <c r="T19" s="1101">
        <f t="shared" si="2"/>
        <v>0</v>
      </c>
      <c r="U19" s="1102">
        <f t="shared" si="3"/>
        <v>0</v>
      </c>
      <c r="V19" s="1077"/>
      <c r="W19" s="1117"/>
      <c r="Y19" s="2030"/>
    </row>
    <row r="20" spans="1:25" ht="15" customHeight="1" x14ac:dyDescent="0.2">
      <c r="A20" s="3571" t="s">
        <v>213</v>
      </c>
      <c r="B20" s="3573">
        <v>931</v>
      </c>
      <c r="C20" s="1066">
        <f>'[19]ВЫС, С17'!C18+'[19]ВЫС, С25'!C18+'[19]ВЫС, Т24'!C18</f>
        <v>8.89</v>
      </c>
      <c r="D20" s="1067">
        <f>'[19]ВЫС, С17'!D18+'[19]ВЫС, С25'!D18+'[19]ВЫС, Т24'!D18</f>
        <v>9.9309999999999992</v>
      </c>
      <c r="E20" s="1066">
        <f>'[19]ВЫС, С17'!E18+'[19]ВЫС, С25'!E18+'[19]ВЫС, Т24'!E18</f>
        <v>8.2509999999999994</v>
      </c>
      <c r="F20" s="1067">
        <f>'[19]ВЫС, С17'!F18+'[19]ВЫС, С25'!F18+'[19]ВЫС, Т24'!F18</f>
        <v>9.3559999999999999</v>
      </c>
      <c r="G20" s="1068">
        <f>'[19]ВЫС, С17'!G18+'[19]ВЫС, С25'!G18+'[19]ВЫС, Т24'!G18</f>
        <v>8.0079999999999991</v>
      </c>
      <c r="H20" s="1069">
        <f>'[19]ВЫС, С17'!H18+'[19]ВЫС, С25'!H18+'[19]ВЫС, Т24'!H18</f>
        <v>9.7200000000000006</v>
      </c>
      <c r="I20" s="2029">
        <f>'[19]ВЫС, С17'!I18+'[19]ВЫС, С25'!I18+'[19]ВЫС, Т24'!I18</f>
        <v>15.914</v>
      </c>
      <c r="J20" s="1070">
        <f>'[19]ВЫС, С17'!J18+'[19]ВЫС, С25'!J18+'[19]ВЫС, Т24'!J18</f>
        <v>20.61</v>
      </c>
      <c r="K20" s="1070">
        <f>'[19]ВЫС, С17'!K18+'[19]ВЫС, С25'!K18+'[19]ВЫС, Т24'!K18</f>
        <v>12.03</v>
      </c>
      <c r="L20" s="1067">
        <f>'[19]ВЫС, С17'!L18+'[19]ВЫС, С25'!L18+'[19]ВЫС, Т24'!L18</f>
        <v>15.342000000000001</v>
      </c>
      <c r="M20" s="1071">
        <f>'[19]ВЫС, С17'!M18+'[19]ВЫС, С25'!M18</f>
        <v>5.01</v>
      </c>
      <c r="N20" s="1070">
        <v>1.07236</v>
      </c>
      <c r="O20" s="1071">
        <f>'[19]ВЫС, С17'!O18+'[19]ВЫС, С25'!O18</f>
        <v>5.1719999999999997</v>
      </c>
      <c r="P20" s="1070">
        <v>1.10131</v>
      </c>
      <c r="Q20" s="1118" t="s">
        <v>536</v>
      </c>
      <c r="R20" s="1073">
        <f t="shared" si="1"/>
        <v>10.18</v>
      </c>
      <c r="S20" s="1074">
        <f t="shared" si="0"/>
        <v>13.28</v>
      </c>
      <c r="T20" s="1075">
        <f t="shared" si="2"/>
        <v>13.28</v>
      </c>
      <c r="U20" s="1076">
        <f t="shared" si="3"/>
        <v>13.28</v>
      </c>
      <c r="V20" s="1077"/>
      <c r="W20" s="1078">
        <f>'[19]ВЫС, С17'!W18+'[19]ВЫС, С25'!W18</f>
        <v>20.61</v>
      </c>
      <c r="Y20" s="2030"/>
    </row>
    <row r="21" spans="1:25" ht="15" customHeight="1" x14ac:dyDescent="0.2">
      <c r="A21" s="3575"/>
      <c r="B21" s="3596"/>
      <c r="C21" s="1079"/>
      <c r="D21" s="1080"/>
      <c r="E21" s="1079"/>
      <c r="F21" s="1080"/>
      <c r="G21" s="1081"/>
      <c r="H21" s="1082"/>
      <c r="I21" s="1125"/>
      <c r="J21" s="1083"/>
      <c r="K21" s="1083"/>
      <c r="L21" s="1080"/>
      <c r="M21" s="1106"/>
      <c r="N21" s="1083"/>
      <c r="O21" s="2034"/>
      <c r="P21" s="1083"/>
      <c r="Q21" s="1119" t="s">
        <v>541</v>
      </c>
      <c r="R21" s="1086">
        <f t="shared" si="1"/>
        <v>0</v>
      </c>
      <c r="S21" s="1087">
        <f t="shared" si="0"/>
        <v>0</v>
      </c>
      <c r="T21" s="1088">
        <f t="shared" si="2"/>
        <v>0</v>
      </c>
      <c r="U21" s="1089">
        <f t="shared" si="3"/>
        <v>0</v>
      </c>
      <c r="V21" s="1077"/>
      <c r="W21" s="1108"/>
      <c r="Y21" s="2030"/>
    </row>
    <row r="22" spans="1:25" ht="20.45" customHeight="1" thickBot="1" x14ac:dyDescent="0.25">
      <c r="A22" s="3575"/>
      <c r="B22" s="3574"/>
      <c r="C22" s="1091"/>
      <c r="D22" s="1092"/>
      <c r="E22" s="1091"/>
      <c r="F22" s="1092"/>
      <c r="G22" s="1093"/>
      <c r="H22" s="1094"/>
      <c r="I22" s="1123"/>
      <c r="J22" s="1095"/>
      <c r="K22" s="1095"/>
      <c r="L22" s="1092"/>
      <c r="M22" s="1109"/>
      <c r="N22" s="1120"/>
      <c r="O22" s="2035"/>
      <c r="P22" s="1095"/>
      <c r="Q22" s="1121"/>
      <c r="R22" s="1112">
        <f t="shared" si="1"/>
        <v>0</v>
      </c>
      <c r="S22" s="1113">
        <f t="shared" si="0"/>
        <v>0</v>
      </c>
      <c r="T22" s="1101">
        <f t="shared" si="2"/>
        <v>0</v>
      </c>
      <c r="U22" s="1102">
        <f t="shared" si="3"/>
        <v>0</v>
      </c>
      <c r="V22" s="1077"/>
      <c r="W22" s="1117"/>
      <c r="Y22" s="2030"/>
    </row>
    <row r="23" spans="1:25" ht="19.5" customHeight="1" x14ac:dyDescent="0.2">
      <c r="A23" s="3571" t="s">
        <v>214</v>
      </c>
      <c r="B23" s="3573">
        <v>931</v>
      </c>
      <c r="C23" s="1066">
        <f>'[19]ВЫС, С17'!C21+'[19]ВЫС, С25'!C21+'[19]ВЫС, Т24'!C21</f>
        <v>0.155</v>
      </c>
      <c r="D23" s="1067">
        <f>'[19]ВЫС, С17'!D21+'[19]ВЫС, С25'!D21+'[19]ВЫС, Т24'!D21</f>
        <v>1.42</v>
      </c>
      <c r="E23" s="1066">
        <f>'[19]ВЫС, С17'!E21+'[19]ВЫС, С25'!E21+'[19]ВЫС, Т24'!E21</f>
        <v>0.15</v>
      </c>
      <c r="F23" s="1067">
        <f>'[19]ВЫС, С17'!F21+'[19]ВЫС, С25'!F21+'[19]ВЫС, Т24'!F21</f>
        <v>1.4259999999999999</v>
      </c>
      <c r="G23" s="1068">
        <f>'[19]ВЫС, С17'!G21+'[19]ВЫС, С25'!G21+'[19]ВЫС, Т24'!G21</f>
        <v>0.111</v>
      </c>
      <c r="H23" s="1069">
        <f>'[19]ВЫС, С17'!H21+'[19]ВЫС, С25'!H21+'[19]ВЫС, Т24'!H21</f>
        <v>1.1100000000000001</v>
      </c>
      <c r="I23" s="2029">
        <f>'[19]ВЫС, С17'!I21+'[19]ВЫС, С25'!I21+'[19]ВЫС, Т24'!I21</f>
        <v>0.26417000000000002</v>
      </c>
      <c r="J23" s="1070">
        <f>'[19]ВЫС, С17'!J21+'[19]ВЫС, С25'!J21+'[19]ВЫС, Т24'!J21</f>
        <v>2.81</v>
      </c>
      <c r="K23" s="1070">
        <f>'[19]ВЫС, С17'!K21+'[19]ВЫС, С25'!K21+'[19]ВЫС, Т24'!K21</f>
        <v>0.20047999999999999</v>
      </c>
      <c r="L23" s="1067">
        <f>'[19]ВЫС, С17'!L21+'[19]ВЫС, С25'!L21+'[19]ВЫС, Т24'!L21</f>
        <v>2.1028199999999999</v>
      </c>
      <c r="M23" s="1071">
        <f>'[19]ВЫС, С17'!M21+'[19]ВЫС, С25'!M21</f>
        <v>8.4000000000000005E-2</v>
      </c>
      <c r="N23" s="1114">
        <v>8.82</v>
      </c>
      <c r="O23" s="1071">
        <f>'[19]ВЫС, С17'!O21+'[19]ВЫС, С25'!O21</f>
        <v>8.3000000000000004E-2</v>
      </c>
      <c r="P23" s="1114">
        <v>9.1</v>
      </c>
      <c r="Q23" s="1122" t="s">
        <v>536</v>
      </c>
      <c r="R23" s="1086">
        <f t="shared" si="1"/>
        <v>0.17</v>
      </c>
      <c r="S23" s="1087">
        <f t="shared" si="0"/>
        <v>1.8</v>
      </c>
      <c r="T23" s="1075">
        <f t="shared" si="2"/>
        <v>1.8</v>
      </c>
      <c r="U23" s="1076">
        <f t="shared" si="3"/>
        <v>1.8</v>
      </c>
      <c r="V23" s="1077"/>
      <c r="W23" s="1078">
        <f>'[19]ВЫС, С17'!W21+'[19]ВЫС, С25'!W21</f>
        <v>2.81</v>
      </c>
      <c r="Y23" s="2030"/>
    </row>
    <row r="24" spans="1:25" ht="19.5" customHeight="1" thickBot="1" x14ac:dyDescent="0.25">
      <c r="A24" s="3572"/>
      <c r="B24" s="3574"/>
      <c r="C24" s="1091"/>
      <c r="D24" s="1094"/>
      <c r="E24" s="1123"/>
      <c r="F24" s="1094"/>
      <c r="G24" s="1093"/>
      <c r="H24" s="1094"/>
      <c r="I24" s="1123"/>
      <c r="J24" s="1124"/>
      <c r="K24" s="1124"/>
      <c r="L24" s="1094"/>
      <c r="M24" s="1096"/>
      <c r="N24" s="1116"/>
      <c r="O24" s="1106"/>
      <c r="P24" s="1116"/>
      <c r="Q24" s="1098"/>
      <c r="R24" s="1099">
        <f t="shared" si="1"/>
        <v>0</v>
      </c>
      <c r="S24" s="1100">
        <f t="shared" si="0"/>
        <v>0</v>
      </c>
      <c r="T24" s="1101">
        <f t="shared" si="2"/>
        <v>0</v>
      </c>
      <c r="U24" s="1102">
        <f t="shared" si="3"/>
        <v>0</v>
      </c>
      <c r="V24" s="1077"/>
      <c r="W24" s="1103"/>
      <c r="Y24" s="2030"/>
    </row>
    <row r="25" spans="1:25" ht="12.75" customHeight="1" x14ac:dyDescent="0.2">
      <c r="A25" s="3575" t="s">
        <v>542</v>
      </c>
      <c r="B25" s="3576">
        <v>933</v>
      </c>
      <c r="C25" s="1066">
        <f>'[19]ВЫС, С17'!C23+'[19]ВЫС, С25'!C23+'[19]ВЫС, Т24'!C23</f>
        <v>1.2809999999999999</v>
      </c>
      <c r="D25" s="2036">
        <f>'[19]ВЫС, С17'!D23+'[19]ВЫС, С25'!D23+'[19]ВЫС, Т24'!D23</f>
        <v>33.518000000000001</v>
      </c>
      <c r="E25" s="2029">
        <f>'[19]ВЫС, С17'!E23+'[19]ВЫС, С25'!E23+'[19]ВЫС, Т24'!E23</f>
        <v>1.1000000000000001</v>
      </c>
      <c r="F25" s="2036">
        <f>'[19]ВЫС, С17'!F23+'[19]ВЫС, С25'!F23+'[19]ВЫС, Т24'!F23</f>
        <v>30.613</v>
      </c>
      <c r="G25" s="1068">
        <f>'[19]ВЫС, С17'!G23+'[19]ВЫС, С25'!G23+'[19]ВЫС, Т24'!G23</f>
        <v>0.96199999999999997</v>
      </c>
      <c r="H25" s="1069">
        <f>'[19]ВЫС, С17'!H23+'[19]ВЫС, С25'!H23+'[19]ВЫС, Т24'!H23</f>
        <v>28.01</v>
      </c>
      <c r="I25" s="2029">
        <f>'[19]ВЫС, С17'!I23+'[19]ВЫС, С25'!I23+'[19]ВЫС, Т24'!I23</f>
        <v>1.4181699999999999</v>
      </c>
      <c r="J25" s="2037">
        <f>'[19]ВЫС, С17'!J23+'[19]ВЫС, С25'!J23+'[19]ВЫС, Т24'!J23</f>
        <v>44.3</v>
      </c>
      <c r="K25" s="2037">
        <f>'[19]ВЫС, С17'!K23+'[19]ВЫС, С25'!K23+'[19]ВЫС, Т24'!K23</f>
        <v>1.2559499999999999</v>
      </c>
      <c r="L25" s="2036">
        <f>'[19]ВЫС, С17'!L23+'[19]ВЫС, С25'!L23+'[19]ВЫС, Т24'!L23</f>
        <v>39.816690000000001</v>
      </c>
      <c r="M25" s="1071">
        <f>'[19]ВЫС, С17'!M23+'[19]ВЫС, С25'!M23</f>
        <v>0.47799999999999998</v>
      </c>
      <c r="N25" s="1070">
        <v>27.36</v>
      </c>
      <c r="O25" s="1071">
        <f>'[19]ВЫС, С17'!O23+'[19]ВЫС, С25'!O23</f>
        <v>0.54100000000000004</v>
      </c>
      <c r="P25" s="1070">
        <v>29.28</v>
      </c>
      <c r="Q25" s="1072" t="s">
        <v>543</v>
      </c>
      <c r="R25" s="1073">
        <f t="shared" si="1"/>
        <v>1.02</v>
      </c>
      <c r="S25" s="1074">
        <f>SUM(M25*N25+O25*P25)*1.2-0.02</f>
        <v>34.68</v>
      </c>
      <c r="T25" s="1075">
        <f t="shared" si="2"/>
        <v>34.68</v>
      </c>
      <c r="U25" s="1076">
        <f t="shared" si="3"/>
        <v>34.68</v>
      </c>
      <c r="V25" s="1077"/>
      <c r="W25" s="1078">
        <f>'[19]ВЫС, С17'!W23+'[19]ВЫС, С25'!W23</f>
        <v>33.6</v>
      </c>
      <c r="Y25" s="2030"/>
    </row>
    <row r="26" spans="1:25" x14ac:dyDescent="0.2">
      <c r="A26" s="3575"/>
      <c r="B26" s="3576"/>
      <c r="C26" s="1079"/>
      <c r="D26" s="1082"/>
      <c r="E26" s="1125"/>
      <c r="F26" s="1082"/>
      <c r="G26" s="1081"/>
      <c r="H26" s="1082"/>
      <c r="I26" s="1125"/>
      <c r="J26" s="1126"/>
      <c r="K26" s="1126"/>
      <c r="L26" s="1082"/>
      <c r="M26" s="1084"/>
      <c r="N26" s="1083"/>
      <c r="O26" s="2031"/>
      <c r="P26" s="1083"/>
      <c r="Q26" s="1085"/>
      <c r="R26" s="1086">
        <f t="shared" si="1"/>
        <v>0</v>
      </c>
      <c r="S26" s="1087">
        <f t="shared" si="0"/>
        <v>0</v>
      </c>
      <c r="T26" s="1088">
        <f t="shared" si="2"/>
        <v>0</v>
      </c>
      <c r="U26" s="1089">
        <f t="shared" si="3"/>
        <v>0</v>
      </c>
      <c r="V26" s="1077"/>
      <c r="W26" s="1090"/>
    </row>
    <row r="27" spans="1:25" ht="13.5" thickBot="1" x14ac:dyDescent="0.25">
      <c r="A27" s="3575"/>
      <c r="B27" s="3576"/>
      <c r="C27" s="1091"/>
      <c r="D27" s="1094"/>
      <c r="E27" s="1123"/>
      <c r="F27" s="1094"/>
      <c r="G27" s="1093"/>
      <c r="H27" s="1094"/>
      <c r="I27" s="1123"/>
      <c r="J27" s="1124"/>
      <c r="K27" s="1124"/>
      <c r="L27" s="1094"/>
      <c r="M27" s="2038"/>
      <c r="N27" s="1095"/>
      <c r="O27" s="1110"/>
      <c r="P27" s="1095"/>
      <c r="Q27" s="1111" t="s">
        <v>536</v>
      </c>
      <c r="R27" s="1112">
        <f t="shared" si="1"/>
        <v>0</v>
      </c>
      <c r="S27" s="1113">
        <f t="shared" si="0"/>
        <v>0</v>
      </c>
      <c r="T27" s="1101">
        <f t="shared" si="2"/>
        <v>0</v>
      </c>
      <c r="U27" s="1102">
        <f t="shared" si="3"/>
        <v>0</v>
      </c>
      <c r="V27" s="1077"/>
      <c r="W27" s="1090"/>
    </row>
    <row r="28" spans="1:25" ht="13.5" thickBot="1" x14ac:dyDescent="0.25">
      <c r="A28" s="1127" t="s">
        <v>72</v>
      </c>
      <c r="B28" s="1128"/>
      <c r="C28" s="1129"/>
      <c r="D28" s="1130">
        <f>SUM(D11:D27)</f>
        <v>1631.58</v>
      </c>
      <c r="E28" s="1131"/>
      <c r="F28" s="1130">
        <f>SUM(F11:F27)</f>
        <v>1653.81</v>
      </c>
      <c r="G28" s="1132"/>
      <c r="H28" s="1130">
        <f>SUM(H11:H27)</f>
        <v>1734.65</v>
      </c>
      <c r="I28" s="1133"/>
      <c r="J28" s="1134">
        <f>SUM(J11:J27)</f>
        <v>2204.1999999999998</v>
      </c>
      <c r="K28" s="1134"/>
      <c r="L28" s="1130">
        <f>SUM(L11:L27)</f>
        <v>1758.37</v>
      </c>
      <c r="M28" s="2039"/>
      <c r="N28" s="1135"/>
      <c r="O28" s="1136"/>
      <c r="P28" s="1135"/>
      <c r="Q28" s="1137"/>
      <c r="R28" s="1138"/>
      <c r="S28" s="1139">
        <f>SUM(S11:S27)</f>
        <v>1668.9</v>
      </c>
      <c r="T28" s="1140">
        <f t="shared" si="2"/>
        <v>1668.9</v>
      </c>
      <c r="U28" s="1141">
        <f t="shared" si="3"/>
        <v>1668.9</v>
      </c>
      <c r="V28" s="1077"/>
      <c r="W28" s="1142">
        <f>SUM(W11:W27)</f>
        <v>1741.1</v>
      </c>
    </row>
    <row r="29" spans="1:25" x14ac:dyDescent="0.2">
      <c r="A29" s="1048"/>
      <c r="B29" s="1048"/>
      <c r="C29" s="1048"/>
      <c r="D29" s="1048"/>
      <c r="E29" s="1048"/>
      <c r="F29" s="1048"/>
      <c r="G29" s="1048"/>
      <c r="H29" s="1048"/>
      <c r="I29" s="1048"/>
      <c r="J29" s="1048"/>
      <c r="K29" s="1048"/>
      <c r="L29" s="1048"/>
      <c r="M29" s="1048"/>
      <c r="N29" s="1048"/>
      <c r="O29" s="1048"/>
      <c r="P29" s="1048"/>
      <c r="Q29" s="1048"/>
      <c r="R29" s="1048"/>
      <c r="S29" s="1048"/>
      <c r="T29" s="1048"/>
      <c r="U29" s="1048"/>
    </row>
    <row r="30" spans="1:25" s="1145" customFormat="1" x14ac:dyDescent="0.2">
      <c r="A30" s="1143"/>
      <c r="B30" s="1144"/>
      <c r="C30" s="1144"/>
      <c r="D30" s="1144"/>
      <c r="E30" s="1144"/>
      <c r="F30" s="1144"/>
      <c r="G30" s="1144"/>
      <c r="H30" s="1144"/>
      <c r="I30" s="1144"/>
      <c r="J30" s="1144"/>
      <c r="K30" s="1144"/>
      <c r="L30" s="1144"/>
      <c r="M30" s="1144"/>
      <c r="N30" s="1144"/>
      <c r="O30" s="1143"/>
      <c r="P30" s="1143"/>
      <c r="Q30" s="1143"/>
      <c r="R30" s="1143"/>
      <c r="S30" s="1143"/>
      <c r="T30" s="1143"/>
      <c r="U30" s="1143"/>
    </row>
    <row r="31" spans="1:25" s="1145" customFormat="1" x14ac:dyDescent="0.2">
      <c r="A31" s="1143"/>
      <c r="O31" s="1146"/>
      <c r="P31" s="1146"/>
      <c r="Q31" s="1146"/>
      <c r="R31" s="1146"/>
      <c r="S31" s="1146"/>
      <c r="T31" s="1146"/>
      <c r="U31" s="1146"/>
    </row>
    <row r="32" spans="1:25" x14ac:dyDescent="0.2">
      <c r="A32" s="1050"/>
      <c r="B32" s="1050"/>
      <c r="C32" s="1050"/>
      <c r="D32" s="1050"/>
      <c r="E32" s="1050"/>
      <c r="F32" s="1050"/>
      <c r="G32" s="1050"/>
      <c r="H32" s="1050"/>
      <c r="I32" s="1050"/>
      <c r="J32" s="1048"/>
      <c r="K32" s="1048"/>
      <c r="L32" s="1048"/>
      <c r="M32" s="1048"/>
      <c r="N32" s="1048"/>
      <c r="O32" s="1048"/>
      <c r="P32" s="1048"/>
      <c r="Q32" s="1048"/>
      <c r="R32" s="1048"/>
      <c r="S32" s="1048"/>
      <c r="T32" s="1048"/>
      <c r="U32" s="1048"/>
      <c r="W32" s="1150">
        <v>2020</v>
      </c>
      <c r="X32" s="1150">
        <v>2021</v>
      </c>
      <c r="Y32" s="1150">
        <v>2022</v>
      </c>
    </row>
    <row r="33" spans="1:30" s="2042" customFormat="1" x14ac:dyDescent="0.2">
      <c r="A33" s="2040"/>
      <c r="B33" s="2040"/>
      <c r="C33" s="2040"/>
      <c r="D33" s="2040"/>
      <c r="E33" s="2040"/>
      <c r="F33" s="2040"/>
      <c r="G33" s="2040"/>
      <c r="H33" s="2040"/>
      <c r="I33" s="2040"/>
      <c r="J33" s="2040"/>
      <c r="K33" s="2040"/>
      <c r="L33" s="2040"/>
      <c r="M33" s="2040"/>
      <c r="N33" s="2040"/>
      <c r="O33" s="2040"/>
      <c r="P33" s="2040"/>
      <c r="Q33" s="2040"/>
      <c r="R33" s="1147" t="s">
        <v>544</v>
      </c>
      <c r="S33" s="1148">
        <v>2020</v>
      </c>
      <c r="T33" s="1148">
        <v>2021</v>
      </c>
      <c r="U33" s="1148">
        <v>2022</v>
      </c>
      <c r="V33" s="1149" t="s">
        <v>1259</v>
      </c>
      <c r="W33" s="1150" t="s">
        <v>183</v>
      </c>
      <c r="X33" s="1150" t="s">
        <v>183</v>
      </c>
      <c r="Y33" s="1150" t="s">
        <v>183</v>
      </c>
      <c r="Z33" s="2041"/>
      <c r="AA33" s="2041"/>
      <c r="AB33" s="2041"/>
      <c r="AC33" s="2041"/>
      <c r="AD33" s="2041"/>
    </row>
    <row r="34" spans="1:30" s="2041" customFormat="1" ht="27" hidden="1" customHeight="1" x14ac:dyDescent="0.2">
      <c r="A34" s="2043" t="s">
        <v>1382</v>
      </c>
      <c r="B34" s="2043"/>
      <c r="C34" s="2043"/>
      <c r="D34" s="2043"/>
      <c r="E34" s="2043"/>
      <c r="F34" s="2043"/>
      <c r="G34" s="2043"/>
      <c r="H34" s="2043"/>
      <c r="I34" s="2043"/>
      <c r="J34" s="2043"/>
      <c r="K34" s="2043"/>
      <c r="L34" s="2043"/>
      <c r="M34" s="2043"/>
      <c r="N34" s="2043"/>
      <c r="O34" s="2043"/>
      <c r="P34" s="2043"/>
      <c r="Q34" s="2043"/>
      <c r="R34" s="1151"/>
      <c r="S34" s="1151"/>
      <c r="T34" s="1151"/>
      <c r="U34" s="1151"/>
      <c r="V34" s="1149"/>
      <c r="W34" s="1150"/>
      <c r="X34" s="1150"/>
      <c r="Y34" s="1150"/>
    </row>
    <row r="35" spans="1:30" s="2041" customFormat="1" ht="23.25" hidden="1" customHeight="1" x14ac:dyDescent="0.2">
      <c r="A35" s="2043" t="s">
        <v>1383</v>
      </c>
      <c r="B35" s="2043"/>
      <c r="C35" s="2043"/>
      <c r="D35" s="2043"/>
      <c r="E35" s="2043"/>
      <c r="F35" s="2043"/>
      <c r="G35" s="2043"/>
      <c r="H35" s="2043"/>
      <c r="I35" s="2043"/>
      <c r="J35" s="2043"/>
      <c r="K35" s="2043"/>
      <c r="L35" s="2043"/>
      <c r="M35" s="2043"/>
      <c r="N35" s="2043"/>
      <c r="O35" s="2043"/>
      <c r="P35" s="2043"/>
      <c r="Q35" s="2043"/>
      <c r="R35" s="1151"/>
      <c r="S35" s="1151"/>
      <c r="T35" s="1151"/>
      <c r="U35" s="1151"/>
      <c r="V35" s="1149"/>
      <c r="W35" s="1150"/>
      <c r="X35" s="1150"/>
      <c r="Y35" s="1150"/>
    </row>
    <row r="36" spans="1:30" s="2042" customFormat="1" ht="12.75" hidden="1" customHeight="1" x14ac:dyDescent="0.2">
      <c r="A36" s="2044" t="s">
        <v>1384</v>
      </c>
      <c r="B36" s="2040"/>
      <c r="C36" s="2040"/>
      <c r="D36" s="2040"/>
      <c r="E36" s="2040"/>
      <c r="F36" s="2040"/>
      <c r="G36" s="2040"/>
      <c r="H36" s="2040"/>
      <c r="I36" s="2040"/>
      <c r="J36" s="2040"/>
      <c r="K36" s="2040"/>
      <c r="L36" s="2040"/>
      <c r="M36" s="2040"/>
      <c r="N36" s="2040"/>
      <c r="O36" s="2040"/>
      <c r="P36" s="2040"/>
      <c r="Q36" s="2040"/>
      <c r="R36" s="1152"/>
      <c r="S36" s="1152"/>
      <c r="T36" s="1152"/>
      <c r="U36" s="1152"/>
      <c r="V36" s="1149"/>
      <c r="W36" s="1150"/>
      <c r="X36" s="1150"/>
      <c r="Y36" s="1150"/>
      <c r="Z36" s="2041"/>
      <c r="AA36" s="2041"/>
      <c r="AB36" s="2041"/>
      <c r="AC36" s="2041"/>
      <c r="AD36" s="2041"/>
    </row>
    <row r="37" spans="1:30" s="2041" customFormat="1" x14ac:dyDescent="0.2">
      <c r="A37" s="2044"/>
      <c r="B37" s="2044"/>
      <c r="C37" s="2044"/>
      <c r="D37" s="2044"/>
      <c r="E37" s="2044"/>
      <c r="F37" s="2044"/>
      <c r="G37" s="2044"/>
      <c r="H37" s="2044"/>
      <c r="I37" s="2044"/>
      <c r="J37" s="2044"/>
      <c r="K37" s="2044"/>
      <c r="L37" s="2044"/>
      <c r="M37" s="2044"/>
      <c r="N37" s="2044"/>
      <c r="O37" s="2044"/>
      <c r="P37" s="2044"/>
      <c r="Q37" s="2044"/>
      <c r="R37" s="1147">
        <v>931</v>
      </c>
      <c r="S37" s="1153">
        <f>S11+S12+S13+S20+S22+S23+S24</f>
        <v>846.8</v>
      </c>
      <c r="T37" s="1153">
        <f>T11+T12+T13+T20+T22+T23+T24</f>
        <v>846.8</v>
      </c>
      <c r="U37" s="1153">
        <f>U11+U12+U13+U20+U22+U23+U24</f>
        <v>846.8</v>
      </c>
      <c r="V37" s="1154">
        <v>846.8</v>
      </c>
      <c r="W37" s="1155">
        <f>V37-S37</f>
        <v>0</v>
      </c>
      <c r="X37" s="1155">
        <f>V37-T37</f>
        <v>0</v>
      </c>
      <c r="Y37" s="1155">
        <f>V37-U37</f>
        <v>0</v>
      </c>
      <c r="Z37" s="2045"/>
      <c r="AA37" s="2045"/>
      <c r="AB37" s="2046"/>
    </row>
    <row r="38" spans="1:30" s="2042" customFormat="1" x14ac:dyDescent="0.2">
      <c r="A38" s="2044"/>
      <c r="B38" s="2040"/>
      <c r="C38" s="2040"/>
      <c r="D38" s="2040"/>
      <c r="E38" s="2040"/>
      <c r="F38" s="2040"/>
      <c r="G38" s="2040"/>
      <c r="H38" s="2040"/>
      <c r="I38" s="2040"/>
      <c r="J38" s="2040"/>
      <c r="K38" s="2040"/>
      <c r="L38" s="2040"/>
      <c r="M38" s="2040"/>
      <c r="N38" s="2040"/>
      <c r="O38" s="2040"/>
      <c r="P38" s="2040"/>
      <c r="Q38" s="2040"/>
      <c r="R38" s="1147">
        <v>932</v>
      </c>
      <c r="S38" s="1153">
        <f>S14+S16</f>
        <v>745</v>
      </c>
      <c r="T38" s="1153">
        <f>T14+T16</f>
        <v>745</v>
      </c>
      <c r="U38" s="1153">
        <f>U14+U16</f>
        <v>745</v>
      </c>
      <c r="V38" s="1154">
        <v>745</v>
      </c>
      <c r="W38" s="1155">
        <f>V38-S38</f>
        <v>0</v>
      </c>
      <c r="X38" s="1155">
        <f>V38-T38</f>
        <v>0</v>
      </c>
      <c r="Y38" s="1155">
        <f>V38-U38</f>
        <v>0</v>
      </c>
      <c r="Z38" s="2045"/>
      <c r="AA38" s="2045"/>
      <c r="AB38" s="2047"/>
    </row>
    <row r="39" spans="1:30" s="2042" customFormat="1" x14ac:dyDescent="0.2">
      <c r="A39" s="2044"/>
      <c r="B39" s="2040"/>
      <c r="C39" s="2040"/>
      <c r="D39" s="2040"/>
      <c r="E39" s="2040"/>
      <c r="F39" s="2040"/>
      <c r="G39" s="2040"/>
      <c r="H39" s="2040"/>
      <c r="I39" s="2040"/>
      <c r="J39" s="2040"/>
      <c r="K39" s="2040"/>
      <c r="L39" s="2040"/>
      <c r="M39" s="2040"/>
      <c r="N39" s="2040"/>
      <c r="O39" s="2040"/>
      <c r="P39" s="2040"/>
      <c r="Q39" s="2040"/>
      <c r="R39" s="1147">
        <v>933</v>
      </c>
      <c r="S39" s="1153">
        <f>S17+S19+S25+S27</f>
        <v>77.099999999999994</v>
      </c>
      <c r="T39" s="1153">
        <f>T17+T19+T25+T27</f>
        <v>77.099999999999994</v>
      </c>
      <c r="U39" s="1153">
        <f>U17+U19+U25+U27</f>
        <v>77.099999999999994</v>
      </c>
      <c r="V39" s="1154">
        <v>77.099999999999994</v>
      </c>
      <c r="W39" s="1155">
        <f>V39-S39</f>
        <v>0</v>
      </c>
      <c r="X39" s="1155">
        <f>V39-T39</f>
        <v>0</v>
      </c>
      <c r="Y39" s="1155">
        <f>V39-U39</f>
        <v>0</v>
      </c>
      <c r="Z39" s="2045"/>
      <c r="AA39" s="2045"/>
      <c r="AB39" s="2047"/>
    </row>
    <row r="40" spans="1:30" s="2042" customFormat="1" x14ac:dyDescent="0.2">
      <c r="J40" s="2048"/>
      <c r="K40" s="1156"/>
      <c r="L40" s="1156"/>
      <c r="M40" s="1156"/>
      <c r="N40" s="1156"/>
      <c r="O40" s="1156"/>
      <c r="P40" s="1156"/>
      <c r="Q40" s="1156"/>
      <c r="R40" s="1161" t="s">
        <v>97</v>
      </c>
      <c r="S40" s="1162">
        <f>SUM(S37:S39)</f>
        <v>1668.9</v>
      </c>
      <c r="T40" s="1162">
        <f t="shared" ref="T40:U40" si="4">SUM(T37:T39)</f>
        <v>1668.9</v>
      </c>
      <c r="U40" s="1162">
        <f t="shared" si="4"/>
        <v>1668.9</v>
      </c>
    </row>
    <row r="41" spans="1:30" s="2042" customFormat="1" x14ac:dyDescent="0.2">
      <c r="J41" s="2048"/>
      <c r="K41" s="1156"/>
      <c r="L41" s="1156"/>
      <c r="M41" s="1156"/>
      <c r="N41" s="1156"/>
      <c r="O41" s="1156"/>
      <c r="P41" s="1156"/>
      <c r="Q41" s="1156"/>
      <c r="R41" s="1156"/>
      <c r="S41" s="1157"/>
      <c r="T41" s="1158"/>
      <c r="U41" s="1159"/>
    </row>
    <row r="43" spans="1:30" x14ac:dyDescent="0.2">
      <c r="A43" s="1050"/>
      <c r="B43" s="1050"/>
      <c r="C43" s="1050"/>
      <c r="D43" s="1050"/>
      <c r="E43" s="1050"/>
      <c r="F43" s="1050"/>
      <c r="G43" s="1050"/>
      <c r="H43" s="1050"/>
      <c r="I43" s="1050"/>
      <c r="J43" s="2049"/>
      <c r="K43" s="1050"/>
      <c r="M43" s="1050"/>
      <c r="N43" s="1050"/>
      <c r="O43" s="2049"/>
      <c r="P43" s="1050"/>
      <c r="Q43" s="1050"/>
      <c r="R43" s="1050"/>
      <c r="S43" s="1050"/>
      <c r="T43" s="1050"/>
      <c r="U43" s="1050"/>
    </row>
    <row r="44" spans="1:30" x14ac:dyDescent="0.2">
      <c r="A44" s="1050"/>
      <c r="B44" s="1050"/>
      <c r="C44" s="1050"/>
      <c r="D44" s="1050"/>
      <c r="E44" s="1050"/>
      <c r="F44" s="1050"/>
      <c r="G44" s="1050"/>
      <c r="H44" s="1050"/>
      <c r="I44" s="1050"/>
      <c r="J44" s="2049"/>
      <c r="K44" s="1050"/>
      <c r="M44" s="1050"/>
      <c r="N44" s="1050"/>
      <c r="O44" s="2049"/>
      <c r="P44" s="1050"/>
      <c r="Q44" s="1050"/>
      <c r="R44" s="1050"/>
      <c r="S44" s="1050"/>
      <c r="T44" s="1050"/>
      <c r="U44" s="1050"/>
    </row>
    <row r="45" spans="1:30" x14ac:dyDescent="0.2">
      <c r="A45" s="1050"/>
      <c r="B45" s="1050"/>
      <c r="C45" s="1050"/>
      <c r="D45" s="1050"/>
      <c r="E45" s="1050"/>
      <c r="K45" s="1050"/>
      <c r="M45" s="1050"/>
      <c r="N45" s="1050"/>
      <c r="O45" s="2049"/>
      <c r="P45" s="1050"/>
      <c r="Q45" s="1050"/>
      <c r="R45" s="1050"/>
      <c r="S45" s="1050"/>
      <c r="T45" s="1050"/>
      <c r="U45" s="1050"/>
    </row>
    <row r="46" spans="1:30" x14ac:dyDescent="0.2">
      <c r="A46" s="1050"/>
      <c r="B46" s="1050"/>
      <c r="C46" s="1050"/>
      <c r="D46" s="1050"/>
      <c r="E46" s="1050"/>
      <c r="F46" s="2050"/>
      <c r="G46" s="2051"/>
      <c r="I46" s="1050"/>
      <c r="J46" s="1050"/>
      <c r="K46" s="1050"/>
      <c r="L46" s="1050"/>
      <c r="M46" s="1050"/>
      <c r="N46" s="1050"/>
      <c r="O46" s="2049"/>
      <c r="P46" s="1050"/>
      <c r="Q46" s="1050"/>
      <c r="R46" s="1050"/>
      <c r="S46" s="1050"/>
      <c r="T46" s="1050"/>
      <c r="U46" s="1050"/>
    </row>
    <row r="47" spans="1:30" x14ac:dyDescent="0.2">
      <c r="A47" s="2049"/>
      <c r="B47" s="1050"/>
      <c r="C47" s="1050"/>
      <c r="D47" s="1050"/>
      <c r="E47" s="1050"/>
      <c r="F47" s="3577" t="s">
        <v>2012</v>
      </c>
      <c r="G47" s="3577"/>
      <c r="H47" s="1050"/>
      <c r="I47" s="1050"/>
      <c r="J47" s="1050"/>
      <c r="K47" s="1050"/>
      <c r="L47" s="1050"/>
      <c r="M47" s="1050"/>
      <c r="N47" s="1050"/>
      <c r="O47" s="1050"/>
      <c r="P47" s="1050"/>
      <c r="Q47" s="1050"/>
      <c r="R47" s="1050"/>
      <c r="S47" s="1050"/>
      <c r="T47" s="1050"/>
      <c r="U47" s="1050"/>
    </row>
    <row r="48" spans="1:30" x14ac:dyDescent="0.2">
      <c r="B48" s="1050"/>
      <c r="C48" s="1050"/>
      <c r="D48" s="1050"/>
      <c r="E48" s="1050"/>
      <c r="F48" s="1050"/>
      <c r="G48" s="1050"/>
      <c r="H48" s="1050"/>
      <c r="I48" s="1050"/>
      <c r="J48" s="1050"/>
      <c r="K48" s="1050"/>
      <c r="L48" s="1050"/>
      <c r="M48" s="1050"/>
      <c r="N48" s="1050"/>
      <c r="O48" s="1050"/>
      <c r="P48" s="1050"/>
      <c r="Q48" s="1050"/>
      <c r="R48" s="1050"/>
      <c r="S48" s="1050"/>
      <c r="T48" s="1050"/>
      <c r="U48" s="1050"/>
    </row>
    <row r="49" spans="1:21" x14ac:dyDescent="0.2">
      <c r="B49" s="1050"/>
      <c r="C49" s="1050"/>
      <c r="D49" s="1050"/>
      <c r="E49" s="1050"/>
      <c r="F49" s="1050"/>
      <c r="G49" s="1050"/>
      <c r="H49" s="1050"/>
      <c r="I49" s="1050"/>
      <c r="J49" s="1050"/>
      <c r="K49" s="1050"/>
      <c r="L49" s="1050"/>
      <c r="M49" s="1050"/>
      <c r="N49" s="1050"/>
      <c r="O49" s="1050"/>
      <c r="P49" s="1050"/>
      <c r="Q49" s="1050"/>
      <c r="R49" s="1050"/>
    </row>
    <row r="52" spans="1:21" x14ac:dyDescent="0.2">
      <c r="O52" s="1048"/>
      <c r="P52" s="1048"/>
      <c r="Q52" s="1048"/>
      <c r="R52" s="1048"/>
      <c r="S52" s="1048"/>
      <c r="T52" s="1048"/>
      <c r="U52" s="1048"/>
    </row>
    <row r="53" spans="1:21" x14ac:dyDescent="0.2">
      <c r="A53" s="1048"/>
      <c r="B53" s="1048"/>
      <c r="C53" s="1048"/>
      <c r="D53" s="1048"/>
      <c r="E53" s="1048"/>
      <c r="F53" s="1048"/>
      <c r="G53" s="1048"/>
      <c r="H53" s="1048"/>
      <c r="I53" s="1048"/>
      <c r="J53" s="1048"/>
      <c r="K53" s="1048"/>
      <c r="L53" s="1048"/>
      <c r="M53" s="1048"/>
      <c r="N53" s="1048"/>
      <c r="O53" s="1048"/>
      <c r="P53" s="1048"/>
      <c r="Q53" s="1048"/>
      <c r="R53" s="1048"/>
      <c r="S53" s="1048"/>
      <c r="T53" s="1048"/>
      <c r="U53" s="1048"/>
    </row>
  </sheetData>
  <mergeCells count="45">
    <mergeCell ref="T6:T7"/>
    <mergeCell ref="U6:U7"/>
    <mergeCell ref="W6:W9"/>
    <mergeCell ref="C6:D7"/>
    <mergeCell ref="E6:F7"/>
    <mergeCell ref="G6:H7"/>
    <mergeCell ref="I6:L6"/>
    <mergeCell ref="M6:S7"/>
    <mergeCell ref="A20:A22"/>
    <mergeCell ref="B20:B22"/>
    <mergeCell ref="Q8:Q9"/>
    <mergeCell ref="R8:R9"/>
    <mergeCell ref="S8:S9"/>
    <mergeCell ref="A11:A13"/>
    <mergeCell ref="B11:B13"/>
    <mergeCell ref="K8:K9"/>
    <mergeCell ref="L8:L9"/>
    <mergeCell ref="M8:M9"/>
    <mergeCell ref="N8:N9"/>
    <mergeCell ref="O8:O9"/>
    <mergeCell ref="P8:P9"/>
    <mergeCell ref="C8:C9"/>
    <mergeCell ref="D8:D9"/>
    <mergeCell ref="E8:E9"/>
    <mergeCell ref="A2:U2"/>
    <mergeCell ref="A4:U4"/>
    <mergeCell ref="A14:A16"/>
    <mergeCell ref="B14:B16"/>
    <mergeCell ref="A17:A19"/>
    <mergeCell ref="B17:B19"/>
    <mergeCell ref="T8:T9"/>
    <mergeCell ref="U8:U9"/>
    <mergeCell ref="I7:J7"/>
    <mergeCell ref="K7:L7"/>
    <mergeCell ref="F8:F9"/>
    <mergeCell ref="G8:G9"/>
    <mergeCell ref="H8:H9"/>
    <mergeCell ref="I8:I9"/>
    <mergeCell ref="J8:J9"/>
    <mergeCell ref="B6:B9"/>
    <mergeCell ref="A23:A24"/>
    <mergeCell ref="B23:B24"/>
    <mergeCell ref="A25:A27"/>
    <mergeCell ref="B25:B27"/>
    <mergeCell ref="F47:G47"/>
  </mergeCells>
  <pageMargins left="0.7" right="0.7" top="0.75" bottom="0.75" header="0.3" footer="0.3"/>
  <pageSetup paperSize="9" scale="5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C000"/>
  </sheetPr>
  <dimension ref="A1:N31"/>
  <sheetViews>
    <sheetView view="pageBreakPreview" zoomScale="80" zoomScaleNormal="100" zoomScaleSheetLayoutView="80" workbookViewId="0">
      <selection activeCell="AB17" sqref="AB17"/>
    </sheetView>
  </sheetViews>
  <sheetFormatPr defaultRowHeight="15.75" x14ac:dyDescent="0.25"/>
  <cols>
    <col min="1" max="1" width="4.33203125" style="1163" customWidth="1"/>
    <col min="2" max="2" width="24.5" style="1163" customWidth="1"/>
    <col min="3" max="3" width="12" style="1163" customWidth="1"/>
    <col min="4" max="4" width="19.1640625" style="1163" customWidth="1"/>
    <col min="5" max="5" width="13.83203125" style="1163" customWidth="1"/>
    <col min="6" max="6" width="15.5" style="1163" customWidth="1"/>
    <col min="7" max="7" width="13.6640625" style="1163" customWidth="1"/>
    <col min="8" max="8" width="15.5" style="1163" customWidth="1"/>
    <col min="9" max="9" width="13.6640625" style="1163" customWidth="1"/>
    <col min="10" max="12" width="16" style="1163" customWidth="1"/>
    <col min="13" max="13" width="24.5" style="1163" hidden="1" customWidth="1"/>
    <col min="14" max="14" width="9.33203125" style="1163"/>
    <col min="15" max="16384" width="9.33203125" style="1164"/>
  </cols>
  <sheetData>
    <row r="1" spans="1:14" ht="15.75" customHeight="1" x14ac:dyDescent="0.25">
      <c r="H1" s="3614" t="s">
        <v>848</v>
      </c>
      <c r="I1" s="3614"/>
      <c r="J1" s="3614"/>
      <c r="K1" s="3614"/>
      <c r="L1" s="3614"/>
      <c r="M1" s="3614"/>
      <c r="N1" s="428"/>
    </row>
    <row r="2" spans="1:14" ht="15.75" customHeight="1" x14ac:dyDescent="0.25">
      <c r="H2" s="3614" t="s">
        <v>849</v>
      </c>
      <c r="I2" s="3614"/>
      <c r="J2" s="3614"/>
      <c r="K2" s="3614"/>
      <c r="L2" s="3614"/>
      <c r="M2" s="3614"/>
      <c r="N2" s="428"/>
    </row>
    <row r="3" spans="1:14" ht="15.75" customHeight="1" x14ac:dyDescent="0.25">
      <c r="H3" s="3614" t="s">
        <v>850</v>
      </c>
      <c r="I3" s="3614"/>
      <c r="J3" s="3614"/>
      <c r="K3" s="3614"/>
      <c r="L3" s="3614"/>
      <c r="M3" s="3614"/>
      <c r="N3" s="428"/>
    </row>
    <row r="4" spans="1:14" x14ac:dyDescent="0.25">
      <c r="H4" s="3614" t="s">
        <v>851</v>
      </c>
      <c r="I4" s="3614"/>
      <c r="J4" s="3614"/>
      <c r="K4" s="3614"/>
      <c r="L4" s="3614"/>
      <c r="M4" s="3614"/>
      <c r="N4" s="428"/>
    </row>
    <row r="5" spans="1:14" ht="15.75" customHeight="1" x14ac:dyDescent="0.25">
      <c r="H5" s="3614" t="s">
        <v>294</v>
      </c>
      <c r="I5" s="3614"/>
      <c r="J5" s="3614"/>
      <c r="K5" s="3614"/>
      <c r="L5" s="3614"/>
      <c r="M5" s="3614"/>
      <c r="N5" s="428"/>
    </row>
    <row r="6" spans="1:14" ht="15.75" customHeight="1" x14ac:dyDescent="0.25">
      <c r="H6" s="3614" t="s">
        <v>295</v>
      </c>
      <c r="I6" s="3614"/>
      <c r="J6" s="3614"/>
      <c r="K6" s="3614"/>
      <c r="L6" s="3614"/>
      <c r="M6" s="3614"/>
      <c r="N6" s="428"/>
    </row>
    <row r="7" spans="1:14" ht="15.75" customHeight="1" x14ac:dyDescent="0.25">
      <c r="H7" s="3614" t="s">
        <v>296</v>
      </c>
      <c r="I7" s="3614"/>
      <c r="J7" s="3614"/>
      <c r="K7" s="3614"/>
      <c r="L7" s="3614"/>
      <c r="M7" s="3614"/>
      <c r="N7" s="428"/>
    </row>
    <row r="8" spans="1:14" ht="15.75" customHeight="1" x14ac:dyDescent="0.25">
      <c r="H8" s="3614" t="s">
        <v>427</v>
      </c>
      <c r="I8" s="3614"/>
      <c r="J8" s="3614"/>
      <c r="K8" s="3614"/>
      <c r="L8" s="3614"/>
      <c r="M8" s="3614"/>
      <c r="N8" s="428"/>
    </row>
    <row r="9" spans="1:14" ht="15.75" customHeight="1" x14ac:dyDescent="0.25">
      <c r="H9" s="3614" t="s">
        <v>428</v>
      </c>
      <c r="I9" s="3614"/>
      <c r="J9" s="3614"/>
      <c r="K9" s="3614"/>
      <c r="L9" s="3614"/>
      <c r="M9" s="3614"/>
      <c r="N9" s="428"/>
    </row>
    <row r="10" spans="1:14" ht="15.75" customHeight="1" x14ac:dyDescent="0.25">
      <c r="H10" s="3614" t="s">
        <v>852</v>
      </c>
      <c r="I10" s="3614"/>
      <c r="J10" s="3614"/>
      <c r="K10" s="3614"/>
      <c r="L10" s="3614"/>
      <c r="M10" s="3614"/>
      <c r="N10" s="428"/>
    </row>
    <row r="12" spans="1:14" ht="33.75" customHeight="1" x14ac:dyDescent="0.3">
      <c r="A12" s="3615" t="s">
        <v>862</v>
      </c>
      <c r="B12" s="3615"/>
      <c r="C12" s="3615"/>
      <c r="D12" s="3615"/>
      <c r="E12" s="3615"/>
      <c r="F12" s="3615"/>
      <c r="G12" s="3615"/>
      <c r="H12" s="3615"/>
      <c r="I12" s="3615"/>
      <c r="J12" s="3615"/>
      <c r="K12" s="3615"/>
      <c r="L12" s="3615"/>
      <c r="M12" s="3615"/>
      <c r="N12" s="1165"/>
    </row>
    <row r="13" spans="1:14" x14ac:dyDescent="0.25">
      <c r="E13" s="3621" t="s">
        <v>2014</v>
      </c>
      <c r="F13" s="3621"/>
      <c r="G13" s="3621"/>
      <c r="H13" s="3621"/>
      <c r="L13" s="1187">
        <v>43831</v>
      </c>
    </row>
    <row r="14" spans="1:14" ht="57.75" customHeight="1" x14ac:dyDescent="0.25">
      <c r="A14" s="3617" t="s">
        <v>78</v>
      </c>
      <c r="B14" s="3617" t="s">
        <v>182</v>
      </c>
      <c r="C14" s="3617" t="s">
        <v>853</v>
      </c>
      <c r="D14" s="3617" t="s">
        <v>854</v>
      </c>
      <c r="E14" s="3619" t="s">
        <v>855</v>
      </c>
      <c r="F14" s="3620"/>
      <c r="G14" s="3619" t="s">
        <v>856</v>
      </c>
      <c r="H14" s="3620"/>
      <c r="I14" s="3622" t="s">
        <v>857</v>
      </c>
      <c r="J14" s="3622"/>
      <c r="K14" s="3622"/>
      <c r="L14" s="3622"/>
      <c r="M14" s="3617" t="s">
        <v>180</v>
      </c>
    </row>
    <row r="15" spans="1:14" ht="34.5" customHeight="1" x14ac:dyDescent="0.25">
      <c r="A15" s="3618"/>
      <c r="B15" s="3618"/>
      <c r="C15" s="3618"/>
      <c r="D15" s="3618"/>
      <c r="E15" s="1166" t="s">
        <v>858</v>
      </c>
      <c r="F15" s="1166" t="s">
        <v>859</v>
      </c>
      <c r="G15" s="1166" t="s">
        <v>858</v>
      </c>
      <c r="H15" s="1166" t="s">
        <v>859</v>
      </c>
      <c r="I15" s="1166" t="s">
        <v>858</v>
      </c>
      <c r="J15" s="1166" t="s">
        <v>204</v>
      </c>
      <c r="K15" s="1166" t="s">
        <v>205</v>
      </c>
      <c r="L15" s="1166" t="s">
        <v>206</v>
      </c>
      <c r="M15" s="3618"/>
    </row>
    <row r="16" spans="1:14" s="1169" customFormat="1" ht="11.25" x14ac:dyDescent="0.2">
      <c r="A16" s="1167">
        <v>1</v>
      </c>
      <c r="B16" s="1167">
        <v>2</v>
      </c>
      <c r="C16" s="1167">
        <v>3</v>
      </c>
      <c r="D16" s="1167">
        <v>4</v>
      </c>
      <c r="E16" s="1167">
        <v>5</v>
      </c>
      <c r="F16" s="1167">
        <v>6</v>
      </c>
      <c r="G16" s="1167">
        <v>7</v>
      </c>
      <c r="H16" s="1167">
        <v>8</v>
      </c>
      <c r="I16" s="1167">
        <v>9</v>
      </c>
      <c r="J16" s="1167">
        <v>10</v>
      </c>
      <c r="K16" s="1167">
        <v>11</v>
      </c>
      <c r="L16" s="1167">
        <v>12</v>
      </c>
      <c r="M16" s="1167">
        <v>13</v>
      </c>
      <c r="N16" s="1168"/>
    </row>
    <row r="17" spans="1:14" ht="90" x14ac:dyDescent="0.25">
      <c r="A17" s="1170">
        <v>27</v>
      </c>
      <c r="B17" s="1171" t="s">
        <v>2015</v>
      </c>
      <c r="C17" s="1172" t="s">
        <v>860</v>
      </c>
      <c r="D17" s="1172" t="s">
        <v>2016</v>
      </c>
      <c r="E17" s="1172">
        <v>19.5</v>
      </c>
      <c r="F17" s="1172">
        <f>6.5*12</f>
        <v>78</v>
      </c>
      <c r="G17" s="1173">
        <v>1446.1</v>
      </c>
      <c r="H17" s="1173">
        <v>1446.1</v>
      </c>
      <c r="I17" s="1173">
        <f t="shared" ref="I17:I18" si="0">E17*G17*1.2/1000</f>
        <v>33.840000000000003</v>
      </c>
      <c r="J17" s="1173">
        <f>H17*F17*1.2/1000+0.015</f>
        <v>135.37</v>
      </c>
      <c r="K17" s="1173">
        <v>135.4</v>
      </c>
      <c r="L17" s="1173">
        <v>135.4</v>
      </c>
      <c r="M17" s="1171" t="s">
        <v>861</v>
      </c>
    </row>
    <row r="18" spans="1:14" ht="75" x14ac:dyDescent="0.25">
      <c r="A18" s="1172">
        <v>28</v>
      </c>
      <c r="B18" s="1171" t="s">
        <v>2017</v>
      </c>
      <c r="C18" s="1172" t="s">
        <v>860</v>
      </c>
      <c r="D18" s="1172">
        <v>0</v>
      </c>
      <c r="E18" s="1172">
        <v>4.5</v>
      </c>
      <c r="F18" s="1172">
        <f>1.5*12</f>
        <v>18</v>
      </c>
      <c r="G18" s="1173">
        <v>1446.1</v>
      </c>
      <c r="H18" s="1173">
        <v>1446.1</v>
      </c>
      <c r="I18" s="1173">
        <f t="shared" si="0"/>
        <v>7.81</v>
      </c>
      <c r="J18" s="1173">
        <f>H18*F18*1.2/1000-0.01</f>
        <v>31.23</v>
      </c>
      <c r="K18" s="1173">
        <v>31.2</v>
      </c>
      <c r="L18" s="1173">
        <v>31.2</v>
      </c>
      <c r="M18" s="1171" t="s">
        <v>1385</v>
      </c>
    </row>
    <row r="19" spans="1:14" x14ac:dyDescent="0.25">
      <c r="A19" s="3623" t="s">
        <v>72</v>
      </c>
      <c r="B19" s="3624"/>
      <c r="C19" s="3624"/>
      <c r="D19" s="3625"/>
      <c r="E19" s="1174">
        <f>SUM(E17:E18)</f>
        <v>24</v>
      </c>
      <c r="F19" s="1175">
        <f>SUM(F17:F18)</f>
        <v>96</v>
      </c>
      <c r="G19" s="2055"/>
      <c r="H19" s="2055"/>
      <c r="I19" s="2055">
        <f>SUM(I17:I18)</f>
        <v>41.65</v>
      </c>
      <c r="J19" s="2055">
        <f>SUM(J17:J18)</f>
        <v>166.6</v>
      </c>
      <c r="K19" s="2055">
        <f t="shared" ref="K19:L19" si="1">SUM(K17:K18)</f>
        <v>166.6</v>
      </c>
      <c r="L19" s="2055">
        <f t="shared" si="1"/>
        <v>166.6</v>
      </c>
      <c r="M19" s="1176"/>
    </row>
    <row r="21" spans="1:14" x14ac:dyDescent="0.25">
      <c r="A21" s="1177"/>
      <c r="B21" s="1177"/>
      <c r="C21" s="1177"/>
      <c r="D21" s="1177"/>
    </row>
    <row r="22" spans="1:14" s="1180" customFormat="1" x14ac:dyDescent="0.25">
      <c r="A22" s="1178"/>
      <c r="B22" s="1178"/>
      <c r="C22" s="1178"/>
      <c r="D22" s="1178"/>
      <c r="E22" s="1179"/>
      <c r="F22" s="1179"/>
      <c r="G22" s="1179"/>
      <c r="H22" s="1179"/>
      <c r="I22" s="1179"/>
      <c r="J22" s="3616"/>
      <c r="K22" s="3616"/>
      <c r="L22" s="3616"/>
      <c r="M22" s="3616"/>
      <c r="N22" s="1179"/>
    </row>
    <row r="23" spans="1:14" x14ac:dyDescent="0.25">
      <c r="A23" s="1177"/>
      <c r="B23" s="1177"/>
      <c r="C23" s="1177"/>
      <c r="D23" s="1177"/>
      <c r="E23" s="1179"/>
      <c r="F23" s="1179"/>
      <c r="G23" s="1179"/>
      <c r="H23" s="1179"/>
      <c r="J23" s="1181"/>
      <c r="K23" s="1181"/>
      <c r="L23" s="1181"/>
      <c r="M23" s="1181"/>
    </row>
    <row r="24" spans="1:14" x14ac:dyDescent="0.25">
      <c r="A24" s="1177"/>
      <c r="B24" s="1177"/>
      <c r="C24" s="1177"/>
      <c r="D24" s="1177"/>
      <c r="J24" s="1182"/>
      <c r="K24" s="1182"/>
      <c r="L24" s="1182"/>
    </row>
    <row r="25" spans="1:14" x14ac:dyDescent="0.25">
      <c r="A25" s="1183"/>
      <c r="B25" s="1183"/>
      <c r="C25" s="1183"/>
      <c r="D25" s="1177"/>
      <c r="J25" s="1184"/>
      <c r="K25" s="1184"/>
      <c r="L25" s="1184"/>
    </row>
    <row r="26" spans="1:14" x14ac:dyDescent="0.25">
      <c r="A26" s="1185"/>
      <c r="B26" s="1183"/>
      <c r="C26" s="1183"/>
      <c r="D26" s="1177"/>
      <c r="J26" s="1186"/>
      <c r="K26" s="1186"/>
      <c r="L26" s="1186"/>
      <c r="M26" s="1186">
        <f t="shared" ref="M26" si="2">M25-M19</f>
        <v>0</v>
      </c>
    </row>
    <row r="27" spans="1:14" x14ac:dyDescent="0.25">
      <c r="A27" s="1177"/>
      <c r="B27" s="1177"/>
      <c r="C27" s="1177"/>
      <c r="D27" s="1177"/>
      <c r="E27" s="1179"/>
      <c r="F27" s="1179"/>
      <c r="G27" s="1179"/>
      <c r="H27" s="1179"/>
      <c r="J27" s="1181"/>
      <c r="K27" s="1181"/>
      <c r="L27" s="1181"/>
      <c r="M27" s="1181"/>
    </row>
    <row r="28" spans="1:14" x14ac:dyDescent="0.25">
      <c r="A28" s="1177"/>
      <c r="B28" s="1177"/>
      <c r="C28" s="1177"/>
      <c r="D28" s="1177"/>
      <c r="E28" s="1179"/>
      <c r="F28" s="1179"/>
      <c r="G28" s="1179"/>
      <c r="H28" s="1179"/>
      <c r="J28" s="1181"/>
      <c r="K28" s="1181"/>
      <c r="L28" s="1181"/>
      <c r="M28" s="1181"/>
    </row>
    <row r="29" spans="1:14" x14ac:dyDescent="0.25">
      <c r="A29" s="1177"/>
      <c r="B29" s="1177"/>
      <c r="C29" s="1177"/>
      <c r="D29" s="1177"/>
    </row>
    <row r="30" spans="1:14" x14ac:dyDescent="0.25">
      <c r="A30" s="1183"/>
      <c r="B30" s="1183"/>
      <c r="C30" s="1183"/>
      <c r="D30" s="1177"/>
    </row>
    <row r="31" spans="1:14" x14ac:dyDescent="0.25">
      <c r="A31" s="1185"/>
      <c r="B31" s="1183"/>
      <c r="C31" s="1183"/>
      <c r="D31" s="1177"/>
    </row>
  </sheetData>
  <mergeCells count="22">
    <mergeCell ref="E13:H13"/>
    <mergeCell ref="G14:H14"/>
    <mergeCell ref="I14:L14"/>
    <mergeCell ref="M14:M15"/>
    <mergeCell ref="A19:D19"/>
    <mergeCell ref="J22:M22"/>
    <mergeCell ref="A14:A15"/>
    <mergeCell ref="B14:B15"/>
    <mergeCell ref="C14:C15"/>
    <mergeCell ref="D14:D15"/>
    <mergeCell ref="E14:F14"/>
    <mergeCell ref="H7:M7"/>
    <mergeCell ref="H8:M8"/>
    <mergeCell ref="H9:M9"/>
    <mergeCell ref="H10:M10"/>
    <mergeCell ref="A12:M12"/>
    <mergeCell ref="H6:M6"/>
    <mergeCell ref="H1:M1"/>
    <mergeCell ref="H2:M2"/>
    <mergeCell ref="H3:M3"/>
    <mergeCell ref="H4:M4"/>
    <mergeCell ref="H5:M5"/>
  </mergeCells>
  <pageMargins left="0.23622047244094491" right="0.23622047244094491" top="0.74803149606299213" bottom="0.74803149606299213" header="0.31496062992125984" footer="0.31496062992125984"/>
  <pageSetup paperSize="9" scale="84" fitToHeight="0" orientation="landscape"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A56"/>
  <sheetViews>
    <sheetView view="pageBreakPreview" topLeftCell="A13" zoomScale="80" zoomScaleNormal="90" zoomScaleSheetLayoutView="80" workbookViewId="0">
      <selection activeCell="AC16" sqref="AC16"/>
    </sheetView>
  </sheetViews>
  <sheetFormatPr defaultRowHeight="12.75" x14ac:dyDescent="0.2"/>
  <cols>
    <col min="1" max="1" width="3.6640625" style="938" customWidth="1"/>
    <col min="2" max="2" width="7.5" style="936" bestFit="1" customWidth="1"/>
    <col min="3" max="3" width="31.33203125" style="936" customWidth="1"/>
    <col min="4" max="4" width="13.1640625" style="936" bestFit="1" customWidth="1"/>
    <col min="5" max="5" width="10" style="936" hidden="1" customWidth="1"/>
    <col min="6" max="6" width="12.83203125" style="936" hidden="1" customWidth="1"/>
    <col min="7" max="7" width="10.6640625" style="936" hidden="1" customWidth="1"/>
    <col min="8" max="8" width="10" style="936" hidden="1" customWidth="1"/>
    <col min="9" max="9" width="12.83203125" style="936" hidden="1" customWidth="1"/>
    <col min="10" max="10" width="10.83203125" style="936" hidden="1" customWidth="1"/>
    <col min="11" max="11" width="10" style="936" hidden="1" customWidth="1"/>
    <col min="12" max="12" width="12.83203125" style="936" hidden="1" customWidth="1"/>
    <col min="13" max="13" width="9.83203125" style="936" hidden="1" customWidth="1"/>
    <col min="14" max="14" width="10" style="936" bestFit="1" customWidth="1"/>
    <col min="15" max="15" width="12.83203125" style="936" bestFit="1" customWidth="1"/>
    <col min="16" max="16" width="10" style="936" bestFit="1" customWidth="1"/>
    <col min="17" max="17" width="10.5" style="936" bestFit="1" customWidth="1"/>
    <col min="18" max="18" width="10" style="936" bestFit="1" customWidth="1"/>
    <col min="19" max="19" width="12.83203125" style="936" bestFit="1" customWidth="1"/>
    <col min="20" max="21" width="10" style="936" bestFit="1" customWidth="1"/>
    <col min="22" max="22" width="12.83203125" style="936" bestFit="1" customWidth="1"/>
    <col min="23" max="23" width="12.6640625" style="936" bestFit="1" customWidth="1"/>
    <col min="24" max="256" width="9.33203125" style="938"/>
    <col min="257" max="257" width="3.6640625" style="938" customWidth="1"/>
    <col min="258" max="258" width="7.5" style="938" bestFit="1" customWidth="1"/>
    <col min="259" max="259" width="31.33203125" style="938" customWidth="1"/>
    <col min="260" max="260" width="13.1640625" style="938" bestFit="1" customWidth="1"/>
    <col min="261" max="269" width="0" style="938" hidden="1" customWidth="1"/>
    <col min="270" max="270" width="10" style="938" bestFit="1" customWidth="1"/>
    <col min="271" max="271" width="12.83203125" style="938" bestFit="1" customWidth="1"/>
    <col min="272" max="272" width="10" style="938" bestFit="1" customWidth="1"/>
    <col min="273" max="273" width="10.5" style="938" bestFit="1" customWidth="1"/>
    <col min="274" max="274" width="10" style="938" bestFit="1" customWidth="1"/>
    <col min="275" max="275" width="12.83203125" style="938" bestFit="1" customWidth="1"/>
    <col min="276" max="277" width="10" style="938" bestFit="1" customWidth="1"/>
    <col min="278" max="278" width="12.83203125" style="938" bestFit="1" customWidth="1"/>
    <col min="279" max="279" width="10" style="938" bestFit="1" customWidth="1"/>
    <col min="280" max="512" width="9.33203125" style="938"/>
    <col min="513" max="513" width="3.6640625" style="938" customWidth="1"/>
    <col min="514" max="514" width="7.5" style="938" bestFit="1" customWidth="1"/>
    <col min="515" max="515" width="31.33203125" style="938" customWidth="1"/>
    <col min="516" max="516" width="13.1640625" style="938" bestFit="1" customWidth="1"/>
    <col min="517" max="525" width="0" style="938" hidden="1" customWidth="1"/>
    <col min="526" max="526" width="10" style="938" bestFit="1" customWidth="1"/>
    <col min="527" max="527" width="12.83203125" style="938" bestFit="1" customWidth="1"/>
    <col min="528" max="528" width="10" style="938" bestFit="1" customWidth="1"/>
    <col min="529" max="529" width="10.5" style="938" bestFit="1" customWidth="1"/>
    <col min="530" max="530" width="10" style="938" bestFit="1" customWidth="1"/>
    <col min="531" max="531" width="12.83203125" style="938" bestFit="1" customWidth="1"/>
    <col min="532" max="533" width="10" style="938" bestFit="1" customWidth="1"/>
    <col min="534" max="534" width="12.83203125" style="938" bestFit="1" customWidth="1"/>
    <col min="535" max="535" width="10" style="938" bestFit="1" customWidth="1"/>
    <col min="536" max="768" width="9.33203125" style="938"/>
    <col min="769" max="769" width="3.6640625" style="938" customWidth="1"/>
    <col min="770" max="770" width="7.5" style="938" bestFit="1" customWidth="1"/>
    <col min="771" max="771" width="31.33203125" style="938" customWidth="1"/>
    <col min="772" max="772" width="13.1640625" style="938" bestFit="1" customWidth="1"/>
    <col min="773" max="781" width="0" style="938" hidden="1" customWidth="1"/>
    <col min="782" max="782" width="10" style="938" bestFit="1" customWidth="1"/>
    <col min="783" max="783" width="12.83203125" style="938" bestFit="1" customWidth="1"/>
    <col min="784" max="784" width="10" style="938" bestFit="1" customWidth="1"/>
    <col min="785" max="785" width="10.5" style="938" bestFit="1" customWidth="1"/>
    <col min="786" max="786" width="10" style="938" bestFit="1" customWidth="1"/>
    <col min="787" max="787" width="12.83203125" style="938" bestFit="1" customWidth="1"/>
    <col min="788" max="789" width="10" style="938" bestFit="1" customWidth="1"/>
    <col min="790" max="790" width="12.83203125" style="938" bestFit="1" customWidth="1"/>
    <col min="791" max="791" width="10" style="938" bestFit="1" customWidth="1"/>
    <col min="792" max="1024" width="9.33203125" style="938"/>
    <col min="1025" max="1025" width="3.6640625" style="938" customWidth="1"/>
    <col min="1026" max="1026" width="7.5" style="938" bestFit="1" customWidth="1"/>
    <col min="1027" max="1027" width="31.33203125" style="938" customWidth="1"/>
    <col min="1028" max="1028" width="13.1640625" style="938" bestFit="1" customWidth="1"/>
    <col min="1029" max="1037" width="0" style="938" hidden="1" customWidth="1"/>
    <col min="1038" max="1038" width="10" style="938" bestFit="1" customWidth="1"/>
    <col min="1039" max="1039" width="12.83203125" style="938" bestFit="1" customWidth="1"/>
    <col min="1040" max="1040" width="10" style="938" bestFit="1" customWidth="1"/>
    <col min="1041" max="1041" width="10.5" style="938" bestFit="1" customWidth="1"/>
    <col min="1042" max="1042" width="10" style="938" bestFit="1" customWidth="1"/>
    <col min="1043" max="1043" width="12.83203125" style="938" bestFit="1" customWidth="1"/>
    <col min="1044" max="1045" width="10" style="938" bestFit="1" customWidth="1"/>
    <col min="1046" max="1046" width="12.83203125" style="938" bestFit="1" customWidth="1"/>
    <col min="1047" max="1047" width="10" style="938" bestFit="1" customWidth="1"/>
    <col min="1048" max="1280" width="9.33203125" style="938"/>
    <col min="1281" max="1281" width="3.6640625" style="938" customWidth="1"/>
    <col min="1282" max="1282" width="7.5" style="938" bestFit="1" customWidth="1"/>
    <col min="1283" max="1283" width="31.33203125" style="938" customWidth="1"/>
    <col min="1284" max="1284" width="13.1640625" style="938" bestFit="1" customWidth="1"/>
    <col min="1285" max="1293" width="0" style="938" hidden="1" customWidth="1"/>
    <col min="1294" max="1294" width="10" style="938" bestFit="1" customWidth="1"/>
    <col min="1295" max="1295" width="12.83203125" style="938" bestFit="1" customWidth="1"/>
    <col min="1296" max="1296" width="10" style="938" bestFit="1" customWidth="1"/>
    <col min="1297" max="1297" width="10.5" style="938" bestFit="1" customWidth="1"/>
    <col min="1298" max="1298" width="10" style="938" bestFit="1" customWidth="1"/>
    <col min="1299" max="1299" width="12.83203125" style="938" bestFit="1" customWidth="1"/>
    <col min="1300" max="1301" width="10" style="938" bestFit="1" customWidth="1"/>
    <col min="1302" max="1302" width="12.83203125" style="938" bestFit="1" customWidth="1"/>
    <col min="1303" max="1303" width="10" style="938" bestFit="1" customWidth="1"/>
    <col min="1304" max="1536" width="9.33203125" style="938"/>
    <col min="1537" max="1537" width="3.6640625" style="938" customWidth="1"/>
    <col min="1538" max="1538" width="7.5" style="938" bestFit="1" customWidth="1"/>
    <col min="1539" max="1539" width="31.33203125" style="938" customWidth="1"/>
    <col min="1540" max="1540" width="13.1640625" style="938" bestFit="1" customWidth="1"/>
    <col min="1541" max="1549" width="0" style="938" hidden="1" customWidth="1"/>
    <col min="1550" max="1550" width="10" style="938" bestFit="1" customWidth="1"/>
    <col min="1551" max="1551" width="12.83203125" style="938" bestFit="1" customWidth="1"/>
    <col min="1552" max="1552" width="10" style="938" bestFit="1" customWidth="1"/>
    <col min="1553" max="1553" width="10.5" style="938" bestFit="1" customWidth="1"/>
    <col min="1554" max="1554" width="10" style="938" bestFit="1" customWidth="1"/>
    <col min="1555" max="1555" width="12.83203125" style="938" bestFit="1" customWidth="1"/>
    <col min="1556" max="1557" width="10" style="938" bestFit="1" customWidth="1"/>
    <col min="1558" max="1558" width="12.83203125" style="938" bestFit="1" customWidth="1"/>
    <col min="1559" max="1559" width="10" style="938" bestFit="1" customWidth="1"/>
    <col min="1560" max="1792" width="9.33203125" style="938"/>
    <col min="1793" max="1793" width="3.6640625" style="938" customWidth="1"/>
    <col min="1794" max="1794" width="7.5" style="938" bestFit="1" customWidth="1"/>
    <col min="1795" max="1795" width="31.33203125" style="938" customWidth="1"/>
    <col min="1796" max="1796" width="13.1640625" style="938" bestFit="1" customWidth="1"/>
    <col min="1797" max="1805" width="0" style="938" hidden="1" customWidth="1"/>
    <col min="1806" max="1806" width="10" style="938" bestFit="1" customWidth="1"/>
    <col min="1807" max="1807" width="12.83203125" style="938" bestFit="1" customWidth="1"/>
    <col min="1808" max="1808" width="10" style="938" bestFit="1" customWidth="1"/>
    <col min="1809" max="1809" width="10.5" style="938" bestFit="1" customWidth="1"/>
    <col min="1810" max="1810" width="10" style="938" bestFit="1" customWidth="1"/>
    <col min="1811" max="1811" width="12.83203125" style="938" bestFit="1" customWidth="1"/>
    <col min="1812" max="1813" width="10" style="938" bestFit="1" customWidth="1"/>
    <col min="1814" max="1814" width="12.83203125" style="938" bestFit="1" customWidth="1"/>
    <col min="1815" max="1815" width="10" style="938" bestFit="1" customWidth="1"/>
    <col min="1816" max="2048" width="9.33203125" style="938"/>
    <col min="2049" max="2049" width="3.6640625" style="938" customWidth="1"/>
    <col min="2050" max="2050" width="7.5" style="938" bestFit="1" customWidth="1"/>
    <col min="2051" max="2051" width="31.33203125" style="938" customWidth="1"/>
    <col min="2052" max="2052" width="13.1640625" style="938" bestFit="1" customWidth="1"/>
    <col min="2053" max="2061" width="0" style="938" hidden="1" customWidth="1"/>
    <col min="2062" max="2062" width="10" style="938" bestFit="1" customWidth="1"/>
    <col min="2063" max="2063" width="12.83203125" style="938" bestFit="1" customWidth="1"/>
    <col min="2064" max="2064" width="10" style="938" bestFit="1" customWidth="1"/>
    <col min="2065" max="2065" width="10.5" style="938" bestFit="1" customWidth="1"/>
    <col min="2066" max="2066" width="10" style="938" bestFit="1" customWidth="1"/>
    <col min="2067" max="2067" width="12.83203125" style="938" bestFit="1" customWidth="1"/>
    <col min="2068" max="2069" width="10" style="938" bestFit="1" customWidth="1"/>
    <col min="2070" max="2070" width="12.83203125" style="938" bestFit="1" customWidth="1"/>
    <col min="2071" max="2071" width="10" style="938" bestFit="1" customWidth="1"/>
    <col min="2072" max="2304" width="9.33203125" style="938"/>
    <col min="2305" max="2305" width="3.6640625" style="938" customWidth="1"/>
    <col min="2306" max="2306" width="7.5" style="938" bestFit="1" customWidth="1"/>
    <col min="2307" max="2307" width="31.33203125" style="938" customWidth="1"/>
    <col min="2308" max="2308" width="13.1640625" style="938" bestFit="1" customWidth="1"/>
    <col min="2309" max="2317" width="0" style="938" hidden="1" customWidth="1"/>
    <col min="2318" max="2318" width="10" style="938" bestFit="1" customWidth="1"/>
    <col min="2319" max="2319" width="12.83203125" style="938" bestFit="1" customWidth="1"/>
    <col min="2320" max="2320" width="10" style="938" bestFit="1" customWidth="1"/>
    <col min="2321" max="2321" width="10.5" style="938" bestFit="1" customWidth="1"/>
    <col min="2322" max="2322" width="10" style="938" bestFit="1" customWidth="1"/>
    <col min="2323" max="2323" width="12.83203125" style="938" bestFit="1" customWidth="1"/>
    <col min="2324" max="2325" width="10" style="938" bestFit="1" customWidth="1"/>
    <col min="2326" max="2326" width="12.83203125" style="938" bestFit="1" customWidth="1"/>
    <col min="2327" max="2327" width="10" style="938" bestFit="1" customWidth="1"/>
    <col min="2328" max="2560" width="9.33203125" style="938"/>
    <col min="2561" max="2561" width="3.6640625" style="938" customWidth="1"/>
    <col min="2562" max="2562" width="7.5" style="938" bestFit="1" customWidth="1"/>
    <col min="2563" max="2563" width="31.33203125" style="938" customWidth="1"/>
    <col min="2564" max="2564" width="13.1640625" style="938" bestFit="1" customWidth="1"/>
    <col min="2565" max="2573" width="0" style="938" hidden="1" customWidth="1"/>
    <col min="2574" max="2574" width="10" style="938" bestFit="1" customWidth="1"/>
    <col min="2575" max="2575" width="12.83203125" style="938" bestFit="1" customWidth="1"/>
    <col min="2576" max="2576" width="10" style="938" bestFit="1" customWidth="1"/>
    <col min="2577" max="2577" width="10.5" style="938" bestFit="1" customWidth="1"/>
    <col min="2578" max="2578" width="10" style="938" bestFit="1" customWidth="1"/>
    <col min="2579" max="2579" width="12.83203125" style="938" bestFit="1" customWidth="1"/>
    <col min="2580" max="2581" width="10" style="938" bestFit="1" customWidth="1"/>
    <col min="2582" max="2582" width="12.83203125" style="938" bestFit="1" customWidth="1"/>
    <col min="2583" max="2583" width="10" style="938" bestFit="1" customWidth="1"/>
    <col min="2584" max="2816" width="9.33203125" style="938"/>
    <col min="2817" max="2817" width="3.6640625" style="938" customWidth="1"/>
    <col min="2818" max="2818" width="7.5" style="938" bestFit="1" customWidth="1"/>
    <col min="2819" max="2819" width="31.33203125" style="938" customWidth="1"/>
    <col min="2820" max="2820" width="13.1640625" style="938" bestFit="1" customWidth="1"/>
    <col min="2821" max="2829" width="0" style="938" hidden="1" customWidth="1"/>
    <col min="2830" max="2830" width="10" style="938" bestFit="1" customWidth="1"/>
    <col min="2831" max="2831" width="12.83203125" style="938" bestFit="1" customWidth="1"/>
    <col min="2832" max="2832" width="10" style="938" bestFit="1" customWidth="1"/>
    <col min="2833" max="2833" width="10.5" style="938" bestFit="1" customWidth="1"/>
    <col min="2834" max="2834" width="10" style="938" bestFit="1" customWidth="1"/>
    <col min="2835" max="2835" width="12.83203125" style="938" bestFit="1" customWidth="1"/>
    <col min="2836" max="2837" width="10" style="938" bestFit="1" customWidth="1"/>
    <col min="2838" max="2838" width="12.83203125" style="938" bestFit="1" customWidth="1"/>
    <col min="2839" max="2839" width="10" style="938" bestFit="1" customWidth="1"/>
    <col min="2840" max="3072" width="9.33203125" style="938"/>
    <col min="3073" max="3073" width="3.6640625" style="938" customWidth="1"/>
    <col min="3074" max="3074" width="7.5" style="938" bestFit="1" customWidth="1"/>
    <col min="3075" max="3075" width="31.33203125" style="938" customWidth="1"/>
    <col min="3076" max="3076" width="13.1640625" style="938" bestFit="1" customWidth="1"/>
    <col min="3077" max="3085" width="0" style="938" hidden="1" customWidth="1"/>
    <col min="3086" max="3086" width="10" style="938" bestFit="1" customWidth="1"/>
    <col min="3087" max="3087" width="12.83203125" style="938" bestFit="1" customWidth="1"/>
    <col min="3088" max="3088" width="10" style="938" bestFit="1" customWidth="1"/>
    <col min="3089" max="3089" width="10.5" style="938" bestFit="1" customWidth="1"/>
    <col min="3090" max="3090" width="10" style="938" bestFit="1" customWidth="1"/>
    <col min="3091" max="3091" width="12.83203125" style="938" bestFit="1" customWidth="1"/>
    <col min="3092" max="3093" width="10" style="938" bestFit="1" customWidth="1"/>
    <col min="3094" max="3094" width="12.83203125" style="938" bestFit="1" customWidth="1"/>
    <col min="3095" max="3095" width="10" style="938" bestFit="1" customWidth="1"/>
    <col min="3096" max="3328" width="9.33203125" style="938"/>
    <col min="3329" max="3329" width="3.6640625" style="938" customWidth="1"/>
    <col min="3330" max="3330" width="7.5" style="938" bestFit="1" customWidth="1"/>
    <col min="3331" max="3331" width="31.33203125" style="938" customWidth="1"/>
    <col min="3332" max="3332" width="13.1640625" style="938" bestFit="1" customWidth="1"/>
    <col min="3333" max="3341" width="0" style="938" hidden="1" customWidth="1"/>
    <col min="3342" max="3342" width="10" style="938" bestFit="1" customWidth="1"/>
    <col min="3343" max="3343" width="12.83203125" style="938" bestFit="1" customWidth="1"/>
    <col min="3344" max="3344" width="10" style="938" bestFit="1" customWidth="1"/>
    <col min="3345" max="3345" width="10.5" style="938" bestFit="1" customWidth="1"/>
    <col min="3346" max="3346" width="10" style="938" bestFit="1" customWidth="1"/>
    <col min="3347" max="3347" width="12.83203125" style="938" bestFit="1" customWidth="1"/>
    <col min="3348" max="3349" width="10" style="938" bestFit="1" customWidth="1"/>
    <col min="3350" max="3350" width="12.83203125" style="938" bestFit="1" customWidth="1"/>
    <col min="3351" max="3351" width="10" style="938" bestFit="1" customWidth="1"/>
    <col min="3352" max="3584" width="9.33203125" style="938"/>
    <col min="3585" max="3585" width="3.6640625" style="938" customWidth="1"/>
    <col min="3586" max="3586" width="7.5" style="938" bestFit="1" customWidth="1"/>
    <col min="3587" max="3587" width="31.33203125" style="938" customWidth="1"/>
    <col min="3588" max="3588" width="13.1640625" style="938" bestFit="1" customWidth="1"/>
    <col min="3589" max="3597" width="0" style="938" hidden="1" customWidth="1"/>
    <col min="3598" max="3598" width="10" style="938" bestFit="1" customWidth="1"/>
    <col min="3599" max="3599" width="12.83203125" style="938" bestFit="1" customWidth="1"/>
    <col min="3600" max="3600" width="10" style="938" bestFit="1" customWidth="1"/>
    <col min="3601" max="3601" width="10.5" style="938" bestFit="1" customWidth="1"/>
    <col min="3602" max="3602" width="10" style="938" bestFit="1" customWidth="1"/>
    <col min="3603" max="3603" width="12.83203125" style="938" bestFit="1" customWidth="1"/>
    <col min="3604" max="3605" width="10" style="938" bestFit="1" customWidth="1"/>
    <col min="3606" max="3606" width="12.83203125" style="938" bestFit="1" customWidth="1"/>
    <col min="3607" max="3607" width="10" style="938" bestFit="1" customWidth="1"/>
    <col min="3608" max="3840" width="9.33203125" style="938"/>
    <col min="3841" max="3841" width="3.6640625" style="938" customWidth="1"/>
    <col min="3842" max="3842" width="7.5" style="938" bestFit="1" customWidth="1"/>
    <col min="3843" max="3843" width="31.33203125" style="938" customWidth="1"/>
    <col min="3844" max="3844" width="13.1640625" style="938" bestFit="1" customWidth="1"/>
    <col min="3845" max="3853" width="0" style="938" hidden="1" customWidth="1"/>
    <col min="3854" max="3854" width="10" style="938" bestFit="1" customWidth="1"/>
    <col min="3855" max="3855" width="12.83203125" style="938" bestFit="1" customWidth="1"/>
    <col min="3856" max="3856" width="10" style="938" bestFit="1" customWidth="1"/>
    <col min="3857" max="3857" width="10.5" style="938" bestFit="1" customWidth="1"/>
    <col min="3858" max="3858" width="10" style="938" bestFit="1" customWidth="1"/>
    <col min="3859" max="3859" width="12.83203125" style="938" bestFit="1" customWidth="1"/>
    <col min="3860" max="3861" width="10" style="938" bestFit="1" customWidth="1"/>
    <col min="3862" max="3862" width="12.83203125" style="938" bestFit="1" customWidth="1"/>
    <col min="3863" max="3863" width="10" style="938" bestFit="1" customWidth="1"/>
    <col min="3864" max="4096" width="9.33203125" style="938"/>
    <col min="4097" max="4097" width="3.6640625" style="938" customWidth="1"/>
    <col min="4098" max="4098" width="7.5" style="938" bestFit="1" customWidth="1"/>
    <col min="4099" max="4099" width="31.33203125" style="938" customWidth="1"/>
    <col min="4100" max="4100" width="13.1640625" style="938" bestFit="1" customWidth="1"/>
    <col min="4101" max="4109" width="0" style="938" hidden="1" customWidth="1"/>
    <col min="4110" max="4110" width="10" style="938" bestFit="1" customWidth="1"/>
    <col min="4111" max="4111" width="12.83203125" style="938" bestFit="1" customWidth="1"/>
    <col min="4112" max="4112" width="10" style="938" bestFit="1" customWidth="1"/>
    <col min="4113" max="4113" width="10.5" style="938" bestFit="1" customWidth="1"/>
    <col min="4114" max="4114" width="10" style="938" bestFit="1" customWidth="1"/>
    <col min="4115" max="4115" width="12.83203125" style="938" bestFit="1" customWidth="1"/>
    <col min="4116" max="4117" width="10" style="938" bestFit="1" customWidth="1"/>
    <col min="4118" max="4118" width="12.83203125" style="938" bestFit="1" customWidth="1"/>
    <col min="4119" max="4119" width="10" style="938" bestFit="1" customWidth="1"/>
    <col min="4120" max="4352" width="9.33203125" style="938"/>
    <col min="4353" max="4353" width="3.6640625" style="938" customWidth="1"/>
    <col min="4354" max="4354" width="7.5" style="938" bestFit="1" customWidth="1"/>
    <col min="4355" max="4355" width="31.33203125" style="938" customWidth="1"/>
    <col min="4356" max="4356" width="13.1640625" style="938" bestFit="1" customWidth="1"/>
    <col min="4357" max="4365" width="0" style="938" hidden="1" customWidth="1"/>
    <col min="4366" max="4366" width="10" style="938" bestFit="1" customWidth="1"/>
    <col min="4367" max="4367" width="12.83203125" style="938" bestFit="1" customWidth="1"/>
    <col min="4368" max="4368" width="10" style="938" bestFit="1" customWidth="1"/>
    <col min="4369" max="4369" width="10.5" style="938" bestFit="1" customWidth="1"/>
    <col min="4370" max="4370" width="10" style="938" bestFit="1" customWidth="1"/>
    <col min="4371" max="4371" width="12.83203125" style="938" bestFit="1" customWidth="1"/>
    <col min="4372" max="4373" width="10" style="938" bestFit="1" customWidth="1"/>
    <col min="4374" max="4374" width="12.83203125" style="938" bestFit="1" customWidth="1"/>
    <col min="4375" max="4375" width="10" style="938" bestFit="1" customWidth="1"/>
    <col min="4376" max="4608" width="9.33203125" style="938"/>
    <col min="4609" max="4609" width="3.6640625" style="938" customWidth="1"/>
    <col min="4610" max="4610" width="7.5" style="938" bestFit="1" customWidth="1"/>
    <col min="4611" max="4611" width="31.33203125" style="938" customWidth="1"/>
    <col min="4612" max="4612" width="13.1640625" style="938" bestFit="1" customWidth="1"/>
    <col min="4613" max="4621" width="0" style="938" hidden="1" customWidth="1"/>
    <col min="4622" max="4622" width="10" style="938" bestFit="1" customWidth="1"/>
    <col min="4623" max="4623" width="12.83203125" style="938" bestFit="1" customWidth="1"/>
    <col min="4624" max="4624" width="10" style="938" bestFit="1" customWidth="1"/>
    <col min="4625" max="4625" width="10.5" style="938" bestFit="1" customWidth="1"/>
    <col min="4626" max="4626" width="10" style="938" bestFit="1" customWidth="1"/>
    <col min="4627" max="4627" width="12.83203125" style="938" bestFit="1" customWidth="1"/>
    <col min="4628" max="4629" width="10" style="938" bestFit="1" customWidth="1"/>
    <col min="4630" max="4630" width="12.83203125" style="938" bestFit="1" customWidth="1"/>
    <col min="4631" max="4631" width="10" style="938" bestFit="1" customWidth="1"/>
    <col min="4632" max="4864" width="9.33203125" style="938"/>
    <col min="4865" max="4865" width="3.6640625" style="938" customWidth="1"/>
    <col min="4866" max="4866" width="7.5" style="938" bestFit="1" customWidth="1"/>
    <col min="4867" max="4867" width="31.33203125" style="938" customWidth="1"/>
    <col min="4868" max="4868" width="13.1640625" style="938" bestFit="1" customWidth="1"/>
    <col min="4869" max="4877" width="0" style="938" hidden="1" customWidth="1"/>
    <col min="4878" max="4878" width="10" style="938" bestFit="1" customWidth="1"/>
    <col min="4879" max="4879" width="12.83203125" style="938" bestFit="1" customWidth="1"/>
    <col min="4880" max="4880" width="10" style="938" bestFit="1" customWidth="1"/>
    <col min="4881" max="4881" width="10.5" style="938" bestFit="1" customWidth="1"/>
    <col min="4882" max="4882" width="10" style="938" bestFit="1" customWidth="1"/>
    <col min="4883" max="4883" width="12.83203125" style="938" bestFit="1" customWidth="1"/>
    <col min="4884" max="4885" width="10" style="938" bestFit="1" customWidth="1"/>
    <col min="4886" max="4886" width="12.83203125" style="938" bestFit="1" customWidth="1"/>
    <col min="4887" max="4887" width="10" style="938" bestFit="1" customWidth="1"/>
    <col min="4888" max="5120" width="9.33203125" style="938"/>
    <col min="5121" max="5121" width="3.6640625" style="938" customWidth="1"/>
    <col min="5122" max="5122" width="7.5" style="938" bestFit="1" customWidth="1"/>
    <col min="5123" max="5123" width="31.33203125" style="938" customWidth="1"/>
    <col min="5124" max="5124" width="13.1640625" style="938" bestFit="1" customWidth="1"/>
    <col min="5125" max="5133" width="0" style="938" hidden="1" customWidth="1"/>
    <col min="5134" max="5134" width="10" style="938" bestFit="1" customWidth="1"/>
    <col min="5135" max="5135" width="12.83203125" style="938" bestFit="1" customWidth="1"/>
    <col min="5136" max="5136" width="10" style="938" bestFit="1" customWidth="1"/>
    <col min="5137" max="5137" width="10.5" style="938" bestFit="1" customWidth="1"/>
    <col min="5138" max="5138" width="10" style="938" bestFit="1" customWidth="1"/>
    <col min="5139" max="5139" width="12.83203125" style="938" bestFit="1" customWidth="1"/>
    <col min="5140" max="5141" width="10" style="938" bestFit="1" customWidth="1"/>
    <col min="5142" max="5142" width="12.83203125" style="938" bestFit="1" customWidth="1"/>
    <col min="5143" max="5143" width="10" style="938" bestFit="1" customWidth="1"/>
    <col min="5144" max="5376" width="9.33203125" style="938"/>
    <col min="5377" max="5377" width="3.6640625" style="938" customWidth="1"/>
    <col min="5378" max="5378" width="7.5" style="938" bestFit="1" customWidth="1"/>
    <col min="5379" max="5379" width="31.33203125" style="938" customWidth="1"/>
    <col min="5380" max="5380" width="13.1640625" style="938" bestFit="1" customWidth="1"/>
    <col min="5381" max="5389" width="0" style="938" hidden="1" customWidth="1"/>
    <col min="5390" max="5390" width="10" style="938" bestFit="1" customWidth="1"/>
    <col min="5391" max="5391" width="12.83203125" style="938" bestFit="1" customWidth="1"/>
    <col min="5392" max="5392" width="10" style="938" bestFit="1" customWidth="1"/>
    <col min="5393" max="5393" width="10.5" style="938" bestFit="1" customWidth="1"/>
    <col min="5394" max="5394" width="10" style="938" bestFit="1" customWidth="1"/>
    <col min="5395" max="5395" width="12.83203125" style="938" bestFit="1" customWidth="1"/>
    <col min="5396" max="5397" width="10" style="938" bestFit="1" customWidth="1"/>
    <col min="5398" max="5398" width="12.83203125" style="938" bestFit="1" customWidth="1"/>
    <col min="5399" max="5399" width="10" style="938" bestFit="1" customWidth="1"/>
    <col min="5400" max="5632" width="9.33203125" style="938"/>
    <col min="5633" max="5633" width="3.6640625" style="938" customWidth="1"/>
    <col min="5634" max="5634" width="7.5" style="938" bestFit="1" customWidth="1"/>
    <col min="5635" max="5635" width="31.33203125" style="938" customWidth="1"/>
    <col min="5636" max="5636" width="13.1640625" style="938" bestFit="1" customWidth="1"/>
    <col min="5637" max="5645" width="0" style="938" hidden="1" customWidth="1"/>
    <col min="5646" max="5646" width="10" style="938" bestFit="1" customWidth="1"/>
    <col min="5647" max="5647" width="12.83203125" style="938" bestFit="1" customWidth="1"/>
    <col min="5648" max="5648" width="10" style="938" bestFit="1" customWidth="1"/>
    <col min="5649" max="5649" width="10.5" style="938" bestFit="1" customWidth="1"/>
    <col min="5650" max="5650" width="10" style="938" bestFit="1" customWidth="1"/>
    <col min="5651" max="5651" width="12.83203125" style="938" bestFit="1" customWidth="1"/>
    <col min="5652" max="5653" width="10" style="938" bestFit="1" customWidth="1"/>
    <col min="5654" max="5654" width="12.83203125" style="938" bestFit="1" customWidth="1"/>
    <col min="5655" max="5655" width="10" style="938" bestFit="1" customWidth="1"/>
    <col min="5656" max="5888" width="9.33203125" style="938"/>
    <col min="5889" max="5889" width="3.6640625" style="938" customWidth="1"/>
    <col min="5890" max="5890" width="7.5" style="938" bestFit="1" customWidth="1"/>
    <col min="5891" max="5891" width="31.33203125" style="938" customWidth="1"/>
    <col min="5892" max="5892" width="13.1640625" style="938" bestFit="1" customWidth="1"/>
    <col min="5893" max="5901" width="0" style="938" hidden="1" customWidth="1"/>
    <col min="5902" max="5902" width="10" style="938" bestFit="1" customWidth="1"/>
    <col min="5903" max="5903" width="12.83203125" style="938" bestFit="1" customWidth="1"/>
    <col min="5904" max="5904" width="10" style="938" bestFit="1" customWidth="1"/>
    <col min="5905" max="5905" width="10.5" style="938" bestFit="1" customWidth="1"/>
    <col min="5906" max="5906" width="10" style="938" bestFit="1" customWidth="1"/>
    <col min="5907" max="5907" width="12.83203125" style="938" bestFit="1" customWidth="1"/>
    <col min="5908" max="5909" width="10" style="938" bestFit="1" customWidth="1"/>
    <col min="5910" max="5910" width="12.83203125" style="938" bestFit="1" customWidth="1"/>
    <col min="5911" max="5911" width="10" style="938" bestFit="1" customWidth="1"/>
    <col min="5912" max="6144" width="9.33203125" style="938"/>
    <col min="6145" max="6145" width="3.6640625" style="938" customWidth="1"/>
    <col min="6146" max="6146" width="7.5" style="938" bestFit="1" customWidth="1"/>
    <col min="6147" max="6147" width="31.33203125" style="938" customWidth="1"/>
    <col min="6148" max="6148" width="13.1640625" style="938" bestFit="1" customWidth="1"/>
    <col min="6149" max="6157" width="0" style="938" hidden="1" customWidth="1"/>
    <col min="6158" max="6158" width="10" style="938" bestFit="1" customWidth="1"/>
    <col min="6159" max="6159" width="12.83203125" style="938" bestFit="1" customWidth="1"/>
    <col min="6160" max="6160" width="10" style="938" bestFit="1" customWidth="1"/>
    <col min="6161" max="6161" width="10.5" style="938" bestFit="1" customWidth="1"/>
    <col min="6162" max="6162" width="10" style="938" bestFit="1" customWidth="1"/>
    <col min="6163" max="6163" width="12.83203125" style="938" bestFit="1" customWidth="1"/>
    <col min="6164" max="6165" width="10" style="938" bestFit="1" customWidth="1"/>
    <col min="6166" max="6166" width="12.83203125" style="938" bestFit="1" customWidth="1"/>
    <col min="6167" max="6167" width="10" style="938" bestFit="1" customWidth="1"/>
    <col min="6168" max="6400" width="9.33203125" style="938"/>
    <col min="6401" max="6401" width="3.6640625" style="938" customWidth="1"/>
    <col min="6402" max="6402" width="7.5" style="938" bestFit="1" customWidth="1"/>
    <col min="6403" max="6403" width="31.33203125" style="938" customWidth="1"/>
    <col min="6404" max="6404" width="13.1640625" style="938" bestFit="1" customWidth="1"/>
    <col min="6405" max="6413" width="0" style="938" hidden="1" customWidth="1"/>
    <col min="6414" max="6414" width="10" style="938" bestFit="1" customWidth="1"/>
    <col min="6415" max="6415" width="12.83203125" style="938" bestFit="1" customWidth="1"/>
    <col min="6416" max="6416" width="10" style="938" bestFit="1" customWidth="1"/>
    <col min="6417" max="6417" width="10.5" style="938" bestFit="1" customWidth="1"/>
    <col min="6418" max="6418" width="10" style="938" bestFit="1" customWidth="1"/>
    <col min="6419" max="6419" width="12.83203125" style="938" bestFit="1" customWidth="1"/>
    <col min="6420" max="6421" width="10" style="938" bestFit="1" customWidth="1"/>
    <col min="6422" max="6422" width="12.83203125" style="938" bestFit="1" customWidth="1"/>
    <col min="6423" max="6423" width="10" style="938" bestFit="1" customWidth="1"/>
    <col min="6424" max="6656" width="9.33203125" style="938"/>
    <col min="6657" max="6657" width="3.6640625" style="938" customWidth="1"/>
    <col min="6658" max="6658" width="7.5" style="938" bestFit="1" customWidth="1"/>
    <col min="6659" max="6659" width="31.33203125" style="938" customWidth="1"/>
    <col min="6660" max="6660" width="13.1640625" style="938" bestFit="1" customWidth="1"/>
    <col min="6661" max="6669" width="0" style="938" hidden="1" customWidth="1"/>
    <col min="6670" max="6670" width="10" style="938" bestFit="1" customWidth="1"/>
    <col min="6671" max="6671" width="12.83203125" style="938" bestFit="1" customWidth="1"/>
    <col min="6672" max="6672" width="10" style="938" bestFit="1" customWidth="1"/>
    <col min="6673" max="6673" width="10.5" style="938" bestFit="1" customWidth="1"/>
    <col min="6674" max="6674" width="10" style="938" bestFit="1" customWidth="1"/>
    <col min="6675" max="6675" width="12.83203125" style="938" bestFit="1" customWidth="1"/>
    <col min="6676" max="6677" width="10" style="938" bestFit="1" customWidth="1"/>
    <col min="6678" max="6678" width="12.83203125" style="938" bestFit="1" customWidth="1"/>
    <col min="6679" max="6679" width="10" style="938" bestFit="1" customWidth="1"/>
    <col min="6680" max="6912" width="9.33203125" style="938"/>
    <col min="6913" max="6913" width="3.6640625" style="938" customWidth="1"/>
    <col min="6914" max="6914" width="7.5" style="938" bestFit="1" customWidth="1"/>
    <col min="6915" max="6915" width="31.33203125" style="938" customWidth="1"/>
    <col min="6916" max="6916" width="13.1640625" style="938" bestFit="1" customWidth="1"/>
    <col min="6917" max="6925" width="0" style="938" hidden="1" customWidth="1"/>
    <col min="6926" max="6926" width="10" style="938" bestFit="1" customWidth="1"/>
    <col min="6927" max="6927" width="12.83203125" style="938" bestFit="1" customWidth="1"/>
    <col min="6928" max="6928" width="10" style="938" bestFit="1" customWidth="1"/>
    <col min="6929" max="6929" width="10.5" style="938" bestFit="1" customWidth="1"/>
    <col min="6930" max="6930" width="10" style="938" bestFit="1" customWidth="1"/>
    <col min="6931" max="6931" width="12.83203125" style="938" bestFit="1" customWidth="1"/>
    <col min="6932" max="6933" width="10" style="938" bestFit="1" customWidth="1"/>
    <col min="6934" max="6934" width="12.83203125" style="938" bestFit="1" customWidth="1"/>
    <col min="6935" max="6935" width="10" style="938" bestFit="1" customWidth="1"/>
    <col min="6936" max="7168" width="9.33203125" style="938"/>
    <col min="7169" max="7169" width="3.6640625" style="938" customWidth="1"/>
    <col min="7170" max="7170" width="7.5" style="938" bestFit="1" customWidth="1"/>
    <col min="7171" max="7171" width="31.33203125" style="938" customWidth="1"/>
    <col min="7172" max="7172" width="13.1640625" style="938" bestFit="1" customWidth="1"/>
    <col min="7173" max="7181" width="0" style="938" hidden="1" customWidth="1"/>
    <col min="7182" max="7182" width="10" style="938" bestFit="1" customWidth="1"/>
    <col min="7183" max="7183" width="12.83203125" style="938" bestFit="1" customWidth="1"/>
    <col min="7184" max="7184" width="10" style="938" bestFit="1" customWidth="1"/>
    <col min="7185" max="7185" width="10.5" style="938" bestFit="1" customWidth="1"/>
    <col min="7186" max="7186" width="10" style="938" bestFit="1" customWidth="1"/>
    <col min="7187" max="7187" width="12.83203125" style="938" bestFit="1" customWidth="1"/>
    <col min="7188" max="7189" width="10" style="938" bestFit="1" customWidth="1"/>
    <col min="7190" max="7190" width="12.83203125" style="938" bestFit="1" customWidth="1"/>
    <col min="7191" max="7191" width="10" style="938" bestFit="1" customWidth="1"/>
    <col min="7192" max="7424" width="9.33203125" style="938"/>
    <col min="7425" max="7425" width="3.6640625" style="938" customWidth="1"/>
    <col min="7426" max="7426" width="7.5" style="938" bestFit="1" customWidth="1"/>
    <col min="7427" max="7427" width="31.33203125" style="938" customWidth="1"/>
    <col min="7428" max="7428" width="13.1640625" style="938" bestFit="1" customWidth="1"/>
    <col min="7429" max="7437" width="0" style="938" hidden="1" customWidth="1"/>
    <col min="7438" max="7438" width="10" style="938" bestFit="1" customWidth="1"/>
    <col min="7439" max="7439" width="12.83203125" style="938" bestFit="1" customWidth="1"/>
    <col min="7440" max="7440" width="10" style="938" bestFit="1" customWidth="1"/>
    <col min="7441" max="7441" width="10.5" style="938" bestFit="1" customWidth="1"/>
    <col min="7442" max="7442" width="10" style="938" bestFit="1" customWidth="1"/>
    <col min="7443" max="7443" width="12.83203125" style="938" bestFit="1" customWidth="1"/>
    <col min="7444" max="7445" width="10" style="938" bestFit="1" customWidth="1"/>
    <col min="7446" max="7446" width="12.83203125" style="938" bestFit="1" customWidth="1"/>
    <col min="7447" max="7447" width="10" style="938" bestFit="1" customWidth="1"/>
    <col min="7448" max="7680" width="9.33203125" style="938"/>
    <col min="7681" max="7681" width="3.6640625" style="938" customWidth="1"/>
    <col min="7682" max="7682" width="7.5" style="938" bestFit="1" customWidth="1"/>
    <col min="7683" max="7683" width="31.33203125" style="938" customWidth="1"/>
    <col min="7684" max="7684" width="13.1640625" style="938" bestFit="1" customWidth="1"/>
    <col min="7685" max="7693" width="0" style="938" hidden="1" customWidth="1"/>
    <col min="7694" max="7694" width="10" style="938" bestFit="1" customWidth="1"/>
    <col min="7695" max="7695" width="12.83203125" style="938" bestFit="1" customWidth="1"/>
    <col min="7696" max="7696" width="10" style="938" bestFit="1" customWidth="1"/>
    <col min="7697" max="7697" width="10.5" style="938" bestFit="1" customWidth="1"/>
    <col min="7698" max="7698" width="10" style="938" bestFit="1" customWidth="1"/>
    <col min="7699" max="7699" width="12.83203125" style="938" bestFit="1" customWidth="1"/>
    <col min="7700" max="7701" width="10" style="938" bestFit="1" customWidth="1"/>
    <col min="7702" max="7702" width="12.83203125" style="938" bestFit="1" customWidth="1"/>
    <col min="7703" max="7703" width="10" style="938" bestFit="1" customWidth="1"/>
    <col min="7704" max="7936" width="9.33203125" style="938"/>
    <col min="7937" max="7937" width="3.6640625" style="938" customWidth="1"/>
    <col min="7938" max="7938" width="7.5" style="938" bestFit="1" customWidth="1"/>
    <col min="7939" max="7939" width="31.33203125" style="938" customWidth="1"/>
    <col min="7940" max="7940" width="13.1640625" style="938" bestFit="1" customWidth="1"/>
    <col min="7941" max="7949" width="0" style="938" hidden="1" customWidth="1"/>
    <col min="7950" max="7950" width="10" style="938" bestFit="1" customWidth="1"/>
    <col min="7951" max="7951" width="12.83203125" style="938" bestFit="1" customWidth="1"/>
    <col min="7952" max="7952" width="10" style="938" bestFit="1" customWidth="1"/>
    <col min="7953" max="7953" width="10.5" style="938" bestFit="1" customWidth="1"/>
    <col min="7954" max="7954" width="10" style="938" bestFit="1" customWidth="1"/>
    <col min="7955" max="7955" width="12.83203125" style="938" bestFit="1" customWidth="1"/>
    <col min="7956" max="7957" width="10" style="938" bestFit="1" customWidth="1"/>
    <col min="7958" max="7958" width="12.83203125" style="938" bestFit="1" customWidth="1"/>
    <col min="7959" max="7959" width="10" style="938" bestFit="1" customWidth="1"/>
    <col min="7960" max="8192" width="9.33203125" style="938"/>
    <col min="8193" max="8193" width="3.6640625" style="938" customWidth="1"/>
    <col min="8194" max="8194" width="7.5" style="938" bestFit="1" customWidth="1"/>
    <col min="8195" max="8195" width="31.33203125" style="938" customWidth="1"/>
    <col min="8196" max="8196" width="13.1640625" style="938" bestFit="1" customWidth="1"/>
    <col min="8197" max="8205" width="0" style="938" hidden="1" customWidth="1"/>
    <col min="8206" max="8206" width="10" style="938" bestFit="1" customWidth="1"/>
    <col min="8207" max="8207" width="12.83203125" style="938" bestFit="1" customWidth="1"/>
    <col min="8208" max="8208" width="10" style="938" bestFit="1" customWidth="1"/>
    <col min="8209" max="8209" width="10.5" style="938" bestFit="1" customWidth="1"/>
    <col min="8210" max="8210" width="10" style="938" bestFit="1" customWidth="1"/>
    <col min="8211" max="8211" width="12.83203125" style="938" bestFit="1" customWidth="1"/>
    <col min="8212" max="8213" width="10" style="938" bestFit="1" customWidth="1"/>
    <col min="8214" max="8214" width="12.83203125" style="938" bestFit="1" customWidth="1"/>
    <col min="8215" max="8215" width="10" style="938" bestFit="1" customWidth="1"/>
    <col min="8216" max="8448" width="9.33203125" style="938"/>
    <col min="8449" max="8449" width="3.6640625" style="938" customWidth="1"/>
    <col min="8450" max="8450" width="7.5" style="938" bestFit="1" customWidth="1"/>
    <col min="8451" max="8451" width="31.33203125" style="938" customWidth="1"/>
    <col min="8452" max="8452" width="13.1640625" style="938" bestFit="1" customWidth="1"/>
    <col min="8453" max="8461" width="0" style="938" hidden="1" customWidth="1"/>
    <col min="8462" max="8462" width="10" style="938" bestFit="1" customWidth="1"/>
    <col min="8463" max="8463" width="12.83203125" style="938" bestFit="1" customWidth="1"/>
    <col min="8464" max="8464" width="10" style="938" bestFit="1" customWidth="1"/>
    <col min="8465" max="8465" width="10.5" style="938" bestFit="1" customWidth="1"/>
    <col min="8466" max="8466" width="10" style="938" bestFit="1" customWidth="1"/>
    <col min="8467" max="8467" width="12.83203125" style="938" bestFit="1" customWidth="1"/>
    <col min="8468" max="8469" width="10" style="938" bestFit="1" customWidth="1"/>
    <col min="8470" max="8470" width="12.83203125" style="938" bestFit="1" customWidth="1"/>
    <col min="8471" max="8471" width="10" style="938" bestFit="1" customWidth="1"/>
    <col min="8472" max="8704" width="9.33203125" style="938"/>
    <col min="8705" max="8705" width="3.6640625" style="938" customWidth="1"/>
    <col min="8706" max="8706" width="7.5" style="938" bestFit="1" customWidth="1"/>
    <col min="8707" max="8707" width="31.33203125" style="938" customWidth="1"/>
    <col min="8708" max="8708" width="13.1640625" style="938" bestFit="1" customWidth="1"/>
    <col min="8709" max="8717" width="0" style="938" hidden="1" customWidth="1"/>
    <col min="8718" max="8718" width="10" style="938" bestFit="1" customWidth="1"/>
    <col min="8719" max="8719" width="12.83203125" style="938" bestFit="1" customWidth="1"/>
    <col min="8720" max="8720" width="10" style="938" bestFit="1" customWidth="1"/>
    <col min="8721" max="8721" width="10.5" style="938" bestFit="1" customWidth="1"/>
    <col min="8722" max="8722" width="10" style="938" bestFit="1" customWidth="1"/>
    <col min="8723" max="8723" width="12.83203125" style="938" bestFit="1" customWidth="1"/>
    <col min="8724" max="8725" width="10" style="938" bestFit="1" customWidth="1"/>
    <col min="8726" max="8726" width="12.83203125" style="938" bestFit="1" customWidth="1"/>
    <col min="8727" max="8727" width="10" style="938" bestFit="1" customWidth="1"/>
    <col min="8728" max="8960" width="9.33203125" style="938"/>
    <col min="8961" max="8961" width="3.6640625" style="938" customWidth="1"/>
    <col min="8962" max="8962" width="7.5" style="938" bestFit="1" customWidth="1"/>
    <col min="8963" max="8963" width="31.33203125" style="938" customWidth="1"/>
    <col min="8964" max="8964" width="13.1640625" style="938" bestFit="1" customWidth="1"/>
    <col min="8965" max="8973" width="0" style="938" hidden="1" customWidth="1"/>
    <col min="8974" max="8974" width="10" style="938" bestFit="1" customWidth="1"/>
    <col min="8975" max="8975" width="12.83203125" style="938" bestFit="1" customWidth="1"/>
    <col min="8976" max="8976" width="10" style="938" bestFit="1" customWidth="1"/>
    <col min="8977" max="8977" width="10.5" style="938" bestFit="1" customWidth="1"/>
    <col min="8978" max="8978" width="10" style="938" bestFit="1" customWidth="1"/>
    <col min="8979" max="8979" width="12.83203125" style="938" bestFit="1" customWidth="1"/>
    <col min="8980" max="8981" width="10" style="938" bestFit="1" customWidth="1"/>
    <col min="8982" max="8982" width="12.83203125" style="938" bestFit="1" customWidth="1"/>
    <col min="8983" max="8983" width="10" style="938" bestFit="1" customWidth="1"/>
    <col min="8984" max="9216" width="9.33203125" style="938"/>
    <col min="9217" max="9217" width="3.6640625" style="938" customWidth="1"/>
    <col min="9218" max="9218" width="7.5" style="938" bestFit="1" customWidth="1"/>
    <col min="9219" max="9219" width="31.33203125" style="938" customWidth="1"/>
    <col min="9220" max="9220" width="13.1640625" style="938" bestFit="1" customWidth="1"/>
    <col min="9221" max="9229" width="0" style="938" hidden="1" customWidth="1"/>
    <col min="9230" max="9230" width="10" style="938" bestFit="1" customWidth="1"/>
    <col min="9231" max="9231" width="12.83203125" style="938" bestFit="1" customWidth="1"/>
    <col min="9232" max="9232" width="10" style="938" bestFit="1" customWidth="1"/>
    <col min="9233" max="9233" width="10.5" style="938" bestFit="1" customWidth="1"/>
    <col min="9234" max="9234" width="10" style="938" bestFit="1" customWidth="1"/>
    <col min="9235" max="9235" width="12.83203125" style="938" bestFit="1" customWidth="1"/>
    <col min="9236" max="9237" width="10" style="938" bestFit="1" customWidth="1"/>
    <col min="9238" max="9238" width="12.83203125" style="938" bestFit="1" customWidth="1"/>
    <col min="9239" max="9239" width="10" style="938" bestFit="1" customWidth="1"/>
    <col min="9240" max="9472" width="9.33203125" style="938"/>
    <col min="9473" max="9473" width="3.6640625" style="938" customWidth="1"/>
    <col min="9474" max="9474" width="7.5" style="938" bestFit="1" customWidth="1"/>
    <col min="9475" max="9475" width="31.33203125" style="938" customWidth="1"/>
    <col min="9476" max="9476" width="13.1640625" style="938" bestFit="1" customWidth="1"/>
    <col min="9477" max="9485" width="0" style="938" hidden="1" customWidth="1"/>
    <col min="9486" max="9486" width="10" style="938" bestFit="1" customWidth="1"/>
    <col min="9487" max="9487" width="12.83203125" style="938" bestFit="1" customWidth="1"/>
    <col min="9488" max="9488" width="10" style="938" bestFit="1" customWidth="1"/>
    <col min="9489" max="9489" width="10.5" style="938" bestFit="1" customWidth="1"/>
    <col min="9490" max="9490" width="10" style="938" bestFit="1" customWidth="1"/>
    <col min="9491" max="9491" width="12.83203125" style="938" bestFit="1" customWidth="1"/>
    <col min="9492" max="9493" width="10" style="938" bestFit="1" customWidth="1"/>
    <col min="9494" max="9494" width="12.83203125" style="938" bestFit="1" customWidth="1"/>
    <col min="9495" max="9495" width="10" style="938" bestFit="1" customWidth="1"/>
    <col min="9496" max="9728" width="9.33203125" style="938"/>
    <col min="9729" max="9729" width="3.6640625" style="938" customWidth="1"/>
    <col min="9730" max="9730" width="7.5" style="938" bestFit="1" customWidth="1"/>
    <col min="9731" max="9731" width="31.33203125" style="938" customWidth="1"/>
    <col min="9732" max="9732" width="13.1640625" style="938" bestFit="1" customWidth="1"/>
    <col min="9733" max="9741" width="0" style="938" hidden="1" customWidth="1"/>
    <col min="9742" max="9742" width="10" style="938" bestFit="1" customWidth="1"/>
    <col min="9743" max="9743" width="12.83203125" style="938" bestFit="1" customWidth="1"/>
    <col min="9744" max="9744" width="10" style="938" bestFit="1" customWidth="1"/>
    <col min="9745" max="9745" width="10.5" style="938" bestFit="1" customWidth="1"/>
    <col min="9746" max="9746" width="10" style="938" bestFit="1" customWidth="1"/>
    <col min="9747" max="9747" width="12.83203125" style="938" bestFit="1" customWidth="1"/>
    <col min="9748" max="9749" width="10" style="938" bestFit="1" customWidth="1"/>
    <col min="9750" max="9750" width="12.83203125" style="938" bestFit="1" customWidth="1"/>
    <col min="9751" max="9751" width="10" style="938" bestFit="1" customWidth="1"/>
    <col min="9752" max="9984" width="9.33203125" style="938"/>
    <col min="9985" max="9985" width="3.6640625" style="938" customWidth="1"/>
    <col min="9986" max="9986" width="7.5" style="938" bestFit="1" customWidth="1"/>
    <col min="9987" max="9987" width="31.33203125" style="938" customWidth="1"/>
    <col min="9988" max="9988" width="13.1640625" style="938" bestFit="1" customWidth="1"/>
    <col min="9989" max="9997" width="0" style="938" hidden="1" customWidth="1"/>
    <col min="9998" max="9998" width="10" style="938" bestFit="1" customWidth="1"/>
    <col min="9999" max="9999" width="12.83203125" style="938" bestFit="1" customWidth="1"/>
    <col min="10000" max="10000" width="10" style="938" bestFit="1" customWidth="1"/>
    <col min="10001" max="10001" width="10.5" style="938" bestFit="1" customWidth="1"/>
    <col min="10002" max="10002" width="10" style="938" bestFit="1" customWidth="1"/>
    <col min="10003" max="10003" width="12.83203125" style="938" bestFit="1" customWidth="1"/>
    <col min="10004" max="10005" width="10" style="938" bestFit="1" customWidth="1"/>
    <col min="10006" max="10006" width="12.83203125" style="938" bestFit="1" customWidth="1"/>
    <col min="10007" max="10007" width="10" style="938" bestFit="1" customWidth="1"/>
    <col min="10008" max="10240" width="9.33203125" style="938"/>
    <col min="10241" max="10241" width="3.6640625" style="938" customWidth="1"/>
    <col min="10242" max="10242" width="7.5" style="938" bestFit="1" customWidth="1"/>
    <col min="10243" max="10243" width="31.33203125" style="938" customWidth="1"/>
    <col min="10244" max="10244" width="13.1640625" style="938" bestFit="1" customWidth="1"/>
    <col min="10245" max="10253" width="0" style="938" hidden="1" customWidth="1"/>
    <col min="10254" max="10254" width="10" style="938" bestFit="1" customWidth="1"/>
    <col min="10255" max="10255" width="12.83203125" style="938" bestFit="1" customWidth="1"/>
    <col min="10256" max="10256" width="10" style="938" bestFit="1" customWidth="1"/>
    <col min="10257" max="10257" width="10.5" style="938" bestFit="1" customWidth="1"/>
    <col min="10258" max="10258" width="10" style="938" bestFit="1" customWidth="1"/>
    <col min="10259" max="10259" width="12.83203125" style="938" bestFit="1" customWidth="1"/>
    <col min="10260" max="10261" width="10" style="938" bestFit="1" customWidth="1"/>
    <col min="10262" max="10262" width="12.83203125" style="938" bestFit="1" customWidth="1"/>
    <col min="10263" max="10263" width="10" style="938" bestFit="1" customWidth="1"/>
    <col min="10264" max="10496" width="9.33203125" style="938"/>
    <col min="10497" max="10497" width="3.6640625" style="938" customWidth="1"/>
    <col min="10498" max="10498" width="7.5" style="938" bestFit="1" customWidth="1"/>
    <col min="10499" max="10499" width="31.33203125" style="938" customWidth="1"/>
    <col min="10500" max="10500" width="13.1640625" style="938" bestFit="1" customWidth="1"/>
    <col min="10501" max="10509" width="0" style="938" hidden="1" customWidth="1"/>
    <col min="10510" max="10510" width="10" style="938" bestFit="1" customWidth="1"/>
    <col min="10511" max="10511" width="12.83203125" style="938" bestFit="1" customWidth="1"/>
    <col min="10512" max="10512" width="10" style="938" bestFit="1" customWidth="1"/>
    <col min="10513" max="10513" width="10.5" style="938" bestFit="1" customWidth="1"/>
    <col min="10514" max="10514" width="10" style="938" bestFit="1" customWidth="1"/>
    <col min="10515" max="10515" width="12.83203125" style="938" bestFit="1" customWidth="1"/>
    <col min="10516" max="10517" width="10" style="938" bestFit="1" customWidth="1"/>
    <col min="10518" max="10518" width="12.83203125" style="938" bestFit="1" customWidth="1"/>
    <col min="10519" max="10519" width="10" style="938" bestFit="1" customWidth="1"/>
    <col min="10520" max="10752" width="9.33203125" style="938"/>
    <col min="10753" max="10753" width="3.6640625" style="938" customWidth="1"/>
    <col min="10754" max="10754" width="7.5" style="938" bestFit="1" customWidth="1"/>
    <col min="10755" max="10755" width="31.33203125" style="938" customWidth="1"/>
    <col min="10756" max="10756" width="13.1640625" style="938" bestFit="1" customWidth="1"/>
    <col min="10757" max="10765" width="0" style="938" hidden="1" customWidth="1"/>
    <col min="10766" max="10766" width="10" style="938" bestFit="1" customWidth="1"/>
    <col min="10767" max="10767" width="12.83203125" style="938" bestFit="1" customWidth="1"/>
    <col min="10768" max="10768" width="10" style="938" bestFit="1" customWidth="1"/>
    <col min="10769" max="10769" width="10.5" style="938" bestFit="1" customWidth="1"/>
    <col min="10770" max="10770" width="10" style="938" bestFit="1" customWidth="1"/>
    <col min="10771" max="10771" width="12.83203125" style="938" bestFit="1" customWidth="1"/>
    <col min="10772" max="10773" width="10" style="938" bestFit="1" customWidth="1"/>
    <col min="10774" max="10774" width="12.83203125" style="938" bestFit="1" customWidth="1"/>
    <col min="10775" max="10775" width="10" style="938" bestFit="1" customWidth="1"/>
    <col min="10776" max="11008" width="9.33203125" style="938"/>
    <col min="11009" max="11009" width="3.6640625" style="938" customWidth="1"/>
    <col min="11010" max="11010" width="7.5" style="938" bestFit="1" customWidth="1"/>
    <col min="11011" max="11011" width="31.33203125" style="938" customWidth="1"/>
    <col min="11012" max="11012" width="13.1640625" style="938" bestFit="1" customWidth="1"/>
    <col min="11013" max="11021" width="0" style="938" hidden="1" customWidth="1"/>
    <col min="11022" max="11022" width="10" style="938" bestFit="1" customWidth="1"/>
    <col min="11023" max="11023" width="12.83203125" style="938" bestFit="1" customWidth="1"/>
    <col min="11024" max="11024" width="10" style="938" bestFit="1" customWidth="1"/>
    <col min="11025" max="11025" width="10.5" style="938" bestFit="1" customWidth="1"/>
    <col min="11026" max="11026" width="10" style="938" bestFit="1" customWidth="1"/>
    <col min="11027" max="11027" width="12.83203125" style="938" bestFit="1" customWidth="1"/>
    <col min="11028" max="11029" width="10" style="938" bestFit="1" customWidth="1"/>
    <col min="11030" max="11030" width="12.83203125" style="938" bestFit="1" customWidth="1"/>
    <col min="11031" max="11031" width="10" style="938" bestFit="1" customWidth="1"/>
    <col min="11032" max="11264" width="9.33203125" style="938"/>
    <col min="11265" max="11265" width="3.6640625" style="938" customWidth="1"/>
    <col min="11266" max="11266" width="7.5" style="938" bestFit="1" customWidth="1"/>
    <col min="11267" max="11267" width="31.33203125" style="938" customWidth="1"/>
    <col min="11268" max="11268" width="13.1640625" style="938" bestFit="1" customWidth="1"/>
    <col min="11269" max="11277" width="0" style="938" hidden="1" customWidth="1"/>
    <col min="11278" max="11278" width="10" style="938" bestFit="1" customWidth="1"/>
    <col min="11279" max="11279" width="12.83203125" style="938" bestFit="1" customWidth="1"/>
    <col min="11280" max="11280" width="10" style="938" bestFit="1" customWidth="1"/>
    <col min="11281" max="11281" width="10.5" style="938" bestFit="1" customWidth="1"/>
    <col min="11282" max="11282" width="10" style="938" bestFit="1" customWidth="1"/>
    <col min="11283" max="11283" width="12.83203125" style="938" bestFit="1" customWidth="1"/>
    <col min="11284" max="11285" width="10" style="938" bestFit="1" customWidth="1"/>
    <col min="11286" max="11286" width="12.83203125" style="938" bestFit="1" customWidth="1"/>
    <col min="11287" max="11287" width="10" style="938" bestFit="1" customWidth="1"/>
    <col min="11288" max="11520" width="9.33203125" style="938"/>
    <col min="11521" max="11521" width="3.6640625" style="938" customWidth="1"/>
    <col min="11522" max="11522" width="7.5" style="938" bestFit="1" customWidth="1"/>
    <col min="11523" max="11523" width="31.33203125" style="938" customWidth="1"/>
    <col min="11524" max="11524" width="13.1640625" style="938" bestFit="1" customWidth="1"/>
    <col min="11525" max="11533" width="0" style="938" hidden="1" customWidth="1"/>
    <col min="11534" max="11534" width="10" style="938" bestFit="1" customWidth="1"/>
    <col min="11535" max="11535" width="12.83203125" style="938" bestFit="1" customWidth="1"/>
    <col min="11536" max="11536" width="10" style="938" bestFit="1" customWidth="1"/>
    <col min="11537" max="11537" width="10.5" style="938" bestFit="1" customWidth="1"/>
    <col min="11538" max="11538" width="10" style="938" bestFit="1" customWidth="1"/>
    <col min="11539" max="11539" width="12.83203125" style="938" bestFit="1" customWidth="1"/>
    <col min="11540" max="11541" width="10" style="938" bestFit="1" customWidth="1"/>
    <col min="11542" max="11542" width="12.83203125" style="938" bestFit="1" customWidth="1"/>
    <col min="11543" max="11543" width="10" style="938" bestFit="1" customWidth="1"/>
    <col min="11544" max="11776" width="9.33203125" style="938"/>
    <col min="11777" max="11777" width="3.6640625" style="938" customWidth="1"/>
    <col min="11778" max="11778" width="7.5" style="938" bestFit="1" customWidth="1"/>
    <col min="11779" max="11779" width="31.33203125" style="938" customWidth="1"/>
    <col min="11780" max="11780" width="13.1640625" style="938" bestFit="1" customWidth="1"/>
    <col min="11781" max="11789" width="0" style="938" hidden="1" customWidth="1"/>
    <col min="11790" max="11790" width="10" style="938" bestFit="1" customWidth="1"/>
    <col min="11791" max="11791" width="12.83203125" style="938" bestFit="1" customWidth="1"/>
    <col min="11792" max="11792" width="10" style="938" bestFit="1" customWidth="1"/>
    <col min="11793" max="11793" width="10.5" style="938" bestFit="1" customWidth="1"/>
    <col min="11794" max="11794" width="10" style="938" bestFit="1" customWidth="1"/>
    <col min="11795" max="11795" width="12.83203125" style="938" bestFit="1" customWidth="1"/>
    <col min="11796" max="11797" width="10" style="938" bestFit="1" customWidth="1"/>
    <col min="11798" max="11798" width="12.83203125" style="938" bestFit="1" customWidth="1"/>
    <col min="11799" max="11799" width="10" style="938" bestFit="1" customWidth="1"/>
    <col min="11800" max="12032" width="9.33203125" style="938"/>
    <col min="12033" max="12033" width="3.6640625" style="938" customWidth="1"/>
    <col min="12034" max="12034" width="7.5" style="938" bestFit="1" customWidth="1"/>
    <col min="12035" max="12035" width="31.33203125" style="938" customWidth="1"/>
    <col min="12036" max="12036" width="13.1640625" style="938" bestFit="1" customWidth="1"/>
    <col min="12037" max="12045" width="0" style="938" hidden="1" customWidth="1"/>
    <col min="12046" max="12046" width="10" style="938" bestFit="1" customWidth="1"/>
    <col min="12047" max="12047" width="12.83203125" style="938" bestFit="1" customWidth="1"/>
    <col min="12048" max="12048" width="10" style="938" bestFit="1" customWidth="1"/>
    <col min="12049" max="12049" width="10.5" style="938" bestFit="1" customWidth="1"/>
    <col min="12050" max="12050" width="10" style="938" bestFit="1" customWidth="1"/>
    <col min="12051" max="12051" width="12.83203125" style="938" bestFit="1" customWidth="1"/>
    <col min="12052" max="12053" width="10" style="938" bestFit="1" customWidth="1"/>
    <col min="12054" max="12054" width="12.83203125" style="938" bestFit="1" customWidth="1"/>
    <col min="12055" max="12055" width="10" style="938" bestFit="1" customWidth="1"/>
    <col min="12056" max="12288" width="9.33203125" style="938"/>
    <col min="12289" max="12289" width="3.6640625" style="938" customWidth="1"/>
    <col min="12290" max="12290" width="7.5" style="938" bestFit="1" customWidth="1"/>
    <col min="12291" max="12291" width="31.33203125" style="938" customWidth="1"/>
    <col min="12292" max="12292" width="13.1640625" style="938" bestFit="1" customWidth="1"/>
    <col min="12293" max="12301" width="0" style="938" hidden="1" customWidth="1"/>
    <col min="12302" max="12302" width="10" style="938" bestFit="1" customWidth="1"/>
    <col min="12303" max="12303" width="12.83203125" style="938" bestFit="1" customWidth="1"/>
    <col min="12304" max="12304" width="10" style="938" bestFit="1" customWidth="1"/>
    <col min="12305" max="12305" width="10.5" style="938" bestFit="1" customWidth="1"/>
    <col min="12306" max="12306" width="10" style="938" bestFit="1" customWidth="1"/>
    <col min="12307" max="12307" width="12.83203125" style="938" bestFit="1" customWidth="1"/>
    <col min="12308" max="12309" width="10" style="938" bestFit="1" customWidth="1"/>
    <col min="12310" max="12310" width="12.83203125" style="938" bestFit="1" customWidth="1"/>
    <col min="12311" max="12311" width="10" style="938" bestFit="1" customWidth="1"/>
    <col min="12312" max="12544" width="9.33203125" style="938"/>
    <col min="12545" max="12545" width="3.6640625" style="938" customWidth="1"/>
    <col min="12546" max="12546" width="7.5" style="938" bestFit="1" customWidth="1"/>
    <col min="12547" max="12547" width="31.33203125" style="938" customWidth="1"/>
    <col min="12548" max="12548" width="13.1640625" style="938" bestFit="1" customWidth="1"/>
    <col min="12549" max="12557" width="0" style="938" hidden="1" customWidth="1"/>
    <col min="12558" max="12558" width="10" style="938" bestFit="1" customWidth="1"/>
    <col min="12559" max="12559" width="12.83203125" style="938" bestFit="1" customWidth="1"/>
    <col min="12560" max="12560" width="10" style="938" bestFit="1" customWidth="1"/>
    <col min="12561" max="12561" width="10.5" style="938" bestFit="1" customWidth="1"/>
    <col min="12562" max="12562" width="10" style="938" bestFit="1" customWidth="1"/>
    <col min="12563" max="12563" width="12.83203125" style="938" bestFit="1" customWidth="1"/>
    <col min="12564" max="12565" width="10" style="938" bestFit="1" customWidth="1"/>
    <col min="12566" max="12566" width="12.83203125" style="938" bestFit="1" customWidth="1"/>
    <col min="12567" max="12567" width="10" style="938" bestFit="1" customWidth="1"/>
    <col min="12568" max="12800" width="9.33203125" style="938"/>
    <col min="12801" max="12801" width="3.6640625" style="938" customWidth="1"/>
    <col min="12802" max="12802" width="7.5" style="938" bestFit="1" customWidth="1"/>
    <col min="12803" max="12803" width="31.33203125" style="938" customWidth="1"/>
    <col min="12804" max="12804" width="13.1640625" style="938" bestFit="1" customWidth="1"/>
    <col min="12805" max="12813" width="0" style="938" hidden="1" customWidth="1"/>
    <col min="12814" max="12814" width="10" style="938" bestFit="1" customWidth="1"/>
    <col min="12815" max="12815" width="12.83203125" style="938" bestFit="1" customWidth="1"/>
    <col min="12816" max="12816" width="10" style="938" bestFit="1" customWidth="1"/>
    <col min="12817" max="12817" width="10.5" style="938" bestFit="1" customWidth="1"/>
    <col min="12818" max="12818" width="10" style="938" bestFit="1" customWidth="1"/>
    <col min="12819" max="12819" width="12.83203125" style="938" bestFit="1" customWidth="1"/>
    <col min="12820" max="12821" width="10" style="938" bestFit="1" customWidth="1"/>
    <col min="12822" max="12822" width="12.83203125" style="938" bestFit="1" customWidth="1"/>
    <col min="12823" max="12823" width="10" style="938" bestFit="1" customWidth="1"/>
    <col min="12824" max="13056" width="9.33203125" style="938"/>
    <col min="13057" max="13057" width="3.6640625" style="938" customWidth="1"/>
    <col min="13058" max="13058" width="7.5" style="938" bestFit="1" customWidth="1"/>
    <col min="13059" max="13059" width="31.33203125" style="938" customWidth="1"/>
    <col min="13060" max="13060" width="13.1640625" style="938" bestFit="1" customWidth="1"/>
    <col min="13061" max="13069" width="0" style="938" hidden="1" customWidth="1"/>
    <col min="13070" max="13070" width="10" style="938" bestFit="1" customWidth="1"/>
    <col min="13071" max="13071" width="12.83203125" style="938" bestFit="1" customWidth="1"/>
    <col min="13072" max="13072" width="10" style="938" bestFit="1" customWidth="1"/>
    <col min="13073" max="13073" width="10.5" style="938" bestFit="1" customWidth="1"/>
    <col min="13074" max="13074" width="10" style="938" bestFit="1" customWidth="1"/>
    <col min="13075" max="13075" width="12.83203125" style="938" bestFit="1" customWidth="1"/>
    <col min="13076" max="13077" width="10" style="938" bestFit="1" customWidth="1"/>
    <col min="13078" max="13078" width="12.83203125" style="938" bestFit="1" customWidth="1"/>
    <col min="13079" max="13079" width="10" style="938" bestFit="1" customWidth="1"/>
    <col min="13080" max="13312" width="9.33203125" style="938"/>
    <col min="13313" max="13313" width="3.6640625" style="938" customWidth="1"/>
    <col min="13314" max="13314" width="7.5" style="938" bestFit="1" customWidth="1"/>
    <col min="13315" max="13315" width="31.33203125" style="938" customWidth="1"/>
    <col min="13316" max="13316" width="13.1640625" style="938" bestFit="1" customWidth="1"/>
    <col min="13317" max="13325" width="0" style="938" hidden="1" customWidth="1"/>
    <col min="13326" max="13326" width="10" style="938" bestFit="1" customWidth="1"/>
    <col min="13327" max="13327" width="12.83203125" style="938" bestFit="1" customWidth="1"/>
    <col min="13328" max="13328" width="10" style="938" bestFit="1" customWidth="1"/>
    <col min="13329" max="13329" width="10.5" style="938" bestFit="1" customWidth="1"/>
    <col min="13330" max="13330" width="10" style="938" bestFit="1" customWidth="1"/>
    <col min="13331" max="13331" width="12.83203125" style="938" bestFit="1" customWidth="1"/>
    <col min="13332" max="13333" width="10" style="938" bestFit="1" customWidth="1"/>
    <col min="13334" max="13334" width="12.83203125" style="938" bestFit="1" customWidth="1"/>
    <col min="13335" max="13335" width="10" style="938" bestFit="1" customWidth="1"/>
    <col min="13336" max="13568" width="9.33203125" style="938"/>
    <col min="13569" max="13569" width="3.6640625" style="938" customWidth="1"/>
    <col min="13570" max="13570" width="7.5" style="938" bestFit="1" customWidth="1"/>
    <col min="13571" max="13571" width="31.33203125" style="938" customWidth="1"/>
    <col min="13572" max="13572" width="13.1640625" style="938" bestFit="1" customWidth="1"/>
    <col min="13573" max="13581" width="0" style="938" hidden="1" customWidth="1"/>
    <col min="13582" max="13582" width="10" style="938" bestFit="1" customWidth="1"/>
    <col min="13583" max="13583" width="12.83203125" style="938" bestFit="1" customWidth="1"/>
    <col min="13584" max="13584" width="10" style="938" bestFit="1" customWidth="1"/>
    <col min="13585" max="13585" width="10.5" style="938" bestFit="1" customWidth="1"/>
    <col min="13586" max="13586" width="10" style="938" bestFit="1" customWidth="1"/>
    <col min="13587" max="13587" width="12.83203125" style="938" bestFit="1" customWidth="1"/>
    <col min="13588" max="13589" width="10" style="938" bestFit="1" customWidth="1"/>
    <col min="13590" max="13590" width="12.83203125" style="938" bestFit="1" customWidth="1"/>
    <col min="13591" max="13591" width="10" style="938" bestFit="1" customWidth="1"/>
    <col min="13592" max="13824" width="9.33203125" style="938"/>
    <col min="13825" max="13825" width="3.6640625" style="938" customWidth="1"/>
    <col min="13826" max="13826" width="7.5" style="938" bestFit="1" customWidth="1"/>
    <col min="13827" max="13827" width="31.33203125" style="938" customWidth="1"/>
    <col min="13828" max="13828" width="13.1640625" style="938" bestFit="1" customWidth="1"/>
    <col min="13829" max="13837" width="0" style="938" hidden="1" customWidth="1"/>
    <col min="13838" max="13838" width="10" style="938" bestFit="1" customWidth="1"/>
    <col min="13839" max="13839" width="12.83203125" style="938" bestFit="1" customWidth="1"/>
    <col min="13840" max="13840" width="10" style="938" bestFit="1" customWidth="1"/>
    <col min="13841" max="13841" width="10.5" style="938" bestFit="1" customWidth="1"/>
    <col min="13842" max="13842" width="10" style="938" bestFit="1" customWidth="1"/>
    <col min="13843" max="13843" width="12.83203125" style="938" bestFit="1" customWidth="1"/>
    <col min="13844" max="13845" width="10" style="938" bestFit="1" customWidth="1"/>
    <col min="13846" max="13846" width="12.83203125" style="938" bestFit="1" customWidth="1"/>
    <col min="13847" max="13847" width="10" style="938" bestFit="1" customWidth="1"/>
    <col min="13848" max="14080" width="9.33203125" style="938"/>
    <col min="14081" max="14081" width="3.6640625" style="938" customWidth="1"/>
    <col min="14082" max="14082" width="7.5" style="938" bestFit="1" customWidth="1"/>
    <col min="14083" max="14083" width="31.33203125" style="938" customWidth="1"/>
    <col min="14084" max="14084" width="13.1640625" style="938" bestFit="1" customWidth="1"/>
    <col min="14085" max="14093" width="0" style="938" hidden="1" customWidth="1"/>
    <col min="14094" max="14094" width="10" style="938" bestFit="1" customWidth="1"/>
    <col min="14095" max="14095" width="12.83203125" style="938" bestFit="1" customWidth="1"/>
    <col min="14096" max="14096" width="10" style="938" bestFit="1" customWidth="1"/>
    <col min="14097" max="14097" width="10.5" style="938" bestFit="1" customWidth="1"/>
    <col min="14098" max="14098" width="10" style="938" bestFit="1" customWidth="1"/>
    <col min="14099" max="14099" width="12.83203125" style="938" bestFit="1" customWidth="1"/>
    <col min="14100" max="14101" width="10" style="938" bestFit="1" customWidth="1"/>
    <col min="14102" max="14102" width="12.83203125" style="938" bestFit="1" customWidth="1"/>
    <col min="14103" max="14103" width="10" style="938" bestFit="1" customWidth="1"/>
    <col min="14104" max="14336" width="9.33203125" style="938"/>
    <col min="14337" max="14337" width="3.6640625" style="938" customWidth="1"/>
    <col min="14338" max="14338" width="7.5" style="938" bestFit="1" customWidth="1"/>
    <col min="14339" max="14339" width="31.33203125" style="938" customWidth="1"/>
    <col min="14340" max="14340" width="13.1640625" style="938" bestFit="1" customWidth="1"/>
    <col min="14341" max="14349" width="0" style="938" hidden="1" customWidth="1"/>
    <col min="14350" max="14350" width="10" style="938" bestFit="1" customWidth="1"/>
    <col min="14351" max="14351" width="12.83203125" style="938" bestFit="1" customWidth="1"/>
    <col min="14352" max="14352" width="10" style="938" bestFit="1" customWidth="1"/>
    <col min="14353" max="14353" width="10.5" style="938" bestFit="1" customWidth="1"/>
    <col min="14354" max="14354" width="10" style="938" bestFit="1" customWidth="1"/>
    <col min="14355" max="14355" width="12.83203125" style="938" bestFit="1" customWidth="1"/>
    <col min="14356" max="14357" width="10" style="938" bestFit="1" customWidth="1"/>
    <col min="14358" max="14358" width="12.83203125" style="938" bestFit="1" customWidth="1"/>
    <col min="14359" max="14359" width="10" style="938" bestFit="1" customWidth="1"/>
    <col min="14360" max="14592" width="9.33203125" style="938"/>
    <col min="14593" max="14593" width="3.6640625" style="938" customWidth="1"/>
    <col min="14594" max="14594" width="7.5" style="938" bestFit="1" customWidth="1"/>
    <col min="14595" max="14595" width="31.33203125" style="938" customWidth="1"/>
    <col min="14596" max="14596" width="13.1640625" style="938" bestFit="1" customWidth="1"/>
    <col min="14597" max="14605" width="0" style="938" hidden="1" customWidth="1"/>
    <col min="14606" max="14606" width="10" style="938" bestFit="1" customWidth="1"/>
    <col min="14607" max="14607" width="12.83203125" style="938" bestFit="1" customWidth="1"/>
    <col min="14608" max="14608" width="10" style="938" bestFit="1" customWidth="1"/>
    <col min="14609" max="14609" width="10.5" style="938" bestFit="1" customWidth="1"/>
    <col min="14610" max="14610" width="10" style="938" bestFit="1" customWidth="1"/>
    <col min="14611" max="14611" width="12.83203125" style="938" bestFit="1" customWidth="1"/>
    <col min="14612" max="14613" width="10" style="938" bestFit="1" customWidth="1"/>
    <col min="14614" max="14614" width="12.83203125" style="938" bestFit="1" customWidth="1"/>
    <col min="14615" max="14615" width="10" style="938" bestFit="1" customWidth="1"/>
    <col min="14616" max="14848" width="9.33203125" style="938"/>
    <col min="14849" max="14849" width="3.6640625" style="938" customWidth="1"/>
    <col min="14850" max="14850" width="7.5" style="938" bestFit="1" customWidth="1"/>
    <col min="14851" max="14851" width="31.33203125" style="938" customWidth="1"/>
    <col min="14852" max="14852" width="13.1640625" style="938" bestFit="1" customWidth="1"/>
    <col min="14853" max="14861" width="0" style="938" hidden="1" customWidth="1"/>
    <col min="14862" max="14862" width="10" style="938" bestFit="1" customWidth="1"/>
    <col min="14863" max="14863" width="12.83203125" style="938" bestFit="1" customWidth="1"/>
    <col min="14864" max="14864" width="10" style="938" bestFit="1" customWidth="1"/>
    <col min="14865" max="14865" width="10.5" style="938" bestFit="1" customWidth="1"/>
    <col min="14866" max="14866" width="10" style="938" bestFit="1" customWidth="1"/>
    <col min="14867" max="14867" width="12.83203125" style="938" bestFit="1" customWidth="1"/>
    <col min="14868" max="14869" width="10" style="938" bestFit="1" customWidth="1"/>
    <col min="14870" max="14870" width="12.83203125" style="938" bestFit="1" customWidth="1"/>
    <col min="14871" max="14871" width="10" style="938" bestFit="1" customWidth="1"/>
    <col min="14872" max="15104" width="9.33203125" style="938"/>
    <col min="15105" max="15105" width="3.6640625" style="938" customWidth="1"/>
    <col min="15106" max="15106" width="7.5" style="938" bestFit="1" customWidth="1"/>
    <col min="15107" max="15107" width="31.33203125" style="938" customWidth="1"/>
    <col min="15108" max="15108" width="13.1640625" style="938" bestFit="1" customWidth="1"/>
    <col min="15109" max="15117" width="0" style="938" hidden="1" customWidth="1"/>
    <col min="15118" max="15118" width="10" style="938" bestFit="1" customWidth="1"/>
    <col min="15119" max="15119" width="12.83203125" style="938" bestFit="1" customWidth="1"/>
    <col min="15120" max="15120" width="10" style="938" bestFit="1" customWidth="1"/>
    <col min="15121" max="15121" width="10.5" style="938" bestFit="1" customWidth="1"/>
    <col min="15122" max="15122" width="10" style="938" bestFit="1" customWidth="1"/>
    <col min="15123" max="15123" width="12.83203125" style="938" bestFit="1" customWidth="1"/>
    <col min="15124" max="15125" width="10" style="938" bestFit="1" customWidth="1"/>
    <col min="15126" max="15126" width="12.83203125" style="938" bestFit="1" customWidth="1"/>
    <col min="15127" max="15127" width="10" style="938" bestFit="1" customWidth="1"/>
    <col min="15128" max="15360" width="9.33203125" style="938"/>
    <col min="15361" max="15361" width="3.6640625" style="938" customWidth="1"/>
    <col min="15362" max="15362" width="7.5" style="938" bestFit="1" customWidth="1"/>
    <col min="15363" max="15363" width="31.33203125" style="938" customWidth="1"/>
    <col min="15364" max="15364" width="13.1640625" style="938" bestFit="1" customWidth="1"/>
    <col min="15365" max="15373" width="0" style="938" hidden="1" customWidth="1"/>
    <col min="15374" max="15374" width="10" style="938" bestFit="1" customWidth="1"/>
    <col min="15375" max="15375" width="12.83203125" style="938" bestFit="1" customWidth="1"/>
    <col min="15376" max="15376" width="10" style="938" bestFit="1" customWidth="1"/>
    <col min="15377" max="15377" width="10.5" style="938" bestFit="1" customWidth="1"/>
    <col min="15378" max="15378" width="10" style="938" bestFit="1" customWidth="1"/>
    <col min="15379" max="15379" width="12.83203125" style="938" bestFit="1" customWidth="1"/>
    <col min="15380" max="15381" width="10" style="938" bestFit="1" customWidth="1"/>
    <col min="15382" max="15382" width="12.83203125" style="938" bestFit="1" customWidth="1"/>
    <col min="15383" max="15383" width="10" style="938" bestFit="1" customWidth="1"/>
    <col min="15384" max="15616" width="9.33203125" style="938"/>
    <col min="15617" max="15617" width="3.6640625" style="938" customWidth="1"/>
    <col min="15618" max="15618" width="7.5" style="938" bestFit="1" customWidth="1"/>
    <col min="15619" max="15619" width="31.33203125" style="938" customWidth="1"/>
    <col min="15620" max="15620" width="13.1640625" style="938" bestFit="1" customWidth="1"/>
    <col min="15621" max="15629" width="0" style="938" hidden="1" customWidth="1"/>
    <col min="15630" max="15630" width="10" style="938" bestFit="1" customWidth="1"/>
    <col min="15631" max="15631" width="12.83203125" style="938" bestFit="1" customWidth="1"/>
    <col min="15632" max="15632" width="10" style="938" bestFit="1" customWidth="1"/>
    <col min="15633" max="15633" width="10.5" style="938" bestFit="1" customWidth="1"/>
    <col min="15634" max="15634" width="10" style="938" bestFit="1" customWidth="1"/>
    <col min="15635" max="15635" width="12.83203125" style="938" bestFit="1" customWidth="1"/>
    <col min="15636" max="15637" width="10" style="938" bestFit="1" customWidth="1"/>
    <col min="15638" max="15638" width="12.83203125" style="938" bestFit="1" customWidth="1"/>
    <col min="15639" max="15639" width="10" style="938" bestFit="1" customWidth="1"/>
    <col min="15640" max="15872" width="9.33203125" style="938"/>
    <col min="15873" max="15873" width="3.6640625" style="938" customWidth="1"/>
    <col min="15874" max="15874" width="7.5" style="938" bestFit="1" customWidth="1"/>
    <col min="15875" max="15875" width="31.33203125" style="938" customWidth="1"/>
    <col min="15876" max="15876" width="13.1640625" style="938" bestFit="1" customWidth="1"/>
    <col min="15877" max="15885" width="0" style="938" hidden="1" customWidth="1"/>
    <col min="15886" max="15886" width="10" style="938" bestFit="1" customWidth="1"/>
    <col min="15887" max="15887" width="12.83203125" style="938" bestFit="1" customWidth="1"/>
    <col min="15888" max="15888" width="10" style="938" bestFit="1" customWidth="1"/>
    <col min="15889" max="15889" width="10.5" style="938" bestFit="1" customWidth="1"/>
    <col min="15890" max="15890" width="10" style="938" bestFit="1" customWidth="1"/>
    <col min="15891" max="15891" width="12.83203125" style="938" bestFit="1" customWidth="1"/>
    <col min="15892" max="15893" width="10" style="938" bestFit="1" customWidth="1"/>
    <col min="15894" max="15894" width="12.83203125" style="938" bestFit="1" customWidth="1"/>
    <col min="15895" max="15895" width="10" style="938" bestFit="1" customWidth="1"/>
    <col min="15896" max="16128" width="9.33203125" style="938"/>
    <col min="16129" max="16129" width="3.6640625" style="938" customWidth="1"/>
    <col min="16130" max="16130" width="7.5" style="938" bestFit="1" customWidth="1"/>
    <col min="16131" max="16131" width="31.33203125" style="938" customWidth="1"/>
    <col min="16132" max="16132" width="13.1640625" style="938" bestFit="1" customWidth="1"/>
    <col min="16133" max="16141" width="0" style="938" hidden="1" customWidth="1"/>
    <col min="16142" max="16142" width="10" style="938" bestFit="1" customWidth="1"/>
    <col min="16143" max="16143" width="12.83203125" style="938" bestFit="1" customWidth="1"/>
    <col min="16144" max="16144" width="10" style="938" bestFit="1" customWidth="1"/>
    <col min="16145" max="16145" width="10.5" style="938" bestFit="1" customWidth="1"/>
    <col min="16146" max="16146" width="10" style="938" bestFit="1" customWidth="1"/>
    <col min="16147" max="16147" width="12.83203125" style="938" bestFit="1" customWidth="1"/>
    <col min="16148" max="16149" width="10" style="938" bestFit="1" customWidth="1"/>
    <col min="16150" max="16150" width="12.83203125" style="938" bestFit="1" customWidth="1"/>
    <col min="16151" max="16151" width="10" style="938" bestFit="1" customWidth="1"/>
    <col min="16152" max="16384" width="9.33203125" style="938"/>
  </cols>
  <sheetData>
    <row r="1" spans="2:27" ht="34.5" customHeight="1" x14ac:dyDescent="0.2">
      <c r="P1" s="937"/>
      <c r="R1" s="3567" t="s">
        <v>1377</v>
      </c>
      <c r="S1" s="3568"/>
      <c r="T1" s="3568"/>
      <c r="U1" s="3568"/>
      <c r="V1" s="3568"/>
      <c r="W1" s="3568"/>
    </row>
    <row r="2" spans="2:27" x14ac:dyDescent="0.2">
      <c r="S2" s="937"/>
      <c r="T2" s="937"/>
      <c r="U2" s="937"/>
      <c r="V2" s="937"/>
      <c r="W2" s="937"/>
    </row>
    <row r="3" spans="2:27" ht="12.75" customHeight="1" x14ac:dyDescent="0.2">
      <c r="B3" s="3626" t="s">
        <v>1378</v>
      </c>
      <c r="C3" s="3626"/>
      <c r="D3" s="3626"/>
      <c r="E3" s="3626"/>
      <c r="F3" s="3626"/>
      <c r="G3" s="3626"/>
      <c r="H3" s="3626"/>
      <c r="I3" s="3626"/>
      <c r="J3" s="3626"/>
      <c r="K3" s="3626"/>
      <c r="L3" s="3626"/>
      <c r="M3" s="3626"/>
      <c r="N3" s="3626"/>
      <c r="O3" s="3626"/>
      <c r="P3" s="3626"/>
      <c r="Q3" s="3626"/>
      <c r="R3" s="3626"/>
      <c r="S3" s="3626"/>
      <c r="T3" s="3626"/>
      <c r="U3" s="3626"/>
      <c r="V3" s="3626"/>
      <c r="W3" s="3626"/>
    </row>
    <row r="4" spans="2:27" ht="12.75" customHeight="1" x14ac:dyDescent="0.2">
      <c r="B4" s="3626" t="s">
        <v>1387</v>
      </c>
      <c r="C4" s="3626"/>
      <c r="D4" s="3626"/>
      <c r="E4" s="3626"/>
      <c r="F4" s="3626"/>
      <c r="G4" s="3626"/>
      <c r="H4" s="3626"/>
      <c r="I4" s="3626"/>
      <c r="J4" s="3626"/>
      <c r="K4" s="3626"/>
      <c r="L4" s="3626"/>
      <c r="M4" s="3626"/>
      <c r="N4" s="3626"/>
      <c r="O4" s="3626"/>
      <c r="P4" s="3626"/>
      <c r="Q4" s="3626"/>
      <c r="R4" s="3626"/>
      <c r="S4" s="3626"/>
      <c r="T4" s="3626"/>
      <c r="U4" s="3626"/>
      <c r="V4" s="3626"/>
      <c r="W4" s="3626"/>
    </row>
    <row r="5" spans="2:27" x14ac:dyDescent="0.2">
      <c r="B5" s="3627" t="s">
        <v>2018</v>
      </c>
      <c r="C5" s="3627"/>
      <c r="D5" s="3627"/>
      <c r="E5" s="3627"/>
      <c r="F5" s="3627"/>
      <c r="G5" s="3627"/>
      <c r="H5" s="3627"/>
      <c r="I5" s="3627"/>
      <c r="J5" s="3627"/>
      <c r="K5" s="3627"/>
      <c r="L5" s="3627"/>
      <c r="M5" s="3627"/>
      <c r="N5" s="3627"/>
      <c r="O5" s="3627"/>
      <c r="P5" s="3627"/>
      <c r="Q5" s="3627"/>
      <c r="R5" s="3627"/>
      <c r="S5" s="3627"/>
      <c r="T5" s="3627"/>
      <c r="U5" s="3627"/>
      <c r="V5" s="3627"/>
      <c r="W5" s="3627"/>
    </row>
    <row r="6" spans="2:27" x14ac:dyDescent="0.2">
      <c r="E6" s="939">
        <v>2018</v>
      </c>
      <c r="H6" s="939">
        <v>2019</v>
      </c>
      <c r="J6" s="936" t="s">
        <v>1254</v>
      </c>
      <c r="K6" s="939">
        <v>2019</v>
      </c>
      <c r="M6" s="936" t="s">
        <v>1255</v>
      </c>
      <c r="O6" s="936">
        <v>2020</v>
      </c>
      <c r="S6" s="938">
        <v>2021</v>
      </c>
      <c r="T6" s="937"/>
      <c r="U6" s="937"/>
      <c r="V6" s="937">
        <v>2022</v>
      </c>
      <c r="W6" s="951">
        <v>43831</v>
      </c>
    </row>
    <row r="7" spans="2:27" ht="32.25" customHeight="1" x14ac:dyDescent="0.2">
      <c r="B7" s="3566" t="s">
        <v>78</v>
      </c>
      <c r="C7" s="3566" t="s">
        <v>218</v>
      </c>
      <c r="D7" s="3566" t="s">
        <v>219</v>
      </c>
      <c r="E7" s="3566" t="s">
        <v>1256</v>
      </c>
      <c r="F7" s="3566"/>
      <c r="G7" s="3566"/>
      <c r="H7" s="3566" t="s">
        <v>1257</v>
      </c>
      <c r="I7" s="3566"/>
      <c r="J7" s="3566"/>
      <c r="K7" s="3566" t="s">
        <v>1258</v>
      </c>
      <c r="L7" s="3566"/>
      <c r="M7" s="3566"/>
      <c r="N7" s="3566" t="s">
        <v>1379</v>
      </c>
      <c r="O7" s="3566"/>
      <c r="P7" s="3566"/>
      <c r="Q7" s="3566"/>
      <c r="R7" s="3566" t="s">
        <v>1380</v>
      </c>
      <c r="S7" s="3566"/>
      <c r="T7" s="3566"/>
      <c r="U7" s="3566" t="s">
        <v>1381</v>
      </c>
      <c r="V7" s="3566"/>
      <c r="W7" s="3566"/>
    </row>
    <row r="8" spans="2:27" ht="66" customHeight="1" x14ac:dyDescent="0.2">
      <c r="B8" s="3566"/>
      <c r="C8" s="3566"/>
      <c r="D8" s="3566"/>
      <c r="E8" s="940" t="s">
        <v>220</v>
      </c>
      <c r="F8" s="940" t="s">
        <v>450</v>
      </c>
      <c r="G8" s="940" t="s">
        <v>451</v>
      </c>
      <c r="H8" s="940" t="s">
        <v>220</v>
      </c>
      <c r="I8" s="940" t="s">
        <v>450</v>
      </c>
      <c r="J8" s="940" t="s">
        <v>451</v>
      </c>
      <c r="K8" s="940" t="s">
        <v>220</v>
      </c>
      <c r="L8" s="940" t="s">
        <v>450</v>
      </c>
      <c r="M8" s="940" t="s">
        <v>451</v>
      </c>
      <c r="N8" s="940" t="s">
        <v>220</v>
      </c>
      <c r="O8" s="940" t="s">
        <v>450</v>
      </c>
      <c r="P8" s="940" t="s">
        <v>451</v>
      </c>
      <c r="Q8" s="940" t="s">
        <v>180</v>
      </c>
      <c r="R8" s="940" t="s">
        <v>220</v>
      </c>
      <c r="S8" s="940" t="s">
        <v>450</v>
      </c>
      <c r="T8" s="940" t="s">
        <v>451</v>
      </c>
      <c r="U8" s="940" t="s">
        <v>220</v>
      </c>
      <c r="V8" s="940" t="s">
        <v>450</v>
      </c>
      <c r="W8" s="940" t="s">
        <v>451</v>
      </c>
    </row>
    <row r="9" spans="2:27" x14ac:dyDescent="0.2">
      <c r="B9" s="1248">
        <v>1</v>
      </c>
      <c r="C9" s="1248">
        <v>2</v>
      </c>
      <c r="D9" s="1248">
        <v>3</v>
      </c>
      <c r="E9" s="1248">
        <v>4</v>
      </c>
      <c r="F9" s="1248">
        <v>5</v>
      </c>
      <c r="G9" s="1248">
        <v>6</v>
      </c>
      <c r="H9" s="1248">
        <v>7</v>
      </c>
      <c r="I9" s="1248">
        <v>8</v>
      </c>
      <c r="J9" s="1248">
        <v>9</v>
      </c>
      <c r="K9" s="1248">
        <v>10</v>
      </c>
      <c r="L9" s="1248">
        <v>11</v>
      </c>
      <c r="M9" s="1248">
        <v>12</v>
      </c>
      <c r="N9" s="1248">
        <v>13</v>
      </c>
      <c r="O9" s="1248">
        <v>14</v>
      </c>
      <c r="P9" s="1248">
        <v>15</v>
      </c>
      <c r="Q9" s="1248">
        <v>16</v>
      </c>
      <c r="R9" s="1248">
        <v>17</v>
      </c>
      <c r="S9" s="1248">
        <v>18</v>
      </c>
      <c r="T9" s="1248">
        <v>19</v>
      </c>
      <c r="U9" s="1248">
        <v>20</v>
      </c>
      <c r="V9" s="1248">
        <v>21</v>
      </c>
      <c r="W9" s="1248">
        <v>22</v>
      </c>
    </row>
    <row r="10" spans="2:27" x14ac:dyDescent="0.2">
      <c r="B10" s="1248">
        <v>10</v>
      </c>
      <c r="C10" s="610" t="s">
        <v>238</v>
      </c>
      <c r="D10" s="609" t="s">
        <v>239</v>
      </c>
      <c r="E10" s="611">
        <v>11</v>
      </c>
      <c r="F10" s="612">
        <v>828.66</v>
      </c>
      <c r="G10" s="952">
        <f>E10*F10/1000</f>
        <v>9.1150000000000002</v>
      </c>
      <c r="H10" s="612">
        <v>11</v>
      </c>
      <c r="I10" s="612">
        <v>809.56</v>
      </c>
      <c r="J10" s="953">
        <f>H10*I10/1000*1.18</f>
        <v>10.51</v>
      </c>
      <c r="K10" s="612">
        <v>11</v>
      </c>
      <c r="L10" s="611">
        <v>2874.24</v>
      </c>
      <c r="M10" s="1188">
        <f>K10*L10/1000*1.2</f>
        <v>37.94</v>
      </c>
      <c r="N10" s="612">
        <f>'[20]Выс,С17'!N10+'[20]Выс,Т24'!N10+'[20]Выс,С25'!N10</f>
        <v>11</v>
      </c>
      <c r="O10" s="611">
        <v>2874.24</v>
      </c>
      <c r="P10" s="612">
        <f>'[20]Выс,С17'!P10+'[20]Выс,Т24'!P10+'[20]Выс,С25'!P10</f>
        <v>37.94</v>
      </c>
      <c r="Q10" s="612"/>
      <c r="R10" s="612">
        <f>'[20]Выс,С17'!R10+'[20]Выс,Т24'!R10+'[20]Выс,С25'!R10</f>
        <v>11</v>
      </c>
      <c r="S10" s="612">
        <f>O10</f>
        <v>2874.24</v>
      </c>
      <c r="T10" s="612">
        <f>'[20]Выс,С17'!T10+'[20]Выс,Т24'!T10+'[20]Выс,С25'!T10</f>
        <v>37.94</v>
      </c>
      <c r="U10" s="612">
        <f>'[20]Выс,С17'!U10+'[20]Выс,Т24'!U10+'[20]Выс,С25'!U10</f>
        <v>11</v>
      </c>
      <c r="V10" s="612">
        <f>O10</f>
        <v>2874.24</v>
      </c>
      <c r="W10" s="612">
        <f>'[20]Выс,С17'!W10+'[20]Выс,Т24'!W10+'[20]Выс,С25'!W10</f>
        <v>37.94</v>
      </c>
      <c r="AA10" s="2056"/>
    </row>
    <row r="11" spans="2:27" ht="24" x14ac:dyDescent="0.2">
      <c r="B11" s="1248">
        <v>11</v>
      </c>
      <c r="C11" s="610" t="s">
        <v>241</v>
      </c>
      <c r="D11" s="609" t="s">
        <v>242</v>
      </c>
      <c r="E11" s="611">
        <v>1</v>
      </c>
      <c r="F11" s="612">
        <v>5529.33</v>
      </c>
      <c r="G11" s="952">
        <f t="shared" ref="G11:G18" si="0">E11*F11/1000</f>
        <v>5.5289999999999999</v>
      </c>
      <c r="H11" s="612">
        <v>1</v>
      </c>
      <c r="I11" s="612">
        <v>5401.85</v>
      </c>
      <c r="J11" s="953">
        <f t="shared" ref="J11:J18" si="1">H11*I11/1000*1.18</f>
        <v>6.37</v>
      </c>
      <c r="K11" s="612">
        <v>1</v>
      </c>
      <c r="L11" s="611">
        <v>20416.66</v>
      </c>
      <c r="M11" s="1188">
        <f t="shared" ref="M11:M18" si="2">K11*L11/1000*1.2</f>
        <v>24.5</v>
      </c>
      <c r="N11" s="612">
        <f>'[20]Выс,С17'!N11+'[20]Выс,Т24'!N11+'[20]Выс,С25'!N11</f>
        <v>1</v>
      </c>
      <c r="O11" s="611">
        <v>20416.66</v>
      </c>
      <c r="P11" s="612">
        <f>'[20]Выс,С17'!P11+'[20]Выс,Т24'!P11+'[20]Выс,С25'!P11</f>
        <v>24.5</v>
      </c>
      <c r="Q11" s="612"/>
      <c r="R11" s="612">
        <f>'[20]Выс,С17'!R11+'[20]Выс,Т24'!R11+'[20]Выс,С25'!R11</f>
        <v>1</v>
      </c>
      <c r="S11" s="612">
        <f t="shared" ref="S11:S18" si="3">O11</f>
        <v>20416.66</v>
      </c>
      <c r="T11" s="612">
        <f>'[20]Выс,С17'!T11+'[20]Выс,Т24'!T11+'[20]Выс,С25'!T11</f>
        <v>24.5</v>
      </c>
      <c r="U11" s="612">
        <f>'[20]Выс,С17'!U11+'[20]Выс,Т24'!U11+'[20]Выс,С25'!U11</f>
        <v>1</v>
      </c>
      <c r="V11" s="612">
        <f t="shared" ref="V11:V18" si="4">O11</f>
        <v>20416.66</v>
      </c>
      <c r="W11" s="612">
        <f>'[20]Выс,С17'!W11+'[20]Выс,Т24'!W11+'[20]Выс,С25'!W11</f>
        <v>24.5</v>
      </c>
      <c r="AA11" s="2056"/>
    </row>
    <row r="12" spans="2:27" x14ac:dyDescent="0.2">
      <c r="B12" s="1248">
        <v>12</v>
      </c>
      <c r="C12" s="610" t="s">
        <v>244</v>
      </c>
      <c r="D12" s="609"/>
      <c r="E12" s="611"/>
      <c r="F12" s="612"/>
      <c r="G12" s="952"/>
      <c r="H12" s="612"/>
      <c r="I12" s="612"/>
      <c r="J12" s="611"/>
      <c r="K12" s="612"/>
      <c r="L12" s="611"/>
      <c r="M12" s="1188"/>
      <c r="N12" s="612">
        <f>'[20]Выс,С17'!N12+'[20]Выс,Т24'!N12+'[20]Выс,С25'!N12</f>
        <v>0</v>
      </c>
      <c r="O12" s="611"/>
      <c r="P12" s="612">
        <f>'[20]Выс,С17'!P12+'[20]Выс,Т24'!P12+'[20]Выс,С25'!P12</f>
        <v>0</v>
      </c>
      <c r="Q12" s="612"/>
      <c r="R12" s="612">
        <f>'[20]Выс,С17'!R12+'[20]Выс,Т24'!R12+'[20]Выс,С25'!R12</f>
        <v>0</v>
      </c>
      <c r="S12" s="612"/>
      <c r="T12" s="612">
        <f>'[20]Выс,С17'!T12+'[20]Выс,Т24'!T12+'[20]Выс,С25'!T12</f>
        <v>0</v>
      </c>
      <c r="U12" s="612">
        <f>'[20]Выс,С17'!U12+'[20]Выс,Т24'!U12+'[20]Выс,С25'!U12</f>
        <v>0</v>
      </c>
      <c r="V12" s="612"/>
      <c r="W12" s="612">
        <f>'[20]Выс,С17'!W12+'[20]Выс,Т24'!W12+'[20]Выс,С25'!W12</f>
        <v>0</v>
      </c>
      <c r="AA12" s="2056"/>
    </row>
    <row r="13" spans="2:27" ht="72" x14ac:dyDescent="0.2">
      <c r="B13" s="1248" t="s">
        <v>275</v>
      </c>
      <c r="C13" s="610" t="s">
        <v>246</v>
      </c>
      <c r="D13" s="609" t="s">
        <v>227</v>
      </c>
      <c r="E13" s="611"/>
      <c r="F13" s="612">
        <v>4964.66</v>
      </c>
      <c r="G13" s="952">
        <f t="shared" si="0"/>
        <v>0</v>
      </c>
      <c r="H13" s="612"/>
      <c r="I13" s="612">
        <v>4850.2</v>
      </c>
      <c r="J13" s="953">
        <f t="shared" si="1"/>
        <v>0</v>
      </c>
      <c r="K13" s="612"/>
      <c r="L13" s="611">
        <v>8983.33</v>
      </c>
      <c r="M13" s="1188">
        <f t="shared" si="2"/>
        <v>0</v>
      </c>
      <c r="N13" s="612">
        <f>'[20]Выс,С17'!N13+'[20]Выс,Т24'!N13+'[20]Выс,С25'!N13</f>
        <v>1</v>
      </c>
      <c r="O13" s="611">
        <v>8983.33</v>
      </c>
      <c r="P13" s="612">
        <f>'[20]Выс,С17'!P13+'[20]Выс,Т24'!P13+'[20]Выс,С25'!P13</f>
        <v>10.78</v>
      </c>
      <c r="Q13" s="612"/>
      <c r="R13" s="612">
        <f>'[20]Выс,С17'!R13+'[20]Выс,Т24'!R13+'[20]Выс,С25'!R13</f>
        <v>1</v>
      </c>
      <c r="S13" s="612">
        <f t="shared" si="3"/>
        <v>8983.33</v>
      </c>
      <c r="T13" s="612">
        <f>'[20]Выс,С17'!T13+'[20]Выс,Т24'!T13+'[20]Выс,С25'!T13</f>
        <v>10.78</v>
      </c>
      <c r="U13" s="612">
        <f>'[20]Выс,С17'!U13+'[20]Выс,Т24'!U13+'[20]Выс,С25'!U13</f>
        <v>1</v>
      </c>
      <c r="V13" s="612">
        <f t="shared" si="4"/>
        <v>8983.33</v>
      </c>
      <c r="W13" s="612">
        <f>'[20]Выс,С17'!W13+'[20]Выс,Т24'!W13+'[20]Выс,С25'!W13</f>
        <v>10.78</v>
      </c>
      <c r="AA13" s="2056"/>
    </row>
    <row r="14" spans="2:27" ht="36" x14ac:dyDescent="0.2">
      <c r="B14" s="1248"/>
      <c r="C14" s="610" t="s">
        <v>248</v>
      </c>
      <c r="D14" s="609" t="s">
        <v>227</v>
      </c>
      <c r="E14" s="611"/>
      <c r="F14" s="612">
        <v>1023.72</v>
      </c>
      <c r="G14" s="952">
        <f t="shared" si="0"/>
        <v>0</v>
      </c>
      <c r="H14" s="612"/>
      <c r="I14" s="612">
        <v>1000.13</v>
      </c>
      <c r="J14" s="953">
        <f t="shared" si="1"/>
        <v>0</v>
      </c>
      <c r="K14" s="612"/>
      <c r="L14" s="611">
        <v>4083.33</v>
      </c>
      <c r="M14" s="1188">
        <f t="shared" si="2"/>
        <v>0</v>
      </c>
      <c r="N14" s="612">
        <f>'[20]Выс,С17'!N14+'[20]Выс,Т24'!N14+'[20]Выс,С25'!N14</f>
        <v>0</v>
      </c>
      <c r="O14" s="611">
        <v>4083.33</v>
      </c>
      <c r="P14" s="612">
        <f>'[20]Выс,С17'!P14+'[20]Выс,Т24'!P14+'[20]Выс,С25'!P14</f>
        <v>0</v>
      </c>
      <c r="Q14" s="612"/>
      <c r="R14" s="612">
        <f>'[20]Выс,С17'!R14+'[20]Выс,Т24'!R14+'[20]Выс,С25'!R14</f>
        <v>0</v>
      </c>
      <c r="S14" s="612">
        <f t="shared" si="3"/>
        <v>4083.33</v>
      </c>
      <c r="T14" s="612">
        <f>'[20]Выс,С17'!T14+'[20]Выс,Т24'!T14+'[20]Выс,С25'!T14</f>
        <v>0</v>
      </c>
      <c r="U14" s="612">
        <f>'[20]Выс,С17'!U14+'[20]Выс,Т24'!U14+'[20]Выс,С25'!U14</f>
        <v>0</v>
      </c>
      <c r="V14" s="612">
        <f t="shared" si="4"/>
        <v>4083.33</v>
      </c>
      <c r="W14" s="612">
        <f>'[20]Выс,С17'!W14+'[20]Выс,Т24'!W14+'[20]Выс,С25'!W14</f>
        <v>0</v>
      </c>
      <c r="AA14" s="2056"/>
    </row>
    <row r="15" spans="2:27" x14ac:dyDescent="0.2">
      <c r="B15" s="1248" t="s">
        <v>276</v>
      </c>
      <c r="C15" s="610" t="s">
        <v>250</v>
      </c>
      <c r="D15" s="609" t="s">
        <v>227</v>
      </c>
      <c r="E15" s="611">
        <v>1</v>
      </c>
      <c r="F15" s="612">
        <v>1576.66</v>
      </c>
      <c r="G15" s="952">
        <f t="shared" si="0"/>
        <v>1.577</v>
      </c>
      <c r="H15" s="612">
        <v>2</v>
      </c>
      <c r="I15" s="612">
        <v>1540.32</v>
      </c>
      <c r="J15" s="953">
        <f t="shared" si="1"/>
        <v>3.64</v>
      </c>
      <c r="K15" s="612"/>
      <c r="L15" s="611">
        <v>3675</v>
      </c>
      <c r="M15" s="1188">
        <f t="shared" si="2"/>
        <v>0</v>
      </c>
      <c r="N15" s="612">
        <f>'[20]Выс,С17'!N15+'[20]Выс,Т24'!N15+'[20]Выс,С25'!N15</f>
        <v>1</v>
      </c>
      <c r="O15" s="611">
        <v>3675</v>
      </c>
      <c r="P15" s="612">
        <f>'[20]Выс,С17'!P15+'[20]Выс,Т24'!P15+'[20]Выс,С25'!P15</f>
        <v>4.41</v>
      </c>
      <c r="Q15" s="612"/>
      <c r="R15" s="612">
        <f>'[20]Выс,С17'!R15+'[20]Выс,Т24'!R15+'[20]Выс,С25'!R15</f>
        <v>1</v>
      </c>
      <c r="S15" s="612">
        <f t="shared" si="3"/>
        <v>3675</v>
      </c>
      <c r="T15" s="612">
        <f>'[20]Выс,С17'!T15+'[20]Выс,Т24'!T15+'[20]Выс,С25'!T15</f>
        <v>4.41</v>
      </c>
      <c r="U15" s="612">
        <f>'[20]Выс,С17'!U15+'[20]Выс,Т24'!U15+'[20]Выс,С25'!U15</f>
        <v>1</v>
      </c>
      <c r="V15" s="612">
        <f t="shared" si="4"/>
        <v>3675</v>
      </c>
      <c r="W15" s="612">
        <f>'[20]Выс,С17'!W15+'[20]Выс,Т24'!W15+'[20]Выс,С25'!W15</f>
        <v>4.41</v>
      </c>
      <c r="AA15" s="2056"/>
    </row>
    <row r="16" spans="2:27" ht="24" x14ac:dyDescent="0.2">
      <c r="B16" s="1248" t="s">
        <v>277</v>
      </c>
      <c r="C16" s="610" t="s">
        <v>252</v>
      </c>
      <c r="D16" s="609" t="s">
        <v>227</v>
      </c>
      <c r="E16" s="611"/>
      <c r="F16" s="612">
        <v>1576.66</v>
      </c>
      <c r="G16" s="952">
        <f t="shared" si="0"/>
        <v>0</v>
      </c>
      <c r="H16" s="612"/>
      <c r="I16" s="612">
        <v>1540.32</v>
      </c>
      <c r="J16" s="953">
        <f t="shared" si="1"/>
        <v>0</v>
      </c>
      <c r="K16" s="612"/>
      <c r="L16" s="611">
        <v>3675</v>
      </c>
      <c r="M16" s="1188">
        <f t="shared" si="2"/>
        <v>0</v>
      </c>
      <c r="N16" s="612">
        <f>'[20]Выс,С17'!N16+'[20]Выс,Т24'!N16+'[20]Выс,С25'!N16</f>
        <v>2</v>
      </c>
      <c r="O16" s="611">
        <v>3675</v>
      </c>
      <c r="P16" s="612">
        <f>'[20]Выс,С17'!P16+'[20]Выс,Т24'!P16+'[20]Выс,С25'!P16</f>
        <v>8.82</v>
      </c>
      <c r="Q16" s="612"/>
      <c r="R16" s="612">
        <f>'[20]Выс,С17'!R16+'[20]Выс,Т24'!R16+'[20]Выс,С25'!R16</f>
        <v>2</v>
      </c>
      <c r="S16" s="612">
        <f t="shared" si="3"/>
        <v>3675</v>
      </c>
      <c r="T16" s="612">
        <f>'[20]Выс,С17'!T16+'[20]Выс,Т24'!T16+'[20]Выс,С25'!T16</f>
        <v>8.82</v>
      </c>
      <c r="U16" s="612">
        <f>'[20]Выс,С17'!U16+'[20]Выс,Т24'!U16+'[20]Выс,С25'!U16</f>
        <v>2</v>
      </c>
      <c r="V16" s="612">
        <f t="shared" si="4"/>
        <v>3675</v>
      </c>
      <c r="W16" s="612">
        <f>'[20]Выс,С17'!W16+'[20]Выс,Т24'!W16+'[20]Выс,С25'!W16</f>
        <v>8.82</v>
      </c>
      <c r="AA16" s="2056"/>
    </row>
    <row r="17" spans="2:27" x14ac:dyDescent="0.2">
      <c r="B17" s="1248" t="s">
        <v>278</v>
      </c>
      <c r="C17" s="610" t="s">
        <v>1386</v>
      </c>
      <c r="D17" s="609" t="s">
        <v>254</v>
      </c>
      <c r="E17" s="611"/>
      <c r="F17" s="612">
        <v>2317.3200000000002</v>
      </c>
      <c r="G17" s="952">
        <f t="shared" si="0"/>
        <v>0</v>
      </c>
      <c r="H17" s="612"/>
      <c r="I17" s="612">
        <v>2263.91</v>
      </c>
      <c r="J17" s="953">
        <f t="shared" si="1"/>
        <v>0</v>
      </c>
      <c r="K17" s="612"/>
      <c r="L17" s="611">
        <v>4655</v>
      </c>
      <c r="M17" s="1188">
        <f t="shared" si="2"/>
        <v>0</v>
      </c>
      <c r="N17" s="612">
        <f>'[20]Выс,С17'!N17+'[20]Выс,Т24'!N17+'[20]Выс,С25'!N17</f>
        <v>1</v>
      </c>
      <c r="O17" s="611">
        <v>4655</v>
      </c>
      <c r="P17" s="612">
        <f>'[20]Выс,С17'!P17+'[20]Выс,Т24'!P17+'[20]Выс,С25'!P17</f>
        <v>5.59</v>
      </c>
      <c r="Q17" s="612"/>
      <c r="R17" s="612">
        <f>'[20]Выс,С17'!R17+'[20]Выс,Т24'!R17+'[20]Выс,С25'!R17</f>
        <v>1</v>
      </c>
      <c r="S17" s="612">
        <f t="shared" si="3"/>
        <v>4655</v>
      </c>
      <c r="T17" s="612">
        <f>'[20]Выс,С17'!T17+'[20]Выс,Т24'!T17+'[20]Выс,С25'!T17</f>
        <v>5.59</v>
      </c>
      <c r="U17" s="612">
        <f>'[20]Выс,С17'!U17+'[20]Выс,Т24'!U17+'[20]Выс,С25'!U17</f>
        <v>1</v>
      </c>
      <c r="V17" s="612">
        <f t="shared" si="4"/>
        <v>4655</v>
      </c>
      <c r="W17" s="612">
        <f>'[20]Выс,С17'!W17+'[20]Выс,Т24'!W17+'[20]Выс,С25'!W17</f>
        <v>5.59</v>
      </c>
      <c r="AA17" s="2056"/>
    </row>
    <row r="18" spans="2:27" x14ac:dyDescent="0.2">
      <c r="B18" s="609" t="s">
        <v>255</v>
      </c>
      <c r="C18" s="613" t="s">
        <v>256</v>
      </c>
      <c r="D18" s="609" t="s">
        <v>254</v>
      </c>
      <c r="E18" s="611"/>
      <c r="F18" s="612"/>
      <c r="G18" s="952">
        <f t="shared" si="0"/>
        <v>0</v>
      </c>
      <c r="H18" s="612">
        <v>1</v>
      </c>
      <c r="I18" s="612">
        <v>31292.37</v>
      </c>
      <c r="J18" s="953">
        <f t="shared" si="1"/>
        <v>36.92</v>
      </c>
      <c r="K18" s="612"/>
      <c r="L18" s="611">
        <v>12343.1</v>
      </c>
      <c r="M18" s="1188">
        <f t="shared" si="2"/>
        <v>0</v>
      </c>
      <c r="N18" s="612">
        <f>'[20]Выс,С17'!N18+'[20]Выс,Т24'!N18+'[20]Выс,С25'!N18</f>
        <v>1</v>
      </c>
      <c r="O18" s="612">
        <v>31292.37</v>
      </c>
      <c r="P18" s="612">
        <f>'[20]Выс,С17'!P18+'[20]Выс,Т24'!P18+'[20]Выс,С25'!P18</f>
        <v>37.46</v>
      </c>
      <c r="Q18" s="612"/>
      <c r="R18" s="612">
        <f>'[20]Выс,С17'!R18+'[20]Выс,Т24'!R18+'[20]Выс,С25'!R18</f>
        <v>1</v>
      </c>
      <c r="S18" s="612">
        <f t="shared" si="3"/>
        <v>31292.37</v>
      </c>
      <c r="T18" s="612">
        <f>'[20]Выс,С17'!T18+'[20]Выс,Т24'!T18+'[20]Выс,С25'!T18</f>
        <v>37.46</v>
      </c>
      <c r="U18" s="612">
        <f>'[20]Выс,С17'!U18+'[20]Выс,Т24'!U18+'[20]Выс,С25'!U18</f>
        <v>1</v>
      </c>
      <c r="V18" s="612">
        <f t="shared" si="4"/>
        <v>31292.37</v>
      </c>
      <c r="W18" s="612">
        <f>'[20]Выс,С17'!W18+'[20]Выс,Т24'!W18+'[20]Выс,С25'!W18</f>
        <v>37.46</v>
      </c>
      <c r="AA18" s="2056"/>
    </row>
    <row r="19" spans="2:27" x14ac:dyDescent="0.2">
      <c r="B19" s="609"/>
      <c r="C19" s="613"/>
      <c r="D19" s="609"/>
      <c r="E19" s="611"/>
      <c r="F19" s="612"/>
      <c r="G19" s="952"/>
      <c r="H19" s="612"/>
      <c r="I19" s="612"/>
      <c r="J19" s="953"/>
      <c r="K19" s="612"/>
      <c r="L19" s="611"/>
      <c r="M19" s="1188"/>
      <c r="N19" s="612">
        <f>'[20]Выс,С17'!N19+'[20]Выс,Т24'!N19+'[20]Выс,С25'!N19</f>
        <v>0</v>
      </c>
      <c r="O19" s="612"/>
      <c r="P19" s="612">
        <f>'[20]Выс,С17'!P19+'[20]Выс,Т24'!P19+'[20]Выс,С25'!P19</f>
        <v>0</v>
      </c>
      <c r="Q19" s="612"/>
      <c r="R19" s="612">
        <f>'[20]Выс,С17'!R19+'[20]Выс,Т24'!R19+'[20]Выс,С25'!R19</f>
        <v>0</v>
      </c>
      <c r="S19" s="612"/>
      <c r="T19" s="612">
        <f>'[20]Выс,С17'!T19+'[20]Выс,Т24'!T19+'[20]Выс,С25'!T19</f>
        <v>0</v>
      </c>
      <c r="U19" s="612">
        <f>'[20]Выс,С17'!U19+'[20]Выс,Т24'!U19+'[20]Выс,С25'!U19</f>
        <v>0</v>
      </c>
      <c r="V19" s="612"/>
      <c r="W19" s="612">
        <f>'[20]Выс,С17'!W19+'[20]Выс,Т24'!W19+'[20]Выс,С25'!W19</f>
        <v>0</v>
      </c>
      <c r="AA19" s="2056"/>
    </row>
    <row r="20" spans="2:27" ht="24" x14ac:dyDescent="0.2">
      <c r="B20" s="367">
        <v>16</v>
      </c>
      <c r="C20" s="368" t="s">
        <v>280</v>
      </c>
      <c r="D20" s="794"/>
      <c r="E20" s="366"/>
      <c r="F20" s="366"/>
      <c r="G20" s="366"/>
      <c r="H20" s="366"/>
      <c r="I20" s="366"/>
      <c r="J20" s="366"/>
      <c r="K20" s="366"/>
      <c r="L20" s="366"/>
      <c r="M20" s="366"/>
      <c r="N20" s="366">
        <f>'[20]Выс,С17'!N20+'[20]Выс,Т24'!N20+'[20]Выс,С25'!N20</f>
        <v>0</v>
      </c>
      <c r="O20" s="366"/>
      <c r="P20" s="366">
        <f>'[20]Выс,С17'!P20+'[20]Выс,Т24'!P20+'[20]Выс,С25'!P20</f>
        <v>0</v>
      </c>
      <c r="Q20" s="366"/>
      <c r="R20" s="366">
        <f>'[20]Выс,С17'!R20+'[20]Выс,Т24'!R20+'[20]Выс,С25'!R20</f>
        <v>0</v>
      </c>
      <c r="S20" s="366"/>
      <c r="T20" s="366">
        <f>'[20]Выс,С17'!T20+'[20]Выс,Т24'!T20+'[20]Выс,С25'!T20</f>
        <v>0</v>
      </c>
      <c r="U20" s="366">
        <f>'[20]Выс,С17'!U20+'[20]Выс,Т24'!U20+'[20]Выс,С25'!U20</f>
        <v>0</v>
      </c>
      <c r="V20" s="366"/>
      <c r="W20" s="366">
        <f>'[20]Выс,С17'!W20+'[20]Выс,Т24'!W20+'[20]Выс,С25'!W20</f>
        <v>0</v>
      </c>
    </row>
    <row r="21" spans="2:27" ht="24" x14ac:dyDescent="0.2">
      <c r="B21" s="367" t="s">
        <v>281</v>
      </c>
      <c r="C21" s="368" t="s">
        <v>282</v>
      </c>
      <c r="D21" s="794" t="s">
        <v>223</v>
      </c>
      <c r="E21" s="366"/>
      <c r="F21" s="366">
        <v>22.05</v>
      </c>
      <c r="G21" s="366"/>
      <c r="H21" s="366"/>
      <c r="I21" s="366">
        <v>22.05</v>
      </c>
      <c r="J21" s="366"/>
      <c r="K21" s="366"/>
      <c r="L21" s="366">
        <v>22.05</v>
      </c>
      <c r="M21" s="366"/>
      <c r="N21" s="366">
        <f>'[20]Выс,С17'!N21+'[20]Выс,Т24'!N21+'[20]Выс,С25'!N21</f>
        <v>0</v>
      </c>
      <c r="O21" s="366">
        <v>22.05</v>
      </c>
      <c r="P21" s="366">
        <f>'[20]Выс,С17'!P21+'[20]Выс,Т24'!P21+'[20]Выс,С25'!P21</f>
        <v>0</v>
      </c>
      <c r="Q21" s="366"/>
      <c r="R21" s="366">
        <f>'[20]Выс,С17'!R21+'[20]Выс,Т24'!R21+'[20]Выс,С25'!R21</f>
        <v>0</v>
      </c>
      <c r="S21" s="366">
        <v>22.05</v>
      </c>
      <c r="T21" s="366">
        <f>'[20]Выс,С17'!T21+'[20]Выс,Т24'!T21+'[20]Выс,С25'!T21</f>
        <v>0</v>
      </c>
      <c r="U21" s="366">
        <f>'[20]Выс,С17'!U21+'[20]Выс,Т24'!U21+'[20]Выс,С25'!U21</f>
        <v>0</v>
      </c>
      <c r="V21" s="366">
        <v>22.05</v>
      </c>
      <c r="W21" s="366">
        <f>'[20]Выс,С17'!W21+'[20]Выс,Т24'!W21+'[20]Выс,С25'!W21</f>
        <v>0</v>
      </c>
    </row>
    <row r="22" spans="2:27" x14ac:dyDescent="0.2">
      <c r="B22" s="367" t="s">
        <v>283</v>
      </c>
      <c r="C22" s="368" t="s">
        <v>284</v>
      </c>
      <c r="D22" s="794" t="s">
        <v>223</v>
      </c>
      <c r="E22" s="366">
        <v>1020.3</v>
      </c>
      <c r="F22" s="366">
        <f>G22/E22/1.18/8*1000</f>
        <v>24.92</v>
      </c>
      <c r="G22" s="943">
        <v>240</v>
      </c>
      <c r="H22" s="366">
        <v>1020.3</v>
      </c>
      <c r="I22" s="366">
        <v>24.99</v>
      </c>
      <c r="J22" s="366">
        <f>H22*I22/1000*1.18*8</f>
        <v>240.69</v>
      </c>
      <c r="K22" s="366">
        <v>1020.3</v>
      </c>
      <c r="L22" s="366">
        <f>M22/K22/1.2/8*1000</f>
        <v>24.71</v>
      </c>
      <c r="M22" s="366">
        <v>242</v>
      </c>
      <c r="N22" s="366">
        <f>'[20]Выс,С17'!N22+'[20]Выс,Т24'!N22+'[20]Выс,С25'!N22</f>
        <v>1320.3</v>
      </c>
      <c r="O22" s="366">
        <v>24.99</v>
      </c>
      <c r="P22" s="366">
        <f>'[20]Выс,С17'!P22+'[20]Выс,Т24'!P22+'[20]Выс,С25'!P22</f>
        <v>316.7</v>
      </c>
      <c r="Q22" s="954"/>
      <c r="R22" s="366">
        <f>'[20]Выс,С17'!R22+'[20]Выс,Т24'!R22+'[20]Выс,С25'!R22</f>
        <v>1320.3</v>
      </c>
      <c r="S22" s="366">
        <v>24.99</v>
      </c>
      <c r="T22" s="366">
        <f>'[20]Выс,С17'!T22+'[20]Выс,Т24'!T22+'[20]Выс,С25'!T22</f>
        <v>316.7</v>
      </c>
      <c r="U22" s="366">
        <f>'[20]Выс,С17'!U22+'[20]Выс,Т24'!U22+'[20]Выс,С25'!U22</f>
        <v>1320.3</v>
      </c>
      <c r="V22" s="366">
        <v>24.99</v>
      </c>
      <c r="W22" s="366">
        <f>'[20]Выс,С17'!W22+'[20]Выс,Т24'!W22+'[20]Выс,С25'!W22</f>
        <v>316.7</v>
      </c>
    </row>
    <row r="23" spans="2:27" ht="24" x14ac:dyDescent="0.2">
      <c r="B23" s="367">
        <v>17</v>
      </c>
      <c r="C23" s="368" t="s">
        <v>285</v>
      </c>
      <c r="D23" s="794" t="s">
        <v>223</v>
      </c>
      <c r="E23" s="366">
        <v>768.7</v>
      </c>
      <c r="F23" s="366">
        <v>61.7</v>
      </c>
      <c r="G23" s="943">
        <v>14.797000000000001</v>
      </c>
      <c r="H23" s="366">
        <v>768.7</v>
      </c>
      <c r="I23" s="366">
        <v>61.7</v>
      </c>
      <c r="J23" s="366">
        <f>H23*I23/1000*1.18</f>
        <v>55.97</v>
      </c>
      <c r="K23" s="366">
        <v>768.7</v>
      </c>
      <c r="L23" s="366">
        <v>61.7</v>
      </c>
      <c r="M23" s="366">
        <f>K23*L23/1000*1.2</f>
        <v>56.91</v>
      </c>
      <c r="N23" s="366">
        <f>'[20]Выс,С17'!N23+'[20]Выс,Т24'!N23+'[20]Выс,С25'!N23</f>
        <v>1393.4</v>
      </c>
      <c r="O23" s="366">
        <v>61.7</v>
      </c>
      <c r="P23" s="366">
        <f>'[20]Выс,С17'!P23+'[20]Выс,Т24'!P23+'[20]Выс,С25'!P23</f>
        <v>0</v>
      </c>
      <c r="Q23" s="954"/>
      <c r="R23" s="366">
        <f>'[20]Выс,С17'!R23+'[20]Выс,Т24'!R23+'[20]Выс,С25'!R23</f>
        <v>1393.4</v>
      </c>
      <c r="S23" s="366">
        <v>61.7</v>
      </c>
      <c r="T23" s="366">
        <f>'[20]Выс,С17'!T23+'[20]Выс,Т24'!T23+'[20]Выс,С25'!T23</f>
        <v>0</v>
      </c>
      <c r="U23" s="366">
        <f>'[20]Выс,С17'!U23+'[20]Выс,Т24'!U23+'[20]Выс,С25'!U23</f>
        <v>768.7</v>
      </c>
      <c r="V23" s="366">
        <v>61.7</v>
      </c>
      <c r="W23" s="366">
        <f>'[20]Выс,С17'!W23+'[20]Выс,Т24'!W23+'[20]Выс,С25'!W23</f>
        <v>0</v>
      </c>
    </row>
    <row r="24" spans="2:27" ht="48" x14ac:dyDescent="0.2">
      <c r="B24" s="367">
        <v>18</v>
      </c>
      <c r="C24" s="368" t="s">
        <v>286</v>
      </c>
      <c r="D24" s="794" t="s">
        <v>287</v>
      </c>
      <c r="E24" s="366"/>
      <c r="F24" s="366"/>
      <c r="G24" s="366"/>
      <c r="H24" s="366"/>
      <c r="I24" s="366"/>
      <c r="J24" s="366"/>
      <c r="K24" s="366"/>
      <c r="L24" s="366"/>
      <c r="M24" s="366"/>
      <c r="N24" s="366">
        <f>'[20]Выс,С17'!N24+'[20]Выс,Т24'!N24+'[20]Выс,С25'!N24</f>
        <v>0</v>
      </c>
      <c r="O24" s="366"/>
      <c r="P24" s="366">
        <f>'[20]Выс,С17'!P24+'[20]Выс,Т24'!P24+'[20]Выс,С25'!P24</f>
        <v>0</v>
      </c>
      <c r="Q24" s="366"/>
      <c r="R24" s="366">
        <f>'[20]Выс,С17'!R24+'[20]Выс,Т24'!R24+'[20]Выс,С25'!R24</f>
        <v>0</v>
      </c>
      <c r="S24" s="366"/>
      <c r="T24" s="366">
        <f>'[20]Выс,С17'!T24+'[20]Выс,Т24'!T24+'[20]Выс,С25'!T24</f>
        <v>0</v>
      </c>
      <c r="U24" s="366">
        <f>'[20]Выс,С17'!U24+'[20]Выс,Т24'!U24+'[20]Выс,С25'!U24</f>
        <v>0</v>
      </c>
      <c r="V24" s="366"/>
      <c r="W24" s="366">
        <f>'[20]Выс,С17'!W24+'[20]Выс,Т24'!W24+'[20]Выс,С25'!W24</f>
        <v>0</v>
      </c>
    </row>
    <row r="25" spans="2:27" ht="24" x14ac:dyDescent="0.2">
      <c r="B25" s="367">
        <v>21</v>
      </c>
      <c r="C25" s="368" t="s">
        <v>288</v>
      </c>
      <c r="D25" s="2057"/>
      <c r="E25" s="944"/>
      <c r="F25" s="944"/>
      <c r="G25" s="944">
        <f>SUM(G10:G24)</f>
        <v>271.02</v>
      </c>
      <c r="H25" s="944"/>
      <c r="I25" s="944"/>
      <c r="J25" s="944">
        <f>SUM(J10:J24)</f>
        <v>354.1</v>
      </c>
      <c r="K25" s="944"/>
      <c r="L25" s="944"/>
      <c r="M25" s="944">
        <f>SUM(M10:M24)</f>
        <v>361.35</v>
      </c>
      <c r="N25" s="944">
        <f>'[20]Выс,С17'!N25+'[20]Выс,Т24'!N25+'[20]Выс,С25'!N25</f>
        <v>0</v>
      </c>
      <c r="O25" s="944"/>
      <c r="P25" s="944">
        <f>'[20]Выс,С17'!P25+'[20]Выс,Т24'!P25+'[20]Выс,С25'!P25</f>
        <v>446.2</v>
      </c>
      <c r="Q25" s="944"/>
      <c r="R25" s="944">
        <f>'[20]Выс,С17'!R25+'[20]Выс,Т24'!R25+'[20]Выс,С25'!R25</f>
        <v>0</v>
      </c>
      <c r="S25" s="944"/>
      <c r="T25" s="944">
        <f>'[20]Выс,С17'!T25+'[20]Выс,Т24'!T25+'[20]Выс,С25'!T25</f>
        <v>446.2</v>
      </c>
      <c r="U25" s="944">
        <f>'[20]Выс,С17'!U25+'[20]Выс,Т24'!U25+'[20]Выс,С25'!U25</f>
        <v>0</v>
      </c>
      <c r="V25" s="944"/>
      <c r="W25" s="944">
        <f>'[20]Выс,С17'!W25+'[20]Выс,Т24'!W25+'[20]Выс,С25'!W25</f>
        <v>446.2</v>
      </c>
    </row>
    <row r="26" spans="2:27" x14ac:dyDescent="0.2">
      <c r="B26" s="367"/>
      <c r="C26" s="368" t="s">
        <v>453</v>
      </c>
      <c r="D26" s="367"/>
      <c r="E26" s="366"/>
      <c r="F26" s="366"/>
      <c r="G26" s="366"/>
      <c r="H26" s="366"/>
      <c r="I26" s="366"/>
      <c r="J26" s="366"/>
      <c r="K26" s="366"/>
      <c r="L26" s="366"/>
      <c r="M26" s="366"/>
      <c r="N26" s="366">
        <f>'[20]Выс,С17'!N26+'[20]Выс,Т24'!N26+'[20]Выс,С25'!N26</f>
        <v>0</v>
      </c>
      <c r="O26" s="942"/>
      <c r="P26" s="366">
        <f>'[20]Выс,С17'!P26+'[20]Выс,Т24'!P26+'[20]Выс,С25'!P26</f>
        <v>0</v>
      </c>
      <c r="Q26" s="366"/>
      <c r="R26" s="366">
        <f>'[20]Выс,С17'!R26+'[20]Выс,Т24'!R26+'[20]Выс,С25'!R26</f>
        <v>0</v>
      </c>
      <c r="S26" s="366"/>
      <c r="T26" s="366">
        <f>'[20]Выс,С17'!T26+'[20]Выс,Т24'!T26+'[20]Выс,С25'!T26</f>
        <v>0</v>
      </c>
      <c r="U26" s="366">
        <f>'[20]Выс,С17'!U26+'[20]Выс,Т24'!U26+'[20]Выс,С25'!U26</f>
        <v>0</v>
      </c>
      <c r="V26" s="366"/>
      <c r="W26" s="366">
        <f>'[20]Выс,С17'!W26+'[20]Выс,Т24'!W26+'[20]Выс,С25'!W26</f>
        <v>0</v>
      </c>
    </row>
    <row r="27" spans="2:27" x14ac:dyDescent="0.2">
      <c r="B27" s="367" t="s">
        <v>454</v>
      </c>
      <c r="C27" s="368" t="s">
        <v>455</v>
      </c>
      <c r="D27" s="367"/>
      <c r="E27" s="366"/>
      <c r="F27" s="366"/>
      <c r="G27" s="366"/>
      <c r="H27" s="366"/>
      <c r="I27" s="366"/>
      <c r="J27" s="366"/>
      <c r="K27" s="366"/>
      <c r="L27" s="366"/>
      <c r="M27" s="366"/>
      <c r="N27" s="366">
        <f>'[20]Выс,С17'!N27+'[20]Выс,Т24'!N27+'[20]Выс,С25'!N27</f>
        <v>0</v>
      </c>
      <c r="O27" s="942"/>
      <c r="P27" s="366">
        <f>'[20]Выс,С17'!P27+'[20]Выс,Т24'!P27+'[20]Выс,С25'!P27</f>
        <v>0</v>
      </c>
      <c r="Q27" s="366"/>
      <c r="R27" s="366">
        <f>'[20]Выс,С17'!R27+'[20]Выс,Т24'!R27+'[20]Выс,С25'!R27</f>
        <v>0</v>
      </c>
      <c r="S27" s="366"/>
      <c r="T27" s="366">
        <f>'[20]Выс,С17'!T27+'[20]Выс,Т24'!T27+'[20]Выс,С25'!T27</f>
        <v>0</v>
      </c>
      <c r="U27" s="366">
        <f>'[20]Выс,С17'!U27+'[20]Выс,Т24'!U27+'[20]Выс,С25'!U27</f>
        <v>0</v>
      </c>
      <c r="V27" s="366"/>
      <c r="W27" s="366">
        <f>'[20]Выс,С17'!W27+'[20]Выс,Т24'!W27+'[20]Выс,С25'!W27</f>
        <v>0</v>
      </c>
    </row>
    <row r="28" spans="2:27" x14ac:dyDescent="0.2">
      <c r="B28" s="369" t="s">
        <v>456</v>
      </c>
      <c r="C28" s="368" t="s">
        <v>457</v>
      </c>
      <c r="D28" s="367"/>
      <c r="E28" s="366"/>
      <c r="F28" s="366"/>
      <c r="G28" s="366">
        <f>G25</f>
        <v>271.02</v>
      </c>
      <c r="H28" s="366"/>
      <c r="I28" s="366"/>
      <c r="J28" s="366">
        <f>J25</f>
        <v>354.1</v>
      </c>
      <c r="K28" s="366"/>
      <c r="L28" s="366"/>
      <c r="M28" s="366">
        <f>M25</f>
        <v>361.35</v>
      </c>
      <c r="N28" s="366">
        <f>'[20]Выс,С17'!N28+'[20]Выс,Т24'!N28+'[20]Выс,С25'!N28</f>
        <v>0</v>
      </c>
      <c r="O28" s="366"/>
      <c r="P28" s="366">
        <f>'[20]Выс,С17'!P28+'[20]Выс,Т24'!P28+'[20]Выс,С25'!P28</f>
        <v>446.2</v>
      </c>
      <c r="Q28" s="366"/>
      <c r="R28" s="366">
        <f>'[20]Выс,С17'!R28+'[20]Выс,Т24'!R28+'[20]Выс,С25'!R28</f>
        <v>0</v>
      </c>
      <c r="S28" s="366"/>
      <c r="T28" s="366">
        <f>'[20]Выс,С17'!T28+'[20]Выс,Т24'!T28+'[20]Выс,С25'!T28</f>
        <v>446.2</v>
      </c>
      <c r="U28" s="366">
        <f>'[20]Выс,С17'!U28+'[20]Выс,Т24'!U28+'[20]Выс,С25'!U28</f>
        <v>0</v>
      </c>
      <c r="V28" s="366"/>
      <c r="W28" s="366">
        <f>'[20]Выс,С17'!W28+'[20]Выс,Т24'!W28+'[20]Выс,С25'!W28</f>
        <v>446.2</v>
      </c>
    </row>
    <row r="29" spans="2:27" x14ac:dyDescent="0.2">
      <c r="E29" s="948"/>
      <c r="F29" s="948"/>
      <c r="G29" s="948"/>
      <c r="H29" s="948"/>
      <c r="I29" s="948"/>
      <c r="J29" s="948"/>
      <c r="K29" s="948"/>
      <c r="L29" s="948"/>
      <c r="M29" s="948"/>
      <c r="N29" s="366">
        <f>'[20]Выс,С17'!N29+'[20]Выс,Т24'!N29+'[20]Выс,С25'!N29</f>
        <v>0</v>
      </c>
      <c r="O29" s="948"/>
      <c r="P29" s="366">
        <f>'[20]Выс,С17'!P29+'[20]Выс,Т24'!P29+'[20]Выс,С25'!P29</f>
        <v>0</v>
      </c>
      <c r="Q29" s="948"/>
      <c r="R29" s="366">
        <f>'[20]Выс,С17'!R29+'[20]Выс,Т24'!R29+'[20]Выс,С25'!R29</f>
        <v>0</v>
      </c>
      <c r="S29" s="948"/>
      <c r="T29" s="366">
        <f>'[20]Выс,С17'!T29+'[20]Выс,Т24'!T29+'[20]Выс,С25'!T29</f>
        <v>0</v>
      </c>
      <c r="U29" s="366">
        <f>'[20]Выс,С17'!U29+'[20]Выс,Т24'!U29+'[20]Выс,С25'!U29</f>
        <v>0</v>
      </c>
      <c r="V29" s="948"/>
      <c r="W29" s="366">
        <f>'[20]Выс,С17'!W29+'[20]Выс,Т24'!W29+'[20]Выс,С25'!W29</f>
        <v>0</v>
      </c>
    </row>
    <row r="30" spans="2:27" s="362" customFormat="1" x14ac:dyDescent="0.2">
      <c r="B30" s="364">
        <v>22</v>
      </c>
      <c r="C30" s="364" t="s">
        <v>864</v>
      </c>
      <c r="D30" s="794" t="s">
        <v>223</v>
      </c>
      <c r="E30" s="365"/>
      <c r="F30" s="365"/>
      <c r="G30" s="365"/>
      <c r="H30" s="365"/>
      <c r="I30" s="365"/>
      <c r="J30" s="365"/>
      <c r="K30" s="365"/>
      <c r="L30" s="365"/>
      <c r="M30" s="365"/>
      <c r="N30" s="366">
        <f>'[20]Выс,С17'!N30+'[20]Выс,Т24'!N30+'[20]Выс,С25'!N30</f>
        <v>1544.2</v>
      </c>
      <c r="O30" s="365">
        <v>0.84</v>
      </c>
      <c r="P30" s="366">
        <f>'[20]Выс,С17'!P30+'[20]Выс,Т24'!P30+'[20]Выс,С25'!P30</f>
        <v>31.14</v>
      </c>
      <c r="Q30" s="365"/>
      <c r="R30" s="366">
        <f>'[20]Выс,С17'!R30+'[20]Выс,Т24'!R30+'[20]Выс,С25'!R30</f>
        <v>1544.2</v>
      </c>
      <c r="S30" s="365">
        <v>0.84</v>
      </c>
      <c r="T30" s="366">
        <f>'[20]Выс,С17'!T30+'[20]Выс,Т24'!T30+'[20]Выс,С25'!T30</f>
        <v>31.14</v>
      </c>
      <c r="U30" s="366">
        <f>'[20]Выс,С17'!U30+'[20]Выс,Т24'!U30+'[20]Выс,С25'!U30</f>
        <v>1544.2</v>
      </c>
      <c r="V30" s="365">
        <v>0.84</v>
      </c>
      <c r="W30" s="366">
        <f>'[20]Выс,С17'!W30+'[20]Выс,Т24'!W30+'[20]Выс,С25'!W30</f>
        <v>31.14</v>
      </c>
    </row>
    <row r="31" spans="2:27" s="362" customFormat="1" x14ac:dyDescent="0.2">
      <c r="B31" s="364">
        <v>23</v>
      </c>
      <c r="C31" s="364" t="s">
        <v>865</v>
      </c>
      <c r="D31" s="794" t="s">
        <v>223</v>
      </c>
      <c r="E31" s="365"/>
      <c r="F31" s="365"/>
      <c r="G31" s="365"/>
      <c r="H31" s="365"/>
      <c r="I31" s="365"/>
      <c r="J31" s="365"/>
      <c r="K31" s="365"/>
      <c r="L31" s="365"/>
      <c r="M31" s="365"/>
      <c r="N31" s="366">
        <f>'[20]Выс,С17'!N31+'[20]Выс,Т24'!N31+'[20]Выс,С25'!N31</f>
        <v>977.1</v>
      </c>
      <c r="O31" s="365">
        <v>0.79</v>
      </c>
      <c r="P31" s="366">
        <f>'[20]Выс,С17'!P31+'[20]Выс,Т24'!P31+'[20]Выс,С25'!P31</f>
        <v>9.26</v>
      </c>
      <c r="Q31" s="365"/>
      <c r="R31" s="366">
        <f>'[20]Выс,С17'!R31+'[20]Выс,Т24'!R31+'[20]Выс,С25'!R31</f>
        <v>977.1</v>
      </c>
      <c r="S31" s="365">
        <v>0.79</v>
      </c>
      <c r="T31" s="366">
        <f>'[20]Выс,С17'!T31+'[20]Выс,Т24'!T31+'[20]Выс,С25'!T31</f>
        <v>9.26</v>
      </c>
      <c r="U31" s="366">
        <f>'[20]Выс,С17'!U31+'[20]Выс,Т24'!U31+'[20]Выс,С25'!U31</f>
        <v>977.1</v>
      </c>
      <c r="V31" s="365">
        <v>0.79</v>
      </c>
      <c r="W31" s="366">
        <f>'[20]Выс,С17'!W31+'[20]Выс,Т24'!W31+'[20]Выс,С25'!W31</f>
        <v>9.26</v>
      </c>
    </row>
    <row r="32" spans="2:27" s="362" customFormat="1" ht="25.5" x14ac:dyDescent="0.2">
      <c r="B32" s="364">
        <v>24</v>
      </c>
      <c r="C32" s="364" t="s">
        <v>866</v>
      </c>
      <c r="D32" s="794" t="s">
        <v>223</v>
      </c>
      <c r="E32" s="365"/>
      <c r="F32" s="365"/>
      <c r="G32" s="365"/>
      <c r="H32" s="365"/>
      <c r="I32" s="365"/>
      <c r="J32" s="365"/>
      <c r="K32" s="365"/>
      <c r="L32" s="365"/>
      <c r="M32" s="365"/>
      <c r="N32" s="366">
        <f>'[20]Выс,С17'!N32+'[20]Выс,Т24'!N32+'[20]Выс,С25'!N32</f>
        <v>114.5</v>
      </c>
      <c r="O32" s="365">
        <v>673.14</v>
      </c>
      <c r="P32" s="366">
        <f>'[20]Выс,С17'!P32+'[20]Выс,Т24'!P32+'[20]Выс,С25'!P32</f>
        <v>75.599999999999994</v>
      </c>
      <c r="Q32" s="365"/>
      <c r="R32" s="366">
        <f>'[20]Выс,С17'!R32+'[20]Выс,Т24'!R32+'[20]Выс,С25'!R32</f>
        <v>114.5</v>
      </c>
      <c r="S32" s="365">
        <v>673.14</v>
      </c>
      <c r="T32" s="366">
        <f>'[20]Выс,С17'!T32+'[20]Выс,Т24'!T32+'[20]Выс,С25'!T32</f>
        <v>75.599999999999994</v>
      </c>
      <c r="U32" s="366">
        <f>'[20]Выс,С17'!U32+'[20]Выс,Т24'!U32+'[20]Выс,С25'!U32</f>
        <v>114.5</v>
      </c>
      <c r="V32" s="365">
        <v>673.14</v>
      </c>
      <c r="W32" s="366">
        <f>'[20]Выс,С17'!W32+'[20]Выс,Т24'!W32+'[20]Выс,С25'!W32</f>
        <v>75.599999999999994</v>
      </c>
    </row>
    <row r="33" spans="2:24" s="363" customFormat="1" x14ac:dyDescent="0.2">
      <c r="B33" s="619"/>
      <c r="C33" s="955" t="s">
        <v>1262</v>
      </c>
      <c r="D33" s="619"/>
      <c r="E33" s="370"/>
      <c r="F33" s="620"/>
      <c r="G33" s="370"/>
      <c r="H33" s="370"/>
      <c r="I33" s="620"/>
      <c r="J33" s="370"/>
      <c r="K33" s="370"/>
      <c r="L33" s="370"/>
      <c r="M33" s="370"/>
      <c r="N33" s="370"/>
      <c r="O33" s="370"/>
      <c r="P33" s="370">
        <f>P32+P31+P30+P29+P28</f>
        <v>562.20000000000005</v>
      </c>
      <c r="Q33" s="370"/>
      <c r="R33" s="370"/>
      <c r="S33" s="370"/>
      <c r="T33" s="370">
        <f>T32+T31+T30+T29+T28</f>
        <v>562.20000000000005</v>
      </c>
      <c r="U33" s="370"/>
      <c r="V33" s="370"/>
      <c r="W33" s="370">
        <f>W32+W31+W30+W29+W28</f>
        <v>562.20000000000005</v>
      </c>
    </row>
    <row r="34" spans="2:24" s="362" customFormat="1" x14ac:dyDescent="0.2">
      <c r="B34" s="364"/>
      <c r="C34" s="364"/>
      <c r="D34" s="364"/>
      <c r="E34" s="365"/>
      <c r="F34" s="364"/>
      <c r="G34" s="614"/>
      <c r="H34" s="365"/>
      <c r="I34" s="364"/>
      <c r="J34" s="614"/>
      <c r="K34" s="365"/>
      <c r="L34" s="365"/>
      <c r="M34" s="365"/>
      <c r="N34" s="365"/>
      <c r="O34" s="365"/>
      <c r="P34" s="365"/>
      <c r="Q34" s="365"/>
      <c r="R34" s="365"/>
      <c r="S34" s="365"/>
      <c r="T34" s="365"/>
      <c r="U34" s="365"/>
      <c r="V34" s="365"/>
      <c r="W34" s="365"/>
    </row>
    <row r="35" spans="2:24" s="362" customFormat="1" x14ac:dyDescent="0.2">
      <c r="B35" s="364"/>
      <c r="C35" s="364"/>
      <c r="D35" s="364"/>
      <c r="E35" s="364"/>
      <c r="F35" s="364"/>
      <c r="G35" s="364"/>
      <c r="H35" s="364"/>
      <c r="I35" s="364"/>
      <c r="J35" s="364"/>
      <c r="K35" s="364"/>
      <c r="L35" s="364"/>
      <c r="M35" s="364"/>
      <c r="N35" s="365"/>
      <c r="O35" s="364"/>
      <c r="P35" s="365"/>
      <c r="Q35" s="364"/>
      <c r="R35" s="365"/>
      <c r="S35" s="364"/>
      <c r="T35" s="365"/>
      <c r="U35" s="365"/>
      <c r="V35" s="364"/>
      <c r="W35" s="365"/>
    </row>
    <row r="39" spans="2:24" s="362" customFormat="1" x14ac:dyDescent="0.2"/>
    <row r="40" spans="2:24" s="362" customFormat="1" x14ac:dyDescent="0.2"/>
    <row r="41" spans="2:24" s="362" customFormat="1" hidden="1" x14ac:dyDescent="0.2">
      <c r="O41" s="362" t="s">
        <v>867</v>
      </c>
      <c r="P41" s="615">
        <v>129.5</v>
      </c>
      <c r="Q41" s="956">
        <f>P41-P42</f>
        <v>0</v>
      </c>
      <c r="R41" s="615"/>
      <c r="S41" s="362" t="s">
        <v>867</v>
      </c>
      <c r="T41" s="615">
        <v>129.5</v>
      </c>
      <c r="U41" s="956">
        <f>T41-T42</f>
        <v>0</v>
      </c>
      <c r="V41" s="362" t="s">
        <v>867</v>
      </c>
      <c r="W41" s="615">
        <v>129.5</v>
      </c>
      <c r="X41" s="956">
        <f>W41-W42</f>
        <v>0</v>
      </c>
    </row>
    <row r="42" spans="2:24" s="616" customFormat="1" hidden="1" x14ac:dyDescent="0.2">
      <c r="P42" s="617">
        <f>P10+P11+P12+P13+P14+P15+P16+P17+P18+P19</f>
        <v>129.5</v>
      </c>
      <c r="Q42" s="956"/>
      <c r="T42" s="617">
        <f>T10+T11+T12+T13+T14+T15+T16+T17+T18+T19</f>
        <v>129.5</v>
      </c>
      <c r="U42" s="956"/>
      <c r="W42" s="617">
        <f>W10+W11+W12+W13+W14+W15+W16+W17+W18+W19</f>
        <v>129.5</v>
      </c>
      <c r="X42" s="956"/>
    </row>
    <row r="43" spans="2:24" s="362" customFormat="1" hidden="1" x14ac:dyDescent="0.2">
      <c r="O43" s="362" t="s">
        <v>868</v>
      </c>
      <c r="P43" s="615">
        <v>0</v>
      </c>
      <c r="Q43" s="956">
        <f t="shared" ref="Q43:Q51" si="5">P43-P44</f>
        <v>0</v>
      </c>
      <c r="S43" s="362" t="s">
        <v>868</v>
      </c>
      <c r="T43" s="615">
        <v>0</v>
      </c>
      <c r="U43" s="956">
        <f t="shared" ref="U43:U51" si="6">T43-T44</f>
        <v>0</v>
      </c>
      <c r="V43" s="362" t="s">
        <v>868</v>
      </c>
      <c r="W43" s="615">
        <v>0</v>
      </c>
      <c r="X43" s="956">
        <f t="shared" ref="X43:X51" si="7">W43-W44</f>
        <v>0</v>
      </c>
    </row>
    <row r="44" spans="2:24" s="616" customFormat="1" hidden="1" x14ac:dyDescent="0.2">
      <c r="P44" s="617">
        <f>P24</f>
        <v>0</v>
      </c>
      <c r="Q44" s="956"/>
      <c r="T44" s="617">
        <f>T24</f>
        <v>0</v>
      </c>
      <c r="U44" s="956"/>
      <c r="W44" s="617">
        <f>W24</f>
        <v>0</v>
      </c>
      <c r="X44" s="956"/>
    </row>
    <row r="45" spans="2:24" s="362" customFormat="1" hidden="1" x14ac:dyDescent="0.2">
      <c r="O45" s="362" t="s">
        <v>869</v>
      </c>
      <c r="P45" s="615">
        <v>40.4</v>
      </c>
      <c r="Q45" s="956">
        <f t="shared" si="5"/>
        <v>0</v>
      </c>
      <c r="S45" s="362" t="s">
        <v>869</v>
      </c>
      <c r="T45" s="615">
        <v>40.4</v>
      </c>
      <c r="U45" s="956">
        <f t="shared" si="6"/>
        <v>0</v>
      </c>
      <c r="V45" s="362" t="s">
        <v>869</v>
      </c>
      <c r="W45" s="615">
        <v>40.4</v>
      </c>
      <c r="X45" s="956">
        <f t="shared" si="7"/>
        <v>0</v>
      </c>
    </row>
    <row r="46" spans="2:24" s="616" customFormat="1" hidden="1" x14ac:dyDescent="0.2">
      <c r="P46" s="617">
        <f>P30+P31</f>
        <v>40.4</v>
      </c>
      <c r="Q46" s="956"/>
      <c r="T46" s="617">
        <f>T30+T31</f>
        <v>40.4</v>
      </c>
      <c r="U46" s="956"/>
      <c r="W46" s="617">
        <f>W30+W31</f>
        <v>40.4</v>
      </c>
      <c r="X46" s="956"/>
    </row>
    <row r="47" spans="2:24" s="362" customFormat="1" hidden="1" x14ac:dyDescent="0.2">
      <c r="O47" s="362" t="s">
        <v>870</v>
      </c>
      <c r="P47" s="615">
        <v>75.599999999999994</v>
      </c>
      <c r="Q47" s="956">
        <f t="shared" si="5"/>
        <v>0</v>
      </c>
      <c r="R47" s="615"/>
      <c r="S47" s="362" t="s">
        <v>870</v>
      </c>
      <c r="T47" s="615">
        <v>75.599999999999994</v>
      </c>
      <c r="U47" s="956">
        <f t="shared" si="6"/>
        <v>0</v>
      </c>
      <c r="V47" s="362" t="s">
        <v>870</v>
      </c>
      <c r="W47" s="615">
        <v>75.599999999999994</v>
      </c>
      <c r="X47" s="956">
        <f t="shared" si="7"/>
        <v>0</v>
      </c>
    </row>
    <row r="48" spans="2:24" s="616" customFormat="1" hidden="1" x14ac:dyDescent="0.2">
      <c r="P48" s="617">
        <f>P32</f>
        <v>75.599999999999994</v>
      </c>
      <c r="Q48" s="956"/>
      <c r="T48" s="617">
        <f>T32</f>
        <v>75.599999999999994</v>
      </c>
      <c r="U48" s="956"/>
      <c r="W48" s="617">
        <f>W32</f>
        <v>75.599999999999994</v>
      </c>
      <c r="X48" s="956"/>
    </row>
    <row r="49" spans="2:24" s="362" customFormat="1" hidden="1" x14ac:dyDescent="0.2">
      <c r="O49" s="362" t="s">
        <v>871</v>
      </c>
      <c r="P49" s="615">
        <v>0</v>
      </c>
      <c r="Q49" s="956">
        <f t="shared" si="5"/>
        <v>0</v>
      </c>
      <c r="S49" s="362" t="s">
        <v>871</v>
      </c>
      <c r="T49" s="615">
        <v>0</v>
      </c>
      <c r="U49" s="956">
        <f t="shared" si="6"/>
        <v>0</v>
      </c>
      <c r="V49" s="362" t="s">
        <v>871</v>
      </c>
      <c r="W49" s="615">
        <v>0</v>
      </c>
      <c r="X49" s="956">
        <f t="shared" si="7"/>
        <v>0</v>
      </c>
    </row>
    <row r="50" spans="2:24" s="616" customFormat="1" hidden="1" x14ac:dyDescent="0.2">
      <c r="P50" s="617">
        <f>P23</f>
        <v>0</v>
      </c>
      <c r="Q50" s="956"/>
      <c r="T50" s="617">
        <f>T23</f>
        <v>0</v>
      </c>
      <c r="U50" s="956"/>
      <c r="W50" s="617">
        <f>W23</f>
        <v>0</v>
      </c>
      <c r="X50" s="956"/>
    </row>
    <row r="51" spans="2:24" s="362" customFormat="1" hidden="1" x14ac:dyDescent="0.2">
      <c r="O51" s="362" t="s">
        <v>872</v>
      </c>
      <c r="P51" s="615">
        <v>316.7</v>
      </c>
      <c r="Q51" s="956">
        <f t="shared" si="5"/>
        <v>0</v>
      </c>
      <c r="S51" s="362" t="s">
        <v>872</v>
      </c>
      <c r="T51" s="615">
        <v>316.7</v>
      </c>
      <c r="U51" s="956">
        <f t="shared" si="6"/>
        <v>0</v>
      </c>
      <c r="V51" s="362" t="s">
        <v>872</v>
      </c>
      <c r="W51" s="615">
        <v>316.7</v>
      </c>
      <c r="X51" s="956">
        <f t="shared" si="7"/>
        <v>0</v>
      </c>
    </row>
    <row r="52" spans="2:24" s="616" customFormat="1" hidden="1" x14ac:dyDescent="0.2">
      <c r="P52" s="617">
        <f>P22</f>
        <v>316.7</v>
      </c>
      <c r="R52" s="617"/>
      <c r="T52" s="617">
        <f>T22</f>
        <v>316.7</v>
      </c>
      <c r="W52" s="617">
        <f>W22</f>
        <v>316.7</v>
      </c>
    </row>
    <row r="53" spans="2:24" s="362" customFormat="1" x14ac:dyDescent="0.2">
      <c r="P53" s="371" t="s">
        <v>1259</v>
      </c>
      <c r="T53" s="371" t="s">
        <v>1259</v>
      </c>
      <c r="W53" s="371" t="s">
        <v>1259</v>
      </c>
    </row>
    <row r="54" spans="2:24" s="363" customFormat="1" x14ac:dyDescent="0.2">
      <c r="O54" s="618">
        <f>P41+P43+P45+P47+P49+P51</f>
        <v>562.20000000000005</v>
      </c>
      <c r="P54" s="618">
        <v>562.20000000000005</v>
      </c>
      <c r="Q54" s="618"/>
      <c r="R54" s="618"/>
      <c r="T54" s="618">
        <v>562.20000000000005</v>
      </c>
      <c r="U54" s="618"/>
      <c r="W54" s="618">
        <v>562.20000000000005</v>
      </c>
    </row>
    <row r="55" spans="2:24" s="363" customFormat="1" x14ac:dyDescent="0.2">
      <c r="P55" s="1189">
        <f>P54-P33</f>
        <v>0</v>
      </c>
      <c r="Q55" s="1189"/>
      <c r="R55" s="1189"/>
      <c r="S55" s="1189"/>
      <c r="T55" s="1189">
        <f>T54-T33</f>
        <v>0</v>
      </c>
      <c r="U55" s="1189"/>
      <c r="V55" s="1189"/>
      <c r="W55" s="1189">
        <f>W54-W33</f>
        <v>0</v>
      </c>
    </row>
    <row r="56" spans="2:24" s="2058" customFormat="1" x14ac:dyDescent="0.2">
      <c r="B56" s="362"/>
      <c r="C56" s="362"/>
      <c r="D56" s="362"/>
      <c r="E56" s="362"/>
      <c r="F56" s="362"/>
      <c r="G56" s="362"/>
      <c r="H56" s="362"/>
      <c r="I56" s="362"/>
      <c r="J56" s="362"/>
      <c r="K56" s="362"/>
      <c r="L56" s="362"/>
      <c r="M56" s="362"/>
      <c r="N56" s="362"/>
      <c r="O56" s="362"/>
      <c r="P56" s="362"/>
      <c r="Q56" s="362"/>
      <c r="R56" s="362"/>
      <c r="S56" s="362"/>
      <c r="T56" s="362"/>
      <c r="U56" s="362"/>
      <c r="V56" s="362"/>
      <c r="W56" s="362"/>
    </row>
  </sheetData>
  <mergeCells count="13">
    <mergeCell ref="N7:Q7"/>
    <mergeCell ref="R7:T7"/>
    <mergeCell ref="U7:W7"/>
    <mergeCell ref="R1:W1"/>
    <mergeCell ref="B3:W3"/>
    <mergeCell ref="B4:W4"/>
    <mergeCell ref="B5:W5"/>
    <mergeCell ref="B7:B8"/>
    <mergeCell ref="C7:C8"/>
    <mergeCell ref="D7:D8"/>
    <mergeCell ref="E7:G7"/>
    <mergeCell ref="H7:J7"/>
    <mergeCell ref="K7:M7"/>
  </mergeCells>
  <pageMargins left="0.70866141732283472" right="0.70866141732283472" top="0.74803149606299213" bottom="0.74803149606299213" header="0.31496062992125984" footer="0.31496062992125984"/>
  <pageSetup paperSize="9" scale="64"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3"/>
  <sheetViews>
    <sheetView view="pageBreakPreview" zoomScale="70" zoomScaleNormal="80" zoomScaleSheetLayoutView="70" workbookViewId="0">
      <pane xSplit="3" ySplit="15" topLeftCell="O16" activePane="bottomRight" state="frozen"/>
      <selection activeCell="A8" sqref="A8"/>
      <selection pane="topRight" activeCell="D8" sqref="D8"/>
      <selection pane="bottomLeft" activeCell="A16" sqref="A16"/>
      <selection pane="bottomRight" activeCell="AL24" sqref="AL24"/>
    </sheetView>
  </sheetViews>
  <sheetFormatPr defaultRowHeight="12.75" x14ac:dyDescent="0.2"/>
  <cols>
    <col min="1" max="1" width="5.33203125" style="2059" customWidth="1"/>
    <col min="2" max="2" width="55.5" style="2059" customWidth="1"/>
    <col min="3" max="3" width="9" style="2059" customWidth="1"/>
    <col min="4" max="4" width="11.33203125" style="2060" hidden="1" customWidth="1"/>
    <col min="5" max="5" width="14.33203125" style="2060" hidden="1" customWidth="1"/>
    <col min="6" max="6" width="15.5" style="2060" hidden="1" customWidth="1"/>
    <col min="7" max="8" width="11.33203125" style="2060" hidden="1" customWidth="1"/>
    <col min="9" max="9" width="13.6640625" style="2060" hidden="1" customWidth="1"/>
    <col min="10" max="10" width="15.6640625" style="2060" hidden="1" customWidth="1"/>
    <col min="11" max="11" width="11.33203125" style="2060" hidden="1" customWidth="1"/>
    <col min="12" max="12" width="14.1640625" style="2060" hidden="1" customWidth="1"/>
    <col min="13" max="13" width="15" style="2060" hidden="1" customWidth="1"/>
    <col min="14" max="14" width="11.5" style="2060" hidden="1" customWidth="1"/>
    <col min="15" max="15" width="13.1640625" style="2060" customWidth="1"/>
    <col min="16" max="16" width="14.83203125" style="2060" customWidth="1"/>
    <col min="17" max="17" width="13.1640625" style="2060" customWidth="1"/>
    <col min="18" max="18" width="14.83203125" style="2061" customWidth="1"/>
    <col min="19" max="19" width="12.83203125" style="2062" customWidth="1"/>
    <col min="20" max="20" width="13.5" style="2060" customWidth="1"/>
    <col min="21" max="21" width="11.33203125" style="2060" customWidth="1"/>
    <col min="22" max="22" width="13.6640625" style="2060" customWidth="1"/>
    <col min="23" max="23" width="12.83203125" style="2060" customWidth="1"/>
    <col min="24" max="24" width="11.33203125" style="2060" customWidth="1"/>
    <col min="25" max="16384" width="9.33203125" style="2059"/>
  </cols>
  <sheetData>
    <row r="1" spans="1:24" ht="15" x14ac:dyDescent="0.25">
      <c r="T1" s="3633" t="s">
        <v>804</v>
      </c>
      <c r="U1" s="3633"/>
      <c r="V1" s="3633"/>
      <c r="W1" s="3633"/>
      <c r="X1" s="3633"/>
    </row>
    <row r="2" spans="1:24" ht="15" hidden="1" x14ac:dyDescent="0.25">
      <c r="T2" s="3633" t="s">
        <v>294</v>
      </c>
      <c r="U2" s="3633"/>
      <c r="V2" s="3633"/>
      <c r="W2" s="3633"/>
      <c r="X2" s="3633"/>
    </row>
    <row r="3" spans="1:24" ht="15" hidden="1" x14ac:dyDescent="0.25">
      <c r="T3" s="3633" t="s">
        <v>295</v>
      </c>
      <c r="U3" s="3633"/>
      <c r="V3" s="3633"/>
      <c r="W3" s="3633"/>
      <c r="X3" s="3633"/>
    </row>
    <row r="4" spans="1:24" ht="15" hidden="1" x14ac:dyDescent="0.25">
      <c r="F4" s="2063"/>
      <c r="G4" s="2063"/>
      <c r="M4" s="2064"/>
      <c r="T4" s="3633" t="s">
        <v>296</v>
      </c>
      <c r="U4" s="3633"/>
      <c r="V4" s="3633"/>
      <c r="W4" s="3633"/>
      <c r="X4" s="3633"/>
    </row>
    <row r="5" spans="1:24" ht="15" hidden="1" x14ac:dyDescent="0.25">
      <c r="T5" s="3633" t="s">
        <v>427</v>
      </c>
      <c r="U5" s="3633"/>
      <c r="V5" s="3633"/>
      <c r="W5" s="3633"/>
      <c r="X5" s="3633"/>
    </row>
    <row r="6" spans="1:24" ht="15" hidden="1" x14ac:dyDescent="0.25">
      <c r="T6" s="3633" t="s">
        <v>428</v>
      </c>
      <c r="U6" s="3633"/>
      <c r="V6" s="3633"/>
      <c r="W6" s="3633"/>
      <c r="X6" s="3633"/>
    </row>
    <row r="7" spans="1:24" ht="15" hidden="1" x14ac:dyDescent="0.25">
      <c r="T7" s="3633" t="s">
        <v>805</v>
      </c>
      <c r="U7" s="3633"/>
      <c r="V7" s="3633"/>
      <c r="W7" s="3633"/>
      <c r="X7" s="3633"/>
    </row>
    <row r="8" spans="1:24" x14ac:dyDescent="0.2">
      <c r="Q8" s="2065"/>
    </row>
    <row r="9" spans="1:24" ht="15.75" x14ac:dyDescent="0.2">
      <c r="A9" s="3634" t="s">
        <v>2019</v>
      </c>
      <c r="B9" s="3634"/>
      <c r="C9" s="3634"/>
      <c r="D9" s="3634"/>
      <c r="E9" s="3634"/>
      <c r="F9" s="3634"/>
      <c r="G9" s="3634"/>
      <c r="H9" s="3634"/>
      <c r="I9" s="3634"/>
      <c r="J9" s="3634"/>
      <c r="K9" s="3634"/>
      <c r="L9" s="3634"/>
      <c r="M9" s="3634"/>
      <c r="N9" s="3634"/>
      <c r="O9" s="3634"/>
      <c r="P9" s="3634"/>
      <c r="Q9" s="3634"/>
      <c r="R9" s="3634"/>
      <c r="S9" s="3634"/>
      <c r="T9" s="3634"/>
      <c r="U9" s="3634"/>
      <c r="V9" s="3634"/>
      <c r="W9" s="3634"/>
      <c r="X9" s="3634"/>
    </row>
    <row r="10" spans="1:24" ht="18" customHeight="1" x14ac:dyDescent="0.2">
      <c r="A10" s="3635" t="s">
        <v>2020</v>
      </c>
      <c r="B10" s="3635"/>
      <c r="C10" s="3635"/>
      <c r="D10" s="3635"/>
      <c r="E10" s="3635"/>
      <c r="F10" s="3635"/>
      <c r="G10" s="3635"/>
      <c r="H10" s="3635"/>
      <c r="I10" s="3635"/>
      <c r="J10" s="3635"/>
      <c r="K10" s="3635"/>
      <c r="L10" s="3635"/>
      <c r="M10" s="3635"/>
      <c r="N10" s="3635"/>
      <c r="O10" s="3635"/>
      <c r="P10" s="3635"/>
      <c r="Q10" s="3635"/>
      <c r="R10" s="3635"/>
      <c r="S10" s="3635"/>
      <c r="T10" s="3635"/>
      <c r="U10" s="3635"/>
      <c r="V10" s="3635"/>
      <c r="W10" s="3635"/>
      <c r="X10" s="3635"/>
    </row>
    <row r="11" spans="1:24" ht="20.25" customHeight="1" x14ac:dyDescent="0.2">
      <c r="G11" s="2066"/>
      <c r="I11" s="2065"/>
      <c r="O11" s="3632" t="s">
        <v>2014</v>
      </c>
      <c r="P11" s="3632"/>
      <c r="Q11" s="3632"/>
      <c r="R11" s="3632"/>
      <c r="S11" s="3632"/>
    </row>
    <row r="12" spans="1:24" ht="27" customHeight="1" x14ac:dyDescent="0.2">
      <c r="A12" s="3631" t="s">
        <v>78</v>
      </c>
      <c r="B12" s="3631" t="s">
        <v>218</v>
      </c>
      <c r="C12" s="3631" t="s">
        <v>193</v>
      </c>
      <c r="D12" s="3629" t="s">
        <v>806</v>
      </c>
      <c r="E12" s="3629"/>
      <c r="F12" s="3629"/>
      <c r="G12" s="3629"/>
      <c r="H12" s="3629" t="s">
        <v>807</v>
      </c>
      <c r="I12" s="3629"/>
      <c r="J12" s="3629"/>
      <c r="K12" s="3629"/>
      <c r="L12" s="3629" t="s">
        <v>693</v>
      </c>
      <c r="M12" s="3629"/>
      <c r="N12" s="3629"/>
      <c r="O12" s="3629" t="s">
        <v>298</v>
      </c>
      <c r="P12" s="3629"/>
      <c r="Q12" s="3629"/>
      <c r="R12" s="3629"/>
      <c r="S12" s="3629" t="s">
        <v>299</v>
      </c>
      <c r="T12" s="3629"/>
      <c r="U12" s="3629"/>
      <c r="V12" s="3629" t="s">
        <v>300</v>
      </c>
      <c r="W12" s="3629"/>
      <c r="X12" s="3629"/>
    </row>
    <row r="13" spans="1:24" x14ac:dyDescent="0.2">
      <c r="A13" s="3631"/>
      <c r="B13" s="3631"/>
      <c r="C13" s="3631"/>
      <c r="D13" s="3630" t="s">
        <v>808</v>
      </c>
      <c r="E13" s="3628" t="s">
        <v>301</v>
      </c>
      <c r="F13" s="3628" t="s">
        <v>809</v>
      </c>
      <c r="G13" s="3630" t="s">
        <v>810</v>
      </c>
      <c r="H13" s="3630" t="s">
        <v>811</v>
      </c>
      <c r="I13" s="3628" t="s">
        <v>301</v>
      </c>
      <c r="J13" s="3628" t="s">
        <v>809</v>
      </c>
      <c r="K13" s="3630" t="s">
        <v>810</v>
      </c>
      <c r="L13" s="3628" t="s">
        <v>301</v>
      </c>
      <c r="M13" s="3628" t="s">
        <v>809</v>
      </c>
      <c r="N13" s="3630" t="s">
        <v>810</v>
      </c>
      <c r="O13" s="3628" t="s">
        <v>301</v>
      </c>
      <c r="P13" s="3628" t="s">
        <v>812</v>
      </c>
      <c r="Q13" s="3630" t="s">
        <v>810</v>
      </c>
      <c r="R13" s="3630" t="s">
        <v>180</v>
      </c>
      <c r="S13" s="3628" t="s">
        <v>301</v>
      </c>
      <c r="T13" s="3628" t="s">
        <v>812</v>
      </c>
      <c r="U13" s="3630" t="s">
        <v>810</v>
      </c>
      <c r="V13" s="3628" t="s">
        <v>301</v>
      </c>
      <c r="W13" s="3628" t="s">
        <v>812</v>
      </c>
      <c r="X13" s="3630" t="s">
        <v>810</v>
      </c>
    </row>
    <row r="14" spans="1:24" x14ac:dyDescent="0.2">
      <c r="A14" s="3631"/>
      <c r="B14" s="3631"/>
      <c r="C14" s="3631"/>
      <c r="D14" s="3630"/>
      <c r="E14" s="3628"/>
      <c r="F14" s="3628"/>
      <c r="G14" s="3630"/>
      <c r="H14" s="3630"/>
      <c r="I14" s="3628"/>
      <c r="J14" s="3628"/>
      <c r="K14" s="3630"/>
      <c r="L14" s="3628"/>
      <c r="M14" s="3628"/>
      <c r="N14" s="3630"/>
      <c r="O14" s="3628"/>
      <c r="P14" s="3628"/>
      <c r="Q14" s="3630"/>
      <c r="R14" s="3630"/>
      <c r="S14" s="3628"/>
      <c r="T14" s="3628"/>
      <c r="U14" s="3630"/>
      <c r="V14" s="3628"/>
      <c r="W14" s="3628"/>
      <c r="X14" s="3630"/>
    </row>
    <row r="15" spans="1:24" x14ac:dyDescent="0.2">
      <c r="A15" s="2067">
        <v>1</v>
      </c>
      <c r="B15" s="2067">
        <v>2</v>
      </c>
      <c r="C15" s="2067">
        <v>3</v>
      </c>
      <c r="D15" s="2068">
        <v>4</v>
      </c>
      <c r="E15" s="2068">
        <v>5</v>
      </c>
      <c r="F15" s="2068">
        <v>6</v>
      </c>
      <c r="G15" s="2068">
        <v>7</v>
      </c>
      <c r="H15" s="2068">
        <v>8</v>
      </c>
      <c r="I15" s="2068">
        <v>9</v>
      </c>
      <c r="J15" s="2068">
        <v>10</v>
      </c>
      <c r="K15" s="2068">
        <v>11</v>
      </c>
      <c r="L15" s="2068">
        <v>12</v>
      </c>
      <c r="M15" s="2068">
        <v>13</v>
      </c>
      <c r="N15" s="2068">
        <v>14</v>
      </c>
      <c r="O15" s="2068">
        <v>15</v>
      </c>
      <c r="P15" s="2068">
        <v>16</v>
      </c>
      <c r="Q15" s="2068">
        <v>17</v>
      </c>
      <c r="R15" s="2068">
        <v>18</v>
      </c>
      <c r="S15" s="2068">
        <v>19</v>
      </c>
      <c r="T15" s="2068">
        <v>20</v>
      </c>
      <c r="U15" s="2068">
        <v>21</v>
      </c>
      <c r="V15" s="2068">
        <v>22</v>
      </c>
      <c r="W15" s="2068">
        <v>23</v>
      </c>
      <c r="X15" s="2068">
        <v>24</v>
      </c>
    </row>
    <row r="16" spans="1:24" s="2075" customFormat="1" x14ac:dyDescent="0.2">
      <c r="A16" s="2069">
        <v>1</v>
      </c>
      <c r="B16" s="2070" t="s">
        <v>304</v>
      </c>
      <c r="C16" s="2069" t="s">
        <v>305</v>
      </c>
      <c r="D16" s="2071">
        <f>SUM(D17:D19)</f>
        <v>184.35</v>
      </c>
      <c r="E16" s="2071"/>
      <c r="F16" s="2071"/>
      <c r="G16" s="2071">
        <f>SUM(G17:G19)</f>
        <v>184.35</v>
      </c>
      <c r="H16" s="2071">
        <f>SUM(H17:H19)</f>
        <v>154.19999999999999</v>
      </c>
      <c r="I16" s="2071"/>
      <c r="J16" s="2071"/>
      <c r="K16" s="2071">
        <f>SUM(K17:K19)</f>
        <v>154.19999999999999</v>
      </c>
      <c r="L16" s="2071"/>
      <c r="M16" s="2071"/>
      <c r="N16" s="2071">
        <f>SUM(N17:N19)</f>
        <v>141.66</v>
      </c>
      <c r="O16" s="2071"/>
      <c r="P16" s="2071"/>
      <c r="Q16" s="2072">
        <f>SUM(Q17:Q19)</f>
        <v>141.69999999999999</v>
      </c>
      <c r="R16" s="2073"/>
      <c r="S16" s="2074"/>
      <c r="T16" s="2071"/>
      <c r="U16" s="2071">
        <f>SUM(U17:U19)</f>
        <v>141.69999999999999</v>
      </c>
      <c r="V16" s="2071"/>
      <c r="W16" s="2071"/>
      <c r="X16" s="2071">
        <f>SUM(X17:X19)</f>
        <v>141.69999999999999</v>
      </c>
    </row>
    <row r="17" spans="1:24" s="2075" customFormat="1" x14ac:dyDescent="0.2">
      <c r="A17" s="2076"/>
      <c r="B17" s="2077" t="s">
        <v>2021</v>
      </c>
      <c r="C17" s="2067"/>
      <c r="D17" s="2078">
        <f t="shared" ref="D17:D19" si="0">G17</f>
        <v>112.35</v>
      </c>
      <c r="E17" s="2079">
        <v>12</v>
      </c>
      <c r="F17" s="2078">
        <v>7934.03</v>
      </c>
      <c r="G17" s="2078">
        <f t="shared" ref="G17:G18" si="1">E17*F17*1.18/1000</f>
        <v>112.35</v>
      </c>
      <c r="H17" s="2078">
        <v>112.3</v>
      </c>
      <c r="I17" s="2079">
        <v>12</v>
      </c>
      <c r="J17" s="2078">
        <f t="shared" ref="J17" si="2">K17/I17*1000/1.18</f>
        <v>7930.79</v>
      </c>
      <c r="K17" s="2078">
        <v>112.3</v>
      </c>
      <c r="L17" s="2079">
        <v>12</v>
      </c>
      <c r="M17" s="2078">
        <f t="shared" ref="M17:M19" si="3">N17/L17*1000/1.2</f>
        <v>7934.03</v>
      </c>
      <c r="N17" s="2078">
        <v>114.25</v>
      </c>
      <c r="O17" s="2079">
        <v>12</v>
      </c>
      <c r="P17" s="2078">
        <f t="shared" ref="P17" si="4">Q17/O17*1000/1.2</f>
        <v>7937.5</v>
      </c>
      <c r="Q17" s="2080">
        <v>114.3</v>
      </c>
      <c r="R17" s="2081"/>
      <c r="S17" s="2079">
        <v>12</v>
      </c>
      <c r="T17" s="2078">
        <f t="shared" ref="T17" si="5">U17/S17*1000/1.2</f>
        <v>7937.5</v>
      </c>
      <c r="U17" s="2080">
        <v>114.3</v>
      </c>
      <c r="V17" s="2079">
        <v>12</v>
      </c>
      <c r="W17" s="2078">
        <f t="shared" ref="W17" si="6">X17/V17*1000/1.2</f>
        <v>7937.5</v>
      </c>
      <c r="X17" s="2080">
        <v>114.3</v>
      </c>
    </row>
    <row r="18" spans="1:24" s="2075" customFormat="1" x14ac:dyDescent="0.2">
      <c r="A18" s="2076"/>
      <c r="B18" s="2077" t="s">
        <v>2022</v>
      </c>
      <c r="C18" s="2067"/>
      <c r="D18" s="2078">
        <f t="shared" si="0"/>
        <v>0</v>
      </c>
      <c r="E18" s="2079">
        <v>12</v>
      </c>
      <c r="F18" s="2078"/>
      <c r="G18" s="2078">
        <f t="shared" si="1"/>
        <v>0</v>
      </c>
      <c r="H18" s="2078"/>
      <c r="I18" s="2079"/>
      <c r="J18" s="2078"/>
      <c r="K18" s="2078"/>
      <c r="L18" s="2079"/>
      <c r="M18" s="2078"/>
      <c r="N18" s="2078"/>
      <c r="O18" s="2079"/>
      <c r="P18" s="2078"/>
      <c r="Q18" s="2080"/>
      <c r="R18" s="2081"/>
      <c r="S18" s="2079"/>
      <c r="T18" s="2078"/>
      <c r="U18" s="2080"/>
      <c r="V18" s="2079"/>
      <c r="W18" s="2078"/>
      <c r="X18" s="2080"/>
    </row>
    <row r="19" spans="1:24" s="2075" customFormat="1" x14ac:dyDescent="0.2">
      <c r="A19" s="2076"/>
      <c r="B19" s="2077" t="s">
        <v>2023</v>
      </c>
      <c r="C19" s="2067"/>
      <c r="D19" s="2078">
        <f t="shared" si="0"/>
        <v>72</v>
      </c>
      <c r="E19" s="2079">
        <v>8</v>
      </c>
      <c r="F19" s="2078">
        <v>9000</v>
      </c>
      <c r="G19" s="2078">
        <f>E19*F19/1000</f>
        <v>72</v>
      </c>
      <c r="H19" s="2078">
        <v>41.9</v>
      </c>
      <c r="I19" s="2079">
        <v>12</v>
      </c>
      <c r="J19" s="2078">
        <f t="shared" ref="J19" si="7">K19/I19*1000/1.18</f>
        <v>2959.04</v>
      </c>
      <c r="K19" s="2078">
        <v>41.9</v>
      </c>
      <c r="L19" s="2079">
        <v>12</v>
      </c>
      <c r="M19" s="2078">
        <f t="shared" si="3"/>
        <v>1903.47</v>
      </c>
      <c r="N19" s="2078">
        <v>27.41</v>
      </c>
      <c r="O19" s="2079">
        <v>12</v>
      </c>
      <c r="P19" s="2078">
        <f t="shared" ref="P19" si="8">Q19/O19*1000/1.2</f>
        <v>1902.78</v>
      </c>
      <c r="Q19" s="2080">
        <v>27.4</v>
      </c>
      <c r="R19" s="2081"/>
      <c r="S19" s="2079">
        <v>12</v>
      </c>
      <c r="T19" s="2078">
        <f t="shared" ref="T19" si="9">U19/S19*1000/1.2</f>
        <v>1902.78</v>
      </c>
      <c r="U19" s="2080">
        <v>27.4</v>
      </c>
      <c r="V19" s="2079">
        <v>12</v>
      </c>
      <c r="W19" s="2078">
        <f t="shared" ref="W19" si="10">X19/V19*1000/1.2</f>
        <v>1902.78</v>
      </c>
      <c r="X19" s="2080">
        <v>27.4</v>
      </c>
    </row>
    <row r="20" spans="1:24" s="2075" customFormat="1" ht="25.5" x14ac:dyDescent="0.2">
      <c r="A20" s="2069">
        <v>2</v>
      </c>
      <c r="B20" s="2070" t="s">
        <v>306</v>
      </c>
      <c r="C20" s="2069" t="s">
        <v>305</v>
      </c>
      <c r="D20" s="2082">
        <f>SUM(D21:D23)</f>
        <v>0</v>
      </c>
      <c r="E20" s="2082"/>
      <c r="F20" s="2082"/>
      <c r="G20" s="2082">
        <f>SUM(G21:G23)</f>
        <v>0</v>
      </c>
      <c r="H20" s="2082">
        <f>SUM(H21:H23)</f>
        <v>0</v>
      </c>
      <c r="I20" s="2082"/>
      <c r="J20" s="2082"/>
      <c r="K20" s="2082">
        <f>SUM(K21:K23)</f>
        <v>0</v>
      </c>
      <c r="L20" s="2082"/>
      <c r="M20" s="2082"/>
      <c r="N20" s="2082">
        <f>SUM(N21:N23)</f>
        <v>309</v>
      </c>
      <c r="O20" s="2082"/>
      <c r="P20" s="2082"/>
      <c r="Q20" s="2072">
        <f>SUM(Q21:Q23)</f>
        <v>0</v>
      </c>
      <c r="R20" s="2082"/>
      <c r="S20" s="2082"/>
      <c r="T20" s="2082"/>
      <c r="U20" s="2082">
        <f>SUM(U21:U23)</f>
        <v>0</v>
      </c>
      <c r="V20" s="2082"/>
      <c r="W20" s="2082"/>
      <c r="X20" s="2082">
        <f>SUM(X21:X23)</f>
        <v>0</v>
      </c>
    </row>
    <row r="21" spans="1:24" s="2075" customFormat="1" x14ac:dyDescent="0.2">
      <c r="A21" s="2076"/>
      <c r="B21" s="2077" t="s">
        <v>2021</v>
      </c>
      <c r="C21" s="2067"/>
      <c r="D21" s="2083"/>
      <c r="E21" s="2084"/>
      <c r="F21" s="2085"/>
      <c r="G21" s="2083"/>
      <c r="H21" s="2083"/>
      <c r="I21" s="2084"/>
      <c r="J21" s="2085"/>
      <c r="K21" s="2083"/>
      <c r="L21" s="2079">
        <v>1</v>
      </c>
      <c r="M21" s="2085">
        <v>309000</v>
      </c>
      <c r="N21" s="2083">
        <v>309</v>
      </c>
      <c r="O21" s="2084"/>
      <c r="P21" s="2085"/>
      <c r="Q21" s="2080"/>
      <c r="R21" s="2081"/>
      <c r="S21" s="2084"/>
      <c r="T21" s="2085"/>
      <c r="U21" s="2083"/>
      <c r="V21" s="2084"/>
      <c r="W21" s="2085"/>
      <c r="X21" s="2083"/>
    </row>
    <row r="22" spans="1:24" s="2075" customFormat="1" x14ac:dyDescent="0.2">
      <c r="A22" s="2076"/>
      <c r="B22" s="2077" t="s">
        <v>2022</v>
      </c>
      <c r="C22" s="2067"/>
      <c r="D22" s="2083"/>
      <c r="E22" s="2084"/>
      <c r="F22" s="2085"/>
      <c r="G22" s="2083"/>
      <c r="H22" s="2083"/>
      <c r="I22" s="2084"/>
      <c r="J22" s="2085"/>
      <c r="K22" s="2083"/>
      <c r="L22" s="2084"/>
      <c r="M22" s="2085"/>
      <c r="N22" s="2083"/>
      <c r="O22" s="2084"/>
      <c r="P22" s="2085"/>
      <c r="Q22" s="2080"/>
      <c r="R22" s="2081"/>
      <c r="S22" s="2084"/>
      <c r="T22" s="2085"/>
      <c r="U22" s="2083"/>
      <c r="V22" s="2084"/>
      <c r="W22" s="2085"/>
      <c r="X22" s="2083"/>
    </row>
    <row r="23" spans="1:24" s="2075" customFormat="1" x14ac:dyDescent="0.2">
      <c r="A23" s="2076"/>
      <c r="B23" s="2077" t="s">
        <v>2023</v>
      </c>
      <c r="C23" s="2067"/>
      <c r="D23" s="2083"/>
      <c r="E23" s="2084"/>
      <c r="F23" s="2085"/>
      <c r="G23" s="2083"/>
      <c r="H23" s="2083"/>
      <c r="I23" s="2084"/>
      <c r="J23" s="2085"/>
      <c r="K23" s="2083"/>
      <c r="L23" s="2084"/>
      <c r="M23" s="2085"/>
      <c r="N23" s="2083"/>
      <c r="O23" s="2084"/>
      <c r="P23" s="2085"/>
      <c r="Q23" s="2080"/>
      <c r="R23" s="2081"/>
      <c r="S23" s="2084"/>
      <c r="T23" s="2085"/>
      <c r="U23" s="2083"/>
      <c r="V23" s="2084"/>
      <c r="W23" s="2085"/>
      <c r="X23" s="2083"/>
    </row>
    <row r="24" spans="1:24" s="2075" customFormat="1" x14ac:dyDescent="0.2">
      <c r="A24" s="2069">
        <v>3</v>
      </c>
      <c r="B24" s="2070" t="s">
        <v>307</v>
      </c>
      <c r="C24" s="2069" t="s">
        <v>227</v>
      </c>
      <c r="D24" s="2071">
        <f>SUM(D25:D27)</f>
        <v>2.38</v>
      </c>
      <c r="E24" s="2086"/>
      <c r="F24" s="2087"/>
      <c r="G24" s="2071">
        <f>SUM(G25:G27)</f>
        <v>2.38</v>
      </c>
      <c r="H24" s="2071">
        <f>SUM(H25:H27)</f>
        <v>0.92</v>
      </c>
      <c r="I24" s="2088"/>
      <c r="J24" s="2087"/>
      <c r="K24" s="2071">
        <f>SUM(K25:K27)</f>
        <v>0.92</v>
      </c>
      <c r="L24" s="2088"/>
      <c r="M24" s="2087"/>
      <c r="N24" s="2071">
        <f>SUM(N25:N27)</f>
        <v>0.8</v>
      </c>
      <c r="O24" s="2088"/>
      <c r="P24" s="2082"/>
      <c r="Q24" s="2072">
        <f>SUM(Q25:Q27)</f>
        <v>23.8</v>
      </c>
      <c r="R24" s="2073"/>
      <c r="S24" s="2089"/>
      <c r="T24" s="2082"/>
      <c r="U24" s="2071">
        <f>SUM(U25:U27)</f>
        <v>23.8</v>
      </c>
      <c r="V24" s="2088"/>
      <c r="W24" s="2082"/>
      <c r="X24" s="2071">
        <f>SUM(X25:X27)</f>
        <v>23.8</v>
      </c>
    </row>
    <row r="25" spans="1:24" s="2075" customFormat="1" x14ac:dyDescent="0.2">
      <c r="A25" s="2076"/>
      <c r="B25" s="2077" t="s">
        <v>2021</v>
      </c>
      <c r="C25" s="2076"/>
      <c r="D25" s="2078">
        <v>2.38</v>
      </c>
      <c r="E25" s="2079">
        <v>3</v>
      </c>
      <c r="F25" s="2078">
        <f t="shared" ref="F25" si="11">G25/E25/1.2*1000</f>
        <v>661.11</v>
      </c>
      <c r="G25" s="2078">
        <v>2.38</v>
      </c>
      <c r="H25" s="2078"/>
      <c r="I25" s="2079"/>
      <c r="J25" s="2078"/>
      <c r="K25" s="2078"/>
      <c r="L25" s="2067"/>
      <c r="M25" s="2078"/>
      <c r="N25" s="2067"/>
      <c r="O25" s="2079">
        <v>14</v>
      </c>
      <c r="P25" s="2078">
        <f t="shared" ref="P25" si="12">Q25/O25/1.2*1000</f>
        <v>1416.67</v>
      </c>
      <c r="Q25" s="2080">
        <v>23.8</v>
      </c>
      <c r="R25" s="2081"/>
      <c r="S25" s="2079"/>
      <c r="T25" s="2078"/>
      <c r="U25" s="2078"/>
      <c r="V25" s="2079"/>
      <c r="W25" s="2078"/>
      <c r="X25" s="2078"/>
    </row>
    <row r="26" spans="1:24" s="2075" customFormat="1" x14ac:dyDescent="0.2">
      <c r="A26" s="2076"/>
      <c r="B26" s="2077" t="s">
        <v>2022</v>
      </c>
      <c r="C26" s="2076"/>
      <c r="D26" s="2078"/>
      <c r="E26" s="2079"/>
      <c r="F26" s="2078"/>
      <c r="G26" s="2078"/>
      <c r="H26" s="2078"/>
      <c r="I26" s="2079"/>
      <c r="J26" s="2078"/>
      <c r="K26" s="2078"/>
      <c r="L26" s="2067"/>
      <c r="M26" s="2078"/>
      <c r="N26" s="2067"/>
      <c r="O26" s="2079"/>
      <c r="P26" s="2078"/>
      <c r="Q26" s="2080"/>
      <c r="R26" s="2081"/>
      <c r="S26" s="2079">
        <v>14</v>
      </c>
      <c r="T26" s="2078">
        <f t="shared" ref="T26" si="13">U26/S26/1.2*1000</f>
        <v>1416.67</v>
      </c>
      <c r="U26" s="2080">
        <v>23.8</v>
      </c>
      <c r="V26" s="2079"/>
      <c r="W26" s="2078"/>
      <c r="X26" s="2078"/>
    </row>
    <row r="27" spans="1:24" s="2075" customFormat="1" x14ac:dyDescent="0.2">
      <c r="A27" s="2076"/>
      <c r="B27" s="2077" t="s">
        <v>2023</v>
      </c>
      <c r="C27" s="2076"/>
      <c r="D27" s="2078"/>
      <c r="E27" s="2079"/>
      <c r="F27" s="2078"/>
      <c r="G27" s="2078"/>
      <c r="H27" s="2078">
        <f t="shared" ref="H27" si="14">K27</f>
        <v>0.92</v>
      </c>
      <c r="I27" s="2079">
        <v>1</v>
      </c>
      <c r="J27" s="2078">
        <f t="shared" ref="J27" si="15">K27/I27*1000/1.18</f>
        <v>779.66</v>
      </c>
      <c r="K27" s="2078">
        <v>0.92</v>
      </c>
      <c r="L27" s="2067">
        <v>1</v>
      </c>
      <c r="M27" s="2078">
        <f t="shared" ref="M27" si="16">N27/L27/1.2*1000</f>
        <v>666.67</v>
      </c>
      <c r="N27" s="2067">
        <v>0.8</v>
      </c>
      <c r="O27" s="2079"/>
      <c r="P27" s="2078"/>
      <c r="Q27" s="2080"/>
      <c r="R27" s="2081"/>
      <c r="S27" s="2079"/>
      <c r="T27" s="2078"/>
      <c r="U27" s="2078"/>
      <c r="V27" s="2079">
        <v>14</v>
      </c>
      <c r="W27" s="2078">
        <f t="shared" ref="W27" si="17">X27/V27/1.2*1000</f>
        <v>1416.67</v>
      </c>
      <c r="X27" s="2080">
        <v>23.8</v>
      </c>
    </row>
    <row r="28" spans="1:24" s="2075" customFormat="1" x14ac:dyDescent="0.2">
      <c r="A28" s="2069">
        <v>3</v>
      </c>
      <c r="B28" s="2070" t="s">
        <v>308</v>
      </c>
      <c r="C28" s="2069" t="s">
        <v>227</v>
      </c>
      <c r="D28" s="2071">
        <f>SUM(D29:D31)</f>
        <v>0</v>
      </c>
      <c r="E28" s="2071">
        <f>SUM(E29:E31)</f>
        <v>0</v>
      </c>
      <c r="F28" s="2086"/>
      <c r="G28" s="2071">
        <f>SUM(G29:G31)</f>
        <v>0</v>
      </c>
      <c r="H28" s="2071">
        <f>SUM(H29:H31)</f>
        <v>0</v>
      </c>
      <c r="I28" s="2071">
        <f>SUM(I29:I31)</f>
        <v>0</v>
      </c>
      <c r="J28" s="2082"/>
      <c r="K28" s="2071">
        <f>SUM(K29:K31)</f>
        <v>0</v>
      </c>
      <c r="L28" s="2071">
        <f>SUM(L29:L31)</f>
        <v>2</v>
      </c>
      <c r="M28" s="2082"/>
      <c r="N28" s="2071">
        <f>SUM(N29:N31)</f>
        <v>331.92</v>
      </c>
      <c r="O28" s="2071">
        <f>SUM(O29:O31)</f>
        <v>0</v>
      </c>
      <c r="P28" s="2086"/>
      <c r="Q28" s="2072">
        <f>SUM(Q29:Q31)</f>
        <v>0</v>
      </c>
      <c r="R28" s="2073"/>
      <c r="S28" s="2071">
        <f>SUM(S29:S31)</f>
        <v>0</v>
      </c>
      <c r="T28" s="2086"/>
      <c r="U28" s="2071">
        <f>SUM(U29:U31)</f>
        <v>0</v>
      </c>
      <c r="V28" s="2071">
        <f>SUM(V29:V31)</f>
        <v>0</v>
      </c>
      <c r="W28" s="2086"/>
      <c r="X28" s="2071">
        <f>SUM(X29:X31)</f>
        <v>0</v>
      </c>
    </row>
    <row r="29" spans="1:24" x14ac:dyDescent="0.2">
      <c r="A29" s="2067"/>
      <c r="B29" s="2077" t="s">
        <v>2021</v>
      </c>
      <c r="C29" s="2067"/>
      <c r="D29" s="2078"/>
      <c r="E29" s="2068"/>
      <c r="F29" s="2068"/>
      <c r="G29" s="2090"/>
      <c r="H29" s="2078"/>
      <c r="I29" s="2091"/>
      <c r="J29" s="2078"/>
      <c r="K29" s="2078"/>
      <c r="L29" s="2079">
        <v>1</v>
      </c>
      <c r="M29" s="2078">
        <f>N29/L29*1000/1.18</f>
        <v>214838.98</v>
      </c>
      <c r="N29" s="2078">
        <v>253.51</v>
      </c>
      <c r="O29" s="2079"/>
      <c r="P29" s="2078"/>
      <c r="Q29" s="2080"/>
      <c r="R29" s="2081"/>
      <c r="S29" s="2079"/>
      <c r="T29" s="2078"/>
      <c r="U29" s="2078"/>
      <c r="V29" s="2079"/>
      <c r="W29" s="2078"/>
      <c r="X29" s="2078"/>
    </row>
    <row r="30" spans="1:24" x14ac:dyDescent="0.2">
      <c r="A30" s="2067"/>
      <c r="B30" s="2077" t="s">
        <v>2022</v>
      </c>
      <c r="C30" s="2067"/>
      <c r="D30" s="2078"/>
      <c r="E30" s="2068"/>
      <c r="F30" s="2068"/>
      <c r="G30" s="2090"/>
      <c r="H30" s="2078"/>
      <c r="I30" s="2091"/>
      <c r="J30" s="2078"/>
      <c r="K30" s="2078"/>
      <c r="L30" s="2079"/>
      <c r="M30" s="2078"/>
      <c r="N30" s="2078"/>
      <c r="O30" s="2079"/>
      <c r="P30" s="2078"/>
      <c r="Q30" s="2080"/>
      <c r="R30" s="2081"/>
      <c r="S30" s="2079"/>
      <c r="T30" s="2078"/>
      <c r="U30" s="2078"/>
      <c r="V30" s="2079"/>
      <c r="W30" s="2078"/>
      <c r="X30" s="2078"/>
    </row>
    <row r="31" spans="1:24" x14ac:dyDescent="0.2">
      <c r="A31" s="2067"/>
      <c r="B31" s="2077" t="s">
        <v>2023</v>
      </c>
      <c r="C31" s="2067"/>
      <c r="D31" s="2078"/>
      <c r="E31" s="2068"/>
      <c r="F31" s="2068"/>
      <c r="G31" s="2090"/>
      <c r="H31" s="2078"/>
      <c r="I31" s="2091"/>
      <c r="J31" s="2078"/>
      <c r="K31" s="2078"/>
      <c r="L31" s="2079">
        <v>1</v>
      </c>
      <c r="M31" s="2078">
        <f>N31/L31*1000/1.18</f>
        <v>66449.149999999994</v>
      </c>
      <c r="N31" s="2078">
        <v>78.41</v>
      </c>
      <c r="O31" s="2079"/>
      <c r="P31" s="2078"/>
      <c r="Q31" s="2080"/>
      <c r="R31" s="2081"/>
      <c r="S31" s="2079"/>
      <c r="T31" s="2078"/>
      <c r="U31" s="2078"/>
      <c r="V31" s="2079"/>
      <c r="W31" s="2078"/>
      <c r="X31" s="2078"/>
    </row>
    <row r="32" spans="1:24" s="2075" customFormat="1" x14ac:dyDescent="0.2">
      <c r="A32" s="2069">
        <v>4</v>
      </c>
      <c r="B32" s="2070" t="s">
        <v>309</v>
      </c>
      <c r="C32" s="2069" t="s">
        <v>310</v>
      </c>
      <c r="D32" s="2071">
        <f>SUM(D33:D35)</f>
        <v>0</v>
      </c>
      <c r="E32" s="2088"/>
      <c r="F32" s="2086"/>
      <c r="G32" s="2071">
        <f>SUM(G33:G35)</f>
        <v>0</v>
      </c>
      <c r="H32" s="2071">
        <f>SUM(H33:H35)</f>
        <v>175</v>
      </c>
      <c r="I32" s="2088"/>
      <c r="J32" s="2082"/>
      <c r="K32" s="2071">
        <f>SUM(K33:K35)</f>
        <v>175</v>
      </c>
      <c r="L32" s="2088"/>
      <c r="M32" s="2082"/>
      <c r="N32" s="2071">
        <f>SUM(N33:N35)</f>
        <v>180.45</v>
      </c>
      <c r="O32" s="2088"/>
      <c r="P32" s="2086"/>
      <c r="Q32" s="2072">
        <f>SUM(Q33:Q35)</f>
        <v>0</v>
      </c>
      <c r="R32" s="2073"/>
      <c r="S32" s="2089"/>
      <c r="T32" s="2086"/>
      <c r="U32" s="2071">
        <f>SUM(U33:U35)</f>
        <v>0</v>
      </c>
      <c r="V32" s="2088"/>
      <c r="W32" s="2086"/>
      <c r="X32" s="2071">
        <f>SUM(X33:X35)</f>
        <v>0</v>
      </c>
    </row>
    <row r="33" spans="1:24" s="2075" customFormat="1" x14ac:dyDescent="0.2">
      <c r="A33" s="2076"/>
      <c r="B33" s="2077" t="s">
        <v>2021</v>
      </c>
      <c r="C33" s="2076"/>
      <c r="D33" s="2078"/>
      <c r="E33" s="2079"/>
      <c r="F33" s="2078"/>
      <c r="G33" s="2092"/>
      <c r="H33" s="2078">
        <f t="shared" ref="H33" si="18">K33</f>
        <v>175</v>
      </c>
      <c r="I33" s="2079">
        <v>1</v>
      </c>
      <c r="J33" s="2078">
        <f>K33/I33/1.18*1000</f>
        <v>148305.07999999999</v>
      </c>
      <c r="K33" s="2078">
        <v>175</v>
      </c>
      <c r="L33" s="2079">
        <v>1</v>
      </c>
      <c r="M33" s="2078">
        <v>180450</v>
      </c>
      <c r="N33" s="2078">
        <v>180.45</v>
      </c>
      <c r="O33" s="2076"/>
      <c r="P33" s="2076"/>
      <c r="Q33" s="2093"/>
      <c r="R33" s="2081"/>
      <c r="S33" s="2079"/>
      <c r="T33" s="2078"/>
      <c r="U33" s="2078"/>
      <c r="V33" s="2079"/>
      <c r="W33" s="2078"/>
      <c r="X33" s="2078"/>
    </row>
    <row r="34" spans="1:24" s="2075" customFormat="1" x14ac:dyDescent="0.2">
      <c r="A34" s="2076"/>
      <c r="B34" s="2077" t="s">
        <v>2022</v>
      </c>
      <c r="C34" s="2076"/>
      <c r="D34" s="2078"/>
      <c r="E34" s="2079"/>
      <c r="F34" s="2092"/>
      <c r="G34" s="2078"/>
      <c r="H34" s="2078"/>
      <c r="I34" s="2079"/>
      <c r="J34" s="2078"/>
      <c r="K34" s="2078"/>
      <c r="L34" s="2094"/>
      <c r="M34" s="2085"/>
      <c r="N34" s="2095"/>
      <c r="O34" s="2079"/>
      <c r="P34" s="2078"/>
      <c r="Q34" s="2080"/>
      <c r="R34" s="2081"/>
      <c r="S34" s="2079"/>
      <c r="T34" s="2078"/>
      <c r="U34" s="2078"/>
      <c r="V34" s="2079"/>
      <c r="W34" s="2078"/>
      <c r="X34" s="2078"/>
    </row>
    <row r="35" spans="1:24" s="2075" customFormat="1" x14ac:dyDescent="0.2">
      <c r="A35" s="2076"/>
      <c r="B35" s="2077" t="s">
        <v>2023</v>
      </c>
      <c r="C35" s="2076"/>
      <c r="D35" s="2078"/>
      <c r="E35" s="2079"/>
      <c r="F35" s="2092"/>
      <c r="G35" s="2078"/>
      <c r="H35" s="2078"/>
      <c r="I35" s="2079"/>
      <c r="J35" s="2078"/>
      <c r="K35" s="2078"/>
      <c r="L35" s="2094"/>
      <c r="M35" s="2085"/>
      <c r="N35" s="2095"/>
      <c r="O35" s="2079"/>
      <c r="P35" s="2078"/>
      <c r="Q35" s="2080"/>
      <c r="R35" s="2081"/>
      <c r="S35" s="2079"/>
      <c r="T35" s="2078"/>
      <c r="U35" s="2078"/>
      <c r="V35" s="2079"/>
      <c r="W35" s="2078"/>
      <c r="X35" s="2078"/>
    </row>
    <row r="36" spans="1:24" s="2075" customFormat="1" x14ac:dyDescent="0.2">
      <c r="A36" s="2069">
        <v>5</v>
      </c>
      <c r="B36" s="2070" t="s">
        <v>311</v>
      </c>
      <c r="C36" s="2069" t="s">
        <v>227</v>
      </c>
      <c r="D36" s="2071">
        <f>SUM(D37:D39)</f>
        <v>0</v>
      </c>
      <c r="E36" s="2071">
        <f>SUM(E37:E39)</f>
        <v>0</v>
      </c>
      <c r="F36" s="2086"/>
      <c r="G36" s="2071">
        <f>SUM(G37:G39)</f>
        <v>0</v>
      </c>
      <c r="H36" s="2071">
        <f>SUM(H37:H39)</f>
        <v>0</v>
      </c>
      <c r="I36" s="2071">
        <f>SUM(I37:I39)</f>
        <v>0</v>
      </c>
      <c r="J36" s="2082"/>
      <c r="K36" s="2071">
        <f>SUM(K37:K39)</f>
        <v>0</v>
      </c>
      <c r="L36" s="2071">
        <f>SUM(L37:L39)</f>
        <v>14</v>
      </c>
      <c r="M36" s="2082"/>
      <c r="N36" s="2071">
        <f>SUM(N37:N39)</f>
        <v>2.12</v>
      </c>
      <c r="O36" s="2071">
        <f>SUM(O37:O39)</f>
        <v>14</v>
      </c>
      <c r="P36" s="2086"/>
      <c r="Q36" s="2072">
        <f>SUM(Q37:Q39)</f>
        <v>2.1</v>
      </c>
      <c r="R36" s="2096"/>
      <c r="S36" s="2071">
        <f>SUM(S37:S39)</f>
        <v>14</v>
      </c>
      <c r="T36" s="2086"/>
      <c r="U36" s="2071">
        <f>SUM(U37:U39)</f>
        <v>2.1</v>
      </c>
      <c r="V36" s="2071">
        <f>SUM(V37:V39)</f>
        <v>14</v>
      </c>
      <c r="W36" s="2086"/>
      <c r="X36" s="2071">
        <f>SUM(X37:X39)</f>
        <v>2.1</v>
      </c>
    </row>
    <row r="37" spans="1:24" s="2075" customFormat="1" x14ac:dyDescent="0.2">
      <c r="A37" s="2076"/>
      <c r="B37" s="2077" t="s">
        <v>2021</v>
      </c>
      <c r="C37" s="2076"/>
      <c r="D37" s="2078"/>
      <c r="E37" s="2079"/>
      <c r="F37" s="2078"/>
      <c r="G37" s="2078"/>
      <c r="H37" s="2078"/>
      <c r="I37" s="2079"/>
      <c r="J37" s="2078"/>
      <c r="K37" s="2078"/>
      <c r="L37" s="2079">
        <v>14</v>
      </c>
      <c r="M37" s="2078">
        <v>126.35</v>
      </c>
      <c r="N37" s="2078">
        <f t="shared" ref="N37" si="19">L37*M37*1.2/1000</f>
        <v>2.12</v>
      </c>
      <c r="O37" s="2079">
        <v>14</v>
      </c>
      <c r="P37" s="2078">
        <v>126.35</v>
      </c>
      <c r="Q37" s="2080">
        <v>2.1</v>
      </c>
      <c r="R37" s="2081"/>
      <c r="S37" s="2079"/>
      <c r="T37" s="2078"/>
      <c r="U37" s="2078"/>
      <c r="V37" s="2079"/>
      <c r="W37" s="2078"/>
      <c r="X37" s="2078"/>
    </row>
    <row r="38" spans="1:24" s="2075" customFormat="1" x14ac:dyDescent="0.2">
      <c r="A38" s="2076"/>
      <c r="B38" s="2077" t="s">
        <v>2022</v>
      </c>
      <c r="C38" s="2076"/>
      <c r="D38" s="2078"/>
      <c r="E38" s="2079"/>
      <c r="F38" s="2078"/>
      <c r="G38" s="2078"/>
      <c r="H38" s="2078"/>
      <c r="I38" s="2079"/>
      <c r="J38" s="2078"/>
      <c r="K38" s="2078"/>
      <c r="L38" s="2079"/>
      <c r="M38" s="2078">
        <v>126.35</v>
      </c>
      <c r="N38" s="2078"/>
      <c r="O38" s="2079"/>
      <c r="P38" s="2078"/>
      <c r="Q38" s="2080"/>
      <c r="R38" s="2081"/>
      <c r="S38" s="2079">
        <v>14</v>
      </c>
      <c r="T38" s="2078">
        <v>126.35</v>
      </c>
      <c r="U38" s="2080">
        <v>2.1</v>
      </c>
      <c r="V38" s="2079"/>
      <c r="W38" s="2078"/>
      <c r="X38" s="2078"/>
    </row>
    <row r="39" spans="1:24" s="2075" customFormat="1" x14ac:dyDescent="0.2">
      <c r="A39" s="2076"/>
      <c r="B39" s="2077" t="s">
        <v>2023</v>
      </c>
      <c r="C39" s="2076"/>
      <c r="D39" s="2078"/>
      <c r="E39" s="2079"/>
      <c r="F39" s="2078"/>
      <c r="G39" s="2078"/>
      <c r="H39" s="2078"/>
      <c r="I39" s="2079"/>
      <c r="J39" s="2078"/>
      <c r="K39" s="2078"/>
      <c r="L39" s="2079"/>
      <c r="M39" s="2078">
        <v>126.35</v>
      </c>
      <c r="N39" s="2078"/>
      <c r="O39" s="2079"/>
      <c r="P39" s="2078"/>
      <c r="Q39" s="2080"/>
      <c r="R39" s="2081"/>
      <c r="S39" s="2079"/>
      <c r="T39" s="2078"/>
      <c r="U39" s="2078"/>
      <c r="V39" s="2079">
        <v>14</v>
      </c>
      <c r="W39" s="2078">
        <v>126.35</v>
      </c>
      <c r="X39" s="2080">
        <v>2.1</v>
      </c>
    </row>
    <row r="40" spans="1:24" s="2099" customFormat="1" x14ac:dyDescent="0.2">
      <c r="A40" s="2070">
        <v>6</v>
      </c>
      <c r="B40" s="2070"/>
      <c r="C40" s="2070"/>
      <c r="D40" s="2097"/>
      <c r="E40" s="2098"/>
      <c r="F40" s="2097"/>
      <c r="G40" s="2097"/>
      <c r="H40" s="2098"/>
      <c r="I40" s="2098"/>
      <c r="J40" s="2098"/>
      <c r="K40" s="2097"/>
      <c r="L40" s="2098"/>
      <c r="M40" s="2098"/>
      <c r="N40" s="2097"/>
      <c r="O40" s="2098"/>
      <c r="P40" s="2098"/>
      <c r="Q40" s="2072"/>
      <c r="R40" s="2073"/>
      <c r="S40" s="2098"/>
      <c r="T40" s="2098"/>
      <c r="U40" s="2097"/>
      <c r="V40" s="2098"/>
      <c r="W40" s="2098"/>
      <c r="X40" s="2097"/>
    </row>
    <row r="41" spans="1:24" s="2075" customFormat="1" x14ac:dyDescent="0.2">
      <c r="A41" s="2076"/>
      <c r="B41" s="2077"/>
      <c r="C41" s="2067"/>
      <c r="D41" s="2078"/>
      <c r="E41" s="2091"/>
      <c r="F41" s="2078"/>
      <c r="G41" s="2078"/>
      <c r="H41" s="2078"/>
      <c r="I41" s="2079"/>
      <c r="J41" s="2078"/>
      <c r="K41" s="2078"/>
      <c r="L41" s="2079"/>
      <c r="M41" s="2078"/>
      <c r="N41" s="2078"/>
      <c r="O41" s="2079"/>
      <c r="P41" s="2078"/>
      <c r="Q41" s="2080"/>
      <c r="R41" s="2081"/>
      <c r="S41" s="2079"/>
      <c r="T41" s="2078"/>
      <c r="U41" s="2078"/>
      <c r="V41" s="2079"/>
      <c r="W41" s="2078"/>
      <c r="X41" s="2078"/>
    </row>
    <row r="42" spans="1:24" s="2075" customFormat="1" x14ac:dyDescent="0.2">
      <c r="A42" s="2076"/>
      <c r="B42" s="2077"/>
      <c r="C42" s="2067"/>
      <c r="D42" s="2078"/>
      <c r="E42" s="2091"/>
      <c r="F42" s="2078"/>
      <c r="G42" s="2078"/>
      <c r="H42" s="2078"/>
      <c r="I42" s="2079"/>
      <c r="J42" s="2078"/>
      <c r="K42" s="2078"/>
      <c r="L42" s="2079"/>
      <c r="M42" s="2078"/>
      <c r="N42" s="2078"/>
      <c r="O42" s="2079"/>
      <c r="P42" s="2078"/>
      <c r="Q42" s="2080"/>
      <c r="R42" s="2081"/>
      <c r="S42" s="2079"/>
      <c r="T42" s="2078"/>
      <c r="U42" s="2078"/>
      <c r="V42" s="2079"/>
      <c r="W42" s="2078"/>
      <c r="X42" s="2078"/>
    </row>
    <row r="43" spans="1:24" s="2075" customFormat="1" x14ac:dyDescent="0.2">
      <c r="A43" s="2100"/>
      <c r="B43" s="2101" t="s">
        <v>312</v>
      </c>
      <c r="C43" s="2100"/>
      <c r="D43" s="2102">
        <f>D16+D24+D28+D32+D36+D40</f>
        <v>186.73</v>
      </c>
      <c r="E43" s="2103"/>
      <c r="F43" s="2102"/>
      <c r="G43" s="2102">
        <f>G16+G24+G28+G32+G36+G40</f>
        <v>186.73</v>
      </c>
      <c r="H43" s="2104">
        <f>H16+I24+H28+H32+H36+H40</f>
        <v>329.2</v>
      </c>
      <c r="I43" s="2105"/>
      <c r="J43" s="2105"/>
      <c r="K43" s="2104">
        <f>K16+K24+K28+K32+K36+K40</f>
        <v>330.1</v>
      </c>
      <c r="L43" s="2102"/>
      <c r="M43" s="2102"/>
      <c r="N43" s="2104">
        <f>N16+N24+N28+N32+N36+N40</f>
        <v>657</v>
      </c>
      <c r="O43" s="2102"/>
      <c r="P43" s="2102"/>
      <c r="Q43" s="2106">
        <f>Q16+Q24+Q28+Q32+Q36+Q40</f>
        <v>167.6</v>
      </c>
      <c r="R43" s="2107"/>
      <c r="S43" s="2108"/>
      <c r="T43" s="2102"/>
      <c r="U43" s="2104">
        <f>U16+U24+U28+U32+U36+U40</f>
        <v>167.6</v>
      </c>
      <c r="V43" s="2102"/>
      <c r="W43" s="2102"/>
      <c r="X43" s="2104">
        <f>X16+X24+X28+X32+X36+X40</f>
        <v>167.6</v>
      </c>
    </row>
    <row r="44" spans="1:24" x14ac:dyDescent="0.2">
      <c r="A44" s="2067"/>
      <c r="B44" s="2109" t="s">
        <v>453</v>
      </c>
      <c r="C44" s="2067"/>
      <c r="D44" s="2083"/>
      <c r="E44" s="2068"/>
      <c r="F44" s="2068"/>
      <c r="G44" s="2083"/>
      <c r="H44" s="2083"/>
      <c r="I44" s="2068"/>
      <c r="J44" s="2068"/>
      <c r="K44" s="2083"/>
      <c r="L44" s="2078"/>
      <c r="M44" s="2078"/>
      <c r="N44" s="2083"/>
      <c r="O44" s="2078"/>
      <c r="P44" s="2078"/>
      <c r="Q44" s="2080"/>
      <c r="R44" s="2081"/>
      <c r="S44" s="2092"/>
      <c r="T44" s="2078"/>
      <c r="U44" s="2083"/>
      <c r="V44" s="2078"/>
      <c r="W44" s="2078"/>
      <c r="X44" s="2083"/>
    </row>
    <row r="45" spans="1:24" x14ac:dyDescent="0.2">
      <c r="A45" s="2067"/>
      <c r="B45" s="2109" t="s">
        <v>455</v>
      </c>
      <c r="C45" s="2067"/>
      <c r="D45" s="2083"/>
      <c r="E45" s="2068"/>
      <c r="F45" s="2068"/>
      <c r="G45" s="2083"/>
      <c r="H45" s="2083"/>
      <c r="I45" s="2068"/>
      <c r="J45" s="2068"/>
      <c r="K45" s="2083"/>
      <c r="L45" s="2078"/>
      <c r="M45" s="2078"/>
      <c r="N45" s="2083"/>
      <c r="O45" s="2078"/>
      <c r="P45" s="2078"/>
      <c r="Q45" s="2080"/>
      <c r="R45" s="2081"/>
      <c r="S45" s="2092"/>
      <c r="T45" s="2078"/>
      <c r="U45" s="2083"/>
      <c r="V45" s="2078"/>
      <c r="W45" s="2078"/>
      <c r="X45" s="2083"/>
    </row>
    <row r="46" spans="1:24" s="2075" customFormat="1" x14ac:dyDescent="0.2">
      <c r="A46" s="2076"/>
      <c r="B46" s="2110" t="s">
        <v>813</v>
      </c>
      <c r="C46" s="2076"/>
      <c r="D46" s="2111">
        <f>D43</f>
        <v>186.7</v>
      </c>
      <c r="E46" s="2112"/>
      <c r="F46" s="2112"/>
      <c r="G46" s="2111">
        <f>G43</f>
        <v>186.7</v>
      </c>
      <c r="H46" s="2111">
        <f>H43</f>
        <v>329.2</v>
      </c>
      <c r="I46" s="2112"/>
      <c r="J46" s="2112"/>
      <c r="K46" s="2111">
        <f>K43</f>
        <v>330.1</v>
      </c>
      <c r="L46" s="2113"/>
      <c r="M46" s="2113"/>
      <c r="N46" s="2111">
        <f>N43</f>
        <v>657</v>
      </c>
      <c r="O46" s="2113"/>
      <c r="P46" s="2113"/>
      <c r="Q46" s="2114">
        <f>Q43</f>
        <v>167.6</v>
      </c>
      <c r="R46" s="2081"/>
      <c r="S46" s="2115"/>
      <c r="T46" s="2113"/>
      <c r="U46" s="2111">
        <f>U43</f>
        <v>167.6</v>
      </c>
      <c r="V46" s="2113"/>
      <c r="W46" s="2113"/>
      <c r="X46" s="2111">
        <f>X43</f>
        <v>167.6</v>
      </c>
    </row>
    <row r="47" spans="1:24" s="2075" customFormat="1" x14ac:dyDescent="0.2">
      <c r="A47" s="2116"/>
      <c r="B47" s="2117"/>
      <c r="C47" s="2118"/>
      <c r="D47" s="2119"/>
      <c r="E47" s="2118"/>
      <c r="F47" s="2118"/>
      <c r="G47" s="2120"/>
      <c r="H47" s="2119"/>
      <c r="I47" s="2120"/>
      <c r="J47" s="2118"/>
      <c r="K47" s="2119"/>
      <c r="L47" s="2120"/>
      <c r="M47" s="2120"/>
      <c r="N47" s="2119"/>
      <c r="O47" s="2120"/>
      <c r="P47" s="2120"/>
      <c r="Q47" s="2121"/>
      <c r="R47" s="2122"/>
      <c r="S47" s="2120"/>
      <c r="T47" s="2120"/>
      <c r="U47" s="2121"/>
      <c r="V47" s="2120"/>
      <c r="W47" s="2120"/>
      <c r="X47" s="2121"/>
    </row>
    <row r="48" spans="1:24" s="2075" customFormat="1" x14ac:dyDescent="0.2">
      <c r="A48" s="2116"/>
      <c r="B48" s="2123"/>
      <c r="C48" s="2118"/>
      <c r="D48" s="2119"/>
      <c r="E48" s="2118"/>
      <c r="F48" s="2118"/>
      <c r="G48" s="2120"/>
      <c r="H48" s="2119"/>
      <c r="I48" s="2120"/>
      <c r="J48" s="2118"/>
      <c r="K48" s="2119"/>
      <c r="L48" s="2120"/>
      <c r="M48" s="2120"/>
      <c r="N48" s="2119"/>
      <c r="O48" s="2120"/>
      <c r="P48" s="2120"/>
      <c r="Q48" s="2124"/>
      <c r="R48" s="2122"/>
      <c r="S48" s="2120"/>
      <c r="T48" s="2120"/>
      <c r="U48" s="2124"/>
      <c r="V48" s="2120"/>
      <c r="W48" s="2120"/>
      <c r="X48" s="2124"/>
    </row>
    <row r="49" spans="1:24" s="2075" customFormat="1" x14ac:dyDescent="0.2">
      <c r="A49" s="2116"/>
      <c r="B49" s="2123"/>
      <c r="C49" s="2118"/>
      <c r="D49" s="2119"/>
      <c r="E49" s="2118"/>
      <c r="F49" s="2118"/>
      <c r="G49" s="2120"/>
      <c r="H49" s="2119"/>
      <c r="I49" s="2120"/>
      <c r="J49" s="2118"/>
      <c r="K49" s="2119"/>
      <c r="L49" s="2120"/>
      <c r="M49" s="2120"/>
      <c r="N49" s="2119"/>
      <c r="O49" s="2120"/>
      <c r="P49" s="2120"/>
      <c r="Q49" s="2124"/>
      <c r="R49" s="2122"/>
      <c r="S49" s="2120"/>
      <c r="T49" s="2120"/>
      <c r="U49" s="2124"/>
      <c r="V49" s="2120"/>
      <c r="W49" s="2120"/>
      <c r="X49" s="2124"/>
    </row>
    <row r="50" spans="1:24" ht="15.75" x14ac:dyDescent="0.2">
      <c r="B50" s="2125"/>
      <c r="C50" s="2125"/>
      <c r="D50" s="2125"/>
      <c r="E50" s="2125"/>
      <c r="F50" s="2125"/>
      <c r="G50" s="2125"/>
      <c r="H50" s="2125"/>
      <c r="I50" s="2125"/>
      <c r="J50" s="2125"/>
      <c r="K50" s="2065"/>
      <c r="Q50" s="2126"/>
    </row>
    <row r="51" spans="1:24" x14ac:dyDescent="0.2">
      <c r="B51" s="2127"/>
      <c r="F51" s="2063"/>
      <c r="G51" s="2063"/>
      <c r="P51" s="2062"/>
      <c r="Q51" s="2128" t="s">
        <v>1259</v>
      </c>
      <c r="T51" s="2062"/>
      <c r="U51" s="2128" t="s">
        <v>1259</v>
      </c>
      <c r="V51" s="2062"/>
      <c r="W51" s="2062"/>
      <c r="X51" s="2128" t="s">
        <v>1259</v>
      </c>
    </row>
    <row r="52" spans="1:24" x14ac:dyDescent="0.2">
      <c r="B52" s="2129"/>
      <c r="P52" s="2062"/>
      <c r="Q52" s="2130">
        <v>167.6</v>
      </c>
      <c r="T52" s="2062"/>
      <c r="U52" s="2131">
        <v>167.6</v>
      </c>
      <c r="V52" s="2062"/>
      <c r="W52" s="2062"/>
      <c r="X52" s="2131">
        <v>167.6</v>
      </c>
    </row>
    <row r="53" spans="1:24" s="2132" customFormat="1" x14ac:dyDescent="0.2">
      <c r="B53" s="2133"/>
      <c r="C53" s="2133"/>
      <c r="D53" s="2133"/>
      <c r="F53" s="2133"/>
      <c r="G53" s="2133"/>
      <c r="P53" s="2133" t="s">
        <v>183</v>
      </c>
      <c r="Q53" s="2134">
        <f>Q52-Q46</f>
        <v>0</v>
      </c>
      <c r="R53" s="2126"/>
      <c r="S53" s="2126"/>
      <c r="T53" s="2126"/>
      <c r="U53" s="2126">
        <f t="shared" ref="U53:X53" si="20">U52-U46</f>
        <v>0</v>
      </c>
      <c r="V53" s="2126"/>
      <c r="W53" s="2126"/>
      <c r="X53" s="2126">
        <f t="shared" si="20"/>
        <v>0</v>
      </c>
    </row>
  </sheetData>
  <mergeCells count="40">
    <mergeCell ref="O11:S11"/>
    <mergeCell ref="T6:X6"/>
    <mergeCell ref="T1:X1"/>
    <mergeCell ref="T2:X2"/>
    <mergeCell ref="T3:X3"/>
    <mergeCell ref="T4:X4"/>
    <mergeCell ref="T5:X5"/>
    <mergeCell ref="T7:X7"/>
    <mergeCell ref="A9:X9"/>
    <mergeCell ref="A10:X10"/>
    <mergeCell ref="V13:V14"/>
    <mergeCell ref="A12:A14"/>
    <mergeCell ref="B12:B14"/>
    <mergeCell ref="C12:C14"/>
    <mergeCell ref="D12:G12"/>
    <mergeCell ref="H12:K12"/>
    <mergeCell ref="D13:D14"/>
    <mergeCell ref="E13:E14"/>
    <mergeCell ref="F13:F14"/>
    <mergeCell ref="G13:G14"/>
    <mergeCell ref="H13:H14"/>
    <mergeCell ref="I13:I14"/>
    <mergeCell ref="J13:J14"/>
    <mergeCell ref="K13:K14"/>
    <mergeCell ref="W13:W14"/>
    <mergeCell ref="L12:N12"/>
    <mergeCell ref="O12:R12"/>
    <mergeCell ref="Q13:Q14"/>
    <mergeCell ref="S12:U12"/>
    <mergeCell ref="V12:X12"/>
    <mergeCell ref="L13:L14"/>
    <mergeCell ref="M13:M14"/>
    <mergeCell ref="N13:N14"/>
    <mergeCell ref="O13:O14"/>
    <mergeCell ref="P13:P14"/>
    <mergeCell ref="X13:X14"/>
    <mergeCell ref="R13:R14"/>
    <mergeCell ref="S13:S14"/>
    <mergeCell ref="T13:T14"/>
    <mergeCell ref="U13:U14"/>
  </mergeCells>
  <pageMargins left="0.25" right="0.25" top="0.75" bottom="0.75" header="0.3" footer="0.3"/>
  <pageSetup paperSize="9" scale="79" orientation="landscape" r:id="rId1"/>
  <rowBreaks count="1" manualBreakCount="1">
    <brk id="5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topLeftCell="A10" zoomScale="60" zoomScaleNormal="60" workbookViewId="0">
      <pane xSplit="3" ySplit="7" topLeftCell="O17" activePane="bottomRight" state="frozen"/>
      <selection activeCell="A10" sqref="A10"/>
      <selection pane="topRight" activeCell="D10" sqref="D10"/>
      <selection pane="bottomLeft" activeCell="A18" sqref="A18"/>
      <selection pane="bottomRight" activeCell="AM26" sqref="AM26"/>
    </sheetView>
  </sheetViews>
  <sheetFormatPr defaultRowHeight="15" x14ac:dyDescent="0.25"/>
  <cols>
    <col min="1" max="1" width="6.33203125" style="2135" customWidth="1"/>
    <col min="2" max="2" width="35.1640625" style="2135" customWidth="1"/>
    <col min="3" max="3" width="9.33203125" style="2135"/>
    <col min="4" max="4" width="14.83203125" style="2135" hidden="1" customWidth="1"/>
    <col min="5" max="5" width="16.5" style="2135" hidden="1" customWidth="1"/>
    <col min="6" max="6" width="15" style="2135" hidden="1" customWidth="1"/>
    <col min="7" max="7" width="13.1640625" style="2135" hidden="1" customWidth="1"/>
    <col min="8" max="8" width="14.83203125" style="2135" hidden="1" customWidth="1"/>
    <col min="9" max="9" width="17.5" style="2135" hidden="1" customWidth="1"/>
    <col min="10" max="10" width="13.33203125" style="2135" hidden="1" customWidth="1"/>
    <col min="11" max="11" width="18.33203125" style="2135" hidden="1" customWidth="1"/>
    <col min="12" max="12" width="15.83203125" style="2135" hidden="1" customWidth="1"/>
    <col min="13" max="13" width="21" style="2135" hidden="1" customWidth="1"/>
    <col min="14" max="14" width="16.83203125" style="2135" hidden="1" customWidth="1"/>
    <col min="15" max="15" width="14.6640625" style="2135" customWidth="1"/>
    <col min="16" max="16" width="16.1640625" style="2135" customWidth="1"/>
    <col min="17" max="17" width="18.1640625" style="2135" customWidth="1"/>
    <col min="18" max="18" width="22" style="2135" customWidth="1"/>
    <col min="19" max="19" width="17.83203125" style="2135" customWidth="1"/>
    <col min="20" max="20" width="14" style="2135" bestFit="1" customWidth="1"/>
    <col min="21" max="21" width="14.6640625" style="2135" bestFit="1" customWidth="1"/>
    <col min="22" max="22" width="17" style="2135" customWidth="1"/>
    <col min="23" max="23" width="14.5" style="2135" bestFit="1" customWidth="1"/>
    <col min="24" max="24" width="17.83203125" style="2135" customWidth="1"/>
    <col min="25" max="16384" width="9.33203125" style="2135"/>
  </cols>
  <sheetData>
    <row r="1" spans="1:24" x14ac:dyDescent="0.25">
      <c r="X1" s="2136" t="s">
        <v>685</v>
      </c>
    </row>
    <row r="2" spans="1:24" x14ac:dyDescent="0.25">
      <c r="X2" s="2136" t="s">
        <v>686</v>
      </c>
    </row>
    <row r="3" spans="1:24" x14ac:dyDescent="0.25">
      <c r="X3" s="2136" t="s">
        <v>687</v>
      </c>
    </row>
    <row r="4" spans="1:24" x14ac:dyDescent="0.25">
      <c r="X4" s="2136" t="s">
        <v>688</v>
      </c>
    </row>
    <row r="5" spans="1:24" x14ac:dyDescent="0.25">
      <c r="X5" s="2136" t="s">
        <v>689</v>
      </c>
    </row>
    <row r="6" spans="1:24" x14ac:dyDescent="0.25">
      <c r="X6" s="2136" t="s">
        <v>690</v>
      </c>
    </row>
    <row r="7" spans="1:24" x14ac:dyDescent="0.25">
      <c r="X7" s="2136" t="s">
        <v>691</v>
      </c>
    </row>
    <row r="8" spans="1:24" x14ac:dyDescent="0.25">
      <c r="X8" s="2136" t="s">
        <v>428</v>
      </c>
    </row>
    <row r="9" spans="1:24" x14ac:dyDescent="0.25">
      <c r="X9" s="2136" t="s">
        <v>429</v>
      </c>
    </row>
    <row r="11" spans="1:24" ht="15.75" x14ac:dyDescent="0.25">
      <c r="A11" s="3639" t="s">
        <v>1392</v>
      </c>
      <c r="B11" s="3639"/>
      <c r="C11" s="3639"/>
      <c r="D11" s="3639"/>
      <c r="E11" s="3639"/>
      <c r="F11" s="3639"/>
      <c r="G11" s="3639"/>
      <c r="H11" s="3639"/>
      <c r="I11" s="3639"/>
      <c r="J11" s="3639"/>
      <c r="K11" s="3639"/>
      <c r="L11" s="3639"/>
      <c r="M11" s="3639"/>
      <c r="N11" s="3639"/>
      <c r="O11" s="3639"/>
      <c r="P11" s="3639"/>
      <c r="Q11" s="3639"/>
      <c r="R11" s="3639"/>
      <c r="S11" s="3639"/>
      <c r="T11" s="3639"/>
      <c r="U11" s="3639"/>
      <c r="V11" s="3639"/>
      <c r="W11" s="3639"/>
      <c r="X11" s="3639"/>
    </row>
    <row r="12" spans="1:24" ht="15.75" x14ac:dyDescent="0.25">
      <c r="A12" s="3640" t="s">
        <v>2024</v>
      </c>
      <c r="B12" s="3640"/>
      <c r="C12" s="3640"/>
      <c r="D12" s="3640"/>
      <c r="E12" s="3640"/>
      <c r="F12" s="3640"/>
      <c r="G12" s="3640"/>
      <c r="H12" s="3640"/>
      <c r="I12" s="3640"/>
      <c r="J12" s="3640"/>
      <c r="K12" s="3640"/>
      <c r="L12" s="3640"/>
      <c r="M12" s="3640"/>
      <c r="N12" s="3640"/>
      <c r="O12" s="3640"/>
      <c r="P12" s="3640"/>
      <c r="Q12" s="3640"/>
      <c r="R12" s="3640"/>
      <c r="S12" s="3640"/>
      <c r="T12" s="3640"/>
      <c r="U12" s="3640"/>
      <c r="V12" s="3640"/>
      <c r="W12" s="3640"/>
      <c r="X12" s="3640"/>
    </row>
    <row r="13" spans="1:24" ht="15.75" thickBot="1" x14ac:dyDescent="0.3"/>
    <row r="14" spans="1:24" ht="30" customHeight="1" x14ac:dyDescent="0.25">
      <c r="A14" s="3636" t="s">
        <v>290</v>
      </c>
      <c r="B14" s="3637" t="s">
        <v>218</v>
      </c>
      <c r="C14" s="3638" t="s">
        <v>219</v>
      </c>
      <c r="D14" s="3636" t="s">
        <v>692</v>
      </c>
      <c r="E14" s="3637"/>
      <c r="F14" s="3637"/>
      <c r="G14" s="3638"/>
      <c r="H14" s="3636" t="s">
        <v>447</v>
      </c>
      <c r="I14" s="3637"/>
      <c r="J14" s="3637"/>
      <c r="K14" s="3638"/>
      <c r="L14" s="3644" t="s">
        <v>693</v>
      </c>
      <c r="M14" s="3637"/>
      <c r="N14" s="3638"/>
      <c r="O14" s="3636" t="s">
        <v>204</v>
      </c>
      <c r="P14" s="3637"/>
      <c r="Q14" s="3637"/>
      <c r="R14" s="3638"/>
      <c r="S14" s="3636" t="s">
        <v>205</v>
      </c>
      <c r="T14" s="3637"/>
      <c r="U14" s="3638"/>
      <c r="V14" s="3636" t="s">
        <v>206</v>
      </c>
      <c r="W14" s="3637"/>
      <c r="X14" s="3638"/>
    </row>
    <row r="15" spans="1:24" ht="75" x14ac:dyDescent="0.25">
      <c r="A15" s="3641"/>
      <c r="B15" s="3642"/>
      <c r="C15" s="3643"/>
      <c r="D15" s="2137" t="s">
        <v>694</v>
      </c>
      <c r="E15" s="2138" t="s">
        <v>314</v>
      </c>
      <c r="F15" s="2138" t="s">
        <v>450</v>
      </c>
      <c r="G15" s="2139" t="s">
        <v>451</v>
      </c>
      <c r="H15" s="2137" t="s">
        <v>695</v>
      </c>
      <c r="I15" s="2138" t="s">
        <v>314</v>
      </c>
      <c r="J15" s="2138" t="s">
        <v>450</v>
      </c>
      <c r="K15" s="2139" t="s">
        <v>451</v>
      </c>
      <c r="L15" s="2140" t="s">
        <v>220</v>
      </c>
      <c r="M15" s="2138" t="s">
        <v>450</v>
      </c>
      <c r="N15" s="2139" t="s">
        <v>451</v>
      </c>
      <c r="O15" s="2137" t="s">
        <v>314</v>
      </c>
      <c r="P15" s="2138" t="s">
        <v>450</v>
      </c>
      <c r="Q15" s="2138" t="s">
        <v>451</v>
      </c>
      <c r="R15" s="2139" t="s">
        <v>180</v>
      </c>
      <c r="S15" s="2137" t="s">
        <v>314</v>
      </c>
      <c r="T15" s="2138" t="s">
        <v>696</v>
      </c>
      <c r="U15" s="2139" t="s">
        <v>451</v>
      </c>
      <c r="V15" s="2137" t="s">
        <v>314</v>
      </c>
      <c r="W15" s="2138" t="s">
        <v>450</v>
      </c>
      <c r="X15" s="2139" t="s">
        <v>451</v>
      </c>
    </row>
    <row r="16" spans="1:24" x14ac:dyDescent="0.25">
      <c r="A16" s="2137">
        <v>1</v>
      </c>
      <c r="B16" s="2138">
        <v>2</v>
      </c>
      <c r="C16" s="2139">
        <v>3</v>
      </c>
      <c r="D16" s="2137">
        <v>4</v>
      </c>
      <c r="E16" s="2138">
        <v>5</v>
      </c>
      <c r="F16" s="2138">
        <v>6</v>
      </c>
      <c r="G16" s="2139">
        <v>7</v>
      </c>
      <c r="H16" s="2137">
        <v>8</v>
      </c>
      <c r="I16" s="2138">
        <v>9</v>
      </c>
      <c r="J16" s="2138">
        <v>10</v>
      </c>
      <c r="K16" s="2139">
        <v>11</v>
      </c>
      <c r="L16" s="2140">
        <v>12</v>
      </c>
      <c r="M16" s="2138">
        <v>13</v>
      </c>
      <c r="N16" s="2139">
        <v>14</v>
      </c>
      <c r="O16" s="2137">
        <v>15</v>
      </c>
      <c r="P16" s="2138">
        <v>16</v>
      </c>
      <c r="Q16" s="2138">
        <v>17</v>
      </c>
      <c r="R16" s="2139">
        <v>18</v>
      </c>
      <c r="S16" s="2137">
        <v>19</v>
      </c>
      <c r="T16" s="2141">
        <v>20</v>
      </c>
      <c r="U16" s="2139">
        <v>21</v>
      </c>
      <c r="V16" s="2137">
        <v>22</v>
      </c>
      <c r="W16" s="2138">
        <v>23</v>
      </c>
      <c r="X16" s="2139">
        <v>24</v>
      </c>
    </row>
    <row r="17" spans="1:24" ht="28.5" x14ac:dyDescent="0.25">
      <c r="A17" s="2142">
        <v>1</v>
      </c>
      <c r="B17" s="2143" t="s">
        <v>814</v>
      </c>
      <c r="C17" s="2144"/>
      <c r="D17" s="2145">
        <f>D18+D21+D25</f>
        <v>159.1</v>
      </c>
      <c r="E17" s="2146"/>
      <c r="F17" s="2147"/>
      <c r="G17" s="2148">
        <f>G18+G21+G25</f>
        <v>159.1</v>
      </c>
      <c r="H17" s="2145">
        <f>H18+H21+H25</f>
        <v>292.10000000000002</v>
      </c>
      <c r="I17" s="2146"/>
      <c r="J17" s="2147"/>
      <c r="K17" s="2148">
        <f>K18+K21+K25</f>
        <v>292.10000000000002</v>
      </c>
      <c r="L17" s="2149"/>
      <c r="M17" s="2147"/>
      <c r="N17" s="2148">
        <f>N18+N21+N25</f>
        <v>24.2</v>
      </c>
      <c r="O17" s="2142"/>
      <c r="P17" s="2147"/>
      <c r="Q17" s="2150">
        <f>Q18+Q21+Q25</f>
        <v>213.8</v>
      </c>
      <c r="R17" s="2151"/>
      <c r="S17" s="2142"/>
      <c r="T17" s="2147"/>
      <c r="U17" s="2150">
        <f>U18+U21+U25</f>
        <v>213.8</v>
      </c>
      <c r="V17" s="2142"/>
      <c r="W17" s="2147"/>
      <c r="X17" s="2150">
        <f>X18+X21+X25</f>
        <v>213.8</v>
      </c>
    </row>
    <row r="18" spans="1:24" s="2163" customFormat="1" ht="14.25" x14ac:dyDescent="0.2">
      <c r="A18" s="2152" t="s">
        <v>815</v>
      </c>
      <c r="B18" s="2153" t="s">
        <v>816</v>
      </c>
      <c r="C18" s="2154"/>
      <c r="D18" s="2155">
        <f>SUM(D19:D20)</f>
        <v>39.1</v>
      </c>
      <c r="E18" s="2156"/>
      <c r="F18" s="2157"/>
      <c r="G18" s="2158">
        <f t="shared" ref="G18:H18" si="0">SUM(G19:G20)</f>
        <v>39.1</v>
      </c>
      <c r="H18" s="2159">
        <f t="shared" si="0"/>
        <v>82.3</v>
      </c>
      <c r="I18" s="2156"/>
      <c r="J18" s="2157"/>
      <c r="K18" s="2158">
        <f>SUM(K19:K20)</f>
        <v>82.3</v>
      </c>
      <c r="L18" s="2160"/>
      <c r="M18" s="2157"/>
      <c r="N18" s="2158">
        <f>SUM(N19:N20)</f>
        <v>7.4</v>
      </c>
      <c r="O18" s="2152"/>
      <c r="P18" s="2157"/>
      <c r="Q18" s="2161">
        <f>SUM(Q19:Q20)</f>
        <v>65.3</v>
      </c>
      <c r="R18" s="2162"/>
      <c r="S18" s="2152"/>
      <c r="T18" s="2157"/>
      <c r="U18" s="2161">
        <f>SUM(U19:U20)</f>
        <v>65.3</v>
      </c>
      <c r="V18" s="2152"/>
      <c r="W18" s="2157"/>
      <c r="X18" s="2161">
        <f>SUM(X19:X20)</f>
        <v>65.3</v>
      </c>
    </row>
    <row r="19" spans="1:24" ht="47.25" customHeight="1" x14ac:dyDescent="0.25">
      <c r="A19" s="2164"/>
      <c r="B19" s="2165" t="s">
        <v>2025</v>
      </c>
      <c r="C19" s="2166" t="s">
        <v>817</v>
      </c>
      <c r="D19" s="2167">
        <f>G19</f>
        <v>39.1</v>
      </c>
      <c r="E19" s="2168">
        <v>7709</v>
      </c>
      <c r="F19" s="2168">
        <f>5.09/1.18</f>
        <v>4.3</v>
      </c>
      <c r="G19" s="2169">
        <f>E19*F19/1000*1.18</f>
        <v>39.1</v>
      </c>
      <c r="H19" s="2170">
        <f>K19</f>
        <v>82.3</v>
      </c>
      <c r="I19" s="2171">
        <v>7749</v>
      </c>
      <c r="J19" s="2168">
        <f>10.62/1.18</f>
        <v>9</v>
      </c>
      <c r="K19" s="2169">
        <f>I19*J19/1000*1.18</f>
        <v>82.3</v>
      </c>
      <c r="L19" s="2172">
        <v>7749</v>
      </c>
      <c r="M19" s="2168">
        <f>0.92/1.2</f>
        <v>0.8</v>
      </c>
      <c r="N19" s="2169">
        <f>L19*M19/1000*1.2</f>
        <v>7.4</v>
      </c>
      <c r="O19" s="2167">
        <v>7776</v>
      </c>
      <c r="P19" s="2168">
        <f>8.4/1.2</f>
        <v>7</v>
      </c>
      <c r="Q19" s="2173">
        <v>65.3</v>
      </c>
      <c r="R19" s="2174"/>
      <c r="S19" s="2167">
        <v>7776</v>
      </c>
      <c r="T19" s="2168">
        <f>8.4/1.2</f>
        <v>7</v>
      </c>
      <c r="U19" s="2173">
        <v>65.3</v>
      </c>
      <c r="V19" s="2167">
        <v>7776</v>
      </c>
      <c r="W19" s="2168">
        <f>8.4/1.2</f>
        <v>7</v>
      </c>
      <c r="X19" s="2173">
        <v>65.3</v>
      </c>
    </row>
    <row r="20" spans="1:24" ht="42.75" customHeight="1" x14ac:dyDescent="0.25">
      <c r="A20" s="2164"/>
      <c r="B20" s="2165" t="s">
        <v>2026</v>
      </c>
      <c r="C20" s="2166" t="s">
        <v>817</v>
      </c>
      <c r="D20" s="2167"/>
      <c r="E20" s="2168"/>
      <c r="F20" s="2168"/>
      <c r="G20" s="2169"/>
      <c r="H20" s="2170"/>
      <c r="I20" s="2171"/>
      <c r="J20" s="2168"/>
      <c r="K20" s="2169"/>
      <c r="L20" s="2172"/>
      <c r="M20" s="2168"/>
      <c r="N20" s="2169"/>
      <c r="O20" s="2167"/>
      <c r="P20" s="2168"/>
      <c r="Q20" s="2173"/>
      <c r="R20" s="2174"/>
      <c r="S20" s="2167"/>
      <c r="T20" s="2168"/>
      <c r="U20" s="2173"/>
      <c r="V20" s="2167"/>
      <c r="W20" s="2168"/>
      <c r="X20" s="2173"/>
    </row>
    <row r="21" spans="1:24" s="2163" customFormat="1" ht="28.5" x14ac:dyDescent="0.2">
      <c r="A21" s="2152" t="s">
        <v>818</v>
      </c>
      <c r="B21" s="2153" t="s">
        <v>819</v>
      </c>
      <c r="C21" s="2154"/>
      <c r="D21" s="2155">
        <f>SUM(D23:D24)</f>
        <v>120</v>
      </c>
      <c r="E21" s="2156"/>
      <c r="F21" s="2157"/>
      <c r="G21" s="2158">
        <f t="shared" ref="G21:H21" si="1">SUM(G23:G24)</f>
        <v>120</v>
      </c>
      <c r="H21" s="2159">
        <f t="shared" si="1"/>
        <v>209.8</v>
      </c>
      <c r="I21" s="2156"/>
      <c r="J21" s="2157"/>
      <c r="K21" s="2158">
        <f>SUM(K23:K24)</f>
        <v>209.8</v>
      </c>
      <c r="L21" s="2160"/>
      <c r="M21" s="2157"/>
      <c r="N21" s="2158">
        <f>SUM(N22:N24)</f>
        <v>16.8</v>
      </c>
      <c r="O21" s="2152"/>
      <c r="P21" s="2157"/>
      <c r="Q21" s="2175">
        <f>SUM(Q22:Q24)</f>
        <v>148.5</v>
      </c>
      <c r="R21" s="2162"/>
      <c r="S21" s="2152"/>
      <c r="T21" s="2157"/>
      <c r="U21" s="2175">
        <f>SUM(U22:U24)</f>
        <v>148.5</v>
      </c>
      <c r="V21" s="2152"/>
      <c r="W21" s="2157"/>
      <c r="X21" s="2175">
        <f>SUM(X22:X24)</f>
        <v>148.5</v>
      </c>
    </row>
    <row r="22" spans="1:24" s="2176" customFormat="1" ht="52.5" customHeight="1" x14ac:dyDescent="0.2">
      <c r="A22" s="2152"/>
      <c r="B22" s="2165" t="s">
        <v>2025</v>
      </c>
      <c r="C22" s="2166" t="s">
        <v>817</v>
      </c>
      <c r="D22" s="2155"/>
      <c r="E22" s="2156"/>
      <c r="F22" s="2157"/>
      <c r="G22" s="2158"/>
      <c r="H22" s="2159"/>
      <c r="I22" s="2156"/>
      <c r="J22" s="2157"/>
      <c r="K22" s="2158"/>
      <c r="L22" s="2160"/>
      <c r="M22" s="2157"/>
      <c r="N22" s="2158"/>
      <c r="O22" s="2152"/>
      <c r="P22" s="2157"/>
      <c r="Q22" s="2161"/>
      <c r="R22" s="2162"/>
      <c r="S22" s="2152"/>
      <c r="T22" s="2157"/>
      <c r="U22" s="2161"/>
      <c r="V22" s="2152"/>
      <c r="W22" s="2157"/>
      <c r="X22" s="2161"/>
    </row>
    <row r="23" spans="1:24" ht="45" x14ac:dyDescent="0.25">
      <c r="A23" s="2164"/>
      <c r="B23" s="2165" t="s">
        <v>2026</v>
      </c>
      <c r="C23" s="2166" t="s">
        <v>817</v>
      </c>
      <c r="D23" s="2167">
        <v>120</v>
      </c>
      <c r="E23" s="2168">
        <v>8</v>
      </c>
      <c r="F23" s="2168">
        <v>15000</v>
      </c>
      <c r="G23" s="2169">
        <f>E23*F23/1000</f>
        <v>120</v>
      </c>
      <c r="H23" s="2170">
        <f>K23</f>
        <v>209.8</v>
      </c>
      <c r="I23" s="2171">
        <f>8760</f>
        <v>8760</v>
      </c>
      <c r="J23" s="2168">
        <f>23.99/1.18</f>
        <v>20.3</v>
      </c>
      <c r="K23" s="2169">
        <f>I23*J23/1000*1.18</f>
        <v>209.8</v>
      </c>
      <c r="L23" s="2172">
        <v>8760</v>
      </c>
      <c r="M23" s="2168">
        <f>1.86/1.2</f>
        <v>1.6</v>
      </c>
      <c r="N23" s="2169">
        <f>L23*M23/1000*1.2</f>
        <v>16.8</v>
      </c>
      <c r="O23" s="2167">
        <v>8784</v>
      </c>
      <c r="P23" s="2168">
        <f>16.91/1.2</f>
        <v>14.1</v>
      </c>
      <c r="Q23" s="2173">
        <v>148.5</v>
      </c>
      <c r="R23" s="2174"/>
      <c r="S23" s="2167">
        <v>8784</v>
      </c>
      <c r="T23" s="2168">
        <f>16.91/1.2</f>
        <v>14.1</v>
      </c>
      <c r="U23" s="2173">
        <v>148.5</v>
      </c>
      <c r="V23" s="2167">
        <v>8784</v>
      </c>
      <c r="W23" s="2168">
        <f>16.91/1.2</f>
        <v>14.1</v>
      </c>
      <c r="X23" s="2173">
        <v>148.5</v>
      </c>
    </row>
    <row r="24" spans="1:24" ht="45" x14ac:dyDescent="0.25">
      <c r="A24" s="2164"/>
      <c r="B24" s="2165" t="s">
        <v>2027</v>
      </c>
      <c r="C24" s="2166" t="s">
        <v>817</v>
      </c>
      <c r="D24" s="2167"/>
      <c r="E24" s="2171"/>
      <c r="F24" s="2168"/>
      <c r="G24" s="2169"/>
      <c r="H24" s="2170"/>
      <c r="I24" s="2171"/>
      <c r="J24" s="2168"/>
      <c r="K24" s="2169"/>
      <c r="L24" s="2177"/>
      <c r="M24" s="2168"/>
      <c r="N24" s="2169"/>
      <c r="O24" s="2178"/>
      <c r="P24" s="2168"/>
      <c r="Q24" s="2173"/>
      <c r="R24" s="2179"/>
      <c r="S24" s="2178"/>
      <c r="T24" s="2168"/>
      <c r="U24" s="2173"/>
      <c r="V24" s="2178"/>
      <c r="W24" s="2168"/>
      <c r="X24" s="2173"/>
    </row>
    <row r="25" spans="1:24" s="2163" customFormat="1" ht="71.25" x14ac:dyDescent="0.2">
      <c r="A25" s="2152" t="s">
        <v>820</v>
      </c>
      <c r="B25" s="2153" t="s">
        <v>821</v>
      </c>
      <c r="C25" s="2154"/>
      <c r="D25" s="2155"/>
      <c r="E25" s="2156"/>
      <c r="F25" s="2157"/>
      <c r="G25" s="2158"/>
      <c r="H25" s="2159"/>
      <c r="I25" s="2156"/>
      <c r="J25" s="2157"/>
      <c r="K25" s="2158"/>
      <c r="L25" s="2160"/>
      <c r="M25" s="2157"/>
      <c r="N25" s="2158"/>
      <c r="O25" s="2152"/>
      <c r="P25" s="2157"/>
      <c r="Q25" s="2161"/>
      <c r="R25" s="2162"/>
      <c r="S25" s="2152"/>
      <c r="T25" s="2157"/>
      <c r="U25" s="2161"/>
      <c r="V25" s="2152"/>
      <c r="W25" s="2157"/>
      <c r="X25" s="2161"/>
    </row>
    <row r="26" spans="1:24" s="2163" customFormat="1" ht="57" x14ac:dyDescent="0.2">
      <c r="A26" s="2152" t="s">
        <v>1102</v>
      </c>
      <c r="B26" s="2153" t="s">
        <v>2028</v>
      </c>
      <c r="C26" s="2154"/>
      <c r="D26" s="2167">
        <f>G26</f>
        <v>451.8</v>
      </c>
      <c r="E26" s="2180">
        <v>1</v>
      </c>
      <c r="F26" s="2168">
        <v>451777</v>
      </c>
      <c r="G26" s="2169">
        <v>451.8</v>
      </c>
      <c r="H26" s="2159"/>
      <c r="I26" s="2156"/>
      <c r="J26" s="2157"/>
      <c r="K26" s="2158"/>
      <c r="L26" s="2160"/>
      <c r="M26" s="2157"/>
      <c r="N26" s="2158"/>
      <c r="O26" s="2152"/>
      <c r="P26" s="2157"/>
      <c r="Q26" s="2161"/>
      <c r="R26" s="2162"/>
      <c r="S26" s="2152"/>
      <c r="T26" s="2157"/>
      <c r="U26" s="2161"/>
      <c r="V26" s="2152"/>
      <c r="W26" s="2157"/>
      <c r="X26" s="2161"/>
    </row>
    <row r="27" spans="1:24" x14ac:dyDescent="0.25">
      <c r="A27" s="2142" t="s">
        <v>574</v>
      </c>
      <c r="B27" s="2143" t="s">
        <v>822</v>
      </c>
      <c r="C27" s="2144"/>
      <c r="D27" s="2145">
        <f>SUM(D28:D29)</f>
        <v>317.39999999999998</v>
      </c>
      <c r="E27" s="2146"/>
      <c r="F27" s="2147"/>
      <c r="G27" s="2148">
        <f>SUM(G28:G29)</f>
        <v>317.39999999999998</v>
      </c>
      <c r="H27" s="2181">
        <f>SUM(H28:H29)</f>
        <v>1104.3</v>
      </c>
      <c r="I27" s="2146"/>
      <c r="J27" s="2147"/>
      <c r="K27" s="2148">
        <f>SUM(K28:K29)</f>
        <v>1104.3</v>
      </c>
      <c r="L27" s="2149"/>
      <c r="M27" s="2147"/>
      <c r="N27" s="2148">
        <f>SUM(N28:N29)</f>
        <v>688.9</v>
      </c>
      <c r="O27" s="2142"/>
      <c r="P27" s="2147"/>
      <c r="Q27" s="2150">
        <f>SUM(Q28:Q29)</f>
        <v>726.5</v>
      </c>
      <c r="R27" s="2151"/>
      <c r="S27" s="2142"/>
      <c r="T27" s="2147"/>
      <c r="U27" s="2150">
        <f>SUM(U28:U29)</f>
        <v>726.5</v>
      </c>
      <c r="V27" s="2142"/>
      <c r="W27" s="2147"/>
      <c r="X27" s="2150">
        <f>SUM(X28:X29)</f>
        <v>726.5</v>
      </c>
    </row>
    <row r="28" spans="1:24" ht="45" x14ac:dyDescent="0.25">
      <c r="A28" s="2164"/>
      <c r="B28" s="2165" t="s">
        <v>2025</v>
      </c>
      <c r="C28" s="2166" t="s">
        <v>817</v>
      </c>
      <c r="D28" s="2167">
        <f>G28</f>
        <v>69</v>
      </c>
      <c r="E28" s="2168">
        <v>337</v>
      </c>
      <c r="F28" s="2168">
        <f>G28/E28/1.18*1000</f>
        <v>173.5</v>
      </c>
      <c r="G28" s="2169">
        <v>69</v>
      </c>
      <c r="H28" s="2170">
        <f>K28</f>
        <v>215.3</v>
      </c>
      <c r="I28" s="2182">
        <v>1061</v>
      </c>
      <c r="J28" s="2168">
        <f>202.96/1.18</f>
        <v>172</v>
      </c>
      <c r="K28" s="2169">
        <f>I28*J28/1000*1.18</f>
        <v>215.3</v>
      </c>
      <c r="L28" s="2172">
        <v>1061</v>
      </c>
      <c r="M28" s="2168">
        <f>N28/L28/1.2*1000</f>
        <v>105.6</v>
      </c>
      <c r="N28" s="2169">
        <v>134.4</v>
      </c>
      <c r="O28" s="2167">
        <v>1070</v>
      </c>
      <c r="P28" s="2168">
        <f>202.6/1.2</f>
        <v>168.8</v>
      </c>
      <c r="Q28" s="2173">
        <v>216.8</v>
      </c>
      <c r="R28" s="2174"/>
      <c r="S28" s="2167">
        <v>1070</v>
      </c>
      <c r="T28" s="2168">
        <f>202.6/1.2</f>
        <v>168.8</v>
      </c>
      <c r="U28" s="2173">
        <v>216.8</v>
      </c>
      <c r="V28" s="2167">
        <v>1070</v>
      </c>
      <c r="W28" s="2168">
        <f>202.6/1.2</f>
        <v>168.8</v>
      </c>
      <c r="X28" s="2173">
        <v>216.8</v>
      </c>
    </row>
    <row r="29" spans="1:24" ht="45" x14ac:dyDescent="0.25">
      <c r="A29" s="2164"/>
      <c r="B29" s="2165" t="s">
        <v>2026</v>
      </c>
      <c r="C29" s="2166" t="s">
        <v>817</v>
      </c>
      <c r="D29" s="2167">
        <f>G29</f>
        <v>248.4</v>
      </c>
      <c r="E29" s="2168">
        <v>828</v>
      </c>
      <c r="F29" s="2168">
        <f>300/1.18</f>
        <v>254.2</v>
      </c>
      <c r="G29" s="2169">
        <f>E29*F29/1000*1.18</f>
        <v>248.4</v>
      </c>
      <c r="H29" s="2170">
        <f>K29</f>
        <v>889</v>
      </c>
      <c r="I29" s="2182">
        <v>4380</v>
      </c>
      <c r="J29" s="2168">
        <f>202.96/1.18</f>
        <v>172</v>
      </c>
      <c r="K29" s="2169">
        <f>I29*J29/1000*1.18</f>
        <v>889</v>
      </c>
      <c r="L29" s="2172">
        <v>4380</v>
      </c>
      <c r="M29" s="2168">
        <f>126.62/1.2</f>
        <v>105.5</v>
      </c>
      <c r="N29" s="2169">
        <f>L29*M29/1000*1.2</f>
        <v>554.5</v>
      </c>
      <c r="O29" s="2167">
        <v>4392</v>
      </c>
      <c r="P29" s="2168">
        <f>202.6/1.2</f>
        <v>168.8</v>
      </c>
      <c r="Q29" s="2173">
        <v>509.7</v>
      </c>
      <c r="R29" s="2183"/>
      <c r="S29" s="2167">
        <v>4392</v>
      </c>
      <c r="T29" s="2168">
        <f>202.6/1.2</f>
        <v>168.8</v>
      </c>
      <c r="U29" s="2173">
        <v>509.7</v>
      </c>
      <c r="V29" s="2167">
        <v>4392</v>
      </c>
      <c r="W29" s="2168">
        <f>202.6/1.2</f>
        <v>168.8</v>
      </c>
      <c r="X29" s="2173">
        <v>509.7</v>
      </c>
    </row>
    <row r="30" spans="1:24" ht="28.5" x14ac:dyDescent="0.25">
      <c r="A30" s="2184"/>
      <c r="B30" s="2185" t="s">
        <v>823</v>
      </c>
      <c r="C30" s="2186"/>
      <c r="D30" s="2187">
        <f>D27+D17</f>
        <v>476.5</v>
      </c>
      <c r="E30" s="2188"/>
      <c r="F30" s="2189"/>
      <c r="G30" s="2190">
        <f>G27+G17</f>
        <v>476.5</v>
      </c>
      <c r="H30" s="2187">
        <f>H27+H17</f>
        <v>1396.4</v>
      </c>
      <c r="I30" s="2188"/>
      <c r="J30" s="2189"/>
      <c r="K30" s="2190">
        <f>K27+K17</f>
        <v>1396.4</v>
      </c>
      <c r="L30" s="2191"/>
      <c r="M30" s="2189"/>
      <c r="N30" s="2190">
        <f>N27+N17</f>
        <v>713.1</v>
      </c>
      <c r="O30" s="2184"/>
      <c r="P30" s="2189"/>
      <c r="Q30" s="2192">
        <f>Q27+Q17</f>
        <v>940.3</v>
      </c>
      <c r="R30" s="2193"/>
      <c r="S30" s="2184"/>
      <c r="T30" s="2189"/>
      <c r="U30" s="2192">
        <f>U27+U17</f>
        <v>940.3</v>
      </c>
      <c r="V30" s="2184"/>
      <c r="W30" s="2189"/>
      <c r="X30" s="2192">
        <f>X27+X17</f>
        <v>940.3</v>
      </c>
    </row>
    <row r="31" spans="1:24" s="2194" customFormat="1" ht="30" x14ac:dyDescent="0.25">
      <c r="A31" s="2164">
        <v>1</v>
      </c>
      <c r="B31" s="2165" t="s">
        <v>1263</v>
      </c>
      <c r="C31" s="2166" t="s">
        <v>697</v>
      </c>
      <c r="D31" s="2167">
        <f>G31</f>
        <v>5.6</v>
      </c>
      <c r="E31" s="2168">
        <v>146</v>
      </c>
      <c r="F31" s="2168">
        <v>32.6</v>
      </c>
      <c r="G31" s="2169">
        <f>E31*F31*1.18/1000</f>
        <v>5.6</v>
      </c>
      <c r="H31" s="2170">
        <f>K31</f>
        <v>9.6</v>
      </c>
      <c r="I31" s="2168">
        <v>250</v>
      </c>
      <c r="J31" s="2168">
        <v>32.6</v>
      </c>
      <c r="K31" s="2169">
        <f>I31*J31*1.18/1000</f>
        <v>9.6</v>
      </c>
      <c r="L31" s="2172">
        <v>234</v>
      </c>
      <c r="M31" s="2168">
        <v>34.200000000000003</v>
      </c>
      <c r="N31" s="2169">
        <f>L31*M31*1.2/1000</f>
        <v>9.6</v>
      </c>
      <c r="O31" s="2167">
        <v>234</v>
      </c>
      <c r="P31" s="2168">
        <v>34.200000000000003</v>
      </c>
      <c r="Q31" s="2173">
        <v>9.6</v>
      </c>
      <c r="R31" s="2174"/>
      <c r="S31" s="2167">
        <v>234</v>
      </c>
      <c r="T31" s="2168">
        <f>P31</f>
        <v>34.200000000000003</v>
      </c>
      <c r="U31" s="2169">
        <f>S31*T31*1.2/1000</f>
        <v>9.6</v>
      </c>
      <c r="V31" s="2167">
        <v>234</v>
      </c>
      <c r="W31" s="2168">
        <f>P31</f>
        <v>34.200000000000003</v>
      </c>
      <c r="X31" s="2169">
        <f>V31*W31*1.2/1000</f>
        <v>9.6</v>
      </c>
    </row>
    <row r="32" spans="1:24" s="2194" customFormat="1" ht="255" hidden="1" x14ac:dyDescent="0.25">
      <c r="A32" s="2164">
        <v>2</v>
      </c>
      <c r="B32" s="2165" t="s">
        <v>2029</v>
      </c>
      <c r="C32" s="2166"/>
      <c r="D32" s="2195"/>
      <c r="E32" s="2196"/>
      <c r="F32" s="2197"/>
      <c r="G32" s="2198"/>
      <c r="H32" s="2170"/>
      <c r="I32" s="2180"/>
      <c r="J32" s="2199"/>
      <c r="K32" s="2169"/>
      <c r="L32" s="2200"/>
      <c r="M32" s="2168"/>
      <c r="N32" s="2169"/>
      <c r="O32" s="2164"/>
      <c r="P32" s="2199"/>
      <c r="Q32" s="2168"/>
      <c r="R32" s="2179" t="s">
        <v>2030</v>
      </c>
      <c r="S32" s="2164"/>
      <c r="T32" s="2168"/>
      <c r="U32" s="2169"/>
      <c r="V32" s="2164"/>
      <c r="W32" s="2168"/>
      <c r="X32" s="2169"/>
    </row>
    <row r="33" spans="1:24" s="2211" customFormat="1" ht="60" hidden="1" x14ac:dyDescent="0.25">
      <c r="A33" s="2201"/>
      <c r="B33" s="2202" t="s">
        <v>2025</v>
      </c>
      <c r="C33" s="2203" t="s">
        <v>279</v>
      </c>
      <c r="D33" s="2204">
        <f>G33</f>
        <v>32.4</v>
      </c>
      <c r="E33" s="2205">
        <v>105</v>
      </c>
      <c r="F33" s="2206">
        <v>261.7</v>
      </c>
      <c r="G33" s="2206">
        <f>E33*F33*1.18/1000</f>
        <v>32.4</v>
      </c>
      <c r="H33" s="2207">
        <f>K33</f>
        <v>66.7</v>
      </c>
      <c r="I33" s="2205">
        <v>216</v>
      </c>
      <c r="J33" s="2206">
        <v>261.7</v>
      </c>
      <c r="K33" s="2208">
        <f>I33*J33*1.18/1000</f>
        <v>66.7</v>
      </c>
      <c r="L33" s="2209"/>
      <c r="M33" s="2206"/>
      <c r="N33" s="2208"/>
      <c r="O33" s="2201"/>
      <c r="P33" s="2206"/>
      <c r="Q33" s="2206"/>
      <c r="R33" s="2210" t="s">
        <v>698</v>
      </c>
      <c r="S33" s="2201"/>
      <c r="T33" s="2206"/>
      <c r="U33" s="2208"/>
      <c r="V33" s="2201"/>
      <c r="W33" s="2206"/>
      <c r="X33" s="2208"/>
    </row>
    <row r="34" spans="1:24" s="2211" customFormat="1" ht="60" hidden="1" x14ac:dyDescent="0.25">
      <c r="A34" s="2201"/>
      <c r="B34" s="2202" t="s">
        <v>2026</v>
      </c>
      <c r="C34" s="2203" t="s">
        <v>279</v>
      </c>
      <c r="D34" s="2204"/>
      <c r="E34" s="2205"/>
      <c r="F34" s="2206"/>
      <c r="G34" s="2208"/>
      <c r="H34" s="2207">
        <f>K34</f>
        <v>5.6</v>
      </c>
      <c r="I34" s="2205">
        <v>18</v>
      </c>
      <c r="J34" s="2206">
        <v>261.7</v>
      </c>
      <c r="K34" s="2208">
        <f>I34*J34*1.18/1000</f>
        <v>5.6</v>
      </c>
      <c r="L34" s="2209"/>
      <c r="M34" s="2206"/>
      <c r="N34" s="2208"/>
      <c r="O34" s="2201"/>
      <c r="P34" s="2206"/>
      <c r="Q34" s="2206"/>
      <c r="R34" s="2210" t="s">
        <v>698</v>
      </c>
      <c r="S34" s="2201"/>
      <c r="T34" s="2206"/>
      <c r="U34" s="2208"/>
      <c r="V34" s="2201"/>
      <c r="W34" s="2206"/>
      <c r="X34" s="2208"/>
    </row>
    <row r="35" spans="1:24" s="2194" customFormat="1" ht="255" hidden="1" x14ac:dyDescent="0.25">
      <c r="A35" s="2164">
        <v>3</v>
      </c>
      <c r="B35" s="2165" t="s">
        <v>699</v>
      </c>
      <c r="C35" s="2166" t="s">
        <v>318</v>
      </c>
      <c r="D35" s="2212">
        <v>14.85</v>
      </c>
      <c r="E35" s="2213">
        <v>1</v>
      </c>
      <c r="F35" s="2214">
        <v>12585</v>
      </c>
      <c r="G35" s="2198">
        <f>((F35*E35)*1.18)/1000</f>
        <v>14.85</v>
      </c>
      <c r="H35" s="2170"/>
      <c r="I35" s="2180"/>
      <c r="J35" s="2168"/>
      <c r="K35" s="2169"/>
      <c r="L35" s="2200"/>
      <c r="M35" s="2168"/>
      <c r="N35" s="2169"/>
      <c r="O35" s="2215">
        <v>3</v>
      </c>
      <c r="P35" s="2214">
        <f>Q35/O35/1.2*1000</f>
        <v>1805.6</v>
      </c>
      <c r="Q35" s="2214">
        <v>6.5</v>
      </c>
      <c r="R35" s="2179" t="s">
        <v>1264</v>
      </c>
      <c r="S35" s="2164"/>
      <c r="T35" s="2168"/>
      <c r="U35" s="2169"/>
      <c r="V35" s="2164"/>
      <c r="W35" s="2168"/>
      <c r="X35" s="2169"/>
    </row>
    <row r="36" spans="1:24" s="2194" customFormat="1" ht="240" hidden="1" x14ac:dyDescent="0.25">
      <c r="A36" s="2164">
        <v>4</v>
      </c>
      <c r="B36" s="2165" t="s">
        <v>2031</v>
      </c>
      <c r="C36" s="2166" t="s">
        <v>318</v>
      </c>
      <c r="D36" s="2167"/>
      <c r="E36" s="2180"/>
      <c r="F36" s="2168"/>
      <c r="G36" s="2169"/>
      <c r="H36" s="2170"/>
      <c r="I36" s="2180"/>
      <c r="J36" s="2168"/>
      <c r="K36" s="2169"/>
      <c r="L36" s="2200"/>
      <c r="M36" s="2168"/>
      <c r="N36" s="2169"/>
      <c r="O36" s="2215">
        <v>9</v>
      </c>
      <c r="P36" s="2214">
        <f>Q36/O36/1.2*1000</f>
        <v>1398.1</v>
      </c>
      <c r="Q36" s="2214">
        <v>15.1</v>
      </c>
      <c r="R36" s="2179" t="s">
        <v>700</v>
      </c>
      <c r="S36" s="2164"/>
      <c r="T36" s="2168"/>
      <c r="U36" s="2169"/>
      <c r="V36" s="2164"/>
      <c r="W36" s="2168"/>
      <c r="X36" s="2169"/>
    </row>
    <row r="37" spans="1:24" s="2194" customFormat="1" ht="86.25" hidden="1" customHeight="1" x14ac:dyDescent="0.25">
      <c r="A37" s="2164">
        <v>5</v>
      </c>
      <c r="B37" s="2165" t="s">
        <v>1388</v>
      </c>
      <c r="C37" s="2166" t="s">
        <v>1389</v>
      </c>
      <c r="D37" s="2167"/>
      <c r="E37" s="2180"/>
      <c r="F37" s="2168"/>
      <c r="G37" s="2169"/>
      <c r="H37" s="2170">
        <f>K37</f>
        <v>8.5</v>
      </c>
      <c r="I37" s="2180">
        <v>8</v>
      </c>
      <c r="J37" s="2168">
        <f>1062.83/1.18</f>
        <v>900.7</v>
      </c>
      <c r="K37" s="2169">
        <f>I37*J37*1.18/1000</f>
        <v>8.5</v>
      </c>
      <c r="L37" s="2200">
        <v>4</v>
      </c>
      <c r="M37" s="2168">
        <f>N37/L37/1.2*1000</f>
        <v>1770.8</v>
      </c>
      <c r="N37" s="2169">
        <v>8.5</v>
      </c>
      <c r="O37" s="2164"/>
      <c r="P37" s="2168"/>
      <c r="Q37" s="2168"/>
      <c r="R37" s="2179" t="s">
        <v>1390</v>
      </c>
      <c r="S37" s="2215">
        <v>30</v>
      </c>
      <c r="T37" s="2214">
        <f>U37/S37/1.2*1000</f>
        <v>1769.4</v>
      </c>
      <c r="U37" s="2216">
        <v>63.7</v>
      </c>
      <c r="V37" s="2164"/>
      <c r="W37" s="2168"/>
      <c r="X37" s="2169"/>
    </row>
    <row r="38" spans="1:24" s="2194" customFormat="1" ht="30" hidden="1" x14ac:dyDescent="0.25">
      <c r="A38" s="2164">
        <v>6</v>
      </c>
      <c r="B38" s="2165" t="s">
        <v>2032</v>
      </c>
      <c r="C38" s="2166" t="s">
        <v>2033</v>
      </c>
      <c r="D38" s="2217">
        <v>201</v>
      </c>
      <c r="E38" s="2054">
        <v>1</v>
      </c>
      <c r="F38" s="2218">
        <f>G38/E38/1.18*1000</f>
        <v>170339</v>
      </c>
      <c r="G38" s="2219">
        <v>201</v>
      </c>
      <c r="H38" s="2170"/>
      <c r="I38" s="2180"/>
      <c r="J38" s="2168"/>
      <c r="K38" s="2169"/>
      <c r="L38" s="2200"/>
      <c r="M38" s="2168"/>
      <c r="N38" s="2169"/>
      <c r="O38" s="2164"/>
      <c r="P38" s="2168"/>
      <c r="Q38" s="2168"/>
      <c r="R38" s="2179"/>
      <c r="S38" s="2164"/>
      <c r="T38" s="2168"/>
      <c r="U38" s="2169"/>
      <c r="V38" s="2164"/>
      <c r="W38" s="2168"/>
      <c r="X38" s="2169"/>
    </row>
    <row r="39" spans="1:24" s="2226" customFormat="1" ht="74.25" hidden="1" customHeight="1" x14ac:dyDescent="0.25">
      <c r="A39" s="2164">
        <v>7</v>
      </c>
      <c r="B39" s="2220" t="s">
        <v>2034</v>
      </c>
      <c r="C39" s="2221" t="s">
        <v>2035</v>
      </c>
      <c r="D39" s="2222"/>
      <c r="E39" s="2213"/>
      <c r="F39" s="2214"/>
      <c r="G39" s="2216"/>
      <c r="H39" s="2222"/>
      <c r="I39" s="2213"/>
      <c r="J39" s="2214"/>
      <c r="K39" s="2216"/>
      <c r="L39" s="2223">
        <v>1</v>
      </c>
      <c r="M39" s="2214">
        <f>N39/L39/1.2*1000</f>
        <v>41666.699999999997</v>
      </c>
      <c r="N39" s="2216">
        <v>50</v>
      </c>
      <c r="O39" s="2224"/>
      <c r="P39" s="2214"/>
      <c r="Q39" s="2214"/>
      <c r="R39" s="2225"/>
      <c r="S39" s="2215"/>
      <c r="T39" s="2214"/>
      <c r="U39" s="2216"/>
      <c r="V39" s="2215"/>
      <c r="W39" s="2214"/>
      <c r="X39" s="2216"/>
    </row>
    <row r="40" spans="1:24" s="2194" customFormat="1" ht="60" hidden="1" x14ac:dyDescent="0.25">
      <c r="A40" s="2164">
        <v>8</v>
      </c>
      <c r="B40" s="2165" t="s">
        <v>2036</v>
      </c>
      <c r="C40" s="2166" t="s">
        <v>2033</v>
      </c>
      <c r="D40" s="2222">
        <v>11.4</v>
      </c>
      <c r="E40" s="2213">
        <v>1</v>
      </c>
      <c r="F40" s="2214">
        <f>G40/E40/1.18*1000</f>
        <v>9661</v>
      </c>
      <c r="G40" s="2198">
        <v>11.4</v>
      </c>
      <c r="H40" s="2170"/>
      <c r="I40" s="2180"/>
      <c r="J40" s="2168"/>
      <c r="K40" s="2169"/>
      <c r="L40" s="2200"/>
      <c r="M40" s="2168"/>
      <c r="N40" s="2169"/>
      <c r="O40" s="2164"/>
      <c r="P40" s="2168"/>
      <c r="Q40" s="2168"/>
      <c r="R40" s="2179"/>
      <c r="S40" s="2164"/>
      <c r="T40" s="2168"/>
      <c r="U40" s="2169"/>
      <c r="V40" s="2215">
        <v>1</v>
      </c>
      <c r="W40" s="2214">
        <f>X40/V40/1.2*1000</f>
        <v>9500</v>
      </c>
      <c r="X40" s="2198">
        <v>11.4</v>
      </c>
    </row>
    <row r="41" spans="1:24" s="2194" customFormat="1" ht="270" hidden="1" x14ac:dyDescent="0.25">
      <c r="A41" s="2164">
        <v>9</v>
      </c>
      <c r="B41" s="2165" t="s">
        <v>2037</v>
      </c>
      <c r="C41" s="2166" t="s">
        <v>318</v>
      </c>
      <c r="D41" s="2167"/>
      <c r="E41" s="2180"/>
      <c r="F41" s="2168"/>
      <c r="G41" s="2169"/>
      <c r="H41" s="2170">
        <f>K41</f>
        <v>80</v>
      </c>
      <c r="I41" s="2180">
        <v>2</v>
      </c>
      <c r="J41" s="2168">
        <f>K41/I41/1.18*1000</f>
        <v>33898.300000000003</v>
      </c>
      <c r="K41" s="2169">
        <v>80</v>
      </c>
      <c r="L41" s="2200">
        <v>2</v>
      </c>
      <c r="M41" s="2168">
        <f>N41/L41/1.2*1000</f>
        <v>33333.300000000003</v>
      </c>
      <c r="N41" s="2168">
        <v>80</v>
      </c>
      <c r="O41" s="2164"/>
      <c r="P41" s="2168"/>
      <c r="Q41" s="2168"/>
      <c r="R41" s="2179" t="s">
        <v>2038</v>
      </c>
      <c r="S41" s="2164"/>
      <c r="T41" s="2168"/>
      <c r="U41" s="2169"/>
      <c r="V41" s="2164"/>
      <c r="W41" s="2168"/>
      <c r="X41" s="2169"/>
    </row>
    <row r="42" spans="1:24" s="2226" customFormat="1" ht="276.75" hidden="1" customHeight="1" x14ac:dyDescent="0.25">
      <c r="A42" s="2164">
        <v>10</v>
      </c>
      <c r="B42" s="2227" t="s">
        <v>2039</v>
      </c>
      <c r="C42" s="2221" t="s">
        <v>564</v>
      </c>
      <c r="D42" s="2222"/>
      <c r="E42" s="2213"/>
      <c r="F42" s="2214"/>
      <c r="G42" s="2216"/>
      <c r="H42" s="2222"/>
      <c r="I42" s="2213"/>
      <c r="J42" s="2228"/>
      <c r="K42" s="2216"/>
      <c r="L42" s="2229"/>
      <c r="M42" s="2214"/>
      <c r="N42" s="2216"/>
      <c r="O42" s="2230">
        <v>3</v>
      </c>
      <c r="P42" s="2214">
        <f>Q42/O42/1.2*1000</f>
        <v>25861.1</v>
      </c>
      <c r="Q42" s="2214">
        <v>93.1</v>
      </c>
      <c r="R42" s="2231" t="s">
        <v>2040</v>
      </c>
      <c r="S42" s="2230">
        <v>3</v>
      </c>
      <c r="T42" s="2214">
        <f t="shared" ref="T42" si="2">U42/S42/1.2*1000</f>
        <v>25861.1</v>
      </c>
      <c r="U42" s="2214">
        <f>Q42</f>
        <v>93.1</v>
      </c>
      <c r="V42" s="2230">
        <v>3</v>
      </c>
      <c r="W42" s="2214">
        <f t="shared" ref="W42" si="3">X42/V42/1.2*1000</f>
        <v>25861.1</v>
      </c>
      <c r="X42" s="2216">
        <f>Q42</f>
        <v>93.1</v>
      </c>
    </row>
    <row r="43" spans="1:24" ht="28.5" hidden="1" x14ac:dyDescent="0.25">
      <c r="A43" s="2184"/>
      <c r="B43" s="2185" t="s">
        <v>319</v>
      </c>
      <c r="C43" s="2186"/>
      <c r="D43" s="2187">
        <f>SUM(D31:D42)</f>
        <v>265.3</v>
      </c>
      <c r="E43" s="2232"/>
      <c r="F43" s="2189"/>
      <c r="G43" s="2190">
        <f>SUM(G31:G42)</f>
        <v>265.3</v>
      </c>
      <c r="H43" s="2187">
        <f>SUM(H31:H42)</f>
        <v>170.4</v>
      </c>
      <c r="I43" s="2188"/>
      <c r="J43" s="2189"/>
      <c r="K43" s="2190">
        <f>SUM(K31:K42)</f>
        <v>170.4</v>
      </c>
      <c r="L43" s="2191"/>
      <c r="M43" s="2189"/>
      <c r="N43" s="2190">
        <f>SUM(N31:N42)</f>
        <v>148.1</v>
      </c>
      <c r="O43" s="2184"/>
      <c r="P43" s="2189"/>
      <c r="Q43" s="2189">
        <f>SUM(Q31:Q42)</f>
        <v>124.3</v>
      </c>
      <c r="R43" s="2186"/>
      <c r="S43" s="2184"/>
      <c r="T43" s="2189"/>
      <c r="U43" s="2190">
        <f>SUM(U31:U42)</f>
        <v>166.4</v>
      </c>
      <c r="V43" s="2184"/>
      <c r="W43" s="2189"/>
      <c r="X43" s="2190">
        <f>SUM(X31:X42)</f>
        <v>114.1</v>
      </c>
    </row>
    <row r="44" spans="1:24" hidden="1" x14ac:dyDescent="0.25">
      <c r="A44" s="2137"/>
      <c r="B44" s="2233" t="s">
        <v>453</v>
      </c>
      <c r="C44" s="2139"/>
      <c r="D44" s="2234"/>
      <c r="E44" s="2138"/>
      <c r="F44" s="2235"/>
      <c r="G44" s="2236"/>
      <c r="H44" s="2234"/>
      <c r="I44" s="2138"/>
      <c r="J44" s="2235"/>
      <c r="K44" s="2236"/>
      <c r="L44" s="2140"/>
      <c r="M44" s="2235"/>
      <c r="N44" s="2236"/>
      <c r="O44" s="2137"/>
      <c r="P44" s="2235"/>
      <c r="Q44" s="2235"/>
      <c r="R44" s="2139"/>
      <c r="S44" s="2137"/>
      <c r="T44" s="2237"/>
      <c r="U44" s="2238"/>
      <c r="V44" s="2137"/>
      <c r="W44" s="2235"/>
      <c r="X44" s="2236"/>
    </row>
    <row r="45" spans="1:24" hidden="1" x14ac:dyDescent="0.25">
      <c r="A45" s="2137"/>
      <c r="B45" s="2233" t="s">
        <v>455</v>
      </c>
      <c r="C45" s="2139"/>
      <c r="D45" s="2234"/>
      <c r="E45" s="2138"/>
      <c r="F45" s="2235"/>
      <c r="G45" s="2236"/>
      <c r="H45" s="2234"/>
      <c r="I45" s="2138"/>
      <c r="J45" s="2235"/>
      <c r="K45" s="2236"/>
      <c r="L45" s="2140"/>
      <c r="M45" s="2235"/>
      <c r="N45" s="2236"/>
      <c r="O45" s="2137"/>
      <c r="P45" s="2235"/>
      <c r="Q45" s="2235"/>
      <c r="R45" s="2139"/>
      <c r="S45" s="2137"/>
      <c r="T45" s="2235"/>
      <c r="U45" s="2236"/>
      <c r="V45" s="2137"/>
      <c r="W45" s="2235"/>
      <c r="X45" s="2236"/>
    </row>
    <row r="46" spans="1:24" ht="15.75" hidden="1" thickBot="1" x14ac:dyDescent="0.3">
      <c r="A46" s="2239"/>
      <c r="B46" s="2240" t="s">
        <v>457</v>
      </c>
      <c r="C46" s="2241"/>
      <c r="D46" s="2242"/>
      <c r="E46" s="2243"/>
      <c r="F46" s="2244"/>
      <c r="G46" s="2245"/>
      <c r="H46" s="2242"/>
      <c r="I46" s="2243"/>
      <c r="J46" s="2244"/>
      <c r="K46" s="2245"/>
      <c r="L46" s="2246"/>
      <c r="M46" s="2244"/>
      <c r="N46" s="2245"/>
      <c r="O46" s="2239"/>
      <c r="P46" s="2244"/>
      <c r="Q46" s="2244"/>
      <c r="R46" s="2241"/>
      <c r="S46" s="2239"/>
      <c r="T46" s="2244"/>
      <c r="U46" s="2245"/>
      <c r="V46" s="2239"/>
      <c r="W46" s="2244"/>
      <c r="X46" s="2245"/>
    </row>
    <row r="47" spans="1:24" x14ac:dyDescent="0.25">
      <c r="Q47" s="2247"/>
    </row>
    <row r="53" spans="16:24" x14ac:dyDescent="0.25">
      <c r="Q53" s="2248" t="s">
        <v>1259</v>
      </c>
      <c r="R53" s="2248"/>
      <c r="S53" s="2248"/>
      <c r="T53" s="2248"/>
      <c r="U53" s="2248" t="s">
        <v>1259</v>
      </c>
      <c r="V53" s="2248"/>
      <c r="W53" s="2248"/>
      <c r="X53" s="2248" t="s">
        <v>1259</v>
      </c>
    </row>
    <row r="54" spans="16:24" x14ac:dyDescent="0.25">
      <c r="Q54" s="2249">
        <v>940.3</v>
      </c>
      <c r="R54" s="2249"/>
      <c r="S54" s="2249"/>
      <c r="T54" s="2249"/>
      <c r="U54" s="2249">
        <v>940.3</v>
      </c>
      <c r="V54" s="2249"/>
      <c r="W54" s="2249"/>
      <c r="X54" s="2249">
        <v>940.3</v>
      </c>
    </row>
    <row r="55" spans="16:24" s="2250" customFormat="1" x14ac:dyDescent="0.25">
      <c r="P55" s="2250" t="s">
        <v>1391</v>
      </c>
      <c r="Q55" s="2251">
        <f>Q54-Q30</f>
        <v>0</v>
      </c>
      <c r="R55" s="2251"/>
      <c r="S55" s="2251"/>
      <c r="T55" s="2251"/>
      <c r="U55" s="2251">
        <f t="shared" ref="U55:X55" si="4">U54-U30</f>
        <v>0</v>
      </c>
      <c r="V55" s="2251"/>
      <c r="W55" s="2251"/>
      <c r="X55" s="2251">
        <f t="shared" si="4"/>
        <v>0</v>
      </c>
    </row>
  </sheetData>
  <mergeCells count="11">
    <mergeCell ref="V14:X14"/>
    <mergeCell ref="A11:X11"/>
    <mergeCell ref="A12:X12"/>
    <mergeCell ref="A14:A15"/>
    <mergeCell ref="B14:B15"/>
    <mergeCell ref="C14:C15"/>
    <mergeCell ref="D14:G14"/>
    <mergeCell ref="H14:K14"/>
    <mergeCell ref="L14:N14"/>
    <mergeCell ref="O14:R14"/>
    <mergeCell ref="S14:U14"/>
  </mergeCells>
  <pageMargins left="0.70866141732283472" right="0.70866141732283472" top="0.74803149606299213" bottom="0.74803149606299213" header="0.31496062992125984" footer="0.31496062992125984"/>
  <pageSetup paperSize="9" scale="51"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tabColor rgb="FF00B0F0"/>
    <pageSetUpPr fitToPage="1"/>
  </sheetPr>
  <dimension ref="A1:AS43"/>
  <sheetViews>
    <sheetView view="pageBreakPreview" zoomScale="80" zoomScaleNormal="100" zoomScaleSheetLayoutView="80" workbookViewId="0">
      <pane xSplit="3" ySplit="8" topLeftCell="L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12.83203125" style="98" customWidth="1"/>
    <col min="2" max="2" width="30.83203125" style="99" customWidth="1"/>
    <col min="3" max="3" width="13.83203125" style="99" customWidth="1"/>
    <col min="4" max="4" width="11.5" style="99" customWidth="1"/>
    <col min="5" max="5" width="13" style="99" customWidth="1"/>
    <col min="6" max="6" width="14.6640625" style="99" customWidth="1"/>
    <col min="7" max="8" width="13.1640625" style="99" customWidth="1"/>
    <col min="9" max="9" width="11.6640625" style="99" customWidth="1"/>
    <col min="10" max="10" width="16.83203125" style="99" customWidth="1"/>
    <col min="11" max="11" width="12" style="99" customWidth="1"/>
    <col min="12" max="17" width="11.5" style="100" customWidth="1"/>
    <col min="18" max="18" width="14.1640625" style="99" customWidth="1"/>
    <col min="19" max="19" width="15.5" style="99" customWidth="1"/>
    <col min="20" max="20" width="12.33203125" style="99" customWidth="1"/>
    <col min="21" max="21" width="11.6640625" style="99" customWidth="1"/>
    <col min="22" max="23" width="12" style="99" customWidth="1"/>
    <col min="24" max="24" width="12.6640625" style="99" customWidth="1"/>
    <col min="25" max="25" width="12" style="99" customWidth="1"/>
    <col min="26" max="26" width="9.6640625" style="99" customWidth="1"/>
    <col min="27" max="31" width="8.5" style="99" customWidth="1"/>
    <col min="32" max="32" width="9.6640625" style="99" customWidth="1"/>
    <col min="33" max="33" width="9.33203125" style="99" customWidth="1"/>
    <col min="34" max="34" width="12" style="99" customWidth="1"/>
    <col min="35" max="36" width="11.1640625" style="99" customWidth="1"/>
    <col min="37" max="37" width="12.6640625" style="99" customWidth="1"/>
    <col min="38" max="38" width="11.83203125" style="99" hidden="1" customWidth="1"/>
    <col min="39" max="39" width="13" style="99" hidden="1" customWidth="1"/>
    <col min="40" max="42" width="9.33203125" style="22"/>
    <col min="43" max="43" width="11.33203125" style="22" bestFit="1" customWidth="1"/>
    <col min="44" max="16384" width="9.33203125" style="99"/>
  </cols>
  <sheetData>
    <row r="1" spans="1:45" ht="21" customHeight="1" x14ac:dyDescent="0.2">
      <c r="AE1" s="3196"/>
      <c r="AF1" s="3196"/>
      <c r="AG1" s="3196"/>
      <c r="AH1" s="3196"/>
    </row>
    <row r="2" spans="1:45" ht="24" customHeight="1" x14ac:dyDescent="0.2">
      <c r="A2" s="3197" t="s">
        <v>142</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row>
    <row r="4" spans="1:45" x14ac:dyDescent="0.2">
      <c r="L4" s="102">
        <v>3.8399999999999997E-2</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79</v>
      </c>
      <c r="E6" s="3201" t="s">
        <v>69</v>
      </c>
      <c r="F6" s="3201" t="s">
        <v>89</v>
      </c>
      <c r="G6" s="3201" t="s">
        <v>1</v>
      </c>
      <c r="H6" s="3201" t="s">
        <v>2</v>
      </c>
      <c r="I6" s="3201" t="s">
        <v>70</v>
      </c>
      <c r="J6" s="3201" t="s">
        <v>61</v>
      </c>
      <c r="K6" s="3201" t="s">
        <v>27</v>
      </c>
      <c r="L6" s="3203" t="s">
        <v>65</v>
      </c>
      <c r="M6" s="3203" t="s">
        <v>86</v>
      </c>
      <c r="N6" s="3204" t="s">
        <v>91</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104" t="s">
        <v>80</v>
      </c>
      <c r="O7" s="104" t="s">
        <v>81</v>
      </c>
      <c r="P7" s="3204"/>
      <c r="Q7" s="3203"/>
      <c r="R7" s="3201"/>
      <c r="S7" s="3203" t="s">
        <v>67</v>
      </c>
      <c r="T7" s="3201"/>
      <c r="U7" s="3201"/>
      <c r="V7" s="3201"/>
      <c r="W7" s="3201"/>
      <c r="X7" s="105" t="s">
        <v>5</v>
      </c>
      <c r="Y7" s="105" t="s">
        <v>6</v>
      </c>
      <c r="Z7" s="105" t="s">
        <v>74</v>
      </c>
      <c r="AA7" s="105" t="s">
        <v>5</v>
      </c>
      <c r="AB7" s="105" t="s">
        <v>6</v>
      </c>
      <c r="AC7" s="105" t="s">
        <v>75</v>
      </c>
      <c r="AD7" s="105" t="s">
        <v>5</v>
      </c>
      <c r="AE7" s="105" t="s">
        <v>6</v>
      </c>
      <c r="AF7" s="105" t="s">
        <v>76</v>
      </c>
      <c r="AG7" s="3200"/>
      <c r="AH7" s="3200"/>
      <c r="AK7" s="98" t="s">
        <v>64</v>
      </c>
      <c r="AL7" s="98" t="s">
        <v>62</v>
      </c>
      <c r="AM7" s="98" t="s">
        <v>63</v>
      </c>
    </row>
    <row r="8" spans="1:45" x14ac:dyDescent="0.2">
      <c r="A8" s="94">
        <v>1</v>
      </c>
      <c r="B8" s="94">
        <v>2</v>
      </c>
      <c r="C8" s="94">
        <v>3</v>
      </c>
      <c r="D8" s="94">
        <v>4</v>
      </c>
      <c r="E8" s="94">
        <v>5</v>
      </c>
      <c r="F8" s="94">
        <v>6</v>
      </c>
      <c r="G8" s="94">
        <v>7</v>
      </c>
      <c r="H8" s="94">
        <v>8</v>
      </c>
      <c r="I8" s="94">
        <v>9</v>
      </c>
      <c r="J8" s="94">
        <v>10</v>
      </c>
      <c r="K8" s="94">
        <v>11</v>
      </c>
      <c r="L8" s="94">
        <v>12</v>
      </c>
      <c r="M8" s="94">
        <v>13</v>
      </c>
      <c r="N8" s="94">
        <v>14</v>
      </c>
      <c r="O8" s="94">
        <v>15</v>
      </c>
      <c r="P8" s="94">
        <v>16</v>
      </c>
      <c r="Q8" s="94">
        <v>17</v>
      </c>
      <c r="R8" s="94">
        <v>18</v>
      </c>
      <c r="S8" s="94">
        <v>19</v>
      </c>
      <c r="T8" s="94">
        <v>20</v>
      </c>
      <c r="U8" s="94">
        <v>21</v>
      </c>
      <c r="V8" s="94">
        <v>22</v>
      </c>
      <c r="W8" s="94">
        <v>23</v>
      </c>
      <c r="X8" s="94">
        <v>24</v>
      </c>
      <c r="Y8" s="94">
        <v>25</v>
      </c>
      <c r="Z8" s="94">
        <v>26</v>
      </c>
      <c r="AA8" s="94">
        <v>27</v>
      </c>
      <c r="AB8" s="94">
        <v>28</v>
      </c>
      <c r="AC8" s="94">
        <v>29</v>
      </c>
      <c r="AD8" s="94">
        <v>30</v>
      </c>
      <c r="AE8" s="94">
        <v>31</v>
      </c>
      <c r="AF8" s="94">
        <v>32</v>
      </c>
      <c r="AG8" s="94">
        <v>33</v>
      </c>
      <c r="AH8" s="94">
        <v>34</v>
      </c>
      <c r="AN8" s="43" t="s">
        <v>116</v>
      </c>
      <c r="AO8" s="43" t="s">
        <v>117</v>
      </c>
      <c r="AP8" s="43" t="s">
        <v>118</v>
      </c>
      <c r="AQ8" s="43" t="s">
        <v>119</v>
      </c>
    </row>
    <row r="9" spans="1:45" ht="16.5" customHeight="1" x14ac:dyDescent="0.2">
      <c r="A9" s="94">
        <v>1</v>
      </c>
      <c r="B9" s="106" t="s">
        <v>21</v>
      </c>
      <c r="C9" s="94">
        <v>1</v>
      </c>
      <c r="D9" s="107">
        <v>22.465</v>
      </c>
      <c r="E9" s="108">
        <f t="shared" ref="E9:E20" si="0">C9*D9</f>
        <v>22.47</v>
      </c>
      <c r="F9" s="109">
        <f t="shared" ref="F9:F19" si="1">E9*12</f>
        <v>269.60000000000002</v>
      </c>
      <c r="G9" s="110"/>
      <c r="H9" s="110"/>
      <c r="I9" s="110"/>
      <c r="J9" s="110"/>
      <c r="K9" s="95">
        <f>D9*0.2*5+D9*0.25*7</f>
        <v>61.8</v>
      </c>
      <c r="L9" s="95">
        <f>$L$4*F9</f>
        <v>10.4</v>
      </c>
      <c r="M9" s="95">
        <f t="shared" ref="M9:M19" si="2">F9+G9+H9+I9+J9+K9+L9</f>
        <v>341.8</v>
      </c>
      <c r="N9" s="111">
        <v>0.47</v>
      </c>
      <c r="O9" s="95">
        <f t="shared" ref="O9:O19" si="3">M9*N9</f>
        <v>160.6</v>
      </c>
      <c r="P9" s="95">
        <f t="shared" ref="P9:P19" si="4">M9+O9</f>
        <v>502.4</v>
      </c>
      <c r="Q9" s="95">
        <f t="shared" ref="Q9:Q19" si="5">P9*0.8</f>
        <v>401.9</v>
      </c>
      <c r="R9" s="95">
        <f t="shared" ref="R9:R19" si="6">P9*0.8</f>
        <v>401.9</v>
      </c>
      <c r="S9" s="95">
        <f t="shared" ref="S9:S19" si="7">(P9+Q9+R9)*0.032</f>
        <v>41.8</v>
      </c>
      <c r="T9" s="95">
        <f>P9+Q9+R9+S9</f>
        <v>1348</v>
      </c>
      <c r="U9" s="3205">
        <v>1</v>
      </c>
      <c r="V9" s="95">
        <f>T9*$U$9</f>
        <v>1348</v>
      </c>
      <c r="W9" s="95">
        <f>AQ9</f>
        <v>369.3</v>
      </c>
      <c r="X9" s="94">
        <v>1</v>
      </c>
      <c r="Y9" s="112">
        <v>30</v>
      </c>
      <c r="Z9" s="113">
        <f t="shared" ref="Z9:Z20" si="8">X9*Y9</f>
        <v>30</v>
      </c>
      <c r="AA9" s="94"/>
      <c r="AB9" s="112">
        <v>15</v>
      </c>
      <c r="AC9" s="113">
        <f t="shared" ref="AC9:AC20" si="9">AA9*AB9</f>
        <v>0</v>
      </c>
      <c r="AD9" s="94"/>
      <c r="AE9" s="112">
        <v>30</v>
      </c>
      <c r="AF9" s="113">
        <f>AD9*AE9</f>
        <v>0</v>
      </c>
      <c r="AG9" s="113">
        <f>(Z9+AC9+AF9)*1%*30</f>
        <v>9</v>
      </c>
      <c r="AH9" s="113">
        <f>Z9+AC9+AF9+AG9</f>
        <v>39</v>
      </c>
      <c r="AI9" s="114">
        <f t="shared" ref="AI9:AI19" si="10">V9/12/C9*1000</f>
        <v>112333.3</v>
      </c>
      <c r="AJ9" s="114"/>
      <c r="AK9" s="114">
        <f t="shared" ref="AK9:AK20" si="11">V9/C9</f>
        <v>1348</v>
      </c>
      <c r="AL9" s="114">
        <f>((979*0.302)+((AK9-979)*0.182))</f>
        <v>362.8</v>
      </c>
      <c r="AM9" s="115">
        <f>AL9/AK9</f>
        <v>0.26900000000000002</v>
      </c>
      <c r="AN9" s="50">
        <f>1150*0.22*C9+(V9-1150*C9)*0.1</f>
        <v>272.8</v>
      </c>
      <c r="AO9" s="116">
        <f>865*0.029</f>
        <v>25.1</v>
      </c>
      <c r="AP9" s="116">
        <f>AK9*0.053</f>
        <v>71.400000000000006</v>
      </c>
      <c r="AQ9" s="50">
        <f>SUM(AN9:AP9)</f>
        <v>369.3</v>
      </c>
      <c r="AS9" s="115"/>
    </row>
    <row r="10" spans="1:45" ht="15" x14ac:dyDescent="0.2">
      <c r="A10" s="94">
        <v>2</v>
      </c>
      <c r="B10" s="106" t="s">
        <v>125</v>
      </c>
      <c r="C10" s="94">
        <v>1</v>
      </c>
      <c r="D10" s="107">
        <v>17.972000000000001</v>
      </c>
      <c r="E10" s="108">
        <f t="shared" si="0"/>
        <v>17.97</v>
      </c>
      <c r="F10" s="109">
        <f t="shared" si="1"/>
        <v>215.6</v>
      </c>
      <c r="G10" s="110"/>
      <c r="H10" s="110"/>
      <c r="I10" s="110"/>
      <c r="J10" s="110"/>
      <c r="K10" s="95">
        <f>F10*0.3</f>
        <v>64.7</v>
      </c>
      <c r="L10" s="95">
        <f t="shared" ref="L10:L20" si="12">$L$4*F10</f>
        <v>8.3000000000000007</v>
      </c>
      <c r="M10" s="95">
        <f t="shared" si="2"/>
        <v>288.60000000000002</v>
      </c>
      <c r="N10" s="111">
        <v>0.47</v>
      </c>
      <c r="O10" s="95">
        <f t="shared" si="3"/>
        <v>135.6</v>
      </c>
      <c r="P10" s="95">
        <f t="shared" si="4"/>
        <v>424.2</v>
      </c>
      <c r="Q10" s="95">
        <f t="shared" si="5"/>
        <v>339.4</v>
      </c>
      <c r="R10" s="95">
        <f t="shared" si="6"/>
        <v>339.4</v>
      </c>
      <c r="S10" s="95">
        <f t="shared" si="7"/>
        <v>35.299999999999997</v>
      </c>
      <c r="T10" s="95">
        <f t="shared" ref="T10:T19" si="13">P10+Q10+R10+S10</f>
        <v>1138.3</v>
      </c>
      <c r="U10" s="3206"/>
      <c r="V10" s="95">
        <f>T10*$U$9</f>
        <v>1138.3</v>
      </c>
      <c r="W10" s="95">
        <f>AQ10</f>
        <v>337.2</v>
      </c>
      <c r="X10" s="94"/>
      <c r="Y10" s="112">
        <v>30</v>
      </c>
      <c r="Z10" s="113">
        <f t="shared" si="8"/>
        <v>0</v>
      </c>
      <c r="AA10" s="94"/>
      <c r="AB10" s="112">
        <v>15</v>
      </c>
      <c r="AC10" s="113">
        <f t="shared" si="9"/>
        <v>0</v>
      </c>
      <c r="AD10" s="94"/>
      <c r="AE10" s="112">
        <v>30</v>
      </c>
      <c r="AF10" s="113">
        <f t="shared" ref="AF10:AF20" si="14">AD10*AE10</f>
        <v>0</v>
      </c>
      <c r="AG10" s="113">
        <f t="shared" ref="AG10:AG20" si="15">(Z10+AC10+AF10)*1%*30</f>
        <v>0</v>
      </c>
      <c r="AH10" s="113">
        <f t="shared" ref="AH10:AH20" si="16">Z10+AC10+AF10+AG10</f>
        <v>0</v>
      </c>
      <c r="AI10" s="114">
        <f t="shared" si="10"/>
        <v>94858.3</v>
      </c>
      <c r="AJ10" s="114"/>
      <c r="AK10" s="114">
        <f t="shared" si="11"/>
        <v>1138.3</v>
      </c>
      <c r="AL10" s="114">
        <f t="shared" ref="AL10:AL20" si="17">((979*0.302)+((AK10-979)*0.182))</f>
        <v>324.7</v>
      </c>
      <c r="AM10" s="115">
        <f>AL10/AK10</f>
        <v>0.28499999999999998</v>
      </c>
      <c r="AN10" s="50">
        <f>1150*0.22*C10+(V10-1150*C10)*0.1</f>
        <v>251.8</v>
      </c>
      <c r="AO10" s="116">
        <f>865*0.029</f>
        <v>25.1</v>
      </c>
      <c r="AP10" s="116">
        <f>AK10*0.053</f>
        <v>60.3</v>
      </c>
      <c r="AQ10" s="50">
        <f>SUM(AN10:AP10)</f>
        <v>337.2</v>
      </c>
      <c r="AS10" s="115"/>
    </row>
    <row r="11" spans="1:45" ht="15" x14ac:dyDescent="0.2">
      <c r="A11" s="94">
        <v>3</v>
      </c>
      <c r="B11" s="117" t="s">
        <v>29</v>
      </c>
      <c r="C11" s="118">
        <v>1</v>
      </c>
      <c r="D11" s="107">
        <v>8.4730000000000008</v>
      </c>
      <c r="E11" s="119">
        <f t="shared" si="0"/>
        <v>8.4700000000000006</v>
      </c>
      <c r="F11" s="110">
        <f t="shared" si="1"/>
        <v>101.6</v>
      </c>
      <c r="G11" s="110"/>
      <c r="H11" s="110"/>
      <c r="I11" s="110"/>
      <c r="J11" s="110"/>
      <c r="K11" s="95"/>
      <c r="L11" s="95">
        <f t="shared" si="12"/>
        <v>3.9</v>
      </c>
      <c r="M11" s="95">
        <f t="shared" si="2"/>
        <v>105.5</v>
      </c>
      <c r="N11" s="111">
        <v>0.41</v>
      </c>
      <c r="O11" s="95">
        <f t="shared" si="3"/>
        <v>43.3</v>
      </c>
      <c r="P11" s="95">
        <f t="shared" si="4"/>
        <v>148.80000000000001</v>
      </c>
      <c r="Q11" s="95">
        <f t="shared" si="5"/>
        <v>119</v>
      </c>
      <c r="R11" s="95">
        <f t="shared" si="6"/>
        <v>119</v>
      </c>
      <c r="S11" s="95">
        <f t="shared" si="7"/>
        <v>12.4</v>
      </c>
      <c r="T11" s="95">
        <f t="shared" si="13"/>
        <v>399.2</v>
      </c>
      <c r="U11" s="3206"/>
      <c r="V11" s="95">
        <f t="shared" ref="V11:V19" si="18">T11*$U$9</f>
        <v>399.2</v>
      </c>
      <c r="W11" s="95">
        <f t="shared" ref="W11:W20" si="19">V11*0.302</f>
        <v>120.6</v>
      </c>
      <c r="X11" s="120"/>
      <c r="Y11" s="112">
        <v>30</v>
      </c>
      <c r="Z11" s="113">
        <f t="shared" si="8"/>
        <v>0</v>
      </c>
      <c r="AA11" s="120"/>
      <c r="AB11" s="112">
        <v>15</v>
      </c>
      <c r="AC11" s="113">
        <f t="shared" si="9"/>
        <v>0</v>
      </c>
      <c r="AD11" s="120"/>
      <c r="AE11" s="112">
        <v>30</v>
      </c>
      <c r="AF11" s="113">
        <f t="shared" si="14"/>
        <v>0</v>
      </c>
      <c r="AG11" s="113">
        <f t="shared" si="15"/>
        <v>0</v>
      </c>
      <c r="AH11" s="113">
        <f t="shared" si="16"/>
        <v>0</v>
      </c>
      <c r="AI11" s="114">
        <f t="shared" si="10"/>
        <v>33266.699999999997</v>
      </c>
      <c r="AJ11" s="114"/>
      <c r="AK11" s="114">
        <f t="shared" si="11"/>
        <v>399.2</v>
      </c>
      <c r="AL11" s="114">
        <f t="shared" si="17"/>
        <v>190.1</v>
      </c>
      <c r="AM11" s="115">
        <v>0.30199999999999999</v>
      </c>
      <c r="AN11" s="116"/>
      <c r="AO11" s="116"/>
      <c r="AP11" s="116"/>
      <c r="AQ11" s="116"/>
      <c r="AS11" s="115"/>
    </row>
    <row r="12" spans="1:45" s="126" customFormat="1" ht="25.5" x14ac:dyDescent="0.2">
      <c r="A12" s="94">
        <v>4</v>
      </c>
      <c r="B12" s="121" t="s">
        <v>31</v>
      </c>
      <c r="C12" s="122">
        <v>1</v>
      </c>
      <c r="D12" s="107">
        <v>11.061999999999999</v>
      </c>
      <c r="E12" s="123">
        <f t="shared" si="0"/>
        <v>11.06</v>
      </c>
      <c r="F12" s="124">
        <f t="shared" si="1"/>
        <v>132.69999999999999</v>
      </c>
      <c r="G12" s="124"/>
      <c r="H12" s="124"/>
      <c r="I12" s="124"/>
      <c r="J12" s="125"/>
      <c r="K12" s="96"/>
      <c r="L12" s="95">
        <f t="shared" si="12"/>
        <v>5.0999999999999996</v>
      </c>
      <c r="M12" s="96">
        <f t="shared" si="2"/>
        <v>137.80000000000001</v>
      </c>
      <c r="N12" s="111">
        <v>0.47</v>
      </c>
      <c r="O12" s="96">
        <f t="shared" si="3"/>
        <v>64.8</v>
      </c>
      <c r="P12" s="96">
        <f t="shared" si="4"/>
        <v>202.6</v>
      </c>
      <c r="Q12" s="96">
        <f t="shared" si="5"/>
        <v>162.1</v>
      </c>
      <c r="R12" s="96">
        <f t="shared" si="6"/>
        <v>162.1</v>
      </c>
      <c r="S12" s="96">
        <f t="shared" si="7"/>
        <v>16.899999999999999</v>
      </c>
      <c r="T12" s="96">
        <f t="shared" si="13"/>
        <v>543.70000000000005</v>
      </c>
      <c r="U12" s="3206"/>
      <c r="V12" s="96">
        <f t="shared" si="18"/>
        <v>543.70000000000005</v>
      </c>
      <c r="W12" s="95">
        <f t="shared" si="19"/>
        <v>164.2</v>
      </c>
      <c r="X12" s="122">
        <v>1</v>
      </c>
      <c r="Y12" s="112">
        <v>30</v>
      </c>
      <c r="Z12" s="113">
        <f t="shared" si="8"/>
        <v>30</v>
      </c>
      <c r="AA12" s="122"/>
      <c r="AB12" s="112">
        <v>15</v>
      </c>
      <c r="AC12" s="113">
        <f t="shared" si="9"/>
        <v>0</v>
      </c>
      <c r="AD12" s="122"/>
      <c r="AE12" s="112">
        <v>30</v>
      </c>
      <c r="AF12" s="113">
        <f t="shared" si="14"/>
        <v>0</v>
      </c>
      <c r="AG12" s="113">
        <f t="shared" si="15"/>
        <v>9</v>
      </c>
      <c r="AH12" s="113">
        <f t="shared" si="16"/>
        <v>39</v>
      </c>
      <c r="AI12" s="114">
        <f t="shared" si="10"/>
        <v>45308.3</v>
      </c>
      <c r="AJ12" s="114"/>
      <c r="AK12" s="114">
        <f t="shared" si="11"/>
        <v>543.70000000000005</v>
      </c>
      <c r="AL12" s="114">
        <f t="shared" si="17"/>
        <v>216.4</v>
      </c>
      <c r="AM12" s="115">
        <v>0.30199999999999999</v>
      </c>
      <c r="AN12" s="22"/>
      <c r="AO12" s="116"/>
      <c r="AP12" s="116"/>
      <c r="AQ12" s="116"/>
      <c r="AS12" s="115"/>
    </row>
    <row r="13" spans="1:45" ht="25.5" x14ac:dyDescent="0.2">
      <c r="A13" s="94">
        <v>5</v>
      </c>
      <c r="B13" s="117" t="s">
        <v>108</v>
      </c>
      <c r="C13" s="127">
        <v>2</v>
      </c>
      <c r="D13" s="107">
        <v>8.4730000000000008</v>
      </c>
      <c r="E13" s="119">
        <f t="shared" si="0"/>
        <v>16.95</v>
      </c>
      <c r="F13" s="110">
        <f t="shared" si="1"/>
        <v>203.4</v>
      </c>
      <c r="G13" s="110"/>
      <c r="H13" s="110"/>
      <c r="I13" s="110"/>
      <c r="J13" s="110"/>
      <c r="K13" s="95">
        <f>F13*0.25</f>
        <v>50.9</v>
      </c>
      <c r="L13" s="95">
        <f t="shared" si="12"/>
        <v>7.8</v>
      </c>
      <c r="M13" s="95">
        <f t="shared" si="2"/>
        <v>262.10000000000002</v>
      </c>
      <c r="N13" s="111">
        <v>0.47</v>
      </c>
      <c r="O13" s="95">
        <f t="shared" si="3"/>
        <v>123.2</v>
      </c>
      <c r="P13" s="95">
        <f t="shared" si="4"/>
        <v>385.3</v>
      </c>
      <c r="Q13" s="95">
        <f t="shared" si="5"/>
        <v>308.2</v>
      </c>
      <c r="R13" s="95">
        <f t="shared" si="6"/>
        <v>308.2</v>
      </c>
      <c r="S13" s="95">
        <f t="shared" si="7"/>
        <v>32.1</v>
      </c>
      <c r="T13" s="95">
        <f t="shared" si="13"/>
        <v>1033.8</v>
      </c>
      <c r="U13" s="3206"/>
      <c r="V13" s="95">
        <f>T13*$U$9</f>
        <v>1033.8</v>
      </c>
      <c r="W13" s="95">
        <f t="shared" si="19"/>
        <v>312.2</v>
      </c>
      <c r="X13" s="94">
        <v>1</v>
      </c>
      <c r="Y13" s="112">
        <v>30</v>
      </c>
      <c r="Z13" s="113">
        <f t="shared" si="8"/>
        <v>30</v>
      </c>
      <c r="AA13" s="127">
        <v>1</v>
      </c>
      <c r="AB13" s="112">
        <v>15</v>
      </c>
      <c r="AC13" s="113">
        <f t="shared" si="9"/>
        <v>15</v>
      </c>
      <c r="AD13" s="127"/>
      <c r="AE13" s="112">
        <v>30</v>
      </c>
      <c r="AF13" s="113">
        <f t="shared" si="14"/>
        <v>0</v>
      </c>
      <c r="AG13" s="113">
        <f t="shared" si="15"/>
        <v>13.5</v>
      </c>
      <c r="AH13" s="113">
        <f t="shared" si="16"/>
        <v>58.5</v>
      </c>
      <c r="AI13" s="114">
        <f t="shared" si="10"/>
        <v>43075</v>
      </c>
      <c r="AJ13" s="114"/>
      <c r="AK13" s="114">
        <f t="shared" si="11"/>
        <v>516.9</v>
      </c>
      <c r="AL13" s="114">
        <f t="shared" si="17"/>
        <v>211.6</v>
      </c>
      <c r="AM13" s="115">
        <v>0.30199999999999999</v>
      </c>
      <c r="AQ13" s="116"/>
      <c r="AS13" s="115"/>
    </row>
    <row r="14" spans="1:45" ht="15" x14ac:dyDescent="0.2">
      <c r="A14" s="94">
        <v>6</v>
      </c>
      <c r="B14" s="117" t="s">
        <v>32</v>
      </c>
      <c r="C14" s="128">
        <v>1</v>
      </c>
      <c r="D14" s="107">
        <v>11.061999999999999</v>
      </c>
      <c r="E14" s="119">
        <f t="shared" si="0"/>
        <v>11.06</v>
      </c>
      <c r="F14" s="110">
        <f t="shared" si="1"/>
        <v>132.69999999999999</v>
      </c>
      <c r="G14" s="110"/>
      <c r="H14" s="110"/>
      <c r="I14" s="110"/>
      <c r="J14" s="110"/>
      <c r="K14" s="95"/>
      <c r="L14" s="95">
        <f t="shared" si="12"/>
        <v>5.0999999999999996</v>
      </c>
      <c r="M14" s="95">
        <f t="shared" si="2"/>
        <v>137.80000000000001</v>
      </c>
      <c r="N14" s="111">
        <v>0.43</v>
      </c>
      <c r="O14" s="95">
        <f t="shared" si="3"/>
        <v>59.3</v>
      </c>
      <c r="P14" s="95">
        <f t="shared" si="4"/>
        <v>197.1</v>
      </c>
      <c r="Q14" s="95">
        <f t="shared" si="5"/>
        <v>157.69999999999999</v>
      </c>
      <c r="R14" s="95">
        <f t="shared" si="6"/>
        <v>157.69999999999999</v>
      </c>
      <c r="S14" s="95">
        <f t="shared" si="7"/>
        <v>16.399999999999999</v>
      </c>
      <c r="T14" s="95">
        <f t="shared" si="13"/>
        <v>528.9</v>
      </c>
      <c r="U14" s="3206"/>
      <c r="V14" s="95">
        <f t="shared" si="18"/>
        <v>528.9</v>
      </c>
      <c r="W14" s="95">
        <f t="shared" si="19"/>
        <v>159.69999999999999</v>
      </c>
      <c r="X14" s="94">
        <v>1</v>
      </c>
      <c r="Y14" s="112">
        <v>30</v>
      </c>
      <c r="Z14" s="113">
        <f t="shared" si="8"/>
        <v>30</v>
      </c>
      <c r="AA14" s="127"/>
      <c r="AB14" s="112">
        <v>15</v>
      </c>
      <c r="AC14" s="113">
        <f t="shared" si="9"/>
        <v>0</v>
      </c>
      <c r="AD14" s="127"/>
      <c r="AE14" s="112">
        <v>30</v>
      </c>
      <c r="AF14" s="113">
        <f t="shared" si="14"/>
        <v>0</v>
      </c>
      <c r="AG14" s="113">
        <f t="shared" si="15"/>
        <v>9</v>
      </c>
      <c r="AH14" s="113">
        <f t="shared" si="16"/>
        <v>39</v>
      </c>
      <c r="AI14" s="114">
        <f t="shared" si="10"/>
        <v>44075</v>
      </c>
      <c r="AJ14" s="114"/>
      <c r="AK14" s="114">
        <f t="shared" si="11"/>
        <v>528.9</v>
      </c>
      <c r="AL14" s="114">
        <f t="shared" si="17"/>
        <v>213.7</v>
      </c>
      <c r="AM14" s="115">
        <v>0.30199999999999999</v>
      </c>
      <c r="AO14" s="116"/>
      <c r="AP14" s="116"/>
      <c r="AQ14" s="116"/>
      <c r="AS14" s="115"/>
    </row>
    <row r="15" spans="1:45" x14ac:dyDescent="0.2">
      <c r="A15" s="94">
        <v>7</v>
      </c>
      <c r="B15" s="129" t="s">
        <v>23</v>
      </c>
      <c r="C15" s="128">
        <v>1</v>
      </c>
      <c r="D15" s="107">
        <v>11.061999999999999</v>
      </c>
      <c r="E15" s="119">
        <f t="shared" si="0"/>
        <v>11.06</v>
      </c>
      <c r="F15" s="110">
        <f t="shared" si="1"/>
        <v>132.69999999999999</v>
      </c>
      <c r="G15" s="110"/>
      <c r="H15" s="110"/>
      <c r="I15" s="110"/>
      <c r="J15" s="110"/>
      <c r="K15" s="95">
        <f>D15*0.3*9+D15*0.35*3</f>
        <v>41.5</v>
      </c>
      <c r="L15" s="95">
        <f t="shared" si="12"/>
        <v>5.0999999999999996</v>
      </c>
      <c r="M15" s="95">
        <f t="shared" si="2"/>
        <v>179.3</v>
      </c>
      <c r="N15" s="111">
        <v>0.43</v>
      </c>
      <c r="O15" s="95">
        <f t="shared" si="3"/>
        <v>77.099999999999994</v>
      </c>
      <c r="P15" s="95">
        <f t="shared" si="4"/>
        <v>256.39999999999998</v>
      </c>
      <c r="Q15" s="95">
        <f t="shared" si="5"/>
        <v>205.1</v>
      </c>
      <c r="R15" s="95">
        <f t="shared" si="6"/>
        <v>205.1</v>
      </c>
      <c r="S15" s="95">
        <f t="shared" si="7"/>
        <v>21.3</v>
      </c>
      <c r="T15" s="95">
        <f t="shared" si="13"/>
        <v>687.9</v>
      </c>
      <c r="U15" s="3206"/>
      <c r="V15" s="95">
        <f t="shared" si="18"/>
        <v>687.9</v>
      </c>
      <c r="W15" s="95">
        <f t="shared" si="19"/>
        <v>207.7</v>
      </c>
      <c r="X15" s="118"/>
      <c r="Y15" s="112">
        <v>30</v>
      </c>
      <c r="Z15" s="113">
        <f t="shared" si="8"/>
        <v>0</v>
      </c>
      <c r="AA15" s="118"/>
      <c r="AB15" s="112">
        <v>15</v>
      </c>
      <c r="AC15" s="113">
        <f t="shared" si="9"/>
        <v>0</v>
      </c>
      <c r="AD15" s="118"/>
      <c r="AE15" s="112">
        <v>30</v>
      </c>
      <c r="AF15" s="113">
        <f t="shared" si="14"/>
        <v>0</v>
      </c>
      <c r="AG15" s="113">
        <f t="shared" si="15"/>
        <v>0</v>
      </c>
      <c r="AH15" s="113">
        <f t="shared" si="16"/>
        <v>0</v>
      </c>
      <c r="AI15" s="114">
        <f t="shared" si="10"/>
        <v>57325</v>
      </c>
      <c r="AJ15" s="114"/>
      <c r="AK15" s="114">
        <f t="shared" si="11"/>
        <v>687.9</v>
      </c>
      <c r="AL15" s="114">
        <f t="shared" si="17"/>
        <v>242.7</v>
      </c>
      <c r="AM15" s="115">
        <v>0.30199999999999999</v>
      </c>
      <c r="AS15" s="115"/>
    </row>
    <row r="16" spans="1:45" ht="15" x14ac:dyDescent="0.2">
      <c r="A16" s="94">
        <v>8</v>
      </c>
      <c r="B16" s="129" t="s">
        <v>33</v>
      </c>
      <c r="C16" s="128">
        <v>2</v>
      </c>
      <c r="D16" s="107">
        <v>8.4730000000000008</v>
      </c>
      <c r="E16" s="119">
        <f t="shared" si="0"/>
        <v>16.95</v>
      </c>
      <c r="F16" s="110">
        <f t="shared" si="1"/>
        <v>203.4</v>
      </c>
      <c r="G16" s="124">
        <f>29314.2/1000</f>
        <v>29.3</v>
      </c>
      <c r="H16" s="110">
        <f>9637.5/1000</f>
        <v>9.6</v>
      </c>
      <c r="I16" s="110"/>
      <c r="J16" s="110"/>
      <c r="K16" s="95">
        <f>D16*0.25*10+D16*0.3*2+F16*0.35</f>
        <v>97.5</v>
      </c>
      <c r="L16" s="95">
        <f t="shared" si="12"/>
        <v>7.8</v>
      </c>
      <c r="M16" s="95">
        <f t="shared" si="2"/>
        <v>347.6</v>
      </c>
      <c r="N16" s="111">
        <v>0.41</v>
      </c>
      <c r="O16" s="95">
        <f t="shared" si="3"/>
        <v>142.5</v>
      </c>
      <c r="P16" s="95">
        <f t="shared" si="4"/>
        <v>490.1</v>
      </c>
      <c r="Q16" s="95">
        <f t="shared" si="5"/>
        <v>392.1</v>
      </c>
      <c r="R16" s="95">
        <f t="shared" si="6"/>
        <v>392.1</v>
      </c>
      <c r="S16" s="95">
        <f t="shared" si="7"/>
        <v>40.799999999999997</v>
      </c>
      <c r="T16" s="95">
        <f t="shared" si="13"/>
        <v>1315.1</v>
      </c>
      <c r="U16" s="3206"/>
      <c r="V16" s="95">
        <f t="shared" si="18"/>
        <v>1315.1</v>
      </c>
      <c r="W16" s="95">
        <f t="shared" si="19"/>
        <v>397.2</v>
      </c>
      <c r="X16" s="118">
        <v>1</v>
      </c>
      <c r="Y16" s="112">
        <v>30</v>
      </c>
      <c r="Z16" s="113">
        <f t="shared" si="8"/>
        <v>30</v>
      </c>
      <c r="AA16" s="118"/>
      <c r="AB16" s="112">
        <v>15</v>
      </c>
      <c r="AC16" s="113">
        <f t="shared" si="9"/>
        <v>0</v>
      </c>
      <c r="AD16" s="118"/>
      <c r="AE16" s="112">
        <v>30</v>
      </c>
      <c r="AF16" s="113">
        <f t="shared" si="14"/>
        <v>0</v>
      </c>
      <c r="AG16" s="113">
        <f t="shared" si="15"/>
        <v>9</v>
      </c>
      <c r="AH16" s="113">
        <f t="shared" si="16"/>
        <v>39</v>
      </c>
      <c r="AI16" s="114">
        <f t="shared" si="10"/>
        <v>54795.8</v>
      </c>
      <c r="AJ16" s="114"/>
      <c r="AK16" s="114">
        <f t="shared" si="11"/>
        <v>657.6</v>
      </c>
      <c r="AL16" s="114">
        <f t="shared" si="17"/>
        <v>237.2</v>
      </c>
      <c r="AM16" s="115">
        <v>0.30199999999999999</v>
      </c>
      <c r="AO16" s="116"/>
      <c r="AP16" s="116"/>
      <c r="AQ16" s="116"/>
      <c r="AS16" s="115"/>
    </row>
    <row r="17" spans="1:45" ht="51" x14ac:dyDescent="0.2">
      <c r="A17" s="94">
        <v>9</v>
      </c>
      <c r="B17" s="117" t="s">
        <v>103</v>
      </c>
      <c r="C17" s="128">
        <v>1</v>
      </c>
      <c r="D17" s="107">
        <v>4.4569999999999999</v>
      </c>
      <c r="E17" s="119">
        <f t="shared" si="0"/>
        <v>4.46</v>
      </c>
      <c r="F17" s="110">
        <f t="shared" si="1"/>
        <v>53.5</v>
      </c>
      <c r="G17" s="110"/>
      <c r="H17" s="110"/>
      <c r="I17" s="110"/>
      <c r="J17" s="110"/>
      <c r="K17" s="95"/>
      <c r="L17" s="95">
        <f t="shared" si="12"/>
        <v>2.1</v>
      </c>
      <c r="M17" s="95">
        <f t="shared" si="2"/>
        <v>55.6</v>
      </c>
      <c r="N17" s="111">
        <v>0.61</v>
      </c>
      <c r="O17" s="95">
        <f t="shared" si="3"/>
        <v>33.9</v>
      </c>
      <c r="P17" s="95">
        <f t="shared" si="4"/>
        <v>89.5</v>
      </c>
      <c r="Q17" s="95">
        <f t="shared" si="5"/>
        <v>71.599999999999994</v>
      </c>
      <c r="R17" s="95">
        <f t="shared" si="6"/>
        <v>71.599999999999994</v>
      </c>
      <c r="S17" s="95">
        <f t="shared" si="7"/>
        <v>7.4</v>
      </c>
      <c r="T17" s="95">
        <f t="shared" si="13"/>
        <v>240.1</v>
      </c>
      <c r="U17" s="3206"/>
      <c r="V17" s="95">
        <f>T17*$U$9</f>
        <v>240.1</v>
      </c>
      <c r="W17" s="95">
        <f t="shared" si="19"/>
        <v>72.5</v>
      </c>
      <c r="X17" s="118"/>
      <c r="Y17" s="112">
        <v>30</v>
      </c>
      <c r="Z17" s="113">
        <f t="shared" si="8"/>
        <v>0</v>
      </c>
      <c r="AA17" s="118"/>
      <c r="AB17" s="112">
        <v>15</v>
      </c>
      <c r="AC17" s="113">
        <f t="shared" si="9"/>
        <v>0</v>
      </c>
      <c r="AD17" s="118"/>
      <c r="AE17" s="112">
        <v>30</v>
      </c>
      <c r="AF17" s="113">
        <f t="shared" si="14"/>
        <v>0</v>
      </c>
      <c r="AG17" s="113">
        <f t="shared" si="15"/>
        <v>0</v>
      </c>
      <c r="AH17" s="113">
        <f t="shared" si="16"/>
        <v>0</v>
      </c>
      <c r="AI17" s="114">
        <f t="shared" si="10"/>
        <v>20008.3</v>
      </c>
      <c r="AJ17" s="114"/>
      <c r="AK17" s="114">
        <f t="shared" si="11"/>
        <v>240.1</v>
      </c>
      <c r="AL17" s="114">
        <f t="shared" si="17"/>
        <v>161.19999999999999</v>
      </c>
      <c r="AM17" s="115">
        <v>0.30199999999999999</v>
      </c>
      <c r="AN17" s="130"/>
      <c r="AO17" s="130"/>
      <c r="AP17" s="130"/>
      <c r="AS17" s="115"/>
    </row>
    <row r="18" spans="1:45" s="126" customFormat="1" ht="25.5" x14ac:dyDescent="0.2">
      <c r="A18" s="94">
        <v>10</v>
      </c>
      <c r="B18" s="129" t="s">
        <v>34</v>
      </c>
      <c r="C18" s="122">
        <v>3</v>
      </c>
      <c r="D18" s="107">
        <v>7.1950000000000003</v>
      </c>
      <c r="E18" s="123">
        <f t="shared" si="0"/>
        <v>21.59</v>
      </c>
      <c r="F18" s="124">
        <f t="shared" si="1"/>
        <v>259.10000000000002</v>
      </c>
      <c r="G18" s="124">
        <f>44329.4/1000</f>
        <v>44.3</v>
      </c>
      <c r="H18" s="124">
        <f>16367.8/1000</f>
        <v>16.399999999999999</v>
      </c>
      <c r="I18" s="124"/>
      <c r="J18" s="125"/>
      <c r="K18" s="96"/>
      <c r="L18" s="95">
        <f t="shared" si="12"/>
        <v>9.9</v>
      </c>
      <c r="M18" s="96">
        <f t="shared" si="2"/>
        <v>329.7</v>
      </c>
      <c r="N18" s="111">
        <v>0.41</v>
      </c>
      <c r="O18" s="96">
        <f t="shared" si="3"/>
        <v>135.19999999999999</v>
      </c>
      <c r="P18" s="96">
        <f t="shared" si="4"/>
        <v>464.9</v>
      </c>
      <c r="Q18" s="96">
        <f t="shared" si="5"/>
        <v>371.9</v>
      </c>
      <c r="R18" s="96">
        <f t="shared" si="6"/>
        <v>371.9</v>
      </c>
      <c r="S18" s="96">
        <f t="shared" si="7"/>
        <v>38.700000000000003</v>
      </c>
      <c r="T18" s="96">
        <f t="shared" si="13"/>
        <v>1247.4000000000001</v>
      </c>
      <c r="U18" s="3206"/>
      <c r="V18" s="96">
        <f t="shared" si="18"/>
        <v>1247.4000000000001</v>
      </c>
      <c r="W18" s="95">
        <f t="shared" si="19"/>
        <v>376.7</v>
      </c>
      <c r="X18" s="94">
        <v>1</v>
      </c>
      <c r="Y18" s="112">
        <v>30</v>
      </c>
      <c r="Z18" s="113">
        <f t="shared" si="8"/>
        <v>30</v>
      </c>
      <c r="AA18" s="94"/>
      <c r="AB18" s="112">
        <v>15</v>
      </c>
      <c r="AC18" s="113">
        <f t="shared" si="9"/>
        <v>0</v>
      </c>
      <c r="AD18" s="94"/>
      <c r="AE18" s="112">
        <v>30</v>
      </c>
      <c r="AF18" s="113">
        <f t="shared" si="14"/>
        <v>0</v>
      </c>
      <c r="AG18" s="113">
        <f t="shared" si="15"/>
        <v>9</v>
      </c>
      <c r="AH18" s="113">
        <f t="shared" si="16"/>
        <v>39</v>
      </c>
      <c r="AI18" s="114">
        <f t="shared" si="10"/>
        <v>34650</v>
      </c>
      <c r="AJ18" s="114"/>
      <c r="AK18" s="114">
        <f t="shared" si="11"/>
        <v>415.8</v>
      </c>
      <c r="AL18" s="114">
        <f t="shared" si="17"/>
        <v>193.2</v>
      </c>
      <c r="AM18" s="115">
        <v>0.30199999999999999</v>
      </c>
      <c r="AN18" s="130"/>
      <c r="AO18" s="130"/>
      <c r="AP18" s="130"/>
      <c r="AQ18" s="22"/>
      <c r="AS18" s="115"/>
    </row>
    <row r="19" spans="1:45" s="126" customFormat="1" x14ac:dyDescent="0.2">
      <c r="A19" s="94">
        <v>11</v>
      </c>
      <c r="B19" s="129" t="s">
        <v>35</v>
      </c>
      <c r="C19" s="122">
        <v>1</v>
      </c>
      <c r="D19" s="107">
        <v>4.4569999999999999</v>
      </c>
      <c r="E19" s="123">
        <f t="shared" si="0"/>
        <v>4.46</v>
      </c>
      <c r="F19" s="124">
        <f t="shared" si="1"/>
        <v>53.5</v>
      </c>
      <c r="G19" s="124"/>
      <c r="H19" s="124"/>
      <c r="I19" s="124"/>
      <c r="J19" s="125"/>
      <c r="K19" s="96"/>
      <c r="L19" s="95">
        <f t="shared" si="12"/>
        <v>2.1</v>
      </c>
      <c r="M19" s="96">
        <f t="shared" si="2"/>
        <v>55.6</v>
      </c>
      <c r="N19" s="111">
        <v>0.61</v>
      </c>
      <c r="O19" s="96">
        <f t="shared" si="3"/>
        <v>33.9</v>
      </c>
      <c r="P19" s="96">
        <f t="shared" si="4"/>
        <v>89.5</v>
      </c>
      <c r="Q19" s="96">
        <f t="shared" si="5"/>
        <v>71.599999999999994</v>
      </c>
      <c r="R19" s="96">
        <f t="shared" si="6"/>
        <v>71.599999999999994</v>
      </c>
      <c r="S19" s="96">
        <f t="shared" si="7"/>
        <v>7.4</v>
      </c>
      <c r="T19" s="96">
        <f t="shared" si="13"/>
        <v>240.1</v>
      </c>
      <c r="U19" s="3206"/>
      <c r="V19" s="96">
        <f t="shared" si="18"/>
        <v>240.1</v>
      </c>
      <c r="W19" s="95">
        <f t="shared" si="19"/>
        <v>72.5</v>
      </c>
      <c r="X19" s="94"/>
      <c r="Y19" s="112">
        <v>30</v>
      </c>
      <c r="Z19" s="113">
        <f t="shared" si="8"/>
        <v>0</v>
      </c>
      <c r="AA19" s="94"/>
      <c r="AB19" s="112">
        <v>15</v>
      </c>
      <c r="AC19" s="113">
        <f t="shared" si="9"/>
        <v>0</v>
      </c>
      <c r="AD19" s="94"/>
      <c r="AE19" s="112">
        <v>30</v>
      </c>
      <c r="AF19" s="113">
        <f t="shared" si="14"/>
        <v>0</v>
      </c>
      <c r="AG19" s="113">
        <f t="shared" si="15"/>
        <v>0</v>
      </c>
      <c r="AH19" s="113">
        <f t="shared" si="16"/>
        <v>0</v>
      </c>
      <c r="AI19" s="114">
        <f t="shared" si="10"/>
        <v>20008.3</v>
      </c>
      <c r="AJ19" s="114"/>
      <c r="AK19" s="114">
        <f t="shared" si="11"/>
        <v>240.1</v>
      </c>
      <c r="AL19" s="114">
        <f t="shared" si="17"/>
        <v>161.19999999999999</v>
      </c>
      <c r="AM19" s="115">
        <v>0.30199999999999999</v>
      </c>
      <c r="AN19" s="130"/>
      <c r="AO19" s="130"/>
      <c r="AP19" s="130"/>
      <c r="AQ19" s="22"/>
      <c r="AS19" s="115"/>
    </row>
    <row r="20" spans="1:45" s="126" customFormat="1" x14ac:dyDescent="0.2">
      <c r="A20" s="94">
        <v>12</v>
      </c>
      <c r="B20" s="129" t="s">
        <v>25</v>
      </c>
      <c r="C20" s="125">
        <v>0.5</v>
      </c>
      <c r="D20" s="107">
        <v>4.3109999999999999</v>
      </c>
      <c r="E20" s="123">
        <f t="shared" si="0"/>
        <v>2.16</v>
      </c>
      <c r="F20" s="124">
        <f>E20*12</f>
        <v>25.9</v>
      </c>
      <c r="G20" s="124">
        <f>5056.7/1000</f>
        <v>5.0999999999999996</v>
      </c>
      <c r="H20" s="124">
        <f>437.8/1000</f>
        <v>0.4</v>
      </c>
      <c r="I20" s="124"/>
      <c r="J20" s="125"/>
      <c r="K20" s="96"/>
      <c r="L20" s="95">
        <f t="shared" si="12"/>
        <v>1</v>
      </c>
      <c r="M20" s="96">
        <f>F20+G20+H20+I20+J20+K20+L20</f>
        <v>32.4</v>
      </c>
      <c r="N20" s="111">
        <v>0.75</v>
      </c>
      <c r="O20" s="96">
        <f>M20*N20</f>
        <v>24.3</v>
      </c>
      <c r="P20" s="96">
        <f>M20+O20</f>
        <v>56.7</v>
      </c>
      <c r="Q20" s="96">
        <f>P20*0.8</f>
        <v>45.4</v>
      </c>
      <c r="R20" s="96">
        <f>P20*0.8</f>
        <v>45.4</v>
      </c>
      <c r="S20" s="96">
        <f>(P20+Q20+R20)*0.032</f>
        <v>4.7</v>
      </c>
      <c r="T20" s="96">
        <f>P20+Q20+R20+S20</f>
        <v>152.19999999999999</v>
      </c>
      <c r="U20" s="3206"/>
      <c r="V20" s="96">
        <f>T20*$U$9</f>
        <v>152.19999999999999</v>
      </c>
      <c r="W20" s="95">
        <f t="shared" si="19"/>
        <v>46</v>
      </c>
      <c r="X20" s="94"/>
      <c r="Y20" s="112">
        <v>30</v>
      </c>
      <c r="Z20" s="113">
        <f t="shared" si="8"/>
        <v>0</v>
      </c>
      <c r="AA20" s="94"/>
      <c r="AB20" s="112">
        <v>15</v>
      </c>
      <c r="AC20" s="113">
        <f t="shared" si="9"/>
        <v>0</v>
      </c>
      <c r="AD20" s="94"/>
      <c r="AE20" s="112">
        <v>30</v>
      </c>
      <c r="AF20" s="113">
        <f t="shared" si="14"/>
        <v>0</v>
      </c>
      <c r="AG20" s="113">
        <f t="shared" si="15"/>
        <v>0</v>
      </c>
      <c r="AH20" s="113">
        <f t="shared" si="16"/>
        <v>0</v>
      </c>
      <c r="AI20" s="114">
        <f>V20/12*1000</f>
        <v>12683.3</v>
      </c>
      <c r="AJ20" s="114"/>
      <c r="AK20" s="114">
        <f t="shared" si="11"/>
        <v>304.39999999999998</v>
      </c>
      <c r="AL20" s="114">
        <f t="shared" si="17"/>
        <v>172.9</v>
      </c>
      <c r="AM20" s="115">
        <v>0.30199999999999999</v>
      </c>
      <c r="AN20" s="130"/>
      <c r="AO20" s="130"/>
      <c r="AP20" s="130"/>
      <c r="AQ20" s="22"/>
      <c r="AS20" s="115"/>
    </row>
    <row r="21" spans="1:45" s="98" customFormat="1" ht="20.25" customHeight="1" x14ac:dyDescent="0.2">
      <c r="A21" s="3202" t="s">
        <v>8</v>
      </c>
      <c r="B21" s="3202"/>
      <c r="C21" s="97">
        <f t="shared" ref="C21:M21" si="20">SUM(C9:C20)</f>
        <v>15.5</v>
      </c>
      <c r="D21" s="97">
        <f t="shared" si="20"/>
        <v>119.5</v>
      </c>
      <c r="E21" s="97">
        <f t="shared" si="20"/>
        <v>148.69999999999999</v>
      </c>
      <c r="F21" s="97">
        <f t="shared" si="20"/>
        <v>1783.7</v>
      </c>
      <c r="G21" s="97">
        <f t="shared" si="20"/>
        <v>78.7</v>
      </c>
      <c r="H21" s="97">
        <f t="shared" si="20"/>
        <v>26.4</v>
      </c>
      <c r="I21" s="97">
        <f t="shared" si="20"/>
        <v>0</v>
      </c>
      <c r="J21" s="97">
        <f t="shared" si="20"/>
        <v>0</v>
      </c>
      <c r="K21" s="97">
        <f t="shared" si="20"/>
        <v>316.39999999999998</v>
      </c>
      <c r="L21" s="97">
        <f t="shared" si="20"/>
        <v>68.599999999999994</v>
      </c>
      <c r="M21" s="97">
        <f t="shared" si="20"/>
        <v>2273.8000000000002</v>
      </c>
      <c r="N21" s="97"/>
      <c r="O21" s="97">
        <f t="shared" ref="O21:AH21" si="21">SUM(O9:O20)</f>
        <v>1033.7</v>
      </c>
      <c r="P21" s="97">
        <f t="shared" si="21"/>
        <v>3307.5</v>
      </c>
      <c r="Q21" s="97">
        <f t="shared" si="21"/>
        <v>2646</v>
      </c>
      <c r="R21" s="97">
        <f t="shared" si="21"/>
        <v>2646</v>
      </c>
      <c r="S21" s="97">
        <f t="shared" si="21"/>
        <v>275.2</v>
      </c>
      <c r="T21" s="97">
        <f t="shared" si="21"/>
        <v>8874.7000000000007</v>
      </c>
      <c r="U21" s="97">
        <f t="shared" si="21"/>
        <v>1</v>
      </c>
      <c r="V21" s="97">
        <f t="shared" si="21"/>
        <v>8874.7000000000007</v>
      </c>
      <c r="W21" s="97">
        <f t="shared" si="21"/>
        <v>2635.8</v>
      </c>
      <c r="X21" s="97">
        <f t="shared" si="21"/>
        <v>6</v>
      </c>
      <c r="Y21" s="97">
        <f t="shared" si="21"/>
        <v>360</v>
      </c>
      <c r="Z21" s="97">
        <f t="shared" si="21"/>
        <v>180</v>
      </c>
      <c r="AA21" s="97">
        <f t="shared" si="21"/>
        <v>1</v>
      </c>
      <c r="AB21" s="97">
        <f t="shared" si="21"/>
        <v>180</v>
      </c>
      <c r="AC21" s="97">
        <f t="shared" si="21"/>
        <v>15</v>
      </c>
      <c r="AD21" s="97">
        <f t="shared" si="21"/>
        <v>0</v>
      </c>
      <c r="AE21" s="97">
        <f t="shared" si="21"/>
        <v>360</v>
      </c>
      <c r="AF21" s="97">
        <f t="shared" si="21"/>
        <v>0</v>
      </c>
      <c r="AG21" s="97">
        <f t="shared" si="21"/>
        <v>58.5</v>
      </c>
      <c r="AH21" s="97">
        <f t="shared" si="21"/>
        <v>253.5</v>
      </c>
      <c r="AN21" s="130"/>
      <c r="AO21" s="130"/>
      <c r="AP21" s="130"/>
      <c r="AQ21" s="22"/>
    </row>
    <row r="22" spans="1:45" x14ac:dyDescent="0.2">
      <c r="G22" s="131"/>
      <c r="H22" s="131"/>
      <c r="I22" s="131"/>
      <c r="J22" s="131"/>
      <c r="K22" s="131"/>
      <c r="L22" s="131"/>
      <c r="M22" s="131"/>
      <c r="N22" s="131"/>
      <c r="O22" s="131"/>
      <c r="P22" s="131"/>
      <c r="Q22" s="131"/>
      <c r="R22" s="131"/>
      <c r="S22" s="131"/>
      <c r="T22" s="131"/>
      <c r="V22" s="114"/>
      <c r="W22" s="66"/>
      <c r="X22" s="132"/>
      <c r="Y22" s="132"/>
      <c r="Z22" s="132"/>
      <c r="AA22" s="131"/>
      <c r="AD22" s="131"/>
      <c r="AG22" s="131"/>
      <c r="AH22" s="131"/>
      <c r="AN22" s="130"/>
      <c r="AO22" s="130"/>
      <c r="AP22" s="130"/>
    </row>
    <row r="23" spans="1:45" x14ac:dyDescent="0.2">
      <c r="G23" s="131"/>
      <c r="H23" s="131"/>
      <c r="I23" s="131"/>
      <c r="J23" s="131"/>
      <c r="K23" s="131"/>
      <c r="L23" s="131"/>
      <c r="M23" s="131"/>
      <c r="N23" s="131"/>
      <c r="O23" s="131"/>
      <c r="P23" s="131"/>
      <c r="Q23" s="131"/>
      <c r="R23" s="131"/>
      <c r="S23" s="131"/>
      <c r="T23" s="131"/>
      <c r="V23" s="114"/>
      <c r="W23" s="114"/>
      <c r="X23" s="133"/>
      <c r="Y23" s="133"/>
      <c r="Z23" s="133"/>
      <c r="AA23" s="131"/>
      <c r="AD23" s="131"/>
      <c r="AG23" s="131"/>
      <c r="AH23" s="131"/>
      <c r="AN23" s="130"/>
      <c r="AO23" s="130"/>
      <c r="AP23" s="130"/>
    </row>
    <row r="24" spans="1:45" s="62" customFormat="1" ht="14.25" x14ac:dyDescent="0.2">
      <c r="A24" s="68"/>
      <c r="B24" s="63"/>
      <c r="C24" s="26"/>
      <c r="D24" s="26"/>
      <c r="E24" s="26"/>
      <c r="F24" s="26"/>
      <c r="G24" s="26"/>
      <c r="H24" s="26"/>
      <c r="I24" s="26"/>
      <c r="J24" s="26"/>
      <c r="K24" s="26"/>
      <c r="L24" s="26"/>
      <c r="M24" s="26"/>
      <c r="N24" s="26"/>
      <c r="O24" s="26"/>
      <c r="P24" s="26"/>
      <c r="Q24" s="26"/>
      <c r="R24" s="26"/>
      <c r="S24" s="26"/>
      <c r="T24" s="26"/>
      <c r="U24" s="64"/>
      <c r="V24" s="69"/>
      <c r="W24" s="69"/>
      <c r="X24" s="65"/>
      <c r="Y24" s="65"/>
      <c r="Z24" s="65"/>
      <c r="AA24" s="65"/>
      <c r="AB24" s="65"/>
      <c r="AC24" s="65"/>
      <c r="AD24" s="65"/>
      <c r="AE24" s="65"/>
      <c r="AF24" s="65"/>
      <c r="AG24" s="65"/>
      <c r="AH24" s="65"/>
      <c r="AI24" s="67"/>
      <c r="AJ24" s="61"/>
      <c r="AK24" s="61"/>
      <c r="AL24" s="134"/>
      <c r="AM24" s="135"/>
    </row>
    <row r="25" spans="1:45" s="75" customFormat="1" ht="15" x14ac:dyDescent="0.2">
      <c r="A25" s="70"/>
      <c r="B25" s="70"/>
      <c r="C25" s="71"/>
      <c r="D25" s="72"/>
      <c r="E25" s="72"/>
      <c r="F25" s="72"/>
      <c r="G25" s="72"/>
      <c r="H25" s="73"/>
      <c r="I25" s="73"/>
      <c r="J25" s="27"/>
      <c r="K25" s="27"/>
      <c r="L25" s="27"/>
      <c r="M25" s="27"/>
      <c r="N25" s="74"/>
      <c r="O25" s="27"/>
      <c r="P25" s="27"/>
      <c r="Q25" s="27"/>
      <c r="R25" s="27"/>
      <c r="S25" s="27"/>
      <c r="T25" s="27"/>
      <c r="U25" s="27"/>
      <c r="V25" s="27"/>
      <c r="W25" s="27"/>
      <c r="X25" s="27"/>
      <c r="Y25" s="27"/>
      <c r="Z25" s="27"/>
      <c r="AA25" s="27"/>
      <c r="AB25" s="27"/>
      <c r="AC25" s="27"/>
      <c r="AD25" s="27"/>
      <c r="AE25" s="27"/>
      <c r="AF25" s="27"/>
      <c r="AG25" s="27"/>
      <c r="AH25" s="27"/>
      <c r="AI25" s="27"/>
      <c r="AJ25" s="76"/>
      <c r="AN25" s="76"/>
      <c r="AO25" s="76"/>
      <c r="AP25" s="76"/>
      <c r="AQ25" s="76"/>
      <c r="AR25" s="76"/>
    </row>
    <row r="26" spans="1:45" s="75" customFormat="1" ht="55.5" customHeight="1" x14ac:dyDescent="0.2">
      <c r="A26" s="70"/>
      <c r="B26" s="70"/>
      <c r="C26" s="71"/>
      <c r="D26" s="77"/>
      <c r="E26" s="77"/>
      <c r="F26" s="27"/>
      <c r="G26" s="3191" t="s">
        <v>140</v>
      </c>
      <c r="H26" s="3191"/>
      <c r="I26" s="3191" t="s">
        <v>141</v>
      </c>
      <c r="J26" s="3191"/>
      <c r="K26" s="3191" t="s">
        <v>128</v>
      </c>
      <c r="L26" s="3191"/>
      <c r="Q26" s="27"/>
      <c r="R26" s="27"/>
      <c r="S26" s="27"/>
      <c r="T26" s="27"/>
      <c r="U26" s="27"/>
      <c r="V26" s="27"/>
      <c r="W26" s="27"/>
      <c r="X26" s="27"/>
      <c r="Y26" s="27"/>
      <c r="Z26" s="27"/>
      <c r="AA26" s="27"/>
      <c r="AB26" s="27"/>
      <c r="AC26" s="27"/>
      <c r="AD26" s="27"/>
      <c r="AE26" s="27"/>
      <c r="AF26" s="27"/>
      <c r="AG26" s="27"/>
      <c r="AH26" s="27"/>
      <c r="AI26" s="27"/>
      <c r="AJ26" s="76"/>
      <c r="AN26" s="76"/>
      <c r="AO26" s="76"/>
      <c r="AP26" s="76"/>
      <c r="AQ26" s="76"/>
      <c r="AR26" s="76"/>
    </row>
    <row r="27" spans="1:45" s="75" customFormat="1" ht="15" x14ac:dyDescent="0.2">
      <c r="A27" s="70"/>
      <c r="B27" s="70"/>
      <c r="C27" s="71"/>
      <c r="D27" s="77"/>
      <c r="E27" s="77"/>
      <c r="F27" s="27"/>
      <c r="G27" s="28">
        <v>991</v>
      </c>
      <c r="H27" s="28">
        <v>992</v>
      </c>
      <c r="I27" s="28">
        <v>991</v>
      </c>
      <c r="J27" s="28">
        <v>992</v>
      </c>
      <c r="K27" s="28">
        <v>991</v>
      </c>
      <c r="L27" s="28">
        <v>992</v>
      </c>
      <c r="Q27" s="27"/>
      <c r="R27" s="27"/>
      <c r="S27" s="27"/>
      <c r="T27" s="27"/>
      <c r="U27" s="27"/>
      <c r="V27" s="27"/>
      <c r="W27" s="27"/>
      <c r="X27" s="27"/>
      <c r="Y27" s="27"/>
      <c r="Z27" s="27"/>
      <c r="AA27" s="27"/>
      <c r="AB27" s="27"/>
      <c r="AC27" s="27"/>
      <c r="AD27" s="27"/>
      <c r="AE27" s="27"/>
      <c r="AF27" s="27"/>
      <c r="AG27" s="27"/>
      <c r="AH27" s="27"/>
      <c r="AI27" s="27"/>
      <c r="AJ27" s="76"/>
      <c r="AN27" s="76"/>
      <c r="AO27" s="76"/>
      <c r="AP27" s="76"/>
      <c r="AQ27" s="76"/>
      <c r="AR27" s="76"/>
    </row>
    <row r="28" spans="1:45" s="75" customFormat="1" ht="15" x14ac:dyDescent="0.2">
      <c r="A28" s="70"/>
      <c r="B28" s="70"/>
      <c r="C28" s="71"/>
      <c r="D28" s="77"/>
      <c r="E28" s="77"/>
      <c r="F28" s="27"/>
      <c r="G28" s="29">
        <v>8874.7000000000007</v>
      </c>
      <c r="H28" s="29">
        <v>2640.7</v>
      </c>
      <c r="I28" s="29">
        <f>V21</f>
        <v>8874.7000000000007</v>
      </c>
      <c r="J28" s="29">
        <f>W21</f>
        <v>2635.8</v>
      </c>
      <c r="K28" s="29">
        <f>G28-I28</f>
        <v>0</v>
      </c>
      <c r="L28" s="29">
        <f>H28-J28</f>
        <v>4.9000000000000004</v>
      </c>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143" customFormat="1" ht="15" x14ac:dyDescent="0.2">
      <c r="A29" s="136"/>
      <c r="B29" s="136"/>
      <c r="C29" s="137"/>
      <c r="D29" s="138"/>
      <c r="E29" s="138"/>
      <c r="F29" s="138"/>
      <c r="G29" s="138"/>
      <c r="H29" s="139"/>
      <c r="I29" s="139"/>
      <c r="J29" s="140"/>
      <c r="K29" s="140"/>
      <c r="L29" s="140"/>
      <c r="M29" s="140"/>
      <c r="N29" s="141"/>
      <c r="O29" s="140"/>
      <c r="P29" s="140"/>
      <c r="Q29" s="140"/>
      <c r="R29" s="140"/>
      <c r="S29" s="140"/>
      <c r="T29" s="140"/>
      <c r="U29" s="140"/>
      <c r="V29" s="140"/>
      <c r="W29" s="140"/>
      <c r="X29" s="140"/>
      <c r="Y29" s="140"/>
      <c r="Z29" s="140"/>
      <c r="AA29" s="140"/>
      <c r="AB29" s="140"/>
      <c r="AC29" s="140"/>
      <c r="AD29" s="140"/>
      <c r="AE29" s="140"/>
      <c r="AF29" s="140"/>
      <c r="AG29" s="140"/>
      <c r="AH29" s="140"/>
      <c r="AI29" s="142"/>
      <c r="AN29" s="22"/>
      <c r="AO29" s="22"/>
      <c r="AP29" s="22"/>
      <c r="AQ29" s="22"/>
    </row>
    <row r="30" spans="1:45" s="143" customFormat="1" ht="15" x14ac:dyDescent="0.2">
      <c r="A30" s="136"/>
      <c r="B30" s="136"/>
      <c r="C30" s="137"/>
      <c r="D30" s="138"/>
      <c r="E30" s="138"/>
      <c r="F30" s="138"/>
      <c r="G30" s="138"/>
      <c r="H30" s="139"/>
      <c r="I30" s="139"/>
      <c r="J30" s="140"/>
      <c r="K30" s="140"/>
      <c r="L30" s="140"/>
      <c r="M30" s="140"/>
      <c r="N30" s="141"/>
      <c r="O30" s="140"/>
      <c r="P30" s="140"/>
      <c r="Q30" s="140"/>
      <c r="R30" s="140"/>
      <c r="S30" s="140"/>
      <c r="T30" s="140"/>
      <c r="U30" s="140"/>
      <c r="V30" s="140"/>
      <c r="W30" s="140"/>
      <c r="X30" s="140"/>
      <c r="Y30" s="140"/>
      <c r="Z30" s="140"/>
      <c r="AA30" s="140"/>
      <c r="AB30" s="140"/>
      <c r="AC30" s="140"/>
      <c r="AD30" s="140"/>
      <c r="AE30" s="140"/>
      <c r="AF30" s="140"/>
      <c r="AG30" s="140"/>
      <c r="AH30" s="140"/>
      <c r="AI30" s="142"/>
      <c r="AN30" s="22"/>
      <c r="AO30" s="22"/>
      <c r="AP30" s="22"/>
      <c r="AQ30" s="22"/>
    </row>
    <row r="31" spans="1:45" s="143" customFormat="1" ht="15" x14ac:dyDescent="0.2">
      <c r="A31" s="136"/>
      <c r="B31" s="136"/>
      <c r="C31" s="137"/>
      <c r="D31" s="144"/>
      <c r="E31" s="144"/>
      <c r="F31" s="140"/>
      <c r="G31" s="140"/>
      <c r="H31" s="139"/>
      <c r="I31" s="139"/>
      <c r="J31" s="140"/>
      <c r="K31" s="140"/>
      <c r="L31" s="140"/>
      <c r="M31" s="140"/>
      <c r="N31" s="141"/>
      <c r="O31" s="140"/>
      <c r="P31" s="140"/>
      <c r="Q31" s="140"/>
      <c r="R31" s="140"/>
      <c r="S31" s="140"/>
      <c r="T31" s="140"/>
      <c r="U31" s="140"/>
      <c r="V31" s="140"/>
      <c r="W31" s="140"/>
      <c r="X31" s="140"/>
      <c r="Y31" s="140"/>
      <c r="Z31" s="140"/>
      <c r="AA31" s="140"/>
      <c r="AB31" s="140"/>
      <c r="AC31" s="140"/>
      <c r="AD31" s="140"/>
      <c r="AE31" s="140"/>
      <c r="AF31" s="140"/>
      <c r="AG31" s="140"/>
      <c r="AH31" s="140"/>
      <c r="AI31" s="142"/>
      <c r="AN31" s="22"/>
      <c r="AO31" s="22"/>
      <c r="AP31" s="22"/>
      <c r="AQ31" s="22"/>
    </row>
    <row r="32" spans="1:45" s="35" customFormat="1" ht="20.25" x14ac:dyDescent="0.2">
      <c r="A32" s="81"/>
      <c r="B32" s="82" t="s">
        <v>138</v>
      </c>
      <c r="C32" s="83"/>
      <c r="D32" s="84"/>
      <c r="E32" s="84"/>
      <c r="F32" s="85"/>
      <c r="G32" s="85"/>
      <c r="H32" s="86"/>
      <c r="I32" s="86"/>
      <c r="J32" s="85"/>
      <c r="K32" s="30" t="s">
        <v>166</v>
      </c>
      <c r="L32" s="85"/>
      <c r="M32" s="85"/>
      <c r="N32" s="87"/>
      <c r="O32" s="85"/>
      <c r="P32" s="85"/>
      <c r="Q32" s="85"/>
      <c r="R32" s="85"/>
      <c r="S32" s="85"/>
      <c r="T32" s="85"/>
      <c r="U32" s="85"/>
      <c r="V32" s="85"/>
      <c r="W32" s="85"/>
      <c r="X32" s="85"/>
      <c r="Y32" s="85"/>
      <c r="Z32" s="85"/>
      <c r="AA32" s="85"/>
      <c r="AB32" s="85"/>
      <c r="AC32" s="85"/>
      <c r="AD32" s="85"/>
      <c r="AE32" s="85"/>
      <c r="AF32" s="85"/>
      <c r="AG32" s="85"/>
      <c r="AH32" s="85"/>
      <c r="AI32" s="85"/>
      <c r="AK32" s="88"/>
      <c r="AL32" s="88"/>
      <c r="AM32" s="88"/>
      <c r="AN32" s="88"/>
      <c r="AO32" s="88"/>
    </row>
    <row r="33" spans="1:43" s="143" customFormat="1" ht="15" x14ac:dyDescent="0.2">
      <c r="A33" s="136"/>
      <c r="B33" s="136"/>
      <c r="C33" s="137"/>
      <c r="D33" s="144"/>
      <c r="E33" s="144"/>
      <c r="F33" s="140"/>
      <c r="G33" s="140"/>
      <c r="H33" s="139"/>
      <c r="I33" s="139"/>
      <c r="J33" s="140"/>
      <c r="K33" s="140"/>
      <c r="L33" s="140"/>
      <c r="M33" s="140"/>
      <c r="N33" s="141"/>
      <c r="O33" s="140"/>
      <c r="P33" s="140"/>
      <c r="Q33" s="140"/>
      <c r="R33" s="140"/>
      <c r="S33" s="140"/>
      <c r="T33" s="140"/>
      <c r="U33" s="140"/>
      <c r="V33" s="140"/>
      <c r="W33" s="140"/>
      <c r="X33" s="140"/>
      <c r="Y33" s="140"/>
      <c r="Z33" s="140"/>
      <c r="AA33" s="140"/>
      <c r="AB33" s="140"/>
      <c r="AC33" s="140"/>
      <c r="AD33" s="140"/>
      <c r="AE33" s="140"/>
      <c r="AF33" s="140"/>
      <c r="AG33" s="140"/>
      <c r="AH33" s="140"/>
      <c r="AI33" s="142"/>
      <c r="AN33" s="22"/>
      <c r="AO33" s="22"/>
      <c r="AP33" s="22"/>
      <c r="AQ33" s="22"/>
    </row>
    <row r="34" spans="1:43" s="143" customFormat="1" ht="20.25" customHeight="1" x14ac:dyDescent="0.2">
      <c r="A34" s="145" t="s">
        <v>96</v>
      </c>
      <c r="B34" s="145"/>
      <c r="C34" s="146"/>
      <c r="D34" s="146"/>
      <c r="E34" s="146"/>
      <c r="F34" s="146"/>
      <c r="G34" s="146"/>
      <c r="H34" s="146"/>
      <c r="I34" s="146"/>
      <c r="J34" s="146"/>
      <c r="K34" s="146"/>
      <c r="L34" s="147"/>
      <c r="M34" s="147"/>
      <c r="N34" s="148"/>
      <c r="O34" s="147"/>
      <c r="P34" s="147"/>
      <c r="Q34" s="147"/>
      <c r="R34" s="147"/>
      <c r="S34" s="147"/>
      <c r="T34" s="147"/>
      <c r="U34" s="147"/>
      <c r="V34" s="147"/>
      <c r="W34" s="147"/>
      <c r="X34" s="147"/>
      <c r="Y34" s="147"/>
      <c r="Z34" s="147"/>
      <c r="AA34" s="147"/>
      <c r="AB34" s="147"/>
      <c r="AC34" s="147"/>
      <c r="AD34" s="147"/>
      <c r="AE34" s="147"/>
      <c r="AF34" s="147"/>
      <c r="AG34" s="147"/>
      <c r="AH34" s="147"/>
      <c r="AI34" s="142"/>
      <c r="AN34" s="62"/>
      <c r="AO34" s="62"/>
      <c r="AP34" s="62"/>
      <c r="AQ34" s="60"/>
    </row>
    <row r="35" spans="1:43" s="143" customFormat="1" ht="20.25" customHeight="1" x14ac:dyDescent="0.2">
      <c r="A35" s="145" t="s">
        <v>139</v>
      </c>
      <c r="B35" s="149"/>
      <c r="C35" s="150"/>
      <c r="D35" s="150"/>
      <c r="E35" s="151"/>
      <c r="F35" s="151"/>
      <c r="G35" s="151"/>
      <c r="H35" s="151"/>
      <c r="I35" s="151"/>
      <c r="J35" s="151"/>
      <c r="K35" s="151"/>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2"/>
      <c r="AN35" s="62"/>
      <c r="AO35" s="62"/>
      <c r="AP35" s="62"/>
      <c r="AQ35" s="62"/>
    </row>
    <row r="36" spans="1:43" ht="16.5" x14ac:dyDescent="0.2">
      <c r="A36" s="152"/>
      <c r="I36" s="153"/>
      <c r="L36" s="99"/>
      <c r="M36" s="99"/>
      <c r="N36" s="99"/>
      <c r="O36" s="99"/>
      <c r="P36" s="99"/>
      <c r="Q36" s="99"/>
      <c r="W36" s="131"/>
      <c r="X36" s="131"/>
      <c r="AA36" s="131"/>
      <c r="AD36" s="131"/>
      <c r="AG36" s="131"/>
      <c r="AH36" s="131"/>
      <c r="AN36" s="62"/>
      <c r="AO36" s="62"/>
      <c r="AP36" s="62"/>
      <c r="AQ36" s="62"/>
    </row>
    <row r="37" spans="1:43" ht="16.5" x14ac:dyDescent="0.2">
      <c r="A37" s="152"/>
      <c r="E37" s="115"/>
      <c r="L37" s="99"/>
      <c r="M37" s="99"/>
      <c r="N37" s="99"/>
      <c r="O37" s="99"/>
      <c r="P37" s="99"/>
      <c r="Q37" s="99"/>
      <c r="W37" s="131"/>
      <c r="X37" s="131"/>
      <c r="AA37" s="131"/>
      <c r="AD37" s="131"/>
      <c r="AG37" s="131"/>
      <c r="AH37" s="131"/>
      <c r="AN37" s="62"/>
      <c r="AO37" s="62"/>
      <c r="AP37" s="62"/>
      <c r="AQ37" s="62"/>
    </row>
    <row r="38" spans="1:43" x14ac:dyDescent="0.2">
      <c r="E38" s="115"/>
    </row>
    <row r="39" spans="1:43" x14ac:dyDescent="0.2">
      <c r="E39" s="115"/>
    </row>
    <row r="40" spans="1:43" x14ac:dyDescent="0.2">
      <c r="E40" s="115"/>
    </row>
    <row r="41" spans="1:43" x14ac:dyDescent="0.2">
      <c r="E41" s="115"/>
    </row>
    <row r="42" spans="1:43" x14ac:dyDescent="0.2">
      <c r="E42" s="115"/>
    </row>
    <row r="43" spans="1:43" x14ac:dyDescent="0.2">
      <c r="E43" s="115"/>
    </row>
  </sheetData>
  <autoFilter ref="A8:AS8"/>
  <mergeCells count="37">
    <mergeCell ref="AH6:AH7"/>
    <mergeCell ref="U9:U20"/>
    <mergeCell ref="W6:W7"/>
    <mergeCell ref="X6:Z6"/>
    <mergeCell ref="G26:H26"/>
    <mergeCell ref="I26:J26"/>
    <mergeCell ref="K26:L26"/>
    <mergeCell ref="AA6:AC6"/>
    <mergeCell ref="AD6:AF6"/>
    <mergeCell ref="K6:K7"/>
    <mergeCell ref="A21:B21"/>
    <mergeCell ref="S6:S7"/>
    <mergeCell ref="T6:T7"/>
    <mergeCell ref="U6:U7"/>
    <mergeCell ref="V6:V7"/>
    <mergeCell ref="L6:L7"/>
    <mergeCell ref="M6:M7"/>
    <mergeCell ref="N6:O6"/>
    <mergeCell ref="P6:P7"/>
    <mergeCell ref="Q6:Q7"/>
    <mergeCell ref="R6:R7"/>
    <mergeCell ref="AE1:AH1"/>
    <mergeCell ref="A2:AH2"/>
    <mergeCell ref="A3:AH3"/>
    <mergeCell ref="A5:A7"/>
    <mergeCell ref="B5:B7"/>
    <mergeCell ref="C5:C7"/>
    <mergeCell ref="D5:W5"/>
    <mergeCell ref="D6:D7"/>
    <mergeCell ref="E6:E7"/>
    <mergeCell ref="F6:F7"/>
    <mergeCell ref="G6:G7"/>
    <mergeCell ref="H6:H7"/>
    <mergeCell ref="I6:I7"/>
    <mergeCell ref="J6:J7"/>
    <mergeCell ref="AG6:AG7"/>
    <mergeCell ref="X5:AH5"/>
  </mergeCells>
  <printOptions horizontalCentered="1"/>
  <pageMargins left="0" right="0" top="0" bottom="0" header="0.31496062992125984" footer="0.31496062992125984"/>
  <pageSetup paperSize="9" scale="38"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40"/>
  <sheetViews>
    <sheetView view="pageBreakPreview" topLeftCell="A10" zoomScale="60" zoomScaleNormal="60" workbookViewId="0">
      <pane xSplit="3" ySplit="8" topLeftCell="D18" activePane="bottomRight" state="frozen"/>
      <selection activeCell="A10" sqref="A10"/>
      <selection pane="topRight" activeCell="D10" sqref="D10"/>
      <selection pane="bottomLeft" activeCell="A18" sqref="A18"/>
      <selection pane="bottomRight" activeCell="B35" sqref="B35:L41"/>
    </sheetView>
  </sheetViews>
  <sheetFormatPr defaultRowHeight="15" x14ac:dyDescent="0.25"/>
  <cols>
    <col min="1" max="1" width="6.33203125" style="2135" customWidth="1"/>
    <col min="2" max="2" width="35.1640625" style="2135" customWidth="1"/>
    <col min="3" max="3" width="9.33203125" style="2135"/>
    <col min="4" max="4" width="14.83203125" style="2135" customWidth="1"/>
    <col min="5" max="5" width="16.5" style="2135" customWidth="1"/>
    <col min="6" max="6" width="15" style="2135" customWidth="1"/>
    <col min="7" max="7" width="13.1640625" style="2135" customWidth="1"/>
    <col min="8" max="8" width="14.83203125" style="2135" customWidth="1"/>
    <col min="9" max="9" width="17.5" style="2135" customWidth="1"/>
    <col min="10" max="10" width="13.33203125" style="2135" customWidth="1"/>
    <col min="11" max="11" width="18.33203125" style="2135" customWidth="1"/>
    <col min="12" max="12" width="15.83203125" style="2135" customWidth="1"/>
    <col min="13" max="13" width="21" style="2135" customWidth="1"/>
    <col min="14" max="14" width="16.83203125" style="2135" customWidth="1"/>
    <col min="15" max="15" width="14.6640625" style="2135" customWidth="1"/>
    <col min="16" max="16" width="16.1640625" style="2135" customWidth="1"/>
    <col min="17" max="17" width="18.1640625" style="2255" customWidth="1"/>
    <col min="18" max="18" width="60.33203125" style="2135" customWidth="1"/>
    <col min="19" max="19" width="17.83203125" style="2135" customWidth="1"/>
    <col min="20" max="20" width="14" style="2135" bestFit="1" customWidth="1"/>
    <col min="21" max="21" width="14.6640625" style="2135" bestFit="1" customWidth="1"/>
    <col min="22" max="22" width="17" style="2135" customWidth="1"/>
    <col min="23" max="23" width="14.5" style="2135" bestFit="1" customWidth="1"/>
    <col min="24" max="24" width="17.83203125" style="2135" customWidth="1"/>
    <col min="25" max="16384" width="9.33203125" style="2135"/>
  </cols>
  <sheetData>
    <row r="1" spans="1:24" x14ac:dyDescent="0.25">
      <c r="X1" s="2136" t="s">
        <v>685</v>
      </c>
    </row>
    <row r="2" spans="1:24" x14ac:dyDescent="0.25">
      <c r="X2" s="2136" t="s">
        <v>686</v>
      </c>
    </row>
    <row r="3" spans="1:24" x14ac:dyDescent="0.25">
      <c r="X3" s="2136" t="s">
        <v>687</v>
      </c>
    </row>
    <row r="4" spans="1:24" x14ac:dyDescent="0.25">
      <c r="X4" s="2136" t="s">
        <v>688</v>
      </c>
    </row>
    <row r="5" spans="1:24" x14ac:dyDescent="0.25">
      <c r="X5" s="2136" t="s">
        <v>689</v>
      </c>
    </row>
    <row r="6" spans="1:24" x14ac:dyDescent="0.25">
      <c r="X6" s="2136" t="s">
        <v>690</v>
      </c>
    </row>
    <row r="7" spans="1:24" x14ac:dyDescent="0.25">
      <c r="X7" s="2136" t="s">
        <v>691</v>
      </c>
    </row>
    <row r="8" spans="1:24" x14ac:dyDescent="0.25">
      <c r="X8" s="2136" t="s">
        <v>428</v>
      </c>
    </row>
    <row r="9" spans="1:24" x14ac:dyDescent="0.25">
      <c r="X9" s="2136" t="s">
        <v>429</v>
      </c>
    </row>
    <row r="11" spans="1:24" ht="15.75" x14ac:dyDescent="0.25">
      <c r="A11" s="3639" t="s">
        <v>1265</v>
      </c>
      <c r="B11" s="3639"/>
      <c r="C11" s="3639"/>
      <c r="D11" s="3639"/>
      <c r="E11" s="3639"/>
      <c r="F11" s="3639"/>
      <c r="G11" s="3639"/>
      <c r="H11" s="3639"/>
      <c r="I11" s="3639"/>
      <c r="J11" s="3639"/>
      <c r="K11" s="3639"/>
      <c r="L11" s="3639"/>
      <c r="M11" s="3639"/>
      <c r="N11" s="3639"/>
      <c r="O11" s="3639"/>
      <c r="P11" s="3639"/>
      <c r="Q11" s="3639"/>
      <c r="R11" s="3639"/>
      <c r="S11" s="3639"/>
      <c r="T11" s="3639"/>
      <c r="U11" s="3639"/>
      <c r="V11" s="3639"/>
      <c r="W11" s="3639"/>
      <c r="X11" s="3639"/>
    </row>
    <row r="12" spans="1:24" ht="15.75" x14ac:dyDescent="0.25">
      <c r="A12" s="3640" t="s">
        <v>2024</v>
      </c>
      <c r="B12" s="3640"/>
      <c r="C12" s="3640"/>
      <c r="D12" s="3640"/>
      <c r="E12" s="3640"/>
      <c r="F12" s="3640"/>
      <c r="G12" s="3640"/>
      <c r="H12" s="3640"/>
      <c r="I12" s="3640"/>
      <c r="J12" s="3640"/>
      <c r="K12" s="3640"/>
      <c r="L12" s="3640"/>
      <c r="M12" s="3640"/>
      <c r="N12" s="3640"/>
      <c r="O12" s="3640"/>
      <c r="P12" s="3640"/>
      <c r="Q12" s="3640"/>
      <c r="R12" s="3640"/>
      <c r="S12" s="3640"/>
      <c r="T12" s="3640"/>
      <c r="U12" s="3640"/>
      <c r="V12" s="3640"/>
      <c r="W12" s="3640"/>
      <c r="X12" s="3640"/>
    </row>
    <row r="14" spans="1:24" ht="15.75" thickBot="1" x14ac:dyDescent="0.3">
      <c r="X14" s="2253">
        <v>43831</v>
      </c>
    </row>
    <row r="15" spans="1:24" ht="30" customHeight="1" x14ac:dyDescent="0.25">
      <c r="A15" s="3636" t="s">
        <v>290</v>
      </c>
      <c r="B15" s="3637" t="s">
        <v>218</v>
      </c>
      <c r="C15" s="3638" t="s">
        <v>219</v>
      </c>
      <c r="D15" s="3636" t="s">
        <v>692</v>
      </c>
      <c r="E15" s="3637"/>
      <c r="F15" s="3637"/>
      <c r="G15" s="3638"/>
      <c r="H15" s="3636" t="s">
        <v>447</v>
      </c>
      <c r="I15" s="3637"/>
      <c r="J15" s="3637"/>
      <c r="K15" s="3638"/>
      <c r="L15" s="3644" t="s">
        <v>693</v>
      </c>
      <c r="M15" s="3637"/>
      <c r="N15" s="3638"/>
      <c r="O15" s="3636" t="s">
        <v>204</v>
      </c>
      <c r="P15" s="3637"/>
      <c r="Q15" s="3637"/>
      <c r="R15" s="3638"/>
      <c r="S15" s="3636" t="s">
        <v>205</v>
      </c>
      <c r="T15" s="3637"/>
      <c r="U15" s="3638"/>
      <c r="V15" s="3636" t="s">
        <v>206</v>
      </c>
      <c r="W15" s="3637"/>
      <c r="X15" s="3638"/>
    </row>
    <row r="16" spans="1:24" ht="75" x14ac:dyDescent="0.25">
      <c r="A16" s="3641"/>
      <c r="B16" s="3642"/>
      <c r="C16" s="3643"/>
      <c r="D16" s="2137" t="s">
        <v>694</v>
      </c>
      <c r="E16" s="2138" t="s">
        <v>314</v>
      </c>
      <c r="F16" s="2138" t="s">
        <v>450</v>
      </c>
      <c r="G16" s="2139" t="s">
        <v>451</v>
      </c>
      <c r="H16" s="2137" t="s">
        <v>695</v>
      </c>
      <c r="I16" s="2138" t="s">
        <v>314</v>
      </c>
      <c r="J16" s="2138" t="s">
        <v>450</v>
      </c>
      <c r="K16" s="2139" t="s">
        <v>451</v>
      </c>
      <c r="L16" s="2140" t="s">
        <v>220</v>
      </c>
      <c r="M16" s="2138" t="s">
        <v>450</v>
      </c>
      <c r="N16" s="2139" t="s">
        <v>451</v>
      </c>
      <c r="O16" s="2137" t="s">
        <v>314</v>
      </c>
      <c r="P16" s="2138" t="s">
        <v>450</v>
      </c>
      <c r="Q16" s="2256" t="s">
        <v>451</v>
      </c>
      <c r="R16" s="2139" t="s">
        <v>180</v>
      </c>
      <c r="S16" s="2137" t="s">
        <v>314</v>
      </c>
      <c r="T16" s="2138" t="s">
        <v>696</v>
      </c>
      <c r="U16" s="2139" t="s">
        <v>451</v>
      </c>
      <c r="V16" s="2137" t="s">
        <v>314</v>
      </c>
      <c r="W16" s="2138" t="s">
        <v>450</v>
      </c>
      <c r="X16" s="2139" t="s">
        <v>451</v>
      </c>
    </row>
    <row r="17" spans="1:24" x14ac:dyDescent="0.25">
      <c r="A17" s="2137">
        <v>1</v>
      </c>
      <c r="B17" s="2138">
        <v>2</v>
      </c>
      <c r="C17" s="2139">
        <v>3</v>
      </c>
      <c r="D17" s="2137">
        <v>4</v>
      </c>
      <c r="E17" s="2138">
        <v>5</v>
      </c>
      <c r="F17" s="2138">
        <v>6</v>
      </c>
      <c r="G17" s="2139">
        <v>7</v>
      </c>
      <c r="H17" s="2137">
        <v>8</v>
      </c>
      <c r="I17" s="2138">
        <v>9</v>
      </c>
      <c r="J17" s="2138">
        <v>10</v>
      </c>
      <c r="K17" s="2139">
        <v>11</v>
      </c>
      <c r="L17" s="2140">
        <v>12</v>
      </c>
      <c r="M17" s="2138">
        <v>13</v>
      </c>
      <c r="N17" s="2139">
        <v>14</v>
      </c>
      <c r="O17" s="2137">
        <v>15</v>
      </c>
      <c r="P17" s="2138">
        <v>16</v>
      </c>
      <c r="Q17" s="2256">
        <v>17</v>
      </c>
      <c r="R17" s="2139">
        <v>18</v>
      </c>
      <c r="S17" s="2137">
        <v>19</v>
      </c>
      <c r="T17" s="2141">
        <v>20</v>
      </c>
      <c r="U17" s="2139">
        <v>21</v>
      </c>
      <c r="V17" s="2137">
        <v>22</v>
      </c>
      <c r="W17" s="2138">
        <v>23</v>
      </c>
      <c r="X17" s="2139">
        <v>24</v>
      </c>
    </row>
    <row r="18" spans="1:24" s="2194" customFormat="1" ht="30" x14ac:dyDescent="0.25">
      <c r="A18" s="2164">
        <v>1</v>
      </c>
      <c r="B18" s="2165" t="s">
        <v>1263</v>
      </c>
      <c r="C18" s="2166" t="s">
        <v>697</v>
      </c>
      <c r="D18" s="2167">
        <f>G18</f>
        <v>5.6</v>
      </c>
      <c r="E18" s="2168">
        <v>146</v>
      </c>
      <c r="F18" s="2168">
        <v>32.6</v>
      </c>
      <c r="G18" s="2169">
        <f>E18*F18*1.18/1000</f>
        <v>5.6</v>
      </c>
      <c r="H18" s="2170">
        <f>K18</f>
        <v>9.6</v>
      </c>
      <c r="I18" s="2168">
        <v>250</v>
      </c>
      <c r="J18" s="2168">
        <v>32.6</v>
      </c>
      <c r="K18" s="2169">
        <f>I18*J18*1.18/1000</f>
        <v>9.6</v>
      </c>
      <c r="L18" s="2172">
        <v>234</v>
      </c>
      <c r="M18" s="2168">
        <v>34.200000000000003</v>
      </c>
      <c r="N18" s="2169">
        <f>L18*M18*1.2/1000</f>
        <v>9.6</v>
      </c>
      <c r="O18" s="2167">
        <v>234</v>
      </c>
      <c r="P18" s="2168">
        <v>34.200000000000003</v>
      </c>
      <c r="Q18" s="2257">
        <f>O18*P18*1.2/1000</f>
        <v>9.6</v>
      </c>
      <c r="R18" s="2174"/>
      <c r="S18" s="2167">
        <v>234</v>
      </c>
      <c r="T18" s="2168">
        <f>P18</f>
        <v>34.200000000000003</v>
      </c>
      <c r="U18" s="2169">
        <f>S18*T18*1.2/1000</f>
        <v>9.6</v>
      </c>
      <c r="V18" s="2167">
        <v>234</v>
      </c>
      <c r="W18" s="2168">
        <f>P18</f>
        <v>34.200000000000003</v>
      </c>
      <c r="X18" s="2169">
        <f>V18*W18*1.2/1000</f>
        <v>9.6</v>
      </c>
    </row>
    <row r="19" spans="1:24" s="2194" customFormat="1" ht="75" x14ac:dyDescent="0.25">
      <c r="A19" s="2164">
        <v>2</v>
      </c>
      <c r="B19" s="2165" t="s">
        <v>2029</v>
      </c>
      <c r="C19" s="2166"/>
      <c r="D19" s="2195"/>
      <c r="E19" s="2196"/>
      <c r="F19" s="2197"/>
      <c r="G19" s="2198"/>
      <c r="H19" s="2170"/>
      <c r="I19" s="2180"/>
      <c r="J19" s="2199"/>
      <c r="K19" s="2169"/>
      <c r="L19" s="2200"/>
      <c r="M19" s="2168"/>
      <c r="N19" s="2169"/>
      <c r="O19" s="2164"/>
      <c r="P19" s="2199"/>
      <c r="Q19" s="2257"/>
      <c r="R19" s="2179" t="s">
        <v>2030</v>
      </c>
      <c r="S19" s="2164"/>
      <c r="T19" s="2168"/>
      <c r="U19" s="2169"/>
      <c r="V19" s="2164"/>
      <c r="W19" s="2168"/>
      <c r="X19" s="2169"/>
    </row>
    <row r="20" spans="1:24" s="2211" customFormat="1" ht="45" x14ac:dyDescent="0.25">
      <c r="A20" s="2201"/>
      <c r="B20" s="2202" t="s">
        <v>2025</v>
      </c>
      <c r="C20" s="2203" t="s">
        <v>279</v>
      </c>
      <c r="D20" s="2204">
        <f>G20</f>
        <v>32.4</v>
      </c>
      <c r="E20" s="2205">
        <v>105</v>
      </c>
      <c r="F20" s="2206">
        <v>261.7</v>
      </c>
      <c r="G20" s="2206">
        <f>E20*F20*1.18/1000</f>
        <v>32.4</v>
      </c>
      <c r="H20" s="2207">
        <f>K20</f>
        <v>66.7</v>
      </c>
      <c r="I20" s="2205">
        <v>216</v>
      </c>
      <c r="J20" s="2206">
        <v>261.7</v>
      </c>
      <c r="K20" s="2208">
        <f>I20*J20*1.18/1000</f>
        <v>66.7</v>
      </c>
      <c r="L20" s="2209"/>
      <c r="M20" s="2206"/>
      <c r="N20" s="2208"/>
      <c r="O20" s="2201"/>
      <c r="P20" s="2206"/>
      <c r="Q20" s="2258"/>
      <c r="R20" s="2210" t="s">
        <v>698</v>
      </c>
      <c r="S20" s="2201"/>
      <c r="T20" s="2206"/>
      <c r="U20" s="2208"/>
      <c r="V20" s="2201"/>
      <c r="W20" s="2206"/>
      <c r="X20" s="2208"/>
    </row>
    <row r="21" spans="1:24" s="2211" customFormat="1" ht="45" x14ac:dyDescent="0.25">
      <c r="A21" s="2201"/>
      <c r="B21" s="2202" t="s">
        <v>2026</v>
      </c>
      <c r="C21" s="2203" t="s">
        <v>279</v>
      </c>
      <c r="D21" s="2204"/>
      <c r="E21" s="2205"/>
      <c r="F21" s="2206"/>
      <c r="G21" s="2208"/>
      <c r="H21" s="2207">
        <f>K21</f>
        <v>5.6</v>
      </c>
      <c r="I21" s="2205">
        <v>18</v>
      </c>
      <c r="J21" s="2206">
        <v>261.7</v>
      </c>
      <c r="K21" s="2208">
        <f>I21*J21*1.18/1000</f>
        <v>5.6</v>
      </c>
      <c r="L21" s="2209"/>
      <c r="M21" s="2206"/>
      <c r="N21" s="2208"/>
      <c r="O21" s="2201"/>
      <c r="P21" s="2206"/>
      <c r="Q21" s="2258"/>
      <c r="R21" s="2210" t="s">
        <v>698</v>
      </c>
      <c r="S21" s="2201"/>
      <c r="T21" s="2206"/>
      <c r="U21" s="2208"/>
      <c r="V21" s="2201"/>
      <c r="W21" s="2206"/>
      <c r="X21" s="2208"/>
    </row>
    <row r="22" spans="1:24" s="2194" customFormat="1" ht="90" x14ac:dyDescent="0.25">
      <c r="A22" s="2164">
        <v>3</v>
      </c>
      <c r="B22" s="2165" t="s">
        <v>699</v>
      </c>
      <c r="C22" s="2166" t="s">
        <v>318</v>
      </c>
      <c r="D22" s="2212">
        <v>14.85</v>
      </c>
      <c r="E22" s="2213">
        <v>1</v>
      </c>
      <c r="F22" s="2214">
        <v>12585</v>
      </c>
      <c r="G22" s="2198">
        <f>((F22*E22)*1.18)/1000</f>
        <v>14.85</v>
      </c>
      <c r="H22" s="2170"/>
      <c r="I22" s="2180"/>
      <c r="J22" s="2168"/>
      <c r="K22" s="2169"/>
      <c r="L22" s="2200"/>
      <c r="M22" s="2168"/>
      <c r="N22" s="2169"/>
      <c r="O22" s="2215">
        <v>3</v>
      </c>
      <c r="P22" s="2214">
        <f>Q22/O22/1.2*1000</f>
        <v>1805.6</v>
      </c>
      <c r="Q22" s="2259">
        <v>6.5</v>
      </c>
      <c r="R22" s="2179" t="s">
        <v>1264</v>
      </c>
      <c r="S22" s="2164">
        <v>3</v>
      </c>
      <c r="T22" s="2168">
        <f>U22/S22/1.2*1000</f>
        <v>1805.6</v>
      </c>
      <c r="U22" s="2169">
        <v>6.5</v>
      </c>
      <c r="V22" s="2164"/>
      <c r="W22" s="2168"/>
      <c r="X22" s="2169"/>
    </row>
    <row r="23" spans="1:24" s="2194" customFormat="1" ht="75" x14ac:dyDescent="0.25">
      <c r="A23" s="2164">
        <v>4</v>
      </c>
      <c r="B23" s="2165" t="s">
        <v>2031</v>
      </c>
      <c r="C23" s="2166" t="s">
        <v>318</v>
      </c>
      <c r="D23" s="2167"/>
      <c r="E23" s="2180"/>
      <c r="F23" s="2168"/>
      <c r="G23" s="2169"/>
      <c r="H23" s="2170"/>
      <c r="I23" s="2180"/>
      <c r="J23" s="2168"/>
      <c r="K23" s="2169"/>
      <c r="L23" s="2200"/>
      <c r="M23" s="2168"/>
      <c r="N23" s="2169"/>
      <c r="O23" s="2215">
        <v>9</v>
      </c>
      <c r="P23" s="2214">
        <f>Q23/O23/1.2*1000</f>
        <v>1398.1</v>
      </c>
      <c r="Q23" s="2259">
        <v>15.1</v>
      </c>
      <c r="R23" s="2179" t="s">
        <v>700</v>
      </c>
      <c r="S23" s="2164">
        <v>9</v>
      </c>
      <c r="T23" s="2168">
        <f>U23/S23/1.2*1000</f>
        <v>1398.1</v>
      </c>
      <c r="U23" s="2169">
        <v>15.1</v>
      </c>
      <c r="V23" s="2254">
        <f>X23/W23*1000</f>
        <v>7</v>
      </c>
      <c r="W23" s="2168">
        <v>1398.1</v>
      </c>
      <c r="X23" s="2169">
        <v>10.199999999999999</v>
      </c>
    </row>
    <row r="24" spans="1:24" s="2194" customFormat="1" ht="86.25" customHeight="1" x14ac:dyDescent="0.25">
      <c r="A24" s="2164">
        <v>5</v>
      </c>
      <c r="B24" s="2165" t="s">
        <v>1388</v>
      </c>
      <c r="C24" s="2166" t="s">
        <v>1389</v>
      </c>
      <c r="D24" s="2167"/>
      <c r="E24" s="2180"/>
      <c r="F24" s="2168"/>
      <c r="G24" s="2169"/>
      <c r="H24" s="2170">
        <f>K24</f>
        <v>8.5</v>
      </c>
      <c r="I24" s="2180">
        <v>8</v>
      </c>
      <c r="J24" s="2168">
        <f>1062.83/1.18</f>
        <v>900.7</v>
      </c>
      <c r="K24" s="2169">
        <f>I24*J24*1.18/1000</f>
        <v>8.5</v>
      </c>
      <c r="L24" s="2200">
        <v>4</v>
      </c>
      <c r="M24" s="2168">
        <f>N24/L24/1.2*1000</f>
        <v>1770.8</v>
      </c>
      <c r="N24" s="2169">
        <v>8.5</v>
      </c>
      <c r="O24" s="2164"/>
      <c r="P24" s="2168"/>
      <c r="Q24" s="2257"/>
      <c r="R24" s="2179" t="s">
        <v>1390</v>
      </c>
      <c r="S24" s="2215"/>
      <c r="T24" s="2214"/>
      <c r="U24" s="2216"/>
      <c r="V24" s="2164"/>
      <c r="W24" s="2168"/>
      <c r="X24" s="2169"/>
    </row>
    <row r="25" spans="1:24" s="2194" customFormat="1" ht="30" x14ac:dyDescent="0.25">
      <c r="A25" s="2164">
        <v>6</v>
      </c>
      <c r="B25" s="2165" t="s">
        <v>2032</v>
      </c>
      <c r="C25" s="2166" t="s">
        <v>2033</v>
      </c>
      <c r="D25" s="2217">
        <v>201</v>
      </c>
      <c r="E25" s="2054">
        <v>1</v>
      </c>
      <c r="F25" s="2218">
        <f>G25/E25/1.18*1000</f>
        <v>170339</v>
      </c>
      <c r="G25" s="2219">
        <v>201</v>
      </c>
      <c r="H25" s="2170"/>
      <c r="I25" s="2180"/>
      <c r="J25" s="2168"/>
      <c r="K25" s="2169"/>
      <c r="L25" s="2200"/>
      <c r="M25" s="2168"/>
      <c r="N25" s="2169"/>
      <c r="O25" s="2164"/>
      <c r="P25" s="2168"/>
      <c r="Q25" s="2257"/>
      <c r="R25" s="2179"/>
      <c r="S25" s="2164"/>
      <c r="T25" s="2168"/>
      <c r="U25" s="2169"/>
      <c r="V25" s="2164"/>
      <c r="W25" s="2168"/>
      <c r="X25" s="2169"/>
    </row>
    <row r="26" spans="1:24" s="2226" customFormat="1" ht="74.25" customHeight="1" x14ac:dyDescent="0.25">
      <c r="A26" s="2164">
        <v>7</v>
      </c>
      <c r="B26" s="2220" t="s">
        <v>2034</v>
      </c>
      <c r="C26" s="2221" t="s">
        <v>2035</v>
      </c>
      <c r="D26" s="2222"/>
      <c r="E26" s="2213"/>
      <c r="F26" s="2214"/>
      <c r="G26" s="2216"/>
      <c r="H26" s="2222"/>
      <c r="I26" s="2213"/>
      <c r="J26" s="2214"/>
      <c r="K26" s="2216"/>
      <c r="L26" s="2223">
        <v>1</v>
      </c>
      <c r="M26" s="2214">
        <f>N26/L26/1.2*1000</f>
        <v>41666.699999999997</v>
      </c>
      <c r="N26" s="2216">
        <v>50</v>
      </c>
      <c r="O26" s="2224"/>
      <c r="P26" s="2214"/>
      <c r="Q26" s="2259"/>
      <c r="R26" s="2225"/>
      <c r="S26" s="2215"/>
      <c r="T26" s="2214"/>
      <c r="U26" s="2216"/>
      <c r="V26" s="2215"/>
      <c r="W26" s="2214"/>
      <c r="X26" s="2216"/>
    </row>
    <row r="27" spans="1:24" s="2194" customFormat="1" ht="60" x14ac:dyDescent="0.25">
      <c r="A27" s="2164">
        <v>8</v>
      </c>
      <c r="B27" s="2165" t="s">
        <v>2036</v>
      </c>
      <c r="C27" s="2166" t="s">
        <v>2033</v>
      </c>
      <c r="D27" s="2222">
        <v>11.4</v>
      </c>
      <c r="E27" s="2213">
        <v>1</v>
      </c>
      <c r="F27" s="2214">
        <f>G27/E27/1.18*1000</f>
        <v>9661</v>
      </c>
      <c r="G27" s="2198">
        <v>11.4</v>
      </c>
      <c r="H27" s="2170"/>
      <c r="I27" s="2180"/>
      <c r="J27" s="2168"/>
      <c r="K27" s="2169"/>
      <c r="L27" s="2200"/>
      <c r="M27" s="2168"/>
      <c r="N27" s="2169"/>
      <c r="O27" s="2164"/>
      <c r="P27" s="2168"/>
      <c r="Q27" s="2257"/>
      <c r="R27" s="2179"/>
      <c r="S27" s="2164"/>
      <c r="T27" s="2168"/>
      <c r="U27" s="2169"/>
      <c r="V27" s="2215">
        <v>1</v>
      </c>
      <c r="W27" s="2214">
        <f>X27/V27/1.2*1000</f>
        <v>9500</v>
      </c>
      <c r="X27" s="2198">
        <v>11.4</v>
      </c>
    </row>
    <row r="28" spans="1:24" s="2194" customFormat="1" ht="90" x14ac:dyDescent="0.25">
      <c r="A28" s="2164">
        <v>9</v>
      </c>
      <c r="B28" s="2165" t="s">
        <v>2037</v>
      </c>
      <c r="C28" s="2166" t="s">
        <v>318</v>
      </c>
      <c r="D28" s="2167"/>
      <c r="E28" s="2180"/>
      <c r="F28" s="2168"/>
      <c r="G28" s="2169"/>
      <c r="H28" s="2170">
        <f>K28</f>
        <v>80</v>
      </c>
      <c r="I28" s="2180">
        <v>2</v>
      </c>
      <c r="J28" s="2168">
        <f>K28/I28/1.18*1000</f>
        <v>33898.300000000003</v>
      </c>
      <c r="K28" s="2169">
        <v>80</v>
      </c>
      <c r="L28" s="2200">
        <v>2</v>
      </c>
      <c r="M28" s="2168">
        <f>N28/L28/1.2*1000</f>
        <v>33333.300000000003</v>
      </c>
      <c r="N28" s="2168">
        <v>80</v>
      </c>
      <c r="O28" s="2164"/>
      <c r="P28" s="2168"/>
      <c r="Q28" s="2257"/>
      <c r="R28" s="2179" t="s">
        <v>2038</v>
      </c>
      <c r="S28" s="2164"/>
      <c r="T28" s="2168"/>
      <c r="U28" s="2169"/>
      <c r="V28" s="2164"/>
      <c r="W28" s="2168"/>
      <c r="X28" s="2169"/>
    </row>
    <row r="29" spans="1:24" s="2226" customFormat="1" ht="276.75" customHeight="1" x14ac:dyDescent="0.25">
      <c r="A29" s="2164">
        <v>10</v>
      </c>
      <c r="B29" s="2227" t="s">
        <v>2039</v>
      </c>
      <c r="C29" s="2221" t="s">
        <v>564</v>
      </c>
      <c r="D29" s="2222"/>
      <c r="E29" s="2213"/>
      <c r="F29" s="2214"/>
      <c r="G29" s="2216"/>
      <c r="H29" s="2222"/>
      <c r="I29" s="2213"/>
      <c r="J29" s="2228"/>
      <c r="K29" s="2216"/>
      <c r="L29" s="2229"/>
      <c r="M29" s="2214"/>
      <c r="N29" s="2216"/>
      <c r="O29" s="2230"/>
      <c r="P29" s="2214"/>
      <c r="Q29" s="2259"/>
      <c r="R29" s="2231" t="s">
        <v>2040</v>
      </c>
      <c r="S29" s="2230"/>
      <c r="T29" s="2214"/>
      <c r="U29" s="2214"/>
      <c r="V29" s="2230"/>
      <c r="W29" s="2214"/>
      <c r="X29" s="2216"/>
    </row>
    <row r="30" spans="1:24" ht="28.5" x14ac:dyDescent="0.25">
      <c r="A30" s="2184"/>
      <c r="B30" s="2185" t="s">
        <v>319</v>
      </c>
      <c r="C30" s="2186"/>
      <c r="D30" s="2187">
        <f>SUM(D18:D29)</f>
        <v>265.3</v>
      </c>
      <c r="E30" s="2232"/>
      <c r="F30" s="2189"/>
      <c r="G30" s="2190">
        <f>SUM(G18:G29)</f>
        <v>265.3</v>
      </c>
      <c r="H30" s="2187">
        <f>SUM(H18:H29)</f>
        <v>170.4</v>
      </c>
      <c r="I30" s="2188"/>
      <c r="J30" s="2189"/>
      <c r="K30" s="2190">
        <f>SUM(K18:K29)</f>
        <v>170.4</v>
      </c>
      <c r="L30" s="2191"/>
      <c r="M30" s="2189"/>
      <c r="N30" s="2190">
        <f>SUM(N18:N29)</f>
        <v>148.1</v>
      </c>
      <c r="O30" s="2184"/>
      <c r="P30" s="2189"/>
      <c r="Q30" s="2260">
        <f>SUM(Q18:Q29)</f>
        <v>31.2</v>
      </c>
      <c r="R30" s="2186"/>
      <c r="S30" s="2184"/>
      <c r="T30" s="2189"/>
      <c r="U30" s="2190">
        <f>SUM(U18:U29)</f>
        <v>31.2</v>
      </c>
      <c r="V30" s="2184"/>
      <c r="W30" s="2189"/>
      <c r="X30" s="2190">
        <f>SUM(X18:X29)</f>
        <v>31.2</v>
      </c>
    </row>
    <row r="31" spans="1:24" x14ac:dyDescent="0.25">
      <c r="A31" s="2137"/>
      <c r="B31" s="2233" t="s">
        <v>453</v>
      </c>
      <c r="C31" s="2139"/>
      <c r="D31" s="2234"/>
      <c r="E31" s="2138"/>
      <c r="F31" s="2235"/>
      <c r="G31" s="2236"/>
      <c r="H31" s="2234"/>
      <c r="I31" s="2138"/>
      <c r="J31" s="2235"/>
      <c r="K31" s="2236"/>
      <c r="L31" s="2140"/>
      <c r="M31" s="2235"/>
      <c r="N31" s="2236"/>
      <c r="O31" s="2137"/>
      <c r="P31" s="2235"/>
      <c r="Q31" s="2261"/>
      <c r="R31" s="2139"/>
      <c r="S31" s="2137"/>
      <c r="T31" s="2237"/>
      <c r="U31" s="2238"/>
      <c r="V31" s="2137"/>
      <c r="W31" s="2235"/>
      <c r="X31" s="2236"/>
    </row>
    <row r="32" spans="1:24" x14ac:dyDescent="0.25">
      <c r="A32" s="2137"/>
      <c r="B32" s="2233" t="s">
        <v>455</v>
      </c>
      <c r="C32" s="2139"/>
      <c r="D32" s="2234"/>
      <c r="E32" s="2138"/>
      <c r="F32" s="2235"/>
      <c r="G32" s="2236"/>
      <c r="H32" s="2234"/>
      <c r="I32" s="2138"/>
      <c r="J32" s="2235"/>
      <c r="K32" s="2236"/>
      <c r="L32" s="2140"/>
      <c r="M32" s="2235"/>
      <c r="N32" s="2236"/>
      <c r="O32" s="2137"/>
      <c r="P32" s="2235"/>
      <c r="Q32" s="2261"/>
      <c r="R32" s="2139"/>
      <c r="S32" s="2137"/>
      <c r="T32" s="2235"/>
      <c r="U32" s="2236"/>
      <c r="V32" s="2137"/>
      <c r="W32" s="2235"/>
      <c r="X32" s="2236"/>
    </row>
    <row r="33" spans="1:24" ht="15.75" thickBot="1" x14ac:dyDescent="0.3">
      <c r="A33" s="2239"/>
      <c r="B33" s="2240" t="s">
        <v>457</v>
      </c>
      <c r="C33" s="2241"/>
      <c r="D33" s="2242"/>
      <c r="E33" s="2243"/>
      <c r="F33" s="2244"/>
      <c r="G33" s="2245"/>
      <c r="H33" s="2242"/>
      <c r="I33" s="2243"/>
      <c r="J33" s="2244"/>
      <c r="K33" s="2245"/>
      <c r="L33" s="2246"/>
      <c r="M33" s="2244"/>
      <c r="N33" s="2245"/>
      <c r="O33" s="2239"/>
      <c r="P33" s="2244"/>
      <c r="Q33" s="2262"/>
      <c r="R33" s="2241"/>
      <c r="S33" s="2239"/>
      <c r="T33" s="2244"/>
      <c r="U33" s="2245"/>
      <c r="V33" s="2239"/>
      <c r="W33" s="2244"/>
      <c r="X33" s="2245"/>
    </row>
    <row r="34" spans="1:24" x14ac:dyDescent="0.25">
      <c r="Q34" s="2263"/>
    </row>
    <row r="35" spans="1:24" s="2252" customFormat="1" ht="20.25" x14ac:dyDescent="0.3">
      <c r="Q35" s="2264"/>
    </row>
    <row r="40" spans="1:24" x14ac:dyDescent="0.25">
      <c r="Q40" s="2263">
        <f>31.2-Q30</f>
        <v>0</v>
      </c>
      <c r="U40" s="2135">
        <f>31.2-U30</f>
        <v>0</v>
      </c>
      <c r="X40" s="2135">
        <f>31.2-X30</f>
        <v>0</v>
      </c>
    </row>
  </sheetData>
  <mergeCells count="11">
    <mergeCell ref="V15:X15"/>
    <mergeCell ref="A11:X11"/>
    <mergeCell ref="A12:X12"/>
    <mergeCell ref="A15:A16"/>
    <mergeCell ref="B15:B16"/>
    <mergeCell ref="C15:C16"/>
    <mergeCell ref="D15:G15"/>
    <mergeCell ref="H15:K15"/>
    <mergeCell ref="L15:N15"/>
    <mergeCell ref="O15:R15"/>
    <mergeCell ref="S15:U15"/>
  </mergeCells>
  <pageMargins left="0.70866141732283472" right="0.70866141732283472" top="0.74803149606299213" bottom="0.74803149606299213" header="0.31496062992125984" footer="0.31496062992125984"/>
  <pageSetup paperSize="9" scale="3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N434"/>
  <sheetViews>
    <sheetView view="pageBreakPreview" zoomScale="70" zoomScaleNormal="70" zoomScaleSheetLayoutView="70" workbookViewId="0">
      <pane xSplit="4" ySplit="9" topLeftCell="Q135" activePane="bottomRight" state="frozen"/>
      <selection activeCell="A12" sqref="A12:X12"/>
      <selection pane="topRight" activeCell="A12" sqref="A12:X12"/>
      <selection pane="bottomLeft" activeCell="A12" sqref="A12:X12"/>
      <selection pane="bottomRight" activeCell="T425" sqref="T425"/>
    </sheetView>
  </sheetViews>
  <sheetFormatPr defaultColWidth="10.6640625" defaultRowHeight="15" x14ac:dyDescent="0.25"/>
  <cols>
    <col min="1" max="1" width="9.33203125" style="585" customWidth="1"/>
    <col min="2" max="2" width="66.33203125" style="467" customWidth="1"/>
    <col min="3" max="3" width="20.1640625" style="586" customWidth="1"/>
    <col min="4" max="5" width="16.1640625" style="585" customWidth="1"/>
    <col min="6" max="6" width="16.5" style="563" hidden="1" customWidth="1"/>
    <col min="7" max="7" width="16.5" style="564" hidden="1" customWidth="1"/>
    <col min="8" max="8" width="16.5" style="565" hidden="1" customWidth="1"/>
    <col min="9" max="9" width="10.83203125" style="470" hidden="1" customWidth="1"/>
    <col min="10" max="10" width="17.33203125" style="470" hidden="1" customWidth="1"/>
    <col min="11" max="11" width="14.83203125" style="470" hidden="1" customWidth="1"/>
    <col min="12" max="12" width="25.1640625" style="470" hidden="1" customWidth="1"/>
    <col min="13" max="13" width="17.33203125" style="470" hidden="1" customWidth="1"/>
    <col min="14" max="14" width="14.83203125" style="470" hidden="1" customWidth="1"/>
    <col min="15" max="17" width="14.83203125" style="470" customWidth="1"/>
    <col min="18" max="18" width="18.33203125" style="470" customWidth="1"/>
    <col min="19" max="25" width="14.83203125" style="470" customWidth="1"/>
    <col min="26" max="27" width="14.83203125" style="566" customWidth="1"/>
    <col min="28" max="28" width="42.1640625" style="465" customWidth="1"/>
    <col min="29" max="29" width="14.83203125" style="583" customWidth="1"/>
    <col min="30" max="30" width="12.83203125" style="467" customWidth="1"/>
    <col min="31" max="31" width="10.83203125" style="467" bestFit="1" customWidth="1"/>
    <col min="32" max="32" width="18.5" style="584" customWidth="1"/>
    <col min="33" max="33" width="13.5" style="467" customWidth="1"/>
    <col min="34" max="16384" width="10.6640625" style="467"/>
  </cols>
  <sheetData>
    <row r="1" spans="1:40" x14ac:dyDescent="0.25">
      <c r="A1" s="1034"/>
      <c r="B1" s="374"/>
      <c r="C1" s="374"/>
      <c r="D1" s="1034"/>
      <c r="E1" s="1034"/>
      <c r="F1" s="375"/>
      <c r="G1" s="376"/>
      <c r="H1" s="377"/>
      <c r="I1" s="378"/>
      <c r="J1" s="378"/>
      <c r="K1" s="463"/>
      <c r="L1" s="378"/>
      <c r="M1" s="378"/>
      <c r="N1" s="463"/>
      <c r="O1" s="378"/>
      <c r="P1" s="378"/>
      <c r="Q1" s="463"/>
      <c r="R1" s="463"/>
      <c r="S1" s="463"/>
      <c r="T1" s="378"/>
      <c r="U1" s="378"/>
      <c r="V1" s="463"/>
      <c r="W1" s="378"/>
      <c r="X1" s="378"/>
      <c r="Y1" s="463"/>
      <c r="Z1" s="377"/>
      <c r="AA1" s="377"/>
      <c r="AB1" s="379"/>
      <c r="AC1" s="464"/>
      <c r="AD1" s="465"/>
      <c r="AE1" s="465"/>
      <c r="AF1" s="466"/>
      <c r="AG1" s="465"/>
      <c r="AH1" s="465"/>
    </row>
    <row r="2" spans="1:40" ht="19.5" x14ac:dyDescent="0.25">
      <c r="A2" s="3513" t="s">
        <v>1398</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464"/>
      <c r="AD2" s="465"/>
      <c r="AE2" s="465"/>
      <c r="AF2" s="466"/>
      <c r="AG2" s="465"/>
      <c r="AH2" s="465"/>
    </row>
    <row r="3" spans="1:40" ht="18.75" x14ac:dyDescent="0.25">
      <c r="A3" s="3538" t="s">
        <v>2024</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464"/>
      <c r="AD3" s="465"/>
      <c r="AE3" s="465"/>
      <c r="AF3" s="466"/>
      <c r="AG3" s="465"/>
      <c r="AH3" s="465"/>
    </row>
    <row r="4" spans="1:40" ht="15.75" x14ac:dyDescent="0.25">
      <c r="A4" s="1034"/>
      <c r="B4" s="374"/>
      <c r="C4" s="374"/>
      <c r="D4" s="1034"/>
      <c r="E4" s="1034"/>
      <c r="F4" s="375"/>
      <c r="G4" s="376"/>
      <c r="H4" s="377"/>
      <c r="I4" s="378"/>
      <c r="J4" s="378"/>
      <c r="K4" s="463"/>
      <c r="L4" s="378"/>
      <c r="M4" s="378"/>
      <c r="N4" s="463"/>
      <c r="O4" s="378"/>
      <c r="P4" s="378"/>
      <c r="Q4" s="463"/>
      <c r="R4" s="463"/>
      <c r="S4" s="463"/>
      <c r="T4" s="378"/>
      <c r="U4" s="378"/>
      <c r="V4" s="463"/>
      <c r="W4" s="378"/>
      <c r="X4" s="378"/>
      <c r="Y4" s="463"/>
      <c r="Z4" s="377"/>
      <c r="AA4" s="377"/>
      <c r="AB4" s="683">
        <v>43831</v>
      </c>
      <c r="AC4" s="464"/>
      <c r="AD4" s="465"/>
      <c r="AE4" s="465"/>
      <c r="AF4" s="466"/>
      <c r="AG4" s="465"/>
      <c r="AH4" s="465"/>
    </row>
    <row r="5" spans="1:40" ht="63.75" customHeight="1" x14ac:dyDescent="0.25">
      <c r="A5" s="3539" t="s">
        <v>78</v>
      </c>
      <c r="B5" s="3539" t="s">
        <v>484</v>
      </c>
      <c r="C5" s="3540" t="s">
        <v>485</v>
      </c>
      <c r="D5" s="3539" t="s">
        <v>486</v>
      </c>
      <c r="E5" s="3539" t="s">
        <v>219</v>
      </c>
      <c r="F5" s="3533" t="s">
        <v>344</v>
      </c>
      <c r="G5" s="3533"/>
      <c r="H5" s="3533"/>
      <c r="I5" s="3533" t="s">
        <v>487</v>
      </c>
      <c r="J5" s="3533"/>
      <c r="K5" s="3533"/>
      <c r="L5" s="3541" t="s">
        <v>488</v>
      </c>
      <c r="M5" s="3542"/>
      <c r="N5" s="3543"/>
      <c r="O5" s="3533" t="s">
        <v>489</v>
      </c>
      <c r="P5" s="3533"/>
      <c r="Q5" s="3533"/>
      <c r="R5" s="3531" t="s">
        <v>490</v>
      </c>
      <c r="S5" s="3532"/>
      <c r="T5" s="3533" t="s">
        <v>205</v>
      </c>
      <c r="U5" s="3533"/>
      <c r="V5" s="3533"/>
      <c r="W5" s="3534" t="s">
        <v>206</v>
      </c>
      <c r="X5" s="3535"/>
      <c r="Y5" s="3536"/>
      <c r="Z5" s="3537" t="s">
        <v>120</v>
      </c>
      <c r="AA5" s="3537"/>
      <c r="AB5" s="3530" t="s">
        <v>491</v>
      </c>
      <c r="AC5" s="464"/>
      <c r="AD5" s="465"/>
      <c r="AE5" s="465"/>
      <c r="AF5" s="466"/>
      <c r="AG5" s="465"/>
      <c r="AH5" s="465"/>
    </row>
    <row r="6" spans="1:40" s="465" customFormat="1" ht="62.25" customHeight="1" x14ac:dyDescent="0.25">
      <c r="A6" s="3539"/>
      <c r="B6" s="3539"/>
      <c r="C6" s="3540"/>
      <c r="D6" s="3539"/>
      <c r="E6" s="3539"/>
      <c r="F6" s="3544" t="s">
        <v>492</v>
      </c>
      <c r="G6" s="3545" t="s">
        <v>493</v>
      </c>
      <c r="H6" s="3520" t="s">
        <v>494</v>
      </c>
      <c r="I6" s="3520" t="s">
        <v>492</v>
      </c>
      <c r="J6" s="3520" t="s">
        <v>493</v>
      </c>
      <c r="K6" s="3520" t="s">
        <v>494</v>
      </c>
      <c r="L6" s="3521" t="s">
        <v>492</v>
      </c>
      <c r="M6" s="3521" t="s">
        <v>493</v>
      </c>
      <c r="N6" s="3521" t="s">
        <v>494</v>
      </c>
      <c r="O6" s="3520" t="s">
        <v>492</v>
      </c>
      <c r="P6" s="3520" t="s">
        <v>493</v>
      </c>
      <c r="Q6" s="3520" t="s">
        <v>494</v>
      </c>
      <c r="R6" s="468" t="s">
        <v>495</v>
      </c>
      <c r="S6" s="1243" t="s">
        <v>496</v>
      </c>
      <c r="T6" s="3520" t="s">
        <v>492</v>
      </c>
      <c r="U6" s="3520" t="s">
        <v>493</v>
      </c>
      <c r="V6" s="3520" t="s">
        <v>494</v>
      </c>
      <c r="W6" s="3521" t="s">
        <v>492</v>
      </c>
      <c r="X6" s="3521" t="s">
        <v>493</v>
      </c>
      <c r="Y6" s="3521" t="s">
        <v>494</v>
      </c>
      <c r="Z6" s="3520" t="s">
        <v>497</v>
      </c>
      <c r="AA6" s="3526" t="s">
        <v>498</v>
      </c>
      <c r="AB6" s="3530"/>
      <c r="AC6" s="469">
        <f>Z9+[16]РМС!X9+[16]СПЖ!X9+[16]ОД!X9+[16]Наркомания!X9+[16]Молодежь!X9+[16]Стимулирование!V1392</f>
        <v>1713.7</v>
      </c>
      <c r="AD6" s="470">
        <f>S9+[16]Стимулирование!T873+1750</f>
        <v>2183.6999999999998</v>
      </c>
      <c r="AF6" s="466"/>
    </row>
    <row r="7" spans="1:40" s="465" customFormat="1" ht="59.25" hidden="1" customHeight="1" x14ac:dyDescent="0.25">
      <c r="A7" s="3539"/>
      <c r="B7" s="3539"/>
      <c r="C7" s="3540"/>
      <c r="D7" s="3539"/>
      <c r="E7" s="3539"/>
      <c r="F7" s="3544"/>
      <c r="G7" s="3545"/>
      <c r="H7" s="3520"/>
      <c r="I7" s="3520"/>
      <c r="J7" s="3520"/>
      <c r="K7" s="3520"/>
      <c r="L7" s="3522"/>
      <c r="M7" s="3522"/>
      <c r="N7" s="3522"/>
      <c r="O7" s="3520"/>
      <c r="P7" s="3520"/>
      <c r="Q7" s="3520"/>
      <c r="R7" s="1243"/>
      <c r="S7" s="1243"/>
      <c r="T7" s="3520"/>
      <c r="U7" s="3520"/>
      <c r="V7" s="3520"/>
      <c r="W7" s="3522"/>
      <c r="X7" s="3522"/>
      <c r="Y7" s="3522"/>
      <c r="Z7" s="3520"/>
      <c r="AA7" s="3526"/>
      <c r="AB7" s="3530"/>
      <c r="AC7" s="464"/>
      <c r="AD7" s="470"/>
      <c r="AE7" s="470"/>
      <c r="AF7" s="466"/>
    </row>
    <row r="8" spans="1:40" s="465" customFormat="1" x14ac:dyDescent="0.25">
      <c r="A8" s="1240">
        <v>1</v>
      </c>
      <c r="B8" s="1240">
        <v>2</v>
      </c>
      <c r="C8" s="1240">
        <v>3</v>
      </c>
      <c r="D8" s="1240">
        <v>4</v>
      </c>
      <c r="E8" s="1240">
        <v>5</v>
      </c>
      <c r="F8" s="471">
        <v>6</v>
      </c>
      <c r="G8" s="471">
        <v>7</v>
      </c>
      <c r="H8" s="1240">
        <v>8</v>
      </c>
      <c r="I8" s="1240">
        <v>9</v>
      </c>
      <c r="J8" s="1240">
        <v>10</v>
      </c>
      <c r="K8" s="1240">
        <v>11</v>
      </c>
      <c r="L8" s="1240">
        <v>12</v>
      </c>
      <c r="M8" s="1240">
        <v>13</v>
      </c>
      <c r="N8" s="1240">
        <v>14</v>
      </c>
      <c r="O8" s="472">
        <v>15</v>
      </c>
      <c r="P8" s="472">
        <v>16</v>
      </c>
      <c r="Q8" s="472">
        <v>17</v>
      </c>
      <c r="R8" s="473" t="s">
        <v>499</v>
      </c>
      <c r="S8" s="473" t="s">
        <v>500</v>
      </c>
      <c r="T8" s="472">
        <v>18</v>
      </c>
      <c r="U8" s="472">
        <v>19</v>
      </c>
      <c r="V8" s="472">
        <v>20</v>
      </c>
      <c r="W8" s="472">
        <v>21</v>
      </c>
      <c r="X8" s="472">
        <v>22</v>
      </c>
      <c r="Y8" s="472">
        <v>23</v>
      </c>
      <c r="Z8" s="1240">
        <v>24</v>
      </c>
      <c r="AA8" s="1240">
        <v>25</v>
      </c>
      <c r="AB8" s="1240">
        <v>26</v>
      </c>
      <c r="AC8" s="464"/>
      <c r="AF8" s="466"/>
    </row>
    <row r="9" spans="1:40" s="486" customFormat="1" ht="26.25" hidden="1" customHeight="1" x14ac:dyDescent="0.25">
      <c r="A9" s="474"/>
      <c r="B9" s="475" t="s">
        <v>501</v>
      </c>
      <c r="C9" s="476"/>
      <c r="D9" s="477"/>
      <c r="E9" s="474"/>
      <c r="F9" s="478"/>
      <c r="G9" s="479"/>
      <c r="H9" s="480" t="e">
        <f>#REF!+H10+H32+#REF!+#REF!+#REF!+#REF!+H51+H73+#REF!+H146+#REF!+H157+#REF!+#REF!+H181+H190+H213+H252+#REF!+#REF!+#REF!+H281+H302+#REF!+H316+#REF!+#REF!+H336+#REF!+#REF!+H352+#REF!+#REF!+#REF!+#REF!+#REF!+#REF!+#REF!+#REF!+#REF!+#REF!+#REF!+H412</f>
        <v>#REF!</v>
      </c>
      <c r="I9" s="480"/>
      <c r="J9" s="480"/>
      <c r="K9" s="480">
        <f>K10+K32+K51+K73+K146+K157+K181+K190+K213+K252+K281+K302+K316+K336+K352+K412</f>
        <v>891.2</v>
      </c>
      <c r="L9" s="480"/>
      <c r="M9" s="480"/>
      <c r="N9" s="480">
        <f>N10+N32+N51+N73+N146+N157+N181+N190+N213+N252+N281+N302+N316+N336+N352+N412</f>
        <v>891.2</v>
      </c>
      <c r="O9" s="480"/>
      <c r="P9" s="480"/>
      <c r="Q9" s="480">
        <f>Q10+Q32+Q51+Q73+Q146+Q157+Q181+Q190+Q213+Q252+Q281+Q302+Q316+Q336+Q352+Q412</f>
        <v>1361.3</v>
      </c>
      <c r="R9" s="480">
        <f>R10+R32+R51+R73+R146+R157+R181+R190+R213+R252+R281+R302+R316+R336+R352+R412</f>
        <v>1127.5999999999999</v>
      </c>
      <c r="S9" s="480">
        <f>S10+S32+S51+S73+S146+S157+S181+S190+S213+S252+S281+S302+S316+S336+S352+S412</f>
        <v>233.9</v>
      </c>
      <c r="T9" s="480"/>
      <c r="U9" s="480"/>
      <c r="V9" s="480">
        <f>V10+V32+V51+V73+V146+V157+V181+V190+V213+V252+V281+V302+V316+V336+V352+V412</f>
        <v>1247.3</v>
      </c>
      <c r="W9" s="480"/>
      <c r="X9" s="480"/>
      <c r="Y9" s="480">
        <f>Y10+Y32+Y51+Y73+Y146+Y157+Y181+Y190+Y213+Y252+Y281+Y302+Y316+Y336+Y352+Y412</f>
        <v>1247.3</v>
      </c>
      <c r="Z9" s="480">
        <f t="shared" ref="Z9:Z72" si="0">Q9-K9</f>
        <v>470.1</v>
      </c>
      <c r="AA9" s="480">
        <f t="shared" ref="AA9:AA72" si="1">IFERROR(Q9/K9*100,"-")</f>
        <v>152.69999999999999</v>
      </c>
      <c r="AB9" s="481"/>
      <c r="AC9" s="482"/>
      <c r="AD9" s="483"/>
      <c r="AE9" s="483"/>
      <c r="AF9" s="484"/>
      <c r="AG9" s="485"/>
      <c r="AH9" s="484"/>
      <c r="AI9" s="483"/>
      <c r="AJ9" s="483"/>
      <c r="AL9" s="483"/>
      <c r="AM9" s="483"/>
      <c r="AN9" s="483"/>
    </row>
    <row r="10" spans="1:40" s="492" customFormat="1" ht="14.25" hidden="1" x14ac:dyDescent="0.2">
      <c r="A10" s="487"/>
      <c r="B10" s="831" t="s">
        <v>1231</v>
      </c>
      <c r="C10" s="490"/>
      <c r="D10" s="487"/>
      <c r="E10" s="487"/>
      <c r="F10" s="832"/>
      <c r="G10" s="833"/>
      <c r="H10" s="513" t="e">
        <f>#REF!+H11+#REF!</f>
        <v>#REF!</v>
      </c>
      <c r="I10" s="513"/>
      <c r="J10" s="513"/>
      <c r="K10" s="513">
        <f>K11</f>
        <v>34.200000000000003</v>
      </c>
      <c r="L10" s="513"/>
      <c r="M10" s="513"/>
      <c r="N10" s="513">
        <f>N11</f>
        <v>34.200000000000003</v>
      </c>
      <c r="O10" s="513"/>
      <c r="P10" s="513"/>
      <c r="Q10" s="513">
        <f>Q11</f>
        <v>31</v>
      </c>
      <c r="R10" s="513">
        <f>Q10</f>
        <v>31</v>
      </c>
      <c r="S10" s="513"/>
      <c r="T10" s="513"/>
      <c r="U10" s="513"/>
      <c r="V10" s="513">
        <f>V11</f>
        <v>31.1</v>
      </c>
      <c r="W10" s="513"/>
      <c r="X10" s="513"/>
      <c r="Y10" s="513">
        <f>Y11</f>
        <v>31.1</v>
      </c>
      <c r="Z10" s="513">
        <f t="shared" si="0"/>
        <v>-3.2</v>
      </c>
      <c r="AA10" s="513">
        <f t="shared" si="1"/>
        <v>90.6</v>
      </c>
      <c r="AB10" s="834"/>
      <c r="AC10" s="491"/>
      <c r="AD10" s="835"/>
      <c r="AE10" s="835"/>
      <c r="AF10" s="836"/>
      <c r="AG10" s="466"/>
      <c r="AH10" s="466"/>
    </row>
    <row r="11" spans="1:40" s="492" customFormat="1" ht="38.25" hidden="1" x14ac:dyDescent="0.2">
      <c r="A11" s="522"/>
      <c r="B11" s="825" t="s">
        <v>1664</v>
      </c>
      <c r="C11" s="837"/>
      <c r="D11" s="522" t="s">
        <v>1444</v>
      </c>
      <c r="E11" s="838"/>
      <c r="F11" s="839"/>
      <c r="G11" s="840"/>
      <c r="H11" s="841">
        <f>H12+H16+H20+H21+H22+H23+H24+H26</f>
        <v>58.3</v>
      </c>
      <c r="I11" s="841"/>
      <c r="J11" s="841"/>
      <c r="K11" s="841">
        <f>K12+K16+K20+K21+K22+K23+K24+K26</f>
        <v>34.200000000000003</v>
      </c>
      <c r="L11" s="841"/>
      <c r="M11" s="841"/>
      <c r="N11" s="841">
        <f>N12+N16+N20+N21+N22+N23+N24+N26</f>
        <v>34.200000000000003</v>
      </c>
      <c r="O11" s="841"/>
      <c r="P11" s="841"/>
      <c r="Q11" s="841">
        <f>Q12+Q16+Q20+Q21+Q24+Q26</f>
        <v>31</v>
      </c>
      <c r="R11" s="841">
        <f t="shared" ref="R11:R72" si="2">Q11</f>
        <v>31</v>
      </c>
      <c r="S11" s="841"/>
      <c r="T11" s="841"/>
      <c r="U11" s="841"/>
      <c r="V11" s="841">
        <f>V12+V16+V20+V21+V24+V26</f>
        <v>31.1</v>
      </c>
      <c r="W11" s="841"/>
      <c r="X11" s="841"/>
      <c r="Y11" s="841">
        <f>Y12+Y16+Y20+Y21+Y24+Y26</f>
        <v>31.1</v>
      </c>
      <c r="Z11" s="841">
        <f t="shared" si="0"/>
        <v>-3.2</v>
      </c>
      <c r="AA11" s="841">
        <f t="shared" si="1"/>
        <v>90.6</v>
      </c>
      <c r="AB11" s="849"/>
      <c r="AC11" s="491" t="s">
        <v>1665</v>
      </c>
      <c r="AF11" s="466"/>
      <c r="AG11" s="466"/>
      <c r="AH11" s="466"/>
    </row>
    <row r="12" spans="1:40" s="492" customFormat="1" ht="14.25" hidden="1" x14ac:dyDescent="0.2">
      <c r="A12" s="1240"/>
      <c r="B12" s="500" t="s">
        <v>1228</v>
      </c>
      <c r="C12" s="501" t="s">
        <v>797</v>
      </c>
      <c r="D12" s="1240"/>
      <c r="E12" s="842"/>
      <c r="F12" s="530"/>
      <c r="G12" s="531"/>
      <c r="H12" s="542">
        <f>SUM(H13:H15)</f>
        <v>7.8</v>
      </c>
      <c r="I12" s="532"/>
      <c r="J12" s="532"/>
      <c r="K12" s="533">
        <f>SUM(K13:K15)</f>
        <v>4</v>
      </c>
      <c r="L12" s="532"/>
      <c r="M12" s="532"/>
      <c r="N12" s="533">
        <f>SUM(N13:N15)</f>
        <v>4</v>
      </c>
      <c r="O12" s="532"/>
      <c r="P12" s="532"/>
      <c r="Q12" s="533">
        <f>SUM(Q13:Q15)</f>
        <v>4</v>
      </c>
      <c r="R12" s="533">
        <f t="shared" si="2"/>
        <v>4</v>
      </c>
      <c r="S12" s="533"/>
      <c r="T12" s="532"/>
      <c r="U12" s="532"/>
      <c r="V12" s="533">
        <f>SUM(V13:V15)</f>
        <v>4</v>
      </c>
      <c r="W12" s="532"/>
      <c r="X12" s="532"/>
      <c r="Y12" s="533">
        <f>SUM(Y13:Y15)</f>
        <v>4</v>
      </c>
      <c r="Z12" s="542">
        <f t="shared" si="0"/>
        <v>0</v>
      </c>
      <c r="AA12" s="542">
        <f t="shared" si="1"/>
        <v>100</v>
      </c>
      <c r="AB12" s="1030"/>
      <c r="AC12" s="1822" t="s">
        <v>1665</v>
      </c>
      <c r="AF12" s="466"/>
      <c r="AG12" s="466"/>
      <c r="AH12" s="466"/>
    </row>
    <row r="13" spans="1:40" s="498" customFormat="1" hidden="1" x14ac:dyDescent="0.25">
      <c r="A13" s="962"/>
      <c r="B13" s="856" t="s">
        <v>1666</v>
      </c>
      <c r="C13" s="499"/>
      <c r="D13" s="962"/>
      <c r="E13" s="1031" t="s">
        <v>227</v>
      </c>
      <c r="F13" s="494">
        <v>1</v>
      </c>
      <c r="G13" s="495">
        <v>3</v>
      </c>
      <c r="H13" s="559">
        <f>F13*G13</f>
        <v>3</v>
      </c>
      <c r="I13" s="496"/>
      <c r="J13" s="496"/>
      <c r="K13" s="857">
        <v>0</v>
      </c>
      <c r="L13" s="496"/>
      <c r="M13" s="496"/>
      <c r="N13" s="857">
        <v>0</v>
      </c>
      <c r="O13" s="496"/>
      <c r="P13" s="496"/>
      <c r="Q13" s="857"/>
      <c r="R13" s="857">
        <f t="shared" si="2"/>
        <v>0</v>
      </c>
      <c r="S13" s="857"/>
      <c r="T13" s="496"/>
      <c r="U13" s="496"/>
      <c r="V13" s="857"/>
      <c r="W13" s="496"/>
      <c r="X13" s="496"/>
      <c r="Y13" s="857"/>
      <c r="Z13" s="559">
        <f t="shared" si="0"/>
        <v>0</v>
      </c>
      <c r="AA13" s="559" t="str">
        <f t="shared" si="1"/>
        <v>-</v>
      </c>
      <c r="AB13" s="900"/>
      <c r="AC13" s="1823" t="s">
        <v>1665</v>
      </c>
      <c r="AF13" s="466"/>
      <c r="AG13" s="465"/>
      <c r="AH13" s="465"/>
    </row>
    <row r="14" spans="1:40" s="498" customFormat="1" ht="63.75" hidden="1" x14ac:dyDescent="0.25">
      <c r="A14" s="962"/>
      <c r="B14" s="1824" t="s">
        <v>1667</v>
      </c>
      <c r="C14" s="499"/>
      <c r="D14" s="962"/>
      <c r="E14" s="1031"/>
      <c r="F14" s="494"/>
      <c r="G14" s="495"/>
      <c r="H14" s="559"/>
      <c r="I14" s="496">
        <v>2</v>
      </c>
      <c r="J14" s="496">
        <v>1</v>
      </c>
      <c r="K14" s="857">
        <f>I14*J14</f>
        <v>2</v>
      </c>
      <c r="L14" s="496">
        <v>2</v>
      </c>
      <c r="M14" s="496">
        <v>1</v>
      </c>
      <c r="N14" s="857">
        <f>L14*M14</f>
        <v>2</v>
      </c>
      <c r="O14" s="496">
        <v>2</v>
      </c>
      <c r="P14" s="496">
        <v>2</v>
      </c>
      <c r="Q14" s="857">
        <f>O14*P14</f>
        <v>4</v>
      </c>
      <c r="R14" s="857">
        <f t="shared" si="2"/>
        <v>4</v>
      </c>
      <c r="S14" s="857"/>
      <c r="T14" s="496">
        <v>2</v>
      </c>
      <c r="U14" s="496">
        <v>2</v>
      </c>
      <c r="V14" s="857">
        <f>T14*U14</f>
        <v>4</v>
      </c>
      <c r="W14" s="496">
        <v>2</v>
      </c>
      <c r="X14" s="496">
        <v>2</v>
      </c>
      <c r="Y14" s="857">
        <f>W14*X14</f>
        <v>4</v>
      </c>
      <c r="Z14" s="559">
        <f t="shared" si="0"/>
        <v>2</v>
      </c>
      <c r="AA14" s="559">
        <f t="shared" si="1"/>
        <v>200</v>
      </c>
      <c r="AB14" s="900" t="s">
        <v>1668</v>
      </c>
      <c r="AC14" s="1823" t="s">
        <v>1665</v>
      </c>
      <c r="AF14" s="466"/>
      <c r="AG14" s="465"/>
      <c r="AH14" s="465"/>
    </row>
    <row r="15" spans="1:40" s="498" customFormat="1" hidden="1" x14ac:dyDescent="0.25">
      <c r="A15" s="962"/>
      <c r="B15" s="856" t="s">
        <v>1669</v>
      </c>
      <c r="C15" s="499"/>
      <c r="D15" s="962"/>
      <c r="E15" s="1031" t="s">
        <v>310</v>
      </c>
      <c r="F15" s="494">
        <v>40</v>
      </c>
      <c r="G15" s="495">
        <v>0.12</v>
      </c>
      <c r="H15" s="559">
        <f>F15*G15</f>
        <v>4.8</v>
      </c>
      <c r="I15" s="496">
        <v>40</v>
      </c>
      <c r="J15" s="883">
        <v>0.05</v>
      </c>
      <c r="K15" s="857">
        <f>I15*J15</f>
        <v>2</v>
      </c>
      <c r="L15" s="496">
        <v>40</v>
      </c>
      <c r="M15" s="883">
        <v>0.05</v>
      </c>
      <c r="N15" s="857">
        <f>L15*M15</f>
        <v>2</v>
      </c>
      <c r="O15" s="496"/>
      <c r="P15" s="496"/>
      <c r="Q15" s="857"/>
      <c r="R15" s="857">
        <f t="shared" si="2"/>
        <v>0</v>
      </c>
      <c r="S15" s="857"/>
      <c r="T15" s="496"/>
      <c r="U15" s="496"/>
      <c r="V15" s="857"/>
      <c r="W15" s="496"/>
      <c r="X15" s="496"/>
      <c r="Y15" s="857"/>
      <c r="Z15" s="559">
        <f t="shared" si="0"/>
        <v>-2</v>
      </c>
      <c r="AA15" s="559">
        <f t="shared" si="1"/>
        <v>0</v>
      </c>
      <c r="AB15" s="900"/>
      <c r="AC15" s="1823" t="s">
        <v>1665</v>
      </c>
      <c r="AF15" s="466"/>
      <c r="AG15" s="465"/>
      <c r="AH15" s="465"/>
    </row>
    <row r="16" spans="1:40" s="492" customFormat="1" ht="25.5" hidden="1" x14ac:dyDescent="0.2">
      <c r="A16" s="1240"/>
      <c r="B16" s="865" t="s">
        <v>1670</v>
      </c>
      <c r="C16" s="508" t="s">
        <v>797</v>
      </c>
      <c r="D16" s="1240"/>
      <c r="E16" s="842" t="s">
        <v>310</v>
      </c>
      <c r="F16" s="530"/>
      <c r="G16" s="531"/>
      <c r="H16" s="542">
        <f>SUM(H17:H19)</f>
        <v>6.6</v>
      </c>
      <c r="I16" s="532"/>
      <c r="J16" s="532"/>
      <c r="K16" s="533">
        <f>SUM(K17:K19)</f>
        <v>1.4</v>
      </c>
      <c r="L16" s="532"/>
      <c r="M16" s="532"/>
      <c r="N16" s="533">
        <f>SUM(N17:N19)</f>
        <v>1.4</v>
      </c>
      <c r="O16" s="532"/>
      <c r="P16" s="532"/>
      <c r="Q16" s="533">
        <f>SUM(Q17:Q19)</f>
        <v>1.4</v>
      </c>
      <c r="R16" s="533">
        <f t="shared" si="2"/>
        <v>1.4</v>
      </c>
      <c r="S16" s="533"/>
      <c r="T16" s="532"/>
      <c r="U16" s="532"/>
      <c r="V16" s="533">
        <f>SUM(V17:V19)</f>
        <v>1.4</v>
      </c>
      <c r="W16" s="532"/>
      <c r="X16" s="532"/>
      <c r="Y16" s="533">
        <f>SUM(Y17:Y19)</f>
        <v>1.4</v>
      </c>
      <c r="Z16" s="542">
        <f t="shared" si="0"/>
        <v>0</v>
      </c>
      <c r="AA16" s="542">
        <f t="shared" si="1"/>
        <v>100</v>
      </c>
      <c r="AB16" s="900"/>
      <c r="AC16" s="1823" t="s">
        <v>1665</v>
      </c>
      <c r="AF16" s="466"/>
      <c r="AG16" s="466"/>
      <c r="AH16" s="466"/>
    </row>
    <row r="17" spans="1:34" s="498" customFormat="1" ht="63.75" hidden="1" x14ac:dyDescent="0.25">
      <c r="A17" s="962"/>
      <c r="B17" s="502" t="s">
        <v>1671</v>
      </c>
      <c r="C17" s="499"/>
      <c r="D17" s="962"/>
      <c r="E17" s="1031" t="s">
        <v>227</v>
      </c>
      <c r="F17" s="494">
        <v>28</v>
      </c>
      <c r="G17" s="495">
        <v>0.1</v>
      </c>
      <c r="H17" s="559">
        <f t="shared" ref="H17:H24" si="3">F17*G17</f>
        <v>2.8</v>
      </c>
      <c r="I17" s="496">
        <v>14</v>
      </c>
      <c r="J17" s="883">
        <v>0.1</v>
      </c>
      <c r="K17" s="857">
        <f>I17*J17</f>
        <v>1.4</v>
      </c>
      <c r="L17" s="496">
        <v>14</v>
      </c>
      <c r="M17" s="883">
        <v>0.1</v>
      </c>
      <c r="N17" s="857">
        <f>L17*M17</f>
        <v>1.4</v>
      </c>
      <c r="O17" s="496">
        <v>14</v>
      </c>
      <c r="P17" s="496">
        <v>0.1</v>
      </c>
      <c r="Q17" s="857">
        <f>O17*P17</f>
        <v>1.4</v>
      </c>
      <c r="R17" s="857">
        <f t="shared" si="2"/>
        <v>1.4</v>
      </c>
      <c r="S17" s="857"/>
      <c r="T17" s="496">
        <f>O17</f>
        <v>14</v>
      </c>
      <c r="U17" s="496">
        <v>0.1</v>
      </c>
      <c r="V17" s="857">
        <f>T17*U17</f>
        <v>1.4</v>
      </c>
      <c r="W17" s="496">
        <f>T17</f>
        <v>14</v>
      </c>
      <c r="X17" s="496">
        <v>0.1</v>
      </c>
      <c r="Y17" s="857">
        <f>W17*X17</f>
        <v>1.4</v>
      </c>
      <c r="Z17" s="559">
        <f t="shared" si="0"/>
        <v>0</v>
      </c>
      <c r="AA17" s="559">
        <f t="shared" si="1"/>
        <v>100</v>
      </c>
      <c r="AB17" s="900" t="s">
        <v>1672</v>
      </c>
      <c r="AC17" s="1823" t="s">
        <v>1665</v>
      </c>
      <c r="AF17" s="466"/>
      <c r="AG17" s="465"/>
      <c r="AH17" s="465"/>
    </row>
    <row r="18" spans="1:34" s="498" customFormat="1" hidden="1" x14ac:dyDescent="0.25">
      <c r="A18" s="962"/>
      <c r="B18" s="502" t="s">
        <v>1673</v>
      </c>
      <c r="C18" s="503"/>
      <c r="D18" s="962"/>
      <c r="E18" s="1031" t="s">
        <v>227</v>
      </c>
      <c r="F18" s="494" t="s">
        <v>1087</v>
      </c>
      <c r="G18" s="495">
        <v>2</v>
      </c>
      <c r="H18" s="559">
        <f t="shared" si="3"/>
        <v>2</v>
      </c>
      <c r="I18" s="496"/>
      <c r="J18" s="496"/>
      <c r="K18" s="857">
        <f>I18*J18</f>
        <v>0</v>
      </c>
      <c r="L18" s="496"/>
      <c r="M18" s="496"/>
      <c r="N18" s="857">
        <f>L18*M18</f>
        <v>0</v>
      </c>
      <c r="O18" s="496"/>
      <c r="P18" s="496"/>
      <c r="Q18" s="857"/>
      <c r="R18" s="857">
        <f t="shared" si="2"/>
        <v>0</v>
      </c>
      <c r="S18" s="857"/>
      <c r="T18" s="496"/>
      <c r="U18" s="496"/>
      <c r="V18" s="857"/>
      <c r="W18" s="496"/>
      <c r="X18" s="496"/>
      <c r="Y18" s="857"/>
      <c r="Z18" s="559">
        <f t="shared" si="0"/>
        <v>0</v>
      </c>
      <c r="AA18" s="559" t="str">
        <f t="shared" si="1"/>
        <v>-</v>
      </c>
      <c r="AB18" s="900"/>
      <c r="AC18" s="1822" t="s">
        <v>1665</v>
      </c>
      <c r="AF18" s="466"/>
      <c r="AG18" s="465"/>
      <c r="AH18" s="465"/>
    </row>
    <row r="19" spans="1:34" s="498" customFormat="1" ht="76.5" hidden="1" x14ac:dyDescent="0.25">
      <c r="A19" s="962"/>
      <c r="B19" s="856" t="s">
        <v>1674</v>
      </c>
      <c r="C19" s="499"/>
      <c r="D19" s="962"/>
      <c r="E19" s="1031" t="s">
        <v>227</v>
      </c>
      <c r="F19" s="494" t="s">
        <v>1092</v>
      </c>
      <c r="G19" s="495" t="s">
        <v>1675</v>
      </c>
      <c r="H19" s="559">
        <f t="shared" si="3"/>
        <v>1.8</v>
      </c>
      <c r="I19" s="496"/>
      <c r="J19" s="496"/>
      <c r="K19" s="857">
        <f>I19*J19</f>
        <v>0</v>
      </c>
      <c r="L19" s="496"/>
      <c r="M19" s="496"/>
      <c r="N19" s="857">
        <f>L19*M19</f>
        <v>0</v>
      </c>
      <c r="O19" s="496"/>
      <c r="P19" s="496"/>
      <c r="Q19" s="857"/>
      <c r="R19" s="857">
        <f t="shared" si="2"/>
        <v>0</v>
      </c>
      <c r="S19" s="857"/>
      <c r="T19" s="496"/>
      <c r="U19" s="496"/>
      <c r="V19" s="857"/>
      <c r="W19" s="496"/>
      <c r="X19" s="496"/>
      <c r="Y19" s="857"/>
      <c r="Z19" s="559">
        <f t="shared" si="0"/>
        <v>0</v>
      </c>
      <c r="AA19" s="559" t="str">
        <f t="shared" si="1"/>
        <v>-</v>
      </c>
      <c r="AB19" s="900" t="s">
        <v>1676</v>
      </c>
      <c r="AC19" s="1823" t="s">
        <v>1665</v>
      </c>
      <c r="AF19" s="466"/>
      <c r="AG19" s="465"/>
      <c r="AH19" s="465"/>
    </row>
    <row r="20" spans="1:34" s="492" customFormat="1" ht="14.25" hidden="1" x14ac:dyDescent="0.2">
      <c r="A20" s="1240"/>
      <c r="B20" s="865" t="s">
        <v>1677</v>
      </c>
      <c r="C20" s="508" t="s">
        <v>796</v>
      </c>
      <c r="D20" s="1240"/>
      <c r="E20" s="842" t="s">
        <v>227</v>
      </c>
      <c r="F20" s="863">
        <v>330</v>
      </c>
      <c r="G20" s="864">
        <v>0.02</v>
      </c>
      <c r="H20" s="542">
        <f t="shared" si="3"/>
        <v>6.6</v>
      </c>
      <c r="I20" s="1825">
        <v>330</v>
      </c>
      <c r="J20" s="1825">
        <v>0</v>
      </c>
      <c r="K20" s="533">
        <f>I20*J20</f>
        <v>0</v>
      </c>
      <c r="L20" s="1825">
        <v>330</v>
      </c>
      <c r="M20" s="1825">
        <v>0</v>
      </c>
      <c r="N20" s="533">
        <f>L20*M20</f>
        <v>0</v>
      </c>
      <c r="O20" s="1825">
        <v>330</v>
      </c>
      <c r="P20" s="1825">
        <v>0</v>
      </c>
      <c r="Q20" s="533">
        <f>O20*P20</f>
        <v>0</v>
      </c>
      <c r="R20" s="533">
        <f t="shared" si="2"/>
        <v>0</v>
      </c>
      <c r="S20" s="533"/>
      <c r="T20" s="1825">
        <v>330</v>
      </c>
      <c r="U20" s="1825">
        <v>0</v>
      </c>
      <c r="V20" s="533">
        <f>T20*U20</f>
        <v>0</v>
      </c>
      <c r="W20" s="1825">
        <v>330</v>
      </c>
      <c r="X20" s="1825">
        <v>0</v>
      </c>
      <c r="Y20" s="533">
        <f>W20*X20</f>
        <v>0</v>
      </c>
      <c r="Z20" s="542">
        <f t="shared" si="0"/>
        <v>0</v>
      </c>
      <c r="AA20" s="542" t="str">
        <f t="shared" si="1"/>
        <v>-</v>
      </c>
      <c r="AB20" s="900"/>
      <c r="AC20" s="1823" t="s">
        <v>1665</v>
      </c>
      <c r="AF20" s="466"/>
      <c r="AG20" s="466"/>
      <c r="AH20" s="466"/>
    </row>
    <row r="21" spans="1:34" s="492" customFormat="1" ht="14.25" hidden="1" x14ac:dyDescent="0.2">
      <c r="A21" s="1240"/>
      <c r="B21" s="865" t="s">
        <v>1678</v>
      </c>
      <c r="C21" s="508" t="s">
        <v>797</v>
      </c>
      <c r="D21" s="1240"/>
      <c r="E21" s="842" t="s">
        <v>227</v>
      </c>
      <c r="F21" s="863">
        <v>30</v>
      </c>
      <c r="G21" s="864">
        <v>0.06</v>
      </c>
      <c r="H21" s="1826">
        <f t="shared" si="3"/>
        <v>1.8</v>
      </c>
      <c r="I21" s="1825">
        <v>30</v>
      </c>
      <c r="J21" s="1825">
        <v>0.1</v>
      </c>
      <c r="K21" s="1825">
        <f>I21*J21</f>
        <v>3</v>
      </c>
      <c r="L21" s="1825">
        <v>30</v>
      </c>
      <c r="M21" s="1825">
        <v>0.1</v>
      </c>
      <c r="N21" s="1825">
        <f>L21*M21</f>
        <v>3</v>
      </c>
      <c r="O21" s="1825">
        <v>30</v>
      </c>
      <c r="P21" s="1825">
        <v>0.1</v>
      </c>
      <c r="Q21" s="533">
        <f>O21*P21</f>
        <v>3</v>
      </c>
      <c r="R21" s="533">
        <f t="shared" si="2"/>
        <v>3</v>
      </c>
      <c r="S21" s="533"/>
      <c r="T21" s="1825">
        <v>30</v>
      </c>
      <c r="U21" s="1825">
        <v>0.1</v>
      </c>
      <c r="V21" s="533">
        <f>T21*U21</f>
        <v>3</v>
      </c>
      <c r="W21" s="1825">
        <v>30</v>
      </c>
      <c r="X21" s="1825">
        <v>0.1</v>
      </c>
      <c r="Y21" s="533">
        <f>W21*X21</f>
        <v>3</v>
      </c>
      <c r="Z21" s="1826">
        <f t="shared" si="0"/>
        <v>0</v>
      </c>
      <c r="AA21" s="1826">
        <f t="shared" si="1"/>
        <v>100</v>
      </c>
      <c r="AB21" s="900"/>
      <c r="AC21" s="1823" t="s">
        <v>1665</v>
      </c>
      <c r="AF21" s="466"/>
      <c r="AG21" s="466"/>
      <c r="AH21" s="466"/>
    </row>
    <row r="22" spans="1:34" s="492" customFormat="1" ht="14.25" hidden="1" x14ac:dyDescent="0.2">
      <c r="A22" s="1240"/>
      <c r="B22" s="865" t="s">
        <v>1679</v>
      </c>
      <c r="C22" s="508" t="s">
        <v>796</v>
      </c>
      <c r="D22" s="1240"/>
      <c r="E22" s="842" t="s">
        <v>227</v>
      </c>
      <c r="F22" s="557">
        <v>2</v>
      </c>
      <c r="G22" s="558">
        <v>0.6</v>
      </c>
      <c r="H22" s="542">
        <f t="shared" si="3"/>
        <v>1.2</v>
      </c>
      <c r="I22" s="533"/>
      <c r="J22" s="533"/>
      <c r="K22" s="533"/>
      <c r="L22" s="533"/>
      <c r="M22" s="533"/>
      <c r="N22" s="533"/>
      <c r="O22" s="533"/>
      <c r="P22" s="533"/>
      <c r="Q22" s="533"/>
      <c r="R22" s="533">
        <f t="shared" si="2"/>
        <v>0</v>
      </c>
      <c r="S22" s="533"/>
      <c r="T22" s="533"/>
      <c r="U22" s="533"/>
      <c r="V22" s="533"/>
      <c r="W22" s="533"/>
      <c r="X22" s="533"/>
      <c r="Y22" s="533"/>
      <c r="Z22" s="542">
        <f t="shared" si="0"/>
        <v>0</v>
      </c>
      <c r="AA22" s="542" t="str">
        <f t="shared" si="1"/>
        <v>-</v>
      </c>
      <c r="AB22" s="900"/>
      <c r="AC22" s="1823" t="s">
        <v>1665</v>
      </c>
      <c r="AF22" s="466"/>
      <c r="AG22" s="466"/>
      <c r="AH22" s="466"/>
    </row>
    <row r="23" spans="1:34" s="492" customFormat="1" ht="14.25" hidden="1" x14ac:dyDescent="0.2">
      <c r="A23" s="1240"/>
      <c r="B23" s="500" t="s">
        <v>1680</v>
      </c>
      <c r="C23" s="501" t="s">
        <v>796</v>
      </c>
      <c r="D23" s="1240"/>
      <c r="E23" s="842" t="s">
        <v>227</v>
      </c>
      <c r="F23" s="863">
        <v>80</v>
      </c>
      <c r="G23" s="864">
        <v>0.06</v>
      </c>
      <c r="H23" s="1826">
        <f t="shared" si="3"/>
        <v>4.8</v>
      </c>
      <c r="I23" s="1825">
        <v>37</v>
      </c>
      <c r="J23" s="1825">
        <v>0.1</v>
      </c>
      <c r="K23" s="1825">
        <f>I23*J23</f>
        <v>3.7</v>
      </c>
      <c r="L23" s="1825">
        <v>37</v>
      </c>
      <c r="M23" s="1825">
        <v>0.1</v>
      </c>
      <c r="N23" s="1825">
        <f>L23*M23</f>
        <v>3.7</v>
      </c>
      <c r="O23" s="1825"/>
      <c r="P23" s="1825"/>
      <c r="Q23" s="1825"/>
      <c r="R23" s="1825">
        <f t="shared" si="2"/>
        <v>0</v>
      </c>
      <c r="S23" s="1825"/>
      <c r="T23" s="1825"/>
      <c r="U23" s="1825"/>
      <c r="V23" s="1825"/>
      <c r="W23" s="1825"/>
      <c r="X23" s="1825"/>
      <c r="Y23" s="1825"/>
      <c r="Z23" s="1826">
        <f t="shared" si="0"/>
        <v>-3.7</v>
      </c>
      <c r="AA23" s="1826">
        <f t="shared" si="1"/>
        <v>0</v>
      </c>
      <c r="AB23" s="900"/>
      <c r="AC23" s="1822" t="s">
        <v>1665</v>
      </c>
      <c r="AF23" s="466"/>
      <c r="AG23" s="466"/>
      <c r="AH23" s="466"/>
    </row>
    <row r="24" spans="1:34" s="492" customFormat="1" ht="14.25" hidden="1" x14ac:dyDescent="0.2">
      <c r="A24" s="1240"/>
      <c r="B24" s="500" t="s">
        <v>1681</v>
      </c>
      <c r="C24" s="501" t="s">
        <v>796</v>
      </c>
      <c r="D24" s="1240"/>
      <c r="E24" s="842"/>
      <c r="F24" s="863">
        <v>167</v>
      </c>
      <c r="G24" s="864">
        <v>0.1</v>
      </c>
      <c r="H24" s="1826">
        <f t="shared" si="3"/>
        <v>16.7</v>
      </c>
      <c r="I24" s="1825">
        <v>37</v>
      </c>
      <c r="J24" s="1827">
        <v>0.25</v>
      </c>
      <c r="K24" s="1825">
        <f>I24*J24</f>
        <v>9.3000000000000007</v>
      </c>
      <c r="L24" s="1825">
        <v>37</v>
      </c>
      <c r="M24" s="1827">
        <v>0.25</v>
      </c>
      <c r="N24" s="1825">
        <f>L24*M24</f>
        <v>9.3000000000000007</v>
      </c>
      <c r="O24" s="1825"/>
      <c r="P24" s="1825"/>
      <c r="Q24" s="1825">
        <f>SUM(Q25:Q25)</f>
        <v>6</v>
      </c>
      <c r="R24" s="1825">
        <f t="shared" si="2"/>
        <v>6</v>
      </c>
      <c r="S24" s="1825"/>
      <c r="T24" s="1825"/>
      <c r="U24" s="1825"/>
      <c r="V24" s="1825">
        <f>SUM(V25:V25)</f>
        <v>6</v>
      </c>
      <c r="W24" s="1825"/>
      <c r="X24" s="1825"/>
      <c r="Y24" s="1825">
        <f>SUM(Y25:Y25)</f>
        <v>6</v>
      </c>
      <c r="Z24" s="1826">
        <f t="shared" si="0"/>
        <v>-3.3</v>
      </c>
      <c r="AA24" s="1826">
        <f t="shared" si="1"/>
        <v>64.5</v>
      </c>
      <c r="AB24" s="1029"/>
      <c r="AC24" s="1822" t="s">
        <v>1665</v>
      </c>
      <c r="AF24" s="466"/>
      <c r="AG24" s="466"/>
      <c r="AH24" s="466"/>
    </row>
    <row r="25" spans="1:34" s="492" customFormat="1" ht="14.25" hidden="1" x14ac:dyDescent="0.2">
      <c r="A25" s="1240"/>
      <c r="B25" s="500" t="s">
        <v>1682</v>
      </c>
      <c r="C25" s="501"/>
      <c r="D25" s="1240"/>
      <c r="E25" s="842"/>
      <c r="F25" s="863"/>
      <c r="G25" s="864"/>
      <c r="H25" s="1826"/>
      <c r="I25" s="1825"/>
      <c r="J25" s="1827"/>
      <c r="K25" s="1825"/>
      <c r="L25" s="1825"/>
      <c r="M25" s="1827"/>
      <c r="N25" s="1825"/>
      <c r="O25" s="682">
        <v>15</v>
      </c>
      <c r="P25" s="682">
        <v>0.4</v>
      </c>
      <c r="Q25" s="857">
        <f>O25*P25</f>
        <v>6</v>
      </c>
      <c r="R25" s="857">
        <f t="shared" si="2"/>
        <v>6</v>
      </c>
      <c r="S25" s="857"/>
      <c r="T25" s="682">
        <v>15</v>
      </c>
      <c r="U25" s="682">
        <v>0.4</v>
      </c>
      <c r="V25" s="857">
        <f>T25*U25</f>
        <v>6</v>
      </c>
      <c r="W25" s="682">
        <v>15</v>
      </c>
      <c r="X25" s="682">
        <v>0.4</v>
      </c>
      <c r="Y25" s="857">
        <f>W25*X25</f>
        <v>6</v>
      </c>
      <c r="Z25" s="1826">
        <f t="shared" si="0"/>
        <v>6</v>
      </c>
      <c r="AA25" s="1826" t="str">
        <f t="shared" si="1"/>
        <v>-</v>
      </c>
      <c r="AB25" s="1828"/>
      <c r="AC25" s="1822" t="s">
        <v>1665</v>
      </c>
      <c r="AF25" s="466"/>
      <c r="AG25" s="466"/>
      <c r="AH25" s="466"/>
    </row>
    <row r="26" spans="1:34" s="492" customFormat="1" ht="14.25" x14ac:dyDescent="0.2">
      <c r="A26" s="1240"/>
      <c r="B26" s="500" t="s">
        <v>1233</v>
      </c>
      <c r="C26" s="501" t="s">
        <v>1230</v>
      </c>
      <c r="D26" s="1240"/>
      <c r="E26" s="842" t="s">
        <v>318</v>
      </c>
      <c r="F26" s="1829"/>
      <c r="G26" s="1830"/>
      <c r="H26" s="542">
        <f>SUM(H27:H31)</f>
        <v>12.8</v>
      </c>
      <c r="I26" s="1831"/>
      <c r="J26" s="1831"/>
      <c r="K26" s="533">
        <f>SUM(K27:K31)</f>
        <v>12.8</v>
      </c>
      <c r="L26" s="1831"/>
      <c r="M26" s="1831"/>
      <c r="N26" s="533">
        <f>SUM(N27:N31)</f>
        <v>12.8</v>
      </c>
      <c r="O26" s="1831"/>
      <c r="P26" s="1831"/>
      <c r="Q26" s="533">
        <v>16.600000000000001</v>
      </c>
      <c r="R26" s="533">
        <f t="shared" si="2"/>
        <v>16.600000000000001</v>
      </c>
      <c r="S26" s="533"/>
      <c r="T26" s="1831"/>
      <c r="U26" s="1831"/>
      <c r="V26" s="533">
        <f>SUM(V27:V31)</f>
        <v>16.7</v>
      </c>
      <c r="W26" s="1831"/>
      <c r="X26" s="1831"/>
      <c r="Y26" s="533">
        <f>SUM(Y27:Y31)</f>
        <v>16.7</v>
      </c>
      <c r="Z26" s="542">
        <f t="shared" si="0"/>
        <v>3.8</v>
      </c>
      <c r="AA26" s="542">
        <f t="shared" si="1"/>
        <v>129.69999999999999</v>
      </c>
      <c r="AB26" s="899"/>
      <c r="AC26" s="1822" t="s">
        <v>1665</v>
      </c>
      <c r="AF26" s="466"/>
      <c r="AG26" s="466"/>
      <c r="AH26" s="466"/>
    </row>
    <row r="27" spans="1:34" s="498" customFormat="1" hidden="1" x14ac:dyDescent="0.25">
      <c r="A27" s="962"/>
      <c r="B27" s="502" t="s">
        <v>1519</v>
      </c>
      <c r="C27" s="503"/>
      <c r="D27" s="962"/>
      <c r="E27" s="1031" t="s">
        <v>318</v>
      </c>
      <c r="F27" s="494">
        <v>1</v>
      </c>
      <c r="G27" s="495">
        <v>3.45</v>
      </c>
      <c r="H27" s="559">
        <f>F27*G27</f>
        <v>3.5</v>
      </c>
      <c r="I27" s="496">
        <v>1</v>
      </c>
      <c r="J27" s="496">
        <v>3.5</v>
      </c>
      <c r="K27" s="857">
        <f>I27*J27</f>
        <v>3.5</v>
      </c>
      <c r="L27" s="496">
        <v>1</v>
      </c>
      <c r="M27" s="496">
        <v>3.5</v>
      </c>
      <c r="N27" s="857">
        <f>L27*M27</f>
        <v>3.5</v>
      </c>
      <c r="O27" s="496">
        <v>1</v>
      </c>
      <c r="P27" s="496">
        <v>3.5</v>
      </c>
      <c r="Q27" s="857">
        <f>O27*P27</f>
        <v>3.5</v>
      </c>
      <c r="R27" s="857">
        <f t="shared" si="2"/>
        <v>3.5</v>
      </c>
      <c r="S27" s="857"/>
      <c r="T27" s="496">
        <v>1</v>
      </c>
      <c r="U27" s="496">
        <v>3.5</v>
      </c>
      <c r="V27" s="857">
        <f>T27*U27</f>
        <v>3.5</v>
      </c>
      <c r="W27" s="496">
        <v>1</v>
      </c>
      <c r="X27" s="496">
        <v>3.5</v>
      </c>
      <c r="Y27" s="857">
        <f>W27*X27</f>
        <v>3.5</v>
      </c>
      <c r="Z27" s="559">
        <f t="shared" si="0"/>
        <v>0</v>
      </c>
      <c r="AA27" s="559">
        <f t="shared" si="1"/>
        <v>100</v>
      </c>
      <c r="AB27" s="1029"/>
      <c r="AC27" s="1822" t="s">
        <v>1665</v>
      </c>
      <c r="AF27" s="466"/>
      <c r="AG27" s="465"/>
      <c r="AH27" s="465"/>
    </row>
    <row r="28" spans="1:34" s="498" customFormat="1" hidden="1" x14ac:dyDescent="0.25">
      <c r="A28" s="962"/>
      <c r="B28" s="1038" t="s">
        <v>1683</v>
      </c>
      <c r="C28" s="1832"/>
      <c r="D28" s="962"/>
      <c r="E28" s="842"/>
      <c r="F28" s="863">
        <v>1</v>
      </c>
      <c r="G28" s="864">
        <v>2</v>
      </c>
      <c r="H28" s="559">
        <f>F28*G28</f>
        <v>2</v>
      </c>
      <c r="I28" s="682">
        <v>1</v>
      </c>
      <c r="J28" s="682">
        <v>2</v>
      </c>
      <c r="K28" s="857">
        <f>I28*J28</f>
        <v>2</v>
      </c>
      <c r="L28" s="682">
        <v>1</v>
      </c>
      <c r="M28" s="682">
        <v>2</v>
      </c>
      <c r="N28" s="857">
        <f>L28*M28</f>
        <v>2</v>
      </c>
      <c r="O28" s="682"/>
      <c r="P28" s="682"/>
      <c r="Q28" s="857"/>
      <c r="R28" s="857">
        <f t="shared" si="2"/>
        <v>0</v>
      </c>
      <c r="S28" s="857"/>
      <c r="T28" s="682"/>
      <c r="U28" s="682"/>
      <c r="V28" s="857"/>
      <c r="W28" s="682"/>
      <c r="X28" s="682"/>
      <c r="Y28" s="857"/>
      <c r="Z28" s="559">
        <f t="shared" si="0"/>
        <v>-2</v>
      </c>
      <c r="AA28" s="559">
        <f t="shared" si="1"/>
        <v>0</v>
      </c>
      <c r="AB28" s="1029"/>
      <c r="AC28" s="1822" t="s">
        <v>1665</v>
      </c>
      <c r="AF28" s="466"/>
      <c r="AG28" s="465"/>
      <c r="AH28" s="465"/>
    </row>
    <row r="29" spans="1:34" s="498" customFormat="1" ht="76.5" hidden="1" x14ac:dyDescent="0.25">
      <c r="A29" s="962"/>
      <c r="B29" s="1038" t="s">
        <v>1684</v>
      </c>
      <c r="C29" s="1832"/>
      <c r="D29" s="962"/>
      <c r="E29" s="842"/>
      <c r="F29" s="863"/>
      <c r="G29" s="864"/>
      <c r="H29" s="559"/>
      <c r="I29" s="682"/>
      <c r="J29" s="682"/>
      <c r="K29" s="857"/>
      <c r="L29" s="682"/>
      <c r="M29" s="682"/>
      <c r="N29" s="857"/>
      <c r="O29" s="682">
        <v>2</v>
      </c>
      <c r="P29" s="682">
        <v>2.5</v>
      </c>
      <c r="Q29" s="857">
        <f>O29*P29</f>
        <v>5</v>
      </c>
      <c r="R29" s="857">
        <f t="shared" si="2"/>
        <v>5</v>
      </c>
      <c r="S29" s="857"/>
      <c r="T29" s="682">
        <v>2</v>
      </c>
      <c r="U29" s="682">
        <v>2.5</v>
      </c>
      <c r="V29" s="857">
        <f>T29*U29</f>
        <v>5</v>
      </c>
      <c r="W29" s="682">
        <v>2</v>
      </c>
      <c r="X29" s="682">
        <v>2.5</v>
      </c>
      <c r="Y29" s="857">
        <f>W29*X29</f>
        <v>5</v>
      </c>
      <c r="Z29" s="559">
        <f t="shared" si="0"/>
        <v>5</v>
      </c>
      <c r="AA29" s="559" t="str">
        <f t="shared" si="1"/>
        <v>-</v>
      </c>
      <c r="AB29" s="843" t="s">
        <v>1685</v>
      </c>
      <c r="AC29" s="1822" t="s">
        <v>1665</v>
      </c>
      <c r="AF29" s="466"/>
      <c r="AG29" s="465"/>
      <c r="AH29" s="465"/>
    </row>
    <row r="30" spans="1:34" s="498" customFormat="1" hidden="1" x14ac:dyDescent="0.25">
      <c r="A30" s="962"/>
      <c r="B30" s="1038" t="s">
        <v>1686</v>
      </c>
      <c r="C30" s="1832"/>
      <c r="D30" s="962"/>
      <c r="E30" s="842"/>
      <c r="F30" s="863">
        <v>2</v>
      </c>
      <c r="G30" s="864">
        <v>2.2999999999999998</v>
      </c>
      <c r="H30" s="559">
        <f>F30*G30</f>
        <v>4.5999999999999996</v>
      </c>
      <c r="I30" s="682">
        <v>2</v>
      </c>
      <c r="J30" s="682">
        <v>2.2999999999999998</v>
      </c>
      <c r="K30" s="857">
        <f>I30*J30</f>
        <v>4.5999999999999996</v>
      </c>
      <c r="L30" s="682">
        <v>2</v>
      </c>
      <c r="M30" s="682">
        <v>2.2999999999999998</v>
      </c>
      <c r="N30" s="857">
        <f>L30*M30</f>
        <v>4.5999999999999996</v>
      </c>
      <c r="O30" s="682">
        <v>2</v>
      </c>
      <c r="P30" s="682">
        <v>2.2999999999999998</v>
      </c>
      <c r="Q30" s="857">
        <f>O30*P30</f>
        <v>4.5999999999999996</v>
      </c>
      <c r="R30" s="857">
        <f t="shared" si="2"/>
        <v>4.5999999999999996</v>
      </c>
      <c r="S30" s="857"/>
      <c r="T30" s="682">
        <v>2</v>
      </c>
      <c r="U30" s="682">
        <v>2.2999999999999998</v>
      </c>
      <c r="V30" s="857">
        <f>T30*U30</f>
        <v>4.5999999999999996</v>
      </c>
      <c r="W30" s="682">
        <v>2</v>
      </c>
      <c r="X30" s="682">
        <v>2.2999999999999998</v>
      </c>
      <c r="Y30" s="857">
        <f>W30*X30</f>
        <v>4.5999999999999996</v>
      </c>
      <c r="Z30" s="559">
        <f t="shared" si="0"/>
        <v>0</v>
      </c>
      <c r="AA30" s="559">
        <f t="shared" si="1"/>
        <v>100</v>
      </c>
      <c r="AB30" s="1029"/>
      <c r="AC30" s="1037" t="s">
        <v>1665</v>
      </c>
      <c r="AF30" s="466"/>
      <c r="AG30" s="465"/>
      <c r="AH30" s="465"/>
    </row>
    <row r="31" spans="1:34" s="498" customFormat="1" hidden="1" x14ac:dyDescent="0.25">
      <c r="A31" s="962"/>
      <c r="B31" s="1038" t="s">
        <v>1234</v>
      </c>
      <c r="C31" s="1832"/>
      <c r="D31" s="962"/>
      <c r="E31" s="842"/>
      <c r="F31" s="494"/>
      <c r="G31" s="495"/>
      <c r="H31" s="1245">
        <f>SUM(H27:H30)*0.271</f>
        <v>2.7</v>
      </c>
      <c r="I31" s="496"/>
      <c r="J31" s="496"/>
      <c r="K31" s="496">
        <f>SUM(K27:K30)*0.271</f>
        <v>2.7</v>
      </c>
      <c r="L31" s="496"/>
      <c r="M31" s="496"/>
      <c r="N31" s="496">
        <f>SUM(N27:N30)*0.271</f>
        <v>2.7</v>
      </c>
      <c r="O31" s="496"/>
      <c r="P31" s="496"/>
      <c r="Q31" s="496">
        <f>SUM(Q27:Q30)*0.271</f>
        <v>3.6</v>
      </c>
      <c r="R31" s="496">
        <f t="shared" si="2"/>
        <v>3.6</v>
      </c>
      <c r="S31" s="496"/>
      <c r="T31" s="496"/>
      <c r="U31" s="496"/>
      <c r="V31" s="496">
        <f>SUM(V27:V30)*0.271</f>
        <v>3.6</v>
      </c>
      <c r="W31" s="496"/>
      <c r="X31" s="496"/>
      <c r="Y31" s="496">
        <f>SUM(Y27:Y30)*0.271</f>
        <v>3.6</v>
      </c>
      <c r="Z31" s="1245">
        <f t="shared" si="0"/>
        <v>0.9</v>
      </c>
      <c r="AA31" s="1245">
        <f t="shared" si="1"/>
        <v>133.30000000000001</v>
      </c>
      <c r="AB31" s="1029"/>
      <c r="AC31" s="1037" t="s">
        <v>1665</v>
      </c>
      <c r="AF31" s="466"/>
      <c r="AG31" s="465"/>
      <c r="AH31" s="465"/>
    </row>
    <row r="32" spans="1:34" s="492" customFormat="1" ht="14.25" hidden="1" x14ac:dyDescent="0.2">
      <c r="A32" s="487"/>
      <c r="B32" s="844" t="s">
        <v>1232</v>
      </c>
      <c r="C32" s="845"/>
      <c r="D32" s="846"/>
      <c r="E32" s="487"/>
      <c r="F32" s="488"/>
      <c r="G32" s="489"/>
      <c r="H32" s="490" t="e">
        <f>#REF!+H33+#REF!</f>
        <v>#REF!</v>
      </c>
      <c r="I32" s="847"/>
      <c r="J32" s="847"/>
      <c r="K32" s="490">
        <f>K33</f>
        <v>61.8</v>
      </c>
      <c r="L32" s="847"/>
      <c r="M32" s="847"/>
      <c r="N32" s="490">
        <f>N33</f>
        <v>61.8</v>
      </c>
      <c r="O32" s="490"/>
      <c r="P32" s="490"/>
      <c r="Q32" s="490">
        <f>Q33</f>
        <v>26.2</v>
      </c>
      <c r="R32" s="490">
        <f t="shared" si="2"/>
        <v>26.2</v>
      </c>
      <c r="S32" s="490"/>
      <c r="T32" s="847"/>
      <c r="U32" s="847"/>
      <c r="V32" s="490">
        <f>V33</f>
        <v>26.3</v>
      </c>
      <c r="W32" s="490"/>
      <c r="X32" s="490"/>
      <c r="Y32" s="490">
        <f>Y33</f>
        <v>26.3</v>
      </c>
      <c r="Z32" s="490">
        <f t="shared" si="0"/>
        <v>-35.6</v>
      </c>
      <c r="AA32" s="490">
        <f t="shared" si="1"/>
        <v>42.4</v>
      </c>
      <c r="AB32" s="848"/>
      <c r="AC32" s="491"/>
      <c r="AF32" s="466"/>
      <c r="AG32" s="466"/>
      <c r="AH32" s="466"/>
    </row>
    <row r="33" spans="1:34" s="492" customFormat="1" ht="38.25" hidden="1" x14ac:dyDescent="0.2">
      <c r="A33" s="522"/>
      <c r="B33" s="825" t="s">
        <v>1664</v>
      </c>
      <c r="C33" s="837"/>
      <c r="D33" s="522" t="s">
        <v>1444</v>
      </c>
      <c r="E33" s="838"/>
      <c r="F33" s="839"/>
      <c r="G33" s="840"/>
      <c r="H33" s="841">
        <f>H34+H38+H43+H44+H46</f>
        <v>76.099999999999994</v>
      </c>
      <c r="I33" s="841"/>
      <c r="J33" s="841"/>
      <c r="K33" s="841">
        <f>K34+K38+K43+K44+K46</f>
        <v>61.8</v>
      </c>
      <c r="L33" s="841"/>
      <c r="M33" s="841"/>
      <c r="N33" s="841">
        <f>N34+N38+N43+N44+N46</f>
        <v>61.8</v>
      </c>
      <c r="O33" s="841"/>
      <c r="P33" s="841"/>
      <c r="Q33" s="841">
        <f>Q34+Q38+Q43+Q44+Q46</f>
        <v>26.2</v>
      </c>
      <c r="R33" s="841">
        <f t="shared" si="2"/>
        <v>26.2</v>
      </c>
      <c r="S33" s="841"/>
      <c r="T33" s="841"/>
      <c r="U33" s="841"/>
      <c r="V33" s="841">
        <f>V34+V38+V43+V44+V46</f>
        <v>26.3</v>
      </c>
      <c r="W33" s="841"/>
      <c r="X33" s="841"/>
      <c r="Y33" s="841">
        <f>Y34+Y38+Y43+Y44+Y46</f>
        <v>26.3</v>
      </c>
      <c r="Z33" s="841">
        <f t="shared" si="0"/>
        <v>-35.6</v>
      </c>
      <c r="AA33" s="841">
        <f t="shared" si="1"/>
        <v>42.4</v>
      </c>
      <c r="AB33" s="1833"/>
      <c r="AC33" s="491" t="s">
        <v>1665</v>
      </c>
      <c r="AF33" s="466"/>
      <c r="AG33" s="466"/>
      <c r="AH33" s="466"/>
    </row>
    <row r="34" spans="1:34" s="492" customFormat="1" ht="14.25" hidden="1" x14ac:dyDescent="0.2">
      <c r="A34" s="1240"/>
      <c r="B34" s="500" t="s">
        <v>1226</v>
      </c>
      <c r="C34" s="501" t="s">
        <v>797</v>
      </c>
      <c r="D34" s="1240"/>
      <c r="E34" s="842"/>
      <c r="F34" s="530"/>
      <c r="G34" s="531"/>
      <c r="H34" s="493">
        <f>SUM(H35:H37)</f>
        <v>16</v>
      </c>
      <c r="I34" s="532"/>
      <c r="J34" s="532"/>
      <c r="K34" s="532">
        <f>SUM(K35:K37)</f>
        <v>7.9</v>
      </c>
      <c r="L34" s="532"/>
      <c r="M34" s="532"/>
      <c r="N34" s="532">
        <v>7.9</v>
      </c>
      <c r="O34" s="532"/>
      <c r="P34" s="532"/>
      <c r="Q34" s="532">
        <f>SUM(Q35:Q37)</f>
        <v>14</v>
      </c>
      <c r="R34" s="532">
        <f t="shared" si="2"/>
        <v>14</v>
      </c>
      <c r="S34" s="532"/>
      <c r="T34" s="532"/>
      <c r="U34" s="532"/>
      <c r="V34" s="532">
        <f>SUM(V35:V37)</f>
        <v>14</v>
      </c>
      <c r="W34" s="532"/>
      <c r="X34" s="532"/>
      <c r="Y34" s="532">
        <f>SUM(Y35:Y37)</f>
        <v>14</v>
      </c>
      <c r="Z34" s="493">
        <f t="shared" si="0"/>
        <v>6.1</v>
      </c>
      <c r="AA34" s="493">
        <f t="shared" si="1"/>
        <v>177.2</v>
      </c>
      <c r="AB34" s="901"/>
      <c r="AC34" s="1822" t="s">
        <v>1665</v>
      </c>
      <c r="AF34" s="466"/>
      <c r="AG34" s="466"/>
      <c r="AH34" s="466"/>
    </row>
    <row r="35" spans="1:34" s="498" customFormat="1" ht="38.25" hidden="1" x14ac:dyDescent="0.25">
      <c r="A35" s="962"/>
      <c r="B35" s="856" t="s">
        <v>1669</v>
      </c>
      <c r="C35" s="499"/>
      <c r="D35" s="962"/>
      <c r="E35" s="1031" t="s">
        <v>227</v>
      </c>
      <c r="F35" s="1834">
        <v>100</v>
      </c>
      <c r="G35" s="495">
        <v>0.12</v>
      </c>
      <c r="H35" s="559">
        <f>F35*G35</f>
        <v>12</v>
      </c>
      <c r="I35" s="1835">
        <v>100</v>
      </c>
      <c r="J35" s="883">
        <v>0.05</v>
      </c>
      <c r="K35" s="857">
        <f>I35*J35</f>
        <v>5</v>
      </c>
      <c r="L35" s="1835">
        <v>100</v>
      </c>
      <c r="M35" s="883">
        <v>0.05</v>
      </c>
      <c r="N35" s="857">
        <v>5</v>
      </c>
      <c r="O35" s="1835">
        <v>50</v>
      </c>
      <c r="P35" s="496">
        <v>0.2</v>
      </c>
      <c r="Q35" s="857">
        <f>O35*P35</f>
        <v>10</v>
      </c>
      <c r="R35" s="857">
        <f t="shared" si="2"/>
        <v>10</v>
      </c>
      <c r="S35" s="857"/>
      <c r="T35" s="1835">
        <v>50</v>
      </c>
      <c r="U35" s="496">
        <v>0.2</v>
      </c>
      <c r="V35" s="857">
        <f>T35*U35</f>
        <v>10</v>
      </c>
      <c r="W35" s="1835">
        <v>50</v>
      </c>
      <c r="X35" s="496">
        <v>0.2</v>
      </c>
      <c r="Y35" s="857">
        <f>W35*X35</f>
        <v>10</v>
      </c>
      <c r="Z35" s="559">
        <f t="shared" si="0"/>
        <v>5</v>
      </c>
      <c r="AA35" s="559">
        <f t="shared" si="1"/>
        <v>200</v>
      </c>
      <c r="AB35" s="901" t="s">
        <v>1687</v>
      </c>
      <c r="AC35" s="1823" t="s">
        <v>1665</v>
      </c>
      <c r="AF35" s="466"/>
      <c r="AG35" s="465"/>
      <c r="AH35" s="465"/>
    </row>
    <row r="36" spans="1:34" s="498" customFormat="1" hidden="1" x14ac:dyDescent="0.25">
      <c r="A36" s="962"/>
      <c r="B36" s="856" t="s">
        <v>1688</v>
      </c>
      <c r="C36" s="499"/>
      <c r="D36" s="962"/>
      <c r="E36" s="1031" t="s">
        <v>227</v>
      </c>
      <c r="F36" s="1834">
        <v>10</v>
      </c>
      <c r="G36" s="495">
        <v>0.1</v>
      </c>
      <c r="H36" s="559">
        <f>F36*G36</f>
        <v>1</v>
      </c>
      <c r="I36" s="1835">
        <v>17</v>
      </c>
      <c r="J36" s="883">
        <v>0.05</v>
      </c>
      <c r="K36" s="857">
        <f>I36*J36</f>
        <v>0.9</v>
      </c>
      <c r="L36" s="1835">
        <v>17</v>
      </c>
      <c r="M36" s="883">
        <v>0.05</v>
      </c>
      <c r="N36" s="857">
        <v>0.9</v>
      </c>
      <c r="O36" s="1835"/>
      <c r="P36" s="496"/>
      <c r="Q36" s="857"/>
      <c r="R36" s="857">
        <f t="shared" si="2"/>
        <v>0</v>
      </c>
      <c r="S36" s="857"/>
      <c r="T36" s="1835"/>
      <c r="U36" s="496"/>
      <c r="V36" s="857"/>
      <c r="W36" s="1835"/>
      <c r="X36" s="496"/>
      <c r="Y36" s="857"/>
      <c r="Z36" s="559">
        <f t="shared" si="0"/>
        <v>-0.9</v>
      </c>
      <c r="AA36" s="559">
        <f t="shared" si="1"/>
        <v>0</v>
      </c>
      <c r="AB36" s="901"/>
      <c r="AC36" s="1823" t="s">
        <v>1665</v>
      </c>
      <c r="AF36" s="466"/>
      <c r="AG36" s="465"/>
      <c r="AH36" s="465"/>
    </row>
    <row r="37" spans="1:34" s="498" customFormat="1" ht="38.25" hidden="1" x14ac:dyDescent="0.25">
      <c r="A37" s="962"/>
      <c r="B37" s="502" t="s">
        <v>1689</v>
      </c>
      <c r="C37" s="503"/>
      <c r="D37" s="962"/>
      <c r="E37" s="1031" t="s">
        <v>227</v>
      </c>
      <c r="F37" s="1834">
        <v>1</v>
      </c>
      <c r="G37" s="495">
        <v>3</v>
      </c>
      <c r="H37" s="559">
        <f>F37*G37</f>
        <v>3</v>
      </c>
      <c r="I37" s="1835">
        <v>2</v>
      </c>
      <c r="J37" s="496">
        <v>1</v>
      </c>
      <c r="K37" s="857">
        <f>I37*J37</f>
        <v>2</v>
      </c>
      <c r="L37" s="1835">
        <v>2</v>
      </c>
      <c r="M37" s="496">
        <v>1</v>
      </c>
      <c r="N37" s="857">
        <v>2</v>
      </c>
      <c r="O37" s="1835">
        <v>2</v>
      </c>
      <c r="P37" s="496">
        <v>2</v>
      </c>
      <c r="Q37" s="857">
        <f>O37*P37</f>
        <v>4</v>
      </c>
      <c r="R37" s="857">
        <f t="shared" si="2"/>
        <v>4</v>
      </c>
      <c r="S37" s="857"/>
      <c r="T37" s="1835">
        <v>2</v>
      </c>
      <c r="U37" s="496">
        <v>2</v>
      </c>
      <c r="V37" s="857">
        <f>T37*U37</f>
        <v>4</v>
      </c>
      <c r="W37" s="1835">
        <v>2</v>
      </c>
      <c r="X37" s="496">
        <v>2</v>
      </c>
      <c r="Y37" s="857">
        <f>W37*X37</f>
        <v>4</v>
      </c>
      <c r="Z37" s="559">
        <f t="shared" si="0"/>
        <v>2</v>
      </c>
      <c r="AA37" s="559">
        <f t="shared" si="1"/>
        <v>200</v>
      </c>
      <c r="AB37" s="901" t="s">
        <v>1690</v>
      </c>
      <c r="AC37" s="1822" t="s">
        <v>1665</v>
      </c>
      <c r="AF37" s="466"/>
      <c r="AG37" s="465"/>
      <c r="AH37" s="465"/>
    </row>
    <row r="38" spans="1:34" s="492" customFormat="1" ht="25.5" hidden="1" x14ac:dyDescent="0.2">
      <c r="A38" s="1240"/>
      <c r="B38" s="500" t="s">
        <v>1691</v>
      </c>
      <c r="C38" s="501" t="s">
        <v>797</v>
      </c>
      <c r="D38" s="1240"/>
      <c r="E38" s="842"/>
      <c r="F38" s="530"/>
      <c r="G38" s="531"/>
      <c r="H38" s="493">
        <f>SUM(H39:H42)</f>
        <v>7.5</v>
      </c>
      <c r="I38" s="532"/>
      <c r="J38" s="532"/>
      <c r="K38" s="532">
        <f>SUM(K39:K42)</f>
        <v>0.9</v>
      </c>
      <c r="L38" s="532"/>
      <c r="M38" s="532"/>
      <c r="N38" s="532">
        <v>0.9</v>
      </c>
      <c r="O38" s="532"/>
      <c r="P38" s="532"/>
      <c r="Q38" s="532">
        <f>SUM(Q39:Q41)</f>
        <v>2</v>
      </c>
      <c r="R38" s="532">
        <f t="shared" si="2"/>
        <v>2</v>
      </c>
      <c r="S38" s="532"/>
      <c r="T38" s="532"/>
      <c r="U38" s="532"/>
      <c r="V38" s="532">
        <f>SUM(V39:V41)</f>
        <v>2</v>
      </c>
      <c r="W38" s="532"/>
      <c r="X38" s="532"/>
      <c r="Y38" s="532">
        <f>SUM(Y39:Y41)</f>
        <v>2</v>
      </c>
      <c r="Z38" s="493">
        <f t="shared" si="0"/>
        <v>1.1000000000000001</v>
      </c>
      <c r="AA38" s="493">
        <f t="shared" si="1"/>
        <v>222.2</v>
      </c>
      <c r="AB38" s="901"/>
      <c r="AC38" s="1822" t="s">
        <v>1665</v>
      </c>
      <c r="AF38" s="466"/>
      <c r="AG38" s="466"/>
      <c r="AH38" s="466"/>
    </row>
    <row r="39" spans="1:34" s="498" customFormat="1" hidden="1" x14ac:dyDescent="0.25">
      <c r="A39" s="962"/>
      <c r="B39" s="856" t="s">
        <v>1692</v>
      </c>
      <c r="C39" s="499"/>
      <c r="D39" s="962"/>
      <c r="E39" s="1031" t="s">
        <v>227</v>
      </c>
      <c r="F39" s="1834">
        <v>4</v>
      </c>
      <c r="G39" s="495">
        <v>0.3</v>
      </c>
      <c r="H39" s="559">
        <f>F39*G39</f>
        <v>1.2</v>
      </c>
      <c r="I39" s="1835"/>
      <c r="J39" s="496"/>
      <c r="K39" s="857"/>
      <c r="L39" s="1835"/>
      <c r="M39" s="496"/>
      <c r="N39" s="857"/>
      <c r="O39" s="1835"/>
      <c r="P39" s="496"/>
      <c r="Q39" s="857"/>
      <c r="R39" s="857">
        <f t="shared" si="2"/>
        <v>0</v>
      </c>
      <c r="S39" s="857"/>
      <c r="T39" s="1835"/>
      <c r="U39" s="496"/>
      <c r="V39" s="857"/>
      <c r="W39" s="1835"/>
      <c r="X39" s="496"/>
      <c r="Y39" s="857"/>
      <c r="Z39" s="559">
        <f t="shared" si="0"/>
        <v>0</v>
      </c>
      <c r="AA39" s="559" t="str">
        <f t="shared" si="1"/>
        <v>-</v>
      </c>
      <c r="AB39" s="901"/>
      <c r="AC39" s="1823" t="s">
        <v>1665</v>
      </c>
      <c r="AF39" s="466"/>
      <c r="AG39" s="465"/>
      <c r="AH39" s="465"/>
    </row>
    <row r="40" spans="1:34" s="498" customFormat="1" ht="63.75" hidden="1" x14ac:dyDescent="0.25">
      <c r="A40" s="962"/>
      <c r="B40" s="502" t="s">
        <v>1693</v>
      </c>
      <c r="C40" s="499"/>
      <c r="D40" s="962"/>
      <c r="E40" s="1031" t="s">
        <v>227</v>
      </c>
      <c r="F40" s="494">
        <v>18</v>
      </c>
      <c r="G40" s="495">
        <v>0.1</v>
      </c>
      <c r="H40" s="559">
        <f>F40*G40</f>
        <v>1.8</v>
      </c>
      <c r="I40" s="496">
        <v>9</v>
      </c>
      <c r="J40" s="883">
        <v>0.1</v>
      </c>
      <c r="K40" s="857">
        <f>I40*J40</f>
        <v>0.9</v>
      </c>
      <c r="L40" s="496">
        <v>9</v>
      </c>
      <c r="M40" s="883">
        <v>0.1</v>
      </c>
      <c r="N40" s="857">
        <v>0.9</v>
      </c>
      <c r="O40" s="496">
        <v>20</v>
      </c>
      <c r="P40" s="496">
        <v>0.1</v>
      </c>
      <c r="Q40" s="857">
        <f>O40*P40</f>
        <v>2</v>
      </c>
      <c r="R40" s="857">
        <f t="shared" si="2"/>
        <v>2</v>
      </c>
      <c r="S40" s="857"/>
      <c r="T40" s="496">
        <v>20</v>
      </c>
      <c r="U40" s="496">
        <v>0.1</v>
      </c>
      <c r="V40" s="857">
        <f>T40*U40</f>
        <v>2</v>
      </c>
      <c r="W40" s="496">
        <v>20</v>
      </c>
      <c r="X40" s="496">
        <v>0.1</v>
      </c>
      <c r="Y40" s="857">
        <f>W40*X40</f>
        <v>2</v>
      </c>
      <c r="Z40" s="559">
        <f t="shared" si="0"/>
        <v>1.1000000000000001</v>
      </c>
      <c r="AA40" s="559">
        <f t="shared" si="1"/>
        <v>222.2</v>
      </c>
      <c r="AB40" s="900" t="s">
        <v>1694</v>
      </c>
      <c r="AC40" s="1823" t="s">
        <v>1665</v>
      </c>
      <c r="AF40" s="466"/>
      <c r="AG40" s="465"/>
      <c r="AH40" s="465"/>
    </row>
    <row r="41" spans="1:34" s="498" customFormat="1" hidden="1" x14ac:dyDescent="0.25">
      <c r="A41" s="962"/>
      <c r="B41" s="856" t="s">
        <v>1695</v>
      </c>
      <c r="C41" s="499"/>
      <c r="D41" s="962"/>
      <c r="E41" s="1031" t="s">
        <v>227</v>
      </c>
      <c r="F41" s="494">
        <v>1</v>
      </c>
      <c r="G41" s="495">
        <v>2</v>
      </c>
      <c r="H41" s="559">
        <f>F41*G41</f>
        <v>2</v>
      </c>
      <c r="I41" s="496"/>
      <c r="J41" s="496"/>
      <c r="K41" s="857"/>
      <c r="L41" s="496"/>
      <c r="M41" s="496"/>
      <c r="N41" s="857"/>
      <c r="O41" s="496"/>
      <c r="P41" s="496"/>
      <c r="Q41" s="857"/>
      <c r="R41" s="857">
        <f t="shared" si="2"/>
        <v>0</v>
      </c>
      <c r="S41" s="857"/>
      <c r="T41" s="496"/>
      <c r="U41" s="496"/>
      <c r="V41" s="857"/>
      <c r="W41" s="496"/>
      <c r="X41" s="496"/>
      <c r="Y41" s="857"/>
      <c r="Z41" s="559">
        <f t="shared" si="0"/>
        <v>0</v>
      </c>
      <c r="AA41" s="559" t="str">
        <f t="shared" si="1"/>
        <v>-</v>
      </c>
      <c r="AB41" s="1246"/>
      <c r="AC41" s="1823" t="s">
        <v>1665</v>
      </c>
      <c r="AF41" s="466"/>
      <c r="AG41" s="465"/>
      <c r="AH41" s="465"/>
    </row>
    <row r="42" spans="1:34" s="498" customFormat="1" hidden="1" x14ac:dyDescent="0.25">
      <c r="A42" s="962"/>
      <c r="B42" s="856" t="s">
        <v>1695</v>
      </c>
      <c r="C42" s="499"/>
      <c r="D42" s="962"/>
      <c r="E42" s="1031" t="s">
        <v>227</v>
      </c>
      <c r="F42" s="494">
        <v>1</v>
      </c>
      <c r="G42" s="495">
        <v>2.5</v>
      </c>
      <c r="H42" s="559">
        <f>F42*G42</f>
        <v>2.5</v>
      </c>
      <c r="I42" s="496"/>
      <c r="J42" s="496"/>
      <c r="K42" s="857"/>
      <c r="L42" s="496"/>
      <c r="M42" s="496"/>
      <c r="N42" s="857"/>
      <c r="O42" s="496"/>
      <c r="P42" s="496"/>
      <c r="Q42" s="857"/>
      <c r="R42" s="857">
        <f t="shared" si="2"/>
        <v>0</v>
      </c>
      <c r="S42" s="857"/>
      <c r="T42" s="496"/>
      <c r="U42" s="496"/>
      <c r="V42" s="857"/>
      <c r="W42" s="496"/>
      <c r="X42" s="496"/>
      <c r="Y42" s="857"/>
      <c r="Z42" s="559">
        <f t="shared" si="0"/>
        <v>0</v>
      </c>
      <c r="AA42" s="559" t="str">
        <f t="shared" si="1"/>
        <v>-</v>
      </c>
      <c r="AB42" s="827"/>
      <c r="AC42" s="1823" t="s">
        <v>1665</v>
      </c>
      <c r="AF42" s="466"/>
      <c r="AG42" s="465"/>
      <c r="AH42" s="465"/>
    </row>
    <row r="43" spans="1:34" s="492" customFormat="1" ht="14.25" hidden="1" x14ac:dyDescent="0.2">
      <c r="A43" s="1240"/>
      <c r="B43" s="500" t="s">
        <v>1696</v>
      </c>
      <c r="C43" s="501" t="s">
        <v>796</v>
      </c>
      <c r="D43" s="1240"/>
      <c r="E43" s="842"/>
      <c r="F43" s="530">
        <v>310</v>
      </c>
      <c r="G43" s="531">
        <v>0.02</v>
      </c>
      <c r="H43" s="493">
        <f>F43*G43</f>
        <v>6.2</v>
      </c>
      <c r="I43" s="532">
        <v>310</v>
      </c>
      <c r="J43" s="1836">
        <v>0.02</v>
      </c>
      <c r="K43" s="532">
        <f>I43*J43</f>
        <v>6.2</v>
      </c>
      <c r="L43" s="532">
        <v>310</v>
      </c>
      <c r="M43" s="1836">
        <v>0.02</v>
      </c>
      <c r="N43" s="532">
        <v>6.2</v>
      </c>
      <c r="O43" s="532">
        <v>310</v>
      </c>
      <c r="P43" s="532">
        <v>0</v>
      </c>
      <c r="Q43" s="532">
        <f>O43*P43</f>
        <v>0</v>
      </c>
      <c r="R43" s="532">
        <f t="shared" si="2"/>
        <v>0</v>
      </c>
      <c r="S43" s="532"/>
      <c r="T43" s="532">
        <v>310</v>
      </c>
      <c r="U43" s="532">
        <v>0</v>
      </c>
      <c r="V43" s="532">
        <f>T43*U43</f>
        <v>0</v>
      </c>
      <c r="W43" s="532">
        <v>310</v>
      </c>
      <c r="X43" s="532">
        <v>0</v>
      </c>
      <c r="Y43" s="532">
        <f>W43*X43</f>
        <v>0</v>
      </c>
      <c r="Z43" s="493">
        <f t="shared" si="0"/>
        <v>-6.2</v>
      </c>
      <c r="AA43" s="493">
        <f t="shared" si="1"/>
        <v>0</v>
      </c>
      <c r="AB43" s="901"/>
      <c r="AC43" s="1822" t="s">
        <v>1665</v>
      </c>
      <c r="AF43" s="466"/>
      <c r="AG43" s="466"/>
      <c r="AH43" s="466"/>
    </row>
    <row r="44" spans="1:34" s="492" customFormat="1" ht="14.25" hidden="1" x14ac:dyDescent="0.2">
      <c r="A44" s="1240"/>
      <c r="B44" s="865" t="s">
        <v>803</v>
      </c>
      <c r="C44" s="508" t="s">
        <v>796</v>
      </c>
      <c r="D44" s="1240"/>
      <c r="E44" s="842" t="s">
        <v>227</v>
      </c>
      <c r="F44" s="530"/>
      <c r="G44" s="531"/>
      <c r="H44" s="542">
        <f>H45</f>
        <v>33.6</v>
      </c>
      <c r="I44" s="532"/>
      <c r="J44" s="532"/>
      <c r="K44" s="533">
        <f>K45</f>
        <v>34</v>
      </c>
      <c r="L44" s="532"/>
      <c r="M44" s="532"/>
      <c r="N44" s="533">
        <v>34</v>
      </c>
      <c r="O44" s="532"/>
      <c r="P44" s="532"/>
      <c r="Q44" s="533"/>
      <c r="R44" s="533">
        <f t="shared" si="2"/>
        <v>0</v>
      </c>
      <c r="S44" s="533"/>
      <c r="T44" s="532"/>
      <c r="U44" s="532"/>
      <c r="V44" s="533"/>
      <c r="W44" s="532"/>
      <c r="X44" s="532"/>
      <c r="Y44" s="533"/>
      <c r="Z44" s="542">
        <f t="shared" si="0"/>
        <v>-34</v>
      </c>
      <c r="AA44" s="542">
        <f t="shared" si="1"/>
        <v>0</v>
      </c>
      <c r="AB44" s="901"/>
      <c r="AC44" s="1823" t="s">
        <v>1665</v>
      </c>
      <c r="AF44" s="466"/>
      <c r="AG44" s="466"/>
      <c r="AH44" s="466"/>
    </row>
    <row r="45" spans="1:34" s="498" customFormat="1" hidden="1" x14ac:dyDescent="0.25">
      <c r="A45" s="962"/>
      <c r="B45" s="502" t="s">
        <v>1697</v>
      </c>
      <c r="C45" s="503"/>
      <c r="D45" s="962"/>
      <c r="E45" s="842"/>
      <c r="F45" s="494">
        <v>168</v>
      </c>
      <c r="G45" s="495">
        <v>0.2</v>
      </c>
      <c r="H45" s="1245">
        <f>F45*G45</f>
        <v>33.6</v>
      </c>
      <c r="I45" s="496">
        <v>170</v>
      </c>
      <c r="J45" s="496">
        <v>0.2</v>
      </c>
      <c r="K45" s="496">
        <f>I45*J45</f>
        <v>34</v>
      </c>
      <c r="L45" s="496">
        <v>170</v>
      </c>
      <c r="M45" s="496">
        <v>0.2</v>
      </c>
      <c r="N45" s="496">
        <v>34</v>
      </c>
      <c r="O45" s="496"/>
      <c r="P45" s="496"/>
      <c r="Q45" s="496"/>
      <c r="R45" s="496">
        <f t="shared" si="2"/>
        <v>0</v>
      </c>
      <c r="S45" s="496"/>
      <c r="T45" s="496"/>
      <c r="U45" s="496"/>
      <c r="V45" s="496"/>
      <c r="W45" s="496"/>
      <c r="X45" s="496"/>
      <c r="Y45" s="496"/>
      <c r="Z45" s="1245">
        <f t="shared" si="0"/>
        <v>-34</v>
      </c>
      <c r="AA45" s="1245">
        <f t="shared" si="1"/>
        <v>0</v>
      </c>
      <c r="AB45" s="901"/>
      <c r="AC45" s="1822" t="s">
        <v>1665</v>
      </c>
      <c r="AF45" s="466"/>
      <c r="AG45" s="465"/>
      <c r="AH45" s="465"/>
    </row>
    <row r="46" spans="1:34" s="492" customFormat="1" ht="14.25" x14ac:dyDescent="0.2">
      <c r="A46" s="1240"/>
      <c r="B46" s="500" t="s">
        <v>1233</v>
      </c>
      <c r="C46" s="501" t="s">
        <v>1230</v>
      </c>
      <c r="D46" s="1240"/>
      <c r="E46" s="842" t="s">
        <v>227</v>
      </c>
      <c r="F46" s="530"/>
      <c r="G46" s="531"/>
      <c r="H46" s="542">
        <f>SUM(H47:H50)</f>
        <v>12.8</v>
      </c>
      <c r="I46" s="532"/>
      <c r="J46" s="532"/>
      <c r="K46" s="533">
        <f>SUM(K47:K50)</f>
        <v>12.8</v>
      </c>
      <c r="L46" s="532"/>
      <c r="M46" s="532"/>
      <c r="N46" s="533">
        <v>12.8</v>
      </c>
      <c r="O46" s="532"/>
      <c r="P46" s="532"/>
      <c r="Q46" s="533">
        <v>10.199999999999999</v>
      </c>
      <c r="R46" s="533">
        <f t="shared" si="2"/>
        <v>10.199999999999999</v>
      </c>
      <c r="S46" s="533"/>
      <c r="T46" s="532"/>
      <c r="U46" s="532"/>
      <c r="V46" s="533">
        <f>SUM(V47:V50)</f>
        <v>10.3</v>
      </c>
      <c r="W46" s="532"/>
      <c r="X46" s="532"/>
      <c r="Y46" s="533">
        <f>SUM(Y47:Y50)</f>
        <v>10.3</v>
      </c>
      <c r="Z46" s="542">
        <f t="shared" si="0"/>
        <v>-2.6</v>
      </c>
      <c r="AA46" s="542">
        <f t="shared" si="1"/>
        <v>79.7</v>
      </c>
      <c r="AB46" s="901"/>
      <c r="AC46" s="1822" t="s">
        <v>1665</v>
      </c>
      <c r="AF46" s="466"/>
      <c r="AG46" s="466"/>
      <c r="AH46" s="466"/>
    </row>
    <row r="47" spans="1:34" s="498" customFormat="1" hidden="1" x14ac:dyDescent="0.25">
      <c r="A47" s="962"/>
      <c r="B47" s="502" t="s">
        <v>1698</v>
      </c>
      <c r="C47" s="503"/>
      <c r="D47" s="962"/>
      <c r="E47" s="1031" t="s">
        <v>227</v>
      </c>
      <c r="F47" s="494">
        <v>1</v>
      </c>
      <c r="G47" s="495">
        <v>3.45</v>
      </c>
      <c r="H47" s="559">
        <f>F47*G47</f>
        <v>3.5</v>
      </c>
      <c r="I47" s="496">
        <v>1</v>
      </c>
      <c r="J47" s="496">
        <v>3.5</v>
      </c>
      <c r="K47" s="857">
        <f>I47*J47</f>
        <v>3.5</v>
      </c>
      <c r="L47" s="496">
        <v>1</v>
      </c>
      <c r="M47" s="496">
        <v>3.5</v>
      </c>
      <c r="N47" s="857">
        <v>3.5</v>
      </c>
      <c r="O47" s="496">
        <v>1</v>
      </c>
      <c r="P47" s="496">
        <v>3.5</v>
      </c>
      <c r="Q47" s="857">
        <f>O47*P47</f>
        <v>3.5</v>
      </c>
      <c r="R47" s="857">
        <f t="shared" si="2"/>
        <v>3.5</v>
      </c>
      <c r="S47" s="857"/>
      <c r="T47" s="496">
        <v>1</v>
      </c>
      <c r="U47" s="496">
        <v>3.5</v>
      </c>
      <c r="V47" s="857">
        <f>T47*U47</f>
        <v>3.5</v>
      </c>
      <c r="W47" s="496">
        <v>1</v>
      </c>
      <c r="X47" s="496">
        <v>3.5</v>
      </c>
      <c r="Y47" s="857">
        <f>W47*X47</f>
        <v>3.5</v>
      </c>
      <c r="Z47" s="559">
        <f t="shared" si="0"/>
        <v>0</v>
      </c>
      <c r="AA47" s="559">
        <f t="shared" si="1"/>
        <v>100</v>
      </c>
      <c r="AB47" s="901"/>
      <c r="AC47" s="1822" t="s">
        <v>1665</v>
      </c>
      <c r="AF47" s="466"/>
      <c r="AG47" s="465"/>
      <c r="AH47" s="465"/>
    </row>
    <row r="48" spans="1:34" s="498" customFormat="1" hidden="1" x14ac:dyDescent="0.25">
      <c r="A48" s="962"/>
      <c r="B48" s="502" t="s">
        <v>1699</v>
      </c>
      <c r="C48" s="503"/>
      <c r="D48" s="962"/>
      <c r="E48" s="1031"/>
      <c r="F48" s="494">
        <v>1</v>
      </c>
      <c r="G48" s="495">
        <v>2</v>
      </c>
      <c r="H48" s="559">
        <f>F48*G48</f>
        <v>2</v>
      </c>
      <c r="I48" s="496">
        <v>1</v>
      </c>
      <c r="J48" s="496">
        <v>2</v>
      </c>
      <c r="K48" s="857">
        <f>I48*J48</f>
        <v>2</v>
      </c>
      <c r="L48" s="496">
        <v>1</v>
      </c>
      <c r="M48" s="496">
        <v>2</v>
      </c>
      <c r="N48" s="857">
        <v>2</v>
      </c>
      <c r="O48" s="496"/>
      <c r="P48" s="496"/>
      <c r="Q48" s="857"/>
      <c r="R48" s="857">
        <f t="shared" si="2"/>
        <v>0</v>
      </c>
      <c r="S48" s="857"/>
      <c r="T48" s="496"/>
      <c r="U48" s="496"/>
      <c r="V48" s="857"/>
      <c r="W48" s="496"/>
      <c r="X48" s="496"/>
      <c r="Y48" s="857"/>
      <c r="Z48" s="559">
        <f t="shared" si="0"/>
        <v>-2</v>
      </c>
      <c r="AA48" s="559">
        <f t="shared" si="1"/>
        <v>0</v>
      </c>
      <c r="AB48" s="901"/>
      <c r="AC48" s="1822" t="s">
        <v>1665</v>
      </c>
      <c r="AF48" s="466"/>
      <c r="AG48" s="465"/>
      <c r="AH48" s="465"/>
    </row>
    <row r="49" spans="1:34" s="498" customFormat="1" hidden="1" x14ac:dyDescent="0.25">
      <c r="A49" s="962"/>
      <c r="B49" s="502" t="s">
        <v>1686</v>
      </c>
      <c r="C49" s="503"/>
      <c r="D49" s="962"/>
      <c r="E49" s="1031"/>
      <c r="F49" s="494">
        <v>2</v>
      </c>
      <c r="G49" s="495">
        <v>2.2999999999999998</v>
      </c>
      <c r="H49" s="559">
        <f>F49*G49</f>
        <v>4.5999999999999996</v>
      </c>
      <c r="I49" s="496">
        <v>2</v>
      </c>
      <c r="J49" s="496">
        <v>2.2999999999999998</v>
      </c>
      <c r="K49" s="857">
        <f>I49*J49</f>
        <v>4.5999999999999996</v>
      </c>
      <c r="L49" s="496">
        <v>2</v>
      </c>
      <c r="M49" s="496">
        <v>2.2999999999999998</v>
      </c>
      <c r="N49" s="857">
        <v>4.5999999999999996</v>
      </c>
      <c r="O49" s="496">
        <v>2</v>
      </c>
      <c r="P49" s="496">
        <v>2.2999999999999998</v>
      </c>
      <c r="Q49" s="857">
        <f>O49*P49</f>
        <v>4.5999999999999996</v>
      </c>
      <c r="R49" s="857">
        <f t="shared" si="2"/>
        <v>4.5999999999999996</v>
      </c>
      <c r="S49" s="857"/>
      <c r="T49" s="496">
        <v>2</v>
      </c>
      <c r="U49" s="496">
        <v>2.2999999999999998</v>
      </c>
      <c r="V49" s="857">
        <f>T49*U49</f>
        <v>4.5999999999999996</v>
      </c>
      <c r="W49" s="496">
        <v>2</v>
      </c>
      <c r="X49" s="496">
        <v>2.2999999999999998</v>
      </c>
      <c r="Y49" s="857">
        <f>W49*X49</f>
        <v>4.5999999999999996</v>
      </c>
      <c r="Z49" s="559">
        <f t="shared" si="0"/>
        <v>0</v>
      </c>
      <c r="AA49" s="559">
        <f t="shared" si="1"/>
        <v>100</v>
      </c>
      <c r="AB49" s="901"/>
      <c r="AC49" s="1822" t="s">
        <v>1665</v>
      </c>
      <c r="AF49" s="466"/>
      <c r="AG49" s="465"/>
      <c r="AH49" s="465"/>
    </row>
    <row r="50" spans="1:34" s="498" customFormat="1" hidden="1" x14ac:dyDescent="0.25">
      <c r="A50" s="962"/>
      <c r="B50" s="502" t="s">
        <v>1234</v>
      </c>
      <c r="C50" s="503"/>
      <c r="D50" s="962"/>
      <c r="E50" s="1031"/>
      <c r="F50" s="557"/>
      <c r="G50" s="558"/>
      <c r="H50" s="559">
        <f>SUM(H47:H49)*0.271</f>
        <v>2.7</v>
      </c>
      <c r="I50" s="857"/>
      <c r="J50" s="857"/>
      <c r="K50" s="857">
        <f>SUM(K47:K49)*0.271</f>
        <v>2.7</v>
      </c>
      <c r="L50" s="857"/>
      <c r="M50" s="857"/>
      <c r="N50" s="857">
        <v>2.7</v>
      </c>
      <c r="O50" s="857"/>
      <c r="P50" s="857"/>
      <c r="Q50" s="857">
        <f>SUM(Q47:Q49)*0.271</f>
        <v>2.2000000000000002</v>
      </c>
      <c r="R50" s="857">
        <f t="shared" si="2"/>
        <v>2.2000000000000002</v>
      </c>
      <c r="S50" s="857"/>
      <c r="T50" s="857"/>
      <c r="U50" s="857"/>
      <c r="V50" s="857">
        <f>SUM(V47:V49)*0.271</f>
        <v>2.2000000000000002</v>
      </c>
      <c r="W50" s="857"/>
      <c r="X50" s="857"/>
      <c r="Y50" s="857">
        <f>SUM(Y47:Y49)*0.271</f>
        <v>2.2000000000000002</v>
      </c>
      <c r="Z50" s="559">
        <f t="shared" si="0"/>
        <v>-0.5</v>
      </c>
      <c r="AA50" s="559">
        <f t="shared" si="1"/>
        <v>81.5</v>
      </c>
      <c r="AB50" s="1837"/>
      <c r="AC50" s="1822" t="s">
        <v>1665</v>
      </c>
      <c r="AF50" s="466"/>
      <c r="AG50" s="465"/>
      <c r="AH50" s="465"/>
    </row>
    <row r="51" spans="1:34" s="492" customFormat="1" ht="14.25" hidden="1" x14ac:dyDescent="0.2">
      <c r="A51" s="487"/>
      <c r="B51" s="543" t="s">
        <v>1236</v>
      </c>
      <c r="C51" s="511"/>
      <c r="D51" s="487"/>
      <c r="E51" s="487"/>
      <c r="F51" s="488"/>
      <c r="G51" s="489"/>
      <c r="H51" s="490" t="e">
        <f>#REF!+H52+#REF!+#REF!</f>
        <v>#REF!</v>
      </c>
      <c r="I51" s="847"/>
      <c r="J51" s="847"/>
      <c r="K51" s="490">
        <f>K52</f>
        <v>49.7</v>
      </c>
      <c r="L51" s="847"/>
      <c r="M51" s="847"/>
      <c r="N51" s="490">
        <f>N52</f>
        <v>49.7</v>
      </c>
      <c r="O51" s="847"/>
      <c r="P51" s="847"/>
      <c r="Q51" s="490">
        <f>Q52</f>
        <v>59.9</v>
      </c>
      <c r="R51" s="490">
        <f t="shared" si="2"/>
        <v>59.9</v>
      </c>
      <c r="S51" s="490"/>
      <c r="T51" s="847"/>
      <c r="U51" s="847"/>
      <c r="V51" s="490">
        <f>V52</f>
        <v>60</v>
      </c>
      <c r="W51" s="490"/>
      <c r="X51" s="490"/>
      <c r="Y51" s="490">
        <f>Y52</f>
        <v>60</v>
      </c>
      <c r="Z51" s="490">
        <f t="shared" si="0"/>
        <v>10.199999999999999</v>
      </c>
      <c r="AA51" s="490">
        <f t="shared" si="1"/>
        <v>120.5</v>
      </c>
      <c r="AB51" s="555"/>
      <c r="AC51" s="491"/>
      <c r="AF51" s="466"/>
      <c r="AG51" s="466"/>
      <c r="AH51" s="466"/>
    </row>
    <row r="52" spans="1:34" s="492" customFormat="1" ht="38.25" hidden="1" x14ac:dyDescent="0.2">
      <c r="A52" s="522"/>
      <c r="B52" s="858" t="s">
        <v>1700</v>
      </c>
      <c r="C52" s="859"/>
      <c r="D52" s="522" t="s">
        <v>1444</v>
      </c>
      <c r="E52" s="860"/>
      <c r="F52" s="523"/>
      <c r="G52" s="524"/>
      <c r="H52" s="526">
        <f>H53+H60+H65+H68+H72</f>
        <v>66.900000000000006</v>
      </c>
      <c r="I52" s="526"/>
      <c r="J52" s="526"/>
      <c r="K52" s="526">
        <f>K53+K60+K65+K68+K72</f>
        <v>49.7</v>
      </c>
      <c r="L52" s="526"/>
      <c r="M52" s="526"/>
      <c r="N52" s="526">
        <f>N53+N60+N65+N68+N72</f>
        <v>49.7</v>
      </c>
      <c r="O52" s="526"/>
      <c r="P52" s="526"/>
      <c r="Q52" s="526">
        <f>Q53+Q60+Q64+Q65+Q68+Q72+Q71</f>
        <v>59.9</v>
      </c>
      <c r="R52" s="526">
        <f t="shared" si="2"/>
        <v>59.9</v>
      </c>
      <c r="S52" s="526"/>
      <c r="T52" s="526"/>
      <c r="U52" s="526"/>
      <c r="V52" s="526">
        <f>V53+V60+V64+V65+V68+V72+V71</f>
        <v>60</v>
      </c>
      <c r="W52" s="526"/>
      <c r="X52" s="526"/>
      <c r="Y52" s="526">
        <f>Y53+Y60+Y64+Y65+Y68+Y72+Y71</f>
        <v>60</v>
      </c>
      <c r="Z52" s="526">
        <f t="shared" si="0"/>
        <v>10.199999999999999</v>
      </c>
      <c r="AA52" s="526">
        <f t="shared" si="1"/>
        <v>120.5</v>
      </c>
      <c r="AB52" s="849" t="s">
        <v>1701</v>
      </c>
      <c r="AC52" s="491" t="s">
        <v>1665</v>
      </c>
      <c r="AF52" s="466"/>
      <c r="AG52" s="466"/>
      <c r="AH52" s="466"/>
    </row>
    <row r="53" spans="1:34" s="492" customFormat="1" ht="14.25" x14ac:dyDescent="0.2">
      <c r="A53" s="1240"/>
      <c r="B53" s="507" t="s">
        <v>1242</v>
      </c>
      <c r="C53" s="508" t="s">
        <v>1230</v>
      </c>
      <c r="D53" s="932"/>
      <c r="E53" s="861"/>
      <c r="F53" s="828"/>
      <c r="G53" s="829"/>
      <c r="H53" s="542">
        <f>SUM(H54:H59)</f>
        <v>28.2</v>
      </c>
      <c r="I53" s="533"/>
      <c r="J53" s="533"/>
      <c r="K53" s="533">
        <f>SUM(K54:K59)</f>
        <v>24.8</v>
      </c>
      <c r="L53" s="533"/>
      <c r="M53" s="533"/>
      <c r="N53" s="533">
        <f>SUM(N54:N59)</f>
        <v>24.8</v>
      </c>
      <c r="O53" s="533"/>
      <c r="P53" s="533"/>
      <c r="Q53" s="533">
        <v>21.9</v>
      </c>
      <c r="R53" s="533">
        <f t="shared" si="2"/>
        <v>21.9</v>
      </c>
      <c r="S53" s="533"/>
      <c r="T53" s="533"/>
      <c r="U53" s="533"/>
      <c r="V53" s="533">
        <f>SUM(V54:V59)</f>
        <v>22</v>
      </c>
      <c r="W53" s="533"/>
      <c r="X53" s="533"/>
      <c r="Y53" s="533">
        <f>SUM(Y54:Y59)</f>
        <v>22</v>
      </c>
      <c r="Z53" s="542">
        <f t="shared" si="0"/>
        <v>-2.9</v>
      </c>
      <c r="AA53" s="542">
        <f t="shared" si="1"/>
        <v>88.3</v>
      </c>
      <c r="AB53" s="1030"/>
      <c r="AC53" s="1823" t="s">
        <v>1665</v>
      </c>
      <c r="AF53" s="466"/>
      <c r="AG53" s="466"/>
      <c r="AH53" s="466"/>
    </row>
    <row r="54" spans="1:34" s="498" customFormat="1" hidden="1" x14ac:dyDescent="0.25">
      <c r="A54" s="962"/>
      <c r="B54" s="856" t="s">
        <v>1702</v>
      </c>
      <c r="C54" s="499"/>
      <c r="D54" s="903"/>
      <c r="E54" s="855" t="s">
        <v>318</v>
      </c>
      <c r="F54" s="557">
        <v>1</v>
      </c>
      <c r="G54" s="558">
        <v>3.45</v>
      </c>
      <c r="H54" s="559">
        <f>F54*G54</f>
        <v>3.5</v>
      </c>
      <c r="I54" s="857">
        <v>1</v>
      </c>
      <c r="J54" s="857">
        <v>3.5</v>
      </c>
      <c r="K54" s="857">
        <f>I54*J54</f>
        <v>3.5</v>
      </c>
      <c r="L54" s="857">
        <v>1</v>
      </c>
      <c r="M54" s="857">
        <v>3.5</v>
      </c>
      <c r="N54" s="857">
        <f>L54*M54</f>
        <v>3.5</v>
      </c>
      <c r="O54" s="857">
        <v>1</v>
      </c>
      <c r="P54" s="857">
        <v>3.5</v>
      </c>
      <c r="Q54" s="857">
        <f>O54*P54</f>
        <v>3.5</v>
      </c>
      <c r="R54" s="857">
        <f t="shared" si="2"/>
        <v>3.5</v>
      </c>
      <c r="S54" s="857"/>
      <c r="T54" s="857">
        <v>1</v>
      </c>
      <c r="U54" s="857">
        <v>3.5</v>
      </c>
      <c r="V54" s="857">
        <f>T54*U54</f>
        <v>3.5</v>
      </c>
      <c r="W54" s="857">
        <v>1</v>
      </c>
      <c r="X54" s="857">
        <v>3.5</v>
      </c>
      <c r="Y54" s="857">
        <f>W54*X54</f>
        <v>3.5</v>
      </c>
      <c r="Z54" s="559">
        <f t="shared" si="0"/>
        <v>0</v>
      </c>
      <c r="AA54" s="559">
        <f t="shared" si="1"/>
        <v>100</v>
      </c>
      <c r="AB54" s="1029"/>
      <c r="AC54" s="1823" t="s">
        <v>1665</v>
      </c>
      <c r="AF54" s="466"/>
      <c r="AG54" s="465"/>
      <c r="AH54" s="465"/>
    </row>
    <row r="55" spans="1:34" s="498" customFormat="1" ht="38.25" hidden="1" x14ac:dyDescent="0.25">
      <c r="A55" s="962"/>
      <c r="B55" s="856" t="s">
        <v>1365</v>
      </c>
      <c r="C55" s="499"/>
      <c r="D55" s="903"/>
      <c r="E55" s="855" t="s">
        <v>318</v>
      </c>
      <c r="F55" s="557">
        <v>1</v>
      </c>
      <c r="G55" s="558">
        <v>2.2999999999999998</v>
      </c>
      <c r="H55" s="559">
        <f>F55*G55</f>
        <v>2.2999999999999998</v>
      </c>
      <c r="I55" s="857">
        <v>1</v>
      </c>
      <c r="J55" s="857">
        <v>2.2999999999999998</v>
      </c>
      <c r="K55" s="857">
        <f>I55*J55</f>
        <v>2.2999999999999998</v>
      </c>
      <c r="L55" s="857">
        <v>1</v>
      </c>
      <c r="M55" s="857">
        <v>2.2999999999999998</v>
      </c>
      <c r="N55" s="857">
        <f>L55*M55</f>
        <v>2.2999999999999998</v>
      </c>
      <c r="O55" s="857">
        <v>2</v>
      </c>
      <c r="P55" s="857">
        <v>2.2999999999999998</v>
      </c>
      <c r="Q55" s="857">
        <f>O55*P55</f>
        <v>4.5999999999999996</v>
      </c>
      <c r="R55" s="857">
        <f t="shared" si="2"/>
        <v>4.5999999999999996</v>
      </c>
      <c r="S55" s="857"/>
      <c r="T55" s="857">
        <v>2</v>
      </c>
      <c r="U55" s="857">
        <v>2.2999999999999998</v>
      </c>
      <c r="V55" s="857">
        <f>T55*U55</f>
        <v>4.5999999999999996</v>
      </c>
      <c r="W55" s="857">
        <v>2</v>
      </c>
      <c r="X55" s="857">
        <v>2.2999999999999998</v>
      </c>
      <c r="Y55" s="857">
        <f>W55*X55</f>
        <v>4.5999999999999996</v>
      </c>
      <c r="Z55" s="559">
        <f t="shared" si="0"/>
        <v>2.2999999999999998</v>
      </c>
      <c r="AA55" s="559">
        <f t="shared" si="1"/>
        <v>200</v>
      </c>
      <c r="AB55" s="1029" t="s">
        <v>1703</v>
      </c>
      <c r="AC55" s="1823" t="s">
        <v>1665</v>
      </c>
      <c r="AF55" s="466"/>
      <c r="AG55" s="465"/>
      <c r="AH55" s="465"/>
    </row>
    <row r="56" spans="1:34" s="498" customFormat="1" hidden="1" x14ac:dyDescent="0.25">
      <c r="A56" s="962"/>
      <c r="B56" s="856" t="s">
        <v>1704</v>
      </c>
      <c r="C56" s="499"/>
      <c r="D56" s="962"/>
      <c r="E56" s="1245" t="s">
        <v>318</v>
      </c>
      <c r="F56" s="557">
        <v>1</v>
      </c>
      <c r="G56" s="558">
        <v>5.2</v>
      </c>
      <c r="H56" s="559">
        <f>F56*G56</f>
        <v>5.2</v>
      </c>
      <c r="I56" s="857">
        <v>1</v>
      </c>
      <c r="J56" s="857">
        <v>2.5</v>
      </c>
      <c r="K56" s="857">
        <f>I56*J56</f>
        <v>2.5</v>
      </c>
      <c r="L56" s="857">
        <v>1</v>
      </c>
      <c r="M56" s="857">
        <v>2.5</v>
      </c>
      <c r="N56" s="857">
        <f>L56*M56</f>
        <v>2.5</v>
      </c>
      <c r="O56" s="857"/>
      <c r="P56" s="857"/>
      <c r="Q56" s="857"/>
      <c r="R56" s="857">
        <f t="shared" si="2"/>
        <v>0</v>
      </c>
      <c r="S56" s="857"/>
      <c r="T56" s="857"/>
      <c r="U56" s="857"/>
      <c r="V56" s="857"/>
      <c r="W56" s="857"/>
      <c r="X56" s="857"/>
      <c r="Y56" s="857"/>
      <c r="Z56" s="559">
        <f t="shared" si="0"/>
        <v>-2.5</v>
      </c>
      <c r="AA56" s="559">
        <f t="shared" si="1"/>
        <v>0</v>
      </c>
      <c r="AB56" s="843"/>
      <c r="AC56" s="1823" t="s">
        <v>1665</v>
      </c>
      <c r="AF56" s="466"/>
      <c r="AG56" s="465"/>
      <c r="AH56" s="465"/>
    </row>
    <row r="57" spans="1:34" s="498" customFormat="1" hidden="1" x14ac:dyDescent="0.25">
      <c r="A57" s="962"/>
      <c r="B57" s="506" t="s">
        <v>1366</v>
      </c>
      <c r="C57" s="499"/>
      <c r="D57" s="903"/>
      <c r="E57" s="1245" t="s">
        <v>318</v>
      </c>
      <c r="F57" s="557">
        <v>4</v>
      </c>
      <c r="G57" s="558">
        <v>2.2999999999999998</v>
      </c>
      <c r="H57" s="559">
        <f>F57*G57</f>
        <v>9.1999999999999993</v>
      </c>
      <c r="I57" s="857">
        <v>4</v>
      </c>
      <c r="J57" s="857">
        <v>2.2999999999999998</v>
      </c>
      <c r="K57" s="857">
        <f>I57*J57</f>
        <v>9.1999999999999993</v>
      </c>
      <c r="L57" s="857">
        <v>4</v>
      </c>
      <c r="M57" s="857">
        <v>2.2999999999999998</v>
      </c>
      <c r="N57" s="857">
        <f>L57*M57</f>
        <v>9.1999999999999993</v>
      </c>
      <c r="O57" s="857"/>
      <c r="P57" s="857"/>
      <c r="Q57" s="857"/>
      <c r="R57" s="857">
        <f t="shared" si="2"/>
        <v>0</v>
      </c>
      <c r="S57" s="857"/>
      <c r="T57" s="857"/>
      <c r="U57" s="857"/>
      <c r="V57" s="857"/>
      <c r="W57" s="857"/>
      <c r="X57" s="857"/>
      <c r="Y57" s="857"/>
      <c r="Z57" s="559">
        <f t="shared" si="0"/>
        <v>-9.1999999999999993</v>
      </c>
      <c r="AA57" s="559">
        <f t="shared" si="1"/>
        <v>0</v>
      </c>
      <c r="AB57" s="1838"/>
      <c r="AC57" s="1823" t="s">
        <v>1665</v>
      </c>
      <c r="AF57" s="466"/>
      <c r="AG57" s="465"/>
      <c r="AH57" s="465"/>
    </row>
    <row r="58" spans="1:34" s="498" customFormat="1" ht="51" hidden="1" x14ac:dyDescent="0.25">
      <c r="A58" s="962"/>
      <c r="B58" s="506" t="s">
        <v>1705</v>
      </c>
      <c r="C58" s="499"/>
      <c r="D58" s="903"/>
      <c r="E58" s="1245" t="s">
        <v>318</v>
      </c>
      <c r="F58" s="557">
        <v>1</v>
      </c>
      <c r="G58" s="558">
        <v>2</v>
      </c>
      <c r="H58" s="559">
        <f>F58*G58</f>
        <v>2</v>
      </c>
      <c r="I58" s="857">
        <v>1</v>
      </c>
      <c r="J58" s="857">
        <v>2</v>
      </c>
      <c r="K58" s="857">
        <f>I58*J58</f>
        <v>2</v>
      </c>
      <c r="L58" s="857">
        <v>1</v>
      </c>
      <c r="M58" s="857">
        <v>2</v>
      </c>
      <c r="N58" s="857">
        <f>L58*M58</f>
        <v>2</v>
      </c>
      <c r="O58" s="857">
        <v>4</v>
      </c>
      <c r="P58" s="857">
        <v>2.2999999999999998</v>
      </c>
      <c r="Q58" s="857">
        <f>O58*P58</f>
        <v>9.1999999999999993</v>
      </c>
      <c r="R58" s="857">
        <f t="shared" si="2"/>
        <v>9.1999999999999993</v>
      </c>
      <c r="S58" s="857"/>
      <c r="T58" s="857">
        <v>4</v>
      </c>
      <c r="U58" s="857">
        <v>2.2999999999999998</v>
      </c>
      <c r="V58" s="857">
        <f>T58*U58</f>
        <v>9.1999999999999993</v>
      </c>
      <c r="W58" s="857">
        <v>4</v>
      </c>
      <c r="X58" s="857">
        <v>2.2999999999999998</v>
      </c>
      <c r="Y58" s="857">
        <f>W58*X58</f>
        <v>9.1999999999999993</v>
      </c>
      <c r="Z58" s="559">
        <f t="shared" si="0"/>
        <v>7.2</v>
      </c>
      <c r="AA58" s="559">
        <f t="shared" si="1"/>
        <v>460</v>
      </c>
      <c r="AB58" s="1838" t="s">
        <v>1706</v>
      </c>
      <c r="AC58" s="1823" t="s">
        <v>1665</v>
      </c>
      <c r="AF58" s="466"/>
      <c r="AG58" s="465"/>
      <c r="AH58" s="465"/>
    </row>
    <row r="59" spans="1:34" s="498" customFormat="1" hidden="1" x14ac:dyDescent="0.25">
      <c r="A59" s="962"/>
      <c r="B59" s="856" t="s">
        <v>842</v>
      </c>
      <c r="C59" s="499"/>
      <c r="D59" s="903"/>
      <c r="E59" s="855"/>
      <c r="F59" s="557"/>
      <c r="G59" s="558"/>
      <c r="H59" s="559">
        <f>SUM(H54:H58)*0.271</f>
        <v>6</v>
      </c>
      <c r="I59" s="857"/>
      <c r="J59" s="857"/>
      <c r="K59" s="857">
        <f>SUM(K54:K58)*0.271</f>
        <v>5.3</v>
      </c>
      <c r="L59" s="857"/>
      <c r="M59" s="857"/>
      <c r="N59" s="857">
        <f>SUM(N54:N58)*0.271</f>
        <v>5.3</v>
      </c>
      <c r="O59" s="857"/>
      <c r="P59" s="857"/>
      <c r="Q59" s="857">
        <f>SUM(Q54:Q58)*0.271</f>
        <v>4.7</v>
      </c>
      <c r="R59" s="857">
        <f t="shared" si="2"/>
        <v>4.7</v>
      </c>
      <c r="S59" s="857"/>
      <c r="T59" s="857"/>
      <c r="U59" s="857"/>
      <c r="V59" s="857">
        <f>SUM(V54:V58)*0.271</f>
        <v>4.7</v>
      </c>
      <c r="W59" s="857"/>
      <c r="X59" s="857"/>
      <c r="Y59" s="857">
        <f>SUM(Y54:Y58)*0.271</f>
        <v>4.7</v>
      </c>
      <c r="Z59" s="559">
        <f t="shared" si="0"/>
        <v>-0.6</v>
      </c>
      <c r="AA59" s="559">
        <f t="shared" si="1"/>
        <v>88.7</v>
      </c>
      <c r="AB59" s="1838"/>
      <c r="AC59" s="1823" t="s">
        <v>1665</v>
      </c>
      <c r="AF59" s="466"/>
      <c r="AG59" s="465"/>
      <c r="AH59" s="465"/>
    </row>
    <row r="60" spans="1:34" s="492" customFormat="1" ht="14.25" hidden="1" x14ac:dyDescent="0.2">
      <c r="A60" s="1240"/>
      <c r="B60" s="865" t="s">
        <v>1707</v>
      </c>
      <c r="C60" s="508" t="s">
        <v>797</v>
      </c>
      <c r="D60" s="932"/>
      <c r="E60" s="861"/>
      <c r="F60" s="828"/>
      <c r="G60" s="829"/>
      <c r="H60" s="542">
        <f>SUM(H61:H63)</f>
        <v>9.1999999999999993</v>
      </c>
      <c r="I60" s="533"/>
      <c r="J60" s="533"/>
      <c r="K60" s="533">
        <f>SUM(K61:K63)</f>
        <v>4.5999999999999996</v>
      </c>
      <c r="L60" s="533"/>
      <c r="M60" s="533"/>
      <c r="N60" s="533">
        <f>SUM(N61:N63)</f>
        <v>4.5999999999999996</v>
      </c>
      <c r="O60" s="533"/>
      <c r="P60" s="533"/>
      <c r="Q60" s="533">
        <f>SUM(Q61:Q63)</f>
        <v>10</v>
      </c>
      <c r="R60" s="533">
        <f t="shared" si="2"/>
        <v>10</v>
      </c>
      <c r="S60" s="533"/>
      <c r="T60" s="533"/>
      <c r="U60" s="533"/>
      <c r="V60" s="533">
        <f>SUM(V61:V63)</f>
        <v>10</v>
      </c>
      <c r="W60" s="533"/>
      <c r="X60" s="533"/>
      <c r="Y60" s="533">
        <f>SUM(Y61:Y63)</f>
        <v>10</v>
      </c>
      <c r="Z60" s="542">
        <f t="shared" si="0"/>
        <v>5.4</v>
      </c>
      <c r="AA60" s="542">
        <f t="shared" si="1"/>
        <v>217.4</v>
      </c>
      <c r="AB60" s="1838"/>
      <c r="AC60" s="1823" t="s">
        <v>1665</v>
      </c>
      <c r="AF60" s="466"/>
      <c r="AG60" s="466"/>
      <c r="AH60" s="466"/>
    </row>
    <row r="61" spans="1:34" s="498" customFormat="1" ht="63.75" hidden="1" x14ac:dyDescent="0.25">
      <c r="A61" s="962"/>
      <c r="B61" s="502" t="s">
        <v>1708</v>
      </c>
      <c r="C61" s="499"/>
      <c r="D61" s="903"/>
      <c r="E61" s="855" t="s">
        <v>227</v>
      </c>
      <c r="F61" s="557">
        <v>20</v>
      </c>
      <c r="G61" s="558">
        <v>0.1</v>
      </c>
      <c r="H61" s="559">
        <f>F61*G61</f>
        <v>2</v>
      </c>
      <c r="I61" s="857">
        <v>10</v>
      </c>
      <c r="J61" s="862">
        <v>0.1</v>
      </c>
      <c r="K61" s="857">
        <f>I61*J61</f>
        <v>1</v>
      </c>
      <c r="L61" s="857">
        <v>10</v>
      </c>
      <c r="M61" s="862">
        <v>0.1</v>
      </c>
      <c r="N61" s="857">
        <f>L61*M61</f>
        <v>1</v>
      </c>
      <c r="O61" s="857">
        <v>20</v>
      </c>
      <c r="P61" s="857">
        <v>0.1</v>
      </c>
      <c r="Q61" s="857">
        <f>O61*P61</f>
        <v>2</v>
      </c>
      <c r="R61" s="857">
        <f t="shared" si="2"/>
        <v>2</v>
      </c>
      <c r="S61" s="857"/>
      <c r="T61" s="857">
        <v>20</v>
      </c>
      <c r="U61" s="857">
        <v>0.1</v>
      </c>
      <c r="V61" s="857">
        <f>T61*U61</f>
        <v>2</v>
      </c>
      <c r="W61" s="857">
        <v>20</v>
      </c>
      <c r="X61" s="857">
        <v>0.1</v>
      </c>
      <c r="Y61" s="857">
        <f>W61*X61</f>
        <v>2</v>
      </c>
      <c r="Z61" s="559">
        <f t="shared" si="0"/>
        <v>1</v>
      </c>
      <c r="AA61" s="559">
        <f t="shared" si="1"/>
        <v>200</v>
      </c>
      <c r="AB61" s="900" t="s">
        <v>1694</v>
      </c>
      <c r="AC61" s="1823" t="s">
        <v>1665</v>
      </c>
      <c r="AF61" s="466"/>
      <c r="AG61" s="465"/>
      <c r="AH61" s="465"/>
    </row>
    <row r="62" spans="1:34" s="498" customFormat="1" hidden="1" x14ac:dyDescent="0.25">
      <c r="A62" s="962"/>
      <c r="B62" s="856" t="s">
        <v>1669</v>
      </c>
      <c r="C62" s="499"/>
      <c r="D62" s="962"/>
      <c r="E62" s="855" t="s">
        <v>1240</v>
      </c>
      <c r="F62" s="557">
        <v>30</v>
      </c>
      <c r="G62" s="558">
        <v>0.1</v>
      </c>
      <c r="H62" s="559">
        <f>F62*G62</f>
        <v>3</v>
      </c>
      <c r="I62" s="857">
        <v>30</v>
      </c>
      <c r="J62" s="862">
        <v>0.05</v>
      </c>
      <c r="K62" s="857">
        <f>I62*J62</f>
        <v>1.5</v>
      </c>
      <c r="L62" s="857">
        <v>30</v>
      </c>
      <c r="M62" s="862">
        <v>0.05</v>
      </c>
      <c r="N62" s="857">
        <f>L62*M62</f>
        <v>1.5</v>
      </c>
      <c r="O62" s="857">
        <v>40</v>
      </c>
      <c r="P62" s="857">
        <v>0.2</v>
      </c>
      <c r="Q62" s="857">
        <f>O62*P62</f>
        <v>8</v>
      </c>
      <c r="R62" s="857">
        <f t="shared" si="2"/>
        <v>8</v>
      </c>
      <c r="S62" s="857"/>
      <c r="T62" s="857">
        <v>40</v>
      </c>
      <c r="U62" s="857">
        <v>0.2</v>
      </c>
      <c r="V62" s="857">
        <f>T62*U62</f>
        <v>8</v>
      </c>
      <c r="W62" s="857">
        <v>40</v>
      </c>
      <c r="X62" s="857">
        <v>0.2</v>
      </c>
      <c r="Y62" s="857">
        <f>W62*X62</f>
        <v>8</v>
      </c>
      <c r="Z62" s="559">
        <f t="shared" si="0"/>
        <v>6.5</v>
      </c>
      <c r="AA62" s="559">
        <f t="shared" si="1"/>
        <v>533.29999999999995</v>
      </c>
      <c r="AB62" s="1838" t="s">
        <v>1709</v>
      </c>
      <c r="AC62" s="1823" t="s">
        <v>1665</v>
      </c>
      <c r="AF62" s="466"/>
      <c r="AG62" s="465"/>
      <c r="AH62" s="465"/>
    </row>
    <row r="63" spans="1:34" s="498" customFormat="1" hidden="1" x14ac:dyDescent="0.25">
      <c r="A63" s="962"/>
      <c r="B63" s="856" t="s">
        <v>1710</v>
      </c>
      <c r="C63" s="499"/>
      <c r="D63" s="903"/>
      <c r="E63" s="855"/>
      <c r="F63" s="557">
        <v>42</v>
      </c>
      <c r="G63" s="558">
        <v>0.1</v>
      </c>
      <c r="H63" s="559">
        <f>F63*G63</f>
        <v>4.2</v>
      </c>
      <c r="I63" s="857">
        <v>42</v>
      </c>
      <c r="J63" s="862">
        <v>0.05</v>
      </c>
      <c r="K63" s="857">
        <f>I63*J63</f>
        <v>2.1</v>
      </c>
      <c r="L63" s="857">
        <v>42</v>
      </c>
      <c r="M63" s="862">
        <v>0.05</v>
      </c>
      <c r="N63" s="857">
        <f>L63*M63</f>
        <v>2.1</v>
      </c>
      <c r="O63" s="857"/>
      <c r="P63" s="857"/>
      <c r="Q63" s="857"/>
      <c r="R63" s="857">
        <f t="shared" si="2"/>
        <v>0</v>
      </c>
      <c r="S63" s="857"/>
      <c r="T63" s="857"/>
      <c r="U63" s="857"/>
      <c r="V63" s="857"/>
      <c r="W63" s="857"/>
      <c r="X63" s="857"/>
      <c r="Y63" s="857"/>
      <c r="Z63" s="559">
        <f t="shared" si="0"/>
        <v>-2.1</v>
      </c>
      <c r="AA63" s="559">
        <f t="shared" si="1"/>
        <v>0</v>
      </c>
      <c r="AB63" s="1838"/>
      <c r="AC63" s="1823" t="s">
        <v>1665</v>
      </c>
      <c r="AF63" s="466"/>
      <c r="AG63" s="465"/>
      <c r="AH63" s="465"/>
    </row>
    <row r="64" spans="1:34" s="498" customFormat="1" ht="63.75" hidden="1" x14ac:dyDescent="0.25">
      <c r="A64" s="962"/>
      <c r="B64" s="865" t="s">
        <v>1711</v>
      </c>
      <c r="C64" s="508" t="s">
        <v>797</v>
      </c>
      <c r="D64" s="497"/>
      <c r="E64" s="497"/>
      <c r="F64" s="497"/>
      <c r="G64" s="497"/>
      <c r="H64" s="497"/>
      <c r="I64" s="497"/>
      <c r="J64" s="497"/>
      <c r="K64" s="497"/>
      <c r="L64" s="497"/>
      <c r="M64" s="497"/>
      <c r="N64" s="497"/>
      <c r="O64" s="857"/>
      <c r="P64" s="857"/>
      <c r="Q64" s="533">
        <v>12</v>
      </c>
      <c r="R64" s="533">
        <f t="shared" si="2"/>
        <v>12</v>
      </c>
      <c r="S64" s="533"/>
      <c r="T64" s="857"/>
      <c r="U64" s="857"/>
      <c r="V64" s="533">
        <v>12</v>
      </c>
      <c r="W64" s="857"/>
      <c r="X64" s="857"/>
      <c r="Y64" s="533">
        <v>12</v>
      </c>
      <c r="Z64" s="559">
        <f t="shared" si="0"/>
        <v>12</v>
      </c>
      <c r="AA64" s="559" t="str">
        <f t="shared" si="1"/>
        <v>-</v>
      </c>
      <c r="AB64" s="1838" t="s">
        <v>1712</v>
      </c>
      <c r="AC64" s="1823" t="s">
        <v>1665</v>
      </c>
      <c r="AF64" s="466"/>
      <c r="AG64" s="465"/>
      <c r="AH64" s="465"/>
    </row>
    <row r="65" spans="1:34" s="492" customFormat="1" ht="14.25" hidden="1" x14ac:dyDescent="0.2">
      <c r="A65" s="1240"/>
      <c r="B65" s="865" t="s">
        <v>1713</v>
      </c>
      <c r="C65" s="508" t="s">
        <v>796</v>
      </c>
      <c r="D65" s="932"/>
      <c r="E65" s="861"/>
      <c r="F65" s="828"/>
      <c r="G65" s="829"/>
      <c r="H65" s="542">
        <f>SUM(H66:H67)</f>
        <v>15.7</v>
      </c>
      <c r="I65" s="533"/>
      <c r="J65" s="533"/>
      <c r="K65" s="533">
        <f>SUM(K66:K67)</f>
        <v>7.8</v>
      </c>
      <c r="L65" s="533"/>
      <c r="M65" s="533"/>
      <c r="N65" s="533">
        <f>SUM(N66:N67)</f>
        <v>7.8</v>
      </c>
      <c r="O65" s="533"/>
      <c r="P65" s="533"/>
      <c r="Q65" s="533"/>
      <c r="R65" s="533">
        <f t="shared" si="2"/>
        <v>0</v>
      </c>
      <c r="S65" s="533"/>
      <c r="T65" s="533"/>
      <c r="U65" s="533"/>
      <c r="V65" s="533"/>
      <c r="W65" s="533"/>
      <c r="X65" s="533"/>
      <c r="Y65" s="533"/>
      <c r="Z65" s="542">
        <f t="shared" si="0"/>
        <v>-7.8</v>
      </c>
      <c r="AA65" s="542">
        <f t="shared" si="1"/>
        <v>0</v>
      </c>
      <c r="AB65" s="1838"/>
      <c r="AC65" s="1823" t="s">
        <v>1665</v>
      </c>
      <c r="AF65" s="466"/>
      <c r="AG65" s="466"/>
      <c r="AH65" s="466"/>
    </row>
    <row r="66" spans="1:34" s="498" customFormat="1" hidden="1" x14ac:dyDescent="0.25">
      <c r="A66" s="962"/>
      <c r="B66" s="856" t="s">
        <v>1714</v>
      </c>
      <c r="C66" s="499"/>
      <c r="D66" s="903"/>
      <c r="E66" s="1245" t="s">
        <v>227</v>
      </c>
      <c r="F66" s="557">
        <v>27</v>
      </c>
      <c r="G66" s="558">
        <v>0.1</v>
      </c>
      <c r="H66" s="559">
        <f>F66*G66</f>
        <v>2.7</v>
      </c>
      <c r="I66" s="857">
        <v>26</v>
      </c>
      <c r="J66" s="862">
        <v>0.05</v>
      </c>
      <c r="K66" s="857">
        <f>I66*J66</f>
        <v>1.3</v>
      </c>
      <c r="L66" s="857">
        <v>26</v>
      </c>
      <c r="M66" s="862">
        <v>0.05</v>
      </c>
      <c r="N66" s="857">
        <f>L66*M66</f>
        <v>1.3</v>
      </c>
      <c r="O66" s="857"/>
      <c r="P66" s="857"/>
      <c r="Q66" s="857"/>
      <c r="R66" s="857">
        <f t="shared" si="2"/>
        <v>0</v>
      </c>
      <c r="S66" s="857"/>
      <c r="T66" s="857"/>
      <c r="U66" s="857"/>
      <c r="V66" s="857"/>
      <c r="W66" s="857"/>
      <c r="X66" s="857"/>
      <c r="Y66" s="857"/>
      <c r="Z66" s="559">
        <f t="shared" si="0"/>
        <v>-1.3</v>
      </c>
      <c r="AA66" s="559">
        <f t="shared" si="1"/>
        <v>0</v>
      </c>
      <c r="AB66" s="1838"/>
      <c r="AC66" s="1823" t="s">
        <v>1665</v>
      </c>
      <c r="AF66" s="466"/>
      <c r="AG66" s="465"/>
      <c r="AH66" s="465"/>
    </row>
    <row r="67" spans="1:34" s="498" customFormat="1" hidden="1" x14ac:dyDescent="0.25">
      <c r="A67" s="962"/>
      <c r="B67" s="856" t="s">
        <v>1715</v>
      </c>
      <c r="C67" s="499"/>
      <c r="D67" s="903"/>
      <c r="E67" s="1245" t="s">
        <v>227</v>
      </c>
      <c r="F67" s="557">
        <v>26</v>
      </c>
      <c r="G67" s="558">
        <v>0.5</v>
      </c>
      <c r="H67" s="559">
        <f>F67*G67</f>
        <v>13</v>
      </c>
      <c r="I67" s="857">
        <v>26</v>
      </c>
      <c r="J67" s="862">
        <v>0.25</v>
      </c>
      <c r="K67" s="857">
        <f>I67*J67</f>
        <v>6.5</v>
      </c>
      <c r="L67" s="857">
        <v>26</v>
      </c>
      <c r="M67" s="862">
        <v>0.25</v>
      </c>
      <c r="N67" s="857">
        <f>L67*M67</f>
        <v>6.5</v>
      </c>
      <c r="O67" s="857"/>
      <c r="P67" s="857"/>
      <c r="Q67" s="857"/>
      <c r="R67" s="857">
        <f t="shared" si="2"/>
        <v>0</v>
      </c>
      <c r="S67" s="857"/>
      <c r="T67" s="857"/>
      <c r="U67" s="857"/>
      <c r="V67" s="857"/>
      <c r="W67" s="857"/>
      <c r="X67" s="857"/>
      <c r="Y67" s="857"/>
      <c r="Z67" s="559">
        <f t="shared" si="0"/>
        <v>-6.5</v>
      </c>
      <c r="AA67" s="559">
        <f t="shared" si="1"/>
        <v>0</v>
      </c>
      <c r="AB67" s="1838"/>
      <c r="AC67" s="1823" t="s">
        <v>1665</v>
      </c>
      <c r="AF67" s="466"/>
      <c r="AG67" s="465"/>
      <c r="AH67" s="465"/>
    </row>
    <row r="68" spans="1:34" s="498" customFormat="1" hidden="1" x14ac:dyDescent="0.25">
      <c r="A68" s="962"/>
      <c r="B68" s="865" t="s">
        <v>1716</v>
      </c>
      <c r="C68" s="508" t="s">
        <v>797</v>
      </c>
      <c r="D68" s="932"/>
      <c r="E68" s="861"/>
      <c r="F68" s="828"/>
      <c r="G68" s="829"/>
      <c r="H68" s="542">
        <f>SUM(H69:H69)</f>
        <v>6.3</v>
      </c>
      <c r="I68" s="533"/>
      <c r="J68" s="533"/>
      <c r="K68" s="533">
        <f>SUM(K69:K69)</f>
        <v>6.2</v>
      </c>
      <c r="L68" s="533"/>
      <c r="M68" s="533"/>
      <c r="N68" s="533">
        <f>SUM(N69:N69)</f>
        <v>6.2</v>
      </c>
      <c r="O68" s="533"/>
      <c r="P68" s="533"/>
      <c r="Q68" s="533">
        <f>SUM(Q69:Q70)</f>
        <v>8</v>
      </c>
      <c r="R68" s="533">
        <f t="shared" si="2"/>
        <v>8</v>
      </c>
      <c r="S68" s="533"/>
      <c r="T68" s="533"/>
      <c r="U68" s="533"/>
      <c r="V68" s="533">
        <f>SUM(V69:V70)</f>
        <v>8</v>
      </c>
      <c r="W68" s="533"/>
      <c r="X68" s="533"/>
      <c r="Y68" s="533">
        <f>SUM(Y69:Y70)</f>
        <v>8</v>
      </c>
      <c r="Z68" s="542">
        <f t="shared" si="0"/>
        <v>1.8</v>
      </c>
      <c r="AA68" s="542">
        <f t="shared" si="1"/>
        <v>129</v>
      </c>
      <c r="AB68" s="1838"/>
      <c r="AC68" s="1823" t="s">
        <v>1665</v>
      </c>
      <c r="AF68" s="466"/>
      <c r="AG68" s="465"/>
      <c r="AH68" s="465"/>
    </row>
    <row r="69" spans="1:34" s="492" customFormat="1" ht="25.5" hidden="1" x14ac:dyDescent="0.2">
      <c r="A69" s="1240"/>
      <c r="B69" s="856" t="s">
        <v>1717</v>
      </c>
      <c r="C69" s="499"/>
      <c r="D69" s="903"/>
      <c r="E69" s="855" t="s">
        <v>227</v>
      </c>
      <c r="F69" s="557">
        <v>210</v>
      </c>
      <c r="G69" s="558">
        <v>0.03</v>
      </c>
      <c r="H69" s="559">
        <f>F69*G69</f>
        <v>6.3</v>
      </c>
      <c r="I69" s="857">
        <v>62</v>
      </c>
      <c r="J69" s="857">
        <v>0.1</v>
      </c>
      <c r="K69" s="857">
        <f>I69*J69</f>
        <v>6.2</v>
      </c>
      <c r="L69" s="857">
        <v>62</v>
      </c>
      <c r="M69" s="857">
        <v>0.1</v>
      </c>
      <c r="N69" s="857">
        <f>L69*M69</f>
        <v>6.2</v>
      </c>
      <c r="O69" s="857">
        <v>50</v>
      </c>
      <c r="P69" s="857">
        <v>0.1</v>
      </c>
      <c r="Q69" s="857">
        <f>O69*P69</f>
        <v>5</v>
      </c>
      <c r="R69" s="857">
        <f t="shared" si="2"/>
        <v>5</v>
      </c>
      <c r="S69" s="857"/>
      <c r="T69" s="857">
        <v>50</v>
      </c>
      <c r="U69" s="857">
        <v>0.1</v>
      </c>
      <c r="V69" s="857">
        <f>T69*U69</f>
        <v>5</v>
      </c>
      <c r="W69" s="857">
        <v>50</v>
      </c>
      <c r="X69" s="857">
        <v>0.1</v>
      </c>
      <c r="Y69" s="857">
        <f>W69*X69</f>
        <v>5</v>
      </c>
      <c r="Z69" s="559">
        <f t="shared" si="0"/>
        <v>-1.2</v>
      </c>
      <c r="AA69" s="559">
        <f t="shared" si="1"/>
        <v>80.599999999999994</v>
      </c>
      <c r="AB69" s="1839" t="s">
        <v>1718</v>
      </c>
      <c r="AC69" s="1823" t="s">
        <v>1665</v>
      </c>
      <c r="AF69" s="466"/>
      <c r="AG69" s="466"/>
      <c r="AH69" s="466"/>
    </row>
    <row r="70" spans="1:34" s="498" customFormat="1" ht="51" hidden="1" x14ac:dyDescent="0.25">
      <c r="A70" s="962"/>
      <c r="B70" s="1840" t="s">
        <v>1719</v>
      </c>
      <c r="C70" s="499"/>
      <c r="D70" s="903"/>
      <c r="E70" s="855"/>
      <c r="F70" s="557"/>
      <c r="G70" s="558"/>
      <c r="H70" s="559"/>
      <c r="I70" s="857"/>
      <c r="J70" s="857"/>
      <c r="K70" s="857"/>
      <c r="L70" s="857"/>
      <c r="M70" s="857"/>
      <c r="N70" s="857"/>
      <c r="O70" s="857">
        <v>150</v>
      </c>
      <c r="P70" s="862">
        <v>0.02</v>
      </c>
      <c r="Q70" s="857">
        <f>O70*P70</f>
        <v>3</v>
      </c>
      <c r="R70" s="857">
        <f t="shared" si="2"/>
        <v>3</v>
      </c>
      <c r="S70" s="857"/>
      <c r="T70" s="857">
        <v>150</v>
      </c>
      <c r="U70" s="862">
        <v>0.02</v>
      </c>
      <c r="V70" s="857">
        <f>T70*U70</f>
        <v>3</v>
      </c>
      <c r="W70" s="857">
        <v>150</v>
      </c>
      <c r="X70" s="862">
        <v>0.02</v>
      </c>
      <c r="Y70" s="857">
        <f>W70*X70</f>
        <v>3</v>
      </c>
      <c r="Z70" s="559">
        <f t="shared" si="0"/>
        <v>3</v>
      </c>
      <c r="AA70" s="559" t="str">
        <f t="shared" si="1"/>
        <v>-</v>
      </c>
      <c r="AB70" s="1839" t="s">
        <v>1720</v>
      </c>
      <c r="AC70" s="1823" t="s">
        <v>1665</v>
      </c>
      <c r="AF70" s="466"/>
      <c r="AG70" s="465"/>
      <c r="AH70" s="465"/>
    </row>
    <row r="71" spans="1:34" s="498" customFormat="1" ht="63.75" hidden="1" x14ac:dyDescent="0.25">
      <c r="A71" s="962"/>
      <c r="B71" s="1841" t="s">
        <v>1721</v>
      </c>
      <c r="C71" s="508" t="s">
        <v>797</v>
      </c>
      <c r="D71" s="497"/>
      <c r="E71" s="497"/>
      <c r="F71" s="497"/>
      <c r="G71" s="497"/>
      <c r="H71" s="497"/>
      <c r="I71" s="497"/>
      <c r="J71" s="497"/>
      <c r="K71" s="497"/>
      <c r="L71" s="497"/>
      <c r="M71" s="497"/>
      <c r="N71" s="497"/>
      <c r="O71" s="857">
        <v>20</v>
      </c>
      <c r="P71" s="857">
        <v>0.4</v>
      </c>
      <c r="Q71" s="533">
        <f>O71*P71</f>
        <v>8</v>
      </c>
      <c r="R71" s="533">
        <f t="shared" si="2"/>
        <v>8</v>
      </c>
      <c r="S71" s="533"/>
      <c r="T71" s="857">
        <v>20</v>
      </c>
      <c r="U71" s="857">
        <v>0.4</v>
      </c>
      <c r="V71" s="533">
        <f>T71*U71</f>
        <v>8</v>
      </c>
      <c r="W71" s="857">
        <v>20</v>
      </c>
      <c r="X71" s="857">
        <v>0.4</v>
      </c>
      <c r="Y71" s="533">
        <f>W71*X71</f>
        <v>8</v>
      </c>
      <c r="Z71" s="559">
        <f t="shared" si="0"/>
        <v>8</v>
      </c>
      <c r="AA71" s="559" t="str">
        <f t="shared" si="1"/>
        <v>-</v>
      </c>
      <c r="AB71" s="1839" t="s">
        <v>1722</v>
      </c>
      <c r="AC71" s="1823" t="s">
        <v>1665</v>
      </c>
      <c r="AF71" s="466"/>
      <c r="AG71" s="465"/>
      <c r="AH71" s="465"/>
    </row>
    <row r="72" spans="1:34" s="492" customFormat="1" ht="14.25" hidden="1" x14ac:dyDescent="0.2">
      <c r="A72" s="1240"/>
      <c r="B72" s="865" t="s">
        <v>1723</v>
      </c>
      <c r="C72" s="508" t="s">
        <v>1237</v>
      </c>
      <c r="D72" s="932"/>
      <c r="E72" s="861"/>
      <c r="F72" s="828">
        <v>3</v>
      </c>
      <c r="G72" s="829">
        <v>2.5</v>
      </c>
      <c r="H72" s="542">
        <f>F72*G72</f>
        <v>7.5</v>
      </c>
      <c r="I72" s="533">
        <v>2.5</v>
      </c>
      <c r="J72" s="533">
        <v>2.5</v>
      </c>
      <c r="K72" s="533">
        <f>I72*J72</f>
        <v>6.3</v>
      </c>
      <c r="L72" s="533">
        <v>2.5</v>
      </c>
      <c r="M72" s="533">
        <v>2.5</v>
      </c>
      <c r="N72" s="533">
        <f>L72*M72</f>
        <v>6.3</v>
      </c>
      <c r="O72" s="533"/>
      <c r="P72" s="533"/>
      <c r="Q72" s="533"/>
      <c r="R72" s="533">
        <f t="shared" si="2"/>
        <v>0</v>
      </c>
      <c r="S72" s="533"/>
      <c r="T72" s="533"/>
      <c r="U72" s="533"/>
      <c r="V72" s="533"/>
      <c r="W72" s="533"/>
      <c r="X72" s="533"/>
      <c r="Y72" s="533"/>
      <c r="Z72" s="542">
        <f t="shared" si="0"/>
        <v>-6.3</v>
      </c>
      <c r="AA72" s="542">
        <f t="shared" si="1"/>
        <v>0</v>
      </c>
      <c r="AB72" s="1838"/>
      <c r="AC72" s="1823" t="s">
        <v>1665</v>
      </c>
      <c r="AF72" s="466"/>
      <c r="AG72" s="466"/>
      <c r="AH72" s="466"/>
    </row>
    <row r="73" spans="1:34" s="517" customFormat="1" ht="14.25" hidden="1" x14ac:dyDescent="0.2">
      <c r="A73" s="487"/>
      <c r="B73" s="510" t="s">
        <v>773</v>
      </c>
      <c r="C73" s="511"/>
      <c r="D73" s="487"/>
      <c r="E73" s="512"/>
      <c r="F73" s="488"/>
      <c r="G73" s="489"/>
      <c r="H73" s="513" t="e">
        <f>#REF!+H3+#REF!+H51627+H74+#REF!+#REF!+#REF!+#REF!</f>
        <v>#REF!</v>
      </c>
      <c r="I73" s="490"/>
      <c r="J73" s="490"/>
      <c r="K73" s="513">
        <f>K74</f>
        <v>229.7</v>
      </c>
      <c r="L73" s="490"/>
      <c r="M73" s="490"/>
      <c r="N73" s="513">
        <f>N74</f>
        <v>229.7</v>
      </c>
      <c r="O73" s="490"/>
      <c r="P73" s="490"/>
      <c r="Q73" s="513">
        <f>Q74</f>
        <v>463.8</v>
      </c>
      <c r="R73" s="513">
        <f t="shared" ref="R73:S73" si="4">R74</f>
        <v>230.1</v>
      </c>
      <c r="S73" s="513">
        <f t="shared" si="4"/>
        <v>233.9</v>
      </c>
      <c r="T73" s="513"/>
      <c r="U73" s="513"/>
      <c r="V73" s="513">
        <f>V74</f>
        <v>255.2</v>
      </c>
      <c r="W73" s="513"/>
      <c r="X73" s="513"/>
      <c r="Y73" s="513">
        <f>Y74</f>
        <v>255.2</v>
      </c>
      <c r="Z73" s="513">
        <f t="shared" ref="Z73:Z136" si="5">Q73-K73</f>
        <v>234.1</v>
      </c>
      <c r="AA73" s="513">
        <f t="shared" ref="AA73:AA136" si="6">IFERROR(Q73/K73*100,"-")</f>
        <v>201.9</v>
      </c>
      <c r="AB73" s="514"/>
      <c r="AC73" s="515"/>
      <c r="AD73" s="516">
        <f>Z73+[16]Стимулирование!R873+-211+225</f>
        <v>447.9</v>
      </c>
      <c r="AF73" s="518"/>
      <c r="AG73" s="519"/>
      <c r="AH73" s="519"/>
    </row>
    <row r="74" spans="1:34" s="527" customFormat="1" ht="38.25" hidden="1" x14ac:dyDescent="0.2">
      <c r="A74" s="522"/>
      <c r="B74" s="892" t="s">
        <v>1664</v>
      </c>
      <c r="C74" s="521"/>
      <c r="D74" s="522" t="s">
        <v>1444</v>
      </c>
      <c r="E74" s="522"/>
      <c r="F74" s="851"/>
      <c r="G74" s="852"/>
      <c r="H74" s="853">
        <f>H75+H85+H103+H134</f>
        <v>259.10000000000002</v>
      </c>
      <c r="I74" s="853"/>
      <c r="J74" s="853"/>
      <c r="K74" s="853">
        <f>K75+K85+K103+K134</f>
        <v>229.7</v>
      </c>
      <c r="L74" s="853"/>
      <c r="M74" s="853"/>
      <c r="N74" s="853">
        <f>N75+N85+N103+N134</f>
        <v>229.7</v>
      </c>
      <c r="O74" s="853"/>
      <c r="P74" s="853"/>
      <c r="Q74" s="853">
        <f>Q75+Q85+Q103+Q134</f>
        <v>463.8</v>
      </c>
      <c r="R74" s="853">
        <f t="shared" ref="R74:S74" si="7">R75+R85+R103+R134</f>
        <v>230.1</v>
      </c>
      <c r="S74" s="853">
        <f t="shared" si="7"/>
        <v>233.9</v>
      </c>
      <c r="T74" s="853"/>
      <c r="U74" s="853"/>
      <c r="V74" s="853">
        <f>V75+V85+V103+V134</f>
        <v>255.2</v>
      </c>
      <c r="W74" s="853"/>
      <c r="X74" s="853"/>
      <c r="Y74" s="853">
        <f>Y75+Y85+Y103+Y134</f>
        <v>255.2</v>
      </c>
      <c r="Z74" s="525">
        <f t="shared" si="5"/>
        <v>234.1</v>
      </c>
      <c r="AA74" s="853">
        <f t="shared" si="6"/>
        <v>201.9</v>
      </c>
      <c r="AB74" s="909"/>
      <c r="AC74" s="549" t="s">
        <v>1665</v>
      </c>
      <c r="AF74" s="528"/>
      <c r="AG74" s="528"/>
      <c r="AH74" s="528"/>
    </row>
    <row r="75" spans="1:34" s="871" customFormat="1" ht="14.25" hidden="1" x14ac:dyDescent="0.2">
      <c r="A75" s="869"/>
      <c r="B75" s="875" t="s">
        <v>1724</v>
      </c>
      <c r="C75" s="868"/>
      <c r="D75" s="869"/>
      <c r="E75" s="869"/>
      <c r="F75" s="879"/>
      <c r="G75" s="880"/>
      <c r="H75" s="681">
        <f>H80+H81+H83</f>
        <v>37</v>
      </c>
      <c r="I75" s="681"/>
      <c r="J75" s="681"/>
      <c r="K75" s="681">
        <f>K80+K81+K83</f>
        <v>33.5</v>
      </c>
      <c r="L75" s="681"/>
      <c r="M75" s="681"/>
      <c r="N75" s="681">
        <f>N80+N81+N83</f>
        <v>18.5</v>
      </c>
      <c r="O75" s="681"/>
      <c r="P75" s="681"/>
      <c r="Q75" s="681">
        <f>Q76+Q80+Q81+Q83</f>
        <v>32.200000000000003</v>
      </c>
      <c r="R75" s="681">
        <f t="shared" ref="R75:S75" si="8">R76+R80+R81+R83</f>
        <v>32.200000000000003</v>
      </c>
      <c r="S75" s="681">
        <f t="shared" si="8"/>
        <v>0</v>
      </c>
      <c r="T75" s="681"/>
      <c r="U75" s="681"/>
      <c r="V75" s="681">
        <f>V76+V80+V81+V83</f>
        <v>27.8</v>
      </c>
      <c r="W75" s="681"/>
      <c r="X75" s="681"/>
      <c r="Y75" s="681">
        <f>Y76+Y80+Y81+Y83</f>
        <v>27.8</v>
      </c>
      <c r="Z75" s="681">
        <f t="shared" si="5"/>
        <v>-1.3</v>
      </c>
      <c r="AA75" s="681">
        <f t="shared" si="6"/>
        <v>96.1</v>
      </c>
      <c r="AB75" s="1842"/>
      <c r="AC75" s="549" t="s">
        <v>1665</v>
      </c>
      <c r="AF75" s="872"/>
      <c r="AG75" s="872"/>
      <c r="AH75" s="872"/>
    </row>
    <row r="76" spans="1:34" s="492" customFormat="1" ht="14.25" x14ac:dyDescent="0.2">
      <c r="A76" s="1240"/>
      <c r="B76" s="876" t="s">
        <v>1233</v>
      </c>
      <c r="C76" s="501" t="s">
        <v>1230</v>
      </c>
      <c r="D76" s="1240"/>
      <c r="E76" s="1240"/>
      <c r="F76" s="530"/>
      <c r="G76" s="531"/>
      <c r="H76" s="493"/>
      <c r="I76" s="493"/>
      <c r="J76" s="493"/>
      <c r="K76" s="493"/>
      <c r="L76" s="493"/>
      <c r="M76" s="493"/>
      <c r="N76" s="493"/>
      <c r="O76" s="493"/>
      <c r="P76" s="493"/>
      <c r="Q76" s="532">
        <v>10.199999999999999</v>
      </c>
      <c r="R76" s="532">
        <f>Q76</f>
        <v>10.199999999999999</v>
      </c>
      <c r="S76" s="532"/>
      <c r="T76" s="493"/>
      <c r="U76" s="493"/>
      <c r="V76" s="532">
        <f>SUM(V77:V79)</f>
        <v>5.8</v>
      </c>
      <c r="W76" s="493"/>
      <c r="X76" s="493"/>
      <c r="Y76" s="532">
        <f>SUM(Y77:Y79)</f>
        <v>5.8</v>
      </c>
      <c r="Z76" s="493">
        <f t="shared" si="5"/>
        <v>10.199999999999999</v>
      </c>
      <c r="AA76" s="493" t="str">
        <f t="shared" si="6"/>
        <v>-</v>
      </c>
      <c r="AB76" s="921"/>
      <c r="AC76" s="549" t="s">
        <v>1665</v>
      </c>
      <c r="AF76" s="466"/>
      <c r="AG76" s="466"/>
      <c r="AH76" s="466"/>
    </row>
    <row r="77" spans="1:34" s="492" customFormat="1" ht="63.75" hidden="1" x14ac:dyDescent="0.2">
      <c r="A77" s="1240"/>
      <c r="B77" s="881" t="s">
        <v>1725</v>
      </c>
      <c r="C77" s="501"/>
      <c r="D77" s="1240"/>
      <c r="E77" s="873" t="s">
        <v>318</v>
      </c>
      <c r="F77" s="530"/>
      <c r="G77" s="531"/>
      <c r="H77" s="493"/>
      <c r="I77" s="493"/>
      <c r="J77" s="493"/>
      <c r="K77" s="493"/>
      <c r="L77" s="493"/>
      <c r="M77" s="493"/>
      <c r="N77" s="493"/>
      <c r="O77" s="496">
        <v>2</v>
      </c>
      <c r="P77" s="496">
        <v>2.2999999999999998</v>
      </c>
      <c r="Q77" s="496">
        <f>O77*P77</f>
        <v>4.5999999999999996</v>
      </c>
      <c r="R77" s="496">
        <f t="shared" ref="R77:R84" si="9">Q77</f>
        <v>4.5999999999999996</v>
      </c>
      <c r="S77" s="496"/>
      <c r="T77" s="496">
        <v>2</v>
      </c>
      <c r="U77" s="496">
        <v>2.2999999999999998</v>
      </c>
      <c r="V77" s="496">
        <f>T77*U77</f>
        <v>4.5999999999999996</v>
      </c>
      <c r="W77" s="496">
        <v>2</v>
      </c>
      <c r="X77" s="496">
        <v>2.2999999999999998</v>
      </c>
      <c r="Y77" s="496">
        <f>W77*X77</f>
        <v>4.5999999999999996</v>
      </c>
      <c r="Z77" s="493">
        <f t="shared" si="5"/>
        <v>4.5999999999999996</v>
      </c>
      <c r="AA77" s="493" t="str">
        <f t="shared" si="6"/>
        <v>-</v>
      </c>
      <c r="AB77" s="893" t="s">
        <v>1726</v>
      </c>
      <c r="AC77" s="491" t="s">
        <v>1665</v>
      </c>
      <c r="AF77" s="466"/>
      <c r="AG77" s="466"/>
      <c r="AH77" s="466"/>
    </row>
    <row r="78" spans="1:34" s="492" customFormat="1" ht="51" hidden="1" x14ac:dyDescent="0.2">
      <c r="A78" s="1240"/>
      <c r="B78" s="881" t="s">
        <v>1727</v>
      </c>
      <c r="C78" s="501"/>
      <c r="D78" s="1240"/>
      <c r="E78" s="962" t="s">
        <v>227</v>
      </c>
      <c r="F78" s="530"/>
      <c r="G78" s="531"/>
      <c r="H78" s="493"/>
      <c r="I78" s="493"/>
      <c r="J78" s="493"/>
      <c r="K78" s="493"/>
      <c r="L78" s="493"/>
      <c r="M78" s="493"/>
      <c r="N78" s="493"/>
      <c r="O78" s="496">
        <v>1</v>
      </c>
      <c r="P78" s="496">
        <v>3.5</v>
      </c>
      <c r="Q78" s="496">
        <f>O78*P78</f>
        <v>3.5</v>
      </c>
      <c r="R78" s="496">
        <f t="shared" si="9"/>
        <v>3.5</v>
      </c>
      <c r="S78" s="496"/>
      <c r="T78" s="496"/>
      <c r="U78" s="496"/>
      <c r="V78" s="496"/>
      <c r="W78" s="496"/>
      <c r="X78" s="496"/>
      <c r="Y78" s="496"/>
      <c r="Z78" s="493">
        <f t="shared" si="5"/>
        <v>3.5</v>
      </c>
      <c r="AA78" s="493" t="str">
        <f t="shared" si="6"/>
        <v>-</v>
      </c>
      <c r="AB78" s="893" t="s">
        <v>1728</v>
      </c>
      <c r="AC78" s="491" t="s">
        <v>1665</v>
      </c>
      <c r="AF78" s="466"/>
      <c r="AG78" s="466"/>
      <c r="AH78" s="466"/>
    </row>
    <row r="79" spans="1:34" s="492" customFormat="1" ht="14.25" hidden="1" x14ac:dyDescent="0.2">
      <c r="A79" s="1240"/>
      <c r="B79" s="881" t="s">
        <v>1729</v>
      </c>
      <c r="C79" s="501"/>
      <c r="D79" s="1240"/>
      <c r="E79" s="1240"/>
      <c r="F79" s="530"/>
      <c r="G79" s="531"/>
      <c r="H79" s="493"/>
      <c r="I79" s="493"/>
      <c r="J79" s="493"/>
      <c r="K79" s="493"/>
      <c r="L79" s="493"/>
      <c r="M79" s="493"/>
      <c r="N79" s="493"/>
      <c r="O79" s="496"/>
      <c r="P79" s="496"/>
      <c r="Q79" s="496">
        <f>SUM(Q77:Q78)*0.271</f>
        <v>2.2000000000000002</v>
      </c>
      <c r="R79" s="496">
        <f t="shared" si="9"/>
        <v>2.2000000000000002</v>
      </c>
      <c r="S79" s="496"/>
      <c r="T79" s="496"/>
      <c r="U79" s="496"/>
      <c r="V79" s="496">
        <f>SUM(V77)*0.271</f>
        <v>1.2</v>
      </c>
      <c r="W79" s="496"/>
      <c r="X79" s="496"/>
      <c r="Y79" s="496">
        <f>SUM(Y77)*0.271</f>
        <v>1.2</v>
      </c>
      <c r="Z79" s="493">
        <f t="shared" si="5"/>
        <v>2.2000000000000002</v>
      </c>
      <c r="AA79" s="493" t="str">
        <f t="shared" si="6"/>
        <v>-</v>
      </c>
      <c r="AB79" s="921"/>
      <c r="AC79" s="491" t="s">
        <v>1665</v>
      </c>
      <c r="AF79" s="466"/>
      <c r="AG79" s="466"/>
      <c r="AH79" s="466"/>
    </row>
    <row r="80" spans="1:34" s="492" customFormat="1" ht="14.25" hidden="1" x14ac:dyDescent="0.2">
      <c r="A80" s="1240"/>
      <c r="B80" s="876" t="s">
        <v>1730</v>
      </c>
      <c r="C80" s="501" t="s">
        <v>797</v>
      </c>
      <c r="D80" s="1240"/>
      <c r="E80" s="1240" t="s">
        <v>318</v>
      </c>
      <c r="F80" s="530">
        <v>15</v>
      </c>
      <c r="G80" s="531">
        <v>2</v>
      </c>
      <c r="H80" s="493">
        <f>F80*G80</f>
        <v>30</v>
      </c>
      <c r="I80" s="532">
        <v>15</v>
      </c>
      <c r="J80" s="532">
        <v>2</v>
      </c>
      <c r="K80" s="532">
        <f>I80*J80</f>
        <v>30</v>
      </c>
      <c r="L80" s="532">
        <v>15</v>
      </c>
      <c r="M80" s="532">
        <v>2</v>
      </c>
      <c r="N80" s="532">
        <f>L80*M80-30+15</f>
        <v>15</v>
      </c>
      <c r="O80" s="532">
        <v>15</v>
      </c>
      <c r="P80" s="532">
        <v>2</v>
      </c>
      <c r="Q80" s="532">
        <f>O80*P80-30+15</f>
        <v>15</v>
      </c>
      <c r="R80" s="532">
        <f t="shared" si="9"/>
        <v>15</v>
      </c>
      <c r="S80" s="532"/>
      <c r="T80" s="532">
        <v>15</v>
      </c>
      <c r="U80" s="532">
        <v>2</v>
      </c>
      <c r="V80" s="532">
        <f>T80*U80-30+15</f>
        <v>15</v>
      </c>
      <c r="W80" s="532">
        <v>15</v>
      </c>
      <c r="X80" s="532">
        <v>2</v>
      </c>
      <c r="Y80" s="532">
        <f>W80*X80-30+15</f>
        <v>15</v>
      </c>
      <c r="Z80" s="493">
        <f t="shared" si="5"/>
        <v>-15</v>
      </c>
      <c r="AA80" s="493">
        <f t="shared" si="6"/>
        <v>50</v>
      </c>
      <c r="AB80" s="893"/>
      <c r="AC80" s="491" t="s">
        <v>1665</v>
      </c>
      <c r="AF80" s="466"/>
      <c r="AG80" s="466"/>
      <c r="AH80" s="466"/>
    </row>
    <row r="81" spans="1:34" s="492" customFormat="1" ht="25.5" hidden="1" x14ac:dyDescent="0.2">
      <c r="A81" s="1240"/>
      <c r="B81" s="876" t="s">
        <v>1731</v>
      </c>
      <c r="C81" s="501" t="s">
        <v>797</v>
      </c>
      <c r="D81" s="1240"/>
      <c r="E81" s="1240"/>
      <c r="F81" s="530"/>
      <c r="G81" s="531"/>
      <c r="H81" s="493">
        <f>H82</f>
        <v>5.8</v>
      </c>
      <c r="I81" s="532"/>
      <c r="J81" s="532"/>
      <c r="K81" s="532">
        <f>K82</f>
        <v>2.9</v>
      </c>
      <c r="L81" s="532"/>
      <c r="M81" s="532"/>
      <c r="N81" s="532">
        <f>N82</f>
        <v>2.9</v>
      </c>
      <c r="O81" s="532"/>
      <c r="P81" s="532"/>
      <c r="Q81" s="532">
        <f>Q82</f>
        <v>6</v>
      </c>
      <c r="R81" s="532">
        <f t="shared" si="9"/>
        <v>6</v>
      </c>
      <c r="S81" s="532"/>
      <c r="T81" s="532"/>
      <c r="U81" s="532"/>
      <c r="V81" s="532">
        <f>V82</f>
        <v>6</v>
      </c>
      <c r="W81" s="532"/>
      <c r="X81" s="532"/>
      <c r="Y81" s="532">
        <f>Y82</f>
        <v>6</v>
      </c>
      <c r="Z81" s="493">
        <f t="shared" si="5"/>
        <v>3.1</v>
      </c>
      <c r="AA81" s="493">
        <f t="shared" si="6"/>
        <v>206.9</v>
      </c>
      <c r="AB81" s="893"/>
      <c r="AC81" s="491" t="s">
        <v>1665</v>
      </c>
      <c r="AF81" s="466"/>
      <c r="AG81" s="466"/>
      <c r="AH81" s="466"/>
    </row>
    <row r="82" spans="1:34" s="498" customFormat="1" ht="51" hidden="1" x14ac:dyDescent="0.25">
      <c r="A82" s="962"/>
      <c r="B82" s="881" t="s">
        <v>1669</v>
      </c>
      <c r="C82" s="503"/>
      <c r="D82" s="962"/>
      <c r="E82" s="962" t="s">
        <v>227</v>
      </c>
      <c r="F82" s="494">
        <v>58</v>
      </c>
      <c r="G82" s="495">
        <v>0.1</v>
      </c>
      <c r="H82" s="1245">
        <f>F82*G82</f>
        <v>5.8</v>
      </c>
      <c r="I82" s="496">
        <v>58</v>
      </c>
      <c r="J82" s="862">
        <v>0.05</v>
      </c>
      <c r="K82" s="496">
        <f>I82*J82</f>
        <v>2.9</v>
      </c>
      <c r="L82" s="496">
        <v>58</v>
      </c>
      <c r="M82" s="862">
        <v>0.05</v>
      </c>
      <c r="N82" s="496">
        <f>L82*M82</f>
        <v>2.9</v>
      </c>
      <c r="O82" s="496">
        <v>30</v>
      </c>
      <c r="P82" s="857">
        <v>0.2</v>
      </c>
      <c r="Q82" s="496">
        <f>O82*P82</f>
        <v>6</v>
      </c>
      <c r="R82" s="496">
        <f t="shared" si="9"/>
        <v>6</v>
      </c>
      <c r="S82" s="496"/>
      <c r="T82" s="496">
        <v>30</v>
      </c>
      <c r="U82" s="857">
        <v>0.2</v>
      </c>
      <c r="V82" s="496">
        <f>T82*U82</f>
        <v>6</v>
      </c>
      <c r="W82" s="496">
        <v>30</v>
      </c>
      <c r="X82" s="857">
        <v>0.2</v>
      </c>
      <c r="Y82" s="496">
        <f>W82*X82</f>
        <v>6</v>
      </c>
      <c r="Z82" s="1245">
        <f t="shared" si="5"/>
        <v>3.1</v>
      </c>
      <c r="AA82" s="1245">
        <f t="shared" si="6"/>
        <v>206.9</v>
      </c>
      <c r="AB82" s="901" t="s">
        <v>1732</v>
      </c>
      <c r="AC82" s="491" t="s">
        <v>1665</v>
      </c>
      <c r="AF82" s="466"/>
      <c r="AG82" s="465"/>
      <c r="AH82" s="465"/>
    </row>
    <row r="83" spans="1:34" s="492" customFormat="1" ht="14.25" hidden="1" x14ac:dyDescent="0.2">
      <c r="A83" s="1240"/>
      <c r="B83" s="876" t="s">
        <v>1733</v>
      </c>
      <c r="C83" s="501" t="s">
        <v>797</v>
      </c>
      <c r="D83" s="1240"/>
      <c r="E83" s="1240"/>
      <c r="F83" s="530"/>
      <c r="G83" s="531"/>
      <c r="H83" s="493">
        <f>H84</f>
        <v>1.2</v>
      </c>
      <c r="I83" s="532"/>
      <c r="J83" s="532"/>
      <c r="K83" s="532">
        <f>K84</f>
        <v>0.6</v>
      </c>
      <c r="L83" s="532"/>
      <c r="M83" s="532"/>
      <c r="N83" s="532">
        <f>N84</f>
        <v>0.6</v>
      </c>
      <c r="O83" s="532"/>
      <c r="P83" s="532"/>
      <c r="Q83" s="532">
        <f>Q84</f>
        <v>1</v>
      </c>
      <c r="R83" s="532">
        <f t="shared" si="9"/>
        <v>1</v>
      </c>
      <c r="S83" s="532"/>
      <c r="T83" s="532"/>
      <c r="U83" s="532"/>
      <c r="V83" s="532">
        <f>V84</f>
        <v>1</v>
      </c>
      <c r="W83" s="532"/>
      <c r="X83" s="532"/>
      <c r="Y83" s="532">
        <f>Y84</f>
        <v>1</v>
      </c>
      <c r="Z83" s="493">
        <f t="shared" si="5"/>
        <v>0.4</v>
      </c>
      <c r="AA83" s="493">
        <f t="shared" si="6"/>
        <v>166.7</v>
      </c>
      <c r="AB83" s="893"/>
      <c r="AC83" s="491" t="s">
        <v>1665</v>
      </c>
      <c r="AF83" s="466"/>
      <c r="AG83" s="466"/>
      <c r="AH83" s="466"/>
    </row>
    <row r="84" spans="1:34" s="498" customFormat="1" ht="26.25" hidden="1" x14ac:dyDescent="0.25">
      <c r="A84" s="962"/>
      <c r="B84" s="502" t="s">
        <v>1734</v>
      </c>
      <c r="C84" s="503"/>
      <c r="D84" s="962"/>
      <c r="E84" s="962" t="s">
        <v>227</v>
      </c>
      <c r="F84" s="494">
        <v>12</v>
      </c>
      <c r="G84" s="495">
        <v>0.1</v>
      </c>
      <c r="H84" s="1245">
        <f>F84*G84</f>
        <v>1.2</v>
      </c>
      <c r="I84" s="496">
        <v>6</v>
      </c>
      <c r="J84" s="862">
        <v>0.1</v>
      </c>
      <c r="K84" s="496">
        <f>I84*J84</f>
        <v>0.6</v>
      </c>
      <c r="L84" s="496">
        <v>6</v>
      </c>
      <c r="M84" s="862">
        <v>0.1</v>
      </c>
      <c r="N84" s="496">
        <f>L84*M84</f>
        <v>0.6</v>
      </c>
      <c r="O84" s="496">
        <v>10</v>
      </c>
      <c r="P84" s="857">
        <v>0.1</v>
      </c>
      <c r="Q84" s="496">
        <f>O84*P84</f>
        <v>1</v>
      </c>
      <c r="R84" s="496">
        <f t="shared" si="9"/>
        <v>1</v>
      </c>
      <c r="S84" s="496"/>
      <c r="T84" s="496">
        <v>10</v>
      </c>
      <c r="U84" s="857">
        <v>0.1</v>
      </c>
      <c r="V84" s="496">
        <f>T84*U84</f>
        <v>1</v>
      </c>
      <c r="W84" s="496">
        <v>10</v>
      </c>
      <c r="X84" s="857">
        <v>0.1</v>
      </c>
      <c r="Y84" s="496">
        <f>W84*X84</f>
        <v>1</v>
      </c>
      <c r="Z84" s="1245">
        <f t="shared" si="5"/>
        <v>0.4</v>
      </c>
      <c r="AA84" s="1245">
        <f t="shared" si="6"/>
        <v>166.7</v>
      </c>
      <c r="AB84" s="893" t="s">
        <v>1735</v>
      </c>
      <c r="AC84" s="491" t="s">
        <v>1665</v>
      </c>
      <c r="AF84" s="466"/>
      <c r="AG84" s="465"/>
      <c r="AH84" s="465"/>
    </row>
    <row r="85" spans="1:34" s="871" customFormat="1" ht="25.5" hidden="1" x14ac:dyDescent="0.2">
      <c r="A85" s="869"/>
      <c r="B85" s="875" t="s">
        <v>1736</v>
      </c>
      <c r="C85" s="868"/>
      <c r="D85" s="869"/>
      <c r="E85" s="869"/>
      <c r="F85" s="879"/>
      <c r="G85" s="880"/>
      <c r="H85" s="681">
        <f>H86+H91+H96+H95+H97+H98</f>
        <v>162.19999999999999</v>
      </c>
      <c r="I85" s="681"/>
      <c r="J85" s="1843"/>
      <c r="K85" s="681">
        <f>K86+K91+K96+K95+K97+K98</f>
        <v>138.5</v>
      </c>
      <c r="L85" s="681"/>
      <c r="M85" s="1843"/>
      <c r="N85" s="681">
        <f>N86+N91+N96+N95+N97+N98</f>
        <v>153.5</v>
      </c>
      <c r="O85" s="681"/>
      <c r="P85" s="681"/>
      <c r="Q85" s="681">
        <f>Q86+Q91+Q96+Q95+Q97+Q98</f>
        <v>186.9</v>
      </c>
      <c r="R85" s="681">
        <f>R86+R91+R96+R95+R97+R98</f>
        <v>141.30000000000001</v>
      </c>
      <c r="S85" s="681">
        <f>S86+S91+S96+S95+S97+S98</f>
        <v>45.6</v>
      </c>
      <c r="T85" s="681"/>
      <c r="U85" s="681"/>
      <c r="V85" s="681">
        <f>V86+V91+V96+V95+V97+V98</f>
        <v>146.30000000000001</v>
      </c>
      <c r="W85" s="681"/>
      <c r="X85" s="681"/>
      <c r="Y85" s="681">
        <f>Y86+Y91+Y96+Y95+Y97+Y98</f>
        <v>146.30000000000001</v>
      </c>
      <c r="Z85" s="681">
        <f t="shared" si="5"/>
        <v>48.4</v>
      </c>
      <c r="AA85" s="681">
        <f t="shared" si="6"/>
        <v>134.9</v>
      </c>
      <c r="AB85" s="1842"/>
      <c r="AC85" s="491" t="s">
        <v>1665</v>
      </c>
      <c r="AF85" s="872"/>
      <c r="AG85" s="872"/>
      <c r="AH85" s="872"/>
    </row>
    <row r="86" spans="1:34" s="492" customFormat="1" ht="14.25" x14ac:dyDescent="0.2">
      <c r="A86" s="1240"/>
      <c r="B86" s="876" t="s">
        <v>1233</v>
      </c>
      <c r="C86" s="501" t="s">
        <v>1230</v>
      </c>
      <c r="D86" s="1240"/>
      <c r="E86" s="1240"/>
      <c r="F86" s="530"/>
      <c r="G86" s="531"/>
      <c r="H86" s="542">
        <f>SUM(H87:H90)</f>
        <v>10.3</v>
      </c>
      <c r="I86" s="532"/>
      <c r="J86" s="532"/>
      <c r="K86" s="533">
        <f>SUM(K87:K90)</f>
        <v>10.3</v>
      </c>
      <c r="L86" s="532"/>
      <c r="M86" s="532"/>
      <c r="N86" s="533">
        <f>SUM(N87:N90)</f>
        <v>10.3</v>
      </c>
      <c r="O86" s="532"/>
      <c r="P86" s="532"/>
      <c r="Q86" s="533">
        <v>17.5</v>
      </c>
      <c r="R86" s="533">
        <v>17.5</v>
      </c>
      <c r="S86" s="533">
        <f t="shared" ref="S86" si="10">SUM(S87:S90)</f>
        <v>0</v>
      </c>
      <c r="T86" s="532"/>
      <c r="U86" s="532"/>
      <c r="V86" s="533">
        <f>SUM(V87:V90)</f>
        <v>16.100000000000001</v>
      </c>
      <c r="W86" s="532"/>
      <c r="X86" s="532"/>
      <c r="Y86" s="533">
        <f>SUM(Y87:Y90)</f>
        <v>16.100000000000001</v>
      </c>
      <c r="Z86" s="542">
        <f t="shared" si="5"/>
        <v>7.2</v>
      </c>
      <c r="AA86" s="542">
        <f t="shared" si="6"/>
        <v>169.9</v>
      </c>
      <c r="AB86" s="893"/>
      <c r="AC86" s="491" t="s">
        <v>1665</v>
      </c>
      <c r="AF86" s="466"/>
      <c r="AG86" s="466"/>
      <c r="AH86" s="466"/>
    </row>
    <row r="87" spans="1:34" s="498" customFormat="1" hidden="1" x14ac:dyDescent="0.25">
      <c r="A87" s="962"/>
      <c r="B87" s="881" t="s">
        <v>1737</v>
      </c>
      <c r="C87" s="503"/>
      <c r="D87" s="962"/>
      <c r="E87" s="962" t="s">
        <v>318</v>
      </c>
      <c r="F87" s="494">
        <v>1</v>
      </c>
      <c r="G87" s="495">
        <v>3.5</v>
      </c>
      <c r="H87" s="559">
        <f>F87*G87</f>
        <v>3.5</v>
      </c>
      <c r="I87" s="496">
        <v>1</v>
      </c>
      <c r="J87" s="496">
        <v>3.5</v>
      </c>
      <c r="K87" s="857">
        <f>I87*J87</f>
        <v>3.5</v>
      </c>
      <c r="L87" s="496">
        <v>1</v>
      </c>
      <c r="M87" s="496">
        <v>3.5</v>
      </c>
      <c r="N87" s="857">
        <f>L87*M87</f>
        <v>3.5</v>
      </c>
      <c r="O87" s="496">
        <v>1</v>
      </c>
      <c r="P87" s="496">
        <v>3.5</v>
      </c>
      <c r="Q87" s="857">
        <f>O87*P87</f>
        <v>3.5</v>
      </c>
      <c r="R87" s="857">
        <f>Q87</f>
        <v>3.5</v>
      </c>
      <c r="S87" s="857"/>
      <c r="T87" s="496">
        <v>1</v>
      </c>
      <c r="U87" s="496">
        <v>3.5</v>
      </c>
      <c r="V87" s="857">
        <f>T87*U87</f>
        <v>3.5</v>
      </c>
      <c r="W87" s="496">
        <v>1</v>
      </c>
      <c r="X87" s="496">
        <v>3.5</v>
      </c>
      <c r="Y87" s="857">
        <f>W87*X87</f>
        <v>3.5</v>
      </c>
      <c r="Z87" s="559">
        <f t="shared" si="5"/>
        <v>0</v>
      </c>
      <c r="AA87" s="559">
        <f t="shared" si="6"/>
        <v>100</v>
      </c>
      <c r="AB87" s="893"/>
      <c r="AC87" s="491" t="s">
        <v>1665</v>
      </c>
      <c r="AF87" s="466"/>
      <c r="AG87" s="465"/>
      <c r="AH87" s="465"/>
    </row>
    <row r="88" spans="1:34" s="498" customFormat="1" ht="51.75" hidden="1" x14ac:dyDescent="0.25">
      <c r="A88" s="962"/>
      <c r="B88" s="881" t="s">
        <v>1738</v>
      </c>
      <c r="C88" s="503"/>
      <c r="D88" s="962"/>
      <c r="E88" s="962" t="s">
        <v>318</v>
      </c>
      <c r="F88" s="494"/>
      <c r="G88" s="495"/>
      <c r="H88" s="559"/>
      <c r="I88" s="496"/>
      <c r="J88" s="496"/>
      <c r="K88" s="857"/>
      <c r="L88" s="496"/>
      <c r="M88" s="496"/>
      <c r="N88" s="857"/>
      <c r="O88" s="496">
        <v>1</v>
      </c>
      <c r="P88" s="496">
        <v>5.8</v>
      </c>
      <c r="Q88" s="857">
        <f>O88*P88</f>
        <v>5.8</v>
      </c>
      <c r="R88" s="857">
        <f>Q88</f>
        <v>5.8</v>
      </c>
      <c r="S88" s="857"/>
      <c r="T88" s="496">
        <v>1</v>
      </c>
      <c r="U88" s="496">
        <v>4.5999999999999996</v>
      </c>
      <c r="V88" s="857">
        <f>T88*U88</f>
        <v>4.5999999999999996</v>
      </c>
      <c r="W88" s="496">
        <v>1</v>
      </c>
      <c r="X88" s="496">
        <v>4.5999999999999996</v>
      </c>
      <c r="Y88" s="857">
        <f>W88*X88</f>
        <v>4.5999999999999996</v>
      </c>
      <c r="Z88" s="559">
        <f t="shared" si="5"/>
        <v>5.8</v>
      </c>
      <c r="AA88" s="559" t="str">
        <f t="shared" si="6"/>
        <v>-</v>
      </c>
      <c r="AB88" s="893" t="s">
        <v>1739</v>
      </c>
      <c r="AC88" s="491" t="s">
        <v>1665</v>
      </c>
      <c r="AF88" s="466"/>
      <c r="AG88" s="465"/>
      <c r="AH88" s="465"/>
    </row>
    <row r="89" spans="1:34" s="498" customFormat="1" hidden="1" x14ac:dyDescent="0.25">
      <c r="A89" s="962"/>
      <c r="B89" s="881" t="s">
        <v>1740</v>
      </c>
      <c r="C89" s="503"/>
      <c r="D89" s="962"/>
      <c r="E89" s="962" t="s">
        <v>318</v>
      </c>
      <c r="F89" s="494">
        <v>2</v>
      </c>
      <c r="G89" s="495">
        <v>2.2999999999999998</v>
      </c>
      <c r="H89" s="559">
        <f>F89*G89</f>
        <v>4.5999999999999996</v>
      </c>
      <c r="I89" s="496">
        <v>2</v>
      </c>
      <c r="J89" s="496">
        <v>2.2999999999999998</v>
      </c>
      <c r="K89" s="857">
        <f>I89*J89</f>
        <v>4.5999999999999996</v>
      </c>
      <c r="L89" s="496">
        <v>2</v>
      </c>
      <c r="M89" s="496">
        <v>2.2999999999999998</v>
      </c>
      <c r="N89" s="857">
        <f>L89*M89</f>
        <v>4.5999999999999996</v>
      </c>
      <c r="O89" s="496">
        <v>2</v>
      </c>
      <c r="P89" s="496">
        <v>2.2999999999999998</v>
      </c>
      <c r="Q89" s="857">
        <f>O89*P89</f>
        <v>4.5999999999999996</v>
      </c>
      <c r="R89" s="857">
        <f>Q89</f>
        <v>4.5999999999999996</v>
      </c>
      <c r="S89" s="857"/>
      <c r="T89" s="496">
        <v>2</v>
      </c>
      <c r="U89" s="496">
        <v>2.2999999999999998</v>
      </c>
      <c r="V89" s="857">
        <f>T89*U89</f>
        <v>4.5999999999999996</v>
      </c>
      <c r="W89" s="496">
        <v>2</v>
      </c>
      <c r="X89" s="496">
        <v>2.2999999999999998</v>
      </c>
      <c r="Y89" s="857">
        <f>W89*X89</f>
        <v>4.5999999999999996</v>
      </c>
      <c r="Z89" s="559">
        <f t="shared" si="5"/>
        <v>0</v>
      </c>
      <c r="AA89" s="559">
        <f t="shared" si="6"/>
        <v>100</v>
      </c>
      <c r="AB89" s="893"/>
      <c r="AC89" s="491" t="s">
        <v>1665</v>
      </c>
      <c r="AF89" s="466"/>
      <c r="AG89" s="465"/>
      <c r="AH89" s="465"/>
    </row>
    <row r="90" spans="1:34" s="498" customFormat="1" hidden="1" x14ac:dyDescent="0.25">
      <c r="A90" s="962"/>
      <c r="B90" s="881" t="s">
        <v>1729</v>
      </c>
      <c r="C90" s="503"/>
      <c r="D90" s="962"/>
      <c r="E90" s="962"/>
      <c r="F90" s="494"/>
      <c r="G90" s="495"/>
      <c r="H90" s="1245">
        <f>SUM(H87:H89)*0.271</f>
        <v>2.2000000000000002</v>
      </c>
      <c r="I90" s="496"/>
      <c r="J90" s="496"/>
      <c r="K90" s="496">
        <f>SUM(K87:K89)*0.271</f>
        <v>2.2000000000000002</v>
      </c>
      <c r="L90" s="496"/>
      <c r="M90" s="496"/>
      <c r="N90" s="496">
        <f>SUM(N87:N89)*0.271</f>
        <v>2.2000000000000002</v>
      </c>
      <c r="O90" s="496"/>
      <c r="P90" s="496"/>
      <c r="Q90" s="496">
        <f>SUM(Q87:Q89)*0.271</f>
        <v>3.8</v>
      </c>
      <c r="R90" s="496">
        <f t="shared" ref="R90:S90" si="11">SUM(R87:R89)*0.271</f>
        <v>3.8</v>
      </c>
      <c r="S90" s="496">
        <f t="shared" si="11"/>
        <v>0</v>
      </c>
      <c r="T90" s="496"/>
      <c r="U90" s="496"/>
      <c r="V90" s="496">
        <f>SUM(V87:V89)*0.271</f>
        <v>3.4</v>
      </c>
      <c r="W90" s="496"/>
      <c r="X90" s="496"/>
      <c r="Y90" s="496">
        <f>SUM(Y87:Y89)*0.271</f>
        <v>3.4</v>
      </c>
      <c r="Z90" s="1245">
        <f t="shared" si="5"/>
        <v>1.6</v>
      </c>
      <c r="AA90" s="1245">
        <f t="shared" si="6"/>
        <v>172.7</v>
      </c>
      <c r="AB90" s="921"/>
      <c r="AC90" s="491" t="s">
        <v>1665</v>
      </c>
      <c r="AF90" s="466"/>
      <c r="AG90" s="465"/>
      <c r="AH90" s="465"/>
    </row>
    <row r="91" spans="1:34" s="492" customFormat="1" ht="14.25" hidden="1" x14ac:dyDescent="0.2">
      <c r="A91" s="1240"/>
      <c r="B91" s="876" t="s">
        <v>1741</v>
      </c>
      <c r="C91" s="501" t="s">
        <v>797</v>
      </c>
      <c r="D91" s="1240"/>
      <c r="E91" s="1240"/>
      <c r="F91" s="530"/>
      <c r="G91" s="531"/>
      <c r="H91" s="542">
        <f>SUM(H92:H94)</f>
        <v>4.4000000000000004</v>
      </c>
      <c r="I91" s="532"/>
      <c r="J91" s="532"/>
      <c r="K91" s="533">
        <f>SUM(K92:K94)</f>
        <v>1.2</v>
      </c>
      <c r="L91" s="532"/>
      <c r="M91" s="532"/>
      <c r="N91" s="533">
        <f>SUM(N92:N94)</f>
        <v>1.2</v>
      </c>
      <c r="O91" s="532"/>
      <c r="P91" s="532"/>
      <c r="Q91" s="533">
        <f>SUM(Q92:Q94)</f>
        <v>22.2</v>
      </c>
      <c r="R91" s="533">
        <f>SUM(R92:R94)</f>
        <v>0</v>
      </c>
      <c r="S91" s="533">
        <f>SUM(S92:S94)</f>
        <v>22.2</v>
      </c>
      <c r="T91" s="532"/>
      <c r="U91" s="532"/>
      <c r="V91" s="533">
        <f>SUM(V92:V94)</f>
        <v>4.2</v>
      </c>
      <c r="W91" s="532"/>
      <c r="X91" s="532"/>
      <c r="Y91" s="533">
        <f>SUM(Y92:Y94)</f>
        <v>4.2</v>
      </c>
      <c r="Z91" s="542">
        <f t="shared" si="5"/>
        <v>21</v>
      </c>
      <c r="AA91" s="542">
        <f t="shared" si="6"/>
        <v>1850</v>
      </c>
      <c r="AB91" s="921"/>
      <c r="AC91" s="491" t="s">
        <v>1665</v>
      </c>
      <c r="AF91" s="466"/>
      <c r="AG91" s="466"/>
      <c r="AH91" s="466"/>
    </row>
    <row r="92" spans="1:34" s="498" customFormat="1" hidden="1" x14ac:dyDescent="0.25">
      <c r="A92" s="962"/>
      <c r="B92" s="502" t="s">
        <v>1742</v>
      </c>
      <c r="C92" s="499"/>
      <c r="D92" s="962"/>
      <c r="E92" s="962" t="s">
        <v>227</v>
      </c>
      <c r="F92" s="494">
        <v>26</v>
      </c>
      <c r="G92" s="495">
        <v>0.1</v>
      </c>
      <c r="H92" s="559">
        <f>F92*G92</f>
        <v>2.6</v>
      </c>
      <c r="I92" s="496">
        <v>12</v>
      </c>
      <c r="J92" s="862">
        <v>0.1</v>
      </c>
      <c r="K92" s="857">
        <f>I92*J92</f>
        <v>1.2</v>
      </c>
      <c r="L92" s="496">
        <v>12</v>
      </c>
      <c r="M92" s="862">
        <v>0.1</v>
      </c>
      <c r="N92" s="857">
        <f>L92*M92</f>
        <v>1.2</v>
      </c>
      <c r="O92" s="496">
        <v>10</v>
      </c>
      <c r="P92" s="857">
        <v>0.1</v>
      </c>
      <c r="Q92" s="857">
        <f>O92*P92</f>
        <v>1</v>
      </c>
      <c r="R92" s="857"/>
      <c r="S92" s="857">
        <v>1</v>
      </c>
      <c r="T92" s="496">
        <v>10</v>
      </c>
      <c r="U92" s="857">
        <v>0.1</v>
      </c>
      <c r="V92" s="857">
        <f t="shared" ref="V92:V97" si="12">T92*U92</f>
        <v>1</v>
      </c>
      <c r="W92" s="496">
        <v>10</v>
      </c>
      <c r="X92" s="857">
        <v>0.1</v>
      </c>
      <c r="Y92" s="857">
        <f t="shared" ref="Y92:Y97" si="13">W92*X92</f>
        <v>1</v>
      </c>
      <c r="Z92" s="559">
        <f t="shared" si="5"/>
        <v>-0.2</v>
      </c>
      <c r="AA92" s="559">
        <f t="shared" si="6"/>
        <v>83.3</v>
      </c>
      <c r="AB92" s="893"/>
      <c r="AC92" s="491" t="s">
        <v>1665</v>
      </c>
      <c r="AF92" s="466"/>
      <c r="AG92" s="465"/>
      <c r="AH92" s="465"/>
    </row>
    <row r="93" spans="1:34" s="498" customFormat="1" ht="39" hidden="1" x14ac:dyDescent="0.25">
      <c r="A93" s="962"/>
      <c r="B93" s="502" t="s">
        <v>1743</v>
      </c>
      <c r="C93" s="499"/>
      <c r="D93" s="962"/>
      <c r="E93" s="962" t="s">
        <v>1238</v>
      </c>
      <c r="F93" s="494"/>
      <c r="G93" s="495"/>
      <c r="H93" s="559"/>
      <c r="I93" s="496"/>
      <c r="J93" s="862"/>
      <c r="K93" s="857"/>
      <c r="L93" s="496"/>
      <c r="M93" s="862"/>
      <c r="N93" s="857"/>
      <c r="O93" s="496">
        <v>20</v>
      </c>
      <c r="P93" s="857">
        <v>0.9</v>
      </c>
      <c r="Q93" s="857">
        <f>O93*P93</f>
        <v>18</v>
      </c>
      <c r="R93" s="857"/>
      <c r="S93" s="857">
        <f>Q93-R93</f>
        <v>18</v>
      </c>
      <c r="T93" s="496"/>
      <c r="U93" s="857"/>
      <c r="V93" s="857">
        <f t="shared" si="12"/>
        <v>0</v>
      </c>
      <c r="W93" s="496"/>
      <c r="X93" s="857"/>
      <c r="Y93" s="857">
        <f t="shared" si="13"/>
        <v>0</v>
      </c>
      <c r="Z93" s="559">
        <f t="shared" si="5"/>
        <v>18</v>
      </c>
      <c r="AA93" s="559" t="str">
        <f t="shared" si="6"/>
        <v>-</v>
      </c>
      <c r="AB93" s="1844" t="s">
        <v>1744</v>
      </c>
      <c r="AC93" s="491" t="s">
        <v>1665</v>
      </c>
      <c r="AF93" s="466"/>
      <c r="AG93" s="465"/>
      <c r="AH93" s="465"/>
    </row>
    <row r="94" spans="1:34" s="498" customFormat="1" hidden="1" x14ac:dyDescent="0.25">
      <c r="A94" s="962"/>
      <c r="B94" s="878" t="s">
        <v>1692</v>
      </c>
      <c r="C94" s="499"/>
      <c r="D94" s="962"/>
      <c r="E94" s="962" t="s">
        <v>227</v>
      </c>
      <c r="F94" s="494">
        <v>6</v>
      </c>
      <c r="G94" s="495">
        <v>0.3</v>
      </c>
      <c r="H94" s="559">
        <f>F94*G94</f>
        <v>1.8</v>
      </c>
      <c r="I94" s="496"/>
      <c r="J94" s="496"/>
      <c r="K94" s="857">
        <f>I94*J94</f>
        <v>0</v>
      </c>
      <c r="L94" s="496"/>
      <c r="M94" s="496"/>
      <c r="N94" s="857">
        <f>L94*M94</f>
        <v>0</v>
      </c>
      <c r="O94" s="496">
        <v>8</v>
      </c>
      <c r="P94" s="496">
        <v>0.4</v>
      </c>
      <c r="Q94" s="857">
        <f>O94*P94</f>
        <v>3.2</v>
      </c>
      <c r="R94" s="857"/>
      <c r="S94" s="857">
        <f>Q94</f>
        <v>3.2</v>
      </c>
      <c r="T94" s="496">
        <v>8</v>
      </c>
      <c r="U94" s="496">
        <v>0.4</v>
      </c>
      <c r="V94" s="857">
        <f t="shared" si="12"/>
        <v>3.2</v>
      </c>
      <c r="W94" s="496">
        <v>8</v>
      </c>
      <c r="X94" s="496">
        <v>0.4</v>
      </c>
      <c r="Y94" s="857">
        <f t="shared" si="13"/>
        <v>3.2</v>
      </c>
      <c r="Z94" s="559">
        <f t="shared" si="5"/>
        <v>3.2</v>
      </c>
      <c r="AA94" s="559" t="str">
        <f t="shared" si="6"/>
        <v>-</v>
      </c>
      <c r="AB94" s="1845"/>
      <c r="AC94" s="491" t="s">
        <v>1665</v>
      </c>
      <c r="AF94" s="466"/>
      <c r="AG94" s="465"/>
      <c r="AH94" s="465"/>
    </row>
    <row r="95" spans="1:34" s="492" customFormat="1" ht="38.25" hidden="1" x14ac:dyDescent="0.2">
      <c r="A95" s="1240"/>
      <c r="B95" s="877" t="s">
        <v>1745</v>
      </c>
      <c r="C95" s="508" t="s">
        <v>796</v>
      </c>
      <c r="D95" s="1240"/>
      <c r="E95" s="1240" t="s">
        <v>1235</v>
      </c>
      <c r="F95" s="530">
        <v>12</v>
      </c>
      <c r="G95" s="1846">
        <v>0.5</v>
      </c>
      <c r="H95" s="542">
        <f>F95*G95</f>
        <v>6</v>
      </c>
      <c r="I95" s="532">
        <v>15</v>
      </c>
      <c r="J95" s="1847">
        <v>0.4</v>
      </c>
      <c r="K95" s="533">
        <f>I95*J95</f>
        <v>6</v>
      </c>
      <c r="L95" s="532">
        <v>15</v>
      </c>
      <c r="M95" s="1847">
        <v>0.4</v>
      </c>
      <c r="N95" s="533">
        <f>L95*M95</f>
        <v>6</v>
      </c>
      <c r="O95" s="532"/>
      <c r="P95" s="1847"/>
      <c r="Q95" s="533"/>
      <c r="R95" s="533"/>
      <c r="S95" s="533"/>
      <c r="T95" s="532"/>
      <c r="U95" s="1847"/>
      <c r="V95" s="533"/>
      <c r="W95" s="532"/>
      <c r="X95" s="1847"/>
      <c r="Y95" s="533"/>
      <c r="Z95" s="542">
        <f t="shared" si="5"/>
        <v>-6</v>
      </c>
      <c r="AA95" s="542">
        <f t="shared" si="6"/>
        <v>0</v>
      </c>
      <c r="AB95" s="893" t="s">
        <v>1746</v>
      </c>
      <c r="AC95" s="491" t="s">
        <v>1665</v>
      </c>
      <c r="AF95" s="466"/>
      <c r="AG95" s="466"/>
      <c r="AH95" s="466"/>
    </row>
    <row r="96" spans="1:34" s="492" customFormat="1" ht="14.25" hidden="1" x14ac:dyDescent="0.2">
      <c r="A96" s="1240"/>
      <c r="B96" s="876" t="s">
        <v>1246</v>
      </c>
      <c r="C96" s="501" t="s">
        <v>1237</v>
      </c>
      <c r="D96" s="1240"/>
      <c r="E96" s="1240" t="s">
        <v>664</v>
      </c>
      <c r="F96" s="1848">
        <v>2</v>
      </c>
      <c r="G96" s="1830">
        <v>2.5</v>
      </c>
      <c r="H96" s="542">
        <f>F96*G96</f>
        <v>5</v>
      </c>
      <c r="I96" s="1849">
        <v>2</v>
      </c>
      <c r="J96" s="1831">
        <v>2.5</v>
      </c>
      <c r="K96" s="533">
        <f>I96*J96</f>
        <v>5</v>
      </c>
      <c r="L96" s="1849">
        <v>2</v>
      </c>
      <c r="M96" s="1831">
        <v>2.5</v>
      </c>
      <c r="N96" s="533">
        <f>L96*M96</f>
        <v>5</v>
      </c>
      <c r="O96" s="1849">
        <v>2</v>
      </c>
      <c r="P96" s="1831">
        <v>2.5</v>
      </c>
      <c r="Q96" s="533">
        <f>O96*P96</f>
        <v>5</v>
      </c>
      <c r="R96" s="533">
        <f>Q96</f>
        <v>5</v>
      </c>
      <c r="S96" s="533"/>
      <c r="T96" s="1849">
        <v>2</v>
      </c>
      <c r="U96" s="1831">
        <v>2.5</v>
      </c>
      <c r="V96" s="533">
        <f t="shared" si="12"/>
        <v>5</v>
      </c>
      <c r="W96" s="1849">
        <v>2</v>
      </c>
      <c r="X96" s="1831">
        <v>2.5</v>
      </c>
      <c r="Y96" s="533">
        <f t="shared" si="13"/>
        <v>5</v>
      </c>
      <c r="Z96" s="542">
        <f t="shared" si="5"/>
        <v>0</v>
      </c>
      <c r="AA96" s="542">
        <f t="shared" si="6"/>
        <v>100</v>
      </c>
      <c r="AB96" s="893"/>
      <c r="AC96" s="491" t="s">
        <v>1665</v>
      </c>
      <c r="AF96" s="466"/>
      <c r="AG96" s="466"/>
      <c r="AH96" s="466"/>
    </row>
    <row r="97" spans="1:34" s="492" customFormat="1" ht="14.25" hidden="1" x14ac:dyDescent="0.2">
      <c r="A97" s="1240"/>
      <c r="B97" s="876" t="s">
        <v>1367</v>
      </c>
      <c r="C97" s="501" t="s">
        <v>797</v>
      </c>
      <c r="D97" s="1240"/>
      <c r="E97" s="1240" t="s">
        <v>227</v>
      </c>
      <c r="F97" s="1848">
        <v>3</v>
      </c>
      <c r="G97" s="1830">
        <v>35</v>
      </c>
      <c r="H97" s="542">
        <f>F97*G97</f>
        <v>105</v>
      </c>
      <c r="I97" s="1849">
        <v>3</v>
      </c>
      <c r="J97" s="1831">
        <v>35</v>
      </c>
      <c r="K97" s="533">
        <f>I97*J97</f>
        <v>105</v>
      </c>
      <c r="L97" s="1849">
        <v>3</v>
      </c>
      <c r="M97" s="1831">
        <v>35</v>
      </c>
      <c r="N97" s="533">
        <f>L97*M97</f>
        <v>105</v>
      </c>
      <c r="O97" s="1849">
        <v>3</v>
      </c>
      <c r="P97" s="1831">
        <v>35</v>
      </c>
      <c r="Q97" s="533">
        <f>O97*P97</f>
        <v>105</v>
      </c>
      <c r="R97" s="533">
        <f>Q97</f>
        <v>105</v>
      </c>
      <c r="S97" s="533"/>
      <c r="T97" s="1849">
        <v>3</v>
      </c>
      <c r="U97" s="1831">
        <v>35</v>
      </c>
      <c r="V97" s="533">
        <f t="shared" si="12"/>
        <v>105</v>
      </c>
      <c r="W97" s="1849">
        <v>3</v>
      </c>
      <c r="X97" s="1831">
        <v>35</v>
      </c>
      <c r="Y97" s="533">
        <f t="shared" si="13"/>
        <v>105</v>
      </c>
      <c r="Z97" s="542">
        <f t="shared" si="5"/>
        <v>0</v>
      </c>
      <c r="AA97" s="542">
        <f t="shared" si="6"/>
        <v>100</v>
      </c>
      <c r="AB97" s="893"/>
      <c r="AC97" s="491" t="s">
        <v>1665</v>
      </c>
      <c r="AF97" s="466"/>
      <c r="AG97" s="466"/>
      <c r="AH97" s="466"/>
    </row>
    <row r="98" spans="1:34" s="492" customFormat="1" ht="25.5" hidden="1" x14ac:dyDescent="0.2">
      <c r="A98" s="1240"/>
      <c r="B98" s="877" t="s">
        <v>1747</v>
      </c>
      <c r="C98" s="508" t="s">
        <v>797</v>
      </c>
      <c r="D98" s="1240"/>
      <c r="E98" s="1240"/>
      <c r="F98" s="1848"/>
      <c r="G98" s="1830"/>
      <c r="H98" s="493">
        <f>H99+H102</f>
        <v>31.5</v>
      </c>
      <c r="I98" s="1849"/>
      <c r="J98" s="1831"/>
      <c r="K98" s="532">
        <f>K99+K102</f>
        <v>11</v>
      </c>
      <c r="L98" s="1849"/>
      <c r="M98" s="1831"/>
      <c r="N98" s="532">
        <f>N99+N102</f>
        <v>26</v>
      </c>
      <c r="O98" s="1849"/>
      <c r="P98" s="1831"/>
      <c r="Q98" s="532">
        <f>SUM(Q99:Q102)</f>
        <v>37.200000000000003</v>
      </c>
      <c r="R98" s="532">
        <f t="shared" ref="R98:S98" si="14">SUM(R99:R102)</f>
        <v>13.8</v>
      </c>
      <c r="S98" s="532">
        <f t="shared" si="14"/>
        <v>23.4</v>
      </c>
      <c r="T98" s="1849"/>
      <c r="U98" s="1831"/>
      <c r="V98" s="532">
        <f>SUM(V99:V102)</f>
        <v>16</v>
      </c>
      <c r="W98" s="1849"/>
      <c r="X98" s="1831"/>
      <c r="Y98" s="532">
        <f>SUM(Y99:Y102)</f>
        <v>16</v>
      </c>
      <c r="Z98" s="493">
        <f t="shared" si="5"/>
        <v>26.2</v>
      </c>
      <c r="AA98" s="493">
        <f t="shared" si="6"/>
        <v>338.2</v>
      </c>
      <c r="AB98" s="921"/>
      <c r="AC98" s="491" t="s">
        <v>1665</v>
      </c>
      <c r="AF98" s="466"/>
      <c r="AG98" s="466"/>
      <c r="AH98" s="466"/>
    </row>
    <row r="99" spans="1:34" s="498" customFormat="1" hidden="1" x14ac:dyDescent="0.25">
      <c r="A99" s="962"/>
      <c r="B99" s="1850" t="s">
        <v>1748</v>
      </c>
      <c r="C99" s="499"/>
      <c r="D99" s="962"/>
      <c r="E99" s="962" t="s">
        <v>227</v>
      </c>
      <c r="F99" s="494">
        <v>210</v>
      </c>
      <c r="G99" s="495">
        <v>0.12</v>
      </c>
      <c r="H99" s="1851">
        <f>F99*G99</f>
        <v>25.2</v>
      </c>
      <c r="I99" s="496">
        <v>220</v>
      </c>
      <c r="J99" s="883">
        <v>0.05</v>
      </c>
      <c r="K99" s="1852">
        <f>I99*J99</f>
        <v>11</v>
      </c>
      <c r="L99" s="496">
        <v>220</v>
      </c>
      <c r="M99" s="883">
        <v>0.05</v>
      </c>
      <c r="N99" s="1852">
        <f>L99*M99</f>
        <v>11</v>
      </c>
      <c r="O99" s="496"/>
      <c r="P99" s="496"/>
      <c r="Q99" s="1852"/>
      <c r="R99" s="1852"/>
      <c r="S99" s="1852"/>
      <c r="T99" s="496"/>
      <c r="U99" s="496"/>
      <c r="V99" s="1852"/>
      <c r="W99" s="496"/>
      <c r="X99" s="496"/>
      <c r="Y99" s="1852"/>
      <c r="Z99" s="1851">
        <f t="shared" si="5"/>
        <v>-11</v>
      </c>
      <c r="AA99" s="1851">
        <f t="shared" si="6"/>
        <v>0</v>
      </c>
      <c r="AB99" s="893"/>
      <c r="AC99" s="491" t="s">
        <v>1665</v>
      </c>
      <c r="AF99" s="466"/>
      <c r="AG99" s="465"/>
      <c r="AH99" s="465"/>
    </row>
    <row r="100" spans="1:34" s="498" customFormat="1" ht="25.5" hidden="1" x14ac:dyDescent="0.25">
      <c r="A100" s="962"/>
      <c r="B100" s="1850" t="s">
        <v>1689</v>
      </c>
      <c r="C100" s="499"/>
      <c r="D100" s="962"/>
      <c r="E100" s="541" t="s">
        <v>1238</v>
      </c>
      <c r="F100" s="494"/>
      <c r="G100" s="495"/>
      <c r="H100" s="1851"/>
      <c r="I100" s="496"/>
      <c r="J100" s="883"/>
      <c r="K100" s="1852"/>
      <c r="L100" s="496"/>
      <c r="M100" s="883"/>
      <c r="N100" s="1852"/>
      <c r="O100" s="496">
        <v>4</v>
      </c>
      <c r="P100" s="496">
        <v>2</v>
      </c>
      <c r="Q100" s="1852">
        <f>O100*P100</f>
        <v>8</v>
      </c>
      <c r="R100" s="1852"/>
      <c r="S100" s="1852">
        <f>Q100</f>
        <v>8</v>
      </c>
      <c r="T100" s="496">
        <v>4</v>
      </c>
      <c r="U100" s="496">
        <v>2</v>
      </c>
      <c r="V100" s="1852"/>
      <c r="W100" s="496">
        <v>4</v>
      </c>
      <c r="X100" s="496">
        <v>2</v>
      </c>
      <c r="Y100" s="1852"/>
      <c r="Z100" s="1851">
        <f t="shared" si="5"/>
        <v>8</v>
      </c>
      <c r="AA100" s="1851" t="str">
        <f t="shared" si="6"/>
        <v>-</v>
      </c>
      <c r="AB100" s="1853" t="s">
        <v>1749</v>
      </c>
      <c r="AC100" s="491" t="s">
        <v>1665</v>
      </c>
      <c r="AF100" s="466"/>
      <c r="AG100" s="465"/>
      <c r="AH100" s="465"/>
    </row>
    <row r="101" spans="1:34" s="498" customFormat="1" hidden="1" x14ac:dyDescent="0.25">
      <c r="A101" s="962"/>
      <c r="B101" s="1850" t="s">
        <v>1750</v>
      </c>
      <c r="C101" s="499"/>
      <c r="D101" s="962"/>
      <c r="E101" s="541" t="s">
        <v>1238</v>
      </c>
      <c r="F101" s="494"/>
      <c r="G101" s="495"/>
      <c r="H101" s="1851"/>
      <c r="I101" s="496"/>
      <c r="J101" s="883"/>
      <c r="K101" s="1852"/>
      <c r="L101" s="496"/>
      <c r="M101" s="883"/>
      <c r="N101" s="1852"/>
      <c r="O101" s="496">
        <v>6</v>
      </c>
      <c r="P101" s="496">
        <v>2.2000000000000002</v>
      </c>
      <c r="Q101" s="1852">
        <f>O101*P101</f>
        <v>13.2</v>
      </c>
      <c r="R101" s="1852"/>
      <c r="S101" s="1852">
        <f>Q101</f>
        <v>13.2</v>
      </c>
      <c r="T101" s="496"/>
      <c r="U101" s="496"/>
      <c r="V101" s="1852"/>
      <c r="W101" s="496"/>
      <c r="X101" s="496"/>
      <c r="Y101" s="1852"/>
      <c r="Z101" s="1851">
        <f t="shared" si="5"/>
        <v>13.2</v>
      </c>
      <c r="AA101" s="1851" t="str">
        <f t="shared" si="6"/>
        <v>-</v>
      </c>
      <c r="AB101" s="1854"/>
      <c r="AC101" s="491" t="s">
        <v>1665</v>
      </c>
      <c r="AF101" s="466"/>
      <c r="AG101" s="465"/>
      <c r="AH101" s="465"/>
    </row>
    <row r="102" spans="1:34" s="498" customFormat="1" ht="64.5" hidden="1" x14ac:dyDescent="0.25">
      <c r="A102" s="962"/>
      <c r="B102" s="1855" t="s">
        <v>1751</v>
      </c>
      <c r="C102" s="499"/>
      <c r="D102" s="962"/>
      <c r="E102" s="962" t="s">
        <v>1240</v>
      </c>
      <c r="F102" s="494">
        <v>1</v>
      </c>
      <c r="G102" s="495">
        <v>6.3</v>
      </c>
      <c r="H102" s="1851">
        <f>F102*G102</f>
        <v>6.3</v>
      </c>
      <c r="I102" s="496"/>
      <c r="J102" s="496"/>
      <c r="K102" s="1852">
        <f>I102*J102</f>
        <v>0</v>
      </c>
      <c r="L102" s="496"/>
      <c r="M102" s="496"/>
      <c r="N102" s="1852">
        <v>15</v>
      </c>
      <c r="O102" s="496">
        <v>2</v>
      </c>
      <c r="P102" s="496">
        <v>8</v>
      </c>
      <c r="Q102" s="1852">
        <f>O102*P102</f>
        <v>16</v>
      </c>
      <c r="R102" s="1852">
        <f>11+2.8</f>
        <v>13.8</v>
      </c>
      <c r="S102" s="1852">
        <f>Q102-R102</f>
        <v>2.2000000000000002</v>
      </c>
      <c r="T102" s="496">
        <v>2</v>
      </c>
      <c r="U102" s="496">
        <v>8</v>
      </c>
      <c r="V102" s="1852">
        <f>T102*U102</f>
        <v>16</v>
      </c>
      <c r="W102" s="496">
        <v>2</v>
      </c>
      <c r="X102" s="496">
        <v>8</v>
      </c>
      <c r="Y102" s="1852">
        <f>W102*X102</f>
        <v>16</v>
      </c>
      <c r="Z102" s="1851">
        <f t="shared" si="5"/>
        <v>16</v>
      </c>
      <c r="AA102" s="1851" t="str">
        <f t="shared" si="6"/>
        <v>-</v>
      </c>
      <c r="AB102" s="893" t="s">
        <v>1752</v>
      </c>
      <c r="AC102" s="491" t="s">
        <v>1665</v>
      </c>
      <c r="AF102" s="466"/>
      <c r="AG102" s="465"/>
      <c r="AH102" s="465"/>
    </row>
    <row r="103" spans="1:34" s="871" customFormat="1" ht="14.25" hidden="1" x14ac:dyDescent="0.2">
      <c r="A103" s="869"/>
      <c r="B103" s="1856" t="s">
        <v>1753</v>
      </c>
      <c r="C103" s="1857"/>
      <c r="D103" s="869"/>
      <c r="E103" s="869"/>
      <c r="F103" s="1858"/>
      <c r="G103" s="1859"/>
      <c r="H103" s="681">
        <f>H104+H114+H115+H118+H119+H120</f>
        <v>59.9</v>
      </c>
      <c r="I103" s="1860"/>
      <c r="J103" s="888"/>
      <c r="K103" s="681">
        <f>K104+K114+K115+K118+K119+K120</f>
        <v>57.7</v>
      </c>
      <c r="L103" s="1860"/>
      <c r="M103" s="888"/>
      <c r="N103" s="681">
        <f>N104+N114+N115+N118+N119+N120</f>
        <v>57.7</v>
      </c>
      <c r="O103" s="1860"/>
      <c r="P103" s="888"/>
      <c r="Q103" s="681">
        <f>Q104+Q114+Q115+Q118+Q119+Q120+Q126+Q125</f>
        <v>169.6</v>
      </c>
      <c r="R103" s="681">
        <f t="shared" ref="R103" si="15">R104+R114+R115+R118+R119+R120+R126+R125</f>
        <v>56.6</v>
      </c>
      <c r="S103" s="681">
        <f>S104+S114+S115+S118+S119+S120+S126+S125</f>
        <v>113.2</v>
      </c>
      <c r="T103" s="1860"/>
      <c r="U103" s="888"/>
      <c r="V103" s="681">
        <f>V104+V114+V115+V118+V119+V120+V126</f>
        <v>81.099999999999994</v>
      </c>
      <c r="W103" s="1860"/>
      <c r="X103" s="888"/>
      <c r="Y103" s="681">
        <f>Y104+Y114+Y115+Y118+Y119+Y120+Y126</f>
        <v>81.099999999999994</v>
      </c>
      <c r="Z103" s="681">
        <f t="shared" si="5"/>
        <v>111.9</v>
      </c>
      <c r="AA103" s="681">
        <f t="shared" si="6"/>
        <v>293.89999999999998</v>
      </c>
      <c r="AB103" s="896"/>
      <c r="AC103" s="920" t="s">
        <v>1665</v>
      </c>
      <c r="AF103" s="872"/>
      <c r="AG103" s="872"/>
      <c r="AH103" s="872"/>
    </row>
    <row r="104" spans="1:34" s="492" customFormat="1" ht="14.25" x14ac:dyDescent="0.2">
      <c r="A104" s="1240"/>
      <c r="B104" s="1861" t="s">
        <v>1233</v>
      </c>
      <c r="C104" s="508" t="s">
        <v>1230</v>
      </c>
      <c r="D104" s="1240"/>
      <c r="E104" s="1240"/>
      <c r="F104" s="530"/>
      <c r="G104" s="531"/>
      <c r="H104" s="542">
        <f>SUM(H105:H113)</f>
        <v>26.1</v>
      </c>
      <c r="I104" s="532"/>
      <c r="J104" s="532"/>
      <c r="K104" s="533">
        <f>SUM(K105:K113)</f>
        <v>25.8</v>
      </c>
      <c r="L104" s="532"/>
      <c r="M104" s="532"/>
      <c r="N104" s="533">
        <f>SUM(N105:N113)</f>
        <v>25.8</v>
      </c>
      <c r="O104" s="532"/>
      <c r="P104" s="532"/>
      <c r="Q104" s="533">
        <v>47.5</v>
      </c>
      <c r="R104" s="533">
        <v>37.299999999999997</v>
      </c>
      <c r="S104" s="533">
        <f t="shared" ref="S104" si="16">SUM(S105:S113)</f>
        <v>10.4</v>
      </c>
      <c r="T104" s="532"/>
      <c r="U104" s="532"/>
      <c r="V104" s="533">
        <f>SUM(V105:V113)</f>
        <v>43.1</v>
      </c>
      <c r="W104" s="532"/>
      <c r="X104" s="532"/>
      <c r="Y104" s="533">
        <f>SUM(Y105:Y113)</f>
        <v>43.1</v>
      </c>
      <c r="Z104" s="542">
        <f t="shared" si="5"/>
        <v>21.7</v>
      </c>
      <c r="AA104" s="542">
        <f t="shared" si="6"/>
        <v>184.1</v>
      </c>
      <c r="AB104" s="893"/>
      <c r="AC104" s="491" t="s">
        <v>1665</v>
      </c>
      <c r="AF104" s="466"/>
      <c r="AG104" s="466"/>
      <c r="AH104" s="466"/>
    </row>
    <row r="105" spans="1:34" s="498" customFormat="1" hidden="1" x14ac:dyDescent="0.25">
      <c r="A105" s="962"/>
      <c r="B105" s="1862" t="s">
        <v>1737</v>
      </c>
      <c r="C105" s="499"/>
      <c r="D105" s="962"/>
      <c r="E105" s="962" t="s">
        <v>318</v>
      </c>
      <c r="F105" s="494">
        <v>1</v>
      </c>
      <c r="G105" s="495">
        <v>3.5</v>
      </c>
      <c r="H105" s="559">
        <f>F105*G105</f>
        <v>3.5</v>
      </c>
      <c r="I105" s="496">
        <v>1</v>
      </c>
      <c r="J105" s="496">
        <v>3.5</v>
      </c>
      <c r="K105" s="857">
        <f>I105*J105</f>
        <v>3.5</v>
      </c>
      <c r="L105" s="496">
        <v>1</v>
      </c>
      <c r="M105" s="496">
        <v>3.5</v>
      </c>
      <c r="N105" s="857">
        <f>L105*M105</f>
        <v>3.5</v>
      </c>
      <c r="O105" s="496">
        <v>1</v>
      </c>
      <c r="P105" s="496">
        <v>3.5</v>
      </c>
      <c r="Q105" s="857">
        <f t="shared" ref="Q105:Q111" si="17">O105*P105</f>
        <v>3.5</v>
      </c>
      <c r="R105" s="857">
        <f>K105</f>
        <v>3.5</v>
      </c>
      <c r="S105" s="857">
        <f>Q105-R105</f>
        <v>0</v>
      </c>
      <c r="T105" s="496">
        <v>1</v>
      </c>
      <c r="U105" s="496">
        <v>3.5</v>
      </c>
      <c r="V105" s="857">
        <f>T105*U105</f>
        <v>3.5</v>
      </c>
      <c r="W105" s="496">
        <v>1</v>
      </c>
      <c r="X105" s="496">
        <v>3.5</v>
      </c>
      <c r="Y105" s="857">
        <f>W105*X105</f>
        <v>3.5</v>
      </c>
      <c r="Z105" s="559">
        <f t="shared" si="5"/>
        <v>0</v>
      </c>
      <c r="AA105" s="559">
        <f t="shared" si="6"/>
        <v>100</v>
      </c>
      <c r="AB105" s="893"/>
      <c r="AC105" s="491" t="s">
        <v>1665</v>
      </c>
      <c r="AF105" s="466"/>
      <c r="AG105" s="465"/>
      <c r="AH105" s="465"/>
    </row>
    <row r="106" spans="1:34" s="498" customFormat="1" hidden="1" x14ac:dyDescent="0.25">
      <c r="A106" s="962"/>
      <c r="B106" s="1862" t="s">
        <v>1754</v>
      </c>
      <c r="C106" s="499"/>
      <c r="D106" s="962"/>
      <c r="E106" s="962" t="s">
        <v>318</v>
      </c>
      <c r="F106" s="494">
        <v>2</v>
      </c>
      <c r="G106" s="495">
        <v>2.2999999999999998</v>
      </c>
      <c r="H106" s="559">
        <f>F106*G106</f>
        <v>4.5999999999999996</v>
      </c>
      <c r="I106" s="496">
        <v>2</v>
      </c>
      <c r="J106" s="496">
        <v>2.2999999999999998</v>
      </c>
      <c r="K106" s="857">
        <f t="shared" ref="K106:K112" si="18">I106*J106</f>
        <v>4.5999999999999996</v>
      </c>
      <c r="L106" s="496">
        <v>2</v>
      </c>
      <c r="M106" s="496">
        <v>2.2999999999999998</v>
      </c>
      <c r="N106" s="857">
        <f t="shared" ref="N106:N112" si="19">L106*M106</f>
        <v>4.5999999999999996</v>
      </c>
      <c r="O106" s="496">
        <v>2</v>
      </c>
      <c r="P106" s="496">
        <v>2.2999999999999998</v>
      </c>
      <c r="Q106" s="857">
        <f t="shared" si="17"/>
        <v>4.5999999999999996</v>
      </c>
      <c r="R106" s="857">
        <f t="shared" ref="R106:R107" si="20">K106</f>
        <v>4.5999999999999996</v>
      </c>
      <c r="S106" s="857">
        <f t="shared" ref="S106:S112" si="21">Q106-R106</f>
        <v>0</v>
      </c>
      <c r="T106" s="496">
        <v>2</v>
      </c>
      <c r="U106" s="496">
        <v>2.2999999999999998</v>
      </c>
      <c r="V106" s="857">
        <f>T106*U106</f>
        <v>4.5999999999999996</v>
      </c>
      <c r="W106" s="496">
        <v>2</v>
      </c>
      <c r="X106" s="496">
        <v>2.2999999999999998</v>
      </c>
      <c r="Y106" s="857">
        <f>W106*X106</f>
        <v>4.5999999999999996</v>
      </c>
      <c r="Z106" s="559">
        <f t="shared" si="5"/>
        <v>0</v>
      </c>
      <c r="AA106" s="559">
        <f t="shared" si="6"/>
        <v>100</v>
      </c>
      <c r="AB106" s="893"/>
      <c r="AC106" s="491" t="s">
        <v>1665</v>
      </c>
      <c r="AF106" s="466"/>
      <c r="AG106" s="465"/>
      <c r="AH106" s="465"/>
    </row>
    <row r="107" spans="1:34" s="498" customFormat="1" ht="127.5" hidden="1" x14ac:dyDescent="0.25">
      <c r="A107" s="962"/>
      <c r="B107" s="1855" t="s">
        <v>1755</v>
      </c>
      <c r="C107" s="499"/>
      <c r="D107" s="962"/>
      <c r="E107" s="962" t="s">
        <v>318</v>
      </c>
      <c r="F107" s="494">
        <v>6</v>
      </c>
      <c r="G107" s="495">
        <v>1.73</v>
      </c>
      <c r="H107" s="559">
        <f>F107*G107</f>
        <v>10.4</v>
      </c>
      <c r="I107" s="496">
        <v>6</v>
      </c>
      <c r="J107" s="496">
        <v>1.7</v>
      </c>
      <c r="K107" s="857">
        <f t="shared" si="18"/>
        <v>10.199999999999999</v>
      </c>
      <c r="L107" s="496">
        <v>6</v>
      </c>
      <c r="M107" s="496">
        <v>1.7</v>
      </c>
      <c r="N107" s="857">
        <f t="shared" si="19"/>
        <v>10.199999999999999</v>
      </c>
      <c r="O107" s="496">
        <v>6</v>
      </c>
      <c r="P107" s="496">
        <v>2.2999999999999998</v>
      </c>
      <c r="Q107" s="857">
        <f t="shared" si="17"/>
        <v>13.8</v>
      </c>
      <c r="R107" s="857">
        <f t="shared" si="20"/>
        <v>10.199999999999999</v>
      </c>
      <c r="S107" s="857">
        <f t="shared" si="21"/>
        <v>3.6</v>
      </c>
      <c r="T107" s="496">
        <v>6</v>
      </c>
      <c r="U107" s="496">
        <v>1.7</v>
      </c>
      <c r="V107" s="857">
        <f>T107*U107</f>
        <v>10.199999999999999</v>
      </c>
      <c r="W107" s="496">
        <v>6</v>
      </c>
      <c r="X107" s="496">
        <v>1.7</v>
      </c>
      <c r="Y107" s="857">
        <f>W107*X107</f>
        <v>10.199999999999999</v>
      </c>
      <c r="Z107" s="559">
        <f t="shared" si="5"/>
        <v>3.6</v>
      </c>
      <c r="AA107" s="559">
        <f t="shared" si="6"/>
        <v>135.30000000000001</v>
      </c>
      <c r="AB107" s="1863" t="s">
        <v>1756</v>
      </c>
      <c r="AC107" s="491" t="s">
        <v>1665</v>
      </c>
      <c r="AF107" s="466"/>
      <c r="AG107" s="465"/>
      <c r="AH107" s="465"/>
    </row>
    <row r="108" spans="1:34" s="498" customFormat="1" ht="39.75" hidden="1" customHeight="1" x14ac:dyDescent="0.25">
      <c r="A108" s="962"/>
      <c r="B108" s="1855" t="s">
        <v>1757</v>
      </c>
      <c r="C108" s="499"/>
      <c r="D108" s="962"/>
      <c r="E108" s="541" t="s">
        <v>318</v>
      </c>
      <c r="F108" s="494"/>
      <c r="G108" s="495"/>
      <c r="H108" s="559"/>
      <c r="I108" s="496"/>
      <c r="J108" s="496"/>
      <c r="K108" s="857"/>
      <c r="L108" s="496"/>
      <c r="M108" s="496"/>
      <c r="N108" s="857"/>
      <c r="O108" s="496">
        <v>1</v>
      </c>
      <c r="P108" s="496">
        <v>3.5</v>
      </c>
      <c r="Q108" s="857">
        <f t="shared" si="17"/>
        <v>3.5</v>
      </c>
      <c r="R108" s="857">
        <f>Q108</f>
        <v>3.5</v>
      </c>
      <c r="S108" s="857"/>
      <c r="T108" s="496">
        <v>1</v>
      </c>
      <c r="U108" s="496">
        <v>3.5</v>
      </c>
      <c r="V108" s="857">
        <f t="shared" ref="V108:V109" si="22">T108*U108</f>
        <v>3.5</v>
      </c>
      <c r="W108" s="496">
        <v>1</v>
      </c>
      <c r="X108" s="496">
        <v>3.5</v>
      </c>
      <c r="Y108" s="857">
        <f t="shared" ref="Y108:Y109" si="23">W108*X108</f>
        <v>3.5</v>
      </c>
      <c r="Z108" s="559">
        <f t="shared" si="5"/>
        <v>3.5</v>
      </c>
      <c r="AA108" s="559" t="str">
        <f t="shared" si="6"/>
        <v>-</v>
      </c>
      <c r="AB108" s="1863" t="s">
        <v>1758</v>
      </c>
      <c r="AC108" s="491" t="s">
        <v>1665</v>
      </c>
      <c r="AF108" s="466"/>
      <c r="AG108" s="465"/>
      <c r="AH108" s="465"/>
    </row>
    <row r="109" spans="1:34" s="498" customFormat="1" ht="34.5" hidden="1" customHeight="1" x14ac:dyDescent="0.25">
      <c r="A109" s="962"/>
      <c r="B109" s="1855" t="s">
        <v>1759</v>
      </c>
      <c r="C109" s="499"/>
      <c r="D109" s="962"/>
      <c r="E109" s="541" t="s">
        <v>318</v>
      </c>
      <c r="F109" s="494"/>
      <c r="G109" s="495"/>
      <c r="H109" s="559"/>
      <c r="I109" s="496"/>
      <c r="J109" s="496"/>
      <c r="K109" s="857"/>
      <c r="L109" s="496"/>
      <c r="M109" s="496"/>
      <c r="N109" s="857"/>
      <c r="O109" s="496">
        <v>1</v>
      </c>
      <c r="P109" s="496">
        <v>3.5</v>
      </c>
      <c r="Q109" s="857">
        <f t="shared" si="17"/>
        <v>3.5</v>
      </c>
      <c r="R109" s="857">
        <f>Q109</f>
        <v>3.5</v>
      </c>
      <c r="S109" s="857"/>
      <c r="T109" s="496">
        <v>1</v>
      </c>
      <c r="U109" s="496">
        <v>3.5</v>
      </c>
      <c r="V109" s="857">
        <f t="shared" si="22"/>
        <v>3.5</v>
      </c>
      <c r="W109" s="496">
        <v>1</v>
      </c>
      <c r="X109" s="496">
        <v>3.5</v>
      </c>
      <c r="Y109" s="857">
        <f t="shared" si="23"/>
        <v>3.5</v>
      </c>
      <c r="Z109" s="559">
        <f t="shared" si="5"/>
        <v>3.5</v>
      </c>
      <c r="AA109" s="559" t="str">
        <f t="shared" si="6"/>
        <v>-</v>
      </c>
      <c r="AB109" s="1863" t="s">
        <v>1760</v>
      </c>
      <c r="AC109" s="491" t="s">
        <v>1665</v>
      </c>
      <c r="AF109" s="466"/>
      <c r="AG109" s="465"/>
      <c r="AH109" s="465"/>
    </row>
    <row r="110" spans="1:34" s="498" customFormat="1" ht="25.5" hidden="1" x14ac:dyDescent="0.25">
      <c r="A110" s="962"/>
      <c r="B110" s="1855" t="s">
        <v>1761</v>
      </c>
      <c r="C110" s="499"/>
      <c r="D110" s="962"/>
      <c r="E110" s="541" t="s">
        <v>1762</v>
      </c>
      <c r="F110" s="494"/>
      <c r="G110" s="495"/>
      <c r="H110" s="559"/>
      <c r="I110" s="496"/>
      <c r="J110" s="496"/>
      <c r="K110" s="857"/>
      <c r="L110" s="496"/>
      <c r="M110" s="496"/>
      <c r="N110" s="857"/>
      <c r="O110" s="496">
        <v>2</v>
      </c>
      <c r="P110" s="496">
        <v>2.2999999999999998</v>
      </c>
      <c r="Q110" s="857">
        <f t="shared" si="17"/>
        <v>4.5999999999999996</v>
      </c>
      <c r="R110" s="857"/>
      <c r="S110" s="857">
        <f>Q110</f>
        <v>4.5999999999999996</v>
      </c>
      <c r="T110" s="496">
        <v>2</v>
      </c>
      <c r="U110" s="496">
        <v>2.2999999999999998</v>
      </c>
      <c r="V110" s="857">
        <f>T110*U110</f>
        <v>4.5999999999999996</v>
      </c>
      <c r="W110" s="496">
        <v>2</v>
      </c>
      <c r="X110" s="496">
        <v>2.2999999999999998</v>
      </c>
      <c r="Y110" s="857">
        <f>W110*X110</f>
        <v>4.5999999999999996</v>
      </c>
      <c r="Z110" s="559">
        <f t="shared" si="5"/>
        <v>4.5999999999999996</v>
      </c>
      <c r="AA110" s="559" t="str">
        <f t="shared" si="6"/>
        <v>-</v>
      </c>
      <c r="AB110" s="1863" t="s">
        <v>1763</v>
      </c>
      <c r="AC110" s="491" t="s">
        <v>1665</v>
      </c>
      <c r="AF110" s="466"/>
      <c r="AG110" s="465"/>
      <c r="AH110" s="465"/>
    </row>
    <row r="111" spans="1:34" s="498" customFormat="1" ht="77.25" hidden="1" x14ac:dyDescent="0.25">
      <c r="A111" s="962"/>
      <c r="B111" s="551" t="s">
        <v>1764</v>
      </c>
      <c r="C111" s="499"/>
      <c r="D111" s="962"/>
      <c r="E111" s="541" t="s">
        <v>318</v>
      </c>
      <c r="F111" s="494"/>
      <c r="G111" s="495"/>
      <c r="H111" s="559"/>
      <c r="I111" s="496"/>
      <c r="J111" s="496"/>
      <c r="K111" s="857"/>
      <c r="L111" s="496"/>
      <c r="M111" s="496"/>
      <c r="N111" s="857"/>
      <c r="O111" s="1864">
        <v>1</v>
      </c>
      <c r="P111" s="1864">
        <v>4</v>
      </c>
      <c r="Q111" s="857">
        <f t="shared" si="17"/>
        <v>4</v>
      </c>
      <c r="R111" s="857">
        <f>Q111</f>
        <v>4</v>
      </c>
      <c r="S111" s="857"/>
      <c r="T111" s="1864">
        <v>1</v>
      </c>
      <c r="U111" s="1864">
        <v>4</v>
      </c>
      <c r="V111" s="1865">
        <f>U111*T111</f>
        <v>4</v>
      </c>
      <c r="W111" s="1864">
        <v>1</v>
      </c>
      <c r="X111" s="1864">
        <v>4</v>
      </c>
      <c r="Y111" s="1865">
        <f>X111*W111</f>
        <v>4</v>
      </c>
      <c r="Z111" s="559">
        <f t="shared" si="5"/>
        <v>4</v>
      </c>
      <c r="AA111" s="559" t="str">
        <f t="shared" si="6"/>
        <v>-</v>
      </c>
      <c r="AB111" s="893" t="s">
        <v>1765</v>
      </c>
      <c r="AC111" s="491" t="s">
        <v>1665</v>
      </c>
      <c r="AF111" s="466"/>
      <c r="AG111" s="465"/>
      <c r="AH111" s="465"/>
    </row>
    <row r="112" spans="1:34" s="498" customFormat="1" hidden="1" x14ac:dyDescent="0.25">
      <c r="A112" s="962"/>
      <c r="B112" s="881" t="s">
        <v>1766</v>
      </c>
      <c r="C112" s="503"/>
      <c r="D112" s="962"/>
      <c r="E112" s="962" t="s">
        <v>318</v>
      </c>
      <c r="F112" s="494">
        <v>1</v>
      </c>
      <c r="G112" s="495">
        <v>2</v>
      </c>
      <c r="H112" s="559">
        <f>F112*G112</f>
        <v>2</v>
      </c>
      <c r="I112" s="496">
        <v>1</v>
      </c>
      <c r="J112" s="496">
        <v>2</v>
      </c>
      <c r="K112" s="857">
        <f t="shared" si="18"/>
        <v>2</v>
      </c>
      <c r="L112" s="496">
        <v>1</v>
      </c>
      <c r="M112" s="496">
        <v>2</v>
      </c>
      <c r="N112" s="857">
        <f t="shared" si="19"/>
        <v>2</v>
      </c>
      <c r="O112" s="496"/>
      <c r="P112" s="496"/>
      <c r="Q112" s="857"/>
      <c r="R112" s="857"/>
      <c r="S112" s="857">
        <f t="shared" si="21"/>
        <v>0</v>
      </c>
      <c r="T112" s="496"/>
      <c r="U112" s="496"/>
      <c r="V112" s="857">
        <f>T112*U112</f>
        <v>0</v>
      </c>
      <c r="W112" s="496"/>
      <c r="X112" s="496"/>
      <c r="Y112" s="857">
        <f>W112*X112</f>
        <v>0</v>
      </c>
      <c r="Z112" s="559">
        <f t="shared" si="5"/>
        <v>-2</v>
      </c>
      <c r="AA112" s="559">
        <f t="shared" si="6"/>
        <v>0</v>
      </c>
      <c r="AB112" s="893"/>
      <c r="AC112" s="491" t="s">
        <v>1665</v>
      </c>
      <c r="AF112" s="466"/>
      <c r="AG112" s="465"/>
      <c r="AH112" s="465"/>
    </row>
    <row r="113" spans="1:34" s="498" customFormat="1" hidden="1" x14ac:dyDescent="0.25">
      <c r="A113" s="962"/>
      <c r="B113" s="881" t="s">
        <v>1729</v>
      </c>
      <c r="C113" s="503"/>
      <c r="D113" s="962"/>
      <c r="E113" s="962"/>
      <c r="F113" s="494"/>
      <c r="G113" s="495"/>
      <c r="H113" s="559">
        <f>SUM(H105:H112)*0.271</f>
        <v>5.6</v>
      </c>
      <c r="I113" s="496"/>
      <c r="J113" s="496"/>
      <c r="K113" s="857">
        <f>SUM(K105:K112)*0.271</f>
        <v>5.5</v>
      </c>
      <c r="L113" s="496"/>
      <c r="M113" s="496"/>
      <c r="N113" s="857">
        <f>SUM(N105:N112)*0.271</f>
        <v>5.5</v>
      </c>
      <c r="O113" s="496"/>
      <c r="P113" s="496"/>
      <c r="Q113" s="857">
        <f>SUM(Q105:Q112)*0.271</f>
        <v>10.199999999999999</v>
      </c>
      <c r="R113" s="857">
        <f t="shared" ref="R113:S113" si="24">SUM(R105:R112)*0.271</f>
        <v>7.9</v>
      </c>
      <c r="S113" s="857">
        <f t="shared" si="24"/>
        <v>2.2000000000000002</v>
      </c>
      <c r="T113" s="496"/>
      <c r="U113" s="496"/>
      <c r="V113" s="857">
        <f>SUM(V105:V112)*0.271</f>
        <v>9.1999999999999993</v>
      </c>
      <c r="W113" s="496"/>
      <c r="X113" s="496"/>
      <c r="Y113" s="857">
        <f>SUM(Y105:Y112)*0.271</f>
        <v>9.1999999999999993</v>
      </c>
      <c r="Z113" s="559">
        <f t="shared" si="5"/>
        <v>4.7</v>
      </c>
      <c r="AA113" s="559">
        <f t="shared" si="6"/>
        <v>185.5</v>
      </c>
      <c r="AB113" s="551"/>
      <c r="AC113" s="491" t="s">
        <v>1665</v>
      </c>
      <c r="AF113" s="466"/>
      <c r="AG113" s="465"/>
      <c r="AH113" s="465"/>
    </row>
    <row r="114" spans="1:34" s="492" customFormat="1" ht="14.25" hidden="1" x14ac:dyDescent="0.2">
      <c r="A114" s="1240"/>
      <c r="B114" s="876" t="s">
        <v>1767</v>
      </c>
      <c r="C114" s="501" t="s">
        <v>796</v>
      </c>
      <c r="D114" s="1240"/>
      <c r="E114" s="1240" t="s">
        <v>227</v>
      </c>
      <c r="F114" s="530">
        <v>50</v>
      </c>
      <c r="G114" s="531">
        <v>0.05</v>
      </c>
      <c r="H114" s="542">
        <f>F114*G114</f>
        <v>2.5</v>
      </c>
      <c r="I114" s="532">
        <v>50</v>
      </c>
      <c r="J114" s="532">
        <v>0.1</v>
      </c>
      <c r="K114" s="533">
        <f>I114*J114</f>
        <v>5</v>
      </c>
      <c r="L114" s="532">
        <v>50</v>
      </c>
      <c r="M114" s="532">
        <v>0.1</v>
      </c>
      <c r="N114" s="533">
        <f>L114*M114</f>
        <v>5</v>
      </c>
      <c r="O114" s="532">
        <v>25</v>
      </c>
      <c r="P114" s="532">
        <v>0.1</v>
      </c>
      <c r="Q114" s="533">
        <f>O114*P114</f>
        <v>2.5</v>
      </c>
      <c r="R114" s="533">
        <f>Q114</f>
        <v>2.5</v>
      </c>
      <c r="S114" s="533"/>
      <c r="T114" s="532">
        <v>25</v>
      </c>
      <c r="U114" s="532">
        <v>0.1</v>
      </c>
      <c r="V114" s="533">
        <f>T114*U114</f>
        <v>2.5</v>
      </c>
      <c r="W114" s="532">
        <v>25</v>
      </c>
      <c r="X114" s="532">
        <v>0.1</v>
      </c>
      <c r="Y114" s="533">
        <f>W114*X114</f>
        <v>2.5</v>
      </c>
      <c r="Z114" s="542">
        <f t="shared" si="5"/>
        <v>-2.5</v>
      </c>
      <c r="AA114" s="542">
        <f t="shared" si="6"/>
        <v>50</v>
      </c>
      <c r="AB114" s="893"/>
      <c r="AC114" s="491" t="s">
        <v>1665</v>
      </c>
      <c r="AF114" s="466"/>
      <c r="AG114" s="466"/>
      <c r="AH114" s="466"/>
    </row>
    <row r="115" spans="1:34" s="492" customFormat="1" ht="14.25" hidden="1" x14ac:dyDescent="0.2">
      <c r="A115" s="1240"/>
      <c r="B115" s="876" t="s">
        <v>1768</v>
      </c>
      <c r="C115" s="501" t="s">
        <v>797</v>
      </c>
      <c r="D115" s="1240"/>
      <c r="E115" s="1240"/>
      <c r="F115" s="530"/>
      <c r="G115" s="531"/>
      <c r="H115" s="493">
        <f>H116+H117</f>
        <v>7.8</v>
      </c>
      <c r="I115" s="532"/>
      <c r="J115" s="532"/>
      <c r="K115" s="532">
        <f>K116+K117</f>
        <v>1</v>
      </c>
      <c r="L115" s="532"/>
      <c r="M115" s="532"/>
      <c r="N115" s="532">
        <f>N116+N117</f>
        <v>1</v>
      </c>
      <c r="O115" s="532"/>
      <c r="P115" s="532"/>
      <c r="Q115" s="532">
        <f>SUM(Q116:Q117)</f>
        <v>22</v>
      </c>
      <c r="R115" s="532">
        <f t="shared" ref="R115:S115" si="25">SUM(R116:R117)</f>
        <v>5.4</v>
      </c>
      <c r="S115" s="532">
        <f t="shared" si="25"/>
        <v>16.600000000000001</v>
      </c>
      <c r="T115" s="532"/>
      <c r="U115" s="532"/>
      <c r="V115" s="532">
        <f>SUM(V116:V117)</f>
        <v>22</v>
      </c>
      <c r="W115" s="532"/>
      <c r="X115" s="532"/>
      <c r="Y115" s="532">
        <f>SUM(Y116:Y117)</f>
        <v>22</v>
      </c>
      <c r="Z115" s="493">
        <f t="shared" si="5"/>
        <v>21</v>
      </c>
      <c r="AA115" s="493">
        <f t="shared" si="6"/>
        <v>2200</v>
      </c>
      <c r="AB115" s="893"/>
      <c r="AC115" s="491" t="s">
        <v>1665</v>
      </c>
      <c r="AF115" s="466"/>
      <c r="AG115" s="466"/>
      <c r="AH115" s="466"/>
    </row>
    <row r="116" spans="1:34" s="498" customFormat="1" ht="51.75" hidden="1" x14ac:dyDescent="0.25">
      <c r="A116" s="962"/>
      <c r="B116" s="502" t="s">
        <v>1769</v>
      </c>
      <c r="C116" s="503"/>
      <c r="D116" s="962"/>
      <c r="E116" s="962" t="s">
        <v>227</v>
      </c>
      <c r="F116" s="494">
        <v>20</v>
      </c>
      <c r="G116" s="495">
        <v>0.1</v>
      </c>
      <c r="H116" s="1245">
        <f>F116*G116</f>
        <v>2</v>
      </c>
      <c r="I116" s="496">
        <v>10</v>
      </c>
      <c r="J116" s="883">
        <v>0.1</v>
      </c>
      <c r="K116" s="496">
        <f>I116*J116</f>
        <v>1</v>
      </c>
      <c r="L116" s="496">
        <v>10</v>
      </c>
      <c r="M116" s="883">
        <v>0.1</v>
      </c>
      <c r="N116" s="496">
        <f>L116*M116</f>
        <v>1</v>
      </c>
      <c r="O116" s="496">
        <v>20</v>
      </c>
      <c r="P116" s="496">
        <v>0.1</v>
      </c>
      <c r="Q116" s="496">
        <f>O116*P116</f>
        <v>2</v>
      </c>
      <c r="R116" s="496"/>
      <c r="S116" s="496">
        <f>Q116</f>
        <v>2</v>
      </c>
      <c r="T116" s="496">
        <v>20</v>
      </c>
      <c r="U116" s="496">
        <v>0.1</v>
      </c>
      <c r="V116" s="496">
        <f>T116*U116</f>
        <v>2</v>
      </c>
      <c r="W116" s="496">
        <v>20</v>
      </c>
      <c r="X116" s="496">
        <v>0.1</v>
      </c>
      <c r="Y116" s="496">
        <f>W116*X116</f>
        <v>2</v>
      </c>
      <c r="Z116" s="1245">
        <f t="shared" si="5"/>
        <v>1</v>
      </c>
      <c r="AA116" s="1245">
        <f t="shared" si="6"/>
        <v>200</v>
      </c>
      <c r="AB116" s="893" t="s">
        <v>1770</v>
      </c>
      <c r="AC116" s="491" t="s">
        <v>1665</v>
      </c>
      <c r="AF116" s="466"/>
      <c r="AG116" s="465"/>
      <c r="AH116" s="465"/>
    </row>
    <row r="117" spans="1:34" s="498" customFormat="1" ht="26.25" hidden="1" x14ac:dyDescent="0.25">
      <c r="A117" s="962"/>
      <c r="B117" s="881" t="s">
        <v>1771</v>
      </c>
      <c r="C117" s="503"/>
      <c r="D117" s="962"/>
      <c r="E117" s="962" t="s">
        <v>227</v>
      </c>
      <c r="F117" s="494">
        <v>58</v>
      </c>
      <c r="G117" s="495">
        <v>0.1</v>
      </c>
      <c r="H117" s="559">
        <f>F117*G117</f>
        <v>5.8</v>
      </c>
      <c r="I117" s="496"/>
      <c r="J117" s="496"/>
      <c r="K117" s="496">
        <f>I117*J117</f>
        <v>0</v>
      </c>
      <c r="L117" s="496"/>
      <c r="M117" s="496"/>
      <c r="N117" s="496">
        <f>L117*M117</f>
        <v>0</v>
      </c>
      <c r="O117" s="496">
        <v>100</v>
      </c>
      <c r="P117" s="496">
        <v>0.2</v>
      </c>
      <c r="Q117" s="496">
        <f>O117*P117</f>
        <v>20</v>
      </c>
      <c r="R117" s="496">
        <v>5.4</v>
      </c>
      <c r="S117" s="496">
        <f>Q117-R117</f>
        <v>14.6</v>
      </c>
      <c r="T117" s="496">
        <v>100</v>
      </c>
      <c r="U117" s="496">
        <v>0.2</v>
      </c>
      <c r="V117" s="496">
        <f>T117*U117</f>
        <v>20</v>
      </c>
      <c r="W117" s="496">
        <v>100</v>
      </c>
      <c r="X117" s="496">
        <v>0.2</v>
      </c>
      <c r="Y117" s="496">
        <f>W117*X117</f>
        <v>20</v>
      </c>
      <c r="Z117" s="559">
        <f t="shared" si="5"/>
        <v>20</v>
      </c>
      <c r="AA117" s="559" t="str">
        <f t="shared" si="6"/>
        <v>-</v>
      </c>
      <c r="AB117" s="893" t="s">
        <v>1772</v>
      </c>
      <c r="AC117" s="491" t="s">
        <v>1665</v>
      </c>
      <c r="AF117" s="466"/>
      <c r="AG117" s="465"/>
      <c r="AH117" s="465"/>
    </row>
    <row r="118" spans="1:34" s="492" customFormat="1" ht="14.25" hidden="1" x14ac:dyDescent="0.2">
      <c r="A118" s="1240"/>
      <c r="B118" s="876" t="s">
        <v>1246</v>
      </c>
      <c r="C118" s="501" t="s">
        <v>1237</v>
      </c>
      <c r="D118" s="1240"/>
      <c r="E118" s="1240" t="s">
        <v>664</v>
      </c>
      <c r="F118" s="530">
        <v>3</v>
      </c>
      <c r="G118" s="531">
        <v>2.5</v>
      </c>
      <c r="H118" s="542">
        <f>F118*G118</f>
        <v>7.5</v>
      </c>
      <c r="I118" s="532">
        <v>3</v>
      </c>
      <c r="J118" s="532">
        <v>2.5</v>
      </c>
      <c r="K118" s="533">
        <f>I118*J118</f>
        <v>7.5</v>
      </c>
      <c r="L118" s="532">
        <v>3</v>
      </c>
      <c r="M118" s="532">
        <v>2.5</v>
      </c>
      <c r="N118" s="533">
        <f>L118*M118</f>
        <v>7.5</v>
      </c>
      <c r="O118" s="532">
        <v>3</v>
      </c>
      <c r="P118" s="532">
        <v>2.5</v>
      </c>
      <c r="Q118" s="533">
        <f>O118*P118</f>
        <v>7.5</v>
      </c>
      <c r="R118" s="533"/>
      <c r="S118" s="533">
        <f>Q118</f>
        <v>7.5</v>
      </c>
      <c r="T118" s="532">
        <v>3</v>
      </c>
      <c r="U118" s="532">
        <v>2.5</v>
      </c>
      <c r="V118" s="533">
        <f>T118*U118</f>
        <v>7.5</v>
      </c>
      <c r="W118" s="532">
        <v>3</v>
      </c>
      <c r="X118" s="532">
        <v>2.5</v>
      </c>
      <c r="Y118" s="533">
        <f>W118*X118</f>
        <v>7.5</v>
      </c>
      <c r="Z118" s="542">
        <f t="shared" si="5"/>
        <v>0</v>
      </c>
      <c r="AA118" s="542">
        <f t="shared" si="6"/>
        <v>100</v>
      </c>
      <c r="AB118" s="893"/>
      <c r="AC118" s="491" t="s">
        <v>1665</v>
      </c>
      <c r="AF118" s="466"/>
      <c r="AG118" s="466"/>
      <c r="AH118" s="466"/>
    </row>
    <row r="119" spans="1:34" s="492" customFormat="1" ht="14.25" hidden="1" x14ac:dyDescent="0.2">
      <c r="A119" s="1240"/>
      <c r="B119" s="876" t="s">
        <v>1773</v>
      </c>
      <c r="C119" s="501" t="s">
        <v>797</v>
      </c>
      <c r="D119" s="1240"/>
      <c r="E119" s="1240" t="s">
        <v>227</v>
      </c>
      <c r="F119" s="1829">
        <v>100</v>
      </c>
      <c r="G119" s="1830">
        <v>0.06</v>
      </c>
      <c r="H119" s="542">
        <f>F119*G119</f>
        <v>6</v>
      </c>
      <c r="I119" s="1831">
        <v>60</v>
      </c>
      <c r="J119" s="1831">
        <v>0.1</v>
      </c>
      <c r="K119" s="533">
        <f>I119*J119</f>
        <v>6</v>
      </c>
      <c r="L119" s="1831">
        <v>60</v>
      </c>
      <c r="M119" s="1831">
        <v>0.1</v>
      </c>
      <c r="N119" s="533">
        <f>L119*M119</f>
        <v>6</v>
      </c>
      <c r="O119" s="1831">
        <v>60</v>
      </c>
      <c r="P119" s="1831">
        <v>0.1</v>
      </c>
      <c r="Q119" s="533">
        <f>O119*P119</f>
        <v>6</v>
      </c>
      <c r="R119" s="533"/>
      <c r="S119" s="533">
        <f>Q119</f>
        <v>6</v>
      </c>
      <c r="T119" s="1831">
        <v>60</v>
      </c>
      <c r="U119" s="1831">
        <v>0.1</v>
      </c>
      <c r="V119" s="533">
        <f>T119*U119</f>
        <v>6</v>
      </c>
      <c r="W119" s="1831">
        <v>60</v>
      </c>
      <c r="X119" s="1831">
        <v>0.1</v>
      </c>
      <c r="Y119" s="533">
        <f>W119*X119</f>
        <v>6</v>
      </c>
      <c r="Z119" s="542">
        <f t="shared" si="5"/>
        <v>0</v>
      </c>
      <c r="AA119" s="542">
        <f t="shared" si="6"/>
        <v>100</v>
      </c>
      <c r="AB119" s="893"/>
      <c r="AC119" s="491" t="s">
        <v>1665</v>
      </c>
      <c r="AF119" s="466"/>
      <c r="AG119" s="466"/>
      <c r="AH119" s="466"/>
    </row>
    <row r="120" spans="1:34" s="492" customFormat="1" ht="14.25" hidden="1" x14ac:dyDescent="0.2">
      <c r="A120" s="1240"/>
      <c r="B120" s="876" t="s">
        <v>1368</v>
      </c>
      <c r="C120" s="501" t="s">
        <v>797</v>
      </c>
      <c r="D120" s="1240"/>
      <c r="E120" s="1240"/>
      <c r="F120" s="1829"/>
      <c r="G120" s="1830"/>
      <c r="H120" s="493">
        <f>SUM(H121:H124)</f>
        <v>10</v>
      </c>
      <c r="I120" s="1831"/>
      <c r="J120" s="1831"/>
      <c r="K120" s="532">
        <f>SUM(K121:K124)</f>
        <v>12.4</v>
      </c>
      <c r="L120" s="1831"/>
      <c r="M120" s="1831"/>
      <c r="N120" s="532">
        <f>SUM(N121:N124)</f>
        <v>12.4</v>
      </c>
      <c r="O120" s="1831"/>
      <c r="P120" s="1831"/>
      <c r="Q120" s="532">
        <f>SUM(Q121:Q124)</f>
        <v>21.4</v>
      </c>
      <c r="R120" s="532">
        <f t="shared" ref="R120:S120" si="26">SUM(R121:R124)</f>
        <v>11.4</v>
      </c>
      <c r="S120" s="532">
        <f t="shared" si="26"/>
        <v>10</v>
      </c>
      <c r="T120" s="1831"/>
      <c r="U120" s="1831"/>
      <c r="V120" s="532">
        <f>SUM(V121:V124)</f>
        <v>0</v>
      </c>
      <c r="W120" s="1831"/>
      <c r="X120" s="1831"/>
      <c r="Y120" s="532">
        <f>SUM(Y121:Y124)</f>
        <v>0</v>
      </c>
      <c r="Z120" s="493">
        <f t="shared" si="5"/>
        <v>9</v>
      </c>
      <c r="AA120" s="493">
        <f t="shared" si="6"/>
        <v>172.6</v>
      </c>
      <c r="AB120" s="893"/>
      <c r="AC120" s="491" t="s">
        <v>1665</v>
      </c>
      <c r="AF120" s="466"/>
      <c r="AG120" s="466"/>
      <c r="AH120" s="466"/>
    </row>
    <row r="121" spans="1:34" s="498" customFormat="1" hidden="1" x14ac:dyDescent="0.25">
      <c r="A121" s="962"/>
      <c r="B121" s="878" t="s">
        <v>1774</v>
      </c>
      <c r="C121" s="499"/>
      <c r="D121" s="962"/>
      <c r="E121" s="541" t="s">
        <v>227</v>
      </c>
      <c r="F121" s="494">
        <v>100</v>
      </c>
      <c r="G121" s="495">
        <v>0.02</v>
      </c>
      <c r="H121" s="1245">
        <f>F121*G121</f>
        <v>2</v>
      </c>
      <c r="I121" s="496">
        <v>10</v>
      </c>
      <c r="J121" s="496">
        <v>0.1</v>
      </c>
      <c r="K121" s="496">
        <f>I121*J121</f>
        <v>1</v>
      </c>
      <c r="L121" s="496">
        <v>10</v>
      </c>
      <c r="M121" s="496">
        <v>0.1</v>
      </c>
      <c r="N121" s="496">
        <f>L121*M121</f>
        <v>1</v>
      </c>
      <c r="O121" s="496"/>
      <c r="P121" s="496"/>
      <c r="Q121" s="496"/>
      <c r="R121" s="496"/>
      <c r="S121" s="496"/>
      <c r="T121" s="496"/>
      <c r="U121" s="496"/>
      <c r="V121" s="496">
        <f>T121*U121</f>
        <v>0</v>
      </c>
      <c r="W121" s="496"/>
      <c r="X121" s="496"/>
      <c r="Y121" s="496">
        <f>W121*X121</f>
        <v>0</v>
      </c>
      <c r="Z121" s="1245">
        <f t="shared" si="5"/>
        <v>-1</v>
      </c>
      <c r="AA121" s="1245">
        <f t="shared" si="6"/>
        <v>0</v>
      </c>
      <c r="AB121" s="893"/>
      <c r="AC121" s="491" t="s">
        <v>1665</v>
      </c>
      <c r="AF121" s="466"/>
      <c r="AG121" s="465"/>
      <c r="AH121" s="465"/>
    </row>
    <row r="122" spans="1:34" s="498" customFormat="1" ht="25.5" hidden="1" x14ac:dyDescent="0.25">
      <c r="A122" s="962"/>
      <c r="B122" s="878" t="s">
        <v>1775</v>
      </c>
      <c r="C122" s="499"/>
      <c r="D122" s="962"/>
      <c r="E122" s="541" t="s">
        <v>227</v>
      </c>
      <c r="F122" s="494"/>
      <c r="G122" s="495"/>
      <c r="H122" s="1245"/>
      <c r="I122" s="496">
        <v>3</v>
      </c>
      <c r="J122" s="496">
        <v>3.8</v>
      </c>
      <c r="K122" s="496">
        <f>I122*J122</f>
        <v>11.4</v>
      </c>
      <c r="L122" s="496">
        <v>3</v>
      </c>
      <c r="M122" s="496">
        <v>3.8</v>
      </c>
      <c r="N122" s="496">
        <f>L122*M122</f>
        <v>11.4</v>
      </c>
      <c r="O122" s="496">
        <v>3</v>
      </c>
      <c r="P122" s="496">
        <v>3.8</v>
      </c>
      <c r="Q122" s="496">
        <f>O122*P122</f>
        <v>11.4</v>
      </c>
      <c r="R122" s="496">
        <f>Q122</f>
        <v>11.4</v>
      </c>
      <c r="S122" s="496"/>
      <c r="T122" s="496"/>
      <c r="U122" s="496"/>
      <c r="V122" s="496"/>
      <c r="W122" s="496"/>
      <c r="X122" s="496"/>
      <c r="Y122" s="496"/>
      <c r="Z122" s="1245">
        <f t="shared" si="5"/>
        <v>0</v>
      </c>
      <c r="AA122" s="1245">
        <f t="shared" si="6"/>
        <v>100</v>
      </c>
      <c r="AB122" s="1031" t="s">
        <v>1776</v>
      </c>
      <c r="AC122" s="491" t="s">
        <v>1665</v>
      </c>
      <c r="AF122" s="466"/>
      <c r="AG122" s="465"/>
      <c r="AH122" s="465"/>
    </row>
    <row r="123" spans="1:34" s="498" customFormat="1" hidden="1" x14ac:dyDescent="0.25">
      <c r="A123" s="962"/>
      <c r="B123" s="878" t="s">
        <v>1777</v>
      </c>
      <c r="C123" s="499"/>
      <c r="D123" s="962"/>
      <c r="E123" s="541" t="s">
        <v>227</v>
      </c>
      <c r="F123" s="494"/>
      <c r="G123" s="495"/>
      <c r="H123" s="1245"/>
      <c r="I123" s="496"/>
      <c r="J123" s="496"/>
      <c r="K123" s="496"/>
      <c r="L123" s="496"/>
      <c r="M123" s="496"/>
      <c r="N123" s="496"/>
      <c r="O123" s="496">
        <v>10</v>
      </c>
      <c r="P123" s="496">
        <v>0.5</v>
      </c>
      <c r="Q123" s="496">
        <f>O123*P123</f>
        <v>5</v>
      </c>
      <c r="R123" s="496"/>
      <c r="S123" s="496">
        <f>Q123</f>
        <v>5</v>
      </c>
      <c r="T123" s="496"/>
      <c r="U123" s="496"/>
      <c r="V123" s="496"/>
      <c r="W123" s="496"/>
      <c r="X123" s="496"/>
      <c r="Y123" s="496"/>
      <c r="Z123" s="1245">
        <f t="shared" si="5"/>
        <v>5</v>
      </c>
      <c r="AA123" s="1245" t="str">
        <f t="shared" si="6"/>
        <v>-</v>
      </c>
      <c r="AB123" s="1031"/>
      <c r="AC123" s="491" t="s">
        <v>1665</v>
      </c>
      <c r="AF123" s="466"/>
      <c r="AG123" s="465"/>
      <c r="AH123" s="465"/>
    </row>
    <row r="124" spans="1:34" s="498" customFormat="1" hidden="1" x14ac:dyDescent="0.25">
      <c r="A124" s="962"/>
      <c r="B124" s="878" t="s">
        <v>1778</v>
      </c>
      <c r="C124" s="499"/>
      <c r="D124" s="962"/>
      <c r="E124" s="962" t="s">
        <v>227</v>
      </c>
      <c r="F124" s="494">
        <v>1</v>
      </c>
      <c r="G124" s="495">
        <v>8</v>
      </c>
      <c r="H124" s="1245">
        <v>8</v>
      </c>
      <c r="I124" s="496"/>
      <c r="J124" s="496"/>
      <c r="K124" s="496">
        <v>0</v>
      </c>
      <c r="L124" s="496"/>
      <c r="M124" s="496"/>
      <c r="N124" s="496">
        <v>0</v>
      </c>
      <c r="O124" s="496">
        <v>2</v>
      </c>
      <c r="P124" s="496">
        <v>2.5</v>
      </c>
      <c r="Q124" s="496">
        <f>O124*P124</f>
        <v>5</v>
      </c>
      <c r="R124" s="496"/>
      <c r="S124" s="496">
        <f>Q124-R124</f>
        <v>5</v>
      </c>
      <c r="T124" s="496"/>
      <c r="U124" s="496"/>
      <c r="V124" s="496">
        <f>T124*U124</f>
        <v>0</v>
      </c>
      <c r="W124" s="496"/>
      <c r="X124" s="496"/>
      <c r="Y124" s="496">
        <f>W124*X124</f>
        <v>0</v>
      </c>
      <c r="Z124" s="1245">
        <f t="shared" si="5"/>
        <v>5</v>
      </c>
      <c r="AA124" s="1245" t="str">
        <f t="shared" si="6"/>
        <v>-</v>
      </c>
      <c r="AB124" s="893"/>
      <c r="AC124" s="491" t="s">
        <v>1665</v>
      </c>
      <c r="AF124" s="466"/>
      <c r="AG124" s="465"/>
      <c r="AH124" s="465"/>
    </row>
    <row r="125" spans="1:34" s="498" customFormat="1" ht="51.75" hidden="1" x14ac:dyDescent="0.25">
      <c r="A125" s="962"/>
      <c r="B125" s="877" t="s">
        <v>1779</v>
      </c>
      <c r="C125" s="508" t="s">
        <v>797</v>
      </c>
      <c r="D125" s="962"/>
      <c r="E125" s="962"/>
      <c r="F125" s="494"/>
      <c r="G125" s="495"/>
      <c r="H125" s="1245"/>
      <c r="I125" s="496"/>
      <c r="J125" s="496"/>
      <c r="K125" s="496"/>
      <c r="L125" s="496"/>
      <c r="M125" s="496"/>
      <c r="N125" s="496"/>
      <c r="O125" s="496"/>
      <c r="P125" s="496"/>
      <c r="Q125" s="532">
        <v>6</v>
      </c>
      <c r="R125" s="532"/>
      <c r="S125" s="532">
        <f>Q125</f>
        <v>6</v>
      </c>
      <c r="T125" s="496"/>
      <c r="U125" s="496"/>
      <c r="V125" s="496"/>
      <c r="W125" s="496"/>
      <c r="X125" s="496"/>
      <c r="Y125" s="496"/>
      <c r="Z125" s="1245">
        <f t="shared" si="5"/>
        <v>6</v>
      </c>
      <c r="AA125" s="1245" t="str">
        <f t="shared" si="6"/>
        <v>-</v>
      </c>
      <c r="AB125" s="893" t="s">
        <v>1780</v>
      </c>
      <c r="AC125" s="491" t="s">
        <v>1665</v>
      </c>
      <c r="AF125" s="466"/>
      <c r="AG125" s="465"/>
      <c r="AH125" s="465"/>
    </row>
    <row r="126" spans="1:34" s="498" customFormat="1" ht="26.25" hidden="1" x14ac:dyDescent="0.25">
      <c r="A126" s="962"/>
      <c r="B126" s="877" t="s">
        <v>1370</v>
      </c>
      <c r="C126" s="508" t="s">
        <v>800</v>
      </c>
      <c r="D126" s="962"/>
      <c r="E126" s="962"/>
      <c r="F126" s="494"/>
      <c r="G126" s="495"/>
      <c r="H126" s="1245"/>
      <c r="I126" s="496"/>
      <c r="J126" s="496"/>
      <c r="K126" s="496"/>
      <c r="L126" s="496"/>
      <c r="M126" s="496"/>
      <c r="N126" s="496"/>
      <c r="O126" s="496"/>
      <c r="P126" s="496"/>
      <c r="Q126" s="532">
        <f>SUM(Q127:Q133)</f>
        <v>56.7</v>
      </c>
      <c r="R126" s="532"/>
      <c r="S126" s="532">
        <f>Q126</f>
        <v>56.7</v>
      </c>
      <c r="T126" s="496"/>
      <c r="U126" s="496"/>
      <c r="V126" s="532">
        <f>SUM(V130:V133)</f>
        <v>0</v>
      </c>
      <c r="W126" s="496"/>
      <c r="X126" s="496"/>
      <c r="Y126" s="532">
        <f>SUM(Y130:Y133)</f>
        <v>0</v>
      </c>
      <c r="Z126" s="1245">
        <f t="shared" si="5"/>
        <v>56.7</v>
      </c>
      <c r="AA126" s="1245" t="str">
        <f t="shared" si="6"/>
        <v>-</v>
      </c>
      <c r="AB126" s="893" t="s">
        <v>1781</v>
      </c>
      <c r="AC126" s="491" t="s">
        <v>1665</v>
      </c>
      <c r="AF126" s="466"/>
      <c r="AG126" s="465"/>
      <c r="AH126" s="465"/>
    </row>
    <row r="127" spans="1:34" s="498" customFormat="1" ht="51" hidden="1" x14ac:dyDescent="0.25">
      <c r="A127" s="962"/>
      <c r="B127" s="878" t="s">
        <v>1782</v>
      </c>
      <c r="C127" s="499"/>
      <c r="D127" s="962"/>
      <c r="E127" s="541" t="s">
        <v>227</v>
      </c>
      <c r="F127" s="494"/>
      <c r="G127" s="495"/>
      <c r="H127" s="1245"/>
      <c r="I127" s="496"/>
      <c r="J127" s="496"/>
      <c r="K127" s="496"/>
      <c r="L127" s="496"/>
      <c r="M127" s="496"/>
      <c r="N127" s="496"/>
      <c r="O127" s="496">
        <v>2</v>
      </c>
      <c r="P127" s="496">
        <v>3.2</v>
      </c>
      <c r="Q127" s="496">
        <f t="shared" ref="Q127:Q133" si="27">O127*P127</f>
        <v>6.4</v>
      </c>
      <c r="R127" s="496"/>
      <c r="S127" s="496">
        <f>Q127</f>
        <v>6.4</v>
      </c>
      <c r="T127" s="496"/>
      <c r="U127" s="496"/>
      <c r="V127" s="532"/>
      <c r="W127" s="496"/>
      <c r="X127" s="496"/>
      <c r="Y127" s="532"/>
      <c r="Z127" s="1245">
        <f t="shared" si="5"/>
        <v>6.4</v>
      </c>
      <c r="AA127" s="1245" t="str">
        <f t="shared" si="6"/>
        <v>-</v>
      </c>
      <c r="AB127" s="1031" t="s">
        <v>1783</v>
      </c>
      <c r="AC127" s="491" t="s">
        <v>1665</v>
      </c>
      <c r="AF127" s="466"/>
      <c r="AG127" s="465"/>
      <c r="AH127" s="465"/>
    </row>
    <row r="128" spans="1:34" s="498" customFormat="1" hidden="1" x14ac:dyDescent="0.25">
      <c r="A128" s="962"/>
      <c r="B128" s="878" t="s">
        <v>1784</v>
      </c>
      <c r="C128" s="499"/>
      <c r="D128" s="962"/>
      <c r="E128" s="541" t="s">
        <v>227</v>
      </c>
      <c r="F128" s="494"/>
      <c r="G128" s="495"/>
      <c r="H128" s="1245"/>
      <c r="I128" s="496"/>
      <c r="J128" s="496"/>
      <c r="K128" s="496"/>
      <c r="L128" s="496"/>
      <c r="M128" s="496"/>
      <c r="N128" s="496"/>
      <c r="O128" s="496">
        <v>2</v>
      </c>
      <c r="P128" s="496">
        <v>1.9</v>
      </c>
      <c r="Q128" s="496">
        <f t="shared" si="27"/>
        <v>3.8</v>
      </c>
      <c r="R128" s="496"/>
      <c r="S128" s="496">
        <f>Q128</f>
        <v>3.8</v>
      </c>
      <c r="T128" s="496"/>
      <c r="U128" s="496"/>
      <c r="V128" s="532"/>
      <c r="W128" s="496"/>
      <c r="X128" s="496"/>
      <c r="Y128" s="532"/>
      <c r="Z128" s="1245">
        <f t="shared" si="5"/>
        <v>3.8</v>
      </c>
      <c r="AA128" s="1245" t="str">
        <f t="shared" si="6"/>
        <v>-</v>
      </c>
      <c r="AB128" s="1031"/>
      <c r="AC128" s="491" t="s">
        <v>1665</v>
      </c>
      <c r="AF128" s="466"/>
      <c r="AG128" s="465"/>
      <c r="AH128" s="465"/>
    </row>
    <row r="129" spans="1:34" s="498" customFormat="1" ht="51.75" hidden="1" x14ac:dyDescent="0.25">
      <c r="A129" s="962"/>
      <c r="B129" s="878" t="s">
        <v>1785</v>
      </c>
      <c r="C129" s="499"/>
      <c r="D129" s="962"/>
      <c r="E129" s="541" t="s">
        <v>227</v>
      </c>
      <c r="F129" s="494"/>
      <c r="G129" s="495"/>
      <c r="H129" s="1245"/>
      <c r="I129" s="496"/>
      <c r="J129" s="496"/>
      <c r="K129" s="496"/>
      <c r="L129" s="496"/>
      <c r="M129" s="496"/>
      <c r="N129" s="496"/>
      <c r="O129" s="496">
        <v>2</v>
      </c>
      <c r="P129" s="496">
        <v>2</v>
      </c>
      <c r="Q129" s="496">
        <f t="shared" si="27"/>
        <v>4</v>
      </c>
      <c r="R129" s="496"/>
      <c r="S129" s="496">
        <f t="shared" ref="S129:S133" si="28">Q129</f>
        <v>4</v>
      </c>
      <c r="T129" s="496"/>
      <c r="U129" s="496"/>
      <c r="V129" s="532"/>
      <c r="W129" s="496"/>
      <c r="X129" s="496"/>
      <c r="Y129" s="532"/>
      <c r="Z129" s="1245">
        <f t="shared" si="5"/>
        <v>4</v>
      </c>
      <c r="AA129" s="1245" t="str">
        <f t="shared" si="6"/>
        <v>-</v>
      </c>
      <c r="AB129" s="893" t="s">
        <v>1786</v>
      </c>
      <c r="AC129" s="491" t="s">
        <v>1665</v>
      </c>
      <c r="AF129" s="466"/>
      <c r="AG129" s="465"/>
      <c r="AH129" s="465"/>
    </row>
    <row r="130" spans="1:34" s="498" customFormat="1" ht="51.75" hidden="1" x14ac:dyDescent="0.25">
      <c r="A130" s="962"/>
      <c r="B130" s="878" t="s">
        <v>1787</v>
      </c>
      <c r="C130" s="499"/>
      <c r="D130" s="962"/>
      <c r="E130" s="541" t="s">
        <v>227</v>
      </c>
      <c r="F130" s="494"/>
      <c r="G130" s="495"/>
      <c r="H130" s="1245"/>
      <c r="I130" s="496"/>
      <c r="J130" s="496"/>
      <c r="K130" s="496"/>
      <c r="L130" s="496"/>
      <c r="M130" s="496"/>
      <c r="N130" s="496"/>
      <c r="O130" s="496">
        <v>20</v>
      </c>
      <c r="P130" s="496">
        <v>1.3</v>
      </c>
      <c r="Q130" s="496">
        <f t="shared" si="27"/>
        <v>26</v>
      </c>
      <c r="R130" s="496"/>
      <c r="S130" s="496">
        <f t="shared" si="28"/>
        <v>26</v>
      </c>
      <c r="T130" s="496"/>
      <c r="U130" s="496"/>
      <c r="V130" s="496"/>
      <c r="W130" s="496"/>
      <c r="X130" s="496"/>
      <c r="Y130" s="496"/>
      <c r="Z130" s="1245">
        <f t="shared" si="5"/>
        <v>26</v>
      </c>
      <c r="AA130" s="1245" t="str">
        <f t="shared" si="6"/>
        <v>-</v>
      </c>
      <c r="AB130" s="893" t="s">
        <v>1788</v>
      </c>
      <c r="AC130" s="491" t="s">
        <v>1665</v>
      </c>
      <c r="AF130" s="466"/>
      <c r="AG130" s="465"/>
      <c r="AH130" s="465"/>
    </row>
    <row r="131" spans="1:34" s="498" customFormat="1" ht="38.25" hidden="1" x14ac:dyDescent="0.25">
      <c r="A131" s="962"/>
      <c r="B131" s="878" t="s">
        <v>1789</v>
      </c>
      <c r="C131" s="499"/>
      <c r="D131" s="962"/>
      <c r="E131" s="541" t="s">
        <v>227</v>
      </c>
      <c r="F131" s="494"/>
      <c r="G131" s="495"/>
      <c r="H131" s="1245"/>
      <c r="I131" s="496"/>
      <c r="J131" s="496"/>
      <c r="K131" s="496"/>
      <c r="L131" s="496"/>
      <c r="M131" s="496"/>
      <c r="N131" s="496"/>
      <c r="O131" s="496">
        <v>10</v>
      </c>
      <c r="P131" s="496">
        <v>0.5</v>
      </c>
      <c r="Q131" s="496">
        <f t="shared" si="27"/>
        <v>5</v>
      </c>
      <c r="R131" s="496"/>
      <c r="S131" s="496">
        <f t="shared" si="28"/>
        <v>5</v>
      </c>
      <c r="T131" s="496"/>
      <c r="U131" s="496"/>
      <c r="V131" s="496"/>
      <c r="W131" s="496"/>
      <c r="X131" s="496"/>
      <c r="Y131" s="496"/>
      <c r="Z131" s="1245">
        <f t="shared" si="5"/>
        <v>5</v>
      </c>
      <c r="AA131" s="1245" t="str">
        <f t="shared" si="6"/>
        <v>-</v>
      </c>
      <c r="AB131" s="843" t="s">
        <v>1790</v>
      </c>
      <c r="AC131" s="491" t="s">
        <v>1665</v>
      </c>
      <c r="AF131" s="466"/>
      <c r="AG131" s="465"/>
      <c r="AH131" s="465"/>
    </row>
    <row r="132" spans="1:34" s="498" customFormat="1" hidden="1" x14ac:dyDescent="0.25">
      <c r="A132" s="962"/>
      <c r="B132" s="878" t="s">
        <v>1791</v>
      </c>
      <c r="C132" s="499"/>
      <c r="D132" s="962"/>
      <c r="E132" s="541" t="s">
        <v>227</v>
      </c>
      <c r="F132" s="494"/>
      <c r="G132" s="495"/>
      <c r="H132" s="1245"/>
      <c r="I132" s="496"/>
      <c r="J132" s="496"/>
      <c r="K132" s="496"/>
      <c r="L132" s="496"/>
      <c r="M132" s="496"/>
      <c r="N132" s="496"/>
      <c r="O132" s="496">
        <v>1</v>
      </c>
      <c r="P132" s="496">
        <v>1.5</v>
      </c>
      <c r="Q132" s="496">
        <f t="shared" si="27"/>
        <v>1.5</v>
      </c>
      <c r="R132" s="496"/>
      <c r="S132" s="496">
        <f t="shared" si="28"/>
        <v>1.5</v>
      </c>
      <c r="T132" s="496"/>
      <c r="U132" s="496"/>
      <c r="V132" s="496"/>
      <c r="W132" s="496"/>
      <c r="X132" s="496"/>
      <c r="Y132" s="496"/>
      <c r="Z132" s="1245">
        <f t="shared" si="5"/>
        <v>1.5</v>
      </c>
      <c r="AA132" s="1245" t="str">
        <f t="shared" si="6"/>
        <v>-</v>
      </c>
      <c r="AB132" s="843"/>
      <c r="AC132" s="491" t="s">
        <v>1665</v>
      </c>
      <c r="AF132" s="466"/>
      <c r="AG132" s="465"/>
      <c r="AH132" s="465"/>
    </row>
    <row r="133" spans="1:34" s="498" customFormat="1" hidden="1" x14ac:dyDescent="0.25">
      <c r="A133" s="962"/>
      <c r="B133" s="878" t="s">
        <v>1792</v>
      </c>
      <c r="C133" s="499"/>
      <c r="D133" s="962"/>
      <c r="E133" s="541" t="s">
        <v>227</v>
      </c>
      <c r="F133" s="494"/>
      <c r="G133" s="495"/>
      <c r="H133" s="1245"/>
      <c r="I133" s="496"/>
      <c r="J133" s="496"/>
      <c r="K133" s="496"/>
      <c r="L133" s="496"/>
      <c r="M133" s="496"/>
      <c r="N133" s="496"/>
      <c r="O133" s="496">
        <v>10</v>
      </c>
      <c r="P133" s="496">
        <v>1</v>
      </c>
      <c r="Q133" s="496">
        <f t="shared" si="27"/>
        <v>10</v>
      </c>
      <c r="R133" s="496"/>
      <c r="S133" s="496">
        <f t="shared" si="28"/>
        <v>10</v>
      </c>
      <c r="T133" s="496"/>
      <c r="U133" s="496"/>
      <c r="V133" s="496"/>
      <c r="W133" s="496"/>
      <c r="X133" s="496"/>
      <c r="Y133" s="496"/>
      <c r="Z133" s="1245">
        <f t="shared" si="5"/>
        <v>10</v>
      </c>
      <c r="AA133" s="1245" t="str">
        <f t="shared" si="6"/>
        <v>-</v>
      </c>
      <c r="AB133" s="843"/>
      <c r="AC133" s="491" t="s">
        <v>1665</v>
      </c>
      <c r="AF133" s="466"/>
      <c r="AG133" s="465"/>
      <c r="AH133" s="465"/>
    </row>
    <row r="134" spans="1:34" s="889" customFormat="1" ht="107.25" hidden="1" customHeight="1" x14ac:dyDescent="0.25">
      <c r="A134" s="885"/>
      <c r="B134" s="1866" t="s">
        <v>1793</v>
      </c>
      <c r="C134" s="894"/>
      <c r="D134" s="885"/>
      <c r="E134" s="1867"/>
      <c r="F134" s="1868"/>
      <c r="G134" s="1868"/>
      <c r="H134" s="887"/>
      <c r="I134" s="1868"/>
      <c r="J134" s="1868"/>
      <c r="K134" s="887"/>
      <c r="L134" s="1868"/>
      <c r="M134" s="1868"/>
      <c r="N134" s="887"/>
      <c r="O134" s="1868"/>
      <c r="P134" s="1868"/>
      <c r="Q134" s="884">
        <f>Q135+Q141+Q142+Q144</f>
        <v>75.099999999999994</v>
      </c>
      <c r="R134" s="884">
        <f t="shared" ref="R134" si="29">R135+R141+R142+R144</f>
        <v>0</v>
      </c>
      <c r="S134" s="884">
        <f>S135+S141+S142+S144</f>
        <v>75.099999999999994</v>
      </c>
      <c r="T134" s="1868"/>
      <c r="U134" s="1868"/>
      <c r="V134" s="887"/>
      <c r="W134" s="1868"/>
      <c r="X134" s="1868"/>
      <c r="Y134" s="887"/>
      <c r="Z134" s="895">
        <f t="shared" si="5"/>
        <v>75.099999999999994</v>
      </c>
      <c r="AA134" s="895" t="str">
        <f t="shared" si="6"/>
        <v>-</v>
      </c>
      <c r="AB134" s="1869" t="s">
        <v>1794</v>
      </c>
      <c r="AC134" s="491" t="s">
        <v>1665</v>
      </c>
      <c r="AF134" s="872"/>
      <c r="AG134" s="890"/>
      <c r="AH134" s="890"/>
    </row>
    <row r="135" spans="1:34" s="498" customFormat="1" x14ac:dyDescent="0.25">
      <c r="A135" s="962"/>
      <c r="B135" s="1861" t="s">
        <v>1233</v>
      </c>
      <c r="C135" s="508" t="s">
        <v>1230</v>
      </c>
      <c r="D135" s="962"/>
      <c r="E135" s="535"/>
      <c r="F135" s="682"/>
      <c r="G135" s="682"/>
      <c r="H135" s="496"/>
      <c r="I135" s="682"/>
      <c r="J135" s="682"/>
      <c r="K135" s="496"/>
      <c r="L135" s="682"/>
      <c r="M135" s="682"/>
      <c r="N135" s="496"/>
      <c r="O135" s="682"/>
      <c r="P135" s="682"/>
      <c r="Q135" s="532">
        <f>SUM(Q136:Q140)</f>
        <v>38.1</v>
      </c>
      <c r="R135" s="532"/>
      <c r="S135" s="532">
        <f>Q135</f>
        <v>38.1</v>
      </c>
      <c r="T135" s="682"/>
      <c r="U135" s="682"/>
      <c r="V135" s="496"/>
      <c r="W135" s="682"/>
      <c r="X135" s="682"/>
      <c r="Y135" s="496"/>
      <c r="Z135" s="1245">
        <f t="shared" si="5"/>
        <v>38.1</v>
      </c>
      <c r="AA135" s="1245" t="str">
        <f t="shared" si="6"/>
        <v>-</v>
      </c>
      <c r="AB135" s="1870"/>
      <c r="AC135" s="491" t="s">
        <v>1665</v>
      </c>
      <c r="AF135" s="466"/>
      <c r="AG135" s="465"/>
      <c r="AH135" s="465"/>
    </row>
    <row r="136" spans="1:34" s="1876" customFormat="1" ht="15" hidden="1" customHeight="1" x14ac:dyDescent="0.25">
      <c r="A136" s="541"/>
      <c r="B136" s="1871" t="s">
        <v>1737</v>
      </c>
      <c r="C136" s="1872"/>
      <c r="D136" s="541"/>
      <c r="E136" s="1040" t="s">
        <v>318</v>
      </c>
      <c r="F136" s="1873"/>
      <c r="G136" s="1873"/>
      <c r="H136" s="908"/>
      <c r="I136" s="1873"/>
      <c r="J136" s="1873"/>
      <c r="K136" s="908"/>
      <c r="L136" s="1873"/>
      <c r="M136" s="1873"/>
      <c r="N136" s="908"/>
      <c r="O136" s="1873">
        <v>1</v>
      </c>
      <c r="P136" s="1873">
        <v>10</v>
      </c>
      <c r="Q136" s="908">
        <f>O136*P136</f>
        <v>10</v>
      </c>
      <c r="R136" s="908"/>
      <c r="S136" s="908">
        <f t="shared" ref="S136:S145" si="30">Q136</f>
        <v>10</v>
      </c>
      <c r="T136" s="1873"/>
      <c r="U136" s="1873"/>
      <c r="V136" s="908"/>
      <c r="W136" s="1873"/>
      <c r="X136" s="1873"/>
      <c r="Y136" s="908"/>
      <c r="Z136" s="1874">
        <f t="shared" si="5"/>
        <v>10</v>
      </c>
      <c r="AA136" s="1874" t="str">
        <f t="shared" si="6"/>
        <v>-</v>
      </c>
      <c r="AB136" s="3527" t="s">
        <v>1795</v>
      </c>
      <c r="AC136" s="1875" t="s">
        <v>1665</v>
      </c>
      <c r="AF136" s="1877"/>
      <c r="AG136" s="379"/>
      <c r="AH136" s="379"/>
    </row>
    <row r="137" spans="1:34" s="1876" customFormat="1" hidden="1" x14ac:dyDescent="0.25">
      <c r="A137" s="541"/>
      <c r="B137" s="1871" t="s">
        <v>1754</v>
      </c>
      <c r="C137" s="1872"/>
      <c r="D137" s="541"/>
      <c r="E137" s="1040" t="s">
        <v>318</v>
      </c>
      <c r="F137" s="1873"/>
      <c r="G137" s="1873"/>
      <c r="H137" s="908"/>
      <c r="I137" s="1873"/>
      <c r="J137" s="1873"/>
      <c r="K137" s="908"/>
      <c r="L137" s="1873"/>
      <c r="M137" s="1873"/>
      <c r="N137" s="908"/>
      <c r="O137" s="1873">
        <v>2</v>
      </c>
      <c r="P137" s="1873">
        <v>5</v>
      </c>
      <c r="Q137" s="908">
        <f>O137*P137</f>
        <v>10</v>
      </c>
      <c r="R137" s="908"/>
      <c r="S137" s="908">
        <f t="shared" si="30"/>
        <v>10</v>
      </c>
      <c r="T137" s="1873"/>
      <c r="U137" s="1873"/>
      <c r="V137" s="908"/>
      <c r="W137" s="1873"/>
      <c r="X137" s="1873"/>
      <c r="Y137" s="908"/>
      <c r="Z137" s="1874">
        <f t="shared" ref="Z137:Z173" si="31">Q137-K137</f>
        <v>10</v>
      </c>
      <c r="AA137" s="1874" t="str">
        <f t="shared" ref="AA137:AA173" si="32">IFERROR(Q137/K137*100,"-")</f>
        <v>-</v>
      </c>
      <c r="AB137" s="3528"/>
      <c r="AC137" s="1875" t="s">
        <v>1665</v>
      </c>
      <c r="AF137" s="1877"/>
      <c r="AG137" s="1878">
        <f>Q134-[17]ПГ!$Q$187</f>
        <v>2.5</v>
      </c>
      <c r="AH137" s="379"/>
    </row>
    <row r="138" spans="1:34" s="1876" customFormat="1" hidden="1" x14ac:dyDescent="0.25">
      <c r="A138" s="541"/>
      <c r="B138" s="1879" t="s">
        <v>1796</v>
      </c>
      <c r="C138" s="1872"/>
      <c r="D138" s="541"/>
      <c r="E138" s="1040" t="s">
        <v>318</v>
      </c>
      <c r="F138" s="1873"/>
      <c r="G138" s="1873"/>
      <c r="H138" s="908"/>
      <c r="I138" s="1873"/>
      <c r="J138" s="1873"/>
      <c r="K138" s="908"/>
      <c r="L138" s="1873"/>
      <c r="M138" s="1873"/>
      <c r="N138" s="908"/>
      <c r="O138" s="1873">
        <v>1</v>
      </c>
      <c r="P138" s="1873">
        <v>10</v>
      </c>
      <c r="Q138" s="908">
        <f>O138*P138</f>
        <v>10</v>
      </c>
      <c r="R138" s="908"/>
      <c r="S138" s="908">
        <f t="shared" si="30"/>
        <v>10</v>
      </c>
      <c r="T138" s="1873"/>
      <c r="U138" s="1873"/>
      <c r="V138" s="908"/>
      <c r="W138" s="1873"/>
      <c r="X138" s="1873"/>
      <c r="Y138" s="908"/>
      <c r="Z138" s="1874">
        <f t="shared" si="31"/>
        <v>10</v>
      </c>
      <c r="AA138" s="1874" t="str">
        <f t="shared" si="32"/>
        <v>-</v>
      </c>
      <c r="AB138" s="3529"/>
      <c r="AC138" s="1875" t="s">
        <v>1665</v>
      </c>
      <c r="AF138" s="1877"/>
      <c r="AG138" s="379"/>
      <c r="AH138" s="379"/>
    </row>
    <row r="139" spans="1:34" s="1876" customFormat="1" hidden="1" x14ac:dyDescent="0.25">
      <c r="A139" s="541"/>
      <c r="B139" s="1879" t="s">
        <v>1797</v>
      </c>
      <c r="C139" s="1872"/>
      <c r="D139" s="541"/>
      <c r="E139" s="1040" t="s">
        <v>318</v>
      </c>
      <c r="F139" s="1873"/>
      <c r="G139" s="1873"/>
      <c r="H139" s="908"/>
      <c r="I139" s="1873"/>
      <c r="J139" s="1873"/>
      <c r="K139" s="908"/>
      <c r="L139" s="1873"/>
      <c r="M139" s="1873"/>
      <c r="N139" s="908"/>
      <c r="O139" s="1873"/>
      <c r="P139" s="1873"/>
      <c r="Q139" s="908">
        <f>O139*P139</f>
        <v>0</v>
      </c>
      <c r="R139" s="908"/>
      <c r="S139" s="908">
        <f t="shared" si="30"/>
        <v>0</v>
      </c>
      <c r="T139" s="1873"/>
      <c r="U139" s="1873"/>
      <c r="V139" s="908"/>
      <c r="W139" s="1873"/>
      <c r="X139" s="1873"/>
      <c r="Y139" s="908"/>
      <c r="Z139" s="1874">
        <f t="shared" si="31"/>
        <v>0</v>
      </c>
      <c r="AA139" s="1874" t="str">
        <f t="shared" si="32"/>
        <v>-</v>
      </c>
      <c r="AB139" s="1870"/>
      <c r="AC139" s="1875" t="s">
        <v>1665</v>
      </c>
      <c r="AF139" s="1877"/>
      <c r="AG139" s="379"/>
      <c r="AH139" s="379"/>
    </row>
    <row r="140" spans="1:34" s="1876" customFormat="1" hidden="1" x14ac:dyDescent="0.25">
      <c r="A140" s="541"/>
      <c r="B140" s="1880" t="s">
        <v>1729</v>
      </c>
      <c r="C140" s="1872"/>
      <c r="D140" s="541"/>
      <c r="E140" s="1040"/>
      <c r="F140" s="1873"/>
      <c r="G140" s="1873"/>
      <c r="H140" s="908"/>
      <c r="I140" s="1873"/>
      <c r="J140" s="1873"/>
      <c r="K140" s="908"/>
      <c r="L140" s="1873"/>
      <c r="M140" s="1873"/>
      <c r="N140" s="908"/>
      <c r="O140" s="1873"/>
      <c r="P140" s="1873"/>
      <c r="Q140" s="908">
        <f>SUM(Q136:Q139)*0.271</f>
        <v>8.1</v>
      </c>
      <c r="R140" s="908"/>
      <c r="S140" s="908">
        <f t="shared" si="30"/>
        <v>8.1</v>
      </c>
      <c r="T140" s="1873"/>
      <c r="U140" s="1873"/>
      <c r="V140" s="908"/>
      <c r="W140" s="1873"/>
      <c r="X140" s="1873"/>
      <c r="Y140" s="908"/>
      <c r="Z140" s="1874">
        <f t="shared" si="31"/>
        <v>8.1</v>
      </c>
      <c r="AA140" s="1874" t="str">
        <f t="shared" si="32"/>
        <v>-</v>
      </c>
      <c r="AB140" s="1870"/>
      <c r="AC140" s="1875" t="s">
        <v>1665</v>
      </c>
      <c r="AF140" s="1877"/>
      <c r="AG140" s="379"/>
      <c r="AH140" s="379"/>
    </row>
    <row r="141" spans="1:34" s="1876" customFormat="1" hidden="1" x14ac:dyDescent="0.25">
      <c r="A141" s="541"/>
      <c r="B141" s="876" t="s">
        <v>1798</v>
      </c>
      <c r="C141" s="508" t="s">
        <v>797</v>
      </c>
      <c r="D141" s="962"/>
      <c r="E141" s="535" t="s">
        <v>227</v>
      </c>
      <c r="F141" s="682"/>
      <c r="G141" s="682"/>
      <c r="H141" s="496"/>
      <c r="I141" s="682"/>
      <c r="J141" s="682"/>
      <c r="K141" s="496"/>
      <c r="L141" s="682"/>
      <c r="M141" s="682"/>
      <c r="N141" s="496"/>
      <c r="O141" s="1825">
        <v>50</v>
      </c>
      <c r="P141" s="1825">
        <v>0.1</v>
      </c>
      <c r="Q141" s="532">
        <f>O141*P141</f>
        <v>5</v>
      </c>
      <c r="R141" s="532"/>
      <c r="S141" s="532">
        <f t="shared" si="30"/>
        <v>5</v>
      </c>
      <c r="T141" s="682"/>
      <c r="U141" s="1873"/>
      <c r="V141" s="908"/>
      <c r="W141" s="1873"/>
      <c r="X141" s="1873"/>
      <c r="Y141" s="908"/>
      <c r="Z141" s="1874">
        <f t="shared" si="31"/>
        <v>5</v>
      </c>
      <c r="AA141" s="1874" t="str">
        <f t="shared" si="32"/>
        <v>-</v>
      </c>
      <c r="AB141" s="1881" t="s">
        <v>1799</v>
      </c>
      <c r="AC141" s="1875" t="s">
        <v>1665</v>
      </c>
      <c r="AF141" s="1877"/>
      <c r="AG141" s="379"/>
      <c r="AH141" s="379"/>
    </row>
    <row r="142" spans="1:34" s="1876" customFormat="1" ht="28.5" hidden="1" customHeight="1" x14ac:dyDescent="0.25">
      <c r="A142" s="541"/>
      <c r="B142" s="876" t="s">
        <v>1226</v>
      </c>
      <c r="C142" s="1882" t="s">
        <v>796</v>
      </c>
      <c r="D142" s="962"/>
      <c r="E142" s="535"/>
      <c r="F142" s="682"/>
      <c r="G142" s="682"/>
      <c r="H142" s="496"/>
      <c r="I142" s="682"/>
      <c r="J142" s="682"/>
      <c r="K142" s="496"/>
      <c r="L142" s="682"/>
      <c r="M142" s="682"/>
      <c r="N142" s="496"/>
      <c r="O142" s="682"/>
      <c r="P142" s="682"/>
      <c r="Q142" s="532">
        <f>SUM(Q143:Q143)</f>
        <v>30</v>
      </c>
      <c r="R142" s="532"/>
      <c r="S142" s="532">
        <f t="shared" si="30"/>
        <v>30</v>
      </c>
      <c r="T142" s="682"/>
      <c r="U142" s="1873"/>
      <c r="V142" s="908"/>
      <c r="W142" s="1873"/>
      <c r="X142" s="1873"/>
      <c r="Y142" s="908"/>
      <c r="Z142" s="1874">
        <f t="shared" si="31"/>
        <v>30</v>
      </c>
      <c r="AA142" s="1874" t="str">
        <f t="shared" si="32"/>
        <v>-</v>
      </c>
      <c r="AB142" s="3527" t="s">
        <v>1800</v>
      </c>
      <c r="AC142" s="1875" t="s">
        <v>1665</v>
      </c>
      <c r="AF142" s="1877"/>
      <c r="AG142" s="379"/>
      <c r="AH142" s="379"/>
    </row>
    <row r="143" spans="1:34" s="1876" customFormat="1" hidden="1" x14ac:dyDescent="0.25">
      <c r="A143" s="541"/>
      <c r="B143" s="1880" t="s">
        <v>1801</v>
      </c>
      <c r="C143" s="1872"/>
      <c r="D143" s="541"/>
      <c r="E143" s="1040" t="s">
        <v>227</v>
      </c>
      <c r="F143" s="1873"/>
      <c r="G143" s="1873"/>
      <c r="H143" s="908"/>
      <c r="I143" s="1873"/>
      <c r="J143" s="1873"/>
      <c r="K143" s="908"/>
      <c r="L143" s="1873"/>
      <c r="M143" s="1873"/>
      <c r="N143" s="908"/>
      <c r="O143" s="1873">
        <v>3</v>
      </c>
      <c r="P143" s="1873">
        <v>10</v>
      </c>
      <c r="Q143" s="908">
        <v>30</v>
      </c>
      <c r="R143" s="908"/>
      <c r="S143" s="908">
        <f t="shared" si="30"/>
        <v>30</v>
      </c>
      <c r="T143" s="1873"/>
      <c r="U143" s="1873"/>
      <c r="V143" s="908"/>
      <c r="W143" s="1873"/>
      <c r="X143" s="1873"/>
      <c r="Y143" s="908"/>
      <c r="Z143" s="1874">
        <f t="shared" si="31"/>
        <v>30</v>
      </c>
      <c r="AA143" s="1874" t="str">
        <f t="shared" si="32"/>
        <v>-</v>
      </c>
      <c r="AB143" s="3529"/>
      <c r="AC143" s="1875" t="s">
        <v>1665</v>
      </c>
      <c r="AF143" s="1877"/>
      <c r="AG143" s="379"/>
      <c r="AH143" s="379"/>
    </row>
    <row r="144" spans="1:34" s="498" customFormat="1" hidden="1" x14ac:dyDescent="0.25">
      <c r="A144" s="962"/>
      <c r="B144" s="876" t="s">
        <v>1741</v>
      </c>
      <c r="C144" s="508" t="s">
        <v>797</v>
      </c>
      <c r="D144" s="962"/>
      <c r="E144" s="535"/>
      <c r="F144" s="682"/>
      <c r="G144" s="682"/>
      <c r="H144" s="496"/>
      <c r="I144" s="682"/>
      <c r="J144" s="682"/>
      <c r="K144" s="496"/>
      <c r="L144" s="682"/>
      <c r="M144" s="682"/>
      <c r="N144" s="496"/>
      <c r="O144" s="682"/>
      <c r="P144" s="682"/>
      <c r="Q144" s="532">
        <f>Q145</f>
        <v>2</v>
      </c>
      <c r="R144" s="532"/>
      <c r="S144" s="532">
        <f t="shared" si="30"/>
        <v>2</v>
      </c>
      <c r="T144" s="682"/>
      <c r="U144" s="682"/>
      <c r="V144" s="496"/>
      <c r="W144" s="682"/>
      <c r="X144" s="682"/>
      <c r="Y144" s="496"/>
      <c r="Z144" s="1245">
        <f t="shared" si="31"/>
        <v>2</v>
      </c>
      <c r="AA144" s="1245" t="str">
        <f t="shared" si="32"/>
        <v>-</v>
      </c>
      <c r="AB144" s="1870"/>
      <c r="AC144" s="491" t="s">
        <v>1665</v>
      </c>
      <c r="AF144" s="466"/>
      <c r="AG144" s="465"/>
      <c r="AH144" s="465"/>
    </row>
    <row r="145" spans="1:34" s="498" customFormat="1" hidden="1" x14ac:dyDescent="0.25">
      <c r="A145" s="962"/>
      <c r="B145" s="502" t="s">
        <v>1769</v>
      </c>
      <c r="C145" s="499"/>
      <c r="D145" s="962"/>
      <c r="E145" s="535" t="s">
        <v>227</v>
      </c>
      <c r="F145" s="682"/>
      <c r="G145" s="682"/>
      <c r="H145" s="496"/>
      <c r="I145" s="682"/>
      <c r="J145" s="682"/>
      <c r="K145" s="496"/>
      <c r="L145" s="682"/>
      <c r="M145" s="682"/>
      <c r="N145" s="496"/>
      <c r="O145" s="682">
        <v>20</v>
      </c>
      <c r="P145" s="682">
        <v>0.1</v>
      </c>
      <c r="Q145" s="496">
        <f>O145*P145</f>
        <v>2</v>
      </c>
      <c r="R145" s="496"/>
      <c r="S145" s="496">
        <f t="shared" si="30"/>
        <v>2</v>
      </c>
      <c r="T145" s="682"/>
      <c r="U145" s="682"/>
      <c r="V145" s="496"/>
      <c r="W145" s="682"/>
      <c r="X145" s="682"/>
      <c r="Y145" s="496"/>
      <c r="Z145" s="1245">
        <f t="shared" si="31"/>
        <v>2</v>
      </c>
      <c r="AA145" s="1245" t="str">
        <f t="shared" si="32"/>
        <v>-</v>
      </c>
      <c r="AB145" s="1870"/>
      <c r="AC145" s="491" t="s">
        <v>1665</v>
      </c>
      <c r="AF145" s="466"/>
      <c r="AG145" s="465"/>
      <c r="AH145" s="465"/>
    </row>
    <row r="146" spans="1:34" s="517" customFormat="1" ht="14.25" hidden="1" x14ac:dyDescent="0.2">
      <c r="A146" s="487"/>
      <c r="B146" s="543" t="s">
        <v>1802</v>
      </c>
      <c r="C146" s="511"/>
      <c r="D146" s="487"/>
      <c r="E146" s="490"/>
      <c r="F146" s="832"/>
      <c r="G146" s="833"/>
      <c r="H146" s="513" t="e">
        <f>#REF!+#REF!+H147</f>
        <v>#REF!</v>
      </c>
      <c r="I146" s="513"/>
      <c r="J146" s="513"/>
      <c r="K146" s="513">
        <f>K147</f>
        <v>27</v>
      </c>
      <c r="L146" s="513"/>
      <c r="M146" s="513"/>
      <c r="N146" s="513">
        <f>N147</f>
        <v>27</v>
      </c>
      <c r="O146" s="513"/>
      <c r="P146" s="513"/>
      <c r="Q146" s="513">
        <f>Q147</f>
        <v>61.7</v>
      </c>
      <c r="R146" s="513">
        <f>R147</f>
        <v>61.7</v>
      </c>
      <c r="S146" s="513">
        <f>S147</f>
        <v>0</v>
      </c>
      <c r="T146" s="513"/>
      <c r="U146" s="513"/>
      <c r="V146" s="513">
        <f>V147</f>
        <v>50.9</v>
      </c>
      <c r="W146" s="513"/>
      <c r="X146" s="513"/>
      <c r="Y146" s="513">
        <f>Y147</f>
        <v>50.9</v>
      </c>
      <c r="Z146" s="513">
        <f t="shared" si="31"/>
        <v>34.700000000000003</v>
      </c>
      <c r="AA146" s="513">
        <f t="shared" si="32"/>
        <v>228.5</v>
      </c>
      <c r="AB146" s="897"/>
      <c r="AC146" s="515"/>
      <c r="AF146" s="518"/>
      <c r="AG146" s="519"/>
      <c r="AH146" s="519"/>
    </row>
    <row r="147" spans="1:34" s="527" customFormat="1" ht="38.25" hidden="1" x14ac:dyDescent="0.2">
      <c r="A147" s="522"/>
      <c r="B147" s="520" t="s">
        <v>1664</v>
      </c>
      <c r="C147" s="521"/>
      <c r="D147" s="522" t="s">
        <v>1444</v>
      </c>
      <c r="E147" s="522"/>
      <c r="F147" s="851"/>
      <c r="G147" s="852"/>
      <c r="H147" s="526">
        <f>H154+H156</f>
        <v>29</v>
      </c>
      <c r="I147" s="853"/>
      <c r="J147" s="853"/>
      <c r="K147" s="526">
        <f>K154+K155+K156</f>
        <v>27</v>
      </c>
      <c r="L147" s="853"/>
      <c r="M147" s="853"/>
      <c r="N147" s="526">
        <f>N154+N155+N156</f>
        <v>27</v>
      </c>
      <c r="O147" s="853"/>
      <c r="P147" s="853"/>
      <c r="Q147" s="526">
        <f>Q148+Q154+Q155+Q156</f>
        <v>61.7</v>
      </c>
      <c r="R147" s="526">
        <f t="shared" ref="R147:R210" si="33">Q147</f>
        <v>61.7</v>
      </c>
      <c r="S147" s="526"/>
      <c r="T147" s="853"/>
      <c r="U147" s="853"/>
      <c r="V147" s="526">
        <f>V148+V154+V155+V156</f>
        <v>50.9</v>
      </c>
      <c r="W147" s="853"/>
      <c r="X147" s="853"/>
      <c r="Y147" s="526">
        <f>Y148+Y154+Y155+Y156</f>
        <v>50.9</v>
      </c>
      <c r="Z147" s="526">
        <f t="shared" si="31"/>
        <v>34.700000000000003</v>
      </c>
      <c r="AA147" s="526">
        <f t="shared" si="32"/>
        <v>228.5</v>
      </c>
      <c r="AB147" s="1883"/>
      <c r="AC147" s="549" t="s">
        <v>1665</v>
      </c>
      <c r="AF147" s="528"/>
      <c r="AG147" s="528"/>
      <c r="AH147" s="528"/>
    </row>
    <row r="148" spans="1:34" s="492" customFormat="1" ht="14.25" x14ac:dyDescent="0.2">
      <c r="A148" s="1240"/>
      <c r="B148" s="1861" t="s">
        <v>1233</v>
      </c>
      <c r="C148" s="501" t="s">
        <v>1230</v>
      </c>
      <c r="D148" s="1240"/>
      <c r="E148" s="1240"/>
      <c r="F148" s="530"/>
      <c r="G148" s="531"/>
      <c r="H148" s="542"/>
      <c r="I148" s="493"/>
      <c r="J148" s="493"/>
      <c r="K148" s="542"/>
      <c r="L148" s="493"/>
      <c r="M148" s="493"/>
      <c r="N148" s="542"/>
      <c r="O148" s="493"/>
      <c r="P148" s="493"/>
      <c r="Q148" s="542">
        <v>29.9</v>
      </c>
      <c r="R148" s="542">
        <f t="shared" si="33"/>
        <v>29.9</v>
      </c>
      <c r="S148" s="542"/>
      <c r="T148" s="493"/>
      <c r="U148" s="493"/>
      <c r="V148" s="542">
        <f>SUM(V149:V153)</f>
        <v>19.100000000000001</v>
      </c>
      <c r="W148" s="493"/>
      <c r="X148" s="493"/>
      <c r="Y148" s="542">
        <f>SUM(Y149:Y153)</f>
        <v>19.100000000000001</v>
      </c>
      <c r="Z148" s="542">
        <f t="shared" si="31"/>
        <v>29.9</v>
      </c>
      <c r="AA148" s="542" t="str">
        <f t="shared" si="32"/>
        <v>-</v>
      </c>
      <c r="AB148" s="1884" t="s">
        <v>1803</v>
      </c>
      <c r="AC148" s="549" t="s">
        <v>1665</v>
      </c>
      <c r="AF148" s="466"/>
      <c r="AG148" s="466"/>
      <c r="AH148" s="466"/>
    </row>
    <row r="149" spans="1:34" s="492" customFormat="1" ht="14.25" hidden="1" x14ac:dyDescent="0.2">
      <c r="A149" s="1240"/>
      <c r="B149" s="1885" t="s">
        <v>1804</v>
      </c>
      <c r="C149" s="501"/>
      <c r="D149" s="1240"/>
      <c r="E149" s="962" t="s">
        <v>318</v>
      </c>
      <c r="F149" s="530"/>
      <c r="G149" s="531"/>
      <c r="H149" s="542"/>
      <c r="I149" s="493"/>
      <c r="J149" s="493"/>
      <c r="K149" s="542"/>
      <c r="L149" s="493"/>
      <c r="M149" s="493"/>
      <c r="N149" s="542"/>
      <c r="O149" s="1886">
        <v>1</v>
      </c>
      <c r="P149" s="1245">
        <v>2.2999999999999998</v>
      </c>
      <c r="Q149" s="857">
        <f>O149*P149</f>
        <v>2.2999999999999998</v>
      </c>
      <c r="R149" s="857">
        <f t="shared" si="33"/>
        <v>2.2999999999999998</v>
      </c>
      <c r="S149" s="857"/>
      <c r="T149" s="1886">
        <v>1</v>
      </c>
      <c r="U149" s="1245">
        <v>2.2999999999999998</v>
      </c>
      <c r="V149" s="857">
        <f>T149*U149</f>
        <v>2.2999999999999998</v>
      </c>
      <c r="W149" s="1886">
        <v>1</v>
      </c>
      <c r="X149" s="1245">
        <v>2.2999999999999998</v>
      </c>
      <c r="Y149" s="857">
        <f>W149*X149</f>
        <v>2.2999999999999998</v>
      </c>
      <c r="Z149" s="542">
        <f t="shared" si="31"/>
        <v>2.2999999999999998</v>
      </c>
      <c r="AA149" s="542" t="str">
        <f t="shared" si="32"/>
        <v>-</v>
      </c>
      <c r="AB149" s="1884" t="s">
        <v>1805</v>
      </c>
      <c r="AC149" s="491" t="s">
        <v>1665</v>
      </c>
      <c r="AF149" s="466"/>
      <c r="AG149" s="466"/>
      <c r="AH149" s="466"/>
    </row>
    <row r="150" spans="1:34" s="492" customFormat="1" ht="52.5" hidden="1" customHeight="1" x14ac:dyDescent="0.2">
      <c r="A150" s="1240"/>
      <c r="B150" s="1885" t="s">
        <v>1757</v>
      </c>
      <c r="C150" s="501"/>
      <c r="D150" s="1240"/>
      <c r="E150" s="962" t="s">
        <v>318</v>
      </c>
      <c r="F150" s="530"/>
      <c r="G150" s="531"/>
      <c r="H150" s="542"/>
      <c r="I150" s="493"/>
      <c r="J150" s="493"/>
      <c r="K150" s="542"/>
      <c r="L150" s="493"/>
      <c r="M150" s="493"/>
      <c r="N150" s="542"/>
      <c r="O150" s="1886">
        <v>2</v>
      </c>
      <c r="P150" s="1245">
        <v>3.5</v>
      </c>
      <c r="Q150" s="857">
        <f t="shared" ref="Q150:Q151" si="34">O150*P150</f>
        <v>7</v>
      </c>
      <c r="R150" s="857">
        <f t="shared" si="33"/>
        <v>7</v>
      </c>
      <c r="S150" s="857"/>
      <c r="T150" s="1886">
        <v>2</v>
      </c>
      <c r="U150" s="1245">
        <v>3.5</v>
      </c>
      <c r="V150" s="857">
        <f t="shared" ref="V150:V151" si="35">T150*U150</f>
        <v>7</v>
      </c>
      <c r="W150" s="1886">
        <v>2</v>
      </c>
      <c r="X150" s="1245">
        <v>3.5</v>
      </c>
      <c r="Y150" s="857">
        <f t="shared" ref="Y150:Y151" si="36">W150*X150</f>
        <v>7</v>
      </c>
      <c r="Z150" s="542">
        <f t="shared" si="31"/>
        <v>7</v>
      </c>
      <c r="AA150" s="542" t="str">
        <f t="shared" si="32"/>
        <v>-</v>
      </c>
      <c r="AB150" s="1884" t="s">
        <v>1806</v>
      </c>
      <c r="AC150" s="491" t="s">
        <v>1665</v>
      </c>
      <c r="AF150" s="466"/>
      <c r="AG150" s="466"/>
      <c r="AH150" s="466"/>
    </row>
    <row r="151" spans="1:34" s="492" customFormat="1" ht="72" hidden="1" customHeight="1" x14ac:dyDescent="0.2">
      <c r="A151" s="1240"/>
      <c r="B151" s="1885" t="s">
        <v>1807</v>
      </c>
      <c r="C151" s="501"/>
      <c r="D151" s="1240"/>
      <c r="E151" s="962" t="s">
        <v>318</v>
      </c>
      <c r="F151" s="530"/>
      <c r="G151" s="531"/>
      <c r="H151" s="542"/>
      <c r="I151" s="493"/>
      <c r="J151" s="493"/>
      <c r="K151" s="542"/>
      <c r="L151" s="493"/>
      <c r="M151" s="493"/>
      <c r="N151" s="542"/>
      <c r="O151" s="1886">
        <v>1</v>
      </c>
      <c r="P151" s="1245">
        <v>4</v>
      </c>
      <c r="Q151" s="857">
        <f t="shared" si="34"/>
        <v>4</v>
      </c>
      <c r="R151" s="857">
        <f t="shared" si="33"/>
        <v>4</v>
      </c>
      <c r="S151" s="857"/>
      <c r="T151" s="1886">
        <v>1</v>
      </c>
      <c r="U151" s="1245">
        <v>4</v>
      </c>
      <c r="V151" s="857">
        <f t="shared" si="35"/>
        <v>4</v>
      </c>
      <c r="W151" s="1886">
        <v>1</v>
      </c>
      <c r="X151" s="1245">
        <v>4</v>
      </c>
      <c r="Y151" s="857">
        <f t="shared" si="36"/>
        <v>4</v>
      </c>
      <c r="Z151" s="542">
        <f t="shared" si="31"/>
        <v>4</v>
      </c>
      <c r="AA151" s="542" t="str">
        <f t="shared" si="32"/>
        <v>-</v>
      </c>
      <c r="AB151" s="901" t="s">
        <v>1808</v>
      </c>
      <c r="AC151" s="491" t="s">
        <v>1665</v>
      </c>
      <c r="AF151" s="466"/>
      <c r="AG151" s="466"/>
      <c r="AH151" s="466"/>
    </row>
    <row r="152" spans="1:34" s="492" customFormat="1" ht="38.25" hidden="1" x14ac:dyDescent="0.2">
      <c r="A152" s="1240"/>
      <c r="B152" s="1862" t="s">
        <v>1809</v>
      </c>
      <c r="C152" s="501"/>
      <c r="D152" s="1240"/>
      <c r="E152" s="1240" t="s">
        <v>318</v>
      </c>
      <c r="F152" s="530"/>
      <c r="G152" s="531"/>
      <c r="H152" s="542"/>
      <c r="I152" s="493"/>
      <c r="J152" s="493"/>
      <c r="K152" s="542"/>
      <c r="L152" s="493"/>
      <c r="M152" s="493"/>
      <c r="N152" s="542"/>
      <c r="O152" s="1886">
        <v>3</v>
      </c>
      <c r="P152" s="1245">
        <v>3.5</v>
      </c>
      <c r="Q152" s="857">
        <f>O152*P152</f>
        <v>10.5</v>
      </c>
      <c r="R152" s="857">
        <f t="shared" si="33"/>
        <v>10.5</v>
      </c>
      <c r="S152" s="857"/>
      <c r="T152" s="1245">
        <v>2</v>
      </c>
      <c r="U152" s="1245">
        <v>2.2999999999999998</v>
      </c>
      <c r="V152" s="857">
        <f>T152*U152</f>
        <v>4.5999999999999996</v>
      </c>
      <c r="W152" s="1245">
        <v>2</v>
      </c>
      <c r="X152" s="1245">
        <v>2.2999999999999998</v>
      </c>
      <c r="Y152" s="857">
        <f>W152*X152</f>
        <v>4.5999999999999996</v>
      </c>
      <c r="Z152" s="542">
        <f t="shared" si="31"/>
        <v>10.5</v>
      </c>
      <c r="AA152" s="542" t="str">
        <f t="shared" si="32"/>
        <v>-</v>
      </c>
      <c r="AB152" s="1839" t="s">
        <v>1810</v>
      </c>
      <c r="AC152" s="491" t="s">
        <v>1665</v>
      </c>
      <c r="AF152" s="466"/>
      <c r="AG152" s="466"/>
      <c r="AH152" s="466"/>
    </row>
    <row r="153" spans="1:34" s="492" customFormat="1" ht="14.25" hidden="1" x14ac:dyDescent="0.2">
      <c r="A153" s="1240"/>
      <c r="B153" s="881" t="s">
        <v>1729</v>
      </c>
      <c r="C153" s="501"/>
      <c r="D153" s="1240"/>
      <c r="E153" s="1240"/>
      <c r="F153" s="530"/>
      <c r="G153" s="531"/>
      <c r="H153" s="542"/>
      <c r="I153" s="493"/>
      <c r="J153" s="493"/>
      <c r="K153" s="542"/>
      <c r="L153" s="493"/>
      <c r="M153" s="493"/>
      <c r="N153" s="542"/>
      <c r="O153" s="493"/>
      <c r="P153" s="493"/>
      <c r="Q153" s="857">
        <f>SUM(Q149:Q152)*0.271</f>
        <v>6.4</v>
      </c>
      <c r="R153" s="857">
        <f t="shared" si="33"/>
        <v>6.4</v>
      </c>
      <c r="S153" s="857"/>
      <c r="T153" s="493"/>
      <c r="U153" s="493"/>
      <c r="V153" s="857">
        <f>SUM(V152)*0.271</f>
        <v>1.2</v>
      </c>
      <c r="W153" s="493"/>
      <c r="X153" s="493"/>
      <c r="Y153" s="857">
        <f>SUM(Y152)*0.271</f>
        <v>1.2</v>
      </c>
      <c r="Z153" s="542">
        <f t="shared" si="31"/>
        <v>6.4</v>
      </c>
      <c r="AA153" s="542" t="str">
        <f t="shared" si="32"/>
        <v>-</v>
      </c>
      <c r="AB153" s="1884"/>
      <c r="AC153" s="549" t="s">
        <v>1665</v>
      </c>
      <c r="AF153" s="466"/>
      <c r="AG153" s="466"/>
      <c r="AH153" s="466"/>
    </row>
    <row r="154" spans="1:34" s="498" customFormat="1" hidden="1" x14ac:dyDescent="0.25">
      <c r="A154" s="962"/>
      <c r="B154" s="502" t="s">
        <v>1811</v>
      </c>
      <c r="C154" s="501" t="s">
        <v>796</v>
      </c>
      <c r="D154" s="903"/>
      <c r="E154" s="962" t="s">
        <v>227</v>
      </c>
      <c r="F154" s="494">
        <v>240</v>
      </c>
      <c r="G154" s="495">
        <v>0.1</v>
      </c>
      <c r="H154" s="559">
        <f>F154*G154</f>
        <v>24</v>
      </c>
      <c r="I154" s="1245">
        <v>120</v>
      </c>
      <c r="J154" s="1245">
        <v>0.2</v>
      </c>
      <c r="K154" s="559">
        <f>I154*J154</f>
        <v>24</v>
      </c>
      <c r="L154" s="1245">
        <v>120</v>
      </c>
      <c r="M154" s="1245">
        <v>0.2</v>
      </c>
      <c r="N154" s="559">
        <f>L154*M154</f>
        <v>24</v>
      </c>
      <c r="O154" s="1245">
        <v>96</v>
      </c>
      <c r="P154" s="1245">
        <v>0.3</v>
      </c>
      <c r="Q154" s="533">
        <f>O154*P154</f>
        <v>28.8</v>
      </c>
      <c r="R154" s="533">
        <f t="shared" si="33"/>
        <v>28.8</v>
      </c>
      <c r="S154" s="533"/>
      <c r="T154" s="1245">
        <v>96</v>
      </c>
      <c r="U154" s="1245">
        <v>0.3</v>
      </c>
      <c r="V154" s="533">
        <f>T154*U154</f>
        <v>28.8</v>
      </c>
      <c r="W154" s="1245">
        <v>96</v>
      </c>
      <c r="X154" s="1245">
        <v>0.3</v>
      </c>
      <c r="Y154" s="533">
        <f>W154*X154</f>
        <v>28.8</v>
      </c>
      <c r="Z154" s="559">
        <f t="shared" si="31"/>
        <v>4.8</v>
      </c>
      <c r="AA154" s="559">
        <f t="shared" si="32"/>
        <v>120</v>
      </c>
      <c r="AB154" s="893"/>
      <c r="AC154" s="549" t="s">
        <v>1665</v>
      </c>
      <c r="AF154" s="466"/>
      <c r="AG154" s="465"/>
      <c r="AH154" s="465"/>
    </row>
    <row r="155" spans="1:34" s="498" customFormat="1" ht="25.5" hidden="1" x14ac:dyDescent="0.25">
      <c r="A155" s="962"/>
      <c r="B155" s="502" t="s">
        <v>1812</v>
      </c>
      <c r="C155" s="501" t="s">
        <v>797</v>
      </c>
      <c r="D155" s="903"/>
      <c r="E155" s="962" t="s">
        <v>227</v>
      </c>
      <c r="F155" s="494"/>
      <c r="G155" s="495"/>
      <c r="H155" s="559"/>
      <c r="I155" s="1245">
        <v>10</v>
      </c>
      <c r="J155" s="1245">
        <v>0.1</v>
      </c>
      <c r="K155" s="559">
        <f>I155*J155</f>
        <v>1</v>
      </c>
      <c r="L155" s="1245">
        <v>10</v>
      </c>
      <c r="M155" s="1245">
        <v>0.1</v>
      </c>
      <c r="N155" s="559">
        <f>L155*M155</f>
        <v>1</v>
      </c>
      <c r="O155" s="1245">
        <v>10</v>
      </c>
      <c r="P155" s="1245">
        <v>0.1</v>
      </c>
      <c r="Q155" s="533">
        <f>O155*P155</f>
        <v>1</v>
      </c>
      <c r="R155" s="533">
        <f t="shared" si="33"/>
        <v>1</v>
      </c>
      <c r="S155" s="533"/>
      <c r="T155" s="1245">
        <v>10</v>
      </c>
      <c r="U155" s="1245">
        <v>0.1</v>
      </c>
      <c r="V155" s="533">
        <f>T155*U155</f>
        <v>1</v>
      </c>
      <c r="W155" s="1245">
        <v>10</v>
      </c>
      <c r="X155" s="1245">
        <v>0.1</v>
      </c>
      <c r="Y155" s="533">
        <f>W155*X155</f>
        <v>1</v>
      </c>
      <c r="Z155" s="559">
        <f t="shared" si="31"/>
        <v>0</v>
      </c>
      <c r="AA155" s="559">
        <f t="shared" si="32"/>
        <v>100</v>
      </c>
      <c r="AB155" s="893"/>
      <c r="AC155" s="549" t="s">
        <v>1665</v>
      </c>
      <c r="AF155" s="466"/>
      <c r="AG155" s="465"/>
      <c r="AH155" s="465"/>
    </row>
    <row r="156" spans="1:34" s="498" customFormat="1" ht="38.25" hidden="1" x14ac:dyDescent="0.25">
      <c r="A156" s="962"/>
      <c r="B156" s="502" t="s">
        <v>1813</v>
      </c>
      <c r="C156" s="501" t="s">
        <v>797</v>
      </c>
      <c r="D156" s="903"/>
      <c r="E156" s="962" t="s">
        <v>227</v>
      </c>
      <c r="F156" s="494">
        <v>25</v>
      </c>
      <c r="G156" s="495">
        <v>0.2</v>
      </c>
      <c r="H156" s="1245">
        <f>F156*G156</f>
        <v>5</v>
      </c>
      <c r="I156" s="1245">
        <v>20</v>
      </c>
      <c r="J156" s="1245">
        <v>0.1</v>
      </c>
      <c r="K156" s="559">
        <f>I156*J156</f>
        <v>2</v>
      </c>
      <c r="L156" s="1245">
        <v>20</v>
      </c>
      <c r="M156" s="1245">
        <v>0.1</v>
      </c>
      <c r="N156" s="559">
        <f>L156*M156</f>
        <v>2</v>
      </c>
      <c r="O156" s="1245">
        <v>20</v>
      </c>
      <c r="P156" s="1245">
        <v>0.1</v>
      </c>
      <c r="Q156" s="533">
        <f>O156*P156</f>
        <v>2</v>
      </c>
      <c r="R156" s="533">
        <f t="shared" si="33"/>
        <v>2</v>
      </c>
      <c r="S156" s="533"/>
      <c r="T156" s="1245">
        <v>20</v>
      </c>
      <c r="U156" s="1245">
        <v>0.1</v>
      </c>
      <c r="V156" s="533">
        <f>T156*U156</f>
        <v>2</v>
      </c>
      <c r="W156" s="1245">
        <v>20</v>
      </c>
      <c r="X156" s="1245">
        <v>0.1</v>
      </c>
      <c r="Y156" s="533">
        <f>W156*X156</f>
        <v>2</v>
      </c>
      <c r="Z156" s="559">
        <f t="shared" si="31"/>
        <v>0</v>
      </c>
      <c r="AA156" s="559">
        <f t="shared" si="32"/>
        <v>100</v>
      </c>
      <c r="AB156" s="1887" t="s">
        <v>1814</v>
      </c>
      <c r="AC156" s="549" t="s">
        <v>1665</v>
      </c>
      <c r="AF156" s="466"/>
      <c r="AG156" s="465"/>
      <c r="AH156" s="465"/>
    </row>
    <row r="157" spans="1:34" s="517" customFormat="1" ht="14.25" hidden="1" x14ac:dyDescent="0.2">
      <c r="A157" s="487"/>
      <c r="B157" s="543" t="s">
        <v>1241</v>
      </c>
      <c r="C157" s="511"/>
      <c r="D157" s="487"/>
      <c r="E157" s="554"/>
      <c r="F157" s="488"/>
      <c r="G157" s="489"/>
      <c r="H157" s="513" t="e">
        <f>#REF!+#REF!+H158+#REF!</f>
        <v>#REF!</v>
      </c>
      <c r="I157" s="490"/>
      <c r="J157" s="490"/>
      <c r="K157" s="513">
        <f>K158</f>
        <v>53.1</v>
      </c>
      <c r="L157" s="490"/>
      <c r="M157" s="490"/>
      <c r="N157" s="513">
        <f>N158</f>
        <v>53.1</v>
      </c>
      <c r="O157" s="490"/>
      <c r="P157" s="490"/>
      <c r="Q157" s="513">
        <f>Q158</f>
        <v>70</v>
      </c>
      <c r="R157" s="513">
        <f t="shared" si="33"/>
        <v>70</v>
      </c>
      <c r="S157" s="513"/>
      <c r="T157" s="490"/>
      <c r="U157" s="490"/>
      <c r="V157" s="513">
        <f>V158</f>
        <v>69.099999999999994</v>
      </c>
      <c r="W157" s="513"/>
      <c r="X157" s="513"/>
      <c r="Y157" s="513">
        <f>Y158</f>
        <v>69.099999999999994</v>
      </c>
      <c r="Z157" s="513">
        <f t="shared" si="31"/>
        <v>16.899999999999999</v>
      </c>
      <c r="AA157" s="513">
        <f t="shared" si="32"/>
        <v>131.80000000000001</v>
      </c>
      <c r="AB157" s="897"/>
      <c r="AC157" s="515"/>
      <c r="AF157" s="519"/>
      <c r="AG157" s="519"/>
      <c r="AH157" s="519"/>
    </row>
    <row r="158" spans="1:34" s="527" customFormat="1" ht="38.25" hidden="1" x14ac:dyDescent="0.2">
      <c r="A158" s="522"/>
      <c r="B158" s="520" t="s">
        <v>1664</v>
      </c>
      <c r="C158" s="521"/>
      <c r="D158" s="1888" t="s">
        <v>1444</v>
      </c>
      <c r="E158" s="522"/>
      <c r="F158" s="851"/>
      <c r="G158" s="852"/>
      <c r="H158" s="853">
        <f>H159+H163+H166+H169+H179+H180</f>
        <v>58.9</v>
      </c>
      <c r="I158" s="853"/>
      <c r="J158" s="853"/>
      <c r="K158" s="853">
        <f>K159+K163+K166+K169+K179+K180</f>
        <v>53.1</v>
      </c>
      <c r="L158" s="853"/>
      <c r="M158" s="853"/>
      <c r="N158" s="853">
        <f>N159+N163+N166+N169+N179+N180</f>
        <v>53.1</v>
      </c>
      <c r="O158" s="853"/>
      <c r="P158" s="853"/>
      <c r="Q158" s="853">
        <f>Q159+Q163+Q166+Q169+Q179+Q180</f>
        <v>70</v>
      </c>
      <c r="R158" s="853">
        <f t="shared" si="33"/>
        <v>70</v>
      </c>
      <c r="S158" s="853"/>
      <c r="T158" s="853"/>
      <c r="U158" s="853"/>
      <c r="V158" s="853">
        <f>V159+V163+V166+V169+V179+V180</f>
        <v>69.099999999999994</v>
      </c>
      <c r="W158" s="853"/>
      <c r="X158" s="853"/>
      <c r="Y158" s="853">
        <f>Y159+Y163+Y166+Y169+Y179+Y180</f>
        <v>69.099999999999994</v>
      </c>
      <c r="Z158" s="853">
        <f t="shared" si="31"/>
        <v>16.899999999999999</v>
      </c>
      <c r="AA158" s="853">
        <f t="shared" si="32"/>
        <v>131.80000000000001</v>
      </c>
      <c r="AB158" s="907"/>
      <c r="AC158" s="549" t="s">
        <v>1665</v>
      </c>
      <c r="AF158" s="528"/>
      <c r="AG158" s="528"/>
      <c r="AH158" s="528"/>
    </row>
    <row r="159" spans="1:34" s="492" customFormat="1" ht="14.25" hidden="1" x14ac:dyDescent="0.2">
      <c r="A159" s="1240"/>
      <c r="B159" s="500" t="s">
        <v>1226</v>
      </c>
      <c r="C159" s="501" t="s">
        <v>797</v>
      </c>
      <c r="D159" s="552"/>
      <c r="E159" s="1240"/>
      <c r="F159" s="530"/>
      <c r="G159" s="531"/>
      <c r="H159" s="493">
        <f>H162</f>
        <v>9.6</v>
      </c>
      <c r="I159" s="532"/>
      <c r="J159" s="532"/>
      <c r="K159" s="532">
        <f>K162</f>
        <v>4.8</v>
      </c>
      <c r="L159" s="532"/>
      <c r="M159" s="532"/>
      <c r="N159" s="532">
        <f>N162</f>
        <v>4.8</v>
      </c>
      <c r="O159" s="532"/>
      <c r="P159" s="532"/>
      <c r="Q159" s="532">
        <f>Q162+Q160+Q161</f>
        <v>2</v>
      </c>
      <c r="R159" s="532">
        <f t="shared" si="33"/>
        <v>2</v>
      </c>
      <c r="S159" s="532"/>
      <c r="T159" s="532"/>
      <c r="U159" s="532"/>
      <c r="V159" s="532">
        <f>V162+V160+V161</f>
        <v>2</v>
      </c>
      <c r="W159" s="532"/>
      <c r="X159" s="532"/>
      <c r="Y159" s="532">
        <f>Y162+Y160+Y161</f>
        <v>2</v>
      </c>
      <c r="Z159" s="493">
        <f t="shared" si="31"/>
        <v>-2.8</v>
      </c>
      <c r="AA159" s="493">
        <f t="shared" si="32"/>
        <v>41.7</v>
      </c>
      <c r="AB159" s="827"/>
      <c r="AC159" s="549" t="s">
        <v>1665</v>
      </c>
      <c r="AF159" s="466"/>
      <c r="AG159" s="466"/>
      <c r="AH159" s="466"/>
    </row>
    <row r="160" spans="1:34" s="492" customFormat="1" ht="38.25" hidden="1" x14ac:dyDescent="0.2">
      <c r="A160" s="1240"/>
      <c r="B160" s="500" t="s">
        <v>1815</v>
      </c>
      <c r="C160" s="501"/>
      <c r="D160" s="932"/>
      <c r="E160" s="873" t="s">
        <v>1238</v>
      </c>
      <c r="F160" s="530"/>
      <c r="G160" s="531"/>
      <c r="H160" s="493"/>
      <c r="I160" s="532"/>
      <c r="J160" s="532"/>
      <c r="K160" s="532"/>
      <c r="L160" s="532"/>
      <c r="M160" s="532"/>
      <c r="N160" s="532"/>
      <c r="O160" s="496">
        <v>2</v>
      </c>
      <c r="P160" s="496">
        <v>1</v>
      </c>
      <c r="Q160" s="496">
        <f>O160*P160</f>
        <v>2</v>
      </c>
      <c r="R160" s="496">
        <f t="shared" si="33"/>
        <v>2</v>
      </c>
      <c r="S160" s="496"/>
      <c r="T160" s="496">
        <v>2</v>
      </c>
      <c r="U160" s="496">
        <v>1</v>
      </c>
      <c r="V160" s="496">
        <f>T160*U160</f>
        <v>2</v>
      </c>
      <c r="W160" s="496">
        <v>2</v>
      </c>
      <c r="X160" s="496">
        <v>1</v>
      </c>
      <c r="Y160" s="496">
        <f>W160*X160</f>
        <v>2</v>
      </c>
      <c r="Z160" s="493">
        <f t="shared" si="31"/>
        <v>2</v>
      </c>
      <c r="AA160" s="493" t="str">
        <f t="shared" si="32"/>
        <v>-</v>
      </c>
      <c r="AB160" s="827" t="s">
        <v>1816</v>
      </c>
      <c r="AC160" s="549" t="s">
        <v>1665</v>
      </c>
      <c r="AF160" s="466"/>
      <c r="AG160" s="466"/>
      <c r="AH160" s="466"/>
    </row>
    <row r="161" spans="1:34" s="492" customFormat="1" ht="25.5" hidden="1" x14ac:dyDescent="0.2">
      <c r="A161" s="1240"/>
      <c r="B161" s="502" t="s">
        <v>1817</v>
      </c>
      <c r="C161" s="501"/>
      <c r="D161" s="932"/>
      <c r="E161" s="873" t="s">
        <v>1238</v>
      </c>
      <c r="F161" s="530"/>
      <c r="G161" s="531"/>
      <c r="H161" s="493"/>
      <c r="I161" s="532"/>
      <c r="J161" s="532"/>
      <c r="K161" s="532"/>
      <c r="L161" s="532"/>
      <c r="M161" s="532"/>
      <c r="N161" s="532"/>
      <c r="O161" s="496"/>
      <c r="P161" s="496"/>
      <c r="Q161" s="496"/>
      <c r="R161" s="496">
        <f t="shared" si="33"/>
        <v>0</v>
      </c>
      <c r="S161" s="496"/>
      <c r="T161" s="496"/>
      <c r="U161" s="496"/>
      <c r="V161" s="496"/>
      <c r="W161" s="496"/>
      <c r="X161" s="496"/>
      <c r="Y161" s="496"/>
      <c r="Z161" s="493">
        <f t="shared" si="31"/>
        <v>0</v>
      </c>
      <c r="AA161" s="493" t="str">
        <f t="shared" si="32"/>
        <v>-</v>
      </c>
      <c r="AB161" s="827" t="s">
        <v>1818</v>
      </c>
      <c r="AC161" s="549" t="s">
        <v>1665</v>
      </c>
      <c r="AF161" s="466"/>
      <c r="AG161" s="466"/>
      <c r="AH161" s="466"/>
    </row>
    <row r="162" spans="1:34" s="498" customFormat="1" hidden="1" x14ac:dyDescent="0.25">
      <c r="A162" s="962"/>
      <c r="B162" s="856" t="s">
        <v>1819</v>
      </c>
      <c r="C162" s="499"/>
      <c r="D162" s="903"/>
      <c r="E162" s="962"/>
      <c r="F162" s="1834">
        <v>1</v>
      </c>
      <c r="G162" s="495">
        <v>9.6</v>
      </c>
      <c r="H162" s="1245">
        <f>F162*G162</f>
        <v>9.6</v>
      </c>
      <c r="I162" s="1835">
        <v>1</v>
      </c>
      <c r="J162" s="496">
        <v>4.8</v>
      </c>
      <c r="K162" s="496">
        <f>I162*J162</f>
        <v>4.8</v>
      </c>
      <c r="L162" s="1835">
        <v>1</v>
      </c>
      <c r="M162" s="496">
        <v>4.8</v>
      </c>
      <c r="N162" s="496">
        <f>L162*M162</f>
        <v>4.8</v>
      </c>
      <c r="O162" s="1835"/>
      <c r="P162" s="496"/>
      <c r="Q162" s="496"/>
      <c r="R162" s="496">
        <f t="shared" si="33"/>
        <v>0</v>
      </c>
      <c r="S162" s="496"/>
      <c r="T162" s="1835"/>
      <c r="U162" s="496"/>
      <c r="V162" s="496"/>
      <c r="W162" s="1835"/>
      <c r="X162" s="496"/>
      <c r="Y162" s="496"/>
      <c r="Z162" s="1245">
        <f t="shared" si="31"/>
        <v>-4.8</v>
      </c>
      <c r="AA162" s="1245">
        <f t="shared" si="32"/>
        <v>0</v>
      </c>
      <c r="AB162" s="827"/>
      <c r="AC162" s="549" t="s">
        <v>1665</v>
      </c>
      <c r="AF162" s="466"/>
      <c r="AG162" s="465"/>
      <c r="AH162" s="465"/>
    </row>
    <row r="163" spans="1:34" s="492" customFormat="1" ht="25.5" hidden="1" x14ac:dyDescent="0.2">
      <c r="A163" s="1240"/>
      <c r="B163" s="500" t="s">
        <v>1239</v>
      </c>
      <c r="C163" s="501" t="s">
        <v>797</v>
      </c>
      <c r="D163" s="932"/>
      <c r="E163" s="1240"/>
      <c r="F163" s="530"/>
      <c r="G163" s="531"/>
      <c r="H163" s="493">
        <f>SUM(H164:H165)</f>
        <v>7.2</v>
      </c>
      <c r="I163" s="532"/>
      <c r="J163" s="532"/>
      <c r="K163" s="532">
        <f>SUM(K164:K165)</f>
        <v>1.6</v>
      </c>
      <c r="L163" s="532"/>
      <c r="M163" s="532"/>
      <c r="N163" s="532">
        <f>SUM(N164:N165)</f>
        <v>1.6</v>
      </c>
      <c r="O163" s="532"/>
      <c r="P163" s="532"/>
      <c r="Q163" s="532">
        <f>SUM(Q164:Q165)</f>
        <v>2</v>
      </c>
      <c r="R163" s="532">
        <f t="shared" si="33"/>
        <v>2</v>
      </c>
      <c r="S163" s="532"/>
      <c r="T163" s="532"/>
      <c r="U163" s="532"/>
      <c r="V163" s="532">
        <f>SUM(V164:V165)</f>
        <v>2</v>
      </c>
      <c r="W163" s="532"/>
      <c r="X163" s="532"/>
      <c r="Y163" s="532">
        <f>SUM(Y164:Y165)</f>
        <v>2</v>
      </c>
      <c r="Z163" s="493">
        <f t="shared" si="31"/>
        <v>0.4</v>
      </c>
      <c r="AA163" s="493">
        <f t="shared" si="32"/>
        <v>125</v>
      </c>
      <c r="AB163" s="827"/>
      <c r="AC163" s="549" t="s">
        <v>1665</v>
      </c>
      <c r="AF163" s="466"/>
      <c r="AG163" s="466"/>
      <c r="AH163" s="466"/>
    </row>
    <row r="164" spans="1:34" s="498" customFormat="1" ht="127.5" hidden="1" x14ac:dyDescent="0.25">
      <c r="A164" s="962"/>
      <c r="B164" s="502" t="s">
        <v>1769</v>
      </c>
      <c r="C164" s="499"/>
      <c r="D164" s="903"/>
      <c r="E164" s="962" t="s">
        <v>227</v>
      </c>
      <c r="F164" s="494">
        <v>32</v>
      </c>
      <c r="G164" s="495">
        <v>0.1</v>
      </c>
      <c r="H164" s="1245">
        <f>F164*G164</f>
        <v>3.2</v>
      </c>
      <c r="I164" s="496">
        <v>16</v>
      </c>
      <c r="J164" s="883">
        <v>0.1</v>
      </c>
      <c r="K164" s="496">
        <f>I164*J164</f>
        <v>1.6</v>
      </c>
      <c r="L164" s="496">
        <v>16</v>
      </c>
      <c r="M164" s="883">
        <v>0.1</v>
      </c>
      <c r="N164" s="496">
        <f>L164*M164</f>
        <v>1.6</v>
      </c>
      <c r="O164" s="496">
        <v>20</v>
      </c>
      <c r="P164" s="496">
        <v>0.1</v>
      </c>
      <c r="Q164" s="496">
        <f>O164*P164</f>
        <v>2</v>
      </c>
      <c r="R164" s="496">
        <f t="shared" si="33"/>
        <v>2</v>
      </c>
      <c r="S164" s="496"/>
      <c r="T164" s="496">
        <v>20</v>
      </c>
      <c r="U164" s="496">
        <v>0.1</v>
      </c>
      <c r="V164" s="496">
        <f>T164*U164</f>
        <v>2</v>
      </c>
      <c r="W164" s="496">
        <v>20</v>
      </c>
      <c r="X164" s="496">
        <v>0.1</v>
      </c>
      <c r="Y164" s="496">
        <f>W164*X164</f>
        <v>2</v>
      </c>
      <c r="Z164" s="1245">
        <f t="shared" si="31"/>
        <v>0.4</v>
      </c>
      <c r="AA164" s="1245">
        <f t="shared" si="32"/>
        <v>125</v>
      </c>
      <c r="AB164" s="900" t="s">
        <v>1820</v>
      </c>
      <c r="AC164" s="549" t="s">
        <v>1665</v>
      </c>
      <c r="AF164" s="466"/>
      <c r="AG164" s="465"/>
      <c r="AH164" s="465"/>
    </row>
    <row r="165" spans="1:34" s="498" customFormat="1" hidden="1" x14ac:dyDescent="0.25">
      <c r="A165" s="962"/>
      <c r="B165" s="856" t="s">
        <v>1821</v>
      </c>
      <c r="C165" s="499"/>
      <c r="D165" s="903"/>
      <c r="E165" s="962" t="s">
        <v>1240</v>
      </c>
      <c r="F165" s="494">
        <v>40</v>
      </c>
      <c r="G165" s="495">
        <v>0.1</v>
      </c>
      <c r="H165" s="1245">
        <f>F165*G165</f>
        <v>4</v>
      </c>
      <c r="I165" s="496"/>
      <c r="J165" s="496"/>
      <c r="K165" s="496">
        <f>I165*J165</f>
        <v>0</v>
      </c>
      <c r="L165" s="496"/>
      <c r="M165" s="496"/>
      <c r="N165" s="496">
        <f>L165*M165</f>
        <v>0</v>
      </c>
      <c r="O165" s="496"/>
      <c r="P165" s="496"/>
      <c r="Q165" s="496"/>
      <c r="R165" s="496">
        <f t="shared" si="33"/>
        <v>0</v>
      </c>
      <c r="S165" s="496"/>
      <c r="T165" s="496"/>
      <c r="U165" s="496"/>
      <c r="V165" s="496"/>
      <c r="W165" s="496"/>
      <c r="X165" s="496"/>
      <c r="Y165" s="496"/>
      <c r="Z165" s="1245">
        <f t="shared" si="31"/>
        <v>0</v>
      </c>
      <c r="AA165" s="1245" t="str">
        <f t="shared" si="32"/>
        <v>-</v>
      </c>
      <c r="AB165" s="827"/>
      <c r="AC165" s="549" t="s">
        <v>1665</v>
      </c>
      <c r="AF165" s="466"/>
      <c r="AG165" s="465"/>
      <c r="AH165" s="465"/>
    </row>
    <row r="166" spans="1:34" s="492" customFormat="1" ht="14.25" hidden="1" x14ac:dyDescent="0.2">
      <c r="A166" s="1240"/>
      <c r="B166" s="500" t="s">
        <v>1822</v>
      </c>
      <c r="C166" s="501" t="s">
        <v>796</v>
      </c>
      <c r="D166" s="932"/>
      <c r="E166" s="1240"/>
      <c r="F166" s="530"/>
      <c r="G166" s="531"/>
      <c r="H166" s="493">
        <f>SUM(H167:H168)</f>
        <v>6</v>
      </c>
      <c r="I166" s="532"/>
      <c r="J166" s="532"/>
      <c r="K166" s="532">
        <f>SUM(K167:K168)</f>
        <v>9</v>
      </c>
      <c r="L166" s="532"/>
      <c r="M166" s="532"/>
      <c r="N166" s="532">
        <f>SUM(N167:N168)</f>
        <v>9</v>
      </c>
      <c r="O166" s="532"/>
      <c r="P166" s="532"/>
      <c r="Q166" s="532">
        <f>SUM(Q167:Q168)</f>
        <v>9</v>
      </c>
      <c r="R166" s="532">
        <f t="shared" si="33"/>
        <v>9</v>
      </c>
      <c r="S166" s="532"/>
      <c r="T166" s="532"/>
      <c r="U166" s="532"/>
      <c r="V166" s="532">
        <f>SUM(V167:V168)</f>
        <v>9</v>
      </c>
      <c r="W166" s="532"/>
      <c r="X166" s="532"/>
      <c r="Y166" s="532">
        <f>SUM(Y167:Y168)</f>
        <v>9</v>
      </c>
      <c r="Z166" s="493">
        <f t="shared" si="31"/>
        <v>0</v>
      </c>
      <c r="AA166" s="493">
        <f t="shared" si="32"/>
        <v>100</v>
      </c>
      <c r="AB166" s="901"/>
      <c r="AC166" s="549" t="s">
        <v>1665</v>
      </c>
      <c r="AF166" s="466"/>
      <c r="AG166" s="466"/>
      <c r="AH166" s="466"/>
    </row>
    <row r="167" spans="1:34" s="498" customFormat="1" hidden="1" x14ac:dyDescent="0.25">
      <c r="A167" s="962"/>
      <c r="B167" s="502" t="s">
        <v>1823</v>
      </c>
      <c r="C167" s="503"/>
      <c r="D167" s="903"/>
      <c r="E167" s="962" t="s">
        <v>227</v>
      </c>
      <c r="F167" s="494">
        <v>6</v>
      </c>
      <c r="G167" s="495">
        <v>0.5</v>
      </c>
      <c r="H167" s="1245">
        <f>F167*G167</f>
        <v>3</v>
      </c>
      <c r="I167" s="496">
        <v>6</v>
      </c>
      <c r="J167" s="496">
        <v>0.5</v>
      </c>
      <c r="K167" s="496">
        <f>I167*J167</f>
        <v>3</v>
      </c>
      <c r="L167" s="496">
        <v>6</v>
      </c>
      <c r="M167" s="496">
        <v>0.5</v>
      </c>
      <c r="N167" s="496">
        <f>L167*M167</f>
        <v>3</v>
      </c>
      <c r="O167" s="496">
        <v>6</v>
      </c>
      <c r="P167" s="496">
        <v>0.5</v>
      </c>
      <c r="Q167" s="496">
        <f>O167*P167</f>
        <v>3</v>
      </c>
      <c r="R167" s="496">
        <f t="shared" si="33"/>
        <v>3</v>
      </c>
      <c r="S167" s="496"/>
      <c r="T167" s="496">
        <v>6</v>
      </c>
      <c r="U167" s="496">
        <v>0.5</v>
      </c>
      <c r="V167" s="496">
        <f>T167*U167</f>
        <v>3</v>
      </c>
      <c r="W167" s="496">
        <v>6</v>
      </c>
      <c r="X167" s="496">
        <v>0.5</v>
      </c>
      <c r="Y167" s="496">
        <f>W167*X167</f>
        <v>3</v>
      </c>
      <c r="Z167" s="1245">
        <f t="shared" si="31"/>
        <v>0</v>
      </c>
      <c r="AA167" s="1245">
        <f t="shared" si="32"/>
        <v>100</v>
      </c>
      <c r="AB167" s="901"/>
      <c r="AC167" s="549" t="s">
        <v>1665</v>
      </c>
      <c r="AF167" s="466"/>
      <c r="AG167" s="465"/>
      <c r="AH167" s="465"/>
    </row>
    <row r="168" spans="1:34" s="498" customFormat="1" hidden="1" x14ac:dyDescent="0.25">
      <c r="A168" s="962"/>
      <c r="B168" s="502" t="s">
        <v>1824</v>
      </c>
      <c r="C168" s="503"/>
      <c r="D168" s="903"/>
      <c r="E168" s="962" t="s">
        <v>227</v>
      </c>
      <c r="F168" s="494">
        <v>30</v>
      </c>
      <c r="G168" s="495">
        <v>0.1</v>
      </c>
      <c r="H168" s="1245">
        <f>F168*G168</f>
        <v>3</v>
      </c>
      <c r="I168" s="496">
        <v>60</v>
      </c>
      <c r="J168" s="496">
        <v>0.1</v>
      </c>
      <c r="K168" s="496">
        <f>I168*J168</f>
        <v>6</v>
      </c>
      <c r="L168" s="496">
        <v>60</v>
      </c>
      <c r="M168" s="496">
        <v>0.1</v>
      </c>
      <c r="N168" s="496">
        <f>L168*M168</f>
        <v>6</v>
      </c>
      <c r="O168" s="496">
        <v>60</v>
      </c>
      <c r="P168" s="496">
        <v>0.1</v>
      </c>
      <c r="Q168" s="496">
        <f>O168*P168</f>
        <v>6</v>
      </c>
      <c r="R168" s="496">
        <f t="shared" si="33"/>
        <v>6</v>
      </c>
      <c r="S168" s="496"/>
      <c r="T168" s="496">
        <v>60</v>
      </c>
      <c r="U168" s="496">
        <v>0.1</v>
      </c>
      <c r="V168" s="496">
        <f>T168*U168</f>
        <v>6</v>
      </c>
      <c r="W168" s="496">
        <v>60</v>
      </c>
      <c r="X168" s="496">
        <v>0.1</v>
      </c>
      <c r="Y168" s="496">
        <f>W168*X168</f>
        <v>6</v>
      </c>
      <c r="Z168" s="1245">
        <f t="shared" si="31"/>
        <v>0</v>
      </c>
      <c r="AA168" s="1245">
        <f t="shared" si="32"/>
        <v>100</v>
      </c>
      <c r="AB168" s="901"/>
      <c r="AC168" s="549" t="s">
        <v>1665</v>
      </c>
      <c r="AF168" s="466"/>
      <c r="AG168" s="465"/>
      <c r="AH168" s="465"/>
    </row>
    <row r="169" spans="1:34" s="492" customFormat="1" ht="14.25" x14ac:dyDescent="0.2">
      <c r="A169" s="1240"/>
      <c r="B169" s="500" t="s">
        <v>1233</v>
      </c>
      <c r="C169" s="501" t="s">
        <v>1230</v>
      </c>
      <c r="D169" s="932"/>
      <c r="E169" s="1240"/>
      <c r="F169" s="530"/>
      <c r="G169" s="531"/>
      <c r="H169" s="493">
        <f>SUM(H170:H178)</f>
        <v>18.7</v>
      </c>
      <c r="I169" s="532"/>
      <c r="J169" s="532"/>
      <c r="K169" s="532">
        <f>SUM(K170:K178)</f>
        <v>17.899999999999999</v>
      </c>
      <c r="L169" s="532"/>
      <c r="M169" s="532"/>
      <c r="N169" s="532">
        <f>SUM(N170:N178)</f>
        <v>17.899999999999999</v>
      </c>
      <c r="O169" s="532"/>
      <c r="P169" s="532"/>
      <c r="Q169" s="532">
        <v>37.200000000000003</v>
      </c>
      <c r="R169" s="532">
        <f t="shared" si="33"/>
        <v>37.200000000000003</v>
      </c>
      <c r="S169" s="532"/>
      <c r="T169" s="532"/>
      <c r="U169" s="532"/>
      <c r="V169" s="532">
        <f>SUM(V170:V178)-1.1</f>
        <v>36.299999999999997</v>
      </c>
      <c r="W169" s="532"/>
      <c r="X169" s="532"/>
      <c r="Y169" s="532">
        <f>SUM(Y170:Y178)-1.1</f>
        <v>36.299999999999997</v>
      </c>
      <c r="Z169" s="493">
        <f t="shared" si="31"/>
        <v>19.3</v>
      </c>
      <c r="AA169" s="493">
        <f t="shared" si="32"/>
        <v>207.8</v>
      </c>
      <c r="AB169" s="893"/>
      <c r="AC169" s="549" t="s">
        <v>1665</v>
      </c>
      <c r="AF169" s="466"/>
      <c r="AG169" s="466"/>
      <c r="AH169" s="466"/>
    </row>
    <row r="170" spans="1:34" s="498" customFormat="1" hidden="1" x14ac:dyDescent="0.25">
      <c r="A170" s="962"/>
      <c r="B170" s="502" t="s">
        <v>1737</v>
      </c>
      <c r="C170" s="503"/>
      <c r="D170" s="903"/>
      <c r="E170" s="962" t="s">
        <v>318</v>
      </c>
      <c r="F170" s="494">
        <v>1</v>
      </c>
      <c r="G170" s="495">
        <v>3.5</v>
      </c>
      <c r="H170" s="1245">
        <f>F170*G170</f>
        <v>3.5</v>
      </c>
      <c r="I170" s="496">
        <v>1</v>
      </c>
      <c r="J170" s="496">
        <v>3.5</v>
      </c>
      <c r="K170" s="496">
        <f>I170*J170</f>
        <v>3.5</v>
      </c>
      <c r="L170" s="496">
        <v>1</v>
      </c>
      <c r="M170" s="496">
        <v>3.5</v>
      </c>
      <c r="N170" s="496">
        <f>L170*M170</f>
        <v>3.5</v>
      </c>
      <c r="O170" s="496">
        <v>1</v>
      </c>
      <c r="P170" s="496">
        <v>3.5</v>
      </c>
      <c r="Q170" s="496">
        <f>O170*P170</f>
        <v>3.5</v>
      </c>
      <c r="R170" s="496">
        <f t="shared" si="33"/>
        <v>3.5</v>
      </c>
      <c r="S170" s="496"/>
      <c r="T170" s="496">
        <v>1</v>
      </c>
      <c r="U170" s="496">
        <v>3.5</v>
      </c>
      <c r="V170" s="496">
        <f>T170*U170</f>
        <v>3.5</v>
      </c>
      <c r="W170" s="496">
        <v>1</v>
      </c>
      <c r="X170" s="496">
        <v>3.5</v>
      </c>
      <c r="Y170" s="496">
        <f>W170*X170</f>
        <v>3.5</v>
      </c>
      <c r="Z170" s="1245">
        <f t="shared" si="31"/>
        <v>0</v>
      </c>
      <c r="AA170" s="1245">
        <f t="shared" si="32"/>
        <v>100</v>
      </c>
      <c r="AB170" s="893"/>
      <c r="AC170" s="549" t="s">
        <v>1665</v>
      </c>
      <c r="AF170" s="466"/>
      <c r="AG170" s="465"/>
      <c r="AH170" s="465"/>
    </row>
    <row r="171" spans="1:34" s="498" customFormat="1" hidden="1" x14ac:dyDescent="0.25">
      <c r="A171" s="962"/>
      <c r="B171" s="502" t="s">
        <v>1755</v>
      </c>
      <c r="C171" s="503"/>
      <c r="D171" s="903"/>
      <c r="E171" s="962" t="s">
        <v>318</v>
      </c>
      <c r="F171" s="494">
        <v>4</v>
      </c>
      <c r="G171" s="495">
        <v>1.73</v>
      </c>
      <c r="H171" s="1245">
        <f>F171*G171</f>
        <v>6.9</v>
      </c>
      <c r="I171" s="496">
        <v>4</v>
      </c>
      <c r="J171" s="496">
        <v>1.7</v>
      </c>
      <c r="K171" s="496">
        <f>I171*J171</f>
        <v>6.8</v>
      </c>
      <c r="L171" s="496">
        <v>4</v>
      </c>
      <c r="M171" s="496">
        <v>1.7</v>
      </c>
      <c r="N171" s="496">
        <f>L171*M171</f>
        <v>6.8</v>
      </c>
      <c r="O171" s="496">
        <v>4</v>
      </c>
      <c r="P171" s="496">
        <v>1.7</v>
      </c>
      <c r="Q171" s="496">
        <f>O171*P171</f>
        <v>6.8</v>
      </c>
      <c r="R171" s="496">
        <f t="shared" si="33"/>
        <v>6.8</v>
      </c>
      <c r="S171" s="496"/>
      <c r="T171" s="496">
        <v>4</v>
      </c>
      <c r="U171" s="496">
        <v>1.7</v>
      </c>
      <c r="V171" s="496">
        <f>T171*U171</f>
        <v>6.8</v>
      </c>
      <c r="W171" s="496">
        <v>4</v>
      </c>
      <c r="X171" s="496">
        <v>1.7</v>
      </c>
      <c r="Y171" s="496">
        <f>W171*X171</f>
        <v>6.8</v>
      </c>
      <c r="Z171" s="1245">
        <f t="shared" si="31"/>
        <v>0</v>
      </c>
      <c r="AA171" s="1245">
        <f t="shared" si="32"/>
        <v>100</v>
      </c>
      <c r="AB171" s="893"/>
      <c r="AC171" s="549" t="s">
        <v>1665</v>
      </c>
      <c r="AF171" s="466"/>
      <c r="AG171" s="465"/>
      <c r="AH171" s="465"/>
    </row>
    <row r="172" spans="1:34" s="498" customFormat="1" hidden="1" x14ac:dyDescent="0.25">
      <c r="A172" s="962"/>
      <c r="B172" s="502" t="s">
        <v>1754</v>
      </c>
      <c r="C172" s="503"/>
      <c r="D172" s="903"/>
      <c r="E172" s="962" t="s">
        <v>318</v>
      </c>
      <c r="F172" s="494">
        <v>1</v>
      </c>
      <c r="G172" s="495">
        <v>2.2999999999999998</v>
      </c>
      <c r="H172" s="1245">
        <f>F172*G172</f>
        <v>2.2999999999999998</v>
      </c>
      <c r="I172" s="496">
        <v>1</v>
      </c>
      <c r="J172" s="496">
        <v>2.2999999999999998</v>
      </c>
      <c r="K172" s="496">
        <f>I172*J172</f>
        <v>2.2999999999999998</v>
      </c>
      <c r="L172" s="496">
        <v>1</v>
      </c>
      <c r="M172" s="496">
        <v>2.2999999999999998</v>
      </c>
      <c r="N172" s="496">
        <f>L172*M172</f>
        <v>2.2999999999999998</v>
      </c>
      <c r="O172" s="496">
        <v>1</v>
      </c>
      <c r="P172" s="496">
        <v>2.2999999999999998</v>
      </c>
      <c r="Q172" s="496">
        <f>O172*P172</f>
        <v>2.2999999999999998</v>
      </c>
      <c r="R172" s="496">
        <f t="shared" si="33"/>
        <v>2.2999999999999998</v>
      </c>
      <c r="S172" s="496"/>
      <c r="T172" s="496">
        <v>1</v>
      </c>
      <c r="U172" s="496">
        <v>2.2999999999999998</v>
      </c>
      <c r="V172" s="496">
        <f>T172*U172</f>
        <v>2.2999999999999998</v>
      </c>
      <c r="W172" s="496">
        <v>1</v>
      </c>
      <c r="X172" s="496">
        <v>2.2999999999999998</v>
      </c>
      <c r="Y172" s="496">
        <f>W172*X172</f>
        <v>2.2999999999999998</v>
      </c>
      <c r="Z172" s="1245">
        <f t="shared" si="31"/>
        <v>0</v>
      </c>
      <c r="AA172" s="1245">
        <f t="shared" si="32"/>
        <v>100</v>
      </c>
      <c r="AB172" s="893"/>
      <c r="AC172" s="549" t="s">
        <v>1665</v>
      </c>
      <c r="AF172" s="466"/>
      <c r="AG172" s="465"/>
      <c r="AH172" s="465"/>
    </row>
    <row r="173" spans="1:34" s="498" customFormat="1" hidden="1" x14ac:dyDescent="0.25">
      <c r="A173" s="962"/>
      <c r="B173" s="502" t="s">
        <v>1825</v>
      </c>
      <c r="C173" s="503"/>
      <c r="D173" s="903"/>
      <c r="E173" s="962" t="s">
        <v>318</v>
      </c>
      <c r="F173" s="494">
        <v>1</v>
      </c>
      <c r="G173" s="495">
        <v>2</v>
      </c>
      <c r="H173" s="1245">
        <f>F173*G173</f>
        <v>2</v>
      </c>
      <c r="I173" s="496">
        <v>1</v>
      </c>
      <c r="J173" s="496">
        <v>2</v>
      </c>
      <c r="K173" s="496">
        <v>1.5</v>
      </c>
      <c r="L173" s="496">
        <v>1</v>
      </c>
      <c r="M173" s="496">
        <v>2</v>
      </c>
      <c r="N173" s="496">
        <v>1.5</v>
      </c>
      <c r="O173" s="496"/>
      <c r="P173" s="496"/>
      <c r="Q173" s="496"/>
      <c r="R173" s="496">
        <f t="shared" si="33"/>
        <v>0</v>
      </c>
      <c r="S173" s="496"/>
      <c r="T173" s="496"/>
      <c r="U173" s="496"/>
      <c r="V173" s="496"/>
      <c r="W173" s="496"/>
      <c r="X173" s="496"/>
      <c r="Y173" s="496"/>
      <c r="Z173" s="1245">
        <f t="shared" si="31"/>
        <v>-1.5</v>
      </c>
      <c r="AA173" s="1245">
        <f t="shared" si="32"/>
        <v>0</v>
      </c>
      <c r="AB173" s="893"/>
      <c r="AC173" s="549" t="s">
        <v>1665</v>
      </c>
      <c r="AF173" s="466"/>
      <c r="AG173" s="465"/>
      <c r="AH173" s="465"/>
    </row>
    <row r="174" spans="1:34" s="498" customFormat="1" hidden="1" x14ac:dyDescent="0.25">
      <c r="A174" s="962"/>
      <c r="B174" s="502" t="s">
        <v>1826</v>
      </c>
      <c r="C174" s="503"/>
      <c r="D174" s="903"/>
      <c r="E174" s="962" t="s">
        <v>318</v>
      </c>
      <c r="F174" s="496"/>
      <c r="G174" s="496"/>
      <c r="H174" s="496"/>
      <c r="I174" s="496"/>
      <c r="J174" s="496"/>
      <c r="K174" s="496"/>
      <c r="L174" s="496"/>
      <c r="M174" s="496"/>
      <c r="N174" s="496"/>
      <c r="O174" s="1886">
        <v>1</v>
      </c>
      <c r="P174" s="496">
        <v>2.2999999999999998</v>
      </c>
      <c r="Q174" s="496">
        <f>O174*P174</f>
        <v>2.2999999999999998</v>
      </c>
      <c r="R174" s="496">
        <f t="shared" si="33"/>
        <v>2.2999999999999998</v>
      </c>
      <c r="S174" s="496"/>
      <c r="T174" s="1886">
        <v>1</v>
      </c>
      <c r="U174" s="496">
        <v>2.2999999999999998</v>
      </c>
      <c r="V174" s="496">
        <f>T174*U174</f>
        <v>2.2999999999999998</v>
      </c>
      <c r="W174" s="1886">
        <v>1</v>
      </c>
      <c r="X174" s="496">
        <v>2.2999999999999998</v>
      </c>
      <c r="Y174" s="496">
        <f>W174*X174</f>
        <v>2.2999999999999998</v>
      </c>
      <c r="Z174" s="496"/>
      <c r="AA174" s="496"/>
      <c r="AB174" s="3514" t="s">
        <v>1803</v>
      </c>
      <c r="AC174" s="491" t="s">
        <v>1665</v>
      </c>
      <c r="AF174" s="466"/>
      <c r="AG174" s="465"/>
      <c r="AH174" s="465"/>
    </row>
    <row r="175" spans="1:34" s="498" customFormat="1" ht="25.5" hidden="1" x14ac:dyDescent="0.25">
      <c r="A175" s="962"/>
      <c r="B175" s="1885" t="s">
        <v>1757</v>
      </c>
      <c r="C175" s="503"/>
      <c r="D175" s="903"/>
      <c r="E175" s="962" t="s">
        <v>318</v>
      </c>
      <c r="F175" s="496"/>
      <c r="G175" s="496"/>
      <c r="H175" s="496"/>
      <c r="I175" s="496"/>
      <c r="J175" s="496"/>
      <c r="K175" s="496"/>
      <c r="L175" s="496"/>
      <c r="M175" s="496"/>
      <c r="N175" s="496"/>
      <c r="O175" s="1886">
        <v>1</v>
      </c>
      <c r="P175" s="496">
        <v>3.5</v>
      </c>
      <c r="Q175" s="496">
        <f t="shared" ref="Q175:Q177" si="37">O175*P175</f>
        <v>3.5</v>
      </c>
      <c r="R175" s="496">
        <f t="shared" si="33"/>
        <v>3.5</v>
      </c>
      <c r="S175" s="496"/>
      <c r="T175" s="1886">
        <v>1</v>
      </c>
      <c r="U175" s="496">
        <v>3.5</v>
      </c>
      <c r="V175" s="496">
        <f t="shared" ref="V175:V177" si="38">T175*U175</f>
        <v>3.5</v>
      </c>
      <c r="W175" s="1886">
        <v>1</v>
      </c>
      <c r="X175" s="496">
        <v>3.5</v>
      </c>
      <c r="Y175" s="496">
        <f t="shared" ref="Y175:Y177" si="39">W175*X175</f>
        <v>3.5</v>
      </c>
      <c r="Z175" s="496"/>
      <c r="AA175" s="496"/>
      <c r="AB175" s="3515"/>
      <c r="AC175" s="491" t="s">
        <v>1665</v>
      </c>
      <c r="AF175" s="466"/>
      <c r="AG175" s="465"/>
      <c r="AH175" s="465"/>
    </row>
    <row r="176" spans="1:34" s="498" customFormat="1" hidden="1" x14ac:dyDescent="0.25">
      <c r="A176" s="962"/>
      <c r="B176" s="1885" t="s">
        <v>1827</v>
      </c>
      <c r="C176" s="503"/>
      <c r="D176" s="903"/>
      <c r="E176" s="962" t="s">
        <v>318</v>
      </c>
      <c r="F176" s="496"/>
      <c r="G176" s="496"/>
      <c r="H176" s="496"/>
      <c r="I176" s="496"/>
      <c r="J176" s="496"/>
      <c r="K176" s="496"/>
      <c r="L176" s="496"/>
      <c r="M176" s="496"/>
      <c r="N176" s="496"/>
      <c r="O176" s="1886">
        <v>2</v>
      </c>
      <c r="P176" s="496">
        <v>3.5</v>
      </c>
      <c r="Q176" s="496">
        <f t="shared" si="37"/>
        <v>7</v>
      </c>
      <c r="R176" s="496">
        <f t="shared" si="33"/>
        <v>7</v>
      </c>
      <c r="S176" s="496"/>
      <c r="T176" s="1886">
        <v>2</v>
      </c>
      <c r="U176" s="496">
        <v>3.5</v>
      </c>
      <c r="V176" s="496">
        <f t="shared" si="38"/>
        <v>7</v>
      </c>
      <c r="W176" s="1886">
        <v>2</v>
      </c>
      <c r="X176" s="496">
        <v>3.5</v>
      </c>
      <c r="Y176" s="496">
        <f t="shared" si="39"/>
        <v>7</v>
      </c>
      <c r="Z176" s="496"/>
      <c r="AA176" s="496"/>
      <c r="AB176" s="3515"/>
      <c r="AC176" s="491" t="s">
        <v>1665</v>
      </c>
      <c r="AF176" s="466"/>
      <c r="AG176" s="465"/>
      <c r="AH176" s="465"/>
    </row>
    <row r="177" spans="1:34" s="498" customFormat="1" hidden="1" x14ac:dyDescent="0.25">
      <c r="A177" s="962"/>
      <c r="B177" s="1885" t="s">
        <v>1807</v>
      </c>
      <c r="C177" s="503"/>
      <c r="D177" s="903"/>
      <c r="E177" s="962" t="s">
        <v>318</v>
      </c>
      <c r="F177" s="496"/>
      <c r="G177" s="496"/>
      <c r="H177" s="496"/>
      <c r="I177" s="496"/>
      <c r="J177" s="496"/>
      <c r="K177" s="496"/>
      <c r="L177" s="496"/>
      <c r="M177" s="496"/>
      <c r="N177" s="496"/>
      <c r="O177" s="1886">
        <v>1</v>
      </c>
      <c r="P177" s="496">
        <v>4</v>
      </c>
      <c r="Q177" s="496">
        <f t="shared" si="37"/>
        <v>4</v>
      </c>
      <c r="R177" s="496">
        <f t="shared" si="33"/>
        <v>4</v>
      </c>
      <c r="S177" s="496"/>
      <c r="T177" s="1886">
        <v>1</v>
      </c>
      <c r="U177" s="496">
        <v>4</v>
      </c>
      <c r="V177" s="496">
        <f t="shared" si="38"/>
        <v>4</v>
      </c>
      <c r="W177" s="1886">
        <v>1</v>
      </c>
      <c r="X177" s="496">
        <v>4</v>
      </c>
      <c r="Y177" s="496">
        <f t="shared" si="39"/>
        <v>4</v>
      </c>
      <c r="Z177" s="496"/>
      <c r="AA177" s="496"/>
      <c r="AB177" s="3516"/>
      <c r="AC177" s="491" t="s">
        <v>1665</v>
      </c>
      <c r="AF177" s="466"/>
      <c r="AG177" s="465"/>
      <c r="AH177" s="465"/>
    </row>
    <row r="178" spans="1:34" s="498" customFormat="1" hidden="1" x14ac:dyDescent="0.25">
      <c r="A178" s="962"/>
      <c r="B178" s="502" t="s">
        <v>1729</v>
      </c>
      <c r="C178" s="503"/>
      <c r="D178" s="903"/>
      <c r="E178" s="962"/>
      <c r="F178" s="494"/>
      <c r="G178" s="495"/>
      <c r="H178" s="1245">
        <f>SUM(H170:H173)*0.271</f>
        <v>4</v>
      </c>
      <c r="I178" s="496"/>
      <c r="J178" s="496"/>
      <c r="K178" s="496">
        <f>SUM(K170:K173)*0.271</f>
        <v>3.8</v>
      </c>
      <c r="L178" s="496"/>
      <c r="M178" s="496"/>
      <c r="N178" s="496">
        <f>SUM(N170:N173)*0.271</f>
        <v>3.8</v>
      </c>
      <c r="O178" s="496"/>
      <c r="P178" s="496"/>
      <c r="Q178" s="496">
        <f>SUM(Q170:Q177)*0.271</f>
        <v>8</v>
      </c>
      <c r="R178" s="496">
        <f t="shared" si="33"/>
        <v>8</v>
      </c>
      <c r="S178" s="496"/>
      <c r="T178" s="496"/>
      <c r="U178" s="496"/>
      <c r="V178" s="496">
        <f>SUM(V170:V177)*0.271</f>
        <v>8</v>
      </c>
      <c r="W178" s="496"/>
      <c r="X178" s="496"/>
      <c r="Y178" s="496">
        <f>SUM(Y170:Y177)*0.271</f>
        <v>8</v>
      </c>
      <c r="Z178" s="1245">
        <f t="shared" ref="Z178:Z224" si="40">Q178-K178</f>
        <v>4.2</v>
      </c>
      <c r="AA178" s="1245">
        <f t="shared" ref="AA178:AA241" si="41">IFERROR(Q178/K178*100,"-")</f>
        <v>210.5</v>
      </c>
      <c r="AB178" s="893"/>
      <c r="AC178" s="549" t="s">
        <v>1665</v>
      </c>
      <c r="AF178" s="466"/>
      <c r="AG178" s="465"/>
      <c r="AH178" s="465"/>
    </row>
    <row r="179" spans="1:34" s="492" customFormat="1" ht="14.25" hidden="1" x14ac:dyDescent="0.2">
      <c r="A179" s="1240"/>
      <c r="B179" s="500" t="s">
        <v>1828</v>
      </c>
      <c r="C179" s="501" t="s">
        <v>797</v>
      </c>
      <c r="D179" s="932"/>
      <c r="E179" s="1240" t="s">
        <v>227</v>
      </c>
      <c r="F179" s="530">
        <v>40</v>
      </c>
      <c r="G179" s="531">
        <v>0.06</v>
      </c>
      <c r="H179" s="493">
        <f>F179*G179</f>
        <v>2.4</v>
      </c>
      <c r="I179" s="532">
        <v>48</v>
      </c>
      <c r="J179" s="532">
        <v>0.1</v>
      </c>
      <c r="K179" s="532">
        <f>I179*J179</f>
        <v>4.8</v>
      </c>
      <c r="L179" s="532">
        <v>48</v>
      </c>
      <c r="M179" s="532">
        <v>0.1</v>
      </c>
      <c r="N179" s="532">
        <f>L179*M179</f>
        <v>4.8</v>
      </c>
      <c r="O179" s="532">
        <v>48</v>
      </c>
      <c r="P179" s="532">
        <v>0.1</v>
      </c>
      <c r="Q179" s="532">
        <f>O179*P179</f>
        <v>4.8</v>
      </c>
      <c r="R179" s="532">
        <f t="shared" si="33"/>
        <v>4.8</v>
      </c>
      <c r="S179" s="532"/>
      <c r="T179" s="532">
        <v>48</v>
      </c>
      <c r="U179" s="532">
        <v>0.1</v>
      </c>
      <c r="V179" s="532">
        <f>T179*U179</f>
        <v>4.8</v>
      </c>
      <c r="W179" s="532">
        <v>48</v>
      </c>
      <c r="X179" s="532">
        <v>0.1</v>
      </c>
      <c r="Y179" s="532">
        <f>W179*X179</f>
        <v>4.8</v>
      </c>
      <c r="Z179" s="493">
        <f t="shared" si="40"/>
        <v>0</v>
      </c>
      <c r="AA179" s="493">
        <f t="shared" si="41"/>
        <v>100</v>
      </c>
      <c r="AB179" s="827"/>
      <c r="AC179" s="549" t="s">
        <v>1665</v>
      </c>
      <c r="AF179" s="466"/>
      <c r="AG179" s="466"/>
      <c r="AH179" s="466"/>
    </row>
    <row r="180" spans="1:34" s="492" customFormat="1" ht="14.25" hidden="1" x14ac:dyDescent="0.2">
      <c r="A180" s="1240"/>
      <c r="B180" s="500" t="s">
        <v>1246</v>
      </c>
      <c r="C180" s="501" t="s">
        <v>1237</v>
      </c>
      <c r="D180" s="932"/>
      <c r="E180" s="1240" t="s">
        <v>1829</v>
      </c>
      <c r="F180" s="530">
        <v>6</v>
      </c>
      <c r="G180" s="531">
        <v>2.5</v>
      </c>
      <c r="H180" s="493">
        <f>F180*G180</f>
        <v>15</v>
      </c>
      <c r="I180" s="532">
        <v>6</v>
      </c>
      <c r="J180" s="532">
        <v>2.5</v>
      </c>
      <c r="K180" s="532">
        <f>I180*J180</f>
        <v>15</v>
      </c>
      <c r="L180" s="532">
        <v>6</v>
      </c>
      <c r="M180" s="532">
        <v>2.5</v>
      </c>
      <c r="N180" s="532">
        <f>L180*M180</f>
        <v>15</v>
      </c>
      <c r="O180" s="532">
        <v>6</v>
      </c>
      <c r="P180" s="532">
        <v>2.5</v>
      </c>
      <c r="Q180" s="532">
        <f>O180*P180</f>
        <v>15</v>
      </c>
      <c r="R180" s="532">
        <f t="shared" si="33"/>
        <v>15</v>
      </c>
      <c r="S180" s="532"/>
      <c r="T180" s="532">
        <v>6</v>
      </c>
      <c r="U180" s="532">
        <v>2.5</v>
      </c>
      <c r="V180" s="532">
        <f>T180*U180</f>
        <v>15</v>
      </c>
      <c r="W180" s="532">
        <v>6</v>
      </c>
      <c r="X180" s="532">
        <v>2.5</v>
      </c>
      <c r="Y180" s="532">
        <f>W180*X180</f>
        <v>15</v>
      </c>
      <c r="Z180" s="493">
        <f t="shared" si="40"/>
        <v>0</v>
      </c>
      <c r="AA180" s="493">
        <f t="shared" si="41"/>
        <v>100</v>
      </c>
      <c r="AB180" s="827"/>
      <c r="AC180" s="549" t="s">
        <v>1665</v>
      </c>
      <c r="AF180" s="466"/>
      <c r="AG180" s="466"/>
      <c r="AH180" s="466"/>
    </row>
    <row r="181" spans="1:34" s="517" customFormat="1" ht="14.25" hidden="1" x14ac:dyDescent="0.2">
      <c r="A181" s="487"/>
      <c r="B181" s="543" t="s">
        <v>1243</v>
      </c>
      <c r="C181" s="511"/>
      <c r="D181" s="487"/>
      <c r="E181" s="554"/>
      <c r="F181" s="488"/>
      <c r="G181" s="489"/>
      <c r="H181" s="537" t="e">
        <f>#REF!+#REF!+H182</f>
        <v>#REF!</v>
      </c>
      <c r="I181" s="537"/>
      <c r="J181" s="537"/>
      <c r="K181" s="537">
        <f>K182</f>
        <v>5.2</v>
      </c>
      <c r="L181" s="537"/>
      <c r="M181" s="537"/>
      <c r="N181" s="537">
        <f>N182</f>
        <v>5.2</v>
      </c>
      <c r="O181" s="537"/>
      <c r="P181" s="537"/>
      <c r="Q181" s="537">
        <f>Q182</f>
        <v>2.4</v>
      </c>
      <c r="R181" s="537">
        <f t="shared" si="33"/>
        <v>2.4</v>
      </c>
      <c r="S181" s="537"/>
      <c r="T181" s="537"/>
      <c r="U181" s="537"/>
      <c r="V181" s="537">
        <f>V182</f>
        <v>2.4</v>
      </c>
      <c r="W181" s="537"/>
      <c r="X181" s="537"/>
      <c r="Y181" s="537">
        <f>Y182</f>
        <v>2.4</v>
      </c>
      <c r="Z181" s="537">
        <f t="shared" si="40"/>
        <v>-2.8</v>
      </c>
      <c r="AA181" s="537">
        <f t="shared" si="41"/>
        <v>46.2</v>
      </c>
      <c r="AB181" s="902"/>
      <c r="AC181" s="515"/>
      <c r="AF181" s="519"/>
      <c r="AG181" s="519"/>
      <c r="AH181" s="519"/>
    </row>
    <row r="182" spans="1:34" s="1891" customFormat="1" ht="38.25" hidden="1" x14ac:dyDescent="0.25">
      <c r="A182" s="850"/>
      <c r="B182" s="520" t="s">
        <v>1664</v>
      </c>
      <c r="C182" s="521"/>
      <c r="D182" s="522" t="s">
        <v>1444</v>
      </c>
      <c r="E182" s="850"/>
      <c r="F182" s="1889"/>
      <c r="G182" s="1889"/>
      <c r="H182" s="526">
        <f>H185+H188</f>
        <v>4.4000000000000004</v>
      </c>
      <c r="I182" s="1889"/>
      <c r="J182" s="1889"/>
      <c r="K182" s="526">
        <f>K185+K188+K183</f>
        <v>5.2</v>
      </c>
      <c r="L182" s="1889"/>
      <c r="M182" s="1889"/>
      <c r="N182" s="526">
        <f>N185+N188+N183</f>
        <v>5.2</v>
      </c>
      <c r="O182" s="1889"/>
      <c r="P182" s="1889"/>
      <c r="Q182" s="526">
        <f>Q185+Q188</f>
        <v>2.4</v>
      </c>
      <c r="R182" s="526">
        <f t="shared" si="33"/>
        <v>2.4</v>
      </c>
      <c r="S182" s="526"/>
      <c r="T182" s="526"/>
      <c r="U182" s="526"/>
      <c r="V182" s="526">
        <f>V185+V188</f>
        <v>2.4</v>
      </c>
      <c r="W182" s="526"/>
      <c r="X182" s="526"/>
      <c r="Y182" s="526">
        <f>Y185+Y188</f>
        <v>2.4</v>
      </c>
      <c r="Z182" s="526">
        <f t="shared" si="40"/>
        <v>-2.8</v>
      </c>
      <c r="AA182" s="526">
        <f t="shared" si="41"/>
        <v>46.2</v>
      </c>
      <c r="AB182" s="1890"/>
      <c r="AC182" s="534" t="s">
        <v>1665</v>
      </c>
      <c r="AF182" s="528"/>
      <c r="AG182" s="1892"/>
      <c r="AH182" s="1892"/>
    </row>
    <row r="183" spans="1:34" s="498" customFormat="1" hidden="1" x14ac:dyDescent="0.25">
      <c r="A183" s="962"/>
      <c r="B183" s="865" t="s">
        <v>1830</v>
      </c>
      <c r="C183" s="508" t="s">
        <v>796</v>
      </c>
      <c r="D183" s="903"/>
      <c r="E183" s="962"/>
      <c r="F183" s="857"/>
      <c r="G183" s="857"/>
      <c r="H183" s="533"/>
      <c r="I183" s="857"/>
      <c r="J183" s="857"/>
      <c r="K183" s="533">
        <f>K184</f>
        <v>3</v>
      </c>
      <c r="L183" s="857"/>
      <c r="M183" s="857"/>
      <c r="N183" s="533">
        <f>N184</f>
        <v>3</v>
      </c>
      <c r="O183" s="857"/>
      <c r="P183" s="857"/>
      <c r="Q183" s="533"/>
      <c r="R183" s="533">
        <f t="shared" si="33"/>
        <v>0</v>
      </c>
      <c r="S183" s="533"/>
      <c r="T183" s="857"/>
      <c r="U183" s="857"/>
      <c r="V183" s="533"/>
      <c r="W183" s="533"/>
      <c r="X183" s="533"/>
      <c r="Y183" s="533"/>
      <c r="Z183" s="559">
        <f t="shared" si="40"/>
        <v>-3</v>
      </c>
      <c r="AA183" s="559">
        <f t="shared" si="41"/>
        <v>0</v>
      </c>
      <c r="AB183" s="1893"/>
      <c r="AC183" s="534" t="s">
        <v>1665</v>
      </c>
      <c r="AF183" s="466"/>
      <c r="AG183" s="465"/>
      <c r="AH183" s="465"/>
    </row>
    <row r="184" spans="1:34" s="498" customFormat="1" ht="38.25" hidden="1" x14ac:dyDescent="0.25">
      <c r="A184" s="962"/>
      <c r="B184" s="856" t="s">
        <v>1831</v>
      </c>
      <c r="C184" s="499"/>
      <c r="D184" s="903"/>
      <c r="E184" s="962"/>
      <c r="F184" s="857"/>
      <c r="G184" s="857"/>
      <c r="H184" s="857"/>
      <c r="I184" s="857">
        <v>30</v>
      </c>
      <c r="J184" s="857">
        <v>0.1</v>
      </c>
      <c r="K184" s="857">
        <f>I184*J184</f>
        <v>3</v>
      </c>
      <c r="L184" s="857">
        <v>30</v>
      </c>
      <c r="M184" s="857">
        <v>0.1</v>
      </c>
      <c r="N184" s="857">
        <f>L184*M184</f>
        <v>3</v>
      </c>
      <c r="O184" s="857"/>
      <c r="P184" s="857"/>
      <c r="Q184" s="857"/>
      <c r="R184" s="857">
        <f t="shared" si="33"/>
        <v>0</v>
      </c>
      <c r="S184" s="857"/>
      <c r="T184" s="857"/>
      <c r="U184" s="857"/>
      <c r="V184" s="857"/>
      <c r="W184" s="857"/>
      <c r="X184" s="857"/>
      <c r="Y184" s="857"/>
      <c r="Z184" s="559">
        <f t="shared" si="40"/>
        <v>-3</v>
      </c>
      <c r="AA184" s="559">
        <f t="shared" si="41"/>
        <v>0</v>
      </c>
      <c r="AB184" s="1884" t="s">
        <v>1746</v>
      </c>
      <c r="AC184" s="534" t="s">
        <v>1665</v>
      </c>
      <c r="AF184" s="466"/>
      <c r="AG184" s="465"/>
      <c r="AH184" s="465"/>
    </row>
    <row r="185" spans="1:34" s="498" customFormat="1" hidden="1" x14ac:dyDescent="0.25">
      <c r="A185" s="962"/>
      <c r="B185" s="865" t="s">
        <v>1228</v>
      </c>
      <c r="C185" s="508" t="s">
        <v>797</v>
      </c>
      <c r="D185" s="903"/>
      <c r="E185" s="962"/>
      <c r="F185" s="857"/>
      <c r="G185" s="857"/>
      <c r="H185" s="533">
        <f>H186</f>
        <v>3.6</v>
      </c>
      <c r="I185" s="857"/>
      <c r="J185" s="857"/>
      <c r="K185" s="533">
        <f>SUM(K186:K187)</f>
        <v>1.8</v>
      </c>
      <c r="L185" s="857"/>
      <c r="M185" s="857"/>
      <c r="N185" s="533">
        <f>SUM(N186:N187)</f>
        <v>1.8</v>
      </c>
      <c r="O185" s="533"/>
      <c r="P185" s="533"/>
      <c r="Q185" s="533">
        <f>SUM(Q186:Q187)</f>
        <v>2</v>
      </c>
      <c r="R185" s="533">
        <f t="shared" si="33"/>
        <v>2</v>
      </c>
      <c r="S185" s="533"/>
      <c r="T185" s="533"/>
      <c r="U185" s="533"/>
      <c r="V185" s="533">
        <f>SUM(V186:V187)</f>
        <v>2</v>
      </c>
      <c r="W185" s="533"/>
      <c r="X185" s="533"/>
      <c r="Y185" s="533">
        <f>SUM(Y186:Y187)</f>
        <v>2</v>
      </c>
      <c r="Z185" s="559">
        <f t="shared" si="40"/>
        <v>0.2</v>
      </c>
      <c r="AA185" s="559">
        <f t="shared" si="41"/>
        <v>111.1</v>
      </c>
      <c r="AB185" s="1893"/>
      <c r="AC185" s="534" t="s">
        <v>1665</v>
      </c>
      <c r="AF185" s="466"/>
      <c r="AG185" s="465"/>
      <c r="AH185" s="465"/>
    </row>
    <row r="186" spans="1:34" s="498" customFormat="1" hidden="1" x14ac:dyDescent="0.25">
      <c r="A186" s="962"/>
      <c r="B186" s="856" t="s">
        <v>1832</v>
      </c>
      <c r="C186" s="508"/>
      <c r="D186" s="903"/>
      <c r="E186" s="962"/>
      <c r="F186" s="857">
        <v>36</v>
      </c>
      <c r="G186" s="857">
        <v>0.1</v>
      </c>
      <c r="H186" s="857">
        <f>F186*G186</f>
        <v>3.6</v>
      </c>
      <c r="I186" s="857">
        <v>36</v>
      </c>
      <c r="J186" s="862">
        <v>0.05</v>
      </c>
      <c r="K186" s="857">
        <f>I186*J186</f>
        <v>1.8</v>
      </c>
      <c r="L186" s="857">
        <v>36</v>
      </c>
      <c r="M186" s="862">
        <v>0.05</v>
      </c>
      <c r="N186" s="857">
        <f>L186*M186</f>
        <v>1.8</v>
      </c>
      <c r="O186" s="533"/>
      <c r="P186" s="533"/>
      <c r="Q186" s="533"/>
      <c r="R186" s="533">
        <f t="shared" si="33"/>
        <v>0</v>
      </c>
      <c r="S186" s="533"/>
      <c r="T186" s="533"/>
      <c r="U186" s="533"/>
      <c r="V186" s="533"/>
      <c r="W186" s="533"/>
      <c r="X186" s="533"/>
      <c r="Y186" s="533"/>
      <c r="Z186" s="559">
        <f t="shared" si="40"/>
        <v>-1.8</v>
      </c>
      <c r="AA186" s="559">
        <f t="shared" si="41"/>
        <v>0</v>
      </c>
      <c r="AB186" s="1893"/>
      <c r="AC186" s="534" t="s">
        <v>1665</v>
      </c>
      <c r="AF186" s="466"/>
      <c r="AG186" s="465"/>
      <c r="AH186" s="465"/>
    </row>
    <row r="187" spans="1:34" s="498" customFormat="1" ht="25.5" hidden="1" x14ac:dyDescent="0.25">
      <c r="A187" s="962"/>
      <c r="B187" s="856" t="s">
        <v>1833</v>
      </c>
      <c r="C187" s="499"/>
      <c r="D187" s="903"/>
      <c r="E187" s="962" t="s">
        <v>227</v>
      </c>
      <c r="F187" s="857"/>
      <c r="G187" s="857"/>
      <c r="H187" s="857"/>
      <c r="I187" s="857"/>
      <c r="J187" s="862"/>
      <c r="K187" s="857"/>
      <c r="L187" s="857"/>
      <c r="M187" s="862"/>
      <c r="N187" s="857"/>
      <c r="O187" s="857">
        <v>1</v>
      </c>
      <c r="P187" s="857">
        <v>2</v>
      </c>
      <c r="Q187" s="857">
        <f>O187*P187</f>
        <v>2</v>
      </c>
      <c r="R187" s="857">
        <f t="shared" si="33"/>
        <v>2</v>
      </c>
      <c r="S187" s="857"/>
      <c r="T187" s="857">
        <v>1</v>
      </c>
      <c r="U187" s="857">
        <v>2</v>
      </c>
      <c r="V187" s="857">
        <f>T187*U187</f>
        <v>2</v>
      </c>
      <c r="W187" s="857">
        <v>1</v>
      </c>
      <c r="X187" s="857">
        <v>2</v>
      </c>
      <c r="Y187" s="857">
        <f>W187*X187</f>
        <v>2</v>
      </c>
      <c r="Z187" s="559">
        <f t="shared" si="40"/>
        <v>2</v>
      </c>
      <c r="AA187" s="559" t="str">
        <f t="shared" si="41"/>
        <v>-</v>
      </c>
      <c r="AB187" s="1884" t="s">
        <v>1834</v>
      </c>
      <c r="AC187" s="534" t="s">
        <v>1665</v>
      </c>
      <c r="AF187" s="466"/>
      <c r="AG187" s="465"/>
      <c r="AH187" s="465"/>
    </row>
    <row r="188" spans="1:34" s="498" customFormat="1" hidden="1" x14ac:dyDescent="0.25">
      <c r="A188" s="962"/>
      <c r="B188" s="865" t="s">
        <v>801</v>
      </c>
      <c r="C188" s="508" t="s">
        <v>797</v>
      </c>
      <c r="D188" s="903"/>
      <c r="E188" s="962"/>
      <c r="F188" s="857"/>
      <c r="G188" s="857"/>
      <c r="H188" s="533">
        <f>H189</f>
        <v>0.8</v>
      </c>
      <c r="I188" s="857"/>
      <c r="J188" s="857"/>
      <c r="K188" s="533">
        <f>K189</f>
        <v>0.4</v>
      </c>
      <c r="L188" s="857"/>
      <c r="M188" s="857"/>
      <c r="N188" s="533">
        <f>N189</f>
        <v>0.4</v>
      </c>
      <c r="O188" s="533"/>
      <c r="P188" s="533"/>
      <c r="Q188" s="533">
        <f>Q189</f>
        <v>0.4</v>
      </c>
      <c r="R188" s="533">
        <f t="shared" si="33"/>
        <v>0.4</v>
      </c>
      <c r="S188" s="533"/>
      <c r="T188" s="533"/>
      <c r="U188" s="533"/>
      <c r="V188" s="533">
        <f>V189</f>
        <v>0.4</v>
      </c>
      <c r="W188" s="533"/>
      <c r="X188" s="533"/>
      <c r="Y188" s="533">
        <f>Y189</f>
        <v>0.4</v>
      </c>
      <c r="Z188" s="559">
        <f t="shared" si="40"/>
        <v>0</v>
      </c>
      <c r="AA188" s="559">
        <f t="shared" si="41"/>
        <v>100</v>
      </c>
      <c r="AB188" s="1893"/>
      <c r="AC188" s="534" t="s">
        <v>1665</v>
      </c>
      <c r="AF188" s="466"/>
      <c r="AG188" s="465"/>
      <c r="AH188" s="465"/>
    </row>
    <row r="189" spans="1:34" s="498" customFormat="1" hidden="1" x14ac:dyDescent="0.25">
      <c r="A189" s="962"/>
      <c r="B189" s="502" t="s">
        <v>1835</v>
      </c>
      <c r="C189" s="499"/>
      <c r="D189" s="903"/>
      <c r="E189" s="962" t="s">
        <v>227</v>
      </c>
      <c r="F189" s="857">
        <v>8</v>
      </c>
      <c r="G189" s="857">
        <v>0.1</v>
      </c>
      <c r="H189" s="857">
        <f>F189*G189</f>
        <v>0.8</v>
      </c>
      <c r="I189" s="857">
        <v>4</v>
      </c>
      <c r="J189" s="862">
        <v>0.1</v>
      </c>
      <c r="K189" s="857">
        <f>I189*J189</f>
        <v>0.4</v>
      </c>
      <c r="L189" s="857">
        <v>4</v>
      </c>
      <c r="M189" s="862">
        <v>0.1</v>
      </c>
      <c r="N189" s="857">
        <f>L189*M189</f>
        <v>0.4</v>
      </c>
      <c r="O189" s="857">
        <v>4</v>
      </c>
      <c r="P189" s="857">
        <v>0.1</v>
      </c>
      <c r="Q189" s="857">
        <f>O189*P189</f>
        <v>0.4</v>
      </c>
      <c r="R189" s="857">
        <f t="shared" si="33"/>
        <v>0.4</v>
      </c>
      <c r="S189" s="857"/>
      <c r="T189" s="857">
        <v>4</v>
      </c>
      <c r="U189" s="857">
        <v>0.1</v>
      </c>
      <c r="V189" s="857">
        <f>T189*U189</f>
        <v>0.4</v>
      </c>
      <c r="W189" s="857">
        <v>4</v>
      </c>
      <c r="X189" s="857">
        <v>0.1</v>
      </c>
      <c r="Y189" s="857">
        <f>W189*X189</f>
        <v>0.4</v>
      </c>
      <c r="Z189" s="559">
        <f t="shared" si="40"/>
        <v>0</v>
      </c>
      <c r="AA189" s="559">
        <f t="shared" si="41"/>
        <v>100</v>
      </c>
      <c r="AB189" s="1884"/>
      <c r="AC189" s="534" t="s">
        <v>1665</v>
      </c>
      <c r="AF189" s="466"/>
      <c r="AG189" s="465"/>
      <c r="AH189" s="465"/>
    </row>
    <row r="190" spans="1:34" s="517" customFormat="1" ht="14.25" hidden="1" x14ac:dyDescent="0.2">
      <c r="A190" s="487"/>
      <c r="B190" s="904" t="s">
        <v>1244</v>
      </c>
      <c r="C190" s="905"/>
      <c r="D190" s="487"/>
      <c r="E190" s="490"/>
      <c r="F190" s="488"/>
      <c r="G190" s="489"/>
      <c r="H190" s="490" t="e">
        <f>#REF!+H191+#REF!</f>
        <v>#REF!</v>
      </c>
      <c r="I190" s="847"/>
      <c r="J190" s="847"/>
      <c r="K190" s="490">
        <f>K191</f>
        <v>36.799999999999997</v>
      </c>
      <c r="L190" s="847"/>
      <c r="M190" s="847"/>
      <c r="N190" s="490">
        <f>N191</f>
        <v>36.799999999999997</v>
      </c>
      <c r="O190" s="847"/>
      <c r="P190" s="847"/>
      <c r="Q190" s="490">
        <f>Q191</f>
        <v>43.9</v>
      </c>
      <c r="R190" s="490">
        <f t="shared" si="33"/>
        <v>43.9</v>
      </c>
      <c r="S190" s="490"/>
      <c r="T190" s="847"/>
      <c r="U190" s="847"/>
      <c r="V190" s="490">
        <f>V191</f>
        <v>43.9</v>
      </c>
      <c r="W190" s="490"/>
      <c r="X190" s="490"/>
      <c r="Y190" s="490">
        <f>Y191</f>
        <v>43.9</v>
      </c>
      <c r="Z190" s="490">
        <f t="shared" si="40"/>
        <v>7.1</v>
      </c>
      <c r="AA190" s="490">
        <f t="shared" si="41"/>
        <v>119.3</v>
      </c>
      <c r="AB190" s="555"/>
      <c r="AC190" s="515"/>
      <c r="AF190" s="518"/>
      <c r="AG190" s="519"/>
      <c r="AH190" s="519"/>
    </row>
    <row r="191" spans="1:34" s="527" customFormat="1" ht="38.25" hidden="1" x14ac:dyDescent="0.2">
      <c r="A191" s="522"/>
      <c r="B191" s="858" t="s">
        <v>1700</v>
      </c>
      <c r="C191" s="859"/>
      <c r="D191" s="522" t="s">
        <v>1444</v>
      </c>
      <c r="E191" s="525"/>
      <c r="F191" s="1894"/>
      <c r="G191" s="1895"/>
      <c r="H191" s="860">
        <f>H192+H201+H203+H209+H210</f>
        <v>51.6</v>
      </c>
      <c r="I191" s="1896"/>
      <c r="J191" s="1896"/>
      <c r="K191" s="860">
        <f>K192+K201+K203+K209+K210</f>
        <v>36.799999999999997</v>
      </c>
      <c r="L191" s="1896"/>
      <c r="M191" s="1896"/>
      <c r="N191" s="860">
        <f>N192+N201+N203+N209+N210</f>
        <v>36.799999999999997</v>
      </c>
      <c r="O191" s="1896"/>
      <c r="P191" s="1896"/>
      <c r="Q191" s="860">
        <f>Q192+Q201+Q203+Q207+Q208+Q209+Q210</f>
        <v>43.9</v>
      </c>
      <c r="R191" s="860">
        <f t="shared" si="33"/>
        <v>43.9</v>
      </c>
      <c r="S191" s="860"/>
      <c r="T191" s="860"/>
      <c r="U191" s="860"/>
      <c r="V191" s="860">
        <f>V192+V201+V203+V207+V208+V209+V210</f>
        <v>43.9</v>
      </c>
      <c r="W191" s="860"/>
      <c r="X191" s="860"/>
      <c r="Y191" s="860">
        <f>Y192+Y201+Y203+Y207+Y208+Y209+Y210</f>
        <v>43.9</v>
      </c>
      <c r="Z191" s="860">
        <f t="shared" si="40"/>
        <v>7.1</v>
      </c>
      <c r="AA191" s="860">
        <f t="shared" si="41"/>
        <v>119.3</v>
      </c>
      <c r="AB191" s="1897"/>
      <c r="AC191" s="549" t="s">
        <v>1665</v>
      </c>
      <c r="AF191" s="528"/>
      <c r="AG191" s="528"/>
      <c r="AH191" s="528"/>
    </row>
    <row r="192" spans="1:34" s="492" customFormat="1" ht="14.25" x14ac:dyDescent="0.2">
      <c r="A192" s="1240"/>
      <c r="B192" s="1042" t="s">
        <v>1395</v>
      </c>
      <c r="C192" s="501" t="s">
        <v>1230</v>
      </c>
      <c r="D192" s="1240"/>
      <c r="E192" s="854"/>
      <c r="F192" s="1898"/>
      <c r="G192" s="1899"/>
      <c r="H192" s="493">
        <f>SUM(H193:H200)</f>
        <v>26.1</v>
      </c>
      <c r="I192" s="1900"/>
      <c r="J192" s="1900"/>
      <c r="K192" s="532">
        <f>SUM(K193:K200)</f>
        <v>20.8</v>
      </c>
      <c r="L192" s="1900"/>
      <c r="M192" s="1900"/>
      <c r="N192" s="532">
        <f>SUM(N193:N200)</f>
        <v>20.8</v>
      </c>
      <c r="O192" s="532"/>
      <c r="P192" s="532"/>
      <c r="Q192" s="532">
        <f>SUM(Q193:Q200)</f>
        <v>24.8</v>
      </c>
      <c r="R192" s="532">
        <f t="shared" si="33"/>
        <v>24.8</v>
      </c>
      <c r="S192" s="532"/>
      <c r="T192" s="532"/>
      <c r="U192" s="532"/>
      <c r="V192" s="532">
        <f>SUM(V193:V200)</f>
        <v>24.8</v>
      </c>
      <c r="W192" s="532"/>
      <c r="X192" s="532"/>
      <c r="Y192" s="532">
        <f>SUM(Y193:Y200)</f>
        <v>24.8</v>
      </c>
      <c r="Z192" s="493">
        <f t="shared" si="40"/>
        <v>4</v>
      </c>
      <c r="AA192" s="493">
        <f t="shared" si="41"/>
        <v>119.2</v>
      </c>
      <c r="AB192" s="1042"/>
      <c r="AC192" s="491" t="s">
        <v>1665</v>
      </c>
      <c r="AF192" s="466"/>
      <c r="AG192" s="466"/>
      <c r="AH192" s="466"/>
    </row>
    <row r="193" spans="1:34" s="498" customFormat="1" hidden="1" x14ac:dyDescent="0.25">
      <c r="A193" s="962"/>
      <c r="B193" s="1043" t="s">
        <v>1836</v>
      </c>
      <c r="C193" s="503"/>
      <c r="D193" s="903"/>
      <c r="E193" s="535" t="s">
        <v>1837</v>
      </c>
      <c r="F193" s="494">
        <v>2</v>
      </c>
      <c r="G193" s="495">
        <v>2.2999999999999998</v>
      </c>
      <c r="H193" s="1245">
        <f>F193*G193</f>
        <v>4.5999999999999996</v>
      </c>
      <c r="I193" s="496">
        <v>2</v>
      </c>
      <c r="J193" s="496">
        <v>2.2999999999999998</v>
      </c>
      <c r="K193" s="496">
        <f>I193*J193</f>
        <v>4.5999999999999996</v>
      </c>
      <c r="L193" s="496">
        <v>2</v>
      </c>
      <c r="M193" s="496">
        <v>2.2999999999999998</v>
      </c>
      <c r="N193" s="496">
        <f>L193*M193</f>
        <v>4.5999999999999996</v>
      </c>
      <c r="O193" s="496">
        <v>2</v>
      </c>
      <c r="P193" s="496">
        <v>2.2999999999999998</v>
      </c>
      <c r="Q193" s="496">
        <f>O193*P193</f>
        <v>4.5999999999999996</v>
      </c>
      <c r="R193" s="496">
        <f t="shared" si="33"/>
        <v>4.5999999999999996</v>
      </c>
      <c r="S193" s="496"/>
      <c r="T193" s="496">
        <v>2</v>
      </c>
      <c r="U193" s="496">
        <v>2.2999999999999998</v>
      </c>
      <c r="V193" s="496">
        <f>T193*U193</f>
        <v>4.5999999999999996</v>
      </c>
      <c r="W193" s="496">
        <v>2</v>
      </c>
      <c r="X193" s="496">
        <v>2.2999999999999998</v>
      </c>
      <c r="Y193" s="496">
        <f>W193*X193</f>
        <v>4.5999999999999996</v>
      </c>
      <c r="Z193" s="1245">
        <f t="shared" si="40"/>
        <v>0</v>
      </c>
      <c r="AA193" s="1245">
        <f t="shared" si="41"/>
        <v>100</v>
      </c>
      <c r="AB193" s="1043"/>
      <c r="AC193" s="491" t="s">
        <v>1665</v>
      </c>
      <c r="AF193" s="466"/>
      <c r="AG193" s="465"/>
      <c r="AH193" s="465"/>
    </row>
    <row r="194" spans="1:34" s="498" customFormat="1" hidden="1" x14ac:dyDescent="0.25">
      <c r="A194" s="962"/>
      <c r="B194" s="1043" t="s">
        <v>1838</v>
      </c>
      <c r="C194" s="503"/>
      <c r="D194" s="903"/>
      <c r="E194" s="535" t="s">
        <v>1837</v>
      </c>
      <c r="F194" s="494">
        <v>3</v>
      </c>
      <c r="G194" s="495">
        <v>1.1499999999999999</v>
      </c>
      <c r="H194" s="1245">
        <f>F194*G194</f>
        <v>3.5</v>
      </c>
      <c r="I194" s="496"/>
      <c r="J194" s="496"/>
      <c r="K194" s="496">
        <f>I194*J194</f>
        <v>0</v>
      </c>
      <c r="L194" s="496"/>
      <c r="M194" s="496"/>
      <c r="N194" s="496">
        <f>L194*M194</f>
        <v>0</v>
      </c>
      <c r="O194" s="496"/>
      <c r="P194" s="496"/>
      <c r="Q194" s="496"/>
      <c r="R194" s="496">
        <f t="shared" si="33"/>
        <v>0</v>
      </c>
      <c r="S194" s="496"/>
      <c r="T194" s="496"/>
      <c r="U194" s="496"/>
      <c r="V194" s="496"/>
      <c r="W194" s="496"/>
      <c r="X194" s="496"/>
      <c r="Y194" s="496"/>
      <c r="Z194" s="1245">
        <f t="shared" si="40"/>
        <v>0</v>
      </c>
      <c r="AA194" s="1245" t="str">
        <f t="shared" si="41"/>
        <v>-</v>
      </c>
      <c r="AB194" s="1043"/>
      <c r="AC194" s="491" t="s">
        <v>1665</v>
      </c>
      <c r="AF194" s="466"/>
      <c r="AG194" s="465"/>
      <c r="AH194" s="465"/>
    </row>
    <row r="195" spans="1:34" s="498" customFormat="1" hidden="1" x14ac:dyDescent="0.25">
      <c r="A195" s="962"/>
      <c r="B195" s="1043" t="s">
        <v>1839</v>
      </c>
      <c r="C195" s="503"/>
      <c r="D195" s="903"/>
      <c r="E195" s="535" t="s">
        <v>1837</v>
      </c>
      <c r="F195" s="494">
        <v>4</v>
      </c>
      <c r="G195" s="495">
        <v>1.73</v>
      </c>
      <c r="H195" s="1245">
        <f>F195*G195</f>
        <v>6.9</v>
      </c>
      <c r="I195" s="496">
        <v>4</v>
      </c>
      <c r="J195" s="496">
        <v>1.7</v>
      </c>
      <c r="K195" s="496">
        <f>I195*J195</f>
        <v>6.8</v>
      </c>
      <c r="L195" s="496">
        <v>4</v>
      </c>
      <c r="M195" s="496">
        <v>1.7</v>
      </c>
      <c r="N195" s="496">
        <f>L195*M195</f>
        <v>6.8</v>
      </c>
      <c r="O195" s="496">
        <v>4</v>
      </c>
      <c r="P195" s="496">
        <v>1.7</v>
      </c>
      <c r="Q195" s="496">
        <f>O195*P195</f>
        <v>6.8</v>
      </c>
      <c r="R195" s="496">
        <f t="shared" si="33"/>
        <v>6.8</v>
      </c>
      <c r="S195" s="496"/>
      <c r="T195" s="496">
        <v>4</v>
      </c>
      <c r="U195" s="496">
        <v>1.7</v>
      </c>
      <c r="V195" s="496">
        <f>T195*U195</f>
        <v>6.8</v>
      </c>
      <c r="W195" s="496">
        <v>4</v>
      </c>
      <c r="X195" s="496">
        <v>1.7</v>
      </c>
      <c r="Y195" s="496">
        <f>W195*X195</f>
        <v>6.8</v>
      </c>
      <c r="Z195" s="1245">
        <f t="shared" si="40"/>
        <v>0</v>
      </c>
      <c r="AA195" s="1245">
        <f t="shared" si="41"/>
        <v>100</v>
      </c>
      <c r="AB195" s="1043"/>
      <c r="AC195" s="491" t="s">
        <v>1665</v>
      </c>
      <c r="AF195" s="466"/>
      <c r="AG195" s="465"/>
      <c r="AH195" s="465"/>
    </row>
    <row r="196" spans="1:34" s="498" customFormat="1" hidden="1" x14ac:dyDescent="0.25">
      <c r="A196" s="962"/>
      <c r="B196" s="1901" t="s">
        <v>1519</v>
      </c>
      <c r="C196" s="1902"/>
      <c r="D196" s="903"/>
      <c r="E196" s="535" t="s">
        <v>1837</v>
      </c>
      <c r="F196" s="863">
        <v>1</v>
      </c>
      <c r="G196" s="864">
        <v>3.5</v>
      </c>
      <c r="H196" s="1245">
        <f>F196*G196</f>
        <v>3.5</v>
      </c>
      <c r="I196" s="682">
        <v>1</v>
      </c>
      <c r="J196" s="682">
        <v>3.5</v>
      </c>
      <c r="K196" s="496">
        <f>I196*J196</f>
        <v>3.5</v>
      </c>
      <c r="L196" s="682">
        <v>1</v>
      </c>
      <c r="M196" s="682">
        <v>3.5</v>
      </c>
      <c r="N196" s="496">
        <f>L196*M196</f>
        <v>3.5</v>
      </c>
      <c r="O196" s="682">
        <v>1</v>
      </c>
      <c r="P196" s="682">
        <v>3.5</v>
      </c>
      <c r="Q196" s="496">
        <f>O196*P196</f>
        <v>3.5</v>
      </c>
      <c r="R196" s="496">
        <f t="shared" si="33"/>
        <v>3.5</v>
      </c>
      <c r="S196" s="496"/>
      <c r="T196" s="682">
        <v>1</v>
      </c>
      <c r="U196" s="682">
        <v>3.5</v>
      </c>
      <c r="V196" s="496">
        <f>T196*U196</f>
        <v>3.5</v>
      </c>
      <c r="W196" s="682">
        <v>1</v>
      </c>
      <c r="X196" s="682">
        <v>3.5</v>
      </c>
      <c r="Y196" s="496">
        <f>W196*X196</f>
        <v>3.5</v>
      </c>
      <c r="Z196" s="1245">
        <f t="shared" si="40"/>
        <v>0</v>
      </c>
      <c r="AA196" s="1245">
        <f t="shared" si="41"/>
        <v>100</v>
      </c>
      <c r="AB196" s="1901"/>
      <c r="AC196" s="491" t="s">
        <v>1665</v>
      </c>
      <c r="AF196" s="466"/>
      <c r="AG196" s="465"/>
      <c r="AH196" s="465"/>
    </row>
    <row r="197" spans="1:34" s="498" customFormat="1" hidden="1" x14ac:dyDescent="0.25">
      <c r="A197" s="962"/>
      <c r="B197" s="1901" t="s">
        <v>1840</v>
      </c>
      <c r="C197" s="1902"/>
      <c r="D197" s="903"/>
      <c r="E197" s="535"/>
      <c r="F197" s="863"/>
      <c r="G197" s="864"/>
      <c r="H197" s="1245"/>
      <c r="I197" s="682">
        <v>3</v>
      </c>
      <c r="J197" s="682">
        <v>1.2</v>
      </c>
      <c r="K197" s="496">
        <v>0</v>
      </c>
      <c r="L197" s="682">
        <v>3</v>
      </c>
      <c r="M197" s="682">
        <v>1.2</v>
      </c>
      <c r="N197" s="496">
        <v>0</v>
      </c>
      <c r="O197" s="682"/>
      <c r="P197" s="682"/>
      <c r="Q197" s="496"/>
      <c r="R197" s="496">
        <f t="shared" si="33"/>
        <v>0</v>
      </c>
      <c r="S197" s="496"/>
      <c r="T197" s="682"/>
      <c r="U197" s="682"/>
      <c r="V197" s="496"/>
      <c r="W197" s="682"/>
      <c r="X197" s="682"/>
      <c r="Y197" s="496"/>
      <c r="Z197" s="1245">
        <f t="shared" si="40"/>
        <v>0</v>
      </c>
      <c r="AA197" s="1245" t="str">
        <f t="shared" si="41"/>
        <v>-</v>
      </c>
      <c r="AB197" s="1901"/>
      <c r="AC197" s="491" t="s">
        <v>1665</v>
      </c>
      <c r="AF197" s="466"/>
      <c r="AG197" s="465"/>
      <c r="AH197" s="465"/>
    </row>
    <row r="198" spans="1:34" s="498" customFormat="1" hidden="1" x14ac:dyDescent="0.25">
      <c r="A198" s="962"/>
      <c r="B198" s="1903" t="s">
        <v>1683</v>
      </c>
      <c r="C198" s="1904"/>
      <c r="D198" s="903"/>
      <c r="E198" s="535" t="s">
        <v>1837</v>
      </c>
      <c r="F198" s="863">
        <v>1</v>
      </c>
      <c r="G198" s="864">
        <v>2</v>
      </c>
      <c r="H198" s="1245">
        <f>F198*G198</f>
        <v>2</v>
      </c>
      <c r="I198" s="682">
        <v>1</v>
      </c>
      <c r="J198" s="682">
        <v>2</v>
      </c>
      <c r="K198" s="496">
        <v>1.5</v>
      </c>
      <c r="L198" s="682">
        <v>1</v>
      </c>
      <c r="M198" s="682">
        <v>2</v>
      </c>
      <c r="N198" s="496">
        <v>1.5</v>
      </c>
      <c r="O198" s="682"/>
      <c r="P198" s="682"/>
      <c r="Q198" s="496"/>
      <c r="R198" s="496">
        <f t="shared" si="33"/>
        <v>0</v>
      </c>
      <c r="S198" s="496"/>
      <c r="T198" s="682"/>
      <c r="U198" s="682"/>
      <c r="V198" s="496"/>
      <c r="W198" s="682"/>
      <c r="X198" s="682"/>
      <c r="Y198" s="496"/>
      <c r="Z198" s="1245">
        <f t="shared" si="40"/>
        <v>-1.5</v>
      </c>
      <c r="AA198" s="1245">
        <f t="shared" si="41"/>
        <v>0</v>
      </c>
      <c r="AB198" s="1903"/>
      <c r="AC198" s="491" t="s">
        <v>1665</v>
      </c>
      <c r="AF198" s="466"/>
      <c r="AG198" s="465"/>
      <c r="AH198" s="465"/>
    </row>
    <row r="199" spans="1:34" s="498" customFormat="1" hidden="1" x14ac:dyDescent="0.25">
      <c r="A199" s="962"/>
      <c r="B199" s="1903" t="s">
        <v>1841</v>
      </c>
      <c r="C199" s="1904"/>
      <c r="D199" s="903"/>
      <c r="E199" s="535"/>
      <c r="F199" s="863"/>
      <c r="G199" s="864"/>
      <c r="H199" s="1245"/>
      <c r="I199" s="682"/>
      <c r="J199" s="682"/>
      <c r="K199" s="496"/>
      <c r="L199" s="682"/>
      <c r="M199" s="682"/>
      <c r="N199" s="496"/>
      <c r="O199" s="682">
        <v>2</v>
      </c>
      <c r="P199" s="682">
        <v>2.2999999999999998</v>
      </c>
      <c r="Q199" s="496">
        <f>O199*P199</f>
        <v>4.5999999999999996</v>
      </c>
      <c r="R199" s="496">
        <f t="shared" si="33"/>
        <v>4.5999999999999996</v>
      </c>
      <c r="S199" s="496"/>
      <c r="T199" s="682">
        <v>2</v>
      </c>
      <c r="U199" s="682">
        <v>2.2999999999999998</v>
      </c>
      <c r="V199" s="496">
        <f>T199*U199</f>
        <v>4.5999999999999996</v>
      </c>
      <c r="W199" s="682">
        <v>2</v>
      </c>
      <c r="X199" s="682">
        <v>2.2999999999999998</v>
      </c>
      <c r="Y199" s="496">
        <f>W199*X199</f>
        <v>4.5999999999999996</v>
      </c>
      <c r="Z199" s="1245">
        <f t="shared" si="40"/>
        <v>4.5999999999999996</v>
      </c>
      <c r="AA199" s="1245" t="str">
        <f t="shared" si="41"/>
        <v>-</v>
      </c>
      <c r="AB199" s="1903"/>
      <c r="AC199" s="491" t="s">
        <v>1665</v>
      </c>
      <c r="AF199" s="466"/>
      <c r="AG199" s="465"/>
      <c r="AH199" s="465"/>
    </row>
    <row r="200" spans="1:34" s="498" customFormat="1" hidden="1" x14ac:dyDescent="0.25">
      <c r="A200" s="962"/>
      <c r="B200" s="1030" t="s">
        <v>842</v>
      </c>
      <c r="C200" s="553"/>
      <c r="D200" s="903"/>
      <c r="E200" s="535"/>
      <c r="F200" s="504"/>
      <c r="G200" s="505"/>
      <c r="H200" s="535">
        <f>SUM(H193:H198)*0.271</f>
        <v>5.6</v>
      </c>
      <c r="I200" s="1905"/>
      <c r="J200" s="1905"/>
      <c r="K200" s="1905">
        <f>SUM(K193:K198)*0.271</f>
        <v>4.4000000000000004</v>
      </c>
      <c r="L200" s="1905"/>
      <c r="M200" s="1905"/>
      <c r="N200" s="1905">
        <f>SUM(N193:N198)*0.271</f>
        <v>4.4000000000000004</v>
      </c>
      <c r="O200" s="1905"/>
      <c r="P200" s="1905"/>
      <c r="Q200" s="1905">
        <f>SUM(Q193:Q199)*0.271</f>
        <v>5.3</v>
      </c>
      <c r="R200" s="1905">
        <f t="shared" si="33"/>
        <v>5.3</v>
      </c>
      <c r="S200" s="1905"/>
      <c r="T200" s="1905"/>
      <c r="U200" s="1905"/>
      <c r="V200" s="1905">
        <f>SUM(V193:V199)*0.271</f>
        <v>5.3</v>
      </c>
      <c r="W200" s="1905"/>
      <c r="X200" s="1905"/>
      <c r="Y200" s="1905">
        <f>SUM(Y193:Y199)*0.271</f>
        <v>5.3</v>
      </c>
      <c r="Z200" s="535">
        <f t="shared" si="40"/>
        <v>0.9</v>
      </c>
      <c r="AA200" s="535">
        <f t="shared" si="41"/>
        <v>120.5</v>
      </c>
      <c r="AB200" s="1030"/>
      <c r="AC200" s="491" t="s">
        <v>1665</v>
      </c>
      <c r="AF200" s="466"/>
      <c r="AG200" s="465"/>
      <c r="AH200" s="465"/>
    </row>
    <row r="201" spans="1:34" s="492" customFormat="1" ht="25.5" hidden="1" x14ac:dyDescent="0.2">
      <c r="A201" s="1240"/>
      <c r="B201" s="898" t="s">
        <v>1842</v>
      </c>
      <c r="C201" s="529" t="s">
        <v>797</v>
      </c>
      <c r="D201" s="932"/>
      <c r="E201" s="854"/>
      <c r="F201" s="530"/>
      <c r="G201" s="531"/>
      <c r="H201" s="493">
        <f>SUM(H202:H202)</f>
        <v>1.6</v>
      </c>
      <c r="I201" s="532"/>
      <c r="J201" s="532"/>
      <c r="K201" s="532">
        <f>SUM(K202:K202)</f>
        <v>0.8</v>
      </c>
      <c r="L201" s="532"/>
      <c r="M201" s="532"/>
      <c r="N201" s="532">
        <f>SUM(N202:N202)</f>
        <v>0.8</v>
      </c>
      <c r="O201" s="532"/>
      <c r="P201" s="532"/>
      <c r="Q201" s="532">
        <f>SUM(Q202:Q202)</f>
        <v>1.2</v>
      </c>
      <c r="R201" s="532">
        <f t="shared" si="33"/>
        <v>1.2</v>
      </c>
      <c r="S201" s="532"/>
      <c r="T201" s="532"/>
      <c r="U201" s="532"/>
      <c r="V201" s="532">
        <f>SUM(V202:V202)</f>
        <v>1.2</v>
      </c>
      <c r="W201" s="532"/>
      <c r="X201" s="532"/>
      <c r="Y201" s="532">
        <f>SUM(Y202:Y202)</f>
        <v>1.2</v>
      </c>
      <c r="Z201" s="493">
        <f t="shared" si="40"/>
        <v>0.4</v>
      </c>
      <c r="AA201" s="493">
        <f t="shared" si="41"/>
        <v>150</v>
      </c>
      <c r="AB201" s="900"/>
      <c r="AC201" s="491" t="s">
        <v>1665</v>
      </c>
      <c r="AF201" s="466"/>
      <c r="AG201" s="466"/>
      <c r="AH201" s="466"/>
    </row>
    <row r="202" spans="1:34" s="498" customFormat="1" ht="89.25" hidden="1" x14ac:dyDescent="0.25">
      <c r="A202" s="962"/>
      <c r="B202" s="1030" t="s">
        <v>1843</v>
      </c>
      <c r="C202" s="553"/>
      <c r="D202" s="903"/>
      <c r="E202" s="535" t="s">
        <v>310</v>
      </c>
      <c r="F202" s="863">
        <v>16</v>
      </c>
      <c r="G202" s="864">
        <v>0.1</v>
      </c>
      <c r="H202" s="1245">
        <f>F202*G202</f>
        <v>1.6</v>
      </c>
      <c r="I202" s="682">
        <v>8</v>
      </c>
      <c r="J202" s="1906">
        <v>0.1</v>
      </c>
      <c r="K202" s="496">
        <f>I202*J202</f>
        <v>0.8</v>
      </c>
      <c r="L202" s="682">
        <v>8</v>
      </c>
      <c r="M202" s="1906">
        <v>0.1</v>
      </c>
      <c r="N202" s="496">
        <f>L202*M202</f>
        <v>0.8</v>
      </c>
      <c r="O202" s="682">
        <v>12</v>
      </c>
      <c r="P202" s="682">
        <v>0.1</v>
      </c>
      <c r="Q202" s="496">
        <f>O202*P202</f>
        <v>1.2</v>
      </c>
      <c r="R202" s="496">
        <f t="shared" si="33"/>
        <v>1.2</v>
      </c>
      <c r="S202" s="496"/>
      <c r="T202" s="682">
        <v>12</v>
      </c>
      <c r="U202" s="682">
        <v>0.1</v>
      </c>
      <c r="V202" s="496">
        <f>T202*U202</f>
        <v>1.2</v>
      </c>
      <c r="W202" s="682">
        <v>12</v>
      </c>
      <c r="X202" s="682">
        <v>0.1</v>
      </c>
      <c r="Y202" s="496">
        <f>W202*X202</f>
        <v>1.2</v>
      </c>
      <c r="Z202" s="1245">
        <f t="shared" si="40"/>
        <v>0.4</v>
      </c>
      <c r="AA202" s="1245">
        <f t="shared" si="41"/>
        <v>150</v>
      </c>
      <c r="AB202" s="900" t="s">
        <v>1844</v>
      </c>
      <c r="AC202" s="491" t="s">
        <v>1665</v>
      </c>
      <c r="AF202" s="466"/>
      <c r="AG202" s="465"/>
      <c r="AH202" s="465"/>
    </row>
    <row r="203" spans="1:34" s="492" customFormat="1" ht="14.25" hidden="1" x14ac:dyDescent="0.2">
      <c r="A203" s="1240"/>
      <c r="B203" s="898" t="s">
        <v>1845</v>
      </c>
      <c r="C203" s="529" t="s">
        <v>797</v>
      </c>
      <c r="D203" s="932"/>
      <c r="E203" s="854"/>
      <c r="F203" s="1898"/>
      <c r="G203" s="1899"/>
      <c r="H203" s="493">
        <f>SUM(H204:H206)</f>
        <v>9</v>
      </c>
      <c r="I203" s="1900"/>
      <c r="J203" s="1900"/>
      <c r="K203" s="532">
        <f>SUM(K204:K206)</f>
        <v>8</v>
      </c>
      <c r="L203" s="1900"/>
      <c r="M203" s="1900"/>
      <c r="N203" s="532">
        <f>SUM(N204:N206)</f>
        <v>8</v>
      </c>
      <c r="O203" s="532"/>
      <c r="P203" s="532"/>
      <c r="Q203" s="532">
        <f>SUM(Q204:Q206)</f>
        <v>4</v>
      </c>
      <c r="R203" s="532">
        <f t="shared" si="33"/>
        <v>4</v>
      </c>
      <c r="S203" s="532"/>
      <c r="T203" s="532"/>
      <c r="U203" s="532"/>
      <c r="V203" s="532">
        <f>SUM(V204:V206)</f>
        <v>4</v>
      </c>
      <c r="W203" s="532"/>
      <c r="X203" s="532"/>
      <c r="Y203" s="532">
        <f>SUM(Y204:Y206)</f>
        <v>4</v>
      </c>
      <c r="Z203" s="493">
        <f t="shared" si="40"/>
        <v>-4</v>
      </c>
      <c r="AA203" s="493">
        <f t="shared" si="41"/>
        <v>50</v>
      </c>
      <c r="AB203" s="900"/>
      <c r="AC203" s="491" t="s">
        <v>1665</v>
      </c>
      <c r="AF203" s="466"/>
      <c r="AG203" s="466"/>
      <c r="AH203" s="466"/>
    </row>
    <row r="204" spans="1:34" s="492" customFormat="1" ht="14.25" hidden="1" x14ac:dyDescent="0.2">
      <c r="A204" s="1240"/>
      <c r="B204" s="867" t="s">
        <v>1846</v>
      </c>
      <c r="C204" s="553"/>
      <c r="D204" s="903"/>
      <c r="E204" s="535" t="s">
        <v>227</v>
      </c>
      <c r="F204" s="1907">
        <v>60</v>
      </c>
      <c r="G204" s="1908">
        <v>0.1</v>
      </c>
      <c r="H204" s="1245">
        <f>F204*G204</f>
        <v>6</v>
      </c>
      <c r="I204" s="1864">
        <v>20</v>
      </c>
      <c r="J204" s="1906">
        <v>0.05</v>
      </c>
      <c r="K204" s="496">
        <f>I204*J204</f>
        <v>1</v>
      </c>
      <c r="L204" s="1864">
        <v>20</v>
      </c>
      <c r="M204" s="1906">
        <v>0.05</v>
      </c>
      <c r="N204" s="496">
        <f>L204*M204</f>
        <v>1</v>
      </c>
      <c r="O204" s="1864"/>
      <c r="P204" s="682"/>
      <c r="Q204" s="496"/>
      <c r="R204" s="496">
        <f t="shared" si="33"/>
        <v>0</v>
      </c>
      <c r="S204" s="496"/>
      <c r="T204" s="1864"/>
      <c r="U204" s="682"/>
      <c r="V204" s="496"/>
      <c r="W204" s="1864"/>
      <c r="X204" s="682"/>
      <c r="Y204" s="496"/>
      <c r="Z204" s="1245">
        <f t="shared" si="40"/>
        <v>-1</v>
      </c>
      <c r="AA204" s="1245">
        <f t="shared" si="41"/>
        <v>0</v>
      </c>
      <c r="AB204" s="900"/>
      <c r="AC204" s="491" t="s">
        <v>1665</v>
      </c>
      <c r="AF204" s="466"/>
      <c r="AG204" s="466"/>
      <c r="AH204" s="466"/>
    </row>
    <row r="205" spans="1:34" s="492" customFormat="1" ht="38.25" hidden="1" x14ac:dyDescent="0.2">
      <c r="A205" s="1240"/>
      <c r="B205" s="867" t="s">
        <v>1847</v>
      </c>
      <c r="C205" s="553"/>
      <c r="D205" s="903"/>
      <c r="E205" s="535"/>
      <c r="F205" s="1907"/>
      <c r="G205" s="1908"/>
      <c r="H205" s="1245"/>
      <c r="I205" s="1864">
        <v>4</v>
      </c>
      <c r="J205" s="1864">
        <v>1</v>
      </c>
      <c r="K205" s="496">
        <f>I205*J205</f>
        <v>4</v>
      </c>
      <c r="L205" s="1864">
        <v>4</v>
      </c>
      <c r="M205" s="1864">
        <v>1</v>
      </c>
      <c r="N205" s="496">
        <f>L205*M205</f>
        <v>4</v>
      </c>
      <c r="O205" s="1864">
        <v>1</v>
      </c>
      <c r="P205" s="1864">
        <v>4</v>
      </c>
      <c r="Q205" s="496">
        <f>O205*P205</f>
        <v>4</v>
      </c>
      <c r="R205" s="496">
        <f t="shared" si="33"/>
        <v>4</v>
      </c>
      <c r="S205" s="496"/>
      <c r="T205" s="1864">
        <v>1</v>
      </c>
      <c r="U205" s="1864">
        <v>4</v>
      </c>
      <c r="V205" s="496">
        <f>T205*U205</f>
        <v>4</v>
      </c>
      <c r="W205" s="1864">
        <v>1</v>
      </c>
      <c r="X205" s="1864">
        <v>4</v>
      </c>
      <c r="Y205" s="496">
        <f>W205*X205</f>
        <v>4</v>
      </c>
      <c r="Z205" s="1245">
        <f t="shared" si="40"/>
        <v>0</v>
      </c>
      <c r="AA205" s="1245">
        <f t="shared" si="41"/>
        <v>100</v>
      </c>
      <c r="AB205" s="900" t="s">
        <v>1848</v>
      </c>
      <c r="AC205" s="491" t="s">
        <v>1665</v>
      </c>
      <c r="AF205" s="466"/>
      <c r="AG205" s="466"/>
      <c r="AH205" s="466"/>
    </row>
    <row r="206" spans="1:34" s="498" customFormat="1" ht="38.25" hidden="1" x14ac:dyDescent="0.25">
      <c r="A206" s="962"/>
      <c r="B206" s="867" t="s">
        <v>1849</v>
      </c>
      <c r="C206" s="553"/>
      <c r="D206" s="903"/>
      <c r="E206" s="535"/>
      <c r="F206" s="1907"/>
      <c r="G206" s="1908"/>
      <c r="H206" s="1245">
        <v>3</v>
      </c>
      <c r="I206" s="1864"/>
      <c r="J206" s="1864"/>
      <c r="K206" s="496">
        <v>3</v>
      </c>
      <c r="L206" s="1864"/>
      <c r="M206" s="1864"/>
      <c r="N206" s="496">
        <v>3</v>
      </c>
      <c r="O206" s="1864"/>
      <c r="P206" s="1864"/>
      <c r="Q206" s="496"/>
      <c r="R206" s="496">
        <f t="shared" si="33"/>
        <v>0</v>
      </c>
      <c r="S206" s="496"/>
      <c r="T206" s="1864"/>
      <c r="U206" s="1864"/>
      <c r="V206" s="496"/>
      <c r="W206" s="1864"/>
      <c r="X206" s="1864"/>
      <c r="Y206" s="496"/>
      <c r="Z206" s="1245">
        <f t="shared" si="40"/>
        <v>-3</v>
      </c>
      <c r="AA206" s="1245">
        <f t="shared" si="41"/>
        <v>0</v>
      </c>
      <c r="AB206" s="900"/>
      <c r="AC206" s="491" t="s">
        <v>1665</v>
      </c>
      <c r="AF206" s="466"/>
      <c r="AG206" s="465"/>
      <c r="AH206" s="465"/>
    </row>
    <row r="207" spans="1:34" s="498" customFormat="1" ht="38.25" hidden="1" x14ac:dyDescent="0.25">
      <c r="A207" s="962"/>
      <c r="B207" s="866" t="s">
        <v>1850</v>
      </c>
      <c r="C207" s="1909">
        <v>981</v>
      </c>
      <c r="D207" s="497"/>
      <c r="E207" s="497"/>
      <c r="F207" s="497"/>
      <c r="G207" s="497"/>
      <c r="H207" s="497"/>
      <c r="I207" s="497"/>
      <c r="J207" s="497"/>
      <c r="K207" s="497"/>
      <c r="L207" s="497"/>
      <c r="M207" s="497"/>
      <c r="N207" s="497"/>
      <c r="O207" s="1864"/>
      <c r="P207" s="1864"/>
      <c r="Q207" s="532">
        <v>4</v>
      </c>
      <c r="R207" s="532">
        <f t="shared" si="33"/>
        <v>4</v>
      </c>
      <c r="S207" s="532"/>
      <c r="T207" s="1864"/>
      <c r="U207" s="1864"/>
      <c r="V207" s="532">
        <v>4</v>
      </c>
      <c r="W207" s="1864"/>
      <c r="X207" s="1864"/>
      <c r="Y207" s="532">
        <v>4</v>
      </c>
      <c r="Z207" s="1245">
        <f t="shared" si="40"/>
        <v>4</v>
      </c>
      <c r="AA207" s="1245" t="str">
        <f t="shared" si="41"/>
        <v>-</v>
      </c>
      <c r="AB207" s="900" t="s">
        <v>1851</v>
      </c>
      <c r="AC207" s="491" t="s">
        <v>1665</v>
      </c>
      <c r="AF207" s="466"/>
      <c r="AG207" s="465"/>
      <c r="AH207" s="465"/>
    </row>
    <row r="208" spans="1:34" s="498" customFormat="1" ht="63.75" hidden="1" x14ac:dyDescent="0.25">
      <c r="A208" s="962"/>
      <c r="B208" s="866" t="s">
        <v>1852</v>
      </c>
      <c r="C208" s="1909">
        <v>981</v>
      </c>
      <c r="D208" s="497"/>
      <c r="E208" s="497"/>
      <c r="F208" s="497"/>
      <c r="G208" s="497"/>
      <c r="H208" s="497"/>
      <c r="I208" s="497"/>
      <c r="J208" s="497"/>
      <c r="K208" s="497"/>
      <c r="L208" s="497"/>
      <c r="M208" s="497"/>
      <c r="N208" s="497"/>
      <c r="O208" s="1864"/>
      <c r="P208" s="1864"/>
      <c r="Q208" s="532">
        <v>2</v>
      </c>
      <c r="R208" s="532">
        <f t="shared" si="33"/>
        <v>2</v>
      </c>
      <c r="S208" s="532"/>
      <c r="T208" s="1864"/>
      <c r="U208" s="1864"/>
      <c r="V208" s="532">
        <v>2</v>
      </c>
      <c r="W208" s="1864"/>
      <c r="X208" s="1864"/>
      <c r="Y208" s="532">
        <v>2</v>
      </c>
      <c r="Z208" s="1245">
        <f t="shared" si="40"/>
        <v>2</v>
      </c>
      <c r="AA208" s="1245" t="str">
        <f t="shared" si="41"/>
        <v>-</v>
      </c>
      <c r="AB208" s="900" t="s">
        <v>1853</v>
      </c>
      <c r="AC208" s="491" t="s">
        <v>1665</v>
      </c>
      <c r="AF208" s="466"/>
      <c r="AG208" s="465"/>
      <c r="AH208" s="465"/>
    </row>
    <row r="209" spans="1:34" s="492" customFormat="1" ht="38.25" hidden="1" x14ac:dyDescent="0.2">
      <c r="A209" s="1240"/>
      <c r="B209" s="898" t="s">
        <v>1854</v>
      </c>
      <c r="C209" s="529" t="s">
        <v>796</v>
      </c>
      <c r="D209" s="932"/>
      <c r="E209" s="854" t="s">
        <v>227</v>
      </c>
      <c r="F209" s="530">
        <v>15</v>
      </c>
      <c r="G209" s="531">
        <v>0.5</v>
      </c>
      <c r="H209" s="493">
        <f>F209*G209</f>
        <v>7.5</v>
      </c>
      <c r="I209" s="532">
        <v>15</v>
      </c>
      <c r="J209" s="1836">
        <v>0.25</v>
      </c>
      <c r="K209" s="532">
        <f>I209*J209</f>
        <v>3.8</v>
      </c>
      <c r="L209" s="532">
        <v>15</v>
      </c>
      <c r="M209" s="1836">
        <v>0.25</v>
      </c>
      <c r="N209" s="532">
        <f>L209*M209</f>
        <v>3.8</v>
      </c>
      <c r="O209" s="532">
        <v>15</v>
      </c>
      <c r="P209" s="532">
        <v>0.3</v>
      </c>
      <c r="Q209" s="532">
        <f>O209*P209</f>
        <v>4.5</v>
      </c>
      <c r="R209" s="532">
        <f t="shared" si="33"/>
        <v>4.5</v>
      </c>
      <c r="S209" s="532"/>
      <c r="T209" s="532">
        <v>15</v>
      </c>
      <c r="U209" s="532">
        <v>0.3</v>
      </c>
      <c r="V209" s="532">
        <f>T209*U209</f>
        <v>4.5</v>
      </c>
      <c r="W209" s="532">
        <v>15</v>
      </c>
      <c r="X209" s="532">
        <v>0.3</v>
      </c>
      <c r="Y209" s="532">
        <f>W209*X209</f>
        <v>4.5</v>
      </c>
      <c r="Z209" s="493">
        <f t="shared" si="40"/>
        <v>0.7</v>
      </c>
      <c r="AA209" s="493">
        <f t="shared" si="41"/>
        <v>118.4</v>
      </c>
      <c r="AB209" s="900" t="s">
        <v>1855</v>
      </c>
      <c r="AC209" s="491" t="s">
        <v>1665</v>
      </c>
      <c r="AF209" s="466"/>
      <c r="AG209" s="466"/>
      <c r="AH209" s="466"/>
    </row>
    <row r="210" spans="1:34" s="492" customFormat="1" ht="14.25" hidden="1" x14ac:dyDescent="0.2">
      <c r="A210" s="1240"/>
      <c r="B210" s="866" t="s">
        <v>1856</v>
      </c>
      <c r="C210" s="529" t="s">
        <v>797</v>
      </c>
      <c r="D210" s="1240"/>
      <c r="E210" s="854"/>
      <c r="F210" s="530"/>
      <c r="G210" s="531"/>
      <c r="H210" s="493">
        <f>SUM(H211:H212)</f>
        <v>7.4</v>
      </c>
      <c r="I210" s="532"/>
      <c r="J210" s="532"/>
      <c r="K210" s="532">
        <f>SUM(K211:K212)</f>
        <v>3.4</v>
      </c>
      <c r="L210" s="532"/>
      <c r="M210" s="532"/>
      <c r="N210" s="532">
        <f>SUM(N211:N212)</f>
        <v>3.4</v>
      </c>
      <c r="O210" s="532"/>
      <c r="P210" s="532"/>
      <c r="Q210" s="532">
        <f>SUM(Q211:Q212)</f>
        <v>3.4</v>
      </c>
      <c r="R210" s="532">
        <f t="shared" si="33"/>
        <v>3.4</v>
      </c>
      <c r="S210" s="532"/>
      <c r="T210" s="532"/>
      <c r="U210" s="532"/>
      <c r="V210" s="532">
        <f>SUM(V211:V212)</f>
        <v>3.4</v>
      </c>
      <c r="W210" s="532"/>
      <c r="X210" s="532"/>
      <c r="Y210" s="532">
        <f>SUM(Y211:Y212)</f>
        <v>3.4</v>
      </c>
      <c r="Z210" s="493">
        <f t="shared" si="40"/>
        <v>0</v>
      </c>
      <c r="AA210" s="493">
        <f t="shared" si="41"/>
        <v>100</v>
      </c>
      <c r="AB210" s="900"/>
      <c r="AC210" s="491" t="s">
        <v>1665</v>
      </c>
      <c r="AF210" s="466"/>
      <c r="AG210" s="466"/>
      <c r="AH210" s="466"/>
    </row>
    <row r="211" spans="1:34" s="498" customFormat="1" hidden="1" x14ac:dyDescent="0.25">
      <c r="A211" s="962"/>
      <c r="B211" s="867" t="s">
        <v>1857</v>
      </c>
      <c r="C211" s="553"/>
      <c r="D211" s="903"/>
      <c r="E211" s="535" t="s">
        <v>310</v>
      </c>
      <c r="F211" s="494">
        <v>1</v>
      </c>
      <c r="G211" s="495">
        <v>4</v>
      </c>
      <c r="H211" s="1245">
        <f>F211*G211</f>
        <v>4</v>
      </c>
      <c r="I211" s="509"/>
      <c r="J211" s="509"/>
      <c r="K211" s="509">
        <v>0</v>
      </c>
      <c r="L211" s="509"/>
      <c r="M211" s="509"/>
      <c r="N211" s="509">
        <v>0</v>
      </c>
      <c r="O211" s="509"/>
      <c r="P211" s="509"/>
      <c r="Q211" s="509"/>
      <c r="R211" s="509">
        <f t="shared" ref="R211:R274" si="42">Q211</f>
        <v>0</v>
      </c>
      <c r="S211" s="509"/>
      <c r="T211" s="509"/>
      <c r="U211" s="509"/>
      <c r="V211" s="509"/>
      <c r="W211" s="509"/>
      <c r="X211" s="509"/>
      <c r="Y211" s="509"/>
      <c r="Z211" s="1245">
        <f t="shared" si="40"/>
        <v>0</v>
      </c>
      <c r="AA211" s="1245" t="str">
        <f t="shared" si="41"/>
        <v>-</v>
      </c>
      <c r="AB211" s="900"/>
      <c r="AC211" s="491" t="s">
        <v>1665</v>
      </c>
      <c r="AF211" s="466"/>
      <c r="AG211" s="465"/>
      <c r="AH211" s="465"/>
    </row>
    <row r="212" spans="1:34" s="498" customFormat="1" hidden="1" x14ac:dyDescent="0.25">
      <c r="A212" s="962"/>
      <c r="B212" s="867" t="s">
        <v>1858</v>
      </c>
      <c r="C212" s="553"/>
      <c r="D212" s="903"/>
      <c r="E212" s="535" t="s">
        <v>310</v>
      </c>
      <c r="F212" s="494">
        <v>34</v>
      </c>
      <c r="G212" s="495">
        <v>0.1</v>
      </c>
      <c r="H212" s="1245">
        <f>F212*G212</f>
        <v>3.4</v>
      </c>
      <c r="I212" s="496">
        <v>34</v>
      </c>
      <c r="J212" s="496">
        <v>0.1</v>
      </c>
      <c r="K212" s="496">
        <f>I212*J212</f>
        <v>3.4</v>
      </c>
      <c r="L212" s="496">
        <v>34</v>
      </c>
      <c r="M212" s="496">
        <v>0.1</v>
      </c>
      <c r="N212" s="496">
        <f>L212*M212</f>
        <v>3.4</v>
      </c>
      <c r="O212" s="496">
        <v>34</v>
      </c>
      <c r="P212" s="496">
        <v>0.1</v>
      </c>
      <c r="Q212" s="496">
        <f>O212*P212</f>
        <v>3.4</v>
      </c>
      <c r="R212" s="496">
        <f t="shared" si="42"/>
        <v>3.4</v>
      </c>
      <c r="S212" s="496"/>
      <c r="T212" s="496">
        <v>34</v>
      </c>
      <c r="U212" s="496">
        <v>0.1</v>
      </c>
      <c r="V212" s="496">
        <f>T212*U212</f>
        <v>3.4</v>
      </c>
      <c r="W212" s="496">
        <v>34</v>
      </c>
      <c r="X212" s="496">
        <v>0.1</v>
      </c>
      <c r="Y212" s="496">
        <f>W212*X212</f>
        <v>3.4</v>
      </c>
      <c r="Z212" s="1245">
        <f t="shared" si="40"/>
        <v>0</v>
      </c>
      <c r="AA212" s="1245">
        <f t="shared" si="41"/>
        <v>100</v>
      </c>
      <c r="AB212" s="1910"/>
      <c r="AC212" s="491" t="s">
        <v>1665</v>
      </c>
      <c r="AF212" s="466"/>
      <c r="AG212" s="465"/>
      <c r="AH212" s="465"/>
    </row>
    <row r="213" spans="1:34" s="539" customFormat="1" hidden="1" x14ac:dyDescent="0.25">
      <c r="A213" s="536"/>
      <c r="B213" s="543" t="s">
        <v>799</v>
      </c>
      <c r="C213" s="511"/>
      <c r="D213" s="536"/>
      <c r="E213" s="544"/>
      <c r="F213" s="545"/>
      <c r="G213" s="546"/>
      <c r="H213" s="537" t="e">
        <f>#REF!+H214+#REF!+#REF!</f>
        <v>#REF!</v>
      </c>
      <c r="I213" s="537"/>
      <c r="J213" s="537"/>
      <c r="K213" s="537">
        <f>K214</f>
        <v>71.5</v>
      </c>
      <c r="L213" s="537"/>
      <c r="M213" s="537"/>
      <c r="N213" s="537">
        <f>N214</f>
        <v>71.5</v>
      </c>
      <c r="O213" s="537"/>
      <c r="P213" s="537"/>
      <c r="Q213" s="537">
        <f>Q214</f>
        <v>141.5</v>
      </c>
      <c r="R213" s="537">
        <f t="shared" si="42"/>
        <v>141.5</v>
      </c>
      <c r="S213" s="537"/>
      <c r="T213" s="537"/>
      <c r="U213" s="537"/>
      <c r="V213" s="537">
        <f>V214</f>
        <v>116</v>
      </c>
      <c r="W213" s="537"/>
      <c r="X213" s="537"/>
      <c r="Y213" s="537">
        <f>Y214</f>
        <v>116</v>
      </c>
      <c r="Z213" s="537">
        <f t="shared" si="40"/>
        <v>70</v>
      </c>
      <c r="AA213" s="537">
        <f t="shared" si="41"/>
        <v>197.9</v>
      </c>
      <c r="AC213" s="538"/>
      <c r="AF213" s="518"/>
      <c r="AG213" s="540"/>
      <c r="AH213" s="540"/>
    </row>
    <row r="214" spans="1:34" s="527" customFormat="1" ht="38.25" hidden="1" x14ac:dyDescent="0.2">
      <c r="A214" s="522"/>
      <c r="B214" s="520" t="s">
        <v>1664</v>
      </c>
      <c r="C214" s="521"/>
      <c r="D214" s="522" t="s">
        <v>1444</v>
      </c>
      <c r="E214" s="556"/>
      <c r="F214" s="523"/>
      <c r="G214" s="524"/>
      <c r="H214" s="526">
        <f>H215+H222+H223+H227+H230+H242+H244+H248+H249</f>
        <v>196.8</v>
      </c>
      <c r="I214" s="526"/>
      <c r="J214" s="526"/>
      <c r="K214" s="526">
        <f>K215+K222+K223+K227+K230+K242+K244+K248+K249</f>
        <v>71.5</v>
      </c>
      <c r="L214" s="526"/>
      <c r="M214" s="526"/>
      <c r="N214" s="526">
        <f>N215+N222+N223+N227+N230+N242+N244+N248+N249</f>
        <v>71.5</v>
      </c>
      <c r="O214" s="526"/>
      <c r="P214" s="526"/>
      <c r="Q214" s="526">
        <f>Q215+Q222+Q223+Q227+Q230+Q242+Q244+Q248+Q249</f>
        <v>141.5</v>
      </c>
      <c r="R214" s="526">
        <f t="shared" si="42"/>
        <v>141.5</v>
      </c>
      <c r="S214" s="526"/>
      <c r="T214" s="526"/>
      <c r="U214" s="526"/>
      <c r="V214" s="526">
        <f>V215+V222+V223+V227+V230+V242+V244+V248+V249</f>
        <v>116</v>
      </c>
      <c r="W214" s="526"/>
      <c r="X214" s="526"/>
      <c r="Y214" s="526">
        <f>Y215+Y222+Y223+Y227+Y230+Y242+Y244+Y248+Y249</f>
        <v>116</v>
      </c>
      <c r="Z214" s="526">
        <f t="shared" si="40"/>
        <v>70</v>
      </c>
      <c r="AA214" s="526">
        <f t="shared" si="41"/>
        <v>197.9</v>
      </c>
      <c r="AB214" s="1911"/>
      <c r="AC214" s="549" t="s">
        <v>1665</v>
      </c>
      <c r="AF214" s="528"/>
      <c r="AG214" s="528"/>
      <c r="AH214" s="528"/>
    </row>
    <row r="215" spans="1:34" s="492" customFormat="1" ht="14.25" hidden="1" x14ac:dyDescent="0.2">
      <c r="A215" s="1240"/>
      <c r="B215" s="500" t="s">
        <v>1859</v>
      </c>
      <c r="C215" s="501" t="s">
        <v>797</v>
      </c>
      <c r="D215" s="1240"/>
      <c r="E215" s="842"/>
      <c r="F215" s="828"/>
      <c r="G215" s="829"/>
      <c r="H215" s="542"/>
      <c r="I215" s="542"/>
      <c r="J215" s="542"/>
      <c r="K215" s="542">
        <f>SUM(K216:K221)</f>
        <v>7.9</v>
      </c>
      <c r="L215" s="542"/>
      <c r="M215" s="542"/>
      <c r="N215" s="542">
        <f>SUM(N216:N221)</f>
        <v>7.9</v>
      </c>
      <c r="O215" s="542"/>
      <c r="P215" s="542"/>
      <c r="Q215" s="533">
        <f>SUM(Q219:Q221)</f>
        <v>3.3</v>
      </c>
      <c r="R215" s="533">
        <f t="shared" si="42"/>
        <v>3.3</v>
      </c>
      <c r="S215" s="533"/>
      <c r="T215" s="542"/>
      <c r="U215" s="542"/>
      <c r="V215" s="533">
        <f>SUM(V219:V221)</f>
        <v>3.3</v>
      </c>
      <c r="W215" s="542"/>
      <c r="X215" s="542"/>
      <c r="Y215" s="533">
        <f>SUM(Y219:Y221)</f>
        <v>3.3</v>
      </c>
      <c r="Z215" s="542">
        <f t="shared" si="40"/>
        <v>-4.5999999999999996</v>
      </c>
      <c r="AA215" s="542">
        <f t="shared" si="41"/>
        <v>41.8</v>
      </c>
      <c r="AB215" s="921"/>
      <c r="AC215" s="549" t="s">
        <v>1665</v>
      </c>
      <c r="AF215" s="466"/>
      <c r="AG215" s="466"/>
      <c r="AH215" s="466"/>
    </row>
    <row r="216" spans="1:34" s="498" customFormat="1" hidden="1" x14ac:dyDescent="0.25">
      <c r="A216" s="962"/>
      <c r="B216" s="1879" t="s">
        <v>1860</v>
      </c>
      <c r="C216" s="499"/>
      <c r="D216" s="903"/>
      <c r="E216" s="535" t="s">
        <v>227</v>
      </c>
      <c r="F216" s="857"/>
      <c r="G216" s="857"/>
      <c r="H216" s="857"/>
      <c r="I216" s="857">
        <v>150</v>
      </c>
      <c r="J216" s="862">
        <v>0.05</v>
      </c>
      <c r="K216" s="857">
        <f>I216*J216</f>
        <v>7.5</v>
      </c>
      <c r="L216" s="857">
        <v>150</v>
      </c>
      <c r="M216" s="862">
        <v>0.05</v>
      </c>
      <c r="N216" s="857">
        <f>L216*M216</f>
        <v>7.5</v>
      </c>
      <c r="O216" s="857"/>
      <c r="P216" s="862"/>
      <c r="Q216" s="857"/>
      <c r="R216" s="857">
        <f t="shared" si="42"/>
        <v>0</v>
      </c>
      <c r="S216" s="857"/>
      <c r="T216" s="857"/>
      <c r="U216" s="862"/>
      <c r="V216" s="857"/>
      <c r="W216" s="857"/>
      <c r="X216" s="857"/>
      <c r="Y216" s="857"/>
      <c r="Z216" s="559">
        <f t="shared" si="40"/>
        <v>-7.5</v>
      </c>
      <c r="AA216" s="559">
        <f t="shared" si="41"/>
        <v>0</v>
      </c>
      <c r="AB216" s="1912"/>
      <c r="AC216" s="549" t="s">
        <v>1665</v>
      </c>
      <c r="AF216" s="466"/>
      <c r="AG216" s="465"/>
      <c r="AH216" s="465"/>
    </row>
    <row r="217" spans="1:34" s="498" customFormat="1" hidden="1" x14ac:dyDescent="0.25">
      <c r="A217" s="962"/>
      <c r="B217" s="856" t="s">
        <v>1861</v>
      </c>
      <c r="C217" s="499"/>
      <c r="D217" s="903"/>
      <c r="E217" s="535"/>
      <c r="F217" s="857"/>
      <c r="G217" s="857"/>
      <c r="H217" s="857"/>
      <c r="I217" s="857"/>
      <c r="J217" s="857"/>
      <c r="K217" s="857"/>
      <c r="L217" s="857"/>
      <c r="M217" s="857"/>
      <c r="N217" s="857"/>
      <c r="O217" s="857"/>
      <c r="P217" s="857"/>
      <c r="Q217" s="857"/>
      <c r="R217" s="857">
        <f t="shared" si="42"/>
        <v>0</v>
      </c>
      <c r="S217" s="857"/>
      <c r="T217" s="857"/>
      <c r="U217" s="857"/>
      <c r="V217" s="857"/>
      <c r="W217" s="857"/>
      <c r="X217" s="857"/>
      <c r="Y217" s="857"/>
      <c r="Z217" s="559">
        <f t="shared" si="40"/>
        <v>0</v>
      </c>
      <c r="AA217" s="559" t="str">
        <f t="shared" si="41"/>
        <v>-</v>
      </c>
      <c r="AB217" s="1912"/>
      <c r="AC217" s="549" t="s">
        <v>1665</v>
      </c>
      <c r="AF217" s="466"/>
      <c r="AG217" s="465"/>
      <c r="AH217" s="465"/>
    </row>
    <row r="218" spans="1:34" s="498" customFormat="1" hidden="1" x14ac:dyDescent="0.25">
      <c r="A218" s="962"/>
      <c r="B218" s="856" t="s">
        <v>1862</v>
      </c>
      <c r="C218" s="499"/>
      <c r="D218" s="903"/>
      <c r="E218" s="535" t="s">
        <v>227</v>
      </c>
      <c r="F218" s="857"/>
      <c r="G218" s="857"/>
      <c r="H218" s="857"/>
      <c r="I218" s="857">
        <v>40</v>
      </c>
      <c r="J218" s="862">
        <v>0.01</v>
      </c>
      <c r="K218" s="857">
        <f>I218*J218</f>
        <v>0.4</v>
      </c>
      <c r="L218" s="857">
        <v>40</v>
      </c>
      <c r="M218" s="862">
        <v>0.01</v>
      </c>
      <c r="N218" s="857">
        <f>L218*M218</f>
        <v>0.4</v>
      </c>
      <c r="O218" s="857"/>
      <c r="P218" s="862"/>
      <c r="Q218" s="857"/>
      <c r="R218" s="857">
        <f t="shared" si="42"/>
        <v>0</v>
      </c>
      <c r="S218" s="857"/>
      <c r="T218" s="857"/>
      <c r="U218" s="862"/>
      <c r="V218" s="857"/>
      <c r="W218" s="857"/>
      <c r="X218" s="857"/>
      <c r="Y218" s="857"/>
      <c r="Z218" s="559">
        <f t="shared" si="40"/>
        <v>-0.4</v>
      </c>
      <c r="AA218" s="559">
        <f t="shared" si="41"/>
        <v>0</v>
      </c>
      <c r="AB218" s="1912"/>
      <c r="AC218" s="549" t="s">
        <v>1665</v>
      </c>
      <c r="AF218" s="466"/>
      <c r="AG218" s="465"/>
      <c r="AH218" s="465"/>
    </row>
    <row r="219" spans="1:34" s="492" customFormat="1" ht="51" hidden="1" x14ac:dyDescent="0.2">
      <c r="A219" s="1240"/>
      <c r="B219" s="856" t="s">
        <v>1863</v>
      </c>
      <c r="C219" s="501"/>
      <c r="D219" s="1240"/>
      <c r="E219" s="842"/>
      <c r="F219" s="828"/>
      <c r="G219" s="829"/>
      <c r="H219" s="542"/>
      <c r="I219" s="542"/>
      <c r="J219" s="542"/>
      <c r="K219" s="542"/>
      <c r="L219" s="542"/>
      <c r="M219" s="542"/>
      <c r="N219" s="542"/>
      <c r="O219" s="857">
        <v>1</v>
      </c>
      <c r="P219" s="857">
        <v>0.4</v>
      </c>
      <c r="Q219" s="857">
        <f>O219*P219</f>
        <v>0.4</v>
      </c>
      <c r="R219" s="857">
        <f t="shared" si="42"/>
        <v>0.4</v>
      </c>
      <c r="S219" s="857"/>
      <c r="T219" s="857">
        <v>1</v>
      </c>
      <c r="U219" s="857">
        <v>0.4</v>
      </c>
      <c r="V219" s="857">
        <f>T219*U219</f>
        <v>0.4</v>
      </c>
      <c r="W219" s="857">
        <v>1</v>
      </c>
      <c r="X219" s="857">
        <v>0.4</v>
      </c>
      <c r="Y219" s="857">
        <f>W219*X219</f>
        <v>0.4</v>
      </c>
      <c r="Z219" s="559">
        <f t="shared" si="40"/>
        <v>0.4</v>
      </c>
      <c r="AA219" s="559" t="str">
        <f t="shared" si="41"/>
        <v>-</v>
      </c>
      <c r="AB219" s="827" t="s">
        <v>1864</v>
      </c>
      <c r="AC219" s="549" t="s">
        <v>1665</v>
      </c>
      <c r="AF219" s="466"/>
      <c r="AG219" s="466"/>
      <c r="AH219" s="466"/>
    </row>
    <row r="220" spans="1:34" s="492" customFormat="1" ht="25.5" hidden="1" x14ac:dyDescent="0.2">
      <c r="A220" s="1240"/>
      <c r="B220" s="856" t="s">
        <v>1865</v>
      </c>
      <c r="C220" s="501"/>
      <c r="D220" s="1240"/>
      <c r="E220" s="842"/>
      <c r="F220" s="828"/>
      <c r="G220" s="829"/>
      <c r="H220" s="542"/>
      <c r="I220" s="542"/>
      <c r="J220" s="542"/>
      <c r="K220" s="542"/>
      <c r="L220" s="542"/>
      <c r="M220" s="542"/>
      <c r="N220" s="542"/>
      <c r="O220" s="857">
        <v>1</v>
      </c>
      <c r="P220" s="857">
        <v>0.9</v>
      </c>
      <c r="Q220" s="857">
        <f>O220*P220</f>
        <v>0.9</v>
      </c>
      <c r="R220" s="857">
        <f t="shared" si="42"/>
        <v>0.9</v>
      </c>
      <c r="S220" s="857"/>
      <c r="T220" s="857">
        <v>1</v>
      </c>
      <c r="U220" s="857">
        <v>0.9</v>
      </c>
      <c r="V220" s="857">
        <f>T220*U220</f>
        <v>0.9</v>
      </c>
      <c r="W220" s="857">
        <v>1</v>
      </c>
      <c r="X220" s="857">
        <v>0.9</v>
      </c>
      <c r="Y220" s="857">
        <f>W220*X220</f>
        <v>0.9</v>
      </c>
      <c r="Z220" s="559">
        <f t="shared" si="40"/>
        <v>0.9</v>
      </c>
      <c r="AA220" s="559" t="str">
        <f t="shared" si="41"/>
        <v>-</v>
      </c>
      <c r="AB220" s="827" t="s">
        <v>1866</v>
      </c>
      <c r="AC220" s="549" t="s">
        <v>1665</v>
      </c>
      <c r="AF220" s="466"/>
      <c r="AG220" s="466"/>
      <c r="AH220" s="466"/>
    </row>
    <row r="221" spans="1:34" s="492" customFormat="1" ht="25.5" hidden="1" x14ac:dyDescent="0.2">
      <c r="A221" s="1240"/>
      <c r="B221" s="856" t="s">
        <v>1867</v>
      </c>
      <c r="C221" s="501"/>
      <c r="D221" s="1240"/>
      <c r="E221" s="842"/>
      <c r="F221" s="828"/>
      <c r="G221" s="829"/>
      <c r="H221" s="542"/>
      <c r="I221" s="542"/>
      <c r="J221" s="542"/>
      <c r="K221" s="542"/>
      <c r="L221" s="542"/>
      <c r="M221" s="542"/>
      <c r="N221" s="542"/>
      <c r="O221" s="857">
        <v>10</v>
      </c>
      <c r="P221" s="857">
        <v>0.2</v>
      </c>
      <c r="Q221" s="857">
        <f>O221*P221</f>
        <v>2</v>
      </c>
      <c r="R221" s="857">
        <f t="shared" si="42"/>
        <v>2</v>
      </c>
      <c r="S221" s="857"/>
      <c r="T221" s="857">
        <v>10</v>
      </c>
      <c r="U221" s="857">
        <v>0.2</v>
      </c>
      <c r="V221" s="857">
        <f>T221*U221</f>
        <v>2</v>
      </c>
      <c r="W221" s="857">
        <v>10</v>
      </c>
      <c r="X221" s="857">
        <v>0.2</v>
      </c>
      <c r="Y221" s="857">
        <f>W221*X221</f>
        <v>2</v>
      </c>
      <c r="Z221" s="559">
        <f t="shared" si="40"/>
        <v>2</v>
      </c>
      <c r="AA221" s="559" t="str">
        <f t="shared" si="41"/>
        <v>-</v>
      </c>
      <c r="AB221" s="827" t="s">
        <v>1868</v>
      </c>
      <c r="AC221" s="549" t="s">
        <v>1665</v>
      </c>
      <c r="AF221" s="466"/>
      <c r="AG221" s="466"/>
      <c r="AH221" s="466"/>
    </row>
    <row r="222" spans="1:34" s="492" customFormat="1" ht="14.25" hidden="1" x14ac:dyDescent="0.2">
      <c r="A222" s="1240"/>
      <c r="B222" s="500" t="s">
        <v>1869</v>
      </c>
      <c r="C222" s="501" t="s">
        <v>797</v>
      </c>
      <c r="D222" s="1240"/>
      <c r="E222" s="842"/>
      <c r="F222" s="828"/>
      <c r="G222" s="829"/>
      <c r="H222" s="542"/>
      <c r="I222" s="542">
        <v>60</v>
      </c>
      <c r="J222" s="542">
        <v>0.1</v>
      </c>
      <c r="K222" s="542">
        <f>I222*J222</f>
        <v>6</v>
      </c>
      <c r="L222" s="542">
        <v>60</v>
      </c>
      <c r="M222" s="542">
        <v>0.1</v>
      </c>
      <c r="N222" s="542">
        <f>L222*M222</f>
        <v>6</v>
      </c>
      <c r="O222" s="533">
        <v>60</v>
      </c>
      <c r="P222" s="533">
        <v>0.1</v>
      </c>
      <c r="Q222" s="533">
        <f>O222*P222</f>
        <v>6</v>
      </c>
      <c r="R222" s="533">
        <f t="shared" si="42"/>
        <v>6</v>
      </c>
      <c r="S222" s="533"/>
      <c r="T222" s="533">
        <v>60</v>
      </c>
      <c r="U222" s="533">
        <v>0.1</v>
      </c>
      <c r="V222" s="533">
        <f>T222*U222</f>
        <v>6</v>
      </c>
      <c r="W222" s="533">
        <v>60</v>
      </c>
      <c r="X222" s="533">
        <v>0.1</v>
      </c>
      <c r="Y222" s="533">
        <f>W222*X222</f>
        <v>6</v>
      </c>
      <c r="Z222" s="542">
        <f t="shared" si="40"/>
        <v>0</v>
      </c>
      <c r="AA222" s="542">
        <f t="shared" si="41"/>
        <v>100</v>
      </c>
      <c r="AB222" s="827"/>
      <c r="AC222" s="549" t="s">
        <v>1665</v>
      </c>
      <c r="AF222" s="466"/>
      <c r="AG222" s="466"/>
      <c r="AH222" s="466"/>
    </row>
    <row r="223" spans="1:34" s="492" customFormat="1" ht="25.5" hidden="1" x14ac:dyDescent="0.2">
      <c r="A223" s="1240"/>
      <c r="B223" s="500" t="s">
        <v>1239</v>
      </c>
      <c r="C223" s="501" t="s">
        <v>797</v>
      </c>
      <c r="D223" s="932"/>
      <c r="E223" s="854"/>
      <c r="F223" s="828"/>
      <c r="G223" s="829"/>
      <c r="H223" s="542">
        <f>SUM(H224:H229)</f>
        <v>15.4</v>
      </c>
      <c r="I223" s="533"/>
      <c r="J223" s="533"/>
      <c r="K223" s="533">
        <f>SUM(K224:K226)</f>
        <v>0.6</v>
      </c>
      <c r="L223" s="533"/>
      <c r="M223" s="533"/>
      <c r="N223" s="533">
        <f>SUM(N224:N226)</f>
        <v>0.6</v>
      </c>
      <c r="O223" s="533"/>
      <c r="P223" s="533"/>
      <c r="Q223" s="533">
        <f>SUM(Q224:Q226)</f>
        <v>4.5</v>
      </c>
      <c r="R223" s="533">
        <f t="shared" si="42"/>
        <v>4.5</v>
      </c>
      <c r="S223" s="533"/>
      <c r="T223" s="533"/>
      <c r="U223" s="533"/>
      <c r="V223" s="533">
        <f>SUM(V224:V226)</f>
        <v>6.2</v>
      </c>
      <c r="W223" s="533"/>
      <c r="X223" s="533"/>
      <c r="Y223" s="533">
        <f>SUM(Y224:Y226)</f>
        <v>6.2</v>
      </c>
      <c r="Z223" s="542">
        <f t="shared" si="40"/>
        <v>3.9</v>
      </c>
      <c r="AA223" s="542">
        <f t="shared" si="41"/>
        <v>750</v>
      </c>
      <c r="AB223" s="827"/>
      <c r="AC223" s="549" t="s">
        <v>1665</v>
      </c>
      <c r="AF223" s="466"/>
      <c r="AG223" s="466"/>
      <c r="AH223" s="466"/>
    </row>
    <row r="224" spans="1:34" s="498" customFormat="1" ht="140.25" hidden="1" x14ac:dyDescent="0.25">
      <c r="A224" s="962"/>
      <c r="B224" s="502" t="s">
        <v>1870</v>
      </c>
      <c r="C224" s="499"/>
      <c r="D224" s="903"/>
      <c r="E224" s="535" t="s">
        <v>227</v>
      </c>
      <c r="F224" s="557">
        <v>40</v>
      </c>
      <c r="G224" s="558">
        <v>0.08</v>
      </c>
      <c r="H224" s="559">
        <f>F224*G224</f>
        <v>3.2</v>
      </c>
      <c r="I224" s="857">
        <v>6</v>
      </c>
      <c r="J224" s="862">
        <v>0.1</v>
      </c>
      <c r="K224" s="857">
        <f>I224*J224</f>
        <v>0.6</v>
      </c>
      <c r="L224" s="857">
        <v>6</v>
      </c>
      <c r="M224" s="862">
        <v>0.1</v>
      </c>
      <c r="N224" s="857">
        <f>L224*M224</f>
        <v>0.6</v>
      </c>
      <c r="O224" s="496">
        <v>15</v>
      </c>
      <c r="P224" s="496">
        <v>0.1</v>
      </c>
      <c r="Q224" s="496">
        <f>O224*P224</f>
        <v>1.5</v>
      </c>
      <c r="R224" s="496">
        <f t="shared" si="42"/>
        <v>1.5</v>
      </c>
      <c r="S224" s="496"/>
      <c r="T224" s="496">
        <v>32</v>
      </c>
      <c r="U224" s="496">
        <v>0.1</v>
      </c>
      <c r="V224" s="496">
        <f>T224*U224</f>
        <v>3.2</v>
      </c>
      <c r="W224" s="496">
        <v>32</v>
      </c>
      <c r="X224" s="496">
        <v>0.1</v>
      </c>
      <c r="Y224" s="496">
        <f>W224*X224</f>
        <v>3.2</v>
      </c>
      <c r="Z224" s="559">
        <f t="shared" si="40"/>
        <v>0.9</v>
      </c>
      <c r="AA224" s="559">
        <f t="shared" si="41"/>
        <v>250</v>
      </c>
      <c r="AB224" s="900" t="s">
        <v>1871</v>
      </c>
      <c r="AC224" s="549" t="s">
        <v>1665</v>
      </c>
      <c r="AF224" s="466"/>
      <c r="AG224" s="465"/>
      <c r="AH224" s="465"/>
    </row>
    <row r="225" spans="1:34" s="498" customFormat="1" ht="38.25" hidden="1" x14ac:dyDescent="0.25">
      <c r="A225" s="962"/>
      <c r="B225" s="856" t="s">
        <v>1692</v>
      </c>
      <c r="C225" s="499"/>
      <c r="D225" s="903"/>
      <c r="E225" s="535" t="s">
        <v>227</v>
      </c>
      <c r="F225" s="557"/>
      <c r="G225" s="558">
        <v>0.3</v>
      </c>
      <c r="H225" s="559">
        <f>F225*G225</f>
        <v>0</v>
      </c>
      <c r="I225" s="857"/>
      <c r="J225" s="857"/>
      <c r="K225" s="857">
        <f>I225*J225</f>
        <v>0</v>
      </c>
      <c r="L225" s="857"/>
      <c r="M225" s="857"/>
      <c r="N225" s="857">
        <f>L225*M225</f>
        <v>0</v>
      </c>
      <c r="O225" s="857"/>
      <c r="P225" s="857"/>
      <c r="Q225" s="496"/>
      <c r="R225" s="496">
        <f t="shared" si="42"/>
        <v>0</v>
      </c>
      <c r="S225" s="496"/>
      <c r="T225" s="857"/>
      <c r="U225" s="857"/>
      <c r="V225" s="496"/>
      <c r="W225" s="857"/>
      <c r="X225" s="857"/>
      <c r="Y225" s="496"/>
      <c r="Z225" s="559"/>
      <c r="AA225" s="559" t="str">
        <f t="shared" si="41"/>
        <v>-</v>
      </c>
      <c r="AB225" s="900" t="s">
        <v>1872</v>
      </c>
      <c r="AC225" s="549" t="s">
        <v>1665</v>
      </c>
      <c r="AF225" s="466"/>
      <c r="AG225" s="465"/>
      <c r="AH225" s="465"/>
    </row>
    <row r="226" spans="1:34" s="498" customFormat="1" hidden="1" x14ac:dyDescent="0.25">
      <c r="A226" s="962"/>
      <c r="B226" s="856" t="s">
        <v>1873</v>
      </c>
      <c r="C226" s="499"/>
      <c r="D226" s="903"/>
      <c r="E226" s="535"/>
      <c r="F226" s="557"/>
      <c r="G226" s="558"/>
      <c r="H226" s="559"/>
      <c r="I226" s="857"/>
      <c r="J226" s="857"/>
      <c r="K226" s="857"/>
      <c r="L226" s="857"/>
      <c r="M226" s="857"/>
      <c r="N226" s="857"/>
      <c r="O226" s="857"/>
      <c r="P226" s="857"/>
      <c r="Q226" s="857">
        <v>3</v>
      </c>
      <c r="R226" s="857">
        <f t="shared" si="42"/>
        <v>3</v>
      </c>
      <c r="S226" s="857"/>
      <c r="T226" s="857"/>
      <c r="U226" s="857"/>
      <c r="V226" s="857">
        <v>3</v>
      </c>
      <c r="W226" s="857"/>
      <c r="X226" s="857"/>
      <c r="Y226" s="857">
        <v>3</v>
      </c>
      <c r="Z226" s="559">
        <f t="shared" ref="Z226:Z289" si="43">Q226-K226</f>
        <v>3</v>
      </c>
      <c r="AA226" s="559" t="str">
        <f t="shared" si="41"/>
        <v>-</v>
      </c>
      <c r="AB226" s="827"/>
      <c r="AC226" s="549" t="s">
        <v>1665</v>
      </c>
      <c r="AF226" s="466"/>
      <c r="AG226" s="465"/>
      <c r="AH226" s="465"/>
    </row>
    <row r="227" spans="1:34" s="498" customFormat="1" ht="48" hidden="1" customHeight="1" x14ac:dyDescent="0.25">
      <c r="A227" s="962"/>
      <c r="B227" s="865" t="s">
        <v>1874</v>
      </c>
      <c r="C227" s="508" t="s">
        <v>797</v>
      </c>
      <c r="D227" s="903"/>
      <c r="E227" s="535"/>
      <c r="F227" s="557"/>
      <c r="G227" s="558"/>
      <c r="H227" s="542">
        <f>SUM(H228:H229)</f>
        <v>6.1</v>
      </c>
      <c r="I227" s="857"/>
      <c r="J227" s="857"/>
      <c r="K227" s="542">
        <f>SUM(K228:K229)</f>
        <v>3</v>
      </c>
      <c r="L227" s="857"/>
      <c r="M227" s="857"/>
      <c r="N227" s="542">
        <f>SUM(N228:N229)</f>
        <v>3</v>
      </c>
      <c r="O227" s="857"/>
      <c r="P227" s="857"/>
      <c r="Q227" s="533"/>
      <c r="R227" s="533">
        <f t="shared" si="42"/>
        <v>0</v>
      </c>
      <c r="S227" s="533"/>
      <c r="T227" s="857"/>
      <c r="U227" s="857"/>
      <c r="V227" s="533"/>
      <c r="W227" s="857"/>
      <c r="X227" s="857"/>
      <c r="Y227" s="533"/>
      <c r="Z227" s="559">
        <f t="shared" si="43"/>
        <v>-3</v>
      </c>
      <c r="AA227" s="559">
        <f t="shared" si="41"/>
        <v>0</v>
      </c>
      <c r="AB227" s="900" t="s">
        <v>1875</v>
      </c>
      <c r="AC227" s="549" t="s">
        <v>1665</v>
      </c>
      <c r="AF227" s="466"/>
      <c r="AG227" s="465"/>
      <c r="AH227" s="465"/>
    </row>
    <row r="228" spans="1:34" s="498" customFormat="1" hidden="1" x14ac:dyDescent="0.25">
      <c r="A228" s="962"/>
      <c r="B228" s="856" t="s">
        <v>1876</v>
      </c>
      <c r="C228" s="499"/>
      <c r="D228" s="903"/>
      <c r="E228" s="535" t="s">
        <v>227</v>
      </c>
      <c r="F228" s="557">
        <v>9</v>
      </c>
      <c r="G228" s="558">
        <v>0.4</v>
      </c>
      <c r="H228" s="559">
        <f>F228*G228</f>
        <v>3.6</v>
      </c>
      <c r="I228" s="857"/>
      <c r="J228" s="857"/>
      <c r="K228" s="857"/>
      <c r="L228" s="857"/>
      <c r="M228" s="857"/>
      <c r="N228" s="857"/>
      <c r="O228" s="857"/>
      <c r="P228" s="857"/>
      <c r="Q228" s="533"/>
      <c r="R228" s="533">
        <f t="shared" si="42"/>
        <v>0</v>
      </c>
      <c r="S228" s="533"/>
      <c r="T228" s="857"/>
      <c r="U228" s="857"/>
      <c r="V228" s="533"/>
      <c r="W228" s="1913"/>
      <c r="X228" s="1913"/>
      <c r="Y228" s="533"/>
      <c r="Z228" s="559">
        <f t="shared" si="43"/>
        <v>0</v>
      </c>
      <c r="AA228" s="559" t="str">
        <f t="shared" si="41"/>
        <v>-</v>
      </c>
      <c r="AB228" s="500"/>
      <c r="AC228" s="549" t="s">
        <v>1665</v>
      </c>
      <c r="AF228" s="466"/>
      <c r="AG228" s="465"/>
      <c r="AH228" s="465"/>
    </row>
    <row r="229" spans="1:34" s="498" customFormat="1" hidden="1" x14ac:dyDescent="0.25">
      <c r="A229" s="962"/>
      <c r="B229" s="856" t="s">
        <v>1873</v>
      </c>
      <c r="C229" s="499"/>
      <c r="D229" s="903"/>
      <c r="E229" s="535" t="s">
        <v>227</v>
      </c>
      <c r="F229" s="557">
        <v>18</v>
      </c>
      <c r="G229" s="558">
        <v>0.14000000000000001</v>
      </c>
      <c r="H229" s="559">
        <f>F229*G229</f>
        <v>2.5</v>
      </c>
      <c r="I229" s="857"/>
      <c r="J229" s="857"/>
      <c r="K229" s="857">
        <v>3</v>
      </c>
      <c r="L229" s="857"/>
      <c r="M229" s="857"/>
      <c r="N229" s="857">
        <v>3</v>
      </c>
      <c r="O229" s="857"/>
      <c r="P229" s="857"/>
      <c r="Q229" s="857"/>
      <c r="R229" s="857">
        <f t="shared" si="42"/>
        <v>0</v>
      </c>
      <c r="S229" s="857"/>
      <c r="T229" s="857"/>
      <c r="U229" s="857"/>
      <c r="V229" s="857"/>
      <c r="W229" s="857"/>
      <c r="X229" s="857"/>
      <c r="Y229" s="857"/>
      <c r="Z229" s="559">
        <f t="shared" si="43"/>
        <v>-3</v>
      </c>
      <c r="AA229" s="559">
        <f t="shared" si="41"/>
        <v>0</v>
      </c>
      <c r="AB229" s="551"/>
      <c r="AC229" s="549" t="s">
        <v>1665</v>
      </c>
      <c r="AF229" s="466"/>
      <c r="AG229" s="465"/>
      <c r="AH229" s="465"/>
    </row>
    <row r="230" spans="1:34" s="492" customFormat="1" ht="14.25" x14ac:dyDescent="0.2">
      <c r="A230" s="1240"/>
      <c r="B230" s="500" t="s">
        <v>1233</v>
      </c>
      <c r="C230" s="501" t="s">
        <v>1230</v>
      </c>
      <c r="D230" s="932"/>
      <c r="E230" s="854"/>
      <c r="F230" s="828"/>
      <c r="G230" s="829"/>
      <c r="H230" s="542">
        <f>SUM(H231:H241)</f>
        <v>23.3</v>
      </c>
      <c r="I230" s="533"/>
      <c r="J230" s="533"/>
      <c r="K230" s="533">
        <f>SUM(K231:K241)</f>
        <v>22.5</v>
      </c>
      <c r="L230" s="533"/>
      <c r="M230" s="533"/>
      <c r="N230" s="533">
        <f>SUM(N231:N241)</f>
        <v>22.5</v>
      </c>
      <c r="O230" s="533"/>
      <c r="P230" s="533"/>
      <c r="Q230" s="533">
        <f>SUM(Q231:Q241)</f>
        <v>46</v>
      </c>
      <c r="R230" s="533">
        <f t="shared" si="42"/>
        <v>46</v>
      </c>
      <c r="S230" s="533"/>
      <c r="T230" s="533"/>
      <c r="U230" s="533"/>
      <c r="V230" s="533">
        <f>SUM(V231:V241)</f>
        <v>46</v>
      </c>
      <c r="W230" s="533"/>
      <c r="X230" s="533"/>
      <c r="Y230" s="533">
        <f>SUM(Y231:Y241)</f>
        <v>46</v>
      </c>
      <c r="Z230" s="542">
        <f t="shared" si="43"/>
        <v>23.5</v>
      </c>
      <c r="AA230" s="542">
        <f t="shared" si="41"/>
        <v>204.4</v>
      </c>
      <c r="AB230" s="921"/>
      <c r="AC230" s="549" t="s">
        <v>1665</v>
      </c>
      <c r="AF230" s="466"/>
      <c r="AG230" s="466"/>
      <c r="AH230" s="466"/>
    </row>
    <row r="231" spans="1:34" s="498" customFormat="1" ht="90" hidden="1" x14ac:dyDescent="0.25">
      <c r="A231" s="962"/>
      <c r="B231" s="551" t="s">
        <v>1519</v>
      </c>
      <c r="C231" s="553"/>
      <c r="D231" s="903"/>
      <c r="E231" s="535" t="s">
        <v>318</v>
      </c>
      <c r="F231" s="1907">
        <v>1</v>
      </c>
      <c r="G231" s="1908">
        <v>3.5</v>
      </c>
      <c r="H231" s="559">
        <f>F231*G231</f>
        <v>3.5</v>
      </c>
      <c r="I231" s="1864">
        <v>1</v>
      </c>
      <c r="J231" s="1864">
        <v>3.5</v>
      </c>
      <c r="K231" s="857">
        <f>I231*J231</f>
        <v>3.5</v>
      </c>
      <c r="L231" s="1864">
        <v>1</v>
      </c>
      <c r="M231" s="1864">
        <v>3.5</v>
      </c>
      <c r="N231" s="857">
        <f>L231*M231</f>
        <v>3.5</v>
      </c>
      <c r="O231" s="1864">
        <v>1</v>
      </c>
      <c r="P231" s="1864">
        <v>3.5</v>
      </c>
      <c r="Q231" s="1865">
        <f>P231*O231</f>
        <v>3.5</v>
      </c>
      <c r="R231" s="1865">
        <f t="shared" si="42"/>
        <v>3.5</v>
      </c>
      <c r="S231" s="1865"/>
      <c r="T231" s="1864">
        <v>1</v>
      </c>
      <c r="U231" s="1864">
        <v>3.5</v>
      </c>
      <c r="V231" s="1865">
        <f>U231*T231</f>
        <v>3.5</v>
      </c>
      <c r="W231" s="1864">
        <v>1</v>
      </c>
      <c r="X231" s="1864">
        <v>3.5</v>
      </c>
      <c r="Y231" s="1865">
        <f>X231*W231</f>
        <v>3.5</v>
      </c>
      <c r="Z231" s="559">
        <f t="shared" si="43"/>
        <v>0</v>
      </c>
      <c r="AA231" s="559">
        <f t="shared" si="41"/>
        <v>100</v>
      </c>
      <c r="AB231" s="893" t="s">
        <v>1877</v>
      </c>
      <c r="AC231" s="549" t="s">
        <v>1665</v>
      </c>
      <c r="AF231" s="466"/>
      <c r="AG231" s="465"/>
      <c r="AH231" s="465"/>
    </row>
    <row r="232" spans="1:34" s="498" customFormat="1" ht="51.75" hidden="1" x14ac:dyDescent="0.25">
      <c r="A232" s="962"/>
      <c r="B232" s="551" t="s">
        <v>1686</v>
      </c>
      <c r="C232" s="553"/>
      <c r="D232" s="903"/>
      <c r="E232" s="535" t="s">
        <v>318</v>
      </c>
      <c r="F232" s="1907">
        <v>1</v>
      </c>
      <c r="G232" s="1908">
        <v>2.2999999999999998</v>
      </c>
      <c r="H232" s="559">
        <f>F232*G232</f>
        <v>2.2999999999999998</v>
      </c>
      <c r="I232" s="1864">
        <v>1</v>
      </c>
      <c r="J232" s="1864">
        <v>2.2999999999999998</v>
      </c>
      <c r="K232" s="857">
        <f>I232*J232</f>
        <v>2.2999999999999998</v>
      </c>
      <c r="L232" s="1864">
        <v>1</v>
      </c>
      <c r="M232" s="1864">
        <v>2.2999999999999998</v>
      </c>
      <c r="N232" s="857">
        <f>L232*M232</f>
        <v>2.2999999999999998</v>
      </c>
      <c r="O232" s="1864">
        <v>2</v>
      </c>
      <c r="P232" s="1864">
        <v>2.2999999999999998</v>
      </c>
      <c r="Q232" s="1865">
        <f>P232*O232</f>
        <v>4.5999999999999996</v>
      </c>
      <c r="R232" s="1865">
        <f t="shared" si="42"/>
        <v>4.5999999999999996</v>
      </c>
      <c r="S232" s="1865"/>
      <c r="T232" s="1864">
        <v>2</v>
      </c>
      <c r="U232" s="1864">
        <v>2.2999999999999998</v>
      </c>
      <c r="V232" s="1865">
        <f>U232*T232</f>
        <v>4.5999999999999996</v>
      </c>
      <c r="W232" s="1864">
        <v>2</v>
      </c>
      <c r="X232" s="1864">
        <v>2.2999999999999998</v>
      </c>
      <c r="Y232" s="1865">
        <f>X232*W232</f>
        <v>4.5999999999999996</v>
      </c>
      <c r="Z232" s="559">
        <f t="shared" si="43"/>
        <v>2.2999999999999998</v>
      </c>
      <c r="AA232" s="559">
        <f t="shared" si="41"/>
        <v>200</v>
      </c>
      <c r="AB232" s="893" t="s">
        <v>1878</v>
      </c>
      <c r="AC232" s="549" t="s">
        <v>1665</v>
      </c>
      <c r="AF232" s="466"/>
      <c r="AG232" s="465"/>
      <c r="AH232" s="465"/>
    </row>
    <row r="233" spans="1:34" s="498" customFormat="1" hidden="1" x14ac:dyDescent="0.25">
      <c r="A233" s="962"/>
      <c r="B233" s="551" t="s">
        <v>1683</v>
      </c>
      <c r="C233" s="553"/>
      <c r="D233" s="903"/>
      <c r="E233" s="535" t="s">
        <v>318</v>
      </c>
      <c r="F233" s="1907">
        <v>1</v>
      </c>
      <c r="G233" s="1908">
        <v>2</v>
      </c>
      <c r="H233" s="559">
        <f>F233*G233</f>
        <v>2</v>
      </c>
      <c r="I233" s="1864">
        <v>1</v>
      </c>
      <c r="J233" s="1864">
        <v>2</v>
      </c>
      <c r="K233" s="857">
        <v>1.5</v>
      </c>
      <c r="L233" s="1864">
        <v>1</v>
      </c>
      <c r="M233" s="1864">
        <v>2</v>
      </c>
      <c r="N233" s="857">
        <v>1.5</v>
      </c>
      <c r="O233" s="1864"/>
      <c r="P233" s="1864"/>
      <c r="Q233" s="1865"/>
      <c r="R233" s="1865">
        <f t="shared" si="42"/>
        <v>0</v>
      </c>
      <c r="S233" s="1865"/>
      <c r="T233" s="1864"/>
      <c r="U233" s="1864"/>
      <c r="V233" s="1865"/>
      <c r="W233" s="1864"/>
      <c r="X233" s="1864"/>
      <c r="Y233" s="1865"/>
      <c r="Z233" s="559">
        <f t="shared" si="43"/>
        <v>-1.5</v>
      </c>
      <c r="AA233" s="559">
        <f t="shared" si="41"/>
        <v>0</v>
      </c>
      <c r="AB233" s="893"/>
      <c r="AC233" s="549" t="s">
        <v>1665</v>
      </c>
      <c r="AF233" s="466"/>
      <c r="AG233" s="465"/>
      <c r="AH233" s="465"/>
    </row>
    <row r="234" spans="1:34" s="498" customFormat="1" hidden="1" x14ac:dyDescent="0.25">
      <c r="A234" s="962"/>
      <c r="B234" s="551" t="s">
        <v>1879</v>
      </c>
      <c r="C234" s="553"/>
      <c r="D234" s="903"/>
      <c r="E234" s="535" t="s">
        <v>318</v>
      </c>
      <c r="F234" s="1907">
        <v>2</v>
      </c>
      <c r="G234" s="1908">
        <v>1.8</v>
      </c>
      <c r="H234" s="559">
        <f>F234*G234</f>
        <v>3.6</v>
      </c>
      <c r="I234" s="1864">
        <v>2</v>
      </c>
      <c r="J234" s="1864">
        <v>1.8</v>
      </c>
      <c r="K234" s="857">
        <f>I234*J234</f>
        <v>3.6</v>
      </c>
      <c r="L234" s="1864">
        <v>2</v>
      </c>
      <c r="M234" s="1864">
        <v>1.8</v>
      </c>
      <c r="N234" s="857">
        <f>L234*M234</f>
        <v>3.6</v>
      </c>
      <c r="O234" s="1864"/>
      <c r="P234" s="1864"/>
      <c r="Q234" s="1865"/>
      <c r="R234" s="1865">
        <f t="shared" si="42"/>
        <v>0</v>
      </c>
      <c r="S234" s="1865"/>
      <c r="T234" s="1864"/>
      <c r="U234" s="1864"/>
      <c r="V234" s="1865"/>
      <c r="W234" s="1864"/>
      <c r="X234" s="1864"/>
      <c r="Y234" s="1865"/>
      <c r="Z234" s="559">
        <f t="shared" si="43"/>
        <v>-3.6</v>
      </c>
      <c r="AA234" s="559">
        <f t="shared" si="41"/>
        <v>0</v>
      </c>
      <c r="AB234" s="893"/>
      <c r="AC234" s="549" t="s">
        <v>1665</v>
      </c>
      <c r="AF234" s="466"/>
      <c r="AG234" s="465"/>
      <c r="AH234" s="465"/>
    </row>
    <row r="235" spans="1:34" s="498" customFormat="1" ht="77.25" hidden="1" x14ac:dyDescent="0.25">
      <c r="A235" s="962"/>
      <c r="B235" s="551" t="s">
        <v>1880</v>
      </c>
      <c r="C235" s="553"/>
      <c r="D235" s="903"/>
      <c r="E235" s="535"/>
      <c r="F235" s="1907"/>
      <c r="G235" s="1908"/>
      <c r="H235" s="559"/>
      <c r="I235" s="1864"/>
      <c r="J235" s="1864"/>
      <c r="K235" s="857"/>
      <c r="L235" s="1864"/>
      <c r="M235" s="1864"/>
      <c r="N235" s="857"/>
      <c r="O235" s="1864">
        <v>1</v>
      </c>
      <c r="P235" s="1864">
        <v>4</v>
      </c>
      <c r="Q235" s="1865">
        <f>P235*O235</f>
        <v>4</v>
      </c>
      <c r="R235" s="1865">
        <f t="shared" si="42"/>
        <v>4</v>
      </c>
      <c r="S235" s="1865"/>
      <c r="T235" s="1864">
        <v>1</v>
      </c>
      <c r="U235" s="1864">
        <v>4</v>
      </c>
      <c r="V235" s="1865">
        <f>U235*T235</f>
        <v>4</v>
      </c>
      <c r="W235" s="1864">
        <v>1</v>
      </c>
      <c r="X235" s="1864">
        <v>4</v>
      </c>
      <c r="Y235" s="1865">
        <f>X235*W235</f>
        <v>4</v>
      </c>
      <c r="Z235" s="559">
        <f t="shared" si="43"/>
        <v>4</v>
      </c>
      <c r="AA235" s="559" t="str">
        <f t="shared" si="41"/>
        <v>-</v>
      </c>
      <c r="AB235" s="893" t="s">
        <v>1881</v>
      </c>
      <c r="AC235" s="491" t="s">
        <v>1665</v>
      </c>
      <c r="AF235" s="466"/>
      <c r="AG235" s="465"/>
      <c r="AH235" s="465"/>
    </row>
    <row r="236" spans="1:34" s="498" customFormat="1" ht="93" hidden="1" customHeight="1" x14ac:dyDescent="0.25">
      <c r="A236" s="962"/>
      <c r="B236" s="551" t="s">
        <v>1839</v>
      </c>
      <c r="C236" s="553"/>
      <c r="D236" s="903"/>
      <c r="E236" s="535" t="s">
        <v>318</v>
      </c>
      <c r="F236" s="1907">
        <v>4</v>
      </c>
      <c r="G236" s="1908">
        <v>1.73</v>
      </c>
      <c r="H236" s="559">
        <f>F236*G236</f>
        <v>6.9</v>
      </c>
      <c r="I236" s="1864">
        <v>4</v>
      </c>
      <c r="J236" s="1864">
        <v>1.7</v>
      </c>
      <c r="K236" s="857">
        <f>I236*J236</f>
        <v>6.8</v>
      </c>
      <c r="L236" s="1864">
        <v>4</v>
      </c>
      <c r="M236" s="1864">
        <v>1.7</v>
      </c>
      <c r="N236" s="857">
        <f>L236*M236</f>
        <v>6.8</v>
      </c>
      <c r="O236" s="1864">
        <v>4</v>
      </c>
      <c r="P236" s="1864">
        <v>1.7</v>
      </c>
      <c r="Q236" s="1865">
        <f>P236*O236</f>
        <v>6.8</v>
      </c>
      <c r="R236" s="1865">
        <f t="shared" si="42"/>
        <v>6.8</v>
      </c>
      <c r="S236" s="1865"/>
      <c r="T236" s="1864">
        <v>4</v>
      </c>
      <c r="U236" s="1864">
        <v>1.7</v>
      </c>
      <c r="V236" s="1865">
        <f>U236*T236</f>
        <v>6.8</v>
      </c>
      <c r="W236" s="1864">
        <v>4</v>
      </c>
      <c r="X236" s="1864">
        <v>1.7</v>
      </c>
      <c r="Y236" s="1865">
        <f>X236*W236</f>
        <v>6.8</v>
      </c>
      <c r="Z236" s="559">
        <f t="shared" si="43"/>
        <v>0</v>
      </c>
      <c r="AA236" s="559">
        <f t="shared" si="41"/>
        <v>100</v>
      </c>
      <c r="AB236" s="893" t="s">
        <v>1882</v>
      </c>
      <c r="AC236" s="491" t="s">
        <v>1665</v>
      </c>
      <c r="AF236" s="466"/>
      <c r="AG236" s="465"/>
      <c r="AH236" s="465"/>
    </row>
    <row r="237" spans="1:34" s="498" customFormat="1" ht="33.75" hidden="1" customHeight="1" x14ac:dyDescent="0.25">
      <c r="A237" s="962"/>
      <c r="B237" s="551" t="s">
        <v>1883</v>
      </c>
      <c r="C237" s="553"/>
      <c r="D237" s="903"/>
      <c r="E237" s="535"/>
      <c r="F237" s="1907"/>
      <c r="G237" s="1908"/>
      <c r="H237" s="559"/>
      <c r="I237" s="1864"/>
      <c r="J237" s="1864"/>
      <c r="K237" s="857"/>
      <c r="L237" s="1864"/>
      <c r="M237" s="1864"/>
      <c r="N237" s="857"/>
      <c r="O237" s="1864">
        <v>2</v>
      </c>
      <c r="P237" s="1864">
        <v>2.2999999999999998</v>
      </c>
      <c r="Q237" s="1865">
        <f>P237*O237</f>
        <v>4.5999999999999996</v>
      </c>
      <c r="R237" s="1865">
        <f t="shared" si="42"/>
        <v>4.5999999999999996</v>
      </c>
      <c r="S237" s="1865"/>
      <c r="T237" s="1864">
        <v>2</v>
      </c>
      <c r="U237" s="1864">
        <v>2.2999999999999998</v>
      </c>
      <c r="V237" s="1865">
        <f>U237*T237</f>
        <v>4.5999999999999996</v>
      </c>
      <c r="W237" s="1864">
        <v>2</v>
      </c>
      <c r="X237" s="1864">
        <v>2.2999999999999998</v>
      </c>
      <c r="Y237" s="1865">
        <f>X237*W237</f>
        <v>4.5999999999999996</v>
      </c>
      <c r="Z237" s="559">
        <f t="shared" si="43"/>
        <v>4.5999999999999996</v>
      </c>
      <c r="AA237" s="559" t="str">
        <f t="shared" si="41"/>
        <v>-</v>
      </c>
      <c r="AB237" s="827" t="s">
        <v>1884</v>
      </c>
      <c r="AC237" s="491" t="s">
        <v>1665</v>
      </c>
      <c r="AF237" s="466"/>
      <c r="AG237" s="465"/>
      <c r="AH237" s="465"/>
    </row>
    <row r="238" spans="1:34" s="498" customFormat="1" hidden="1" x14ac:dyDescent="0.25">
      <c r="A238" s="962"/>
      <c r="B238" s="551" t="s">
        <v>1826</v>
      </c>
      <c r="C238" s="553"/>
      <c r="D238" s="903"/>
      <c r="E238" s="535" t="s">
        <v>318</v>
      </c>
      <c r="F238" s="1864"/>
      <c r="G238" s="1864"/>
      <c r="H238" s="857"/>
      <c r="I238" s="1864"/>
      <c r="J238" s="1864"/>
      <c r="K238" s="857"/>
      <c r="L238" s="1864"/>
      <c r="M238" s="1864"/>
      <c r="N238" s="857"/>
      <c r="O238" s="1864">
        <v>1</v>
      </c>
      <c r="P238" s="1914">
        <v>2.2999999999999998</v>
      </c>
      <c r="Q238" s="1865">
        <f>O238*P238</f>
        <v>2.2999999999999998</v>
      </c>
      <c r="R238" s="1865">
        <f t="shared" si="42"/>
        <v>2.2999999999999998</v>
      </c>
      <c r="S238" s="1865"/>
      <c r="T238" s="1864">
        <v>1</v>
      </c>
      <c r="U238" s="1914">
        <v>2.2999999999999998</v>
      </c>
      <c r="V238" s="1865">
        <f>T238*U238</f>
        <v>2.2999999999999998</v>
      </c>
      <c r="W238" s="1864">
        <v>1</v>
      </c>
      <c r="X238" s="1914">
        <v>2.2999999999999998</v>
      </c>
      <c r="Y238" s="1865">
        <f>W238*X238</f>
        <v>2.2999999999999998</v>
      </c>
      <c r="Z238" s="857">
        <f t="shared" si="43"/>
        <v>2.2999999999999998</v>
      </c>
      <c r="AA238" s="857" t="str">
        <f t="shared" si="41"/>
        <v>-</v>
      </c>
      <c r="AB238" s="3514" t="s">
        <v>1885</v>
      </c>
      <c r="AC238" s="491" t="s">
        <v>1665</v>
      </c>
      <c r="AF238" s="466"/>
      <c r="AG238" s="465"/>
      <c r="AH238" s="465"/>
    </row>
    <row r="239" spans="1:34" s="498" customFormat="1" ht="25.5" hidden="1" x14ac:dyDescent="0.25">
      <c r="A239" s="962"/>
      <c r="B239" s="1885" t="s">
        <v>1757</v>
      </c>
      <c r="C239" s="553"/>
      <c r="D239" s="903"/>
      <c r="E239" s="535" t="s">
        <v>318</v>
      </c>
      <c r="F239" s="1864"/>
      <c r="G239" s="1864"/>
      <c r="H239" s="857"/>
      <c r="I239" s="1864"/>
      <c r="J239" s="1864"/>
      <c r="K239" s="857"/>
      <c r="L239" s="1864"/>
      <c r="M239" s="1864"/>
      <c r="N239" s="857"/>
      <c r="O239" s="1864">
        <v>2</v>
      </c>
      <c r="P239" s="1914">
        <v>3.45</v>
      </c>
      <c r="Q239" s="1865">
        <f t="shared" ref="Q239:Q240" si="44">O239*P239</f>
        <v>6.9</v>
      </c>
      <c r="R239" s="1865">
        <f t="shared" si="42"/>
        <v>6.9</v>
      </c>
      <c r="S239" s="1865"/>
      <c r="T239" s="1864">
        <v>2</v>
      </c>
      <c r="U239" s="1914">
        <v>3.45</v>
      </c>
      <c r="V239" s="1865">
        <f t="shared" ref="V239:V240" si="45">T239*U239</f>
        <v>6.9</v>
      </c>
      <c r="W239" s="1864">
        <v>2</v>
      </c>
      <c r="X239" s="1914">
        <v>3.45</v>
      </c>
      <c r="Y239" s="1865">
        <f t="shared" ref="Y239:Y240" si="46">W239*X239</f>
        <v>6.9</v>
      </c>
      <c r="Z239" s="857">
        <f t="shared" si="43"/>
        <v>6.9</v>
      </c>
      <c r="AA239" s="857" t="str">
        <f t="shared" si="41"/>
        <v>-</v>
      </c>
      <c r="AB239" s="3515"/>
      <c r="AC239" s="491" t="s">
        <v>1665</v>
      </c>
      <c r="AF239" s="466"/>
      <c r="AG239" s="465"/>
      <c r="AH239" s="465"/>
    </row>
    <row r="240" spans="1:34" s="498" customFormat="1" hidden="1" x14ac:dyDescent="0.25">
      <c r="A240" s="962"/>
      <c r="B240" s="1885" t="s">
        <v>1886</v>
      </c>
      <c r="C240" s="553"/>
      <c r="D240" s="903"/>
      <c r="E240" s="535" t="s">
        <v>318</v>
      </c>
      <c r="F240" s="1864"/>
      <c r="G240" s="1864"/>
      <c r="H240" s="857"/>
      <c r="I240" s="1864"/>
      <c r="J240" s="1864"/>
      <c r="K240" s="857"/>
      <c r="L240" s="1864"/>
      <c r="M240" s="1864"/>
      <c r="N240" s="857"/>
      <c r="O240" s="1864">
        <v>1</v>
      </c>
      <c r="P240" s="1914">
        <v>3.45</v>
      </c>
      <c r="Q240" s="1865">
        <f t="shared" si="44"/>
        <v>3.5</v>
      </c>
      <c r="R240" s="1865">
        <f t="shared" si="42"/>
        <v>3.5</v>
      </c>
      <c r="S240" s="1865"/>
      <c r="T240" s="1864">
        <v>1</v>
      </c>
      <c r="U240" s="1914">
        <v>3.45</v>
      </c>
      <c r="V240" s="1865">
        <f t="shared" si="45"/>
        <v>3.5</v>
      </c>
      <c r="W240" s="1864">
        <v>1</v>
      </c>
      <c r="X240" s="1914">
        <v>3.45</v>
      </c>
      <c r="Y240" s="1865">
        <f t="shared" si="46"/>
        <v>3.5</v>
      </c>
      <c r="Z240" s="857">
        <f t="shared" si="43"/>
        <v>3.5</v>
      </c>
      <c r="AA240" s="857" t="str">
        <f t="shared" si="41"/>
        <v>-</v>
      </c>
      <c r="AB240" s="3516"/>
      <c r="AC240" s="491" t="s">
        <v>1665</v>
      </c>
      <c r="AF240" s="466"/>
      <c r="AG240" s="465"/>
      <c r="AH240" s="465"/>
    </row>
    <row r="241" spans="1:34" s="498" customFormat="1" hidden="1" x14ac:dyDescent="0.25">
      <c r="A241" s="962"/>
      <c r="B241" s="551" t="s">
        <v>1729</v>
      </c>
      <c r="C241" s="553"/>
      <c r="D241" s="903"/>
      <c r="E241" s="535"/>
      <c r="F241" s="1907"/>
      <c r="G241" s="1908"/>
      <c r="H241" s="559">
        <f>SUM(H231:H236)*0.271</f>
        <v>5</v>
      </c>
      <c r="I241" s="1864"/>
      <c r="J241" s="1864"/>
      <c r="K241" s="857">
        <f>SUM(K231:K236)*0.271</f>
        <v>4.8</v>
      </c>
      <c r="L241" s="1864"/>
      <c r="M241" s="1864"/>
      <c r="N241" s="857">
        <f>SUM(N231:N236)*0.271</f>
        <v>4.8</v>
      </c>
      <c r="O241" s="857"/>
      <c r="P241" s="857"/>
      <c r="Q241" s="1865">
        <f>SUM(Q231:Q240)*0.271</f>
        <v>9.8000000000000007</v>
      </c>
      <c r="R241" s="1865">
        <f t="shared" si="42"/>
        <v>9.8000000000000007</v>
      </c>
      <c r="S241" s="1865"/>
      <c r="T241" s="857"/>
      <c r="U241" s="857"/>
      <c r="V241" s="1865">
        <f>SUM(V231:V240)*0.271</f>
        <v>9.8000000000000007</v>
      </c>
      <c r="W241" s="857"/>
      <c r="X241" s="857"/>
      <c r="Y241" s="1865">
        <f>SUM(Y231:Y240)*0.271</f>
        <v>9.8000000000000007</v>
      </c>
      <c r="Z241" s="559">
        <f t="shared" si="43"/>
        <v>5</v>
      </c>
      <c r="AA241" s="559">
        <f t="shared" si="41"/>
        <v>204.2</v>
      </c>
      <c r="AB241" s="921"/>
      <c r="AC241" s="491" t="s">
        <v>1665</v>
      </c>
      <c r="AF241" s="466"/>
      <c r="AG241" s="465"/>
      <c r="AH241" s="465"/>
    </row>
    <row r="242" spans="1:34" s="492" customFormat="1" ht="14.25" hidden="1" x14ac:dyDescent="0.2">
      <c r="A242" s="1240"/>
      <c r="B242" s="500" t="s">
        <v>1887</v>
      </c>
      <c r="C242" s="501" t="s">
        <v>796</v>
      </c>
      <c r="D242" s="932"/>
      <c r="E242" s="1042"/>
      <c r="F242" s="828">
        <v>13</v>
      </c>
      <c r="G242" s="829">
        <v>0.5</v>
      </c>
      <c r="H242" s="542">
        <f>F242*G242</f>
        <v>6.5</v>
      </c>
      <c r="I242" s="533">
        <v>13</v>
      </c>
      <c r="J242" s="533">
        <v>0.5</v>
      </c>
      <c r="K242" s="533">
        <f>I242*J242</f>
        <v>6.5</v>
      </c>
      <c r="L242" s="533">
        <v>13</v>
      </c>
      <c r="M242" s="533">
        <v>0.5</v>
      </c>
      <c r="N242" s="533">
        <f>L242*M242</f>
        <v>6.5</v>
      </c>
      <c r="O242" s="533"/>
      <c r="P242" s="533"/>
      <c r="Q242" s="533">
        <f>Q243</f>
        <v>6.5</v>
      </c>
      <c r="R242" s="533">
        <f t="shared" si="42"/>
        <v>6.5</v>
      </c>
      <c r="S242" s="533"/>
      <c r="T242" s="533"/>
      <c r="U242" s="533"/>
      <c r="V242" s="533">
        <f>V243</f>
        <v>6.5</v>
      </c>
      <c r="W242" s="533"/>
      <c r="X242" s="533"/>
      <c r="Y242" s="533">
        <f>Y243</f>
        <v>6.5</v>
      </c>
      <c r="Z242" s="542">
        <f t="shared" si="43"/>
        <v>0</v>
      </c>
      <c r="AA242" s="542">
        <f t="shared" ref="AA242:AA305" si="47">IFERROR(Q242/K242*100,"-")</f>
        <v>100</v>
      </c>
      <c r="AB242" s="921"/>
      <c r="AC242" s="491" t="s">
        <v>1665</v>
      </c>
      <c r="AF242" s="466"/>
      <c r="AG242" s="466"/>
      <c r="AH242" s="466"/>
    </row>
    <row r="243" spans="1:34" s="492" customFormat="1" ht="14.25" hidden="1" x14ac:dyDescent="0.2">
      <c r="A243" s="1240"/>
      <c r="B243" s="502" t="s">
        <v>1364</v>
      </c>
      <c r="C243" s="501"/>
      <c r="D243" s="932"/>
      <c r="E243" s="1042"/>
      <c r="F243" s="828"/>
      <c r="G243" s="829"/>
      <c r="H243" s="542"/>
      <c r="I243" s="533"/>
      <c r="J243" s="533"/>
      <c r="K243" s="533"/>
      <c r="L243" s="533"/>
      <c r="M243" s="533"/>
      <c r="N243" s="533"/>
      <c r="O243" s="857">
        <v>13</v>
      </c>
      <c r="P243" s="857">
        <v>0.5</v>
      </c>
      <c r="Q243" s="1865">
        <f>O243*P243</f>
        <v>6.5</v>
      </c>
      <c r="R243" s="1865">
        <f t="shared" si="42"/>
        <v>6.5</v>
      </c>
      <c r="S243" s="1865"/>
      <c r="T243" s="857">
        <v>13</v>
      </c>
      <c r="U243" s="857">
        <v>0.5</v>
      </c>
      <c r="V243" s="1865">
        <f>T243*U243</f>
        <v>6.5</v>
      </c>
      <c r="W243" s="857">
        <v>13</v>
      </c>
      <c r="X243" s="857">
        <v>0.5</v>
      </c>
      <c r="Y243" s="1865">
        <f>W243*X243</f>
        <v>6.5</v>
      </c>
      <c r="Z243" s="542">
        <f t="shared" si="43"/>
        <v>6.5</v>
      </c>
      <c r="AA243" s="542" t="str">
        <f t="shared" si="47"/>
        <v>-</v>
      </c>
      <c r="AB243" s="921"/>
      <c r="AC243" s="491" t="s">
        <v>1665</v>
      </c>
      <c r="AF243" s="466"/>
      <c r="AG243" s="466"/>
      <c r="AH243" s="466"/>
    </row>
    <row r="244" spans="1:34" s="492" customFormat="1" ht="14.25" hidden="1" x14ac:dyDescent="0.2">
      <c r="A244" s="1240"/>
      <c r="B244" s="500" t="s">
        <v>1888</v>
      </c>
      <c r="C244" s="501" t="s">
        <v>800</v>
      </c>
      <c r="D244" s="932"/>
      <c r="E244" s="552"/>
      <c r="F244" s="552"/>
      <c r="G244" s="552"/>
      <c r="H244" s="1915">
        <f>SUM(H245:H247)</f>
        <v>120.5</v>
      </c>
      <c r="I244" s="533">
        <v>1</v>
      </c>
      <c r="J244" s="533">
        <v>34</v>
      </c>
      <c r="K244" s="533"/>
      <c r="L244" s="533">
        <v>1</v>
      </c>
      <c r="M244" s="533">
        <v>34</v>
      </c>
      <c r="N244" s="533"/>
      <c r="O244" s="857"/>
      <c r="P244" s="857"/>
      <c r="Q244" s="1916">
        <f>SUM(Q245:Q247)</f>
        <v>37.200000000000003</v>
      </c>
      <c r="R244" s="1916">
        <f t="shared" si="42"/>
        <v>37.200000000000003</v>
      </c>
      <c r="S244" s="1916"/>
      <c r="T244" s="857"/>
      <c r="U244" s="857"/>
      <c r="V244" s="1916">
        <f>V245+V246</f>
        <v>10</v>
      </c>
      <c r="W244" s="857"/>
      <c r="X244" s="857"/>
      <c r="Y244" s="1916">
        <f>Y245+Y246</f>
        <v>10</v>
      </c>
      <c r="Z244" s="542">
        <f t="shared" si="43"/>
        <v>37.200000000000003</v>
      </c>
      <c r="AA244" s="542" t="str">
        <f t="shared" si="47"/>
        <v>-</v>
      </c>
      <c r="AB244" s="921"/>
      <c r="AC244" s="549" t="s">
        <v>1665</v>
      </c>
      <c r="AF244" s="466"/>
      <c r="AG244" s="466"/>
      <c r="AH244" s="466"/>
    </row>
    <row r="245" spans="1:34" s="492" customFormat="1" ht="38.25" hidden="1" x14ac:dyDescent="0.2">
      <c r="A245" s="1240"/>
      <c r="B245" s="502" t="s">
        <v>1889</v>
      </c>
      <c r="C245" s="501"/>
      <c r="D245" s="932"/>
      <c r="E245" s="854" t="s">
        <v>227</v>
      </c>
      <c r="F245" s="557">
        <v>2</v>
      </c>
      <c r="G245" s="558">
        <f>H245/F245</f>
        <v>15.25</v>
      </c>
      <c r="H245" s="559">
        <v>30.5</v>
      </c>
      <c r="I245" s="533"/>
      <c r="J245" s="533"/>
      <c r="K245" s="533"/>
      <c r="L245" s="533"/>
      <c r="M245" s="533"/>
      <c r="N245" s="533"/>
      <c r="O245" s="857">
        <v>3</v>
      </c>
      <c r="P245" s="857">
        <v>10</v>
      </c>
      <c r="Q245" s="1865">
        <f>O245*P245</f>
        <v>30</v>
      </c>
      <c r="R245" s="1865">
        <f t="shared" si="42"/>
        <v>30</v>
      </c>
      <c r="S245" s="1865"/>
      <c r="T245" s="857">
        <v>1</v>
      </c>
      <c r="U245" s="857">
        <v>10</v>
      </c>
      <c r="V245" s="1865">
        <f>T245*U245</f>
        <v>10</v>
      </c>
      <c r="W245" s="857">
        <v>1</v>
      </c>
      <c r="X245" s="857">
        <v>10</v>
      </c>
      <c r="Y245" s="1865">
        <f>W245*X245</f>
        <v>10</v>
      </c>
      <c r="Z245" s="542">
        <f t="shared" si="43"/>
        <v>30</v>
      </c>
      <c r="AA245" s="542" t="str">
        <f t="shared" si="47"/>
        <v>-</v>
      </c>
      <c r="AB245" s="827" t="s">
        <v>1890</v>
      </c>
      <c r="AC245" s="549" t="s">
        <v>1665</v>
      </c>
      <c r="AF245" s="466"/>
      <c r="AG245" s="466"/>
      <c r="AH245" s="466"/>
    </row>
    <row r="246" spans="1:34" s="492" customFormat="1" ht="38.25" hidden="1" x14ac:dyDescent="0.2">
      <c r="A246" s="1240"/>
      <c r="B246" s="502" t="s">
        <v>1891</v>
      </c>
      <c r="C246" s="501"/>
      <c r="D246" s="932"/>
      <c r="E246" s="854"/>
      <c r="F246" s="828"/>
      <c r="G246" s="829"/>
      <c r="H246" s="542"/>
      <c r="I246" s="533"/>
      <c r="J246" s="533"/>
      <c r="K246" s="533"/>
      <c r="L246" s="533"/>
      <c r="M246" s="533"/>
      <c r="N246" s="533"/>
      <c r="O246" s="857">
        <v>3</v>
      </c>
      <c r="P246" s="857">
        <v>2.4</v>
      </c>
      <c r="Q246" s="1865">
        <f>O246*P246</f>
        <v>7.2</v>
      </c>
      <c r="R246" s="1865">
        <f t="shared" si="42"/>
        <v>7.2</v>
      </c>
      <c r="S246" s="1865"/>
      <c r="T246" s="857"/>
      <c r="U246" s="857"/>
      <c r="V246" s="1865"/>
      <c r="W246" s="857"/>
      <c r="X246" s="857"/>
      <c r="Y246" s="1865"/>
      <c r="Z246" s="542">
        <f t="shared" si="43"/>
        <v>7.2</v>
      </c>
      <c r="AA246" s="542" t="str">
        <f t="shared" si="47"/>
        <v>-</v>
      </c>
      <c r="AB246" s="827" t="s">
        <v>1892</v>
      </c>
      <c r="AC246" s="549" t="s">
        <v>1665</v>
      </c>
      <c r="AF246" s="466"/>
      <c r="AG246" s="466"/>
      <c r="AH246" s="466"/>
    </row>
    <row r="247" spans="1:34" s="492" customFormat="1" ht="14.25" hidden="1" x14ac:dyDescent="0.2">
      <c r="A247" s="1240"/>
      <c r="B247" s="502" t="s">
        <v>1893</v>
      </c>
      <c r="C247" s="503"/>
      <c r="D247" s="903"/>
      <c r="E247" s="535" t="s">
        <v>227</v>
      </c>
      <c r="F247" s="557">
        <v>3</v>
      </c>
      <c r="G247" s="558">
        <v>30</v>
      </c>
      <c r="H247" s="559">
        <f>F247*G247</f>
        <v>90</v>
      </c>
      <c r="I247" s="857"/>
      <c r="J247" s="857"/>
      <c r="K247" s="857"/>
      <c r="L247" s="857"/>
      <c r="M247" s="857"/>
      <c r="N247" s="857"/>
      <c r="O247" s="857"/>
      <c r="P247" s="857"/>
      <c r="Q247" s="857"/>
      <c r="R247" s="857">
        <f t="shared" si="42"/>
        <v>0</v>
      </c>
      <c r="S247" s="857"/>
      <c r="T247" s="857"/>
      <c r="U247" s="857"/>
      <c r="V247" s="857"/>
      <c r="W247" s="857"/>
      <c r="X247" s="857"/>
      <c r="Y247" s="857"/>
      <c r="Z247" s="1245">
        <f t="shared" si="43"/>
        <v>0</v>
      </c>
      <c r="AA247" s="1245" t="str">
        <f t="shared" si="47"/>
        <v>-</v>
      </c>
      <c r="AB247" s="827"/>
      <c r="AC247" s="549" t="s">
        <v>1665</v>
      </c>
      <c r="AF247" s="466"/>
      <c r="AG247" s="466"/>
      <c r="AH247" s="466"/>
    </row>
    <row r="248" spans="1:34" s="492" customFormat="1" ht="14.25" hidden="1" x14ac:dyDescent="0.2">
      <c r="A248" s="1240"/>
      <c r="B248" s="500" t="s">
        <v>1246</v>
      </c>
      <c r="C248" s="501" t="s">
        <v>1237</v>
      </c>
      <c r="D248" s="932"/>
      <c r="E248" s="854" t="s">
        <v>1829</v>
      </c>
      <c r="F248" s="828">
        <v>10</v>
      </c>
      <c r="G248" s="829">
        <v>2.5</v>
      </c>
      <c r="H248" s="542">
        <f>F248*G248</f>
        <v>25</v>
      </c>
      <c r="I248" s="533">
        <v>10</v>
      </c>
      <c r="J248" s="533">
        <v>2.5</v>
      </c>
      <c r="K248" s="533">
        <f>I248*J248</f>
        <v>25</v>
      </c>
      <c r="L248" s="533">
        <v>10</v>
      </c>
      <c r="M248" s="533">
        <v>2.5</v>
      </c>
      <c r="N248" s="533">
        <f>L248*M248</f>
        <v>25</v>
      </c>
      <c r="O248" s="533">
        <v>10</v>
      </c>
      <c r="P248" s="533">
        <v>2.5</v>
      </c>
      <c r="Q248" s="533">
        <f>O248*P248</f>
        <v>25</v>
      </c>
      <c r="R248" s="533">
        <f t="shared" si="42"/>
        <v>25</v>
      </c>
      <c r="S248" s="533"/>
      <c r="T248" s="533">
        <v>10</v>
      </c>
      <c r="U248" s="533">
        <v>2.5</v>
      </c>
      <c r="V248" s="533">
        <f>T248*U248</f>
        <v>25</v>
      </c>
      <c r="W248" s="533">
        <v>10</v>
      </c>
      <c r="X248" s="533">
        <v>2.5</v>
      </c>
      <c r="Y248" s="533">
        <f>W248*X248</f>
        <v>25</v>
      </c>
      <c r="Z248" s="542">
        <f t="shared" si="43"/>
        <v>0</v>
      </c>
      <c r="AA248" s="542">
        <f t="shared" si="47"/>
        <v>100</v>
      </c>
      <c r="AB248" s="827"/>
      <c r="AC248" s="549" t="s">
        <v>1665</v>
      </c>
      <c r="AF248" s="466"/>
      <c r="AG248" s="466"/>
      <c r="AH248" s="466"/>
    </row>
    <row r="249" spans="1:34" s="492" customFormat="1" ht="14.25" hidden="1" x14ac:dyDescent="0.2">
      <c r="A249" s="1240"/>
      <c r="B249" s="1917" t="s">
        <v>1894</v>
      </c>
      <c r="C249" s="501" t="s">
        <v>797</v>
      </c>
      <c r="D249" s="932"/>
      <c r="E249" s="854"/>
      <c r="F249" s="828"/>
      <c r="G249" s="829"/>
      <c r="H249" s="542"/>
      <c r="I249" s="533"/>
      <c r="J249" s="533"/>
      <c r="K249" s="533">
        <f>SUM(K247:K247)</f>
        <v>0</v>
      </c>
      <c r="L249" s="533"/>
      <c r="M249" s="533"/>
      <c r="N249" s="533">
        <f>SUM(N247:N247)</f>
        <v>0</v>
      </c>
      <c r="O249" s="533"/>
      <c r="P249" s="533"/>
      <c r="Q249" s="533">
        <f>Q250+Q251</f>
        <v>13</v>
      </c>
      <c r="R249" s="533">
        <f t="shared" si="42"/>
        <v>13</v>
      </c>
      <c r="S249" s="533"/>
      <c r="T249" s="533"/>
      <c r="U249" s="533"/>
      <c r="V249" s="533">
        <f>V250+V251</f>
        <v>13</v>
      </c>
      <c r="W249" s="533"/>
      <c r="X249" s="533"/>
      <c r="Y249" s="533">
        <f>Y250+Y251</f>
        <v>13</v>
      </c>
      <c r="Z249" s="493">
        <f t="shared" si="43"/>
        <v>13</v>
      </c>
      <c r="AA249" s="493" t="str">
        <f t="shared" si="47"/>
        <v>-</v>
      </c>
      <c r="AB249" s="827"/>
      <c r="AC249" s="549" t="s">
        <v>1665</v>
      </c>
      <c r="AF249" s="466"/>
      <c r="AG249" s="466"/>
      <c r="AH249" s="466"/>
    </row>
    <row r="250" spans="1:34" s="492" customFormat="1" ht="51" hidden="1" x14ac:dyDescent="0.2">
      <c r="A250" s="1240"/>
      <c r="B250" s="502" t="s">
        <v>1895</v>
      </c>
      <c r="C250" s="501"/>
      <c r="D250" s="932"/>
      <c r="E250" s="854"/>
      <c r="F250" s="828"/>
      <c r="G250" s="829"/>
      <c r="H250" s="542"/>
      <c r="I250" s="533"/>
      <c r="J250" s="533"/>
      <c r="K250" s="533"/>
      <c r="L250" s="533"/>
      <c r="M250" s="533"/>
      <c r="N250" s="533"/>
      <c r="O250" s="533"/>
      <c r="P250" s="533"/>
      <c r="Q250" s="857">
        <v>8</v>
      </c>
      <c r="R250" s="857">
        <f t="shared" si="42"/>
        <v>8</v>
      </c>
      <c r="S250" s="857"/>
      <c r="T250" s="533"/>
      <c r="U250" s="533"/>
      <c r="V250" s="857">
        <v>8</v>
      </c>
      <c r="W250" s="533"/>
      <c r="X250" s="533"/>
      <c r="Y250" s="857">
        <v>8</v>
      </c>
      <c r="Z250" s="493">
        <f t="shared" si="43"/>
        <v>8</v>
      </c>
      <c r="AA250" s="493" t="str">
        <f t="shared" si="47"/>
        <v>-</v>
      </c>
      <c r="AB250" s="1246" t="s">
        <v>1896</v>
      </c>
      <c r="AC250" s="549" t="s">
        <v>1665</v>
      </c>
      <c r="AF250" s="466"/>
      <c r="AG250" s="466"/>
      <c r="AH250" s="466"/>
    </row>
    <row r="251" spans="1:34" s="492" customFormat="1" ht="14.25" hidden="1" x14ac:dyDescent="0.2">
      <c r="A251" s="1240"/>
      <c r="B251" s="502" t="s">
        <v>1897</v>
      </c>
      <c r="C251" s="501"/>
      <c r="D251" s="932"/>
      <c r="E251" s="854"/>
      <c r="F251" s="828"/>
      <c r="G251" s="829"/>
      <c r="H251" s="542"/>
      <c r="I251" s="533"/>
      <c r="J251" s="533"/>
      <c r="K251" s="533"/>
      <c r="L251" s="533"/>
      <c r="M251" s="533"/>
      <c r="N251" s="533"/>
      <c r="O251" s="533"/>
      <c r="P251" s="533"/>
      <c r="Q251" s="857">
        <v>5</v>
      </c>
      <c r="R251" s="857">
        <f t="shared" si="42"/>
        <v>5</v>
      </c>
      <c r="S251" s="857"/>
      <c r="T251" s="533"/>
      <c r="U251" s="533"/>
      <c r="V251" s="857">
        <v>5</v>
      </c>
      <c r="W251" s="533"/>
      <c r="X251" s="533"/>
      <c r="Y251" s="857">
        <v>5</v>
      </c>
      <c r="Z251" s="493">
        <f t="shared" si="43"/>
        <v>5</v>
      </c>
      <c r="AA251" s="493" t="str">
        <f t="shared" si="47"/>
        <v>-</v>
      </c>
      <c r="AB251" s="1247"/>
      <c r="AC251" s="549" t="s">
        <v>1665</v>
      </c>
      <c r="AF251" s="466"/>
      <c r="AG251" s="466"/>
      <c r="AH251" s="466"/>
    </row>
    <row r="252" spans="1:34" s="539" customFormat="1" hidden="1" x14ac:dyDescent="0.25">
      <c r="A252" s="536"/>
      <c r="B252" s="543" t="s">
        <v>1898</v>
      </c>
      <c r="C252" s="511"/>
      <c r="D252" s="1918"/>
      <c r="E252" s="490"/>
      <c r="F252" s="488"/>
      <c r="G252" s="489"/>
      <c r="H252" s="490">
        <f>H253</f>
        <v>113.2</v>
      </c>
      <c r="I252" s="490"/>
      <c r="J252" s="490"/>
      <c r="K252" s="490">
        <f>K253</f>
        <v>98.6</v>
      </c>
      <c r="L252" s="490"/>
      <c r="M252" s="490"/>
      <c r="N252" s="490">
        <f>N253</f>
        <v>98.6</v>
      </c>
      <c r="O252" s="1919"/>
      <c r="P252" s="1919"/>
      <c r="Q252" s="490">
        <f>Q253</f>
        <v>112.5</v>
      </c>
      <c r="R252" s="490">
        <f t="shared" si="42"/>
        <v>112.5</v>
      </c>
      <c r="S252" s="490"/>
      <c r="T252" s="1919"/>
      <c r="U252" s="1919"/>
      <c r="V252" s="490">
        <f>V253</f>
        <v>112.9</v>
      </c>
      <c r="W252" s="1919"/>
      <c r="X252" s="1919"/>
      <c r="Y252" s="490">
        <f>Y253</f>
        <v>112.9</v>
      </c>
      <c r="Z252" s="490">
        <f t="shared" si="43"/>
        <v>13.9</v>
      </c>
      <c r="AA252" s="490">
        <f t="shared" si="47"/>
        <v>114.1</v>
      </c>
      <c r="AB252" s="1920"/>
      <c r="AC252" s="538"/>
      <c r="AF252" s="518"/>
      <c r="AG252" s="540"/>
      <c r="AH252" s="540"/>
    </row>
    <row r="253" spans="1:34" s="527" customFormat="1" ht="38.25" hidden="1" x14ac:dyDescent="0.2">
      <c r="A253" s="522"/>
      <c r="B253" s="520" t="s">
        <v>1664</v>
      </c>
      <c r="C253" s="521"/>
      <c r="D253" s="522" t="s">
        <v>1444</v>
      </c>
      <c r="E253" s="556"/>
      <c r="F253" s="523"/>
      <c r="G253" s="524"/>
      <c r="H253" s="526">
        <f>H254+H258+H265+H266+H279+H280</f>
        <v>113.2</v>
      </c>
      <c r="I253" s="526"/>
      <c r="J253" s="526"/>
      <c r="K253" s="526">
        <f>K254+K258+K265+K266+K279+K280</f>
        <v>98.6</v>
      </c>
      <c r="L253" s="526"/>
      <c r="M253" s="526"/>
      <c r="N253" s="526">
        <f>N254+N258+N265+N266+N279+N280</f>
        <v>98.6</v>
      </c>
      <c r="O253" s="1921"/>
      <c r="P253" s="1921"/>
      <c r="Q253" s="526">
        <f>Q254+Q258+Q264+Q265+Q266+Q279+Q280</f>
        <v>112.5</v>
      </c>
      <c r="R253" s="526">
        <f t="shared" si="42"/>
        <v>112.5</v>
      </c>
      <c r="S253" s="526"/>
      <c r="T253" s="1921"/>
      <c r="U253" s="1921"/>
      <c r="V253" s="526">
        <f>V254+V258+V264+V265+V266+V279+V280</f>
        <v>112.9</v>
      </c>
      <c r="W253" s="1921"/>
      <c r="X253" s="1921"/>
      <c r="Y253" s="526">
        <f>Y254+Y258+Y264+Y265+Y266+Y279+Y280</f>
        <v>112.9</v>
      </c>
      <c r="Z253" s="526">
        <f t="shared" si="43"/>
        <v>13.9</v>
      </c>
      <c r="AA253" s="526">
        <f t="shared" si="47"/>
        <v>114.1</v>
      </c>
      <c r="AB253" s="1922"/>
      <c r="AC253" s="549" t="s">
        <v>1665</v>
      </c>
      <c r="AF253" s="528"/>
      <c r="AG253" s="528"/>
      <c r="AH253" s="528"/>
    </row>
    <row r="254" spans="1:34" s="492" customFormat="1" ht="14.25" hidden="1" x14ac:dyDescent="0.2">
      <c r="A254" s="1240"/>
      <c r="B254" s="500" t="s">
        <v>1899</v>
      </c>
      <c r="C254" s="501" t="s">
        <v>797</v>
      </c>
      <c r="D254" s="932"/>
      <c r="E254" s="842"/>
      <c r="F254" s="828"/>
      <c r="G254" s="829"/>
      <c r="H254" s="542">
        <f>SUM(H255:H257)</f>
        <v>11.2</v>
      </c>
      <c r="I254" s="533"/>
      <c r="J254" s="533"/>
      <c r="K254" s="533">
        <f>SUM(K255:K257)</f>
        <v>5.2</v>
      </c>
      <c r="L254" s="533"/>
      <c r="M254" s="533"/>
      <c r="N254" s="533">
        <f>SUM(N255:N257)</f>
        <v>5.2</v>
      </c>
      <c r="O254" s="533"/>
      <c r="P254" s="533"/>
      <c r="Q254" s="533">
        <f>SUM(Q255:Q257)</f>
        <v>5.2</v>
      </c>
      <c r="R254" s="533">
        <f t="shared" si="42"/>
        <v>5.2</v>
      </c>
      <c r="S254" s="533"/>
      <c r="T254" s="533"/>
      <c r="U254" s="533"/>
      <c r="V254" s="533">
        <f>SUM(V255:V257)</f>
        <v>5.2</v>
      </c>
      <c r="W254" s="533"/>
      <c r="X254" s="533"/>
      <c r="Y254" s="533">
        <f>SUM(Y255:Y257)</f>
        <v>5.2</v>
      </c>
      <c r="Z254" s="542">
        <f t="shared" si="43"/>
        <v>0</v>
      </c>
      <c r="AA254" s="542">
        <f t="shared" si="47"/>
        <v>100</v>
      </c>
      <c r="AB254" s="921"/>
      <c r="AC254" s="491" t="s">
        <v>1665</v>
      </c>
      <c r="AF254" s="466"/>
      <c r="AG254" s="466"/>
      <c r="AH254" s="466"/>
    </row>
    <row r="255" spans="1:34" s="498" customFormat="1" ht="127.5" hidden="1" x14ac:dyDescent="0.25">
      <c r="A255" s="962"/>
      <c r="B255" s="502" t="s">
        <v>1835</v>
      </c>
      <c r="C255" s="503"/>
      <c r="D255" s="903"/>
      <c r="E255" s="1031" t="s">
        <v>227</v>
      </c>
      <c r="F255" s="557">
        <v>30</v>
      </c>
      <c r="G255" s="558">
        <v>0.08</v>
      </c>
      <c r="H255" s="559">
        <f>F255*G255</f>
        <v>2.4</v>
      </c>
      <c r="I255" s="857">
        <v>12</v>
      </c>
      <c r="J255" s="862">
        <v>0.1</v>
      </c>
      <c r="K255" s="857">
        <f>I255*J255</f>
        <v>1.2</v>
      </c>
      <c r="L255" s="857">
        <v>12</v>
      </c>
      <c r="M255" s="862">
        <v>0.1</v>
      </c>
      <c r="N255" s="857">
        <f>L255*M255</f>
        <v>1.2</v>
      </c>
      <c r="O255" s="496">
        <v>12</v>
      </c>
      <c r="P255" s="496">
        <v>0.1</v>
      </c>
      <c r="Q255" s="496">
        <f>O255*P255</f>
        <v>1.2</v>
      </c>
      <c r="R255" s="496">
        <f t="shared" si="42"/>
        <v>1.2</v>
      </c>
      <c r="S255" s="496"/>
      <c r="T255" s="496">
        <v>12</v>
      </c>
      <c r="U255" s="496">
        <v>0.1</v>
      </c>
      <c r="V255" s="496">
        <f>T255*U255</f>
        <v>1.2</v>
      </c>
      <c r="W255" s="496">
        <v>12</v>
      </c>
      <c r="X255" s="496">
        <v>0.1</v>
      </c>
      <c r="Y255" s="496">
        <f>W255*X255</f>
        <v>1.2</v>
      </c>
      <c r="Z255" s="1245">
        <f t="shared" si="43"/>
        <v>0</v>
      </c>
      <c r="AA255" s="1245">
        <f t="shared" si="47"/>
        <v>100</v>
      </c>
      <c r="AB255" s="900" t="s">
        <v>1900</v>
      </c>
      <c r="AC255" s="491" t="s">
        <v>1665</v>
      </c>
      <c r="AF255" s="466"/>
      <c r="AG255" s="465"/>
      <c r="AH255" s="465"/>
    </row>
    <row r="256" spans="1:34" s="498" customFormat="1" hidden="1" x14ac:dyDescent="0.25">
      <c r="A256" s="962"/>
      <c r="B256" s="856" t="s">
        <v>1901</v>
      </c>
      <c r="C256" s="499"/>
      <c r="D256" s="903"/>
      <c r="E256" s="1031" t="s">
        <v>1240</v>
      </c>
      <c r="F256" s="557">
        <v>55</v>
      </c>
      <c r="G256" s="558">
        <v>0.12</v>
      </c>
      <c r="H256" s="559">
        <f>F256*G256</f>
        <v>6.6</v>
      </c>
      <c r="I256" s="857"/>
      <c r="J256" s="857"/>
      <c r="K256" s="857">
        <f>I256*J256</f>
        <v>0</v>
      </c>
      <c r="L256" s="857"/>
      <c r="M256" s="857"/>
      <c r="N256" s="857">
        <f>L256*M256</f>
        <v>0</v>
      </c>
      <c r="O256" s="857"/>
      <c r="P256" s="857"/>
      <c r="Q256" s="857"/>
      <c r="R256" s="857">
        <f t="shared" si="42"/>
        <v>0</v>
      </c>
      <c r="S256" s="857"/>
      <c r="T256" s="857"/>
      <c r="U256" s="857"/>
      <c r="V256" s="857"/>
      <c r="W256" s="857"/>
      <c r="X256" s="857"/>
      <c r="Y256" s="857"/>
      <c r="Z256" s="559">
        <f t="shared" si="43"/>
        <v>0</v>
      </c>
      <c r="AA256" s="559" t="str">
        <f t="shared" si="47"/>
        <v>-</v>
      </c>
      <c r="AB256" s="893"/>
      <c r="AC256" s="491" t="s">
        <v>1665</v>
      </c>
      <c r="AF256" s="466"/>
      <c r="AG256" s="465"/>
      <c r="AH256" s="465"/>
    </row>
    <row r="257" spans="1:34" s="498" customFormat="1" hidden="1" x14ac:dyDescent="0.25">
      <c r="A257" s="962"/>
      <c r="B257" s="856" t="s">
        <v>1873</v>
      </c>
      <c r="C257" s="499"/>
      <c r="D257" s="903"/>
      <c r="E257" s="1031" t="s">
        <v>1902</v>
      </c>
      <c r="F257" s="557">
        <v>10</v>
      </c>
      <c r="G257" s="558">
        <v>0.22</v>
      </c>
      <c r="H257" s="559">
        <f>F257*G257</f>
        <v>2.2000000000000002</v>
      </c>
      <c r="I257" s="857"/>
      <c r="J257" s="857"/>
      <c r="K257" s="857">
        <v>4</v>
      </c>
      <c r="L257" s="857"/>
      <c r="M257" s="857"/>
      <c r="N257" s="857">
        <v>4</v>
      </c>
      <c r="O257" s="857"/>
      <c r="P257" s="857"/>
      <c r="Q257" s="857">
        <v>4</v>
      </c>
      <c r="R257" s="857">
        <f t="shared" si="42"/>
        <v>4</v>
      </c>
      <c r="S257" s="857"/>
      <c r="T257" s="857"/>
      <c r="U257" s="857"/>
      <c r="V257" s="857">
        <v>4</v>
      </c>
      <c r="W257" s="857"/>
      <c r="X257" s="857"/>
      <c r="Y257" s="857">
        <v>4</v>
      </c>
      <c r="Z257" s="559">
        <f t="shared" si="43"/>
        <v>0</v>
      </c>
      <c r="AA257" s="559">
        <f t="shared" si="47"/>
        <v>100</v>
      </c>
      <c r="AB257" s="893"/>
      <c r="AC257" s="491" t="s">
        <v>1665</v>
      </c>
      <c r="AF257" s="466"/>
      <c r="AG257" s="465"/>
      <c r="AH257" s="465"/>
    </row>
    <row r="258" spans="1:34" s="492" customFormat="1" ht="14.25" hidden="1" x14ac:dyDescent="0.2">
      <c r="A258" s="1240"/>
      <c r="B258" s="865" t="s">
        <v>1903</v>
      </c>
      <c r="C258" s="508" t="s">
        <v>797</v>
      </c>
      <c r="D258" s="932"/>
      <c r="E258" s="842"/>
      <c r="F258" s="828"/>
      <c r="G258" s="829"/>
      <c r="H258" s="542">
        <f>SUM(H259:H263)</f>
        <v>15.9</v>
      </c>
      <c r="I258" s="533"/>
      <c r="J258" s="533"/>
      <c r="K258" s="542">
        <f>SUM(K259:K263)</f>
        <v>7.3</v>
      </c>
      <c r="L258" s="533"/>
      <c r="M258" s="533"/>
      <c r="N258" s="542">
        <f>SUM(N259:N263)</f>
        <v>7.3</v>
      </c>
      <c r="O258" s="533"/>
      <c r="P258" s="533"/>
      <c r="Q258" s="533">
        <f>SUM(Q259:Q263)</f>
        <v>10</v>
      </c>
      <c r="R258" s="533">
        <f t="shared" si="42"/>
        <v>10</v>
      </c>
      <c r="S258" s="533"/>
      <c r="T258" s="533"/>
      <c r="U258" s="533"/>
      <c r="V258" s="533">
        <f>SUM(V259:V263)</f>
        <v>10</v>
      </c>
      <c r="W258" s="533"/>
      <c r="X258" s="533"/>
      <c r="Y258" s="533">
        <f>SUM(Y259:Y263)</f>
        <v>10</v>
      </c>
      <c r="Z258" s="542">
        <f t="shared" si="43"/>
        <v>2.7</v>
      </c>
      <c r="AA258" s="542">
        <f t="shared" si="47"/>
        <v>137</v>
      </c>
      <c r="AB258" s="893"/>
      <c r="AC258" s="491" t="s">
        <v>1665</v>
      </c>
      <c r="AF258" s="466"/>
      <c r="AG258" s="466"/>
      <c r="AH258" s="466"/>
    </row>
    <row r="259" spans="1:34" s="492" customFormat="1" ht="14.25" hidden="1" x14ac:dyDescent="0.2">
      <c r="A259" s="1240"/>
      <c r="B259" s="502" t="s">
        <v>1860</v>
      </c>
      <c r="C259" s="503"/>
      <c r="D259" s="932"/>
      <c r="E259" s="842"/>
      <c r="F259" s="857">
        <v>48</v>
      </c>
      <c r="G259" s="857">
        <v>0.1</v>
      </c>
      <c r="H259" s="857">
        <f>F259*G259</f>
        <v>4.8</v>
      </c>
      <c r="I259" s="857">
        <v>48</v>
      </c>
      <c r="J259" s="862">
        <v>0.05</v>
      </c>
      <c r="K259" s="857">
        <f>I259*J259</f>
        <v>2.4</v>
      </c>
      <c r="L259" s="857">
        <v>48</v>
      </c>
      <c r="M259" s="862">
        <v>0.05</v>
      </c>
      <c r="N259" s="857">
        <f>L259*M259</f>
        <v>2.4</v>
      </c>
      <c r="O259" s="857"/>
      <c r="P259" s="857"/>
      <c r="Q259" s="857"/>
      <c r="R259" s="857">
        <f t="shared" si="42"/>
        <v>0</v>
      </c>
      <c r="S259" s="857"/>
      <c r="T259" s="857"/>
      <c r="U259" s="857"/>
      <c r="V259" s="857"/>
      <c r="W259" s="857"/>
      <c r="X259" s="857"/>
      <c r="Y259" s="857"/>
      <c r="Z259" s="559">
        <f t="shared" si="43"/>
        <v>-2.4</v>
      </c>
      <c r="AA259" s="559">
        <f t="shared" si="47"/>
        <v>0</v>
      </c>
      <c r="AB259" s="893"/>
      <c r="AC259" s="491" t="s">
        <v>1665</v>
      </c>
      <c r="AF259" s="466"/>
      <c r="AG259" s="466"/>
      <c r="AH259" s="466"/>
    </row>
    <row r="260" spans="1:34" s="498" customFormat="1" ht="51.75" hidden="1" x14ac:dyDescent="0.25">
      <c r="A260" s="962"/>
      <c r="B260" s="502" t="s">
        <v>1904</v>
      </c>
      <c r="C260" s="503"/>
      <c r="D260" s="903"/>
      <c r="E260" s="1031" t="s">
        <v>227</v>
      </c>
      <c r="F260" s="857"/>
      <c r="G260" s="857"/>
      <c r="H260" s="857"/>
      <c r="I260" s="857"/>
      <c r="J260" s="857"/>
      <c r="K260" s="857">
        <f>I260*J260</f>
        <v>0</v>
      </c>
      <c r="L260" s="857"/>
      <c r="M260" s="857"/>
      <c r="N260" s="857">
        <f>L260*M260</f>
        <v>0</v>
      </c>
      <c r="O260" s="857">
        <v>25</v>
      </c>
      <c r="P260" s="857">
        <v>0.4</v>
      </c>
      <c r="Q260" s="857">
        <f>O260*P260</f>
        <v>10</v>
      </c>
      <c r="R260" s="857">
        <f t="shared" si="42"/>
        <v>10</v>
      </c>
      <c r="S260" s="857"/>
      <c r="T260" s="857">
        <v>25</v>
      </c>
      <c r="U260" s="857">
        <v>0.4</v>
      </c>
      <c r="V260" s="857">
        <f>T260*U260</f>
        <v>10</v>
      </c>
      <c r="W260" s="857">
        <v>25</v>
      </c>
      <c r="X260" s="857">
        <v>0.4</v>
      </c>
      <c r="Y260" s="857">
        <f>W260*X260</f>
        <v>10</v>
      </c>
      <c r="Z260" s="559">
        <f t="shared" si="43"/>
        <v>10</v>
      </c>
      <c r="AA260" s="559" t="str">
        <f t="shared" si="47"/>
        <v>-</v>
      </c>
      <c r="AB260" s="893" t="s">
        <v>1905</v>
      </c>
      <c r="AC260" s="491" t="s">
        <v>1665</v>
      </c>
      <c r="AF260" s="466"/>
      <c r="AG260" s="465"/>
      <c r="AH260" s="465"/>
    </row>
    <row r="261" spans="1:34" s="498" customFormat="1" ht="38.25" hidden="1" x14ac:dyDescent="0.25">
      <c r="A261" s="962"/>
      <c r="B261" s="502" t="s">
        <v>1906</v>
      </c>
      <c r="C261" s="499"/>
      <c r="D261" s="903"/>
      <c r="E261" s="1031" t="s">
        <v>227</v>
      </c>
      <c r="F261" s="857">
        <v>1</v>
      </c>
      <c r="G261" s="857">
        <v>4.7</v>
      </c>
      <c r="H261" s="857">
        <f>F261*G261</f>
        <v>4.7</v>
      </c>
      <c r="I261" s="857">
        <v>2</v>
      </c>
      <c r="J261" s="857">
        <v>0.2</v>
      </c>
      <c r="K261" s="857">
        <f>I261*J261</f>
        <v>0.4</v>
      </c>
      <c r="L261" s="857">
        <v>2</v>
      </c>
      <c r="M261" s="857">
        <v>0.2</v>
      </c>
      <c r="N261" s="857">
        <f>L261*M261</f>
        <v>0.4</v>
      </c>
      <c r="O261" s="857"/>
      <c r="P261" s="857"/>
      <c r="Q261" s="857"/>
      <c r="R261" s="857">
        <f t="shared" si="42"/>
        <v>0</v>
      </c>
      <c r="S261" s="857"/>
      <c r="T261" s="857"/>
      <c r="U261" s="857"/>
      <c r="V261" s="857"/>
      <c r="W261" s="857"/>
      <c r="X261" s="857"/>
      <c r="Y261" s="857"/>
      <c r="Z261" s="559">
        <f t="shared" si="43"/>
        <v>-0.4</v>
      </c>
      <c r="AA261" s="559">
        <f t="shared" si="47"/>
        <v>0</v>
      </c>
      <c r="AB261" s="901" t="s">
        <v>1907</v>
      </c>
      <c r="AC261" s="491" t="s">
        <v>1665</v>
      </c>
      <c r="AF261" s="466"/>
      <c r="AG261" s="465"/>
      <c r="AH261" s="465"/>
    </row>
    <row r="262" spans="1:34" s="498" customFormat="1" hidden="1" x14ac:dyDescent="0.25">
      <c r="A262" s="962"/>
      <c r="B262" s="856" t="s">
        <v>1908</v>
      </c>
      <c r="C262" s="499"/>
      <c r="D262" s="903"/>
      <c r="E262" s="1031" t="s">
        <v>227</v>
      </c>
      <c r="F262" s="857">
        <v>2</v>
      </c>
      <c r="G262" s="857">
        <v>0.2</v>
      </c>
      <c r="H262" s="857">
        <f>F262*G262</f>
        <v>0.4</v>
      </c>
      <c r="I262" s="857"/>
      <c r="J262" s="857"/>
      <c r="K262" s="857"/>
      <c r="L262" s="857"/>
      <c r="M262" s="857"/>
      <c r="N262" s="857"/>
      <c r="O262" s="857"/>
      <c r="P262" s="857"/>
      <c r="Q262" s="857"/>
      <c r="R262" s="857">
        <f t="shared" si="42"/>
        <v>0</v>
      </c>
      <c r="S262" s="857"/>
      <c r="T262" s="857"/>
      <c r="U262" s="857"/>
      <c r="V262" s="857"/>
      <c r="W262" s="857"/>
      <c r="X262" s="857"/>
      <c r="Y262" s="857"/>
      <c r="Z262" s="559">
        <f t="shared" si="43"/>
        <v>0</v>
      </c>
      <c r="AA262" s="559" t="str">
        <f t="shared" si="47"/>
        <v>-</v>
      </c>
      <c r="AB262" s="1923"/>
      <c r="AC262" s="491" t="s">
        <v>1665</v>
      </c>
      <c r="AF262" s="466"/>
      <c r="AG262" s="465"/>
      <c r="AH262" s="465"/>
    </row>
    <row r="263" spans="1:34" s="498" customFormat="1" hidden="1" x14ac:dyDescent="0.25">
      <c r="A263" s="962"/>
      <c r="B263" s="856" t="s">
        <v>1909</v>
      </c>
      <c r="C263" s="499"/>
      <c r="D263" s="903"/>
      <c r="E263" s="1031" t="s">
        <v>227</v>
      </c>
      <c r="F263" s="857">
        <v>60</v>
      </c>
      <c r="G263" s="857">
        <v>0.1</v>
      </c>
      <c r="H263" s="857">
        <f>F263*G263</f>
        <v>6</v>
      </c>
      <c r="I263" s="857">
        <v>22.5</v>
      </c>
      <c r="J263" s="857">
        <v>0.2</v>
      </c>
      <c r="K263" s="857">
        <f>I263*J263</f>
        <v>4.5</v>
      </c>
      <c r="L263" s="857">
        <v>22.5</v>
      </c>
      <c r="M263" s="857">
        <v>0.2</v>
      </c>
      <c r="N263" s="857">
        <f>L263*M263</f>
        <v>4.5</v>
      </c>
      <c r="O263" s="857"/>
      <c r="P263" s="857"/>
      <c r="Q263" s="857"/>
      <c r="R263" s="857">
        <f t="shared" si="42"/>
        <v>0</v>
      </c>
      <c r="S263" s="857"/>
      <c r="T263" s="857"/>
      <c r="U263" s="857"/>
      <c r="V263" s="857"/>
      <c r="W263" s="857"/>
      <c r="X263" s="857"/>
      <c r="Y263" s="857"/>
      <c r="Z263" s="559">
        <f t="shared" si="43"/>
        <v>-4.5</v>
      </c>
      <c r="AA263" s="559">
        <f t="shared" si="47"/>
        <v>0</v>
      </c>
      <c r="AB263" s="827"/>
      <c r="AC263" s="491" t="s">
        <v>1665</v>
      </c>
      <c r="AF263" s="466"/>
      <c r="AG263" s="465"/>
      <c r="AH263" s="465"/>
    </row>
    <row r="264" spans="1:34" s="498" customFormat="1" ht="38.25" hidden="1" x14ac:dyDescent="0.25">
      <c r="A264" s="962"/>
      <c r="B264" s="865" t="s">
        <v>1910</v>
      </c>
      <c r="C264" s="508" t="s">
        <v>797</v>
      </c>
      <c r="D264" s="903"/>
      <c r="E264" s="1031" t="s">
        <v>1240</v>
      </c>
      <c r="F264" s="497"/>
      <c r="G264" s="497"/>
      <c r="H264" s="497"/>
      <c r="I264" s="497"/>
      <c r="J264" s="497"/>
      <c r="K264" s="497"/>
      <c r="L264" s="497"/>
      <c r="M264" s="497"/>
      <c r="N264" s="497"/>
      <c r="O264" s="857"/>
      <c r="P264" s="857"/>
      <c r="Q264" s="533"/>
      <c r="R264" s="533">
        <f t="shared" si="42"/>
        <v>0</v>
      </c>
      <c r="S264" s="533"/>
      <c r="T264" s="857"/>
      <c r="U264" s="857"/>
      <c r="V264" s="533"/>
      <c r="W264" s="857"/>
      <c r="X264" s="857"/>
      <c r="Y264" s="533"/>
      <c r="Z264" s="559">
        <f t="shared" si="43"/>
        <v>0</v>
      </c>
      <c r="AA264" s="559" t="str">
        <f t="shared" si="47"/>
        <v>-</v>
      </c>
      <c r="AB264" s="900" t="s">
        <v>1911</v>
      </c>
      <c r="AC264" s="491" t="s">
        <v>1665</v>
      </c>
      <c r="AF264" s="466"/>
      <c r="AG264" s="465"/>
      <c r="AH264" s="465"/>
    </row>
    <row r="265" spans="1:34" s="492" customFormat="1" ht="51" hidden="1" x14ac:dyDescent="0.2">
      <c r="A265" s="1240"/>
      <c r="B265" s="500" t="s">
        <v>1869</v>
      </c>
      <c r="C265" s="501" t="s">
        <v>797</v>
      </c>
      <c r="D265" s="932"/>
      <c r="E265" s="842" t="s">
        <v>227</v>
      </c>
      <c r="F265" s="828">
        <v>50</v>
      </c>
      <c r="G265" s="829">
        <v>7.0000000000000007E-2</v>
      </c>
      <c r="H265" s="542">
        <f>F265*G265</f>
        <v>3.5</v>
      </c>
      <c r="I265" s="533">
        <v>68</v>
      </c>
      <c r="J265" s="533">
        <v>0.1</v>
      </c>
      <c r="K265" s="533">
        <f>I265*J265</f>
        <v>6.8</v>
      </c>
      <c r="L265" s="533">
        <v>68</v>
      </c>
      <c r="M265" s="533">
        <v>0.1</v>
      </c>
      <c r="N265" s="533">
        <f>L265*M265</f>
        <v>6.8</v>
      </c>
      <c r="O265" s="533">
        <v>68</v>
      </c>
      <c r="P265" s="533">
        <v>0.1</v>
      </c>
      <c r="Q265" s="533">
        <f>O265*P265</f>
        <v>6.8</v>
      </c>
      <c r="R265" s="533">
        <f t="shared" si="42"/>
        <v>6.8</v>
      </c>
      <c r="S265" s="533"/>
      <c r="T265" s="533">
        <v>68</v>
      </c>
      <c r="U265" s="533">
        <v>0.1</v>
      </c>
      <c r="V265" s="533">
        <f>T265*U265</f>
        <v>6.8</v>
      </c>
      <c r="W265" s="533">
        <v>68</v>
      </c>
      <c r="X265" s="533">
        <v>0.1</v>
      </c>
      <c r="Y265" s="533">
        <f>W265*X265</f>
        <v>6.8</v>
      </c>
      <c r="Z265" s="542">
        <f t="shared" si="43"/>
        <v>0</v>
      </c>
      <c r="AA265" s="542">
        <f t="shared" si="47"/>
        <v>100</v>
      </c>
      <c r="AB265" s="827" t="s">
        <v>1912</v>
      </c>
      <c r="AC265" s="491" t="s">
        <v>1665</v>
      </c>
      <c r="AF265" s="466"/>
      <c r="AG265" s="466"/>
      <c r="AH265" s="466"/>
    </row>
    <row r="266" spans="1:34" s="492" customFormat="1" ht="14.25" x14ac:dyDescent="0.2">
      <c r="A266" s="1240"/>
      <c r="B266" s="500" t="s">
        <v>1233</v>
      </c>
      <c r="C266" s="501" t="s">
        <v>1230</v>
      </c>
      <c r="D266" s="932"/>
      <c r="E266" s="842"/>
      <c r="F266" s="533"/>
      <c r="G266" s="533"/>
      <c r="H266" s="533">
        <f>SUM(H267:H278)</f>
        <v>51.6</v>
      </c>
      <c r="I266" s="533"/>
      <c r="J266" s="533"/>
      <c r="K266" s="533">
        <f>SUM(K267:K278)</f>
        <v>48.3</v>
      </c>
      <c r="L266" s="533"/>
      <c r="M266" s="533"/>
      <c r="N266" s="533">
        <f>SUM(N267:N278)</f>
        <v>48.3</v>
      </c>
      <c r="O266" s="533"/>
      <c r="P266" s="533"/>
      <c r="Q266" s="533">
        <v>59.5</v>
      </c>
      <c r="R266" s="533">
        <f t="shared" si="42"/>
        <v>59.5</v>
      </c>
      <c r="S266" s="533"/>
      <c r="T266" s="533"/>
      <c r="U266" s="533"/>
      <c r="V266" s="533">
        <f>SUM(V267:V278)</f>
        <v>59.9</v>
      </c>
      <c r="W266" s="533"/>
      <c r="X266" s="533"/>
      <c r="Y266" s="533">
        <f>SUM(Y267:Y278)</f>
        <v>59.9</v>
      </c>
      <c r="Z266" s="542">
        <f t="shared" si="43"/>
        <v>11.2</v>
      </c>
      <c r="AA266" s="542">
        <f t="shared" si="47"/>
        <v>123.2</v>
      </c>
      <c r="AB266" s="893"/>
      <c r="AC266" s="491" t="s">
        <v>1665</v>
      </c>
      <c r="AF266" s="466"/>
      <c r="AG266" s="466"/>
      <c r="AH266" s="466"/>
    </row>
    <row r="267" spans="1:34" s="492" customFormat="1" ht="14.25" hidden="1" x14ac:dyDescent="0.2">
      <c r="A267" s="1240"/>
      <c r="B267" s="502" t="s">
        <v>1519</v>
      </c>
      <c r="C267" s="503"/>
      <c r="D267" s="932"/>
      <c r="E267" s="874" t="s">
        <v>318</v>
      </c>
      <c r="F267" s="857">
        <v>1</v>
      </c>
      <c r="G267" s="857">
        <v>3.5</v>
      </c>
      <c r="H267" s="682">
        <f t="shared" ref="H267:H272" si="48">F267*G267</f>
        <v>3.5</v>
      </c>
      <c r="I267" s="857">
        <v>1</v>
      </c>
      <c r="J267" s="857">
        <v>3.5</v>
      </c>
      <c r="K267" s="682">
        <f t="shared" ref="K267:K272" si="49">I267*J267</f>
        <v>3.5</v>
      </c>
      <c r="L267" s="857">
        <v>1</v>
      </c>
      <c r="M267" s="857">
        <v>3.5</v>
      </c>
      <c r="N267" s="682">
        <f t="shared" ref="N267:N272" si="50">L267*M267</f>
        <v>3.5</v>
      </c>
      <c r="O267" s="857">
        <v>1</v>
      </c>
      <c r="P267" s="857">
        <v>3.5</v>
      </c>
      <c r="Q267" s="682">
        <f>O267*P267</f>
        <v>3.5</v>
      </c>
      <c r="R267" s="682">
        <f t="shared" si="42"/>
        <v>3.5</v>
      </c>
      <c r="S267" s="682"/>
      <c r="T267" s="857">
        <v>1</v>
      </c>
      <c r="U267" s="857">
        <v>3.5</v>
      </c>
      <c r="V267" s="682">
        <f>T267*U267</f>
        <v>3.5</v>
      </c>
      <c r="W267" s="857">
        <v>1</v>
      </c>
      <c r="X267" s="857">
        <v>3.5</v>
      </c>
      <c r="Y267" s="682">
        <f>W267*X267</f>
        <v>3.5</v>
      </c>
      <c r="Z267" s="812">
        <f t="shared" si="43"/>
        <v>0</v>
      </c>
      <c r="AA267" s="812">
        <f t="shared" si="47"/>
        <v>100</v>
      </c>
      <c r="AB267" s="1924"/>
      <c r="AC267" s="491" t="s">
        <v>1665</v>
      </c>
      <c r="AF267" s="466"/>
      <c r="AG267" s="466"/>
      <c r="AH267" s="466"/>
    </row>
    <row r="268" spans="1:34" s="492" customFormat="1" ht="38.25" hidden="1" x14ac:dyDescent="0.2">
      <c r="A268" s="1240"/>
      <c r="B268" s="502" t="s">
        <v>1686</v>
      </c>
      <c r="C268" s="503"/>
      <c r="D268" s="932"/>
      <c r="E268" s="874" t="s">
        <v>318</v>
      </c>
      <c r="F268" s="857">
        <v>2</v>
      </c>
      <c r="G268" s="857">
        <v>2.2999999999999998</v>
      </c>
      <c r="H268" s="682">
        <f t="shared" si="48"/>
        <v>4.5999999999999996</v>
      </c>
      <c r="I268" s="857">
        <v>1</v>
      </c>
      <c r="J268" s="857">
        <v>2.2999999999999998</v>
      </c>
      <c r="K268" s="682">
        <f t="shared" si="49"/>
        <v>2.2999999999999998</v>
      </c>
      <c r="L268" s="857">
        <v>1</v>
      </c>
      <c r="M268" s="857">
        <v>2.2999999999999998</v>
      </c>
      <c r="N268" s="682">
        <f t="shared" si="50"/>
        <v>2.2999999999999998</v>
      </c>
      <c r="O268" s="857">
        <v>2</v>
      </c>
      <c r="P268" s="857">
        <v>2.2999999999999998</v>
      </c>
      <c r="Q268" s="682">
        <f>O268*P268</f>
        <v>4.5999999999999996</v>
      </c>
      <c r="R268" s="682">
        <f t="shared" si="42"/>
        <v>4.5999999999999996</v>
      </c>
      <c r="S268" s="682"/>
      <c r="T268" s="857">
        <v>2</v>
      </c>
      <c r="U268" s="857">
        <v>2.2999999999999998</v>
      </c>
      <c r="V268" s="682">
        <f>T268*U268</f>
        <v>4.5999999999999996</v>
      </c>
      <c r="W268" s="857">
        <v>2</v>
      </c>
      <c r="X268" s="857">
        <v>2.2999999999999998</v>
      </c>
      <c r="Y268" s="682">
        <f>W268*X268</f>
        <v>4.5999999999999996</v>
      </c>
      <c r="Z268" s="812">
        <f t="shared" si="43"/>
        <v>2.2999999999999998</v>
      </c>
      <c r="AA268" s="812">
        <f t="shared" si="47"/>
        <v>200</v>
      </c>
      <c r="AB268" s="1924" t="s">
        <v>1913</v>
      </c>
      <c r="AC268" s="491" t="s">
        <v>1665</v>
      </c>
      <c r="AF268" s="466"/>
      <c r="AG268" s="466"/>
      <c r="AH268" s="466"/>
    </row>
    <row r="269" spans="1:34" s="498" customFormat="1" hidden="1" x14ac:dyDescent="0.25">
      <c r="A269" s="962"/>
      <c r="B269" s="502" t="s">
        <v>1879</v>
      </c>
      <c r="C269" s="503"/>
      <c r="D269" s="903"/>
      <c r="E269" s="1031" t="s">
        <v>318</v>
      </c>
      <c r="F269" s="857">
        <v>5</v>
      </c>
      <c r="G269" s="857">
        <v>1.8</v>
      </c>
      <c r="H269" s="682">
        <f t="shared" si="48"/>
        <v>9</v>
      </c>
      <c r="I269" s="857">
        <v>5</v>
      </c>
      <c r="J269" s="857">
        <v>1.8</v>
      </c>
      <c r="K269" s="682">
        <f t="shared" si="49"/>
        <v>9</v>
      </c>
      <c r="L269" s="857">
        <v>5</v>
      </c>
      <c r="M269" s="857">
        <v>1.8</v>
      </c>
      <c r="N269" s="682">
        <f t="shared" si="50"/>
        <v>9</v>
      </c>
      <c r="O269" s="857"/>
      <c r="P269" s="857"/>
      <c r="Q269" s="682"/>
      <c r="R269" s="682">
        <f t="shared" si="42"/>
        <v>0</v>
      </c>
      <c r="S269" s="682"/>
      <c r="T269" s="857"/>
      <c r="U269" s="857"/>
      <c r="V269" s="682"/>
      <c r="W269" s="857"/>
      <c r="X269" s="857"/>
      <c r="Y269" s="682"/>
      <c r="Z269" s="812">
        <f t="shared" si="43"/>
        <v>-9</v>
      </c>
      <c r="AA269" s="812">
        <f t="shared" si="47"/>
        <v>0</v>
      </c>
      <c r="AB269" s="1924"/>
      <c r="AC269" s="491" t="s">
        <v>1665</v>
      </c>
      <c r="AF269" s="466"/>
      <c r="AG269" s="465"/>
      <c r="AH269" s="465"/>
    </row>
    <row r="270" spans="1:34" s="498" customFormat="1" hidden="1" x14ac:dyDescent="0.25">
      <c r="A270" s="962"/>
      <c r="B270" s="502" t="s">
        <v>1839</v>
      </c>
      <c r="C270" s="503"/>
      <c r="D270" s="903"/>
      <c r="E270" s="1031" t="s">
        <v>318</v>
      </c>
      <c r="F270" s="857">
        <v>4</v>
      </c>
      <c r="G270" s="857">
        <v>2.2999999999999998</v>
      </c>
      <c r="H270" s="682">
        <f t="shared" si="48"/>
        <v>9.1999999999999993</v>
      </c>
      <c r="I270" s="857">
        <v>4</v>
      </c>
      <c r="J270" s="857">
        <v>2.2999999999999998</v>
      </c>
      <c r="K270" s="682">
        <f t="shared" si="49"/>
        <v>9.1999999999999993</v>
      </c>
      <c r="L270" s="857">
        <v>4</v>
      </c>
      <c r="M270" s="857">
        <v>2.2999999999999998</v>
      </c>
      <c r="N270" s="682">
        <f t="shared" si="50"/>
        <v>9.1999999999999993</v>
      </c>
      <c r="O270" s="857">
        <v>4</v>
      </c>
      <c r="P270" s="857">
        <v>1.7</v>
      </c>
      <c r="Q270" s="682">
        <f>O270*P270</f>
        <v>6.8</v>
      </c>
      <c r="R270" s="682">
        <f t="shared" si="42"/>
        <v>6.8</v>
      </c>
      <c r="S270" s="682"/>
      <c r="T270" s="857">
        <v>4</v>
      </c>
      <c r="U270" s="857">
        <v>1.7</v>
      </c>
      <c r="V270" s="682">
        <f>T270*U270</f>
        <v>6.8</v>
      </c>
      <c r="W270" s="857">
        <v>4</v>
      </c>
      <c r="X270" s="857">
        <v>1.7</v>
      </c>
      <c r="Y270" s="682">
        <f>W270*X270</f>
        <v>6.8</v>
      </c>
      <c r="Z270" s="812">
        <f t="shared" si="43"/>
        <v>-2.4</v>
      </c>
      <c r="AA270" s="812">
        <f t="shared" si="47"/>
        <v>73.900000000000006</v>
      </c>
      <c r="AB270" s="1924"/>
      <c r="AC270" s="491" t="s">
        <v>1665</v>
      </c>
      <c r="AF270" s="466"/>
      <c r="AG270" s="465"/>
      <c r="AH270" s="465"/>
    </row>
    <row r="271" spans="1:34" s="498" customFormat="1" hidden="1" x14ac:dyDescent="0.25">
      <c r="A271" s="962"/>
      <c r="B271" s="502" t="s">
        <v>1683</v>
      </c>
      <c r="C271" s="503"/>
      <c r="D271" s="903"/>
      <c r="E271" s="1031" t="s">
        <v>318</v>
      </c>
      <c r="F271" s="857">
        <v>1</v>
      </c>
      <c r="G271" s="857">
        <v>2</v>
      </c>
      <c r="H271" s="682">
        <f t="shared" si="48"/>
        <v>2</v>
      </c>
      <c r="I271" s="857">
        <v>1</v>
      </c>
      <c r="J271" s="682">
        <v>2</v>
      </c>
      <c r="K271" s="682">
        <f>I271*J271</f>
        <v>2</v>
      </c>
      <c r="L271" s="857">
        <v>1</v>
      </c>
      <c r="M271" s="682">
        <v>2</v>
      </c>
      <c r="N271" s="682">
        <f t="shared" si="50"/>
        <v>2</v>
      </c>
      <c r="O271" s="857"/>
      <c r="P271" s="682"/>
      <c r="Q271" s="682"/>
      <c r="R271" s="682">
        <f t="shared" si="42"/>
        <v>0</v>
      </c>
      <c r="S271" s="682"/>
      <c r="T271" s="857"/>
      <c r="U271" s="682"/>
      <c r="V271" s="682"/>
      <c r="W271" s="857"/>
      <c r="X271" s="682"/>
      <c r="Y271" s="682"/>
      <c r="Z271" s="812">
        <f t="shared" si="43"/>
        <v>-2</v>
      </c>
      <c r="AA271" s="812">
        <f t="shared" si="47"/>
        <v>0</v>
      </c>
      <c r="AB271" s="893"/>
      <c r="AC271" s="491" t="s">
        <v>1665</v>
      </c>
      <c r="AF271" s="466"/>
      <c r="AG271" s="465"/>
      <c r="AH271" s="465"/>
    </row>
    <row r="272" spans="1:34" s="498" customFormat="1" ht="89.25" hidden="1" x14ac:dyDescent="0.25">
      <c r="A272" s="962"/>
      <c r="B272" s="502" t="s">
        <v>1914</v>
      </c>
      <c r="C272" s="503"/>
      <c r="D272" s="903"/>
      <c r="E272" s="1031" t="s">
        <v>318</v>
      </c>
      <c r="F272" s="857">
        <v>1</v>
      </c>
      <c r="G272" s="857">
        <v>12.3</v>
      </c>
      <c r="H272" s="682">
        <f t="shared" si="48"/>
        <v>12.3</v>
      </c>
      <c r="I272" s="857">
        <v>2</v>
      </c>
      <c r="J272" s="857">
        <v>6</v>
      </c>
      <c r="K272" s="682">
        <f t="shared" si="49"/>
        <v>12</v>
      </c>
      <c r="L272" s="857">
        <v>2</v>
      </c>
      <c r="M272" s="857">
        <v>6</v>
      </c>
      <c r="N272" s="682">
        <f t="shared" si="50"/>
        <v>12</v>
      </c>
      <c r="O272" s="857">
        <v>1</v>
      </c>
      <c r="P272" s="857">
        <v>5</v>
      </c>
      <c r="Q272" s="682">
        <f>O272*P272</f>
        <v>5</v>
      </c>
      <c r="R272" s="682">
        <f t="shared" si="42"/>
        <v>5</v>
      </c>
      <c r="S272" s="682"/>
      <c r="T272" s="857">
        <v>1</v>
      </c>
      <c r="U272" s="857">
        <v>5</v>
      </c>
      <c r="V272" s="682">
        <f>T272*U272</f>
        <v>5</v>
      </c>
      <c r="W272" s="857">
        <v>1</v>
      </c>
      <c r="X272" s="857">
        <v>5</v>
      </c>
      <c r="Y272" s="682">
        <f>W272*X272</f>
        <v>5</v>
      </c>
      <c r="Z272" s="812">
        <f t="shared" si="43"/>
        <v>-7</v>
      </c>
      <c r="AA272" s="812">
        <f t="shared" si="47"/>
        <v>41.7</v>
      </c>
      <c r="AB272" s="843" t="s">
        <v>1915</v>
      </c>
      <c r="AC272" s="491" t="s">
        <v>1665</v>
      </c>
      <c r="AF272" s="466"/>
      <c r="AG272" s="465"/>
      <c r="AH272" s="465"/>
    </row>
    <row r="273" spans="1:34" s="498" customFormat="1" hidden="1" x14ac:dyDescent="0.25">
      <c r="A273" s="962"/>
      <c r="B273" s="900" t="s">
        <v>1880</v>
      </c>
      <c r="C273" s="1925"/>
      <c r="D273" s="1926"/>
      <c r="E273" s="1927" t="s">
        <v>1837</v>
      </c>
      <c r="F273" s="1928"/>
      <c r="G273" s="1928"/>
      <c r="H273" s="1929">
        <v>0</v>
      </c>
      <c r="I273" s="1928"/>
      <c r="J273" s="1928"/>
      <c r="K273" s="1929">
        <v>0</v>
      </c>
      <c r="L273" s="1928"/>
      <c r="M273" s="1928"/>
      <c r="N273" s="1929">
        <v>0</v>
      </c>
      <c r="O273" s="1928">
        <v>1</v>
      </c>
      <c r="P273" s="1928">
        <v>4</v>
      </c>
      <c r="Q273" s="1929">
        <f t="shared" ref="Q273:Q277" si="51">P273*O273</f>
        <v>4</v>
      </c>
      <c r="R273" s="1929">
        <f t="shared" si="42"/>
        <v>4</v>
      </c>
      <c r="S273" s="1929"/>
      <c r="T273" s="1928">
        <v>1</v>
      </c>
      <c r="U273" s="1928">
        <v>4</v>
      </c>
      <c r="V273" s="1929">
        <f t="shared" ref="V273" si="52">U273*T273</f>
        <v>4</v>
      </c>
      <c r="W273" s="1928">
        <v>1</v>
      </c>
      <c r="X273" s="1928">
        <v>4</v>
      </c>
      <c r="Y273" s="1929">
        <f t="shared" ref="Y273" si="53">X273*W273</f>
        <v>4</v>
      </c>
      <c r="Z273" s="1929">
        <f t="shared" si="43"/>
        <v>4</v>
      </c>
      <c r="AA273" s="1929" t="str">
        <f t="shared" si="47"/>
        <v>-</v>
      </c>
      <c r="AB273" s="3514" t="s">
        <v>1916</v>
      </c>
      <c r="AC273" s="491" t="s">
        <v>1665</v>
      </c>
      <c r="AF273" s="466"/>
      <c r="AG273" s="465"/>
      <c r="AH273" s="465"/>
    </row>
    <row r="274" spans="1:34" s="498" customFormat="1" hidden="1" x14ac:dyDescent="0.25">
      <c r="A274" s="962"/>
      <c r="B274" s="1041" t="s">
        <v>1917</v>
      </c>
      <c r="C274" s="830"/>
      <c r="D274" s="1926"/>
      <c r="E274" s="1930" t="s">
        <v>318</v>
      </c>
      <c r="F274" s="1929"/>
      <c r="G274" s="1929"/>
      <c r="H274" s="1928"/>
      <c r="I274" s="1929"/>
      <c r="J274" s="1929"/>
      <c r="K274" s="1928"/>
      <c r="L274" s="1929"/>
      <c r="M274" s="1929"/>
      <c r="N274" s="1928"/>
      <c r="O274" s="1929">
        <v>3</v>
      </c>
      <c r="P274" s="1929">
        <v>3.5</v>
      </c>
      <c r="Q274" s="1929">
        <f t="shared" si="51"/>
        <v>10.5</v>
      </c>
      <c r="R274" s="1929">
        <f t="shared" si="42"/>
        <v>10.5</v>
      </c>
      <c r="S274" s="1929"/>
      <c r="T274" s="1929">
        <v>3</v>
      </c>
      <c r="U274" s="1929">
        <v>3.5</v>
      </c>
      <c r="V274" s="1928">
        <f t="shared" ref="V274" si="54">T274*U274</f>
        <v>10.5</v>
      </c>
      <c r="W274" s="1929">
        <v>3</v>
      </c>
      <c r="X274" s="1929">
        <v>3.5</v>
      </c>
      <c r="Y274" s="1928">
        <f t="shared" ref="Y274" si="55">W274*X274</f>
        <v>10.5</v>
      </c>
      <c r="Z274" s="1928">
        <f t="shared" si="43"/>
        <v>10.5</v>
      </c>
      <c r="AA274" s="1928" t="str">
        <f t="shared" si="47"/>
        <v>-</v>
      </c>
      <c r="AB274" s="3515"/>
      <c r="AC274" s="491" t="s">
        <v>1665</v>
      </c>
      <c r="AF274" s="466"/>
      <c r="AG274" s="465"/>
      <c r="AH274" s="465"/>
    </row>
    <row r="275" spans="1:34" s="498" customFormat="1" hidden="1" x14ac:dyDescent="0.25">
      <c r="A275" s="962"/>
      <c r="B275" s="900" t="s">
        <v>1826</v>
      </c>
      <c r="C275" s="830"/>
      <c r="D275" s="1926"/>
      <c r="E275" s="1930" t="s">
        <v>318</v>
      </c>
      <c r="F275" s="1929"/>
      <c r="G275" s="1929"/>
      <c r="H275" s="1928"/>
      <c r="I275" s="1929"/>
      <c r="J275" s="1929"/>
      <c r="K275" s="1928"/>
      <c r="L275" s="1929"/>
      <c r="M275" s="1929"/>
      <c r="N275" s="1928"/>
      <c r="O275" s="1929">
        <v>1</v>
      </c>
      <c r="P275" s="1929">
        <v>2.2999999999999998</v>
      </c>
      <c r="Q275" s="1929">
        <f t="shared" si="51"/>
        <v>2.2999999999999998</v>
      </c>
      <c r="R275" s="1929">
        <f t="shared" ref="R275:R338" si="56">Q275</f>
        <v>2.2999999999999998</v>
      </c>
      <c r="S275" s="1929"/>
      <c r="T275" s="1929">
        <v>1</v>
      </c>
      <c r="U275" s="1929">
        <v>2.2999999999999998</v>
      </c>
      <c r="V275" s="1928">
        <v>2.2999999999999998</v>
      </c>
      <c r="W275" s="1929">
        <v>1</v>
      </c>
      <c r="X275" s="1929">
        <v>2.2999999999999998</v>
      </c>
      <c r="Y275" s="1928">
        <v>2.2999999999999998</v>
      </c>
      <c r="Z275" s="1928">
        <f t="shared" si="43"/>
        <v>2.2999999999999998</v>
      </c>
      <c r="AA275" s="1928" t="str">
        <f t="shared" si="47"/>
        <v>-</v>
      </c>
      <c r="AB275" s="3515"/>
      <c r="AC275" s="491" t="s">
        <v>1665</v>
      </c>
      <c r="AF275" s="466"/>
      <c r="AG275" s="465"/>
      <c r="AH275" s="465"/>
    </row>
    <row r="276" spans="1:34" s="498" customFormat="1" ht="25.5" hidden="1" x14ac:dyDescent="0.25">
      <c r="A276" s="962"/>
      <c r="B276" s="1885" t="s">
        <v>1757</v>
      </c>
      <c r="C276" s="830"/>
      <c r="D276" s="1926"/>
      <c r="E276" s="1930" t="s">
        <v>318</v>
      </c>
      <c r="F276" s="1929"/>
      <c r="G276" s="1929"/>
      <c r="H276" s="1928"/>
      <c r="I276" s="1929"/>
      <c r="J276" s="1929"/>
      <c r="K276" s="1928"/>
      <c r="L276" s="1929"/>
      <c r="M276" s="1929"/>
      <c r="N276" s="1928"/>
      <c r="O276" s="1929">
        <v>2</v>
      </c>
      <c r="P276" s="1929">
        <v>3.5</v>
      </c>
      <c r="Q276" s="1929">
        <f t="shared" si="51"/>
        <v>7</v>
      </c>
      <c r="R276" s="1929">
        <f t="shared" si="56"/>
        <v>7</v>
      </c>
      <c r="S276" s="1929"/>
      <c r="T276" s="1929">
        <v>2</v>
      </c>
      <c r="U276" s="1929">
        <v>3.5</v>
      </c>
      <c r="V276" s="1928">
        <v>6.9</v>
      </c>
      <c r="W276" s="1929">
        <v>2</v>
      </c>
      <c r="X276" s="1929">
        <v>3.5</v>
      </c>
      <c r="Y276" s="1928">
        <v>6.9</v>
      </c>
      <c r="Z276" s="1928">
        <f t="shared" si="43"/>
        <v>7</v>
      </c>
      <c r="AA276" s="1928" t="str">
        <f t="shared" si="47"/>
        <v>-</v>
      </c>
      <c r="AB276" s="3515"/>
      <c r="AC276" s="491" t="s">
        <v>1665</v>
      </c>
      <c r="AF276" s="466"/>
      <c r="AG276" s="465"/>
      <c r="AH276" s="465"/>
    </row>
    <row r="277" spans="1:34" s="498" customFormat="1" hidden="1" x14ac:dyDescent="0.25">
      <c r="A277" s="962"/>
      <c r="B277" s="1885" t="s">
        <v>1886</v>
      </c>
      <c r="C277" s="830"/>
      <c r="D277" s="1926"/>
      <c r="E277" s="1930" t="s">
        <v>318</v>
      </c>
      <c r="F277" s="1929"/>
      <c r="G277" s="1929"/>
      <c r="H277" s="1928"/>
      <c r="I277" s="1929"/>
      <c r="J277" s="1929"/>
      <c r="K277" s="1928"/>
      <c r="L277" s="1929"/>
      <c r="M277" s="1929"/>
      <c r="N277" s="1928"/>
      <c r="O277" s="1929">
        <v>1</v>
      </c>
      <c r="P277" s="1929">
        <v>3.5</v>
      </c>
      <c r="Q277" s="1929">
        <f t="shared" si="51"/>
        <v>3.5</v>
      </c>
      <c r="R277" s="1929">
        <f t="shared" si="56"/>
        <v>3.5</v>
      </c>
      <c r="S277" s="1929"/>
      <c r="T277" s="1929">
        <v>1</v>
      </c>
      <c r="U277" s="1929">
        <v>3.5</v>
      </c>
      <c r="V277" s="1928">
        <v>3.5</v>
      </c>
      <c r="W277" s="1929">
        <v>1</v>
      </c>
      <c r="X277" s="1929">
        <v>3.5</v>
      </c>
      <c r="Y277" s="1928">
        <v>3.5</v>
      </c>
      <c r="Z277" s="1928">
        <f t="shared" si="43"/>
        <v>3.5</v>
      </c>
      <c r="AA277" s="1928" t="str">
        <f t="shared" si="47"/>
        <v>-</v>
      </c>
      <c r="AB277" s="3516"/>
      <c r="AC277" s="491" t="s">
        <v>1665</v>
      </c>
      <c r="AF277" s="466"/>
      <c r="AG277" s="465"/>
      <c r="AH277" s="465"/>
    </row>
    <row r="278" spans="1:34" s="498" customFormat="1" hidden="1" x14ac:dyDescent="0.25">
      <c r="A278" s="962"/>
      <c r="B278" s="502" t="s">
        <v>1729</v>
      </c>
      <c r="C278" s="503"/>
      <c r="D278" s="903"/>
      <c r="E278" s="1031"/>
      <c r="F278" s="857"/>
      <c r="G278" s="857"/>
      <c r="H278" s="682">
        <f>SUM(H267:H272)*0.271</f>
        <v>11</v>
      </c>
      <c r="I278" s="857"/>
      <c r="J278" s="857"/>
      <c r="K278" s="682">
        <f>SUM(K267:K272)*0.271</f>
        <v>10.3</v>
      </c>
      <c r="L278" s="857"/>
      <c r="M278" s="857"/>
      <c r="N278" s="682">
        <f>SUM(N267:N272)*0.271</f>
        <v>10.3</v>
      </c>
      <c r="O278" s="682"/>
      <c r="P278" s="682"/>
      <c r="Q278" s="682">
        <f>SUM(Q267:Q277)*0.271</f>
        <v>12.8</v>
      </c>
      <c r="R278" s="682">
        <f t="shared" si="56"/>
        <v>12.8</v>
      </c>
      <c r="S278" s="682"/>
      <c r="T278" s="682"/>
      <c r="U278" s="682"/>
      <c r="V278" s="682">
        <f>SUM(V267:V277)*0.271</f>
        <v>12.8</v>
      </c>
      <c r="W278" s="682"/>
      <c r="X278" s="682"/>
      <c r="Y278" s="682">
        <f>SUM(Y267:Y277)*0.271</f>
        <v>12.8</v>
      </c>
      <c r="Z278" s="812">
        <f t="shared" si="43"/>
        <v>2.5</v>
      </c>
      <c r="AA278" s="812">
        <f t="shared" si="47"/>
        <v>124.3</v>
      </c>
      <c r="AB278" s="893"/>
      <c r="AC278" s="491" t="s">
        <v>1665</v>
      </c>
      <c r="AF278" s="466"/>
      <c r="AG278" s="465"/>
      <c r="AH278" s="465"/>
    </row>
    <row r="279" spans="1:34" s="492" customFormat="1" ht="14.25" hidden="1" x14ac:dyDescent="0.2">
      <c r="A279" s="1240"/>
      <c r="B279" s="500" t="s">
        <v>798</v>
      </c>
      <c r="C279" s="501" t="s">
        <v>796</v>
      </c>
      <c r="D279" s="932"/>
      <c r="E279" s="842" t="s">
        <v>227</v>
      </c>
      <c r="F279" s="828">
        <v>10</v>
      </c>
      <c r="G279" s="829">
        <v>0.6</v>
      </c>
      <c r="H279" s="542">
        <f>F279*G279</f>
        <v>6</v>
      </c>
      <c r="I279" s="533">
        <v>12</v>
      </c>
      <c r="J279" s="533">
        <v>0.5</v>
      </c>
      <c r="K279" s="533">
        <f>I279*J279</f>
        <v>6</v>
      </c>
      <c r="L279" s="533">
        <v>12</v>
      </c>
      <c r="M279" s="533">
        <v>0.5</v>
      </c>
      <c r="N279" s="533">
        <f>L279*M279</f>
        <v>6</v>
      </c>
      <c r="O279" s="533">
        <v>12</v>
      </c>
      <c r="P279" s="533">
        <v>0.5</v>
      </c>
      <c r="Q279" s="533">
        <f>O279*P279</f>
        <v>6</v>
      </c>
      <c r="R279" s="533">
        <f t="shared" si="56"/>
        <v>6</v>
      </c>
      <c r="S279" s="533"/>
      <c r="T279" s="533">
        <v>12</v>
      </c>
      <c r="U279" s="533">
        <v>0.5</v>
      </c>
      <c r="V279" s="533">
        <f>T279*U279</f>
        <v>6</v>
      </c>
      <c r="W279" s="533">
        <v>12</v>
      </c>
      <c r="X279" s="533">
        <v>0.5</v>
      </c>
      <c r="Y279" s="533">
        <f>W279*X279</f>
        <v>6</v>
      </c>
      <c r="Z279" s="542">
        <f t="shared" si="43"/>
        <v>0</v>
      </c>
      <c r="AA279" s="542">
        <f t="shared" si="47"/>
        <v>100</v>
      </c>
      <c r="AB279" s="893"/>
      <c r="AC279" s="491" t="s">
        <v>1665</v>
      </c>
      <c r="AF279" s="466"/>
      <c r="AG279" s="466"/>
      <c r="AH279" s="466"/>
    </row>
    <row r="280" spans="1:34" s="492" customFormat="1" ht="14.25" hidden="1" x14ac:dyDescent="0.2">
      <c r="A280" s="1240"/>
      <c r="B280" s="500" t="s">
        <v>1246</v>
      </c>
      <c r="C280" s="501" t="s">
        <v>1237</v>
      </c>
      <c r="D280" s="932"/>
      <c r="E280" s="842" t="s">
        <v>1829</v>
      </c>
      <c r="F280" s="828">
        <v>10</v>
      </c>
      <c r="G280" s="829">
        <v>2.5</v>
      </c>
      <c r="H280" s="542">
        <f>F280*G280</f>
        <v>25</v>
      </c>
      <c r="I280" s="533">
        <v>10</v>
      </c>
      <c r="J280" s="533">
        <v>2.5</v>
      </c>
      <c r="K280" s="533">
        <f>I280*J280</f>
        <v>25</v>
      </c>
      <c r="L280" s="533">
        <v>10</v>
      </c>
      <c r="M280" s="533">
        <v>2.5</v>
      </c>
      <c r="N280" s="533">
        <f>L280*M280</f>
        <v>25</v>
      </c>
      <c r="O280" s="533">
        <v>10</v>
      </c>
      <c r="P280" s="533">
        <v>2.5</v>
      </c>
      <c r="Q280" s="533">
        <f>O280*P280</f>
        <v>25</v>
      </c>
      <c r="R280" s="533">
        <f t="shared" si="56"/>
        <v>25</v>
      </c>
      <c r="S280" s="533"/>
      <c r="T280" s="533">
        <v>10</v>
      </c>
      <c r="U280" s="533">
        <v>2.5</v>
      </c>
      <c r="V280" s="533">
        <f>T280*U280</f>
        <v>25</v>
      </c>
      <c r="W280" s="533">
        <v>10</v>
      </c>
      <c r="X280" s="533">
        <v>2.5</v>
      </c>
      <c r="Y280" s="533">
        <f>W280*X280</f>
        <v>25</v>
      </c>
      <c r="Z280" s="542">
        <f t="shared" si="43"/>
        <v>0</v>
      </c>
      <c r="AA280" s="542">
        <f t="shared" si="47"/>
        <v>100</v>
      </c>
      <c r="AB280" s="893"/>
      <c r="AC280" s="491" t="s">
        <v>1665</v>
      </c>
      <c r="AF280" s="466"/>
      <c r="AG280" s="466"/>
      <c r="AH280" s="466"/>
    </row>
    <row r="281" spans="1:34" s="539" customFormat="1" hidden="1" x14ac:dyDescent="0.25">
      <c r="A281" s="536"/>
      <c r="B281" s="510" t="s">
        <v>1247</v>
      </c>
      <c r="C281" s="511"/>
      <c r="D281" s="536"/>
      <c r="E281" s="536"/>
      <c r="F281" s="911"/>
      <c r="G281" s="912"/>
      <c r="H281" s="823" t="e">
        <f>#REF!+#REF!+H282+#REF!</f>
        <v>#REF!</v>
      </c>
      <c r="I281" s="913"/>
      <c r="J281" s="913"/>
      <c r="K281" s="823">
        <f>K282</f>
        <v>37.799999999999997</v>
      </c>
      <c r="L281" s="913"/>
      <c r="M281" s="913"/>
      <c r="N281" s="823">
        <f>N282</f>
        <v>37.799999999999997</v>
      </c>
      <c r="O281" s="913"/>
      <c r="P281" s="913"/>
      <c r="Q281" s="823">
        <f>Q282</f>
        <v>38.5</v>
      </c>
      <c r="R281" s="823">
        <f t="shared" si="56"/>
        <v>38.5</v>
      </c>
      <c r="S281" s="823"/>
      <c r="T281" s="913"/>
      <c r="U281" s="913"/>
      <c r="V281" s="823">
        <f>V282</f>
        <v>38.6</v>
      </c>
      <c r="W281" s="823"/>
      <c r="X281" s="823"/>
      <c r="Y281" s="823">
        <f>Y282</f>
        <v>38.6</v>
      </c>
      <c r="Z281" s="823">
        <f t="shared" si="43"/>
        <v>0.7</v>
      </c>
      <c r="AA281" s="823">
        <f t="shared" si="47"/>
        <v>101.9</v>
      </c>
      <c r="AB281" s="914"/>
      <c r="AC281" s="538"/>
      <c r="AF281" s="519"/>
      <c r="AG281" s="540"/>
      <c r="AH281" s="540"/>
    </row>
    <row r="282" spans="1:34" s="1891" customFormat="1" ht="38.25" hidden="1" x14ac:dyDescent="0.25">
      <c r="A282" s="850"/>
      <c r="B282" s="520" t="s">
        <v>1664</v>
      </c>
      <c r="C282" s="521"/>
      <c r="D282" s="522" t="s">
        <v>1444</v>
      </c>
      <c r="E282" s="556"/>
      <c r="F282" s="523"/>
      <c r="G282" s="524"/>
      <c r="H282" s="526">
        <f>H283+H288+H294+H295</f>
        <v>49.4</v>
      </c>
      <c r="I282" s="526"/>
      <c r="J282" s="526"/>
      <c r="K282" s="526">
        <f>K283+K288+K294+K295</f>
        <v>37.799999999999997</v>
      </c>
      <c r="L282" s="526"/>
      <c r="M282" s="526"/>
      <c r="N282" s="526">
        <f>N283+N288+N294+N295</f>
        <v>37.799999999999997</v>
      </c>
      <c r="O282" s="526"/>
      <c r="P282" s="526"/>
      <c r="Q282" s="526">
        <f>Q283+Q287+Q288+Q293+Q294+Q295</f>
        <v>38.5</v>
      </c>
      <c r="R282" s="526">
        <f t="shared" si="56"/>
        <v>38.5</v>
      </c>
      <c r="S282" s="526"/>
      <c r="T282" s="526"/>
      <c r="U282" s="526"/>
      <c r="V282" s="526">
        <f>V283+V287+V288+V293+V294+V295</f>
        <v>38.6</v>
      </c>
      <c r="W282" s="526"/>
      <c r="X282" s="526"/>
      <c r="Y282" s="526">
        <f>Y283+Y287+Y288+Y293+Y294+Y295</f>
        <v>38.6</v>
      </c>
      <c r="Z282" s="526">
        <f t="shared" si="43"/>
        <v>0.7</v>
      </c>
      <c r="AA282" s="526">
        <f t="shared" si="47"/>
        <v>101.9</v>
      </c>
      <c r="AB282" s="909"/>
      <c r="AC282" s="1931" t="s">
        <v>1665</v>
      </c>
      <c r="AF282" s="528"/>
      <c r="AG282" s="1892"/>
      <c r="AH282" s="1892"/>
    </row>
    <row r="283" spans="1:34" s="492" customFormat="1" ht="14.25" hidden="1" x14ac:dyDescent="0.2">
      <c r="A283" s="1240"/>
      <c r="B283" s="500" t="s">
        <v>1226</v>
      </c>
      <c r="C283" s="501" t="s">
        <v>797</v>
      </c>
      <c r="D283" s="932"/>
      <c r="E283" s="842"/>
      <c r="F283" s="828"/>
      <c r="G283" s="829"/>
      <c r="H283" s="542">
        <f>SUM(H284:H286)</f>
        <v>13.8</v>
      </c>
      <c r="I283" s="533"/>
      <c r="J283" s="533"/>
      <c r="K283" s="533">
        <f>SUM(K284:K286)</f>
        <v>11.2</v>
      </c>
      <c r="L283" s="533"/>
      <c r="M283" s="533"/>
      <c r="N283" s="533">
        <f>SUM(N284:N286)</f>
        <v>11.2</v>
      </c>
      <c r="O283" s="533"/>
      <c r="P283" s="533"/>
      <c r="Q283" s="533">
        <f>SUM(Q284:Q286)</f>
        <v>11.6</v>
      </c>
      <c r="R283" s="533">
        <f t="shared" si="56"/>
        <v>11.6</v>
      </c>
      <c r="S283" s="533"/>
      <c r="T283" s="533"/>
      <c r="U283" s="533"/>
      <c r="V283" s="533">
        <f>SUM(V284:V286)</f>
        <v>11.6</v>
      </c>
      <c r="W283" s="533"/>
      <c r="X283" s="533"/>
      <c r="Y283" s="533">
        <f>SUM(Y284:Y286)</f>
        <v>11.6</v>
      </c>
      <c r="Z283" s="542">
        <f t="shared" si="43"/>
        <v>0.4</v>
      </c>
      <c r="AA283" s="542">
        <f t="shared" si="47"/>
        <v>103.6</v>
      </c>
      <c r="AB283" s="921"/>
      <c r="AC283" s="534" t="s">
        <v>1665</v>
      </c>
      <c r="AF283" s="466"/>
      <c r="AG283" s="466"/>
      <c r="AH283" s="466"/>
    </row>
    <row r="284" spans="1:34" s="498" customFormat="1" ht="25.5" hidden="1" x14ac:dyDescent="0.25">
      <c r="A284" s="962"/>
      <c r="B284" s="856" t="s">
        <v>1918</v>
      </c>
      <c r="C284" s="499"/>
      <c r="D284" s="903"/>
      <c r="E284" s="1031" t="s">
        <v>1919</v>
      </c>
      <c r="F284" s="557">
        <v>26</v>
      </c>
      <c r="G284" s="558">
        <v>0.3</v>
      </c>
      <c r="H284" s="559">
        <f>F284*G284</f>
        <v>7.8</v>
      </c>
      <c r="I284" s="857">
        <v>26</v>
      </c>
      <c r="J284" s="857">
        <v>0.2</v>
      </c>
      <c r="K284" s="857">
        <f>I284*J284</f>
        <v>5.2</v>
      </c>
      <c r="L284" s="857">
        <v>26</v>
      </c>
      <c r="M284" s="857">
        <v>0.2</v>
      </c>
      <c r="N284" s="857">
        <f>L284*M284</f>
        <v>5.2</v>
      </c>
      <c r="O284" s="857">
        <v>14</v>
      </c>
      <c r="P284" s="857">
        <v>0.4</v>
      </c>
      <c r="Q284" s="857">
        <f>O284*P284</f>
        <v>5.6</v>
      </c>
      <c r="R284" s="857">
        <f t="shared" si="56"/>
        <v>5.6</v>
      </c>
      <c r="S284" s="857"/>
      <c r="T284" s="857">
        <v>14</v>
      </c>
      <c r="U284" s="857">
        <v>0.4</v>
      </c>
      <c r="V284" s="857">
        <f>T284*U284</f>
        <v>5.6</v>
      </c>
      <c r="W284" s="857">
        <v>14</v>
      </c>
      <c r="X284" s="857">
        <v>0.4</v>
      </c>
      <c r="Y284" s="857">
        <f>W284*X284</f>
        <v>5.6</v>
      </c>
      <c r="Z284" s="559">
        <f t="shared" si="43"/>
        <v>0.4</v>
      </c>
      <c r="AA284" s="559">
        <f t="shared" si="47"/>
        <v>107.7</v>
      </c>
      <c r="AB284" s="1932" t="s">
        <v>1920</v>
      </c>
      <c r="AC284" s="534" t="s">
        <v>1665</v>
      </c>
      <c r="AF284" s="466"/>
      <c r="AG284" s="465"/>
      <c r="AH284" s="465"/>
    </row>
    <row r="285" spans="1:34" s="498" customFormat="1" hidden="1" x14ac:dyDescent="0.25">
      <c r="A285" s="962"/>
      <c r="B285" s="856" t="s">
        <v>1689</v>
      </c>
      <c r="C285" s="499"/>
      <c r="D285" s="903"/>
      <c r="E285" s="1031"/>
      <c r="F285" s="557"/>
      <c r="G285" s="558"/>
      <c r="H285" s="559"/>
      <c r="I285" s="857"/>
      <c r="J285" s="857"/>
      <c r="K285" s="857"/>
      <c r="L285" s="857"/>
      <c r="M285" s="857"/>
      <c r="N285" s="857"/>
      <c r="O285" s="857">
        <v>1</v>
      </c>
      <c r="P285" s="857">
        <v>2</v>
      </c>
      <c r="Q285" s="857">
        <f>O285*P285</f>
        <v>2</v>
      </c>
      <c r="R285" s="857">
        <f t="shared" si="56"/>
        <v>2</v>
      </c>
      <c r="S285" s="857"/>
      <c r="T285" s="857">
        <v>1</v>
      </c>
      <c r="U285" s="857">
        <v>2</v>
      </c>
      <c r="V285" s="857">
        <f>T285*U285</f>
        <v>2</v>
      </c>
      <c r="W285" s="857">
        <v>1</v>
      </c>
      <c r="X285" s="857">
        <v>2</v>
      </c>
      <c r="Y285" s="857">
        <f>W285*X285</f>
        <v>2</v>
      </c>
      <c r="Z285" s="559">
        <f t="shared" si="43"/>
        <v>2</v>
      </c>
      <c r="AA285" s="559" t="str">
        <f t="shared" si="47"/>
        <v>-</v>
      </c>
      <c r="AB285" s="1933"/>
      <c r="AC285" s="534" t="s">
        <v>1665</v>
      </c>
      <c r="AF285" s="466"/>
      <c r="AG285" s="465"/>
      <c r="AH285" s="465"/>
    </row>
    <row r="286" spans="1:34" s="498" customFormat="1" hidden="1" x14ac:dyDescent="0.25">
      <c r="A286" s="962"/>
      <c r="B286" s="856" t="s">
        <v>1921</v>
      </c>
      <c r="C286" s="499"/>
      <c r="D286" s="903"/>
      <c r="E286" s="1031" t="s">
        <v>227</v>
      </c>
      <c r="F286" s="557">
        <v>6</v>
      </c>
      <c r="G286" s="558">
        <v>1</v>
      </c>
      <c r="H286" s="559">
        <f>F286*G286</f>
        <v>6</v>
      </c>
      <c r="I286" s="857">
        <v>6</v>
      </c>
      <c r="J286" s="857">
        <v>1</v>
      </c>
      <c r="K286" s="857">
        <f>I286*J286</f>
        <v>6</v>
      </c>
      <c r="L286" s="857">
        <v>6</v>
      </c>
      <c r="M286" s="857">
        <v>1</v>
      </c>
      <c r="N286" s="857">
        <f>L286*M286</f>
        <v>6</v>
      </c>
      <c r="O286" s="857">
        <v>4</v>
      </c>
      <c r="P286" s="857">
        <v>1</v>
      </c>
      <c r="Q286" s="857">
        <f>O286*P286</f>
        <v>4</v>
      </c>
      <c r="R286" s="857">
        <f t="shared" si="56"/>
        <v>4</v>
      </c>
      <c r="S286" s="857"/>
      <c r="T286" s="857">
        <v>4</v>
      </c>
      <c r="U286" s="857">
        <v>1</v>
      </c>
      <c r="V286" s="857">
        <f>T286*U286</f>
        <v>4</v>
      </c>
      <c r="W286" s="857">
        <v>4</v>
      </c>
      <c r="X286" s="857">
        <v>1</v>
      </c>
      <c r="Y286" s="857">
        <f>W286*X286</f>
        <v>4</v>
      </c>
      <c r="Z286" s="559">
        <f t="shared" si="43"/>
        <v>-2</v>
      </c>
      <c r="AA286" s="559">
        <f t="shared" si="47"/>
        <v>66.7</v>
      </c>
      <c r="AB286" s="1934"/>
      <c r="AC286" s="534" t="s">
        <v>1665</v>
      </c>
      <c r="AF286" s="466"/>
      <c r="AG286" s="465"/>
      <c r="AH286" s="465"/>
    </row>
    <row r="287" spans="1:34" s="498" customFormat="1" ht="25.5" hidden="1" x14ac:dyDescent="0.25">
      <c r="A287" s="962"/>
      <c r="B287" s="865" t="s">
        <v>1922</v>
      </c>
      <c r="C287" s="508" t="s">
        <v>797</v>
      </c>
      <c r="D287" s="903"/>
      <c r="E287" s="1031"/>
      <c r="F287" s="557"/>
      <c r="G287" s="558"/>
      <c r="H287" s="559"/>
      <c r="I287" s="857"/>
      <c r="J287" s="857"/>
      <c r="K287" s="857"/>
      <c r="L287" s="857"/>
      <c r="M287" s="857"/>
      <c r="N287" s="857"/>
      <c r="O287" s="857"/>
      <c r="P287" s="857"/>
      <c r="Q287" s="533">
        <v>1.7</v>
      </c>
      <c r="R287" s="533">
        <f t="shared" si="56"/>
        <v>1.7</v>
      </c>
      <c r="S287" s="533"/>
      <c r="T287" s="857"/>
      <c r="U287" s="857"/>
      <c r="V287" s="533">
        <v>1.7</v>
      </c>
      <c r="W287" s="857"/>
      <c r="X287" s="857"/>
      <c r="Y287" s="533">
        <v>1.7</v>
      </c>
      <c r="Z287" s="559">
        <f t="shared" si="43"/>
        <v>1.7</v>
      </c>
      <c r="AA287" s="559" t="str">
        <f t="shared" si="47"/>
        <v>-</v>
      </c>
      <c r="AB287" s="900" t="s">
        <v>1923</v>
      </c>
      <c r="AC287" s="534" t="s">
        <v>1665</v>
      </c>
      <c r="AF287" s="466"/>
      <c r="AG287" s="465"/>
      <c r="AH287" s="465"/>
    </row>
    <row r="288" spans="1:34" s="492" customFormat="1" ht="25.5" hidden="1" x14ac:dyDescent="0.2">
      <c r="A288" s="1240"/>
      <c r="B288" s="500" t="s">
        <v>1239</v>
      </c>
      <c r="C288" s="501" t="s">
        <v>797</v>
      </c>
      <c r="D288" s="932"/>
      <c r="E288" s="842"/>
      <c r="F288" s="828"/>
      <c r="G288" s="829"/>
      <c r="H288" s="542">
        <f>SUM(H289:H292)</f>
        <v>11.9</v>
      </c>
      <c r="I288" s="533"/>
      <c r="J288" s="533"/>
      <c r="K288" s="533">
        <f>SUM(K289:K292)</f>
        <v>0.8</v>
      </c>
      <c r="L288" s="533"/>
      <c r="M288" s="533"/>
      <c r="N288" s="533">
        <f>SUM(N289:N292)</f>
        <v>0.8</v>
      </c>
      <c r="O288" s="533"/>
      <c r="P288" s="533"/>
      <c r="Q288" s="533">
        <f>SUM(Q289:Q292)</f>
        <v>2</v>
      </c>
      <c r="R288" s="533">
        <f t="shared" si="56"/>
        <v>2</v>
      </c>
      <c r="S288" s="533"/>
      <c r="T288" s="533"/>
      <c r="U288" s="533"/>
      <c r="V288" s="533">
        <f>SUM(V289:V292)</f>
        <v>2</v>
      </c>
      <c r="W288" s="533"/>
      <c r="X288" s="533"/>
      <c r="Y288" s="533">
        <f>SUM(Y289:Y292)</f>
        <v>2</v>
      </c>
      <c r="Z288" s="542">
        <f t="shared" si="43"/>
        <v>1.2</v>
      </c>
      <c r="AA288" s="542">
        <f t="shared" si="47"/>
        <v>250</v>
      </c>
      <c r="AB288" s="921"/>
      <c r="AC288" s="534" t="s">
        <v>1665</v>
      </c>
      <c r="AF288" s="466"/>
      <c r="AG288" s="466"/>
      <c r="AH288" s="466"/>
    </row>
    <row r="289" spans="1:34" s="498" customFormat="1" ht="38.25" hidden="1" x14ac:dyDescent="0.25">
      <c r="A289" s="962"/>
      <c r="B289" s="502" t="s">
        <v>1924</v>
      </c>
      <c r="C289" s="499"/>
      <c r="D289" s="903"/>
      <c r="E289" s="1031" t="s">
        <v>227</v>
      </c>
      <c r="F289" s="557">
        <v>14</v>
      </c>
      <c r="G289" s="558">
        <v>0.1</v>
      </c>
      <c r="H289" s="559">
        <f>F289*G289</f>
        <v>1.4</v>
      </c>
      <c r="I289" s="857">
        <v>8</v>
      </c>
      <c r="J289" s="862">
        <v>0.1</v>
      </c>
      <c r="K289" s="857">
        <f>I289*J289</f>
        <v>0.8</v>
      </c>
      <c r="L289" s="857">
        <v>8</v>
      </c>
      <c r="M289" s="862">
        <v>0.1</v>
      </c>
      <c r="N289" s="857">
        <f>L289*M289</f>
        <v>0.8</v>
      </c>
      <c r="O289" s="857">
        <v>20</v>
      </c>
      <c r="P289" s="857">
        <v>0.1</v>
      </c>
      <c r="Q289" s="857">
        <f>O289*P289</f>
        <v>2</v>
      </c>
      <c r="R289" s="857">
        <f t="shared" si="56"/>
        <v>2</v>
      </c>
      <c r="S289" s="857"/>
      <c r="T289" s="857">
        <v>20</v>
      </c>
      <c r="U289" s="857">
        <v>0.1</v>
      </c>
      <c r="V289" s="857">
        <f>T289*U289</f>
        <v>2</v>
      </c>
      <c r="W289" s="857">
        <v>20</v>
      </c>
      <c r="X289" s="857">
        <v>0.1</v>
      </c>
      <c r="Y289" s="857">
        <f>W289*X289</f>
        <v>2</v>
      </c>
      <c r="Z289" s="559">
        <f t="shared" si="43"/>
        <v>1.2</v>
      </c>
      <c r="AA289" s="559">
        <f t="shared" si="47"/>
        <v>250</v>
      </c>
      <c r="AB289" s="827" t="s">
        <v>1925</v>
      </c>
      <c r="AC289" s="534" t="s">
        <v>1665</v>
      </c>
      <c r="AF289" s="466"/>
      <c r="AG289" s="465"/>
      <c r="AH289" s="465"/>
    </row>
    <row r="290" spans="1:34" s="498" customFormat="1" hidden="1" x14ac:dyDescent="0.25">
      <c r="A290" s="962"/>
      <c r="B290" s="856" t="s">
        <v>1926</v>
      </c>
      <c r="C290" s="499"/>
      <c r="D290" s="903"/>
      <c r="E290" s="1031" t="s">
        <v>227</v>
      </c>
      <c r="F290" s="557">
        <v>2</v>
      </c>
      <c r="G290" s="558">
        <v>2</v>
      </c>
      <c r="H290" s="559">
        <f>F290*G290</f>
        <v>4</v>
      </c>
      <c r="I290" s="857"/>
      <c r="J290" s="857"/>
      <c r="K290" s="857"/>
      <c r="L290" s="857"/>
      <c r="M290" s="857"/>
      <c r="N290" s="857"/>
      <c r="O290" s="857"/>
      <c r="P290" s="857"/>
      <c r="Q290" s="857"/>
      <c r="R290" s="857">
        <f t="shared" si="56"/>
        <v>0</v>
      </c>
      <c r="S290" s="857"/>
      <c r="T290" s="857"/>
      <c r="U290" s="857"/>
      <c r="V290" s="857"/>
      <c r="W290" s="857"/>
      <c r="X290" s="857"/>
      <c r="Y290" s="857"/>
      <c r="Z290" s="559">
        <f t="shared" ref="Z290:Z353" si="57">Q290-K290</f>
        <v>0</v>
      </c>
      <c r="AA290" s="559" t="str">
        <f t="shared" si="47"/>
        <v>-</v>
      </c>
      <c r="AB290" s="827"/>
      <c r="AC290" s="534" t="s">
        <v>1665</v>
      </c>
      <c r="AF290" s="466"/>
      <c r="AG290" s="465"/>
      <c r="AH290" s="465"/>
    </row>
    <row r="291" spans="1:34" s="498" customFormat="1" hidden="1" x14ac:dyDescent="0.25">
      <c r="A291" s="962"/>
      <c r="B291" s="856" t="s">
        <v>1369</v>
      </c>
      <c r="C291" s="499"/>
      <c r="D291" s="903"/>
      <c r="E291" s="1031" t="s">
        <v>227</v>
      </c>
      <c r="F291" s="557">
        <v>4</v>
      </c>
      <c r="G291" s="558">
        <v>0.75</v>
      </c>
      <c r="H291" s="559">
        <f>F291*G291</f>
        <v>3</v>
      </c>
      <c r="I291" s="857"/>
      <c r="J291" s="857"/>
      <c r="K291" s="857"/>
      <c r="L291" s="857"/>
      <c r="M291" s="857"/>
      <c r="N291" s="857"/>
      <c r="O291" s="857"/>
      <c r="P291" s="857"/>
      <c r="Q291" s="857"/>
      <c r="R291" s="857">
        <f t="shared" si="56"/>
        <v>0</v>
      </c>
      <c r="S291" s="857"/>
      <c r="T291" s="857"/>
      <c r="U291" s="857"/>
      <c r="V291" s="857"/>
      <c r="W291" s="857"/>
      <c r="X291" s="857"/>
      <c r="Y291" s="857"/>
      <c r="Z291" s="559">
        <f t="shared" si="57"/>
        <v>0</v>
      </c>
      <c r="AA291" s="559" t="str">
        <f t="shared" si="47"/>
        <v>-</v>
      </c>
      <c r="AB291" s="901"/>
      <c r="AC291" s="534" t="s">
        <v>1665</v>
      </c>
      <c r="AF291" s="466"/>
      <c r="AG291" s="465"/>
      <c r="AH291" s="465"/>
    </row>
    <row r="292" spans="1:34" s="498" customFormat="1" hidden="1" x14ac:dyDescent="0.25">
      <c r="A292" s="962"/>
      <c r="B292" s="856" t="s">
        <v>1692</v>
      </c>
      <c r="C292" s="499"/>
      <c r="D292" s="903"/>
      <c r="E292" s="1031" t="s">
        <v>227</v>
      </c>
      <c r="F292" s="557">
        <v>10</v>
      </c>
      <c r="G292" s="558">
        <v>0.35</v>
      </c>
      <c r="H292" s="559">
        <f>F292*G292</f>
        <v>3.5</v>
      </c>
      <c r="I292" s="857"/>
      <c r="J292" s="857"/>
      <c r="K292" s="857"/>
      <c r="L292" s="857"/>
      <c r="M292" s="857"/>
      <c r="N292" s="857"/>
      <c r="O292" s="857"/>
      <c r="P292" s="857"/>
      <c r="Q292" s="857"/>
      <c r="R292" s="857">
        <f t="shared" si="56"/>
        <v>0</v>
      </c>
      <c r="S292" s="857"/>
      <c r="T292" s="857"/>
      <c r="U292" s="857"/>
      <c r="V292" s="857"/>
      <c r="W292" s="857"/>
      <c r="X292" s="857"/>
      <c r="Y292" s="857"/>
      <c r="Z292" s="559">
        <f t="shared" si="57"/>
        <v>0</v>
      </c>
      <c r="AA292" s="559" t="str">
        <f t="shared" si="47"/>
        <v>-</v>
      </c>
      <c r="AB292" s="901"/>
      <c r="AC292" s="534" t="s">
        <v>1665</v>
      </c>
      <c r="AF292" s="466"/>
      <c r="AG292" s="465"/>
      <c r="AH292" s="465"/>
    </row>
    <row r="293" spans="1:34" s="498" customFormat="1" ht="26.25" hidden="1" customHeight="1" x14ac:dyDescent="0.25">
      <c r="A293" s="962"/>
      <c r="B293" s="1841" t="s">
        <v>1927</v>
      </c>
      <c r="C293" s="508" t="s">
        <v>797</v>
      </c>
      <c r="D293" s="903"/>
      <c r="E293" s="1031"/>
      <c r="F293" s="557"/>
      <c r="G293" s="558"/>
      <c r="H293" s="559"/>
      <c r="I293" s="857"/>
      <c r="J293" s="857"/>
      <c r="K293" s="857"/>
      <c r="L293" s="857"/>
      <c r="M293" s="857"/>
      <c r="N293" s="857"/>
      <c r="O293" s="533">
        <v>150</v>
      </c>
      <c r="P293" s="906">
        <v>0.02</v>
      </c>
      <c r="Q293" s="533">
        <f>O293*P293</f>
        <v>3</v>
      </c>
      <c r="R293" s="533">
        <f t="shared" si="56"/>
        <v>3</v>
      </c>
      <c r="S293" s="533"/>
      <c r="T293" s="533">
        <v>150</v>
      </c>
      <c r="U293" s="906">
        <v>0.02</v>
      </c>
      <c r="V293" s="533">
        <f>T293*U293</f>
        <v>3</v>
      </c>
      <c r="W293" s="533">
        <v>150</v>
      </c>
      <c r="X293" s="906">
        <v>0.02</v>
      </c>
      <c r="Y293" s="533">
        <f>W293*X293</f>
        <v>3</v>
      </c>
      <c r="Z293" s="559">
        <f t="shared" si="57"/>
        <v>3</v>
      </c>
      <c r="AA293" s="559" t="str">
        <f t="shared" si="47"/>
        <v>-</v>
      </c>
      <c r="AB293" s="1839" t="s">
        <v>1928</v>
      </c>
      <c r="AC293" s="534" t="s">
        <v>1665</v>
      </c>
      <c r="AF293" s="466"/>
      <c r="AG293" s="465"/>
      <c r="AH293" s="465"/>
    </row>
    <row r="294" spans="1:34" s="492" customFormat="1" ht="25.5" hidden="1" x14ac:dyDescent="0.2">
      <c r="A294" s="1240"/>
      <c r="B294" s="865" t="s">
        <v>1929</v>
      </c>
      <c r="C294" s="508" t="s">
        <v>796</v>
      </c>
      <c r="D294" s="932"/>
      <c r="E294" s="842"/>
      <c r="F294" s="828">
        <v>20</v>
      </c>
      <c r="G294" s="829">
        <v>0.5</v>
      </c>
      <c r="H294" s="542">
        <f>F294*G294</f>
        <v>10</v>
      </c>
      <c r="I294" s="533">
        <v>26</v>
      </c>
      <c r="J294" s="533">
        <v>0.5</v>
      </c>
      <c r="K294" s="533">
        <f>I294*J294</f>
        <v>13</v>
      </c>
      <c r="L294" s="533">
        <v>26</v>
      </c>
      <c r="M294" s="533">
        <v>0.5</v>
      </c>
      <c r="N294" s="533">
        <f>L294*M294</f>
        <v>13</v>
      </c>
      <c r="O294" s="533">
        <v>20</v>
      </c>
      <c r="P294" s="533">
        <v>0.5</v>
      </c>
      <c r="Q294" s="533">
        <f>O294*P294</f>
        <v>10</v>
      </c>
      <c r="R294" s="533">
        <f t="shared" si="56"/>
        <v>10</v>
      </c>
      <c r="S294" s="533"/>
      <c r="T294" s="533">
        <v>20</v>
      </c>
      <c r="U294" s="533">
        <v>0.5</v>
      </c>
      <c r="V294" s="533">
        <f>T294*U294</f>
        <v>10</v>
      </c>
      <c r="W294" s="533">
        <v>20</v>
      </c>
      <c r="X294" s="533">
        <v>0.5</v>
      </c>
      <c r="Y294" s="533">
        <f>W294*X294</f>
        <v>10</v>
      </c>
      <c r="Z294" s="542">
        <f t="shared" si="57"/>
        <v>-3</v>
      </c>
      <c r="AA294" s="542">
        <f t="shared" si="47"/>
        <v>76.900000000000006</v>
      </c>
      <c r="AB294" s="901" t="s">
        <v>1372</v>
      </c>
      <c r="AC294" s="534" t="s">
        <v>1665</v>
      </c>
      <c r="AF294" s="466"/>
      <c r="AG294" s="466"/>
      <c r="AH294" s="466"/>
    </row>
    <row r="295" spans="1:34" s="492" customFormat="1" ht="14.25" x14ac:dyDescent="0.2">
      <c r="A295" s="1240"/>
      <c r="B295" s="500" t="s">
        <v>1233</v>
      </c>
      <c r="C295" s="501" t="s">
        <v>1230</v>
      </c>
      <c r="D295" s="932"/>
      <c r="E295" s="842"/>
      <c r="F295" s="828"/>
      <c r="G295" s="829"/>
      <c r="H295" s="542">
        <f>SUM(H296:H301)</f>
        <v>13.7</v>
      </c>
      <c r="I295" s="533"/>
      <c r="J295" s="533"/>
      <c r="K295" s="533">
        <f>SUM(K296:K301)</f>
        <v>12.8</v>
      </c>
      <c r="L295" s="533"/>
      <c r="M295" s="533"/>
      <c r="N295" s="533">
        <f>SUM(N296:N301)</f>
        <v>12.8</v>
      </c>
      <c r="O295" s="533"/>
      <c r="P295" s="533"/>
      <c r="Q295" s="533">
        <v>10.199999999999999</v>
      </c>
      <c r="R295" s="533">
        <f t="shared" si="56"/>
        <v>10.199999999999999</v>
      </c>
      <c r="S295" s="533"/>
      <c r="T295" s="533"/>
      <c r="U295" s="533"/>
      <c r="V295" s="533">
        <f>SUM(V296:V301)</f>
        <v>10.3</v>
      </c>
      <c r="W295" s="533"/>
      <c r="X295" s="533"/>
      <c r="Y295" s="533">
        <f>SUM(Y296:Y301)</f>
        <v>10.3</v>
      </c>
      <c r="Z295" s="542">
        <f t="shared" si="57"/>
        <v>-2.6</v>
      </c>
      <c r="AA295" s="542">
        <f t="shared" si="47"/>
        <v>79.7</v>
      </c>
      <c r="AB295" s="921"/>
      <c r="AC295" s="534" t="s">
        <v>1665</v>
      </c>
      <c r="AF295" s="466"/>
      <c r="AG295" s="466"/>
      <c r="AH295" s="466"/>
    </row>
    <row r="296" spans="1:34" s="498" customFormat="1" hidden="1" x14ac:dyDescent="0.25">
      <c r="A296" s="962"/>
      <c r="B296" s="502" t="s">
        <v>1519</v>
      </c>
      <c r="C296" s="503"/>
      <c r="D296" s="903"/>
      <c r="E296" s="1031" t="s">
        <v>318</v>
      </c>
      <c r="F296" s="557">
        <v>1</v>
      </c>
      <c r="G296" s="558">
        <v>3.45</v>
      </c>
      <c r="H296" s="559">
        <f>F296*G296</f>
        <v>3.5</v>
      </c>
      <c r="I296" s="857">
        <v>1</v>
      </c>
      <c r="J296" s="857">
        <v>3.5</v>
      </c>
      <c r="K296" s="857">
        <f>I296*J296</f>
        <v>3.5</v>
      </c>
      <c r="L296" s="857">
        <v>1</v>
      </c>
      <c r="M296" s="857">
        <v>3.5</v>
      </c>
      <c r="N296" s="857">
        <f>L296*M296</f>
        <v>3.5</v>
      </c>
      <c r="O296" s="857">
        <v>1</v>
      </c>
      <c r="P296" s="857">
        <v>3.5</v>
      </c>
      <c r="Q296" s="857">
        <f>O296*P296</f>
        <v>3.5</v>
      </c>
      <c r="R296" s="857">
        <f t="shared" si="56"/>
        <v>3.5</v>
      </c>
      <c r="S296" s="857"/>
      <c r="T296" s="857">
        <v>1</v>
      </c>
      <c r="U296" s="857">
        <v>3.5</v>
      </c>
      <c r="V296" s="857">
        <f>T296*U296</f>
        <v>3.5</v>
      </c>
      <c r="W296" s="857">
        <v>1</v>
      </c>
      <c r="X296" s="857">
        <v>3.5</v>
      </c>
      <c r="Y296" s="857">
        <f>W296*X296</f>
        <v>3.5</v>
      </c>
      <c r="Z296" s="559">
        <f t="shared" si="57"/>
        <v>0</v>
      </c>
      <c r="AA296" s="559">
        <f t="shared" si="47"/>
        <v>100</v>
      </c>
      <c r="AB296" s="893"/>
      <c r="AC296" s="534" t="s">
        <v>1665</v>
      </c>
      <c r="AF296" s="466"/>
      <c r="AG296" s="465"/>
      <c r="AH296" s="465"/>
    </row>
    <row r="297" spans="1:34" s="498" customFormat="1" hidden="1" x14ac:dyDescent="0.25">
      <c r="A297" s="962"/>
      <c r="B297" s="502" t="s">
        <v>1686</v>
      </c>
      <c r="C297" s="503"/>
      <c r="D297" s="903"/>
      <c r="E297" s="1031" t="s">
        <v>318</v>
      </c>
      <c r="F297" s="557">
        <v>1</v>
      </c>
      <c r="G297" s="558">
        <v>2.2999999999999998</v>
      </c>
      <c r="H297" s="559">
        <f>F297*G297</f>
        <v>2.2999999999999998</v>
      </c>
      <c r="I297" s="857">
        <v>1</v>
      </c>
      <c r="J297" s="857">
        <v>2.2999999999999998</v>
      </c>
      <c r="K297" s="857">
        <f>I297*J297</f>
        <v>2.2999999999999998</v>
      </c>
      <c r="L297" s="857">
        <v>1</v>
      </c>
      <c r="M297" s="857">
        <v>2.2999999999999998</v>
      </c>
      <c r="N297" s="857">
        <f>L297*M297</f>
        <v>2.2999999999999998</v>
      </c>
      <c r="O297" s="857">
        <v>1</v>
      </c>
      <c r="P297" s="857">
        <v>2.2999999999999998</v>
      </c>
      <c r="Q297" s="857">
        <f>O297*P297</f>
        <v>2.2999999999999998</v>
      </c>
      <c r="R297" s="857">
        <f t="shared" si="56"/>
        <v>2.2999999999999998</v>
      </c>
      <c r="S297" s="857"/>
      <c r="T297" s="857">
        <v>1</v>
      </c>
      <c r="U297" s="857">
        <v>2.2999999999999998</v>
      </c>
      <c r="V297" s="857">
        <f>T297*U297</f>
        <v>2.2999999999999998</v>
      </c>
      <c r="W297" s="857">
        <v>1</v>
      </c>
      <c r="X297" s="857">
        <v>2.2999999999999998</v>
      </c>
      <c r="Y297" s="857">
        <f>W297*X297</f>
        <v>2.2999999999999998</v>
      </c>
      <c r="Z297" s="559">
        <f t="shared" si="57"/>
        <v>0</v>
      </c>
      <c r="AA297" s="559">
        <f t="shared" si="47"/>
        <v>100</v>
      </c>
      <c r="AB297" s="893"/>
      <c r="AC297" s="534" t="s">
        <v>1665</v>
      </c>
      <c r="AF297" s="466"/>
      <c r="AG297" s="465"/>
      <c r="AH297" s="465"/>
    </row>
    <row r="298" spans="1:34" s="498" customFormat="1" hidden="1" x14ac:dyDescent="0.25">
      <c r="A298" s="962"/>
      <c r="B298" s="502" t="s">
        <v>1930</v>
      </c>
      <c r="C298" s="503"/>
      <c r="D298" s="903"/>
      <c r="E298" s="1031" t="s">
        <v>318</v>
      </c>
      <c r="F298" s="557">
        <v>1</v>
      </c>
      <c r="G298" s="558">
        <v>3.15</v>
      </c>
      <c r="H298" s="559">
        <f>F298*G298</f>
        <v>3.2</v>
      </c>
      <c r="I298" s="857">
        <v>1</v>
      </c>
      <c r="J298" s="857">
        <v>2.5</v>
      </c>
      <c r="K298" s="857">
        <f>I298*J298</f>
        <v>2.5</v>
      </c>
      <c r="L298" s="857">
        <v>1</v>
      </c>
      <c r="M298" s="857">
        <v>2.5</v>
      </c>
      <c r="N298" s="857">
        <f>L298*M298</f>
        <v>2.5</v>
      </c>
      <c r="O298" s="857"/>
      <c r="P298" s="857"/>
      <c r="Q298" s="857"/>
      <c r="R298" s="857">
        <f t="shared" si="56"/>
        <v>0</v>
      </c>
      <c r="S298" s="857"/>
      <c r="T298" s="857"/>
      <c r="U298" s="857"/>
      <c r="V298" s="857"/>
      <c r="W298" s="857"/>
      <c r="X298" s="857"/>
      <c r="Y298" s="857"/>
      <c r="Z298" s="559">
        <f t="shared" si="57"/>
        <v>-2.5</v>
      </c>
      <c r="AA298" s="559">
        <f t="shared" si="47"/>
        <v>0</v>
      </c>
      <c r="AB298" s="893"/>
      <c r="AC298" s="534" t="s">
        <v>1665</v>
      </c>
      <c r="AF298" s="466"/>
      <c r="AG298" s="465"/>
      <c r="AH298" s="465"/>
    </row>
    <row r="299" spans="1:34" s="498" customFormat="1" hidden="1" x14ac:dyDescent="0.25">
      <c r="A299" s="962"/>
      <c r="B299" s="502" t="s">
        <v>1879</v>
      </c>
      <c r="C299" s="503"/>
      <c r="D299" s="903"/>
      <c r="E299" s="1031" t="s">
        <v>318</v>
      </c>
      <c r="F299" s="557">
        <v>1</v>
      </c>
      <c r="G299" s="558">
        <v>1.8</v>
      </c>
      <c r="H299" s="559">
        <f>F299*G299</f>
        <v>1.8</v>
      </c>
      <c r="I299" s="857">
        <v>1</v>
      </c>
      <c r="J299" s="857">
        <v>1.8</v>
      </c>
      <c r="K299" s="857">
        <f>I299*J299</f>
        <v>1.8</v>
      </c>
      <c r="L299" s="857">
        <v>1</v>
      </c>
      <c r="M299" s="857">
        <v>1.8</v>
      </c>
      <c r="N299" s="857">
        <f>L299*M299</f>
        <v>1.8</v>
      </c>
      <c r="O299" s="857"/>
      <c r="P299" s="857"/>
      <c r="Q299" s="857"/>
      <c r="R299" s="857">
        <f t="shared" si="56"/>
        <v>0</v>
      </c>
      <c r="S299" s="857"/>
      <c r="T299" s="857"/>
      <c r="U299" s="857"/>
      <c r="V299" s="857"/>
      <c r="W299" s="857"/>
      <c r="X299" s="857"/>
      <c r="Y299" s="857"/>
      <c r="Z299" s="559">
        <f t="shared" si="57"/>
        <v>-1.8</v>
      </c>
      <c r="AA299" s="559">
        <f t="shared" si="47"/>
        <v>0</v>
      </c>
      <c r="AB299" s="893"/>
      <c r="AC299" s="534" t="s">
        <v>1665</v>
      </c>
      <c r="AF299" s="466"/>
      <c r="AG299" s="465"/>
      <c r="AH299" s="465"/>
    </row>
    <row r="300" spans="1:34" s="498" customFormat="1" ht="25.5" hidden="1" x14ac:dyDescent="0.25">
      <c r="A300" s="962"/>
      <c r="B300" s="502" t="s">
        <v>1931</v>
      </c>
      <c r="C300" s="503"/>
      <c r="D300" s="903"/>
      <c r="E300" s="1031"/>
      <c r="F300" s="557"/>
      <c r="G300" s="558"/>
      <c r="H300" s="559"/>
      <c r="I300" s="857"/>
      <c r="J300" s="857"/>
      <c r="K300" s="857"/>
      <c r="L300" s="857"/>
      <c r="M300" s="857"/>
      <c r="N300" s="857"/>
      <c r="O300" s="857">
        <v>1</v>
      </c>
      <c r="P300" s="857">
        <v>2.2999999999999998</v>
      </c>
      <c r="Q300" s="857">
        <f>O300*P300</f>
        <v>2.2999999999999998</v>
      </c>
      <c r="R300" s="857">
        <f t="shared" si="56"/>
        <v>2.2999999999999998</v>
      </c>
      <c r="S300" s="857"/>
      <c r="T300" s="857">
        <v>1</v>
      </c>
      <c r="U300" s="857">
        <v>2.2999999999999998</v>
      </c>
      <c r="V300" s="857">
        <f>T300*U300</f>
        <v>2.2999999999999998</v>
      </c>
      <c r="W300" s="857">
        <v>1</v>
      </c>
      <c r="X300" s="857">
        <v>2.2999999999999998</v>
      </c>
      <c r="Y300" s="857">
        <f>W300*X300</f>
        <v>2.2999999999999998</v>
      </c>
      <c r="Z300" s="559">
        <f t="shared" si="57"/>
        <v>2.2999999999999998</v>
      </c>
      <c r="AA300" s="559" t="str">
        <f t="shared" si="47"/>
        <v>-</v>
      </c>
      <c r="AB300" s="1838" t="s">
        <v>1932</v>
      </c>
      <c r="AC300" s="534" t="s">
        <v>1665</v>
      </c>
      <c r="AF300" s="466"/>
      <c r="AG300" s="465"/>
      <c r="AH300" s="465"/>
    </row>
    <row r="301" spans="1:34" s="498" customFormat="1" hidden="1" x14ac:dyDescent="0.25">
      <c r="A301" s="962"/>
      <c r="B301" s="502" t="s">
        <v>1729</v>
      </c>
      <c r="C301" s="503"/>
      <c r="D301" s="903"/>
      <c r="E301" s="1031"/>
      <c r="F301" s="557"/>
      <c r="G301" s="558"/>
      <c r="H301" s="559">
        <f>SUM(H296:H300)*0.271</f>
        <v>2.9</v>
      </c>
      <c r="I301" s="857"/>
      <c r="J301" s="857"/>
      <c r="K301" s="857">
        <f>SUM(K296:K299)*0.271</f>
        <v>2.7</v>
      </c>
      <c r="L301" s="857"/>
      <c r="M301" s="857"/>
      <c r="N301" s="857">
        <f>SUM(N296:N299)*0.271</f>
        <v>2.7</v>
      </c>
      <c r="O301" s="857"/>
      <c r="P301" s="857"/>
      <c r="Q301" s="857">
        <f>SUM(Q296:Q300)*0.271</f>
        <v>2.2000000000000002</v>
      </c>
      <c r="R301" s="857">
        <f t="shared" si="56"/>
        <v>2.2000000000000002</v>
      </c>
      <c r="S301" s="857"/>
      <c r="T301" s="857"/>
      <c r="U301" s="857"/>
      <c r="V301" s="857">
        <f>SUM(V296:V300)*0.271</f>
        <v>2.2000000000000002</v>
      </c>
      <c r="W301" s="857"/>
      <c r="X301" s="857"/>
      <c r="Y301" s="857">
        <f>SUM(Y296:Y300)*0.271</f>
        <v>2.2000000000000002</v>
      </c>
      <c r="Z301" s="559">
        <f t="shared" si="57"/>
        <v>-0.5</v>
      </c>
      <c r="AA301" s="559">
        <f t="shared" si="47"/>
        <v>81.5</v>
      </c>
      <c r="AB301" s="921"/>
      <c r="AC301" s="534" t="s">
        <v>1665</v>
      </c>
      <c r="AF301" s="466"/>
      <c r="AG301" s="465"/>
      <c r="AH301" s="465"/>
    </row>
    <row r="302" spans="1:34" s="517" customFormat="1" ht="21.75" hidden="1" customHeight="1" x14ac:dyDescent="0.2">
      <c r="A302" s="487"/>
      <c r="B302" s="543" t="s">
        <v>1248</v>
      </c>
      <c r="C302" s="511"/>
      <c r="D302" s="487"/>
      <c r="E302" s="487"/>
      <c r="F302" s="821"/>
      <c r="G302" s="822"/>
      <c r="H302" s="823" t="e">
        <f>#REF!+H303+#REF!</f>
        <v>#REF!</v>
      </c>
      <c r="I302" s="915"/>
      <c r="J302" s="915"/>
      <c r="K302" s="823">
        <f>K303</f>
        <v>16.600000000000001</v>
      </c>
      <c r="L302" s="915"/>
      <c r="M302" s="915"/>
      <c r="N302" s="823">
        <f>N303</f>
        <v>16.600000000000001</v>
      </c>
      <c r="O302" s="915"/>
      <c r="P302" s="915"/>
      <c r="Q302" s="823">
        <f>Q303</f>
        <v>32.799999999999997</v>
      </c>
      <c r="R302" s="823">
        <f t="shared" si="56"/>
        <v>32.799999999999997</v>
      </c>
      <c r="S302" s="823"/>
      <c r="T302" s="915"/>
      <c r="U302" s="915"/>
      <c r="V302" s="823">
        <f>V303</f>
        <v>32.799999999999997</v>
      </c>
      <c r="W302" s="823"/>
      <c r="X302" s="823"/>
      <c r="Y302" s="823">
        <f>Y303</f>
        <v>32.799999999999997</v>
      </c>
      <c r="Z302" s="823">
        <f t="shared" si="57"/>
        <v>16.2</v>
      </c>
      <c r="AA302" s="823">
        <f t="shared" si="47"/>
        <v>197.6</v>
      </c>
      <c r="AB302" s="555"/>
      <c r="AC302" s="515"/>
      <c r="AF302" s="519"/>
      <c r="AG302" s="519"/>
      <c r="AH302" s="519"/>
    </row>
    <row r="303" spans="1:34" s="527" customFormat="1" ht="38.25" hidden="1" x14ac:dyDescent="0.2">
      <c r="A303" s="522"/>
      <c r="B303" s="916" t="s">
        <v>1664</v>
      </c>
      <c r="C303" s="521"/>
      <c r="D303" s="522" t="s">
        <v>1444</v>
      </c>
      <c r="E303" s="525"/>
      <c r="F303" s="547"/>
      <c r="G303" s="548"/>
      <c r="H303" s="1935">
        <f>H304+H309+H312+H315</f>
        <v>19.899999999999999</v>
      </c>
      <c r="I303" s="525"/>
      <c r="J303" s="525"/>
      <c r="K303" s="525">
        <f>K304+K309+K312+K315</f>
        <v>16.600000000000001</v>
      </c>
      <c r="L303" s="525"/>
      <c r="M303" s="525"/>
      <c r="N303" s="525">
        <f>N304+N309+N312+N315</f>
        <v>16.600000000000001</v>
      </c>
      <c r="O303" s="525"/>
      <c r="P303" s="525"/>
      <c r="Q303" s="525">
        <f>Q304+Q309+Q312+Q315</f>
        <v>32.799999999999997</v>
      </c>
      <c r="R303" s="525">
        <f t="shared" si="56"/>
        <v>32.799999999999997</v>
      </c>
      <c r="S303" s="525"/>
      <c r="T303" s="525"/>
      <c r="U303" s="525"/>
      <c r="V303" s="525">
        <f>V304+V309+V312+V315</f>
        <v>32.799999999999997</v>
      </c>
      <c r="W303" s="1935"/>
      <c r="X303" s="1935"/>
      <c r="Y303" s="525">
        <f>Y304+Y309+Y312+Y315</f>
        <v>32.799999999999997</v>
      </c>
      <c r="Z303" s="1935">
        <f t="shared" si="57"/>
        <v>16.2</v>
      </c>
      <c r="AA303" s="1935">
        <f t="shared" si="47"/>
        <v>197.6</v>
      </c>
      <c r="AB303" s="1936" t="s">
        <v>1920</v>
      </c>
      <c r="AC303" s="549" t="s">
        <v>1665</v>
      </c>
      <c r="AF303" s="528"/>
      <c r="AG303" s="528"/>
      <c r="AH303" s="528"/>
    </row>
    <row r="304" spans="1:34" s="492" customFormat="1" ht="14.25" x14ac:dyDescent="0.2">
      <c r="A304" s="1240"/>
      <c r="B304" s="500" t="s">
        <v>1233</v>
      </c>
      <c r="C304" s="501" t="s">
        <v>1230</v>
      </c>
      <c r="D304" s="1240"/>
      <c r="E304" s="854"/>
      <c r="F304" s="854"/>
      <c r="G304" s="854"/>
      <c r="H304" s="1831">
        <f>SUM(H307:H308)</f>
        <v>0</v>
      </c>
      <c r="I304" s="1831"/>
      <c r="J304" s="1831"/>
      <c r="K304" s="1831">
        <f>SUM(K307:K308)</f>
        <v>0</v>
      </c>
      <c r="L304" s="1831"/>
      <c r="M304" s="1831"/>
      <c r="N304" s="1831">
        <f>SUM(N307:N308)</f>
        <v>0</v>
      </c>
      <c r="O304" s="1831"/>
      <c r="P304" s="1831"/>
      <c r="Q304" s="1831">
        <f>SUM(Q305:Q308)</f>
        <v>13.2</v>
      </c>
      <c r="R304" s="1831">
        <f t="shared" si="56"/>
        <v>13.2</v>
      </c>
      <c r="S304" s="1831"/>
      <c r="T304" s="1831"/>
      <c r="U304" s="1831"/>
      <c r="V304" s="1831">
        <f>SUM(V305:V308)</f>
        <v>13.2</v>
      </c>
      <c r="W304" s="1831"/>
      <c r="X304" s="1831"/>
      <c r="Y304" s="1831">
        <f>SUM(Y305:Y308)</f>
        <v>13.2</v>
      </c>
      <c r="Z304" s="854">
        <f t="shared" si="57"/>
        <v>13.2</v>
      </c>
      <c r="AA304" s="854" t="str">
        <f t="shared" si="47"/>
        <v>-</v>
      </c>
      <c r="AB304" s="3517" t="s">
        <v>1916</v>
      </c>
      <c r="AC304" s="491" t="s">
        <v>1665</v>
      </c>
      <c r="AF304" s="466"/>
      <c r="AG304" s="466"/>
      <c r="AH304" s="466"/>
    </row>
    <row r="305" spans="1:34" s="492" customFormat="1" ht="14.25" hidden="1" x14ac:dyDescent="0.2">
      <c r="A305" s="1240"/>
      <c r="B305" s="1885" t="s">
        <v>1933</v>
      </c>
      <c r="C305" s="501"/>
      <c r="D305" s="1240"/>
      <c r="E305" s="535" t="s">
        <v>1837</v>
      </c>
      <c r="F305" s="854"/>
      <c r="G305" s="854"/>
      <c r="H305" s="1831"/>
      <c r="I305" s="1831"/>
      <c r="J305" s="1831"/>
      <c r="K305" s="1831"/>
      <c r="L305" s="1831"/>
      <c r="M305" s="1831"/>
      <c r="N305" s="1831"/>
      <c r="O305" s="1905">
        <v>1</v>
      </c>
      <c r="P305" s="1905">
        <v>3.5</v>
      </c>
      <c r="Q305" s="1905">
        <f>O305*P305</f>
        <v>3.5</v>
      </c>
      <c r="R305" s="1905">
        <f t="shared" si="56"/>
        <v>3.5</v>
      </c>
      <c r="S305" s="1905"/>
      <c r="T305" s="1905">
        <v>1</v>
      </c>
      <c r="U305" s="1905">
        <v>3.5</v>
      </c>
      <c r="V305" s="1905">
        <f>T305*U305</f>
        <v>3.5</v>
      </c>
      <c r="W305" s="1905">
        <v>1</v>
      </c>
      <c r="X305" s="1905">
        <v>3.5</v>
      </c>
      <c r="Y305" s="1905">
        <f>W305*X305</f>
        <v>3.5</v>
      </c>
      <c r="Z305" s="854">
        <f t="shared" si="57"/>
        <v>3.5</v>
      </c>
      <c r="AA305" s="854" t="str">
        <f t="shared" si="47"/>
        <v>-</v>
      </c>
      <c r="AB305" s="3518"/>
      <c r="AC305" s="491" t="s">
        <v>1665</v>
      </c>
      <c r="AF305" s="466"/>
      <c r="AG305" s="466"/>
      <c r="AH305" s="466"/>
    </row>
    <row r="306" spans="1:34" s="492" customFormat="1" ht="14.25" hidden="1" x14ac:dyDescent="0.2">
      <c r="A306" s="1240"/>
      <c r="B306" s="1885" t="s">
        <v>1404</v>
      </c>
      <c r="C306" s="501"/>
      <c r="D306" s="1240"/>
      <c r="E306" s="535" t="s">
        <v>318</v>
      </c>
      <c r="F306" s="854"/>
      <c r="G306" s="854"/>
      <c r="H306" s="1831"/>
      <c r="I306" s="1831"/>
      <c r="J306" s="1831"/>
      <c r="K306" s="1831"/>
      <c r="L306" s="1831"/>
      <c r="M306" s="1831"/>
      <c r="N306" s="1831"/>
      <c r="O306" s="1905">
        <v>1</v>
      </c>
      <c r="P306" s="1905">
        <v>2.2999999999999998</v>
      </c>
      <c r="Q306" s="1905">
        <f t="shared" ref="Q306:Q307" si="58">O306*P306</f>
        <v>2.2999999999999998</v>
      </c>
      <c r="R306" s="1905">
        <f t="shared" si="56"/>
        <v>2.2999999999999998</v>
      </c>
      <c r="S306" s="1905"/>
      <c r="T306" s="1905">
        <v>1</v>
      </c>
      <c r="U306" s="1905">
        <v>2.2999999999999998</v>
      </c>
      <c r="V306" s="1905">
        <f t="shared" ref="V306:V307" si="59">T306*U306</f>
        <v>2.2999999999999998</v>
      </c>
      <c r="W306" s="1905">
        <v>1</v>
      </c>
      <c r="X306" s="1905">
        <v>2.2999999999999998</v>
      </c>
      <c r="Y306" s="1905">
        <f t="shared" ref="Y306:Y307" si="60">W306*X306</f>
        <v>2.2999999999999998</v>
      </c>
      <c r="Z306" s="854">
        <f t="shared" si="57"/>
        <v>2.2999999999999998</v>
      </c>
      <c r="AA306" s="854" t="str">
        <f t="shared" ref="AA306:AA369" si="61">IFERROR(Q306/K306*100,"-")</f>
        <v>-</v>
      </c>
      <c r="AB306" s="3518"/>
      <c r="AC306" s="491" t="s">
        <v>1665</v>
      </c>
      <c r="AF306" s="466"/>
      <c r="AG306" s="466"/>
      <c r="AH306" s="466"/>
    </row>
    <row r="307" spans="1:34" s="492" customFormat="1" ht="14.25" hidden="1" x14ac:dyDescent="0.2">
      <c r="A307" s="1240"/>
      <c r="B307" s="1885" t="s">
        <v>1934</v>
      </c>
      <c r="C307" s="501"/>
      <c r="D307" s="1240"/>
      <c r="E307" s="535" t="s">
        <v>318</v>
      </c>
      <c r="F307" s="854"/>
      <c r="G307" s="854"/>
      <c r="H307" s="854"/>
      <c r="I307" s="854"/>
      <c r="J307" s="854"/>
      <c r="K307" s="854"/>
      <c r="L307" s="854"/>
      <c r="M307" s="854"/>
      <c r="N307" s="854"/>
      <c r="O307" s="1905">
        <v>2</v>
      </c>
      <c r="P307" s="1905">
        <v>2.2999999999999998</v>
      </c>
      <c r="Q307" s="1905">
        <f t="shared" si="58"/>
        <v>4.5999999999999996</v>
      </c>
      <c r="R307" s="1905">
        <f t="shared" si="56"/>
        <v>4.5999999999999996</v>
      </c>
      <c r="S307" s="1905"/>
      <c r="T307" s="1905">
        <v>2</v>
      </c>
      <c r="U307" s="1905">
        <v>2.2999999999999998</v>
      </c>
      <c r="V307" s="1905">
        <f t="shared" si="59"/>
        <v>4.5999999999999996</v>
      </c>
      <c r="W307" s="1905">
        <v>2</v>
      </c>
      <c r="X307" s="1905">
        <v>2.2999999999999998</v>
      </c>
      <c r="Y307" s="1905">
        <f t="shared" si="60"/>
        <v>4.5999999999999996</v>
      </c>
      <c r="Z307" s="854">
        <f t="shared" si="57"/>
        <v>4.5999999999999996</v>
      </c>
      <c r="AA307" s="854" t="str">
        <f t="shared" si="61"/>
        <v>-</v>
      </c>
      <c r="AB307" s="3518"/>
      <c r="AC307" s="491" t="s">
        <v>1665</v>
      </c>
      <c r="AF307" s="466"/>
      <c r="AG307" s="466"/>
      <c r="AH307" s="466"/>
    </row>
    <row r="308" spans="1:34" s="492" customFormat="1" ht="14.25" hidden="1" x14ac:dyDescent="0.2">
      <c r="A308" s="1240"/>
      <c r="B308" s="502" t="s">
        <v>1729</v>
      </c>
      <c r="C308" s="501"/>
      <c r="D308" s="1240"/>
      <c r="E308" s="854"/>
      <c r="F308" s="854"/>
      <c r="G308" s="854"/>
      <c r="H308" s="854"/>
      <c r="I308" s="854"/>
      <c r="J308" s="854"/>
      <c r="K308" s="854"/>
      <c r="L308" s="854"/>
      <c r="M308" s="854"/>
      <c r="N308" s="854"/>
      <c r="O308" s="854"/>
      <c r="P308" s="854"/>
      <c r="Q308" s="1905">
        <f>SUM(Q305:Q307)*0.271</f>
        <v>2.8</v>
      </c>
      <c r="R308" s="1905">
        <f t="shared" si="56"/>
        <v>2.8</v>
      </c>
      <c r="S308" s="1905"/>
      <c r="T308" s="854"/>
      <c r="U308" s="854"/>
      <c r="V308" s="1905">
        <f>SUM(V305:V307)*0.271</f>
        <v>2.8</v>
      </c>
      <c r="W308" s="854"/>
      <c r="X308" s="854"/>
      <c r="Y308" s="1905">
        <f>SUM(Y305:Y307)*0.271</f>
        <v>2.8</v>
      </c>
      <c r="Z308" s="854">
        <f t="shared" si="57"/>
        <v>2.8</v>
      </c>
      <c r="AA308" s="854" t="str">
        <f t="shared" si="61"/>
        <v>-</v>
      </c>
      <c r="AB308" s="3519"/>
      <c r="AC308" s="491" t="s">
        <v>1665</v>
      </c>
      <c r="AF308" s="466"/>
      <c r="AG308" s="466"/>
      <c r="AH308" s="466"/>
    </row>
    <row r="309" spans="1:34" s="492" customFormat="1" ht="25.5" hidden="1" x14ac:dyDescent="0.2">
      <c r="A309" s="1240"/>
      <c r="B309" s="500" t="s">
        <v>1239</v>
      </c>
      <c r="C309" s="501" t="s">
        <v>797</v>
      </c>
      <c r="D309" s="932"/>
      <c r="E309" s="842"/>
      <c r="F309" s="828"/>
      <c r="G309" s="829"/>
      <c r="H309" s="542">
        <f>SUM(H310:H311)</f>
        <v>4</v>
      </c>
      <c r="I309" s="533"/>
      <c r="J309" s="533"/>
      <c r="K309" s="533">
        <f>SUM(K310:K311)</f>
        <v>0.8</v>
      </c>
      <c r="L309" s="533"/>
      <c r="M309" s="533"/>
      <c r="N309" s="533">
        <f>SUM(N310:N311)</f>
        <v>0.8</v>
      </c>
      <c r="O309" s="533"/>
      <c r="P309" s="533"/>
      <c r="Q309" s="533">
        <f>SUM(Q310:Q311)</f>
        <v>1.6</v>
      </c>
      <c r="R309" s="533">
        <f t="shared" si="56"/>
        <v>1.6</v>
      </c>
      <c r="S309" s="533"/>
      <c r="T309" s="533"/>
      <c r="U309" s="533"/>
      <c r="V309" s="533">
        <f>SUM(V310:V311)</f>
        <v>1.6</v>
      </c>
      <c r="W309" s="533"/>
      <c r="X309" s="533"/>
      <c r="Y309" s="533">
        <f>SUM(Y310:Y311)</f>
        <v>1.6</v>
      </c>
      <c r="Z309" s="542">
        <f t="shared" si="57"/>
        <v>0.8</v>
      </c>
      <c r="AA309" s="542">
        <f t="shared" si="61"/>
        <v>200</v>
      </c>
      <c r="AB309" s="910"/>
      <c r="AC309" s="491" t="s">
        <v>1665</v>
      </c>
      <c r="AF309" s="466"/>
      <c r="AG309" s="466"/>
      <c r="AH309" s="466"/>
    </row>
    <row r="310" spans="1:34" s="492" customFormat="1" ht="25.5" hidden="1" x14ac:dyDescent="0.2">
      <c r="A310" s="1240"/>
      <c r="B310" s="502" t="s">
        <v>1935</v>
      </c>
      <c r="C310" s="499"/>
      <c r="D310" s="903"/>
      <c r="E310" s="1031" t="s">
        <v>227</v>
      </c>
      <c r="F310" s="557">
        <v>19</v>
      </c>
      <c r="G310" s="558">
        <v>0.1</v>
      </c>
      <c r="H310" s="559">
        <f>F310*G310</f>
        <v>1.9</v>
      </c>
      <c r="I310" s="857">
        <v>8</v>
      </c>
      <c r="J310" s="862">
        <v>0.1</v>
      </c>
      <c r="K310" s="857">
        <f>I310*J310</f>
        <v>0.8</v>
      </c>
      <c r="L310" s="857">
        <v>8</v>
      </c>
      <c r="M310" s="862">
        <v>0.1</v>
      </c>
      <c r="N310" s="857">
        <f>L310*M310</f>
        <v>0.8</v>
      </c>
      <c r="O310" s="857">
        <v>16</v>
      </c>
      <c r="P310" s="857">
        <v>0.1</v>
      </c>
      <c r="Q310" s="857">
        <f>O310*P310</f>
        <v>1.6</v>
      </c>
      <c r="R310" s="857">
        <f t="shared" si="56"/>
        <v>1.6</v>
      </c>
      <c r="S310" s="857"/>
      <c r="T310" s="857">
        <v>16</v>
      </c>
      <c r="U310" s="857">
        <v>0.1</v>
      </c>
      <c r="V310" s="857">
        <f>T310*U310</f>
        <v>1.6</v>
      </c>
      <c r="W310" s="857">
        <v>16</v>
      </c>
      <c r="X310" s="857">
        <v>0.1</v>
      </c>
      <c r="Y310" s="857">
        <f>W310*X310</f>
        <v>1.6</v>
      </c>
      <c r="Z310" s="559">
        <f t="shared" si="57"/>
        <v>0.8</v>
      </c>
      <c r="AA310" s="559">
        <f t="shared" si="61"/>
        <v>200</v>
      </c>
      <c r="AB310" s="827" t="s">
        <v>1936</v>
      </c>
      <c r="AC310" s="491" t="s">
        <v>1665</v>
      </c>
      <c r="AF310" s="466"/>
      <c r="AG310" s="466"/>
      <c r="AH310" s="466"/>
    </row>
    <row r="311" spans="1:34" s="492" customFormat="1" ht="14.25" hidden="1" x14ac:dyDescent="0.2">
      <c r="A311" s="1240"/>
      <c r="B311" s="856" t="s">
        <v>1692</v>
      </c>
      <c r="C311" s="499"/>
      <c r="D311" s="903"/>
      <c r="E311" s="1031" t="s">
        <v>227</v>
      </c>
      <c r="F311" s="557">
        <v>6</v>
      </c>
      <c r="G311" s="558">
        <v>0.35</v>
      </c>
      <c r="H311" s="559">
        <f>F311*G311</f>
        <v>2.1</v>
      </c>
      <c r="I311" s="857"/>
      <c r="J311" s="857"/>
      <c r="K311" s="857"/>
      <c r="L311" s="857"/>
      <c r="M311" s="857"/>
      <c r="N311" s="857"/>
      <c r="O311" s="857"/>
      <c r="P311" s="857"/>
      <c r="Q311" s="857"/>
      <c r="R311" s="857">
        <f t="shared" si="56"/>
        <v>0</v>
      </c>
      <c r="S311" s="857"/>
      <c r="T311" s="857"/>
      <c r="U311" s="857"/>
      <c r="V311" s="857"/>
      <c r="W311" s="857"/>
      <c r="X311" s="857"/>
      <c r="Y311" s="857"/>
      <c r="Z311" s="559">
        <f t="shared" si="57"/>
        <v>0</v>
      </c>
      <c r="AA311" s="559" t="str">
        <f t="shared" si="61"/>
        <v>-</v>
      </c>
      <c r="AB311" s="827"/>
      <c r="AC311" s="491" t="s">
        <v>1665</v>
      </c>
      <c r="AF311" s="466"/>
      <c r="AG311" s="466"/>
      <c r="AH311" s="466"/>
    </row>
    <row r="312" spans="1:34" s="498" customFormat="1" hidden="1" x14ac:dyDescent="0.25">
      <c r="A312" s="962"/>
      <c r="B312" s="500" t="s">
        <v>1937</v>
      </c>
      <c r="C312" s="501" t="s">
        <v>797</v>
      </c>
      <c r="D312" s="932"/>
      <c r="E312" s="842" t="s">
        <v>1240</v>
      </c>
      <c r="F312" s="828"/>
      <c r="G312" s="829"/>
      <c r="H312" s="542">
        <f>SUM(H313:H314)</f>
        <v>5.8</v>
      </c>
      <c r="I312" s="533"/>
      <c r="J312" s="533"/>
      <c r="K312" s="542">
        <f>SUM(K313:K314)</f>
        <v>5.8</v>
      </c>
      <c r="L312" s="533"/>
      <c r="M312" s="533"/>
      <c r="N312" s="542">
        <f>SUM(N313:N314)</f>
        <v>5.8</v>
      </c>
      <c r="O312" s="533"/>
      <c r="P312" s="533"/>
      <c r="Q312" s="533">
        <f>SUM(Q313:Q314)</f>
        <v>2</v>
      </c>
      <c r="R312" s="533">
        <f t="shared" si="56"/>
        <v>2</v>
      </c>
      <c r="S312" s="533"/>
      <c r="T312" s="533"/>
      <c r="U312" s="533"/>
      <c r="V312" s="533">
        <f>SUM(V313:V314)</f>
        <v>2</v>
      </c>
      <c r="W312" s="533"/>
      <c r="X312" s="533"/>
      <c r="Y312" s="533">
        <f>SUM(Y313:Y314)</f>
        <v>2</v>
      </c>
      <c r="Z312" s="542">
        <f t="shared" si="57"/>
        <v>-3.8</v>
      </c>
      <c r="AA312" s="542">
        <f t="shared" si="61"/>
        <v>34.5</v>
      </c>
      <c r="AB312" s="827"/>
      <c r="AC312" s="491" t="s">
        <v>1665</v>
      </c>
      <c r="AF312" s="466"/>
      <c r="AG312" s="465"/>
      <c r="AH312" s="465"/>
    </row>
    <row r="313" spans="1:34" s="498" customFormat="1" hidden="1" x14ac:dyDescent="0.25">
      <c r="A313" s="962"/>
      <c r="B313" s="502" t="s">
        <v>1909</v>
      </c>
      <c r="C313" s="497"/>
      <c r="F313" s="857">
        <v>29</v>
      </c>
      <c r="G313" s="857">
        <v>0.2</v>
      </c>
      <c r="H313" s="857">
        <f>F313*G313</f>
        <v>5.8</v>
      </c>
      <c r="I313" s="857">
        <v>29</v>
      </c>
      <c r="J313" s="857">
        <v>0.2</v>
      </c>
      <c r="K313" s="857">
        <f>I313*J313</f>
        <v>5.8</v>
      </c>
      <c r="L313" s="857">
        <v>29</v>
      </c>
      <c r="M313" s="857">
        <v>0.2</v>
      </c>
      <c r="N313" s="857">
        <f>L313*M313</f>
        <v>5.8</v>
      </c>
      <c r="O313" s="857"/>
      <c r="P313" s="857"/>
      <c r="Q313" s="857"/>
      <c r="R313" s="857">
        <f t="shared" si="56"/>
        <v>0</v>
      </c>
      <c r="S313" s="857"/>
      <c r="T313" s="857"/>
      <c r="U313" s="857"/>
      <c r="V313" s="857"/>
      <c r="W313" s="857"/>
      <c r="X313" s="857"/>
      <c r="Y313" s="857"/>
      <c r="Z313" s="542">
        <f t="shared" si="57"/>
        <v>-5.8</v>
      </c>
      <c r="AA313" s="542">
        <f t="shared" si="61"/>
        <v>0</v>
      </c>
      <c r="AB313" s="827"/>
      <c r="AC313" s="491" t="s">
        <v>1665</v>
      </c>
      <c r="AF313" s="466"/>
      <c r="AG313" s="465"/>
      <c r="AH313" s="465"/>
    </row>
    <row r="314" spans="1:34" s="498" customFormat="1" ht="25.5" hidden="1" x14ac:dyDescent="0.25">
      <c r="A314" s="962"/>
      <c r="B314" s="502" t="s">
        <v>1938</v>
      </c>
      <c r="C314" s="499"/>
      <c r="D314" s="903"/>
      <c r="E314" s="1031"/>
      <c r="F314" s="857"/>
      <c r="G314" s="857"/>
      <c r="H314" s="857"/>
      <c r="I314" s="857"/>
      <c r="J314" s="857"/>
      <c r="K314" s="857"/>
      <c r="L314" s="857"/>
      <c r="M314" s="857"/>
      <c r="N314" s="857"/>
      <c r="O314" s="857">
        <v>1</v>
      </c>
      <c r="P314" s="857">
        <v>2</v>
      </c>
      <c r="Q314" s="857">
        <f>O314*P314</f>
        <v>2</v>
      </c>
      <c r="R314" s="857">
        <f t="shared" si="56"/>
        <v>2</v>
      </c>
      <c r="S314" s="857"/>
      <c r="T314" s="857">
        <v>1</v>
      </c>
      <c r="U314" s="857">
        <v>2</v>
      </c>
      <c r="V314" s="857">
        <f>T314*U314</f>
        <v>2</v>
      </c>
      <c r="W314" s="857">
        <v>1</v>
      </c>
      <c r="X314" s="857">
        <v>2</v>
      </c>
      <c r="Y314" s="857">
        <f>W314*X314</f>
        <v>2</v>
      </c>
      <c r="Z314" s="542">
        <f t="shared" si="57"/>
        <v>2</v>
      </c>
      <c r="AA314" s="542" t="str">
        <f t="shared" si="61"/>
        <v>-</v>
      </c>
      <c r="AB314" s="827" t="s">
        <v>1939</v>
      </c>
      <c r="AC314" s="491" t="s">
        <v>1665</v>
      </c>
      <c r="AF314" s="466"/>
      <c r="AG314" s="465"/>
      <c r="AH314" s="465"/>
    </row>
    <row r="315" spans="1:34" s="492" customFormat="1" ht="25.5" hidden="1" x14ac:dyDescent="0.2">
      <c r="A315" s="1240"/>
      <c r="B315" s="500" t="s">
        <v>1940</v>
      </c>
      <c r="C315" s="501" t="s">
        <v>796</v>
      </c>
      <c r="D315" s="932"/>
      <c r="E315" s="842"/>
      <c r="F315" s="828">
        <v>53</v>
      </c>
      <c r="G315" s="829">
        <v>0.19</v>
      </c>
      <c r="H315" s="542">
        <f>F315*G315</f>
        <v>10.1</v>
      </c>
      <c r="I315" s="533">
        <v>100</v>
      </c>
      <c r="J315" s="533">
        <v>0.1</v>
      </c>
      <c r="K315" s="533">
        <f>I315*J315</f>
        <v>10</v>
      </c>
      <c r="L315" s="533">
        <v>100</v>
      </c>
      <c r="M315" s="533">
        <v>0.1</v>
      </c>
      <c r="N315" s="533">
        <f>L315*M315</f>
        <v>10</v>
      </c>
      <c r="O315" s="533">
        <v>40</v>
      </c>
      <c r="P315" s="533">
        <v>0.4</v>
      </c>
      <c r="Q315" s="533">
        <f>O315*P315</f>
        <v>16</v>
      </c>
      <c r="R315" s="533">
        <f t="shared" si="56"/>
        <v>16</v>
      </c>
      <c r="S315" s="533"/>
      <c r="T315" s="533">
        <v>40</v>
      </c>
      <c r="U315" s="533">
        <v>0.4</v>
      </c>
      <c r="V315" s="533">
        <f>T315*U315</f>
        <v>16</v>
      </c>
      <c r="W315" s="533">
        <v>40</v>
      </c>
      <c r="X315" s="533">
        <v>0.4</v>
      </c>
      <c r="Y315" s="533">
        <f>W315*X315</f>
        <v>16</v>
      </c>
      <c r="Z315" s="542">
        <f t="shared" si="57"/>
        <v>6</v>
      </c>
      <c r="AA315" s="542">
        <f t="shared" si="61"/>
        <v>160</v>
      </c>
      <c r="AB315" s="843" t="s">
        <v>1941</v>
      </c>
      <c r="AC315" s="491" t="s">
        <v>1665</v>
      </c>
      <c r="AF315" s="466"/>
      <c r="AG315" s="466"/>
      <c r="AH315" s="466"/>
    </row>
    <row r="316" spans="1:34" s="517" customFormat="1" ht="14.25" hidden="1" x14ac:dyDescent="0.2">
      <c r="A316" s="487"/>
      <c r="B316" s="510" t="s">
        <v>1249</v>
      </c>
      <c r="C316" s="511"/>
      <c r="D316" s="487"/>
      <c r="E316" s="487"/>
      <c r="F316" s="488"/>
      <c r="G316" s="489"/>
      <c r="H316" s="490" t="e">
        <f>#REF!+H317+#REF!</f>
        <v>#REF!</v>
      </c>
      <c r="I316" s="847"/>
      <c r="J316" s="847"/>
      <c r="K316" s="490">
        <f>K317</f>
        <v>28.6</v>
      </c>
      <c r="L316" s="847"/>
      <c r="M316" s="847"/>
      <c r="N316" s="490">
        <f>N317</f>
        <v>28.6</v>
      </c>
      <c r="O316" s="847"/>
      <c r="P316" s="847"/>
      <c r="Q316" s="490">
        <f>Q317</f>
        <v>34.4</v>
      </c>
      <c r="R316" s="490">
        <f t="shared" si="56"/>
        <v>34.4</v>
      </c>
      <c r="S316" s="490"/>
      <c r="T316" s="847"/>
      <c r="U316" s="847"/>
      <c r="V316" s="490">
        <f>V317</f>
        <v>34.5</v>
      </c>
      <c r="W316" s="490"/>
      <c r="X316" s="490"/>
      <c r="Y316" s="490">
        <f>Y317</f>
        <v>34.5</v>
      </c>
      <c r="Z316" s="490">
        <f t="shared" si="57"/>
        <v>5.8</v>
      </c>
      <c r="AA316" s="490">
        <f t="shared" si="61"/>
        <v>120.3</v>
      </c>
      <c r="AB316" s="555"/>
      <c r="AC316" s="515"/>
      <c r="AF316" s="519"/>
      <c r="AG316" s="519"/>
      <c r="AH316" s="519"/>
    </row>
    <row r="317" spans="1:34" s="527" customFormat="1" ht="38.25" hidden="1" x14ac:dyDescent="0.2">
      <c r="A317" s="522"/>
      <c r="B317" s="858" t="s">
        <v>1700</v>
      </c>
      <c r="C317" s="859"/>
      <c r="D317" s="522" t="s">
        <v>1444</v>
      </c>
      <c r="E317" s="860"/>
      <c r="F317" s="523"/>
      <c r="G317" s="524"/>
      <c r="H317" s="526">
        <f>H318+H324+H329+H333</f>
        <v>48.4</v>
      </c>
      <c r="I317" s="526"/>
      <c r="J317" s="526"/>
      <c r="K317" s="526">
        <f>K318+K324+K329+K333</f>
        <v>28.6</v>
      </c>
      <c r="L317" s="526"/>
      <c r="M317" s="526"/>
      <c r="N317" s="526">
        <f>N318+N324+N329+N333</f>
        <v>28.6</v>
      </c>
      <c r="O317" s="526"/>
      <c r="P317" s="526"/>
      <c r="Q317" s="526">
        <f>Q318+Q324+Q329+Q333</f>
        <v>34.4</v>
      </c>
      <c r="R317" s="526">
        <f t="shared" si="56"/>
        <v>34.4</v>
      </c>
      <c r="S317" s="526"/>
      <c r="T317" s="526"/>
      <c r="U317" s="526"/>
      <c r="V317" s="526">
        <f>V318+V324+V329+V333</f>
        <v>34.5</v>
      </c>
      <c r="W317" s="526"/>
      <c r="X317" s="526"/>
      <c r="Y317" s="526">
        <f>Y318+Y324+Y329+Y333</f>
        <v>34.5</v>
      </c>
      <c r="Z317" s="526">
        <f t="shared" si="57"/>
        <v>5.8</v>
      </c>
      <c r="AA317" s="526">
        <f t="shared" si="61"/>
        <v>120.3</v>
      </c>
      <c r="AB317" s="849"/>
      <c r="AC317" s="549" t="s">
        <v>1665</v>
      </c>
      <c r="AF317" s="528"/>
      <c r="AG317" s="528"/>
      <c r="AH317" s="528"/>
    </row>
    <row r="318" spans="1:34" s="492" customFormat="1" ht="14.25" x14ac:dyDescent="0.2">
      <c r="A318" s="1240"/>
      <c r="B318" s="507" t="s">
        <v>1242</v>
      </c>
      <c r="C318" s="508" t="s">
        <v>1230</v>
      </c>
      <c r="D318" s="932"/>
      <c r="E318" s="493"/>
      <c r="F318" s="828"/>
      <c r="G318" s="829"/>
      <c r="H318" s="542">
        <f>SUM(H319:H323)</f>
        <v>13.2</v>
      </c>
      <c r="I318" s="533"/>
      <c r="J318" s="533"/>
      <c r="K318" s="533">
        <f>SUM(K319:K323)</f>
        <v>12.2</v>
      </c>
      <c r="L318" s="533"/>
      <c r="M318" s="533"/>
      <c r="N318" s="533">
        <f>SUM(N319:N323)</f>
        <v>12.2</v>
      </c>
      <c r="O318" s="533"/>
      <c r="P318" s="533"/>
      <c r="Q318" s="533">
        <v>13.4</v>
      </c>
      <c r="R318" s="533">
        <f t="shared" si="56"/>
        <v>13.4</v>
      </c>
      <c r="S318" s="533"/>
      <c r="T318" s="533"/>
      <c r="U318" s="533"/>
      <c r="V318" s="533">
        <f>SUM(V319:V323)</f>
        <v>13.5</v>
      </c>
      <c r="W318" s="533"/>
      <c r="X318" s="533"/>
      <c r="Y318" s="533">
        <f>SUM(Y319:Y323)</f>
        <v>13.5</v>
      </c>
      <c r="Z318" s="542">
        <f t="shared" si="57"/>
        <v>1.2</v>
      </c>
      <c r="AA318" s="542">
        <f t="shared" si="61"/>
        <v>109.8</v>
      </c>
      <c r="AB318" s="1030"/>
      <c r="AC318" s="491" t="s">
        <v>1665</v>
      </c>
      <c r="AF318" s="466"/>
      <c r="AG318" s="466"/>
      <c r="AH318" s="466"/>
    </row>
    <row r="319" spans="1:34" s="498" customFormat="1" hidden="1" x14ac:dyDescent="0.25">
      <c r="A319" s="962"/>
      <c r="B319" s="856" t="s">
        <v>1942</v>
      </c>
      <c r="C319" s="499"/>
      <c r="D319" s="903"/>
      <c r="E319" s="855" t="s">
        <v>318</v>
      </c>
      <c r="F319" s="557">
        <v>1</v>
      </c>
      <c r="G319" s="558">
        <v>3.45</v>
      </c>
      <c r="H319" s="559">
        <f>F319*G319</f>
        <v>3.5</v>
      </c>
      <c r="I319" s="857">
        <v>1</v>
      </c>
      <c r="J319" s="857">
        <v>3.5</v>
      </c>
      <c r="K319" s="857">
        <f>I319*J319</f>
        <v>3.5</v>
      </c>
      <c r="L319" s="857">
        <v>1</v>
      </c>
      <c r="M319" s="857">
        <v>3.5</v>
      </c>
      <c r="N319" s="857">
        <f>L319*M319</f>
        <v>3.5</v>
      </c>
      <c r="O319" s="857">
        <v>1</v>
      </c>
      <c r="P319" s="857">
        <v>3.5</v>
      </c>
      <c r="Q319" s="857">
        <f>O319*P319</f>
        <v>3.5</v>
      </c>
      <c r="R319" s="857">
        <f t="shared" si="56"/>
        <v>3.5</v>
      </c>
      <c r="S319" s="857"/>
      <c r="T319" s="857">
        <v>1</v>
      </c>
      <c r="U319" s="857">
        <v>3.5</v>
      </c>
      <c r="V319" s="857">
        <f>T319*U319</f>
        <v>3.5</v>
      </c>
      <c r="W319" s="857">
        <v>1</v>
      </c>
      <c r="X319" s="857">
        <v>3.5</v>
      </c>
      <c r="Y319" s="857">
        <f>W319*X319</f>
        <v>3.5</v>
      </c>
      <c r="Z319" s="559">
        <f t="shared" si="57"/>
        <v>0</v>
      </c>
      <c r="AA319" s="559">
        <f t="shared" si="61"/>
        <v>100</v>
      </c>
      <c r="AB319" s="900"/>
      <c r="AC319" s="491" t="s">
        <v>1665</v>
      </c>
      <c r="AF319" s="466"/>
      <c r="AG319" s="465"/>
      <c r="AH319" s="465"/>
    </row>
    <row r="320" spans="1:34" s="498" customFormat="1" hidden="1" x14ac:dyDescent="0.25">
      <c r="A320" s="962"/>
      <c r="B320" s="856" t="s">
        <v>1943</v>
      </c>
      <c r="C320" s="499"/>
      <c r="D320" s="903"/>
      <c r="E320" s="855" t="s">
        <v>318</v>
      </c>
      <c r="F320" s="557">
        <v>1</v>
      </c>
      <c r="G320" s="558">
        <v>2.2999999999999998</v>
      </c>
      <c r="H320" s="559">
        <f>F320*G320</f>
        <v>2.2999999999999998</v>
      </c>
      <c r="I320" s="857">
        <v>1</v>
      </c>
      <c r="J320" s="857">
        <v>1.5</v>
      </c>
      <c r="K320" s="857">
        <f>I320*J320</f>
        <v>1.5</v>
      </c>
      <c r="L320" s="857">
        <v>1</v>
      </c>
      <c r="M320" s="857">
        <v>1.5</v>
      </c>
      <c r="N320" s="857">
        <f>L320*M320</f>
        <v>1.5</v>
      </c>
      <c r="O320" s="857"/>
      <c r="P320" s="857"/>
      <c r="Q320" s="857"/>
      <c r="R320" s="857">
        <f t="shared" si="56"/>
        <v>0</v>
      </c>
      <c r="S320" s="857"/>
      <c r="T320" s="857"/>
      <c r="U320" s="857"/>
      <c r="V320" s="857"/>
      <c r="W320" s="857"/>
      <c r="X320" s="857"/>
      <c r="Y320" s="857"/>
      <c r="Z320" s="559">
        <f t="shared" si="57"/>
        <v>-1.5</v>
      </c>
      <c r="AA320" s="559">
        <f t="shared" si="61"/>
        <v>0</v>
      </c>
      <c r="AB320" s="900"/>
      <c r="AC320" s="491" t="s">
        <v>1665</v>
      </c>
      <c r="AF320" s="466"/>
      <c r="AG320" s="465"/>
      <c r="AH320" s="465"/>
    </row>
    <row r="321" spans="1:34" s="498" customFormat="1" ht="76.5" hidden="1" x14ac:dyDescent="0.25">
      <c r="A321" s="962"/>
      <c r="B321" s="856" t="s">
        <v>1944</v>
      </c>
      <c r="C321" s="499"/>
      <c r="D321" s="903"/>
      <c r="E321" s="855"/>
      <c r="F321" s="557"/>
      <c r="G321" s="558"/>
      <c r="H321" s="559"/>
      <c r="I321" s="857"/>
      <c r="J321" s="857"/>
      <c r="K321" s="857"/>
      <c r="L321" s="857"/>
      <c r="M321" s="857"/>
      <c r="N321" s="857"/>
      <c r="O321" s="857">
        <v>1</v>
      </c>
      <c r="P321" s="857">
        <v>2.5</v>
      </c>
      <c r="Q321" s="857">
        <f>O321*P321</f>
        <v>2.5</v>
      </c>
      <c r="R321" s="857">
        <f t="shared" si="56"/>
        <v>2.5</v>
      </c>
      <c r="S321" s="857"/>
      <c r="T321" s="857">
        <v>1</v>
      </c>
      <c r="U321" s="857">
        <v>2.5</v>
      </c>
      <c r="V321" s="857">
        <f>T321*U321</f>
        <v>2.5</v>
      </c>
      <c r="W321" s="857">
        <v>1</v>
      </c>
      <c r="X321" s="857">
        <v>2.5</v>
      </c>
      <c r="Y321" s="857">
        <f>W321*X321</f>
        <v>2.5</v>
      </c>
      <c r="Z321" s="559">
        <f t="shared" si="57"/>
        <v>2.5</v>
      </c>
      <c r="AA321" s="559" t="str">
        <f t="shared" si="61"/>
        <v>-</v>
      </c>
      <c r="AB321" s="900" t="s">
        <v>1945</v>
      </c>
      <c r="AC321" s="491" t="s">
        <v>1665</v>
      </c>
      <c r="AF321" s="466"/>
      <c r="AG321" s="465"/>
      <c r="AH321" s="465"/>
    </row>
    <row r="322" spans="1:34" s="498" customFormat="1" hidden="1" x14ac:dyDescent="0.25">
      <c r="A322" s="962"/>
      <c r="B322" s="856" t="s">
        <v>1404</v>
      </c>
      <c r="C322" s="499"/>
      <c r="D322" s="903"/>
      <c r="E322" s="855" t="s">
        <v>318</v>
      </c>
      <c r="F322" s="557">
        <v>2</v>
      </c>
      <c r="G322" s="558">
        <v>2.2999999999999998</v>
      </c>
      <c r="H322" s="559">
        <f>F322*G322</f>
        <v>4.5999999999999996</v>
      </c>
      <c r="I322" s="857">
        <v>2</v>
      </c>
      <c r="J322" s="857">
        <v>2.2999999999999998</v>
      </c>
      <c r="K322" s="857">
        <f>I322*J322</f>
        <v>4.5999999999999996</v>
      </c>
      <c r="L322" s="857">
        <v>2</v>
      </c>
      <c r="M322" s="857">
        <v>2.2999999999999998</v>
      </c>
      <c r="N322" s="857">
        <f>L322*M322</f>
        <v>4.5999999999999996</v>
      </c>
      <c r="O322" s="857">
        <v>2</v>
      </c>
      <c r="P322" s="857">
        <v>2.2999999999999998</v>
      </c>
      <c r="Q322" s="857">
        <f>O322*P322</f>
        <v>4.5999999999999996</v>
      </c>
      <c r="R322" s="857">
        <f t="shared" si="56"/>
        <v>4.5999999999999996</v>
      </c>
      <c r="S322" s="857"/>
      <c r="T322" s="857">
        <v>2</v>
      </c>
      <c r="U322" s="857">
        <v>2.2999999999999998</v>
      </c>
      <c r="V322" s="857">
        <f>T322*U322</f>
        <v>4.5999999999999996</v>
      </c>
      <c r="W322" s="857">
        <v>2</v>
      </c>
      <c r="X322" s="857">
        <v>2.2999999999999998</v>
      </c>
      <c r="Y322" s="857">
        <f>W322*X322</f>
        <v>4.5999999999999996</v>
      </c>
      <c r="Z322" s="559">
        <f t="shared" si="57"/>
        <v>0</v>
      </c>
      <c r="AA322" s="559">
        <f t="shared" si="61"/>
        <v>100</v>
      </c>
      <c r="AB322" s="900"/>
      <c r="AC322" s="491" t="s">
        <v>1665</v>
      </c>
      <c r="AF322" s="466"/>
      <c r="AG322" s="465"/>
      <c r="AH322" s="465"/>
    </row>
    <row r="323" spans="1:34" s="498" customFormat="1" hidden="1" x14ac:dyDescent="0.25">
      <c r="A323" s="962"/>
      <c r="B323" s="506" t="s">
        <v>842</v>
      </c>
      <c r="C323" s="499"/>
      <c r="D323" s="903"/>
      <c r="E323" s="855"/>
      <c r="F323" s="557"/>
      <c r="G323" s="558"/>
      <c r="H323" s="559">
        <f>(H319+H320+H322)*27.1/100</f>
        <v>2.8</v>
      </c>
      <c r="I323" s="857"/>
      <c r="J323" s="857"/>
      <c r="K323" s="857">
        <f>(K319+K320+K322)*27.1/100</f>
        <v>2.6</v>
      </c>
      <c r="L323" s="857"/>
      <c r="M323" s="857"/>
      <c r="N323" s="857">
        <f>(N319+N320+N322)*27.1/100</f>
        <v>2.6</v>
      </c>
      <c r="O323" s="857"/>
      <c r="P323" s="857"/>
      <c r="Q323" s="857">
        <f>(Q319+Q320+Q322+Q321)*27.1/100</f>
        <v>2.9</v>
      </c>
      <c r="R323" s="857">
        <f t="shared" si="56"/>
        <v>2.9</v>
      </c>
      <c r="S323" s="857"/>
      <c r="T323" s="857"/>
      <c r="U323" s="857"/>
      <c r="V323" s="857">
        <f>(V319+V320+V322+V321)*27.1/100</f>
        <v>2.9</v>
      </c>
      <c r="W323" s="857"/>
      <c r="X323" s="857"/>
      <c r="Y323" s="857">
        <f>(Y319+Y320+Y322+Y321)*27.1/100</f>
        <v>2.9</v>
      </c>
      <c r="Z323" s="559">
        <f t="shared" si="57"/>
        <v>0.3</v>
      </c>
      <c r="AA323" s="559">
        <f t="shared" si="61"/>
        <v>111.5</v>
      </c>
      <c r="AB323" s="900"/>
      <c r="AC323" s="491" t="s">
        <v>1665</v>
      </c>
      <c r="AF323" s="466"/>
      <c r="AG323" s="465"/>
      <c r="AH323" s="465"/>
    </row>
    <row r="324" spans="1:34" s="492" customFormat="1" ht="14.25" hidden="1" x14ac:dyDescent="0.2">
      <c r="A324" s="1240"/>
      <c r="B324" s="507" t="s">
        <v>1707</v>
      </c>
      <c r="C324" s="508" t="s">
        <v>797</v>
      </c>
      <c r="D324" s="932"/>
      <c r="E324" s="493"/>
      <c r="F324" s="828"/>
      <c r="G324" s="829"/>
      <c r="H324" s="542">
        <f>SUM(H325:H328)</f>
        <v>11.2</v>
      </c>
      <c r="I324" s="533"/>
      <c r="J324" s="533"/>
      <c r="K324" s="533">
        <f>SUM(K325:K328)</f>
        <v>1.2</v>
      </c>
      <c r="L324" s="533"/>
      <c r="M324" s="533"/>
      <c r="N324" s="533">
        <f>SUM(N325:N328)</f>
        <v>1.2</v>
      </c>
      <c r="O324" s="533"/>
      <c r="P324" s="533"/>
      <c r="Q324" s="533">
        <f>SUM(Q325:Q328)</f>
        <v>2</v>
      </c>
      <c r="R324" s="533">
        <f t="shared" si="56"/>
        <v>2</v>
      </c>
      <c r="S324" s="533"/>
      <c r="T324" s="533"/>
      <c r="U324" s="533"/>
      <c r="V324" s="533">
        <f>SUM(V325:V328)</f>
        <v>2</v>
      </c>
      <c r="W324" s="533"/>
      <c r="X324" s="533"/>
      <c r="Y324" s="533">
        <f>SUM(Y325:Y328)</f>
        <v>2</v>
      </c>
      <c r="Z324" s="542">
        <f t="shared" si="57"/>
        <v>0.8</v>
      </c>
      <c r="AA324" s="542">
        <f t="shared" si="61"/>
        <v>166.7</v>
      </c>
      <c r="AB324" s="900"/>
      <c r="AC324" s="491" t="s">
        <v>1665</v>
      </c>
      <c r="AF324" s="466"/>
      <c r="AG324" s="466"/>
      <c r="AH324" s="466"/>
    </row>
    <row r="325" spans="1:34" s="498" customFormat="1" hidden="1" x14ac:dyDescent="0.25">
      <c r="A325" s="962"/>
      <c r="B325" s="856" t="s">
        <v>1946</v>
      </c>
      <c r="C325" s="499"/>
      <c r="D325" s="903"/>
      <c r="E325" s="855" t="s">
        <v>227</v>
      </c>
      <c r="F325" s="557">
        <v>6</v>
      </c>
      <c r="G325" s="558">
        <v>0.35</v>
      </c>
      <c r="H325" s="559">
        <f>F325*G325</f>
        <v>2.1</v>
      </c>
      <c r="I325" s="857"/>
      <c r="J325" s="857"/>
      <c r="K325" s="857">
        <f>I325*J325</f>
        <v>0</v>
      </c>
      <c r="L325" s="857"/>
      <c r="M325" s="857"/>
      <c r="N325" s="857">
        <f>L325*M325</f>
        <v>0</v>
      </c>
      <c r="O325" s="857"/>
      <c r="P325" s="857"/>
      <c r="Q325" s="857"/>
      <c r="R325" s="857">
        <f t="shared" si="56"/>
        <v>0</v>
      </c>
      <c r="S325" s="857"/>
      <c r="T325" s="857"/>
      <c r="U325" s="857"/>
      <c r="V325" s="857"/>
      <c r="W325" s="857"/>
      <c r="X325" s="857"/>
      <c r="Y325" s="857"/>
      <c r="Z325" s="559">
        <f t="shared" si="57"/>
        <v>0</v>
      </c>
      <c r="AA325" s="559" t="str">
        <f t="shared" si="61"/>
        <v>-</v>
      </c>
      <c r="AB325" s="900"/>
      <c r="AC325" s="491" t="s">
        <v>1665</v>
      </c>
      <c r="AF325" s="466"/>
      <c r="AG325" s="465"/>
      <c r="AH325" s="465"/>
    </row>
    <row r="326" spans="1:34" s="498" customFormat="1" ht="38.25" hidden="1" x14ac:dyDescent="0.25">
      <c r="A326" s="962"/>
      <c r="B326" s="502" t="s">
        <v>1708</v>
      </c>
      <c r="C326" s="499"/>
      <c r="D326" s="903"/>
      <c r="E326" s="855" t="s">
        <v>227</v>
      </c>
      <c r="F326" s="557">
        <v>26</v>
      </c>
      <c r="G326" s="558">
        <v>0.1</v>
      </c>
      <c r="H326" s="559">
        <f>F326*G326</f>
        <v>2.6</v>
      </c>
      <c r="I326" s="857">
        <v>12</v>
      </c>
      <c r="J326" s="862">
        <v>0.1</v>
      </c>
      <c r="K326" s="857">
        <f>I326*J326</f>
        <v>1.2</v>
      </c>
      <c r="L326" s="857">
        <v>12</v>
      </c>
      <c r="M326" s="862">
        <v>0.1</v>
      </c>
      <c r="N326" s="857">
        <f>L326*M326</f>
        <v>1.2</v>
      </c>
      <c r="O326" s="857">
        <v>20</v>
      </c>
      <c r="P326" s="857">
        <v>0.1</v>
      </c>
      <c r="Q326" s="857">
        <f>O326*P326</f>
        <v>2</v>
      </c>
      <c r="R326" s="857">
        <f t="shared" si="56"/>
        <v>2</v>
      </c>
      <c r="S326" s="857"/>
      <c r="T326" s="857">
        <v>20</v>
      </c>
      <c r="U326" s="857">
        <v>0.1</v>
      </c>
      <c r="V326" s="857">
        <f>T326*U326</f>
        <v>2</v>
      </c>
      <c r="W326" s="857">
        <v>20</v>
      </c>
      <c r="X326" s="857">
        <v>0.1</v>
      </c>
      <c r="Y326" s="857">
        <f>W326*X326</f>
        <v>2</v>
      </c>
      <c r="Z326" s="559">
        <f t="shared" si="57"/>
        <v>0.8</v>
      </c>
      <c r="AA326" s="559">
        <f t="shared" si="61"/>
        <v>166.7</v>
      </c>
      <c r="AB326" s="827" t="s">
        <v>1947</v>
      </c>
      <c r="AC326" s="491" t="s">
        <v>1665</v>
      </c>
      <c r="AF326" s="466"/>
      <c r="AG326" s="465"/>
      <c r="AH326" s="465"/>
    </row>
    <row r="327" spans="1:34" s="498" customFormat="1" hidden="1" x14ac:dyDescent="0.25">
      <c r="A327" s="962"/>
      <c r="B327" s="856" t="s">
        <v>1369</v>
      </c>
      <c r="C327" s="499"/>
      <c r="D327" s="903"/>
      <c r="E327" s="855" t="s">
        <v>227</v>
      </c>
      <c r="F327" s="557">
        <v>6</v>
      </c>
      <c r="G327" s="558">
        <v>0.75</v>
      </c>
      <c r="H327" s="559">
        <f>F327*G327</f>
        <v>4.5</v>
      </c>
      <c r="I327" s="857"/>
      <c r="J327" s="857"/>
      <c r="K327" s="857">
        <f>I327*J327</f>
        <v>0</v>
      </c>
      <c r="L327" s="857"/>
      <c r="M327" s="857"/>
      <c r="N327" s="857">
        <f>L327*M327</f>
        <v>0</v>
      </c>
      <c r="O327" s="857"/>
      <c r="P327" s="857"/>
      <c r="Q327" s="857"/>
      <c r="R327" s="857">
        <f t="shared" si="56"/>
        <v>0</v>
      </c>
      <c r="S327" s="857"/>
      <c r="T327" s="857"/>
      <c r="U327" s="857"/>
      <c r="V327" s="857"/>
      <c r="W327" s="857"/>
      <c r="X327" s="857"/>
      <c r="Y327" s="857"/>
      <c r="Z327" s="559">
        <f t="shared" si="57"/>
        <v>0</v>
      </c>
      <c r="AA327" s="559" t="str">
        <f t="shared" si="61"/>
        <v>-</v>
      </c>
      <c r="AB327" s="1029"/>
      <c r="AC327" s="491" t="s">
        <v>1665</v>
      </c>
      <c r="AF327" s="466"/>
      <c r="AG327" s="465"/>
      <c r="AH327" s="465"/>
    </row>
    <row r="328" spans="1:34" s="498" customFormat="1" hidden="1" x14ac:dyDescent="0.25">
      <c r="A328" s="962"/>
      <c r="B328" s="856" t="s">
        <v>1948</v>
      </c>
      <c r="C328" s="499"/>
      <c r="D328" s="903"/>
      <c r="E328" s="855" t="s">
        <v>227</v>
      </c>
      <c r="F328" s="557">
        <v>1</v>
      </c>
      <c r="G328" s="558">
        <v>2</v>
      </c>
      <c r="H328" s="559">
        <f>F328*G328</f>
        <v>2</v>
      </c>
      <c r="I328" s="857"/>
      <c r="J328" s="857"/>
      <c r="K328" s="857">
        <f>I328*J328</f>
        <v>0</v>
      </c>
      <c r="L328" s="857"/>
      <c r="M328" s="857"/>
      <c r="N328" s="857">
        <f>L328*M328</f>
        <v>0</v>
      </c>
      <c r="O328" s="857"/>
      <c r="P328" s="857"/>
      <c r="Q328" s="857"/>
      <c r="R328" s="857">
        <f t="shared" si="56"/>
        <v>0</v>
      </c>
      <c r="S328" s="857"/>
      <c r="T328" s="857"/>
      <c r="U328" s="857"/>
      <c r="V328" s="857"/>
      <c r="W328" s="857"/>
      <c r="X328" s="857"/>
      <c r="Y328" s="857"/>
      <c r="Z328" s="559">
        <f t="shared" si="57"/>
        <v>0</v>
      </c>
      <c r="AA328" s="559" t="str">
        <f t="shared" si="61"/>
        <v>-</v>
      </c>
      <c r="AB328" s="1029"/>
      <c r="AC328" s="491" t="s">
        <v>1665</v>
      </c>
      <c r="AF328" s="466"/>
      <c r="AG328" s="465"/>
      <c r="AH328" s="465"/>
    </row>
    <row r="329" spans="1:34" s="492" customFormat="1" ht="14.25" hidden="1" x14ac:dyDescent="0.2">
      <c r="A329" s="1240"/>
      <c r="B329" s="507" t="s">
        <v>1226</v>
      </c>
      <c r="C329" s="508" t="s">
        <v>797</v>
      </c>
      <c r="D329" s="932"/>
      <c r="E329" s="493"/>
      <c r="F329" s="828"/>
      <c r="G329" s="829"/>
      <c r="H329" s="542">
        <f>SUM(H330:H332)</f>
        <v>17.2</v>
      </c>
      <c r="I329" s="533"/>
      <c r="J329" s="533"/>
      <c r="K329" s="533">
        <f>SUM(K330:K332)</f>
        <v>11.2</v>
      </c>
      <c r="L329" s="533"/>
      <c r="M329" s="533"/>
      <c r="N329" s="533">
        <f>SUM(N330:N332)</f>
        <v>11.2</v>
      </c>
      <c r="O329" s="533"/>
      <c r="P329" s="533"/>
      <c r="Q329" s="533">
        <f>SUM(Q330:Q332)</f>
        <v>15</v>
      </c>
      <c r="R329" s="533">
        <f t="shared" si="56"/>
        <v>15</v>
      </c>
      <c r="S329" s="533"/>
      <c r="T329" s="533"/>
      <c r="U329" s="533"/>
      <c r="V329" s="533">
        <f>SUM(V330:V332)</f>
        <v>15</v>
      </c>
      <c r="W329" s="533"/>
      <c r="X329" s="533"/>
      <c r="Y329" s="533">
        <f>SUM(Y330:Y332)</f>
        <v>15</v>
      </c>
      <c r="Z329" s="542">
        <f t="shared" si="57"/>
        <v>3.8</v>
      </c>
      <c r="AA329" s="542">
        <f t="shared" si="61"/>
        <v>133.9</v>
      </c>
      <c r="AB329" s="900"/>
      <c r="AC329" s="491" t="s">
        <v>1665</v>
      </c>
      <c r="AF329" s="466"/>
      <c r="AG329" s="466"/>
      <c r="AH329" s="466"/>
    </row>
    <row r="330" spans="1:34" s="498" customFormat="1" hidden="1" x14ac:dyDescent="0.25">
      <c r="A330" s="962"/>
      <c r="B330" s="856" t="s">
        <v>1669</v>
      </c>
      <c r="C330" s="499"/>
      <c r="D330" s="903"/>
      <c r="E330" s="855" t="s">
        <v>227</v>
      </c>
      <c r="F330" s="557">
        <v>100</v>
      </c>
      <c r="G330" s="558">
        <v>0.12</v>
      </c>
      <c r="H330" s="559">
        <f>F330*G330</f>
        <v>12</v>
      </c>
      <c r="I330" s="857">
        <v>120</v>
      </c>
      <c r="J330" s="862">
        <v>0.05</v>
      </c>
      <c r="K330" s="857">
        <f>I330*J330</f>
        <v>6</v>
      </c>
      <c r="L330" s="857">
        <v>120</v>
      </c>
      <c r="M330" s="862">
        <v>0.05</v>
      </c>
      <c r="N330" s="857">
        <f>L330*M330</f>
        <v>6</v>
      </c>
      <c r="O330" s="857"/>
      <c r="P330" s="857"/>
      <c r="Q330" s="857"/>
      <c r="R330" s="857">
        <f t="shared" si="56"/>
        <v>0</v>
      </c>
      <c r="S330" s="857"/>
      <c r="T330" s="857"/>
      <c r="U330" s="857"/>
      <c r="V330" s="857"/>
      <c r="W330" s="857"/>
      <c r="X330" s="857"/>
      <c r="Y330" s="857"/>
      <c r="Z330" s="559">
        <f t="shared" si="57"/>
        <v>-6</v>
      </c>
      <c r="AA330" s="559">
        <f t="shared" si="61"/>
        <v>0</v>
      </c>
      <c r="AB330" s="1029"/>
      <c r="AC330" s="491" t="s">
        <v>1665</v>
      </c>
      <c r="AF330" s="466"/>
      <c r="AG330" s="465"/>
      <c r="AH330" s="465"/>
    </row>
    <row r="331" spans="1:34" s="498" customFormat="1" ht="63.75" hidden="1" x14ac:dyDescent="0.25">
      <c r="A331" s="962"/>
      <c r="B331" s="1824" t="s">
        <v>1949</v>
      </c>
      <c r="C331" s="499"/>
      <c r="D331" s="903"/>
      <c r="E331" s="855" t="s">
        <v>227</v>
      </c>
      <c r="F331" s="557"/>
      <c r="G331" s="558"/>
      <c r="H331" s="559"/>
      <c r="I331" s="857"/>
      <c r="J331" s="857"/>
      <c r="K331" s="857">
        <f>I331*J331</f>
        <v>0</v>
      </c>
      <c r="L331" s="857"/>
      <c r="M331" s="857"/>
      <c r="N331" s="857">
        <f>L331*M331</f>
        <v>0</v>
      </c>
      <c r="O331" s="857">
        <v>2</v>
      </c>
      <c r="P331" s="857">
        <v>7.5</v>
      </c>
      <c r="Q331" s="857">
        <f>P331*O331</f>
        <v>15</v>
      </c>
      <c r="R331" s="857">
        <f t="shared" si="56"/>
        <v>15</v>
      </c>
      <c r="S331" s="857"/>
      <c r="T331" s="857">
        <v>2</v>
      </c>
      <c r="U331" s="857">
        <v>7.5</v>
      </c>
      <c r="V331" s="857">
        <f>U331*T331</f>
        <v>15</v>
      </c>
      <c r="W331" s="857">
        <v>2</v>
      </c>
      <c r="X331" s="857">
        <v>7.5</v>
      </c>
      <c r="Y331" s="857">
        <f>X331*W331</f>
        <v>15</v>
      </c>
      <c r="Z331" s="559">
        <f t="shared" si="57"/>
        <v>15</v>
      </c>
      <c r="AA331" s="559" t="str">
        <f t="shared" si="61"/>
        <v>-</v>
      </c>
      <c r="AB331" s="1029" t="s">
        <v>1950</v>
      </c>
      <c r="AC331" s="491" t="s">
        <v>1665</v>
      </c>
      <c r="AF331" s="466"/>
      <c r="AG331" s="465"/>
      <c r="AH331" s="465"/>
    </row>
    <row r="332" spans="1:34" s="498" customFormat="1" hidden="1" x14ac:dyDescent="0.25">
      <c r="A332" s="962"/>
      <c r="B332" s="506" t="s">
        <v>1951</v>
      </c>
      <c r="C332" s="508"/>
      <c r="D332" s="903"/>
      <c r="E332" s="493" t="s">
        <v>227</v>
      </c>
      <c r="F332" s="557">
        <v>13</v>
      </c>
      <c r="G332" s="558">
        <v>0.4</v>
      </c>
      <c r="H332" s="559">
        <f>F332*G332</f>
        <v>5.2</v>
      </c>
      <c r="I332" s="857">
        <v>13</v>
      </c>
      <c r="J332" s="857">
        <v>0.4</v>
      </c>
      <c r="K332" s="857">
        <f>I332*J332</f>
        <v>5.2</v>
      </c>
      <c r="L332" s="857">
        <v>13</v>
      </c>
      <c r="M332" s="857">
        <v>0.4</v>
      </c>
      <c r="N332" s="857">
        <f>L332*M332</f>
        <v>5.2</v>
      </c>
      <c r="O332" s="857"/>
      <c r="P332" s="857"/>
      <c r="Q332" s="857"/>
      <c r="R332" s="857">
        <f t="shared" si="56"/>
        <v>0</v>
      </c>
      <c r="S332" s="857"/>
      <c r="T332" s="857"/>
      <c r="U332" s="857"/>
      <c r="V332" s="857"/>
      <c r="W332" s="857"/>
      <c r="X332" s="857"/>
      <c r="Y332" s="857"/>
      <c r="Z332" s="559">
        <f t="shared" si="57"/>
        <v>-5.2</v>
      </c>
      <c r="AA332" s="559">
        <f t="shared" si="61"/>
        <v>0</v>
      </c>
      <c r="AB332" s="1029"/>
      <c r="AC332" s="491" t="s">
        <v>1665</v>
      </c>
      <c r="AF332" s="466"/>
      <c r="AG332" s="465"/>
      <c r="AH332" s="465"/>
    </row>
    <row r="333" spans="1:34" s="492" customFormat="1" ht="14.25" hidden="1" x14ac:dyDescent="0.2">
      <c r="A333" s="1240"/>
      <c r="B333" s="865" t="s">
        <v>1952</v>
      </c>
      <c r="C333" s="508"/>
      <c r="D333" s="1240"/>
      <c r="E333" s="861"/>
      <c r="F333" s="828"/>
      <c r="G333" s="829"/>
      <c r="H333" s="542">
        <f>SUM(H334:H335)</f>
        <v>6.8</v>
      </c>
      <c r="I333" s="533"/>
      <c r="J333" s="533"/>
      <c r="K333" s="533">
        <f>SUM(K334:K335)</f>
        <v>4</v>
      </c>
      <c r="L333" s="533"/>
      <c r="M333" s="533"/>
      <c r="N333" s="533">
        <f>SUM(N334:N335)</f>
        <v>4</v>
      </c>
      <c r="O333" s="533"/>
      <c r="P333" s="533"/>
      <c r="Q333" s="533">
        <f>SUM(Q334:Q335)</f>
        <v>4</v>
      </c>
      <c r="R333" s="533">
        <f t="shared" si="56"/>
        <v>4</v>
      </c>
      <c r="S333" s="533"/>
      <c r="T333" s="533"/>
      <c r="U333" s="533"/>
      <c r="V333" s="533">
        <f>SUM(V334:V335)</f>
        <v>4</v>
      </c>
      <c r="W333" s="533"/>
      <c r="X333" s="533"/>
      <c r="Y333" s="533">
        <f>SUM(Y334:Y335)</f>
        <v>4</v>
      </c>
      <c r="Z333" s="542">
        <f t="shared" si="57"/>
        <v>0</v>
      </c>
      <c r="AA333" s="542">
        <f t="shared" si="61"/>
        <v>100</v>
      </c>
      <c r="AB333" s="900"/>
      <c r="AC333" s="491" t="s">
        <v>1665</v>
      </c>
      <c r="AF333" s="466"/>
      <c r="AG333" s="466"/>
      <c r="AH333" s="466"/>
    </row>
    <row r="334" spans="1:34" s="498" customFormat="1" hidden="1" x14ac:dyDescent="0.25">
      <c r="A334" s="962"/>
      <c r="B334" s="856" t="s">
        <v>1953</v>
      </c>
      <c r="C334" s="508" t="s">
        <v>797</v>
      </c>
      <c r="D334" s="903"/>
      <c r="E334" s="855" t="s">
        <v>227</v>
      </c>
      <c r="F334" s="557">
        <v>35</v>
      </c>
      <c r="G334" s="558">
        <v>0.1</v>
      </c>
      <c r="H334" s="559">
        <f>F334*G334</f>
        <v>3.5</v>
      </c>
      <c r="I334" s="857">
        <v>40</v>
      </c>
      <c r="J334" s="857">
        <v>0.1</v>
      </c>
      <c r="K334" s="857">
        <f>I334*J334</f>
        <v>4</v>
      </c>
      <c r="L334" s="857">
        <v>40</v>
      </c>
      <c r="M334" s="857">
        <v>0.1</v>
      </c>
      <c r="N334" s="857">
        <f>L334*M334</f>
        <v>4</v>
      </c>
      <c r="O334" s="857">
        <v>40</v>
      </c>
      <c r="P334" s="857">
        <v>0.1</v>
      </c>
      <c r="Q334" s="857">
        <f>P334*O334</f>
        <v>4</v>
      </c>
      <c r="R334" s="857">
        <f t="shared" si="56"/>
        <v>4</v>
      </c>
      <c r="S334" s="857"/>
      <c r="T334" s="857">
        <v>40</v>
      </c>
      <c r="U334" s="857">
        <v>0.1</v>
      </c>
      <c r="V334" s="857">
        <f>U334*T334</f>
        <v>4</v>
      </c>
      <c r="W334" s="857">
        <v>40</v>
      </c>
      <c r="X334" s="857">
        <v>0.1</v>
      </c>
      <c r="Y334" s="857">
        <f>X334*W334</f>
        <v>4</v>
      </c>
      <c r="Z334" s="559">
        <f t="shared" si="57"/>
        <v>0</v>
      </c>
      <c r="AA334" s="559">
        <f t="shared" si="61"/>
        <v>100</v>
      </c>
      <c r="AB334" s="900"/>
      <c r="AC334" s="491" t="s">
        <v>1665</v>
      </c>
      <c r="AF334" s="466"/>
      <c r="AG334" s="465"/>
      <c r="AH334" s="465"/>
    </row>
    <row r="335" spans="1:34" s="498" customFormat="1" ht="38.25" hidden="1" x14ac:dyDescent="0.25">
      <c r="A335" s="962"/>
      <c r="B335" s="856" t="s">
        <v>1954</v>
      </c>
      <c r="C335" s="508" t="s">
        <v>796</v>
      </c>
      <c r="D335" s="903"/>
      <c r="E335" s="855" t="s">
        <v>227</v>
      </c>
      <c r="F335" s="557">
        <v>330</v>
      </c>
      <c r="G335" s="558">
        <v>0.01</v>
      </c>
      <c r="H335" s="559">
        <f>F335*G335</f>
        <v>3.3</v>
      </c>
      <c r="I335" s="857">
        <v>330</v>
      </c>
      <c r="J335" s="857">
        <v>0</v>
      </c>
      <c r="K335" s="857">
        <f>I335*J335</f>
        <v>0</v>
      </c>
      <c r="L335" s="857">
        <v>330</v>
      </c>
      <c r="M335" s="857">
        <v>0</v>
      </c>
      <c r="N335" s="857">
        <f>L335*M335</f>
        <v>0</v>
      </c>
      <c r="O335" s="857">
        <v>150</v>
      </c>
      <c r="P335" s="857">
        <v>0</v>
      </c>
      <c r="Q335" s="857">
        <f>P335*O335</f>
        <v>0</v>
      </c>
      <c r="R335" s="857">
        <f t="shared" si="56"/>
        <v>0</v>
      </c>
      <c r="S335" s="857"/>
      <c r="T335" s="857">
        <v>150</v>
      </c>
      <c r="U335" s="857">
        <v>0</v>
      </c>
      <c r="V335" s="857">
        <f>U335*T335</f>
        <v>0</v>
      </c>
      <c r="W335" s="857">
        <v>150</v>
      </c>
      <c r="X335" s="857">
        <v>0</v>
      </c>
      <c r="Y335" s="857">
        <f>X335*W335</f>
        <v>0</v>
      </c>
      <c r="Z335" s="559">
        <f t="shared" si="57"/>
        <v>0</v>
      </c>
      <c r="AA335" s="559" t="str">
        <f t="shared" si="61"/>
        <v>-</v>
      </c>
      <c r="AB335" s="1937" t="s">
        <v>1955</v>
      </c>
      <c r="AC335" s="491" t="s">
        <v>1665</v>
      </c>
      <c r="AF335" s="466"/>
      <c r="AG335" s="465"/>
      <c r="AH335" s="465"/>
    </row>
    <row r="336" spans="1:34" s="517" customFormat="1" ht="25.5" hidden="1" x14ac:dyDescent="0.2">
      <c r="A336" s="487"/>
      <c r="B336" s="543" t="s">
        <v>1250</v>
      </c>
      <c r="C336" s="511"/>
      <c r="D336" s="487"/>
      <c r="E336" s="487"/>
      <c r="F336" s="821"/>
      <c r="G336" s="822"/>
      <c r="H336" s="823" t="e">
        <f>#REF!+H337+#REF!</f>
        <v>#REF!</v>
      </c>
      <c r="I336" s="915"/>
      <c r="J336" s="915"/>
      <c r="K336" s="823">
        <f>K337</f>
        <v>19.8</v>
      </c>
      <c r="L336" s="915"/>
      <c r="M336" s="915"/>
      <c r="N336" s="823">
        <f>N337</f>
        <v>19.8</v>
      </c>
      <c r="O336" s="915"/>
      <c r="P336" s="915"/>
      <c r="Q336" s="823">
        <f>Q337</f>
        <v>21.8</v>
      </c>
      <c r="R336" s="823">
        <f t="shared" si="56"/>
        <v>21.8</v>
      </c>
      <c r="S336" s="823"/>
      <c r="T336" s="915"/>
      <c r="U336" s="915"/>
      <c r="V336" s="823">
        <f>V337</f>
        <v>21.9</v>
      </c>
      <c r="W336" s="823"/>
      <c r="X336" s="823"/>
      <c r="Y336" s="823">
        <f>Y337</f>
        <v>21.9</v>
      </c>
      <c r="Z336" s="823">
        <f t="shared" si="57"/>
        <v>2</v>
      </c>
      <c r="AA336" s="823">
        <f t="shared" si="61"/>
        <v>110.1</v>
      </c>
      <c r="AB336" s="555"/>
      <c r="AC336" s="515"/>
      <c r="AF336" s="519"/>
      <c r="AG336" s="519"/>
      <c r="AH336" s="519"/>
    </row>
    <row r="337" spans="1:34" s="527" customFormat="1" ht="38.25" hidden="1" x14ac:dyDescent="0.2">
      <c r="A337" s="522"/>
      <c r="B337" s="1938" t="s">
        <v>1664</v>
      </c>
      <c r="C337" s="1939"/>
      <c r="D337" s="522" t="s">
        <v>1444</v>
      </c>
      <c r="E337" s="556"/>
      <c r="F337" s="523"/>
      <c r="G337" s="524"/>
      <c r="H337" s="526">
        <f>H338+H343+H344+H345+H349</f>
        <v>32.200000000000003</v>
      </c>
      <c r="I337" s="526"/>
      <c r="J337" s="526"/>
      <c r="K337" s="526">
        <f>K338+K343+K344+K345+K349</f>
        <v>19.8</v>
      </c>
      <c r="L337" s="526"/>
      <c r="M337" s="526"/>
      <c r="N337" s="526">
        <f>N338+N343+N344+N345+N349</f>
        <v>19.8</v>
      </c>
      <c r="O337" s="526"/>
      <c r="P337" s="526"/>
      <c r="Q337" s="526">
        <f>Q338+Q343+Q344+Q345+Q349</f>
        <v>21.8</v>
      </c>
      <c r="R337" s="526">
        <f t="shared" si="56"/>
        <v>21.8</v>
      </c>
      <c r="S337" s="526"/>
      <c r="T337" s="526"/>
      <c r="U337" s="526"/>
      <c r="V337" s="526">
        <f>V338+V343+V344+V345+V349</f>
        <v>21.9</v>
      </c>
      <c r="W337" s="526"/>
      <c r="X337" s="526"/>
      <c r="Y337" s="526">
        <f>Y338+Y343+Y344+Y345+Y349</f>
        <v>21.9</v>
      </c>
      <c r="Z337" s="526">
        <f t="shared" si="57"/>
        <v>2</v>
      </c>
      <c r="AA337" s="526">
        <f t="shared" si="61"/>
        <v>110.1</v>
      </c>
      <c r="AB337" s="909"/>
      <c r="AC337" s="549" t="s">
        <v>1665</v>
      </c>
      <c r="AF337" s="528"/>
      <c r="AG337" s="528"/>
      <c r="AH337" s="528"/>
    </row>
    <row r="338" spans="1:34" s="492" customFormat="1" ht="14.25" x14ac:dyDescent="0.2">
      <c r="A338" s="1240"/>
      <c r="B338" s="500" t="s">
        <v>1233</v>
      </c>
      <c r="C338" s="501" t="s">
        <v>1230</v>
      </c>
      <c r="D338" s="932"/>
      <c r="E338" s="842"/>
      <c r="F338" s="828"/>
      <c r="G338" s="829"/>
      <c r="H338" s="542">
        <f>SUM(H339:H342)</f>
        <v>9.9</v>
      </c>
      <c r="I338" s="533"/>
      <c r="J338" s="533"/>
      <c r="K338" s="533">
        <f>SUM(K339:K342)</f>
        <v>9.3000000000000007</v>
      </c>
      <c r="L338" s="533"/>
      <c r="M338" s="533"/>
      <c r="N338" s="533">
        <f>SUM(N339:N342)</f>
        <v>9.3000000000000007</v>
      </c>
      <c r="O338" s="533"/>
      <c r="P338" s="533"/>
      <c r="Q338" s="533">
        <v>10.199999999999999</v>
      </c>
      <c r="R338" s="533">
        <f t="shared" si="56"/>
        <v>10.199999999999999</v>
      </c>
      <c r="S338" s="533"/>
      <c r="T338" s="533"/>
      <c r="U338" s="533"/>
      <c r="V338" s="533">
        <f>SUM(V339:V342)</f>
        <v>10.3</v>
      </c>
      <c r="W338" s="533"/>
      <c r="X338" s="533"/>
      <c r="Y338" s="533">
        <f>SUM(Y339:Y342)</f>
        <v>10.3</v>
      </c>
      <c r="Z338" s="542">
        <f t="shared" si="57"/>
        <v>0.9</v>
      </c>
      <c r="AA338" s="542">
        <f t="shared" si="61"/>
        <v>109.7</v>
      </c>
      <c r="AB338" s="921"/>
      <c r="AC338" s="491" t="s">
        <v>1665</v>
      </c>
      <c r="AF338" s="466"/>
      <c r="AG338" s="466"/>
      <c r="AH338" s="466"/>
    </row>
    <row r="339" spans="1:34" s="498" customFormat="1" hidden="1" x14ac:dyDescent="0.25">
      <c r="A339" s="962"/>
      <c r="B339" s="502" t="s">
        <v>1519</v>
      </c>
      <c r="C339" s="503"/>
      <c r="D339" s="903"/>
      <c r="E339" s="1031" t="s">
        <v>318</v>
      </c>
      <c r="F339" s="557">
        <v>1</v>
      </c>
      <c r="G339" s="558">
        <v>3.45</v>
      </c>
      <c r="H339" s="559">
        <f>F339*G339</f>
        <v>3.5</v>
      </c>
      <c r="I339" s="857">
        <v>1</v>
      </c>
      <c r="J339" s="857">
        <v>3.5</v>
      </c>
      <c r="K339" s="857">
        <f>I339*J339</f>
        <v>3.5</v>
      </c>
      <c r="L339" s="857">
        <v>1</v>
      </c>
      <c r="M339" s="857">
        <v>3.5</v>
      </c>
      <c r="N339" s="857">
        <f>L339*M339</f>
        <v>3.5</v>
      </c>
      <c r="O339" s="857">
        <v>1</v>
      </c>
      <c r="P339" s="857">
        <v>3.5</v>
      </c>
      <c r="Q339" s="857">
        <f>P339*O339</f>
        <v>3.5</v>
      </c>
      <c r="R339" s="857">
        <f t="shared" ref="R339:R402" si="62">Q339</f>
        <v>3.5</v>
      </c>
      <c r="S339" s="857"/>
      <c r="T339" s="857">
        <v>1</v>
      </c>
      <c r="U339" s="857">
        <v>3.5</v>
      </c>
      <c r="V339" s="857">
        <f>U339*T339</f>
        <v>3.5</v>
      </c>
      <c r="W339" s="857">
        <v>1</v>
      </c>
      <c r="X339" s="857">
        <v>3.5</v>
      </c>
      <c r="Y339" s="857">
        <f>X339*W339</f>
        <v>3.5</v>
      </c>
      <c r="Z339" s="559">
        <f t="shared" si="57"/>
        <v>0</v>
      </c>
      <c r="AA339" s="559">
        <f t="shared" si="61"/>
        <v>100</v>
      </c>
      <c r="AB339" s="1924"/>
      <c r="AC339" s="491" t="s">
        <v>1665</v>
      </c>
      <c r="AF339" s="466"/>
      <c r="AG339" s="465"/>
      <c r="AH339" s="465"/>
    </row>
    <row r="340" spans="1:34" s="498" customFormat="1" ht="51.75" hidden="1" x14ac:dyDescent="0.25">
      <c r="A340" s="962"/>
      <c r="B340" s="502" t="s">
        <v>1686</v>
      </c>
      <c r="C340" s="503"/>
      <c r="D340" s="903"/>
      <c r="E340" s="1031" t="s">
        <v>318</v>
      </c>
      <c r="F340" s="557">
        <v>1</v>
      </c>
      <c r="G340" s="558">
        <v>2.2999999999999998</v>
      </c>
      <c r="H340" s="559">
        <f>F340*G340</f>
        <v>2.2999999999999998</v>
      </c>
      <c r="I340" s="857">
        <v>1</v>
      </c>
      <c r="J340" s="857">
        <v>2.2999999999999998</v>
      </c>
      <c r="K340" s="857">
        <f>I340*J340</f>
        <v>2.2999999999999998</v>
      </c>
      <c r="L340" s="857">
        <v>1</v>
      </c>
      <c r="M340" s="857">
        <v>2.2999999999999998</v>
      </c>
      <c r="N340" s="857">
        <f>L340*M340</f>
        <v>2.2999999999999998</v>
      </c>
      <c r="O340" s="857">
        <v>2</v>
      </c>
      <c r="P340" s="857">
        <v>2.2999999999999998</v>
      </c>
      <c r="Q340" s="857">
        <f>P340*O340</f>
        <v>4.5999999999999996</v>
      </c>
      <c r="R340" s="857">
        <f t="shared" si="62"/>
        <v>4.5999999999999996</v>
      </c>
      <c r="S340" s="857"/>
      <c r="T340" s="857">
        <v>2</v>
      </c>
      <c r="U340" s="857">
        <v>2.2999999999999998</v>
      </c>
      <c r="V340" s="857">
        <f>U340*T340</f>
        <v>4.5999999999999996</v>
      </c>
      <c r="W340" s="857">
        <v>2</v>
      </c>
      <c r="X340" s="857">
        <v>2.2999999999999998</v>
      </c>
      <c r="Y340" s="857">
        <f>X340*W340</f>
        <v>4.5999999999999996</v>
      </c>
      <c r="Z340" s="559">
        <f t="shared" si="57"/>
        <v>2.2999999999999998</v>
      </c>
      <c r="AA340" s="559">
        <f t="shared" si="61"/>
        <v>200</v>
      </c>
      <c r="AB340" s="1924" t="s">
        <v>1956</v>
      </c>
      <c r="AC340" s="491" t="s">
        <v>1665</v>
      </c>
      <c r="AF340" s="466"/>
      <c r="AG340" s="465"/>
      <c r="AH340" s="465"/>
    </row>
    <row r="341" spans="1:34" s="498" customFormat="1" hidden="1" x14ac:dyDescent="0.25">
      <c r="A341" s="962"/>
      <c r="B341" s="502" t="s">
        <v>1683</v>
      </c>
      <c r="C341" s="503"/>
      <c r="D341" s="903"/>
      <c r="E341" s="1031" t="s">
        <v>318</v>
      </c>
      <c r="F341" s="557">
        <v>1</v>
      </c>
      <c r="G341" s="558">
        <v>2</v>
      </c>
      <c r="H341" s="559">
        <f>F341*G341</f>
        <v>2</v>
      </c>
      <c r="I341" s="857">
        <v>1</v>
      </c>
      <c r="J341" s="857">
        <v>1.5</v>
      </c>
      <c r="K341" s="857">
        <f>I341*J341</f>
        <v>1.5</v>
      </c>
      <c r="L341" s="857">
        <v>1</v>
      </c>
      <c r="M341" s="857">
        <v>1.5</v>
      </c>
      <c r="N341" s="857">
        <f>L341*M341</f>
        <v>1.5</v>
      </c>
      <c r="O341" s="857"/>
      <c r="P341" s="857"/>
      <c r="Q341" s="857"/>
      <c r="R341" s="857">
        <f t="shared" si="62"/>
        <v>0</v>
      </c>
      <c r="S341" s="857"/>
      <c r="T341" s="857"/>
      <c r="U341" s="857"/>
      <c r="V341" s="857"/>
      <c r="W341" s="857"/>
      <c r="X341" s="857"/>
      <c r="Y341" s="857"/>
      <c r="Z341" s="559">
        <f t="shared" si="57"/>
        <v>-1.5</v>
      </c>
      <c r="AA341" s="559">
        <f t="shared" si="61"/>
        <v>0</v>
      </c>
      <c r="AB341" s="1924"/>
      <c r="AC341" s="491" t="s">
        <v>1665</v>
      </c>
      <c r="AF341" s="466"/>
      <c r="AG341" s="465"/>
      <c r="AH341" s="465"/>
    </row>
    <row r="342" spans="1:34" s="498" customFormat="1" hidden="1" x14ac:dyDescent="0.25">
      <c r="A342" s="962"/>
      <c r="B342" s="502" t="s">
        <v>1234</v>
      </c>
      <c r="C342" s="503"/>
      <c r="D342" s="903"/>
      <c r="E342" s="1031"/>
      <c r="F342" s="557"/>
      <c r="G342" s="558"/>
      <c r="H342" s="559">
        <f>SUM(H339:H341)*0.271</f>
        <v>2.1</v>
      </c>
      <c r="I342" s="857"/>
      <c r="J342" s="857"/>
      <c r="K342" s="857">
        <f>SUM(K339:K341)*0.271</f>
        <v>2</v>
      </c>
      <c r="L342" s="857"/>
      <c r="M342" s="857"/>
      <c r="N342" s="857">
        <f>SUM(N339:N341)*0.271</f>
        <v>2</v>
      </c>
      <c r="O342" s="857"/>
      <c r="P342" s="857"/>
      <c r="Q342" s="857">
        <f>SUM(Q339:Q341)*0.271</f>
        <v>2.2000000000000002</v>
      </c>
      <c r="R342" s="857">
        <f t="shared" si="62"/>
        <v>2.2000000000000002</v>
      </c>
      <c r="S342" s="857"/>
      <c r="T342" s="857"/>
      <c r="U342" s="857"/>
      <c r="V342" s="857">
        <f>SUM(V339:V341)*0.271</f>
        <v>2.2000000000000002</v>
      </c>
      <c r="W342" s="857"/>
      <c r="X342" s="857"/>
      <c r="Y342" s="857">
        <f>SUM(Y339:Y341)*0.271</f>
        <v>2.2000000000000002</v>
      </c>
      <c r="Z342" s="559">
        <f t="shared" si="57"/>
        <v>0.2</v>
      </c>
      <c r="AA342" s="559">
        <f t="shared" si="61"/>
        <v>110</v>
      </c>
      <c r="AB342" s="921"/>
      <c r="AC342" s="491" t="s">
        <v>1665</v>
      </c>
      <c r="AF342" s="466"/>
      <c r="AG342" s="465"/>
      <c r="AH342" s="465"/>
    </row>
    <row r="343" spans="1:34" s="492" customFormat="1" ht="14.25" hidden="1" x14ac:dyDescent="0.2">
      <c r="A343" s="1240"/>
      <c r="B343" s="500" t="s">
        <v>1927</v>
      </c>
      <c r="C343" s="501" t="s">
        <v>796</v>
      </c>
      <c r="D343" s="932"/>
      <c r="E343" s="842"/>
      <c r="F343" s="828">
        <v>30</v>
      </c>
      <c r="G343" s="829">
        <v>0.21</v>
      </c>
      <c r="H343" s="542">
        <f>F343*G343</f>
        <v>6.3</v>
      </c>
      <c r="I343" s="533">
        <v>320</v>
      </c>
      <c r="J343" s="533">
        <v>0</v>
      </c>
      <c r="K343" s="533">
        <f>I343*J343</f>
        <v>0</v>
      </c>
      <c r="L343" s="533">
        <v>320</v>
      </c>
      <c r="M343" s="533">
        <v>0</v>
      </c>
      <c r="N343" s="533">
        <f>L343*M343</f>
        <v>0</v>
      </c>
      <c r="O343" s="533">
        <v>320</v>
      </c>
      <c r="P343" s="533">
        <v>0</v>
      </c>
      <c r="Q343" s="533">
        <f>O343*P343</f>
        <v>0</v>
      </c>
      <c r="R343" s="533">
        <f t="shared" si="62"/>
        <v>0</v>
      </c>
      <c r="S343" s="533"/>
      <c r="T343" s="533">
        <v>320</v>
      </c>
      <c r="U343" s="533">
        <v>0</v>
      </c>
      <c r="V343" s="533">
        <f>T343*U343</f>
        <v>0</v>
      </c>
      <c r="W343" s="533">
        <v>320</v>
      </c>
      <c r="X343" s="533">
        <v>0</v>
      </c>
      <c r="Y343" s="533">
        <f>W343*X343</f>
        <v>0</v>
      </c>
      <c r="Z343" s="542">
        <f t="shared" si="57"/>
        <v>0</v>
      </c>
      <c r="AA343" s="542" t="str">
        <f t="shared" si="61"/>
        <v>-</v>
      </c>
      <c r="AB343" s="1246"/>
      <c r="AC343" s="491" t="s">
        <v>1665</v>
      </c>
      <c r="AF343" s="466"/>
      <c r="AG343" s="466"/>
      <c r="AH343" s="466"/>
    </row>
    <row r="344" spans="1:34" s="492" customFormat="1" ht="14.25" hidden="1" x14ac:dyDescent="0.2">
      <c r="A344" s="1240"/>
      <c r="B344" s="500" t="s">
        <v>1957</v>
      </c>
      <c r="C344" s="501" t="s">
        <v>797</v>
      </c>
      <c r="D344" s="932"/>
      <c r="E344" s="842"/>
      <c r="F344" s="828">
        <v>320</v>
      </c>
      <c r="G344" s="829">
        <v>0.01</v>
      </c>
      <c r="H344" s="542">
        <v>1.8</v>
      </c>
      <c r="I344" s="533">
        <v>36</v>
      </c>
      <c r="J344" s="533">
        <v>0.1</v>
      </c>
      <c r="K344" s="533">
        <f>I344*J344</f>
        <v>3.6</v>
      </c>
      <c r="L344" s="533">
        <v>36</v>
      </c>
      <c r="M344" s="533">
        <v>0.1</v>
      </c>
      <c r="N344" s="533">
        <f>L344*M344</f>
        <v>3.6</v>
      </c>
      <c r="O344" s="533">
        <v>36</v>
      </c>
      <c r="P344" s="533">
        <v>0.1</v>
      </c>
      <c r="Q344" s="533">
        <f>P344*O344</f>
        <v>3.6</v>
      </c>
      <c r="R344" s="533">
        <f t="shared" si="62"/>
        <v>3.6</v>
      </c>
      <c r="S344" s="533"/>
      <c r="T344" s="533">
        <v>36</v>
      </c>
      <c r="U344" s="533">
        <v>0.1</v>
      </c>
      <c r="V344" s="533">
        <f>U344*T344</f>
        <v>3.6</v>
      </c>
      <c r="W344" s="533">
        <v>36</v>
      </c>
      <c r="X344" s="533">
        <v>0.1</v>
      </c>
      <c r="Y344" s="533">
        <f>X344*W344</f>
        <v>3.6</v>
      </c>
      <c r="Z344" s="542">
        <f t="shared" si="57"/>
        <v>0</v>
      </c>
      <c r="AA344" s="542">
        <f t="shared" si="61"/>
        <v>100</v>
      </c>
      <c r="AB344" s="1247"/>
      <c r="AC344" s="491" t="s">
        <v>1665</v>
      </c>
      <c r="AF344" s="466"/>
      <c r="AG344" s="466"/>
      <c r="AH344" s="466"/>
    </row>
    <row r="345" spans="1:34" s="492" customFormat="1" ht="14.25" hidden="1" x14ac:dyDescent="0.2">
      <c r="A345" s="1240"/>
      <c r="B345" s="865" t="s">
        <v>1226</v>
      </c>
      <c r="C345" s="508" t="s">
        <v>797</v>
      </c>
      <c r="D345" s="932"/>
      <c r="E345" s="842"/>
      <c r="F345" s="828"/>
      <c r="G345" s="829"/>
      <c r="H345" s="542">
        <f>SUM(H346:H347)</f>
        <v>8.8000000000000007</v>
      </c>
      <c r="I345" s="533"/>
      <c r="J345" s="533"/>
      <c r="K345" s="533">
        <f>SUM(K346:K347)</f>
        <v>5.7</v>
      </c>
      <c r="L345" s="533"/>
      <c r="M345" s="533"/>
      <c r="N345" s="533">
        <f>SUM(N346:N347)</f>
        <v>5.7</v>
      </c>
      <c r="O345" s="533"/>
      <c r="P345" s="533"/>
      <c r="Q345" s="533">
        <f>SUM(Q346:Q348)</f>
        <v>6</v>
      </c>
      <c r="R345" s="533">
        <f t="shared" si="62"/>
        <v>6</v>
      </c>
      <c r="S345" s="533"/>
      <c r="T345" s="533"/>
      <c r="U345" s="533"/>
      <c r="V345" s="533">
        <f>SUM(V346:V348)</f>
        <v>6</v>
      </c>
      <c r="W345" s="533"/>
      <c r="X345" s="533"/>
      <c r="Y345" s="533">
        <f>SUM(Y346:Y348)</f>
        <v>6</v>
      </c>
      <c r="Z345" s="542">
        <f t="shared" si="57"/>
        <v>0.3</v>
      </c>
      <c r="AA345" s="542">
        <f t="shared" si="61"/>
        <v>105.3</v>
      </c>
      <c r="AB345" s="921"/>
      <c r="AC345" s="491" t="s">
        <v>1665</v>
      </c>
      <c r="AF345" s="466"/>
      <c r="AG345" s="466"/>
      <c r="AH345" s="466"/>
    </row>
    <row r="346" spans="1:34" s="498" customFormat="1" hidden="1" x14ac:dyDescent="0.25">
      <c r="A346" s="962"/>
      <c r="B346" s="856" t="s">
        <v>1921</v>
      </c>
      <c r="C346" s="499"/>
      <c r="D346" s="903"/>
      <c r="E346" s="1031" t="s">
        <v>227</v>
      </c>
      <c r="F346" s="557">
        <v>6</v>
      </c>
      <c r="G346" s="558">
        <v>1</v>
      </c>
      <c r="H346" s="559">
        <f>F346*G346</f>
        <v>6</v>
      </c>
      <c r="I346" s="857">
        <v>6</v>
      </c>
      <c r="J346" s="862">
        <v>0.5</v>
      </c>
      <c r="K346" s="857">
        <f>I346*J346</f>
        <v>3</v>
      </c>
      <c r="L346" s="857">
        <v>6</v>
      </c>
      <c r="M346" s="862">
        <v>0.5</v>
      </c>
      <c r="N346" s="857">
        <f>L346*M346</f>
        <v>3</v>
      </c>
      <c r="O346" s="857">
        <v>2</v>
      </c>
      <c r="P346" s="857">
        <v>1</v>
      </c>
      <c r="Q346" s="857">
        <f>O346*P346</f>
        <v>2</v>
      </c>
      <c r="R346" s="857">
        <f t="shared" si="62"/>
        <v>2</v>
      </c>
      <c r="S346" s="857"/>
      <c r="T346" s="857">
        <v>2</v>
      </c>
      <c r="U346" s="857">
        <v>1</v>
      </c>
      <c r="V346" s="857">
        <f>T346*U346</f>
        <v>2</v>
      </c>
      <c r="W346" s="857">
        <v>2</v>
      </c>
      <c r="X346" s="857">
        <v>1</v>
      </c>
      <c r="Y346" s="857">
        <f>W346*X346</f>
        <v>2</v>
      </c>
      <c r="Z346" s="559">
        <f t="shared" si="57"/>
        <v>-1</v>
      </c>
      <c r="AA346" s="559">
        <f t="shared" si="61"/>
        <v>66.7</v>
      </c>
      <c r="AB346" s="893"/>
      <c r="AC346" s="491" t="s">
        <v>1665</v>
      </c>
      <c r="AF346" s="466"/>
      <c r="AG346" s="465"/>
      <c r="AH346" s="465"/>
    </row>
    <row r="347" spans="1:34" s="498" customFormat="1" hidden="1" x14ac:dyDescent="0.25">
      <c r="A347" s="962"/>
      <c r="B347" s="500" t="s">
        <v>1909</v>
      </c>
      <c r="C347" s="501"/>
      <c r="D347" s="903"/>
      <c r="E347" s="1031" t="s">
        <v>1240</v>
      </c>
      <c r="F347" s="557">
        <v>14</v>
      </c>
      <c r="G347" s="558">
        <v>0.2</v>
      </c>
      <c r="H347" s="559">
        <f>F347*G347</f>
        <v>2.8</v>
      </c>
      <c r="I347" s="857">
        <v>13.5</v>
      </c>
      <c r="J347" s="857">
        <v>0.2</v>
      </c>
      <c r="K347" s="857">
        <f>I347*J347</f>
        <v>2.7</v>
      </c>
      <c r="L347" s="857">
        <v>13.5</v>
      </c>
      <c r="M347" s="857">
        <v>0.2</v>
      </c>
      <c r="N347" s="857">
        <f>L347*M347</f>
        <v>2.7</v>
      </c>
      <c r="O347" s="857"/>
      <c r="P347" s="857"/>
      <c r="Q347" s="857"/>
      <c r="R347" s="857">
        <f t="shared" si="62"/>
        <v>0</v>
      </c>
      <c r="S347" s="857"/>
      <c r="T347" s="857"/>
      <c r="U347" s="857"/>
      <c r="V347" s="857"/>
      <c r="W347" s="857"/>
      <c r="X347" s="857"/>
      <c r="Y347" s="857"/>
      <c r="Z347" s="559">
        <f t="shared" si="57"/>
        <v>-2.7</v>
      </c>
      <c r="AA347" s="559">
        <f t="shared" si="61"/>
        <v>0</v>
      </c>
      <c r="AB347" s="827"/>
      <c r="AC347" s="491" t="s">
        <v>1665</v>
      </c>
      <c r="AF347" s="466"/>
      <c r="AG347" s="465"/>
      <c r="AH347" s="465"/>
    </row>
    <row r="348" spans="1:34" s="498" customFormat="1" ht="25.5" hidden="1" x14ac:dyDescent="0.25">
      <c r="A348" s="962"/>
      <c r="B348" s="502" t="s">
        <v>1958</v>
      </c>
      <c r="C348" s="501"/>
      <c r="D348" s="903"/>
      <c r="E348" s="1031"/>
      <c r="F348" s="557"/>
      <c r="G348" s="558"/>
      <c r="H348" s="559"/>
      <c r="I348" s="857"/>
      <c r="J348" s="857"/>
      <c r="K348" s="857"/>
      <c r="L348" s="857"/>
      <c r="M348" s="857"/>
      <c r="N348" s="857"/>
      <c r="O348" s="857">
        <v>2</v>
      </c>
      <c r="P348" s="857">
        <v>2</v>
      </c>
      <c r="Q348" s="857">
        <f>P348*O348</f>
        <v>4</v>
      </c>
      <c r="R348" s="857">
        <f t="shared" si="62"/>
        <v>4</v>
      </c>
      <c r="S348" s="857"/>
      <c r="T348" s="857">
        <v>2</v>
      </c>
      <c r="U348" s="857">
        <v>2</v>
      </c>
      <c r="V348" s="857">
        <f>U348*T348</f>
        <v>4</v>
      </c>
      <c r="W348" s="857">
        <v>2</v>
      </c>
      <c r="X348" s="857">
        <v>2</v>
      </c>
      <c r="Y348" s="857">
        <f>X348*W348</f>
        <v>4</v>
      </c>
      <c r="Z348" s="559">
        <f t="shared" si="57"/>
        <v>4</v>
      </c>
      <c r="AA348" s="559" t="str">
        <f t="shared" si="61"/>
        <v>-</v>
      </c>
      <c r="AB348" s="827" t="s">
        <v>1959</v>
      </c>
      <c r="AC348" s="491" t="s">
        <v>1665</v>
      </c>
      <c r="AF348" s="466"/>
      <c r="AG348" s="465"/>
      <c r="AH348" s="465"/>
    </row>
    <row r="349" spans="1:34" s="492" customFormat="1" ht="25.5" hidden="1" x14ac:dyDescent="0.2">
      <c r="A349" s="1240"/>
      <c r="B349" s="865" t="s">
        <v>1239</v>
      </c>
      <c r="C349" s="508" t="s">
        <v>797</v>
      </c>
      <c r="D349" s="932"/>
      <c r="E349" s="842"/>
      <c r="F349" s="828"/>
      <c r="G349" s="829"/>
      <c r="H349" s="542">
        <f>SUM(H350:H351)</f>
        <v>5.4</v>
      </c>
      <c r="I349" s="533"/>
      <c r="J349" s="533"/>
      <c r="K349" s="533">
        <f>SUM(K350:K351)</f>
        <v>1.2</v>
      </c>
      <c r="L349" s="533"/>
      <c r="M349" s="533"/>
      <c r="N349" s="533">
        <f>SUM(N350:N351)</f>
        <v>1.2</v>
      </c>
      <c r="O349" s="533"/>
      <c r="P349" s="533"/>
      <c r="Q349" s="533">
        <f>SUM(Q350:Q351)</f>
        <v>2</v>
      </c>
      <c r="R349" s="533">
        <f t="shared" si="62"/>
        <v>2</v>
      </c>
      <c r="S349" s="533"/>
      <c r="T349" s="533"/>
      <c r="U349" s="533"/>
      <c r="V349" s="533">
        <f>SUM(V350:V351)</f>
        <v>2</v>
      </c>
      <c r="W349" s="533"/>
      <c r="X349" s="533"/>
      <c r="Y349" s="533">
        <f>SUM(Y350:Y351)</f>
        <v>2</v>
      </c>
      <c r="Z349" s="542">
        <f t="shared" si="57"/>
        <v>0.8</v>
      </c>
      <c r="AA349" s="542">
        <f t="shared" si="61"/>
        <v>166.7</v>
      </c>
      <c r="AB349" s="552"/>
      <c r="AC349" s="491" t="s">
        <v>1665</v>
      </c>
      <c r="AF349" s="466"/>
      <c r="AG349" s="466"/>
      <c r="AH349" s="466"/>
    </row>
    <row r="350" spans="1:34" s="498" customFormat="1" ht="39" hidden="1" x14ac:dyDescent="0.25">
      <c r="A350" s="962"/>
      <c r="B350" s="502" t="s">
        <v>1960</v>
      </c>
      <c r="C350" s="499"/>
      <c r="D350" s="903"/>
      <c r="E350" s="1031" t="s">
        <v>227</v>
      </c>
      <c r="F350" s="557">
        <v>26</v>
      </c>
      <c r="G350" s="558">
        <v>0.1</v>
      </c>
      <c r="H350" s="559">
        <f>F350*G350</f>
        <v>2.6</v>
      </c>
      <c r="I350" s="857">
        <v>12</v>
      </c>
      <c r="J350" s="862">
        <v>0.1</v>
      </c>
      <c r="K350" s="857">
        <f>I350*J350</f>
        <v>1.2</v>
      </c>
      <c r="L350" s="857">
        <v>12</v>
      </c>
      <c r="M350" s="862">
        <v>0.1</v>
      </c>
      <c r="N350" s="857">
        <f>L350*M350</f>
        <v>1.2</v>
      </c>
      <c r="O350" s="857">
        <v>20</v>
      </c>
      <c r="P350" s="857">
        <v>0.1</v>
      </c>
      <c r="Q350" s="857">
        <f>P350*O350</f>
        <v>2</v>
      </c>
      <c r="R350" s="857">
        <f t="shared" si="62"/>
        <v>2</v>
      </c>
      <c r="S350" s="857"/>
      <c r="T350" s="857">
        <v>20</v>
      </c>
      <c r="U350" s="857">
        <v>0.1</v>
      </c>
      <c r="V350" s="857">
        <f>U350*T350</f>
        <v>2</v>
      </c>
      <c r="W350" s="857">
        <v>20</v>
      </c>
      <c r="X350" s="857">
        <v>0.1</v>
      </c>
      <c r="Y350" s="857">
        <f>X350*W350</f>
        <v>2</v>
      </c>
      <c r="Z350" s="559">
        <f t="shared" si="57"/>
        <v>0.8</v>
      </c>
      <c r="AA350" s="559">
        <f t="shared" si="61"/>
        <v>166.7</v>
      </c>
      <c r="AB350" s="893" t="s">
        <v>1961</v>
      </c>
      <c r="AC350" s="491" t="s">
        <v>1665</v>
      </c>
      <c r="AF350" s="466"/>
      <c r="AG350" s="465"/>
      <c r="AH350" s="465"/>
    </row>
    <row r="351" spans="1:34" s="498" customFormat="1" hidden="1" x14ac:dyDescent="0.25">
      <c r="A351" s="962"/>
      <c r="B351" s="856" t="s">
        <v>1692</v>
      </c>
      <c r="C351" s="499"/>
      <c r="D351" s="903"/>
      <c r="E351" s="1031" t="s">
        <v>227</v>
      </c>
      <c r="F351" s="557">
        <v>8</v>
      </c>
      <c r="G351" s="558">
        <v>0.35</v>
      </c>
      <c r="H351" s="559">
        <f>F351*G351</f>
        <v>2.8</v>
      </c>
      <c r="I351" s="857"/>
      <c r="J351" s="857"/>
      <c r="K351" s="857">
        <f>I351*J351</f>
        <v>0</v>
      </c>
      <c r="L351" s="857"/>
      <c r="M351" s="857"/>
      <c r="N351" s="857">
        <f>L351*M351</f>
        <v>0</v>
      </c>
      <c r="O351" s="857"/>
      <c r="P351" s="857"/>
      <c r="Q351" s="857"/>
      <c r="R351" s="857">
        <f t="shared" si="62"/>
        <v>0</v>
      </c>
      <c r="S351" s="857"/>
      <c r="T351" s="857"/>
      <c r="U351" s="857"/>
      <c r="V351" s="857"/>
      <c r="W351" s="857"/>
      <c r="X351" s="857"/>
      <c r="Y351" s="857"/>
      <c r="Z351" s="559">
        <f t="shared" si="57"/>
        <v>0</v>
      </c>
      <c r="AA351" s="559" t="str">
        <f t="shared" si="61"/>
        <v>-</v>
      </c>
      <c r="AB351" s="1924"/>
      <c r="AC351" s="491" t="s">
        <v>1665</v>
      </c>
      <c r="AF351" s="466"/>
      <c r="AG351" s="465"/>
      <c r="AH351" s="465"/>
    </row>
    <row r="352" spans="1:34" s="517" customFormat="1" ht="14.25" hidden="1" x14ac:dyDescent="0.2">
      <c r="A352" s="487"/>
      <c r="B352" s="510" t="s">
        <v>1251</v>
      </c>
      <c r="C352" s="511"/>
      <c r="D352" s="487"/>
      <c r="E352" s="487"/>
      <c r="F352" s="821"/>
      <c r="G352" s="822"/>
      <c r="H352" s="823" t="e">
        <f>#REF!+#REF!+#REF!+H353</f>
        <v>#REF!</v>
      </c>
      <c r="I352" s="824"/>
      <c r="J352" s="824"/>
      <c r="K352" s="823">
        <f>K353</f>
        <v>120.8</v>
      </c>
      <c r="L352" s="824"/>
      <c r="M352" s="824"/>
      <c r="N352" s="823">
        <f>N353</f>
        <v>120.8</v>
      </c>
      <c r="O352" s="824"/>
      <c r="P352" s="824"/>
      <c r="Q352" s="823">
        <f>Q353</f>
        <v>220.9</v>
      </c>
      <c r="R352" s="823">
        <f t="shared" si="62"/>
        <v>220.9</v>
      </c>
      <c r="S352" s="823"/>
      <c r="T352" s="824"/>
      <c r="U352" s="824"/>
      <c r="V352" s="823">
        <f>V353</f>
        <v>201.7</v>
      </c>
      <c r="W352" s="823"/>
      <c r="X352" s="823"/>
      <c r="Y352" s="823">
        <f>Y353</f>
        <v>201.7</v>
      </c>
      <c r="Z352" s="823">
        <f t="shared" si="57"/>
        <v>100.1</v>
      </c>
      <c r="AA352" s="823">
        <f t="shared" si="61"/>
        <v>182.9</v>
      </c>
      <c r="AB352" s="555"/>
      <c r="AC352" s="515"/>
      <c r="AF352" s="519"/>
      <c r="AG352" s="519"/>
      <c r="AH352" s="519"/>
    </row>
    <row r="353" spans="1:34" s="527" customFormat="1" ht="38.25" hidden="1" x14ac:dyDescent="0.2">
      <c r="A353" s="522"/>
      <c r="B353" s="916" t="s">
        <v>1664</v>
      </c>
      <c r="C353" s="521"/>
      <c r="D353" s="522" t="s">
        <v>1444</v>
      </c>
      <c r="E353" s="556"/>
      <c r="F353" s="523"/>
      <c r="G353" s="524"/>
      <c r="H353" s="526">
        <f>H354+H375</f>
        <v>175.2</v>
      </c>
      <c r="I353" s="526"/>
      <c r="J353" s="526"/>
      <c r="K353" s="526">
        <f>K354+K375</f>
        <v>120.8</v>
      </c>
      <c r="L353" s="526"/>
      <c r="M353" s="526"/>
      <c r="N353" s="526">
        <f>N354+N375</f>
        <v>120.8</v>
      </c>
      <c r="O353" s="526"/>
      <c r="P353" s="526"/>
      <c r="Q353" s="526">
        <f>Q354+Q375</f>
        <v>220.9</v>
      </c>
      <c r="R353" s="526">
        <f t="shared" si="62"/>
        <v>220.9</v>
      </c>
      <c r="S353" s="526"/>
      <c r="T353" s="526"/>
      <c r="U353" s="526"/>
      <c r="V353" s="526">
        <f>V354+V375</f>
        <v>201.7</v>
      </c>
      <c r="W353" s="526"/>
      <c r="X353" s="526"/>
      <c r="Y353" s="526">
        <f>Y354+Y375</f>
        <v>201.7</v>
      </c>
      <c r="Z353" s="526">
        <f t="shared" si="57"/>
        <v>100.1</v>
      </c>
      <c r="AA353" s="526">
        <f t="shared" si="61"/>
        <v>182.9</v>
      </c>
      <c r="AB353" s="909"/>
      <c r="AC353" s="549" t="s">
        <v>1665</v>
      </c>
      <c r="AF353" s="528"/>
      <c r="AG353" s="528"/>
      <c r="AH353" s="528"/>
    </row>
    <row r="354" spans="1:34" s="871" customFormat="1" ht="14.25" hidden="1" x14ac:dyDescent="0.2">
      <c r="A354" s="869"/>
      <c r="B354" s="917" t="s">
        <v>1252</v>
      </c>
      <c r="C354" s="868"/>
      <c r="D354" s="1039"/>
      <c r="E354" s="870"/>
      <c r="F354" s="918"/>
      <c r="G354" s="919"/>
      <c r="H354" s="886">
        <f>H355+H361+H369+H370+H371+H374</f>
        <v>58.7</v>
      </c>
      <c r="I354" s="886"/>
      <c r="J354" s="886"/>
      <c r="K354" s="886">
        <f>K355+K361+K369+K370+K371+K374</f>
        <v>51.4</v>
      </c>
      <c r="L354" s="886"/>
      <c r="M354" s="886"/>
      <c r="N354" s="886">
        <f>N355+N361+N369+N370+N371+N374</f>
        <v>51.4</v>
      </c>
      <c r="O354" s="886"/>
      <c r="P354" s="886"/>
      <c r="Q354" s="886">
        <f>Q355+Q358+Q361+Q369+Q370+Q371+Q374</f>
        <v>83</v>
      </c>
      <c r="R354" s="886">
        <f t="shared" si="62"/>
        <v>83</v>
      </c>
      <c r="S354" s="886"/>
      <c r="T354" s="886"/>
      <c r="U354" s="886"/>
      <c r="V354" s="886">
        <f>V355+V358+V361+V369+V370+V371+V374</f>
        <v>58</v>
      </c>
      <c r="W354" s="886"/>
      <c r="X354" s="886"/>
      <c r="Y354" s="886">
        <f>Y355+Y358+Y361+Y369+Y370+Y371+Y374</f>
        <v>58</v>
      </c>
      <c r="Z354" s="886">
        <f t="shared" ref="Z354:Z395" si="63">Q354-K354</f>
        <v>31.6</v>
      </c>
      <c r="AA354" s="886">
        <f t="shared" si="61"/>
        <v>161.5</v>
      </c>
      <c r="AB354" s="1842"/>
      <c r="AC354" s="920" t="s">
        <v>1665</v>
      </c>
      <c r="AF354" s="872"/>
      <c r="AG354" s="872"/>
      <c r="AH354" s="872"/>
    </row>
    <row r="355" spans="1:34" s="492" customFormat="1" ht="25.5" hidden="1" x14ac:dyDescent="0.2">
      <c r="A355" s="1240"/>
      <c r="B355" s="500" t="s">
        <v>1239</v>
      </c>
      <c r="C355" s="501" t="s">
        <v>797</v>
      </c>
      <c r="D355" s="932"/>
      <c r="E355" s="842"/>
      <c r="F355" s="828"/>
      <c r="G355" s="829"/>
      <c r="H355" s="542">
        <f>SUM(H356:H357)</f>
        <v>4.8</v>
      </c>
      <c r="I355" s="533"/>
      <c r="J355" s="533"/>
      <c r="K355" s="533">
        <f>SUM(K356:K357)</f>
        <v>0.8</v>
      </c>
      <c r="L355" s="533"/>
      <c r="M355" s="533"/>
      <c r="N355" s="533">
        <f>SUM(N356:N357)</f>
        <v>0.8</v>
      </c>
      <c r="O355" s="533"/>
      <c r="P355" s="533"/>
      <c r="Q355" s="533">
        <f>SUM(Q356:Q357)</f>
        <v>0.8</v>
      </c>
      <c r="R355" s="533">
        <f t="shared" si="62"/>
        <v>0.8</v>
      </c>
      <c r="S355" s="533"/>
      <c r="T355" s="533"/>
      <c r="U355" s="533"/>
      <c r="V355" s="533">
        <f>SUM(V356:V357)</f>
        <v>0.8</v>
      </c>
      <c r="W355" s="533"/>
      <c r="X355" s="533"/>
      <c r="Y355" s="533">
        <f>SUM(Y356:Y357)</f>
        <v>0.8</v>
      </c>
      <c r="Z355" s="542">
        <f t="shared" si="63"/>
        <v>0</v>
      </c>
      <c r="AA355" s="542">
        <f t="shared" si="61"/>
        <v>100</v>
      </c>
      <c r="AB355" s="921"/>
      <c r="AC355" s="491" t="s">
        <v>1665</v>
      </c>
      <c r="AF355" s="466"/>
      <c r="AG355" s="466"/>
      <c r="AH355" s="466"/>
    </row>
    <row r="356" spans="1:34" s="498" customFormat="1" hidden="1" x14ac:dyDescent="0.25">
      <c r="A356" s="962"/>
      <c r="B356" s="502" t="s">
        <v>1962</v>
      </c>
      <c r="C356" s="499"/>
      <c r="D356" s="903"/>
      <c r="E356" s="1031" t="s">
        <v>227</v>
      </c>
      <c r="F356" s="557">
        <v>16</v>
      </c>
      <c r="G356" s="558">
        <v>0.1</v>
      </c>
      <c r="H356" s="559">
        <f>F356*G356</f>
        <v>1.6</v>
      </c>
      <c r="I356" s="857">
        <v>8</v>
      </c>
      <c r="J356" s="862">
        <v>0.1</v>
      </c>
      <c r="K356" s="857">
        <f>I356*J356</f>
        <v>0.8</v>
      </c>
      <c r="L356" s="857">
        <v>8</v>
      </c>
      <c r="M356" s="862">
        <v>0.1</v>
      </c>
      <c r="N356" s="857">
        <f>L356*M356</f>
        <v>0.8</v>
      </c>
      <c r="O356" s="857">
        <v>8</v>
      </c>
      <c r="P356" s="857">
        <v>0.1</v>
      </c>
      <c r="Q356" s="857">
        <f>P356*O356</f>
        <v>0.8</v>
      </c>
      <c r="R356" s="857">
        <f t="shared" si="62"/>
        <v>0.8</v>
      </c>
      <c r="S356" s="857"/>
      <c r="T356" s="857">
        <v>8</v>
      </c>
      <c r="U356" s="857">
        <v>0.1</v>
      </c>
      <c r="V356" s="857">
        <f>U356*T356</f>
        <v>0.8</v>
      </c>
      <c r="W356" s="857">
        <v>8</v>
      </c>
      <c r="X356" s="857">
        <v>0.1</v>
      </c>
      <c r="Y356" s="857">
        <f>X356*W356</f>
        <v>0.8</v>
      </c>
      <c r="Z356" s="559">
        <f t="shared" si="63"/>
        <v>0</v>
      </c>
      <c r="AA356" s="559">
        <f t="shared" si="61"/>
        <v>100</v>
      </c>
      <c r="AB356" s="893"/>
      <c r="AC356" s="491" t="s">
        <v>1665</v>
      </c>
      <c r="AF356" s="466"/>
      <c r="AG356" s="465"/>
      <c r="AH356" s="465"/>
    </row>
    <row r="357" spans="1:34" s="498" customFormat="1" hidden="1" x14ac:dyDescent="0.25">
      <c r="A357" s="962"/>
      <c r="B357" s="502" t="s">
        <v>1821</v>
      </c>
      <c r="C357" s="503"/>
      <c r="D357" s="903"/>
      <c r="E357" s="1031" t="s">
        <v>1240</v>
      </c>
      <c r="F357" s="557">
        <v>40</v>
      </c>
      <c r="G357" s="558">
        <v>0.08</v>
      </c>
      <c r="H357" s="559">
        <f>F357*G357</f>
        <v>3.2</v>
      </c>
      <c r="I357" s="857"/>
      <c r="J357" s="857"/>
      <c r="K357" s="857"/>
      <c r="L357" s="857"/>
      <c r="M357" s="857"/>
      <c r="N357" s="857"/>
      <c r="O357" s="857"/>
      <c r="P357" s="857"/>
      <c r="Q357" s="857"/>
      <c r="R357" s="857">
        <f t="shared" si="62"/>
        <v>0</v>
      </c>
      <c r="S357" s="857"/>
      <c r="T357" s="857"/>
      <c r="U357" s="857"/>
      <c r="V357" s="857"/>
      <c r="W357" s="857"/>
      <c r="X357" s="857"/>
      <c r="Y357" s="857"/>
      <c r="Z357" s="559">
        <f t="shared" si="63"/>
        <v>0</v>
      </c>
      <c r="AA357" s="559" t="str">
        <f t="shared" si="61"/>
        <v>-</v>
      </c>
      <c r="AB357" s="893"/>
      <c r="AC357" s="491" t="s">
        <v>1665</v>
      </c>
      <c r="AF357" s="466"/>
      <c r="AG357" s="465"/>
      <c r="AH357" s="465"/>
    </row>
    <row r="358" spans="1:34" s="498" customFormat="1" hidden="1" x14ac:dyDescent="0.25">
      <c r="A358" s="962"/>
      <c r="B358" s="500" t="s">
        <v>1963</v>
      </c>
      <c r="C358" s="501" t="s">
        <v>800</v>
      </c>
      <c r="D358" s="903"/>
      <c r="E358" s="1031"/>
      <c r="F358" s="557"/>
      <c r="G358" s="558"/>
      <c r="H358" s="559"/>
      <c r="I358" s="857"/>
      <c r="J358" s="857"/>
      <c r="K358" s="857"/>
      <c r="L358" s="857"/>
      <c r="M358" s="857"/>
      <c r="N358" s="857"/>
      <c r="O358" s="533"/>
      <c r="P358" s="533"/>
      <c r="Q358" s="533">
        <f>SUM(Q359:Q360)</f>
        <v>25</v>
      </c>
      <c r="R358" s="533">
        <f t="shared" si="62"/>
        <v>25</v>
      </c>
      <c r="S358" s="533"/>
      <c r="T358" s="533"/>
      <c r="U358" s="533"/>
      <c r="V358" s="533">
        <f>SUM(V359:V360)</f>
        <v>0</v>
      </c>
      <c r="W358" s="533"/>
      <c r="X358" s="533"/>
      <c r="Y358" s="533">
        <f>SUM(Y359:Y360)</f>
        <v>0</v>
      </c>
      <c r="Z358" s="559">
        <f t="shared" si="63"/>
        <v>25</v>
      </c>
      <c r="AA358" s="559" t="str">
        <f t="shared" si="61"/>
        <v>-</v>
      </c>
      <c r="AB358" s="893"/>
      <c r="AC358" s="491" t="s">
        <v>1665</v>
      </c>
      <c r="AF358" s="466"/>
      <c r="AG358" s="465"/>
      <c r="AH358" s="465"/>
    </row>
    <row r="359" spans="1:34" s="498" customFormat="1" ht="26.25" hidden="1" x14ac:dyDescent="0.25">
      <c r="A359" s="962"/>
      <c r="B359" s="502" t="s">
        <v>1964</v>
      </c>
      <c r="C359" s="501"/>
      <c r="D359" s="903"/>
      <c r="E359" s="882" t="s">
        <v>227</v>
      </c>
      <c r="F359" s="557"/>
      <c r="G359" s="558"/>
      <c r="H359" s="559"/>
      <c r="I359" s="857"/>
      <c r="J359" s="857"/>
      <c r="K359" s="857"/>
      <c r="L359" s="857"/>
      <c r="M359" s="857"/>
      <c r="N359" s="857"/>
      <c r="O359" s="857"/>
      <c r="P359" s="857"/>
      <c r="Q359" s="857"/>
      <c r="R359" s="857">
        <f t="shared" si="62"/>
        <v>0</v>
      </c>
      <c r="S359" s="857"/>
      <c r="T359" s="533"/>
      <c r="U359" s="533"/>
      <c r="V359" s="857">
        <f>U359*T359</f>
        <v>0</v>
      </c>
      <c r="W359" s="857"/>
      <c r="X359" s="857"/>
      <c r="Y359" s="857">
        <f>X359*W359</f>
        <v>0</v>
      </c>
      <c r="Z359" s="559">
        <f t="shared" si="63"/>
        <v>0</v>
      </c>
      <c r="AA359" s="559" t="str">
        <f t="shared" si="61"/>
        <v>-</v>
      </c>
      <c r="AB359" s="1940" t="s">
        <v>1965</v>
      </c>
      <c r="AC359" s="491" t="s">
        <v>1665</v>
      </c>
      <c r="AF359" s="466"/>
      <c r="AG359" s="465"/>
      <c r="AH359" s="465"/>
    </row>
    <row r="360" spans="1:34" s="498" customFormat="1" ht="26.25" hidden="1" x14ac:dyDescent="0.25">
      <c r="A360" s="962"/>
      <c r="B360" s="502" t="s">
        <v>1966</v>
      </c>
      <c r="C360" s="501"/>
      <c r="D360" s="903"/>
      <c r="E360" s="882" t="s">
        <v>227</v>
      </c>
      <c r="F360" s="557"/>
      <c r="G360" s="558"/>
      <c r="H360" s="559"/>
      <c r="I360" s="857"/>
      <c r="J360" s="857"/>
      <c r="K360" s="857"/>
      <c r="L360" s="857"/>
      <c r="M360" s="857"/>
      <c r="N360" s="857"/>
      <c r="O360" s="857">
        <v>1</v>
      </c>
      <c r="P360" s="857">
        <v>25</v>
      </c>
      <c r="Q360" s="857">
        <f>P360*O360</f>
        <v>25</v>
      </c>
      <c r="R360" s="857">
        <f t="shared" si="62"/>
        <v>25</v>
      </c>
      <c r="S360" s="857"/>
      <c r="T360" s="533"/>
      <c r="U360" s="533"/>
      <c r="V360" s="857">
        <f>U360*T360</f>
        <v>0</v>
      </c>
      <c r="W360" s="857"/>
      <c r="X360" s="857"/>
      <c r="Y360" s="857">
        <f>X360*W360</f>
        <v>0</v>
      </c>
      <c r="Z360" s="559">
        <f t="shared" si="63"/>
        <v>25</v>
      </c>
      <c r="AA360" s="559" t="str">
        <f t="shared" si="61"/>
        <v>-</v>
      </c>
      <c r="AB360" s="1940" t="s">
        <v>1967</v>
      </c>
      <c r="AC360" s="491" t="s">
        <v>1665</v>
      </c>
      <c r="AF360" s="466"/>
      <c r="AG360" s="465"/>
      <c r="AH360" s="465"/>
    </row>
    <row r="361" spans="1:34" s="492" customFormat="1" ht="14.25" x14ac:dyDescent="0.2">
      <c r="A361" s="1240"/>
      <c r="B361" s="500" t="s">
        <v>1233</v>
      </c>
      <c r="C361" s="501" t="s">
        <v>1230</v>
      </c>
      <c r="D361" s="932"/>
      <c r="E361" s="842"/>
      <c r="F361" s="828"/>
      <c r="G361" s="829"/>
      <c r="H361" s="542">
        <f>SUM(H362:H368)</f>
        <v>25.9</v>
      </c>
      <c r="I361" s="533"/>
      <c r="J361" s="533"/>
      <c r="K361" s="533">
        <f>SUM(K362:K368)</f>
        <v>28.7</v>
      </c>
      <c r="L361" s="533"/>
      <c r="M361" s="533"/>
      <c r="N361" s="533">
        <f>SUM(N362:N368)</f>
        <v>28.7</v>
      </c>
      <c r="O361" s="533"/>
      <c r="P361" s="533"/>
      <c r="Q361" s="533">
        <f>SUM(Q362:Q368)</f>
        <v>35.700000000000003</v>
      </c>
      <c r="R361" s="533">
        <f t="shared" si="62"/>
        <v>35.700000000000003</v>
      </c>
      <c r="S361" s="533"/>
      <c r="T361" s="533"/>
      <c r="U361" s="533"/>
      <c r="V361" s="533">
        <f>SUM(V362:V368)</f>
        <v>35.700000000000003</v>
      </c>
      <c r="W361" s="533"/>
      <c r="X361" s="533"/>
      <c r="Y361" s="533">
        <f>SUM(Y362:Y368)</f>
        <v>35.700000000000003</v>
      </c>
      <c r="Z361" s="542">
        <f t="shared" si="63"/>
        <v>7</v>
      </c>
      <c r="AA361" s="542">
        <f t="shared" si="61"/>
        <v>124.4</v>
      </c>
      <c r="AB361" s="893"/>
      <c r="AC361" s="491" t="s">
        <v>1665</v>
      </c>
      <c r="AF361" s="466"/>
      <c r="AG361" s="466"/>
      <c r="AH361" s="466"/>
    </row>
    <row r="362" spans="1:34" s="498" customFormat="1" hidden="1" x14ac:dyDescent="0.25">
      <c r="A362" s="962"/>
      <c r="B362" s="502" t="s">
        <v>1737</v>
      </c>
      <c r="C362" s="503"/>
      <c r="D362" s="903"/>
      <c r="E362" s="1031" t="s">
        <v>318</v>
      </c>
      <c r="F362" s="557">
        <v>1</v>
      </c>
      <c r="G362" s="558">
        <v>3.5</v>
      </c>
      <c r="H362" s="559">
        <f>F362*G362</f>
        <v>3.5</v>
      </c>
      <c r="I362" s="857">
        <v>1</v>
      </c>
      <c r="J362" s="857">
        <v>3.5</v>
      </c>
      <c r="K362" s="857">
        <f>I362*J362</f>
        <v>3.5</v>
      </c>
      <c r="L362" s="857">
        <v>1</v>
      </c>
      <c r="M362" s="857">
        <v>3.5</v>
      </c>
      <c r="N362" s="857">
        <f>L362*M362</f>
        <v>3.5</v>
      </c>
      <c r="O362" s="857">
        <v>1</v>
      </c>
      <c r="P362" s="857">
        <v>3.5</v>
      </c>
      <c r="Q362" s="857">
        <f>P362*O362</f>
        <v>3.5</v>
      </c>
      <c r="R362" s="857">
        <f t="shared" si="62"/>
        <v>3.5</v>
      </c>
      <c r="S362" s="857"/>
      <c r="T362" s="857">
        <v>1</v>
      </c>
      <c r="U362" s="857">
        <v>3.5</v>
      </c>
      <c r="V362" s="857">
        <f>U362*T362</f>
        <v>3.5</v>
      </c>
      <c r="W362" s="857">
        <v>1</v>
      </c>
      <c r="X362" s="857">
        <v>3.5</v>
      </c>
      <c r="Y362" s="857">
        <f>X362*W362</f>
        <v>3.5</v>
      </c>
      <c r="Z362" s="559">
        <f t="shared" si="63"/>
        <v>0</v>
      </c>
      <c r="AA362" s="559">
        <f t="shared" si="61"/>
        <v>100</v>
      </c>
      <c r="AB362" s="893"/>
      <c r="AC362" s="491" t="s">
        <v>1665</v>
      </c>
      <c r="AF362" s="466"/>
      <c r="AG362" s="465"/>
      <c r="AH362" s="465"/>
    </row>
    <row r="363" spans="1:34" s="498" customFormat="1" hidden="1" x14ac:dyDescent="0.25">
      <c r="A363" s="962"/>
      <c r="B363" s="502" t="s">
        <v>1968</v>
      </c>
      <c r="C363" s="503"/>
      <c r="D363" s="903"/>
      <c r="E363" s="1031" t="s">
        <v>318</v>
      </c>
      <c r="F363" s="557">
        <v>6</v>
      </c>
      <c r="G363" s="558">
        <v>1.8</v>
      </c>
      <c r="H363" s="559">
        <f>F363*G363</f>
        <v>10.8</v>
      </c>
      <c r="I363" s="857">
        <v>6</v>
      </c>
      <c r="J363" s="857">
        <v>1.8</v>
      </c>
      <c r="K363" s="857">
        <f>I363*J363</f>
        <v>10.8</v>
      </c>
      <c r="L363" s="857">
        <v>6</v>
      </c>
      <c r="M363" s="857">
        <v>1.8</v>
      </c>
      <c r="N363" s="857">
        <f>L363*M363</f>
        <v>10.8</v>
      </c>
      <c r="O363" s="857">
        <v>6</v>
      </c>
      <c r="P363" s="857">
        <v>1.8</v>
      </c>
      <c r="Q363" s="857">
        <f>P363*O363</f>
        <v>10.8</v>
      </c>
      <c r="R363" s="857">
        <f t="shared" si="62"/>
        <v>10.8</v>
      </c>
      <c r="S363" s="857"/>
      <c r="T363" s="857">
        <v>6</v>
      </c>
      <c r="U363" s="857">
        <v>1.8</v>
      </c>
      <c r="V363" s="857">
        <f>U363*T363</f>
        <v>10.8</v>
      </c>
      <c r="W363" s="857">
        <v>6</v>
      </c>
      <c r="X363" s="857">
        <v>1.8</v>
      </c>
      <c r="Y363" s="857">
        <f>X363*W363</f>
        <v>10.8</v>
      </c>
      <c r="Z363" s="559">
        <f t="shared" si="63"/>
        <v>0</v>
      </c>
      <c r="AA363" s="559">
        <f t="shared" si="61"/>
        <v>100</v>
      </c>
      <c r="AB363" s="893"/>
      <c r="AC363" s="491" t="s">
        <v>1665</v>
      </c>
      <c r="AF363" s="466"/>
      <c r="AG363" s="465"/>
      <c r="AH363" s="465"/>
    </row>
    <row r="364" spans="1:34" s="498" customFormat="1" hidden="1" x14ac:dyDescent="0.25">
      <c r="A364" s="962"/>
      <c r="B364" s="502" t="s">
        <v>1366</v>
      </c>
      <c r="C364" s="501"/>
      <c r="D364" s="903"/>
      <c r="E364" s="1031" t="s">
        <v>318</v>
      </c>
      <c r="F364" s="557">
        <v>4</v>
      </c>
      <c r="G364" s="558">
        <v>1.73</v>
      </c>
      <c r="H364" s="559">
        <f>F364*G364</f>
        <v>6.9</v>
      </c>
      <c r="I364" s="857">
        <v>4</v>
      </c>
      <c r="J364" s="857">
        <v>1.7</v>
      </c>
      <c r="K364" s="857">
        <f>I364*J364</f>
        <v>6.8</v>
      </c>
      <c r="L364" s="857">
        <v>4</v>
      </c>
      <c r="M364" s="857">
        <v>1.7</v>
      </c>
      <c r="N364" s="857">
        <f>L364*M364</f>
        <v>6.8</v>
      </c>
      <c r="O364" s="857">
        <v>4</v>
      </c>
      <c r="P364" s="857">
        <v>1.7</v>
      </c>
      <c r="Q364" s="857">
        <f>P364*O364</f>
        <v>6.8</v>
      </c>
      <c r="R364" s="857">
        <f t="shared" si="62"/>
        <v>6.8</v>
      </c>
      <c r="S364" s="857"/>
      <c r="T364" s="857">
        <v>4</v>
      </c>
      <c r="U364" s="857">
        <v>1.7</v>
      </c>
      <c r="V364" s="857">
        <f>U364*T364</f>
        <v>6.8</v>
      </c>
      <c r="W364" s="857">
        <v>4</v>
      </c>
      <c r="X364" s="857">
        <v>1.7</v>
      </c>
      <c r="Y364" s="857">
        <f>X364*W364</f>
        <v>6.8</v>
      </c>
      <c r="Z364" s="559">
        <f t="shared" si="63"/>
        <v>0</v>
      </c>
      <c r="AA364" s="559">
        <f t="shared" si="61"/>
        <v>100</v>
      </c>
      <c r="AB364" s="893"/>
      <c r="AC364" s="491" t="s">
        <v>1665</v>
      </c>
      <c r="AF364" s="466"/>
      <c r="AG364" s="465"/>
      <c r="AH364" s="465"/>
    </row>
    <row r="365" spans="1:34" s="498" customFormat="1" hidden="1" x14ac:dyDescent="0.25">
      <c r="A365" s="962"/>
      <c r="B365" s="502" t="s">
        <v>1825</v>
      </c>
      <c r="C365" s="501"/>
      <c r="D365" s="903"/>
      <c r="E365" s="1031"/>
      <c r="F365" s="557"/>
      <c r="G365" s="558"/>
      <c r="H365" s="559"/>
      <c r="I365" s="857">
        <v>1</v>
      </c>
      <c r="J365" s="857">
        <v>1.5</v>
      </c>
      <c r="K365" s="857">
        <f>I365*J365</f>
        <v>1.5</v>
      </c>
      <c r="L365" s="857">
        <v>1</v>
      </c>
      <c r="M365" s="857">
        <v>1.5</v>
      </c>
      <c r="N365" s="857">
        <f>L365*M365</f>
        <v>1.5</v>
      </c>
      <c r="O365" s="857"/>
      <c r="P365" s="857"/>
      <c r="Q365" s="857"/>
      <c r="R365" s="857">
        <f t="shared" si="62"/>
        <v>0</v>
      </c>
      <c r="S365" s="857"/>
      <c r="T365" s="857"/>
      <c r="U365" s="857"/>
      <c r="V365" s="857"/>
      <c r="W365" s="857"/>
      <c r="X365" s="857"/>
      <c r="Y365" s="857"/>
      <c r="Z365" s="559">
        <f t="shared" si="63"/>
        <v>-1.5</v>
      </c>
      <c r="AA365" s="559">
        <f t="shared" si="61"/>
        <v>0</v>
      </c>
      <c r="AB365" s="1924"/>
      <c r="AC365" s="491" t="s">
        <v>1665</v>
      </c>
      <c r="AF365" s="466"/>
      <c r="AG365" s="465"/>
      <c r="AH365" s="465"/>
    </row>
    <row r="366" spans="1:34" s="498" customFormat="1" hidden="1" x14ac:dyDescent="0.25">
      <c r="A366" s="962"/>
      <c r="B366" s="1885" t="s">
        <v>1969</v>
      </c>
      <c r="C366" s="826"/>
      <c r="D366" s="1926"/>
      <c r="E366" s="1930" t="s">
        <v>318</v>
      </c>
      <c r="F366" s="1929"/>
      <c r="G366" s="1929"/>
      <c r="H366" s="1929"/>
      <c r="I366" s="1929"/>
      <c r="J366" s="1929"/>
      <c r="K366" s="1929"/>
      <c r="L366" s="1929"/>
      <c r="M366" s="1941"/>
      <c r="N366" s="1929"/>
      <c r="O366" s="1929">
        <v>1</v>
      </c>
      <c r="P366" s="1929">
        <v>3.5</v>
      </c>
      <c r="Q366" s="1942">
        <f>O366*P366</f>
        <v>3.5</v>
      </c>
      <c r="R366" s="1942">
        <f t="shared" si="62"/>
        <v>3.5</v>
      </c>
      <c r="S366" s="1942"/>
      <c r="T366" s="1929">
        <v>1</v>
      </c>
      <c r="U366" s="1929">
        <v>3.5</v>
      </c>
      <c r="V366" s="1942">
        <f>T366*U366</f>
        <v>3.5</v>
      </c>
      <c r="W366" s="1929">
        <v>1</v>
      </c>
      <c r="X366" s="1929">
        <v>3.5</v>
      </c>
      <c r="Y366" s="1942">
        <f>W366*X366</f>
        <v>3.5</v>
      </c>
      <c r="Z366" s="1929">
        <f t="shared" si="63"/>
        <v>3.5</v>
      </c>
      <c r="AA366" s="1929" t="str">
        <f t="shared" si="61"/>
        <v>-</v>
      </c>
      <c r="AB366" s="3514" t="s">
        <v>1885</v>
      </c>
      <c r="AC366" s="491" t="s">
        <v>1665</v>
      </c>
      <c r="AF366" s="466"/>
      <c r="AG366" s="465"/>
      <c r="AH366" s="465"/>
    </row>
    <row r="367" spans="1:34" s="498" customFormat="1" hidden="1" x14ac:dyDescent="0.25">
      <c r="A367" s="962"/>
      <c r="B367" s="1885" t="s">
        <v>1970</v>
      </c>
      <c r="C367" s="826"/>
      <c r="D367" s="1926"/>
      <c r="E367" s="1930" t="s">
        <v>318</v>
      </c>
      <c r="F367" s="1929"/>
      <c r="G367" s="1929"/>
      <c r="H367" s="1929"/>
      <c r="I367" s="1929"/>
      <c r="J367" s="1929"/>
      <c r="K367" s="1929"/>
      <c r="L367" s="1929"/>
      <c r="M367" s="1941"/>
      <c r="N367" s="1929"/>
      <c r="O367" s="1929">
        <v>1</v>
      </c>
      <c r="P367" s="1929">
        <v>3.5</v>
      </c>
      <c r="Q367" s="1942">
        <f>O367*P367</f>
        <v>3.5</v>
      </c>
      <c r="R367" s="1942">
        <f t="shared" si="62"/>
        <v>3.5</v>
      </c>
      <c r="S367" s="1942"/>
      <c r="T367" s="1929">
        <v>1</v>
      </c>
      <c r="U367" s="1929">
        <v>3.5</v>
      </c>
      <c r="V367" s="1942">
        <f>T367*U367</f>
        <v>3.5</v>
      </c>
      <c r="W367" s="1929">
        <v>1</v>
      </c>
      <c r="X367" s="1929">
        <v>3.5</v>
      </c>
      <c r="Y367" s="1942">
        <f>W367*X367</f>
        <v>3.5</v>
      </c>
      <c r="Z367" s="1929">
        <f t="shared" si="63"/>
        <v>3.5</v>
      </c>
      <c r="AA367" s="1929" t="str">
        <f t="shared" si="61"/>
        <v>-</v>
      </c>
      <c r="AB367" s="3516"/>
      <c r="AC367" s="491" t="s">
        <v>1665</v>
      </c>
      <c r="AF367" s="466"/>
      <c r="AG367" s="465"/>
      <c r="AH367" s="465"/>
    </row>
    <row r="368" spans="1:34" s="498" customFormat="1" hidden="1" x14ac:dyDescent="0.25">
      <c r="A368" s="962"/>
      <c r="B368" s="502" t="s">
        <v>1971</v>
      </c>
      <c r="C368" s="503"/>
      <c r="D368" s="903"/>
      <c r="E368" s="1031"/>
      <c r="F368" s="557"/>
      <c r="G368" s="558"/>
      <c r="H368" s="559">
        <v>4.7</v>
      </c>
      <c r="I368" s="857"/>
      <c r="J368" s="857"/>
      <c r="K368" s="857">
        <f>(K362+K363+K364+K365)*27.1/100</f>
        <v>6.1</v>
      </c>
      <c r="L368" s="857"/>
      <c r="M368" s="857"/>
      <c r="N368" s="857">
        <f>(N362+N363+N364+N365)*27.1/100</f>
        <v>6.1</v>
      </c>
      <c r="O368" s="857"/>
      <c r="P368" s="857"/>
      <c r="Q368" s="857">
        <f>SUM(Q362:Q367)*0.271</f>
        <v>7.6</v>
      </c>
      <c r="R368" s="857">
        <f t="shared" si="62"/>
        <v>7.6</v>
      </c>
      <c r="S368" s="857"/>
      <c r="T368" s="857"/>
      <c r="U368" s="857"/>
      <c r="V368" s="857">
        <f>SUM(V362:V367)*0.271</f>
        <v>7.6</v>
      </c>
      <c r="W368" s="857"/>
      <c r="X368" s="857"/>
      <c r="Y368" s="857">
        <f>SUM(Y362:Y367)*0.271</f>
        <v>7.6</v>
      </c>
      <c r="Z368" s="559">
        <f t="shared" si="63"/>
        <v>1.5</v>
      </c>
      <c r="AA368" s="559">
        <f t="shared" si="61"/>
        <v>124.6</v>
      </c>
      <c r="AB368" s="893"/>
      <c r="AC368" s="491" t="s">
        <v>1665</v>
      </c>
      <c r="AF368" s="466"/>
      <c r="AG368" s="465"/>
      <c r="AH368" s="465"/>
    </row>
    <row r="369" spans="1:34" s="492" customFormat="1" ht="25.5" hidden="1" x14ac:dyDescent="0.2">
      <c r="A369" s="1240"/>
      <c r="B369" s="500" t="s">
        <v>1972</v>
      </c>
      <c r="C369" s="501" t="s">
        <v>800</v>
      </c>
      <c r="D369" s="932"/>
      <c r="E369" s="842" t="s">
        <v>227</v>
      </c>
      <c r="F369" s="828">
        <v>1</v>
      </c>
      <c r="G369" s="829">
        <v>3.5</v>
      </c>
      <c r="H369" s="542">
        <f>F369*G369</f>
        <v>3.5</v>
      </c>
      <c r="I369" s="533">
        <v>1</v>
      </c>
      <c r="J369" s="533">
        <v>3.5</v>
      </c>
      <c r="K369" s="533">
        <f>I369*J369</f>
        <v>3.5</v>
      </c>
      <c r="L369" s="533">
        <v>1</v>
      </c>
      <c r="M369" s="533">
        <v>3.5</v>
      </c>
      <c r="N369" s="533">
        <f>L369*M369</f>
        <v>3.5</v>
      </c>
      <c r="O369" s="533">
        <v>1</v>
      </c>
      <c r="P369" s="533">
        <v>3.5</v>
      </c>
      <c r="Q369" s="533">
        <f>O369*P369</f>
        <v>3.5</v>
      </c>
      <c r="R369" s="533">
        <f t="shared" si="62"/>
        <v>3.5</v>
      </c>
      <c r="S369" s="533"/>
      <c r="T369" s="533">
        <v>1</v>
      </c>
      <c r="U369" s="533">
        <v>3.5</v>
      </c>
      <c r="V369" s="533">
        <f>T369*U369</f>
        <v>3.5</v>
      </c>
      <c r="W369" s="533">
        <v>1</v>
      </c>
      <c r="X369" s="533">
        <v>3.5</v>
      </c>
      <c r="Y369" s="533">
        <f>W369*X369</f>
        <v>3.5</v>
      </c>
      <c r="Z369" s="542">
        <f t="shared" si="63"/>
        <v>0</v>
      </c>
      <c r="AA369" s="542">
        <f t="shared" si="61"/>
        <v>100</v>
      </c>
      <c r="AB369" s="893"/>
      <c r="AC369" s="491" t="s">
        <v>1665</v>
      </c>
      <c r="AF369" s="466"/>
      <c r="AG369" s="466"/>
      <c r="AH369" s="466"/>
    </row>
    <row r="370" spans="1:34" s="492" customFormat="1" ht="14.25" hidden="1" x14ac:dyDescent="0.2">
      <c r="A370" s="1240"/>
      <c r="B370" s="865" t="s">
        <v>1973</v>
      </c>
      <c r="C370" s="501" t="s">
        <v>797</v>
      </c>
      <c r="D370" s="932"/>
      <c r="E370" s="842" t="s">
        <v>227</v>
      </c>
      <c r="F370" s="828">
        <v>34</v>
      </c>
      <c r="G370" s="829">
        <v>0.1</v>
      </c>
      <c r="H370" s="542">
        <f>F370*G370</f>
        <v>3.4</v>
      </c>
      <c r="I370" s="533">
        <v>34</v>
      </c>
      <c r="J370" s="533">
        <v>0.1</v>
      </c>
      <c r="K370" s="533">
        <f>I370*J370</f>
        <v>3.4</v>
      </c>
      <c r="L370" s="533">
        <v>34</v>
      </c>
      <c r="M370" s="533">
        <v>0.1</v>
      </c>
      <c r="N370" s="533">
        <f>L370*M370</f>
        <v>3.4</v>
      </c>
      <c r="O370" s="533">
        <v>30</v>
      </c>
      <c r="P370" s="533">
        <v>0.1</v>
      </c>
      <c r="Q370" s="533">
        <f>O370*P370</f>
        <v>3</v>
      </c>
      <c r="R370" s="533">
        <f t="shared" si="62"/>
        <v>3</v>
      </c>
      <c r="S370" s="533"/>
      <c r="T370" s="533">
        <v>30</v>
      </c>
      <c r="U370" s="533">
        <v>0.1</v>
      </c>
      <c r="V370" s="533">
        <f>T370*U370</f>
        <v>3</v>
      </c>
      <c r="W370" s="533">
        <v>30</v>
      </c>
      <c r="X370" s="533">
        <v>0.1</v>
      </c>
      <c r="Y370" s="533">
        <f>W370*X370</f>
        <v>3</v>
      </c>
      <c r="Z370" s="542">
        <f t="shared" si="63"/>
        <v>-0.4</v>
      </c>
      <c r="AA370" s="542">
        <f t="shared" ref="AA370:AA395" si="64">IFERROR(Q370/K370*100,"-")</f>
        <v>88.2</v>
      </c>
      <c r="AB370" s="893"/>
      <c r="AC370" s="491" t="s">
        <v>1665</v>
      </c>
      <c r="AF370" s="466"/>
      <c r="AG370" s="466"/>
      <c r="AH370" s="466"/>
    </row>
    <row r="371" spans="1:34" s="492" customFormat="1" ht="14.25" hidden="1" x14ac:dyDescent="0.2">
      <c r="A371" s="1240"/>
      <c r="B371" s="865" t="s">
        <v>1226</v>
      </c>
      <c r="C371" s="508" t="s">
        <v>797</v>
      </c>
      <c r="D371" s="932"/>
      <c r="E371" s="842"/>
      <c r="F371" s="828"/>
      <c r="G371" s="829"/>
      <c r="H371" s="542">
        <f>SUM(H372:H373)</f>
        <v>13.6</v>
      </c>
      <c r="I371" s="533"/>
      <c r="J371" s="533"/>
      <c r="K371" s="533">
        <f>SUM(K372:K373)</f>
        <v>7.5</v>
      </c>
      <c r="L371" s="533"/>
      <c r="M371" s="533"/>
      <c r="N371" s="533">
        <f>SUM(N372:N373)</f>
        <v>7.5</v>
      </c>
      <c r="O371" s="533"/>
      <c r="P371" s="533"/>
      <c r="Q371" s="533">
        <f>SUM(Q372:Q373)</f>
        <v>7.5</v>
      </c>
      <c r="R371" s="533">
        <f t="shared" si="62"/>
        <v>7.5</v>
      </c>
      <c r="S371" s="533"/>
      <c r="T371" s="533"/>
      <c r="U371" s="533"/>
      <c r="V371" s="533">
        <f>SUM(V372:V373)</f>
        <v>7.5</v>
      </c>
      <c r="W371" s="533"/>
      <c r="X371" s="533"/>
      <c r="Y371" s="533">
        <f>SUM(Y372:Y373)</f>
        <v>7.5</v>
      </c>
      <c r="Z371" s="542">
        <f t="shared" si="63"/>
        <v>0</v>
      </c>
      <c r="AA371" s="542">
        <f t="shared" si="64"/>
        <v>100</v>
      </c>
      <c r="AB371" s="893"/>
      <c r="AC371" s="491" t="s">
        <v>1665</v>
      </c>
      <c r="AF371" s="466"/>
      <c r="AG371" s="466"/>
      <c r="AH371" s="466"/>
    </row>
    <row r="372" spans="1:34" s="498" customFormat="1" hidden="1" x14ac:dyDescent="0.25">
      <c r="A372" s="962"/>
      <c r="B372" s="502" t="s">
        <v>1974</v>
      </c>
      <c r="C372" s="503"/>
      <c r="D372" s="903"/>
      <c r="E372" s="1031" t="s">
        <v>227</v>
      </c>
      <c r="F372" s="557">
        <v>15</v>
      </c>
      <c r="G372" s="558">
        <v>0.6</v>
      </c>
      <c r="H372" s="559">
        <f>F372*G372</f>
        <v>9</v>
      </c>
      <c r="I372" s="857">
        <v>15</v>
      </c>
      <c r="J372" s="857">
        <v>0.3</v>
      </c>
      <c r="K372" s="857">
        <f>I372*J372</f>
        <v>4.5</v>
      </c>
      <c r="L372" s="857">
        <v>15</v>
      </c>
      <c r="M372" s="857">
        <v>0.3</v>
      </c>
      <c r="N372" s="857">
        <f>L372*M372</f>
        <v>4.5</v>
      </c>
      <c r="O372" s="857">
        <v>15</v>
      </c>
      <c r="P372" s="857">
        <v>0.3</v>
      </c>
      <c r="Q372" s="857">
        <f>O372*P372</f>
        <v>4.5</v>
      </c>
      <c r="R372" s="857">
        <f t="shared" si="62"/>
        <v>4.5</v>
      </c>
      <c r="S372" s="857"/>
      <c r="T372" s="857">
        <v>15</v>
      </c>
      <c r="U372" s="857">
        <v>0.3</v>
      </c>
      <c r="V372" s="857">
        <f>T372*U372</f>
        <v>4.5</v>
      </c>
      <c r="W372" s="857">
        <v>15</v>
      </c>
      <c r="X372" s="857">
        <v>0.3</v>
      </c>
      <c r="Y372" s="857">
        <f>W372*X372</f>
        <v>4.5</v>
      </c>
      <c r="Z372" s="559">
        <f t="shared" si="63"/>
        <v>0</v>
      </c>
      <c r="AA372" s="559">
        <f t="shared" si="64"/>
        <v>100</v>
      </c>
      <c r="AB372" s="893"/>
      <c r="AC372" s="491" t="s">
        <v>1665</v>
      </c>
      <c r="AF372" s="466"/>
      <c r="AG372" s="465"/>
      <c r="AH372" s="465"/>
    </row>
    <row r="373" spans="1:34" s="498" customFormat="1" hidden="1" x14ac:dyDescent="0.25">
      <c r="A373" s="962"/>
      <c r="B373" s="502" t="s">
        <v>1909</v>
      </c>
      <c r="C373" s="503"/>
      <c r="D373" s="903"/>
      <c r="E373" s="1031" t="s">
        <v>1240</v>
      </c>
      <c r="F373" s="557">
        <v>23</v>
      </c>
      <c r="G373" s="558">
        <v>0.2</v>
      </c>
      <c r="H373" s="559">
        <f>F373*G373</f>
        <v>4.5999999999999996</v>
      </c>
      <c r="I373" s="857">
        <v>15</v>
      </c>
      <c r="J373" s="857">
        <v>0.2</v>
      </c>
      <c r="K373" s="857">
        <f>I373*J373</f>
        <v>3</v>
      </c>
      <c r="L373" s="857">
        <v>15</v>
      </c>
      <c r="M373" s="857">
        <v>0.2</v>
      </c>
      <c r="N373" s="857">
        <f>L373*M373</f>
        <v>3</v>
      </c>
      <c r="O373" s="857">
        <v>15</v>
      </c>
      <c r="P373" s="857">
        <v>0.2</v>
      </c>
      <c r="Q373" s="857">
        <f>O373*P373</f>
        <v>3</v>
      </c>
      <c r="R373" s="857">
        <f t="shared" si="62"/>
        <v>3</v>
      </c>
      <c r="S373" s="857"/>
      <c r="T373" s="857">
        <v>15</v>
      </c>
      <c r="U373" s="857">
        <v>0.2</v>
      </c>
      <c r="V373" s="857">
        <f>T373*U373</f>
        <v>3</v>
      </c>
      <c r="W373" s="857">
        <v>15</v>
      </c>
      <c r="X373" s="857">
        <v>0.2</v>
      </c>
      <c r="Y373" s="857">
        <f>W373*X373</f>
        <v>3</v>
      </c>
      <c r="Z373" s="559">
        <f t="shared" si="63"/>
        <v>0</v>
      </c>
      <c r="AA373" s="559">
        <f t="shared" si="64"/>
        <v>100</v>
      </c>
      <c r="AB373" s="893"/>
      <c r="AC373" s="491" t="s">
        <v>1665</v>
      </c>
      <c r="AF373" s="466"/>
      <c r="AG373" s="465"/>
      <c r="AH373" s="465"/>
    </row>
    <row r="374" spans="1:34" s="492" customFormat="1" ht="14.25" hidden="1" x14ac:dyDescent="0.2">
      <c r="A374" s="1240"/>
      <c r="B374" s="500" t="s">
        <v>1227</v>
      </c>
      <c r="C374" s="501" t="s">
        <v>1237</v>
      </c>
      <c r="D374" s="932"/>
      <c r="E374" s="842" t="s">
        <v>1829</v>
      </c>
      <c r="F374" s="828">
        <v>3</v>
      </c>
      <c r="G374" s="829">
        <v>2.5</v>
      </c>
      <c r="H374" s="542">
        <f>F374*G374</f>
        <v>7.5</v>
      </c>
      <c r="I374" s="533">
        <v>3</v>
      </c>
      <c r="J374" s="533">
        <v>2.5</v>
      </c>
      <c r="K374" s="533">
        <f>I374*J374</f>
        <v>7.5</v>
      </c>
      <c r="L374" s="533">
        <v>3</v>
      </c>
      <c r="M374" s="533">
        <v>2.5</v>
      </c>
      <c r="N374" s="533">
        <f>L374*M374</f>
        <v>7.5</v>
      </c>
      <c r="O374" s="533">
        <v>3</v>
      </c>
      <c r="P374" s="533">
        <v>2.5</v>
      </c>
      <c r="Q374" s="533">
        <f>O374*P374</f>
        <v>7.5</v>
      </c>
      <c r="R374" s="533">
        <f t="shared" si="62"/>
        <v>7.5</v>
      </c>
      <c r="S374" s="533"/>
      <c r="T374" s="533">
        <v>3</v>
      </c>
      <c r="U374" s="533">
        <v>2.5</v>
      </c>
      <c r="V374" s="533">
        <f>T374*U374</f>
        <v>7.5</v>
      </c>
      <c r="W374" s="533">
        <v>3</v>
      </c>
      <c r="X374" s="533">
        <v>2.5</v>
      </c>
      <c r="Y374" s="533">
        <f>W374*X374</f>
        <v>7.5</v>
      </c>
      <c r="Z374" s="542">
        <f t="shared" si="63"/>
        <v>0</v>
      </c>
      <c r="AA374" s="542">
        <f t="shared" si="64"/>
        <v>100</v>
      </c>
      <c r="AB374" s="893"/>
      <c r="AC374" s="491" t="s">
        <v>1665</v>
      </c>
      <c r="AF374" s="466"/>
      <c r="AG374" s="466"/>
      <c r="AH374" s="466"/>
    </row>
    <row r="375" spans="1:34" s="871" customFormat="1" ht="14.25" hidden="1" x14ac:dyDescent="0.2">
      <c r="A375" s="869"/>
      <c r="B375" s="917" t="s">
        <v>1375</v>
      </c>
      <c r="C375" s="868"/>
      <c r="D375" s="869"/>
      <c r="E375" s="870"/>
      <c r="F375" s="918"/>
      <c r="G375" s="919"/>
      <c r="H375" s="886">
        <f>H380+H386+H392+H393+H394+H395</f>
        <v>116.5</v>
      </c>
      <c r="I375" s="886"/>
      <c r="J375" s="886"/>
      <c r="K375" s="886">
        <f>K380+K386+K392+K393+K394+K395</f>
        <v>69.400000000000006</v>
      </c>
      <c r="L375" s="886"/>
      <c r="M375" s="886"/>
      <c r="N375" s="886">
        <f>N380+N386+N392+N393+N394+N395</f>
        <v>69.400000000000006</v>
      </c>
      <c r="O375" s="886"/>
      <c r="P375" s="886"/>
      <c r="Q375" s="886">
        <f>Q376+Q380+Q386+Q392+Q393+Q394+Q395</f>
        <v>137.9</v>
      </c>
      <c r="R375" s="886">
        <f t="shared" si="62"/>
        <v>137.9</v>
      </c>
      <c r="S375" s="886"/>
      <c r="T375" s="886"/>
      <c r="U375" s="886"/>
      <c r="V375" s="886">
        <f>V376+V380+V386+V392+V393+V394+V395</f>
        <v>143.69999999999999</v>
      </c>
      <c r="W375" s="886"/>
      <c r="X375" s="886"/>
      <c r="Y375" s="886">
        <f>Y376+Y380+Y386+Y392+Y393+Y394+Y395</f>
        <v>143.69999999999999</v>
      </c>
      <c r="Z375" s="886">
        <f t="shared" si="63"/>
        <v>68.5</v>
      </c>
      <c r="AA375" s="886">
        <f t="shared" si="64"/>
        <v>198.7</v>
      </c>
      <c r="AB375" s="896"/>
      <c r="AC375" s="920" t="s">
        <v>1665</v>
      </c>
      <c r="AF375" s="872"/>
      <c r="AG375" s="872"/>
      <c r="AH375" s="872"/>
    </row>
    <row r="376" spans="1:34" s="492" customFormat="1" ht="14.25" x14ac:dyDescent="0.2">
      <c r="A376" s="1240"/>
      <c r="B376" s="500" t="s">
        <v>1233</v>
      </c>
      <c r="C376" s="501" t="s">
        <v>1230</v>
      </c>
      <c r="D376" s="1240"/>
      <c r="E376" s="842"/>
      <c r="F376" s="828"/>
      <c r="G376" s="829"/>
      <c r="H376" s="542"/>
      <c r="I376" s="542"/>
      <c r="J376" s="542"/>
      <c r="K376" s="542"/>
      <c r="L376" s="542"/>
      <c r="M376" s="542"/>
      <c r="N376" s="542"/>
      <c r="O376" s="533"/>
      <c r="P376" s="533"/>
      <c r="Q376" s="533">
        <f>SUM(Q377:Q379)</f>
        <v>6.4</v>
      </c>
      <c r="R376" s="533">
        <f t="shared" si="62"/>
        <v>6.4</v>
      </c>
      <c r="S376" s="533"/>
      <c r="T376" s="533"/>
      <c r="U376" s="533"/>
      <c r="V376" s="533">
        <f>SUM(V377:V379)</f>
        <v>12.2</v>
      </c>
      <c r="W376" s="533"/>
      <c r="X376" s="533"/>
      <c r="Y376" s="533">
        <f>SUM(Y377:Y379)</f>
        <v>12.2</v>
      </c>
      <c r="Z376" s="542">
        <f t="shared" si="63"/>
        <v>6.4</v>
      </c>
      <c r="AA376" s="542" t="str">
        <f t="shared" si="64"/>
        <v>-</v>
      </c>
      <c r="AB376" s="893"/>
      <c r="AC376" s="491" t="s">
        <v>1665</v>
      </c>
      <c r="AF376" s="466"/>
      <c r="AG376" s="466"/>
      <c r="AH376" s="466"/>
    </row>
    <row r="377" spans="1:34" s="492" customFormat="1" ht="38.25" hidden="1" x14ac:dyDescent="0.2">
      <c r="A377" s="1240"/>
      <c r="B377" s="502" t="s">
        <v>1975</v>
      </c>
      <c r="C377" s="501"/>
      <c r="D377" s="1240"/>
      <c r="E377" s="842"/>
      <c r="F377" s="828"/>
      <c r="G377" s="829"/>
      <c r="H377" s="542"/>
      <c r="I377" s="542"/>
      <c r="J377" s="542"/>
      <c r="K377" s="542"/>
      <c r="L377" s="542"/>
      <c r="M377" s="542"/>
      <c r="N377" s="542"/>
      <c r="O377" s="559">
        <v>1</v>
      </c>
      <c r="P377" s="559">
        <v>5</v>
      </c>
      <c r="Q377" s="857">
        <f>O377*P377</f>
        <v>5</v>
      </c>
      <c r="R377" s="857">
        <f t="shared" si="62"/>
        <v>5</v>
      </c>
      <c r="S377" s="857"/>
      <c r="T377" s="559">
        <v>1</v>
      </c>
      <c r="U377" s="559">
        <v>5</v>
      </c>
      <c r="V377" s="857">
        <f>T377*U377</f>
        <v>5</v>
      </c>
      <c r="W377" s="559">
        <v>1</v>
      </c>
      <c r="X377" s="559">
        <v>5</v>
      </c>
      <c r="Y377" s="857">
        <f>W377*X377</f>
        <v>5</v>
      </c>
      <c r="Z377" s="542">
        <f t="shared" si="63"/>
        <v>5</v>
      </c>
      <c r="AA377" s="542" t="str">
        <f t="shared" si="64"/>
        <v>-</v>
      </c>
      <c r="AB377" s="843" t="s">
        <v>1976</v>
      </c>
      <c r="AC377" s="491" t="s">
        <v>1665</v>
      </c>
      <c r="AF377" s="466"/>
      <c r="AG377" s="466"/>
      <c r="AH377" s="466"/>
    </row>
    <row r="378" spans="1:34" s="492" customFormat="1" ht="14.25" hidden="1" x14ac:dyDescent="0.2">
      <c r="A378" s="1240"/>
      <c r="B378" s="502" t="s">
        <v>1761</v>
      </c>
      <c r="C378" s="501"/>
      <c r="D378" s="1240"/>
      <c r="E378" s="842"/>
      <c r="F378" s="828"/>
      <c r="G378" s="829"/>
      <c r="H378" s="542"/>
      <c r="I378" s="542"/>
      <c r="J378" s="542"/>
      <c r="K378" s="542"/>
      <c r="L378" s="542"/>
      <c r="M378" s="542"/>
      <c r="N378" s="542"/>
      <c r="O378" s="559"/>
      <c r="P378" s="559"/>
      <c r="Q378" s="857"/>
      <c r="R378" s="857">
        <f t="shared" si="62"/>
        <v>0</v>
      </c>
      <c r="S378" s="857"/>
      <c r="T378" s="559">
        <v>2</v>
      </c>
      <c r="U378" s="559">
        <v>2.2999999999999998</v>
      </c>
      <c r="V378" s="857">
        <f>T378*U378</f>
        <v>4.5999999999999996</v>
      </c>
      <c r="W378" s="559">
        <v>2</v>
      </c>
      <c r="X378" s="559">
        <v>2.2999999999999998</v>
      </c>
      <c r="Y378" s="857">
        <f>W378*X378</f>
        <v>4.5999999999999996</v>
      </c>
      <c r="Z378" s="542">
        <f t="shared" si="63"/>
        <v>0</v>
      </c>
      <c r="AA378" s="542" t="str">
        <f t="shared" si="64"/>
        <v>-</v>
      </c>
      <c r="AB378" s="1887"/>
      <c r="AC378" s="491" t="s">
        <v>1665</v>
      </c>
      <c r="AF378" s="466"/>
      <c r="AG378" s="466"/>
      <c r="AH378" s="466"/>
    </row>
    <row r="379" spans="1:34" s="492" customFormat="1" ht="14.25" hidden="1" x14ac:dyDescent="0.2">
      <c r="A379" s="1240"/>
      <c r="B379" s="502" t="s">
        <v>1971</v>
      </c>
      <c r="C379" s="501"/>
      <c r="D379" s="1240"/>
      <c r="E379" s="842"/>
      <c r="F379" s="828"/>
      <c r="G379" s="829"/>
      <c r="H379" s="542"/>
      <c r="I379" s="542"/>
      <c r="J379" s="542"/>
      <c r="K379" s="542"/>
      <c r="L379" s="542"/>
      <c r="M379" s="542"/>
      <c r="N379" s="542"/>
      <c r="O379" s="857"/>
      <c r="P379" s="857"/>
      <c r="Q379" s="857">
        <f>(Q377+Q378)*27.1/100</f>
        <v>1.4</v>
      </c>
      <c r="R379" s="857">
        <f t="shared" si="62"/>
        <v>1.4</v>
      </c>
      <c r="S379" s="857"/>
      <c r="T379" s="857"/>
      <c r="U379" s="857"/>
      <c r="V379" s="857">
        <f>(V377+V378)*27.1/100</f>
        <v>2.6</v>
      </c>
      <c r="W379" s="857"/>
      <c r="X379" s="857"/>
      <c r="Y379" s="857">
        <f>(Y377+Y378)*27.1/100</f>
        <v>2.6</v>
      </c>
      <c r="Z379" s="542">
        <f t="shared" si="63"/>
        <v>1.4</v>
      </c>
      <c r="AA379" s="542" t="str">
        <f t="shared" si="64"/>
        <v>-</v>
      </c>
      <c r="AB379" s="893"/>
      <c r="AC379" s="491" t="s">
        <v>1665</v>
      </c>
      <c r="AF379" s="466"/>
      <c r="AG379" s="466"/>
      <c r="AH379" s="466"/>
    </row>
    <row r="380" spans="1:34" s="492" customFormat="1" ht="14.25" hidden="1" x14ac:dyDescent="0.2">
      <c r="A380" s="1240"/>
      <c r="B380" s="500" t="s">
        <v>1226</v>
      </c>
      <c r="C380" s="501" t="s">
        <v>797</v>
      </c>
      <c r="D380" s="932"/>
      <c r="E380" s="842"/>
      <c r="F380" s="828"/>
      <c r="G380" s="829"/>
      <c r="H380" s="542">
        <f>SUM(H381:H383)</f>
        <v>18.100000000000001</v>
      </c>
      <c r="I380" s="533"/>
      <c r="J380" s="533"/>
      <c r="K380" s="533">
        <f>SUM(K381:K384)</f>
        <v>17</v>
      </c>
      <c r="L380" s="533"/>
      <c r="M380" s="533"/>
      <c r="N380" s="533">
        <f>SUM(N381:N384)</f>
        <v>17</v>
      </c>
      <c r="O380" s="533"/>
      <c r="P380" s="533"/>
      <c r="Q380" s="533">
        <f>SUM(Q381:Q385)</f>
        <v>15</v>
      </c>
      <c r="R380" s="533">
        <f t="shared" si="62"/>
        <v>15</v>
      </c>
      <c r="S380" s="533"/>
      <c r="T380" s="533"/>
      <c r="U380" s="533"/>
      <c r="V380" s="533">
        <f>SUM(V381:V385)</f>
        <v>15</v>
      </c>
      <c r="W380" s="533"/>
      <c r="X380" s="533"/>
      <c r="Y380" s="533">
        <f>SUM(Y381:Y385)</f>
        <v>15</v>
      </c>
      <c r="Z380" s="542">
        <f t="shared" si="63"/>
        <v>-2</v>
      </c>
      <c r="AA380" s="542">
        <f t="shared" si="64"/>
        <v>88.2</v>
      </c>
      <c r="AB380" s="901"/>
      <c r="AC380" s="491" t="s">
        <v>1665</v>
      </c>
      <c r="AF380" s="466"/>
      <c r="AG380" s="466"/>
      <c r="AH380" s="466"/>
    </row>
    <row r="381" spans="1:34" s="498" customFormat="1" hidden="1" x14ac:dyDescent="0.25">
      <c r="A381" s="962"/>
      <c r="B381" s="502" t="s">
        <v>1977</v>
      </c>
      <c r="C381" s="503"/>
      <c r="D381" s="903"/>
      <c r="E381" s="842" t="s">
        <v>227</v>
      </c>
      <c r="F381" s="557">
        <v>36</v>
      </c>
      <c r="G381" s="558">
        <v>0.25</v>
      </c>
      <c r="H381" s="559">
        <f>F381*G381</f>
        <v>9</v>
      </c>
      <c r="I381" s="857">
        <v>36</v>
      </c>
      <c r="J381" s="857">
        <v>0.3</v>
      </c>
      <c r="K381" s="857">
        <f>I381*J381</f>
        <v>10.8</v>
      </c>
      <c r="L381" s="857">
        <v>36</v>
      </c>
      <c r="M381" s="857">
        <v>0.3</v>
      </c>
      <c r="N381" s="857">
        <f>L381*M381</f>
        <v>10.8</v>
      </c>
      <c r="O381" s="857"/>
      <c r="P381" s="857"/>
      <c r="Q381" s="857"/>
      <c r="R381" s="857">
        <f t="shared" si="62"/>
        <v>0</v>
      </c>
      <c r="S381" s="857"/>
      <c r="T381" s="857"/>
      <c r="U381" s="857"/>
      <c r="V381" s="857"/>
      <c r="W381" s="857"/>
      <c r="X381" s="857"/>
      <c r="Y381" s="857"/>
      <c r="Z381" s="559">
        <f t="shared" si="63"/>
        <v>-10.8</v>
      </c>
      <c r="AA381" s="559">
        <f t="shared" si="64"/>
        <v>0</v>
      </c>
      <c r="AB381" s="901"/>
      <c r="AC381" s="491" t="s">
        <v>1665</v>
      </c>
      <c r="AF381" s="466"/>
      <c r="AG381" s="465"/>
      <c r="AH381" s="465"/>
    </row>
    <row r="382" spans="1:34" s="498" customFormat="1" hidden="1" x14ac:dyDescent="0.25">
      <c r="A382" s="962"/>
      <c r="B382" s="502" t="s">
        <v>1978</v>
      </c>
      <c r="C382" s="503"/>
      <c r="D382" s="903"/>
      <c r="E382" s="842" t="s">
        <v>1240</v>
      </c>
      <c r="F382" s="557">
        <v>23</v>
      </c>
      <c r="G382" s="558">
        <v>0.2</v>
      </c>
      <c r="H382" s="559">
        <f>F382*G382</f>
        <v>4.5999999999999996</v>
      </c>
      <c r="I382" s="857">
        <v>42</v>
      </c>
      <c r="J382" s="857">
        <v>0.1</v>
      </c>
      <c r="K382" s="857">
        <f>I382*J382</f>
        <v>4.2</v>
      </c>
      <c r="L382" s="857">
        <v>42</v>
      </c>
      <c r="M382" s="857">
        <v>0.1</v>
      </c>
      <c r="N382" s="857">
        <f>L382*M382</f>
        <v>4.2</v>
      </c>
      <c r="O382" s="857"/>
      <c r="P382" s="857"/>
      <c r="Q382" s="857"/>
      <c r="R382" s="857">
        <f t="shared" si="62"/>
        <v>0</v>
      </c>
      <c r="S382" s="857"/>
      <c r="T382" s="857"/>
      <c r="U382" s="857"/>
      <c r="V382" s="857"/>
      <c r="W382" s="857"/>
      <c r="X382" s="857"/>
      <c r="Y382" s="857"/>
      <c r="Z382" s="559">
        <f t="shared" si="63"/>
        <v>-4.2</v>
      </c>
      <c r="AA382" s="559">
        <f t="shared" si="64"/>
        <v>0</v>
      </c>
      <c r="AB382" s="893"/>
      <c r="AC382" s="491" t="s">
        <v>1665</v>
      </c>
      <c r="AF382" s="466"/>
      <c r="AG382" s="465"/>
      <c r="AH382" s="465"/>
    </row>
    <row r="383" spans="1:34" s="498" customFormat="1" hidden="1" x14ac:dyDescent="0.25">
      <c r="A383" s="962"/>
      <c r="B383" s="502" t="s">
        <v>1979</v>
      </c>
      <c r="C383" s="503"/>
      <c r="D383" s="903"/>
      <c r="E383" s="842" t="s">
        <v>227</v>
      </c>
      <c r="F383" s="557">
        <v>9</v>
      </c>
      <c r="G383" s="558">
        <v>0.5</v>
      </c>
      <c r="H383" s="559">
        <f>F383*G383</f>
        <v>4.5</v>
      </c>
      <c r="I383" s="857"/>
      <c r="J383" s="857"/>
      <c r="K383" s="857"/>
      <c r="L383" s="857"/>
      <c r="M383" s="857"/>
      <c r="N383" s="857"/>
      <c r="O383" s="857"/>
      <c r="P383" s="857"/>
      <c r="Q383" s="857"/>
      <c r="R383" s="857">
        <f t="shared" si="62"/>
        <v>0</v>
      </c>
      <c r="S383" s="857"/>
      <c r="T383" s="857"/>
      <c r="U383" s="857"/>
      <c r="V383" s="857"/>
      <c r="W383" s="857"/>
      <c r="X383" s="857"/>
      <c r="Y383" s="857"/>
      <c r="Z383" s="559">
        <f t="shared" si="63"/>
        <v>0</v>
      </c>
      <c r="AA383" s="559" t="str">
        <f t="shared" si="64"/>
        <v>-</v>
      </c>
      <c r="AB383" s="1943"/>
      <c r="AC383" s="491" t="s">
        <v>1665</v>
      </c>
      <c r="AF383" s="466"/>
      <c r="AG383" s="465"/>
      <c r="AH383" s="465"/>
    </row>
    <row r="384" spans="1:34" s="498" customFormat="1" hidden="1" x14ac:dyDescent="0.25">
      <c r="A384" s="962"/>
      <c r="B384" s="502" t="s">
        <v>1833</v>
      </c>
      <c r="C384" s="503"/>
      <c r="D384" s="903"/>
      <c r="E384" s="842"/>
      <c r="F384" s="557"/>
      <c r="G384" s="558"/>
      <c r="H384" s="559"/>
      <c r="I384" s="857">
        <v>2</v>
      </c>
      <c r="J384" s="857">
        <v>1</v>
      </c>
      <c r="K384" s="857">
        <f>I384*J384</f>
        <v>2</v>
      </c>
      <c r="L384" s="857">
        <v>2</v>
      </c>
      <c r="M384" s="857">
        <v>1</v>
      </c>
      <c r="N384" s="857">
        <f>L384*M384</f>
        <v>2</v>
      </c>
      <c r="O384" s="857"/>
      <c r="P384" s="857"/>
      <c r="Q384" s="857"/>
      <c r="R384" s="857">
        <f t="shared" si="62"/>
        <v>0</v>
      </c>
      <c r="S384" s="857"/>
      <c r="T384" s="857"/>
      <c r="U384" s="857"/>
      <c r="V384" s="857"/>
      <c r="W384" s="857"/>
      <c r="X384" s="857"/>
      <c r="Y384" s="857"/>
      <c r="Z384" s="559">
        <f t="shared" si="63"/>
        <v>-2</v>
      </c>
      <c r="AA384" s="559">
        <f t="shared" si="64"/>
        <v>0</v>
      </c>
      <c r="AB384" s="1943"/>
      <c r="AC384" s="491" t="s">
        <v>1665</v>
      </c>
      <c r="AF384" s="466"/>
      <c r="AG384" s="465"/>
      <c r="AH384" s="465"/>
    </row>
    <row r="385" spans="1:34" s="498" customFormat="1" ht="83.25" hidden="1" customHeight="1" x14ac:dyDescent="0.25">
      <c r="A385" s="962"/>
      <c r="B385" s="502" t="s">
        <v>1980</v>
      </c>
      <c r="C385" s="503"/>
      <c r="D385" s="903"/>
      <c r="E385" s="842"/>
      <c r="F385" s="557"/>
      <c r="G385" s="558"/>
      <c r="H385" s="559"/>
      <c r="I385" s="857"/>
      <c r="J385" s="857"/>
      <c r="K385" s="857"/>
      <c r="L385" s="857"/>
      <c r="M385" s="857"/>
      <c r="N385" s="857"/>
      <c r="O385" s="857"/>
      <c r="P385" s="857"/>
      <c r="Q385" s="857">
        <v>15</v>
      </c>
      <c r="R385" s="857">
        <f t="shared" si="62"/>
        <v>15</v>
      </c>
      <c r="S385" s="857"/>
      <c r="T385" s="857"/>
      <c r="U385" s="857"/>
      <c r="V385" s="857">
        <v>15</v>
      </c>
      <c r="W385" s="857"/>
      <c r="X385" s="857"/>
      <c r="Y385" s="857">
        <v>15</v>
      </c>
      <c r="Z385" s="559">
        <f t="shared" si="63"/>
        <v>15</v>
      </c>
      <c r="AA385" s="559" t="str">
        <f t="shared" si="64"/>
        <v>-</v>
      </c>
      <c r="AB385" s="901" t="s">
        <v>1981</v>
      </c>
      <c r="AC385" s="491" t="s">
        <v>1665</v>
      </c>
      <c r="AF385" s="466"/>
      <c r="AG385" s="465"/>
      <c r="AH385" s="465"/>
    </row>
    <row r="386" spans="1:34" s="492" customFormat="1" ht="25.5" hidden="1" x14ac:dyDescent="0.2">
      <c r="A386" s="1240"/>
      <c r="B386" s="500" t="s">
        <v>1239</v>
      </c>
      <c r="C386" s="501" t="s">
        <v>797</v>
      </c>
      <c r="D386" s="932"/>
      <c r="E386" s="842"/>
      <c r="F386" s="828"/>
      <c r="G386" s="829"/>
      <c r="H386" s="542">
        <f>SUM(H387:H391)</f>
        <v>19.8</v>
      </c>
      <c r="I386" s="533"/>
      <c r="J386" s="533"/>
      <c r="K386" s="533">
        <f>SUM(K387:K391)</f>
        <v>2.2000000000000002</v>
      </c>
      <c r="L386" s="533"/>
      <c r="M386" s="533"/>
      <c r="N386" s="533">
        <f>SUM(N387:N391)</f>
        <v>2.2000000000000002</v>
      </c>
      <c r="O386" s="533"/>
      <c r="P386" s="533"/>
      <c r="Q386" s="533">
        <f>SUM(Q387:Q391)</f>
        <v>5.5</v>
      </c>
      <c r="R386" s="533">
        <f t="shared" si="62"/>
        <v>5.5</v>
      </c>
      <c r="S386" s="533"/>
      <c r="T386" s="533"/>
      <c r="U386" s="533"/>
      <c r="V386" s="533">
        <f>SUM(V387:V391)</f>
        <v>5.5</v>
      </c>
      <c r="W386" s="533"/>
      <c r="X386" s="533"/>
      <c r="Y386" s="533">
        <f>SUM(Y387:Y391)</f>
        <v>5.5</v>
      </c>
      <c r="Z386" s="542">
        <f t="shared" si="63"/>
        <v>3.3</v>
      </c>
      <c r="AA386" s="542">
        <f t="shared" si="64"/>
        <v>250</v>
      </c>
      <c r="AB386" s="1943"/>
      <c r="AC386" s="491" t="s">
        <v>1665</v>
      </c>
      <c r="AF386" s="466"/>
      <c r="AG386" s="466"/>
      <c r="AH386" s="466"/>
    </row>
    <row r="387" spans="1:34" s="498" customFormat="1" ht="114.75" hidden="1" x14ac:dyDescent="0.25">
      <c r="A387" s="962"/>
      <c r="B387" s="502" t="s">
        <v>1962</v>
      </c>
      <c r="C387" s="503"/>
      <c r="D387" s="903"/>
      <c r="E387" s="1031" t="s">
        <v>227</v>
      </c>
      <c r="F387" s="557">
        <v>40</v>
      </c>
      <c r="G387" s="558">
        <v>0.1</v>
      </c>
      <c r="H387" s="559">
        <f t="shared" ref="H387:H394" si="65">F387*G387</f>
        <v>4</v>
      </c>
      <c r="I387" s="857">
        <v>22</v>
      </c>
      <c r="J387" s="862">
        <v>0.1</v>
      </c>
      <c r="K387" s="857">
        <f t="shared" ref="K387:K393" si="66">I387*J387</f>
        <v>2.2000000000000002</v>
      </c>
      <c r="L387" s="857">
        <v>22</v>
      </c>
      <c r="M387" s="862">
        <v>0.1</v>
      </c>
      <c r="N387" s="857">
        <f>L387*M387</f>
        <v>2.2000000000000002</v>
      </c>
      <c r="O387" s="857">
        <v>25</v>
      </c>
      <c r="P387" s="857">
        <v>0.1</v>
      </c>
      <c r="Q387" s="857">
        <f>O387*P387</f>
        <v>2.5</v>
      </c>
      <c r="R387" s="857">
        <f t="shared" si="62"/>
        <v>2.5</v>
      </c>
      <c r="S387" s="857"/>
      <c r="T387" s="857">
        <v>25</v>
      </c>
      <c r="U387" s="857">
        <v>0.1</v>
      </c>
      <c r="V387" s="857">
        <f>T387*U387</f>
        <v>2.5</v>
      </c>
      <c r="W387" s="857">
        <v>25</v>
      </c>
      <c r="X387" s="857">
        <v>0.1</v>
      </c>
      <c r="Y387" s="857">
        <f>W387*X387</f>
        <v>2.5</v>
      </c>
      <c r="Z387" s="559">
        <f t="shared" si="63"/>
        <v>0.3</v>
      </c>
      <c r="AA387" s="559">
        <f t="shared" si="64"/>
        <v>113.6</v>
      </c>
      <c r="AB387" s="843" t="s">
        <v>1982</v>
      </c>
      <c r="AC387" s="491" t="s">
        <v>1665</v>
      </c>
      <c r="AF387" s="466"/>
      <c r="AG387" s="465"/>
      <c r="AH387" s="465"/>
    </row>
    <row r="388" spans="1:34" s="498" customFormat="1" hidden="1" x14ac:dyDescent="0.25">
      <c r="A388" s="962"/>
      <c r="B388" s="856" t="s">
        <v>1369</v>
      </c>
      <c r="C388" s="499"/>
      <c r="D388" s="903"/>
      <c r="E388" s="1031" t="s">
        <v>227</v>
      </c>
      <c r="F388" s="557">
        <v>4</v>
      </c>
      <c r="G388" s="558">
        <v>0.75</v>
      </c>
      <c r="H388" s="559">
        <f t="shared" si="65"/>
        <v>3</v>
      </c>
      <c r="I388" s="857"/>
      <c r="J388" s="857"/>
      <c r="K388" s="857"/>
      <c r="L388" s="857"/>
      <c r="M388" s="857"/>
      <c r="N388" s="857"/>
      <c r="O388" s="857"/>
      <c r="P388" s="857"/>
      <c r="Q388" s="857"/>
      <c r="R388" s="857">
        <f t="shared" si="62"/>
        <v>0</v>
      </c>
      <c r="S388" s="857"/>
      <c r="T388" s="857"/>
      <c r="U388" s="857"/>
      <c r="V388" s="857"/>
      <c r="W388" s="857"/>
      <c r="X388" s="857"/>
      <c r="Y388" s="857"/>
      <c r="Z388" s="559">
        <f t="shared" si="63"/>
        <v>0</v>
      </c>
      <c r="AA388" s="559" t="str">
        <f t="shared" si="64"/>
        <v>-</v>
      </c>
      <c r="AB388" s="893"/>
      <c r="AC388" s="491" t="s">
        <v>1665</v>
      </c>
      <c r="AF388" s="466"/>
      <c r="AG388" s="465"/>
      <c r="AH388" s="465"/>
    </row>
    <row r="389" spans="1:34" s="498" customFormat="1" ht="26.25" hidden="1" x14ac:dyDescent="0.25">
      <c r="A389" s="962"/>
      <c r="B389" s="856" t="s">
        <v>1692</v>
      </c>
      <c r="C389" s="499"/>
      <c r="D389" s="903"/>
      <c r="E389" s="1031" t="s">
        <v>227</v>
      </c>
      <c r="F389" s="557">
        <v>8</v>
      </c>
      <c r="G389" s="558">
        <v>0.35</v>
      </c>
      <c r="H389" s="559">
        <f t="shared" si="65"/>
        <v>2.8</v>
      </c>
      <c r="I389" s="857"/>
      <c r="J389" s="857"/>
      <c r="K389" s="857">
        <f t="shared" si="66"/>
        <v>0</v>
      </c>
      <c r="L389" s="857"/>
      <c r="M389" s="857"/>
      <c r="N389" s="857">
        <f>L389*M389</f>
        <v>0</v>
      </c>
      <c r="O389" s="857">
        <v>10</v>
      </c>
      <c r="P389" s="857">
        <v>0.3</v>
      </c>
      <c r="Q389" s="857">
        <f>O389*P389</f>
        <v>3</v>
      </c>
      <c r="R389" s="857">
        <f t="shared" si="62"/>
        <v>3</v>
      </c>
      <c r="S389" s="857"/>
      <c r="T389" s="857">
        <v>10</v>
      </c>
      <c r="U389" s="857">
        <v>0.3</v>
      </c>
      <c r="V389" s="857">
        <f>T389*U389</f>
        <v>3</v>
      </c>
      <c r="W389" s="857">
        <v>10</v>
      </c>
      <c r="X389" s="857">
        <v>0.3</v>
      </c>
      <c r="Y389" s="857">
        <f>W389*X389</f>
        <v>3</v>
      </c>
      <c r="Z389" s="559">
        <f t="shared" si="63"/>
        <v>3</v>
      </c>
      <c r="AA389" s="559" t="str">
        <f t="shared" si="64"/>
        <v>-</v>
      </c>
      <c r="AB389" s="893" t="s">
        <v>1983</v>
      </c>
      <c r="AC389" s="491" t="s">
        <v>1665</v>
      </c>
      <c r="AF389" s="466"/>
      <c r="AG389" s="465"/>
      <c r="AH389" s="465"/>
    </row>
    <row r="390" spans="1:34" s="498" customFormat="1" hidden="1" x14ac:dyDescent="0.25">
      <c r="A390" s="962"/>
      <c r="B390" s="856" t="s">
        <v>1673</v>
      </c>
      <c r="C390" s="499"/>
      <c r="D390" s="903"/>
      <c r="E390" s="1031" t="s">
        <v>227</v>
      </c>
      <c r="F390" s="557">
        <v>4</v>
      </c>
      <c r="G390" s="558">
        <v>1</v>
      </c>
      <c r="H390" s="559">
        <f t="shared" si="65"/>
        <v>4</v>
      </c>
      <c r="I390" s="857"/>
      <c r="J390" s="857"/>
      <c r="K390" s="857">
        <f t="shared" si="66"/>
        <v>0</v>
      </c>
      <c r="L390" s="857"/>
      <c r="M390" s="857"/>
      <c r="N390" s="857">
        <f>L390*M390</f>
        <v>0</v>
      </c>
      <c r="O390" s="857"/>
      <c r="P390" s="857"/>
      <c r="Q390" s="857"/>
      <c r="R390" s="857">
        <f t="shared" si="62"/>
        <v>0</v>
      </c>
      <c r="S390" s="857"/>
      <c r="T390" s="857"/>
      <c r="U390" s="857"/>
      <c r="V390" s="857"/>
      <c r="W390" s="857"/>
      <c r="X390" s="857"/>
      <c r="Y390" s="857"/>
      <c r="Z390" s="559">
        <f t="shared" si="63"/>
        <v>0</v>
      </c>
      <c r="AA390" s="559" t="str">
        <f t="shared" si="64"/>
        <v>-</v>
      </c>
      <c r="AB390" s="893"/>
      <c r="AC390" s="491" t="s">
        <v>1665</v>
      </c>
      <c r="AF390" s="466"/>
      <c r="AG390" s="465"/>
      <c r="AH390" s="465"/>
    </row>
    <row r="391" spans="1:34" s="498" customFormat="1" hidden="1" x14ac:dyDescent="0.25">
      <c r="A391" s="962"/>
      <c r="B391" s="856" t="s">
        <v>1673</v>
      </c>
      <c r="C391" s="499"/>
      <c r="D391" s="903"/>
      <c r="E391" s="1031" t="s">
        <v>227</v>
      </c>
      <c r="F391" s="557">
        <v>3</v>
      </c>
      <c r="G391" s="558">
        <v>2</v>
      </c>
      <c r="H391" s="559">
        <f t="shared" si="65"/>
        <v>6</v>
      </c>
      <c r="I391" s="857"/>
      <c r="J391" s="857"/>
      <c r="K391" s="857">
        <f t="shared" si="66"/>
        <v>0</v>
      </c>
      <c r="L391" s="857"/>
      <c r="M391" s="857"/>
      <c r="N391" s="857">
        <f>L391*M391</f>
        <v>0</v>
      </c>
      <c r="O391" s="857"/>
      <c r="P391" s="857"/>
      <c r="Q391" s="857"/>
      <c r="R391" s="857">
        <f t="shared" si="62"/>
        <v>0</v>
      </c>
      <c r="S391" s="857"/>
      <c r="T391" s="857"/>
      <c r="U391" s="857"/>
      <c r="V391" s="857"/>
      <c r="W391" s="857"/>
      <c r="X391" s="857"/>
      <c r="Y391" s="857"/>
      <c r="Z391" s="559">
        <f t="shared" si="63"/>
        <v>0</v>
      </c>
      <c r="AA391" s="559" t="str">
        <f t="shared" si="64"/>
        <v>-</v>
      </c>
      <c r="AB391" s="893"/>
      <c r="AC391" s="491" t="s">
        <v>1665</v>
      </c>
      <c r="AF391" s="466"/>
      <c r="AG391" s="465"/>
      <c r="AH391" s="465"/>
    </row>
    <row r="392" spans="1:34" s="492" customFormat="1" ht="76.5" hidden="1" x14ac:dyDescent="0.2">
      <c r="A392" s="1240"/>
      <c r="B392" s="865" t="s">
        <v>1984</v>
      </c>
      <c r="C392" s="508" t="s">
        <v>796</v>
      </c>
      <c r="D392" s="932"/>
      <c r="E392" s="842" t="s">
        <v>227</v>
      </c>
      <c r="F392" s="828">
        <v>568</v>
      </c>
      <c r="G392" s="829">
        <v>0.05</v>
      </c>
      <c r="H392" s="542">
        <f t="shared" si="65"/>
        <v>28.4</v>
      </c>
      <c r="I392" s="533">
        <v>292</v>
      </c>
      <c r="J392" s="533">
        <v>0.1</v>
      </c>
      <c r="K392" s="533">
        <f>I392*J392</f>
        <v>29.2</v>
      </c>
      <c r="L392" s="533">
        <v>292</v>
      </c>
      <c r="M392" s="533">
        <v>0.1</v>
      </c>
      <c r="N392" s="533">
        <f>L392*M392</f>
        <v>29.2</v>
      </c>
      <c r="O392" s="533">
        <v>200</v>
      </c>
      <c r="P392" s="533">
        <v>0.2</v>
      </c>
      <c r="Q392" s="533">
        <f>O392*P392</f>
        <v>40</v>
      </c>
      <c r="R392" s="533">
        <f t="shared" si="62"/>
        <v>40</v>
      </c>
      <c r="S392" s="533"/>
      <c r="T392" s="533">
        <v>200</v>
      </c>
      <c r="U392" s="533">
        <v>0.2</v>
      </c>
      <c r="V392" s="533">
        <f>T392*U392</f>
        <v>40</v>
      </c>
      <c r="W392" s="533">
        <v>200</v>
      </c>
      <c r="X392" s="533">
        <v>0.2</v>
      </c>
      <c r="Y392" s="533">
        <f>W392*X392</f>
        <v>40</v>
      </c>
      <c r="Z392" s="542">
        <f t="shared" si="63"/>
        <v>10.8</v>
      </c>
      <c r="AA392" s="542">
        <f t="shared" si="64"/>
        <v>137</v>
      </c>
      <c r="AB392" s="893" t="s">
        <v>1985</v>
      </c>
      <c r="AC392" s="491" t="s">
        <v>1665</v>
      </c>
      <c r="AF392" s="466"/>
      <c r="AG392" s="466"/>
      <c r="AH392" s="466"/>
    </row>
    <row r="393" spans="1:34" s="492" customFormat="1" ht="14.25" hidden="1" x14ac:dyDescent="0.2">
      <c r="A393" s="1240"/>
      <c r="B393" s="865" t="s">
        <v>1986</v>
      </c>
      <c r="C393" s="508" t="s">
        <v>797</v>
      </c>
      <c r="D393" s="932"/>
      <c r="E393" s="842" t="s">
        <v>227</v>
      </c>
      <c r="F393" s="828">
        <v>150</v>
      </c>
      <c r="G393" s="829">
        <v>0.1</v>
      </c>
      <c r="H393" s="542">
        <f t="shared" si="65"/>
        <v>15</v>
      </c>
      <c r="I393" s="533">
        <v>150</v>
      </c>
      <c r="J393" s="533">
        <v>0.1</v>
      </c>
      <c r="K393" s="533">
        <f t="shared" si="66"/>
        <v>15</v>
      </c>
      <c r="L393" s="533">
        <v>150</v>
      </c>
      <c r="M393" s="533">
        <v>0.1</v>
      </c>
      <c r="N393" s="533">
        <f>L393*M393</f>
        <v>15</v>
      </c>
      <c r="O393" s="533">
        <v>150</v>
      </c>
      <c r="P393" s="533">
        <v>0.1</v>
      </c>
      <c r="Q393" s="533">
        <f>O393*P393</f>
        <v>15</v>
      </c>
      <c r="R393" s="533">
        <f t="shared" si="62"/>
        <v>15</v>
      </c>
      <c r="S393" s="533"/>
      <c r="T393" s="533">
        <v>150</v>
      </c>
      <c r="U393" s="533">
        <v>0.1</v>
      </c>
      <c r="V393" s="533">
        <f>T393*U393</f>
        <v>15</v>
      </c>
      <c r="W393" s="533">
        <v>150</v>
      </c>
      <c r="X393" s="533">
        <v>0.1</v>
      </c>
      <c r="Y393" s="533">
        <f>W393*X393</f>
        <v>15</v>
      </c>
      <c r="Z393" s="542">
        <f t="shared" si="63"/>
        <v>0</v>
      </c>
      <c r="AA393" s="542">
        <f t="shared" si="64"/>
        <v>100</v>
      </c>
      <c r="AB393" s="893"/>
      <c r="AC393" s="491" t="s">
        <v>1665</v>
      </c>
      <c r="AF393" s="466"/>
      <c r="AG393" s="466"/>
      <c r="AH393" s="466"/>
    </row>
    <row r="394" spans="1:34" s="492" customFormat="1" ht="38.25" hidden="1" x14ac:dyDescent="0.2">
      <c r="A394" s="1240"/>
      <c r="B394" s="865" t="s">
        <v>1245</v>
      </c>
      <c r="C394" s="508" t="s">
        <v>800</v>
      </c>
      <c r="D394" s="932"/>
      <c r="E394" s="842" t="s">
        <v>227</v>
      </c>
      <c r="F394" s="828">
        <v>2</v>
      </c>
      <c r="G394" s="829">
        <v>14.45</v>
      </c>
      <c r="H394" s="542">
        <f t="shared" si="65"/>
        <v>28.9</v>
      </c>
      <c r="I394" s="533">
        <v>1</v>
      </c>
      <c r="J394" s="533">
        <v>29</v>
      </c>
      <c r="K394" s="533"/>
      <c r="L394" s="533">
        <v>1</v>
      </c>
      <c r="M394" s="533">
        <v>29</v>
      </c>
      <c r="N394" s="533"/>
      <c r="O394" s="533">
        <v>2</v>
      </c>
      <c r="P394" s="533">
        <v>25</v>
      </c>
      <c r="Q394" s="533">
        <f>P394*O394</f>
        <v>50</v>
      </c>
      <c r="R394" s="533">
        <f t="shared" si="62"/>
        <v>50</v>
      </c>
      <c r="S394" s="533"/>
      <c r="T394" s="533">
        <v>2</v>
      </c>
      <c r="U394" s="533">
        <v>25</v>
      </c>
      <c r="V394" s="533">
        <f>U394*T394</f>
        <v>50</v>
      </c>
      <c r="W394" s="533">
        <v>2</v>
      </c>
      <c r="X394" s="533">
        <v>25</v>
      </c>
      <c r="Y394" s="533">
        <f>X394*W394</f>
        <v>50</v>
      </c>
      <c r="Z394" s="542">
        <f t="shared" si="63"/>
        <v>50</v>
      </c>
      <c r="AA394" s="542" t="str">
        <f t="shared" si="64"/>
        <v>-</v>
      </c>
      <c r="AB394" s="893" t="s">
        <v>1987</v>
      </c>
      <c r="AC394" s="491" t="s">
        <v>1665</v>
      </c>
      <c r="AF394" s="466"/>
      <c r="AG394" s="466"/>
      <c r="AH394" s="466"/>
    </row>
    <row r="395" spans="1:34" s="492" customFormat="1" ht="14.25" hidden="1" x14ac:dyDescent="0.2">
      <c r="A395" s="1240"/>
      <c r="B395" s="500" t="s">
        <v>1696</v>
      </c>
      <c r="C395" s="501" t="s">
        <v>797</v>
      </c>
      <c r="D395" s="932"/>
      <c r="E395" s="842" t="s">
        <v>227</v>
      </c>
      <c r="F395" s="828">
        <v>30</v>
      </c>
      <c r="G395" s="829">
        <v>0.21</v>
      </c>
      <c r="H395" s="542">
        <f>F395*G395</f>
        <v>6.3</v>
      </c>
      <c r="I395" s="533">
        <v>600</v>
      </c>
      <c r="J395" s="906">
        <v>0.01</v>
      </c>
      <c r="K395" s="533">
        <f>I395*J395</f>
        <v>6</v>
      </c>
      <c r="L395" s="533">
        <v>600</v>
      </c>
      <c r="M395" s="906">
        <v>0.01</v>
      </c>
      <c r="N395" s="533">
        <f>L395*M395</f>
        <v>6</v>
      </c>
      <c r="O395" s="533">
        <v>300</v>
      </c>
      <c r="P395" s="906">
        <v>0.02</v>
      </c>
      <c r="Q395" s="533">
        <f>O395*P395</f>
        <v>6</v>
      </c>
      <c r="R395" s="533">
        <f t="shared" si="62"/>
        <v>6</v>
      </c>
      <c r="S395" s="533"/>
      <c r="T395" s="533">
        <v>300</v>
      </c>
      <c r="U395" s="906">
        <v>0.02</v>
      </c>
      <c r="V395" s="533">
        <f>T395*U395</f>
        <v>6</v>
      </c>
      <c r="W395" s="533">
        <v>300</v>
      </c>
      <c r="X395" s="906">
        <v>0.02</v>
      </c>
      <c r="Y395" s="533">
        <f>W395*X395</f>
        <v>6</v>
      </c>
      <c r="Z395" s="542">
        <f t="shared" si="63"/>
        <v>0</v>
      </c>
      <c r="AA395" s="542">
        <f t="shared" si="64"/>
        <v>100</v>
      </c>
      <c r="AB395" s="893"/>
      <c r="AC395" s="491" t="s">
        <v>1665</v>
      </c>
      <c r="AF395" s="466"/>
      <c r="AG395" s="466"/>
      <c r="AH395" s="466"/>
    </row>
    <row r="396" spans="1:34" s="539" customFormat="1" ht="38.25" hidden="1" x14ac:dyDescent="0.25">
      <c r="A396" s="536"/>
      <c r="B396" s="1944" t="s">
        <v>1988</v>
      </c>
      <c r="C396" s="1945"/>
      <c r="D396" s="1918" t="s">
        <v>1444</v>
      </c>
      <c r="E396" s="1946"/>
      <c r="F396" s="1947"/>
      <c r="G396" s="1947"/>
      <c r="H396" s="1947"/>
      <c r="I396" s="1947"/>
      <c r="J396" s="1947"/>
      <c r="K396" s="1947"/>
      <c r="L396" s="1947"/>
      <c r="M396" s="1947"/>
      <c r="N396" s="1947"/>
      <c r="O396" s="1947"/>
      <c r="P396" s="1947"/>
      <c r="Q396" s="1948">
        <f>Q397</f>
        <v>30.4</v>
      </c>
      <c r="R396" s="1948">
        <f t="shared" si="62"/>
        <v>30.4</v>
      </c>
      <c r="S396" s="1948"/>
      <c r="T396" s="1947"/>
      <c r="U396" s="1947"/>
      <c r="V396" s="1947"/>
      <c r="W396" s="1947"/>
      <c r="X396" s="1947"/>
      <c r="Y396" s="1947"/>
      <c r="Z396" s="1947"/>
      <c r="AA396" s="1947"/>
      <c r="AB396" s="3523" t="s">
        <v>1916</v>
      </c>
      <c r="AC396" s="515" t="s">
        <v>1665</v>
      </c>
      <c r="AF396" s="519"/>
      <c r="AG396" s="540"/>
      <c r="AH396" s="540"/>
    </row>
    <row r="397" spans="1:34" s="498" customFormat="1" x14ac:dyDescent="0.25">
      <c r="A397" s="962"/>
      <c r="B397" s="500" t="s">
        <v>1233</v>
      </c>
      <c r="C397" s="529" t="s">
        <v>1230</v>
      </c>
      <c r="D397" s="903"/>
      <c r="E397" s="1245"/>
      <c r="F397" s="857"/>
      <c r="G397" s="857"/>
      <c r="H397" s="857"/>
      <c r="I397" s="857"/>
      <c r="J397" s="857"/>
      <c r="K397" s="857"/>
      <c r="L397" s="857"/>
      <c r="M397" s="857"/>
      <c r="N397" s="857"/>
      <c r="O397" s="857"/>
      <c r="P397" s="857"/>
      <c r="Q397" s="533">
        <v>30.4</v>
      </c>
      <c r="R397" s="533">
        <f t="shared" si="62"/>
        <v>30.4</v>
      </c>
      <c r="S397" s="533"/>
      <c r="T397" s="857"/>
      <c r="U397" s="857"/>
      <c r="V397" s="857"/>
      <c r="W397" s="857"/>
      <c r="X397" s="857"/>
      <c r="Y397" s="857"/>
      <c r="Z397" s="857"/>
      <c r="AA397" s="857"/>
      <c r="AB397" s="3645"/>
      <c r="AC397" s="491" t="s">
        <v>1665</v>
      </c>
      <c r="AF397" s="466"/>
      <c r="AG397" s="465"/>
      <c r="AH397" s="465"/>
    </row>
    <row r="398" spans="1:34" s="498" customFormat="1" hidden="1" x14ac:dyDescent="0.25">
      <c r="A398" s="962"/>
      <c r="B398" s="1885" t="s">
        <v>1933</v>
      </c>
      <c r="C398" s="553"/>
      <c r="D398" s="903"/>
      <c r="E398" s="1245" t="s">
        <v>318</v>
      </c>
      <c r="F398" s="857"/>
      <c r="G398" s="857"/>
      <c r="H398" s="857"/>
      <c r="I398" s="857"/>
      <c r="J398" s="857"/>
      <c r="K398" s="857"/>
      <c r="L398" s="857"/>
      <c r="M398" s="857"/>
      <c r="N398" s="857"/>
      <c r="O398" s="857">
        <v>1</v>
      </c>
      <c r="P398" s="857">
        <v>3.5</v>
      </c>
      <c r="Q398" s="857">
        <f>O398*P398</f>
        <v>3.5</v>
      </c>
      <c r="R398" s="857">
        <f t="shared" si="62"/>
        <v>3.5</v>
      </c>
      <c r="S398" s="857"/>
      <c r="T398" s="857"/>
      <c r="U398" s="857"/>
      <c r="V398" s="857"/>
      <c r="W398" s="857"/>
      <c r="X398" s="857"/>
      <c r="Y398" s="857"/>
      <c r="Z398" s="857"/>
      <c r="AA398" s="857"/>
      <c r="AB398" s="3524"/>
      <c r="AC398" s="491" t="s">
        <v>1665</v>
      </c>
      <c r="AF398" s="466"/>
      <c r="AG398" s="465"/>
      <c r="AH398" s="465"/>
    </row>
    <row r="399" spans="1:34" s="498" customFormat="1" hidden="1" x14ac:dyDescent="0.25">
      <c r="A399" s="962"/>
      <c r="B399" s="1885" t="s">
        <v>1404</v>
      </c>
      <c r="C399" s="553"/>
      <c r="D399" s="903"/>
      <c r="E399" s="1245" t="s">
        <v>318</v>
      </c>
      <c r="F399" s="857"/>
      <c r="G399" s="857"/>
      <c r="H399" s="857"/>
      <c r="I399" s="857"/>
      <c r="J399" s="857"/>
      <c r="K399" s="857"/>
      <c r="L399" s="857"/>
      <c r="M399" s="857"/>
      <c r="N399" s="857"/>
      <c r="O399" s="857">
        <v>2</v>
      </c>
      <c r="P399" s="857">
        <v>2.2999999999999998</v>
      </c>
      <c r="Q399" s="857">
        <f t="shared" ref="Q399:Q402" si="67">O399*P399</f>
        <v>4.5999999999999996</v>
      </c>
      <c r="R399" s="857">
        <f t="shared" si="62"/>
        <v>4.5999999999999996</v>
      </c>
      <c r="S399" s="857"/>
      <c r="T399" s="857"/>
      <c r="U399" s="857"/>
      <c r="V399" s="857"/>
      <c r="W399" s="857"/>
      <c r="X399" s="857"/>
      <c r="Y399" s="857"/>
      <c r="Z399" s="857"/>
      <c r="AA399" s="857"/>
      <c r="AB399" s="3524"/>
      <c r="AC399" s="491" t="s">
        <v>1665</v>
      </c>
      <c r="AF399" s="466"/>
      <c r="AG399" s="465"/>
      <c r="AH399" s="465"/>
    </row>
    <row r="400" spans="1:34" s="498" customFormat="1" hidden="1" x14ac:dyDescent="0.25">
      <c r="A400" s="962"/>
      <c r="B400" s="1885" t="s">
        <v>1934</v>
      </c>
      <c r="C400" s="553"/>
      <c r="D400" s="903"/>
      <c r="E400" s="1245" t="s">
        <v>318</v>
      </c>
      <c r="F400" s="857"/>
      <c r="G400" s="857"/>
      <c r="H400" s="857"/>
      <c r="I400" s="857"/>
      <c r="J400" s="857"/>
      <c r="K400" s="857"/>
      <c r="L400" s="857"/>
      <c r="M400" s="857"/>
      <c r="N400" s="857"/>
      <c r="O400" s="857">
        <v>3</v>
      </c>
      <c r="P400" s="857">
        <v>2.2999999999999998</v>
      </c>
      <c r="Q400" s="857">
        <f t="shared" si="67"/>
        <v>6.9</v>
      </c>
      <c r="R400" s="857">
        <f t="shared" si="62"/>
        <v>6.9</v>
      </c>
      <c r="S400" s="857"/>
      <c r="T400" s="857"/>
      <c r="U400" s="857"/>
      <c r="V400" s="857"/>
      <c r="W400" s="857"/>
      <c r="X400" s="857"/>
      <c r="Y400" s="857"/>
      <c r="Z400" s="857"/>
      <c r="AA400" s="857"/>
      <c r="AB400" s="3524"/>
      <c r="AC400" s="491" t="s">
        <v>1665</v>
      </c>
      <c r="AF400" s="466"/>
      <c r="AG400" s="465"/>
      <c r="AH400" s="465"/>
    </row>
    <row r="401" spans="1:34" s="498" customFormat="1" hidden="1" x14ac:dyDescent="0.25">
      <c r="A401" s="962"/>
      <c r="B401" s="1885" t="s">
        <v>1807</v>
      </c>
      <c r="C401" s="553"/>
      <c r="D401" s="903"/>
      <c r="E401" s="1245" t="s">
        <v>318</v>
      </c>
      <c r="F401" s="857"/>
      <c r="G401" s="857"/>
      <c r="H401" s="857"/>
      <c r="I401" s="857"/>
      <c r="J401" s="857"/>
      <c r="K401" s="857"/>
      <c r="L401" s="857"/>
      <c r="M401" s="857"/>
      <c r="N401" s="857"/>
      <c r="O401" s="857">
        <v>1</v>
      </c>
      <c r="P401" s="857">
        <v>4</v>
      </c>
      <c r="Q401" s="857">
        <f t="shared" si="67"/>
        <v>4</v>
      </c>
      <c r="R401" s="857">
        <f t="shared" si="62"/>
        <v>4</v>
      </c>
      <c r="S401" s="857"/>
      <c r="T401" s="857"/>
      <c r="U401" s="857"/>
      <c r="V401" s="857"/>
      <c r="W401" s="857"/>
      <c r="X401" s="857"/>
      <c r="Y401" s="857"/>
      <c r="Z401" s="857"/>
      <c r="AA401" s="857"/>
      <c r="AB401" s="3524"/>
      <c r="AC401" s="491" t="s">
        <v>1665</v>
      </c>
      <c r="AF401" s="466"/>
      <c r="AG401" s="465"/>
      <c r="AH401" s="465"/>
    </row>
    <row r="402" spans="1:34" s="498" customFormat="1" hidden="1" x14ac:dyDescent="0.25">
      <c r="A402" s="962"/>
      <c r="B402" s="1885" t="s">
        <v>1989</v>
      </c>
      <c r="C402" s="553"/>
      <c r="D402" s="903"/>
      <c r="E402" s="1245" t="s">
        <v>318</v>
      </c>
      <c r="F402" s="857"/>
      <c r="G402" s="857"/>
      <c r="H402" s="857"/>
      <c r="I402" s="857"/>
      <c r="J402" s="857"/>
      <c r="K402" s="857"/>
      <c r="L402" s="857"/>
      <c r="M402" s="857"/>
      <c r="N402" s="857"/>
      <c r="O402" s="857">
        <v>2</v>
      </c>
      <c r="P402" s="857">
        <v>2.5</v>
      </c>
      <c r="Q402" s="857">
        <f t="shared" si="67"/>
        <v>5</v>
      </c>
      <c r="R402" s="857">
        <f t="shared" si="62"/>
        <v>5</v>
      </c>
      <c r="S402" s="857"/>
      <c r="T402" s="857"/>
      <c r="U402" s="857"/>
      <c r="V402" s="857"/>
      <c r="W402" s="857"/>
      <c r="X402" s="857"/>
      <c r="Y402" s="857"/>
      <c r="Z402" s="857"/>
      <c r="AA402" s="857"/>
      <c r="AB402" s="3524"/>
      <c r="AC402" s="491" t="s">
        <v>1665</v>
      </c>
      <c r="AF402" s="466"/>
      <c r="AG402" s="465"/>
      <c r="AH402" s="465"/>
    </row>
    <row r="403" spans="1:34" s="498" customFormat="1" hidden="1" x14ac:dyDescent="0.25">
      <c r="A403" s="962"/>
      <c r="B403" s="502" t="s">
        <v>1971</v>
      </c>
      <c r="C403" s="553"/>
      <c r="D403" s="903"/>
      <c r="E403" s="1245"/>
      <c r="F403" s="857"/>
      <c r="G403" s="857"/>
      <c r="H403" s="857"/>
      <c r="I403" s="857"/>
      <c r="J403" s="857"/>
      <c r="K403" s="857"/>
      <c r="L403" s="857"/>
      <c r="M403" s="857"/>
      <c r="N403" s="857"/>
      <c r="O403" s="857"/>
      <c r="P403" s="857"/>
      <c r="Q403" s="857">
        <f>SUM(Q398:Q402)*0.271</f>
        <v>6.5</v>
      </c>
      <c r="R403" s="857">
        <f t="shared" ref="R403:R416" si="68">Q403</f>
        <v>6.5</v>
      </c>
      <c r="S403" s="857"/>
      <c r="T403" s="857"/>
      <c r="U403" s="857"/>
      <c r="V403" s="857"/>
      <c r="W403" s="857"/>
      <c r="X403" s="857"/>
      <c r="Y403" s="857"/>
      <c r="Z403" s="857"/>
      <c r="AA403" s="857"/>
      <c r="AB403" s="3525"/>
      <c r="AC403" s="491" t="s">
        <v>1665</v>
      </c>
      <c r="AF403" s="466"/>
      <c r="AG403" s="465"/>
      <c r="AH403" s="465"/>
    </row>
    <row r="404" spans="1:34" s="539" customFormat="1" ht="38.25" hidden="1" x14ac:dyDescent="0.25">
      <c r="A404" s="536"/>
      <c r="B404" s="1949" t="s">
        <v>1990</v>
      </c>
      <c r="C404" s="1945"/>
      <c r="D404" s="1918" t="s">
        <v>1444</v>
      </c>
      <c r="E404" s="1946"/>
      <c r="F404" s="1947"/>
      <c r="G404" s="1947"/>
      <c r="H404" s="1947"/>
      <c r="I404" s="1947"/>
      <c r="J404" s="1947"/>
      <c r="K404" s="1947"/>
      <c r="L404" s="1947"/>
      <c r="M404" s="1947"/>
      <c r="N404" s="1947"/>
      <c r="O404" s="1947"/>
      <c r="P404" s="1947"/>
      <c r="Q404" s="1948">
        <f>Q405</f>
        <v>27.7</v>
      </c>
      <c r="R404" s="1948">
        <f t="shared" si="68"/>
        <v>27.7</v>
      </c>
      <c r="S404" s="1948"/>
      <c r="T404" s="1947"/>
      <c r="U404" s="1947"/>
      <c r="V404" s="1947"/>
      <c r="W404" s="1947"/>
      <c r="X404" s="1947"/>
      <c r="Y404" s="1947"/>
      <c r="Z404" s="1947"/>
      <c r="AA404" s="1947"/>
      <c r="AB404" s="3523" t="s">
        <v>1916</v>
      </c>
      <c r="AC404" s="515" t="s">
        <v>1665</v>
      </c>
      <c r="AF404" s="519"/>
      <c r="AG404" s="540"/>
      <c r="AH404" s="540"/>
    </row>
    <row r="405" spans="1:34" s="498" customFormat="1" x14ac:dyDescent="0.25">
      <c r="A405" s="962"/>
      <c r="B405" s="500" t="s">
        <v>1233</v>
      </c>
      <c r="C405" s="529" t="s">
        <v>1230</v>
      </c>
      <c r="D405" s="903"/>
      <c r="E405" s="1245"/>
      <c r="F405" s="857"/>
      <c r="G405" s="857"/>
      <c r="H405" s="857"/>
      <c r="I405" s="857"/>
      <c r="J405" s="857"/>
      <c r="K405" s="857"/>
      <c r="L405" s="857"/>
      <c r="M405" s="857"/>
      <c r="N405" s="857"/>
      <c r="O405" s="857"/>
      <c r="P405" s="857"/>
      <c r="Q405" s="533">
        <f>27.5+0.2</f>
        <v>27.7</v>
      </c>
      <c r="R405" s="533">
        <f t="shared" si="68"/>
        <v>27.7</v>
      </c>
      <c r="S405" s="533"/>
      <c r="T405" s="857"/>
      <c r="U405" s="857"/>
      <c r="V405" s="857"/>
      <c r="W405" s="857"/>
      <c r="X405" s="857"/>
      <c r="Y405" s="857"/>
      <c r="Z405" s="857"/>
      <c r="AA405" s="857"/>
      <c r="AB405" s="3645"/>
      <c r="AC405" s="491" t="s">
        <v>1665</v>
      </c>
      <c r="AF405" s="466"/>
      <c r="AG405" s="465"/>
      <c r="AH405" s="465"/>
    </row>
    <row r="406" spans="1:34" s="498" customFormat="1" hidden="1" x14ac:dyDescent="0.25">
      <c r="A406" s="962"/>
      <c r="B406" s="1885" t="s">
        <v>1933</v>
      </c>
      <c r="C406" s="553"/>
      <c r="D406" s="903"/>
      <c r="E406" s="1245"/>
      <c r="F406" s="857"/>
      <c r="G406" s="857"/>
      <c r="H406" s="857"/>
      <c r="I406" s="857"/>
      <c r="J406" s="857"/>
      <c r="K406" s="857"/>
      <c r="L406" s="857"/>
      <c r="M406" s="857"/>
      <c r="N406" s="857"/>
      <c r="O406" s="857">
        <v>1</v>
      </c>
      <c r="P406" s="857">
        <v>3.5</v>
      </c>
      <c r="Q406" s="857">
        <f t="shared" ref="Q406:Q410" si="69">O406*P406</f>
        <v>3.5</v>
      </c>
      <c r="R406" s="857">
        <f t="shared" si="68"/>
        <v>3.5</v>
      </c>
      <c r="S406" s="857"/>
      <c r="T406" s="857"/>
      <c r="U406" s="857"/>
      <c r="V406" s="857"/>
      <c r="W406" s="857"/>
      <c r="X406" s="857"/>
      <c r="Y406" s="857"/>
      <c r="Z406" s="857"/>
      <c r="AA406" s="857"/>
      <c r="AB406" s="3524"/>
      <c r="AC406" s="491" t="s">
        <v>1665</v>
      </c>
      <c r="AF406" s="466"/>
      <c r="AG406" s="465"/>
      <c r="AH406" s="465"/>
    </row>
    <row r="407" spans="1:34" s="498" customFormat="1" hidden="1" x14ac:dyDescent="0.25">
      <c r="A407" s="962"/>
      <c r="B407" s="1885" t="s">
        <v>1404</v>
      </c>
      <c r="C407" s="553"/>
      <c r="D407" s="903"/>
      <c r="E407" s="1245"/>
      <c r="F407" s="857"/>
      <c r="G407" s="857"/>
      <c r="H407" s="857"/>
      <c r="I407" s="857"/>
      <c r="J407" s="857"/>
      <c r="K407" s="857"/>
      <c r="L407" s="857"/>
      <c r="M407" s="857"/>
      <c r="N407" s="857"/>
      <c r="O407" s="857">
        <v>2</v>
      </c>
      <c r="P407" s="857">
        <v>2.2999999999999998</v>
      </c>
      <c r="Q407" s="857">
        <f t="shared" si="69"/>
        <v>4.5999999999999996</v>
      </c>
      <c r="R407" s="857">
        <f t="shared" si="68"/>
        <v>4.5999999999999996</v>
      </c>
      <c r="S407" s="857"/>
      <c r="T407" s="857"/>
      <c r="U407" s="857"/>
      <c r="V407" s="857"/>
      <c r="W407" s="857"/>
      <c r="X407" s="857"/>
      <c r="Y407" s="857"/>
      <c r="Z407" s="857"/>
      <c r="AA407" s="857"/>
      <c r="AB407" s="3524"/>
      <c r="AC407" s="491" t="s">
        <v>1665</v>
      </c>
      <c r="AF407" s="466"/>
      <c r="AG407" s="465"/>
      <c r="AH407" s="465"/>
    </row>
    <row r="408" spans="1:34" s="498" customFormat="1" hidden="1" x14ac:dyDescent="0.25">
      <c r="A408" s="962"/>
      <c r="B408" s="1885" t="s">
        <v>1934</v>
      </c>
      <c r="C408" s="553"/>
      <c r="D408" s="903"/>
      <c r="E408" s="1245"/>
      <c r="F408" s="857"/>
      <c r="G408" s="857"/>
      <c r="H408" s="857"/>
      <c r="I408" s="857"/>
      <c r="J408" s="857"/>
      <c r="K408" s="857"/>
      <c r="L408" s="857"/>
      <c r="M408" s="857"/>
      <c r="N408" s="857"/>
      <c r="O408" s="857">
        <v>2</v>
      </c>
      <c r="P408" s="857">
        <v>2.2999999999999998</v>
      </c>
      <c r="Q408" s="857">
        <f t="shared" si="69"/>
        <v>4.5999999999999996</v>
      </c>
      <c r="R408" s="857">
        <f t="shared" si="68"/>
        <v>4.5999999999999996</v>
      </c>
      <c r="S408" s="857"/>
      <c r="T408" s="857"/>
      <c r="U408" s="857"/>
      <c r="V408" s="857"/>
      <c r="W408" s="857"/>
      <c r="X408" s="857"/>
      <c r="Y408" s="857"/>
      <c r="Z408" s="857"/>
      <c r="AA408" s="857"/>
      <c r="AB408" s="3524"/>
      <c r="AC408" s="491" t="s">
        <v>1665</v>
      </c>
      <c r="AF408" s="466"/>
      <c r="AG408" s="465"/>
      <c r="AH408" s="465"/>
    </row>
    <row r="409" spans="1:34" s="498" customFormat="1" hidden="1" x14ac:dyDescent="0.25">
      <c r="A409" s="962"/>
      <c r="B409" s="1885" t="s">
        <v>1807</v>
      </c>
      <c r="C409" s="553"/>
      <c r="D409" s="903"/>
      <c r="E409" s="1245"/>
      <c r="F409" s="857"/>
      <c r="G409" s="857"/>
      <c r="H409" s="857"/>
      <c r="I409" s="857"/>
      <c r="J409" s="857"/>
      <c r="K409" s="857"/>
      <c r="L409" s="857"/>
      <c r="M409" s="857"/>
      <c r="N409" s="857"/>
      <c r="O409" s="857">
        <v>1</v>
      </c>
      <c r="P409" s="857">
        <v>4</v>
      </c>
      <c r="Q409" s="857">
        <f t="shared" si="69"/>
        <v>4</v>
      </c>
      <c r="R409" s="857">
        <f t="shared" si="68"/>
        <v>4</v>
      </c>
      <c r="S409" s="857"/>
      <c r="T409" s="857"/>
      <c r="U409" s="857"/>
      <c r="V409" s="857"/>
      <c r="W409" s="857"/>
      <c r="X409" s="857"/>
      <c r="Y409" s="857"/>
      <c r="Z409" s="857"/>
      <c r="AA409" s="857"/>
      <c r="AB409" s="3524"/>
      <c r="AC409" s="491" t="s">
        <v>1665</v>
      </c>
      <c r="AF409" s="466"/>
      <c r="AG409" s="465"/>
      <c r="AH409" s="465"/>
    </row>
    <row r="410" spans="1:34" s="498" customFormat="1" hidden="1" x14ac:dyDescent="0.25">
      <c r="A410" s="962"/>
      <c r="B410" s="1885" t="s">
        <v>1989</v>
      </c>
      <c r="C410" s="553"/>
      <c r="D410" s="903"/>
      <c r="E410" s="1245"/>
      <c r="F410" s="857"/>
      <c r="G410" s="857"/>
      <c r="H410" s="857"/>
      <c r="I410" s="857"/>
      <c r="J410" s="857"/>
      <c r="K410" s="857"/>
      <c r="L410" s="857"/>
      <c r="M410" s="857"/>
      <c r="N410" s="857"/>
      <c r="O410" s="857">
        <v>2</v>
      </c>
      <c r="P410" s="857">
        <v>2.5</v>
      </c>
      <c r="Q410" s="857">
        <f t="shared" si="69"/>
        <v>5</v>
      </c>
      <c r="R410" s="857">
        <f t="shared" si="68"/>
        <v>5</v>
      </c>
      <c r="S410" s="857"/>
      <c r="T410" s="857"/>
      <c r="U410" s="857"/>
      <c r="V410" s="857"/>
      <c r="W410" s="857"/>
      <c r="X410" s="857"/>
      <c r="Y410" s="857"/>
      <c r="Z410" s="857"/>
      <c r="AA410" s="857"/>
      <c r="AB410" s="3524"/>
      <c r="AC410" s="491" t="s">
        <v>1665</v>
      </c>
      <c r="AF410" s="466"/>
      <c r="AG410" s="465"/>
      <c r="AH410" s="465"/>
    </row>
    <row r="411" spans="1:34" s="498" customFormat="1" hidden="1" x14ac:dyDescent="0.25">
      <c r="A411" s="962"/>
      <c r="B411" s="1885" t="s">
        <v>1991</v>
      </c>
      <c r="C411" s="553"/>
      <c r="D411" s="903"/>
      <c r="E411" s="1245"/>
      <c r="F411" s="857"/>
      <c r="G411" s="857"/>
      <c r="H411" s="857"/>
      <c r="I411" s="857"/>
      <c r="J411" s="857"/>
      <c r="K411" s="857"/>
      <c r="L411" s="857"/>
      <c r="M411" s="857"/>
      <c r="N411" s="857"/>
      <c r="O411" s="857"/>
      <c r="P411" s="857"/>
      <c r="Q411" s="857">
        <f>SUM(Q406:Q410)*0.271</f>
        <v>5.9</v>
      </c>
      <c r="R411" s="857">
        <f t="shared" si="68"/>
        <v>5.9</v>
      </c>
      <c r="S411" s="857"/>
      <c r="T411" s="857"/>
      <c r="U411" s="857"/>
      <c r="V411" s="857"/>
      <c r="W411" s="857"/>
      <c r="X411" s="857"/>
      <c r="Y411" s="857"/>
      <c r="Z411" s="857"/>
      <c r="AA411" s="857"/>
      <c r="AB411" s="3525"/>
      <c r="AC411" s="491" t="s">
        <v>1665</v>
      </c>
      <c r="AF411" s="466"/>
      <c r="AG411" s="465"/>
      <c r="AH411" s="465"/>
    </row>
    <row r="412" spans="1:34" s="539" customFormat="1" hidden="1" x14ac:dyDescent="0.25">
      <c r="A412" s="536"/>
      <c r="B412" s="510" t="s">
        <v>1992</v>
      </c>
      <c r="C412" s="1918"/>
      <c r="D412" s="536"/>
      <c r="E412" s="536"/>
      <c r="F412" s="1950"/>
      <c r="G412" s="1951"/>
      <c r="H412" s="490" t="e">
        <f>#REF!+H413</f>
        <v>#REF!</v>
      </c>
      <c r="I412" s="1952"/>
      <c r="J412" s="1952"/>
      <c r="K412" s="490">
        <f>K413</f>
        <v>0</v>
      </c>
      <c r="L412" s="1952"/>
      <c r="M412" s="1952"/>
      <c r="N412" s="490">
        <f>N413</f>
        <v>0</v>
      </c>
      <c r="O412" s="1952"/>
      <c r="P412" s="1952"/>
      <c r="Q412" s="490">
        <f>Q413</f>
        <v>0</v>
      </c>
      <c r="R412" s="490">
        <f t="shared" si="68"/>
        <v>0</v>
      </c>
      <c r="S412" s="490"/>
      <c r="T412" s="1952"/>
      <c r="U412" s="1952"/>
      <c r="V412" s="490">
        <f>V413</f>
        <v>150</v>
      </c>
      <c r="W412" s="490"/>
      <c r="X412" s="490"/>
      <c r="Y412" s="490">
        <f>Y413</f>
        <v>150</v>
      </c>
      <c r="Z412" s="490">
        <f t="shared" ref="Z412:Z416" si="70">Q412-K412</f>
        <v>0</v>
      </c>
      <c r="AA412" s="490" t="str">
        <f t="shared" ref="AA412:AA416" si="71">IFERROR(Q412/K412*100,"-")</f>
        <v>-</v>
      </c>
      <c r="AB412" s="555"/>
      <c r="AC412" s="538"/>
      <c r="AF412" s="519"/>
      <c r="AG412" s="540"/>
      <c r="AH412" s="540"/>
    </row>
    <row r="413" spans="1:34" s="871" customFormat="1" ht="38.25" hidden="1" x14ac:dyDescent="0.2">
      <c r="A413" s="869"/>
      <c r="B413" s="922" t="s">
        <v>1993</v>
      </c>
      <c r="C413" s="923"/>
      <c r="D413" s="869" t="s">
        <v>1444</v>
      </c>
      <c r="E413" s="869"/>
      <c r="F413" s="918"/>
      <c r="G413" s="919"/>
      <c r="H413" s="886">
        <f>H414</f>
        <v>90</v>
      </c>
      <c r="I413" s="891"/>
      <c r="J413" s="891"/>
      <c r="K413" s="891">
        <f>K414</f>
        <v>0</v>
      </c>
      <c r="L413" s="891"/>
      <c r="M413" s="891"/>
      <c r="N413" s="891">
        <f>N414</f>
        <v>0</v>
      </c>
      <c r="O413" s="891"/>
      <c r="P413" s="891"/>
      <c r="Q413" s="891">
        <f>Q414</f>
        <v>0</v>
      </c>
      <c r="R413" s="891">
        <f t="shared" si="68"/>
        <v>0</v>
      </c>
      <c r="S413" s="891"/>
      <c r="T413" s="891"/>
      <c r="U413" s="891"/>
      <c r="V413" s="891">
        <f>V414</f>
        <v>150</v>
      </c>
      <c r="W413" s="891"/>
      <c r="X413" s="891"/>
      <c r="Y413" s="891">
        <f>Y414</f>
        <v>150</v>
      </c>
      <c r="Z413" s="886">
        <f t="shared" si="70"/>
        <v>0</v>
      </c>
      <c r="AA413" s="886" t="str">
        <f t="shared" si="71"/>
        <v>-</v>
      </c>
      <c r="AB413" s="1953"/>
      <c r="AC413" s="920" t="s">
        <v>1665</v>
      </c>
      <c r="AF413" s="872"/>
      <c r="AG413" s="872"/>
      <c r="AH413" s="872"/>
    </row>
    <row r="414" spans="1:34" s="492" customFormat="1" ht="14.25" hidden="1" x14ac:dyDescent="0.2">
      <c r="A414" s="1240"/>
      <c r="B414" s="866" t="s">
        <v>1245</v>
      </c>
      <c r="C414" s="529" t="s">
        <v>800</v>
      </c>
      <c r="D414" s="932"/>
      <c r="E414" s="1240"/>
      <c r="F414" s="828"/>
      <c r="G414" s="829"/>
      <c r="H414" s="542">
        <f>H415+H416</f>
        <v>90</v>
      </c>
      <c r="I414" s="533"/>
      <c r="J414" s="533"/>
      <c r="K414" s="533">
        <f>K415</f>
        <v>0</v>
      </c>
      <c r="L414" s="533"/>
      <c r="M414" s="533"/>
      <c r="N414" s="533">
        <f>N415</f>
        <v>0</v>
      </c>
      <c r="O414" s="533"/>
      <c r="P414" s="533"/>
      <c r="Q414" s="533">
        <f>Q415</f>
        <v>0</v>
      </c>
      <c r="R414" s="533">
        <f t="shared" si="68"/>
        <v>0</v>
      </c>
      <c r="S414" s="533"/>
      <c r="T414" s="533"/>
      <c r="U414" s="533"/>
      <c r="V414" s="533">
        <f>V415</f>
        <v>150</v>
      </c>
      <c r="W414" s="533"/>
      <c r="X414" s="533"/>
      <c r="Y414" s="533">
        <f>Y415</f>
        <v>150</v>
      </c>
      <c r="Z414" s="542">
        <f t="shared" si="70"/>
        <v>0</v>
      </c>
      <c r="AA414" s="542" t="str">
        <f t="shared" si="71"/>
        <v>-</v>
      </c>
      <c r="AB414" s="1893"/>
      <c r="AC414" s="491" t="s">
        <v>1665</v>
      </c>
      <c r="AF414" s="466"/>
      <c r="AG414" s="466"/>
      <c r="AH414" s="466"/>
    </row>
    <row r="415" spans="1:34" s="498" customFormat="1" ht="89.25" hidden="1" x14ac:dyDescent="0.25">
      <c r="A415" s="962"/>
      <c r="B415" s="1863" t="s">
        <v>1994</v>
      </c>
      <c r="C415" s="553"/>
      <c r="D415" s="903"/>
      <c r="E415" s="1245" t="s">
        <v>1995</v>
      </c>
      <c r="F415" s="557">
        <v>6</v>
      </c>
      <c r="G415" s="558">
        <v>12.2</v>
      </c>
      <c r="H415" s="559">
        <f>F415*G415</f>
        <v>73.2</v>
      </c>
      <c r="I415" s="857"/>
      <c r="J415" s="857"/>
      <c r="K415" s="857"/>
      <c r="L415" s="857"/>
      <c r="M415" s="857"/>
      <c r="N415" s="857"/>
      <c r="O415" s="857"/>
      <c r="P415" s="857"/>
      <c r="Q415" s="857"/>
      <c r="R415" s="857">
        <f t="shared" si="68"/>
        <v>0</v>
      </c>
      <c r="S415" s="857"/>
      <c r="T415" s="857">
        <v>10</v>
      </c>
      <c r="U415" s="857">
        <v>15</v>
      </c>
      <c r="V415" s="857">
        <f>T415*U415</f>
        <v>150</v>
      </c>
      <c r="W415" s="857">
        <v>10</v>
      </c>
      <c r="X415" s="857">
        <v>15</v>
      </c>
      <c r="Y415" s="857">
        <f>W415*X415</f>
        <v>150</v>
      </c>
      <c r="Z415" s="559">
        <f t="shared" si="70"/>
        <v>0</v>
      </c>
      <c r="AA415" s="559" t="str">
        <f t="shared" si="71"/>
        <v>-</v>
      </c>
      <c r="AB415" s="1954" t="s">
        <v>1996</v>
      </c>
      <c r="AC415" s="491" t="s">
        <v>1665</v>
      </c>
      <c r="AF415" s="466"/>
      <c r="AG415" s="465"/>
      <c r="AH415" s="465"/>
    </row>
    <row r="416" spans="1:34" s="498" customFormat="1" hidden="1" x14ac:dyDescent="0.25">
      <c r="A416" s="962"/>
      <c r="B416" s="1863" t="s">
        <v>1997</v>
      </c>
      <c r="C416" s="553"/>
      <c r="D416" s="903"/>
      <c r="E416" s="1245" t="s">
        <v>227</v>
      </c>
      <c r="F416" s="557">
        <v>14</v>
      </c>
      <c r="G416" s="558">
        <v>1.2</v>
      </c>
      <c r="H416" s="559">
        <f>F416*G416</f>
        <v>16.8</v>
      </c>
      <c r="I416" s="857"/>
      <c r="J416" s="857"/>
      <c r="K416" s="857"/>
      <c r="L416" s="857"/>
      <c r="M416" s="857"/>
      <c r="N416" s="857"/>
      <c r="O416" s="857"/>
      <c r="P416" s="857"/>
      <c r="Q416" s="857"/>
      <c r="R416" s="857">
        <f t="shared" si="68"/>
        <v>0</v>
      </c>
      <c r="S416" s="857"/>
      <c r="T416" s="857"/>
      <c r="U416" s="857"/>
      <c r="V416" s="857"/>
      <c r="W416" s="857"/>
      <c r="X416" s="857"/>
      <c r="Y416" s="857"/>
      <c r="Z416" s="559">
        <f t="shared" si="70"/>
        <v>0</v>
      </c>
      <c r="AA416" s="559" t="str">
        <f t="shared" si="71"/>
        <v>-</v>
      </c>
      <c r="AB416" s="1954"/>
      <c r="AC416" s="491" t="s">
        <v>1665</v>
      </c>
      <c r="AF416" s="466"/>
      <c r="AG416" s="465"/>
      <c r="AH416" s="465"/>
    </row>
    <row r="417" spans="1:35" s="561" customFormat="1" x14ac:dyDescent="0.25">
      <c r="A417" s="560"/>
      <c r="C417" s="562"/>
      <c r="D417" s="560"/>
      <c r="E417" s="560"/>
      <c r="F417" s="563"/>
      <c r="G417" s="564"/>
      <c r="H417" s="565"/>
      <c r="I417" s="470"/>
      <c r="J417" s="470"/>
      <c r="K417" s="470"/>
      <c r="L417" s="470"/>
      <c r="M417" s="470"/>
      <c r="N417" s="470"/>
      <c r="O417" s="470"/>
      <c r="P417" s="470"/>
      <c r="Q417" s="470"/>
      <c r="R417" s="470"/>
      <c r="S417" s="470"/>
      <c r="T417" s="470"/>
      <c r="U417" s="470"/>
      <c r="V417" s="470"/>
      <c r="W417" s="470"/>
      <c r="X417" s="470"/>
      <c r="Y417" s="470"/>
      <c r="Z417" s="566"/>
      <c r="AA417" s="566"/>
      <c r="AB417" s="470"/>
      <c r="AC417" s="567"/>
      <c r="AF417" s="568"/>
    </row>
    <row r="418" spans="1:35" s="576" customFormat="1" ht="17.25" customHeight="1" x14ac:dyDescent="0.25">
      <c r="A418" s="571"/>
      <c r="B418" s="606"/>
      <c r="C418" s="606"/>
      <c r="D418" s="571"/>
      <c r="E418" s="571"/>
      <c r="F418" s="924"/>
      <c r="G418" s="925"/>
      <c r="H418" s="571"/>
      <c r="I418" s="571"/>
      <c r="J418" s="571"/>
      <c r="K418" s="575"/>
      <c r="L418" s="571"/>
      <c r="M418" s="571"/>
      <c r="N418" s="575"/>
      <c r="O418" s="571"/>
      <c r="P418" s="571"/>
      <c r="Q418" s="575"/>
      <c r="R418" s="575"/>
      <c r="S418" s="575"/>
      <c r="T418" s="571"/>
      <c r="U418" s="571"/>
      <c r="V418" s="575"/>
      <c r="W418" s="571"/>
      <c r="X418" s="571"/>
      <c r="Y418" s="575"/>
      <c r="Z418" s="575"/>
      <c r="AA418" s="575"/>
      <c r="AC418" s="926"/>
      <c r="AD418" s="562"/>
      <c r="AE418" s="562"/>
      <c r="AF418" s="568"/>
      <c r="AG418" s="561"/>
      <c r="AH418" s="561"/>
      <c r="AI418" s="927"/>
    </row>
    <row r="419" spans="1:35" s="1959" customFormat="1" ht="14.25" x14ac:dyDescent="0.2">
      <c r="A419" s="1955"/>
      <c r="B419" s="1955"/>
      <c r="C419" s="572" t="s">
        <v>1665</v>
      </c>
      <c r="D419" s="572"/>
      <c r="E419" s="572"/>
      <c r="F419" s="573"/>
      <c r="G419" s="574"/>
      <c r="H419" s="572">
        <f>H420+H421+H422+H423+H424+H425+H426</f>
        <v>1329.4</v>
      </c>
      <c r="I419" s="572"/>
      <c r="J419" s="572"/>
      <c r="K419" s="572">
        <f>K420+K421+K422+K423+K424+K425+K426</f>
        <v>891.2</v>
      </c>
      <c r="L419" s="572"/>
      <c r="M419" s="572"/>
      <c r="N419" s="572">
        <f>N420+N421+N422+N423+N424+N425+N426</f>
        <v>891.2</v>
      </c>
      <c r="O419" s="572"/>
      <c r="P419" s="572"/>
      <c r="Q419" s="572">
        <f>Q420+Q421+Q422+Q423+Q424+Q425+Q426</f>
        <v>1419.4</v>
      </c>
      <c r="R419" s="572">
        <f t="shared" ref="R419:S419" si="72">R420+R421+R422+R423+R424+R425+R426</f>
        <v>1185.7</v>
      </c>
      <c r="S419" s="572">
        <f t="shared" si="72"/>
        <v>233.9</v>
      </c>
      <c r="T419" s="572"/>
      <c r="U419" s="572"/>
      <c r="V419" s="572">
        <f>V420+V421+V422+V423+V424+V425+V426</f>
        <v>1247.3</v>
      </c>
      <c r="W419" s="572"/>
      <c r="X419" s="572"/>
      <c r="Y419" s="572">
        <f>Y420+Y421+Y422+Y423+Y424+Y425+Y426</f>
        <v>1247.3</v>
      </c>
      <c r="Z419" s="579"/>
      <c r="AA419" s="579"/>
      <c r="AB419" s="576"/>
      <c r="AC419" s="1956"/>
      <c r="AD419" s="1957"/>
      <c r="AE419" s="1957"/>
      <c r="AF419" s="1958"/>
      <c r="AG419" s="1958"/>
      <c r="AH419" s="1958"/>
    </row>
    <row r="420" spans="1:35" s="1961" customFormat="1" x14ac:dyDescent="0.25">
      <c r="A420" s="571"/>
      <c r="B420" s="571"/>
      <c r="C420" s="578" t="s">
        <v>1237</v>
      </c>
      <c r="D420" s="578"/>
      <c r="E420" s="578"/>
      <c r="F420" s="1241"/>
      <c r="G420" s="1242"/>
      <c r="H420" s="1243">
        <f>H72+H96+H118+H180+H248+H280+H374</f>
        <v>92.5</v>
      </c>
      <c r="I420" s="1243"/>
      <c r="J420" s="1243"/>
      <c r="K420" s="1243">
        <f>K72+K96+K118+K180+K248+K280+K374</f>
        <v>91.3</v>
      </c>
      <c r="L420" s="1243"/>
      <c r="M420" s="1243"/>
      <c r="N420" s="1243">
        <f>N72+N96+N118+N180+N248+N280+N374</f>
        <v>91.3</v>
      </c>
      <c r="O420" s="1243"/>
      <c r="P420" s="1243"/>
      <c r="Q420" s="1243">
        <f>Q72+Q96+Q118+Q180+Q248+Q280+Q374</f>
        <v>85</v>
      </c>
      <c r="R420" s="1243">
        <f>R72+R96+R118+R180+R248+R280+R374</f>
        <v>77.5</v>
      </c>
      <c r="S420" s="1243">
        <f>S72+S96+S118+S180+S248+S280+S374</f>
        <v>7.5</v>
      </c>
      <c r="T420" s="1243"/>
      <c r="U420" s="1243"/>
      <c r="V420" s="1243">
        <f>V72+V96+V118+V180+V248+V280+V374</f>
        <v>85</v>
      </c>
      <c r="W420" s="1243"/>
      <c r="X420" s="1243"/>
      <c r="Y420" s="1243">
        <f>Y72+Y96+Y118+Y180+Y248+Y280+Y374</f>
        <v>85</v>
      </c>
      <c r="Z420" s="575"/>
      <c r="AA420" s="575"/>
      <c r="AB420" s="576"/>
      <c r="AC420" s="577"/>
      <c r="AD420" s="1960"/>
      <c r="AE420" s="1960"/>
      <c r="AF420" s="1958"/>
      <c r="AG420" s="560"/>
      <c r="AH420" s="560"/>
    </row>
    <row r="421" spans="1:35" s="1975" customFormat="1" x14ac:dyDescent="0.25">
      <c r="A421" s="1971"/>
      <c r="B421" s="1971"/>
      <c r="C421" s="1972" t="s">
        <v>1230</v>
      </c>
      <c r="D421" s="1972"/>
      <c r="E421" s="1972"/>
      <c r="F421" s="1241"/>
      <c r="G421" s="1242"/>
      <c r="H421" s="1243">
        <f>H26+H46+H53+H76+H86+H104+H135+H148+H169+H192+H230+H266+H295+H304+H318+H338+H361+H376</f>
        <v>272.60000000000002</v>
      </c>
      <c r="I421" s="1243"/>
      <c r="J421" s="1243"/>
      <c r="K421" s="1243">
        <f>K26+K46+K53+K76+K86+K104+K135+K148+K169+K192+K230+K266+K295+K304+K318+K338+K361+K376</f>
        <v>259</v>
      </c>
      <c r="L421" s="1243"/>
      <c r="M421" s="1243"/>
      <c r="N421" s="1243">
        <f>N26+N46+N53+N76+N86+N104+N135+N148+N169+N192+N230+N266+N295+N304+N318+N338+N361+N376</f>
        <v>259</v>
      </c>
      <c r="O421" s="1972"/>
      <c r="P421" s="1972"/>
      <c r="Q421" s="1972">
        <f>Q26+Q46+Q53+Q76+Q86+Q104+Q135+Q148+Q169+Q192+Q230+Q266+Q295+Q304+Q318+Q338+Q361+Q376+Q397+Q405</f>
        <v>506.6</v>
      </c>
      <c r="R421" s="1972">
        <f>R26+R46+R53+R76+R86+R104+R135+R148+R169+R192+R230+R266+R295+R304+R318+R338+R361+R376+R397+R405</f>
        <v>458.3</v>
      </c>
      <c r="S421" s="1972">
        <f>S26+S46+S53+S76+S86+S104+S135+S148+S169+S192+S230+S266+S295+S304+S318+S338+S361+S376+S397+S405</f>
        <v>48.5</v>
      </c>
      <c r="T421" s="1972"/>
      <c r="U421" s="1972"/>
      <c r="V421" s="1972">
        <f>V26+V46+V53+V76+V86+V104+V135+V148+V169+V192+V230+V266+V295+V304+V318+V338+V361+V376</f>
        <v>395.3</v>
      </c>
      <c r="W421" s="1972"/>
      <c r="X421" s="1972"/>
      <c r="Y421" s="1972">
        <f>Y26+Y46+Y53+Y76+Y86+Y104+Y135+Y148+Y169+Y192+Y230+Y266+Y295+Y304+Y318+Y338+Y361+Y376</f>
        <v>395.3</v>
      </c>
      <c r="Z421" s="1971"/>
      <c r="AA421" s="1971"/>
      <c r="AB421" s="1973"/>
      <c r="AC421" s="1974"/>
      <c r="AF421" s="1976"/>
      <c r="AG421" s="1977"/>
      <c r="AH421" s="1977"/>
    </row>
    <row r="422" spans="1:35" s="1961" customFormat="1" x14ac:dyDescent="0.25">
      <c r="A422" s="571"/>
      <c r="B422" s="571"/>
      <c r="C422" s="578" t="s">
        <v>796</v>
      </c>
      <c r="D422" s="578"/>
      <c r="E422" s="578"/>
      <c r="F422" s="1241"/>
      <c r="G422" s="1242"/>
      <c r="H422" s="1243">
        <f>H20+H22+H23+H24+H43+H44+H65+H95+H114+H142+H154+H166+H183+H209+H242+H279+H294+H315+H335+H343+H392</f>
        <v>201.4</v>
      </c>
      <c r="I422" s="1243"/>
      <c r="J422" s="1243"/>
      <c r="K422" s="1243">
        <f>K20+K22+K23+K24+K43+K44+K65+K95+K114+K142+K154+K166+K183+K209+K242+K279+K294+K315+K335+K343+K392</f>
        <v>176.5</v>
      </c>
      <c r="L422" s="1243"/>
      <c r="M422" s="1243"/>
      <c r="N422" s="1243">
        <f>N20+N22+N23+N24+N43+N44+N65+N95+N114+N142+N154+N166+N183+N209+N242+N279+N294+N315+N335+N343+N392</f>
        <v>176.5</v>
      </c>
      <c r="O422" s="1243"/>
      <c r="P422" s="1243"/>
      <c r="Q422" s="1243">
        <f>Q20+Q22+Q23+Q24+Q43+Q44+Q65+Q95+Q114+Q142+Q154+Q166+Q183+Q209+Q242+Q279+Q294+Q315+Q335+Q343+Q392</f>
        <v>159.30000000000001</v>
      </c>
      <c r="R422" s="1243">
        <f>R20+R22+R23+R24+R43+R44+R65+R95+R114+R142+R154+R166+R183+R209+R242+R279+R294+R315+R335+R343+R392</f>
        <v>129.30000000000001</v>
      </c>
      <c r="S422" s="1243">
        <f>S20+S22+S23+S24+S43+S44+S65+S95+S114+S142+S154+S166+S183+S209+S242+S279+S294+S315+S335+S343+S392</f>
        <v>30</v>
      </c>
      <c r="T422" s="1243"/>
      <c r="U422" s="1243"/>
      <c r="V422" s="1243">
        <f>V20+V22+V23+V24+V43+V44+V65+V95+V114+V142+V154+V166+V183+V209+V242+V279+V294+V315+V335+V343+V392</f>
        <v>129.30000000000001</v>
      </c>
      <c r="W422" s="1243"/>
      <c r="X422" s="1243"/>
      <c r="Y422" s="1243">
        <f>Y20+Y22+Y23+Y24+Y43+Y44+Y65+Y95+Y114+Y142+Y154+Y166+Y183+Y209+Y242+Y279+Y294+Y315+Y335+Y343+Y392</f>
        <v>129.30000000000001</v>
      </c>
      <c r="Z422" s="575"/>
      <c r="AA422" s="575"/>
      <c r="AB422" s="576"/>
      <c r="AC422" s="577"/>
      <c r="AD422" s="1960"/>
      <c r="AE422" s="1960"/>
      <c r="AF422" s="1958"/>
      <c r="AG422" s="560"/>
      <c r="AH422" s="560"/>
    </row>
    <row r="423" spans="1:35" s="1961" customFormat="1" x14ac:dyDescent="0.25">
      <c r="A423" s="571"/>
      <c r="B423" s="571"/>
      <c r="C423" s="578" t="s">
        <v>800</v>
      </c>
      <c r="D423" s="578"/>
      <c r="E423" s="578"/>
      <c r="F423" s="1241"/>
      <c r="G423" s="1242"/>
      <c r="H423" s="1243">
        <f>H126+H244+H358+H369+H394+H414</f>
        <v>242.9</v>
      </c>
      <c r="I423" s="1243"/>
      <c r="J423" s="1243"/>
      <c r="K423" s="1243">
        <f>K126+K244+K247+K358+K369+K394+K414</f>
        <v>3.5</v>
      </c>
      <c r="L423" s="1243"/>
      <c r="M423" s="1243"/>
      <c r="N423" s="1243">
        <f>N126+N244+N247+N358+N369+N394+N414</f>
        <v>3.5</v>
      </c>
      <c r="O423" s="1243"/>
      <c r="P423" s="1243"/>
      <c r="Q423" s="1243">
        <f>Q126+Q244+Q247+Q358+Q369+Q394+Q414</f>
        <v>172.4</v>
      </c>
      <c r="R423" s="1243">
        <f>R126+R244+R247+R358+R369+R394+R414</f>
        <v>115.7</v>
      </c>
      <c r="S423" s="1243">
        <f>S126+S244+S247+S358+S369+S394+S414</f>
        <v>56.7</v>
      </c>
      <c r="T423" s="1243"/>
      <c r="U423" s="1243"/>
      <c r="V423" s="1243">
        <f>V126+V244+V247+V358+V369+V394+V414</f>
        <v>213.5</v>
      </c>
      <c r="W423" s="1243"/>
      <c r="X423" s="1243"/>
      <c r="Y423" s="1243">
        <f>Y126+Y244+Y247+Y358+Y369+Y394+Y414</f>
        <v>213.5</v>
      </c>
      <c r="Z423" s="575"/>
      <c r="AA423" s="575"/>
      <c r="AB423" s="576"/>
      <c r="AC423" s="577"/>
      <c r="AD423" s="1960"/>
      <c r="AE423" s="1960"/>
      <c r="AF423" s="1958"/>
      <c r="AG423" s="560"/>
      <c r="AH423" s="560"/>
    </row>
    <row r="424" spans="1:35" s="1961" customFormat="1" x14ac:dyDescent="0.25">
      <c r="A424" s="571"/>
      <c r="B424" s="571"/>
      <c r="C424" s="578" t="s">
        <v>797</v>
      </c>
      <c r="D424" s="578"/>
      <c r="E424" s="578"/>
      <c r="F424" s="1241"/>
      <c r="G424" s="1242"/>
      <c r="H424" s="1243">
        <f>H12+H16+H21+H34+H38+H60+H64+H68+H81+H83+H91+H98+H115+H119+H120+H141+H144+H155+H156+H159+H163+H179+H185+H188+H201+H203+H207+H210+H215+H222+H223+H227+H249+H254+H258+H265+H287+H283+H288+H293+H309+H312+H324+H329+H334+H344+H345+H349+H355+H370+H371+H380+H386+H393+H395</f>
        <v>385</v>
      </c>
      <c r="I424" s="1243"/>
      <c r="J424" s="1243"/>
      <c r="K424" s="1243">
        <f>K12+K16+K21+K34+K38+K60+K64+K68+K81+K83+K91+K98+K115+K119+K120+K141+K144+K155+K156+K159+K163+K179+K185+K188+K201+K203+K207+K210+K215+K222+K223+K227+K249+K254+K258+K265+K287+K283+K288+K293+K309+K312+K324+K329+K334+K344+K345+K349+K355+K370+K371+K380+K386+K393+K395</f>
        <v>225.9</v>
      </c>
      <c r="L424" s="1243"/>
      <c r="M424" s="1243"/>
      <c r="N424" s="1243">
        <f>N12+N16+N21+N34+N38+N60+N64+N68+N81+N83+N91+N98+N115+N119+N120+N141+N144+N155+N156+N159+N163+N179+N185+N188+N201+N203+N207+N210+N215+N222+N223+N227+N249+N254+N258+N265+N287+N283+N288+N293+N309+N312+N324+N329+N334+N344+N345+N349+N355+N370+N371+N380+N386+N393+N395</f>
        <v>240.9</v>
      </c>
      <c r="O424" s="1243"/>
      <c r="P424" s="1243"/>
      <c r="Q424" s="1243">
        <f>Q12+Q16+Q21+Q34+Q38+Q60+Q64+Q68+Q81+Q83+Q91+Q98+Q115+Q119+Q120+Q141+Q144+Q155+Q156+Q159+Q163+Q179+Q185+Q188+Q201+Q203+Q207+Q210+Q215+Q222+Q223+Q227+Q249+Q254+Q258+Q265+Q287+Q283+Q288+Q293+Q309+Q312+Q324+Q329+Q334+Q344+Q345+Q349+Q355+Q370+Q371+Q380+Q386+Q393+Q395</f>
        <v>360.1</v>
      </c>
      <c r="R424" s="1243">
        <f>R12+R16+R21+R34+R38+R60+R64+R68+R81+R83+R91+R98+R115+R119+R120+R141+R144+R155+R156+R159+R163+R179+R185+R188+R201+R203+R207+R210+R215+R222+R223+R227+R249+R254+R258+R265+R287+R283+R288+R293+R309+R312+R324+R329+R334+R344+R345+R349+R355+R370+R371+R380+R386+R393+R395</f>
        <v>274.89999999999998</v>
      </c>
      <c r="S424" s="1243">
        <f>S12+S16+S21+S34+S38+S60+S64+S68+S81+S83+S91+S98+S115+S119+S120+S141+S144+S155+S156+S159+S163+S179+S185+S188+S201+S203+S207+S210+S215+S222+S223+S227+S249+S254+S258+S265+S287+S283+S288+S293+S309+S312+S324+S329+S334+S344+S345+S349+S355+S370+S371+S380+S386+S393+S395</f>
        <v>85.2</v>
      </c>
      <c r="T424" s="1243"/>
      <c r="U424" s="1243"/>
      <c r="V424" s="1243">
        <f>V12+V16+V21+V34+V38+V60+V64+V68+V81+V83+V91+V98+V115+V119+V120+V141+V144+V155+V156+V159+V163+V179+V185+V188+V201+V203+V207+V210+V215+V222+V223+V227+V249+V254+V258+V265+V287+V283+V288+V293+V309+V312+V324+V329+V334+V344+V345+V349+V355+V370+V371+V380+V386+V393+V395</f>
        <v>294.2</v>
      </c>
      <c r="W424" s="1243"/>
      <c r="X424" s="1243"/>
      <c r="Y424" s="1243">
        <f>Y12+Y16+Y21+Y34+Y38+Y60+Y64+Y68+Y81+Y83+Y91+Y98+Y115+Y119+Y120+Y141+Y144+Y155+Y156+Y159+Y163+Y179+Y185+Y188+Y201+Y203+Y207+Y210+Y215+Y222+Y223+Y227+Y249+Y254+Y258+Y265+Y287+Y283+Y288+Y293+Y309+Y312+Y324+Y329+Y334+Y344+Y345+Y349+Y355+Y370+Y371+Y380+Y386+Y393+Y395</f>
        <v>294.2</v>
      </c>
      <c r="Z424" s="575"/>
      <c r="AA424" s="575"/>
      <c r="AB424" s="576"/>
      <c r="AC424" s="577"/>
      <c r="AD424" s="1960"/>
      <c r="AE424" s="1960"/>
      <c r="AF424" s="1958"/>
      <c r="AG424" s="560"/>
      <c r="AH424" s="560"/>
    </row>
    <row r="425" spans="1:35" s="1961" customFormat="1" x14ac:dyDescent="0.25">
      <c r="A425" s="571"/>
      <c r="B425" s="571"/>
      <c r="C425" s="607">
        <v>981</v>
      </c>
      <c r="D425" s="578"/>
      <c r="E425" s="578"/>
      <c r="F425" s="1241"/>
      <c r="G425" s="1242"/>
      <c r="H425" s="1243">
        <f>H80+H97</f>
        <v>135</v>
      </c>
      <c r="I425" s="1243"/>
      <c r="J425" s="1243"/>
      <c r="K425" s="1243">
        <f>K80+K97</f>
        <v>135</v>
      </c>
      <c r="L425" s="1243"/>
      <c r="M425" s="1243"/>
      <c r="N425" s="1243">
        <f>N80+N97</f>
        <v>120</v>
      </c>
      <c r="O425" s="1243"/>
      <c r="P425" s="1243"/>
      <c r="Q425" s="1243">
        <f>Q80+Q97</f>
        <v>120</v>
      </c>
      <c r="R425" s="1243">
        <f>R80+R97</f>
        <v>120</v>
      </c>
      <c r="S425" s="1243">
        <f>S80+S97</f>
        <v>0</v>
      </c>
      <c r="T425" s="1243"/>
      <c r="U425" s="1243"/>
      <c r="V425" s="1243">
        <f>V80+V97</f>
        <v>120</v>
      </c>
      <c r="W425" s="1243"/>
      <c r="X425" s="1243"/>
      <c r="Y425" s="1243">
        <f>Y80+Y97</f>
        <v>120</v>
      </c>
      <c r="Z425" s="575"/>
      <c r="AA425" s="575"/>
      <c r="AB425" s="576"/>
      <c r="AC425" s="577"/>
      <c r="AD425" s="1960"/>
      <c r="AE425" s="1960"/>
      <c r="AF425" s="1958"/>
      <c r="AG425" s="560"/>
      <c r="AH425" s="560"/>
    </row>
    <row r="426" spans="1:35" s="1961" customFormat="1" x14ac:dyDescent="0.25">
      <c r="A426" s="571"/>
      <c r="B426" s="571"/>
      <c r="C426" s="607">
        <v>981</v>
      </c>
      <c r="D426" s="578"/>
      <c r="E426" s="578"/>
      <c r="F426" s="1241"/>
      <c r="G426" s="1242"/>
      <c r="H426" s="1243">
        <f>H71+H125+H208+H264</f>
        <v>0</v>
      </c>
      <c r="I426" s="1243"/>
      <c r="J426" s="1243"/>
      <c r="K426" s="1243">
        <f>K71+K125+K208+K264</f>
        <v>0</v>
      </c>
      <c r="L426" s="1243"/>
      <c r="M426" s="1243"/>
      <c r="N426" s="1243">
        <f>N71+N125+N208+N264</f>
        <v>0</v>
      </c>
      <c r="O426" s="1243"/>
      <c r="P426" s="1243"/>
      <c r="Q426" s="1243">
        <f>Q71+Q125+Q208+Q264</f>
        <v>16</v>
      </c>
      <c r="R426" s="1243">
        <f>R71+R125+R208+R264</f>
        <v>10</v>
      </c>
      <c r="S426" s="1243">
        <f>S71+S125+S208+S264</f>
        <v>6</v>
      </c>
      <c r="T426" s="1243"/>
      <c r="U426" s="1243"/>
      <c r="V426" s="1243">
        <f>V71+V125+V208+V264</f>
        <v>10</v>
      </c>
      <c r="W426" s="1243"/>
      <c r="X426" s="1243"/>
      <c r="Y426" s="1243">
        <f>Y71+Y125+Y208+Y264</f>
        <v>10</v>
      </c>
      <c r="Z426" s="575"/>
      <c r="AA426" s="575"/>
      <c r="AB426" s="576"/>
      <c r="AC426" s="577"/>
      <c r="AD426" s="1960"/>
      <c r="AE426" s="1960"/>
      <c r="AF426" s="1958"/>
      <c r="AG426" s="560"/>
      <c r="AH426" s="560"/>
    </row>
    <row r="427" spans="1:35" s="1961" customFormat="1" x14ac:dyDescent="0.25">
      <c r="A427" s="571"/>
      <c r="B427" s="571"/>
      <c r="C427" s="580" t="s">
        <v>217</v>
      </c>
      <c r="D427" s="580"/>
      <c r="E427" s="580"/>
      <c r="F427" s="581"/>
      <c r="G427" s="582"/>
      <c r="H427" s="580">
        <f>H11+H33+H52+H74+H147+H158+H182+H191+H214+H253+H282+H303+H317+H337+H353+H413</f>
        <v>1329.4</v>
      </c>
      <c r="I427" s="580"/>
      <c r="J427" s="580"/>
      <c r="K427" s="580">
        <f>K11+K33+K52+K74+K147+K158+K182+K191+K214+K253+K282+K303+K317+K337+K353+K413</f>
        <v>891.2</v>
      </c>
      <c r="L427" s="580"/>
      <c r="M427" s="580"/>
      <c r="N427" s="580">
        <f>N11+N33+N52+N74+N147+N158+N182+N191+N214+N253+N282+N303+N317+N337+N353+N413</f>
        <v>891.2</v>
      </c>
      <c r="O427" s="580"/>
      <c r="P427" s="580"/>
      <c r="Q427" s="580">
        <f>Q11+Q33+Q52+Q74+Q147+Q158+Q182+Q191+Q214+Q253+Q282+Q303+Q317+Q337+Q353+Q413+Q404+Q396</f>
        <v>1419.4</v>
      </c>
      <c r="R427" s="580">
        <f>R11+R33+R52+R74+R147+R158+R182+R191+R214+R253+R282+R303+R317+R337+R353+R413+R404+R396</f>
        <v>1185.7</v>
      </c>
      <c r="S427" s="580">
        <f>S11+S33+S52+S74+S147+S158+S182+S191+S214+S253+S282+S303+S317+S337+S353+S413+S404+S396</f>
        <v>233.9</v>
      </c>
      <c r="T427" s="580"/>
      <c r="U427" s="580"/>
      <c r="V427" s="580">
        <f>V11+V33+V52+V74+V147+V158+V182+V191+V214+V253+V282+V303+V317+V337+V353+V413</f>
        <v>1247.3</v>
      </c>
      <c r="W427" s="580"/>
      <c r="X427" s="580"/>
      <c r="Y427" s="580">
        <f>Y11+Y33+Y52+Y74+Y147+Y158+Y182+Y191+Y214+Y253+Y282+Y303+Y317+Y337+Y353+Y413</f>
        <v>1247.3</v>
      </c>
      <c r="Z427" s="575"/>
      <c r="AA427" s="575"/>
      <c r="AB427" s="576"/>
      <c r="AC427" s="577"/>
      <c r="AD427" s="1960"/>
      <c r="AE427" s="1960"/>
      <c r="AF427" s="1958"/>
      <c r="AG427" s="560"/>
      <c r="AH427" s="560"/>
    </row>
    <row r="428" spans="1:35" s="1961" customFormat="1" x14ac:dyDescent="0.25">
      <c r="A428" s="571"/>
      <c r="B428" s="571"/>
      <c r="C428" s="578"/>
      <c r="D428" s="578"/>
      <c r="E428" s="578"/>
      <c r="F428" s="1241"/>
      <c r="G428" s="1242"/>
      <c r="H428" s="1243">
        <f t="shared" ref="H428:Y428" si="73">H427-H419</f>
        <v>0</v>
      </c>
      <c r="I428" s="1243">
        <f t="shared" si="73"/>
        <v>0</v>
      </c>
      <c r="J428" s="1243">
        <f t="shared" si="73"/>
        <v>0</v>
      </c>
      <c r="K428" s="1243">
        <f t="shared" si="73"/>
        <v>0</v>
      </c>
      <c r="L428" s="1243">
        <f t="shared" si="73"/>
        <v>0</v>
      </c>
      <c r="M428" s="1243">
        <f t="shared" si="73"/>
        <v>0</v>
      </c>
      <c r="N428" s="1243">
        <f t="shared" si="73"/>
        <v>0</v>
      </c>
      <c r="O428" s="1243">
        <f t="shared" si="73"/>
        <v>0</v>
      </c>
      <c r="P428" s="1243">
        <f t="shared" si="73"/>
        <v>0</v>
      </c>
      <c r="Q428" s="1243">
        <f t="shared" si="73"/>
        <v>0</v>
      </c>
      <c r="R428" s="1243">
        <f t="shared" si="73"/>
        <v>0</v>
      </c>
      <c r="S428" s="1243">
        <f t="shared" si="73"/>
        <v>0</v>
      </c>
      <c r="T428" s="1243">
        <f t="shared" si="73"/>
        <v>0</v>
      </c>
      <c r="U428" s="1243">
        <f t="shared" si="73"/>
        <v>0</v>
      </c>
      <c r="V428" s="1243">
        <f t="shared" si="73"/>
        <v>0</v>
      </c>
      <c r="W428" s="1243">
        <f t="shared" si="73"/>
        <v>0</v>
      </c>
      <c r="X428" s="1243">
        <f t="shared" si="73"/>
        <v>0</v>
      </c>
      <c r="Y428" s="1243">
        <f t="shared" si="73"/>
        <v>0</v>
      </c>
      <c r="Z428" s="575"/>
      <c r="AA428" s="575"/>
      <c r="AB428" s="576"/>
      <c r="AC428" s="577"/>
      <c r="AD428" s="1960"/>
      <c r="AE428" s="1960"/>
      <c r="AF428" s="1958"/>
      <c r="AG428" s="560"/>
      <c r="AH428" s="560"/>
    </row>
    <row r="430" spans="1:35" x14ac:dyDescent="0.25">
      <c r="S430" s="2548" t="s">
        <v>1400</v>
      </c>
      <c r="T430" s="2549">
        <v>2020</v>
      </c>
      <c r="U430" s="2549">
        <v>2021</v>
      </c>
      <c r="V430" s="2549">
        <v>2022</v>
      </c>
    </row>
    <row r="431" spans="1:35" x14ac:dyDescent="0.25">
      <c r="R431" s="1963"/>
      <c r="S431" s="928" t="s">
        <v>802</v>
      </c>
      <c r="T431" s="928">
        <f>R421</f>
        <v>458.3</v>
      </c>
      <c r="U431" s="928">
        <f>V421</f>
        <v>395.3</v>
      </c>
      <c r="V431" s="928">
        <f>Y421</f>
        <v>395.3</v>
      </c>
    </row>
    <row r="432" spans="1:35" x14ac:dyDescent="0.25">
      <c r="S432" s="928" t="s">
        <v>2181</v>
      </c>
      <c r="T432" s="928">
        <f>'б-т 955 наркомания (01.01.20)'!Q47</f>
        <v>20.5</v>
      </c>
      <c r="U432" s="928">
        <f>'б-т 955 наркомания (01.01.20)'!T47</f>
        <v>20.5</v>
      </c>
      <c r="V432" s="928">
        <f>'б-т 955 наркомания (01.01.20)'!W47</f>
        <v>20.5</v>
      </c>
    </row>
    <row r="433" spans="19:22" x14ac:dyDescent="0.25">
      <c r="S433" s="928" t="s">
        <v>1266</v>
      </c>
      <c r="T433" s="928">
        <f>'б-т 955 Стим-е (01.01.20)'!S216</f>
        <v>105.8</v>
      </c>
      <c r="U433" s="928">
        <f>'б-т 955 Стим-е (01.01.20)'!X216</f>
        <v>105.8</v>
      </c>
      <c r="V433" s="928">
        <f>'б-т 955 Стим-е (01.01.20)'!Y216</f>
        <v>105.8</v>
      </c>
    </row>
    <row r="434" spans="19:22" x14ac:dyDescent="0.25">
      <c r="S434" s="2548" t="s">
        <v>97</v>
      </c>
      <c r="T434" s="2548">
        <f>SUBTOTAL(9,T431:T433)</f>
        <v>584.6</v>
      </c>
      <c r="U434" s="2548">
        <f t="shared" ref="U434:V434" si="74">SUBTOTAL(9,U431:U433)</f>
        <v>521.6</v>
      </c>
      <c r="V434" s="2548">
        <f t="shared" si="74"/>
        <v>521.6</v>
      </c>
    </row>
  </sheetData>
  <autoFilter ref="A8:AN416">
    <filterColumn colId="2">
      <filters>
        <filter val="955"/>
      </filters>
    </filterColumn>
  </autoFilter>
  <mergeCells count="45">
    <mergeCell ref="A3:AB3"/>
    <mergeCell ref="A5:A7"/>
    <mergeCell ref="B5:B7"/>
    <mergeCell ref="C5:C7"/>
    <mergeCell ref="D5:D7"/>
    <mergeCell ref="E5:E7"/>
    <mergeCell ref="F5:H5"/>
    <mergeCell ref="I5:K5"/>
    <mergeCell ref="L5:N5"/>
    <mergeCell ref="O5:Q5"/>
    <mergeCell ref="F6:F7"/>
    <mergeCell ref="G6:G7"/>
    <mergeCell ref="H6:H7"/>
    <mergeCell ref="I6:I7"/>
    <mergeCell ref="J6:J7"/>
    <mergeCell ref="P6:P7"/>
    <mergeCell ref="R5:S5"/>
    <mergeCell ref="T5:V5"/>
    <mergeCell ref="W5:Y5"/>
    <mergeCell ref="Z5:AA5"/>
    <mergeCell ref="AB396:AB403"/>
    <mergeCell ref="AB404:AB411"/>
    <mergeCell ref="Y6:Y7"/>
    <mergeCell ref="Z6:Z7"/>
    <mergeCell ref="AA6:AA7"/>
    <mergeCell ref="AB136:AB138"/>
    <mergeCell ref="AB142:AB143"/>
    <mergeCell ref="AB174:AB177"/>
    <mergeCell ref="AB5:AB7"/>
    <mergeCell ref="A2:AB2"/>
    <mergeCell ref="AB238:AB240"/>
    <mergeCell ref="AB273:AB277"/>
    <mergeCell ref="AB304:AB308"/>
    <mergeCell ref="AB366:AB367"/>
    <mergeCell ref="Q6:Q7"/>
    <mergeCell ref="T6:T7"/>
    <mergeCell ref="U6:U7"/>
    <mergeCell ref="V6:V7"/>
    <mergeCell ref="W6:W7"/>
    <mergeCell ref="X6:X7"/>
    <mergeCell ref="K6:K7"/>
    <mergeCell ref="L6:L7"/>
    <mergeCell ref="M6:M7"/>
    <mergeCell ref="N6:N7"/>
    <mergeCell ref="O6:O7"/>
  </mergeCells>
  <pageMargins left="0.70866141732283472" right="0.70866141732283472" top="0.74803149606299213" bottom="0.74803149606299213" header="0.31496062992125984" footer="0.31496062992125984"/>
  <pageSetup paperSize="9" scale="3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F54"/>
  <sheetViews>
    <sheetView showZeros="0" view="pageBreakPreview" topLeftCell="A3" zoomScale="70" zoomScaleNormal="80" zoomScaleSheetLayoutView="70" workbookViewId="0">
      <pane xSplit="4" ySplit="9" topLeftCell="E12" activePane="bottomRight" state="frozen"/>
      <selection activeCell="A12" sqref="A12:X12"/>
      <selection pane="topRight" activeCell="A12" sqref="A12:X12"/>
      <selection pane="bottomLeft" activeCell="A12" sqref="A12:X12"/>
      <selection pane="bottomRight" activeCell="R64" sqref="R64"/>
    </sheetView>
  </sheetViews>
  <sheetFormatPr defaultColWidth="10.6640625" defaultRowHeight="15" x14ac:dyDescent="0.25"/>
  <cols>
    <col min="1" max="1" width="9.33203125" style="604" customWidth="1"/>
    <col min="2" max="2" width="66.33203125" style="592" customWidth="1"/>
    <col min="3" max="3" width="17.1640625" style="600" customWidth="1"/>
    <col min="4" max="4" width="16.83203125" style="592" customWidth="1"/>
    <col min="5" max="5" width="14.6640625" style="592" customWidth="1"/>
    <col min="6" max="8" width="16.5" style="605" hidden="1" customWidth="1"/>
    <col min="9" max="9" width="10.83203125" style="591" hidden="1" customWidth="1"/>
    <col min="10" max="10" width="17.33203125" style="591" hidden="1" customWidth="1"/>
    <col min="11" max="11" width="14.1640625" style="605" hidden="1" customWidth="1"/>
    <col min="12" max="12" width="10.83203125" style="591" hidden="1" customWidth="1"/>
    <col min="13" max="13" width="17.33203125" style="591" hidden="1" customWidth="1"/>
    <col min="14" max="14" width="14.1640625" style="605" hidden="1" customWidth="1"/>
    <col min="15" max="20" width="14.1640625" style="605" customWidth="1"/>
    <col min="21" max="21" width="11.6640625" style="591" customWidth="1"/>
    <col min="22" max="22" width="15" style="591" customWidth="1"/>
    <col min="23" max="23" width="12.5" style="591" customWidth="1"/>
    <col min="24" max="25" width="15.5" style="591" customWidth="1"/>
    <col min="26" max="26" width="44.83203125" style="591" customWidth="1"/>
    <col min="27" max="27" width="10.6640625" style="592"/>
    <col min="28" max="28" width="12.83203125" style="592" bestFit="1" customWidth="1"/>
    <col min="29" max="29" width="10.83203125" style="592" bestFit="1" customWidth="1"/>
    <col min="30" max="16384" width="10.6640625" style="592"/>
  </cols>
  <sheetData>
    <row r="1" spans="1:32" hidden="1" x14ac:dyDescent="0.25">
      <c r="A1" s="1035"/>
      <c r="B1" s="587"/>
      <c r="C1" s="587"/>
      <c r="D1" s="587"/>
      <c r="E1" s="587"/>
      <c r="F1" s="588"/>
      <c r="G1" s="588"/>
      <c r="H1" s="588"/>
      <c r="I1" s="588"/>
      <c r="J1" s="589"/>
      <c r="K1" s="588"/>
      <c r="L1" s="588"/>
      <c r="M1" s="589"/>
      <c r="N1" s="588"/>
      <c r="O1" s="588"/>
      <c r="P1" s="588"/>
      <c r="Q1" s="588"/>
      <c r="R1" s="588"/>
      <c r="S1" s="588"/>
      <c r="T1" s="588"/>
      <c r="U1" s="590"/>
      <c r="V1" s="590"/>
      <c r="W1" s="590"/>
      <c r="X1" s="590"/>
      <c r="Y1" s="590"/>
      <c r="AA1" s="591"/>
      <c r="AB1" s="591"/>
      <c r="AC1" s="591"/>
      <c r="AD1" s="591"/>
      <c r="AE1" s="591"/>
      <c r="AF1" s="591"/>
    </row>
    <row r="2" spans="1:32" ht="19.5" hidden="1" customHeight="1" x14ac:dyDescent="0.25">
      <c r="A2" s="1033"/>
      <c r="B2" s="1033"/>
      <c r="C2" s="1033"/>
      <c r="D2" s="1033"/>
      <c r="E2" s="1033"/>
      <c r="F2" s="1033"/>
      <c r="G2" s="1033"/>
      <c r="H2" s="1033"/>
      <c r="I2" s="1033"/>
      <c r="J2" s="1033"/>
      <c r="K2" s="1033"/>
      <c r="L2" s="1033"/>
      <c r="M2" s="1033"/>
      <c r="N2" s="1033"/>
      <c r="O2" s="1033"/>
      <c r="P2" s="1033"/>
      <c r="Q2" s="1033"/>
      <c r="R2" s="1033"/>
      <c r="S2" s="1033"/>
      <c r="T2" s="1033"/>
      <c r="U2" s="1033"/>
      <c r="V2" s="1033"/>
      <c r="W2" s="1033"/>
      <c r="X2" s="1033"/>
      <c r="Y2" s="1033"/>
      <c r="Z2" s="1033"/>
      <c r="AA2" s="591"/>
      <c r="AB2" s="591"/>
      <c r="AC2" s="591"/>
      <c r="AD2" s="591"/>
      <c r="AE2" s="591"/>
      <c r="AF2" s="591"/>
    </row>
    <row r="3" spans="1:32" ht="18.75" customHeight="1" x14ac:dyDescent="0.25">
      <c r="A3" s="1250"/>
      <c r="B3" s="1250"/>
      <c r="C3" s="1250"/>
      <c r="D3" s="1250"/>
      <c r="E3" s="1250"/>
      <c r="F3" s="1250"/>
      <c r="G3" s="1250"/>
      <c r="H3" s="1250"/>
      <c r="I3" s="1250"/>
      <c r="J3" s="1250"/>
      <c r="K3" s="1202"/>
      <c r="L3" s="1250"/>
      <c r="M3" s="1250"/>
      <c r="N3" s="1202"/>
      <c r="O3" s="1250"/>
      <c r="P3" s="1250"/>
      <c r="Q3" s="1250"/>
      <c r="R3" s="1250"/>
      <c r="S3" s="1250"/>
      <c r="T3" s="1250"/>
      <c r="U3" s="1250"/>
      <c r="V3" s="1250"/>
      <c r="W3" s="1250"/>
      <c r="X3" s="1250"/>
      <c r="Y3" s="1250"/>
      <c r="Z3" s="1250"/>
      <c r="AA3" s="591"/>
      <c r="AB3" s="591"/>
      <c r="AC3" s="591"/>
      <c r="AD3" s="591"/>
      <c r="AE3" s="591"/>
      <c r="AF3" s="591"/>
    </row>
    <row r="4" spans="1:32" ht="18.75" customHeight="1" x14ac:dyDescent="0.25">
      <c r="A4" s="3650" t="s">
        <v>1399</v>
      </c>
      <c r="B4" s="3650"/>
      <c r="C4" s="3650"/>
      <c r="D4" s="3650"/>
      <c r="E4" s="3650"/>
      <c r="F4" s="3650"/>
      <c r="G4" s="3650"/>
      <c r="H4" s="3650"/>
      <c r="I4" s="3650"/>
      <c r="J4" s="3650"/>
      <c r="K4" s="3650"/>
      <c r="L4" s="3650"/>
      <c r="M4" s="3650"/>
      <c r="N4" s="3650"/>
      <c r="O4" s="3650"/>
      <c r="P4" s="3650"/>
      <c r="Q4" s="3650"/>
      <c r="R4" s="3650"/>
      <c r="S4" s="3650"/>
      <c r="T4" s="3650"/>
      <c r="U4" s="3650"/>
      <c r="V4" s="3650"/>
      <c r="W4" s="3650"/>
      <c r="X4" s="3650"/>
      <c r="Y4" s="3650"/>
      <c r="Z4" s="3650"/>
      <c r="AA4" s="591"/>
      <c r="AB4" s="591"/>
      <c r="AC4" s="591"/>
      <c r="AD4" s="591"/>
      <c r="AE4" s="591"/>
      <c r="AF4" s="591"/>
    </row>
    <row r="5" spans="1:32" ht="18.75" customHeight="1" x14ac:dyDescent="0.25">
      <c r="A5" s="3650" t="s">
        <v>2024</v>
      </c>
      <c r="B5" s="3650"/>
      <c r="C5" s="3650"/>
      <c r="D5" s="3650"/>
      <c r="E5" s="3650"/>
      <c r="F5" s="3650"/>
      <c r="G5" s="3650"/>
      <c r="H5" s="3650"/>
      <c r="I5" s="3650"/>
      <c r="J5" s="3650"/>
      <c r="K5" s="3650"/>
      <c r="L5" s="3650"/>
      <c r="M5" s="3650"/>
      <c r="N5" s="3650"/>
      <c r="O5" s="3650"/>
      <c r="P5" s="3650"/>
      <c r="Q5" s="3650"/>
      <c r="R5" s="3650"/>
      <c r="S5" s="3650"/>
      <c r="T5" s="3650"/>
      <c r="U5" s="3650"/>
      <c r="V5" s="3650"/>
      <c r="W5" s="3650"/>
      <c r="X5" s="3650"/>
      <c r="Y5" s="3650"/>
      <c r="Z5" s="3650"/>
      <c r="AA5" s="591"/>
      <c r="AB5" s="591"/>
      <c r="AC5" s="591"/>
      <c r="AD5" s="591"/>
      <c r="AE5" s="591"/>
      <c r="AF5" s="591"/>
    </row>
    <row r="6" spans="1:32" x14ac:dyDescent="0.25">
      <c r="A6" s="1035"/>
      <c r="B6" s="587"/>
      <c r="C6" s="587"/>
      <c r="D6" s="587"/>
      <c r="E6" s="587"/>
      <c r="F6" s="588"/>
      <c r="G6" s="588"/>
      <c r="H6" s="588"/>
      <c r="I6" s="588"/>
      <c r="J6" s="588"/>
      <c r="K6" s="588"/>
      <c r="L6" s="588"/>
      <c r="M6" s="588"/>
      <c r="N6" s="588"/>
      <c r="O6" s="588"/>
      <c r="P6" s="588"/>
      <c r="Q6" s="588"/>
      <c r="R6" s="588"/>
      <c r="S6" s="588"/>
      <c r="T6" s="588"/>
      <c r="U6" s="590"/>
      <c r="V6" s="590"/>
      <c r="W6" s="590"/>
      <c r="X6" s="590"/>
      <c r="Y6" s="590"/>
      <c r="Z6" s="2534" t="s">
        <v>380</v>
      </c>
      <c r="AA6" s="591"/>
      <c r="AB6" s="591"/>
      <c r="AC6" s="591"/>
      <c r="AD6" s="591"/>
      <c r="AE6" s="591"/>
      <c r="AF6" s="591"/>
    </row>
    <row r="7" spans="1:32" s="591" customFormat="1" ht="48" customHeight="1" x14ac:dyDescent="0.25">
      <c r="A7" s="3652" t="s">
        <v>78</v>
      </c>
      <c r="B7" s="3652" t="s">
        <v>484</v>
      </c>
      <c r="C7" s="3652" t="s">
        <v>485</v>
      </c>
      <c r="D7" s="3652" t="s">
        <v>486</v>
      </c>
      <c r="E7" s="3652" t="s">
        <v>219</v>
      </c>
      <c r="F7" s="3653" t="s">
        <v>1393</v>
      </c>
      <c r="G7" s="3653"/>
      <c r="H7" s="3653"/>
      <c r="I7" s="3537" t="s">
        <v>487</v>
      </c>
      <c r="J7" s="3537"/>
      <c r="K7" s="3537"/>
      <c r="L7" s="3654" t="s">
        <v>488</v>
      </c>
      <c r="M7" s="3655"/>
      <c r="N7" s="3656"/>
      <c r="O7" s="3533" t="s">
        <v>204</v>
      </c>
      <c r="P7" s="3533"/>
      <c r="Q7" s="3533"/>
      <c r="R7" s="3533" t="s">
        <v>205</v>
      </c>
      <c r="S7" s="3533"/>
      <c r="T7" s="3533"/>
      <c r="U7" s="3534" t="s">
        <v>206</v>
      </c>
      <c r="V7" s="3535"/>
      <c r="W7" s="3536"/>
      <c r="X7" s="3649" t="s">
        <v>120</v>
      </c>
      <c r="Y7" s="3649"/>
      <c r="Z7" s="3651" t="s">
        <v>491</v>
      </c>
    </row>
    <row r="8" spans="1:32" s="591" customFormat="1" ht="15" customHeight="1" x14ac:dyDescent="0.25">
      <c r="A8" s="3652"/>
      <c r="B8" s="3652"/>
      <c r="C8" s="3652"/>
      <c r="D8" s="3652"/>
      <c r="E8" s="3652"/>
      <c r="F8" s="3646" t="s">
        <v>492</v>
      </c>
      <c r="G8" s="3646" t="s">
        <v>493</v>
      </c>
      <c r="H8" s="3647" t="s">
        <v>494</v>
      </c>
      <c r="I8" s="3646" t="s">
        <v>492</v>
      </c>
      <c r="J8" s="3646" t="s">
        <v>493</v>
      </c>
      <c r="K8" s="3647" t="s">
        <v>494</v>
      </c>
      <c r="L8" s="3646" t="s">
        <v>492</v>
      </c>
      <c r="M8" s="3646" t="s">
        <v>493</v>
      </c>
      <c r="N8" s="3647" t="s">
        <v>494</v>
      </c>
      <c r="O8" s="3646" t="s">
        <v>492</v>
      </c>
      <c r="P8" s="3646" t="s">
        <v>493</v>
      </c>
      <c r="Q8" s="3647" t="s">
        <v>494</v>
      </c>
      <c r="R8" s="3646" t="s">
        <v>492</v>
      </c>
      <c r="S8" s="3646" t="s">
        <v>493</v>
      </c>
      <c r="T8" s="3647" t="s">
        <v>494</v>
      </c>
      <c r="U8" s="3646" t="s">
        <v>492</v>
      </c>
      <c r="V8" s="3646" t="s">
        <v>493</v>
      </c>
      <c r="W8" s="3647" t="s">
        <v>494</v>
      </c>
      <c r="X8" s="3647" t="s">
        <v>497</v>
      </c>
      <c r="Y8" s="3648" t="s">
        <v>498</v>
      </c>
      <c r="Z8" s="3651"/>
    </row>
    <row r="9" spans="1:32" s="591" customFormat="1" ht="83.25" customHeight="1" x14ac:dyDescent="0.25">
      <c r="A9" s="3652"/>
      <c r="B9" s="3652"/>
      <c r="C9" s="3652"/>
      <c r="D9" s="3652"/>
      <c r="E9" s="3652"/>
      <c r="F9" s="3646"/>
      <c r="G9" s="3646"/>
      <c r="H9" s="3647"/>
      <c r="I9" s="3646"/>
      <c r="J9" s="3646"/>
      <c r="K9" s="3647"/>
      <c r="L9" s="3646"/>
      <c r="M9" s="3646"/>
      <c r="N9" s="3647"/>
      <c r="O9" s="3646"/>
      <c r="P9" s="3646"/>
      <c r="Q9" s="3647"/>
      <c r="R9" s="3646"/>
      <c r="S9" s="3646"/>
      <c r="T9" s="3647"/>
      <c r="U9" s="3646"/>
      <c r="V9" s="3646"/>
      <c r="W9" s="3647"/>
      <c r="X9" s="3647"/>
      <c r="Y9" s="3648"/>
      <c r="Z9" s="3651"/>
    </row>
    <row r="10" spans="1:32" x14ac:dyDescent="0.25">
      <c r="A10" s="1032">
        <v>1</v>
      </c>
      <c r="B10" s="1032">
        <v>2</v>
      </c>
      <c r="C10" s="1032">
        <v>3</v>
      </c>
      <c r="D10" s="1032">
        <v>4</v>
      </c>
      <c r="E10" s="1032">
        <v>5</v>
      </c>
      <c r="F10" s="1032">
        <v>12</v>
      </c>
      <c r="G10" s="1032">
        <v>13</v>
      </c>
      <c r="H10" s="1032">
        <v>14</v>
      </c>
      <c r="I10" s="1032">
        <v>15</v>
      </c>
      <c r="J10" s="1032">
        <v>16</v>
      </c>
      <c r="K10" s="1032">
        <v>17</v>
      </c>
      <c r="L10" s="1032">
        <v>15</v>
      </c>
      <c r="M10" s="1032">
        <v>16</v>
      </c>
      <c r="N10" s="1032">
        <v>17</v>
      </c>
      <c r="O10" s="1032">
        <v>18</v>
      </c>
      <c r="P10" s="1032">
        <v>19</v>
      </c>
      <c r="Q10" s="1032">
        <v>20</v>
      </c>
      <c r="R10" s="1032">
        <v>18</v>
      </c>
      <c r="S10" s="1032">
        <v>19</v>
      </c>
      <c r="T10" s="1032">
        <v>20</v>
      </c>
      <c r="U10" s="1032">
        <v>21</v>
      </c>
      <c r="V10" s="1032">
        <v>22</v>
      </c>
      <c r="W10" s="1032">
        <v>23</v>
      </c>
      <c r="X10" s="1032">
        <v>24</v>
      </c>
      <c r="Y10" s="1032">
        <v>25</v>
      </c>
      <c r="Z10" s="1032">
        <v>26</v>
      </c>
      <c r="AA10" s="591"/>
      <c r="AB10" s="591"/>
      <c r="AC10" s="591"/>
      <c r="AD10" s="591"/>
      <c r="AE10" s="591"/>
      <c r="AF10" s="591"/>
    </row>
    <row r="11" spans="1:32" s="1205" customFormat="1" ht="99" hidden="1" customHeight="1" x14ac:dyDescent="0.25">
      <c r="A11" s="593"/>
      <c r="B11" s="1203" t="s">
        <v>1394</v>
      </c>
      <c r="C11" s="593"/>
      <c r="D11" s="593"/>
      <c r="E11" s="593"/>
      <c r="F11" s="594"/>
      <c r="G11" s="594"/>
      <c r="H11" s="594">
        <f>H12+H29</f>
        <v>50.1</v>
      </c>
      <c r="I11" s="594"/>
      <c r="J11" s="594"/>
      <c r="K11" s="594">
        <f>K12+K29</f>
        <v>46.2</v>
      </c>
      <c r="L11" s="594"/>
      <c r="M11" s="594"/>
      <c r="N11" s="594">
        <f>N12+N29</f>
        <v>46.2</v>
      </c>
      <c r="O11" s="594"/>
      <c r="P11" s="594"/>
      <c r="Q11" s="594">
        <f>Q12+Q29</f>
        <v>45.6</v>
      </c>
      <c r="R11" s="594"/>
      <c r="S11" s="594"/>
      <c r="T11" s="594">
        <f>T12+T29</f>
        <v>45.6</v>
      </c>
      <c r="U11" s="594"/>
      <c r="V11" s="594"/>
      <c r="W11" s="594">
        <f>W12+W29</f>
        <v>45.6</v>
      </c>
      <c r="X11" s="594">
        <f>Q11-K11</f>
        <v>-0.6</v>
      </c>
      <c r="Y11" s="594">
        <f>IFERROR(Q11/K11*100,"-")</f>
        <v>98.7</v>
      </c>
      <c r="Z11" s="1204"/>
    </row>
    <row r="12" spans="1:32" s="596" customFormat="1" ht="38.25" hidden="1" x14ac:dyDescent="0.2">
      <c r="A12" s="595"/>
      <c r="B12" s="1206" t="s">
        <v>2041</v>
      </c>
      <c r="C12" s="2265"/>
      <c r="D12" s="595" t="s">
        <v>1444</v>
      </c>
      <c r="E12" s="1207"/>
      <c r="F12" s="1208"/>
      <c r="G12" s="1208"/>
      <c r="H12" s="1208">
        <f>H13+H19+H22+H25+H28</f>
        <v>29</v>
      </c>
      <c r="I12" s="1208"/>
      <c r="J12" s="1208"/>
      <c r="K12" s="1208">
        <f>K13+K19+K22+K25+K2+K26</f>
        <v>26.4</v>
      </c>
      <c r="L12" s="1208"/>
      <c r="M12" s="1208"/>
      <c r="N12" s="1208">
        <f>N13+N19+N22+N25+N2+N26</f>
        <v>26.4</v>
      </c>
      <c r="O12" s="1208"/>
      <c r="P12" s="1208"/>
      <c r="Q12" s="1208">
        <f>Q13+Q19+Q22+Q25+Q2+Q26</f>
        <v>26.3</v>
      </c>
      <c r="R12" s="1208"/>
      <c r="S12" s="1208"/>
      <c r="T12" s="1208">
        <f>T13+T19+T22+T25+T2+T26</f>
        <v>26.3</v>
      </c>
      <c r="U12" s="1208"/>
      <c r="V12" s="1208"/>
      <c r="W12" s="1208">
        <f>W13+W19+W22+W25+W2+W26</f>
        <v>26.3</v>
      </c>
      <c r="X12" s="1208">
        <f t="shared" ref="X12:X44" si="0">Q12-K12</f>
        <v>-0.1</v>
      </c>
      <c r="Y12" s="1208">
        <f t="shared" ref="Y12:Y44" si="1">IFERROR(Q12/K12*100,"-")</f>
        <v>99.6</v>
      </c>
      <c r="Z12" s="1209"/>
    </row>
    <row r="13" spans="1:32" s="492" customFormat="1" ht="13.5" x14ac:dyDescent="0.2">
      <c r="A13" s="1240"/>
      <c r="B13" s="550" t="s">
        <v>1395</v>
      </c>
      <c r="C13" s="530">
        <v>955</v>
      </c>
      <c r="D13" s="932"/>
      <c r="E13" s="2266"/>
      <c r="F13" s="493"/>
      <c r="G13" s="493"/>
      <c r="H13" s="493">
        <f>SUM(H14:H18)</f>
        <v>13.3</v>
      </c>
      <c r="I13" s="2267"/>
      <c r="J13" s="2267"/>
      <c r="K13" s="2268">
        <f>SUM(K14:K18)</f>
        <v>13.3</v>
      </c>
      <c r="L13" s="2267"/>
      <c r="M13" s="2267"/>
      <c r="N13" s="2268">
        <f>SUM(N14:N18)</f>
        <v>13.3</v>
      </c>
      <c r="O13" s="2267"/>
      <c r="P13" s="2267"/>
      <c r="Q13" s="2268">
        <f>SUM(Q14:Q18)</f>
        <v>13.2</v>
      </c>
      <c r="R13" s="2267"/>
      <c r="S13" s="2267"/>
      <c r="T13" s="2268">
        <f>SUM(T14:T18)</f>
        <v>13.2</v>
      </c>
      <c r="U13" s="2267"/>
      <c r="V13" s="2267"/>
      <c r="W13" s="2268">
        <f>SUM(W14:W18)</f>
        <v>13.2</v>
      </c>
      <c r="X13" s="493">
        <f t="shared" si="0"/>
        <v>-0.1</v>
      </c>
      <c r="Y13" s="493">
        <f t="shared" si="1"/>
        <v>99.2</v>
      </c>
      <c r="Z13" s="866"/>
      <c r="AA13" s="492" t="s">
        <v>1665</v>
      </c>
    </row>
    <row r="14" spans="1:32" s="498" customFormat="1" ht="12.75" hidden="1" x14ac:dyDescent="0.2">
      <c r="A14" s="962"/>
      <c r="B14" s="551" t="s">
        <v>2042</v>
      </c>
      <c r="C14" s="494"/>
      <c r="D14" s="903"/>
      <c r="E14" s="1211" t="s">
        <v>318</v>
      </c>
      <c r="F14" s="1245">
        <v>2</v>
      </c>
      <c r="G14" s="1245">
        <v>2.2999999999999998</v>
      </c>
      <c r="H14" s="1245">
        <f>F14*G14</f>
        <v>4.5999999999999996</v>
      </c>
      <c r="I14" s="1245">
        <v>2</v>
      </c>
      <c r="J14" s="1245">
        <v>2.2999999999999998</v>
      </c>
      <c r="K14" s="2269">
        <f>I14*J14</f>
        <v>4.5999999999999996</v>
      </c>
      <c r="L14" s="1245">
        <v>2</v>
      </c>
      <c r="M14" s="1245">
        <v>2.2999999999999998</v>
      </c>
      <c r="N14" s="2269">
        <f>L14*M14</f>
        <v>4.5999999999999996</v>
      </c>
      <c r="O14" s="1245">
        <v>2</v>
      </c>
      <c r="P14" s="1245">
        <v>2.2999999999999998</v>
      </c>
      <c r="Q14" s="2269">
        <f>O14*P14</f>
        <v>4.5999999999999996</v>
      </c>
      <c r="R14" s="1245">
        <v>2</v>
      </c>
      <c r="S14" s="1245">
        <v>2.2999999999999998</v>
      </c>
      <c r="T14" s="2269">
        <f>R14*S14</f>
        <v>4.5999999999999996</v>
      </c>
      <c r="U14" s="1245">
        <v>2</v>
      </c>
      <c r="V14" s="1245">
        <v>2.2999999999999998</v>
      </c>
      <c r="W14" s="2269">
        <f>U14*V14</f>
        <v>4.5999999999999996</v>
      </c>
      <c r="X14" s="1245">
        <f t="shared" si="0"/>
        <v>0</v>
      </c>
      <c r="Y14" s="1245">
        <f t="shared" si="1"/>
        <v>100</v>
      </c>
      <c r="Z14" s="867"/>
    </row>
    <row r="15" spans="1:32" s="498" customFormat="1" ht="12.75" hidden="1" x14ac:dyDescent="0.2">
      <c r="A15" s="962"/>
      <c r="B15" s="551" t="s">
        <v>1737</v>
      </c>
      <c r="C15" s="494"/>
      <c r="D15" s="903"/>
      <c r="E15" s="1211" t="s">
        <v>318</v>
      </c>
      <c r="F15" s="1245">
        <v>1</v>
      </c>
      <c r="G15" s="1245">
        <v>3.5</v>
      </c>
      <c r="H15" s="1245">
        <f>F15*G15</f>
        <v>3.5</v>
      </c>
      <c r="I15" s="1245">
        <v>1</v>
      </c>
      <c r="J15" s="1245">
        <v>3.5</v>
      </c>
      <c r="K15" s="2269">
        <f>I15*J15</f>
        <v>3.5</v>
      </c>
      <c r="L15" s="1245">
        <v>1</v>
      </c>
      <c r="M15" s="1245">
        <v>3.5</v>
      </c>
      <c r="N15" s="2269">
        <f>L15*M15</f>
        <v>3.5</v>
      </c>
      <c r="O15" s="1245">
        <v>1</v>
      </c>
      <c r="P15" s="795">
        <v>3.45</v>
      </c>
      <c r="Q15" s="2269">
        <f>O15*P15</f>
        <v>3.5</v>
      </c>
      <c r="R15" s="1245">
        <v>1</v>
      </c>
      <c r="S15" s="795">
        <v>3.45</v>
      </c>
      <c r="T15" s="2269">
        <f>R15*S15</f>
        <v>3.5</v>
      </c>
      <c r="U15" s="1245">
        <v>1</v>
      </c>
      <c r="V15" s="795">
        <v>3.45</v>
      </c>
      <c r="W15" s="2269">
        <f>U15*V15</f>
        <v>3.5</v>
      </c>
      <c r="X15" s="1245">
        <f t="shared" si="0"/>
        <v>0</v>
      </c>
      <c r="Y15" s="1245">
        <f t="shared" si="1"/>
        <v>100</v>
      </c>
      <c r="Z15" s="867"/>
    </row>
    <row r="16" spans="1:32" s="498" customFormat="1" ht="12.75" hidden="1" x14ac:dyDescent="0.2">
      <c r="A16" s="962"/>
      <c r="B16" s="551" t="s">
        <v>1968</v>
      </c>
      <c r="C16" s="494"/>
      <c r="D16" s="903"/>
      <c r="E16" s="1211" t="s">
        <v>318</v>
      </c>
      <c r="F16" s="1245">
        <v>2</v>
      </c>
      <c r="G16" s="1245">
        <v>1.2</v>
      </c>
      <c r="H16" s="1245">
        <f>F16*G16</f>
        <v>2.4</v>
      </c>
      <c r="I16" s="1245">
        <v>2</v>
      </c>
      <c r="J16" s="2270">
        <v>1.175</v>
      </c>
      <c r="K16" s="2269">
        <f>I16*J16</f>
        <v>2.4</v>
      </c>
      <c r="L16" s="1245">
        <v>2</v>
      </c>
      <c r="M16" s="2270">
        <v>1.175</v>
      </c>
      <c r="N16" s="2269">
        <f>L16*M16</f>
        <v>2.4</v>
      </c>
      <c r="O16" s="1245"/>
      <c r="P16" s="2270"/>
      <c r="Q16" s="2269"/>
      <c r="R16" s="1245"/>
      <c r="S16" s="2270"/>
      <c r="T16" s="2269"/>
      <c r="U16" s="1245"/>
      <c r="V16" s="2270"/>
      <c r="W16" s="2269"/>
      <c r="X16" s="1245">
        <f t="shared" si="0"/>
        <v>-2.4</v>
      </c>
      <c r="Y16" s="1245">
        <f t="shared" si="1"/>
        <v>0</v>
      </c>
      <c r="Z16" s="867"/>
    </row>
    <row r="17" spans="1:27" s="498" customFormat="1" ht="25.5" hidden="1" x14ac:dyDescent="0.2">
      <c r="A17" s="962"/>
      <c r="B17" s="551" t="s">
        <v>2043</v>
      </c>
      <c r="C17" s="494"/>
      <c r="D17" s="903"/>
      <c r="E17" s="1211"/>
      <c r="F17" s="1245"/>
      <c r="G17" s="1245"/>
      <c r="H17" s="1245"/>
      <c r="I17" s="1245"/>
      <c r="J17" s="2270"/>
      <c r="K17" s="2269"/>
      <c r="L17" s="1245"/>
      <c r="M17" s="2270"/>
      <c r="N17" s="2269"/>
      <c r="O17" s="1245">
        <v>1</v>
      </c>
      <c r="P17" s="795">
        <v>2.2999999999999998</v>
      </c>
      <c r="Q17" s="2269">
        <f>O17*P17</f>
        <v>2.2999999999999998</v>
      </c>
      <c r="R17" s="1245">
        <v>1</v>
      </c>
      <c r="S17" s="795">
        <v>2.2999999999999998</v>
      </c>
      <c r="T17" s="2269">
        <f>R17*S17</f>
        <v>2.2999999999999998</v>
      </c>
      <c r="U17" s="1245">
        <v>1</v>
      </c>
      <c r="V17" s="795">
        <v>2.2999999999999998</v>
      </c>
      <c r="W17" s="2269">
        <f>U17*V17</f>
        <v>2.2999999999999998</v>
      </c>
      <c r="X17" s="1245">
        <f t="shared" si="0"/>
        <v>2.2999999999999998</v>
      </c>
      <c r="Y17" s="1245" t="str">
        <f t="shared" si="1"/>
        <v>-</v>
      </c>
      <c r="Z17" s="867" t="s">
        <v>2044</v>
      </c>
    </row>
    <row r="18" spans="1:27" s="498" customFormat="1" ht="12.75" hidden="1" x14ac:dyDescent="0.2">
      <c r="A18" s="962"/>
      <c r="B18" s="1212" t="s">
        <v>1396</v>
      </c>
      <c r="C18" s="494"/>
      <c r="D18" s="903"/>
      <c r="E18" s="1211"/>
      <c r="F18" s="1245"/>
      <c r="G18" s="1245"/>
      <c r="H18" s="1245">
        <f>SUM(H14:H16)*0.271</f>
        <v>2.8</v>
      </c>
      <c r="I18" s="1245"/>
      <c r="J18" s="1245"/>
      <c r="K18" s="2271">
        <f>SUM(K14:K16)*0.271</f>
        <v>2.8</v>
      </c>
      <c r="L18" s="1245"/>
      <c r="M18" s="1245"/>
      <c r="N18" s="2271">
        <f>SUM(N14:N16)*0.271</f>
        <v>2.8</v>
      </c>
      <c r="O18" s="1245"/>
      <c r="P18" s="1245"/>
      <c r="Q18" s="1245">
        <f>SUM(Q14:Q17)*0.271</f>
        <v>2.8</v>
      </c>
      <c r="R18" s="1245"/>
      <c r="S18" s="1245"/>
      <c r="T18" s="1245">
        <f>SUM(T14:T17)*0.271</f>
        <v>2.8</v>
      </c>
      <c r="U18" s="1245"/>
      <c r="V18" s="1245"/>
      <c r="W18" s="1245">
        <f>SUM(W14:W17)*0.271</f>
        <v>2.8</v>
      </c>
      <c r="X18" s="1245">
        <f t="shared" si="0"/>
        <v>0</v>
      </c>
      <c r="Y18" s="1245">
        <f t="shared" si="1"/>
        <v>100</v>
      </c>
      <c r="Z18" s="867"/>
    </row>
    <row r="19" spans="1:27" s="492" customFormat="1" ht="25.5" hidden="1" x14ac:dyDescent="0.2">
      <c r="A19" s="1240"/>
      <c r="B19" s="2272" t="s">
        <v>2045</v>
      </c>
      <c r="C19" s="530">
        <v>981</v>
      </c>
      <c r="D19" s="932"/>
      <c r="E19" s="2266"/>
      <c r="F19" s="493"/>
      <c r="G19" s="493"/>
      <c r="H19" s="493">
        <f>H20+H21</f>
        <v>2.6</v>
      </c>
      <c r="I19" s="2267"/>
      <c r="J19" s="2267"/>
      <c r="K19" s="2268">
        <f>SUM(K20:K21)</f>
        <v>1</v>
      </c>
      <c r="L19" s="2267"/>
      <c r="M19" s="2267"/>
      <c r="N19" s="2268">
        <f>SUM(N20:N21)</f>
        <v>1</v>
      </c>
      <c r="O19" s="2268"/>
      <c r="P19" s="2268"/>
      <c r="Q19" s="2268">
        <f>SUM(Q20:Q21)</f>
        <v>1</v>
      </c>
      <c r="R19" s="2268"/>
      <c r="S19" s="2268"/>
      <c r="T19" s="2268">
        <f>SUM(T20:T21)</f>
        <v>1</v>
      </c>
      <c r="U19" s="2268"/>
      <c r="V19" s="2268"/>
      <c r="W19" s="2268">
        <f>SUM(W20:W21)</f>
        <v>1</v>
      </c>
      <c r="X19" s="493">
        <f t="shared" si="0"/>
        <v>0</v>
      </c>
      <c r="Y19" s="493">
        <f t="shared" si="1"/>
        <v>100</v>
      </c>
      <c r="Z19" s="866"/>
      <c r="AA19" s="492" t="s">
        <v>1665</v>
      </c>
    </row>
    <row r="20" spans="1:27" s="498" customFormat="1" ht="16.149999999999999" hidden="1" customHeight="1" x14ac:dyDescent="0.2">
      <c r="A20" s="962"/>
      <c r="B20" s="551" t="s">
        <v>2046</v>
      </c>
      <c r="C20" s="494"/>
      <c r="D20" s="903"/>
      <c r="E20" s="2273" t="s">
        <v>227</v>
      </c>
      <c r="F20" s="1245">
        <v>20</v>
      </c>
      <c r="G20" s="1245">
        <v>0.1</v>
      </c>
      <c r="H20" s="1245">
        <f>F20*G20</f>
        <v>2</v>
      </c>
      <c r="I20" s="1245">
        <v>10</v>
      </c>
      <c r="J20" s="795">
        <v>0.1</v>
      </c>
      <c r="K20" s="2269">
        <f>I20*J20</f>
        <v>1</v>
      </c>
      <c r="L20" s="1245">
        <v>10</v>
      </c>
      <c r="M20" s="795">
        <v>0.1</v>
      </c>
      <c r="N20" s="2269">
        <f>L20*M20</f>
        <v>1</v>
      </c>
      <c r="O20" s="1245">
        <v>10</v>
      </c>
      <c r="P20" s="795">
        <v>0.1</v>
      </c>
      <c r="Q20" s="498">
        <f>O20*P20</f>
        <v>1</v>
      </c>
      <c r="R20" s="1245">
        <v>10</v>
      </c>
      <c r="S20" s="795">
        <v>0.1</v>
      </c>
      <c r="T20" s="498">
        <f>R20*S20</f>
        <v>1</v>
      </c>
      <c r="U20" s="1245">
        <v>10</v>
      </c>
      <c r="V20" s="795">
        <v>0.1</v>
      </c>
      <c r="W20" s="498">
        <f>U20*V20</f>
        <v>1</v>
      </c>
      <c r="X20" s="1245">
        <f t="shared" si="0"/>
        <v>0</v>
      </c>
      <c r="Y20" s="1245">
        <f t="shared" si="1"/>
        <v>100</v>
      </c>
      <c r="Z20" s="2274"/>
    </row>
    <row r="21" spans="1:27" s="498" customFormat="1" ht="12.75" hidden="1" x14ac:dyDescent="0.2">
      <c r="A21" s="962"/>
      <c r="B21" s="551" t="s">
        <v>2047</v>
      </c>
      <c r="C21" s="494"/>
      <c r="D21" s="903"/>
      <c r="E21" s="2273" t="s">
        <v>227</v>
      </c>
      <c r="F21" s="1245">
        <v>2</v>
      </c>
      <c r="G21" s="1245">
        <v>0.3</v>
      </c>
      <c r="H21" s="1245">
        <f>F21*G21</f>
        <v>0.6</v>
      </c>
      <c r="I21" s="1245"/>
      <c r="J21" s="1245"/>
      <c r="K21" s="2269">
        <f>I21*J21</f>
        <v>0</v>
      </c>
      <c r="L21" s="1245"/>
      <c r="M21" s="1245"/>
      <c r="N21" s="2269">
        <f>L21*M21</f>
        <v>0</v>
      </c>
      <c r="O21" s="1245"/>
      <c r="P21" s="1245"/>
      <c r="Q21" s="2269"/>
      <c r="R21" s="1245"/>
      <c r="S21" s="1245"/>
      <c r="T21" s="2269"/>
      <c r="U21" s="1245"/>
      <c r="V21" s="1245"/>
      <c r="W21" s="2269"/>
      <c r="X21" s="1245">
        <f t="shared" si="0"/>
        <v>0</v>
      </c>
      <c r="Y21" s="1245" t="str">
        <f t="shared" si="1"/>
        <v>-</v>
      </c>
      <c r="Z21" s="867"/>
    </row>
    <row r="22" spans="1:27" s="492" customFormat="1" ht="13.5" hidden="1" x14ac:dyDescent="0.2">
      <c r="A22" s="1240"/>
      <c r="B22" s="550" t="s">
        <v>1397</v>
      </c>
      <c r="C22" s="529" t="s">
        <v>797</v>
      </c>
      <c r="D22" s="932"/>
      <c r="E22" s="2275"/>
      <c r="F22" s="493"/>
      <c r="G22" s="493"/>
      <c r="H22" s="493">
        <f>H23+H24</f>
        <v>4.7</v>
      </c>
      <c r="I22" s="2267"/>
      <c r="J22" s="2267"/>
      <c r="K22" s="2276">
        <f>SUM(K23:K24)</f>
        <v>3.7</v>
      </c>
      <c r="L22" s="2267"/>
      <c r="M22" s="2267"/>
      <c r="N22" s="2276">
        <f>SUM(N23:N24)</f>
        <v>3.7</v>
      </c>
      <c r="O22" s="2276"/>
      <c r="P22" s="2276"/>
      <c r="Q22" s="2276">
        <f>SUM(Q23:Q24)</f>
        <v>3.6</v>
      </c>
      <c r="R22" s="2276"/>
      <c r="S22" s="2276"/>
      <c r="T22" s="2276">
        <f>SUM(T23:T24)</f>
        <v>3.6</v>
      </c>
      <c r="U22" s="2276"/>
      <c r="V22" s="2276"/>
      <c r="W22" s="2276">
        <f>SUM(W23:W24)</f>
        <v>3.6</v>
      </c>
      <c r="X22" s="493">
        <f t="shared" si="0"/>
        <v>-0.1</v>
      </c>
      <c r="Y22" s="493">
        <f t="shared" si="1"/>
        <v>97.3</v>
      </c>
      <c r="Z22" s="866"/>
      <c r="AA22" s="492" t="s">
        <v>1665</v>
      </c>
    </row>
    <row r="23" spans="1:27" s="498" customFormat="1" ht="12.75" hidden="1" x14ac:dyDescent="0.2">
      <c r="A23" s="962"/>
      <c r="B23" s="551" t="s">
        <v>2048</v>
      </c>
      <c r="C23" s="494"/>
      <c r="D23" s="903"/>
      <c r="E23" s="1252" t="s">
        <v>1240</v>
      </c>
      <c r="F23" s="1245">
        <v>11</v>
      </c>
      <c r="G23" s="1245">
        <v>0.2</v>
      </c>
      <c r="H23" s="1245">
        <f t="shared" ref="H23:H28" si="2">F23*G23</f>
        <v>2.2000000000000002</v>
      </c>
      <c r="I23" s="1245">
        <v>11</v>
      </c>
      <c r="J23" s="1245">
        <v>0.2</v>
      </c>
      <c r="K23" s="2269">
        <f>I23*J23</f>
        <v>2.2000000000000002</v>
      </c>
      <c r="L23" s="1245">
        <v>11</v>
      </c>
      <c r="M23" s="1245">
        <v>0.2</v>
      </c>
      <c r="N23" s="2269">
        <f>L23*M23</f>
        <v>2.2000000000000002</v>
      </c>
      <c r="O23" s="1245"/>
      <c r="P23" s="1245"/>
      <c r="Q23" s="2269"/>
      <c r="R23" s="1245"/>
      <c r="S23" s="1245"/>
      <c r="T23" s="2269"/>
      <c r="U23" s="1245"/>
      <c r="V23" s="1245"/>
      <c r="W23" s="2269"/>
      <c r="X23" s="1245">
        <f t="shared" si="0"/>
        <v>-2.2000000000000002</v>
      </c>
      <c r="Y23" s="1245">
        <f t="shared" si="1"/>
        <v>0</v>
      </c>
      <c r="Z23" s="867"/>
    </row>
    <row r="24" spans="1:27" s="498" customFormat="1" ht="12.75" hidden="1" x14ac:dyDescent="0.2">
      <c r="A24" s="962"/>
      <c r="B24" s="551" t="s">
        <v>1846</v>
      </c>
      <c r="C24" s="494"/>
      <c r="D24" s="903"/>
      <c r="E24" s="1252" t="s">
        <v>227</v>
      </c>
      <c r="F24" s="1245">
        <v>25</v>
      </c>
      <c r="G24" s="1245">
        <v>0.1</v>
      </c>
      <c r="H24" s="1245">
        <f t="shared" si="2"/>
        <v>2.5</v>
      </c>
      <c r="I24" s="1245">
        <v>30</v>
      </c>
      <c r="J24" s="795">
        <v>0.05</v>
      </c>
      <c r="K24" s="2269">
        <f>I24*J24</f>
        <v>1.5</v>
      </c>
      <c r="L24" s="1245">
        <v>30</v>
      </c>
      <c r="M24" s="795">
        <v>0.05</v>
      </c>
      <c r="N24" s="2269">
        <f>L24*M24</f>
        <v>1.5</v>
      </c>
      <c r="O24" s="1245">
        <v>24</v>
      </c>
      <c r="P24" s="795">
        <v>0.15</v>
      </c>
      <c r="Q24" s="2269">
        <f>O24*P24</f>
        <v>3.6</v>
      </c>
      <c r="R24" s="1245">
        <v>24</v>
      </c>
      <c r="S24" s="795">
        <v>0.15</v>
      </c>
      <c r="T24" s="2269">
        <f>R24*S24</f>
        <v>3.6</v>
      </c>
      <c r="U24" s="1245">
        <v>24</v>
      </c>
      <c r="V24" s="795">
        <v>0.15</v>
      </c>
      <c r="W24" s="2269">
        <f>U24*V24</f>
        <v>3.6</v>
      </c>
      <c r="X24" s="1245">
        <f t="shared" si="0"/>
        <v>2.1</v>
      </c>
      <c r="Y24" s="1245">
        <f t="shared" si="1"/>
        <v>240</v>
      </c>
      <c r="Z24" s="867"/>
    </row>
    <row r="25" spans="1:27" s="492" customFormat="1" ht="12.75" hidden="1" x14ac:dyDescent="0.2">
      <c r="A25" s="1240"/>
      <c r="B25" s="550" t="s">
        <v>2049</v>
      </c>
      <c r="C25" s="530">
        <v>963</v>
      </c>
      <c r="D25" s="932"/>
      <c r="E25" s="2277"/>
      <c r="F25" s="493">
        <v>30</v>
      </c>
      <c r="G25" s="493">
        <v>0.1</v>
      </c>
      <c r="H25" s="493">
        <f t="shared" si="2"/>
        <v>3</v>
      </c>
      <c r="I25" s="493">
        <v>30</v>
      </c>
      <c r="J25" s="2278">
        <v>0.1</v>
      </c>
      <c r="K25" s="2279">
        <f>I25*J25</f>
        <v>3</v>
      </c>
      <c r="L25" s="493">
        <v>30</v>
      </c>
      <c r="M25" s="2278">
        <v>0.1</v>
      </c>
      <c r="N25" s="2279">
        <f>L25*M25</f>
        <v>3</v>
      </c>
      <c r="O25" s="493"/>
      <c r="P25" s="2278"/>
      <c r="Q25" s="2279"/>
      <c r="R25" s="493"/>
      <c r="S25" s="2278"/>
      <c r="T25" s="2279"/>
      <c r="U25" s="493"/>
      <c r="V25" s="2278"/>
      <c r="W25" s="2279"/>
      <c r="X25" s="493">
        <f t="shared" si="0"/>
        <v>-3</v>
      </c>
      <c r="Y25" s="493">
        <f t="shared" si="1"/>
        <v>0</v>
      </c>
      <c r="Z25" s="867"/>
      <c r="AA25" s="492" t="s">
        <v>1665</v>
      </c>
    </row>
    <row r="26" spans="1:27" s="492" customFormat="1" ht="12.75" hidden="1" x14ac:dyDescent="0.2">
      <c r="A26" s="1240"/>
      <c r="B26" s="550" t="s">
        <v>2050</v>
      </c>
      <c r="C26" s="530">
        <v>963</v>
      </c>
      <c r="D26" s="932"/>
      <c r="E26" s="2277"/>
      <c r="F26" s="493"/>
      <c r="G26" s="493"/>
      <c r="H26" s="493">
        <f>H28</f>
        <v>5.4</v>
      </c>
      <c r="I26" s="493"/>
      <c r="J26" s="2278"/>
      <c r="K26" s="2279">
        <f>SUM(K27:K28)</f>
        <v>5.4</v>
      </c>
      <c r="L26" s="493"/>
      <c r="M26" s="2278"/>
      <c r="N26" s="2279">
        <f>SUM(N27:N28)</f>
        <v>5.4</v>
      </c>
      <c r="O26" s="493"/>
      <c r="P26" s="2278"/>
      <c r="Q26" s="2279">
        <f>SUM(Q27:Q28)</f>
        <v>8.5</v>
      </c>
      <c r="R26" s="493"/>
      <c r="S26" s="2278"/>
      <c r="T26" s="2279">
        <f>SUM(T27:T28)</f>
        <v>8.5</v>
      </c>
      <c r="U26" s="493"/>
      <c r="V26" s="2278"/>
      <c r="W26" s="2279">
        <f>SUM(W27:W28)</f>
        <v>8.5</v>
      </c>
      <c r="X26" s="493">
        <f t="shared" si="0"/>
        <v>3.1</v>
      </c>
      <c r="Y26" s="493">
        <f t="shared" si="1"/>
        <v>157.4</v>
      </c>
      <c r="Z26" s="2280"/>
      <c r="AA26" s="492" t="s">
        <v>1665</v>
      </c>
    </row>
    <row r="27" spans="1:27" s="492" customFormat="1" ht="12.75" hidden="1" x14ac:dyDescent="0.2">
      <c r="A27" s="1240"/>
      <c r="B27" s="551" t="s">
        <v>2051</v>
      </c>
      <c r="C27" s="530"/>
      <c r="D27" s="932"/>
      <c r="E27" s="2277"/>
      <c r="F27" s="493"/>
      <c r="G27" s="493"/>
      <c r="H27" s="493"/>
      <c r="I27" s="1245">
        <v>10</v>
      </c>
      <c r="J27" s="2270">
        <v>0.35</v>
      </c>
      <c r="K27" s="2269">
        <f>I27*J27</f>
        <v>3.5</v>
      </c>
      <c r="L27" s="1245">
        <v>10</v>
      </c>
      <c r="M27" s="2270">
        <v>0.35</v>
      </c>
      <c r="N27" s="2269">
        <f>L27*M27</f>
        <v>3.5</v>
      </c>
      <c r="O27" s="1245">
        <v>20</v>
      </c>
      <c r="P27" s="2270">
        <v>0.35</v>
      </c>
      <c r="Q27" s="2269">
        <f>O27*P27</f>
        <v>7</v>
      </c>
      <c r="R27" s="1245">
        <v>20</v>
      </c>
      <c r="S27" s="2270">
        <v>0.35</v>
      </c>
      <c r="T27" s="2269">
        <f>R27*S27</f>
        <v>7</v>
      </c>
      <c r="U27" s="1245">
        <v>20</v>
      </c>
      <c r="V27" s="2270">
        <v>0.35</v>
      </c>
      <c r="W27" s="2269">
        <f>U27*V27</f>
        <v>7</v>
      </c>
      <c r="X27" s="493">
        <f t="shared" si="0"/>
        <v>3.5</v>
      </c>
      <c r="Y27" s="493">
        <f t="shared" si="1"/>
        <v>200</v>
      </c>
      <c r="Z27" s="2281"/>
    </row>
    <row r="28" spans="1:27" s="498" customFormat="1" ht="12.75" hidden="1" x14ac:dyDescent="0.2">
      <c r="A28" s="962"/>
      <c r="B28" s="551" t="s">
        <v>2052</v>
      </c>
      <c r="C28" s="530"/>
      <c r="D28" s="903"/>
      <c r="E28" s="2273" t="s">
        <v>227</v>
      </c>
      <c r="F28" s="1245">
        <v>54</v>
      </c>
      <c r="G28" s="1245">
        <v>0.1</v>
      </c>
      <c r="H28" s="1245">
        <f t="shared" si="2"/>
        <v>5.4</v>
      </c>
      <c r="I28" s="1245">
        <v>38</v>
      </c>
      <c r="J28" s="2270">
        <v>0.05</v>
      </c>
      <c r="K28" s="2269">
        <f>I28*J28</f>
        <v>1.9</v>
      </c>
      <c r="L28" s="1245">
        <v>38</v>
      </c>
      <c r="M28" s="2270">
        <v>0.05</v>
      </c>
      <c r="N28" s="2269">
        <f>L28*M28</f>
        <v>1.9</v>
      </c>
      <c r="O28" s="1245">
        <v>30</v>
      </c>
      <c r="P28" s="2270">
        <v>0.05</v>
      </c>
      <c r="Q28" s="2269">
        <f>O28*P28</f>
        <v>1.5</v>
      </c>
      <c r="R28" s="1245">
        <v>30</v>
      </c>
      <c r="S28" s="2270">
        <v>0.05</v>
      </c>
      <c r="T28" s="2269">
        <f>R28*S28</f>
        <v>1.5</v>
      </c>
      <c r="U28" s="1245">
        <v>30</v>
      </c>
      <c r="V28" s="2270">
        <v>0.05</v>
      </c>
      <c r="W28" s="2269">
        <f>U28*V28</f>
        <v>1.5</v>
      </c>
      <c r="X28" s="1245">
        <f t="shared" si="0"/>
        <v>-0.4</v>
      </c>
      <c r="Y28" s="1245">
        <f t="shared" si="1"/>
        <v>78.900000000000006</v>
      </c>
      <c r="Z28" s="2282"/>
    </row>
    <row r="29" spans="1:27" s="596" customFormat="1" ht="38.25" hidden="1" x14ac:dyDescent="0.2">
      <c r="A29" s="595"/>
      <c r="B29" s="1206" t="s">
        <v>2053</v>
      </c>
      <c r="C29" s="2283"/>
      <c r="D29" s="595" t="s">
        <v>1444</v>
      </c>
      <c r="E29" s="1207"/>
      <c r="F29" s="1208"/>
      <c r="G29" s="1208"/>
      <c r="H29" s="1208">
        <f>H30+H34+H37+H41+H42</f>
        <v>21.1</v>
      </c>
      <c r="I29" s="1208"/>
      <c r="J29" s="1208"/>
      <c r="K29" s="1208">
        <f>K30+K34+K37+K41+K42</f>
        <v>19.8</v>
      </c>
      <c r="L29" s="1208"/>
      <c r="M29" s="1208"/>
      <c r="N29" s="1208">
        <f>N30+N34+N37+N41+N42</f>
        <v>19.8</v>
      </c>
      <c r="O29" s="1208"/>
      <c r="P29" s="1208"/>
      <c r="Q29" s="1208">
        <f>Q30+Q34+Q37+Q41+Q42</f>
        <v>19.3</v>
      </c>
      <c r="R29" s="1208"/>
      <c r="S29" s="1208"/>
      <c r="T29" s="1208">
        <f>T30+T34+T37+T41+T42</f>
        <v>19.3</v>
      </c>
      <c r="U29" s="1208"/>
      <c r="V29" s="1208"/>
      <c r="W29" s="1208">
        <f>W30+W34+W37+W41+W42</f>
        <v>19.3</v>
      </c>
      <c r="X29" s="1208">
        <f t="shared" si="0"/>
        <v>-0.5</v>
      </c>
      <c r="Y29" s="1208">
        <f t="shared" si="1"/>
        <v>97.5</v>
      </c>
      <c r="Z29" s="1209"/>
    </row>
    <row r="30" spans="1:27" s="492" customFormat="1" ht="12.75" x14ac:dyDescent="0.2">
      <c r="A30" s="1240"/>
      <c r="B30" s="550" t="s">
        <v>1395</v>
      </c>
      <c r="C30" s="494">
        <v>955</v>
      </c>
      <c r="D30" s="932"/>
      <c r="E30" s="1210"/>
      <c r="F30" s="493"/>
      <c r="G30" s="493"/>
      <c r="H30" s="493">
        <f>H31+H32+H33</f>
        <v>7.1</v>
      </c>
      <c r="I30" s="493"/>
      <c r="J30" s="493"/>
      <c r="K30" s="2284">
        <f>K31+K32+K33</f>
        <v>7.4</v>
      </c>
      <c r="L30" s="493"/>
      <c r="M30" s="493"/>
      <c r="N30" s="2284">
        <f>N31+N32+N33</f>
        <v>7.4</v>
      </c>
      <c r="O30" s="2284"/>
      <c r="P30" s="2284"/>
      <c r="Q30" s="2284">
        <f>Q31+Q32+Q33-0.1</f>
        <v>7.3</v>
      </c>
      <c r="R30" s="2284"/>
      <c r="S30" s="2284"/>
      <c r="T30" s="2284">
        <f>T31+T32+T33-0.1</f>
        <v>7.3</v>
      </c>
      <c r="U30" s="2284"/>
      <c r="V30" s="2284"/>
      <c r="W30" s="2284">
        <f>W31+W32+W33-0.1</f>
        <v>7.3</v>
      </c>
      <c r="X30" s="493">
        <f t="shared" si="0"/>
        <v>-0.1</v>
      </c>
      <c r="Y30" s="493">
        <f t="shared" si="1"/>
        <v>98.6</v>
      </c>
      <c r="Z30" s="867"/>
      <c r="AA30" s="492" t="s">
        <v>1665</v>
      </c>
    </row>
    <row r="31" spans="1:27" s="498" customFormat="1" ht="12.75" hidden="1" x14ac:dyDescent="0.2">
      <c r="A31" s="962"/>
      <c r="B31" s="551" t="s">
        <v>1836</v>
      </c>
      <c r="C31" s="494"/>
      <c r="D31" s="903"/>
      <c r="E31" s="1211" t="s">
        <v>318</v>
      </c>
      <c r="F31" s="1245">
        <v>1</v>
      </c>
      <c r="G31" s="1245">
        <v>2.2999999999999998</v>
      </c>
      <c r="H31" s="1245">
        <f>F31*G31</f>
        <v>2.2999999999999998</v>
      </c>
      <c r="I31" s="1245">
        <v>1</v>
      </c>
      <c r="J31" s="1245">
        <v>2.2999999999999998</v>
      </c>
      <c r="K31" s="2269">
        <f>I31*J31</f>
        <v>2.2999999999999998</v>
      </c>
      <c r="L31" s="1245">
        <v>1</v>
      </c>
      <c r="M31" s="1245">
        <v>2.2999999999999998</v>
      </c>
      <c r="N31" s="2269">
        <f>L31*M31</f>
        <v>2.2999999999999998</v>
      </c>
      <c r="O31" s="1245">
        <v>1</v>
      </c>
      <c r="P31" s="1245">
        <v>2.2999999999999998</v>
      </c>
      <c r="Q31" s="2269">
        <f>O31*P31</f>
        <v>2.2999999999999998</v>
      </c>
      <c r="R31" s="1245">
        <v>1</v>
      </c>
      <c r="S31" s="1245">
        <v>2.2999999999999998</v>
      </c>
      <c r="T31" s="2269">
        <f>R31*S31</f>
        <v>2.2999999999999998</v>
      </c>
      <c r="U31" s="1245">
        <v>1</v>
      </c>
      <c r="V31" s="1245">
        <v>2.2999999999999998</v>
      </c>
      <c r="W31" s="2269">
        <f>U31*V31</f>
        <v>2.2999999999999998</v>
      </c>
      <c r="X31" s="1245">
        <f t="shared" si="0"/>
        <v>0</v>
      </c>
      <c r="Y31" s="1245">
        <f t="shared" si="1"/>
        <v>100</v>
      </c>
      <c r="Z31" s="867"/>
    </row>
    <row r="32" spans="1:27" s="498" customFormat="1" ht="12.75" hidden="1" x14ac:dyDescent="0.2">
      <c r="A32" s="962"/>
      <c r="B32" s="551" t="s">
        <v>1519</v>
      </c>
      <c r="C32" s="494"/>
      <c r="D32" s="903"/>
      <c r="E32" s="1211" t="s">
        <v>318</v>
      </c>
      <c r="F32" s="1245">
        <v>1</v>
      </c>
      <c r="G32" s="1245">
        <v>3.5</v>
      </c>
      <c r="H32" s="1245">
        <f>F32*G32</f>
        <v>3.5</v>
      </c>
      <c r="I32" s="1245">
        <v>1</v>
      </c>
      <c r="J32" s="1245">
        <v>3.5</v>
      </c>
      <c r="K32" s="2269">
        <f>I32*J32</f>
        <v>3.5</v>
      </c>
      <c r="L32" s="1245">
        <v>1</v>
      </c>
      <c r="M32" s="1245">
        <v>3.5</v>
      </c>
      <c r="N32" s="2269">
        <f>L32*M32</f>
        <v>3.5</v>
      </c>
      <c r="O32" s="1245">
        <v>1</v>
      </c>
      <c r="P32" s="795">
        <v>3.45</v>
      </c>
      <c r="Q32" s="2285">
        <f>O32*P32</f>
        <v>3.45</v>
      </c>
      <c r="R32" s="1245">
        <v>1</v>
      </c>
      <c r="S32" s="1245">
        <v>3.5</v>
      </c>
      <c r="T32" s="2269">
        <f>R32*S32</f>
        <v>3.5</v>
      </c>
      <c r="U32" s="1245">
        <v>1</v>
      </c>
      <c r="V32" s="1245">
        <v>3.5</v>
      </c>
      <c r="W32" s="2269">
        <f>U32*V32</f>
        <v>3.5</v>
      </c>
      <c r="X32" s="1245">
        <f t="shared" si="0"/>
        <v>0</v>
      </c>
      <c r="Y32" s="1245">
        <f t="shared" si="1"/>
        <v>98.6</v>
      </c>
      <c r="Z32" s="867"/>
    </row>
    <row r="33" spans="1:32" s="498" customFormat="1" ht="12.75" hidden="1" x14ac:dyDescent="0.2">
      <c r="A33" s="962"/>
      <c r="B33" s="1212" t="s">
        <v>1396</v>
      </c>
      <c r="C33" s="494"/>
      <c r="D33" s="903"/>
      <c r="E33" s="1252"/>
      <c r="F33" s="1245"/>
      <c r="G33" s="1245"/>
      <c r="H33" s="1245">
        <v>1.3</v>
      </c>
      <c r="I33" s="1245"/>
      <c r="J33" s="1245"/>
      <c r="K33" s="2286">
        <f>SUM(K31:K32)*0.271</f>
        <v>1.6</v>
      </c>
      <c r="L33" s="1245"/>
      <c r="M33" s="1245"/>
      <c r="N33" s="2286">
        <f>SUM(N31:N32)*0.271</f>
        <v>1.6</v>
      </c>
      <c r="O33" s="1245"/>
      <c r="P33" s="1245"/>
      <c r="Q33" s="2286">
        <f>SUM(Q31:Q32)*0.271</f>
        <v>1.6</v>
      </c>
      <c r="R33" s="1245"/>
      <c r="S33" s="1245"/>
      <c r="T33" s="2286">
        <f>SUM(T31:T32)*0.271</f>
        <v>1.6</v>
      </c>
      <c r="U33" s="1245"/>
      <c r="V33" s="1245"/>
      <c r="W33" s="2286">
        <f>SUM(W31:W32)*0.271</f>
        <v>1.6</v>
      </c>
      <c r="X33" s="1245">
        <f t="shared" si="0"/>
        <v>0</v>
      </c>
      <c r="Y33" s="1245">
        <f t="shared" si="1"/>
        <v>100</v>
      </c>
      <c r="Z33" s="867"/>
    </row>
    <row r="34" spans="1:32" s="492" customFormat="1" ht="25.5" hidden="1" x14ac:dyDescent="0.2">
      <c r="A34" s="1240"/>
      <c r="B34" s="2272" t="s">
        <v>1842</v>
      </c>
      <c r="C34" s="530">
        <v>981</v>
      </c>
      <c r="D34" s="932"/>
      <c r="E34" s="1210"/>
      <c r="F34" s="493"/>
      <c r="G34" s="493"/>
      <c r="H34" s="493">
        <f>H35+H36</f>
        <v>3</v>
      </c>
      <c r="I34" s="493"/>
      <c r="J34" s="493"/>
      <c r="K34" s="2279">
        <f>K35+K36</f>
        <v>1</v>
      </c>
      <c r="L34" s="493"/>
      <c r="M34" s="493"/>
      <c r="N34" s="2279">
        <f>N35+N36</f>
        <v>1</v>
      </c>
      <c r="O34" s="2279"/>
      <c r="P34" s="2279"/>
      <c r="Q34" s="2279">
        <f>Q35+Q36</f>
        <v>1</v>
      </c>
      <c r="R34" s="2279"/>
      <c r="S34" s="2279"/>
      <c r="T34" s="2279">
        <f>T35+T36</f>
        <v>1</v>
      </c>
      <c r="U34" s="2279"/>
      <c r="V34" s="2279"/>
      <c r="W34" s="2279">
        <f>W35+W36</f>
        <v>1</v>
      </c>
      <c r="X34" s="493">
        <f t="shared" si="0"/>
        <v>0</v>
      </c>
      <c r="Y34" s="493">
        <f t="shared" si="1"/>
        <v>100</v>
      </c>
      <c r="Z34" s="866"/>
      <c r="AA34" s="492" t="s">
        <v>1665</v>
      </c>
    </row>
    <row r="35" spans="1:32" s="498" customFormat="1" ht="21.6" hidden="1" customHeight="1" x14ac:dyDescent="0.2">
      <c r="A35" s="962"/>
      <c r="B35" s="551" t="s">
        <v>2054</v>
      </c>
      <c r="C35" s="494"/>
      <c r="D35" s="903"/>
      <c r="E35" s="2273" t="s">
        <v>227</v>
      </c>
      <c r="F35" s="1245">
        <v>21</v>
      </c>
      <c r="G35" s="1245">
        <v>0.1</v>
      </c>
      <c r="H35" s="1245">
        <f>F35*G35</f>
        <v>2.1</v>
      </c>
      <c r="I35" s="1245">
        <v>10</v>
      </c>
      <c r="J35" s="795">
        <v>0.1</v>
      </c>
      <c r="K35" s="2269">
        <f>I35*J35</f>
        <v>1</v>
      </c>
      <c r="L35" s="1245">
        <v>10</v>
      </c>
      <c r="M35" s="795">
        <v>0.1</v>
      </c>
      <c r="N35" s="2269">
        <f>L35*M35</f>
        <v>1</v>
      </c>
      <c r="O35" s="1245">
        <v>10</v>
      </c>
      <c r="P35" s="795">
        <v>0.1</v>
      </c>
      <c r="Q35" s="2269">
        <f>O35*P35</f>
        <v>1</v>
      </c>
      <c r="R35" s="1245">
        <v>10</v>
      </c>
      <c r="S35" s="795">
        <v>0.1</v>
      </c>
      <c r="T35" s="2269">
        <f>R35*S35</f>
        <v>1</v>
      </c>
      <c r="U35" s="1245">
        <v>10</v>
      </c>
      <c r="V35" s="795">
        <v>0.1</v>
      </c>
      <c r="W35" s="2269">
        <f>U35*V35</f>
        <v>1</v>
      </c>
      <c r="X35" s="1245">
        <f t="shared" si="0"/>
        <v>0</v>
      </c>
      <c r="Y35" s="1245">
        <f t="shared" si="1"/>
        <v>100</v>
      </c>
      <c r="Z35" s="2274"/>
    </row>
    <row r="36" spans="1:32" s="498" customFormat="1" ht="12.75" hidden="1" x14ac:dyDescent="0.2">
      <c r="A36" s="962"/>
      <c r="B36" s="551" t="s">
        <v>2055</v>
      </c>
      <c r="C36" s="494"/>
      <c r="D36" s="903"/>
      <c r="E36" s="2273" t="s">
        <v>227</v>
      </c>
      <c r="F36" s="1245">
        <v>3</v>
      </c>
      <c r="G36" s="1245">
        <v>0.3</v>
      </c>
      <c r="H36" s="1245">
        <f>F36*G36</f>
        <v>0.9</v>
      </c>
      <c r="I36" s="1245"/>
      <c r="J36" s="1245"/>
      <c r="K36" s="2269">
        <f>I36*J36</f>
        <v>0</v>
      </c>
      <c r="L36" s="1245"/>
      <c r="M36" s="1245"/>
      <c r="N36" s="2269">
        <f>L36*M36</f>
        <v>0</v>
      </c>
      <c r="O36" s="1245"/>
      <c r="P36" s="1245"/>
      <c r="Q36" s="2269"/>
      <c r="R36" s="1245"/>
      <c r="S36" s="1245"/>
      <c r="T36" s="2269"/>
      <c r="U36" s="1245"/>
      <c r="V36" s="1245"/>
      <c r="W36" s="2269"/>
      <c r="X36" s="1245">
        <f t="shared" si="0"/>
        <v>0</v>
      </c>
      <c r="Y36" s="1245" t="str">
        <f t="shared" si="1"/>
        <v>-</v>
      </c>
      <c r="Z36" s="867"/>
    </row>
    <row r="37" spans="1:32" s="492" customFormat="1" ht="12.75" hidden="1" x14ac:dyDescent="0.2">
      <c r="A37" s="1240"/>
      <c r="B37" s="550" t="s">
        <v>1397</v>
      </c>
      <c r="C37" s="529" t="s">
        <v>797</v>
      </c>
      <c r="D37" s="932"/>
      <c r="E37" s="1210"/>
      <c r="F37" s="493"/>
      <c r="G37" s="493"/>
      <c r="H37" s="493">
        <f>SUM(H38:H40)</f>
        <v>5</v>
      </c>
      <c r="I37" s="493"/>
      <c r="J37" s="493"/>
      <c r="K37" s="2279">
        <f>SUM(K38:K39)</f>
        <v>5.4</v>
      </c>
      <c r="L37" s="493"/>
      <c r="M37" s="493"/>
      <c r="N37" s="2279">
        <f>SUM(N38:N39)</f>
        <v>5.4</v>
      </c>
      <c r="O37" s="2279"/>
      <c r="P37" s="2279"/>
      <c r="Q37" s="2279">
        <f>SUM(Q38:Q40)</f>
        <v>5</v>
      </c>
      <c r="R37" s="2279"/>
      <c r="S37" s="2279"/>
      <c r="T37" s="2279">
        <f>SUM(T38:T40)</f>
        <v>5</v>
      </c>
      <c r="U37" s="2279"/>
      <c r="V37" s="2279"/>
      <c r="W37" s="2279">
        <f>SUM(W38:W40)</f>
        <v>5</v>
      </c>
      <c r="X37" s="493">
        <f t="shared" si="0"/>
        <v>-0.4</v>
      </c>
      <c r="Y37" s="493">
        <f t="shared" si="1"/>
        <v>92.6</v>
      </c>
      <c r="Z37" s="866"/>
      <c r="AA37" s="492" t="s">
        <v>1665</v>
      </c>
    </row>
    <row r="38" spans="1:32" s="498" customFormat="1" ht="12.75" hidden="1" x14ac:dyDescent="0.2">
      <c r="A38" s="962"/>
      <c r="B38" s="551" t="s">
        <v>2056</v>
      </c>
      <c r="C38" s="494"/>
      <c r="D38" s="903"/>
      <c r="E38" s="1252" t="s">
        <v>1240</v>
      </c>
      <c r="F38" s="1245">
        <v>10</v>
      </c>
      <c r="G38" s="1245">
        <v>0.2</v>
      </c>
      <c r="H38" s="1245">
        <f>F38*G38</f>
        <v>2</v>
      </c>
      <c r="I38" s="1245">
        <v>12</v>
      </c>
      <c r="J38" s="1245">
        <v>0.2</v>
      </c>
      <c r="K38" s="2269">
        <f>I38*J38</f>
        <v>2.4</v>
      </c>
      <c r="L38" s="1245">
        <v>12</v>
      </c>
      <c r="M38" s="1245">
        <v>0.2</v>
      </c>
      <c r="N38" s="2269">
        <f>L38*M38</f>
        <v>2.4</v>
      </c>
      <c r="O38" s="1245"/>
      <c r="P38" s="1245"/>
      <c r="Q38" s="2269"/>
      <c r="R38" s="1245"/>
      <c r="S38" s="1245"/>
      <c r="T38" s="2269"/>
      <c r="U38" s="1245"/>
      <c r="V38" s="1245"/>
      <c r="W38" s="2269"/>
      <c r="X38" s="1245">
        <f t="shared" si="0"/>
        <v>-2.4</v>
      </c>
      <c r="Y38" s="1245">
        <f t="shared" si="1"/>
        <v>0</v>
      </c>
      <c r="Z38" s="2280"/>
    </row>
    <row r="39" spans="1:32" s="498" customFormat="1" ht="12.75" hidden="1" x14ac:dyDescent="0.2">
      <c r="A39" s="962"/>
      <c r="B39" s="551" t="s">
        <v>2057</v>
      </c>
      <c r="C39" s="494"/>
      <c r="D39" s="903"/>
      <c r="E39" s="1252" t="s">
        <v>227</v>
      </c>
      <c r="F39" s="1245"/>
      <c r="G39" s="1245"/>
      <c r="H39" s="1245">
        <f>F39*G39</f>
        <v>0</v>
      </c>
      <c r="I39" s="1245"/>
      <c r="J39" s="1245"/>
      <c r="K39" s="2269">
        <v>3</v>
      </c>
      <c r="L39" s="1245"/>
      <c r="M39" s="1245"/>
      <c r="N39" s="2269">
        <v>3</v>
      </c>
      <c r="O39" s="1245">
        <v>1</v>
      </c>
      <c r="P39" s="1245">
        <v>2</v>
      </c>
      <c r="Q39" s="2269">
        <f>O39*P39</f>
        <v>2</v>
      </c>
      <c r="R39" s="1245">
        <v>1</v>
      </c>
      <c r="S39" s="1245">
        <v>2</v>
      </c>
      <c r="T39" s="2269">
        <f>R39*S39</f>
        <v>2</v>
      </c>
      <c r="U39" s="1245">
        <v>1</v>
      </c>
      <c r="V39" s="1245">
        <v>2</v>
      </c>
      <c r="W39" s="2269">
        <f>U39*V39</f>
        <v>2</v>
      </c>
      <c r="X39" s="1245">
        <f t="shared" si="0"/>
        <v>-1</v>
      </c>
      <c r="Y39" s="1245">
        <f t="shared" si="1"/>
        <v>66.7</v>
      </c>
      <c r="Z39" s="2281"/>
    </row>
    <row r="40" spans="1:32" s="498" customFormat="1" ht="12.75" hidden="1" x14ac:dyDescent="0.2">
      <c r="A40" s="962"/>
      <c r="B40" s="551" t="s">
        <v>2058</v>
      </c>
      <c r="C40" s="494"/>
      <c r="D40" s="903"/>
      <c r="E40" s="1252" t="s">
        <v>227</v>
      </c>
      <c r="F40" s="1245">
        <v>2</v>
      </c>
      <c r="G40" s="1245">
        <v>1.5</v>
      </c>
      <c r="H40" s="1245">
        <f>F40*G40</f>
        <v>3</v>
      </c>
      <c r="I40" s="1245"/>
      <c r="J40" s="1245"/>
      <c r="K40" s="2269"/>
      <c r="L40" s="1245"/>
      <c r="M40" s="1245"/>
      <c r="N40" s="2269"/>
      <c r="O40" s="1245"/>
      <c r="P40" s="1245"/>
      <c r="Q40" s="2269">
        <v>3</v>
      </c>
      <c r="R40" s="1245"/>
      <c r="S40" s="1245"/>
      <c r="T40" s="2269">
        <v>3</v>
      </c>
      <c r="U40" s="1245"/>
      <c r="V40" s="1245"/>
      <c r="W40" s="2269">
        <v>3</v>
      </c>
      <c r="X40" s="1245">
        <f t="shared" si="0"/>
        <v>3</v>
      </c>
      <c r="Y40" s="1245" t="str">
        <f t="shared" si="1"/>
        <v>-</v>
      </c>
      <c r="Z40" s="2282"/>
    </row>
    <row r="41" spans="1:32" s="492" customFormat="1" ht="12.75" hidden="1" x14ac:dyDescent="0.2">
      <c r="A41" s="1240"/>
      <c r="B41" s="550" t="s">
        <v>2059</v>
      </c>
      <c r="C41" s="530">
        <v>963</v>
      </c>
      <c r="D41" s="932"/>
      <c r="E41" s="2277" t="s">
        <v>227</v>
      </c>
      <c r="F41" s="493">
        <v>10</v>
      </c>
      <c r="G41" s="493">
        <v>0.2</v>
      </c>
      <c r="H41" s="493">
        <f>F41*G41</f>
        <v>2</v>
      </c>
      <c r="I41" s="493">
        <v>10</v>
      </c>
      <c r="J41" s="493">
        <v>0.2</v>
      </c>
      <c r="K41" s="2279">
        <f>I41*J41</f>
        <v>2</v>
      </c>
      <c r="L41" s="493">
        <v>10</v>
      </c>
      <c r="M41" s="493">
        <v>0.2</v>
      </c>
      <c r="N41" s="2279">
        <f>L41*M41</f>
        <v>2</v>
      </c>
      <c r="O41" s="493"/>
      <c r="P41" s="493"/>
      <c r="Q41" s="2279"/>
      <c r="R41" s="493"/>
      <c r="S41" s="493"/>
      <c r="T41" s="2279"/>
      <c r="U41" s="493"/>
      <c r="V41" s="493"/>
      <c r="W41" s="2279"/>
      <c r="X41" s="493">
        <f t="shared" si="0"/>
        <v>-2</v>
      </c>
      <c r="Y41" s="493">
        <f t="shared" si="1"/>
        <v>0</v>
      </c>
      <c r="Z41" s="867"/>
      <c r="AA41" s="492" t="s">
        <v>1665</v>
      </c>
    </row>
    <row r="42" spans="1:32" s="492" customFormat="1" ht="12.75" hidden="1" x14ac:dyDescent="0.2">
      <c r="A42" s="1240"/>
      <c r="B42" s="550" t="s">
        <v>2050</v>
      </c>
      <c r="C42" s="530">
        <v>963</v>
      </c>
      <c r="D42" s="932"/>
      <c r="E42" s="1210"/>
      <c r="F42" s="493"/>
      <c r="G42" s="493"/>
      <c r="H42" s="493">
        <f>H43</f>
        <v>4</v>
      </c>
      <c r="I42" s="2278"/>
      <c r="J42" s="2278"/>
      <c r="K42" s="2279">
        <f>SUM(K43:K44)</f>
        <v>4</v>
      </c>
      <c r="L42" s="2278"/>
      <c r="M42" s="2278"/>
      <c r="N42" s="2279">
        <f>SUM(N43:N44)</f>
        <v>4</v>
      </c>
      <c r="O42" s="2279"/>
      <c r="P42" s="2279"/>
      <c r="Q42" s="2279">
        <f>SUM(Q43:Q44)</f>
        <v>6</v>
      </c>
      <c r="R42" s="2279"/>
      <c r="S42" s="2279"/>
      <c r="T42" s="2279">
        <f>SUM(T43:T44)</f>
        <v>6</v>
      </c>
      <c r="U42" s="2279"/>
      <c r="V42" s="2279"/>
      <c r="W42" s="2279">
        <f>SUM(W43:W44)</f>
        <v>6</v>
      </c>
      <c r="X42" s="493">
        <f t="shared" si="0"/>
        <v>2</v>
      </c>
      <c r="Y42" s="493">
        <f t="shared" si="1"/>
        <v>150</v>
      </c>
      <c r="Z42" s="866"/>
      <c r="AA42" s="492" t="s">
        <v>1665</v>
      </c>
    </row>
    <row r="43" spans="1:32" s="498" customFormat="1" ht="12.75" hidden="1" x14ac:dyDescent="0.2">
      <c r="A43" s="962"/>
      <c r="B43" s="551" t="s">
        <v>2051</v>
      </c>
      <c r="C43" s="494"/>
      <c r="D43" s="903"/>
      <c r="E43" s="2273" t="s">
        <v>227</v>
      </c>
      <c r="F43" s="1245">
        <v>40</v>
      </c>
      <c r="G43" s="1245">
        <v>0.1</v>
      </c>
      <c r="H43" s="1245">
        <f>F43*G43</f>
        <v>4</v>
      </c>
      <c r="I43" s="2270">
        <v>6</v>
      </c>
      <c r="J43" s="2270">
        <v>0.35</v>
      </c>
      <c r="K43" s="2269">
        <f>I43*J43</f>
        <v>2.1</v>
      </c>
      <c r="L43" s="2270">
        <v>6</v>
      </c>
      <c r="M43" s="2270">
        <v>0.35</v>
      </c>
      <c r="N43" s="2269">
        <f>L43*M43</f>
        <v>2.1</v>
      </c>
      <c r="O43" s="1245">
        <v>10</v>
      </c>
      <c r="P43" s="2270">
        <v>0.35</v>
      </c>
      <c r="Q43" s="2269">
        <f>O43*P43</f>
        <v>3.5</v>
      </c>
      <c r="R43" s="1245">
        <v>10</v>
      </c>
      <c r="S43" s="2270">
        <v>0.35</v>
      </c>
      <c r="T43" s="2269">
        <f>R43*S43</f>
        <v>3.5</v>
      </c>
      <c r="U43" s="1245">
        <v>10</v>
      </c>
      <c r="V43" s="2270">
        <v>0.35</v>
      </c>
      <c r="W43" s="2269">
        <f>U43*V43</f>
        <v>3.5</v>
      </c>
      <c r="X43" s="1245">
        <f t="shared" si="0"/>
        <v>1.4</v>
      </c>
      <c r="Y43" s="1245">
        <f t="shared" si="1"/>
        <v>166.7</v>
      </c>
      <c r="Z43" s="2280"/>
    </row>
    <row r="44" spans="1:32" s="498" customFormat="1" ht="12.75" hidden="1" x14ac:dyDescent="0.2">
      <c r="A44" s="962"/>
      <c r="B44" s="551" t="s">
        <v>2052</v>
      </c>
      <c r="C44" s="494"/>
      <c r="D44" s="903"/>
      <c r="E44" s="2273" t="s">
        <v>227</v>
      </c>
      <c r="F44" s="1245"/>
      <c r="G44" s="1245"/>
      <c r="H44" s="1245"/>
      <c r="I44" s="1245">
        <v>38</v>
      </c>
      <c r="J44" s="2270">
        <v>0.05</v>
      </c>
      <c r="K44" s="2269">
        <f>I44*J44</f>
        <v>1.9</v>
      </c>
      <c r="L44" s="1245">
        <v>38</v>
      </c>
      <c r="M44" s="2270">
        <v>0.05</v>
      </c>
      <c r="N44" s="2269">
        <f>L44*M44</f>
        <v>1.9</v>
      </c>
      <c r="O44" s="1245">
        <v>50</v>
      </c>
      <c r="P44" s="2270">
        <v>0.05</v>
      </c>
      <c r="Q44" s="2269">
        <f>O44*P44</f>
        <v>2.5</v>
      </c>
      <c r="R44" s="1245">
        <v>50</v>
      </c>
      <c r="S44" s="2270">
        <v>0.05</v>
      </c>
      <c r="T44" s="2269">
        <f>R44*S44</f>
        <v>2.5</v>
      </c>
      <c r="U44" s="1245">
        <v>50</v>
      </c>
      <c r="V44" s="2270">
        <v>0.05</v>
      </c>
      <c r="W44" s="2269">
        <f>U44*V44</f>
        <v>2.5</v>
      </c>
      <c r="X44" s="1245">
        <f t="shared" si="0"/>
        <v>0.6</v>
      </c>
      <c r="Y44" s="1245">
        <f t="shared" si="1"/>
        <v>131.6</v>
      </c>
      <c r="Z44" s="2282"/>
    </row>
    <row r="45" spans="1:32" s="597" customFormat="1" ht="12.75" x14ac:dyDescent="0.2">
      <c r="A45" s="603"/>
      <c r="B45" s="599"/>
      <c r="C45" s="599"/>
      <c r="D45" s="599"/>
      <c r="E45" s="599"/>
      <c r="F45" s="598"/>
      <c r="G45" s="598"/>
      <c r="H45" s="598"/>
      <c r="I45" s="599"/>
      <c r="J45" s="599"/>
      <c r="K45" s="598"/>
      <c r="L45" s="599"/>
      <c r="M45" s="599"/>
      <c r="N45" s="598"/>
      <c r="O45" s="598"/>
      <c r="P45" s="598"/>
      <c r="Q45" s="598"/>
      <c r="R45" s="598"/>
      <c r="S45" s="598"/>
      <c r="T45" s="598"/>
      <c r="U45" s="599"/>
      <c r="V45" s="599"/>
      <c r="W45" s="599"/>
      <c r="X45" s="599"/>
      <c r="Y45" s="599"/>
    </row>
    <row r="46" spans="1:32" s="933" customFormat="1" ht="12.75" x14ac:dyDescent="0.2">
      <c r="A46" s="601"/>
      <c r="B46" s="601"/>
      <c r="C46" s="1032" t="s">
        <v>1665</v>
      </c>
      <c r="D46" s="1032"/>
      <c r="E46" s="1032"/>
      <c r="F46" s="2287"/>
      <c r="G46" s="2287"/>
      <c r="H46" s="2287">
        <f>H47+H48+H49</f>
        <v>50.1</v>
      </c>
      <c r="I46" s="2287">
        <f t="shared" ref="I46:W46" si="3">I47+I48+I49</f>
        <v>0</v>
      </c>
      <c r="J46" s="2287">
        <f t="shared" si="3"/>
        <v>0</v>
      </c>
      <c r="K46" s="2287">
        <f t="shared" si="3"/>
        <v>46.2</v>
      </c>
      <c r="L46" s="2287">
        <f t="shared" si="3"/>
        <v>0</v>
      </c>
      <c r="M46" s="2287">
        <f t="shared" si="3"/>
        <v>0</v>
      </c>
      <c r="N46" s="2287">
        <f t="shared" si="3"/>
        <v>46.2</v>
      </c>
      <c r="O46" s="2287">
        <f t="shared" si="3"/>
        <v>0</v>
      </c>
      <c r="P46" s="2287">
        <f t="shared" si="3"/>
        <v>0</v>
      </c>
      <c r="Q46" s="2287">
        <f t="shared" si="3"/>
        <v>45.6</v>
      </c>
      <c r="R46" s="2287">
        <f t="shared" si="3"/>
        <v>0</v>
      </c>
      <c r="S46" s="2287">
        <f t="shared" si="3"/>
        <v>0</v>
      </c>
      <c r="T46" s="2287">
        <f t="shared" si="3"/>
        <v>45.6</v>
      </c>
      <c r="U46" s="2287">
        <f t="shared" si="3"/>
        <v>0</v>
      </c>
      <c r="V46" s="2287">
        <f t="shared" si="3"/>
        <v>0</v>
      </c>
      <c r="W46" s="2287">
        <f t="shared" si="3"/>
        <v>45.6</v>
      </c>
      <c r="X46" s="602"/>
      <c r="Y46" s="602"/>
      <c r="AA46" s="934"/>
      <c r="AB46" s="934"/>
      <c r="AC46" s="934"/>
      <c r="AD46" s="934"/>
      <c r="AE46" s="934"/>
      <c r="AF46" s="934"/>
    </row>
    <row r="47" spans="1:32" s="2539" customFormat="1" ht="12.75" x14ac:dyDescent="0.2">
      <c r="A47" s="2535"/>
      <c r="B47" s="2535"/>
      <c r="C47" s="2536">
        <v>955</v>
      </c>
      <c r="D47" s="2537"/>
      <c r="E47" s="2537"/>
      <c r="F47" s="1215"/>
      <c r="G47" s="1215"/>
      <c r="H47" s="1215">
        <f>H13+H30</f>
        <v>20.399999999999999</v>
      </c>
      <c r="I47" s="1215"/>
      <c r="J47" s="1215"/>
      <c r="K47" s="1215">
        <f>K13+K30</f>
        <v>20.7</v>
      </c>
      <c r="L47" s="1215"/>
      <c r="M47" s="1215"/>
      <c r="N47" s="1215">
        <f t="shared" ref="N47:W47" si="4">N13+N30</f>
        <v>20.7</v>
      </c>
      <c r="O47" s="2538">
        <f t="shared" si="4"/>
        <v>0</v>
      </c>
      <c r="P47" s="2538">
        <f t="shared" si="4"/>
        <v>0</v>
      </c>
      <c r="Q47" s="2538">
        <f t="shared" si="4"/>
        <v>20.5</v>
      </c>
      <c r="R47" s="2538">
        <f t="shared" si="4"/>
        <v>0</v>
      </c>
      <c r="S47" s="2538">
        <f t="shared" si="4"/>
        <v>0</v>
      </c>
      <c r="T47" s="2538">
        <f t="shared" si="4"/>
        <v>20.5</v>
      </c>
      <c r="U47" s="2538">
        <f t="shared" si="4"/>
        <v>0</v>
      </c>
      <c r="V47" s="2538">
        <f t="shared" si="4"/>
        <v>0</v>
      </c>
      <c r="W47" s="2538">
        <f t="shared" si="4"/>
        <v>20.5</v>
      </c>
      <c r="X47" s="2535"/>
      <c r="Y47" s="2535"/>
    </row>
    <row r="48" spans="1:32" s="1217" customFormat="1" ht="12.75" x14ac:dyDescent="0.2">
      <c r="A48" s="1213"/>
      <c r="B48" s="1213"/>
      <c r="C48" s="2288">
        <v>963</v>
      </c>
      <c r="D48" s="1214"/>
      <c r="E48" s="1214"/>
      <c r="F48" s="1215"/>
      <c r="G48" s="1215"/>
      <c r="H48" s="1215">
        <f>H25+H26+H41+H42</f>
        <v>14.4</v>
      </c>
      <c r="I48" s="1215"/>
      <c r="J48" s="1215"/>
      <c r="K48" s="1215">
        <f>K25+K26+K41+K42</f>
        <v>14.4</v>
      </c>
      <c r="L48" s="1215"/>
      <c r="M48" s="1215"/>
      <c r="N48" s="1215">
        <f t="shared" ref="N48:W48" si="5">N25+N26+N41+N42</f>
        <v>14.4</v>
      </c>
      <c r="O48" s="1215">
        <f t="shared" si="5"/>
        <v>0</v>
      </c>
      <c r="P48" s="1215">
        <f t="shared" si="5"/>
        <v>0</v>
      </c>
      <c r="Q48" s="1215">
        <f t="shared" si="5"/>
        <v>14.5</v>
      </c>
      <c r="R48" s="1215">
        <f t="shared" si="5"/>
        <v>0</v>
      </c>
      <c r="S48" s="1215">
        <f t="shared" si="5"/>
        <v>0</v>
      </c>
      <c r="T48" s="1215">
        <f t="shared" si="5"/>
        <v>14.5</v>
      </c>
      <c r="U48" s="1215">
        <f t="shared" si="5"/>
        <v>0</v>
      </c>
      <c r="V48" s="1215">
        <f t="shared" si="5"/>
        <v>0</v>
      </c>
      <c r="W48" s="1215">
        <f t="shared" si="5"/>
        <v>14.5</v>
      </c>
      <c r="X48" s="1216"/>
      <c r="Y48" s="1216"/>
      <c r="AA48" s="1218"/>
      <c r="AB48" s="1218"/>
      <c r="AC48" s="1218"/>
      <c r="AD48" s="1218"/>
      <c r="AE48" s="1218"/>
      <c r="AF48" s="1218"/>
    </row>
    <row r="49" spans="1:32" s="1217" customFormat="1" ht="12.75" x14ac:dyDescent="0.2">
      <c r="A49" s="1213"/>
      <c r="B49" s="1213"/>
      <c r="C49" s="2288">
        <v>981</v>
      </c>
      <c r="D49" s="1214"/>
      <c r="E49" s="1214"/>
      <c r="F49" s="1215"/>
      <c r="G49" s="1215"/>
      <c r="H49" s="1215">
        <f t="shared" ref="H49:W49" si="6">H19+H22+H34+H37</f>
        <v>15.3</v>
      </c>
      <c r="I49" s="1215">
        <f t="shared" si="6"/>
        <v>0</v>
      </c>
      <c r="J49" s="1215">
        <f t="shared" si="6"/>
        <v>0</v>
      </c>
      <c r="K49" s="1215">
        <f t="shared" si="6"/>
        <v>11.1</v>
      </c>
      <c r="L49" s="1215">
        <f t="shared" si="6"/>
        <v>0</v>
      </c>
      <c r="M49" s="1215">
        <f t="shared" si="6"/>
        <v>0</v>
      </c>
      <c r="N49" s="1215">
        <f t="shared" si="6"/>
        <v>11.1</v>
      </c>
      <c r="O49" s="1215">
        <f t="shared" si="6"/>
        <v>0</v>
      </c>
      <c r="P49" s="1215">
        <f t="shared" si="6"/>
        <v>0</v>
      </c>
      <c r="Q49" s="1215">
        <f t="shared" si="6"/>
        <v>10.6</v>
      </c>
      <c r="R49" s="1215">
        <f t="shared" si="6"/>
        <v>0</v>
      </c>
      <c r="S49" s="1215">
        <f t="shared" si="6"/>
        <v>0</v>
      </c>
      <c r="T49" s="1215">
        <f t="shared" si="6"/>
        <v>10.6</v>
      </c>
      <c r="U49" s="1215">
        <f t="shared" si="6"/>
        <v>0</v>
      </c>
      <c r="V49" s="1215">
        <f t="shared" si="6"/>
        <v>0</v>
      </c>
      <c r="W49" s="1215">
        <f t="shared" si="6"/>
        <v>10.6</v>
      </c>
      <c r="X49" s="1216"/>
      <c r="Y49" s="1216"/>
      <c r="AA49" s="1218"/>
      <c r="AB49" s="1218"/>
      <c r="AC49" s="1218"/>
      <c r="AD49" s="1218"/>
      <c r="AE49" s="1218"/>
      <c r="AF49" s="1218"/>
    </row>
    <row r="50" spans="1:32" s="591" customFormat="1" x14ac:dyDescent="0.25">
      <c r="A50" s="1035"/>
      <c r="B50" s="587"/>
      <c r="C50" s="587"/>
      <c r="D50" s="587"/>
      <c r="E50" s="587"/>
      <c r="F50" s="598"/>
      <c r="G50" s="598"/>
      <c r="H50" s="598"/>
      <c r="I50" s="599"/>
      <c r="J50" s="599"/>
      <c r="K50" s="598"/>
      <c r="L50" s="599"/>
      <c r="M50" s="599"/>
      <c r="N50" s="598"/>
      <c r="O50" s="598"/>
      <c r="P50" s="598"/>
      <c r="Q50" s="598"/>
      <c r="R50" s="598"/>
      <c r="S50" s="598"/>
      <c r="T50" s="598"/>
      <c r="U50" s="599"/>
      <c r="V50" s="599"/>
      <c r="W50" s="599"/>
      <c r="X50" s="599"/>
      <c r="Y50" s="599"/>
      <c r="AA50" s="592"/>
      <c r="AB50" s="592"/>
      <c r="AC50" s="592"/>
      <c r="AD50" s="592"/>
      <c r="AE50" s="592"/>
      <c r="AF50" s="592"/>
    </row>
    <row r="51" spans="1:32" s="591" customFormat="1" x14ac:dyDescent="0.25">
      <c r="A51" s="1035"/>
      <c r="B51" s="587"/>
      <c r="C51" s="587"/>
      <c r="D51" s="587"/>
      <c r="E51" s="587"/>
      <c r="F51" s="598"/>
      <c r="G51" s="598"/>
      <c r="H51" s="598"/>
      <c r="I51" s="599"/>
      <c r="J51" s="599"/>
      <c r="K51" s="598"/>
      <c r="L51" s="599"/>
      <c r="M51" s="599"/>
      <c r="N51" s="598"/>
      <c r="O51" s="598"/>
      <c r="P51" s="598"/>
      <c r="Q51" s="598"/>
      <c r="R51" s="598"/>
      <c r="S51" s="598"/>
      <c r="T51" s="598"/>
      <c r="U51" s="599"/>
      <c r="V51" s="599"/>
      <c r="W51" s="599"/>
      <c r="X51" s="599"/>
      <c r="Y51" s="599"/>
      <c r="AA51" s="592"/>
      <c r="AB51" s="592"/>
      <c r="AC51" s="592"/>
      <c r="AD51" s="592"/>
      <c r="AE51" s="592"/>
      <c r="AF51" s="592"/>
    </row>
    <row r="52" spans="1:32" s="591" customFormat="1" x14ac:dyDescent="0.25">
      <c r="A52" s="1035"/>
      <c r="B52" s="587"/>
      <c r="C52" s="587"/>
      <c r="D52" s="587"/>
      <c r="E52" s="587"/>
      <c r="F52" s="598"/>
      <c r="G52" s="598"/>
      <c r="H52" s="598"/>
      <c r="I52" s="599"/>
      <c r="J52" s="599"/>
      <c r="K52" s="598"/>
      <c r="L52" s="599"/>
      <c r="M52" s="599"/>
      <c r="N52" s="598"/>
      <c r="O52" s="598"/>
      <c r="P52" s="598"/>
      <c r="Q52" s="598"/>
      <c r="R52" s="598"/>
      <c r="S52" s="598"/>
      <c r="T52" s="598"/>
      <c r="U52" s="599"/>
      <c r="V52" s="599"/>
      <c r="W52" s="599"/>
      <c r="X52" s="599"/>
      <c r="Y52" s="599"/>
      <c r="AA52" s="592"/>
      <c r="AB52" s="592"/>
      <c r="AC52" s="592"/>
      <c r="AD52" s="592"/>
      <c r="AE52" s="592"/>
      <c r="AF52" s="592"/>
    </row>
    <row r="53" spans="1:32" s="591" customFormat="1" x14ac:dyDescent="0.25">
      <c r="A53" s="1035"/>
      <c r="B53" s="587"/>
      <c r="C53" s="587"/>
      <c r="D53" s="587"/>
      <c r="E53" s="587"/>
      <c r="F53" s="598"/>
      <c r="G53" s="598"/>
      <c r="H53" s="598"/>
      <c r="I53" s="599"/>
      <c r="J53" s="599"/>
      <c r="K53" s="598"/>
      <c r="L53" s="599"/>
      <c r="M53" s="599"/>
      <c r="N53" s="598"/>
      <c r="O53" s="598"/>
      <c r="P53" s="598"/>
      <c r="Q53" s="598"/>
      <c r="R53" s="598"/>
      <c r="S53" s="598"/>
      <c r="T53" s="598"/>
      <c r="U53" s="599"/>
      <c r="V53" s="599"/>
      <c r="W53" s="599"/>
      <c r="X53" s="599"/>
      <c r="Y53" s="599"/>
      <c r="AA53" s="592"/>
      <c r="AB53" s="592"/>
      <c r="AC53" s="592"/>
      <c r="AD53" s="592"/>
      <c r="AE53" s="592"/>
      <c r="AF53" s="592"/>
    </row>
    <row r="54" spans="1:32" s="591" customFormat="1" x14ac:dyDescent="0.25">
      <c r="A54" s="1035"/>
      <c r="B54" s="587"/>
      <c r="C54" s="587"/>
      <c r="D54" s="587"/>
      <c r="E54" s="587"/>
      <c r="F54" s="598"/>
      <c r="G54" s="598"/>
      <c r="H54" s="598"/>
      <c r="I54" s="599"/>
      <c r="J54" s="599"/>
      <c r="K54" s="598"/>
      <c r="L54" s="599"/>
      <c r="M54" s="599"/>
      <c r="N54" s="598"/>
      <c r="O54" s="598"/>
      <c r="P54" s="598"/>
      <c r="Q54" s="598"/>
      <c r="R54" s="598"/>
      <c r="S54" s="598"/>
      <c r="T54" s="598"/>
      <c r="U54" s="599"/>
      <c r="V54" s="599"/>
      <c r="W54" s="599"/>
      <c r="X54" s="599"/>
      <c r="Y54" s="599"/>
      <c r="AA54" s="592"/>
      <c r="AB54" s="592"/>
      <c r="AC54" s="592"/>
      <c r="AD54" s="592"/>
      <c r="AE54" s="592"/>
      <c r="AF54" s="592"/>
    </row>
  </sheetData>
  <autoFilter ref="A10:AF44">
    <filterColumn colId="2">
      <filters>
        <filter val="955"/>
      </filters>
    </filterColumn>
  </autoFilter>
  <mergeCells count="35">
    <mergeCell ref="F7:H7"/>
    <mergeCell ref="M8:M9"/>
    <mergeCell ref="N8:N9"/>
    <mergeCell ref="I7:K7"/>
    <mergeCell ref="L7:N7"/>
    <mergeCell ref="J8:J9"/>
    <mergeCell ref="A7:A9"/>
    <mergeCell ref="B7:B9"/>
    <mergeCell ref="C7:C9"/>
    <mergeCell ref="D7:D9"/>
    <mergeCell ref="E7:E9"/>
    <mergeCell ref="A4:Z4"/>
    <mergeCell ref="A5:Z5"/>
    <mergeCell ref="O8:O9"/>
    <mergeCell ref="P8:P9"/>
    <mergeCell ref="Q8:Q9"/>
    <mergeCell ref="R8:R9"/>
    <mergeCell ref="S8:S9"/>
    <mergeCell ref="T8:T9"/>
    <mergeCell ref="Z7:Z9"/>
    <mergeCell ref="F8:F9"/>
    <mergeCell ref="G8:G9"/>
    <mergeCell ref="H8:H9"/>
    <mergeCell ref="I8:I9"/>
    <mergeCell ref="K8:K9"/>
    <mergeCell ref="U7:W7"/>
    <mergeCell ref="L8:L9"/>
    <mergeCell ref="O7:Q7"/>
    <mergeCell ref="U8:U9"/>
    <mergeCell ref="R7:T7"/>
    <mergeCell ref="X8:X9"/>
    <mergeCell ref="Y8:Y9"/>
    <mergeCell ref="V8:V9"/>
    <mergeCell ref="W8:W9"/>
    <mergeCell ref="X7:Y7"/>
  </mergeCells>
  <printOptions horizontalCentered="1"/>
  <pageMargins left="0.23622047244094491" right="0.23622047244094491" top="0.47244094488188981" bottom="0.39370078740157483" header="0.31496062992125984" footer="0.31496062992125984"/>
  <pageSetup paperSize="9" scale="49" fitToHeight="0" orientation="landscape" r:id="rId1"/>
  <headerFooter>
    <oddFooter>Страница  &amp;P из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XAZ252"/>
  <sheetViews>
    <sheetView showZeros="0" view="pageBreakPreview" zoomScale="60" zoomScaleNormal="60" workbookViewId="0">
      <pane ySplit="10" topLeftCell="A11" activePane="bottomLeft" state="frozen"/>
      <selection activeCell="A12" sqref="A12:X12"/>
      <selection pane="bottomLeft" activeCell="A2" sqref="A2:Z2"/>
    </sheetView>
  </sheetViews>
  <sheetFormatPr defaultColWidth="10.6640625" defaultRowHeight="15.75" x14ac:dyDescent="0.25"/>
  <cols>
    <col min="1" max="1" width="7.33203125" style="2297" customWidth="1"/>
    <col min="2" max="2" width="17.6640625" style="2530" customWidth="1"/>
    <col min="3" max="3" width="42" style="2296" customWidth="1"/>
    <col min="4" max="4" width="17" style="2527" hidden="1" customWidth="1"/>
    <col min="5" max="5" width="19.5" style="2528" hidden="1" customWidth="1"/>
    <col min="6" max="15" width="19.5" style="2527" hidden="1" customWidth="1"/>
    <col min="16" max="18" width="19.5" style="2527" customWidth="1"/>
    <col min="19" max="19" width="24.1640625" style="2527" customWidth="1"/>
    <col min="20" max="21" width="19.5" style="2527" customWidth="1"/>
    <col min="22" max="22" width="14.83203125" style="2527" customWidth="1"/>
    <col min="23" max="23" width="17.33203125" style="2527" customWidth="1"/>
    <col min="24" max="24" width="15.33203125" style="2527" customWidth="1"/>
    <col min="25" max="25" width="17" style="2527" customWidth="1"/>
    <col min="26" max="26" width="94.6640625" style="2297" customWidth="1"/>
    <col min="27" max="27" width="10.6640625" style="2296" customWidth="1"/>
    <col min="28" max="29" width="10.6640625" style="2297"/>
    <col min="30" max="30" width="13.5" style="2297" customWidth="1"/>
    <col min="31" max="34" width="10.6640625" style="2297" customWidth="1"/>
    <col min="35" max="252" width="10.6640625" style="2297"/>
    <col min="253" max="253" width="7.33203125" style="2297" customWidth="1"/>
    <col min="254" max="254" width="14.1640625" style="2297" customWidth="1"/>
    <col min="255" max="255" width="40.83203125" style="2297" customWidth="1"/>
    <col min="256" max="256" width="10.1640625" style="2297" customWidth="1"/>
    <col min="257" max="257" width="24.1640625" style="2297" customWidth="1"/>
    <col min="258" max="259" width="13.1640625" style="2297" customWidth="1"/>
    <col min="260" max="260" width="14.5" style="2297" customWidth="1"/>
    <col min="261" max="261" width="10.1640625" style="2297" customWidth="1"/>
    <col min="262" max="262" width="13.1640625" style="2297" customWidth="1"/>
    <col min="263" max="263" width="14.5" style="2297" customWidth="1"/>
    <col min="264" max="264" width="13.1640625" style="2297" customWidth="1"/>
    <col min="265" max="265" width="12.6640625" style="2297" customWidth="1"/>
    <col min="266" max="266" width="10" style="2297" bestFit="1" customWidth="1"/>
    <col min="267" max="267" width="23.1640625" style="2297" bestFit="1" customWidth="1"/>
    <col min="268" max="269" width="11.5" style="2297" bestFit="1" customWidth="1"/>
    <col min="270" max="270" width="12.33203125" style="2297" bestFit="1" customWidth="1"/>
    <col min="271" max="271" width="15.83203125" style="2297" bestFit="1" customWidth="1"/>
    <col min="272" max="272" width="13" style="2297" bestFit="1" customWidth="1"/>
    <col min="273" max="273" width="14.33203125" style="2297" bestFit="1" customWidth="1"/>
    <col min="274" max="275" width="10.6640625" style="2297" customWidth="1"/>
    <col min="276" max="276" width="17.83203125" style="2297" bestFit="1" customWidth="1"/>
    <col min="277" max="279" width="10.6640625" style="2297" customWidth="1"/>
    <col min="280" max="285" width="10.6640625" style="2297"/>
    <col min="286" max="286" width="7.33203125" style="2297" customWidth="1"/>
    <col min="287" max="290" width="10.6640625" style="2297" customWidth="1"/>
    <col min="291" max="508" width="10.6640625" style="2297"/>
    <col min="509" max="509" width="7.33203125" style="2297" customWidth="1"/>
    <col min="510" max="510" width="14.1640625" style="2297" customWidth="1"/>
    <col min="511" max="511" width="40.83203125" style="2297" customWidth="1"/>
    <col min="512" max="512" width="10.1640625" style="2297" customWidth="1"/>
    <col min="513" max="513" width="24.1640625" style="2297" customWidth="1"/>
    <col min="514" max="515" width="13.1640625" style="2297" customWidth="1"/>
    <col min="516" max="516" width="14.5" style="2297" customWidth="1"/>
    <col min="517" max="517" width="10.1640625" style="2297" customWidth="1"/>
    <col min="518" max="518" width="13.1640625" style="2297" customWidth="1"/>
    <col min="519" max="519" width="14.5" style="2297" customWidth="1"/>
    <col min="520" max="520" width="13.1640625" style="2297" customWidth="1"/>
    <col min="521" max="521" width="12.6640625" style="2297" customWidth="1"/>
    <col min="522" max="522" width="10" style="2297" bestFit="1" customWidth="1"/>
    <col min="523" max="523" width="23.1640625" style="2297" bestFit="1" customWidth="1"/>
    <col min="524" max="525" width="11.5" style="2297" bestFit="1" customWidth="1"/>
    <col min="526" max="526" width="12.33203125" style="2297" bestFit="1" customWidth="1"/>
    <col min="527" max="527" width="15.83203125" style="2297" bestFit="1" customWidth="1"/>
    <col min="528" max="528" width="13" style="2297" bestFit="1" customWidth="1"/>
    <col min="529" max="529" width="14.33203125" style="2297" bestFit="1" customWidth="1"/>
    <col min="530" max="531" width="10.6640625" style="2297" customWidth="1"/>
    <col min="532" max="532" width="17.83203125" style="2297" bestFit="1" customWidth="1"/>
    <col min="533" max="535" width="10.6640625" style="2297" customWidth="1"/>
    <col min="536" max="541" width="10.6640625" style="2297"/>
    <col min="542" max="542" width="7.33203125" style="2297" customWidth="1"/>
    <col min="543" max="546" width="10.6640625" style="2297" customWidth="1"/>
    <col min="547" max="16384" width="10.6640625" style="2297"/>
  </cols>
  <sheetData>
    <row r="1" spans="1:29" s="2290" customFormat="1" x14ac:dyDescent="0.25">
      <c r="B1" s="2291"/>
      <c r="C1" s="2292"/>
      <c r="D1" s="2293"/>
      <c r="E1" s="2294"/>
      <c r="F1" s="2293"/>
      <c r="G1" s="2293"/>
      <c r="H1" s="2293"/>
      <c r="I1" s="2295"/>
      <c r="J1" s="2293"/>
      <c r="K1" s="2295"/>
      <c r="L1" s="2295"/>
      <c r="M1" s="2295"/>
      <c r="N1" s="2293"/>
      <c r="O1" s="2295"/>
      <c r="P1" s="2295"/>
      <c r="Q1" s="2295"/>
      <c r="R1" s="2293"/>
      <c r="S1" s="2293"/>
      <c r="T1" s="2293"/>
      <c r="U1" s="2295"/>
      <c r="V1" s="2293"/>
      <c r="W1" s="2293"/>
      <c r="X1" s="2293"/>
      <c r="Y1" s="2293"/>
      <c r="AA1" s="2292"/>
    </row>
    <row r="2" spans="1:29" s="2290" customFormat="1" x14ac:dyDescent="0.25">
      <c r="A2" s="3459" t="s">
        <v>2180</v>
      </c>
      <c r="B2" s="3459"/>
      <c r="C2" s="3459"/>
      <c r="D2" s="3459"/>
      <c r="E2" s="3459"/>
      <c r="F2" s="3459"/>
      <c r="G2" s="3459"/>
      <c r="H2" s="3459"/>
      <c r="I2" s="3459"/>
      <c r="J2" s="3459"/>
      <c r="K2" s="3459"/>
      <c r="L2" s="3459"/>
      <c r="M2" s="3459"/>
      <c r="N2" s="3459"/>
      <c r="O2" s="3459"/>
      <c r="P2" s="3459"/>
      <c r="Q2" s="3459"/>
      <c r="R2" s="3459"/>
      <c r="S2" s="3459"/>
      <c r="T2" s="3459"/>
      <c r="U2" s="3459"/>
      <c r="V2" s="3459"/>
      <c r="W2" s="3459"/>
      <c r="X2" s="3459"/>
      <c r="Y2" s="3459"/>
      <c r="Z2" s="3459"/>
      <c r="AA2" s="2292"/>
    </row>
    <row r="3" spans="1:29" s="2290" customFormat="1" x14ac:dyDescent="0.25">
      <c r="A3" s="3459" t="s">
        <v>2024</v>
      </c>
      <c r="B3" s="3459"/>
      <c r="C3" s="3459"/>
      <c r="D3" s="3459"/>
      <c r="E3" s="3459"/>
      <c r="F3" s="3459"/>
      <c r="G3" s="3459"/>
      <c r="H3" s="3459"/>
      <c r="I3" s="3459"/>
      <c r="J3" s="3459"/>
      <c r="K3" s="3459"/>
      <c r="L3" s="3459"/>
      <c r="M3" s="3459"/>
      <c r="N3" s="3459"/>
      <c r="O3" s="3459"/>
      <c r="P3" s="3459"/>
      <c r="Q3" s="3459"/>
      <c r="R3" s="3459"/>
      <c r="S3" s="3459"/>
      <c r="T3" s="3459"/>
      <c r="U3" s="3459"/>
      <c r="V3" s="3459"/>
      <c r="W3" s="3459"/>
      <c r="X3" s="3459"/>
      <c r="Y3" s="3459"/>
      <c r="Z3" s="3459"/>
      <c r="AA3" s="2292"/>
    </row>
    <row r="4" spans="1:29" s="2290" customFormat="1" x14ac:dyDescent="0.25">
      <c r="B4" s="2291"/>
      <c r="C4" s="2292"/>
      <c r="D4" s="2293"/>
      <c r="E4" s="2294"/>
      <c r="F4" s="2293"/>
      <c r="G4" s="2293"/>
      <c r="H4" s="2293"/>
      <c r="I4" s="2295"/>
      <c r="J4" s="2293"/>
      <c r="K4" s="2295"/>
      <c r="L4" s="2295"/>
      <c r="M4" s="2295"/>
      <c r="N4" s="2293"/>
      <c r="O4" s="2295"/>
      <c r="P4" s="2295"/>
      <c r="Q4" s="2295"/>
      <c r="R4" s="2293"/>
      <c r="S4" s="2293"/>
      <c r="T4" s="2293"/>
      <c r="U4" s="2295"/>
      <c r="V4" s="2293"/>
      <c r="W4" s="2293"/>
      <c r="X4" s="2293"/>
      <c r="Y4" s="2293"/>
      <c r="Z4" s="2533" t="s">
        <v>380</v>
      </c>
      <c r="AA4" s="2292"/>
    </row>
    <row r="5" spans="1:29" x14ac:dyDescent="0.25">
      <c r="A5" s="3496" t="s">
        <v>78</v>
      </c>
      <c r="B5" s="3501" t="s">
        <v>824</v>
      </c>
      <c r="C5" s="3496" t="s">
        <v>386</v>
      </c>
      <c r="D5" s="3504" t="s">
        <v>344</v>
      </c>
      <c r="E5" s="3505"/>
      <c r="F5" s="3505"/>
      <c r="G5" s="3506"/>
      <c r="H5" s="3474" t="s">
        <v>825</v>
      </c>
      <c r="I5" s="3475"/>
      <c r="J5" s="3475"/>
      <c r="K5" s="3475"/>
      <c r="L5" s="3475"/>
      <c r="M5" s="3475"/>
      <c r="N5" s="3475"/>
      <c r="O5" s="3495"/>
      <c r="P5" s="3494" t="s">
        <v>826</v>
      </c>
      <c r="Q5" s="3494"/>
      <c r="R5" s="3494"/>
      <c r="S5" s="3494"/>
      <c r="T5" s="3494"/>
      <c r="U5" s="3494"/>
      <c r="V5" s="3485" t="s">
        <v>718</v>
      </c>
      <c r="W5" s="3485"/>
      <c r="X5" s="3493" t="s">
        <v>178</v>
      </c>
      <c r="Y5" s="3493" t="s">
        <v>179</v>
      </c>
      <c r="Z5" s="3494" t="s">
        <v>827</v>
      </c>
    </row>
    <row r="6" spans="1:29" x14ac:dyDescent="0.25">
      <c r="A6" s="3496"/>
      <c r="B6" s="3502"/>
      <c r="C6" s="3496"/>
      <c r="D6" s="3507"/>
      <c r="E6" s="3508"/>
      <c r="F6" s="3508"/>
      <c r="G6" s="3509"/>
      <c r="H6" s="3474" t="s">
        <v>828</v>
      </c>
      <c r="I6" s="3475"/>
      <c r="J6" s="3475"/>
      <c r="K6" s="3495"/>
      <c r="L6" s="3474" t="s">
        <v>829</v>
      </c>
      <c r="M6" s="3475"/>
      <c r="N6" s="3475"/>
      <c r="O6" s="3495"/>
      <c r="P6" s="3494" t="s">
        <v>331</v>
      </c>
      <c r="Q6" s="3494"/>
      <c r="R6" s="3494"/>
      <c r="S6" s="3494"/>
      <c r="T6" s="3494"/>
      <c r="U6" s="3494"/>
      <c r="V6" s="3485"/>
      <c r="W6" s="3485"/>
      <c r="X6" s="3493"/>
      <c r="Y6" s="3493"/>
      <c r="Z6" s="3494"/>
    </row>
    <row r="7" spans="1:29" x14ac:dyDescent="0.25">
      <c r="A7" s="3496"/>
      <c r="B7" s="3502"/>
      <c r="C7" s="3496"/>
      <c r="D7" s="3496" t="s">
        <v>332</v>
      </c>
      <c r="E7" s="3510" t="s">
        <v>830</v>
      </c>
      <c r="F7" s="3500" t="s">
        <v>831</v>
      </c>
      <c r="G7" s="3500"/>
      <c r="H7" s="3496" t="s">
        <v>332</v>
      </c>
      <c r="I7" s="3497" t="s">
        <v>830</v>
      </c>
      <c r="J7" s="3500" t="s">
        <v>831</v>
      </c>
      <c r="K7" s="3500"/>
      <c r="L7" s="3496" t="s">
        <v>332</v>
      </c>
      <c r="M7" s="3497" t="s">
        <v>830</v>
      </c>
      <c r="N7" s="3500" t="s">
        <v>831</v>
      </c>
      <c r="O7" s="3500"/>
      <c r="P7" s="3496" t="s">
        <v>332</v>
      </c>
      <c r="Q7" s="3497" t="s">
        <v>830</v>
      </c>
      <c r="R7" s="3500" t="s">
        <v>831</v>
      </c>
      <c r="S7" s="3500"/>
      <c r="T7" s="3500"/>
      <c r="U7" s="3500"/>
      <c r="V7" s="3484" t="s">
        <v>832</v>
      </c>
      <c r="W7" s="3484" t="s">
        <v>833</v>
      </c>
      <c r="X7" s="3485" t="s">
        <v>494</v>
      </c>
      <c r="Y7" s="3485"/>
      <c r="Z7" s="3494"/>
      <c r="AC7" s="2298"/>
    </row>
    <row r="8" spans="1:29" x14ac:dyDescent="0.25">
      <c r="A8" s="3496"/>
      <c r="B8" s="3502"/>
      <c r="C8" s="3496"/>
      <c r="D8" s="3496"/>
      <c r="E8" s="3510"/>
      <c r="F8" s="1251"/>
      <c r="G8" s="1251"/>
      <c r="H8" s="3496"/>
      <c r="I8" s="3498"/>
      <c r="J8" s="1251"/>
      <c r="K8" s="1251"/>
      <c r="L8" s="3496"/>
      <c r="M8" s="3498"/>
      <c r="N8" s="1251"/>
      <c r="O8" s="1251"/>
      <c r="P8" s="3496"/>
      <c r="Q8" s="3498"/>
      <c r="R8" s="3486" t="s">
        <v>834</v>
      </c>
      <c r="S8" s="3488" t="s">
        <v>835</v>
      </c>
      <c r="T8" s="3489"/>
      <c r="U8" s="3490" t="s">
        <v>836</v>
      </c>
      <c r="V8" s="3484"/>
      <c r="W8" s="3484"/>
      <c r="X8" s="2299"/>
      <c r="Y8" s="2299"/>
      <c r="Z8" s="3494"/>
      <c r="AC8" s="2298"/>
    </row>
    <row r="9" spans="1:29" ht="75" x14ac:dyDescent="0.25">
      <c r="A9" s="3496"/>
      <c r="B9" s="3503"/>
      <c r="C9" s="3496"/>
      <c r="D9" s="3496"/>
      <c r="E9" s="3510"/>
      <c r="F9" s="2300" t="s">
        <v>837</v>
      </c>
      <c r="G9" s="2301" t="s">
        <v>836</v>
      </c>
      <c r="H9" s="3496"/>
      <c r="I9" s="3499"/>
      <c r="J9" s="2300" t="s">
        <v>837</v>
      </c>
      <c r="K9" s="2301" t="s">
        <v>836</v>
      </c>
      <c r="L9" s="3496"/>
      <c r="M9" s="3499"/>
      <c r="N9" s="2300" t="s">
        <v>837</v>
      </c>
      <c r="O9" s="2301" t="s">
        <v>836</v>
      </c>
      <c r="P9" s="3496"/>
      <c r="Q9" s="3499"/>
      <c r="R9" s="3487"/>
      <c r="S9" s="2300" t="s">
        <v>838</v>
      </c>
      <c r="T9" s="2300" t="s">
        <v>496</v>
      </c>
      <c r="U9" s="3491"/>
      <c r="V9" s="3484"/>
      <c r="W9" s="3484"/>
      <c r="X9" s="3492" t="s">
        <v>208</v>
      </c>
      <c r="Y9" s="3492"/>
      <c r="Z9" s="3494"/>
    </row>
    <row r="10" spans="1:29" s="2308" customFormat="1" ht="16.5" x14ac:dyDescent="0.25">
      <c r="A10" s="2302">
        <v>1</v>
      </c>
      <c r="B10" s="2302">
        <v>2</v>
      </c>
      <c r="C10" s="2302">
        <v>3</v>
      </c>
      <c r="D10" s="2302">
        <v>4</v>
      </c>
      <c r="E10" s="2303">
        <v>5</v>
      </c>
      <c r="F10" s="2304">
        <v>6</v>
      </c>
      <c r="G10" s="2302">
        <v>7</v>
      </c>
      <c r="H10" s="2302">
        <v>8</v>
      </c>
      <c r="I10" s="2302">
        <v>9</v>
      </c>
      <c r="J10" s="2304">
        <v>10</v>
      </c>
      <c r="K10" s="2302">
        <v>11</v>
      </c>
      <c r="L10" s="2302">
        <v>12</v>
      </c>
      <c r="M10" s="2302">
        <v>13</v>
      </c>
      <c r="N10" s="2304">
        <v>14</v>
      </c>
      <c r="O10" s="2302">
        <v>15</v>
      </c>
      <c r="P10" s="2302">
        <v>16</v>
      </c>
      <c r="Q10" s="2302">
        <v>17</v>
      </c>
      <c r="R10" s="2305">
        <v>18</v>
      </c>
      <c r="S10" s="2306" t="s">
        <v>839</v>
      </c>
      <c r="T10" s="2306" t="s">
        <v>840</v>
      </c>
      <c r="U10" s="2307">
        <v>19</v>
      </c>
      <c r="V10" s="2302">
        <v>20</v>
      </c>
      <c r="W10" s="2302">
        <v>21</v>
      </c>
      <c r="X10" s="2304">
        <v>22</v>
      </c>
      <c r="Y10" s="2304">
        <v>23</v>
      </c>
      <c r="Z10" s="2302">
        <v>24</v>
      </c>
      <c r="AA10" s="2296"/>
    </row>
    <row r="11" spans="1:29" ht="23.25" hidden="1" x14ac:dyDescent="0.25">
      <c r="A11" s="3472" t="s">
        <v>1444</v>
      </c>
      <c r="B11" s="3473"/>
      <c r="C11" s="3473"/>
      <c r="D11" s="3473"/>
      <c r="E11" s="3473"/>
      <c r="F11" s="3473"/>
      <c r="G11" s="3473"/>
      <c r="H11" s="3473"/>
      <c r="I11" s="3473"/>
      <c r="J11" s="3473"/>
      <c r="K11" s="3473"/>
      <c r="L11" s="3473"/>
      <c r="M11" s="3473"/>
      <c r="N11" s="3473"/>
      <c r="O11" s="3473"/>
      <c r="P11" s="3473"/>
      <c r="Q11" s="3473"/>
      <c r="R11" s="3473"/>
      <c r="S11" s="3473"/>
      <c r="T11" s="3473"/>
      <c r="U11" s="3473"/>
      <c r="V11" s="3473"/>
      <c r="W11" s="3473"/>
      <c r="X11" s="3473"/>
      <c r="Y11" s="3473"/>
      <c r="Z11" s="2309"/>
      <c r="AA11" s="2296" t="s">
        <v>1665</v>
      </c>
    </row>
    <row r="12" spans="1:29" hidden="1" x14ac:dyDescent="0.25">
      <c r="A12" s="3474" t="s">
        <v>841</v>
      </c>
      <c r="B12" s="3475"/>
      <c r="C12" s="3475"/>
      <c r="D12" s="3475"/>
      <c r="E12" s="3475"/>
      <c r="F12" s="3475"/>
      <c r="G12" s="3475"/>
      <c r="H12" s="3475"/>
      <c r="I12" s="3475"/>
      <c r="J12" s="3475"/>
      <c r="K12" s="3475"/>
      <c r="L12" s="3475"/>
      <c r="M12" s="3475"/>
      <c r="N12" s="3475"/>
      <c r="O12" s="3475"/>
      <c r="P12" s="3476"/>
      <c r="Q12" s="3476"/>
      <c r="R12" s="3476"/>
      <c r="S12" s="3476"/>
      <c r="T12" s="3476"/>
      <c r="U12" s="3476"/>
      <c r="V12" s="3476"/>
      <c r="W12" s="3476"/>
      <c r="X12" s="3476"/>
      <c r="Y12" s="3476"/>
      <c r="Z12" s="2310"/>
      <c r="AA12" s="2296" t="s">
        <v>1665</v>
      </c>
    </row>
    <row r="13" spans="1:29" s="2317" customFormat="1" ht="31.5" hidden="1" x14ac:dyDescent="0.2">
      <c r="A13" s="2311">
        <v>1</v>
      </c>
      <c r="B13" s="2311"/>
      <c r="C13" s="2312" t="s">
        <v>2060</v>
      </c>
      <c r="D13" s="2313"/>
      <c r="E13" s="2314"/>
      <c r="F13" s="2313">
        <f>F14+F17+F24+F26</f>
        <v>45.1</v>
      </c>
      <c r="G13" s="2313">
        <f>G14+G17+G24+G26</f>
        <v>0</v>
      </c>
      <c r="H13" s="2313"/>
      <c r="I13" s="2313"/>
      <c r="J13" s="2313">
        <f>J14+J17+J24+J26</f>
        <v>33.4</v>
      </c>
      <c r="K13" s="2313"/>
      <c r="L13" s="2313"/>
      <c r="M13" s="2313"/>
      <c r="N13" s="2313">
        <f>N14+N17+N24+N26</f>
        <v>33.4</v>
      </c>
      <c r="O13" s="2315"/>
      <c r="P13" s="2313">
        <f>P14+P17+P23+P26</f>
        <v>0</v>
      </c>
      <c r="Q13" s="2313">
        <f>Q14+Q17+Q23+Q26</f>
        <v>0</v>
      </c>
      <c r="R13" s="2313">
        <f>R14+R17+R24+R26+R30</f>
        <v>33.9</v>
      </c>
      <c r="S13" s="2313">
        <f>R13</f>
        <v>33.9</v>
      </c>
      <c r="T13" s="2313"/>
      <c r="U13" s="2313">
        <f>U14+U17+U23+U22+U25+U29</f>
        <v>0</v>
      </c>
      <c r="V13" s="2313">
        <f t="shared" ref="V13:V76" si="0">R13-J13</f>
        <v>0.5</v>
      </c>
      <c r="W13" s="2313">
        <f t="shared" ref="W13:W76" si="1">IFERROR((R13)/J13*100,0)</f>
        <v>101.5</v>
      </c>
      <c r="X13" s="2313">
        <f>R13</f>
        <v>33.9</v>
      </c>
      <c r="Y13" s="2313">
        <f>X13</f>
        <v>33.9</v>
      </c>
      <c r="Z13" s="2316"/>
      <c r="AA13" s="2296" t="s">
        <v>1665</v>
      </c>
    </row>
    <row r="14" spans="1:29" s="2326" customFormat="1" ht="31.5" x14ac:dyDescent="0.25">
      <c r="A14" s="2318"/>
      <c r="B14" s="2319">
        <v>955</v>
      </c>
      <c r="C14" s="2320" t="s">
        <v>1401</v>
      </c>
      <c r="D14" s="2321"/>
      <c r="E14" s="2322"/>
      <c r="F14" s="2323"/>
      <c r="G14" s="2323"/>
      <c r="H14" s="2321"/>
      <c r="I14" s="2323"/>
      <c r="J14" s="2323"/>
      <c r="K14" s="2323"/>
      <c r="L14" s="2321"/>
      <c r="M14" s="2323"/>
      <c r="N14" s="2323"/>
      <c r="O14" s="2324"/>
      <c r="P14" s="2323"/>
      <c r="Q14" s="2323"/>
      <c r="R14" s="2323"/>
      <c r="S14" s="2323">
        <f t="shared" ref="S14:S77" si="2">R14</f>
        <v>0</v>
      </c>
      <c r="T14" s="2323"/>
      <c r="U14" s="2323"/>
      <c r="V14" s="2323">
        <f t="shared" si="0"/>
        <v>0</v>
      </c>
      <c r="W14" s="2323">
        <f t="shared" si="1"/>
        <v>0</v>
      </c>
      <c r="X14" s="2323"/>
      <c r="Y14" s="2323"/>
      <c r="Z14" s="2325"/>
      <c r="AA14" s="2296" t="s">
        <v>1665</v>
      </c>
    </row>
    <row r="15" spans="1:29" s="2290" customFormat="1" hidden="1" x14ac:dyDescent="0.25">
      <c r="A15" s="2327"/>
      <c r="B15" s="2325"/>
      <c r="C15" s="2328" t="s">
        <v>1931</v>
      </c>
      <c r="D15" s="2329"/>
      <c r="E15" s="2330"/>
      <c r="F15" s="2331"/>
      <c r="G15" s="2331"/>
      <c r="H15" s="2329"/>
      <c r="I15" s="2331"/>
      <c r="J15" s="2331"/>
      <c r="K15" s="2331"/>
      <c r="L15" s="2329"/>
      <c r="M15" s="2331"/>
      <c r="N15" s="2331"/>
      <c r="O15" s="2332"/>
      <c r="P15" s="2331"/>
      <c r="Q15" s="2331"/>
      <c r="R15" s="2331"/>
      <c r="S15" s="2331">
        <f t="shared" si="2"/>
        <v>0</v>
      </c>
      <c r="T15" s="2331"/>
      <c r="U15" s="2331"/>
      <c r="V15" s="2333">
        <f t="shared" si="0"/>
        <v>0</v>
      </c>
      <c r="W15" s="2333">
        <f t="shared" si="1"/>
        <v>0</v>
      </c>
      <c r="X15" s="2331"/>
      <c r="Y15" s="2331"/>
      <c r="Z15" s="2334" t="s">
        <v>2061</v>
      </c>
      <c r="AA15" s="2296" t="s">
        <v>1665</v>
      </c>
    </row>
    <row r="16" spans="1:29" s="2290" customFormat="1" hidden="1" x14ac:dyDescent="0.25">
      <c r="A16" s="2327"/>
      <c r="B16" s="2325"/>
      <c r="C16" s="2328" t="s">
        <v>1234</v>
      </c>
      <c r="D16" s="2329"/>
      <c r="E16" s="2330"/>
      <c r="F16" s="2331"/>
      <c r="G16" s="2331"/>
      <c r="H16" s="2329"/>
      <c r="I16" s="2331"/>
      <c r="J16" s="2331"/>
      <c r="K16" s="2331"/>
      <c r="L16" s="2329"/>
      <c r="M16" s="2331"/>
      <c r="N16" s="2331"/>
      <c r="O16" s="2332"/>
      <c r="P16" s="2331"/>
      <c r="Q16" s="2331"/>
      <c r="R16" s="2331"/>
      <c r="S16" s="2331">
        <f t="shared" si="2"/>
        <v>0</v>
      </c>
      <c r="T16" s="2331"/>
      <c r="U16" s="2331"/>
      <c r="V16" s="2330">
        <f t="shared" si="0"/>
        <v>0</v>
      </c>
      <c r="W16" s="2330">
        <f t="shared" si="1"/>
        <v>0</v>
      </c>
      <c r="X16" s="2331"/>
      <c r="Y16" s="2331"/>
      <c r="Z16" s="2334"/>
      <c r="AA16" s="2296" t="s">
        <v>1665</v>
      </c>
    </row>
    <row r="17" spans="1:27" s="2326" customFormat="1" hidden="1" x14ac:dyDescent="0.25">
      <c r="A17" s="2318"/>
      <c r="B17" s="2319">
        <v>963</v>
      </c>
      <c r="C17" s="2320" t="s">
        <v>798</v>
      </c>
      <c r="D17" s="2321"/>
      <c r="E17" s="2322"/>
      <c r="F17" s="2323">
        <f>SUM(F19:F20)</f>
        <v>24.8</v>
      </c>
      <c r="G17" s="2323"/>
      <c r="H17" s="2321"/>
      <c r="I17" s="2323"/>
      <c r="J17" s="2323">
        <f>SUM(J19:J20)</f>
        <v>24.8</v>
      </c>
      <c r="K17" s="2323"/>
      <c r="L17" s="2321"/>
      <c r="M17" s="2323"/>
      <c r="N17" s="2323">
        <f>SUM(N19:N20)</f>
        <v>24.8</v>
      </c>
      <c r="O17" s="2324"/>
      <c r="P17" s="2323"/>
      <c r="Q17" s="2323"/>
      <c r="R17" s="2323">
        <f>SUM(R18:R22)</f>
        <v>19</v>
      </c>
      <c r="S17" s="2323">
        <f t="shared" si="2"/>
        <v>19</v>
      </c>
      <c r="T17" s="2323"/>
      <c r="U17" s="2323">
        <f>SUM(U18:U22)</f>
        <v>0</v>
      </c>
      <c r="V17" s="2323">
        <f t="shared" si="0"/>
        <v>-5.8</v>
      </c>
      <c r="W17" s="2323">
        <f t="shared" si="1"/>
        <v>76.599999999999994</v>
      </c>
      <c r="X17" s="2323">
        <f>SUM(X18:X21)</f>
        <v>24</v>
      </c>
      <c r="Y17" s="2323">
        <f>SUM(Y18:Y21)</f>
        <v>24</v>
      </c>
      <c r="Z17" s="2325"/>
      <c r="AA17" s="2296" t="s">
        <v>1665</v>
      </c>
    </row>
    <row r="18" spans="1:27" s="2326" customFormat="1" ht="30" hidden="1" x14ac:dyDescent="0.25">
      <c r="A18" s="2318"/>
      <c r="B18" s="2319"/>
      <c r="C18" s="2335" t="s">
        <v>2062</v>
      </c>
      <c r="D18" s="2329"/>
      <c r="E18" s="2330"/>
      <c r="F18" s="2331"/>
      <c r="G18" s="2331"/>
      <c r="H18" s="2329"/>
      <c r="I18" s="2331"/>
      <c r="J18" s="2331"/>
      <c r="K18" s="2331"/>
      <c r="L18" s="2329"/>
      <c r="M18" s="2331"/>
      <c r="N18" s="2331"/>
      <c r="O18" s="2332"/>
      <c r="P18" s="2331">
        <v>150</v>
      </c>
      <c r="Q18" s="2331">
        <v>100</v>
      </c>
      <c r="R18" s="2331">
        <f>(P18*Q18)/1000</f>
        <v>15</v>
      </c>
      <c r="S18" s="2331">
        <f t="shared" si="2"/>
        <v>15</v>
      </c>
      <c r="T18" s="2331"/>
      <c r="U18" s="2323"/>
      <c r="V18" s="2336">
        <f t="shared" si="0"/>
        <v>15</v>
      </c>
      <c r="W18" s="2336">
        <f t="shared" si="1"/>
        <v>0</v>
      </c>
      <c r="X18" s="2331">
        <v>15</v>
      </c>
      <c r="Y18" s="2331">
        <v>15</v>
      </c>
      <c r="Z18" s="2337" t="s">
        <v>2063</v>
      </c>
      <c r="AA18" s="2296" t="s">
        <v>1665</v>
      </c>
    </row>
    <row r="19" spans="1:27" s="2290" customFormat="1" ht="45" hidden="1" x14ac:dyDescent="0.25">
      <c r="A19" s="2327"/>
      <c r="B19" s="2325"/>
      <c r="C19" s="2335" t="s">
        <v>2064</v>
      </c>
      <c r="D19" s="2329">
        <v>33</v>
      </c>
      <c r="E19" s="2330">
        <v>200</v>
      </c>
      <c r="F19" s="2331">
        <f>D19*E19/1000</f>
        <v>6.6</v>
      </c>
      <c r="G19" s="2331"/>
      <c r="H19" s="2329">
        <v>33</v>
      </c>
      <c r="I19" s="2331">
        <v>200</v>
      </c>
      <c r="J19" s="2331">
        <f>H19*I19/1000</f>
        <v>6.6</v>
      </c>
      <c r="K19" s="2331"/>
      <c r="L19" s="2329">
        <v>33</v>
      </c>
      <c r="M19" s="2331">
        <v>200</v>
      </c>
      <c r="N19" s="2331">
        <f>L19*M19/1000</f>
        <v>6.6</v>
      </c>
      <c r="O19" s="2332"/>
      <c r="P19" s="2331"/>
      <c r="Q19" s="2331"/>
      <c r="R19" s="2331"/>
      <c r="S19" s="2331">
        <f t="shared" si="2"/>
        <v>0</v>
      </c>
      <c r="T19" s="2331"/>
      <c r="U19" s="2331"/>
      <c r="V19" s="2333">
        <f t="shared" si="0"/>
        <v>-6.6</v>
      </c>
      <c r="W19" s="2333">
        <f t="shared" si="1"/>
        <v>0</v>
      </c>
      <c r="X19" s="2331">
        <v>8</v>
      </c>
      <c r="Y19" s="2331">
        <v>8</v>
      </c>
      <c r="Z19" s="2337" t="s">
        <v>2065</v>
      </c>
      <c r="AA19" s="2296" t="s">
        <v>1665</v>
      </c>
    </row>
    <row r="20" spans="1:27" s="2290" customFormat="1" hidden="1" x14ac:dyDescent="0.25">
      <c r="A20" s="2327"/>
      <c r="B20" s="2325"/>
      <c r="C20" s="2335" t="s">
        <v>2066</v>
      </c>
      <c r="D20" s="2329">
        <v>91</v>
      </c>
      <c r="E20" s="2330">
        <v>200</v>
      </c>
      <c r="F20" s="2331">
        <v>18.2</v>
      </c>
      <c r="G20" s="2331"/>
      <c r="H20" s="2329">
        <v>91</v>
      </c>
      <c r="I20" s="2331">
        <v>200</v>
      </c>
      <c r="J20" s="2331">
        <v>18.2</v>
      </c>
      <c r="K20" s="2331"/>
      <c r="L20" s="2329">
        <v>91</v>
      </c>
      <c r="M20" s="2331">
        <v>200</v>
      </c>
      <c r="N20" s="2331">
        <v>18.2</v>
      </c>
      <c r="O20" s="2332"/>
      <c r="P20" s="2331">
        <v>40</v>
      </c>
      <c r="Q20" s="2331">
        <v>25</v>
      </c>
      <c r="R20" s="2331">
        <f t="shared" ref="R20:R28" si="3">P20*Q20/1000</f>
        <v>1</v>
      </c>
      <c r="S20" s="2331">
        <f t="shared" si="2"/>
        <v>1</v>
      </c>
      <c r="T20" s="2331"/>
      <c r="U20" s="2331"/>
      <c r="V20" s="2333">
        <f t="shared" si="0"/>
        <v>-17.2</v>
      </c>
      <c r="W20" s="2333">
        <f t="shared" si="1"/>
        <v>5.5</v>
      </c>
      <c r="X20" s="2331">
        <v>1</v>
      </c>
      <c r="Y20" s="2331">
        <v>1</v>
      </c>
      <c r="Z20" s="2337"/>
      <c r="AA20" s="2296" t="s">
        <v>1665</v>
      </c>
    </row>
    <row r="21" spans="1:27" s="2290" customFormat="1" ht="31.5" hidden="1" x14ac:dyDescent="0.25">
      <c r="A21" s="2327"/>
      <c r="B21" s="2319"/>
      <c r="C21" s="2338" t="s">
        <v>2067</v>
      </c>
      <c r="D21" s="2329"/>
      <c r="E21" s="2330"/>
      <c r="F21" s="2331"/>
      <c r="G21" s="2331"/>
      <c r="H21" s="2329"/>
      <c r="I21" s="2331"/>
      <c r="J21" s="2331"/>
      <c r="K21" s="2331"/>
      <c r="L21" s="2329"/>
      <c r="M21" s="2331"/>
      <c r="N21" s="2331"/>
      <c r="O21" s="2332"/>
      <c r="P21" s="2331">
        <v>0</v>
      </c>
      <c r="Q21" s="2331">
        <v>0</v>
      </c>
      <c r="R21" s="2331">
        <f t="shared" si="3"/>
        <v>0</v>
      </c>
      <c r="S21" s="2331">
        <f t="shared" si="2"/>
        <v>0</v>
      </c>
      <c r="T21" s="2331"/>
      <c r="U21" s="2331"/>
      <c r="V21" s="2333">
        <f t="shared" si="0"/>
        <v>0</v>
      </c>
      <c r="W21" s="2333">
        <f t="shared" si="1"/>
        <v>0</v>
      </c>
      <c r="X21" s="2331">
        <v>0</v>
      </c>
      <c r="Y21" s="2331">
        <v>0</v>
      </c>
      <c r="Z21" s="2337"/>
      <c r="AA21" s="2296" t="s">
        <v>1665</v>
      </c>
    </row>
    <row r="22" spans="1:27" s="2290" customFormat="1" ht="45" hidden="1" x14ac:dyDescent="0.25">
      <c r="A22" s="2327"/>
      <c r="B22" s="2325"/>
      <c r="C22" s="2338" t="s">
        <v>2068</v>
      </c>
      <c r="D22" s="2329"/>
      <c r="E22" s="2330"/>
      <c r="F22" s="2331"/>
      <c r="G22" s="2331"/>
      <c r="H22" s="2329"/>
      <c r="I22" s="2331"/>
      <c r="J22" s="2331"/>
      <c r="K22" s="2331"/>
      <c r="L22" s="2329"/>
      <c r="M22" s="2331"/>
      <c r="N22" s="2331"/>
      <c r="O22" s="2332"/>
      <c r="P22" s="2331">
        <v>150</v>
      </c>
      <c r="Q22" s="2331">
        <v>20</v>
      </c>
      <c r="R22" s="2331">
        <f t="shared" si="3"/>
        <v>3</v>
      </c>
      <c r="S22" s="2331">
        <f t="shared" si="2"/>
        <v>3</v>
      </c>
      <c r="T22" s="2331"/>
      <c r="U22" s="2331"/>
      <c r="V22" s="2333">
        <f t="shared" si="0"/>
        <v>3</v>
      </c>
      <c r="W22" s="2333">
        <f t="shared" si="1"/>
        <v>0</v>
      </c>
      <c r="X22" s="2331">
        <v>3</v>
      </c>
      <c r="Y22" s="2331">
        <v>3</v>
      </c>
      <c r="Z22" s="2337" t="s">
        <v>2069</v>
      </c>
      <c r="AA22" s="2296" t="s">
        <v>1665</v>
      </c>
    </row>
    <row r="23" spans="1:27" s="2290" customFormat="1" ht="31.5" hidden="1" x14ac:dyDescent="0.25">
      <c r="A23" s="2327"/>
      <c r="B23" s="2319">
        <v>963</v>
      </c>
      <c r="C23" s="2339" t="s">
        <v>1927</v>
      </c>
      <c r="D23" s="2329"/>
      <c r="E23" s="2330"/>
      <c r="F23" s="2331"/>
      <c r="G23" s="2331"/>
      <c r="H23" s="2329"/>
      <c r="I23" s="2331"/>
      <c r="J23" s="2331"/>
      <c r="K23" s="2331"/>
      <c r="L23" s="2329"/>
      <c r="M23" s="2331"/>
      <c r="N23" s="2331"/>
      <c r="O23" s="2332"/>
      <c r="P23" s="2323"/>
      <c r="Q23" s="2323"/>
      <c r="R23" s="2323"/>
      <c r="S23" s="2323">
        <f t="shared" si="2"/>
        <v>0</v>
      </c>
      <c r="T23" s="2323"/>
      <c r="U23" s="2323">
        <f>U24</f>
        <v>0</v>
      </c>
      <c r="V23" s="2323">
        <f t="shared" si="0"/>
        <v>0</v>
      </c>
      <c r="W23" s="2323">
        <f t="shared" si="1"/>
        <v>0</v>
      </c>
      <c r="X23" s="2323">
        <f>R23</f>
        <v>0</v>
      </c>
      <c r="Y23" s="2323">
        <f>X23</f>
        <v>0</v>
      </c>
      <c r="Z23" s="2337"/>
      <c r="AA23" s="2296" t="s">
        <v>1665</v>
      </c>
    </row>
    <row r="24" spans="1:27" s="2326" customFormat="1" hidden="1" x14ac:dyDescent="0.25">
      <c r="A24" s="2318"/>
      <c r="B24" s="2319">
        <v>981</v>
      </c>
      <c r="C24" s="2340" t="s">
        <v>1226</v>
      </c>
      <c r="D24" s="2321"/>
      <c r="E24" s="2322"/>
      <c r="F24" s="2323">
        <f>F25</f>
        <v>15</v>
      </c>
      <c r="G24" s="2323"/>
      <c r="H24" s="2321"/>
      <c r="I24" s="2323"/>
      <c r="J24" s="2323">
        <f>J25</f>
        <v>7.5</v>
      </c>
      <c r="K24" s="2323"/>
      <c r="L24" s="2321"/>
      <c r="M24" s="2323"/>
      <c r="N24" s="2323">
        <f>N25</f>
        <v>7.5</v>
      </c>
      <c r="O24" s="2324"/>
      <c r="P24" s="2323">
        <v>55</v>
      </c>
      <c r="Q24" s="2323">
        <v>150</v>
      </c>
      <c r="R24" s="2323">
        <f>P24*Q24/1000</f>
        <v>8.3000000000000007</v>
      </c>
      <c r="S24" s="2323">
        <f t="shared" si="2"/>
        <v>8.3000000000000007</v>
      </c>
      <c r="T24" s="2323"/>
      <c r="U24" s="2331"/>
      <c r="V24" s="2333">
        <f t="shared" si="0"/>
        <v>0.8</v>
      </c>
      <c r="W24" s="2333">
        <f t="shared" si="1"/>
        <v>110.7</v>
      </c>
      <c r="X24" s="2331">
        <f t="shared" ref="X24:X30" si="4">R24</f>
        <v>8.3000000000000007</v>
      </c>
      <c r="Y24" s="2331">
        <f t="shared" ref="Y24:Y30" si="5">X24</f>
        <v>8.3000000000000007</v>
      </c>
      <c r="Z24" s="2341" t="s">
        <v>2070</v>
      </c>
      <c r="AA24" s="2296" t="s">
        <v>1665</v>
      </c>
    </row>
    <row r="25" spans="1:27" s="2290" customFormat="1" hidden="1" x14ac:dyDescent="0.25">
      <c r="A25" s="2327"/>
      <c r="B25" s="2325"/>
      <c r="C25" s="2335" t="s">
        <v>2071</v>
      </c>
      <c r="D25" s="2329">
        <v>150</v>
      </c>
      <c r="E25" s="2330">
        <v>100</v>
      </c>
      <c r="F25" s="2331">
        <f>D25*E25/1000</f>
        <v>15</v>
      </c>
      <c r="G25" s="2331"/>
      <c r="H25" s="2329">
        <v>150</v>
      </c>
      <c r="I25" s="2331">
        <v>50</v>
      </c>
      <c r="J25" s="2331">
        <f>H25*I25/1000</f>
        <v>7.5</v>
      </c>
      <c r="K25" s="2331"/>
      <c r="L25" s="2329">
        <v>150</v>
      </c>
      <c r="M25" s="2331">
        <v>50</v>
      </c>
      <c r="N25" s="2331">
        <f>L25*M25/1000</f>
        <v>7.5</v>
      </c>
      <c r="O25" s="2332"/>
      <c r="P25" s="2342"/>
      <c r="Q25" s="2342"/>
      <c r="R25" s="2342"/>
      <c r="S25" s="2342">
        <f t="shared" si="2"/>
        <v>0</v>
      </c>
      <c r="T25" s="2342"/>
      <c r="U25" s="2323">
        <f>U26+U27+U28</f>
        <v>0</v>
      </c>
      <c r="V25" s="2323">
        <f t="shared" si="0"/>
        <v>-7.5</v>
      </c>
      <c r="W25" s="2323">
        <f t="shared" si="1"/>
        <v>0</v>
      </c>
      <c r="X25" s="2323">
        <f t="shared" si="4"/>
        <v>0</v>
      </c>
      <c r="Y25" s="2323">
        <f t="shared" si="5"/>
        <v>0</v>
      </c>
      <c r="Z25" s="2343"/>
      <c r="AA25" s="2296" t="s">
        <v>1665</v>
      </c>
    </row>
    <row r="26" spans="1:27" s="2326" customFormat="1" ht="75" hidden="1" x14ac:dyDescent="0.25">
      <c r="A26" s="2318"/>
      <c r="B26" s="2319">
        <v>981</v>
      </c>
      <c r="C26" s="2340" t="s">
        <v>2072</v>
      </c>
      <c r="D26" s="2321"/>
      <c r="E26" s="2322"/>
      <c r="F26" s="2323">
        <f>SUM(F27:F29)</f>
        <v>5.3</v>
      </c>
      <c r="G26" s="2323"/>
      <c r="H26" s="2321"/>
      <c r="I26" s="2323"/>
      <c r="J26" s="2323">
        <f>SUM(J27:J29)</f>
        <v>1.1000000000000001</v>
      </c>
      <c r="K26" s="2323"/>
      <c r="L26" s="2321"/>
      <c r="M26" s="2323"/>
      <c r="N26" s="2323">
        <f>SUM(N27:N29)</f>
        <v>1.1000000000000001</v>
      </c>
      <c r="O26" s="2324"/>
      <c r="P26" s="2323"/>
      <c r="Q26" s="2323"/>
      <c r="R26" s="2323">
        <f>R27+R28</f>
        <v>2.6</v>
      </c>
      <c r="S26" s="2323">
        <f t="shared" si="2"/>
        <v>2.6</v>
      </c>
      <c r="T26" s="2323"/>
      <c r="U26" s="2331"/>
      <c r="V26" s="2333">
        <f t="shared" si="0"/>
        <v>1.5</v>
      </c>
      <c r="W26" s="2333">
        <f t="shared" si="1"/>
        <v>236.4</v>
      </c>
      <c r="X26" s="2323">
        <f t="shared" si="4"/>
        <v>2.6</v>
      </c>
      <c r="Y26" s="2323">
        <f t="shared" si="5"/>
        <v>2.6</v>
      </c>
      <c r="Z26" s="2344" t="s">
        <v>2073</v>
      </c>
      <c r="AA26" s="2296" t="s">
        <v>1665</v>
      </c>
    </row>
    <row r="27" spans="1:27" s="2290" customFormat="1" hidden="1" x14ac:dyDescent="0.25">
      <c r="A27" s="2327"/>
      <c r="B27" s="2325"/>
      <c r="C27" s="2328" t="s">
        <v>1612</v>
      </c>
      <c r="D27" s="2329">
        <v>21</v>
      </c>
      <c r="E27" s="2330">
        <v>100</v>
      </c>
      <c r="F27" s="2331">
        <f>D27*E27/1000</f>
        <v>2.1</v>
      </c>
      <c r="G27" s="2331"/>
      <c r="H27" s="2329">
        <v>11</v>
      </c>
      <c r="I27" s="2331">
        <v>100</v>
      </c>
      <c r="J27" s="2331">
        <f>H27*I27/1000</f>
        <v>1.1000000000000001</v>
      </c>
      <c r="K27" s="2331"/>
      <c r="L27" s="2329">
        <v>11</v>
      </c>
      <c r="M27" s="2331">
        <v>100</v>
      </c>
      <c r="N27" s="2331">
        <f>L27*M27/1000</f>
        <v>1.1000000000000001</v>
      </c>
      <c r="O27" s="2332"/>
      <c r="P27" s="2331">
        <v>26</v>
      </c>
      <c r="Q27" s="2331">
        <v>100</v>
      </c>
      <c r="R27" s="2331">
        <f>P27*Q27/1000</f>
        <v>2.6</v>
      </c>
      <c r="S27" s="2331">
        <f t="shared" si="2"/>
        <v>2.6</v>
      </c>
      <c r="T27" s="2331"/>
      <c r="U27" s="2331"/>
      <c r="V27" s="2333">
        <f t="shared" si="0"/>
        <v>1.5</v>
      </c>
      <c r="W27" s="2333">
        <f t="shared" si="1"/>
        <v>236.4</v>
      </c>
      <c r="X27" s="2323">
        <f t="shared" si="4"/>
        <v>2.6</v>
      </c>
      <c r="Y27" s="2323">
        <f t="shared" si="5"/>
        <v>2.6</v>
      </c>
      <c r="Z27" s="2325"/>
      <c r="AA27" s="2296" t="s">
        <v>1665</v>
      </c>
    </row>
    <row r="28" spans="1:27" s="2290" customFormat="1" hidden="1" x14ac:dyDescent="0.25">
      <c r="A28" s="2327"/>
      <c r="B28" s="2325"/>
      <c r="C28" s="2335" t="s">
        <v>1412</v>
      </c>
      <c r="D28" s="2329">
        <v>1</v>
      </c>
      <c r="E28" s="2330">
        <v>2000</v>
      </c>
      <c r="F28" s="2331">
        <f>D28*E28/1000</f>
        <v>2</v>
      </c>
      <c r="G28" s="2331"/>
      <c r="H28" s="2329"/>
      <c r="I28" s="2331"/>
      <c r="J28" s="2331"/>
      <c r="K28" s="2331"/>
      <c r="L28" s="2329"/>
      <c r="M28" s="2331"/>
      <c r="N28" s="2331"/>
      <c r="O28" s="2332"/>
      <c r="P28" s="2331"/>
      <c r="Q28" s="2331"/>
      <c r="R28" s="2331">
        <f t="shared" si="3"/>
        <v>0</v>
      </c>
      <c r="S28" s="2331">
        <f t="shared" si="2"/>
        <v>0</v>
      </c>
      <c r="T28" s="2331"/>
      <c r="U28" s="2331"/>
      <c r="V28" s="2333">
        <f t="shared" si="0"/>
        <v>0</v>
      </c>
      <c r="W28" s="2333">
        <f t="shared" si="1"/>
        <v>0</v>
      </c>
      <c r="X28" s="2323">
        <f t="shared" si="4"/>
        <v>0</v>
      </c>
      <c r="Y28" s="2323">
        <f t="shared" si="5"/>
        <v>0</v>
      </c>
      <c r="Z28" s="2345"/>
      <c r="AA28" s="2296" t="s">
        <v>1665</v>
      </c>
    </row>
    <row r="29" spans="1:27" s="2290" customFormat="1" ht="47.25" hidden="1" x14ac:dyDescent="0.25">
      <c r="A29" s="2327"/>
      <c r="B29" s="2325"/>
      <c r="C29" s="2335" t="s">
        <v>2074</v>
      </c>
      <c r="D29" s="2329">
        <v>4</v>
      </c>
      <c r="E29" s="2330">
        <v>300</v>
      </c>
      <c r="F29" s="2331">
        <f>D29*E29/1000</f>
        <v>1.2</v>
      </c>
      <c r="G29" s="2331"/>
      <c r="H29" s="2329"/>
      <c r="I29" s="2331"/>
      <c r="J29" s="2331"/>
      <c r="K29" s="2331"/>
      <c r="L29" s="2329"/>
      <c r="M29" s="2331"/>
      <c r="N29" s="2331"/>
      <c r="O29" s="2332"/>
      <c r="P29" s="2331"/>
      <c r="Q29" s="2331"/>
      <c r="R29" s="2342"/>
      <c r="S29" s="2342">
        <f t="shared" si="2"/>
        <v>0</v>
      </c>
      <c r="T29" s="2342"/>
      <c r="U29" s="2331"/>
      <c r="V29" s="2333">
        <f t="shared" si="0"/>
        <v>0</v>
      </c>
      <c r="W29" s="2333">
        <f t="shared" si="1"/>
        <v>0</v>
      </c>
      <c r="X29" s="2323">
        <f t="shared" si="4"/>
        <v>0</v>
      </c>
      <c r="Y29" s="2323">
        <f t="shared" si="5"/>
        <v>0</v>
      </c>
      <c r="Z29" s="2346" t="s">
        <v>2075</v>
      </c>
      <c r="AA29" s="2296" t="s">
        <v>1665</v>
      </c>
    </row>
    <row r="30" spans="1:27" s="2290" customFormat="1" ht="31.5" hidden="1" x14ac:dyDescent="0.25">
      <c r="A30" s="2327"/>
      <c r="B30" s="2319">
        <v>981</v>
      </c>
      <c r="C30" s="2339" t="s">
        <v>2076</v>
      </c>
      <c r="D30" s="2329"/>
      <c r="E30" s="2330"/>
      <c r="F30" s="2331"/>
      <c r="G30" s="2331"/>
      <c r="H30" s="2329"/>
      <c r="I30" s="2331"/>
      <c r="J30" s="2331"/>
      <c r="K30" s="2331"/>
      <c r="L30" s="2329"/>
      <c r="M30" s="2331"/>
      <c r="N30" s="2331"/>
      <c r="O30" s="2332"/>
      <c r="P30" s="2331"/>
      <c r="Q30" s="2331"/>
      <c r="R30" s="2323">
        <v>4</v>
      </c>
      <c r="S30" s="2323">
        <f t="shared" si="2"/>
        <v>4</v>
      </c>
      <c r="T30" s="2323"/>
      <c r="U30" s="2331"/>
      <c r="V30" s="2333">
        <f t="shared" si="0"/>
        <v>4</v>
      </c>
      <c r="W30" s="2333">
        <f t="shared" si="1"/>
        <v>0</v>
      </c>
      <c r="X30" s="2323">
        <f t="shared" si="4"/>
        <v>4</v>
      </c>
      <c r="Y30" s="2323">
        <f t="shared" si="5"/>
        <v>4</v>
      </c>
      <c r="Z30" s="2345"/>
      <c r="AA30" s="2296" t="s">
        <v>1665</v>
      </c>
    </row>
    <row r="31" spans="1:27" s="2350" customFormat="1" ht="47.25" hidden="1" x14ac:dyDescent="0.2">
      <c r="A31" s="2311">
        <v>3</v>
      </c>
      <c r="B31" s="2347"/>
      <c r="C31" s="2312" t="s">
        <v>2077</v>
      </c>
      <c r="D31" s="2311"/>
      <c r="E31" s="2348"/>
      <c r="F31" s="2349">
        <f>F32+F38+F41+F44+F45</f>
        <v>105.6</v>
      </c>
      <c r="G31" s="2349"/>
      <c r="H31" s="2349"/>
      <c r="I31" s="2349"/>
      <c r="J31" s="2349"/>
      <c r="K31" s="2349"/>
      <c r="L31" s="2349"/>
      <c r="M31" s="2349"/>
      <c r="N31" s="2349"/>
      <c r="O31" s="2349"/>
      <c r="P31" s="2349"/>
      <c r="Q31" s="2349"/>
      <c r="R31" s="2349">
        <f>R32+R38+R41+R44+R45</f>
        <v>104.1</v>
      </c>
      <c r="S31" s="2349">
        <f t="shared" si="2"/>
        <v>104.1</v>
      </c>
      <c r="T31" s="2349"/>
      <c r="U31" s="2349"/>
      <c r="V31" s="2349">
        <f t="shared" si="0"/>
        <v>104.1</v>
      </c>
      <c r="W31" s="2349">
        <f t="shared" si="1"/>
        <v>0</v>
      </c>
      <c r="X31" s="2349">
        <f>X32+X38+X41+X44+X45</f>
        <v>0</v>
      </c>
      <c r="Y31" s="2349">
        <f>Y32+Y38+Y41+Y44+Y45</f>
        <v>104.1</v>
      </c>
      <c r="Z31" s="2316"/>
      <c r="AA31" s="2296" t="s">
        <v>1665</v>
      </c>
    </row>
    <row r="32" spans="1:27" s="2326" customFormat="1" ht="31.5" x14ac:dyDescent="0.25">
      <c r="A32" s="2318"/>
      <c r="B32" s="2319">
        <v>955</v>
      </c>
      <c r="C32" s="2320" t="s">
        <v>1401</v>
      </c>
      <c r="D32" s="2329"/>
      <c r="E32" s="2351"/>
      <c r="F32" s="2336">
        <f>SUM(F33:F37)</f>
        <v>18.600000000000001</v>
      </c>
      <c r="G32" s="2336"/>
      <c r="H32" s="2336"/>
      <c r="I32" s="2336"/>
      <c r="J32" s="2336"/>
      <c r="K32" s="2336"/>
      <c r="L32" s="2336"/>
      <c r="M32" s="2336"/>
      <c r="N32" s="2336"/>
      <c r="O32" s="2352"/>
      <c r="P32" s="2336"/>
      <c r="Q32" s="2336"/>
      <c r="R32" s="2336">
        <f>SUM(R33:R37)</f>
        <v>16</v>
      </c>
      <c r="S32" s="2336">
        <f t="shared" si="2"/>
        <v>16</v>
      </c>
      <c r="T32" s="2336"/>
      <c r="U32" s="2336"/>
      <c r="V32" s="2336">
        <f t="shared" si="0"/>
        <v>16</v>
      </c>
      <c r="W32" s="2336">
        <f t="shared" si="1"/>
        <v>0</v>
      </c>
      <c r="X32" s="2336"/>
      <c r="Y32" s="2336">
        <v>16</v>
      </c>
      <c r="Z32" s="2353"/>
      <c r="AA32" s="2296" t="s">
        <v>1665</v>
      </c>
    </row>
    <row r="33" spans="1:27" s="2290" customFormat="1" hidden="1" x14ac:dyDescent="0.25">
      <c r="A33" s="2327"/>
      <c r="B33" s="2325"/>
      <c r="C33" s="2328" t="s">
        <v>1519</v>
      </c>
      <c r="D33" s="2329">
        <v>1</v>
      </c>
      <c r="E33" s="2354">
        <v>3450</v>
      </c>
      <c r="F33" s="2333">
        <f>D33*E33/1000</f>
        <v>3.5</v>
      </c>
      <c r="G33" s="2333"/>
      <c r="H33" s="2333"/>
      <c r="I33" s="2333"/>
      <c r="J33" s="2333"/>
      <c r="K33" s="2333"/>
      <c r="L33" s="2333"/>
      <c r="M33" s="2333"/>
      <c r="N33" s="2333"/>
      <c r="O33" s="2355"/>
      <c r="P33" s="2333">
        <v>1</v>
      </c>
      <c r="Q33" s="2333">
        <v>3450</v>
      </c>
      <c r="R33" s="2333">
        <f>Q33*P33/1000</f>
        <v>3.5</v>
      </c>
      <c r="S33" s="2333">
        <f t="shared" si="2"/>
        <v>3.5</v>
      </c>
      <c r="T33" s="2333"/>
      <c r="U33" s="2333"/>
      <c r="V33" s="2333">
        <f t="shared" si="0"/>
        <v>3.5</v>
      </c>
      <c r="W33" s="2333">
        <f t="shared" si="1"/>
        <v>0</v>
      </c>
      <c r="X33" s="2333"/>
      <c r="Y33" s="2356">
        <v>3.45</v>
      </c>
      <c r="Z33" s="2353"/>
      <c r="AA33" s="2296" t="s">
        <v>1665</v>
      </c>
    </row>
    <row r="34" spans="1:27" s="2290" customFormat="1" hidden="1" x14ac:dyDescent="0.25">
      <c r="A34" s="2327"/>
      <c r="B34" s="2325"/>
      <c r="C34" s="2328" t="s">
        <v>1686</v>
      </c>
      <c r="D34" s="2329">
        <v>2</v>
      </c>
      <c r="E34" s="2354">
        <v>2300</v>
      </c>
      <c r="F34" s="2333">
        <f>D34*E34/1000</f>
        <v>4.5999999999999996</v>
      </c>
      <c r="G34" s="2333"/>
      <c r="H34" s="2333"/>
      <c r="I34" s="2333"/>
      <c r="J34" s="2333"/>
      <c r="K34" s="2333"/>
      <c r="L34" s="2333"/>
      <c r="M34" s="2333"/>
      <c r="N34" s="2333"/>
      <c r="O34" s="2355"/>
      <c r="P34" s="2333">
        <v>2</v>
      </c>
      <c r="Q34" s="2333">
        <v>2300</v>
      </c>
      <c r="R34" s="2333">
        <f>Q34*P34/1000</f>
        <v>4.5999999999999996</v>
      </c>
      <c r="S34" s="2333">
        <f t="shared" si="2"/>
        <v>4.5999999999999996</v>
      </c>
      <c r="T34" s="2333"/>
      <c r="U34" s="2333"/>
      <c r="V34" s="2333">
        <f t="shared" si="0"/>
        <v>4.5999999999999996</v>
      </c>
      <c r="W34" s="2333">
        <f t="shared" si="1"/>
        <v>0</v>
      </c>
      <c r="X34" s="2333"/>
      <c r="Y34" s="2333">
        <v>4.5999999999999996</v>
      </c>
      <c r="Z34" s="2353"/>
      <c r="AA34" s="2296" t="s">
        <v>1665</v>
      </c>
    </row>
    <row r="35" spans="1:27" s="2290" customFormat="1" ht="31.5" hidden="1" x14ac:dyDescent="0.25">
      <c r="A35" s="2327"/>
      <c r="B35" s="2325"/>
      <c r="C35" s="2328" t="s">
        <v>2078</v>
      </c>
      <c r="D35" s="2329">
        <v>1</v>
      </c>
      <c r="E35" s="2354">
        <v>2000</v>
      </c>
      <c r="F35" s="2333">
        <f>D35*E35/1000</f>
        <v>2</v>
      </c>
      <c r="G35" s="2333"/>
      <c r="H35" s="2333"/>
      <c r="I35" s="2333"/>
      <c r="J35" s="2333"/>
      <c r="K35" s="2333"/>
      <c r="L35" s="2333"/>
      <c r="M35" s="2333"/>
      <c r="N35" s="2333"/>
      <c r="O35" s="2355"/>
      <c r="P35" s="2333">
        <v>0</v>
      </c>
      <c r="Q35" s="2333">
        <v>0</v>
      </c>
      <c r="R35" s="2333">
        <f>Q35*P35/1000</f>
        <v>0</v>
      </c>
      <c r="S35" s="2333">
        <f t="shared" si="2"/>
        <v>0</v>
      </c>
      <c r="T35" s="2333"/>
      <c r="U35" s="2333"/>
      <c r="V35" s="2333">
        <f t="shared" si="0"/>
        <v>0</v>
      </c>
      <c r="W35" s="2333">
        <f t="shared" si="1"/>
        <v>0</v>
      </c>
      <c r="X35" s="2333"/>
      <c r="Y35" s="2333">
        <v>0</v>
      </c>
      <c r="Z35" s="2353"/>
      <c r="AA35" s="2296" t="s">
        <v>1665</v>
      </c>
    </row>
    <row r="36" spans="1:27" s="2290" customFormat="1" ht="63" hidden="1" x14ac:dyDescent="0.25">
      <c r="A36" s="2327"/>
      <c r="B36" s="2325"/>
      <c r="C36" s="2328" t="s">
        <v>1930</v>
      </c>
      <c r="D36" s="2329">
        <v>1</v>
      </c>
      <c r="E36" s="2354">
        <v>4500</v>
      </c>
      <c r="F36" s="2333">
        <f>D36*E36/1000</f>
        <v>4.5</v>
      </c>
      <c r="G36" s="2333"/>
      <c r="H36" s="2333"/>
      <c r="I36" s="2333"/>
      <c r="J36" s="2333"/>
      <c r="K36" s="2333"/>
      <c r="L36" s="2333"/>
      <c r="M36" s="2333"/>
      <c r="N36" s="2333"/>
      <c r="O36" s="2355"/>
      <c r="P36" s="2333">
        <v>1</v>
      </c>
      <c r="Q36" s="2333">
        <v>4500</v>
      </c>
      <c r="R36" s="2333">
        <f>Q36*P36/1000</f>
        <v>4.5</v>
      </c>
      <c r="S36" s="2333">
        <f t="shared" si="2"/>
        <v>4.5</v>
      </c>
      <c r="T36" s="2333"/>
      <c r="U36" s="2333"/>
      <c r="V36" s="2333">
        <f t="shared" si="0"/>
        <v>4.5</v>
      </c>
      <c r="W36" s="2333">
        <f t="shared" si="1"/>
        <v>0</v>
      </c>
      <c r="X36" s="2333"/>
      <c r="Y36" s="2333">
        <v>4.5</v>
      </c>
      <c r="Z36" s="2353" t="s">
        <v>2079</v>
      </c>
      <c r="AA36" s="2296" t="s">
        <v>1665</v>
      </c>
    </row>
    <row r="37" spans="1:27" s="2290" customFormat="1" hidden="1" x14ac:dyDescent="0.25">
      <c r="A37" s="2327"/>
      <c r="B37" s="2325"/>
      <c r="C37" s="2328" t="s">
        <v>1234</v>
      </c>
      <c r="D37" s="2329"/>
      <c r="E37" s="2354"/>
      <c r="F37" s="2333">
        <f>SUM(F33:F36)*0.271</f>
        <v>4</v>
      </c>
      <c r="G37" s="2333"/>
      <c r="H37" s="2333"/>
      <c r="I37" s="2333"/>
      <c r="J37" s="2333"/>
      <c r="K37" s="2333"/>
      <c r="L37" s="2333"/>
      <c r="M37" s="2333"/>
      <c r="N37" s="2333"/>
      <c r="O37" s="2355"/>
      <c r="P37" s="2333"/>
      <c r="Q37" s="2333"/>
      <c r="R37" s="2333">
        <f>(R33+R34+R35+R36)*0.271</f>
        <v>3.4</v>
      </c>
      <c r="S37" s="2333">
        <f t="shared" si="2"/>
        <v>3.4</v>
      </c>
      <c r="T37" s="2333"/>
      <c r="U37" s="2333"/>
      <c r="V37" s="2333">
        <f t="shared" si="0"/>
        <v>3.4</v>
      </c>
      <c r="W37" s="2333">
        <f t="shared" si="1"/>
        <v>0</v>
      </c>
      <c r="X37" s="2333"/>
      <c r="Y37" s="2333">
        <v>3.4</v>
      </c>
      <c r="Z37" s="2353"/>
      <c r="AA37" s="2296" t="s">
        <v>1665</v>
      </c>
    </row>
    <row r="38" spans="1:27" s="2326" customFormat="1" hidden="1" x14ac:dyDescent="0.25">
      <c r="A38" s="2318"/>
      <c r="B38" s="2319">
        <v>963</v>
      </c>
      <c r="C38" s="2320" t="s">
        <v>798</v>
      </c>
      <c r="D38" s="2329"/>
      <c r="E38" s="2351"/>
      <c r="F38" s="2336">
        <f>SUM(F39:F40)</f>
        <v>58</v>
      </c>
      <c r="G38" s="2336"/>
      <c r="H38" s="2336"/>
      <c r="I38" s="2336"/>
      <c r="J38" s="2336"/>
      <c r="K38" s="2336"/>
      <c r="L38" s="2336"/>
      <c r="M38" s="2336"/>
      <c r="N38" s="2336"/>
      <c r="O38" s="2352"/>
      <c r="P38" s="2336"/>
      <c r="Q38" s="2336"/>
      <c r="R38" s="2336">
        <f>SUM(R39:R40)</f>
        <v>66.599999999999994</v>
      </c>
      <c r="S38" s="2336">
        <f t="shared" si="2"/>
        <v>66.599999999999994</v>
      </c>
      <c r="T38" s="2336"/>
      <c r="U38" s="2336"/>
      <c r="V38" s="2336">
        <f t="shared" si="0"/>
        <v>66.599999999999994</v>
      </c>
      <c r="W38" s="2336">
        <f t="shared" si="1"/>
        <v>0</v>
      </c>
      <c r="X38" s="2336"/>
      <c r="Y38" s="2336">
        <f>SUM(Y39:Y40)</f>
        <v>66.599999999999994</v>
      </c>
      <c r="Z38" s="2353"/>
      <c r="AA38" s="2296" t="s">
        <v>1665</v>
      </c>
    </row>
    <row r="39" spans="1:27" s="2290" customFormat="1" ht="47.25" hidden="1" x14ac:dyDescent="0.25">
      <c r="A39" s="2327"/>
      <c r="B39" s="2325"/>
      <c r="C39" s="2328" t="s">
        <v>2080</v>
      </c>
      <c r="D39" s="2329">
        <v>80</v>
      </c>
      <c r="E39" s="2354">
        <v>725</v>
      </c>
      <c r="F39" s="2333">
        <v>58</v>
      </c>
      <c r="G39" s="2333"/>
      <c r="H39" s="2333"/>
      <c r="I39" s="2333"/>
      <c r="J39" s="2333"/>
      <c r="K39" s="2333"/>
      <c r="L39" s="2333"/>
      <c r="M39" s="2333"/>
      <c r="N39" s="2333"/>
      <c r="O39" s="2355"/>
      <c r="P39" s="2333">
        <v>65</v>
      </c>
      <c r="Q39" s="2333">
        <v>1000</v>
      </c>
      <c r="R39" s="2333">
        <f>Q39*P39/1000</f>
        <v>65</v>
      </c>
      <c r="S39" s="2333">
        <f t="shared" si="2"/>
        <v>65</v>
      </c>
      <c r="T39" s="2333"/>
      <c r="U39" s="2333"/>
      <c r="V39" s="2333">
        <f t="shared" si="0"/>
        <v>65</v>
      </c>
      <c r="W39" s="2333">
        <f t="shared" si="1"/>
        <v>0</v>
      </c>
      <c r="X39" s="2333"/>
      <c r="Y39" s="2333">
        <v>65</v>
      </c>
      <c r="Z39" s="2357" t="s">
        <v>2081</v>
      </c>
      <c r="AA39" s="2296" t="s">
        <v>1665</v>
      </c>
    </row>
    <row r="40" spans="1:27" s="2290" customFormat="1" ht="31.5" hidden="1" x14ac:dyDescent="0.25">
      <c r="A40" s="2327"/>
      <c r="B40" s="2325"/>
      <c r="C40" s="2358" t="s">
        <v>2067</v>
      </c>
      <c r="D40" s="2329"/>
      <c r="E40" s="2354"/>
      <c r="F40" s="2333"/>
      <c r="G40" s="2333"/>
      <c r="H40" s="2333"/>
      <c r="I40" s="2333"/>
      <c r="J40" s="2333"/>
      <c r="K40" s="2333"/>
      <c r="L40" s="2333"/>
      <c r="M40" s="2333"/>
      <c r="N40" s="2333"/>
      <c r="O40" s="2355"/>
      <c r="P40" s="2333">
        <v>65</v>
      </c>
      <c r="Q40" s="2333">
        <v>25</v>
      </c>
      <c r="R40" s="2333">
        <f>Q40*P40/1000</f>
        <v>1.6</v>
      </c>
      <c r="S40" s="2333">
        <f t="shared" si="2"/>
        <v>1.6</v>
      </c>
      <c r="T40" s="2333"/>
      <c r="U40" s="2333"/>
      <c r="V40" s="2333">
        <f t="shared" si="0"/>
        <v>1.6</v>
      </c>
      <c r="W40" s="2333">
        <f t="shared" si="1"/>
        <v>0</v>
      </c>
      <c r="X40" s="2333"/>
      <c r="Y40" s="2333">
        <v>1.6</v>
      </c>
      <c r="Z40" s="2359"/>
      <c r="AA40" s="2296" t="s">
        <v>1665</v>
      </c>
    </row>
    <row r="41" spans="1:27" s="2326" customFormat="1" hidden="1" x14ac:dyDescent="0.25">
      <c r="A41" s="2318"/>
      <c r="B41" s="2319">
        <v>981</v>
      </c>
      <c r="C41" s="2320" t="s">
        <v>1226</v>
      </c>
      <c r="D41" s="2329"/>
      <c r="E41" s="2351"/>
      <c r="F41" s="2336">
        <f>F42+F43</f>
        <v>19.2</v>
      </c>
      <c r="G41" s="2336"/>
      <c r="H41" s="2336"/>
      <c r="I41" s="2336"/>
      <c r="J41" s="2336"/>
      <c r="K41" s="2336"/>
      <c r="L41" s="2336"/>
      <c r="M41" s="2336"/>
      <c r="N41" s="2336"/>
      <c r="O41" s="2352"/>
      <c r="P41" s="2336"/>
      <c r="Q41" s="2336"/>
      <c r="R41" s="2336">
        <f>SUM(R42:R43)</f>
        <v>16.5</v>
      </c>
      <c r="S41" s="2336">
        <f t="shared" si="2"/>
        <v>16.5</v>
      </c>
      <c r="T41" s="2336"/>
      <c r="U41" s="2336"/>
      <c r="V41" s="2336">
        <f t="shared" si="0"/>
        <v>16.5</v>
      </c>
      <c r="W41" s="2336">
        <f t="shared" si="1"/>
        <v>0</v>
      </c>
      <c r="X41" s="2336"/>
      <c r="Y41" s="2336">
        <v>16.5</v>
      </c>
      <c r="Z41" s="2353"/>
      <c r="AA41" s="2296" t="s">
        <v>1665</v>
      </c>
    </row>
    <row r="42" spans="1:27" s="2290" customFormat="1" hidden="1" x14ac:dyDescent="0.25">
      <c r="A42" s="2327"/>
      <c r="B42" s="2325"/>
      <c r="C42" s="2328" t="s">
        <v>2082</v>
      </c>
      <c r="D42" s="2329">
        <v>72</v>
      </c>
      <c r="E42" s="2354">
        <v>100</v>
      </c>
      <c r="F42" s="2333">
        <f>D42*E42/1000</f>
        <v>7.2</v>
      </c>
      <c r="G42" s="2333"/>
      <c r="H42" s="2333"/>
      <c r="I42" s="2333"/>
      <c r="J42" s="2333"/>
      <c r="K42" s="2333"/>
      <c r="L42" s="2333"/>
      <c r="M42" s="2333"/>
      <c r="N42" s="2333"/>
      <c r="O42" s="2355"/>
      <c r="P42" s="2333">
        <v>70</v>
      </c>
      <c r="Q42" s="2333">
        <v>150</v>
      </c>
      <c r="R42" s="2333">
        <f>P42*Q42/1000</f>
        <v>10.5</v>
      </c>
      <c r="S42" s="2333">
        <f t="shared" si="2"/>
        <v>10.5</v>
      </c>
      <c r="T42" s="2333"/>
      <c r="U42" s="2333"/>
      <c r="V42" s="2333">
        <f t="shared" si="0"/>
        <v>10.5</v>
      </c>
      <c r="W42" s="2333">
        <f t="shared" si="1"/>
        <v>0</v>
      </c>
      <c r="X42" s="2333"/>
      <c r="Y42" s="2333">
        <v>10.5</v>
      </c>
      <c r="Z42" s="2353"/>
      <c r="AA42" s="2296" t="s">
        <v>1665</v>
      </c>
    </row>
    <row r="43" spans="1:27" s="2290" customFormat="1" hidden="1" x14ac:dyDescent="0.25">
      <c r="A43" s="2327"/>
      <c r="B43" s="2325"/>
      <c r="C43" s="2328" t="s">
        <v>2083</v>
      </c>
      <c r="D43" s="2329">
        <v>4</v>
      </c>
      <c r="E43" s="2354">
        <v>3000</v>
      </c>
      <c r="F43" s="2333">
        <f>D43*E43/1000</f>
        <v>12</v>
      </c>
      <c r="G43" s="2333"/>
      <c r="H43" s="2333"/>
      <c r="I43" s="2333"/>
      <c r="J43" s="2333"/>
      <c r="K43" s="2333"/>
      <c r="L43" s="2333"/>
      <c r="M43" s="2333"/>
      <c r="N43" s="2333"/>
      <c r="O43" s="2355"/>
      <c r="P43" s="2333">
        <v>3</v>
      </c>
      <c r="Q43" s="2333">
        <v>2000</v>
      </c>
      <c r="R43" s="2333">
        <f>P43*Q43/1000</f>
        <v>6</v>
      </c>
      <c r="S43" s="2333">
        <f t="shared" si="2"/>
        <v>6</v>
      </c>
      <c r="T43" s="2333"/>
      <c r="U43" s="2333"/>
      <c r="V43" s="2333">
        <f t="shared" si="0"/>
        <v>6</v>
      </c>
      <c r="W43" s="2333">
        <f t="shared" si="1"/>
        <v>0</v>
      </c>
      <c r="X43" s="2333"/>
      <c r="Y43" s="2333">
        <v>6</v>
      </c>
      <c r="Z43" s="2353"/>
      <c r="AA43" s="2296" t="s">
        <v>1665</v>
      </c>
    </row>
    <row r="44" spans="1:27" s="2326" customFormat="1" ht="31.5" hidden="1" x14ac:dyDescent="0.25">
      <c r="A44" s="2318"/>
      <c r="B44" s="2319">
        <v>981</v>
      </c>
      <c r="C44" s="2320" t="s">
        <v>2084</v>
      </c>
      <c r="D44" s="2321">
        <v>100</v>
      </c>
      <c r="E44" s="2351">
        <v>60</v>
      </c>
      <c r="F44" s="2336">
        <f>D44*E44/1000</f>
        <v>6</v>
      </c>
      <c r="G44" s="2336"/>
      <c r="H44" s="2336"/>
      <c r="I44" s="2336"/>
      <c r="J44" s="2336"/>
      <c r="K44" s="2336"/>
      <c r="L44" s="2336"/>
      <c r="M44" s="2336"/>
      <c r="N44" s="2336"/>
      <c r="O44" s="2352"/>
      <c r="P44" s="2336">
        <v>60</v>
      </c>
      <c r="Q44" s="2336">
        <v>50</v>
      </c>
      <c r="R44" s="2336">
        <f>P44*Q44/1000</f>
        <v>3</v>
      </c>
      <c r="S44" s="2336">
        <f t="shared" si="2"/>
        <v>3</v>
      </c>
      <c r="T44" s="2336"/>
      <c r="U44" s="2336"/>
      <c r="V44" s="2336">
        <f t="shared" si="0"/>
        <v>3</v>
      </c>
      <c r="W44" s="2336">
        <f t="shared" si="1"/>
        <v>0</v>
      </c>
      <c r="X44" s="2336"/>
      <c r="Y44" s="2336">
        <v>3</v>
      </c>
      <c r="Z44" s="2353" t="s">
        <v>2085</v>
      </c>
      <c r="AA44" s="2296" t="s">
        <v>1665</v>
      </c>
    </row>
    <row r="45" spans="1:27" s="2326" customFormat="1" ht="31.5" hidden="1" x14ac:dyDescent="0.25">
      <c r="A45" s="2318"/>
      <c r="B45" s="2319">
        <v>981</v>
      </c>
      <c r="C45" s="2320" t="s">
        <v>2072</v>
      </c>
      <c r="D45" s="2329"/>
      <c r="E45" s="2351"/>
      <c r="F45" s="2336">
        <f>F46+F47</f>
        <v>3.8</v>
      </c>
      <c r="G45" s="2336"/>
      <c r="H45" s="2336"/>
      <c r="I45" s="2336"/>
      <c r="J45" s="2336"/>
      <c r="K45" s="2336"/>
      <c r="L45" s="2336"/>
      <c r="M45" s="2336"/>
      <c r="N45" s="2336"/>
      <c r="O45" s="2352"/>
      <c r="P45" s="2336"/>
      <c r="Q45" s="2336"/>
      <c r="R45" s="2336">
        <f>SUM(R46:R47)</f>
        <v>2</v>
      </c>
      <c r="S45" s="2336">
        <f t="shared" si="2"/>
        <v>2</v>
      </c>
      <c r="T45" s="2336"/>
      <c r="U45" s="2336"/>
      <c r="V45" s="2336">
        <f t="shared" si="0"/>
        <v>2</v>
      </c>
      <c r="W45" s="2336">
        <f t="shared" si="1"/>
        <v>0</v>
      </c>
      <c r="X45" s="2336"/>
      <c r="Y45" s="2336">
        <v>2</v>
      </c>
      <c r="Z45" s="2353"/>
      <c r="AA45" s="2296" t="s">
        <v>1665</v>
      </c>
    </row>
    <row r="46" spans="1:27" s="2290" customFormat="1" ht="31.5" hidden="1" x14ac:dyDescent="0.25">
      <c r="A46" s="2327"/>
      <c r="B46" s="2325"/>
      <c r="C46" s="2328" t="s">
        <v>1612</v>
      </c>
      <c r="D46" s="2329">
        <v>20</v>
      </c>
      <c r="E46" s="2354">
        <v>100</v>
      </c>
      <c r="F46" s="2333">
        <f>D46*E46/1000</f>
        <v>2</v>
      </c>
      <c r="G46" s="2333"/>
      <c r="H46" s="2333"/>
      <c r="I46" s="2333"/>
      <c r="J46" s="2333"/>
      <c r="K46" s="2333"/>
      <c r="L46" s="2333"/>
      <c r="M46" s="2333"/>
      <c r="N46" s="2333"/>
      <c r="O46" s="2355"/>
      <c r="P46" s="2333">
        <v>20</v>
      </c>
      <c r="Q46" s="2333">
        <v>100</v>
      </c>
      <c r="R46" s="2333">
        <f>Q46*P46/1000</f>
        <v>2</v>
      </c>
      <c r="S46" s="2333">
        <f t="shared" si="2"/>
        <v>2</v>
      </c>
      <c r="T46" s="2333"/>
      <c r="U46" s="2333"/>
      <c r="V46" s="2333">
        <f t="shared" si="0"/>
        <v>2</v>
      </c>
      <c r="W46" s="2333">
        <f t="shared" si="1"/>
        <v>0</v>
      </c>
      <c r="X46" s="2333"/>
      <c r="Y46" s="2333">
        <v>2</v>
      </c>
      <c r="Z46" s="2353" t="s">
        <v>2086</v>
      </c>
      <c r="AA46" s="2296" t="s">
        <v>1665</v>
      </c>
    </row>
    <row r="47" spans="1:27" s="2290" customFormat="1" hidden="1" x14ac:dyDescent="0.25">
      <c r="A47" s="2327"/>
      <c r="B47" s="2325"/>
      <c r="C47" s="2328" t="s">
        <v>2087</v>
      </c>
      <c r="D47" s="2329">
        <v>6</v>
      </c>
      <c r="E47" s="2354">
        <v>300</v>
      </c>
      <c r="F47" s="2333">
        <f>D47*E47/1000</f>
        <v>1.8</v>
      </c>
      <c r="G47" s="2333"/>
      <c r="H47" s="2333"/>
      <c r="I47" s="2333"/>
      <c r="J47" s="2333"/>
      <c r="K47" s="2333"/>
      <c r="L47" s="2333"/>
      <c r="M47" s="2333"/>
      <c r="N47" s="2333"/>
      <c r="O47" s="2355"/>
      <c r="P47" s="2333"/>
      <c r="Q47" s="2333"/>
      <c r="R47" s="2333"/>
      <c r="S47" s="2333">
        <f t="shared" si="2"/>
        <v>0</v>
      </c>
      <c r="T47" s="2333"/>
      <c r="U47" s="2333"/>
      <c r="V47" s="2333">
        <f t="shared" si="0"/>
        <v>0</v>
      </c>
      <c r="W47" s="2333">
        <f t="shared" si="1"/>
        <v>0</v>
      </c>
      <c r="X47" s="2333"/>
      <c r="Y47" s="2333"/>
      <c r="Z47" s="2360"/>
      <c r="AA47" s="2296" t="s">
        <v>1665</v>
      </c>
    </row>
    <row r="48" spans="1:27" s="2317" customFormat="1" ht="31.5" hidden="1" x14ac:dyDescent="0.2">
      <c r="A48" s="2311">
        <v>4</v>
      </c>
      <c r="B48" s="2311"/>
      <c r="C48" s="2312" t="s">
        <v>2088</v>
      </c>
      <c r="D48" s="2349"/>
      <c r="E48" s="2348"/>
      <c r="F48" s="2349"/>
      <c r="G48" s="2349"/>
      <c r="H48" s="2311"/>
      <c r="I48" s="2313"/>
      <c r="J48" s="2313">
        <f>J49+J54+J58+J62+J67</f>
        <v>43.5</v>
      </c>
      <c r="K48" s="2313">
        <f>K49+K54+K58+K62+K67</f>
        <v>0</v>
      </c>
      <c r="L48" s="2311"/>
      <c r="M48" s="2313"/>
      <c r="N48" s="2313">
        <f>N49+N54+N58+N62+N67</f>
        <v>43.5</v>
      </c>
      <c r="O48" s="2313">
        <f>O49+O54+O58+O62+O67</f>
        <v>0</v>
      </c>
      <c r="P48" s="2311"/>
      <c r="Q48" s="2313"/>
      <c r="R48" s="2313">
        <f>R49+R54+R58+R62+R67</f>
        <v>0</v>
      </c>
      <c r="S48" s="2313">
        <f t="shared" si="2"/>
        <v>0</v>
      </c>
      <c r="T48" s="2313"/>
      <c r="U48" s="2313">
        <f>U49+U54+U58+U62+U67</f>
        <v>0</v>
      </c>
      <c r="V48" s="2349">
        <f t="shared" si="0"/>
        <v>-43.5</v>
      </c>
      <c r="W48" s="2349">
        <f t="shared" si="1"/>
        <v>0</v>
      </c>
      <c r="X48" s="2313">
        <f>X49+X54+X58+X62+X67</f>
        <v>43.5</v>
      </c>
      <c r="Y48" s="2313">
        <f>Y49+Y54+Y58+Y62+Y67</f>
        <v>0</v>
      </c>
      <c r="Z48" s="2316"/>
      <c r="AA48" s="2296" t="s">
        <v>1665</v>
      </c>
    </row>
    <row r="49" spans="1:27" s="2326" customFormat="1" ht="31.5" x14ac:dyDescent="0.25">
      <c r="A49" s="2318"/>
      <c r="B49" s="2319">
        <v>955</v>
      </c>
      <c r="C49" s="2320" t="s">
        <v>1401</v>
      </c>
      <c r="D49" s="2336"/>
      <c r="E49" s="2351"/>
      <c r="F49" s="2336"/>
      <c r="G49" s="2336"/>
      <c r="H49" s="2319"/>
      <c r="I49" s="2361"/>
      <c r="J49" s="2362">
        <f>SUM(J50:J53)</f>
        <v>12.8</v>
      </c>
      <c r="K49" s="2361"/>
      <c r="L49" s="2319"/>
      <c r="M49" s="2361"/>
      <c r="N49" s="2362">
        <f>SUM(N50:N53)</f>
        <v>12.8</v>
      </c>
      <c r="O49" s="2361"/>
      <c r="P49" s="2319"/>
      <c r="Q49" s="2361"/>
      <c r="R49" s="2361"/>
      <c r="S49" s="2361">
        <f t="shared" si="2"/>
        <v>0</v>
      </c>
      <c r="T49" s="2361"/>
      <c r="U49" s="2361"/>
      <c r="V49" s="2336">
        <f t="shared" si="0"/>
        <v>-12.8</v>
      </c>
      <c r="W49" s="2336">
        <f t="shared" si="1"/>
        <v>0</v>
      </c>
      <c r="X49" s="2322">
        <f>N49</f>
        <v>12.8</v>
      </c>
      <c r="Y49" s="2362"/>
      <c r="Z49" s="2363"/>
      <c r="AA49" s="2296" t="s">
        <v>1665</v>
      </c>
    </row>
    <row r="50" spans="1:27" s="2290" customFormat="1" hidden="1" x14ac:dyDescent="0.25">
      <c r="A50" s="2327"/>
      <c r="B50" s="2325"/>
      <c r="C50" s="2328" t="s">
        <v>2089</v>
      </c>
      <c r="D50" s="2333"/>
      <c r="E50" s="2354"/>
      <c r="F50" s="2333"/>
      <c r="G50" s="2333"/>
      <c r="H50" s="2325">
        <v>1</v>
      </c>
      <c r="I50" s="2364">
        <v>3450</v>
      </c>
      <c r="J50" s="2364">
        <f>H50*I50/1000</f>
        <v>3.5</v>
      </c>
      <c r="K50" s="2364"/>
      <c r="L50" s="2325">
        <v>1</v>
      </c>
      <c r="M50" s="2364">
        <v>3450</v>
      </c>
      <c r="N50" s="2364">
        <f>L50*M50/1000</f>
        <v>3.5</v>
      </c>
      <c r="O50" s="2364"/>
      <c r="P50" s="2325"/>
      <c r="Q50" s="2364"/>
      <c r="R50" s="2364"/>
      <c r="S50" s="2364">
        <f t="shared" si="2"/>
        <v>0</v>
      </c>
      <c r="T50" s="2364"/>
      <c r="U50" s="2364"/>
      <c r="V50" s="2333">
        <f t="shared" si="0"/>
        <v>-3.5</v>
      </c>
      <c r="W50" s="2333">
        <f t="shared" si="1"/>
        <v>0</v>
      </c>
      <c r="X50" s="2331">
        <f t="shared" ref="X50:X69" si="6">N50</f>
        <v>3.5</v>
      </c>
      <c r="Y50" s="2364"/>
      <c r="Z50" s="3477"/>
      <c r="AA50" s="2296" t="s">
        <v>1665</v>
      </c>
    </row>
    <row r="51" spans="1:27" s="2290" customFormat="1" ht="31.5" hidden="1" x14ac:dyDescent="0.25">
      <c r="A51" s="2327"/>
      <c r="B51" s="2325"/>
      <c r="C51" s="2328" t="s">
        <v>2078</v>
      </c>
      <c r="D51" s="2333"/>
      <c r="E51" s="2354"/>
      <c r="F51" s="2333"/>
      <c r="G51" s="2333"/>
      <c r="H51" s="2325">
        <v>1</v>
      </c>
      <c r="I51" s="2364">
        <v>2000</v>
      </c>
      <c r="J51" s="2364">
        <f>H51*I51/1000</f>
        <v>2</v>
      </c>
      <c r="K51" s="2364"/>
      <c r="L51" s="2325">
        <v>1</v>
      </c>
      <c r="M51" s="2364">
        <v>2000</v>
      </c>
      <c r="N51" s="2364">
        <f>L51*M51/1000</f>
        <v>2</v>
      </c>
      <c r="O51" s="2364"/>
      <c r="P51" s="2325"/>
      <c r="Q51" s="2364"/>
      <c r="R51" s="2364"/>
      <c r="S51" s="2364">
        <f t="shared" si="2"/>
        <v>0</v>
      </c>
      <c r="T51" s="2364"/>
      <c r="U51" s="2364"/>
      <c r="V51" s="2333">
        <f t="shared" si="0"/>
        <v>-2</v>
      </c>
      <c r="W51" s="2333">
        <f t="shared" si="1"/>
        <v>0</v>
      </c>
      <c r="X51" s="2331">
        <f t="shared" si="6"/>
        <v>2</v>
      </c>
      <c r="Y51" s="2364"/>
      <c r="Z51" s="3478"/>
      <c r="AA51" s="2296" t="s">
        <v>1665</v>
      </c>
    </row>
    <row r="52" spans="1:27" s="2290" customFormat="1" hidden="1" x14ac:dyDescent="0.25">
      <c r="A52" s="2327"/>
      <c r="B52" s="2325"/>
      <c r="C52" s="2328" t="s">
        <v>1686</v>
      </c>
      <c r="D52" s="2333"/>
      <c r="E52" s="2354"/>
      <c r="F52" s="2333"/>
      <c r="G52" s="2333"/>
      <c r="H52" s="2325">
        <v>2</v>
      </c>
      <c r="I52" s="2364">
        <v>2300</v>
      </c>
      <c r="J52" s="2364">
        <f>H52*I52/1000</f>
        <v>4.5999999999999996</v>
      </c>
      <c r="K52" s="2364"/>
      <c r="L52" s="2325">
        <v>2</v>
      </c>
      <c r="M52" s="2364">
        <v>2300</v>
      </c>
      <c r="N52" s="2364">
        <f>L52*M52/1000</f>
        <v>4.5999999999999996</v>
      </c>
      <c r="O52" s="2364"/>
      <c r="P52" s="2325"/>
      <c r="Q52" s="2364"/>
      <c r="R52" s="2364"/>
      <c r="S52" s="2364">
        <f t="shared" si="2"/>
        <v>0</v>
      </c>
      <c r="T52" s="2364"/>
      <c r="U52" s="2364"/>
      <c r="V52" s="2333">
        <f t="shared" si="0"/>
        <v>-4.5999999999999996</v>
      </c>
      <c r="W52" s="2333">
        <f t="shared" si="1"/>
        <v>0</v>
      </c>
      <c r="X52" s="2331">
        <f t="shared" si="6"/>
        <v>4.5999999999999996</v>
      </c>
      <c r="Y52" s="2364"/>
      <c r="Z52" s="3478"/>
      <c r="AA52" s="2296" t="s">
        <v>1665</v>
      </c>
    </row>
    <row r="53" spans="1:27" s="2290" customFormat="1" hidden="1" x14ac:dyDescent="0.25">
      <c r="A53" s="2327"/>
      <c r="B53" s="2325"/>
      <c r="C53" s="2328" t="s">
        <v>1234</v>
      </c>
      <c r="D53" s="2333"/>
      <c r="E53" s="2354"/>
      <c r="F53" s="2333"/>
      <c r="G53" s="2333"/>
      <c r="H53" s="2325"/>
      <c r="I53" s="2364"/>
      <c r="J53" s="2364">
        <f>SUM(J50:J52)*0.271</f>
        <v>2.7</v>
      </c>
      <c r="K53" s="2364"/>
      <c r="L53" s="2325"/>
      <c r="M53" s="2364"/>
      <c r="N53" s="2364">
        <f>SUM(N50:N52)*0.271</f>
        <v>2.7</v>
      </c>
      <c r="O53" s="2364"/>
      <c r="P53" s="2325"/>
      <c r="Q53" s="2364"/>
      <c r="R53" s="2364"/>
      <c r="S53" s="2364">
        <f t="shared" si="2"/>
        <v>0</v>
      </c>
      <c r="T53" s="2364"/>
      <c r="U53" s="2364"/>
      <c r="V53" s="2333">
        <f t="shared" si="0"/>
        <v>-2.7</v>
      </c>
      <c r="W53" s="2333">
        <f t="shared" si="1"/>
        <v>0</v>
      </c>
      <c r="X53" s="2331">
        <f t="shared" si="6"/>
        <v>2.7</v>
      </c>
      <c r="Y53" s="2364"/>
      <c r="Z53" s="3479"/>
      <c r="AA53" s="2296" t="s">
        <v>1665</v>
      </c>
    </row>
    <row r="54" spans="1:27" s="2326" customFormat="1" hidden="1" x14ac:dyDescent="0.25">
      <c r="A54" s="2318"/>
      <c r="B54" s="2319">
        <v>981</v>
      </c>
      <c r="C54" s="2320" t="s">
        <v>1226</v>
      </c>
      <c r="D54" s="2336"/>
      <c r="E54" s="2351"/>
      <c r="F54" s="2336"/>
      <c r="G54" s="2336"/>
      <c r="H54" s="2319"/>
      <c r="I54" s="2361"/>
      <c r="J54" s="2361">
        <f>SUM(J55:J57)</f>
        <v>16</v>
      </c>
      <c r="K54" s="2361"/>
      <c r="L54" s="2319"/>
      <c r="M54" s="2361"/>
      <c r="N54" s="2361">
        <f>SUM(N55:N57)</f>
        <v>16</v>
      </c>
      <c r="O54" s="2361"/>
      <c r="P54" s="2319"/>
      <c r="Q54" s="2361"/>
      <c r="R54" s="2361"/>
      <c r="S54" s="2361">
        <f t="shared" si="2"/>
        <v>0</v>
      </c>
      <c r="T54" s="2361"/>
      <c r="U54" s="2361"/>
      <c r="V54" s="2336">
        <f t="shared" si="0"/>
        <v>-16</v>
      </c>
      <c r="W54" s="2336">
        <f t="shared" si="1"/>
        <v>0</v>
      </c>
      <c r="X54" s="2323">
        <f t="shared" si="6"/>
        <v>16</v>
      </c>
      <c r="Y54" s="2361"/>
      <c r="Z54" s="2363"/>
      <c r="AA54" s="2296" t="s">
        <v>1665</v>
      </c>
    </row>
    <row r="55" spans="1:27" s="2290" customFormat="1" hidden="1" x14ac:dyDescent="0.25">
      <c r="A55" s="2327"/>
      <c r="B55" s="2325"/>
      <c r="C55" s="2328" t="s">
        <v>2090</v>
      </c>
      <c r="D55" s="2333"/>
      <c r="E55" s="2354"/>
      <c r="F55" s="2333"/>
      <c r="G55" s="2333"/>
      <c r="H55" s="2325">
        <v>50</v>
      </c>
      <c r="I55" s="2364">
        <v>50</v>
      </c>
      <c r="J55" s="2364">
        <f>H55*I55/1000</f>
        <v>2.5</v>
      </c>
      <c r="K55" s="2364"/>
      <c r="L55" s="2325">
        <v>50</v>
      </c>
      <c r="M55" s="2364">
        <v>50</v>
      </c>
      <c r="N55" s="2364">
        <f>L55*M55/1000</f>
        <v>2.5</v>
      </c>
      <c r="O55" s="2364"/>
      <c r="P55" s="2325"/>
      <c r="Q55" s="2364"/>
      <c r="R55" s="2364"/>
      <c r="S55" s="2364">
        <f t="shared" si="2"/>
        <v>0</v>
      </c>
      <c r="T55" s="2364"/>
      <c r="U55" s="2364"/>
      <c r="V55" s="2333">
        <f t="shared" si="0"/>
        <v>-2.5</v>
      </c>
      <c r="W55" s="2333">
        <f t="shared" si="1"/>
        <v>0</v>
      </c>
      <c r="X55" s="2331">
        <f t="shared" si="6"/>
        <v>2.5</v>
      </c>
      <c r="Y55" s="2364"/>
      <c r="Z55" s="3477"/>
      <c r="AA55" s="2296" t="s">
        <v>1665</v>
      </c>
    </row>
    <row r="56" spans="1:27" s="2290" customFormat="1" hidden="1" x14ac:dyDescent="0.25">
      <c r="A56" s="2327"/>
      <c r="B56" s="2325"/>
      <c r="C56" s="2328" t="s">
        <v>1371</v>
      </c>
      <c r="D56" s="2333"/>
      <c r="E56" s="2354"/>
      <c r="F56" s="2333"/>
      <c r="G56" s="2333"/>
      <c r="H56" s="2325">
        <v>300</v>
      </c>
      <c r="I56" s="2364">
        <v>20</v>
      </c>
      <c r="J56" s="2364">
        <f t="shared" ref="J56:J61" si="7">H56*I56/1000</f>
        <v>6</v>
      </c>
      <c r="K56" s="2364"/>
      <c r="L56" s="2325">
        <v>300</v>
      </c>
      <c r="M56" s="2364">
        <v>20</v>
      </c>
      <c r="N56" s="2364">
        <f>L56*M56/1000</f>
        <v>6</v>
      </c>
      <c r="O56" s="2364"/>
      <c r="P56" s="2325"/>
      <c r="Q56" s="2364"/>
      <c r="R56" s="2364"/>
      <c r="S56" s="2364">
        <f t="shared" si="2"/>
        <v>0</v>
      </c>
      <c r="T56" s="2364"/>
      <c r="U56" s="2364"/>
      <c r="V56" s="2333">
        <f t="shared" si="0"/>
        <v>-6</v>
      </c>
      <c r="W56" s="2333">
        <f t="shared" si="1"/>
        <v>0</v>
      </c>
      <c r="X56" s="2331">
        <f t="shared" si="6"/>
        <v>6</v>
      </c>
      <c r="Y56" s="2364"/>
      <c r="Z56" s="3478"/>
      <c r="AA56" s="2296" t="s">
        <v>1665</v>
      </c>
    </row>
    <row r="57" spans="1:27" s="2290" customFormat="1" hidden="1" x14ac:dyDescent="0.25">
      <c r="A57" s="2327"/>
      <c r="B57" s="2325"/>
      <c r="C57" s="2328" t="s">
        <v>2091</v>
      </c>
      <c r="D57" s="2333"/>
      <c r="E57" s="2354"/>
      <c r="F57" s="2333"/>
      <c r="G57" s="2333"/>
      <c r="H57" s="2325">
        <v>150</v>
      </c>
      <c r="I57" s="2364">
        <v>50</v>
      </c>
      <c r="J57" s="2364">
        <f t="shared" si="7"/>
        <v>7.5</v>
      </c>
      <c r="K57" s="2364"/>
      <c r="L57" s="2325">
        <v>150</v>
      </c>
      <c r="M57" s="2364">
        <v>50</v>
      </c>
      <c r="N57" s="2364">
        <f>L57*M57/1000</f>
        <v>7.5</v>
      </c>
      <c r="O57" s="2364"/>
      <c r="P57" s="2325"/>
      <c r="Q57" s="2364"/>
      <c r="R57" s="2364"/>
      <c r="S57" s="2364">
        <f t="shared" si="2"/>
        <v>0</v>
      </c>
      <c r="T57" s="2364"/>
      <c r="U57" s="2364"/>
      <c r="V57" s="2333">
        <f t="shared" si="0"/>
        <v>-7.5</v>
      </c>
      <c r="W57" s="2333">
        <f t="shared" si="1"/>
        <v>0</v>
      </c>
      <c r="X57" s="2331">
        <f t="shared" si="6"/>
        <v>7.5</v>
      </c>
      <c r="Y57" s="2364"/>
      <c r="Z57" s="3479"/>
      <c r="AA57" s="2296" t="s">
        <v>1665</v>
      </c>
    </row>
    <row r="58" spans="1:27" s="2326" customFormat="1" hidden="1" x14ac:dyDescent="0.25">
      <c r="A58" s="2318"/>
      <c r="B58" s="2319">
        <v>981</v>
      </c>
      <c r="C58" s="2320" t="s">
        <v>1374</v>
      </c>
      <c r="D58" s="2336"/>
      <c r="E58" s="2351"/>
      <c r="F58" s="2336"/>
      <c r="G58" s="2336"/>
      <c r="H58" s="2319"/>
      <c r="I58" s="2361"/>
      <c r="J58" s="2361">
        <f>SUM(J59:J61)</f>
        <v>1.9</v>
      </c>
      <c r="K58" s="2361"/>
      <c r="L58" s="2319"/>
      <c r="M58" s="2361"/>
      <c r="N58" s="2361">
        <f>SUM(N59:N61)</f>
        <v>1.9</v>
      </c>
      <c r="O58" s="2361"/>
      <c r="P58" s="2319"/>
      <c r="Q58" s="2361"/>
      <c r="R58" s="2361"/>
      <c r="S58" s="2361">
        <f t="shared" si="2"/>
        <v>0</v>
      </c>
      <c r="T58" s="2361"/>
      <c r="U58" s="2361"/>
      <c r="V58" s="2336">
        <f t="shared" si="0"/>
        <v>-1.9</v>
      </c>
      <c r="W58" s="2336">
        <f t="shared" si="1"/>
        <v>0</v>
      </c>
      <c r="X58" s="2323">
        <f t="shared" si="6"/>
        <v>1.9</v>
      </c>
      <c r="Y58" s="2361"/>
      <c r="Z58" s="3477"/>
      <c r="AA58" s="2296" t="s">
        <v>1665</v>
      </c>
    </row>
    <row r="59" spans="1:27" s="2290" customFormat="1" hidden="1" x14ac:dyDescent="0.25">
      <c r="A59" s="2327"/>
      <c r="B59" s="2325"/>
      <c r="C59" s="2328" t="s">
        <v>2092</v>
      </c>
      <c r="D59" s="2333"/>
      <c r="E59" s="2354"/>
      <c r="F59" s="2333"/>
      <c r="G59" s="2333"/>
      <c r="H59" s="2325">
        <v>50</v>
      </c>
      <c r="I59" s="2364">
        <v>25</v>
      </c>
      <c r="J59" s="2364">
        <f t="shared" si="7"/>
        <v>1.3</v>
      </c>
      <c r="K59" s="2364"/>
      <c r="L59" s="2325">
        <v>50</v>
      </c>
      <c r="M59" s="2364">
        <v>25</v>
      </c>
      <c r="N59" s="2364">
        <f>L59*M59/1000</f>
        <v>1.3</v>
      </c>
      <c r="O59" s="2364"/>
      <c r="P59" s="2325"/>
      <c r="Q59" s="2364"/>
      <c r="R59" s="2364"/>
      <c r="S59" s="2364">
        <f t="shared" si="2"/>
        <v>0</v>
      </c>
      <c r="T59" s="2364"/>
      <c r="U59" s="2364"/>
      <c r="V59" s="2333">
        <f t="shared" si="0"/>
        <v>-1.3</v>
      </c>
      <c r="W59" s="2333">
        <f t="shared" si="1"/>
        <v>0</v>
      </c>
      <c r="X59" s="2331">
        <f t="shared" si="6"/>
        <v>1.3</v>
      </c>
      <c r="Y59" s="2364"/>
      <c r="Z59" s="3478"/>
      <c r="AA59" s="2296" t="s">
        <v>1665</v>
      </c>
    </row>
    <row r="60" spans="1:27" s="2290" customFormat="1" hidden="1" x14ac:dyDescent="0.25">
      <c r="A60" s="2327"/>
      <c r="B60" s="2325"/>
      <c r="C60" s="2328" t="s">
        <v>2093</v>
      </c>
      <c r="D60" s="2333"/>
      <c r="E60" s="2354"/>
      <c r="F60" s="2333"/>
      <c r="G60" s="2333"/>
      <c r="H60" s="2325">
        <v>25</v>
      </c>
      <c r="I60" s="2364">
        <v>25</v>
      </c>
      <c r="J60" s="2364">
        <f t="shared" si="7"/>
        <v>0.6</v>
      </c>
      <c r="K60" s="2364"/>
      <c r="L60" s="2325">
        <v>25</v>
      </c>
      <c r="M60" s="2364">
        <v>25</v>
      </c>
      <c r="N60" s="2364">
        <f>L60*M60/1000</f>
        <v>0.6</v>
      </c>
      <c r="O60" s="2364"/>
      <c r="P60" s="2325"/>
      <c r="Q60" s="2364"/>
      <c r="R60" s="2364"/>
      <c r="S60" s="2364">
        <f t="shared" si="2"/>
        <v>0</v>
      </c>
      <c r="T60" s="2364"/>
      <c r="U60" s="2364"/>
      <c r="V60" s="2333">
        <f t="shared" si="0"/>
        <v>-0.6</v>
      </c>
      <c r="W60" s="2333">
        <f t="shared" si="1"/>
        <v>0</v>
      </c>
      <c r="X60" s="2331">
        <f t="shared" si="6"/>
        <v>0.6</v>
      </c>
      <c r="Y60" s="2364"/>
      <c r="Z60" s="3478"/>
      <c r="AA60" s="2296" t="s">
        <v>1665</v>
      </c>
    </row>
    <row r="61" spans="1:27" s="2290" customFormat="1" hidden="1" x14ac:dyDescent="0.25">
      <c r="A61" s="2327"/>
      <c r="B61" s="2325"/>
      <c r="C61" s="2328" t="s">
        <v>2094</v>
      </c>
      <c r="D61" s="2333"/>
      <c r="E61" s="2354"/>
      <c r="F61" s="2333"/>
      <c r="G61" s="2333"/>
      <c r="H61" s="2325"/>
      <c r="I61" s="2364"/>
      <c r="J61" s="2364">
        <f t="shared" si="7"/>
        <v>0</v>
      </c>
      <c r="K61" s="2364"/>
      <c r="L61" s="2325"/>
      <c r="M61" s="2364"/>
      <c r="N61" s="2364">
        <f>L61*M61/1000</f>
        <v>0</v>
      </c>
      <c r="O61" s="2364"/>
      <c r="P61" s="2325"/>
      <c r="Q61" s="2364"/>
      <c r="R61" s="2364"/>
      <c r="S61" s="2364">
        <f t="shared" si="2"/>
        <v>0</v>
      </c>
      <c r="T61" s="2364"/>
      <c r="U61" s="2364"/>
      <c r="V61" s="2333">
        <f t="shared" si="0"/>
        <v>0</v>
      </c>
      <c r="W61" s="2333">
        <f t="shared" si="1"/>
        <v>0</v>
      </c>
      <c r="X61" s="2331">
        <f t="shared" si="6"/>
        <v>0</v>
      </c>
      <c r="Y61" s="2364"/>
      <c r="Z61" s="3479"/>
      <c r="AA61" s="2296" t="s">
        <v>1665</v>
      </c>
    </row>
    <row r="62" spans="1:27" s="2326" customFormat="1" hidden="1" x14ac:dyDescent="0.25">
      <c r="A62" s="2318"/>
      <c r="B62" s="2319">
        <v>963</v>
      </c>
      <c r="C62" s="2320" t="s">
        <v>798</v>
      </c>
      <c r="D62" s="2336"/>
      <c r="E62" s="2351"/>
      <c r="F62" s="2336"/>
      <c r="G62" s="2336"/>
      <c r="H62" s="2319"/>
      <c r="I62" s="2361"/>
      <c r="J62" s="2361">
        <f>SUM(J65:J66)</f>
        <v>11.3</v>
      </c>
      <c r="K62" s="2361"/>
      <c r="L62" s="2319"/>
      <c r="M62" s="2361"/>
      <c r="N62" s="2361">
        <f>SUM(N65:N66)</f>
        <v>11.3</v>
      </c>
      <c r="O62" s="2361"/>
      <c r="P62" s="2319"/>
      <c r="Q62" s="2361"/>
      <c r="R62" s="2361"/>
      <c r="S62" s="2361">
        <f t="shared" si="2"/>
        <v>0</v>
      </c>
      <c r="T62" s="2361"/>
      <c r="U62" s="2361"/>
      <c r="V62" s="2336">
        <f t="shared" si="0"/>
        <v>-11.3</v>
      </c>
      <c r="W62" s="2336">
        <f t="shared" si="1"/>
        <v>0</v>
      </c>
      <c r="X62" s="2323">
        <f t="shared" si="6"/>
        <v>11.3</v>
      </c>
      <c r="Y62" s="2361"/>
      <c r="Z62" s="2363"/>
      <c r="AA62" s="2296" t="s">
        <v>1665</v>
      </c>
    </row>
    <row r="63" spans="1:27" s="2326" customFormat="1" hidden="1" x14ac:dyDescent="0.25">
      <c r="A63" s="2318"/>
      <c r="B63" s="2319"/>
      <c r="C63" s="2328" t="s">
        <v>1371</v>
      </c>
      <c r="D63" s="2336"/>
      <c r="E63" s="2351"/>
      <c r="F63" s="2336"/>
      <c r="G63" s="2336"/>
      <c r="H63" s="2319"/>
      <c r="I63" s="2361"/>
      <c r="J63" s="2361"/>
      <c r="K63" s="2361"/>
      <c r="L63" s="2319"/>
      <c r="M63" s="2361"/>
      <c r="N63" s="2361"/>
      <c r="O63" s="2361"/>
      <c r="P63" s="2319"/>
      <c r="Q63" s="2361"/>
      <c r="R63" s="2361"/>
      <c r="S63" s="2361">
        <f t="shared" si="2"/>
        <v>0</v>
      </c>
      <c r="T63" s="2361"/>
      <c r="U63" s="2361"/>
      <c r="V63" s="2333">
        <f t="shared" si="0"/>
        <v>0</v>
      </c>
      <c r="W63" s="2333">
        <f t="shared" si="1"/>
        <v>0</v>
      </c>
      <c r="X63" s="2323">
        <f t="shared" si="6"/>
        <v>0</v>
      </c>
      <c r="Y63" s="2361"/>
      <c r="Z63" s="2365"/>
      <c r="AA63" s="2296" t="s">
        <v>1665</v>
      </c>
    </row>
    <row r="64" spans="1:27" s="2326" customFormat="1" hidden="1" x14ac:dyDescent="0.25">
      <c r="A64" s="2318"/>
      <c r="B64" s="2319"/>
      <c r="C64" s="2328" t="s">
        <v>2095</v>
      </c>
      <c r="D64" s="2336"/>
      <c r="E64" s="2351"/>
      <c r="F64" s="2336"/>
      <c r="G64" s="2336"/>
      <c r="H64" s="2319"/>
      <c r="I64" s="2361"/>
      <c r="J64" s="2361"/>
      <c r="K64" s="2361"/>
      <c r="L64" s="2319"/>
      <c r="M64" s="2361"/>
      <c r="N64" s="2361"/>
      <c r="O64" s="2361"/>
      <c r="P64" s="2319"/>
      <c r="Q64" s="2361"/>
      <c r="R64" s="2361"/>
      <c r="S64" s="2361">
        <f t="shared" si="2"/>
        <v>0</v>
      </c>
      <c r="T64" s="2361"/>
      <c r="U64" s="2361"/>
      <c r="V64" s="2333">
        <f t="shared" si="0"/>
        <v>0</v>
      </c>
      <c r="W64" s="2333">
        <f t="shared" si="1"/>
        <v>0</v>
      </c>
      <c r="X64" s="2323">
        <f t="shared" si="6"/>
        <v>0</v>
      </c>
      <c r="Y64" s="2361"/>
      <c r="Z64" s="2365"/>
      <c r="AA64" s="2296" t="s">
        <v>1665</v>
      </c>
    </row>
    <row r="65" spans="1:27" s="2326" customFormat="1" hidden="1" x14ac:dyDescent="0.25">
      <c r="A65" s="2318"/>
      <c r="B65" s="2325"/>
      <c r="C65" s="2328" t="s">
        <v>2096</v>
      </c>
      <c r="D65" s="2336"/>
      <c r="E65" s="2351"/>
      <c r="F65" s="2336"/>
      <c r="G65" s="2336"/>
      <c r="H65" s="2325">
        <v>25</v>
      </c>
      <c r="I65" s="2364">
        <v>200</v>
      </c>
      <c r="J65" s="2364">
        <f>H65*I65/1000</f>
        <v>5</v>
      </c>
      <c r="K65" s="2364"/>
      <c r="L65" s="2325">
        <v>25</v>
      </c>
      <c r="M65" s="2364">
        <v>200</v>
      </c>
      <c r="N65" s="2364">
        <f>L65*M65/1000</f>
        <v>5</v>
      </c>
      <c r="O65" s="2364"/>
      <c r="P65" s="2325"/>
      <c r="Q65" s="2364"/>
      <c r="R65" s="2364"/>
      <c r="S65" s="2364">
        <f t="shared" si="2"/>
        <v>0</v>
      </c>
      <c r="T65" s="2364"/>
      <c r="U65" s="2364"/>
      <c r="V65" s="2333">
        <f t="shared" si="0"/>
        <v>-5</v>
      </c>
      <c r="W65" s="2336">
        <f t="shared" si="1"/>
        <v>0</v>
      </c>
      <c r="X65" s="2331">
        <f t="shared" si="6"/>
        <v>5</v>
      </c>
      <c r="Y65" s="2364"/>
      <c r="Z65" s="3477"/>
      <c r="AA65" s="2296" t="s">
        <v>1665</v>
      </c>
    </row>
    <row r="66" spans="1:27" s="2290" customFormat="1" hidden="1" x14ac:dyDescent="0.25">
      <c r="A66" s="2327"/>
      <c r="B66" s="2325"/>
      <c r="C66" s="2328" t="s">
        <v>2097</v>
      </c>
      <c r="D66" s="2333"/>
      <c r="E66" s="2354"/>
      <c r="F66" s="2333"/>
      <c r="G66" s="2333"/>
      <c r="H66" s="2325">
        <v>25</v>
      </c>
      <c r="I66" s="2364">
        <v>250</v>
      </c>
      <c r="J66" s="2364">
        <f>H66*I66/1000</f>
        <v>6.3</v>
      </c>
      <c r="K66" s="2364"/>
      <c r="L66" s="2325">
        <v>25</v>
      </c>
      <c r="M66" s="2364">
        <v>250</v>
      </c>
      <c r="N66" s="2364">
        <f>L66*M66/1000</f>
        <v>6.3</v>
      </c>
      <c r="O66" s="2364"/>
      <c r="P66" s="2325"/>
      <c r="Q66" s="2364"/>
      <c r="R66" s="2364"/>
      <c r="S66" s="2364">
        <f t="shared" si="2"/>
        <v>0</v>
      </c>
      <c r="T66" s="2364"/>
      <c r="U66" s="2364"/>
      <c r="V66" s="2333">
        <f t="shared" si="0"/>
        <v>-6.3</v>
      </c>
      <c r="W66" s="2333">
        <f t="shared" si="1"/>
        <v>0</v>
      </c>
      <c r="X66" s="2331">
        <f t="shared" si="6"/>
        <v>6.3</v>
      </c>
      <c r="Y66" s="2364"/>
      <c r="Z66" s="3479"/>
      <c r="AA66" s="2296" t="s">
        <v>1665</v>
      </c>
    </row>
    <row r="67" spans="1:27" s="2290" customFormat="1" ht="31.5" hidden="1" x14ac:dyDescent="0.25">
      <c r="A67" s="2327"/>
      <c r="B67" s="2319">
        <v>981</v>
      </c>
      <c r="C67" s="2320" t="s">
        <v>2072</v>
      </c>
      <c r="D67" s="2333"/>
      <c r="E67" s="2354"/>
      <c r="F67" s="2333"/>
      <c r="G67" s="2333"/>
      <c r="H67" s="2319"/>
      <c r="I67" s="2361"/>
      <c r="J67" s="2361">
        <f>SUM(J68:J69)</f>
        <v>1.5</v>
      </c>
      <c r="K67" s="2361"/>
      <c r="L67" s="2319"/>
      <c r="M67" s="2361"/>
      <c r="N67" s="2361">
        <f>SUM(N68:N69)</f>
        <v>1.5</v>
      </c>
      <c r="O67" s="2361"/>
      <c r="P67" s="2319"/>
      <c r="Q67" s="2361"/>
      <c r="R67" s="2361"/>
      <c r="S67" s="2361">
        <f t="shared" si="2"/>
        <v>0</v>
      </c>
      <c r="T67" s="2361"/>
      <c r="U67" s="2361"/>
      <c r="V67" s="2333">
        <f t="shared" si="0"/>
        <v>-1.5</v>
      </c>
      <c r="W67" s="2333">
        <f t="shared" si="1"/>
        <v>0</v>
      </c>
      <c r="X67" s="2323">
        <f t="shared" si="6"/>
        <v>1.5</v>
      </c>
      <c r="Y67" s="2361"/>
      <c r="Z67" s="2363"/>
      <c r="AA67" s="2296" t="s">
        <v>1665</v>
      </c>
    </row>
    <row r="68" spans="1:27" s="2290" customFormat="1" ht="31.5" hidden="1" x14ac:dyDescent="0.25">
      <c r="A68" s="2327"/>
      <c r="B68" s="2319"/>
      <c r="C68" s="2328" t="s">
        <v>2098</v>
      </c>
      <c r="D68" s="2333"/>
      <c r="E68" s="2354"/>
      <c r="F68" s="2333"/>
      <c r="G68" s="2333"/>
      <c r="H68" s="2325"/>
      <c r="I68" s="2364"/>
      <c r="J68" s="2364">
        <f>H68*I68/1000</f>
        <v>0</v>
      </c>
      <c r="K68" s="2361"/>
      <c r="L68" s="2325"/>
      <c r="M68" s="2364"/>
      <c r="N68" s="2364">
        <f>L68*M68/1000</f>
        <v>0</v>
      </c>
      <c r="O68" s="2361"/>
      <c r="P68" s="2325"/>
      <c r="Q68" s="2364"/>
      <c r="R68" s="2364">
        <f>P68*Q68/1000</f>
        <v>0</v>
      </c>
      <c r="S68" s="2364">
        <f t="shared" si="2"/>
        <v>0</v>
      </c>
      <c r="T68" s="2364"/>
      <c r="U68" s="2361"/>
      <c r="V68" s="2333">
        <f t="shared" si="0"/>
        <v>0</v>
      </c>
      <c r="W68" s="2333">
        <f t="shared" si="1"/>
        <v>0</v>
      </c>
      <c r="X68" s="2331">
        <f t="shared" si="6"/>
        <v>0</v>
      </c>
      <c r="Y68" s="2361"/>
      <c r="Z68" s="2363"/>
      <c r="AA68" s="2296" t="s">
        <v>1665</v>
      </c>
    </row>
    <row r="69" spans="1:27" s="2326" customFormat="1" hidden="1" x14ac:dyDescent="0.25">
      <c r="A69" s="2318"/>
      <c r="B69" s="2325"/>
      <c r="C69" s="2328" t="s">
        <v>1962</v>
      </c>
      <c r="D69" s="2336"/>
      <c r="E69" s="2351"/>
      <c r="F69" s="2336"/>
      <c r="G69" s="2336"/>
      <c r="H69" s="2325">
        <v>15</v>
      </c>
      <c r="I69" s="2364">
        <v>100</v>
      </c>
      <c r="J69" s="2364">
        <f>H69*I69/1000</f>
        <v>1.5</v>
      </c>
      <c r="K69" s="2364"/>
      <c r="L69" s="2325">
        <v>15</v>
      </c>
      <c r="M69" s="2364">
        <v>100</v>
      </c>
      <c r="N69" s="2364">
        <f>L69*M69/1000</f>
        <v>1.5</v>
      </c>
      <c r="O69" s="2364"/>
      <c r="P69" s="2325"/>
      <c r="Q69" s="2364"/>
      <c r="R69" s="2364"/>
      <c r="S69" s="2364">
        <f t="shared" si="2"/>
        <v>0</v>
      </c>
      <c r="T69" s="2364"/>
      <c r="U69" s="2364"/>
      <c r="V69" s="2336">
        <f t="shared" si="0"/>
        <v>-1.5</v>
      </c>
      <c r="W69" s="2336">
        <f t="shared" si="1"/>
        <v>0</v>
      </c>
      <c r="X69" s="2331">
        <f t="shared" si="6"/>
        <v>1.5</v>
      </c>
      <c r="Y69" s="2364"/>
      <c r="Z69" s="2363"/>
      <c r="AA69" s="2296" t="s">
        <v>1665</v>
      </c>
    </row>
    <row r="70" spans="1:27" s="2317" customFormat="1" ht="31.5" hidden="1" x14ac:dyDescent="0.2">
      <c r="A70" s="2366">
        <v>6</v>
      </c>
      <c r="B70" s="2366"/>
      <c r="C70" s="2367" t="s">
        <v>2099</v>
      </c>
      <c r="D70" s="2349"/>
      <c r="E70" s="2348"/>
      <c r="F70" s="2368"/>
      <c r="G70" s="2349">
        <f>G75+G78</f>
        <v>6.5</v>
      </c>
      <c r="H70" s="2368"/>
      <c r="I70" s="2369"/>
      <c r="J70" s="2349">
        <v>0</v>
      </c>
      <c r="K70" s="2349">
        <f>K71+K75+K78+K80+K82</f>
        <v>27.5</v>
      </c>
      <c r="L70" s="2368"/>
      <c r="M70" s="2369"/>
      <c r="N70" s="2349">
        <v>0</v>
      </c>
      <c r="O70" s="2349">
        <f>O71+O75+O78+O80+O82</f>
        <v>27.5</v>
      </c>
      <c r="P70" s="2368"/>
      <c r="Q70" s="2369"/>
      <c r="R70" s="2349">
        <v>0</v>
      </c>
      <c r="S70" s="2349">
        <f t="shared" si="2"/>
        <v>0</v>
      </c>
      <c r="T70" s="2349"/>
      <c r="U70" s="2349">
        <f>U71+U75+U78+U80+U82</f>
        <v>23.7</v>
      </c>
      <c r="V70" s="2349">
        <f t="shared" si="0"/>
        <v>0</v>
      </c>
      <c r="W70" s="2349">
        <f t="shared" si="1"/>
        <v>0</v>
      </c>
      <c r="X70" s="2349"/>
      <c r="Y70" s="2349"/>
      <c r="Z70" s="2368"/>
      <c r="AA70" s="2296" t="s">
        <v>1665</v>
      </c>
    </row>
    <row r="71" spans="1:27" s="2326" customFormat="1" ht="31.5" x14ac:dyDescent="0.25">
      <c r="A71" s="2370"/>
      <c r="B71" s="2371">
        <v>955</v>
      </c>
      <c r="C71" s="2372" t="s">
        <v>1401</v>
      </c>
      <c r="D71" s="2373"/>
      <c r="E71" s="2374"/>
      <c r="F71" s="2373"/>
      <c r="G71" s="2373"/>
      <c r="H71" s="2375"/>
      <c r="I71" s="2376"/>
      <c r="J71" s="2373"/>
      <c r="K71" s="2377">
        <f>SUM(K72:K74)</f>
        <v>8.8000000000000007</v>
      </c>
      <c r="L71" s="2375"/>
      <c r="M71" s="2376"/>
      <c r="N71" s="2373"/>
      <c r="O71" s="2378">
        <f>SUM(O72:O74)</f>
        <v>8.8000000000000007</v>
      </c>
      <c r="P71" s="2375"/>
      <c r="Q71" s="2376"/>
      <c r="R71" s="2373"/>
      <c r="S71" s="2373">
        <f t="shared" si="2"/>
        <v>0</v>
      </c>
      <c r="T71" s="2373"/>
      <c r="U71" s="2377">
        <f>SUM(U72:U74)</f>
        <v>13.2</v>
      </c>
      <c r="V71" s="2379">
        <f t="shared" si="0"/>
        <v>0</v>
      </c>
      <c r="W71" s="2373">
        <f t="shared" si="1"/>
        <v>0</v>
      </c>
      <c r="X71" s="2342"/>
      <c r="Y71" s="2342"/>
      <c r="Z71" s="2375"/>
      <c r="AA71" s="2296" t="s">
        <v>1665</v>
      </c>
    </row>
    <row r="72" spans="1:27" s="2290" customFormat="1" hidden="1" x14ac:dyDescent="0.25">
      <c r="A72" s="2380"/>
      <c r="B72" s="2381"/>
      <c r="C72" s="2328" t="s">
        <v>1519</v>
      </c>
      <c r="D72" s="2342"/>
      <c r="E72" s="2382"/>
      <c r="F72" s="2342"/>
      <c r="G72" s="2342"/>
      <c r="H72" s="2383"/>
      <c r="I72" s="2333"/>
      <c r="J72" s="2342"/>
      <c r="K72" s="2384"/>
      <c r="L72" s="2383"/>
      <c r="M72" s="2333"/>
      <c r="N72" s="2342"/>
      <c r="O72" s="2385"/>
      <c r="P72" s="2383">
        <v>1</v>
      </c>
      <c r="Q72" s="2333">
        <v>3450</v>
      </c>
      <c r="R72" s="2342"/>
      <c r="S72" s="2342">
        <f t="shared" si="2"/>
        <v>0</v>
      </c>
      <c r="T72" s="2342"/>
      <c r="U72" s="2384">
        <f>P72*Q72/1000</f>
        <v>3.5</v>
      </c>
      <c r="V72" s="2386">
        <f t="shared" si="0"/>
        <v>0</v>
      </c>
      <c r="W72" s="2342">
        <f t="shared" si="1"/>
        <v>0</v>
      </c>
      <c r="X72" s="2342"/>
      <c r="Y72" s="2342"/>
      <c r="Z72" s="2387"/>
      <c r="AA72" s="2296" t="s">
        <v>1665</v>
      </c>
    </row>
    <row r="73" spans="1:27" s="2290" customFormat="1" hidden="1" x14ac:dyDescent="0.25">
      <c r="A73" s="2380"/>
      <c r="B73" s="2381"/>
      <c r="C73" s="2328" t="s">
        <v>1521</v>
      </c>
      <c r="D73" s="2342"/>
      <c r="E73" s="2382"/>
      <c r="F73" s="2342"/>
      <c r="G73" s="2342"/>
      <c r="H73" s="2388">
        <v>2</v>
      </c>
      <c r="I73" s="2333">
        <v>3450</v>
      </c>
      <c r="J73" s="2342"/>
      <c r="K73" s="2384">
        <f>H73*I73/1000</f>
        <v>6.9</v>
      </c>
      <c r="L73" s="2388">
        <v>2</v>
      </c>
      <c r="M73" s="2333">
        <v>3450</v>
      </c>
      <c r="N73" s="2342"/>
      <c r="O73" s="2385">
        <f>L73*M73/1000</f>
        <v>6.9</v>
      </c>
      <c r="P73" s="2388">
        <v>2</v>
      </c>
      <c r="Q73" s="2333">
        <v>3450</v>
      </c>
      <c r="R73" s="2342"/>
      <c r="S73" s="2342">
        <f t="shared" si="2"/>
        <v>0</v>
      </c>
      <c r="T73" s="2342"/>
      <c r="U73" s="2384">
        <f>P73*Q73/1000</f>
        <v>6.9</v>
      </c>
      <c r="V73" s="2386">
        <f t="shared" si="0"/>
        <v>0</v>
      </c>
      <c r="W73" s="2342">
        <f t="shared" si="1"/>
        <v>0</v>
      </c>
      <c r="X73" s="2342"/>
      <c r="Y73" s="2342"/>
      <c r="Z73" s="2363"/>
      <c r="AA73" s="2296" t="s">
        <v>1665</v>
      </c>
    </row>
    <row r="74" spans="1:27" s="2326" customFormat="1" hidden="1" x14ac:dyDescent="0.25">
      <c r="A74" s="2380"/>
      <c r="B74" s="2381"/>
      <c r="C74" s="2328" t="s">
        <v>1234</v>
      </c>
      <c r="D74" s="2373"/>
      <c r="E74" s="2374"/>
      <c r="F74" s="2373"/>
      <c r="G74" s="2373"/>
      <c r="H74" s="2388"/>
      <c r="I74" s="2333"/>
      <c r="J74" s="2342"/>
      <c r="K74" s="2384">
        <f>K73*0.271</f>
        <v>1.9</v>
      </c>
      <c r="L74" s="2388"/>
      <c r="M74" s="2333"/>
      <c r="N74" s="2342"/>
      <c r="O74" s="2385">
        <f>O73*0.271</f>
        <v>1.9</v>
      </c>
      <c r="P74" s="2388"/>
      <c r="Q74" s="2333"/>
      <c r="R74" s="2342"/>
      <c r="S74" s="2342">
        <f t="shared" si="2"/>
        <v>0</v>
      </c>
      <c r="T74" s="2342"/>
      <c r="U74" s="2384">
        <f>SUM(U72:U73)*0.271</f>
        <v>2.8</v>
      </c>
      <c r="V74" s="2379">
        <f t="shared" si="0"/>
        <v>0</v>
      </c>
      <c r="W74" s="2373">
        <f t="shared" si="1"/>
        <v>0</v>
      </c>
      <c r="X74" s="2342"/>
      <c r="Y74" s="2342"/>
      <c r="Z74" s="2387"/>
      <c r="AA74" s="2296" t="s">
        <v>1665</v>
      </c>
    </row>
    <row r="75" spans="1:27" s="2290" customFormat="1" ht="31.5" hidden="1" x14ac:dyDescent="0.25">
      <c r="A75" s="2370"/>
      <c r="B75" s="2371">
        <v>981</v>
      </c>
      <c r="C75" s="2372" t="s">
        <v>2072</v>
      </c>
      <c r="D75" s="2342"/>
      <c r="E75" s="2382"/>
      <c r="F75" s="2342"/>
      <c r="G75" s="2389">
        <f>G76+G77</f>
        <v>4.5</v>
      </c>
      <c r="H75" s="2390"/>
      <c r="I75" s="2336"/>
      <c r="J75" s="2373"/>
      <c r="K75" s="2377">
        <f>SUM(K76:K77)</f>
        <v>3.3</v>
      </c>
      <c r="L75" s="2390"/>
      <c r="M75" s="2336"/>
      <c r="N75" s="2373"/>
      <c r="O75" s="2378">
        <f>SUM(O76:O77)</f>
        <v>3.3</v>
      </c>
      <c r="P75" s="2390"/>
      <c r="Q75" s="2336"/>
      <c r="R75" s="2373"/>
      <c r="S75" s="2373">
        <f t="shared" si="2"/>
        <v>0</v>
      </c>
      <c r="T75" s="2373"/>
      <c r="U75" s="2377">
        <f>SUM(U76:U77)</f>
        <v>1.2</v>
      </c>
      <c r="V75" s="2386">
        <f t="shared" si="0"/>
        <v>0</v>
      </c>
      <c r="W75" s="2342">
        <f t="shared" si="1"/>
        <v>0</v>
      </c>
      <c r="X75" s="2342"/>
      <c r="Y75" s="2342"/>
      <c r="Z75" s="3461"/>
      <c r="AA75" s="2296" t="s">
        <v>1665</v>
      </c>
    </row>
    <row r="76" spans="1:27" s="2326" customFormat="1" hidden="1" x14ac:dyDescent="0.25">
      <c r="A76" s="2380"/>
      <c r="B76" s="2381"/>
      <c r="C76" s="2391" t="s">
        <v>2100</v>
      </c>
      <c r="D76" s="2387">
        <v>25</v>
      </c>
      <c r="E76" s="2392">
        <v>100</v>
      </c>
      <c r="F76" s="2387"/>
      <c r="G76" s="2387">
        <f>D76*E76/1000</f>
        <v>2.5</v>
      </c>
      <c r="H76" s="2388">
        <v>25</v>
      </c>
      <c r="I76" s="2333">
        <v>50</v>
      </c>
      <c r="J76" s="2342"/>
      <c r="K76" s="2384">
        <f>H76*I76/1000</f>
        <v>1.3</v>
      </c>
      <c r="L76" s="2388">
        <v>25</v>
      </c>
      <c r="M76" s="2333">
        <v>50</v>
      </c>
      <c r="N76" s="2342"/>
      <c r="O76" s="2385">
        <f>L76*M76/1000</f>
        <v>1.3</v>
      </c>
      <c r="P76" s="2388">
        <v>12</v>
      </c>
      <c r="Q76" s="2333">
        <v>100</v>
      </c>
      <c r="R76" s="2342"/>
      <c r="S76" s="2342">
        <f t="shared" si="2"/>
        <v>0</v>
      </c>
      <c r="T76" s="2342"/>
      <c r="U76" s="2384">
        <f>P76*Q76/1000</f>
        <v>1.2</v>
      </c>
      <c r="V76" s="2379">
        <f t="shared" si="0"/>
        <v>0</v>
      </c>
      <c r="W76" s="2373">
        <f t="shared" si="1"/>
        <v>0</v>
      </c>
      <c r="X76" s="2342"/>
      <c r="Y76" s="2342"/>
      <c r="Z76" s="3462"/>
      <c r="AA76" s="2296" t="s">
        <v>1665</v>
      </c>
    </row>
    <row r="77" spans="1:27" s="2290" customFormat="1" hidden="1" x14ac:dyDescent="0.25">
      <c r="A77" s="2380"/>
      <c r="B77" s="2381"/>
      <c r="C77" s="2391" t="s">
        <v>2101</v>
      </c>
      <c r="D77" s="2387">
        <v>2</v>
      </c>
      <c r="E77" s="2392">
        <v>1000</v>
      </c>
      <c r="F77" s="2387"/>
      <c r="G77" s="2392">
        <f>D77*E77/1000</f>
        <v>2</v>
      </c>
      <c r="H77" s="2388">
        <v>2</v>
      </c>
      <c r="I77" s="2333">
        <v>1000</v>
      </c>
      <c r="J77" s="2342"/>
      <c r="K77" s="2384">
        <f>H77*I77/1000</f>
        <v>2</v>
      </c>
      <c r="L77" s="2388">
        <v>2</v>
      </c>
      <c r="M77" s="2333">
        <v>1000</v>
      </c>
      <c r="N77" s="2342"/>
      <c r="O77" s="2385">
        <f>L77*M77/1000</f>
        <v>2</v>
      </c>
      <c r="P77" s="2388"/>
      <c r="Q77" s="2333"/>
      <c r="R77" s="2342"/>
      <c r="S77" s="2342">
        <f t="shared" si="2"/>
        <v>0</v>
      </c>
      <c r="T77" s="2342"/>
      <c r="U77" s="2384"/>
      <c r="V77" s="2386">
        <f t="shared" ref="V77:V140" si="8">R77-J77</f>
        <v>0</v>
      </c>
      <c r="W77" s="2342">
        <f t="shared" ref="W77:W140" si="9">IFERROR((R77)/J77*100,0)</f>
        <v>0</v>
      </c>
      <c r="X77" s="2342"/>
      <c r="Y77" s="2342"/>
      <c r="Z77" s="2393"/>
      <c r="AA77" s="2296" t="s">
        <v>1665</v>
      </c>
    </row>
    <row r="78" spans="1:27" s="2290" customFormat="1" ht="47.25" hidden="1" x14ac:dyDescent="0.25">
      <c r="A78" s="2380"/>
      <c r="B78" s="2371">
        <v>981</v>
      </c>
      <c r="C78" s="2372" t="s">
        <v>2102</v>
      </c>
      <c r="D78" s="2342"/>
      <c r="E78" s="2382"/>
      <c r="F78" s="2342"/>
      <c r="G78" s="2389">
        <f>G79</f>
        <v>2</v>
      </c>
      <c r="H78" s="2390"/>
      <c r="I78" s="2336"/>
      <c r="J78" s="2373"/>
      <c r="K78" s="2377">
        <f>K79</f>
        <v>5</v>
      </c>
      <c r="L78" s="2390"/>
      <c r="M78" s="2336"/>
      <c r="N78" s="2373"/>
      <c r="O78" s="2378">
        <f>O79</f>
        <v>5</v>
      </c>
      <c r="P78" s="2390"/>
      <c r="Q78" s="2336"/>
      <c r="R78" s="2373"/>
      <c r="S78" s="2373">
        <f t="shared" ref="S78:S141" si="10">R78</f>
        <v>0</v>
      </c>
      <c r="T78" s="2373"/>
      <c r="U78" s="2377"/>
      <c r="V78" s="2386">
        <f t="shared" si="8"/>
        <v>0</v>
      </c>
      <c r="W78" s="2342">
        <f t="shared" si="9"/>
        <v>0</v>
      </c>
      <c r="X78" s="2342"/>
      <c r="Y78" s="2342"/>
      <c r="Z78" s="2393"/>
      <c r="AA78" s="2296" t="s">
        <v>1665</v>
      </c>
    </row>
    <row r="79" spans="1:27" s="2326" customFormat="1" hidden="1" x14ac:dyDescent="0.25">
      <c r="A79" s="2380"/>
      <c r="B79" s="2381"/>
      <c r="C79" s="2391" t="s">
        <v>2103</v>
      </c>
      <c r="D79" s="2387">
        <v>2</v>
      </c>
      <c r="E79" s="2392">
        <v>1000</v>
      </c>
      <c r="F79" s="2387"/>
      <c r="G79" s="2392">
        <f>D79*E79/1000</f>
        <v>2</v>
      </c>
      <c r="H79" s="2388">
        <v>25</v>
      </c>
      <c r="I79" s="2333">
        <v>200</v>
      </c>
      <c r="J79" s="2342"/>
      <c r="K79" s="2384">
        <f>H79*I79/1000</f>
        <v>5</v>
      </c>
      <c r="L79" s="2388">
        <v>25</v>
      </c>
      <c r="M79" s="2333">
        <v>200</v>
      </c>
      <c r="N79" s="2342"/>
      <c r="O79" s="2385">
        <f>L79*M79/1000</f>
        <v>5</v>
      </c>
      <c r="P79" s="2388"/>
      <c r="Q79" s="2333"/>
      <c r="R79" s="2342"/>
      <c r="S79" s="2342">
        <f t="shared" si="10"/>
        <v>0</v>
      </c>
      <c r="T79" s="2342"/>
      <c r="U79" s="2384"/>
      <c r="V79" s="2379">
        <f t="shared" si="8"/>
        <v>0</v>
      </c>
      <c r="W79" s="2373">
        <f t="shared" si="9"/>
        <v>0</v>
      </c>
      <c r="X79" s="2342"/>
      <c r="Y79" s="2342"/>
      <c r="Z79" s="2393"/>
      <c r="AA79" s="2296" t="s">
        <v>1665</v>
      </c>
    </row>
    <row r="80" spans="1:27" s="2290" customFormat="1" hidden="1" x14ac:dyDescent="0.25">
      <c r="A80" s="2370"/>
      <c r="B80" s="2371">
        <v>981</v>
      </c>
      <c r="C80" s="2372" t="s">
        <v>2104</v>
      </c>
      <c r="D80" s="2342"/>
      <c r="E80" s="2382"/>
      <c r="F80" s="2342"/>
      <c r="G80" s="2342"/>
      <c r="H80" s="2390"/>
      <c r="I80" s="2336"/>
      <c r="J80" s="2373"/>
      <c r="K80" s="2377">
        <f>SUM(K81:K81)</f>
        <v>3.4</v>
      </c>
      <c r="L80" s="2390"/>
      <c r="M80" s="2336"/>
      <c r="N80" s="2373"/>
      <c r="O80" s="2378">
        <f>SUM(O81:O81)</f>
        <v>3.4</v>
      </c>
      <c r="P80" s="2390"/>
      <c r="Q80" s="2336"/>
      <c r="R80" s="2373"/>
      <c r="S80" s="2373">
        <f t="shared" si="10"/>
        <v>0</v>
      </c>
      <c r="T80" s="2373"/>
      <c r="U80" s="2377">
        <f>U81</f>
        <v>2.5</v>
      </c>
      <c r="V80" s="2386">
        <f t="shared" si="8"/>
        <v>0</v>
      </c>
      <c r="W80" s="2342">
        <f t="shared" si="9"/>
        <v>0</v>
      </c>
      <c r="X80" s="2342"/>
      <c r="Y80" s="2342"/>
      <c r="Z80" s="2375"/>
      <c r="AA80" s="2296" t="s">
        <v>1665</v>
      </c>
    </row>
    <row r="81" spans="1:27" s="2290" customFormat="1" hidden="1" x14ac:dyDescent="0.25">
      <c r="A81" s="2380"/>
      <c r="B81" s="2381"/>
      <c r="C81" s="2391" t="s">
        <v>2105</v>
      </c>
      <c r="D81" s="2394"/>
      <c r="E81" s="2395"/>
      <c r="F81" s="2394"/>
      <c r="G81" s="2394"/>
      <c r="H81" s="2388">
        <v>50</v>
      </c>
      <c r="I81" s="2333">
        <v>68</v>
      </c>
      <c r="J81" s="2342"/>
      <c r="K81" s="2384">
        <f>H81*I81/1000</f>
        <v>3.4</v>
      </c>
      <c r="L81" s="2388">
        <v>50</v>
      </c>
      <c r="M81" s="2333">
        <v>68</v>
      </c>
      <c r="N81" s="2342"/>
      <c r="O81" s="2385">
        <f>L81*M81/1000</f>
        <v>3.4</v>
      </c>
      <c r="P81" s="2388">
        <v>50</v>
      </c>
      <c r="Q81" s="2333">
        <v>50</v>
      </c>
      <c r="R81" s="2342"/>
      <c r="S81" s="2342">
        <f t="shared" si="10"/>
        <v>0</v>
      </c>
      <c r="T81" s="2342"/>
      <c r="U81" s="2384">
        <f>P81*Q81/1000</f>
        <v>2.5</v>
      </c>
      <c r="V81" s="2396">
        <f t="shared" si="8"/>
        <v>0</v>
      </c>
      <c r="W81" s="2394">
        <f t="shared" si="9"/>
        <v>0</v>
      </c>
      <c r="X81" s="2342"/>
      <c r="Y81" s="2342"/>
      <c r="Z81" s="2387"/>
      <c r="AA81" s="2296" t="s">
        <v>1665</v>
      </c>
    </row>
    <row r="82" spans="1:27" s="2398" customFormat="1" hidden="1" x14ac:dyDescent="0.25">
      <c r="A82" s="2370"/>
      <c r="B82" s="2371">
        <v>963</v>
      </c>
      <c r="C82" s="2372" t="s">
        <v>798</v>
      </c>
      <c r="D82" s="2389"/>
      <c r="E82" s="2397"/>
      <c r="H82" s="2399"/>
      <c r="I82" s="2336"/>
      <c r="J82" s="2373"/>
      <c r="K82" s="2377">
        <f>SUM(K83:K84)</f>
        <v>7</v>
      </c>
      <c r="L82" s="2399"/>
      <c r="M82" s="2336"/>
      <c r="N82" s="2373"/>
      <c r="O82" s="2378">
        <f>SUM(O83:O84)</f>
        <v>7</v>
      </c>
      <c r="P82" s="2399"/>
      <c r="Q82" s="2336"/>
      <c r="R82" s="2373"/>
      <c r="S82" s="2373">
        <f t="shared" si="10"/>
        <v>0</v>
      </c>
      <c r="T82" s="2373"/>
      <c r="U82" s="2377">
        <f>SUM(U83:U84)</f>
        <v>6.8</v>
      </c>
      <c r="V82" s="2396">
        <f t="shared" si="8"/>
        <v>0</v>
      </c>
      <c r="W82" s="2394">
        <f t="shared" si="9"/>
        <v>0</v>
      </c>
      <c r="X82" s="2342"/>
      <c r="Y82" s="2342"/>
      <c r="Z82" s="2375"/>
      <c r="AA82" s="2296" t="s">
        <v>1665</v>
      </c>
    </row>
    <row r="83" spans="1:27" s="2400" customFormat="1" hidden="1" x14ac:dyDescent="0.25">
      <c r="A83" s="2380"/>
      <c r="B83" s="2381"/>
      <c r="C83" s="2391" t="s">
        <v>2095</v>
      </c>
      <c r="D83" s="2373"/>
      <c r="E83" s="2374"/>
      <c r="H83" s="2383">
        <v>10</v>
      </c>
      <c r="I83" s="2333">
        <v>200</v>
      </c>
      <c r="J83" s="2342"/>
      <c r="K83" s="2384">
        <f>H83*I83/1000</f>
        <v>2</v>
      </c>
      <c r="L83" s="2383">
        <v>10</v>
      </c>
      <c r="M83" s="2333">
        <v>200</v>
      </c>
      <c r="N83" s="2342"/>
      <c r="O83" s="2385">
        <f>L83*M83/1000</f>
        <v>2</v>
      </c>
      <c r="P83" s="2383">
        <v>10</v>
      </c>
      <c r="Q83" s="2333">
        <v>180</v>
      </c>
      <c r="R83" s="2342"/>
      <c r="S83" s="2342">
        <f t="shared" si="10"/>
        <v>0</v>
      </c>
      <c r="T83" s="2342"/>
      <c r="U83" s="2384">
        <f>P83*Q83/1000</f>
        <v>1.8</v>
      </c>
      <c r="V83" s="2396">
        <f t="shared" si="8"/>
        <v>0</v>
      </c>
      <c r="W83" s="2394">
        <f t="shared" si="9"/>
        <v>0</v>
      </c>
      <c r="X83" s="2342"/>
      <c r="Y83" s="2342"/>
      <c r="Z83" s="2387"/>
      <c r="AA83" s="2296" t="s">
        <v>1665</v>
      </c>
    </row>
    <row r="84" spans="1:27" s="2345" customFormat="1" hidden="1" x14ac:dyDescent="0.25">
      <c r="A84" s="2380"/>
      <c r="B84" s="2381"/>
      <c r="C84" s="2391" t="s">
        <v>2106</v>
      </c>
      <c r="D84" s="2342"/>
      <c r="E84" s="2382"/>
      <c r="H84" s="2383">
        <v>10</v>
      </c>
      <c r="I84" s="2333">
        <v>500</v>
      </c>
      <c r="J84" s="2342"/>
      <c r="K84" s="2384">
        <f>H84*I84/1000</f>
        <v>5</v>
      </c>
      <c r="L84" s="2383">
        <v>10</v>
      </c>
      <c r="M84" s="2333">
        <v>500</v>
      </c>
      <c r="N84" s="2342"/>
      <c r="O84" s="2385">
        <f>L84*M84/1000</f>
        <v>5</v>
      </c>
      <c r="P84" s="2383">
        <v>10</v>
      </c>
      <c r="Q84" s="2333">
        <v>500</v>
      </c>
      <c r="R84" s="2342"/>
      <c r="S84" s="2342">
        <f t="shared" si="10"/>
        <v>0</v>
      </c>
      <c r="T84" s="2342"/>
      <c r="U84" s="2384">
        <f>P84*Q84/1000</f>
        <v>5</v>
      </c>
      <c r="V84" s="2396">
        <f t="shared" si="8"/>
        <v>0</v>
      </c>
      <c r="W84" s="2394">
        <f t="shared" si="9"/>
        <v>0</v>
      </c>
      <c r="X84" s="2342"/>
      <c r="Y84" s="2342"/>
      <c r="Z84" s="2387"/>
      <c r="AA84" s="2296" t="s">
        <v>1665</v>
      </c>
    </row>
    <row r="85" spans="1:27" s="2408" customFormat="1" ht="31.5" hidden="1" x14ac:dyDescent="0.25">
      <c r="A85" s="2366">
        <v>7</v>
      </c>
      <c r="B85" s="2401"/>
      <c r="C85" s="2367" t="s">
        <v>2107</v>
      </c>
      <c r="D85" s="2402"/>
      <c r="E85" s="2403"/>
      <c r="F85" s="2402">
        <f>F86+F91</f>
        <v>0</v>
      </c>
      <c r="G85" s="2404">
        <f>G86+G91</f>
        <v>0</v>
      </c>
      <c r="H85" s="2402"/>
      <c r="I85" s="2405"/>
      <c r="J85" s="2404">
        <f>J86+J91</f>
        <v>0</v>
      </c>
      <c r="K85" s="2404">
        <f>K86+K91</f>
        <v>10</v>
      </c>
      <c r="L85" s="2402"/>
      <c r="M85" s="2405"/>
      <c r="N85" s="2404">
        <f>N86+N91</f>
        <v>0</v>
      </c>
      <c r="O85" s="2406">
        <f>O86+O91</f>
        <v>10</v>
      </c>
      <c r="P85" s="2402"/>
      <c r="Q85" s="2405"/>
      <c r="R85" s="2404">
        <f>R86+R91</f>
        <v>0</v>
      </c>
      <c r="S85" s="2404">
        <f t="shared" si="10"/>
        <v>0</v>
      </c>
      <c r="T85" s="2404"/>
      <c r="U85" s="2404">
        <f>U86+U91</f>
        <v>6</v>
      </c>
      <c r="V85" s="2407">
        <f t="shared" si="8"/>
        <v>0</v>
      </c>
      <c r="W85" s="2349">
        <f t="shared" si="9"/>
        <v>0</v>
      </c>
      <c r="X85" s="2404"/>
      <c r="Y85" s="2404"/>
      <c r="Z85" s="2316"/>
      <c r="AA85" s="2296" t="s">
        <v>1665</v>
      </c>
    </row>
    <row r="86" spans="1:27" s="2290" customFormat="1" ht="31.5" hidden="1" x14ac:dyDescent="0.25">
      <c r="A86" s="2370"/>
      <c r="B86" s="2371">
        <v>981</v>
      </c>
      <c r="C86" s="2372" t="s">
        <v>2072</v>
      </c>
      <c r="D86" s="2323"/>
      <c r="E86" s="2409"/>
      <c r="F86" s="2409"/>
      <c r="G86" s="2323"/>
      <c r="H86" s="2323"/>
      <c r="I86" s="2409"/>
      <c r="J86" s="2409"/>
      <c r="K86" s="2389">
        <f>SUM(K87:K90)</f>
        <v>8.4</v>
      </c>
      <c r="L86" s="2323"/>
      <c r="M86" s="2409"/>
      <c r="N86" s="2409"/>
      <c r="O86" s="2410">
        <f>SUM(O87:O90)</f>
        <v>8.4</v>
      </c>
      <c r="P86" s="2323"/>
      <c r="Q86" s="2409"/>
      <c r="R86" s="2409"/>
      <c r="S86" s="2409">
        <f t="shared" si="10"/>
        <v>0</v>
      </c>
      <c r="T86" s="2409"/>
      <c r="U86" s="2389">
        <f>SUM(U87:U90)</f>
        <v>4.4000000000000004</v>
      </c>
      <c r="V86" s="2379">
        <f t="shared" si="8"/>
        <v>0</v>
      </c>
      <c r="W86" s="2373">
        <f t="shared" si="9"/>
        <v>0</v>
      </c>
      <c r="X86" s="2389"/>
      <c r="Y86" s="2389"/>
      <c r="Z86" s="2387"/>
      <c r="AA86" s="2296" t="s">
        <v>1665</v>
      </c>
    </row>
    <row r="87" spans="1:27" s="2290" customFormat="1" hidden="1" x14ac:dyDescent="0.25">
      <c r="A87" s="2380"/>
      <c r="B87" s="2381"/>
      <c r="C87" s="2328" t="s">
        <v>1612</v>
      </c>
      <c r="D87" s="2331"/>
      <c r="E87" s="2411"/>
      <c r="F87" s="2411"/>
      <c r="G87" s="2331"/>
      <c r="H87" s="2331">
        <v>16</v>
      </c>
      <c r="I87" s="2411">
        <v>100</v>
      </c>
      <c r="J87" s="2411"/>
      <c r="K87" s="2412">
        <f>H87*I87/1000</f>
        <v>1.6</v>
      </c>
      <c r="L87" s="2331">
        <v>16</v>
      </c>
      <c r="M87" s="2411">
        <v>100</v>
      </c>
      <c r="N87" s="2411"/>
      <c r="O87" s="2413">
        <f>L87*M87/1000</f>
        <v>1.6</v>
      </c>
      <c r="P87" s="2331">
        <v>14</v>
      </c>
      <c r="Q87" s="2411">
        <v>100</v>
      </c>
      <c r="R87" s="2411"/>
      <c r="S87" s="2411">
        <f t="shared" si="10"/>
        <v>0</v>
      </c>
      <c r="T87" s="2411"/>
      <c r="U87" s="2412">
        <f>P87*Q87/1000</f>
        <v>1.4</v>
      </c>
      <c r="V87" s="2386">
        <f t="shared" si="8"/>
        <v>0</v>
      </c>
      <c r="W87" s="2342">
        <f t="shared" si="9"/>
        <v>0</v>
      </c>
      <c r="X87" s="2412"/>
      <c r="Y87" s="2412"/>
      <c r="Z87" s="2387"/>
      <c r="AA87" s="2296" t="s">
        <v>1665</v>
      </c>
    </row>
    <row r="88" spans="1:27" s="2326" customFormat="1" hidden="1" x14ac:dyDescent="0.25">
      <c r="A88" s="2380"/>
      <c r="B88" s="2381"/>
      <c r="C88" s="2391" t="s">
        <v>1614</v>
      </c>
      <c r="D88" s="2331"/>
      <c r="E88" s="2411"/>
      <c r="F88" s="2411"/>
      <c r="G88" s="2331"/>
      <c r="H88" s="2331">
        <v>4</v>
      </c>
      <c r="I88" s="2411">
        <v>300</v>
      </c>
      <c r="J88" s="2411"/>
      <c r="K88" s="2412">
        <f>H88*I88/1000</f>
        <v>1.2</v>
      </c>
      <c r="L88" s="2331">
        <v>4</v>
      </c>
      <c r="M88" s="2411">
        <v>300</v>
      </c>
      <c r="N88" s="2411"/>
      <c r="O88" s="2413">
        <f>L88*M88/1000</f>
        <v>1.2</v>
      </c>
      <c r="P88" s="2331">
        <v>4</v>
      </c>
      <c r="Q88" s="2411">
        <v>380</v>
      </c>
      <c r="R88" s="2411"/>
      <c r="S88" s="2411">
        <f t="shared" si="10"/>
        <v>0</v>
      </c>
      <c r="T88" s="2411"/>
      <c r="U88" s="2412">
        <f>P88*Q88/1000</f>
        <v>1.5</v>
      </c>
      <c r="V88" s="2386">
        <f t="shared" si="8"/>
        <v>0</v>
      </c>
      <c r="W88" s="2342">
        <f t="shared" si="9"/>
        <v>0</v>
      </c>
      <c r="X88" s="2412"/>
      <c r="Y88" s="2412"/>
      <c r="Z88" s="2387"/>
      <c r="AA88" s="2296" t="s">
        <v>1665</v>
      </c>
    </row>
    <row r="89" spans="1:27" s="2326" customFormat="1" hidden="1" x14ac:dyDescent="0.25">
      <c r="A89" s="2380"/>
      <c r="B89" s="2381"/>
      <c r="C89" s="2391" t="s">
        <v>1615</v>
      </c>
      <c r="D89" s="2331"/>
      <c r="E89" s="2411"/>
      <c r="F89" s="2411"/>
      <c r="G89" s="2331"/>
      <c r="H89" s="2331">
        <v>4</v>
      </c>
      <c r="I89" s="2411">
        <v>300</v>
      </c>
      <c r="J89" s="2411"/>
      <c r="K89" s="2412">
        <f>H89*I89/1000</f>
        <v>1.2</v>
      </c>
      <c r="L89" s="2331">
        <v>4</v>
      </c>
      <c r="M89" s="2411">
        <v>300</v>
      </c>
      <c r="N89" s="2411"/>
      <c r="O89" s="2413">
        <f>L89*M89/1000</f>
        <v>1.2</v>
      </c>
      <c r="P89" s="2331">
        <v>4</v>
      </c>
      <c r="Q89" s="2411">
        <v>380</v>
      </c>
      <c r="R89" s="2411"/>
      <c r="S89" s="2411">
        <f t="shared" si="10"/>
        <v>0</v>
      </c>
      <c r="T89" s="2411"/>
      <c r="U89" s="2412">
        <f>P89*Q89/1000</f>
        <v>1.5</v>
      </c>
      <c r="V89" s="2386">
        <f t="shared" si="8"/>
        <v>0</v>
      </c>
      <c r="W89" s="2342">
        <f t="shared" si="9"/>
        <v>0</v>
      </c>
      <c r="X89" s="2412"/>
      <c r="Y89" s="2412"/>
      <c r="Z89" s="2387"/>
      <c r="AA89" s="2296" t="s">
        <v>1665</v>
      </c>
    </row>
    <row r="90" spans="1:27" s="2290" customFormat="1" ht="31.5" hidden="1" x14ac:dyDescent="0.25">
      <c r="A90" s="2380"/>
      <c r="B90" s="2381"/>
      <c r="C90" s="2391" t="s">
        <v>2108</v>
      </c>
      <c r="D90" s="2331"/>
      <c r="E90" s="2411"/>
      <c r="F90" s="2411"/>
      <c r="G90" s="2331"/>
      <c r="H90" s="2331">
        <v>2</v>
      </c>
      <c r="I90" s="2411">
        <v>2200</v>
      </c>
      <c r="J90" s="2411"/>
      <c r="K90" s="2412">
        <f>H90*I90/1000</f>
        <v>4.4000000000000004</v>
      </c>
      <c r="L90" s="2331">
        <v>2</v>
      </c>
      <c r="M90" s="2411">
        <v>2200</v>
      </c>
      <c r="N90" s="2411"/>
      <c r="O90" s="2413">
        <f>L90*M90/1000</f>
        <v>4.4000000000000004</v>
      </c>
      <c r="P90" s="2331"/>
      <c r="Q90" s="2411"/>
      <c r="R90" s="2411"/>
      <c r="S90" s="2411">
        <f t="shared" si="10"/>
        <v>0</v>
      </c>
      <c r="T90" s="2411"/>
      <c r="U90" s="2412">
        <f>P90*Q90/1000</f>
        <v>0</v>
      </c>
      <c r="V90" s="2386">
        <f t="shared" si="8"/>
        <v>0</v>
      </c>
      <c r="W90" s="2342">
        <f t="shared" si="9"/>
        <v>0</v>
      </c>
      <c r="X90" s="2412"/>
      <c r="Y90" s="2412"/>
      <c r="Z90" s="2387"/>
      <c r="AA90" s="2296" t="s">
        <v>1665</v>
      </c>
    </row>
    <row r="91" spans="1:27" s="2326" customFormat="1" hidden="1" x14ac:dyDescent="0.25">
      <c r="A91" s="2370"/>
      <c r="B91" s="2371">
        <v>963</v>
      </c>
      <c r="C91" s="2372" t="s">
        <v>798</v>
      </c>
      <c r="D91" s="2323"/>
      <c r="E91" s="2409"/>
      <c r="F91" s="2409"/>
      <c r="G91" s="2323"/>
      <c r="H91" s="2323"/>
      <c r="I91" s="2409"/>
      <c r="J91" s="2409"/>
      <c r="K91" s="2389">
        <f>K92</f>
        <v>1.6</v>
      </c>
      <c r="L91" s="2323"/>
      <c r="M91" s="2409"/>
      <c r="N91" s="2409"/>
      <c r="O91" s="2410">
        <f>O92</f>
        <v>1.6</v>
      </c>
      <c r="P91" s="2323"/>
      <c r="Q91" s="2409"/>
      <c r="R91" s="2409"/>
      <c r="S91" s="2409">
        <f t="shared" si="10"/>
        <v>0</v>
      </c>
      <c r="T91" s="2409"/>
      <c r="U91" s="2389">
        <f>U92</f>
        <v>1.6</v>
      </c>
      <c r="V91" s="2379">
        <f t="shared" si="8"/>
        <v>0</v>
      </c>
      <c r="W91" s="2373">
        <f t="shared" si="9"/>
        <v>0</v>
      </c>
      <c r="X91" s="2389"/>
      <c r="Y91" s="2389"/>
      <c r="Z91" s="2387"/>
      <c r="AA91" s="2296" t="s">
        <v>1665</v>
      </c>
    </row>
    <row r="92" spans="1:27" s="2290" customFormat="1" hidden="1" x14ac:dyDescent="0.25">
      <c r="A92" s="2380"/>
      <c r="B92" s="2381"/>
      <c r="C92" s="2391" t="s">
        <v>2095</v>
      </c>
      <c r="D92" s="2323"/>
      <c r="E92" s="2409"/>
      <c r="F92" s="2409"/>
      <c r="G92" s="2323"/>
      <c r="H92" s="2331">
        <v>16</v>
      </c>
      <c r="I92" s="2411">
        <v>100</v>
      </c>
      <c r="J92" s="2411"/>
      <c r="K92" s="2412">
        <f>H92*I92/1000</f>
        <v>1.6</v>
      </c>
      <c r="L92" s="2331">
        <v>16</v>
      </c>
      <c r="M92" s="2411">
        <v>100</v>
      </c>
      <c r="N92" s="2411"/>
      <c r="O92" s="2413">
        <f>L92*M92/1000</f>
        <v>1.6</v>
      </c>
      <c r="P92" s="2331">
        <v>20</v>
      </c>
      <c r="Q92" s="2411">
        <v>80</v>
      </c>
      <c r="R92" s="2411"/>
      <c r="S92" s="2411">
        <f t="shared" si="10"/>
        <v>0</v>
      </c>
      <c r="T92" s="2411"/>
      <c r="U92" s="2412">
        <f>P92*Q92/1000</f>
        <v>1.6</v>
      </c>
      <c r="V92" s="2386">
        <f t="shared" si="8"/>
        <v>0</v>
      </c>
      <c r="W92" s="2342">
        <f t="shared" si="9"/>
        <v>0</v>
      </c>
      <c r="X92" s="2412"/>
      <c r="Y92" s="2412"/>
      <c r="Z92" s="2387"/>
      <c r="AA92" s="2296" t="s">
        <v>1665</v>
      </c>
    </row>
    <row r="93" spans="1:27" s="2408" customFormat="1" ht="31.5" hidden="1" x14ac:dyDescent="0.25">
      <c r="A93" s="2366">
        <v>8</v>
      </c>
      <c r="B93" s="2401"/>
      <c r="C93" s="2367" t="s">
        <v>2109</v>
      </c>
      <c r="D93" s="2368"/>
      <c r="E93" s="2403"/>
      <c r="F93" s="2349">
        <f>F96+F102+F104+F109+F111+F113+F94+F106</f>
        <v>286.7</v>
      </c>
      <c r="G93" s="2349"/>
      <c r="H93" s="2349"/>
      <c r="I93" s="2349"/>
      <c r="J93" s="2349"/>
      <c r="K93" s="2349"/>
      <c r="L93" s="2349"/>
      <c r="M93" s="2349"/>
      <c r="N93" s="2349"/>
      <c r="O93" s="2414"/>
      <c r="P93" s="2349"/>
      <c r="Q93" s="2349"/>
      <c r="R93" s="2349"/>
      <c r="S93" s="2349">
        <f t="shared" si="10"/>
        <v>0</v>
      </c>
      <c r="T93" s="2349"/>
      <c r="U93" s="2349"/>
      <c r="V93" s="2407">
        <f t="shared" si="8"/>
        <v>0</v>
      </c>
      <c r="W93" s="2349">
        <f t="shared" si="9"/>
        <v>0</v>
      </c>
      <c r="X93" s="2349"/>
      <c r="Y93" s="2349"/>
      <c r="Z93" s="2368"/>
      <c r="AA93" s="2296" t="s">
        <v>1665</v>
      </c>
    </row>
    <row r="94" spans="1:27" s="2326" customFormat="1" ht="31.5" hidden="1" x14ac:dyDescent="0.25">
      <c r="A94" s="2371"/>
      <c r="B94" s="2371">
        <v>971</v>
      </c>
      <c r="C94" s="2372" t="s">
        <v>2110</v>
      </c>
      <c r="D94" s="2375"/>
      <c r="E94" s="2415"/>
      <c r="F94" s="2336">
        <f>F95</f>
        <v>190</v>
      </c>
      <c r="G94" s="2416"/>
      <c r="H94" s="2416"/>
      <c r="I94" s="2416"/>
      <c r="J94" s="2417"/>
      <c r="K94" s="2416"/>
      <c r="L94" s="2416"/>
      <c r="M94" s="2416"/>
      <c r="N94" s="2417"/>
      <c r="O94" s="2418"/>
      <c r="P94" s="2416"/>
      <c r="Q94" s="2416"/>
      <c r="R94" s="2417"/>
      <c r="S94" s="2417">
        <f t="shared" si="10"/>
        <v>0</v>
      </c>
      <c r="T94" s="2417"/>
      <c r="U94" s="2416"/>
      <c r="V94" s="2419">
        <f t="shared" si="8"/>
        <v>0</v>
      </c>
      <c r="W94" s="2416">
        <f t="shared" si="9"/>
        <v>0</v>
      </c>
      <c r="X94" s="2417"/>
      <c r="Y94" s="2416"/>
      <c r="Z94" s="2375"/>
      <c r="AA94" s="2296" t="s">
        <v>1665</v>
      </c>
    </row>
    <row r="95" spans="1:27" s="2290" customFormat="1" ht="47.25" hidden="1" x14ac:dyDescent="0.25">
      <c r="A95" s="2381"/>
      <c r="B95" s="2381"/>
      <c r="C95" s="2391" t="s">
        <v>2111</v>
      </c>
      <c r="D95" s="2387">
        <v>8</v>
      </c>
      <c r="E95" s="2420">
        <v>23750</v>
      </c>
      <c r="F95" s="2333">
        <f>D95*E95/1000</f>
        <v>190</v>
      </c>
      <c r="G95" s="2417"/>
      <c r="H95" s="2417"/>
      <c r="I95" s="2417"/>
      <c r="J95" s="2417"/>
      <c r="K95" s="2417"/>
      <c r="L95" s="2417"/>
      <c r="M95" s="2417"/>
      <c r="N95" s="2417"/>
      <c r="O95" s="2421"/>
      <c r="P95" s="2417"/>
      <c r="Q95" s="2417"/>
      <c r="R95" s="2417"/>
      <c r="S95" s="2417">
        <f t="shared" si="10"/>
        <v>0</v>
      </c>
      <c r="T95" s="2417"/>
      <c r="U95" s="2417"/>
      <c r="V95" s="2422">
        <f t="shared" si="8"/>
        <v>0</v>
      </c>
      <c r="W95" s="2417">
        <f t="shared" si="9"/>
        <v>0</v>
      </c>
      <c r="X95" s="2417"/>
      <c r="Y95" s="2417"/>
      <c r="Z95" s="2387"/>
      <c r="AA95" s="2296" t="s">
        <v>1665</v>
      </c>
    </row>
    <row r="96" spans="1:27" s="2326" customFormat="1" ht="31.5" x14ac:dyDescent="0.25">
      <c r="A96" s="2370"/>
      <c r="B96" s="2371">
        <v>955</v>
      </c>
      <c r="C96" s="2372" t="s">
        <v>1401</v>
      </c>
      <c r="D96" s="2390"/>
      <c r="E96" s="2351"/>
      <c r="F96" s="2336">
        <f>SUM(F97:F101)</f>
        <v>34.299999999999997</v>
      </c>
      <c r="G96" s="2336"/>
      <c r="H96" s="2336"/>
      <c r="I96" s="2336"/>
      <c r="J96" s="2336"/>
      <c r="K96" s="2336"/>
      <c r="L96" s="2336"/>
      <c r="M96" s="2336"/>
      <c r="N96" s="2336"/>
      <c r="O96" s="2352"/>
      <c r="P96" s="2336"/>
      <c r="Q96" s="2336"/>
      <c r="R96" s="2336"/>
      <c r="S96" s="2336">
        <f t="shared" si="10"/>
        <v>0</v>
      </c>
      <c r="T96" s="2336"/>
      <c r="U96" s="2336"/>
      <c r="V96" s="2419">
        <f t="shared" si="8"/>
        <v>0</v>
      </c>
      <c r="W96" s="2416">
        <f t="shared" si="9"/>
        <v>0</v>
      </c>
      <c r="X96" s="2417"/>
      <c r="Y96" s="2336"/>
      <c r="Z96" s="2423"/>
      <c r="AA96" s="2296" t="s">
        <v>1665</v>
      </c>
    </row>
    <row r="97" spans="1:27" s="2290" customFormat="1" hidden="1" x14ac:dyDescent="0.25">
      <c r="A97" s="2380"/>
      <c r="B97" s="2371"/>
      <c r="C97" s="2391" t="s">
        <v>2112</v>
      </c>
      <c r="D97" s="2388">
        <v>4</v>
      </c>
      <c r="E97" s="2354">
        <v>1725</v>
      </c>
      <c r="F97" s="2333">
        <f>D97*E97/1000</f>
        <v>6.9</v>
      </c>
      <c r="G97" s="2333"/>
      <c r="H97" s="2333"/>
      <c r="I97" s="2333"/>
      <c r="J97" s="2333"/>
      <c r="K97" s="2333"/>
      <c r="L97" s="2333"/>
      <c r="M97" s="2333"/>
      <c r="N97" s="2333"/>
      <c r="O97" s="2355"/>
      <c r="P97" s="2333"/>
      <c r="Q97" s="2333"/>
      <c r="R97" s="2333"/>
      <c r="S97" s="2333">
        <f t="shared" si="10"/>
        <v>0</v>
      </c>
      <c r="T97" s="2333"/>
      <c r="U97" s="2333"/>
      <c r="V97" s="2422">
        <f t="shared" si="8"/>
        <v>0</v>
      </c>
      <c r="W97" s="2417">
        <f t="shared" si="9"/>
        <v>0</v>
      </c>
      <c r="X97" s="2417"/>
      <c r="Y97" s="2333"/>
      <c r="Z97" s="2387"/>
      <c r="AA97" s="2296" t="s">
        <v>1665</v>
      </c>
    </row>
    <row r="98" spans="1:27" s="2290" customFormat="1" hidden="1" x14ac:dyDescent="0.25">
      <c r="A98" s="2380"/>
      <c r="B98" s="2371"/>
      <c r="C98" s="2391" t="s">
        <v>1737</v>
      </c>
      <c r="D98" s="2388">
        <v>1</v>
      </c>
      <c r="E98" s="2354">
        <v>3500</v>
      </c>
      <c r="F98" s="2333">
        <f>D98*E98/1000</f>
        <v>3.5</v>
      </c>
      <c r="G98" s="2333"/>
      <c r="H98" s="2333"/>
      <c r="I98" s="2333"/>
      <c r="J98" s="2333"/>
      <c r="K98" s="2333"/>
      <c r="L98" s="2333"/>
      <c r="M98" s="2333"/>
      <c r="N98" s="2333"/>
      <c r="O98" s="2355"/>
      <c r="P98" s="2333"/>
      <c r="Q98" s="2333"/>
      <c r="R98" s="2333"/>
      <c r="S98" s="2333">
        <f t="shared" si="10"/>
        <v>0</v>
      </c>
      <c r="T98" s="2333"/>
      <c r="U98" s="2333"/>
      <c r="V98" s="2422">
        <f t="shared" si="8"/>
        <v>0</v>
      </c>
      <c r="W98" s="2417">
        <f t="shared" si="9"/>
        <v>0</v>
      </c>
      <c r="X98" s="2417"/>
      <c r="Y98" s="2333"/>
      <c r="Z98" s="2387"/>
      <c r="AA98" s="2296" t="s">
        <v>1665</v>
      </c>
    </row>
    <row r="99" spans="1:27" s="2290" customFormat="1" hidden="1" x14ac:dyDescent="0.25">
      <c r="A99" s="2380"/>
      <c r="B99" s="2381"/>
      <c r="C99" s="2391" t="s">
        <v>2113</v>
      </c>
      <c r="D99" s="2388">
        <v>6</v>
      </c>
      <c r="E99" s="2354">
        <v>2000</v>
      </c>
      <c r="F99" s="2333">
        <f>D99*E99/1000</f>
        <v>12</v>
      </c>
      <c r="G99" s="2333"/>
      <c r="H99" s="2333"/>
      <c r="I99" s="2333"/>
      <c r="J99" s="2333"/>
      <c r="K99" s="2333"/>
      <c r="L99" s="2333"/>
      <c r="M99" s="2333"/>
      <c r="N99" s="2333"/>
      <c r="O99" s="2355"/>
      <c r="P99" s="2333"/>
      <c r="Q99" s="2333"/>
      <c r="R99" s="2333"/>
      <c r="S99" s="2333">
        <f t="shared" si="10"/>
        <v>0</v>
      </c>
      <c r="T99" s="2333"/>
      <c r="U99" s="2333"/>
      <c r="V99" s="2422">
        <f t="shared" si="8"/>
        <v>0</v>
      </c>
      <c r="W99" s="2417">
        <f t="shared" si="9"/>
        <v>0</v>
      </c>
      <c r="X99" s="2417"/>
      <c r="Y99" s="2333"/>
      <c r="Z99" s="2387"/>
      <c r="AA99" s="2296" t="s">
        <v>1665</v>
      </c>
    </row>
    <row r="100" spans="1:27" s="2290" customFormat="1" hidden="1" x14ac:dyDescent="0.25">
      <c r="A100" s="2380"/>
      <c r="B100" s="2381"/>
      <c r="C100" s="2391" t="s">
        <v>1754</v>
      </c>
      <c r="D100" s="2388">
        <v>2</v>
      </c>
      <c r="E100" s="2354">
        <v>2300</v>
      </c>
      <c r="F100" s="2333">
        <f>D100*E100/1000</f>
        <v>4.5999999999999996</v>
      </c>
      <c r="G100" s="2333"/>
      <c r="H100" s="2333"/>
      <c r="I100" s="2333"/>
      <c r="J100" s="2333"/>
      <c r="K100" s="2333"/>
      <c r="L100" s="2333"/>
      <c r="M100" s="2333"/>
      <c r="N100" s="2333"/>
      <c r="O100" s="2355"/>
      <c r="P100" s="2333"/>
      <c r="Q100" s="2333"/>
      <c r="R100" s="2333"/>
      <c r="S100" s="2333">
        <f t="shared" si="10"/>
        <v>0</v>
      </c>
      <c r="T100" s="2333"/>
      <c r="U100" s="2333"/>
      <c r="V100" s="2422">
        <f t="shared" si="8"/>
        <v>0</v>
      </c>
      <c r="W100" s="2417">
        <f t="shared" si="9"/>
        <v>0</v>
      </c>
      <c r="X100" s="2417"/>
      <c r="Y100" s="2333"/>
      <c r="Z100" s="2387"/>
      <c r="AA100" s="2296" t="s">
        <v>1665</v>
      </c>
    </row>
    <row r="101" spans="1:27" s="2290" customFormat="1" hidden="1" x14ac:dyDescent="0.25">
      <c r="A101" s="2380"/>
      <c r="B101" s="2381"/>
      <c r="C101" s="2328" t="s">
        <v>1234</v>
      </c>
      <c r="D101" s="2388"/>
      <c r="E101" s="2354"/>
      <c r="F101" s="2333">
        <f>SUM(F97:F100)*0.271</f>
        <v>7.3</v>
      </c>
      <c r="G101" s="2333"/>
      <c r="H101" s="2333"/>
      <c r="I101" s="2333"/>
      <c r="J101" s="2333"/>
      <c r="K101" s="2333"/>
      <c r="L101" s="2333"/>
      <c r="M101" s="2333"/>
      <c r="N101" s="2333"/>
      <c r="O101" s="2333"/>
      <c r="P101" s="2333"/>
      <c r="Q101" s="2333"/>
      <c r="R101" s="2333"/>
      <c r="S101" s="2333">
        <f t="shared" si="10"/>
        <v>0</v>
      </c>
      <c r="T101" s="2333"/>
      <c r="U101" s="2333"/>
      <c r="V101" s="2417">
        <f t="shared" si="8"/>
        <v>0</v>
      </c>
      <c r="W101" s="2417">
        <f t="shared" si="9"/>
        <v>0</v>
      </c>
      <c r="X101" s="2417"/>
      <c r="Y101" s="2333"/>
      <c r="Z101" s="2387"/>
      <c r="AA101" s="2296" t="s">
        <v>1665</v>
      </c>
    </row>
    <row r="102" spans="1:27" s="2326" customFormat="1" ht="31.5" hidden="1" x14ac:dyDescent="0.25">
      <c r="A102" s="2370"/>
      <c r="B102" s="2371">
        <v>981</v>
      </c>
      <c r="C102" s="2372" t="s">
        <v>2072</v>
      </c>
      <c r="D102" s="2390"/>
      <c r="E102" s="2351"/>
      <c r="F102" s="2336">
        <f>F103</f>
        <v>1.6</v>
      </c>
      <c r="G102" s="2336"/>
      <c r="H102" s="2336"/>
      <c r="I102" s="2336"/>
      <c r="J102" s="2336"/>
      <c r="K102" s="2336"/>
      <c r="L102" s="2336"/>
      <c r="M102" s="2336"/>
      <c r="N102" s="2336"/>
      <c r="O102" s="2336"/>
      <c r="P102" s="2336"/>
      <c r="Q102" s="2336"/>
      <c r="R102" s="2336"/>
      <c r="S102" s="2336">
        <f t="shared" si="10"/>
        <v>0</v>
      </c>
      <c r="T102" s="2336"/>
      <c r="U102" s="2336"/>
      <c r="V102" s="2416">
        <f t="shared" si="8"/>
        <v>0</v>
      </c>
      <c r="W102" s="2416">
        <f t="shared" si="9"/>
        <v>0</v>
      </c>
      <c r="X102" s="2417"/>
      <c r="Y102" s="2336"/>
      <c r="Z102" s="3461"/>
      <c r="AA102" s="2296" t="s">
        <v>1665</v>
      </c>
    </row>
    <row r="103" spans="1:27" s="2290" customFormat="1" hidden="1" x14ac:dyDescent="0.25">
      <c r="A103" s="2380"/>
      <c r="B103" s="2381"/>
      <c r="C103" s="2328" t="s">
        <v>1935</v>
      </c>
      <c r="D103" s="2388">
        <v>16</v>
      </c>
      <c r="E103" s="2354">
        <v>100</v>
      </c>
      <c r="F103" s="2333">
        <f>D103*E103/1000</f>
        <v>1.6</v>
      </c>
      <c r="G103" s="2333"/>
      <c r="H103" s="2333"/>
      <c r="I103" s="2333"/>
      <c r="J103" s="2333"/>
      <c r="K103" s="2333"/>
      <c r="L103" s="2333"/>
      <c r="M103" s="2333"/>
      <c r="N103" s="2333"/>
      <c r="O103" s="2333"/>
      <c r="P103" s="2333"/>
      <c r="Q103" s="2333"/>
      <c r="R103" s="2333"/>
      <c r="S103" s="2333">
        <f t="shared" si="10"/>
        <v>0</v>
      </c>
      <c r="T103" s="2333"/>
      <c r="U103" s="2333"/>
      <c r="V103" s="2417">
        <f t="shared" si="8"/>
        <v>0</v>
      </c>
      <c r="W103" s="2417">
        <f t="shared" si="9"/>
        <v>0</v>
      </c>
      <c r="X103" s="2417"/>
      <c r="Y103" s="2333"/>
      <c r="Z103" s="3462"/>
      <c r="AA103" s="2296" t="s">
        <v>1665</v>
      </c>
    </row>
    <row r="104" spans="1:27" s="2326" customFormat="1" hidden="1" x14ac:dyDescent="0.25">
      <c r="A104" s="2370"/>
      <c r="B104" s="2371">
        <v>963</v>
      </c>
      <c r="C104" s="2372" t="s">
        <v>798</v>
      </c>
      <c r="D104" s="2390"/>
      <c r="E104" s="2351"/>
      <c r="F104" s="2336">
        <f>SUM(F105:F105)</f>
        <v>25</v>
      </c>
      <c r="G104" s="2336"/>
      <c r="H104" s="2336"/>
      <c r="I104" s="2336"/>
      <c r="J104" s="2336"/>
      <c r="K104" s="2336"/>
      <c r="L104" s="2336"/>
      <c r="M104" s="2336"/>
      <c r="N104" s="2336"/>
      <c r="O104" s="2336"/>
      <c r="P104" s="2336"/>
      <c r="Q104" s="2336"/>
      <c r="R104" s="2336"/>
      <c r="S104" s="2336">
        <f t="shared" si="10"/>
        <v>0</v>
      </c>
      <c r="T104" s="2336"/>
      <c r="U104" s="2336"/>
      <c r="V104" s="2416">
        <f t="shared" si="8"/>
        <v>0</v>
      </c>
      <c r="W104" s="2416">
        <f t="shared" si="9"/>
        <v>0</v>
      </c>
      <c r="X104" s="2417"/>
      <c r="Y104" s="2336"/>
      <c r="Z104" s="3461"/>
      <c r="AA104" s="2296" t="s">
        <v>1665</v>
      </c>
    </row>
    <row r="105" spans="1:27" s="2290" customFormat="1" ht="31.5" hidden="1" x14ac:dyDescent="0.25">
      <c r="A105" s="2380"/>
      <c r="B105" s="2381"/>
      <c r="C105" s="2391" t="s">
        <v>2114</v>
      </c>
      <c r="D105" s="2388">
        <v>50</v>
      </c>
      <c r="E105" s="2354">
        <v>500</v>
      </c>
      <c r="F105" s="2333">
        <f>D105*E105/1000</f>
        <v>25</v>
      </c>
      <c r="G105" s="2333"/>
      <c r="H105" s="2333"/>
      <c r="I105" s="2333"/>
      <c r="J105" s="2333"/>
      <c r="K105" s="2333"/>
      <c r="L105" s="2333"/>
      <c r="M105" s="2333"/>
      <c r="N105" s="2333"/>
      <c r="O105" s="2333"/>
      <c r="P105" s="2333"/>
      <c r="Q105" s="2333"/>
      <c r="R105" s="2333"/>
      <c r="S105" s="2333">
        <f t="shared" si="10"/>
        <v>0</v>
      </c>
      <c r="T105" s="2333"/>
      <c r="U105" s="2333"/>
      <c r="V105" s="2417">
        <f t="shared" si="8"/>
        <v>0</v>
      </c>
      <c r="W105" s="2417">
        <f t="shared" si="9"/>
        <v>0</v>
      </c>
      <c r="X105" s="2417"/>
      <c r="Y105" s="2333"/>
      <c r="Z105" s="3462"/>
      <c r="AA105" s="2296" t="s">
        <v>1665</v>
      </c>
    </row>
    <row r="106" spans="1:27" s="2326" customFormat="1" ht="31.5" hidden="1" x14ac:dyDescent="0.25">
      <c r="A106" s="2370"/>
      <c r="B106" s="2371">
        <v>981</v>
      </c>
      <c r="C106" s="2372" t="s">
        <v>2115</v>
      </c>
      <c r="D106" s="2390"/>
      <c r="E106" s="2351"/>
      <c r="F106" s="2336">
        <f>F107+F108</f>
        <v>10</v>
      </c>
      <c r="G106" s="2336"/>
      <c r="H106" s="2336"/>
      <c r="I106" s="2336"/>
      <c r="J106" s="2336"/>
      <c r="K106" s="2336"/>
      <c r="L106" s="2336"/>
      <c r="M106" s="2336"/>
      <c r="N106" s="2336"/>
      <c r="O106" s="2336"/>
      <c r="P106" s="2336"/>
      <c r="Q106" s="2336"/>
      <c r="R106" s="2336"/>
      <c r="S106" s="2336">
        <f t="shared" si="10"/>
        <v>0</v>
      </c>
      <c r="T106" s="2336"/>
      <c r="U106" s="2336"/>
      <c r="V106" s="2416">
        <f t="shared" si="8"/>
        <v>0</v>
      </c>
      <c r="W106" s="2416">
        <f t="shared" si="9"/>
        <v>0</v>
      </c>
      <c r="X106" s="2416"/>
      <c r="Y106" s="2336"/>
      <c r="Z106" s="2424"/>
      <c r="AA106" s="2296" t="s">
        <v>1665</v>
      </c>
    </row>
    <row r="107" spans="1:27" s="2290" customFormat="1" hidden="1" x14ac:dyDescent="0.25">
      <c r="A107" s="2380"/>
      <c r="B107" s="2381"/>
      <c r="C107" s="2391" t="s">
        <v>2116</v>
      </c>
      <c r="D107" s="2388">
        <v>50</v>
      </c>
      <c r="E107" s="2354">
        <v>100</v>
      </c>
      <c r="F107" s="2333">
        <f>D107*E107/1000</f>
        <v>5</v>
      </c>
      <c r="G107" s="2333"/>
      <c r="H107" s="2333"/>
      <c r="I107" s="2333"/>
      <c r="J107" s="2333"/>
      <c r="K107" s="2333"/>
      <c r="L107" s="2333"/>
      <c r="M107" s="2333"/>
      <c r="N107" s="2333"/>
      <c r="O107" s="2333"/>
      <c r="P107" s="2333"/>
      <c r="Q107" s="2333"/>
      <c r="R107" s="2333"/>
      <c r="S107" s="2333">
        <f t="shared" si="10"/>
        <v>0</v>
      </c>
      <c r="T107" s="2333"/>
      <c r="U107" s="2333"/>
      <c r="V107" s="2417">
        <f t="shared" si="8"/>
        <v>0</v>
      </c>
      <c r="W107" s="2417">
        <f t="shared" si="9"/>
        <v>0</v>
      </c>
      <c r="X107" s="2417"/>
      <c r="Y107" s="2333"/>
      <c r="Z107" s="2424"/>
      <c r="AA107" s="2296" t="s">
        <v>1665</v>
      </c>
    </row>
    <row r="108" spans="1:27" s="2290" customFormat="1" hidden="1" x14ac:dyDescent="0.25">
      <c r="A108" s="2380"/>
      <c r="B108" s="2381"/>
      <c r="C108" s="2391" t="s">
        <v>2117</v>
      </c>
      <c r="D108" s="2388">
        <v>50</v>
      </c>
      <c r="E108" s="2354">
        <v>100</v>
      </c>
      <c r="F108" s="2333">
        <f>D108*E108/1000</f>
        <v>5</v>
      </c>
      <c r="G108" s="2333"/>
      <c r="H108" s="2333"/>
      <c r="I108" s="2333"/>
      <c r="J108" s="2333"/>
      <c r="K108" s="2333"/>
      <c r="L108" s="2333"/>
      <c r="M108" s="2333"/>
      <c r="N108" s="2333"/>
      <c r="O108" s="2333"/>
      <c r="P108" s="2333"/>
      <c r="Q108" s="2333"/>
      <c r="R108" s="2333"/>
      <c r="S108" s="2333">
        <f t="shared" si="10"/>
        <v>0</v>
      </c>
      <c r="T108" s="2333"/>
      <c r="U108" s="2333"/>
      <c r="V108" s="2417">
        <f t="shared" si="8"/>
        <v>0</v>
      </c>
      <c r="W108" s="2417">
        <f t="shared" si="9"/>
        <v>0</v>
      </c>
      <c r="X108" s="2417"/>
      <c r="Y108" s="2333"/>
      <c r="Z108" s="2424"/>
      <c r="AA108" s="2296" t="s">
        <v>1665</v>
      </c>
    </row>
    <row r="109" spans="1:27" s="2326" customFormat="1" hidden="1" x14ac:dyDescent="0.25">
      <c r="A109" s="2370"/>
      <c r="B109" s="2371">
        <v>981</v>
      </c>
      <c r="C109" s="2372" t="s">
        <v>1226</v>
      </c>
      <c r="D109" s="2390"/>
      <c r="E109" s="2351"/>
      <c r="F109" s="2336">
        <f>F110</f>
        <v>6</v>
      </c>
      <c r="G109" s="2336"/>
      <c r="H109" s="2336"/>
      <c r="I109" s="2336"/>
      <c r="J109" s="2336"/>
      <c r="K109" s="2336"/>
      <c r="L109" s="2336"/>
      <c r="M109" s="2336"/>
      <c r="N109" s="2336"/>
      <c r="O109" s="2336"/>
      <c r="P109" s="2336"/>
      <c r="Q109" s="2336"/>
      <c r="R109" s="2336"/>
      <c r="S109" s="2336">
        <f t="shared" si="10"/>
        <v>0</v>
      </c>
      <c r="T109" s="2336"/>
      <c r="U109" s="2336"/>
      <c r="V109" s="2416">
        <f t="shared" si="8"/>
        <v>0</v>
      </c>
      <c r="W109" s="2416">
        <f t="shared" si="9"/>
        <v>0</v>
      </c>
      <c r="X109" s="2417"/>
      <c r="Y109" s="2336"/>
      <c r="Z109" s="3461"/>
      <c r="AA109" s="2296" t="s">
        <v>1665</v>
      </c>
    </row>
    <row r="110" spans="1:27" s="2290" customFormat="1" hidden="1" x14ac:dyDescent="0.25">
      <c r="A110" s="2380"/>
      <c r="B110" s="2381"/>
      <c r="C110" s="2391" t="s">
        <v>2058</v>
      </c>
      <c r="D110" s="2388">
        <v>1</v>
      </c>
      <c r="E110" s="2354">
        <v>6000</v>
      </c>
      <c r="F110" s="2333">
        <f>D110*E110/1000</f>
        <v>6</v>
      </c>
      <c r="G110" s="2333"/>
      <c r="H110" s="2333"/>
      <c r="I110" s="2333"/>
      <c r="J110" s="2333"/>
      <c r="K110" s="2333"/>
      <c r="L110" s="2333"/>
      <c r="M110" s="2333"/>
      <c r="N110" s="2333"/>
      <c r="O110" s="2333"/>
      <c r="P110" s="2333"/>
      <c r="Q110" s="2333"/>
      <c r="R110" s="2333"/>
      <c r="S110" s="2333">
        <f t="shared" si="10"/>
        <v>0</v>
      </c>
      <c r="T110" s="2333"/>
      <c r="U110" s="2333"/>
      <c r="V110" s="2417">
        <f t="shared" si="8"/>
        <v>0</v>
      </c>
      <c r="W110" s="2417">
        <f t="shared" si="9"/>
        <v>0</v>
      </c>
      <c r="X110" s="2417"/>
      <c r="Y110" s="2333"/>
      <c r="Z110" s="3463"/>
      <c r="AA110" s="2296" t="s">
        <v>1665</v>
      </c>
    </row>
    <row r="111" spans="1:27" s="2326" customFormat="1" hidden="1" x14ac:dyDescent="0.25">
      <c r="A111" s="2370"/>
      <c r="B111" s="2371">
        <v>981</v>
      </c>
      <c r="C111" s="2372" t="s">
        <v>2104</v>
      </c>
      <c r="D111" s="2390"/>
      <c r="E111" s="2351"/>
      <c r="F111" s="2336">
        <f>F112</f>
        <v>4.8</v>
      </c>
      <c r="G111" s="2336"/>
      <c r="H111" s="2336"/>
      <c r="I111" s="2336"/>
      <c r="J111" s="2336"/>
      <c r="K111" s="2336"/>
      <c r="L111" s="2336"/>
      <c r="M111" s="2336"/>
      <c r="N111" s="2336"/>
      <c r="O111" s="2336"/>
      <c r="P111" s="2336"/>
      <c r="Q111" s="2336"/>
      <c r="R111" s="2336"/>
      <c r="S111" s="2336">
        <f t="shared" si="10"/>
        <v>0</v>
      </c>
      <c r="T111" s="2336"/>
      <c r="U111" s="2336"/>
      <c r="V111" s="2416">
        <f t="shared" si="8"/>
        <v>0</v>
      </c>
      <c r="W111" s="2416">
        <f t="shared" si="9"/>
        <v>0</v>
      </c>
      <c r="X111" s="2417"/>
      <c r="Y111" s="2336"/>
      <c r="Z111" s="3463"/>
      <c r="AA111" s="2296" t="s">
        <v>1665</v>
      </c>
    </row>
    <row r="112" spans="1:27" s="2290" customFormat="1" hidden="1" x14ac:dyDescent="0.25">
      <c r="A112" s="2380"/>
      <c r="B112" s="2381"/>
      <c r="C112" s="2391" t="s">
        <v>2105</v>
      </c>
      <c r="D112" s="2388">
        <v>80</v>
      </c>
      <c r="E112" s="2354">
        <v>60</v>
      </c>
      <c r="F112" s="2333">
        <f>D112*E112/1000</f>
        <v>4.8</v>
      </c>
      <c r="G112" s="2333"/>
      <c r="H112" s="2333"/>
      <c r="I112" s="2333"/>
      <c r="J112" s="2333"/>
      <c r="K112" s="2333"/>
      <c r="L112" s="2333"/>
      <c r="M112" s="2333"/>
      <c r="N112" s="2333"/>
      <c r="O112" s="2333"/>
      <c r="P112" s="2333"/>
      <c r="Q112" s="2333"/>
      <c r="R112" s="2333"/>
      <c r="S112" s="2333">
        <f t="shared" si="10"/>
        <v>0</v>
      </c>
      <c r="T112" s="2333"/>
      <c r="U112" s="2333"/>
      <c r="V112" s="2417">
        <f t="shared" si="8"/>
        <v>0</v>
      </c>
      <c r="W112" s="2417">
        <f t="shared" si="9"/>
        <v>0</v>
      </c>
      <c r="X112" s="2417"/>
      <c r="Y112" s="2333"/>
      <c r="Z112" s="3464"/>
      <c r="AA112" s="2296" t="s">
        <v>1665</v>
      </c>
    </row>
    <row r="113" spans="1:29" s="2326" customFormat="1" hidden="1" x14ac:dyDescent="0.25">
      <c r="A113" s="2370"/>
      <c r="B113" s="2371">
        <v>922</v>
      </c>
      <c r="C113" s="2372" t="s">
        <v>1227</v>
      </c>
      <c r="D113" s="2390">
        <v>6</v>
      </c>
      <c r="E113" s="2351">
        <v>2500</v>
      </c>
      <c r="F113" s="2336">
        <f>D113*E113/1000</f>
        <v>15</v>
      </c>
      <c r="G113" s="2336"/>
      <c r="H113" s="2336"/>
      <c r="I113" s="2336"/>
      <c r="J113" s="2336"/>
      <c r="K113" s="2336"/>
      <c r="L113" s="2336"/>
      <c r="M113" s="2336"/>
      <c r="N113" s="2336"/>
      <c r="O113" s="2336"/>
      <c r="P113" s="2336"/>
      <c r="Q113" s="2336"/>
      <c r="R113" s="2336"/>
      <c r="S113" s="2336">
        <f t="shared" si="10"/>
        <v>0</v>
      </c>
      <c r="T113" s="2336"/>
      <c r="U113" s="2336"/>
      <c r="V113" s="2416">
        <f t="shared" si="8"/>
        <v>0</v>
      </c>
      <c r="W113" s="2416">
        <f t="shared" si="9"/>
        <v>0</v>
      </c>
      <c r="X113" s="2417"/>
      <c r="Y113" s="2336"/>
      <c r="Z113" s="2387"/>
      <c r="AA113" s="2296" t="s">
        <v>1665</v>
      </c>
    </row>
    <row r="114" spans="1:29" s="2350" customFormat="1" ht="47.25" hidden="1" x14ac:dyDescent="0.2">
      <c r="A114" s="2366">
        <v>9</v>
      </c>
      <c r="B114" s="2401"/>
      <c r="C114" s="2367" t="s">
        <v>2118</v>
      </c>
      <c r="D114" s="2368"/>
      <c r="E114" s="2403"/>
      <c r="F114" s="2349">
        <f>SUM(F115:F119)</f>
        <v>301.3</v>
      </c>
      <c r="G114" s="2349">
        <f>SUM(G115:G119)</f>
        <v>0</v>
      </c>
      <c r="H114" s="2349"/>
      <c r="I114" s="2349"/>
      <c r="J114" s="2349">
        <f>SUM(J115:J119)</f>
        <v>280</v>
      </c>
      <c r="K114" s="2349">
        <f>SUM(K115:K119)</f>
        <v>271</v>
      </c>
      <c r="L114" s="2349"/>
      <c r="M114" s="2349"/>
      <c r="N114" s="2349">
        <f>SUM(N115:N119)</f>
        <v>280</v>
      </c>
      <c r="O114" s="2414">
        <f>SUM(O115:O119)</f>
        <v>271</v>
      </c>
      <c r="P114" s="2349"/>
      <c r="Q114" s="2349"/>
      <c r="R114" s="2349">
        <f>SUM(R115:R119)</f>
        <v>280</v>
      </c>
      <c r="S114" s="2349">
        <f t="shared" si="10"/>
        <v>280</v>
      </c>
      <c r="T114" s="2349"/>
      <c r="U114" s="2349">
        <f>SUM(U115:U119)</f>
        <v>271</v>
      </c>
      <c r="V114" s="2349">
        <f t="shared" si="8"/>
        <v>0</v>
      </c>
      <c r="W114" s="2349">
        <f t="shared" si="9"/>
        <v>100</v>
      </c>
      <c r="X114" s="2349">
        <f>SUM(X115:X119)</f>
        <v>300</v>
      </c>
      <c r="Y114" s="2349">
        <f>SUM(Y115:Y119)</f>
        <v>300</v>
      </c>
      <c r="Z114" s="2425"/>
      <c r="AA114" s="2296" t="s">
        <v>1665</v>
      </c>
    </row>
    <row r="115" spans="1:29" s="2290" customFormat="1" hidden="1" x14ac:dyDescent="0.25">
      <c r="A115" s="2380"/>
      <c r="B115" s="2325">
        <v>966</v>
      </c>
      <c r="C115" s="2328" t="s">
        <v>2119</v>
      </c>
      <c r="D115" s="2329">
        <v>14</v>
      </c>
      <c r="E115" s="2330">
        <v>21518</v>
      </c>
      <c r="F115" s="2333">
        <f>D115*E115/1000</f>
        <v>301.3</v>
      </c>
      <c r="G115" s="2333"/>
      <c r="H115" s="2417">
        <v>12</v>
      </c>
      <c r="I115" s="2417">
        <f>J115/H115*1000</f>
        <v>23333.3</v>
      </c>
      <c r="J115" s="2417">
        <v>280</v>
      </c>
      <c r="K115" s="2417"/>
      <c r="L115" s="2417">
        <v>12</v>
      </c>
      <c r="M115" s="2417">
        <f>N115/L115*1000</f>
        <v>23333.3</v>
      </c>
      <c r="N115" s="2417">
        <v>280</v>
      </c>
      <c r="O115" s="2421"/>
      <c r="P115" s="2417">
        <v>10</v>
      </c>
      <c r="Q115" s="2417">
        <v>28000</v>
      </c>
      <c r="R115" s="2417">
        <f>P115*Q115/1000</f>
        <v>280</v>
      </c>
      <c r="S115" s="2417">
        <f t="shared" si="10"/>
        <v>280</v>
      </c>
      <c r="T115" s="2417"/>
      <c r="U115" s="2417"/>
      <c r="V115" s="2417">
        <f t="shared" si="8"/>
        <v>0</v>
      </c>
      <c r="W115" s="2417">
        <f t="shared" si="9"/>
        <v>100</v>
      </c>
      <c r="X115" s="2417">
        <v>300</v>
      </c>
      <c r="Y115" s="2417">
        <v>300</v>
      </c>
      <c r="Z115" s="3465"/>
      <c r="AA115" s="2296" t="s">
        <v>1665</v>
      </c>
    </row>
    <row r="116" spans="1:29" s="2290" customFormat="1" ht="31.5" hidden="1" x14ac:dyDescent="0.25">
      <c r="A116" s="2380"/>
      <c r="B116" s="2325">
        <v>966</v>
      </c>
      <c r="C116" s="2328" t="s">
        <v>2120</v>
      </c>
      <c r="D116" s="2329"/>
      <c r="E116" s="2330"/>
      <c r="F116" s="2333"/>
      <c r="G116" s="2333">
        <f>D116*E116/1000</f>
        <v>0</v>
      </c>
      <c r="H116" s="2417">
        <v>12</v>
      </c>
      <c r="I116" s="2417">
        <v>14000</v>
      </c>
      <c r="J116" s="2417"/>
      <c r="K116" s="2417">
        <v>168</v>
      </c>
      <c r="L116" s="2417">
        <v>12</v>
      </c>
      <c r="M116" s="2417">
        <v>14000</v>
      </c>
      <c r="N116" s="2417"/>
      <c r="O116" s="2421">
        <v>168</v>
      </c>
      <c r="P116" s="2417">
        <v>10</v>
      </c>
      <c r="Q116" s="2417">
        <v>28000</v>
      </c>
      <c r="R116" s="2417"/>
      <c r="S116" s="2417">
        <f t="shared" si="10"/>
        <v>0</v>
      </c>
      <c r="T116" s="2417"/>
      <c r="U116" s="2417">
        <v>168</v>
      </c>
      <c r="V116" s="2417">
        <f t="shared" si="8"/>
        <v>0</v>
      </c>
      <c r="W116" s="2417">
        <f t="shared" si="9"/>
        <v>0</v>
      </c>
      <c r="X116" s="2417"/>
      <c r="Y116" s="2417"/>
      <c r="Z116" s="3466"/>
      <c r="AA116" s="2296" t="s">
        <v>1665</v>
      </c>
    </row>
    <row r="117" spans="1:29" s="2290" customFormat="1" ht="31.5" hidden="1" x14ac:dyDescent="0.25">
      <c r="A117" s="2380"/>
      <c r="B117" s="2325">
        <v>912</v>
      </c>
      <c r="C117" s="2328" t="s">
        <v>2121</v>
      </c>
      <c r="D117" s="2329"/>
      <c r="E117" s="2330"/>
      <c r="F117" s="2333"/>
      <c r="G117" s="2333">
        <f>D117*E117/1000</f>
        <v>0</v>
      </c>
      <c r="H117" s="2417">
        <v>2</v>
      </c>
      <c r="I117" s="2417">
        <v>3500</v>
      </c>
      <c r="J117" s="2417"/>
      <c r="K117" s="2417">
        <v>7</v>
      </c>
      <c r="L117" s="2417">
        <v>2</v>
      </c>
      <c r="M117" s="2417">
        <v>3500</v>
      </c>
      <c r="N117" s="2417"/>
      <c r="O117" s="2421">
        <v>7</v>
      </c>
      <c r="P117" s="2417">
        <v>2</v>
      </c>
      <c r="Q117" s="2417">
        <v>3500</v>
      </c>
      <c r="R117" s="2417"/>
      <c r="S117" s="2417">
        <f t="shared" si="10"/>
        <v>0</v>
      </c>
      <c r="T117" s="2417"/>
      <c r="U117" s="2417">
        <v>7</v>
      </c>
      <c r="V117" s="2417">
        <f t="shared" si="8"/>
        <v>0</v>
      </c>
      <c r="W117" s="2417">
        <f t="shared" si="9"/>
        <v>0</v>
      </c>
      <c r="X117" s="2417"/>
      <c r="Y117" s="2417"/>
      <c r="Z117" s="3466"/>
      <c r="AA117" s="2296" t="s">
        <v>1665</v>
      </c>
    </row>
    <row r="118" spans="1:29" s="2431" customFormat="1" ht="31.5" hidden="1" x14ac:dyDescent="0.25">
      <c r="A118" s="2426"/>
      <c r="B118" s="2427">
        <v>921</v>
      </c>
      <c r="C118" s="2428" t="s">
        <v>2122</v>
      </c>
      <c r="D118" s="2329"/>
      <c r="E118" s="2330"/>
      <c r="F118" s="2333"/>
      <c r="G118" s="2333">
        <f>D118*E118/1000</f>
        <v>0</v>
      </c>
      <c r="H118" s="2417">
        <v>2</v>
      </c>
      <c r="I118" s="2417">
        <v>34000</v>
      </c>
      <c r="J118" s="2417"/>
      <c r="K118" s="2417">
        <v>68</v>
      </c>
      <c r="L118" s="2417">
        <v>2</v>
      </c>
      <c r="M118" s="2417">
        <v>34000</v>
      </c>
      <c r="N118" s="2417"/>
      <c r="O118" s="2421">
        <v>68</v>
      </c>
      <c r="P118" s="2429">
        <v>2</v>
      </c>
      <c r="Q118" s="2429">
        <v>34000</v>
      </c>
      <c r="R118" s="2429"/>
      <c r="S118" s="2429">
        <f t="shared" si="10"/>
        <v>0</v>
      </c>
      <c r="T118" s="2429"/>
      <c r="U118" s="2429">
        <v>68</v>
      </c>
      <c r="V118" s="2429">
        <f t="shared" si="8"/>
        <v>0</v>
      </c>
      <c r="W118" s="2429">
        <f t="shared" si="9"/>
        <v>0</v>
      </c>
      <c r="X118" s="2429"/>
      <c r="Y118" s="2429"/>
      <c r="Z118" s="3467"/>
      <c r="AA118" s="2430" t="s">
        <v>1665</v>
      </c>
    </row>
    <row r="119" spans="1:29" s="2290" customFormat="1" ht="31.5" hidden="1" x14ac:dyDescent="0.25">
      <c r="A119" s="2380"/>
      <c r="B119" s="2325">
        <v>952</v>
      </c>
      <c r="C119" s="2328" t="s">
        <v>2123</v>
      </c>
      <c r="D119" s="2329"/>
      <c r="E119" s="2330"/>
      <c r="F119" s="2333"/>
      <c r="G119" s="2333">
        <f>D119*E119/1000</f>
        <v>0</v>
      </c>
      <c r="H119" s="2417">
        <v>2</v>
      </c>
      <c r="I119" s="2417">
        <v>14000</v>
      </c>
      <c r="J119" s="2417"/>
      <c r="K119" s="2417">
        <v>28</v>
      </c>
      <c r="L119" s="2417">
        <v>2</v>
      </c>
      <c r="M119" s="2417">
        <v>14000</v>
      </c>
      <c r="N119" s="2417"/>
      <c r="O119" s="2421">
        <v>28</v>
      </c>
      <c r="P119" s="2417">
        <v>2</v>
      </c>
      <c r="Q119" s="2417">
        <v>14000</v>
      </c>
      <c r="R119" s="2417"/>
      <c r="S119" s="2417">
        <f t="shared" si="10"/>
        <v>0</v>
      </c>
      <c r="T119" s="2417"/>
      <c r="U119" s="2417">
        <v>28</v>
      </c>
      <c r="V119" s="2417">
        <f t="shared" si="8"/>
        <v>0</v>
      </c>
      <c r="W119" s="2417">
        <f t="shared" si="9"/>
        <v>0</v>
      </c>
      <c r="X119" s="2417"/>
      <c r="Y119" s="2417"/>
      <c r="Z119" s="3468"/>
      <c r="AA119" s="2296" t="s">
        <v>1665</v>
      </c>
    </row>
    <row r="120" spans="1:29" s="2439" customFormat="1" ht="31.5" hidden="1" x14ac:dyDescent="0.2">
      <c r="A120" s="2432">
        <v>10</v>
      </c>
      <c r="B120" s="2433"/>
      <c r="C120" s="2434" t="s">
        <v>843</v>
      </c>
      <c r="D120" s="2435"/>
      <c r="E120" s="2436"/>
      <c r="F120" s="2435">
        <f>F121+F126+F130+F142</f>
        <v>102.1</v>
      </c>
      <c r="G120" s="2435">
        <v>0</v>
      </c>
      <c r="H120" s="2435"/>
      <c r="I120" s="2435"/>
      <c r="J120" s="2436">
        <f>J121+J126+J130+J142</f>
        <v>102.1</v>
      </c>
      <c r="K120" s="2435"/>
      <c r="L120" s="2435"/>
      <c r="M120" s="2435"/>
      <c r="N120" s="2436">
        <f>N121+N126+N130+N142</f>
        <v>102.1</v>
      </c>
      <c r="O120" s="2437"/>
      <c r="P120" s="2435"/>
      <c r="Q120" s="2435"/>
      <c r="R120" s="2435">
        <f>R121+R126+R130+R142</f>
        <v>103.1</v>
      </c>
      <c r="S120" s="2435">
        <f t="shared" si="10"/>
        <v>103.1</v>
      </c>
      <c r="T120" s="2435"/>
      <c r="U120" s="2435">
        <f t="shared" ref="U120:Y120" si="11">U121+U126+U130+U142</f>
        <v>0</v>
      </c>
      <c r="V120" s="2436">
        <f t="shared" si="8"/>
        <v>1</v>
      </c>
      <c r="W120" s="2436">
        <f t="shared" si="9"/>
        <v>100.98</v>
      </c>
      <c r="X120" s="2436">
        <f>X121+X126+X130+X142</f>
        <v>102.1</v>
      </c>
      <c r="Y120" s="2436">
        <f t="shared" si="11"/>
        <v>102.1</v>
      </c>
      <c r="Z120" s="2438"/>
      <c r="AA120" s="2296" t="s">
        <v>1665</v>
      </c>
      <c r="AC120" s="2439" t="s">
        <v>844</v>
      </c>
    </row>
    <row r="121" spans="1:29" s="2326" customFormat="1" hidden="1" x14ac:dyDescent="0.25">
      <c r="A121" s="2370"/>
      <c r="B121" s="2319">
        <v>981</v>
      </c>
      <c r="C121" s="2320" t="s">
        <v>2124</v>
      </c>
      <c r="D121" s="2361"/>
      <c r="E121" s="2397"/>
      <c r="F121" s="2389">
        <f>SUM(F122:F125)</f>
        <v>71.5</v>
      </c>
      <c r="G121" s="2416"/>
      <c r="H121" s="2416"/>
      <c r="I121" s="2416"/>
      <c r="J121" s="2389">
        <f>SUM(J122:J125)</f>
        <v>71.5</v>
      </c>
      <c r="K121" s="2416"/>
      <c r="L121" s="2416"/>
      <c r="M121" s="2416"/>
      <c r="N121" s="2389">
        <f>SUM(N122:N125)</f>
        <v>71.5</v>
      </c>
      <c r="O121" s="2418"/>
      <c r="P121" s="2416"/>
      <c r="Q121" s="2416"/>
      <c r="R121" s="2389">
        <f>SUM(R122:R125)</f>
        <v>32.1</v>
      </c>
      <c r="S121" s="2389">
        <f t="shared" si="10"/>
        <v>32.1</v>
      </c>
      <c r="T121" s="2389"/>
      <c r="U121" s="2389">
        <f t="shared" ref="U121:Y121" si="12">SUM(U122:U125)</f>
        <v>0</v>
      </c>
      <c r="V121" s="2389">
        <f t="shared" si="8"/>
        <v>-39.4</v>
      </c>
      <c r="W121" s="2389">
        <f t="shared" si="9"/>
        <v>44.9</v>
      </c>
      <c r="X121" s="2389">
        <f>SUM(X122:X125)</f>
        <v>32.1</v>
      </c>
      <c r="Y121" s="2389">
        <f t="shared" si="12"/>
        <v>32.1</v>
      </c>
      <c r="Z121" s="2440"/>
      <c r="AA121" s="2296" t="s">
        <v>1665</v>
      </c>
    </row>
    <row r="122" spans="1:29" s="2290" customFormat="1" hidden="1" x14ac:dyDescent="0.25">
      <c r="A122" s="2380"/>
      <c r="B122" s="2325"/>
      <c r="C122" s="2328" t="s">
        <v>2125</v>
      </c>
      <c r="D122" s="2364">
        <v>1500</v>
      </c>
      <c r="E122" s="2441">
        <v>15</v>
      </c>
      <c r="F122" s="2412">
        <f>D122*E122/1000</f>
        <v>22.5</v>
      </c>
      <c r="G122" s="2417"/>
      <c r="H122" s="2417">
        <v>1500</v>
      </c>
      <c r="I122" s="2417">
        <v>15</v>
      </c>
      <c r="J122" s="2417">
        <f>H122*I122/1000</f>
        <v>22.5</v>
      </c>
      <c r="K122" s="2417"/>
      <c r="L122" s="2417">
        <v>1500</v>
      </c>
      <c r="M122" s="2417">
        <v>15</v>
      </c>
      <c r="N122" s="2417">
        <f>L122*M122/1000</f>
        <v>22.5</v>
      </c>
      <c r="O122" s="2421"/>
      <c r="P122" s="2417">
        <v>800</v>
      </c>
      <c r="Q122" s="2417">
        <v>15</v>
      </c>
      <c r="R122" s="2417">
        <f>P122*Q122/1000</f>
        <v>12</v>
      </c>
      <c r="S122" s="2417">
        <f t="shared" si="10"/>
        <v>12</v>
      </c>
      <c r="T122" s="2417"/>
      <c r="U122" s="2417"/>
      <c r="V122" s="2417">
        <f t="shared" si="8"/>
        <v>-10.5</v>
      </c>
      <c r="W122" s="2417">
        <f t="shared" si="9"/>
        <v>53.3</v>
      </c>
      <c r="X122" s="2417">
        <v>12</v>
      </c>
      <c r="Y122" s="2417">
        <v>12</v>
      </c>
      <c r="Z122" s="2440"/>
      <c r="AA122" s="2296" t="s">
        <v>1665</v>
      </c>
    </row>
    <row r="123" spans="1:29" s="2290" customFormat="1" ht="31.5" hidden="1" x14ac:dyDescent="0.25">
      <c r="A123" s="2380"/>
      <c r="B123" s="2325"/>
      <c r="C123" s="2328" t="s">
        <v>2126</v>
      </c>
      <c r="D123" s="2364">
        <v>700</v>
      </c>
      <c r="E123" s="2441">
        <v>50</v>
      </c>
      <c r="F123" s="2412">
        <f>D123*E123/1000</f>
        <v>35</v>
      </c>
      <c r="G123" s="2417"/>
      <c r="H123" s="2417">
        <v>700</v>
      </c>
      <c r="I123" s="2417">
        <v>50</v>
      </c>
      <c r="J123" s="2417">
        <f>H123*I123/1000</f>
        <v>35</v>
      </c>
      <c r="K123" s="2417"/>
      <c r="L123" s="2417">
        <v>700</v>
      </c>
      <c r="M123" s="2417">
        <v>50</v>
      </c>
      <c r="N123" s="2417">
        <f>L123*M123/1000</f>
        <v>35</v>
      </c>
      <c r="O123" s="2421"/>
      <c r="P123" s="2417">
        <v>880</v>
      </c>
      <c r="Q123" s="2417">
        <v>20</v>
      </c>
      <c r="R123" s="2417">
        <f>P123*Q123/1000</f>
        <v>17.600000000000001</v>
      </c>
      <c r="S123" s="2417">
        <f t="shared" si="10"/>
        <v>17.600000000000001</v>
      </c>
      <c r="T123" s="2417"/>
      <c r="U123" s="2417"/>
      <c r="V123" s="2417">
        <f t="shared" si="8"/>
        <v>-17.399999999999999</v>
      </c>
      <c r="W123" s="2417">
        <f t="shared" si="9"/>
        <v>50.3</v>
      </c>
      <c r="X123" s="2417">
        <v>17.600000000000001</v>
      </c>
      <c r="Y123" s="2417">
        <v>17.600000000000001</v>
      </c>
      <c r="Z123" s="2442"/>
      <c r="AA123" s="2296" t="s">
        <v>1665</v>
      </c>
    </row>
    <row r="124" spans="1:29" s="2290" customFormat="1" hidden="1" x14ac:dyDescent="0.25">
      <c r="A124" s="2380"/>
      <c r="B124" s="2325"/>
      <c r="C124" s="2358" t="s">
        <v>1828</v>
      </c>
      <c r="D124" s="2364"/>
      <c r="E124" s="2441"/>
      <c r="F124" s="2412"/>
      <c r="G124" s="2417"/>
      <c r="H124" s="2417"/>
      <c r="I124" s="2417"/>
      <c r="J124" s="2417"/>
      <c r="K124" s="2417"/>
      <c r="L124" s="2417"/>
      <c r="M124" s="2417"/>
      <c r="N124" s="2417"/>
      <c r="O124" s="2421"/>
      <c r="P124" s="2417">
        <v>50</v>
      </c>
      <c r="Q124" s="2417">
        <v>50</v>
      </c>
      <c r="R124" s="2417">
        <f>P124*Q124/1000</f>
        <v>2.5</v>
      </c>
      <c r="S124" s="2417">
        <f t="shared" si="10"/>
        <v>2.5</v>
      </c>
      <c r="T124" s="2417"/>
      <c r="U124" s="2417"/>
      <c r="V124" s="2417">
        <f t="shared" si="8"/>
        <v>2.5</v>
      </c>
      <c r="W124" s="2417">
        <f t="shared" si="9"/>
        <v>0</v>
      </c>
      <c r="X124" s="2417">
        <v>2.5</v>
      </c>
      <c r="Y124" s="2417">
        <v>2.5</v>
      </c>
      <c r="Z124" s="2442" t="s">
        <v>2085</v>
      </c>
      <c r="AA124" s="2296" t="s">
        <v>1665</v>
      </c>
    </row>
    <row r="125" spans="1:29" s="2290" customFormat="1" hidden="1" x14ac:dyDescent="0.25">
      <c r="A125" s="2380"/>
      <c r="B125" s="2325"/>
      <c r="C125" s="2328" t="s">
        <v>2127</v>
      </c>
      <c r="D125" s="2364">
        <v>4</v>
      </c>
      <c r="E125" s="2441">
        <v>3500</v>
      </c>
      <c r="F125" s="2412">
        <f>D125*E125/1000</f>
        <v>14</v>
      </c>
      <c r="G125" s="2417"/>
      <c r="H125" s="2417">
        <v>4</v>
      </c>
      <c r="I125" s="2417">
        <v>3500</v>
      </c>
      <c r="J125" s="2417">
        <f>H125*I125/1000</f>
        <v>14</v>
      </c>
      <c r="K125" s="2417"/>
      <c r="L125" s="2417">
        <v>4</v>
      </c>
      <c r="M125" s="2417">
        <v>3500</v>
      </c>
      <c r="N125" s="2417">
        <f>L125*M125/1000</f>
        <v>14</v>
      </c>
      <c r="O125" s="2421"/>
      <c r="P125" s="2417"/>
      <c r="Q125" s="2417"/>
      <c r="R125" s="2417">
        <f>P125*Q125/1000</f>
        <v>0</v>
      </c>
      <c r="S125" s="2417">
        <f t="shared" si="10"/>
        <v>0</v>
      </c>
      <c r="T125" s="2417"/>
      <c r="U125" s="2417"/>
      <c r="V125" s="2417">
        <f t="shared" si="8"/>
        <v>-14</v>
      </c>
      <c r="W125" s="2417">
        <f t="shared" si="9"/>
        <v>0</v>
      </c>
      <c r="X125" s="2417"/>
      <c r="Y125" s="2417"/>
      <c r="Z125" s="2440"/>
      <c r="AA125" s="2296" t="s">
        <v>1665</v>
      </c>
    </row>
    <row r="126" spans="1:29" s="2326" customFormat="1" hidden="1" x14ac:dyDescent="0.25">
      <c r="A126" s="2370"/>
      <c r="B126" s="2319">
        <v>963</v>
      </c>
      <c r="C126" s="2320" t="s">
        <v>798</v>
      </c>
      <c r="D126" s="2361"/>
      <c r="E126" s="2397"/>
      <c r="F126" s="2389">
        <f>F127</f>
        <v>10</v>
      </c>
      <c r="G126" s="2416"/>
      <c r="H126" s="2416"/>
      <c r="I126" s="2416"/>
      <c r="J126" s="2389">
        <f>J127</f>
        <v>10</v>
      </c>
      <c r="K126" s="2416"/>
      <c r="L126" s="2416"/>
      <c r="M126" s="2416"/>
      <c r="N126" s="2389">
        <f>N127</f>
        <v>10</v>
      </c>
      <c r="O126" s="2418"/>
      <c r="P126" s="2416"/>
      <c r="Q126" s="2416"/>
      <c r="R126" s="2389">
        <f>SUM(R127:R129)</f>
        <v>51</v>
      </c>
      <c r="S126" s="2389">
        <f t="shared" si="10"/>
        <v>51</v>
      </c>
      <c r="T126" s="2389"/>
      <c r="U126" s="2416"/>
      <c r="V126" s="2416">
        <f t="shared" si="8"/>
        <v>41</v>
      </c>
      <c r="W126" s="2416">
        <f t="shared" si="9"/>
        <v>510</v>
      </c>
      <c r="X126" s="2389">
        <f>SUM(X127:X128)</f>
        <v>50</v>
      </c>
      <c r="Y126" s="2389">
        <f>SUM(Y127:Y128)</f>
        <v>50</v>
      </c>
      <c r="Z126" s="2440"/>
      <c r="AA126" s="2296" t="s">
        <v>1665</v>
      </c>
    </row>
    <row r="127" spans="1:29" s="2290" customFormat="1" ht="31.5" hidden="1" x14ac:dyDescent="0.25">
      <c r="A127" s="2380"/>
      <c r="B127" s="2325"/>
      <c r="C127" s="2328" t="s">
        <v>2128</v>
      </c>
      <c r="D127" s="2364">
        <v>50</v>
      </c>
      <c r="E127" s="2441">
        <v>200</v>
      </c>
      <c r="F127" s="2412">
        <f>D127*E127/1000</f>
        <v>10</v>
      </c>
      <c r="G127" s="2417"/>
      <c r="H127" s="2417">
        <v>50</v>
      </c>
      <c r="I127" s="2417">
        <v>200</v>
      </c>
      <c r="J127" s="2417">
        <f>H127*I127/1000</f>
        <v>10</v>
      </c>
      <c r="K127" s="2417"/>
      <c r="L127" s="2417">
        <v>50</v>
      </c>
      <c r="M127" s="2417">
        <v>200</v>
      </c>
      <c r="N127" s="2417">
        <f>L127*M127/1000</f>
        <v>10</v>
      </c>
      <c r="O127" s="2421"/>
      <c r="P127" s="2417"/>
      <c r="Q127" s="2417"/>
      <c r="R127" s="2417"/>
      <c r="S127" s="2417">
        <f t="shared" si="10"/>
        <v>0</v>
      </c>
      <c r="T127" s="2417"/>
      <c r="U127" s="2417"/>
      <c r="V127" s="2417">
        <f t="shared" si="8"/>
        <v>-10</v>
      </c>
      <c r="W127" s="2417">
        <f t="shared" si="9"/>
        <v>0</v>
      </c>
      <c r="X127" s="2417">
        <v>10</v>
      </c>
      <c r="Y127" s="2417">
        <v>10</v>
      </c>
      <c r="Z127" s="2442"/>
      <c r="AA127" s="2296" t="s">
        <v>1665</v>
      </c>
    </row>
    <row r="128" spans="1:29" s="2290" customFormat="1" ht="31.5" hidden="1" x14ac:dyDescent="0.25">
      <c r="A128" s="2380"/>
      <c r="B128" s="2325"/>
      <c r="C128" s="2328" t="s">
        <v>1373</v>
      </c>
      <c r="D128" s="2364"/>
      <c r="E128" s="2441"/>
      <c r="F128" s="2412"/>
      <c r="G128" s="2417"/>
      <c r="H128" s="2417"/>
      <c r="I128" s="2417"/>
      <c r="J128" s="2417"/>
      <c r="K128" s="2417"/>
      <c r="L128" s="2417"/>
      <c r="M128" s="2417"/>
      <c r="N128" s="2417"/>
      <c r="O128" s="2421"/>
      <c r="P128" s="2417">
        <v>200</v>
      </c>
      <c r="Q128" s="2417">
        <v>230</v>
      </c>
      <c r="R128" s="2417">
        <f>P128*Q128/1000</f>
        <v>46</v>
      </c>
      <c r="S128" s="2417">
        <f t="shared" si="10"/>
        <v>46</v>
      </c>
      <c r="T128" s="2417"/>
      <c r="U128" s="2417"/>
      <c r="V128" s="2417">
        <f t="shared" si="8"/>
        <v>46</v>
      </c>
      <c r="W128" s="2417">
        <f t="shared" si="9"/>
        <v>0</v>
      </c>
      <c r="X128" s="2417">
        <v>40</v>
      </c>
      <c r="Y128" s="2417">
        <v>40</v>
      </c>
      <c r="Z128" s="2443" t="s">
        <v>2129</v>
      </c>
      <c r="AA128" s="2296" t="s">
        <v>1665</v>
      </c>
    </row>
    <row r="129" spans="1:27" s="2290" customFormat="1" hidden="1" x14ac:dyDescent="0.25">
      <c r="A129" s="2380"/>
      <c r="B129" s="2325"/>
      <c r="C129" s="2328" t="s">
        <v>2130</v>
      </c>
      <c r="D129" s="2364"/>
      <c r="E129" s="2441"/>
      <c r="F129" s="2412"/>
      <c r="G129" s="2417"/>
      <c r="H129" s="2417"/>
      <c r="I129" s="2417"/>
      <c r="J129" s="2417"/>
      <c r="K129" s="2417"/>
      <c r="L129" s="2417"/>
      <c r="M129" s="2417"/>
      <c r="N129" s="2417"/>
      <c r="O129" s="2421"/>
      <c r="P129" s="2417">
        <v>50</v>
      </c>
      <c r="Q129" s="2417">
        <v>0.1</v>
      </c>
      <c r="R129" s="2417">
        <f>P129*Q129</f>
        <v>5</v>
      </c>
      <c r="S129" s="2417">
        <f t="shared" si="10"/>
        <v>5</v>
      </c>
      <c r="T129" s="2417"/>
      <c r="U129" s="2417"/>
      <c r="V129" s="2417">
        <f t="shared" si="8"/>
        <v>5</v>
      </c>
      <c r="W129" s="2417">
        <f t="shared" si="9"/>
        <v>0</v>
      </c>
      <c r="X129" s="2417"/>
      <c r="Y129" s="2417"/>
      <c r="Z129" s="2443"/>
      <c r="AA129" s="2296" t="s">
        <v>1665</v>
      </c>
    </row>
    <row r="130" spans="1:27" s="2326" customFormat="1" ht="31.5" hidden="1" x14ac:dyDescent="0.25">
      <c r="A130" s="2370"/>
      <c r="B130" s="2319"/>
      <c r="C130" s="2320" t="s">
        <v>2131</v>
      </c>
      <c r="D130" s="2361"/>
      <c r="E130" s="2397"/>
      <c r="F130" s="2389">
        <f>SUM(F131:F141)</f>
        <v>10</v>
      </c>
      <c r="G130" s="2416"/>
      <c r="H130" s="2416"/>
      <c r="I130" s="2416"/>
      <c r="J130" s="2389">
        <f>SUM(J131:J141)</f>
        <v>10</v>
      </c>
      <c r="K130" s="2416"/>
      <c r="L130" s="2416"/>
      <c r="M130" s="2416"/>
      <c r="N130" s="2389">
        <f>SUM(N131:N141)</f>
        <v>10</v>
      </c>
      <c r="O130" s="2418"/>
      <c r="P130" s="2416"/>
      <c r="Q130" s="2416"/>
      <c r="R130" s="2389">
        <f>SUM(R131:R141)</f>
        <v>10</v>
      </c>
      <c r="S130" s="2389">
        <f t="shared" si="10"/>
        <v>10</v>
      </c>
      <c r="T130" s="2389"/>
      <c r="U130" s="2416"/>
      <c r="V130" s="2416">
        <f t="shared" si="8"/>
        <v>0</v>
      </c>
      <c r="W130" s="2416">
        <f t="shared" si="9"/>
        <v>100</v>
      </c>
      <c r="X130" s="2389">
        <v>10</v>
      </c>
      <c r="Y130" s="2389">
        <v>10</v>
      </c>
      <c r="Z130" s="2444"/>
      <c r="AA130" s="2296" t="s">
        <v>1665</v>
      </c>
    </row>
    <row r="131" spans="1:27" s="2290" customFormat="1" hidden="1" x14ac:dyDescent="0.25">
      <c r="A131" s="2380"/>
      <c r="B131" s="2325">
        <v>981</v>
      </c>
      <c r="C131" s="2328" t="s">
        <v>2132</v>
      </c>
      <c r="D131" s="2364">
        <v>10</v>
      </c>
      <c r="E131" s="2441">
        <v>80</v>
      </c>
      <c r="F131" s="2412">
        <f t="shared" ref="F131:F141" si="13">D131*E131/1000</f>
        <v>0.8</v>
      </c>
      <c r="G131" s="2417"/>
      <c r="H131" s="2417">
        <v>10</v>
      </c>
      <c r="I131" s="2417">
        <v>80</v>
      </c>
      <c r="J131" s="2417">
        <f t="shared" ref="J131:J154" si="14">H131*I131/1000</f>
        <v>0.8</v>
      </c>
      <c r="K131" s="2417"/>
      <c r="L131" s="2417">
        <v>10</v>
      </c>
      <c r="M131" s="2417">
        <v>80</v>
      </c>
      <c r="N131" s="2417">
        <f t="shared" ref="N131:N141" si="15">L131*M131/1000</f>
        <v>0.8</v>
      </c>
      <c r="O131" s="2421"/>
      <c r="P131" s="2417">
        <v>10</v>
      </c>
      <c r="Q131" s="2417">
        <v>80</v>
      </c>
      <c r="R131" s="2417">
        <f t="shared" ref="R131:R141" si="16">P131*Q131/1000</f>
        <v>0.8</v>
      </c>
      <c r="S131" s="2417">
        <f t="shared" si="10"/>
        <v>0.8</v>
      </c>
      <c r="T131" s="2417"/>
      <c r="U131" s="2417"/>
      <c r="V131" s="2417">
        <f t="shared" si="8"/>
        <v>0</v>
      </c>
      <c r="W131" s="2417">
        <f t="shared" si="9"/>
        <v>100</v>
      </c>
      <c r="X131" s="2417">
        <f>R131</f>
        <v>0.8</v>
      </c>
      <c r="Y131" s="2417">
        <f>X131</f>
        <v>0.8</v>
      </c>
      <c r="Z131" s="2444"/>
      <c r="AA131" s="2296" t="s">
        <v>1665</v>
      </c>
    </row>
    <row r="132" spans="1:27" s="2290" customFormat="1" hidden="1" x14ac:dyDescent="0.25">
      <c r="A132" s="2380"/>
      <c r="B132" s="2325">
        <v>981</v>
      </c>
      <c r="C132" s="2328" t="s">
        <v>2133</v>
      </c>
      <c r="D132" s="2364">
        <v>10</v>
      </c>
      <c r="E132" s="2441">
        <v>100</v>
      </c>
      <c r="F132" s="2412">
        <f t="shared" si="13"/>
        <v>1</v>
      </c>
      <c r="G132" s="2417"/>
      <c r="H132" s="2417">
        <v>10</v>
      </c>
      <c r="I132" s="2417">
        <v>100</v>
      </c>
      <c r="J132" s="2417">
        <f t="shared" si="14"/>
        <v>1</v>
      </c>
      <c r="K132" s="2417"/>
      <c r="L132" s="2417">
        <v>10</v>
      </c>
      <c r="M132" s="2417">
        <v>100</v>
      </c>
      <c r="N132" s="2417">
        <f t="shared" si="15"/>
        <v>1</v>
      </c>
      <c r="O132" s="2421"/>
      <c r="P132" s="2417">
        <v>10</v>
      </c>
      <c r="Q132" s="2417">
        <v>100</v>
      </c>
      <c r="R132" s="2417">
        <f t="shared" si="16"/>
        <v>1</v>
      </c>
      <c r="S132" s="2417">
        <f t="shared" si="10"/>
        <v>1</v>
      </c>
      <c r="T132" s="2417"/>
      <c r="U132" s="2417"/>
      <c r="V132" s="2417">
        <f t="shared" si="8"/>
        <v>0</v>
      </c>
      <c r="W132" s="2417">
        <f t="shared" si="9"/>
        <v>100</v>
      </c>
      <c r="X132" s="2417">
        <f t="shared" ref="X132:X141" si="17">R132</f>
        <v>1</v>
      </c>
      <c r="Y132" s="2417">
        <f t="shared" ref="Y132:Y141" si="18">X132</f>
        <v>1</v>
      </c>
      <c r="Z132" s="2444"/>
      <c r="AA132" s="2296" t="s">
        <v>1665</v>
      </c>
    </row>
    <row r="133" spans="1:27" s="2290" customFormat="1" hidden="1" x14ac:dyDescent="0.25">
      <c r="A133" s="2380"/>
      <c r="B133" s="2325">
        <v>981</v>
      </c>
      <c r="C133" s="2328" t="s">
        <v>2134</v>
      </c>
      <c r="D133" s="2364">
        <v>10</v>
      </c>
      <c r="E133" s="2441">
        <v>100</v>
      </c>
      <c r="F133" s="2412">
        <f t="shared" si="13"/>
        <v>1</v>
      </c>
      <c r="G133" s="2417"/>
      <c r="H133" s="2417">
        <v>10</v>
      </c>
      <c r="I133" s="2417">
        <v>100</v>
      </c>
      <c r="J133" s="2417">
        <f t="shared" si="14"/>
        <v>1</v>
      </c>
      <c r="K133" s="2417"/>
      <c r="L133" s="2417">
        <v>10</v>
      </c>
      <c r="M133" s="2417">
        <v>100</v>
      </c>
      <c r="N133" s="2417">
        <f t="shared" si="15"/>
        <v>1</v>
      </c>
      <c r="O133" s="2421"/>
      <c r="P133" s="2417">
        <v>10</v>
      </c>
      <c r="Q133" s="2417">
        <v>100</v>
      </c>
      <c r="R133" s="2417">
        <f t="shared" si="16"/>
        <v>1</v>
      </c>
      <c r="S133" s="2417">
        <f t="shared" si="10"/>
        <v>1</v>
      </c>
      <c r="T133" s="2417"/>
      <c r="U133" s="2417"/>
      <c r="V133" s="2417">
        <f t="shared" si="8"/>
        <v>0</v>
      </c>
      <c r="W133" s="2417">
        <f t="shared" si="9"/>
        <v>100</v>
      </c>
      <c r="X133" s="2417">
        <f t="shared" si="17"/>
        <v>1</v>
      </c>
      <c r="Y133" s="2417">
        <f t="shared" si="18"/>
        <v>1</v>
      </c>
      <c r="Z133" s="2444"/>
      <c r="AA133" s="2296" t="s">
        <v>1665</v>
      </c>
    </row>
    <row r="134" spans="1:27" s="2290" customFormat="1" hidden="1" x14ac:dyDescent="0.25">
      <c r="A134" s="2380"/>
      <c r="B134" s="2325">
        <v>981</v>
      </c>
      <c r="C134" s="2328" t="s">
        <v>2135</v>
      </c>
      <c r="D134" s="2364">
        <v>50</v>
      </c>
      <c r="E134" s="2441">
        <v>20</v>
      </c>
      <c r="F134" s="2412">
        <f t="shared" si="13"/>
        <v>1</v>
      </c>
      <c r="G134" s="2417"/>
      <c r="H134" s="2417">
        <v>50</v>
      </c>
      <c r="I134" s="2417">
        <v>20</v>
      </c>
      <c r="J134" s="2417">
        <f t="shared" si="14"/>
        <v>1</v>
      </c>
      <c r="K134" s="2417"/>
      <c r="L134" s="2417">
        <v>50</v>
      </c>
      <c r="M134" s="2417">
        <v>20</v>
      </c>
      <c r="N134" s="2417">
        <f t="shared" si="15"/>
        <v>1</v>
      </c>
      <c r="O134" s="2421"/>
      <c r="P134" s="2417">
        <v>50</v>
      </c>
      <c r="Q134" s="2417">
        <v>20</v>
      </c>
      <c r="R134" s="2417">
        <f t="shared" si="16"/>
        <v>1</v>
      </c>
      <c r="S134" s="2417">
        <f t="shared" si="10"/>
        <v>1</v>
      </c>
      <c r="T134" s="2417"/>
      <c r="U134" s="2417"/>
      <c r="V134" s="2417">
        <f t="shared" si="8"/>
        <v>0</v>
      </c>
      <c r="W134" s="2417">
        <f t="shared" si="9"/>
        <v>100</v>
      </c>
      <c r="X134" s="2417">
        <f t="shared" si="17"/>
        <v>1</v>
      </c>
      <c r="Y134" s="2417">
        <f t="shared" si="18"/>
        <v>1</v>
      </c>
      <c r="Z134" s="2444"/>
      <c r="AA134" s="2296" t="s">
        <v>1665</v>
      </c>
    </row>
    <row r="135" spans="1:27" s="2290" customFormat="1" hidden="1" x14ac:dyDescent="0.25">
      <c r="A135" s="2380"/>
      <c r="B135" s="2325">
        <v>981</v>
      </c>
      <c r="C135" s="2328" t="s">
        <v>2136</v>
      </c>
      <c r="D135" s="2364">
        <v>4</v>
      </c>
      <c r="E135" s="2441">
        <v>150</v>
      </c>
      <c r="F135" s="2412">
        <f t="shared" si="13"/>
        <v>0.6</v>
      </c>
      <c r="G135" s="2417"/>
      <c r="H135" s="2417">
        <v>4</v>
      </c>
      <c r="I135" s="2417">
        <v>150</v>
      </c>
      <c r="J135" s="2417">
        <f t="shared" si="14"/>
        <v>0.6</v>
      </c>
      <c r="K135" s="2417"/>
      <c r="L135" s="2417">
        <v>4</v>
      </c>
      <c r="M135" s="2417">
        <v>150</v>
      </c>
      <c r="N135" s="2417">
        <f t="shared" si="15"/>
        <v>0.6</v>
      </c>
      <c r="O135" s="2421"/>
      <c r="P135" s="2417">
        <v>4</v>
      </c>
      <c r="Q135" s="2417">
        <v>150</v>
      </c>
      <c r="R135" s="2417">
        <f t="shared" si="16"/>
        <v>0.6</v>
      </c>
      <c r="S135" s="2417">
        <f t="shared" si="10"/>
        <v>0.6</v>
      </c>
      <c r="T135" s="2417"/>
      <c r="U135" s="2417"/>
      <c r="V135" s="2417">
        <f t="shared" si="8"/>
        <v>0</v>
      </c>
      <c r="W135" s="2417">
        <f t="shared" si="9"/>
        <v>100</v>
      </c>
      <c r="X135" s="2417">
        <f t="shared" si="17"/>
        <v>0.6</v>
      </c>
      <c r="Y135" s="2417">
        <f t="shared" si="18"/>
        <v>0.6</v>
      </c>
      <c r="Z135" s="2444"/>
      <c r="AA135" s="2296" t="s">
        <v>1665</v>
      </c>
    </row>
    <row r="136" spans="1:27" s="2290" customFormat="1" hidden="1" x14ac:dyDescent="0.25">
      <c r="A136" s="2380"/>
      <c r="B136" s="2325">
        <v>981</v>
      </c>
      <c r="C136" s="2328" t="s">
        <v>2137</v>
      </c>
      <c r="D136" s="2364">
        <v>10</v>
      </c>
      <c r="E136" s="2441">
        <v>150</v>
      </c>
      <c r="F136" s="2412">
        <f t="shared" si="13"/>
        <v>1.5</v>
      </c>
      <c r="G136" s="2417"/>
      <c r="H136" s="2417">
        <v>10</v>
      </c>
      <c r="I136" s="2417">
        <v>150</v>
      </c>
      <c r="J136" s="2417">
        <f t="shared" si="14"/>
        <v>1.5</v>
      </c>
      <c r="K136" s="2417"/>
      <c r="L136" s="2417">
        <v>10</v>
      </c>
      <c r="M136" s="2417">
        <v>150</v>
      </c>
      <c r="N136" s="2417">
        <f t="shared" si="15"/>
        <v>1.5</v>
      </c>
      <c r="O136" s="2421"/>
      <c r="P136" s="2417">
        <v>10</v>
      </c>
      <c r="Q136" s="2417">
        <v>150</v>
      </c>
      <c r="R136" s="2417">
        <f t="shared" si="16"/>
        <v>1.5</v>
      </c>
      <c r="S136" s="2417">
        <f t="shared" si="10"/>
        <v>1.5</v>
      </c>
      <c r="T136" s="2417"/>
      <c r="U136" s="2417"/>
      <c r="V136" s="2417">
        <f t="shared" si="8"/>
        <v>0</v>
      </c>
      <c r="W136" s="2417">
        <f t="shared" si="9"/>
        <v>100</v>
      </c>
      <c r="X136" s="2417">
        <f t="shared" si="17"/>
        <v>1.5</v>
      </c>
      <c r="Y136" s="2417">
        <f t="shared" si="18"/>
        <v>1.5</v>
      </c>
      <c r="Z136" s="2444"/>
      <c r="AA136" s="2296" t="s">
        <v>1665</v>
      </c>
    </row>
    <row r="137" spans="1:27" s="2290" customFormat="1" hidden="1" x14ac:dyDescent="0.25">
      <c r="A137" s="2380"/>
      <c r="B137" s="2325">
        <v>985</v>
      </c>
      <c r="C137" s="2328" t="s">
        <v>2138</v>
      </c>
      <c r="D137" s="2364">
        <v>50</v>
      </c>
      <c r="E137" s="2441">
        <v>30</v>
      </c>
      <c r="F137" s="2412">
        <f t="shared" si="13"/>
        <v>1.5</v>
      </c>
      <c r="G137" s="2417"/>
      <c r="H137" s="2417">
        <v>50</v>
      </c>
      <c r="I137" s="2417">
        <v>30</v>
      </c>
      <c r="J137" s="2417">
        <f t="shared" si="14"/>
        <v>1.5</v>
      </c>
      <c r="K137" s="2417"/>
      <c r="L137" s="2417">
        <v>50</v>
      </c>
      <c r="M137" s="2417">
        <v>30</v>
      </c>
      <c r="N137" s="2417">
        <f t="shared" si="15"/>
        <v>1.5</v>
      </c>
      <c r="O137" s="2421"/>
      <c r="P137" s="2417">
        <v>50</v>
      </c>
      <c r="Q137" s="2417">
        <v>30</v>
      </c>
      <c r="R137" s="2417">
        <f t="shared" si="16"/>
        <v>1.5</v>
      </c>
      <c r="S137" s="2417">
        <f t="shared" si="10"/>
        <v>1.5</v>
      </c>
      <c r="T137" s="2417"/>
      <c r="U137" s="2417"/>
      <c r="V137" s="2417">
        <f t="shared" si="8"/>
        <v>0</v>
      </c>
      <c r="W137" s="2417">
        <f t="shared" si="9"/>
        <v>100</v>
      </c>
      <c r="X137" s="2417">
        <f t="shared" si="17"/>
        <v>1.5</v>
      </c>
      <c r="Y137" s="2417">
        <f t="shared" si="18"/>
        <v>1.5</v>
      </c>
      <c r="Z137" s="2444"/>
      <c r="AA137" s="2296" t="s">
        <v>1665</v>
      </c>
    </row>
    <row r="138" spans="1:27" s="2290" customFormat="1" hidden="1" x14ac:dyDescent="0.25">
      <c r="A138" s="2380"/>
      <c r="B138" s="2325">
        <v>981</v>
      </c>
      <c r="C138" s="2328" t="s">
        <v>2139</v>
      </c>
      <c r="D138" s="2364">
        <v>40</v>
      </c>
      <c r="E138" s="2441">
        <v>10</v>
      </c>
      <c r="F138" s="2412">
        <f t="shared" si="13"/>
        <v>0.4</v>
      </c>
      <c r="G138" s="2417"/>
      <c r="H138" s="2417">
        <v>40</v>
      </c>
      <c r="I138" s="2417">
        <v>10</v>
      </c>
      <c r="J138" s="2417">
        <f t="shared" si="14"/>
        <v>0.4</v>
      </c>
      <c r="K138" s="2417"/>
      <c r="L138" s="2417">
        <v>40</v>
      </c>
      <c r="M138" s="2417">
        <v>10</v>
      </c>
      <c r="N138" s="2417">
        <f t="shared" si="15"/>
        <v>0.4</v>
      </c>
      <c r="O138" s="2421"/>
      <c r="P138" s="2417">
        <v>40</v>
      </c>
      <c r="Q138" s="2417">
        <v>10</v>
      </c>
      <c r="R138" s="2417">
        <f t="shared" si="16"/>
        <v>0.4</v>
      </c>
      <c r="S138" s="2417">
        <f t="shared" si="10"/>
        <v>0.4</v>
      </c>
      <c r="T138" s="2417"/>
      <c r="U138" s="2417"/>
      <c r="V138" s="2417">
        <f t="shared" si="8"/>
        <v>0</v>
      </c>
      <c r="W138" s="2417">
        <f t="shared" si="9"/>
        <v>100</v>
      </c>
      <c r="X138" s="2417">
        <f t="shared" si="17"/>
        <v>0.4</v>
      </c>
      <c r="Y138" s="2417">
        <f t="shared" si="18"/>
        <v>0.4</v>
      </c>
      <c r="Z138" s="2444"/>
      <c r="AA138" s="2296" t="s">
        <v>1665</v>
      </c>
    </row>
    <row r="139" spans="1:27" s="2290" customFormat="1" hidden="1" x14ac:dyDescent="0.25">
      <c r="A139" s="2380"/>
      <c r="B139" s="2325">
        <v>981</v>
      </c>
      <c r="C139" s="2328" t="s">
        <v>2140</v>
      </c>
      <c r="D139" s="2364">
        <v>50</v>
      </c>
      <c r="E139" s="2441">
        <v>10</v>
      </c>
      <c r="F139" s="2412">
        <f t="shared" si="13"/>
        <v>0.5</v>
      </c>
      <c r="G139" s="2417"/>
      <c r="H139" s="2417">
        <v>50</v>
      </c>
      <c r="I139" s="2417">
        <v>10</v>
      </c>
      <c r="J139" s="2417">
        <f t="shared" si="14"/>
        <v>0.5</v>
      </c>
      <c r="K139" s="2417"/>
      <c r="L139" s="2417">
        <v>50</v>
      </c>
      <c r="M139" s="2417">
        <v>10</v>
      </c>
      <c r="N139" s="2417">
        <f t="shared" si="15"/>
        <v>0.5</v>
      </c>
      <c r="O139" s="2421"/>
      <c r="P139" s="2417">
        <v>50</v>
      </c>
      <c r="Q139" s="2417">
        <v>10</v>
      </c>
      <c r="R139" s="2417">
        <f t="shared" si="16"/>
        <v>0.5</v>
      </c>
      <c r="S139" s="2417">
        <f t="shared" si="10"/>
        <v>0.5</v>
      </c>
      <c r="T139" s="2417"/>
      <c r="U139" s="2417"/>
      <c r="V139" s="2417">
        <f t="shared" si="8"/>
        <v>0</v>
      </c>
      <c r="W139" s="2417">
        <f t="shared" si="9"/>
        <v>100</v>
      </c>
      <c r="X139" s="2417">
        <f t="shared" si="17"/>
        <v>0.5</v>
      </c>
      <c r="Y139" s="2417">
        <f t="shared" si="18"/>
        <v>0.5</v>
      </c>
      <c r="Z139" s="2444"/>
      <c r="AA139" s="2296" t="s">
        <v>1665</v>
      </c>
    </row>
    <row r="140" spans="1:27" s="2290" customFormat="1" hidden="1" x14ac:dyDescent="0.25">
      <c r="A140" s="2380"/>
      <c r="B140" s="2325">
        <v>981</v>
      </c>
      <c r="C140" s="2328" t="s">
        <v>2141</v>
      </c>
      <c r="D140" s="2364">
        <v>10</v>
      </c>
      <c r="E140" s="2441">
        <v>50</v>
      </c>
      <c r="F140" s="2412">
        <f t="shared" si="13"/>
        <v>0.5</v>
      </c>
      <c r="G140" s="2417"/>
      <c r="H140" s="2417">
        <v>10</v>
      </c>
      <c r="I140" s="2417">
        <v>50</v>
      </c>
      <c r="J140" s="2417">
        <f t="shared" si="14"/>
        <v>0.5</v>
      </c>
      <c r="K140" s="2417"/>
      <c r="L140" s="2417">
        <v>10</v>
      </c>
      <c r="M140" s="2417">
        <v>50</v>
      </c>
      <c r="N140" s="2417">
        <f t="shared" si="15"/>
        <v>0.5</v>
      </c>
      <c r="O140" s="2421"/>
      <c r="P140" s="2417">
        <v>10</v>
      </c>
      <c r="Q140" s="2417">
        <v>50</v>
      </c>
      <c r="R140" s="2417">
        <f t="shared" si="16"/>
        <v>0.5</v>
      </c>
      <c r="S140" s="2417">
        <f t="shared" si="10"/>
        <v>0.5</v>
      </c>
      <c r="T140" s="2417"/>
      <c r="U140" s="2417"/>
      <c r="V140" s="2417">
        <f t="shared" si="8"/>
        <v>0</v>
      </c>
      <c r="W140" s="2417">
        <f t="shared" si="9"/>
        <v>100</v>
      </c>
      <c r="X140" s="2417">
        <f t="shared" si="17"/>
        <v>0.5</v>
      </c>
      <c r="Y140" s="2417">
        <f t="shared" si="18"/>
        <v>0.5</v>
      </c>
      <c r="Z140" s="2444"/>
      <c r="AA140" s="2296" t="s">
        <v>1665</v>
      </c>
    </row>
    <row r="141" spans="1:27" s="2290" customFormat="1" hidden="1" x14ac:dyDescent="0.25">
      <c r="A141" s="2380"/>
      <c r="B141" s="2325">
        <v>981</v>
      </c>
      <c r="C141" s="2328" t="s">
        <v>2142</v>
      </c>
      <c r="D141" s="2364">
        <v>12</v>
      </c>
      <c r="E141" s="2441">
        <v>100</v>
      </c>
      <c r="F141" s="2412">
        <f t="shared" si="13"/>
        <v>1.2</v>
      </c>
      <c r="G141" s="2417"/>
      <c r="H141" s="2417">
        <v>12</v>
      </c>
      <c r="I141" s="2417">
        <v>100</v>
      </c>
      <c r="J141" s="2417">
        <f t="shared" si="14"/>
        <v>1.2</v>
      </c>
      <c r="K141" s="2417"/>
      <c r="L141" s="2417">
        <v>12</v>
      </c>
      <c r="M141" s="2417">
        <v>100</v>
      </c>
      <c r="N141" s="2417">
        <f t="shared" si="15"/>
        <v>1.2</v>
      </c>
      <c r="O141" s="2421"/>
      <c r="P141" s="2417">
        <v>12</v>
      </c>
      <c r="Q141" s="2417">
        <v>100</v>
      </c>
      <c r="R141" s="2417">
        <f t="shared" si="16"/>
        <v>1.2</v>
      </c>
      <c r="S141" s="2417">
        <f t="shared" si="10"/>
        <v>1.2</v>
      </c>
      <c r="T141" s="2417"/>
      <c r="U141" s="2417"/>
      <c r="V141" s="2417">
        <f t="shared" ref="V141:V204" si="19">R141-J141</f>
        <v>0</v>
      </c>
      <c r="W141" s="2417">
        <f t="shared" ref="W141:W204" si="20">IFERROR((R141)/J141*100,0)</f>
        <v>100</v>
      </c>
      <c r="X141" s="2417">
        <f t="shared" si="17"/>
        <v>1.2</v>
      </c>
      <c r="Y141" s="2417">
        <f t="shared" si="18"/>
        <v>1.2</v>
      </c>
      <c r="Z141" s="2444"/>
      <c r="AA141" s="2296" t="s">
        <v>1665</v>
      </c>
    </row>
    <row r="142" spans="1:27" s="2326" customFormat="1" ht="31.5" hidden="1" x14ac:dyDescent="0.25">
      <c r="A142" s="2370"/>
      <c r="B142" s="2445">
        <v>981</v>
      </c>
      <c r="C142" s="2320" t="s">
        <v>2143</v>
      </c>
      <c r="D142" s="2361"/>
      <c r="E142" s="2397"/>
      <c r="F142" s="2389">
        <f>SUM(F143:F154)</f>
        <v>10.6</v>
      </c>
      <c r="G142" s="2416"/>
      <c r="H142" s="2416"/>
      <c r="I142" s="2416"/>
      <c r="J142" s="2389">
        <f>SUM(J143:J154)</f>
        <v>10.6</v>
      </c>
      <c r="K142" s="2416"/>
      <c r="L142" s="2416"/>
      <c r="M142" s="2416"/>
      <c r="N142" s="2389">
        <f>SUM(N143:N154)</f>
        <v>10.6</v>
      </c>
      <c r="O142" s="2418"/>
      <c r="P142" s="2416"/>
      <c r="Q142" s="2416"/>
      <c r="R142" s="2389">
        <f>SUM(R143:R154)</f>
        <v>10</v>
      </c>
      <c r="S142" s="2389">
        <f t="shared" ref="S142:S205" si="21">R142</f>
        <v>10</v>
      </c>
      <c r="T142" s="2389"/>
      <c r="U142" s="2416"/>
      <c r="V142" s="2416">
        <f t="shared" si="19"/>
        <v>-0.6</v>
      </c>
      <c r="W142" s="2416">
        <f t="shared" si="20"/>
        <v>94.3</v>
      </c>
      <c r="X142" s="2389">
        <f>SUM(X143:X154)</f>
        <v>10</v>
      </c>
      <c r="Y142" s="2389">
        <f>SUM(Y143:Y154)</f>
        <v>10</v>
      </c>
      <c r="Z142" s="2444"/>
      <c r="AA142" s="2296" t="s">
        <v>1665</v>
      </c>
    </row>
    <row r="143" spans="1:27" s="2290" customFormat="1" hidden="1" x14ac:dyDescent="0.25">
      <c r="A143" s="2380"/>
      <c r="B143" s="2325"/>
      <c r="C143" s="2328" t="s">
        <v>2144</v>
      </c>
      <c r="D143" s="2364">
        <v>100</v>
      </c>
      <c r="E143" s="2441">
        <v>39</v>
      </c>
      <c r="F143" s="2412">
        <f t="shared" ref="F143:F154" si="22">D143*E143/1000</f>
        <v>3.9</v>
      </c>
      <c r="G143" s="2417"/>
      <c r="H143" s="2417">
        <v>100</v>
      </c>
      <c r="I143" s="2417">
        <v>39</v>
      </c>
      <c r="J143" s="2417">
        <f t="shared" si="14"/>
        <v>3.9</v>
      </c>
      <c r="K143" s="2417"/>
      <c r="L143" s="2417">
        <v>100</v>
      </c>
      <c r="M143" s="2417">
        <v>39</v>
      </c>
      <c r="N143" s="2417">
        <f t="shared" ref="N143:N154" si="23">L143*M143/1000</f>
        <v>3.9</v>
      </c>
      <c r="O143" s="2421"/>
      <c r="P143" s="2417">
        <v>100</v>
      </c>
      <c r="Q143" s="2417">
        <v>39</v>
      </c>
      <c r="R143" s="2417">
        <f t="shared" ref="R143:R154" si="24">P143*Q143/1000</f>
        <v>3.9</v>
      </c>
      <c r="S143" s="2417">
        <f t="shared" si="21"/>
        <v>3.9</v>
      </c>
      <c r="T143" s="2417"/>
      <c r="U143" s="2417"/>
      <c r="V143" s="2417">
        <f t="shared" si="19"/>
        <v>0</v>
      </c>
      <c r="W143" s="2417">
        <f t="shared" si="20"/>
        <v>100</v>
      </c>
      <c r="X143" s="2417">
        <f>R143</f>
        <v>3.9</v>
      </c>
      <c r="Y143" s="2417">
        <f>X143</f>
        <v>3.9</v>
      </c>
      <c r="Z143" s="2444"/>
      <c r="AA143" s="2296" t="s">
        <v>1665</v>
      </c>
    </row>
    <row r="144" spans="1:27" s="2290" customFormat="1" hidden="1" x14ac:dyDescent="0.25">
      <c r="A144" s="2380"/>
      <c r="B144" s="2325"/>
      <c r="C144" s="2328" t="s">
        <v>2134</v>
      </c>
      <c r="D144" s="2364">
        <v>10</v>
      </c>
      <c r="E144" s="2441">
        <v>100</v>
      </c>
      <c r="F144" s="2412">
        <f t="shared" si="22"/>
        <v>1</v>
      </c>
      <c r="G144" s="2417"/>
      <c r="H144" s="2417">
        <v>10</v>
      </c>
      <c r="I144" s="2417">
        <v>100</v>
      </c>
      <c r="J144" s="2417">
        <f t="shared" si="14"/>
        <v>1</v>
      </c>
      <c r="K144" s="2417"/>
      <c r="L144" s="2417">
        <v>10</v>
      </c>
      <c r="M144" s="2417">
        <v>100</v>
      </c>
      <c r="N144" s="2417">
        <f t="shared" si="23"/>
        <v>1</v>
      </c>
      <c r="O144" s="2421"/>
      <c r="P144" s="2417">
        <v>10</v>
      </c>
      <c r="Q144" s="2417">
        <v>100</v>
      </c>
      <c r="R144" s="2417">
        <f t="shared" si="24"/>
        <v>1</v>
      </c>
      <c r="S144" s="2417">
        <f t="shared" si="21"/>
        <v>1</v>
      </c>
      <c r="T144" s="2417"/>
      <c r="U144" s="2417"/>
      <c r="V144" s="2417">
        <f t="shared" si="19"/>
        <v>0</v>
      </c>
      <c r="W144" s="2417">
        <f t="shared" si="20"/>
        <v>100</v>
      </c>
      <c r="X144" s="2417">
        <f t="shared" ref="X144:X154" si="25">R144</f>
        <v>1</v>
      </c>
      <c r="Y144" s="2417">
        <f t="shared" ref="Y144:Y154" si="26">X144</f>
        <v>1</v>
      </c>
      <c r="Z144" s="2444"/>
      <c r="AA144" s="2296" t="s">
        <v>1665</v>
      </c>
    </row>
    <row r="145" spans="1:27" s="2290" customFormat="1" hidden="1" x14ac:dyDescent="0.25">
      <c r="A145" s="2380"/>
      <c r="B145" s="2325"/>
      <c r="C145" s="2328" t="s">
        <v>2145</v>
      </c>
      <c r="D145" s="2364">
        <v>15</v>
      </c>
      <c r="E145" s="2441">
        <v>56</v>
      </c>
      <c r="F145" s="2412">
        <f t="shared" si="22"/>
        <v>0.8</v>
      </c>
      <c r="G145" s="2417"/>
      <c r="H145" s="2417">
        <v>15</v>
      </c>
      <c r="I145" s="2417">
        <v>56</v>
      </c>
      <c r="J145" s="2417">
        <f t="shared" si="14"/>
        <v>0.8</v>
      </c>
      <c r="K145" s="2417"/>
      <c r="L145" s="2417">
        <v>15</v>
      </c>
      <c r="M145" s="2417">
        <v>56</v>
      </c>
      <c r="N145" s="2417">
        <f t="shared" si="23"/>
        <v>0.8</v>
      </c>
      <c r="O145" s="2421"/>
      <c r="P145" s="2417">
        <v>15</v>
      </c>
      <c r="Q145" s="2417">
        <v>56</v>
      </c>
      <c r="R145" s="2417">
        <f t="shared" si="24"/>
        <v>0.8</v>
      </c>
      <c r="S145" s="2417">
        <f t="shared" si="21"/>
        <v>0.8</v>
      </c>
      <c r="T145" s="2417"/>
      <c r="U145" s="2417"/>
      <c r="V145" s="2417">
        <f t="shared" si="19"/>
        <v>0</v>
      </c>
      <c r="W145" s="2417">
        <f t="shared" si="20"/>
        <v>100</v>
      </c>
      <c r="X145" s="2417">
        <f t="shared" si="25"/>
        <v>0.8</v>
      </c>
      <c r="Y145" s="2417">
        <f t="shared" si="26"/>
        <v>0.8</v>
      </c>
      <c r="Z145" s="2444"/>
      <c r="AA145" s="2296" t="s">
        <v>1665</v>
      </c>
    </row>
    <row r="146" spans="1:27" s="2290" customFormat="1" hidden="1" x14ac:dyDescent="0.25">
      <c r="A146" s="2380"/>
      <c r="B146" s="2325"/>
      <c r="C146" s="2328" t="s">
        <v>2133</v>
      </c>
      <c r="D146" s="2364">
        <v>10</v>
      </c>
      <c r="E146" s="2441">
        <v>70</v>
      </c>
      <c r="F146" s="2412">
        <f t="shared" si="22"/>
        <v>0.7</v>
      </c>
      <c r="G146" s="2417"/>
      <c r="H146" s="2417">
        <v>10</v>
      </c>
      <c r="I146" s="2417">
        <v>70</v>
      </c>
      <c r="J146" s="2417">
        <f t="shared" si="14"/>
        <v>0.7</v>
      </c>
      <c r="K146" s="2417"/>
      <c r="L146" s="2417">
        <v>10</v>
      </c>
      <c r="M146" s="2417">
        <v>70</v>
      </c>
      <c r="N146" s="2417">
        <f t="shared" si="23"/>
        <v>0.7</v>
      </c>
      <c r="O146" s="2421"/>
      <c r="P146" s="2417">
        <v>10</v>
      </c>
      <c r="Q146" s="2417">
        <v>70</v>
      </c>
      <c r="R146" s="2417">
        <f t="shared" si="24"/>
        <v>0.7</v>
      </c>
      <c r="S146" s="2417">
        <f t="shared" si="21"/>
        <v>0.7</v>
      </c>
      <c r="T146" s="2417"/>
      <c r="U146" s="2417"/>
      <c r="V146" s="2417">
        <f t="shared" si="19"/>
        <v>0</v>
      </c>
      <c r="W146" s="2417">
        <f t="shared" si="20"/>
        <v>100</v>
      </c>
      <c r="X146" s="2417">
        <f t="shared" si="25"/>
        <v>0.7</v>
      </c>
      <c r="Y146" s="2417">
        <f t="shared" si="26"/>
        <v>0.7</v>
      </c>
      <c r="Z146" s="2444"/>
      <c r="AA146" s="2296" t="s">
        <v>1665</v>
      </c>
    </row>
    <row r="147" spans="1:27" s="2290" customFormat="1" hidden="1" x14ac:dyDescent="0.25">
      <c r="A147" s="2380"/>
      <c r="B147" s="2325"/>
      <c r="C147" s="2328" t="s">
        <v>2146</v>
      </c>
      <c r="D147" s="2364">
        <v>100</v>
      </c>
      <c r="E147" s="2441">
        <v>25</v>
      </c>
      <c r="F147" s="2412">
        <f t="shared" si="22"/>
        <v>2.5</v>
      </c>
      <c r="G147" s="2417"/>
      <c r="H147" s="2417">
        <v>100</v>
      </c>
      <c r="I147" s="2417">
        <v>25</v>
      </c>
      <c r="J147" s="2417">
        <f t="shared" si="14"/>
        <v>2.5</v>
      </c>
      <c r="K147" s="2417"/>
      <c r="L147" s="2417">
        <v>100</v>
      </c>
      <c r="M147" s="2417">
        <v>25</v>
      </c>
      <c r="N147" s="2417">
        <f t="shared" si="23"/>
        <v>2.5</v>
      </c>
      <c r="O147" s="2421"/>
      <c r="P147" s="2417">
        <v>100</v>
      </c>
      <c r="Q147" s="2417">
        <v>25</v>
      </c>
      <c r="R147" s="2417">
        <f t="shared" si="24"/>
        <v>2.5</v>
      </c>
      <c r="S147" s="2417">
        <f t="shared" si="21"/>
        <v>2.5</v>
      </c>
      <c r="T147" s="2417"/>
      <c r="U147" s="2417"/>
      <c r="V147" s="2417">
        <f t="shared" si="19"/>
        <v>0</v>
      </c>
      <c r="W147" s="2417">
        <f t="shared" si="20"/>
        <v>100</v>
      </c>
      <c r="X147" s="2417">
        <f t="shared" si="25"/>
        <v>2.5</v>
      </c>
      <c r="Y147" s="2417">
        <f t="shared" si="26"/>
        <v>2.5</v>
      </c>
      <c r="Z147" s="2444"/>
      <c r="AA147" s="2296" t="s">
        <v>1665</v>
      </c>
    </row>
    <row r="148" spans="1:27" s="2290" customFormat="1" hidden="1" x14ac:dyDescent="0.25">
      <c r="A148" s="2380"/>
      <c r="B148" s="2325"/>
      <c r="C148" s="2328" t="s">
        <v>2147</v>
      </c>
      <c r="D148" s="2364">
        <v>10</v>
      </c>
      <c r="E148" s="2441">
        <v>30</v>
      </c>
      <c r="F148" s="2412">
        <f t="shared" si="22"/>
        <v>0.3</v>
      </c>
      <c r="G148" s="2417"/>
      <c r="H148" s="2417">
        <v>10</v>
      </c>
      <c r="I148" s="2417">
        <v>30</v>
      </c>
      <c r="J148" s="2417">
        <f t="shared" si="14"/>
        <v>0.3</v>
      </c>
      <c r="K148" s="2417"/>
      <c r="L148" s="2417">
        <v>10</v>
      </c>
      <c r="M148" s="2417">
        <v>30</v>
      </c>
      <c r="N148" s="2417">
        <f t="shared" si="23"/>
        <v>0.3</v>
      </c>
      <c r="O148" s="2421"/>
      <c r="P148" s="2417">
        <v>10</v>
      </c>
      <c r="Q148" s="2417">
        <v>30</v>
      </c>
      <c r="R148" s="2417">
        <f t="shared" si="24"/>
        <v>0.3</v>
      </c>
      <c r="S148" s="2417">
        <f t="shared" si="21"/>
        <v>0.3</v>
      </c>
      <c r="T148" s="2417"/>
      <c r="U148" s="2417"/>
      <c r="V148" s="2417">
        <f t="shared" si="19"/>
        <v>0</v>
      </c>
      <c r="W148" s="2417">
        <f t="shared" si="20"/>
        <v>100</v>
      </c>
      <c r="X148" s="2417">
        <f t="shared" si="25"/>
        <v>0.3</v>
      </c>
      <c r="Y148" s="2417">
        <f t="shared" si="26"/>
        <v>0.3</v>
      </c>
      <c r="Z148" s="2444"/>
      <c r="AA148" s="2296" t="s">
        <v>1665</v>
      </c>
    </row>
    <row r="149" spans="1:27" s="2290" customFormat="1" hidden="1" x14ac:dyDescent="0.25">
      <c r="A149" s="2380"/>
      <c r="B149" s="2325"/>
      <c r="C149" s="2328" t="s">
        <v>2148</v>
      </c>
      <c r="D149" s="2364">
        <v>10</v>
      </c>
      <c r="E149" s="2441">
        <v>20</v>
      </c>
      <c r="F149" s="2412">
        <f t="shared" si="22"/>
        <v>0.2</v>
      </c>
      <c r="G149" s="2417"/>
      <c r="H149" s="2417">
        <v>10</v>
      </c>
      <c r="I149" s="2417">
        <v>20</v>
      </c>
      <c r="J149" s="2417">
        <f t="shared" si="14"/>
        <v>0.2</v>
      </c>
      <c r="K149" s="2417"/>
      <c r="L149" s="2417">
        <v>10</v>
      </c>
      <c r="M149" s="2417">
        <v>20</v>
      </c>
      <c r="N149" s="2417">
        <f t="shared" si="23"/>
        <v>0.2</v>
      </c>
      <c r="O149" s="2421"/>
      <c r="P149" s="2417">
        <v>10</v>
      </c>
      <c r="Q149" s="2417">
        <v>20</v>
      </c>
      <c r="R149" s="2417">
        <f t="shared" si="24"/>
        <v>0.2</v>
      </c>
      <c r="S149" s="2417">
        <f t="shared" si="21"/>
        <v>0.2</v>
      </c>
      <c r="T149" s="2417"/>
      <c r="U149" s="2417"/>
      <c r="V149" s="2417">
        <f t="shared" si="19"/>
        <v>0</v>
      </c>
      <c r="W149" s="2417">
        <f t="shared" si="20"/>
        <v>100</v>
      </c>
      <c r="X149" s="2417">
        <f t="shared" si="25"/>
        <v>0.2</v>
      </c>
      <c r="Y149" s="2417">
        <f t="shared" si="26"/>
        <v>0.2</v>
      </c>
      <c r="Z149" s="2444"/>
      <c r="AA149" s="2296" t="s">
        <v>1665</v>
      </c>
    </row>
    <row r="150" spans="1:27" s="2290" customFormat="1" hidden="1" x14ac:dyDescent="0.25">
      <c r="A150" s="2380"/>
      <c r="B150" s="2325"/>
      <c r="C150" s="2328" t="s">
        <v>2149</v>
      </c>
      <c r="D150" s="2364">
        <v>3</v>
      </c>
      <c r="E150" s="2441">
        <v>60</v>
      </c>
      <c r="F150" s="2412">
        <f t="shared" si="22"/>
        <v>0.2</v>
      </c>
      <c r="G150" s="2417"/>
      <c r="H150" s="2417">
        <v>3</v>
      </c>
      <c r="I150" s="2417">
        <v>60</v>
      </c>
      <c r="J150" s="2417">
        <f t="shared" si="14"/>
        <v>0.2</v>
      </c>
      <c r="K150" s="2417"/>
      <c r="L150" s="2417">
        <v>3</v>
      </c>
      <c r="M150" s="2417">
        <v>60</v>
      </c>
      <c r="N150" s="2417">
        <f t="shared" si="23"/>
        <v>0.2</v>
      </c>
      <c r="O150" s="2421"/>
      <c r="P150" s="2417">
        <v>3</v>
      </c>
      <c r="Q150" s="2417">
        <v>60</v>
      </c>
      <c r="R150" s="2417">
        <f t="shared" si="24"/>
        <v>0.2</v>
      </c>
      <c r="S150" s="2417">
        <f t="shared" si="21"/>
        <v>0.2</v>
      </c>
      <c r="T150" s="2417"/>
      <c r="U150" s="2417"/>
      <c r="V150" s="2417">
        <f t="shared" si="19"/>
        <v>0</v>
      </c>
      <c r="W150" s="2417">
        <f t="shared" si="20"/>
        <v>100</v>
      </c>
      <c r="X150" s="2417">
        <f t="shared" si="25"/>
        <v>0.2</v>
      </c>
      <c r="Y150" s="2417">
        <f t="shared" si="26"/>
        <v>0.2</v>
      </c>
      <c r="Z150" s="2444"/>
      <c r="AA150" s="2296" t="s">
        <v>1665</v>
      </c>
    </row>
    <row r="151" spans="1:27" s="2290" customFormat="1" hidden="1" x14ac:dyDescent="0.25">
      <c r="A151" s="2380"/>
      <c r="B151" s="2325"/>
      <c r="C151" s="2328" t="s">
        <v>2150</v>
      </c>
      <c r="D151" s="2364">
        <v>5</v>
      </c>
      <c r="E151" s="2441">
        <v>15</v>
      </c>
      <c r="F151" s="2412">
        <f t="shared" si="22"/>
        <v>0.1</v>
      </c>
      <c r="G151" s="2417"/>
      <c r="H151" s="2417">
        <v>5</v>
      </c>
      <c r="I151" s="2417">
        <v>15</v>
      </c>
      <c r="J151" s="2417">
        <f t="shared" si="14"/>
        <v>0.1</v>
      </c>
      <c r="K151" s="2417"/>
      <c r="L151" s="2417">
        <v>5</v>
      </c>
      <c r="M151" s="2417">
        <v>15</v>
      </c>
      <c r="N151" s="2417">
        <f t="shared" si="23"/>
        <v>0.1</v>
      </c>
      <c r="O151" s="2421"/>
      <c r="P151" s="2417"/>
      <c r="Q151" s="2417"/>
      <c r="R151" s="2417">
        <f t="shared" si="24"/>
        <v>0</v>
      </c>
      <c r="S151" s="2417">
        <f t="shared" si="21"/>
        <v>0</v>
      </c>
      <c r="T151" s="2417"/>
      <c r="U151" s="2417"/>
      <c r="V151" s="2417">
        <f t="shared" si="19"/>
        <v>-0.1</v>
      </c>
      <c r="W151" s="2417">
        <f t="shared" si="20"/>
        <v>0</v>
      </c>
      <c r="X151" s="2417">
        <f t="shared" si="25"/>
        <v>0</v>
      </c>
      <c r="Y151" s="2417">
        <f t="shared" si="26"/>
        <v>0</v>
      </c>
      <c r="Z151" s="2444"/>
      <c r="AA151" s="2296" t="s">
        <v>1665</v>
      </c>
    </row>
    <row r="152" spans="1:27" s="2290" customFormat="1" hidden="1" x14ac:dyDescent="0.25">
      <c r="A152" s="2380"/>
      <c r="B152" s="2325"/>
      <c r="C152" s="2328" t="s">
        <v>1294</v>
      </c>
      <c r="D152" s="2364">
        <v>4</v>
      </c>
      <c r="E152" s="2441">
        <v>120</v>
      </c>
      <c r="F152" s="2412">
        <f t="shared" si="22"/>
        <v>0.5</v>
      </c>
      <c r="G152" s="2417"/>
      <c r="H152" s="2417">
        <v>4</v>
      </c>
      <c r="I152" s="2417">
        <v>120</v>
      </c>
      <c r="J152" s="2417">
        <f t="shared" si="14"/>
        <v>0.5</v>
      </c>
      <c r="K152" s="2417"/>
      <c r="L152" s="2417">
        <v>4</v>
      </c>
      <c r="M152" s="2417">
        <v>120</v>
      </c>
      <c r="N152" s="2417">
        <f t="shared" si="23"/>
        <v>0.5</v>
      </c>
      <c r="O152" s="2421"/>
      <c r="P152" s="2417"/>
      <c r="Q152" s="2417"/>
      <c r="R152" s="2417">
        <f t="shared" si="24"/>
        <v>0</v>
      </c>
      <c r="S152" s="2417">
        <f t="shared" si="21"/>
        <v>0</v>
      </c>
      <c r="T152" s="2417"/>
      <c r="U152" s="2417"/>
      <c r="V152" s="2417">
        <f t="shared" si="19"/>
        <v>-0.5</v>
      </c>
      <c r="W152" s="2417">
        <f t="shared" si="20"/>
        <v>0</v>
      </c>
      <c r="X152" s="2417">
        <f t="shared" si="25"/>
        <v>0</v>
      </c>
      <c r="Y152" s="2417">
        <f t="shared" si="26"/>
        <v>0</v>
      </c>
      <c r="Z152" s="2444"/>
      <c r="AA152" s="2296" t="s">
        <v>1665</v>
      </c>
    </row>
    <row r="153" spans="1:27" s="2290" customFormat="1" hidden="1" x14ac:dyDescent="0.25">
      <c r="A153" s="2380"/>
      <c r="B153" s="2325"/>
      <c r="C153" s="2328" t="s">
        <v>2151</v>
      </c>
      <c r="D153" s="2364">
        <v>10</v>
      </c>
      <c r="E153" s="2441">
        <v>28</v>
      </c>
      <c r="F153" s="2412">
        <f t="shared" si="22"/>
        <v>0.3</v>
      </c>
      <c r="G153" s="2417"/>
      <c r="H153" s="2417">
        <v>10</v>
      </c>
      <c r="I153" s="2417">
        <v>28</v>
      </c>
      <c r="J153" s="2417">
        <f t="shared" si="14"/>
        <v>0.3</v>
      </c>
      <c r="K153" s="2417"/>
      <c r="L153" s="2417">
        <v>10</v>
      </c>
      <c r="M153" s="2417">
        <v>28</v>
      </c>
      <c r="N153" s="2417">
        <f t="shared" si="23"/>
        <v>0.3</v>
      </c>
      <c r="O153" s="2421"/>
      <c r="P153" s="2417">
        <v>10</v>
      </c>
      <c r="Q153" s="2417">
        <v>28</v>
      </c>
      <c r="R153" s="2417">
        <f t="shared" si="24"/>
        <v>0.3</v>
      </c>
      <c r="S153" s="2417">
        <f t="shared" si="21"/>
        <v>0.3</v>
      </c>
      <c r="T153" s="2417"/>
      <c r="U153" s="2417"/>
      <c r="V153" s="2417">
        <f t="shared" si="19"/>
        <v>0</v>
      </c>
      <c r="W153" s="2417">
        <f t="shared" si="20"/>
        <v>100</v>
      </c>
      <c r="X153" s="2417">
        <f t="shared" si="25"/>
        <v>0.3</v>
      </c>
      <c r="Y153" s="2417">
        <f t="shared" si="26"/>
        <v>0.3</v>
      </c>
      <c r="Z153" s="2444"/>
      <c r="AA153" s="2296" t="s">
        <v>1665</v>
      </c>
    </row>
    <row r="154" spans="1:27" s="2290" customFormat="1" hidden="1" x14ac:dyDescent="0.25">
      <c r="A154" s="2380"/>
      <c r="B154" s="2325"/>
      <c r="C154" s="2328" t="s">
        <v>760</v>
      </c>
      <c r="D154" s="2364">
        <v>5</v>
      </c>
      <c r="E154" s="2441">
        <v>28</v>
      </c>
      <c r="F154" s="2412">
        <f t="shared" si="22"/>
        <v>0.1</v>
      </c>
      <c r="G154" s="2417"/>
      <c r="H154" s="2417">
        <v>5</v>
      </c>
      <c r="I154" s="2417">
        <v>28</v>
      </c>
      <c r="J154" s="2417">
        <f t="shared" si="14"/>
        <v>0.1</v>
      </c>
      <c r="K154" s="2417"/>
      <c r="L154" s="2417">
        <v>5</v>
      </c>
      <c r="M154" s="2417">
        <v>28</v>
      </c>
      <c r="N154" s="2417">
        <f t="shared" si="23"/>
        <v>0.1</v>
      </c>
      <c r="O154" s="2421"/>
      <c r="P154" s="2417">
        <v>5</v>
      </c>
      <c r="Q154" s="2417">
        <v>28</v>
      </c>
      <c r="R154" s="2417">
        <f t="shared" si="24"/>
        <v>0.1</v>
      </c>
      <c r="S154" s="2417">
        <f t="shared" si="21"/>
        <v>0.1</v>
      </c>
      <c r="T154" s="2417"/>
      <c r="U154" s="2417"/>
      <c r="V154" s="2417">
        <f t="shared" si="19"/>
        <v>0</v>
      </c>
      <c r="W154" s="2417">
        <f t="shared" si="20"/>
        <v>100</v>
      </c>
      <c r="X154" s="2417">
        <f t="shared" si="25"/>
        <v>0.1</v>
      </c>
      <c r="Y154" s="2417">
        <f t="shared" si="26"/>
        <v>0.1</v>
      </c>
      <c r="Z154" s="2444"/>
      <c r="AA154" s="2296" t="s">
        <v>1665</v>
      </c>
    </row>
    <row r="155" spans="1:27" s="2408" customFormat="1" hidden="1" x14ac:dyDescent="0.25">
      <c r="A155" s="2311">
        <v>11</v>
      </c>
      <c r="B155" s="2311"/>
      <c r="C155" s="2312" t="s">
        <v>2152</v>
      </c>
      <c r="D155" s="2446"/>
      <c r="E155" s="2447"/>
      <c r="F155" s="2404"/>
      <c r="G155" s="2405"/>
      <c r="H155" s="2405"/>
      <c r="I155" s="2405"/>
      <c r="J155" s="2313">
        <f>J156+J162+J165+J169</f>
        <v>70.8</v>
      </c>
      <c r="K155" s="2313">
        <f>K156+K162+K165+K169</f>
        <v>0</v>
      </c>
      <c r="L155" s="2405"/>
      <c r="M155" s="2405"/>
      <c r="N155" s="2313">
        <f>N156+N162+N165+N169</f>
        <v>70.8</v>
      </c>
      <c r="O155" s="2315">
        <f>O156+O162+O165+O169</f>
        <v>0</v>
      </c>
      <c r="P155" s="2405"/>
      <c r="Q155" s="2405"/>
      <c r="R155" s="2313">
        <f>R156+R162+R165+R169</f>
        <v>70.3</v>
      </c>
      <c r="S155" s="2313">
        <f t="shared" si="21"/>
        <v>70.3</v>
      </c>
      <c r="T155" s="2313"/>
      <c r="U155" s="2313">
        <f>U156+U162+U165+U169</f>
        <v>24.6</v>
      </c>
      <c r="V155" s="2313">
        <f t="shared" si="19"/>
        <v>-0.5</v>
      </c>
      <c r="W155" s="2313">
        <f t="shared" si="20"/>
        <v>99.3</v>
      </c>
      <c r="X155" s="2313">
        <f>X156+X162+X165+X169</f>
        <v>101.8</v>
      </c>
      <c r="Y155" s="2313">
        <f>Y156+Y162+Y165+Y169</f>
        <v>101.8</v>
      </c>
      <c r="Z155" s="2448"/>
      <c r="AA155" s="2296" t="s">
        <v>1665</v>
      </c>
    </row>
    <row r="156" spans="1:27" s="2290" customFormat="1" ht="31.5" x14ac:dyDescent="0.25">
      <c r="A156" s="2380"/>
      <c r="B156" s="2319">
        <v>955</v>
      </c>
      <c r="C156" s="2340" t="s">
        <v>1401</v>
      </c>
      <c r="D156" s="2364"/>
      <c r="E156" s="2441"/>
      <c r="F156" s="2389"/>
      <c r="G156" s="2417"/>
      <c r="H156" s="2361"/>
      <c r="I156" s="2361"/>
      <c r="J156" s="2361">
        <f>SUM(J157:J161)</f>
        <v>15.3</v>
      </c>
      <c r="K156" s="2361"/>
      <c r="L156" s="2361"/>
      <c r="M156" s="2361"/>
      <c r="N156" s="2361">
        <f>SUM(N157:N161)</f>
        <v>15.3</v>
      </c>
      <c r="O156" s="2449"/>
      <c r="P156" s="2361"/>
      <c r="Q156" s="2361"/>
      <c r="R156" s="2361">
        <f>SUM(R157:R161)</f>
        <v>11.8</v>
      </c>
      <c r="S156" s="2361">
        <v>11.7</v>
      </c>
      <c r="T156" s="2361"/>
      <c r="U156" s="2361"/>
      <c r="V156" s="2384">
        <f t="shared" si="19"/>
        <v>-3.5</v>
      </c>
      <c r="W156" s="2384">
        <f t="shared" si="20"/>
        <v>77.099999999999994</v>
      </c>
      <c r="X156" s="2361">
        <v>11.7</v>
      </c>
      <c r="Y156" s="2361">
        <v>11.7</v>
      </c>
      <c r="Z156" s="2450"/>
      <c r="AA156" s="2296" t="s">
        <v>1665</v>
      </c>
    </row>
    <row r="157" spans="1:27" s="2290" customFormat="1" ht="47.25" hidden="1" x14ac:dyDescent="0.25">
      <c r="A157" s="2380"/>
      <c r="B157" s="2343"/>
      <c r="C157" s="2335" t="s">
        <v>2153</v>
      </c>
      <c r="D157" s="2364"/>
      <c r="E157" s="2441"/>
      <c r="F157" s="2389"/>
      <c r="G157" s="2417"/>
      <c r="H157" s="2364">
        <v>1</v>
      </c>
      <c r="I157" s="2364">
        <v>3450</v>
      </c>
      <c r="J157" s="2364">
        <f>H157*I157/1000</f>
        <v>3.5</v>
      </c>
      <c r="K157" s="2364"/>
      <c r="L157" s="2364">
        <v>1</v>
      </c>
      <c r="M157" s="2364">
        <v>3450</v>
      </c>
      <c r="N157" s="2364">
        <f>L157*M157/1000</f>
        <v>3.5</v>
      </c>
      <c r="O157" s="2451"/>
      <c r="P157" s="2364">
        <v>1</v>
      </c>
      <c r="Q157" s="2364">
        <v>3450</v>
      </c>
      <c r="R157" s="2364">
        <f>Q157*P157/1000</f>
        <v>3.5</v>
      </c>
      <c r="S157" s="2364">
        <f t="shared" si="21"/>
        <v>3.5</v>
      </c>
      <c r="T157" s="2364"/>
      <c r="U157" s="2364"/>
      <c r="V157" s="2384">
        <f t="shared" si="19"/>
        <v>0</v>
      </c>
      <c r="W157" s="2384">
        <f t="shared" si="20"/>
        <v>100</v>
      </c>
      <c r="X157" s="2364">
        <v>3.5</v>
      </c>
      <c r="Y157" s="2364">
        <v>3.5</v>
      </c>
      <c r="Z157" s="3657"/>
      <c r="AA157" s="2296" t="s">
        <v>1665</v>
      </c>
    </row>
    <row r="158" spans="1:27" s="2290" customFormat="1" ht="47.25" hidden="1" x14ac:dyDescent="0.25">
      <c r="A158" s="2380"/>
      <c r="B158" s="2319"/>
      <c r="C158" s="2335" t="s">
        <v>2154</v>
      </c>
      <c r="D158" s="2364"/>
      <c r="E158" s="2441"/>
      <c r="F158" s="2389"/>
      <c r="G158" s="2417"/>
      <c r="H158" s="2364">
        <v>1</v>
      </c>
      <c r="I158" s="2364">
        <v>2300</v>
      </c>
      <c r="J158" s="2364">
        <f>H158*I158/1000</f>
        <v>2.2999999999999998</v>
      </c>
      <c r="K158" s="2361"/>
      <c r="L158" s="2364">
        <v>1</v>
      </c>
      <c r="M158" s="2364">
        <v>2300</v>
      </c>
      <c r="N158" s="2364">
        <f>L158*M158/1000</f>
        <v>2.2999999999999998</v>
      </c>
      <c r="O158" s="2449"/>
      <c r="P158" s="2364">
        <v>1</v>
      </c>
      <c r="Q158" s="2364">
        <v>2300</v>
      </c>
      <c r="R158" s="2364">
        <f>Q158*P158/1000</f>
        <v>2.2999999999999998</v>
      </c>
      <c r="S158" s="2364">
        <f t="shared" si="21"/>
        <v>2.2999999999999998</v>
      </c>
      <c r="T158" s="2364"/>
      <c r="U158" s="2361"/>
      <c r="V158" s="2417">
        <f t="shared" si="19"/>
        <v>0</v>
      </c>
      <c r="W158" s="2417">
        <f t="shared" si="20"/>
        <v>100</v>
      </c>
      <c r="X158" s="2364">
        <v>2.2999999999999998</v>
      </c>
      <c r="Y158" s="2364">
        <v>2.2999999999999998</v>
      </c>
      <c r="Z158" s="3658"/>
      <c r="AA158" s="2296" t="s">
        <v>1665</v>
      </c>
    </row>
    <row r="159" spans="1:27" s="2290" customFormat="1" ht="47.25" hidden="1" x14ac:dyDescent="0.25">
      <c r="A159" s="2380"/>
      <c r="B159" s="2343"/>
      <c r="C159" s="2335" t="s">
        <v>2155</v>
      </c>
      <c r="D159" s="2364"/>
      <c r="E159" s="2441"/>
      <c r="F159" s="2389"/>
      <c r="G159" s="2417"/>
      <c r="H159" s="2364">
        <v>1</v>
      </c>
      <c r="I159" s="2364">
        <v>3000</v>
      </c>
      <c r="J159" s="2364">
        <f>H159*I159/1000</f>
        <v>3</v>
      </c>
      <c r="K159" s="2364"/>
      <c r="L159" s="2364">
        <v>1</v>
      </c>
      <c r="M159" s="2364">
        <v>3000</v>
      </c>
      <c r="N159" s="2364">
        <f>L159*M159/1000</f>
        <v>3</v>
      </c>
      <c r="O159" s="2451"/>
      <c r="P159" s="2364"/>
      <c r="Q159" s="2364"/>
      <c r="R159" s="2364">
        <f>Q159*P159/1000</f>
        <v>0</v>
      </c>
      <c r="S159" s="2364">
        <f t="shared" si="21"/>
        <v>0</v>
      </c>
      <c r="T159" s="2364"/>
      <c r="U159" s="2364"/>
      <c r="V159" s="2417">
        <f t="shared" si="19"/>
        <v>-3</v>
      </c>
      <c r="W159" s="2417">
        <f t="shared" si="20"/>
        <v>0</v>
      </c>
      <c r="X159" s="2364">
        <v>0</v>
      </c>
      <c r="Y159" s="2364">
        <v>0</v>
      </c>
      <c r="Z159" s="3658"/>
      <c r="AA159" s="2296" t="s">
        <v>1665</v>
      </c>
    </row>
    <row r="160" spans="1:27" s="2290" customFormat="1" ht="63" hidden="1" x14ac:dyDescent="0.25">
      <c r="A160" s="2380"/>
      <c r="B160" s="2343"/>
      <c r="C160" s="2335" t="s">
        <v>2156</v>
      </c>
      <c r="D160" s="2364"/>
      <c r="E160" s="2441"/>
      <c r="F160" s="2389"/>
      <c r="G160" s="2417"/>
      <c r="H160" s="2364">
        <v>1</v>
      </c>
      <c r="I160" s="2364">
        <v>3150</v>
      </c>
      <c r="J160" s="2364">
        <f>H160*I160/1000</f>
        <v>3.2</v>
      </c>
      <c r="K160" s="2364"/>
      <c r="L160" s="2364">
        <v>1</v>
      </c>
      <c r="M160" s="2364">
        <v>3150</v>
      </c>
      <c r="N160" s="2364">
        <f>L160*M160/1000</f>
        <v>3.2</v>
      </c>
      <c r="O160" s="2451"/>
      <c r="P160" s="2364">
        <v>1</v>
      </c>
      <c r="Q160" s="2364">
        <v>3450</v>
      </c>
      <c r="R160" s="2364">
        <f>Q160*P160/1000</f>
        <v>3.5</v>
      </c>
      <c r="S160" s="2364">
        <f t="shared" si="21"/>
        <v>3.5</v>
      </c>
      <c r="T160" s="2364"/>
      <c r="U160" s="2364"/>
      <c r="V160" s="2417">
        <f t="shared" si="19"/>
        <v>0.3</v>
      </c>
      <c r="W160" s="2417">
        <f t="shared" si="20"/>
        <v>109.4</v>
      </c>
      <c r="X160" s="2364">
        <v>3.5</v>
      </c>
      <c r="Y160" s="2364">
        <v>3.5</v>
      </c>
      <c r="Z160" s="3659"/>
      <c r="AA160" s="2296" t="s">
        <v>1665</v>
      </c>
    </row>
    <row r="161" spans="1:27" s="2290" customFormat="1" hidden="1" x14ac:dyDescent="0.25">
      <c r="A161" s="2380"/>
      <c r="B161" s="2343"/>
      <c r="C161" s="2335" t="s">
        <v>1234</v>
      </c>
      <c r="D161" s="2364"/>
      <c r="E161" s="2441"/>
      <c r="F161" s="2389"/>
      <c r="G161" s="2417"/>
      <c r="H161" s="2364"/>
      <c r="I161" s="2364"/>
      <c r="J161" s="2364">
        <f>SUM(J157:J160)*0.271</f>
        <v>3.3</v>
      </c>
      <c r="K161" s="2364"/>
      <c r="L161" s="2364"/>
      <c r="M161" s="2364"/>
      <c r="N161" s="2364">
        <f>SUM(N157:N160)*0.271</f>
        <v>3.3</v>
      </c>
      <c r="O161" s="2451"/>
      <c r="P161" s="2364"/>
      <c r="Q161" s="2364"/>
      <c r="R161" s="2364">
        <f>SUM(R157:R160)*0.271</f>
        <v>2.5</v>
      </c>
      <c r="S161" s="2364">
        <f t="shared" si="21"/>
        <v>2.5</v>
      </c>
      <c r="T161" s="2364"/>
      <c r="U161" s="2364"/>
      <c r="V161" s="2417">
        <f t="shared" si="19"/>
        <v>-0.8</v>
      </c>
      <c r="W161" s="2417">
        <f t="shared" si="20"/>
        <v>75.8</v>
      </c>
      <c r="X161" s="2364">
        <v>2.5</v>
      </c>
      <c r="Y161" s="2364">
        <v>2.5</v>
      </c>
      <c r="Z161" s="2450"/>
      <c r="AA161" s="2296" t="s">
        <v>1665</v>
      </c>
    </row>
    <row r="162" spans="1:27" s="2290" customFormat="1" hidden="1" x14ac:dyDescent="0.25">
      <c r="A162" s="2380"/>
      <c r="B162" s="2452">
        <v>981</v>
      </c>
      <c r="C162" s="2340" t="s">
        <v>1226</v>
      </c>
      <c r="D162" s="2364"/>
      <c r="E162" s="2441"/>
      <c r="F162" s="2389"/>
      <c r="G162" s="2417"/>
      <c r="H162" s="2361"/>
      <c r="I162" s="2361"/>
      <c r="J162" s="2361">
        <f>J163</f>
        <v>2</v>
      </c>
      <c r="K162" s="2361"/>
      <c r="L162" s="2361"/>
      <c r="M162" s="2361"/>
      <c r="N162" s="2361">
        <f>N163</f>
        <v>2</v>
      </c>
      <c r="O162" s="2449"/>
      <c r="P162" s="2361"/>
      <c r="Q162" s="2361"/>
      <c r="R162" s="2361">
        <f>SUM(R163:R164)</f>
        <v>2</v>
      </c>
      <c r="S162" s="2361">
        <f t="shared" si="21"/>
        <v>2</v>
      </c>
      <c r="T162" s="2361"/>
      <c r="U162" s="2361">
        <f>SUM(U163:U164)</f>
        <v>9.6</v>
      </c>
      <c r="V162" s="2416">
        <f t="shared" si="19"/>
        <v>0</v>
      </c>
      <c r="W162" s="2416">
        <f t="shared" si="20"/>
        <v>100</v>
      </c>
      <c r="X162" s="2361">
        <f>SUM(X163:X164)</f>
        <v>11.6</v>
      </c>
      <c r="Y162" s="2361">
        <f>SUM(Y163:Y164)</f>
        <v>11.6</v>
      </c>
      <c r="Z162" s="2453"/>
      <c r="AA162" s="2296" t="s">
        <v>1665</v>
      </c>
    </row>
    <row r="163" spans="1:27" s="2290" customFormat="1" hidden="1" x14ac:dyDescent="0.25">
      <c r="A163" s="2380"/>
      <c r="B163" s="2325"/>
      <c r="C163" s="2335" t="s">
        <v>1958</v>
      </c>
      <c r="D163" s="2364"/>
      <c r="E163" s="2441"/>
      <c r="F163" s="2389"/>
      <c r="G163" s="2417"/>
      <c r="H163" s="2364">
        <v>2</v>
      </c>
      <c r="I163" s="2364">
        <v>1000</v>
      </c>
      <c r="J163" s="2364">
        <f>H163*I163/1000</f>
        <v>2</v>
      </c>
      <c r="K163" s="2364"/>
      <c r="L163" s="2364">
        <v>2</v>
      </c>
      <c r="M163" s="2364">
        <v>1000</v>
      </c>
      <c r="N163" s="2364">
        <f>L163*M163/1000</f>
        <v>2</v>
      </c>
      <c r="O163" s="2451"/>
      <c r="P163" s="2364">
        <v>1</v>
      </c>
      <c r="Q163" s="2364">
        <v>2000</v>
      </c>
      <c r="R163" s="2364">
        <f>Q163*P163/1000</f>
        <v>2</v>
      </c>
      <c r="S163" s="2364">
        <f t="shared" si="21"/>
        <v>2</v>
      </c>
      <c r="T163" s="2364"/>
      <c r="U163" s="2364"/>
      <c r="V163" s="2384">
        <f t="shared" si="19"/>
        <v>0</v>
      </c>
      <c r="W163" s="2384">
        <f t="shared" si="20"/>
        <v>100</v>
      </c>
      <c r="X163" s="2364">
        <v>2</v>
      </c>
      <c r="Y163" s="2364">
        <v>2</v>
      </c>
      <c r="Z163" s="2440"/>
      <c r="AA163" s="2296" t="s">
        <v>1665</v>
      </c>
    </row>
    <row r="164" spans="1:27" s="2290" customFormat="1" ht="31.5" hidden="1" x14ac:dyDescent="0.25">
      <c r="A164" s="2380"/>
      <c r="B164" s="2325"/>
      <c r="C164" s="2338" t="s">
        <v>1616</v>
      </c>
      <c r="D164" s="2364"/>
      <c r="E164" s="2441"/>
      <c r="F164" s="2389"/>
      <c r="G164" s="2417"/>
      <c r="H164" s="2364"/>
      <c r="I164" s="2364"/>
      <c r="J164" s="2364"/>
      <c r="K164" s="2364"/>
      <c r="L164" s="2364"/>
      <c r="M164" s="2364"/>
      <c r="N164" s="2364"/>
      <c r="O164" s="2451"/>
      <c r="P164" s="2364">
        <v>1</v>
      </c>
      <c r="Q164" s="2364">
        <v>9600</v>
      </c>
      <c r="R164" s="2364"/>
      <c r="S164" s="2364">
        <f t="shared" si="21"/>
        <v>0</v>
      </c>
      <c r="T164" s="2364"/>
      <c r="U164" s="2364">
        <v>9.6</v>
      </c>
      <c r="V164" s="2384">
        <f t="shared" si="19"/>
        <v>0</v>
      </c>
      <c r="W164" s="2384">
        <f t="shared" si="20"/>
        <v>0</v>
      </c>
      <c r="X164" s="2364">
        <v>9.6</v>
      </c>
      <c r="Y164" s="2364">
        <v>9.6</v>
      </c>
      <c r="Z164" s="2440" t="s">
        <v>2157</v>
      </c>
      <c r="AA164" s="2296" t="s">
        <v>1665</v>
      </c>
    </row>
    <row r="165" spans="1:27" s="2290" customFormat="1" hidden="1" x14ac:dyDescent="0.25">
      <c r="A165" s="2380"/>
      <c r="B165" s="2452">
        <v>981</v>
      </c>
      <c r="C165" s="2340" t="s">
        <v>2158</v>
      </c>
      <c r="D165" s="2364"/>
      <c r="E165" s="2441"/>
      <c r="F165" s="2389"/>
      <c r="G165" s="2417"/>
      <c r="H165" s="2361"/>
      <c r="I165" s="2361"/>
      <c r="J165" s="2361">
        <f>SUM(J166:J168)</f>
        <v>21</v>
      </c>
      <c r="K165" s="2361"/>
      <c r="L165" s="2361"/>
      <c r="M165" s="2361"/>
      <c r="N165" s="2361">
        <f>SUM(N166:N168)</f>
        <v>20.5</v>
      </c>
      <c r="O165" s="2449"/>
      <c r="P165" s="2361"/>
      <c r="Q165" s="2361"/>
      <c r="R165" s="2361">
        <f>SUM(R166:R168)</f>
        <v>20.5</v>
      </c>
      <c r="S165" s="2361">
        <f t="shared" si="21"/>
        <v>20.5</v>
      </c>
      <c r="T165" s="2361"/>
      <c r="U165" s="2361"/>
      <c r="V165" s="2377">
        <f t="shared" si="19"/>
        <v>-0.5</v>
      </c>
      <c r="W165" s="2377">
        <f t="shared" si="20"/>
        <v>97.6</v>
      </c>
      <c r="X165" s="2361">
        <v>20.5</v>
      </c>
      <c r="Y165" s="2361">
        <v>20.5</v>
      </c>
      <c r="Z165" s="2453"/>
      <c r="AA165" s="2296" t="s">
        <v>1665</v>
      </c>
    </row>
    <row r="166" spans="1:27" s="2290" customFormat="1" hidden="1" x14ac:dyDescent="0.25">
      <c r="A166" s="2380"/>
      <c r="B166" s="2343"/>
      <c r="C166" s="2335" t="s">
        <v>2090</v>
      </c>
      <c r="D166" s="2364"/>
      <c r="E166" s="2441"/>
      <c r="F166" s="2389"/>
      <c r="G166" s="2417"/>
      <c r="H166" s="2364">
        <v>100</v>
      </c>
      <c r="I166" s="2364">
        <v>50</v>
      </c>
      <c r="J166" s="2364">
        <f t="shared" ref="J166:J172" si="27">H166*I166/1000</f>
        <v>5</v>
      </c>
      <c r="K166" s="2364"/>
      <c r="L166" s="2364">
        <v>100</v>
      </c>
      <c r="M166" s="2364">
        <v>50</v>
      </c>
      <c r="N166" s="2364">
        <f>L166*M166/1000</f>
        <v>5</v>
      </c>
      <c r="O166" s="2451"/>
      <c r="P166" s="2364">
        <v>100</v>
      </c>
      <c r="Q166" s="2364">
        <v>50</v>
      </c>
      <c r="R166" s="2364">
        <f t="shared" ref="R166:R174" si="28">Q166*P166/1000</f>
        <v>5</v>
      </c>
      <c r="S166" s="2364">
        <f t="shared" si="21"/>
        <v>5</v>
      </c>
      <c r="T166" s="2364"/>
      <c r="U166" s="2364"/>
      <c r="V166" s="2384">
        <f t="shared" si="19"/>
        <v>0</v>
      </c>
      <c r="W166" s="2384">
        <f t="shared" si="20"/>
        <v>100</v>
      </c>
      <c r="X166" s="2364">
        <v>5</v>
      </c>
      <c r="Y166" s="2364">
        <v>5</v>
      </c>
      <c r="Z166" s="2454"/>
      <c r="AA166" s="2296" t="s">
        <v>1665</v>
      </c>
    </row>
    <row r="167" spans="1:27" s="2290" customFormat="1" ht="31.5" hidden="1" x14ac:dyDescent="0.25">
      <c r="A167" s="2380"/>
      <c r="B167" s="2343"/>
      <c r="C167" s="2335" t="s">
        <v>2067</v>
      </c>
      <c r="D167" s="2364"/>
      <c r="E167" s="2441"/>
      <c r="F167" s="2389"/>
      <c r="G167" s="2417"/>
      <c r="H167" s="2364">
        <v>20</v>
      </c>
      <c r="I167" s="2364">
        <v>25</v>
      </c>
      <c r="J167" s="2364">
        <f t="shared" si="27"/>
        <v>0.5</v>
      </c>
      <c r="K167" s="2364"/>
      <c r="L167" s="2364">
        <v>20</v>
      </c>
      <c r="M167" s="2364">
        <v>25</v>
      </c>
      <c r="N167" s="2364">
        <f>L167*M167/1000-0.5</f>
        <v>0</v>
      </c>
      <c r="O167" s="2451"/>
      <c r="P167" s="2364"/>
      <c r="Q167" s="2364"/>
      <c r="R167" s="2364"/>
      <c r="S167" s="2364">
        <f t="shared" si="21"/>
        <v>0</v>
      </c>
      <c r="T167" s="2364"/>
      <c r="U167" s="2364"/>
      <c r="V167" s="2384">
        <f t="shared" si="19"/>
        <v>-0.5</v>
      </c>
      <c r="W167" s="2384">
        <f t="shared" si="20"/>
        <v>0</v>
      </c>
      <c r="X167" s="2364"/>
      <c r="Y167" s="2364"/>
      <c r="Z167" s="2454"/>
      <c r="AA167" s="2296" t="s">
        <v>1665</v>
      </c>
    </row>
    <row r="168" spans="1:27" s="2290" customFormat="1" hidden="1" x14ac:dyDescent="0.25">
      <c r="A168" s="2380"/>
      <c r="B168" s="2343"/>
      <c r="C168" s="2335" t="s">
        <v>2159</v>
      </c>
      <c r="D168" s="2364"/>
      <c r="E168" s="2441"/>
      <c r="F168" s="2389"/>
      <c r="G168" s="2417"/>
      <c r="H168" s="2364">
        <v>155</v>
      </c>
      <c r="I168" s="2364">
        <v>100</v>
      </c>
      <c r="J168" s="2364">
        <f t="shared" si="27"/>
        <v>15.5</v>
      </c>
      <c r="K168" s="2364"/>
      <c r="L168" s="2364">
        <v>155</v>
      </c>
      <c r="M168" s="2364">
        <v>100</v>
      </c>
      <c r="N168" s="2364">
        <f>L168*M168/1000</f>
        <v>15.5</v>
      </c>
      <c r="O168" s="2451"/>
      <c r="P168" s="2364">
        <v>155</v>
      </c>
      <c r="Q168" s="2364">
        <v>100</v>
      </c>
      <c r="R168" s="2364">
        <f t="shared" si="28"/>
        <v>15.5</v>
      </c>
      <c r="S168" s="2364">
        <f t="shared" si="21"/>
        <v>15.5</v>
      </c>
      <c r="T168" s="2364"/>
      <c r="U168" s="2364"/>
      <c r="V168" s="2384">
        <f t="shared" si="19"/>
        <v>0</v>
      </c>
      <c r="W168" s="2384">
        <f t="shared" si="20"/>
        <v>100</v>
      </c>
      <c r="X168" s="2364">
        <v>15.5</v>
      </c>
      <c r="Y168" s="2364">
        <v>15.5</v>
      </c>
      <c r="Z168" s="2454"/>
      <c r="AA168" s="2296" t="s">
        <v>1665</v>
      </c>
    </row>
    <row r="169" spans="1:27" s="2290" customFormat="1" hidden="1" x14ac:dyDescent="0.25">
      <c r="A169" s="2380"/>
      <c r="B169" s="2452">
        <v>963</v>
      </c>
      <c r="C169" s="2340" t="s">
        <v>798</v>
      </c>
      <c r="D169" s="2364"/>
      <c r="E169" s="2441"/>
      <c r="F169" s="2389"/>
      <c r="G169" s="2417"/>
      <c r="H169" s="2361"/>
      <c r="I169" s="2361"/>
      <c r="J169" s="2361">
        <f>SUM(J170:J172)</f>
        <v>32.5</v>
      </c>
      <c r="K169" s="2361"/>
      <c r="L169" s="2361"/>
      <c r="M169" s="2361"/>
      <c r="N169" s="2361">
        <f>SUM(N170:N174)</f>
        <v>33</v>
      </c>
      <c r="O169" s="2449"/>
      <c r="P169" s="2361"/>
      <c r="Q169" s="2361"/>
      <c r="R169" s="2361">
        <f>SUM(R170:R174)</f>
        <v>36</v>
      </c>
      <c r="S169" s="2361">
        <f t="shared" si="21"/>
        <v>36</v>
      </c>
      <c r="T169" s="2361"/>
      <c r="U169" s="2361">
        <f>SUM(U170:U174)</f>
        <v>15</v>
      </c>
      <c r="V169" s="2377">
        <f t="shared" si="19"/>
        <v>3.5</v>
      </c>
      <c r="W169" s="2377">
        <f t="shared" si="20"/>
        <v>110.8</v>
      </c>
      <c r="X169" s="2361">
        <v>58</v>
      </c>
      <c r="Y169" s="2361">
        <v>58</v>
      </c>
      <c r="Z169" s="2453"/>
      <c r="AA169" s="2296" t="s">
        <v>1665</v>
      </c>
    </row>
    <row r="170" spans="1:27" s="2290" customFormat="1" hidden="1" x14ac:dyDescent="0.25">
      <c r="A170" s="2380"/>
      <c r="B170" s="2343"/>
      <c r="C170" s="2335" t="s">
        <v>2160</v>
      </c>
      <c r="D170" s="2364"/>
      <c r="E170" s="2441"/>
      <c r="F170" s="2389"/>
      <c r="G170" s="2417"/>
      <c r="H170" s="2364">
        <v>10</v>
      </c>
      <c r="I170" s="2364">
        <v>200</v>
      </c>
      <c r="J170" s="2364">
        <f t="shared" si="27"/>
        <v>2</v>
      </c>
      <c r="K170" s="2364"/>
      <c r="L170" s="2364">
        <v>10</v>
      </c>
      <c r="M170" s="2364">
        <v>200</v>
      </c>
      <c r="N170" s="2364">
        <f>L170*M170/1000</f>
        <v>2</v>
      </c>
      <c r="O170" s="2451"/>
      <c r="P170" s="2364"/>
      <c r="Q170" s="2364"/>
      <c r="R170" s="2364"/>
      <c r="S170" s="2364">
        <f t="shared" si="21"/>
        <v>0</v>
      </c>
      <c r="T170" s="2364"/>
      <c r="U170" s="2364"/>
      <c r="V170" s="2384">
        <f t="shared" si="19"/>
        <v>-2</v>
      </c>
      <c r="W170" s="2384">
        <f t="shared" si="20"/>
        <v>0</v>
      </c>
      <c r="X170" s="2364">
        <v>2</v>
      </c>
      <c r="Y170" s="2364">
        <v>2</v>
      </c>
      <c r="Z170" s="2454"/>
      <c r="AA170" s="2296" t="s">
        <v>1665</v>
      </c>
    </row>
    <row r="171" spans="1:27" s="2290" customFormat="1" hidden="1" x14ac:dyDescent="0.25">
      <c r="A171" s="2380"/>
      <c r="B171" s="2343"/>
      <c r="C171" s="2335" t="s">
        <v>2161</v>
      </c>
      <c r="D171" s="2364"/>
      <c r="E171" s="2441"/>
      <c r="F171" s="2389"/>
      <c r="G171" s="2417"/>
      <c r="H171" s="2364">
        <v>10</v>
      </c>
      <c r="I171" s="2364">
        <v>50</v>
      </c>
      <c r="J171" s="2364">
        <f t="shared" si="27"/>
        <v>0.5</v>
      </c>
      <c r="K171" s="2364"/>
      <c r="L171" s="2364">
        <v>10</v>
      </c>
      <c r="M171" s="2364">
        <v>50</v>
      </c>
      <c r="N171" s="2364">
        <f>L171*M171/1000</f>
        <v>0.5</v>
      </c>
      <c r="O171" s="2451"/>
      <c r="P171" s="2364">
        <v>10</v>
      </c>
      <c r="Q171" s="2364">
        <v>50</v>
      </c>
      <c r="R171" s="2364">
        <f t="shared" si="28"/>
        <v>0.5</v>
      </c>
      <c r="S171" s="2364">
        <f t="shared" si="21"/>
        <v>0.5</v>
      </c>
      <c r="T171" s="2364"/>
      <c r="U171" s="2364"/>
      <c r="V171" s="2384">
        <f t="shared" si="19"/>
        <v>0</v>
      </c>
      <c r="W171" s="2384">
        <f t="shared" si="20"/>
        <v>100</v>
      </c>
      <c r="X171" s="2364">
        <v>0.5</v>
      </c>
      <c r="Y171" s="2364">
        <v>0.5</v>
      </c>
      <c r="Z171" s="2454"/>
      <c r="AA171" s="2296" t="s">
        <v>1665</v>
      </c>
    </row>
    <row r="172" spans="1:27" s="2290" customFormat="1" ht="63" hidden="1" x14ac:dyDescent="0.25">
      <c r="A172" s="2380"/>
      <c r="B172" s="2343"/>
      <c r="C172" s="2335" t="s">
        <v>2162</v>
      </c>
      <c r="D172" s="2333"/>
      <c r="E172" s="2354"/>
      <c r="F172" s="2333"/>
      <c r="G172" s="2333"/>
      <c r="H172" s="2364">
        <v>10</v>
      </c>
      <c r="I172" s="2364">
        <v>3000</v>
      </c>
      <c r="J172" s="2364">
        <f t="shared" si="27"/>
        <v>30</v>
      </c>
      <c r="K172" s="2364"/>
      <c r="L172" s="2364">
        <v>10</v>
      </c>
      <c r="M172" s="2364">
        <v>3000</v>
      </c>
      <c r="N172" s="2364">
        <f>L172*M172/1000</f>
        <v>30</v>
      </c>
      <c r="O172" s="2451"/>
      <c r="P172" s="2364">
        <v>15</v>
      </c>
      <c r="Q172" s="2364">
        <v>3000</v>
      </c>
      <c r="R172" s="2364">
        <v>30</v>
      </c>
      <c r="S172" s="2364">
        <f t="shared" si="21"/>
        <v>30</v>
      </c>
      <c r="T172" s="2364"/>
      <c r="U172" s="2364">
        <v>15</v>
      </c>
      <c r="V172" s="2384">
        <f t="shared" si="19"/>
        <v>0</v>
      </c>
      <c r="W172" s="2384">
        <f t="shared" si="20"/>
        <v>100</v>
      </c>
      <c r="X172" s="2364">
        <v>45</v>
      </c>
      <c r="Y172" s="2364">
        <v>45</v>
      </c>
      <c r="Z172" s="2454" t="s">
        <v>2163</v>
      </c>
      <c r="AA172" s="2296" t="s">
        <v>1665</v>
      </c>
    </row>
    <row r="173" spans="1:27" s="2290" customFormat="1" ht="31.5" hidden="1" x14ac:dyDescent="0.25">
      <c r="A173" s="2380"/>
      <c r="B173" s="2343"/>
      <c r="C173" s="2338" t="s">
        <v>2164</v>
      </c>
      <c r="D173" s="2333"/>
      <c r="E173" s="2354"/>
      <c r="F173" s="2333"/>
      <c r="G173" s="2333"/>
      <c r="H173" s="2364"/>
      <c r="I173" s="2364"/>
      <c r="J173" s="2364"/>
      <c r="K173" s="2364"/>
      <c r="L173" s="2364"/>
      <c r="M173" s="2364"/>
      <c r="N173" s="2364"/>
      <c r="O173" s="2451"/>
      <c r="P173" s="2364">
        <v>10</v>
      </c>
      <c r="Q173" s="2364">
        <v>500</v>
      </c>
      <c r="R173" s="2364">
        <f t="shared" si="28"/>
        <v>5</v>
      </c>
      <c r="S173" s="2364">
        <f t="shared" si="21"/>
        <v>5</v>
      </c>
      <c r="T173" s="2364"/>
      <c r="U173" s="2364"/>
      <c r="V173" s="2384">
        <f t="shared" si="19"/>
        <v>5</v>
      </c>
      <c r="W173" s="2384">
        <f t="shared" si="20"/>
        <v>0</v>
      </c>
      <c r="X173" s="2364">
        <v>10</v>
      </c>
      <c r="Y173" s="2364">
        <v>10</v>
      </c>
      <c r="Z173" s="2359" t="s">
        <v>2165</v>
      </c>
      <c r="AA173" s="2296" t="s">
        <v>1665</v>
      </c>
    </row>
    <row r="174" spans="1:27" s="2290" customFormat="1" ht="31.5" hidden="1" x14ac:dyDescent="0.25">
      <c r="A174" s="2380"/>
      <c r="B174" s="2343"/>
      <c r="C174" s="2338" t="s">
        <v>2067</v>
      </c>
      <c r="D174" s="2333"/>
      <c r="E174" s="2354"/>
      <c r="F174" s="2333"/>
      <c r="G174" s="2333"/>
      <c r="H174" s="2364"/>
      <c r="I174" s="2364"/>
      <c r="J174" s="2364"/>
      <c r="K174" s="2364"/>
      <c r="L174" s="2364"/>
      <c r="M174" s="2364"/>
      <c r="N174" s="2364">
        <v>0.5</v>
      </c>
      <c r="O174" s="2451"/>
      <c r="P174" s="2364">
        <v>20</v>
      </c>
      <c r="Q174" s="2364">
        <v>25</v>
      </c>
      <c r="R174" s="2364">
        <f t="shared" si="28"/>
        <v>0.5</v>
      </c>
      <c r="S174" s="2364">
        <f t="shared" si="21"/>
        <v>0.5</v>
      </c>
      <c r="T174" s="2364"/>
      <c r="U174" s="2364"/>
      <c r="V174" s="2384">
        <f t="shared" si="19"/>
        <v>0.5</v>
      </c>
      <c r="W174" s="2384">
        <f t="shared" si="20"/>
        <v>0</v>
      </c>
      <c r="X174" s="2364">
        <v>0.5</v>
      </c>
      <c r="Y174" s="2364">
        <v>0.5</v>
      </c>
      <c r="Z174" s="2359" t="s">
        <v>2166</v>
      </c>
      <c r="AA174" s="2296" t="s">
        <v>1665</v>
      </c>
    </row>
    <row r="175" spans="1:27" s="2290" customFormat="1" ht="47.25" customHeight="1" x14ac:dyDescent="0.25">
      <c r="A175" s="2455"/>
      <c r="B175" s="2347">
        <v>955</v>
      </c>
      <c r="C175" s="2456" t="s">
        <v>2167</v>
      </c>
      <c r="D175" s="2457">
        <v>955</v>
      </c>
      <c r="E175" s="2458"/>
      <c r="F175" s="2458"/>
      <c r="G175" s="2459"/>
      <c r="H175" s="2460"/>
      <c r="I175" s="2405"/>
      <c r="J175" s="2405"/>
      <c r="K175" s="2459"/>
      <c r="L175" s="2460"/>
      <c r="M175" s="2405"/>
      <c r="N175" s="2405"/>
      <c r="O175" s="2461"/>
      <c r="P175" s="2405"/>
      <c r="Q175" s="2405"/>
      <c r="R175" s="2349">
        <f>SUM(R177:R182)</f>
        <v>25.7</v>
      </c>
      <c r="S175" s="2313">
        <v>25.6</v>
      </c>
      <c r="T175" s="2313"/>
      <c r="U175" s="2313">
        <f>U176+U182+U185+U189</f>
        <v>0</v>
      </c>
      <c r="V175" s="2313">
        <f t="shared" si="19"/>
        <v>25.7</v>
      </c>
      <c r="W175" s="2313">
        <f t="shared" si="20"/>
        <v>0</v>
      </c>
      <c r="X175" s="2313">
        <f>SUM(X177:X182)-1.2</f>
        <v>28.8</v>
      </c>
      <c r="Y175" s="2315">
        <f>SUM(Y177:Y182)-4.4</f>
        <v>25.6</v>
      </c>
      <c r="Z175" s="3660" t="s">
        <v>2168</v>
      </c>
      <c r="AA175" s="2296" t="s">
        <v>1665</v>
      </c>
    </row>
    <row r="176" spans="1:27" s="2290" customFormat="1" ht="31.5" hidden="1" x14ac:dyDescent="0.25">
      <c r="A176" s="2462"/>
      <c r="B176" s="2463"/>
      <c r="C176" s="2464" t="s">
        <v>1401</v>
      </c>
      <c r="D176" s="2465"/>
      <c r="E176" s="2466"/>
      <c r="F176" s="2466"/>
      <c r="G176" s="2467"/>
      <c r="H176" s="2468"/>
      <c r="I176" s="2469"/>
      <c r="J176" s="2469"/>
      <c r="K176" s="2467"/>
      <c r="L176" s="2468"/>
      <c r="M176" s="2469"/>
      <c r="N176" s="2469"/>
      <c r="O176" s="2470"/>
      <c r="P176" s="2469"/>
      <c r="Q176" s="2469"/>
      <c r="R176" s="2471"/>
      <c r="S176" s="2364">
        <f t="shared" si="21"/>
        <v>0</v>
      </c>
      <c r="T176" s="2364"/>
      <c r="U176" s="2364"/>
      <c r="V176" s="2384">
        <f t="shared" si="19"/>
        <v>0</v>
      </c>
      <c r="W176" s="2384">
        <f t="shared" si="20"/>
        <v>0</v>
      </c>
      <c r="X176" s="2364"/>
      <c r="Y176" s="2451"/>
      <c r="Z176" s="3661"/>
      <c r="AA176" s="2296" t="s">
        <v>1665</v>
      </c>
    </row>
    <row r="177" spans="1:27" s="2290" customFormat="1" hidden="1" x14ac:dyDescent="0.25">
      <c r="A177" s="2462"/>
      <c r="B177" s="2463"/>
      <c r="C177" s="2472" t="s">
        <v>1933</v>
      </c>
      <c r="D177" s="2465"/>
      <c r="E177" s="2466"/>
      <c r="F177" s="2466"/>
      <c r="G177" s="2467"/>
      <c r="H177" s="2468"/>
      <c r="I177" s="2469"/>
      <c r="J177" s="2469"/>
      <c r="K177" s="2467"/>
      <c r="L177" s="2468"/>
      <c r="M177" s="2469"/>
      <c r="N177" s="2469"/>
      <c r="O177" s="2470"/>
      <c r="P177" s="2469">
        <v>1</v>
      </c>
      <c r="Q177" s="2469">
        <v>3.5</v>
      </c>
      <c r="R177" s="2469">
        <f>P177*Q177</f>
        <v>3.5</v>
      </c>
      <c r="S177" s="2364">
        <f t="shared" si="21"/>
        <v>3.5</v>
      </c>
      <c r="T177" s="2364"/>
      <c r="U177" s="2364"/>
      <c r="V177" s="2384">
        <f t="shared" si="19"/>
        <v>3.5</v>
      </c>
      <c r="W177" s="2384">
        <f t="shared" si="20"/>
        <v>0</v>
      </c>
      <c r="X177" s="2364">
        <v>3.5</v>
      </c>
      <c r="Y177" s="2451">
        <v>3.5</v>
      </c>
      <c r="Z177" s="3661"/>
      <c r="AA177" s="2296" t="s">
        <v>1665</v>
      </c>
    </row>
    <row r="178" spans="1:27" s="2290" customFormat="1" hidden="1" x14ac:dyDescent="0.25">
      <c r="A178" s="2462"/>
      <c r="B178" s="2463"/>
      <c r="C178" s="2472" t="s">
        <v>1404</v>
      </c>
      <c r="D178" s="2465"/>
      <c r="E178" s="2466"/>
      <c r="F178" s="2466"/>
      <c r="G178" s="2467"/>
      <c r="H178" s="2468"/>
      <c r="I178" s="2469"/>
      <c r="J178" s="2469"/>
      <c r="K178" s="2467"/>
      <c r="L178" s="2468"/>
      <c r="M178" s="2469"/>
      <c r="N178" s="2469"/>
      <c r="O178" s="2470"/>
      <c r="P178" s="2469">
        <v>2</v>
      </c>
      <c r="Q178" s="2469">
        <v>2.2999999999999998</v>
      </c>
      <c r="R178" s="2469">
        <f t="shared" ref="R178:R181" si="29">P178*Q178</f>
        <v>4.5999999999999996</v>
      </c>
      <c r="S178" s="2364">
        <f t="shared" si="21"/>
        <v>4.5999999999999996</v>
      </c>
      <c r="T178" s="2364"/>
      <c r="U178" s="2364"/>
      <c r="V178" s="2384">
        <f t="shared" si="19"/>
        <v>4.5999999999999996</v>
      </c>
      <c r="W178" s="2384">
        <f t="shared" si="20"/>
        <v>0</v>
      </c>
      <c r="X178" s="2364">
        <v>6.9</v>
      </c>
      <c r="Y178" s="2451">
        <v>6.9</v>
      </c>
      <c r="Z178" s="3661"/>
      <c r="AA178" s="2296" t="s">
        <v>1665</v>
      </c>
    </row>
    <row r="179" spans="1:27" s="2290" customFormat="1" ht="31.5" hidden="1" x14ac:dyDescent="0.25">
      <c r="A179" s="2462"/>
      <c r="B179" s="2463"/>
      <c r="C179" s="2472" t="s">
        <v>2169</v>
      </c>
      <c r="D179" s="2465"/>
      <c r="E179" s="2466"/>
      <c r="F179" s="2466"/>
      <c r="G179" s="2467"/>
      <c r="H179" s="2468"/>
      <c r="I179" s="2469"/>
      <c r="J179" s="2469"/>
      <c r="K179" s="2467"/>
      <c r="L179" s="2468"/>
      <c r="M179" s="2469"/>
      <c r="N179" s="2469"/>
      <c r="O179" s="2470"/>
      <c r="P179" s="2469">
        <v>1</v>
      </c>
      <c r="Q179" s="2469">
        <v>4.5999999999999996</v>
      </c>
      <c r="R179" s="2469">
        <f t="shared" si="29"/>
        <v>4.5999999999999996</v>
      </c>
      <c r="S179" s="2364">
        <f t="shared" si="21"/>
        <v>4.5999999999999996</v>
      </c>
      <c r="T179" s="2364"/>
      <c r="U179" s="2364"/>
      <c r="V179" s="2384">
        <f t="shared" si="19"/>
        <v>4.5999999999999996</v>
      </c>
      <c r="W179" s="2384">
        <f t="shared" si="20"/>
        <v>0</v>
      </c>
      <c r="X179" s="2364">
        <v>4.5999999999999996</v>
      </c>
      <c r="Y179" s="2451">
        <v>4.5999999999999996</v>
      </c>
      <c r="Z179" s="3661"/>
      <c r="AA179" s="2296" t="s">
        <v>1665</v>
      </c>
    </row>
    <row r="180" spans="1:27" s="2290" customFormat="1" ht="31.5" hidden="1" x14ac:dyDescent="0.25">
      <c r="A180" s="2462"/>
      <c r="B180" s="2463"/>
      <c r="C180" s="2472" t="s">
        <v>2170</v>
      </c>
      <c r="D180" s="2465"/>
      <c r="E180" s="2466"/>
      <c r="F180" s="2466"/>
      <c r="G180" s="2467"/>
      <c r="H180" s="2468"/>
      <c r="I180" s="2469"/>
      <c r="J180" s="2469"/>
      <c r="K180" s="2467"/>
      <c r="L180" s="2468"/>
      <c r="M180" s="2469"/>
      <c r="N180" s="2469"/>
      <c r="O180" s="2470"/>
      <c r="P180" s="2469">
        <v>1</v>
      </c>
      <c r="Q180" s="2469">
        <v>3.5</v>
      </c>
      <c r="R180" s="2469">
        <f t="shared" si="29"/>
        <v>3.5</v>
      </c>
      <c r="S180" s="2364">
        <f t="shared" si="21"/>
        <v>3.5</v>
      </c>
      <c r="T180" s="2364"/>
      <c r="U180" s="2364"/>
      <c r="V180" s="2384">
        <f t="shared" si="19"/>
        <v>3.5</v>
      </c>
      <c r="W180" s="2384">
        <f t="shared" si="20"/>
        <v>0</v>
      </c>
      <c r="X180" s="2364">
        <v>4.5999999999999996</v>
      </c>
      <c r="Y180" s="2451">
        <v>4.5999999999999996</v>
      </c>
      <c r="Z180" s="3661"/>
      <c r="AA180" s="2296" t="s">
        <v>1665</v>
      </c>
    </row>
    <row r="181" spans="1:27" s="2290" customFormat="1" hidden="1" x14ac:dyDescent="0.25">
      <c r="A181" s="2462"/>
      <c r="B181" s="2463"/>
      <c r="C181" s="2472" t="s">
        <v>1807</v>
      </c>
      <c r="D181" s="2465"/>
      <c r="E181" s="2466"/>
      <c r="F181" s="2466"/>
      <c r="G181" s="2467"/>
      <c r="H181" s="2468"/>
      <c r="I181" s="2469"/>
      <c r="J181" s="2469"/>
      <c r="K181" s="2467"/>
      <c r="L181" s="2468"/>
      <c r="M181" s="2469"/>
      <c r="N181" s="2469"/>
      <c r="O181" s="2470"/>
      <c r="P181" s="2469">
        <v>1</v>
      </c>
      <c r="Q181" s="2469">
        <v>4</v>
      </c>
      <c r="R181" s="2469">
        <f t="shared" si="29"/>
        <v>4</v>
      </c>
      <c r="S181" s="2364">
        <f t="shared" si="21"/>
        <v>4</v>
      </c>
      <c r="T181" s="2364"/>
      <c r="U181" s="2364"/>
      <c r="V181" s="2384">
        <f t="shared" si="19"/>
        <v>4</v>
      </c>
      <c r="W181" s="2384">
        <f t="shared" si="20"/>
        <v>0</v>
      </c>
      <c r="X181" s="2364">
        <v>4</v>
      </c>
      <c r="Y181" s="2451">
        <v>4</v>
      </c>
      <c r="Z181" s="3661"/>
      <c r="AA181" s="2296" t="s">
        <v>1665</v>
      </c>
    </row>
    <row r="182" spans="1:27" s="2290" customFormat="1" ht="31.5" hidden="1" x14ac:dyDescent="0.25">
      <c r="A182" s="2462"/>
      <c r="B182" s="2463"/>
      <c r="C182" s="2472" t="s">
        <v>1991</v>
      </c>
      <c r="D182" s="2465"/>
      <c r="E182" s="2466"/>
      <c r="F182" s="2466"/>
      <c r="G182" s="2467"/>
      <c r="H182" s="2468"/>
      <c r="I182" s="2469"/>
      <c r="J182" s="2469"/>
      <c r="K182" s="2467"/>
      <c r="L182" s="2468"/>
      <c r="M182" s="2469"/>
      <c r="N182" s="2469"/>
      <c r="O182" s="2470"/>
      <c r="P182" s="2469"/>
      <c r="Q182" s="2469"/>
      <c r="R182" s="2473">
        <f>SUM(R177:R181)*0.271</f>
        <v>5.5</v>
      </c>
      <c r="S182" s="2364">
        <f t="shared" si="21"/>
        <v>5.5</v>
      </c>
      <c r="T182" s="2364"/>
      <c r="U182" s="2364"/>
      <c r="V182" s="2384">
        <f t="shared" si="19"/>
        <v>5.5</v>
      </c>
      <c r="W182" s="2384">
        <f t="shared" si="20"/>
        <v>0</v>
      </c>
      <c r="X182" s="2364">
        <v>6.4</v>
      </c>
      <c r="Y182" s="2451">
        <v>6.4</v>
      </c>
      <c r="Z182" s="3662"/>
      <c r="AA182" s="2296" t="s">
        <v>1665</v>
      </c>
    </row>
    <row r="183" spans="1:27" s="2290" customFormat="1" ht="15.75" customHeight="1" x14ac:dyDescent="0.25">
      <c r="A183" s="2474"/>
      <c r="B183" s="2311">
        <v>955</v>
      </c>
      <c r="C183" s="2456" t="s">
        <v>2171</v>
      </c>
      <c r="D183" s="2475">
        <v>955</v>
      </c>
      <c r="E183" s="2404"/>
      <c r="F183" s="2404"/>
      <c r="G183" s="2476"/>
      <c r="H183" s="2477"/>
      <c r="I183" s="2349"/>
      <c r="J183" s="2349"/>
      <c r="K183" s="2476"/>
      <c r="L183" s="2477"/>
      <c r="M183" s="2349"/>
      <c r="N183" s="2349"/>
      <c r="O183" s="2414"/>
      <c r="P183" s="2349"/>
      <c r="Q183" s="2349"/>
      <c r="R183" s="2478">
        <f>SUM(R185:R188)</f>
        <v>15.4</v>
      </c>
      <c r="S183" s="2313">
        <v>15.3</v>
      </c>
      <c r="T183" s="2313"/>
      <c r="U183" s="2313"/>
      <c r="V183" s="2479">
        <f t="shared" si="19"/>
        <v>15.4</v>
      </c>
      <c r="W183" s="2479">
        <f t="shared" si="20"/>
        <v>0</v>
      </c>
      <c r="X183" s="2313">
        <v>15.3</v>
      </c>
      <c r="Y183" s="2315">
        <v>15.3</v>
      </c>
      <c r="Z183" s="3660" t="s">
        <v>2172</v>
      </c>
      <c r="AA183" s="2296" t="s">
        <v>1665</v>
      </c>
    </row>
    <row r="184" spans="1:27" s="2290" customFormat="1" ht="31.5" hidden="1" x14ac:dyDescent="0.25">
      <c r="A184" s="2462"/>
      <c r="B184" s="2463"/>
      <c r="C184" s="2464" t="s">
        <v>1401</v>
      </c>
      <c r="D184" s="2465"/>
      <c r="E184" s="2466"/>
      <c r="F184" s="2466"/>
      <c r="G184" s="2467"/>
      <c r="H184" s="2468"/>
      <c r="I184" s="2469"/>
      <c r="J184" s="2469"/>
      <c r="K184" s="2467"/>
      <c r="L184" s="2468"/>
      <c r="M184" s="2469"/>
      <c r="N184" s="2469"/>
      <c r="O184" s="2470"/>
      <c r="P184" s="2469"/>
      <c r="Q184" s="2469"/>
      <c r="R184" s="2480"/>
      <c r="S184" s="2364">
        <f t="shared" si="21"/>
        <v>0</v>
      </c>
      <c r="T184" s="2364"/>
      <c r="U184" s="2364"/>
      <c r="V184" s="2384">
        <f t="shared" si="19"/>
        <v>0</v>
      </c>
      <c r="W184" s="2384">
        <f t="shared" si="20"/>
        <v>0</v>
      </c>
      <c r="X184" s="2364"/>
      <c r="Y184" s="2451"/>
      <c r="Z184" s="3661"/>
      <c r="AA184" s="2296" t="s">
        <v>1665</v>
      </c>
    </row>
    <row r="185" spans="1:27" s="2290" customFormat="1" hidden="1" x14ac:dyDescent="0.25">
      <c r="A185" s="2462"/>
      <c r="B185" s="2463"/>
      <c r="C185" s="2472" t="s">
        <v>1933</v>
      </c>
      <c r="D185" s="2465"/>
      <c r="E185" s="2466"/>
      <c r="F185" s="2466"/>
      <c r="G185" s="2467"/>
      <c r="H185" s="2468"/>
      <c r="I185" s="2469"/>
      <c r="J185" s="2469"/>
      <c r="K185" s="2467"/>
      <c r="L185" s="2468"/>
      <c r="M185" s="2469"/>
      <c r="N185" s="2469"/>
      <c r="O185" s="2470"/>
      <c r="P185" s="2469">
        <v>1</v>
      </c>
      <c r="Q185" s="2469">
        <v>3.5</v>
      </c>
      <c r="R185" s="2469">
        <v>3.5</v>
      </c>
      <c r="S185" s="2364">
        <f t="shared" si="21"/>
        <v>3.5</v>
      </c>
      <c r="T185" s="2364"/>
      <c r="U185" s="2364"/>
      <c r="V185" s="2384">
        <f t="shared" si="19"/>
        <v>3.5</v>
      </c>
      <c r="W185" s="2384">
        <f t="shared" si="20"/>
        <v>0</v>
      </c>
      <c r="X185" s="2364">
        <v>3.5</v>
      </c>
      <c r="Y185" s="2451">
        <v>3.5</v>
      </c>
      <c r="Z185" s="3661"/>
      <c r="AA185" s="2296" t="s">
        <v>1665</v>
      </c>
    </row>
    <row r="186" spans="1:27" s="2290" customFormat="1" ht="31.5" hidden="1" x14ac:dyDescent="0.25">
      <c r="A186" s="2462"/>
      <c r="B186" s="2463"/>
      <c r="C186" s="2472" t="s">
        <v>1934</v>
      </c>
      <c r="D186" s="2465"/>
      <c r="E186" s="2466"/>
      <c r="F186" s="2466"/>
      <c r="G186" s="2467"/>
      <c r="H186" s="2468"/>
      <c r="I186" s="2469"/>
      <c r="J186" s="2469"/>
      <c r="K186" s="2467"/>
      <c r="L186" s="2468"/>
      <c r="M186" s="2469"/>
      <c r="N186" s="2469"/>
      <c r="O186" s="2470"/>
      <c r="P186" s="2469">
        <v>2</v>
      </c>
      <c r="Q186" s="2469">
        <v>2.2999999999999998</v>
      </c>
      <c r="R186" s="2469">
        <v>4.5999999999999996</v>
      </c>
      <c r="S186" s="2364">
        <f t="shared" si="21"/>
        <v>4.5999999999999996</v>
      </c>
      <c r="T186" s="2364"/>
      <c r="U186" s="2364"/>
      <c r="V186" s="2384">
        <f t="shared" si="19"/>
        <v>4.5999999999999996</v>
      </c>
      <c r="W186" s="2384">
        <f t="shared" si="20"/>
        <v>0</v>
      </c>
      <c r="X186" s="2364">
        <v>4.5999999999999996</v>
      </c>
      <c r="Y186" s="2451">
        <v>4.5999999999999996</v>
      </c>
      <c r="Z186" s="3661"/>
      <c r="AA186" s="2296" t="s">
        <v>1665</v>
      </c>
    </row>
    <row r="187" spans="1:27" s="2290" customFormat="1" hidden="1" x14ac:dyDescent="0.25">
      <c r="A187" s="2462"/>
      <c r="B187" s="2463"/>
      <c r="C187" s="2472" t="s">
        <v>1807</v>
      </c>
      <c r="D187" s="2465"/>
      <c r="E187" s="2466"/>
      <c r="F187" s="2466"/>
      <c r="G187" s="2467"/>
      <c r="H187" s="2468"/>
      <c r="I187" s="2469"/>
      <c r="J187" s="2469"/>
      <c r="K187" s="2467"/>
      <c r="L187" s="2468"/>
      <c r="M187" s="2469"/>
      <c r="N187" s="2469"/>
      <c r="O187" s="2470"/>
      <c r="P187" s="2469">
        <v>1</v>
      </c>
      <c r="Q187" s="2469">
        <v>4</v>
      </c>
      <c r="R187" s="2469">
        <v>4</v>
      </c>
      <c r="S187" s="2364">
        <f t="shared" si="21"/>
        <v>4</v>
      </c>
      <c r="T187" s="2364"/>
      <c r="U187" s="2364"/>
      <c r="V187" s="2384">
        <f t="shared" si="19"/>
        <v>4</v>
      </c>
      <c r="W187" s="2384">
        <f t="shared" si="20"/>
        <v>0</v>
      </c>
      <c r="X187" s="2364">
        <v>4</v>
      </c>
      <c r="Y187" s="2451">
        <v>4</v>
      </c>
      <c r="Z187" s="3661"/>
      <c r="AA187" s="2296" t="s">
        <v>1665</v>
      </c>
    </row>
    <row r="188" spans="1:27" s="2290" customFormat="1" ht="31.5" hidden="1" x14ac:dyDescent="0.25">
      <c r="A188" s="2462"/>
      <c r="B188" s="2463"/>
      <c r="C188" s="2472" t="s">
        <v>1991</v>
      </c>
      <c r="D188" s="2465"/>
      <c r="E188" s="2466"/>
      <c r="F188" s="2466"/>
      <c r="G188" s="2467"/>
      <c r="H188" s="2468"/>
      <c r="I188" s="2469"/>
      <c r="J188" s="2469"/>
      <c r="K188" s="2467"/>
      <c r="L188" s="2468"/>
      <c r="M188" s="2469"/>
      <c r="N188" s="2469"/>
      <c r="O188" s="2470"/>
      <c r="P188" s="2469"/>
      <c r="Q188" s="2469"/>
      <c r="R188" s="2481">
        <f>SUM(R185:R187)/100*27.1</f>
        <v>3.3</v>
      </c>
      <c r="S188" s="2364">
        <f t="shared" si="21"/>
        <v>3.3</v>
      </c>
      <c r="T188" s="2364"/>
      <c r="U188" s="2364"/>
      <c r="V188" s="2384">
        <f t="shared" si="19"/>
        <v>3.3</v>
      </c>
      <c r="W188" s="2384">
        <f t="shared" si="20"/>
        <v>0</v>
      </c>
      <c r="X188" s="2364">
        <f>SUM(X185:X187)/100*27.1</f>
        <v>3.3</v>
      </c>
      <c r="Y188" s="2451">
        <f>SUM(Y185:Y187)/100*27.1</f>
        <v>3.3</v>
      </c>
      <c r="Z188" s="3662"/>
      <c r="AA188" s="2296" t="s">
        <v>1665</v>
      </c>
    </row>
    <row r="189" spans="1:27" s="2290" customFormat="1" ht="31.5" customHeight="1" x14ac:dyDescent="0.25">
      <c r="A189" s="2482"/>
      <c r="B189" s="2311">
        <v>955</v>
      </c>
      <c r="C189" s="2483" t="s">
        <v>2173</v>
      </c>
      <c r="D189" s="2475">
        <v>955</v>
      </c>
      <c r="E189" s="2404"/>
      <c r="F189" s="2404"/>
      <c r="G189" s="2476"/>
      <c r="H189" s="2477"/>
      <c r="I189" s="2349"/>
      <c r="J189" s="2349"/>
      <c r="K189" s="2476"/>
      <c r="L189" s="2477"/>
      <c r="M189" s="2349"/>
      <c r="N189" s="2349"/>
      <c r="O189" s="2414"/>
      <c r="P189" s="2349"/>
      <c r="Q189" s="2349"/>
      <c r="R189" s="2484">
        <f>SUM(R191:R195)</f>
        <v>21.2</v>
      </c>
      <c r="S189" s="2313">
        <f t="shared" si="21"/>
        <v>21.2</v>
      </c>
      <c r="T189" s="2313"/>
      <c r="U189" s="2313"/>
      <c r="V189" s="2349">
        <f t="shared" si="19"/>
        <v>21.2</v>
      </c>
      <c r="W189" s="2349">
        <f t="shared" si="20"/>
        <v>0</v>
      </c>
      <c r="X189" s="2313">
        <v>21.2</v>
      </c>
      <c r="Y189" s="2315">
        <v>21.2</v>
      </c>
      <c r="Z189" s="3660" t="s">
        <v>2174</v>
      </c>
      <c r="AA189" s="2296" t="s">
        <v>1665</v>
      </c>
    </row>
    <row r="190" spans="1:27" s="2290" customFormat="1" ht="31.5" hidden="1" x14ac:dyDescent="0.25">
      <c r="A190" s="2462"/>
      <c r="B190" s="2463"/>
      <c r="C190" s="2464" t="s">
        <v>1401</v>
      </c>
      <c r="D190" s="2465"/>
      <c r="E190" s="2466"/>
      <c r="F190" s="2466"/>
      <c r="G190" s="2467"/>
      <c r="H190" s="2468"/>
      <c r="I190" s="2469"/>
      <c r="J190" s="2469"/>
      <c r="K190" s="2467"/>
      <c r="L190" s="2468"/>
      <c r="M190" s="2469"/>
      <c r="N190" s="2469"/>
      <c r="O190" s="2470"/>
      <c r="P190" s="2469"/>
      <c r="Q190" s="2469"/>
      <c r="R190" s="2480"/>
      <c r="S190" s="2364">
        <f t="shared" si="21"/>
        <v>0</v>
      </c>
      <c r="T190" s="2364"/>
      <c r="U190" s="2364"/>
      <c r="V190" s="2384">
        <f t="shared" si="19"/>
        <v>0</v>
      </c>
      <c r="W190" s="2384">
        <f t="shared" si="20"/>
        <v>0</v>
      </c>
      <c r="X190" s="2364"/>
      <c r="Y190" s="2451"/>
      <c r="Z190" s="3661"/>
      <c r="AA190" s="2296" t="s">
        <v>1665</v>
      </c>
    </row>
    <row r="191" spans="1:27" s="2290" customFormat="1" hidden="1" x14ac:dyDescent="0.25">
      <c r="A191" s="2462"/>
      <c r="B191" s="2463"/>
      <c r="C191" s="2472" t="s">
        <v>1933</v>
      </c>
      <c r="D191" s="2465"/>
      <c r="E191" s="2466"/>
      <c r="F191" s="2466"/>
      <c r="G191" s="2467"/>
      <c r="H191" s="2468"/>
      <c r="I191" s="2469"/>
      <c r="J191" s="2469"/>
      <c r="K191" s="2467"/>
      <c r="L191" s="2468"/>
      <c r="M191" s="2469"/>
      <c r="N191" s="2469"/>
      <c r="O191" s="2470"/>
      <c r="P191" s="2469">
        <v>1</v>
      </c>
      <c r="Q191" s="2469">
        <v>3.5</v>
      </c>
      <c r="R191" s="2481">
        <v>3.5</v>
      </c>
      <c r="S191" s="2364">
        <f t="shared" si="21"/>
        <v>3.5</v>
      </c>
      <c r="T191" s="2364"/>
      <c r="U191" s="2364"/>
      <c r="V191" s="2384">
        <f t="shared" si="19"/>
        <v>3.5</v>
      </c>
      <c r="W191" s="2384">
        <f t="shared" si="20"/>
        <v>0</v>
      </c>
      <c r="X191" s="2364">
        <v>3.5</v>
      </c>
      <c r="Y191" s="2451">
        <v>3.5</v>
      </c>
      <c r="Z191" s="3661"/>
      <c r="AA191" s="2296" t="s">
        <v>1665</v>
      </c>
    </row>
    <row r="192" spans="1:27" s="2290" customFormat="1" hidden="1" x14ac:dyDescent="0.25">
      <c r="A192" s="2462"/>
      <c r="B192" s="2463"/>
      <c r="C192" s="2472" t="s">
        <v>1404</v>
      </c>
      <c r="D192" s="2465"/>
      <c r="E192" s="2466"/>
      <c r="F192" s="2466"/>
      <c r="G192" s="2467"/>
      <c r="H192" s="2468"/>
      <c r="I192" s="2469"/>
      <c r="J192" s="2469"/>
      <c r="K192" s="2467"/>
      <c r="L192" s="2468"/>
      <c r="M192" s="2469"/>
      <c r="N192" s="2469"/>
      <c r="O192" s="2470"/>
      <c r="P192" s="2469">
        <v>2</v>
      </c>
      <c r="Q192" s="2469">
        <v>2.2999999999999998</v>
      </c>
      <c r="R192" s="2481">
        <v>4.5999999999999996</v>
      </c>
      <c r="S192" s="2364">
        <f t="shared" si="21"/>
        <v>4.5999999999999996</v>
      </c>
      <c r="T192" s="2364"/>
      <c r="U192" s="2364"/>
      <c r="V192" s="2384">
        <f t="shared" si="19"/>
        <v>4.5999999999999996</v>
      </c>
      <c r="W192" s="2384">
        <f t="shared" si="20"/>
        <v>0</v>
      </c>
      <c r="X192" s="2364">
        <v>4.5999999999999996</v>
      </c>
      <c r="Y192" s="2451">
        <v>4.5999999999999996</v>
      </c>
      <c r="Z192" s="3661"/>
      <c r="AA192" s="2296" t="s">
        <v>1665</v>
      </c>
    </row>
    <row r="193" spans="1:546" s="2290" customFormat="1" ht="31.5" hidden="1" x14ac:dyDescent="0.25">
      <c r="A193" s="2462"/>
      <c r="B193" s="2463"/>
      <c r="C193" s="2472" t="s">
        <v>1934</v>
      </c>
      <c r="D193" s="2465"/>
      <c r="E193" s="2466"/>
      <c r="F193" s="2466"/>
      <c r="G193" s="2467"/>
      <c r="H193" s="2468"/>
      <c r="I193" s="2469"/>
      <c r="J193" s="2469"/>
      <c r="K193" s="2467"/>
      <c r="L193" s="2468"/>
      <c r="M193" s="2469"/>
      <c r="N193" s="2469"/>
      <c r="O193" s="2470"/>
      <c r="P193" s="2469">
        <v>2</v>
      </c>
      <c r="Q193" s="2469">
        <v>2.2999999999999998</v>
      </c>
      <c r="R193" s="2481">
        <v>4.5999999999999996</v>
      </c>
      <c r="S193" s="2364">
        <f t="shared" si="21"/>
        <v>4.5999999999999996</v>
      </c>
      <c r="T193" s="2364"/>
      <c r="U193" s="2364"/>
      <c r="V193" s="2384">
        <f t="shared" si="19"/>
        <v>4.5999999999999996</v>
      </c>
      <c r="W193" s="2384">
        <f t="shared" si="20"/>
        <v>0</v>
      </c>
      <c r="X193" s="2364">
        <v>4.5999999999999996</v>
      </c>
      <c r="Y193" s="2451">
        <v>4.5999999999999996</v>
      </c>
      <c r="Z193" s="3661"/>
      <c r="AA193" s="2296" t="s">
        <v>1665</v>
      </c>
    </row>
    <row r="194" spans="1:546" s="2290" customFormat="1" hidden="1" x14ac:dyDescent="0.25">
      <c r="A194" s="2462"/>
      <c r="B194" s="2463"/>
      <c r="C194" s="2472" t="s">
        <v>1807</v>
      </c>
      <c r="D194" s="2465"/>
      <c r="E194" s="2466"/>
      <c r="F194" s="2466"/>
      <c r="G194" s="2467"/>
      <c r="H194" s="2468"/>
      <c r="I194" s="2469"/>
      <c r="J194" s="2469"/>
      <c r="K194" s="2467"/>
      <c r="L194" s="2468"/>
      <c r="M194" s="2469"/>
      <c r="N194" s="2469"/>
      <c r="O194" s="2470"/>
      <c r="P194" s="2469">
        <v>1</v>
      </c>
      <c r="Q194" s="2469">
        <v>4</v>
      </c>
      <c r="R194" s="2481">
        <v>4</v>
      </c>
      <c r="S194" s="2364">
        <f t="shared" si="21"/>
        <v>4</v>
      </c>
      <c r="T194" s="2364"/>
      <c r="U194" s="2364"/>
      <c r="V194" s="2384">
        <f t="shared" si="19"/>
        <v>4</v>
      </c>
      <c r="W194" s="2384">
        <f t="shared" si="20"/>
        <v>0</v>
      </c>
      <c r="X194" s="2364">
        <v>4</v>
      </c>
      <c r="Y194" s="2451">
        <v>4</v>
      </c>
      <c r="Z194" s="3661"/>
      <c r="AA194" s="2296" t="s">
        <v>1665</v>
      </c>
    </row>
    <row r="195" spans="1:546" s="2290" customFormat="1" ht="31.5" hidden="1" x14ac:dyDescent="0.25">
      <c r="A195" s="2462"/>
      <c r="B195" s="2463"/>
      <c r="C195" s="2472" t="s">
        <v>1991</v>
      </c>
      <c r="D195" s="2465"/>
      <c r="E195" s="2466"/>
      <c r="F195" s="2466"/>
      <c r="G195" s="2467"/>
      <c r="H195" s="2468"/>
      <c r="I195" s="2469"/>
      <c r="J195" s="2469"/>
      <c r="K195" s="2467"/>
      <c r="L195" s="2468"/>
      <c r="M195" s="2469"/>
      <c r="N195" s="2469"/>
      <c r="O195" s="2470"/>
      <c r="P195" s="2469"/>
      <c r="Q195" s="2469"/>
      <c r="R195" s="2481">
        <f>SUM(R191:R194)/100*27.1</f>
        <v>4.5</v>
      </c>
      <c r="S195" s="2364">
        <f t="shared" si="21"/>
        <v>4.5</v>
      </c>
      <c r="T195" s="2364"/>
      <c r="U195" s="2364"/>
      <c r="V195" s="2384">
        <f t="shared" si="19"/>
        <v>4.5</v>
      </c>
      <c r="W195" s="2384">
        <f t="shared" si="20"/>
        <v>0</v>
      </c>
      <c r="X195" s="2364">
        <f>SUM(X191:X194)/100*27.1</f>
        <v>4.5</v>
      </c>
      <c r="Y195" s="2451">
        <f>SUM(Y191:Y194)/100*27.1</f>
        <v>4.5</v>
      </c>
      <c r="Z195" s="3662"/>
      <c r="AA195" s="2296" t="s">
        <v>1665</v>
      </c>
    </row>
    <row r="196" spans="1:546" s="2290" customFormat="1" ht="31.5" customHeight="1" x14ac:dyDescent="0.25">
      <c r="A196" s="2482"/>
      <c r="B196" s="2311">
        <v>955</v>
      </c>
      <c r="C196" s="2485" t="s">
        <v>2175</v>
      </c>
      <c r="D196" s="2475">
        <v>955</v>
      </c>
      <c r="E196" s="2404"/>
      <c r="F196" s="2404"/>
      <c r="G196" s="2476"/>
      <c r="H196" s="2477"/>
      <c r="I196" s="2349"/>
      <c r="J196" s="2349"/>
      <c r="K196" s="2476"/>
      <c r="L196" s="2477"/>
      <c r="M196" s="2349"/>
      <c r="N196" s="2349"/>
      <c r="O196" s="2414"/>
      <c r="P196" s="2349"/>
      <c r="Q196" s="2349"/>
      <c r="R196" s="2484">
        <f>SUM(R198:R201)</f>
        <v>16.100000000000001</v>
      </c>
      <c r="S196" s="2313">
        <f>R196-0.1</f>
        <v>16</v>
      </c>
      <c r="T196" s="2313"/>
      <c r="U196" s="2313"/>
      <c r="V196" s="2349">
        <f t="shared" si="19"/>
        <v>16.100000000000001</v>
      </c>
      <c r="W196" s="2349">
        <f t="shared" si="20"/>
        <v>0</v>
      </c>
      <c r="X196" s="2313">
        <v>16</v>
      </c>
      <c r="Y196" s="2315">
        <v>16</v>
      </c>
      <c r="Z196" s="3663" t="s">
        <v>2176</v>
      </c>
      <c r="AA196" s="2296" t="s">
        <v>1665</v>
      </c>
    </row>
    <row r="197" spans="1:546" s="2290" customFormat="1" ht="31.5" hidden="1" x14ac:dyDescent="0.25">
      <c r="A197" s="2462"/>
      <c r="B197" s="2463"/>
      <c r="C197" s="2464" t="s">
        <v>1401</v>
      </c>
      <c r="D197" s="2465"/>
      <c r="E197" s="2466"/>
      <c r="F197" s="2466"/>
      <c r="G197" s="2467"/>
      <c r="H197" s="2468"/>
      <c r="I197" s="2469"/>
      <c r="J197" s="2469"/>
      <c r="K197" s="2467"/>
      <c r="L197" s="2468"/>
      <c r="M197" s="2469"/>
      <c r="N197" s="2469"/>
      <c r="O197" s="2470"/>
      <c r="P197" s="2469"/>
      <c r="Q197" s="2469"/>
      <c r="R197" s="2480"/>
      <c r="S197" s="2364">
        <f t="shared" si="21"/>
        <v>0</v>
      </c>
      <c r="T197" s="2364"/>
      <c r="U197" s="2364"/>
      <c r="V197" s="2384">
        <f t="shared" si="19"/>
        <v>0</v>
      </c>
      <c r="W197" s="2384">
        <f t="shared" si="20"/>
        <v>0</v>
      </c>
      <c r="X197" s="2364"/>
      <c r="Y197" s="2451"/>
      <c r="Z197" s="3664"/>
      <c r="AA197" s="2296" t="s">
        <v>1665</v>
      </c>
    </row>
    <row r="198" spans="1:546" s="2290" customFormat="1" hidden="1" x14ac:dyDescent="0.25">
      <c r="A198" s="2462"/>
      <c r="B198" s="2463"/>
      <c r="C198" s="2472" t="s">
        <v>1933</v>
      </c>
      <c r="D198" s="2486"/>
      <c r="E198" s="2466"/>
      <c r="F198" s="2466"/>
      <c r="G198" s="2467"/>
      <c r="H198" s="2468"/>
      <c r="I198" s="2469"/>
      <c r="J198" s="2469"/>
      <c r="K198" s="2467"/>
      <c r="L198" s="2468"/>
      <c r="M198" s="2469"/>
      <c r="N198" s="2469"/>
      <c r="O198" s="2470"/>
      <c r="P198" s="2469">
        <v>1</v>
      </c>
      <c r="Q198" s="2469">
        <v>3.5</v>
      </c>
      <c r="R198" s="2481">
        <v>3.5</v>
      </c>
      <c r="S198" s="2364">
        <f t="shared" si="21"/>
        <v>3.5</v>
      </c>
      <c r="T198" s="2364"/>
      <c r="U198" s="2364"/>
      <c r="V198" s="2384">
        <f t="shared" si="19"/>
        <v>3.5</v>
      </c>
      <c r="W198" s="2384">
        <f t="shared" si="20"/>
        <v>0</v>
      </c>
      <c r="X198" s="2364">
        <v>3.5</v>
      </c>
      <c r="Y198" s="2451">
        <v>3.5</v>
      </c>
      <c r="Z198" s="3664"/>
      <c r="AA198" s="2296" t="s">
        <v>1665</v>
      </c>
    </row>
    <row r="199" spans="1:546" s="2290" customFormat="1" hidden="1" x14ac:dyDescent="0.25">
      <c r="A199" s="2462"/>
      <c r="B199" s="2463"/>
      <c r="C199" s="2472" t="s">
        <v>1404</v>
      </c>
      <c r="D199" s="2486"/>
      <c r="E199" s="2466"/>
      <c r="F199" s="2466"/>
      <c r="G199" s="2467"/>
      <c r="H199" s="2468"/>
      <c r="I199" s="2469"/>
      <c r="J199" s="2469"/>
      <c r="K199" s="2467"/>
      <c r="L199" s="2468"/>
      <c r="M199" s="2469"/>
      <c r="N199" s="2469"/>
      <c r="O199" s="2470"/>
      <c r="P199" s="2469">
        <v>2</v>
      </c>
      <c r="Q199" s="2469">
        <v>2.2999999999999998</v>
      </c>
      <c r="R199" s="2481">
        <v>4.5999999999999996</v>
      </c>
      <c r="S199" s="2364">
        <f t="shared" si="21"/>
        <v>4.5999999999999996</v>
      </c>
      <c r="T199" s="2364"/>
      <c r="U199" s="2364"/>
      <c r="V199" s="2384">
        <f t="shared" si="19"/>
        <v>4.5999999999999996</v>
      </c>
      <c r="W199" s="2384">
        <f t="shared" si="20"/>
        <v>0</v>
      </c>
      <c r="X199" s="2364">
        <v>4.5999999999999996</v>
      </c>
      <c r="Y199" s="2451">
        <v>4.5999999999999996</v>
      </c>
      <c r="Z199" s="3664"/>
      <c r="AA199" s="2296" t="s">
        <v>1665</v>
      </c>
    </row>
    <row r="200" spans="1:546" s="2290" customFormat="1" ht="31.5" hidden="1" x14ac:dyDescent="0.25">
      <c r="A200" s="2462"/>
      <c r="B200" s="2463"/>
      <c r="C200" s="2472" t="s">
        <v>1934</v>
      </c>
      <c r="D200" s="2486"/>
      <c r="E200" s="2466"/>
      <c r="F200" s="2466"/>
      <c r="G200" s="2467"/>
      <c r="H200" s="2468"/>
      <c r="I200" s="2469"/>
      <c r="J200" s="2469"/>
      <c r="K200" s="2467"/>
      <c r="L200" s="2468"/>
      <c r="M200" s="2469"/>
      <c r="N200" s="2469"/>
      <c r="O200" s="2470"/>
      <c r="P200" s="2469">
        <v>2</v>
      </c>
      <c r="Q200" s="2469">
        <v>2.2999999999999998</v>
      </c>
      <c r="R200" s="2481">
        <v>4.5999999999999996</v>
      </c>
      <c r="S200" s="2364">
        <f t="shared" si="21"/>
        <v>4.5999999999999996</v>
      </c>
      <c r="T200" s="2364"/>
      <c r="U200" s="2364"/>
      <c r="V200" s="2384">
        <f t="shared" si="19"/>
        <v>4.5999999999999996</v>
      </c>
      <c r="W200" s="2384">
        <f t="shared" si="20"/>
        <v>0</v>
      </c>
      <c r="X200" s="2364">
        <v>4.5999999999999996</v>
      </c>
      <c r="Y200" s="2451">
        <v>4.5999999999999996</v>
      </c>
      <c r="Z200" s="3664"/>
      <c r="AA200" s="2296" t="s">
        <v>1665</v>
      </c>
    </row>
    <row r="201" spans="1:546" s="2290" customFormat="1" ht="31.5" hidden="1" x14ac:dyDescent="0.25">
      <c r="A201" s="2462"/>
      <c r="B201" s="2463"/>
      <c r="C201" s="2472" t="s">
        <v>1991</v>
      </c>
      <c r="D201" s="2486"/>
      <c r="E201" s="2466"/>
      <c r="F201" s="2466"/>
      <c r="G201" s="2467"/>
      <c r="H201" s="2468"/>
      <c r="I201" s="2469"/>
      <c r="J201" s="2469"/>
      <c r="K201" s="2467"/>
      <c r="L201" s="2468"/>
      <c r="M201" s="2469"/>
      <c r="N201" s="2469"/>
      <c r="O201" s="2470"/>
      <c r="P201" s="2469"/>
      <c r="Q201" s="2469"/>
      <c r="R201" s="2481">
        <f>SUM(R197:R200)/100*27.1</f>
        <v>3.4</v>
      </c>
      <c r="S201" s="2364">
        <f t="shared" si="21"/>
        <v>3.4</v>
      </c>
      <c r="T201" s="2364"/>
      <c r="U201" s="2364"/>
      <c r="V201" s="2384">
        <f t="shared" si="19"/>
        <v>3.4</v>
      </c>
      <c r="W201" s="2384">
        <f t="shared" si="20"/>
        <v>0</v>
      </c>
      <c r="X201" s="2364">
        <v>3.4</v>
      </c>
      <c r="Y201" s="2451">
        <v>3.4</v>
      </c>
      <c r="Z201" s="3665"/>
      <c r="AA201" s="2296" t="s">
        <v>1665</v>
      </c>
    </row>
    <row r="202" spans="1:546" s="2492" customFormat="1" hidden="1" x14ac:dyDescent="0.25">
      <c r="A202" s="2487"/>
      <c r="B202" s="2487"/>
      <c r="C202" s="2488" t="s">
        <v>202</v>
      </c>
      <c r="D202" s="2489"/>
      <c r="E202" s="2490"/>
      <c r="F202" s="2489">
        <f t="shared" ref="F202:Q202" si="30">F155+F120+F114+F93+F85+F70+F48+F31+F13</f>
        <v>840.8</v>
      </c>
      <c r="G202" s="2489">
        <f t="shared" si="30"/>
        <v>6.5</v>
      </c>
      <c r="H202" s="2489">
        <f t="shared" si="30"/>
        <v>0</v>
      </c>
      <c r="I202" s="2489">
        <f t="shared" si="30"/>
        <v>0</v>
      </c>
      <c r="J202" s="2489">
        <f t="shared" si="30"/>
        <v>529.79999999999995</v>
      </c>
      <c r="K202" s="2489">
        <f t="shared" si="30"/>
        <v>308.5</v>
      </c>
      <c r="L202" s="2489">
        <f t="shared" si="30"/>
        <v>0</v>
      </c>
      <c r="M202" s="2489">
        <f t="shared" si="30"/>
        <v>0</v>
      </c>
      <c r="N202" s="2489">
        <f t="shared" si="30"/>
        <v>529.79999999999995</v>
      </c>
      <c r="O202" s="2489">
        <f t="shared" si="30"/>
        <v>308.5</v>
      </c>
      <c r="P202" s="2489">
        <f t="shared" si="30"/>
        <v>0</v>
      </c>
      <c r="Q202" s="2489">
        <f t="shared" si="30"/>
        <v>0</v>
      </c>
      <c r="R202" s="2489">
        <f>R155+R120+R114+R93+R85+R70+R48+R31+R13+R175+R183+R189+R196</f>
        <v>669.8</v>
      </c>
      <c r="S202" s="2489">
        <f t="shared" si="21"/>
        <v>669.8</v>
      </c>
      <c r="T202" s="2489"/>
      <c r="U202" s="2489">
        <f>U155+U120+U114+U93+U85+U70+U48+U31+U13+U175+U183+U189+U196</f>
        <v>325.3</v>
      </c>
      <c r="V202" s="2489">
        <f t="shared" si="19"/>
        <v>140</v>
      </c>
      <c r="W202" s="2489">
        <f t="shared" si="20"/>
        <v>126.4</v>
      </c>
      <c r="X202" s="2489">
        <f t="shared" ref="X202:Y202" si="31">X155+X120+X114+X93+X85+X70+X48+X31+X13+X175+X183+X189+X196</f>
        <v>662.6</v>
      </c>
      <c r="Y202" s="2489">
        <f t="shared" si="31"/>
        <v>720</v>
      </c>
      <c r="Z202" s="2491"/>
      <c r="AA202" s="2296" t="s">
        <v>1665</v>
      </c>
      <c r="AC202" s="2493">
        <f>R202-N202</f>
        <v>140</v>
      </c>
    </row>
    <row r="203" spans="1:546" s="2345" customFormat="1" ht="78.75" hidden="1" x14ac:dyDescent="0.25">
      <c r="A203" s="2311"/>
      <c r="B203" s="2311"/>
      <c r="C203" s="2312" t="s">
        <v>2177</v>
      </c>
      <c r="D203" s="2311"/>
      <c r="E203" s="2403"/>
      <c r="F203" s="2494"/>
      <c r="G203" s="2495"/>
      <c r="H203" s="2495"/>
      <c r="I203" s="2495"/>
      <c r="J203" s="2313"/>
      <c r="K203" s="2495"/>
      <c r="L203" s="2495"/>
      <c r="M203" s="2495"/>
      <c r="N203" s="2313"/>
      <c r="O203" s="2495"/>
      <c r="P203" s="2495"/>
      <c r="Q203" s="2495"/>
      <c r="R203" s="2313">
        <f>R204</f>
        <v>80.5</v>
      </c>
      <c r="S203" s="2313">
        <f t="shared" si="21"/>
        <v>80.5</v>
      </c>
      <c r="T203" s="2313"/>
      <c r="U203" s="2495"/>
      <c r="V203" s="2496">
        <f t="shared" si="19"/>
        <v>80.5</v>
      </c>
      <c r="W203" s="2496">
        <f t="shared" si="20"/>
        <v>0</v>
      </c>
      <c r="X203" s="2313">
        <f>R203</f>
        <v>80.5</v>
      </c>
      <c r="Y203" s="2313">
        <f>X203</f>
        <v>80.5</v>
      </c>
      <c r="Z203" s="2319"/>
      <c r="AA203" s="2292" t="s">
        <v>1653</v>
      </c>
    </row>
    <row r="204" spans="1:546" s="2326" customFormat="1" ht="31.5" hidden="1" x14ac:dyDescent="0.25">
      <c r="A204" s="2319"/>
      <c r="B204" s="2319">
        <v>963</v>
      </c>
      <c r="C204" s="2320" t="s">
        <v>1444</v>
      </c>
      <c r="D204" s="2373"/>
      <c r="E204" s="2374"/>
      <c r="F204" s="2323"/>
      <c r="G204" s="2323"/>
      <c r="H204" s="2323"/>
      <c r="I204" s="2323"/>
      <c r="J204" s="2323"/>
      <c r="K204" s="2323"/>
      <c r="L204" s="2323"/>
      <c r="M204" s="2323"/>
      <c r="N204" s="2323"/>
      <c r="O204" s="2323"/>
      <c r="P204" s="2323"/>
      <c r="Q204" s="2323"/>
      <c r="R204" s="2323">
        <f>R206+R205</f>
        <v>80.5</v>
      </c>
      <c r="S204" s="2323">
        <f t="shared" si="21"/>
        <v>80.5</v>
      </c>
      <c r="T204" s="2323"/>
      <c r="U204" s="2323"/>
      <c r="V204" s="2323">
        <f t="shared" si="19"/>
        <v>80.5</v>
      </c>
      <c r="W204" s="2323">
        <f t="shared" si="20"/>
        <v>0</v>
      </c>
      <c r="X204" s="2323">
        <f t="shared" ref="X204:X206" si="32">R204</f>
        <v>80.5</v>
      </c>
      <c r="Y204" s="2323">
        <f t="shared" ref="Y204:Y206" si="33">X204</f>
        <v>80.5</v>
      </c>
      <c r="Z204" s="2319"/>
      <c r="AA204" s="2497" t="s">
        <v>1665</v>
      </c>
    </row>
    <row r="205" spans="1:546" s="2290" customFormat="1" hidden="1" x14ac:dyDescent="0.25">
      <c r="A205" s="2325"/>
      <c r="B205" s="2325"/>
      <c r="C205" s="2328" t="s">
        <v>1229</v>
      </c>
      <c r="D205" s="2342"/>
      <c r="E205" s="2382"/>
      <c r="F205" s="2331"/>
      <c r="G205" s="2331"/>
      <c r="H205" s="2331"/>
      <c r="I205" s="2331"/>
      <c r="J205" s="2331"/>
      <c r="K205" s="2331"/>
      <c r="L205" s="2331"/>
      <c r="M205" s="2331"/>
      <c r="N205" s="2331"/>
      <c r="O205" s="2331"/>
      <c r="P205" s="2331">
        <v>100</v>
      </c>
      <c r="Q205" s="2331">
        <f>R205/P205*1000</f>
        <v>200</v>
      </c>
      <c r="R205" s="2331">
        <v>20</v>
      </c>
      <c r="S205" s="2331">
        <f t="shared" si="21"/>
        <v>20</v>
      </c>
      <c r="T205" s="2331"/>
      <c r="U205" s="2331"/>
      <c r="V205" s="2331">
        <f t="shared" ref="V205:V206" si="34">R205-J205</f>
        <v>20</v>
      </c>
      <c r="W205" s="2331">
        <f t="shared" ref="W205:W207" si="35">IFERROR((R205)/J205*100,0)</f>
        <v>0</v>
      </c>
      <c r="X205" s="2331">
        <f t="shared" si="32"/>
        <v>20</v>
      </c>
      <c r="Y205" s="2331">
        <f t="shared" si="33"/>
        <v>20</v>
      </c>
      <c r="Z205" s="2325"/>
      <c r="AA205" s="2292"/>
    </row>
    <row r="206" spans="1:546" s="2290" customFormat="1" hidden="1" x14ac:dyDescent="0.25">
      <c r="A206" s="2325"/>
      <c r="B206" s="2325"/>
      <c r="C206" s="2328" t="s">
        <v>2095</v>
      </c>
      <c r="D206" s="2342"/>
      <c r="E206" s="2382"/>
      <c r="F206" s="2331"/>
      <c r="G206" s="2331"/>
      <c r="H206" s="2331"/>
      <c r="I206" s="2331"/>
      <c r="J206" s="2331"/>
      <c r="K206" s="2331"/>
      <c r="L206" s="2331"/>
      <c r="M206" s="2331"/>
      <c r="N206" s="2331"/>
      <c r="O206" s="2331"/>
      <c r="P206" s="2331"/>
      <c r="Q206" s="2331"/>
      <c r="R206" s="2331">
        <v>60.5</v>
      </c>
      <c r="S206" s="2331">
        <f t="shared" ref="S206" si="36">R206</f>
        <v>60.5</v>
      </c>
      <c r="T206" s="2331"/>
      <c r="U206" s="2331"/>
      <c r="V206" s="2331">
        <f t="shared" si="34"/>
        <v>60.5</v>
      </c>
      <c r="W206" s="2331">
        <f t="shared" si="35"/>
        <v>0</v>
      </c>
      <c r="X206" s="2331">
        <f t="shared" si="32"/>
        <v>60.5</v>
      </c>
      <c r="Y206" s="2331">
        <f t="shared" si="33"/>
        <v>60.5</v>
      </c>
      <c r="Z206" s="2325"/>
      <c r="AA206" s="2292"/>
    </row>
    <row r="207" spans="1:546" s="2505" customFormat="1" ht="18.75" hidden="1" x14ac:dyDescent="0.3">
      <c r="A207" s="2498"/>
      <c r="B207" s="2499"/>
      <c r="C207" s="2500" t="s">
        <v>2178</v>
      </c>
      <c r="D207" s="2501"/>
      <c r="E207" s="2502"/>
      <c r="F207" s="2502" t="e">
        <f>#REF!+#REF!+#REF!+F202+#REF!+#REF!+#REF!+#REF!+#REF!+#REF!+#REF!+#REF!+#REF!</f>
        <v>#REF!</v>
      </c>
      <c r="G207" s="2502" t="e">
        <f>#REF!+#REF!+#REF!+G202+#REF!+#REF!+#REF!+#REF!+#REF!+#REF!+#REF!+#REF!+#REF!</f>
        <v>#REF!</v>
      </c>
      <c r="H207" s="2502" t="e">
        <f>#REF!+#REF!+#REF!+H202+#REF!+#REF!+#REF!+#REF!+#REF!+#REF!+#REF!+#REF!+#REF!</f>
        <v>#REF!</v>
      </c>
      <c r="I207" s="2502" t="e">
        <f>#REF!+#REF!+#REF!+I202+#REF!+#REF!+#REF!+#REF!+#REF!+#REF!+#REF!+#REF!+#REF!</f>
        <v>#REF!</v>
      </c>
      <c r="J207" s="2502" t="e">
        <f>#REF!+#REF!+#REF!+J202+#REF!+#REF!+#REF!+#REF!+#REF!+#REF!+#REF!+#REF!+#REF!</f>
        <v>#REF!</v>
      </c>
      <c r="K207" s="2502" t="e">
        <f>#REF!+#REF!+#REF!+K202+#REF!+#REF!+#REF!+#REF!+#REF!+#REF!+#REF!+#REF!+#REF!</f>
        <v>#REF!</v>
      </c>
      <c r="L207" s="2502" t="e">
        <f>#REF!+#REF!+#REF!+L202+#REF!+#REF!+#REF!+#REF!+#REF!+#REF!+#REF!+#REF!+#REF!</f>
        <v>#REF!</v>
      </c>
      <c r="M207" s="2502" t="e">
        <f>#REF!+#REF!+#REF!+M202+#REF!+#REF!+#REF!+#REF!+#REF!+#REF!+#REF!+#REF!+#REF!</f>
        <v>#REF!</v>
      </c>
      <c r="N207" s="2502" t="e">
        <f>#REF!+#REF!+#REF!+N202+#REF!+#REF!+#REF!+#REF!+#REF!+#REF!+#REF!+#REF!+#REF!</f>
        <v>#REF!</v>
      </c>
      <c r="O207" s="2502" t="e">
        <f>#REF!+#REF!+#REF!+O202+#REF!+#REF!+#REF!+#REF!+#REF!+#REF!+#REF!+#REF!+#REF!</f>
        <v>#REF!</v>
      </c>
      <c r="P207" s="2502"/>
      <c r="Q207" s="2502"/>
      <c r="R207" s="2501">
        <f>R202+R203</f>
        <v>750.3</v>
      </c>
      <c r="S207" s="2501">
        <f>S202+S203</f>
        <v>750.3</v>
      </c>
      <c r="T207" s="2501">
        <f>T202+T203</f>
        <v>0</v>
      </c>
      <c r="U207" s="2501">
        <f>U202+U203</f>
        <v>325.3</v>
      </c>
      <c r="V207" s="2502"/>
      <c r="W207" s="2502">
        <f t="shared" si="35"/>
        <v>0</v>
      </c>
      <c r="X207" s="2502">
        <f>X202+X203</f>
        <v>743.1</v>
      </c>
      <c r="Y207" s="2502">
        <f>Y202+Y203</f>
        <v>800.5</v>
      </c>
      <c r="Z207" s="2503"/>
      <c r="AA207" s="2504"/>
      <c r="AE207" s="2506"/>
      <c r="AF207" s="2507"/>
      <c r="AG207" s="2507"/>
      <c r="AH207" s="2507"/>
      <c r="JN207" s="2507"/>
      <c r="JO207" s="2507"/>
      <c r="JQ207" s="2507"/>
      <c r="JR207" s="2507"/>
      <c r="JS207" s="2507"/>
      <c r="KA207" s="2507"/>
      <c r="KB207" s="2507"/>
      <c r="KC207" s="2507"/>
      <c r="KD207" s="2507"/>
      <c r="TJ207" s="2507"/>
      <c r="TK207" s="2507"/>
      <c r="TM207" s="2507"/>
      <c r="TN207" s="2507"/>
      <c r="TO207" s="2507"/>
      <c r="TW207" s="2507"/>
      <c r="TX207" s="2507"/>
      <c r="TY207" s="2507"/>
      <c r="TZ207" s="2507"/>
    </row>
    <row r="208" spans="1:546" s="2508" customFormat="1" ht="18.75" x14ac:dyDescent="0.3">
      <c r="B208" s="2509"/>
      <c r="C208" s="2510"/>
      <c r="D208" s="2511"/>
      <c r="E208" s="2512"/>
      <c r="F208" s="2513"/>
      <c r="G208" s="2511"/>
      <c r="H208" s="2511"/>
      <c r="I208" s="2511"/>
      <c r="J208" s="2513"/>
      <c r="K208" s="2511"/>
      <c r="L208" s="2511"/>
      <c r="M208" s="2511"/>
      <c r="N208" s="2513"/>
      <c r="O208" s="2511"/>
      <c r="P208" s="2511"/>
      <c r="Q208" s="2511"/>
      <c r="R208" s="2513"/>
      <c r="S208" s="2513"/>
      <c r="T208" s="2513"/>
      <c r="U208" s="2511"/>
      <c r="V208" s="2511"/>
      <c r="W208" s="2511"/>
      <c r="X208" s="2513"/>
      <c r="Y208" s="2513"/>
      <c r="AA208" s="2510"/>
    </row>
    <row r="209" spans="1:16276" s="2514" customFormat="1" ht="18.75" x14ac:dyDescent="0.3">
      <c r="B209" s="2515"/>
      <c r="C209" s="2516"/>
      <c r="D209" s="2517"/>
      <c r="E209" s="2518"/>
      <c r="F209" s="3481">
        <v>2018</v>
      </c>
      <c r="G209" s="3481"/>
      <c r="H209" s="2517"/>
      <c r="I209" s="2517"/>
      <c r="J209" s="3481" t="s">
        <v>845</v>
      </c>
      <c r="K209" s="3481"/>
      <c r="L209" s="2517"/>
      <c r="M209" s="2517"/>
      <c r="N209" s="3482" t="s">
        <v>846</v>
      </c>
      <c r="O209" s="3482"/>
      <c r="P209" s="2517"/>
      <c r="Q209" s="2517"/>
      <c r="R209" s="3483">
        <v>2020</v>
      </c>
      <c r="S209" s="3483"/>
      <c r="T209" s="3483"/>
      <c r="U209" s="3483"/>
      <c r="V209" s="2517"/>
      <c r="W209" s="2517"/>
      <c r="X209" s="2519">
        <v>2021</v>
      </c>
      <c r="Y209" s="2519">
        <v>2022</v>
      </c>
      <c r="AA209" s="2520"/>
    </row>
    <row r="210" spans="1:16276" s="2290" customFormat="1" x14ac:dyDescent="0.25">
      <c r="B210" s="2398">
        <v>1</v>
      </c>
      <c r="C210" s="2521">
        <v>1</v>
      </c>
      <c r="D210" s="2342">
        <v>1</v>
      </c>
      <c r="E210" s="2382">
        <v>1</v>
      </c>
      <c r="F210" s="2417" t="s">
        <v>345</v>
      </c>
      <c r="G210" s="2417" t="s">
        <v>847</v>
      </c>
      <c r="H210" s="2342">
        <v>1</v>
      </c>
      <c r="I210" s="2342">
        <v>1</v>
      </c>
      <c r="J210" s="2417" t="s">
        <v>345</v>
      </c>
      <c r="K210" s="2417" t="s">
        <v>847</v>
      </c>
      <c r="L210" s="2342">
        <v>1</v>
      </c>
      <c r="M210" s="2342">
        <v>1</v>
      </c>
      <c r="N210" s="2417" t="s">
        <v>345</v>
      </c>
      <c r="O210" s="2417" t="s">
        <v>847</v>
      </c>
      <c r="P210" s="2342">
        <v>1</v>
      </c>
      <c r="Q210" s="2342">
        <v>1</v>
      </c>
      <c r="R210" s="2417" t="s">
        <v>345</v>
      </c>
      <c r="S210" s="2417"/>
      <c r="T210" s="2417"/>
      <c r="U210" s="2417" t="s">
        <v>847</v>
      </c>
      <c r="V210" s="2342">
        <v>1</v>
      </c>
      <c r="W210" s="2342">
        <v>1</v>
      </c>
      <c r="X210" s="2417">
        <v>1</v>
      </c>
      <c r="Y210" s="2417">
        <v>1</v>
      </c>
      <c r="AA210" s="2292"/>
    </row>
    <row r="211" spans="1:16276" x14ac:dyDescent="0.25">
      <c r="A211" s="2522"/>
      <c r="B211" s="2523"/>
      <c r="C211" s="2523" t="s">
        <v>2179</v>
      </c>
      <c r="D211" s="2349"/>
      <c r="E211" s="2348"/>
      <c r="F211" s="2349">
        <f>F212+F213+F214+F215+F216+F217+F218+F219+F220+F221</f>
        <v>840.8</v>
      </c>
      <c r="G211" s="2349">
        <f t="shared" ref="G211:Y211" si="37">G212+G213+G214+G215+G216+G217+G218+G219+G220+G221</f>
        <v>6.5</v>
      </c>
      <c r="H211" s="2349">
        <f t="shared" si="37"/>
        <v>0</v>
      </c>
      <c r="I211" s="2349">
        <f t="shared" si="37"/>
        <v>0</v>
      </c>
      <c r="J211" s="2349">
        <f t="shared" si="37"/>
        <v>529.79999999999995</v>
      </c>
      <c r="K211" s="2349">
        <f t="shared" si="37"/>
        <v>308.5</v>
      </c>
      <c r="L211" s="2349">
        <f t="shared" si="37"/>
        <v>0</v>
      </c>
      <c r="M211" s="2349">
        <f t="shared" si="37"/>
        <v>0</v>
      </c>
      <c r="N211" s="2349">
        <f t="shared" si="37"/>
        <v>529.79999999999995</v>
      </c>
      <c r="O211" s="2349">
        <f t="shared" si="37"/>
        <v>308.5</v>
      </c>
      <c r="P211" s="2349">
        <f t="shared" si="37"/>
        <v>0</v>
      </c>
      <c r="Q211" s="2349">
        <f t="shared" si="37"/>
        <v>0</v>
      </c>
      <c r="R211" s="2349">
        <f t="shared" si="37"/>
        <v>750.3</v>
      </c>
      <c r="S211" s="2349">
        <f t="shared" si="37"/>
        <v>749.9</v>
      </c>
      <c r="T211" s="2349">
        <f t="shared" si="37"/>
        <v>0</v>
      </c>
      <c r="U211" s="2349">
        <f t="shared" si="37"/>
        <v>325.3</v>
      </c>
      <c r="V211" s="2349">
        <f t="shared" si="37"/>
        <v>142.1</v>
      </c>
      <c r="W211" s="2349">
        <f t="shared" si="37"/>
        <v>2658.4</v>
      </c>
      <c r="X211" s="2349">
        <f t="shared" si="37"/>
        <v>743.1</v>
      </c>
      <c r="Y211" s="2349">
        <f t="shared" si="37"/>
        <v>800.5</v>
      </c>
      <c r="Z211" s="2522"/>
      <c r="AA211" s="2524"/>
      <c r="AB211" s="2522"/>
      <c r="AC211" s="2522"/>
      <c r="AD211" s="2522"/>
      <c r="AE211" s="2522"/>
      <c r="AF211" s="2522"/>
      <c r="AG211" s="2522"/>
      <c r="AH211" s="2522"/>
      <c r="AI211" s="2522"/>
      <c r="AJ211" s="2522"/>
      <c r="AK211" s="2522"/>
      <c r="AL211" s="2522"/>
      <c r="AM211" s="2522"/>
      <c r="AN211" s="2522"/>
      <c r="AO211" s="2522"/>
      <c r="AP211" s="2522"/>
      <c r="AQ211" s="2522"/>
      <c r="AR211" s="2522"/>
      <c r="AS211" s="2522"/>
      <c r="AT211" s="2522"/>
      <c r="AU211" s="2522"/>
      <c r="AV211" s="2522"/>
      <c r="AW211" s="2522"/>
      <c r="AX211" s="2522"/>
      <c r="AY211" s="2522"/>
      <c r="AZ211" s="2522"/>
      <c r="BA211" s="2522"/>
      <c r="BB211" s="2522"/>
      <c r="BC211" s="2522"/>
      <c r="BD211" s="2522"/>
      <c r="BE211" s="2522"/>
      <c r="BF211" s="2522"/>
      <c r="BG211" s="2522"/>
      <c r="BH211" s="2522"/>
      <c r="BI211" s="2522"/>
      <c r="BJ211" s="2522"/>
      <c r="BK211" s="2522"/>
      <c r="BL211" s="2522"/>
      <c r="BM211" s="2522"/>
      <c r="BN211" s="2522"/>
      <c r="BO211" s="2522"/>
      <c r="BP211" s="2522"/>
      <c r="BQ211" s="2522"/>
      <c r="BR211" s="2522"/>
      <c r="BS211" s="2522"/>
      <c r="BT211" s="2522"/>
      <c r="BU211" s="2522"/>
      <c r="BV211" s="2522"/>
      <c r="BW211" s="2522"/>
      <c r="BX211" s="2522"/>
      <c r="BY211" s="2522"/>
      <c r="BZ211" s="2522"/>
      <c r="CA211" s="2522"/>
      <c r="CB211" s="2522"/>
      <c r="CC211" s="2522"/>
      <c r="CD211" s="2522"/>
      <c r="CE211" s="2522"/>
      <c r="CF211" s="2522"/>
      <c r="CG211" s="2522"/>
      <c r="CH211" s="2522"/>
      <c r="CI211" s="2522"/>
      <c r="CJ211" s="2522"/>
      <c r="CK211" s="2522"/>
      <c r="CL211" s="2522"/>
      <c r="CM211" s="2522"/>
      <c r="CN211" s="2522"/>
      <c r="CO211" s="2522"/>
      <c r="CP211" s="2522"/>
      <c r="CQ211" s="2522"/>
      <c r="CR211" s="2522"/>
      <c r="CS211" s="2522"/>
      <c r="CT211" s="2522"/>
      <c r="CU211" s="2522"/>
      <c r="CV211" s="2522"/>
      <c r="CW211" s="2522"/>
      <c r="CX211" s="2522"/>
      <c r="CY211" s="2522"/>
      <c r="CZ211" s="2522"/>
      <c r="DA211" s="2522"/>
      <c r="DB211" s="2522"/>
      <c r="DC211" s="2522"/>
      <c r="DD211" s="2522"/>
      <c r="DE211" s="2522"/>
      <c r="DF211" s="2522"/>
      <c r="DG211" s="2522"/>
      <c r="DH211" s="2522"/>
      <c r="DI211" s="2522"/>
      <c r="DJ211" s="2522"/>
      <c r="DK211" s="2522"/>
      <c r="DL211" s="2522"/>
      <c r="DM211" s="2522"/>
      <c r="DN211" s="2522"/>
      <c r="DO211" s="2522"/>
      <c r="DP211" s="2522"/>
      <c r="DQ211" s="2522"/>
      <c r="DR211" s="2522"/>
      <c r="DS211" s="2522"/>
      <c r="DT211" s="2522"/>
      <c r="DU211" s="2522"/>
      <c r="DV211" s="2522"/>
      <c r="DW211" s="2522"/>
      <c r="DX211" s="2522"/>
      <c r="DY211" s="2522"/>
      <c r="DZ211" s="2522"/>
      <c r="EA211" s="2522"/>
      <c r="EB211" s="2522"/>
      <c r="EC211" s="2522"/>
      <c r="ED211" s="2522"/>
      <c r="EE211" s="2522"/>
      <c r="EF211" s="2522"/>
      <c r="EG211" s="2522"/>
      <c r="EH211" s="2522"/>
      <c r="EI211" s="2522"/>
      <c r="EJ211" s="2522"/>
      <c r="EK211" s="2522"/>
      <c r="EL211" s="2522"/>
      <c r="EM211" s="2522"/>
      <c r="EN211" s="2522"/>
      <c r="EO211" s="2522"/>
      <c r="EP211" s="2522"/>
      <c r="EQ211" s="2522"/>
      <c r="ER211" s="2522"/>
      <c r="ES211" s="2522"/>
      <c r="ET211" s="2522"/>
      <c r="EU211" s="2522"/>
      <c r="EV211" s="2522"/>
      <c r="EW211" s="2522"/>
      <c r="EX211" s="2522"/>
      <c r="EY211" s="2522"/>
      <c r="EZ211" s="2522"/>
      <c r="FA211" s="2522"/>
      <c r="FB211" s="2522"/>
      <c r="FC211" s="2522"/>
      <c r="FD211" s="2522"/>
      <c r="FE211" s="2522"/>
      <c r="FF211" s="2522"/>
      <c r="FG211" s="2522"/>
      <c r="FH211" s="2522"/>
      <c r="FI211" s="2522"/>
      <c r="FJ211" s="2522"/>
      <c r="FK211" s="2522"/>
      <c r="FL211" s="2522"/>
      <c r="FM211" s="2522"/>
      <c r="FN211" s="2522"/>
      <c r="FO211" s="2522"/>
      <c r="FP211" s="2522"/>
      <c r="FQ211" s="2522"/>
      <c r="FR211" s="2522"/>
      <c r="FS211" s="2522"/>
      <c r="FT211" s="2522"/>
      <c r="FU211" s="2522"/>
      <c r="FV211" s="2522"/>
      <c r="FW211" s="2522"/>
      <c r="FX211" s="2522"/>
      <c r="FY211" s="2522"/>
      <c r="FZ211" s="2522"/>
      <c r="GA211" s="2522"/>
      <c r="GB211" s="2522"/>
      <c r="GC211" s="2522"/>
      <c r="GD211" s="2522"/>
      <c r="GE211" s="2522"/>
      <c r="GF211" s="2522"/>
      <c r="GG211" s="2522"/>
      <c r="GH211" s="2522"/>
      <c r="GI211" s="2522"/>
      <c r="GJ211" s="2522"/>
      <c r="GK211" s="2522"/>
      <c r="GL211" s="2522"/>
      <c r="GM211" s="2522"/>
      <c r="GN211" s="2522"/>
      <c r="GO211" s="2522"/>
      <c r="GP211" s="2522"/>
      <c r="GQ211" s="2522"/>
      <c r="GR211" s="2522"/>
      <c r="GS211" s="2522"/>
      <c r="GT211" s="2522"/>
      <c r="GU211" s="2522"/>
      <c r="GV211" s="2522"/>
      <c r="GW211" s="2522"/>
      <c r="GX211" s="2522"/>
      <c r="GY211" s="2522"/>
      <c r="GZ211" s="2522"/>
      <c r="HA211" s="2522"/>
      <c r="HB211" s="2522"/>
      <c r="HC211" s="2522"/>
      <c r="HD211" s="2522"/>
      <c r="HE211" s="2522"/>
      <c r="HF211" s="2522"/>
      <c r="HG211" s="2522"/>
      <c r="HH211" s="2522"/>
      <c r="HI211" s="2522"/>
      <c r="HJ211" s="2522"/>
      <c r="HK211" s="2522"/>
      <c r="HL211" s="2522"/>
      <c r="HM211" s="2522"/>
      <c r="HN211" s="2522"/>
      <c r="HO211" s="2522"/>
      <c r="HP211" s="2522"/>
      <c r="HQ211" s="2522"/>
      <c r="HR211" s="2522"/>
      <c r="HS211" s="2522"/>
      <c r="HT211" s="2522"/>
      <c r="HU211" s="2522"/>
      <c r="HV211" s="2522"/>
      <c r="HW211" s="2522"/>
      <c r="HX211" s="2522"/>
      <c r="HY211" s="2522"/>
      <c r="HZ211" s="2522"/>
      <c r="IA211" s="2522"/>
      <c r="IB211" s="2522"/>
      <c r="IC211" s="2522"/>
      <c r="ID211" s="2522"/>
      <c r="IE211" s="2522"/>
      <c r="IF211" s="2522"/>
      <c r="IG211" s="2522"/>
      <c r="IH211" s="2522"/>
      <c r="II211" s="2522"/>
      <c r="IJ211" s="2522"/>
      <c r="IK211" s="2522"/>
      <c r="IL211" s="2522"/>
      <c r="IM211" s="2522"/>
      <c r="IN211" s="2522"/>
      <c r="IO211" s="2522"/>
      <c r="IP211" s="2522"/>
      <c r="IQ211" s="2522"/>
      <c r="IR211" s="2522"/>
      <c r="IS211" s="2522"/>
      <c r="IT211" s="2522"/>
      <c r="IU211" s="2522"/>
      <c r="IV211" s="2522"/>
      <c r="IW211" s="2522"/>
      <c r="IX211" s="2522"/>
      <c r="IY211" s="2522"/>
      <c r="IZ211" s="2522"/>
      <c r="JA211" s="2522"/>
      <c r="JB211" s="2522"/>
      <c r="JC211" s="2522"/>
      <c r="JD211" s="2522"/>
      <c r="JE211" s="2522"/>
      <c r="JF211" s="2522"/>
      <c r="JG211" s="2522"/>
      <c r="JH211" s="2522"/>
      <c r="JI211" s="2522"/>
      <c r="JJ211" s="2522"/>
      <c r="JK211" s="2522"/>
      <c r="JL211" s="2522"/>
      <c r="JM211" s="2522"/>
      <c r="JN211" s="2522"/>
      <c r="JO211" s="2522"/>
      <c r="JP211" s="2522"/>
      <c r="JQ211" s="2522"/>
      <c r="JR211" s="2522"/>
      <c r="JS211" s="2522"/>
      <c r="JT211" s="2522"/>
      <c r="JU211" s="2522"/>
      <c r="JV211" s="2522"/>
      <c r="JW211" s="2522"/>
      <c r="JX211" s="2522"/>
      <c r="JY211" s="2522"/>
      <c r="JZ211" s="2522"/>
      <c r="KA211" s="2522"/>
      <c r="KB211" s="2522"/>
      <c r="KC211" s="2522"/>
      <c r="KD211" s="2522"/>
      <c r="KE211" s="2522"/>
      <c r="KF211" s="2522"/>
      <c r="KG211" s="2522"/>
      <c r="KH211" s="2522"/>
      <c r="KI211" s="2522"/>
      <c r="KJ211" s="2522"/>
      <c r="KK211" s="2522"/>
      <c r="KL211" s="2522"/>
      <c r="KM211" s="2522"/>
      <c r="KN211" s="2522"/>
      <c r="KO211" s="2522"/>
      <c r="KP211" s="2522"/>
      <c r="KQ211" s="2522"/>
      <c r="KR211" s="2522"/>
      <c r="KS211" s="2522"/>
      <c r="KT211" s="2522"/>
      <c r="KU211" s="2522"/>
      <c r="KV211" s="2522"/>
      <c r="KW211" s="2522"/>
      <c r="KX211" s="2522"/>
      <c r="KY211" s="2522"/>
      <c r="KZ211" s="2522"/>
      <c r="LA211" s="2522"/>
      <c r="LB211" s="2522"/>
      <c r="LC211" s="2522"/>
      <c r="LD211" s="2522"/>
      <c r="LE211" s="2522"/>
      <c r="LF211" s="2522"/>
      <c r="LG211" s="2522"/>
      <c r="LH211" s="2522"/>
      <c r="LI211" s="2522"/>
      <c r="LJ211" s="2522"/>
      <c r="LK211" s="2522"/>
      <c r="LL211" s="2522"/>
      <c r="LM211" s="2522"/>
      <c r="LN211" s="2522"/>
      <c r="LO211" s="2522"/>
      <c r="LP211" s="2522"/>
      <c r="LQ211" s="2522"/>
      <c r="LR211" s="2522"/>
      <c r="LS211" s="2522"/>
      <c r="LT211" s="2522"/>
      <c r="LU211" s="2522"/>
      <c r="LV211" s="2522"/>
      <c r="LW211" s="2522"/>
      <c r="LX211" s="2522"/>
      <c r="LY211" s="2522"/>
      <c r="LZ211" s="2522"/>
      <c r="MA211" s="2522"/>
      <c r="MB211" s="2522"/>
      <c r="MC211" s="2522"/>
      <c r="MD211" s="2522"/>
      <c r="ME211" s="2522"/>
      <c r="MF211" s="2522"/>
      <c r="MG211" s="2522"/>
      <c r="MH211" s="2522"/>
      <c r="MI211" s="2522"/>
      <c r="MJ211" s="2522"/>
      <c r="MK211" s="2522"/>
      <c r="ML211" s="2522"/>
      <c r="MM211" s="2522"/>
      <c r="MN211" s="2522"/>
      <c r="MO211" s="2522"/>
      <c r="MP211" s="2522"/>
      <c r="MQ211" s="2522"/>
      <c r="MR211" s="2522"/>
      <c r="MS211" s="2522"/>
      <c r="MT211" s="2522"/>
      <c r="MU211" s="2522"/>
      <c r="MV211" s="2522"/>
      <c r="MW211" s="2522"/>
      <c r="MX211" s="2522"/>
      <c r="MY211" s="2522"/>
      <c r="MZ211" s="2522"/>
      <c r="NA211" s="2522"/>
      <c r="NB211" s="2522"/>
      <c r="NC211" s="2522"/>
      <c r="ND211" s="2522"/>
      <c r="NE211" s="2522"/>
      <c r="NF211" s="2522"/>
      <c r="NG211" s="2522"/>
      <c r="NH211" s="2522"/>
      <c r="NI211" s="2522"/>
      <c r="NJ211" s="2522"/>
      <c r="NK211" s="2522"/>
      <c r="NL211" s="2522"/>
      <c r="NM211" s="2522"/>
      <c r="NN211" s="2522"/>
      <c r="NO211" s="2522"/>
      <c r="NP211" s="2522"/>
      <c r="NQ211" s="2522"/>
      <c r="NR211" s="2522"/>
      <c r="NS211" s="2522"/>
      <c r="NT211" s="2522"/>
      <c r="NU211" s="2522"/>
      <c r="NV211" s="2522"/>
      <c r="NW211" s="2522"/>
      <c r="NX211" s="2522"/>
      <c r="NY211" s="2522"/>
      <c r="NZ211" s="2522"/>
      <c r="OA211" s="2522"/>
      <c r="OB211" s="2522"/>
      <c r="OC211" s="2522"/>
      <c r="OD211" s="2522"/>
      <c r="OE211" s="2522"/>
      <c r="OF211" s="2522"/>
      <c r="OG211" s="2522"/>
      <c r="OH211" s="2522"/>
      <c r="OI211" s="2522"/>
      <c r="OJ211" s="2522"/>
      <c r="OK211" s="2522"/>
      <c r="OL211" s="2522"/>
      <c r="OM211" s="2522"/>
      <c r="ON211" s="2522"/>
      <c r="OO211" s="2522"/>
      <c r="OP211" s="2522"/>
      <c r="OQ211" s="2522"/>
      <c r="OR211" s="2522"/>
      <c r="OS211" s="2522"/>
      <c r="OT211" s="2522"/>
      <c r="OU211" s="2522"/>
      <c r="OV211" s="2522"/>
      <c r="OW211" s="2522"/>
      <c r="OX211" s="2522"/>
      <c r="OY211" s="2522"/>
      <c r="OZ211" s="2522"/>
      <c r="PA211" s="2522"/>
      <c r="PB211" s="2522"/>
      <c r="PC211" s="2522"/>
      <c r="PD211" s="2522"/>
      <c r="PE211" s="2522"/>
      <c r="PF211" s="2522"/>
      <c r="PG211" s="2522"/>
      <c r="PH211" s="2522"/>
      <c r="PI211" s="2522"/>
      <c r="PJ211" s="2522"/>
      <c r="PK211" s="2522"/>
      <c r="PL211" s="2522"/>
      <c r="PM211" s="2522"/>
      <c r="PN211" s="2522"/>
      <c r="PO211" s="2522"/>
      <c r="PP211" s="2522"/>
      <c r="PQ211" s="2522"/>
      <c r="PR211" s="2522"/>
      <c r="PS211" s="2522"/>
      <c r="PT211" s="2522"/>
      <c r="PU211" s="2522"/>
      <c r="PV211" s="2522"/>
      <c r="PW211" s="2522"/>
      <c r="PX211" s="2522"/>
      <c r="PY211" s="2522"/>
      <c r="PZ211" s="2522"/>
      <c r="QA211" s="2522"/>
      <c r="QB211" s="2522"/>
      <c r="QC211" s="2522"/>
      <c r="QD211" s="2522"/>
      <c r="QE211" s="2522"/>
      <c r="QF211" s="2522"/>
      <c r="QG211" s="2522"/>
      <c r="QH211" s="2522"/>
      <c r="QI211" s="2522"/>
      <c r="QJ211" s="2522"/>
      <c r="QK211" s="2522"/>
      <c r="QL211" s="2522"/>
      <c r="QM211" s="2522"/>
      <c r="QN211" s="2522"/>
      <c r="QO211" s="2522"/>
      <c r="QP211" s="2522"/>
      <c r="QQ211" s="2522"/>
      <c r="QR211" s="2522"/>
      <c r="QS211" s="2522"/>
      <c r="QT211" s="2522"/>
      <c r="QU211" s="2522"/>
      <c r="QV211" s="2522"/>
      <c r="QW211" s="2522"/>
      <c r="QX211" s="2522"/>
      <c r="QY211" s="2522"/>
      <c r="QZ211" s="2522"/>
      <c r="RA211" s="2522"/>
      <c r="RB211" s="2522"/>
      <c r="RC211" s="2522"/>
      <c r="RD211" s="2522"/>
      <c r="RE211" s="2522"/>
      <c r="RF211" s="2522"/>
      <c r="RG211" s="2522"/>
      <c r="RH211" s="2522"/>
      <c r="RI211" s="2522"/>
      <c r="RJ211" s="2522"/>
      <c r="RK211" s="2522"/>
      <c r="RL211" s="2522"/>
      <c r="RM211" s="2522"/>
      <c r="RN211" s="2522"/>
      <c r="RO211" s="2522"/>
      <c r="RP211" s="2522"/>
      <c r="RQ211" s="2522"/>
      <c r="RR211" s="2522"/>
      <c r="RS211" s="2522"/>
      <c r="RT211" s="2522"/>
      <c r="RU211" s="2522"/>
      <c r="RV211" s="2522"/>
      <c r="RW211" s="2522"/>
      <c r="RX211" s="2522"/>
      <c r="RY211" s="2522"/>
      <c r="RZ211" s="2522"/>
      <c r="SA211" s="2522"/>
      <c r="SB211" s="2522"/>
      <c r="SC211" s="2522"/>
      <c r="SD211" s="2522"/>
      <c r="SE211" s="2522"/>
      <c r="SF211" s="2522"/>
      <c r="SG211" s="2522"/>
      <c r="SH211" s="2522"/>
      <c r="SI211" s="2522"/>
      <c r="SJ211" s="2522"/>
      <c r="SK211" s="2522"/>
      <c r="SL211" s="2522"/>
      <c r="SM211" s="2522"/>
      <c r="SN211" s="2522"/>
      <c r="SO211" s="2522"/>
      <c r="SP211" s="2522"/>
      <c r="SQ211" s="2522"/>
      <c r="SR211" s="2522"/>
      <c r="SS211" s="2522"/>
      <c r="ST211" s="2522"/>
      <c r="SU211" s="2522"/>
      <c r="SV211" s="2522"/>
      <c r="SW211" s="2522"/>
      <c r="SX211" s="2522"/>
      <c r="SY211" s="2522"/>
      <c r="SZ211" s="2522"/>
      <c r="TA211" s="2522"/>
      <c r="TB211" s="2522"/>
      <c r="TC211" s="2522"/>
      <c r="TD211" s="2522"/>
      <c r="TE211" s="2522"/>
      <c r="TF211" s="2522"/>
      <c r="TG211" s="2522"/>
      <c r="TH211" s="2522"/>
      <c r="TI211" s="2522"/>
      <c r="TJ211" s="2522"/>
      <c r="TK211" s="2522"/>
      <c r="TL211" s="2522"/>
      <c r="TM211" s="2522"/>
      <c r="TN211" s="2522"/>
      <c r="TO211" s="2522"/>
      <c r="TP211" s="2522"/>
      <c r="TQ211" s="2522"/>
      <c r="TR211" s="2522"/>
      <c r="TS211" s="2522"/>
      <c r="TT211" s="2522"/>
      <c r="TU211" s="2522"/>
      <c r="TV211" s="2522"/>
      <c r="TW211" s="2522"/>
      <c r="TX211" s="2522"/>
      <c r="TY211" s="2522"/>
      <c r="TZ211" s="2522"/>
      <c r="UA211" s="2522"/>
      <c r="UB211" s="2522"/>
      <c r="UC211" s="2522"/>
      <c r="UD211" s="2522"/>
      <c r="UE211" s="2522"/>
      <c r="UF211" s="2522"/>
      <c r="UG211" s="2522"/>
      <c r="UH211" s="2522"/>
      <c r="UI211" s="2522"/>
      <c r="UJ211" s="2522"/>
      <c r="UK211" s="2522"/>
      <c r="UL211" s="2522"/>
      <c r="UM211" s="2522"/>
      <c r="UN211" s="2522"/>
      <c r="UO211" s="2522"/>
      <c r="UP211" s="2522"/>
      <c r="UQ211" s="2522"/>
      <c r="UR211" s="2522"/>
      <c r="US211" s="2522"/>
      <c r="UT211" s="2522"/>
      <c r="UU211" s="2522"/>
      <c r="UV211" s="2522"/>
      <c r="UW211" s="2522"/>
      <c r="UX211" s="2522"/>
      <c r="UY211" s="2522"/>
      <c r="UZ211" s="2522"/>
      <c r="VA211" s="2522"/>
      <c r="VB211" s="2522"/>
      <c r="VC211" s="2522"/>
      <c r="VD211" s="2522"/>
      <c r="VE211" s="2522"/>
      <c r="VF211" s="2522"/>
      <c r="VG211" s="2522"/>
      <c r="VH211" s="2522"/>
      <c r="VI211" s="2522"/>
      <c r="VJ211" s="2522"/>
      <c r="VK211" s="2522"/>
      <c r="VL211" s="2522"/>
      <c r="VM211" s="2522"/>
      <c r="VN211" s="2522"/>
      <c r="VO211" s="2522"/>
      <c r="VP211" s="2522"/>
      <c r="VQ211" s="2522"/>
      <c r="VR211" s="2522"/>
      <c r="VS211" s="2522"/>
      <c r="VT211" s="2522"/>
      <c r="VU211" s="2522"/>
      <c r="VV211" s="2522"/>
      <c r="VW211" s="2522"/>
      <c r="VX211" s="2522"/>
      <c r="VY211" s="2522"/>
      <c r="VZ211" s="2522"/>
      <c r="WA211" s="2522"/>
      <c r="WB211" s="2522"/>
      <c r="WC211" s="2522"/>
      <c r="WD211" s="2522"/>
      <c r="WE211" s="2522"/>
      <c r="WF211" s="2522"/>
      <c r="WG211" s="2522"/>
      <c r="WH211" s="2522"/>
      <c r="WI211" s="2522"/>
      <c r="WJ211" s="2522"/>
      <c r="WK211" s="2522"/>
      <c r="WL211" s="2522"/>
      <c r="WM211" s="2522"/>
      <c r="WN211" s="2522"/>
      <c r="WO211" s="2522"/>
      <c r="WP211" s="2522"/>
      <c r="WQ211" s="2522"/>
      <c r="WR211" s="2522"/>
      <c r="WS211" s="2522"/>
      <c r="WT211" s="2522"/>
      <c r="WU211" s="2522"/>
      <c r="WV211" s="2522"/>
      <c r="WW211" s="2522"/>
      <c r="WX211" s="2522"/>
      <c r="WY211" s="2522"/>
      <c r="WZ211" s="2522"/>
      <c r="XA211" s="2522"/>
      <c r="XB211" s="2522"/>
      <c r="XC211" s="2522"/>
      <c r="XD211" s="2522"/>
      <c r="XE211" s="2522"/>
      <c r="XF211" s="2522"/>
      <c r="XG211" s="2522"/>
      <c r="XH211" s="2522"/>
      <c r="XI211" s="2522"/>
      <c r="XJ211" s="2522"/>
      <c r="XK211" s="2522"/>
      <c r="XL211" s="2522"/>
      <c r="XM211" s="2522"/>
      <c r="XN211" s="2522"/>
      <c r="XO211" s="2522"/>
      <c r="XP211" s="2522"/>
      <c r="XQ211" s="2522"/>
      <c r="XR211" s="2522"/>
      <c r="XS211" s="2522"/>
      <c r="XT211" s="2522"/>
      <c r="XU211" s="2522"/>
      <c r="XV211" s="2522"/>
      <c r="XW211" s="2522"/>
      <c r="XX211" s="2522"/>
      <c r="XY211" s="2522"/>
      <c r="XZ211" s="2522"/>
      <c r="YA211" s="2522"/>
      <c r="YB211" s="2522"/>
      <c r="YC211" s="2522"/>
      <c r="YD211" s="2522"/>
      <c r="YE211" s="2522"/>
      <c r="YF211" s="2522"/>
      <c r="YG211" s="2522"/>
      <c r="YH211" s="2522"/>
      <c r="YI211" s="2522"/>
      <c r="YJ211" s="2522"/>
      <c r="YK211" s="2522"/>
      <c r="YL211" s="2522"/>
      <c r="YM211" s="2522"/>
      <c r="YN211" s="2522"/>
      <c r="YO211" s="2522"/>
      <c r="YP211" s="2522"/>
      <c r="YQ211" s="2522"/>
      <c r="YR211" s="2522"/>
      <c r="YS211" s="2522"/>
      <c r="YT211" s="2522"/>
      <c r="YU211" s="2522"/>
      <c r="YV211" s="2522"/>
      <c r="YW211" s="2522"/>
      <c r="YX211" s="2522"/>
      <c r="YY211" s="2522"/>
      <c r="YZ211" s="2522"/>
      <c r="ZA211" s="2522"/>
      <c r="ZB211" s="2522"/>
      <c r="ZC211" s="2522"/>
      <c r="ZD211" s="2522"/>
      <c r="ZE211" s="2522"/>
      <c r="ZF211" s="2522"/>
      <c r="ZG211" s="2522"/>
      <c r="ZH211" s="2522"/>
      <c r="ZI211" s="2522"/>
      <c r="ZJ211" s="2522"/>
      <c r="ZK211" s="2522"/>
      <c r="ZL211" s="2522"/>
      <c r="ZM211" s="2522"/>
      <c r="ZN211" s="2522"/>
      <c r="ZO211" s="2522"/>
      <c r="ZP211" s="2522"/>
      <c r="ZQ211" s="2522"/>
      <c r="ZR211" s="2522"/>
      <c r="ZS211" s="2522"/>
      <c r="ZT211" s="2522"/>
      <c r="ZU211" s="2522"/>
      <c r="ZV211" s="2522"/>
      <c r="ZW211" s="2522"/>
      <c r="ZX211" s="2522"/>
      <c r="ZY211" s="2522"/>
      <c r="ZZ211" s="2522"/>
      <c r="AAA211" s="2522"/>
      <c r="AAB211" s="2522"/>
      <c r="AAC211" s="2522"/>
      <c r="AAD211" s="2522"/>
      <c r="AAE211" s="2522"/>
      <c r="AAF211" s="2522"/>
      <c r="AAG211" s="2522"/>
      <c r="AAH211" s="2522"/>
      <c r="AAI211" s="2522"/>
      <c r="AAJ211" s="2522"/>
      <c r="AAK211" s="2522"/>
      <c r="AAL211" s="2522"/>
      <c r="AAM211" s="2522"/>
      <c r="AAN211" s="2522"/>
      <c r="AAO211" s="2522"/>
      <c r="AAP211" s="2522"/>
      <c r="AAQ211" s="2522"/>
      <c r="AAR211" s="2522"/>
      <c r="AAS211" s="2522"/>
      <c r="AAT211" s="2522"/>
      <c r="AAU211" s="2522"/>
      <c r="AAV211" s="2522"/>
      <c r="AAW211" s="2522"/>
      <c r="AAX211" s="2522"/>
      <c r="AAY211" s="2522"/>
      <c r="AAZ211" s="2522"/>
      <c r="ABA211" s="2522"/>
      <c r="ABB211" s="2522"/>
      <c r="ABC211" s="2522"/>
      <c r="ABD211" s="2522"/>
      <c r="ABE211" s="2522"/>
      <c r="ABF211" s="2522"/>
      <c r="ABG211" s="2522"/>
      <c r="ABH211" s="2522"/>
      <c r="ABI211" s="2522"/>
      <c r="ABJ211" s="2522"/>
      <c r="ABK211" s="2522"/>
      <c r="ABL211" s="2522"/>
      <c r="ABM211" s="2522"/>
      <c r="ABN211" s="2522"/>
      <c r="ABO211" s="2522"/>
      <c r="ABP211" s="2522"/>
      <c r="ABQ211" s="2522"/>
      <c r="ABR211" s="2522"/>
      <c r="ABS211" s="2522"/>
      <c r="ABT211" s="2522"/>
      <c r="ABU211" s="2522"/>
      <c r="ABV211" s="2522"/>
      <c r="ABW211" s="2522"/>
      <c r="ABX211" s="2522"/>
      <c r="ABY211" s="2522"/>
      <c r="ABZ211" s="2522"/>
      <c r="ACA211" s="2522"/>
      <c r="ACB211" s="2522"/>
      <c r="ACC211" s="2522"/>
      <c r="ACD211" s="2522"/>
      <c r="ACE211" s="2522"/>
      <c r="ACF211" s="2522"/>
      <c r="ACG211" s="2522"/>
      <c r="ACH211" s="2522"/>
      <c r="ACI211" s="2522"/>
      <c r="ACJ211" s="2522"/>
      <c r="ACK211" s="2522"/>
      <c r="ACL211" s="2522"/>
      <c r="ACM211" s="2522"/>
      <c r="ACN211" s="2522"/>
      <c r="ACO211" s="2522"/>
      <c r="ACP211" s="2522"/>
      <c r="ACQ211" s="2522"/>
      <c r="ACR211" s="2522"/>
      <c r="ACS211" s="2522"/>
      <c r="ACT211" s="2522"/>
      <c r="ACU211" s="2522"/>
      <c r="ACV211" s="2522"/>
      <c r="ACW211" s="2522"/>
      <c r="ACX211" s="2522"/>
      <c r="ACY211" s="2522"/>
      <c r="ACZ211" s="2522"/>
      <c r="ADA211" s="2522"/>
      <c r="ADB211" s="2522"/>
      <c r="ADC211" s="2522"/>
      <c r="ADD211" s="2522"/>
      <c r="ADE211" s="2522"/>
      <c r="ADF211" s="2522"/>
      <c r="ADG211" s="2522"/>
      <c r="ADH211" s="2522"/>
      <c r="ADI211" s="2522"/>
      <c r="ADJ211" s="2522"/>
      <c r="ADK211" s="2522"/>
      <c r="ADL211" s="2522"/>
      <c r="ADM211" s="2522"/>
      <c r="ADN211" s="2522"/>
      <c r="ADO211" s="2522"/>
      <c r="ADP211" s="2522"/>
      <c r="ADQ211" s="2522"/>
      <c r="ADR211" s="2522"/>
      <c r="ADS211" s="2522"/>
      <c r="ADT211" s="2522"/>
      <c r="ADU211" s="2522"/>
      <c r="ADV211" s="2522"/>
      <c r="ADW211" s="2522"/>
      <c r="ADX211" s="2522"/>
      <c r="ADY211" s="2522"/>
      <c r="ADZ211" s="2522"/>
      <c r="AEA211" s="2522"/>
      <c r="AEB211" s="2522"/>
      <c r="AEC211" s="2522"/>
      <c r="AED211" s="2522"/>
      <c r="AEE211" s="2522"/>
      <c r="AEF211" s="2522"/>
      <c r="AEG211" s="2522"/>
      <c r="AEH211" s="2522"/>
      <c r="AEI211" s="2522"/>
      <c r="AEJ211" s="2522"/>
      <c r="AEK211" s="2522"/>
      <c r="AEL211" s="2522"/>
      <c r="AEM211" s="2522"/>
      <c r="AEN211" s="2522"/>
      <c r="AEO211" s="2522"/>
      <c r="AEP211" s="2522"/>
      <c r="AEQ211" s="2522"/>
      <c r="AER211" s="2522"/>
      <c r="AES211" s="2522"/>
      <c r="AET211" s="2522"/>
      <c r="AEU211" s="2522"/>
      <c r="AEV211" s="2522"/>
      <c r="AEW211" s="2522"/>
      <c r="AEX211" s="2522"/>
      <c r="AEY211" s="2522"/>
      <c r="AEZ211" s="2522"/>
      <c r="AFA211" s="2522"/>
      <c r="AFB211" s="2522"/>
      <c r="AFC211" s="2522"/>
      <c r="AFD211" s="2522"/>
      <c r="AFE211" s="2522"/>
      <c r="AFF211" s="2522"/>
      <c r="AFG211" s="2522"/>
      <c r="AFH211" s="2522"/>
      <c r="AFI211" s="2522"/>
      <c r="AFJ211" s="2522"/>
      <c r="AFK211" s="2522"/>
      <c r="AFL211" s="2522"/>
      <c r="AFM211" s="2522"/>
      <c r="AFN211" s="2522"/>
      <c r="AFO211" s="2522"/>
      <c r="AFP211" s="2522"/>
      <c r="AFQ211" s="2522"/>
      <c r="AFR211" s="2522"/>
      <c r="AFS211" s="2522"/>
      <c r="AFT211" s="2522"/>
      <c r="AFU211" s="2522"/>
      <c r="AFV211" s="2522"/>
      <c r="AFW211" s="2522"/>
      <c r="AFX211" s="2522"/>
      <c r="AFY211" s="2522"/>
      <c r="AFZ211" s="2522"/>
      <c r="AGA211" s="2522"/>
      <c r="AGB211" s="2522"/>
      <c r="AGC211" s="2522"/>
      <c r="AGD211" s="2522"/>
      <c r="AGE211" s="2522"/>
      <c r="AGF211" s="2522"/>
      <c r="AGG211" s="2522"/>
      <c r="AGH211" s="2522"/>
      <c r="AGI211" s="2522"/>
      <c r="AGJ211" s="2522"/>
      <c r="AGK211" s="2522"/>
      <c r="AGL211" s="2522"/>
      <c r="AGM211" s="2522"/>
      <c r="AGN211" s="2522"/>
      <c r="AGO211" s="2522"/>
      <c r="AGP211" s="2522"/>
      <c r="AGQ211" s="2522"/>
      <c r="AGR211" s="2522"/>
      <c r="AGS211" s="2522"/>
      <c r="AGT211" s="2522"/>
      <c r="AGU211" s="2522"/>
      <c r="AGV211" s="2522"/>
      <c r="AGW211" s="2522"/>
      <c r="AGX211" s="2522"/>
      <c r="AGY211" s="2522"/>
      <c r="AGZ211" s="2522"/>
      <c r="AHA211" s="2522"/>
      <c r="AHB211" s="2522"/>
      <c r="AHC211" s="2522"/>
      <c r="AHD211" s="2522"/>
      <c r="AHE211" s="2522"/>
      <c r="AHF211" s="2522"/>
      <c r="AHG211" s="2522"/>
      <c r="AHH211" s="2522"/>
      <c r="AHI211" s="2522"/>
      <c r="AHJ211" s="2522"/>
      <c r="AHK211" s="2522"/>
      <c r="AHL211" s="2522"/>
      <c r="AHM211" s="2522"/>
      <c r="AHN211" s="2522"/>
      <c r="AHO211" s="2522"/>
      <c r="AHP211" s="2522"/>
      <c r="AHQ211" s="2522"/>
      <c r="AHR211" s="2522"/>
      <c r="AHS211" s="2522"/>
      <c r="AHT211" s="2522"/>
      <c r="AHU211" s="2522"/>
      <c r="AHV211" s="2522"/>
      <c r="AHW211" s="2522"/>
      <c r="AHX211" s="2522"/>
      <c r="AHY211" s="2522"/>
      <c r="AHZ211" s="2522"/>
      <c r="AIA211" s="2522"/>
      <c r="AIB211" s="2522"/>
      <c r="AIC211" s="2522"/>
      <c r="AID211" s="2522"/>
      <c r="AIE211" s="2522"/>
      <c r="AIF211" s="2522"/>
      <c r="AIG211" s="2522"/>
      <c r="AIH211" s="2522"/>
      <c r="AII211" s="2522"/>
      <c r="AIJ211" s="2522"/>
      <c r="AIK211" s="2522"/>
      <c r="AIL211" s="2522"/>
      <c r="AIM211" s="2522"/>
      <c r="AIN211" s="2522"/>
      <c r="AIO211" s="2522"/>
      <c r="AIP211" s="2522"/>
      <c r="AIQ211" s="2522"/>
      <c r="AIR211" s="2522"/>
      <c r="AIS211" s="2522"/>
      <c r="AIT211" s="2522"/>
      <c r="AIU211" s="2522"/>
      <c r="AIV211" s="2522"/>
      <c r="AIW211" s="2522"/>
      <c r="AIX211" s="2522"/>
      <c r="AIY211" s="2522"/>
      <c r="AIZ211" s="2522"/>
      <c r="AJA211" s="2522"/>
      <c r="AJB211" s="2522"/>
      <c r="AJC211" s="2522"/>
      <c r="AJD211" s="2522"/>
      <c r="AJE211" s="2522"/>
      <c r="AJF211" s="2522"/>
      <c r="AJG211" s="2522"/>
      <c r="AJH211" s="2522"/>
      <c r="AJI211" s="2522"/>
      <c r="AJJ211" s="2522"/>
      <c r="AJK211" s="2522"/>
      <c r="AJL211" s="2522"/>
      <c r="AJM211" s="2522"/>
      <c r="AJN211" s="2522"/>
      <c r="AJO211" s="2522"/>
      <c r="AJP211" s="2522"/>
      <c r="AJQ211" s="2522"/>
      <c r="AJR211" s="2522"/>
      <c r="AJS211" s="2522"/>
      <c r="AJT211" s="2522"/>
      <c r="AJU211" s="2522"/>
      <c r="AJV211" s="2522"/>
      <c r="AJW211" s="2522"/>
      <c r="AJX211" s="2522"/>
      <c r="AJY211" s="2522"/>
      <c r="AJZ211" s="2522"/>
      <c r="AKA211" s="2522"/>
      <c r="AKB211" s="2522"/>
      <c r="AKC211" s="2522"/>
      <c r="AKD211" s="2522"/>
      <c r="AKE211" s="2522"/>
      <c r="AKF211" s="2522"/>
      <c r="AKG211" s="2522"/>
      <c r="AKH211" s="2522"/>
      <c r="AKI211" s="2522"/>
      <c r="AKJ211" s="2522"/>
      <c r="AKK211" s="2522"/>
      <c r="AKL211" s="2522"/>
      <c r="AKM211" s="2522"/>
      <c r="AKN211" s="2522"/>
      <c r="AKO211" s="2522"/>
      <c r="AKP211" s="2522"/>
      <c r="AKQ211" s="2522"/>
      <c r="AKR211" s="2522"/>
      <c r="AKS211" s="2522"/>
      <c r="AKT211" s="2522"/>
      <c r="AKU211" s="2522"/>
      <c r="AKV211" s="2522"/>
      <c r="AKW211" s="2522"/>
      <c r="AKX211" s="2522"/>
      <c r="AKY211" s="2522"/>
      <c r="AKZ211" s="2522"/>
      <c r="ALA211" s="2522"/>
      <c r="ALB211" s="2522"/>
      <c r="ALC211" s="2522"/>
      <c r="ALD211" s="2522"/>
      <c r="ALE211" s="2522"/>
      <c r="ALF211" s="2522"/>
      <c r="ALG211" s="2522"/>
      <c r="ALH211" s="2522"/>
      <c r="ALI211" s="2522"/>
      <c r="ALJ211" s="2522"/>
      <c r="ALK211" s="2522"/>
      <c r="ALL211" s="2522"/>
      <c r="ALM211" s="2522"/>
      <c r="ALN211" s="2522"/>
      <c r="ALO211" s="2522"/>
      <c r="ALP211" s="2522"/>
      <c r="ALQ211" s="2522"/>
      <c r="ALR211" s="2522"/>
      <c r="ALS211" s="2522"/>
      <c r="ALT211" s="2522"/>
      <c r="ALU211" s="2522"/>
      <c r="ALV211" s="2522"/>
      <c r="ALW211" s="2522"/>
      <c r="ALX211" s="2522"/>
      <c r="ALY211" s="2522"/>
      <c r="ALZ211" s="2522"/>
      <c r="AMA211" s="2522"/>
      <c r="AMB211" s="2522"/>
      <c r="AMC211" s="2522"/>
      <c r="AMD211" s="2522"/>
      <c r="AME211" s="2522"/>
      <c r="AMF211" s="2522"/>
      <c r="AMG211" s="2522"/>
      <c r="AMH211" s="2522"/>
      <c r="AMI211" s="2522"/>
      <c r="AMJ211" s="2522"/>
      <c r="AMK211" s="2522"/>
      <c r="AML211" s="2522"/>
      <c r="AMM211" s="2522"/>
      <c r="AMN211" s="2522"/>
      <c r="AMO211" s="2522"/>
      <c r="AMP211" s="2522"/>
      <c r="AMQ211" s="2522"/>
      <c r="AMR211" s="2522"/>
      <c r="AMS211" s="2522"/>
      <c r="AMT211" s="2522"/>
      <c r="AMU211" s="2522"/>
      <c r="AMV211" s="2522"/>
      <c r="AMW211" s="2522"/>
      <c r="AMX211" s="2522"/>
      <c r="AMY211" s="2522"/>
      <c r="AMZ211" s="2522"/>
      <c r="ANA211" s="2522"/>
      <c r="ANB211" s="2522"/>
      <c r="ANC211" s="2522"/>
      <c r="AND211" s="2522"/>
      <c r="ANE211" s="2522"/>
      <c r="ANF211" s="2522"/>
      <c r="ANG211" s="2522"/>
      <c r="ANH211" s="2522"/>
      <c r="ANI211" s="2522"/>
      <c r="ANJ211" s="2522"/>
      <c r="ANK211" s="2522"/>
      <c r="ANL211" s="2522"/>
      <c r="ANM211" s="2522"/>
      <c r="ANN211" s="2522"/>
      <c r="ANO211" s="2522"/>
      <c r="ANP211" s="2522"/>
      <c r="ANQ211" s="2522"/>
      <c r="ANR211" s="2522"/>
      <c r="ANS211" s="2522"/>
      <c r="ANT211" s="2522"/>
      <c r="ANU211" s="2522"/>
      <c r="ANV211" s="2522"/>
      <c r="ANW211" s="2522"/>
      <c r="ANX211" s="2522"/>
      <c r="ANY211" s="2522"/>
      <c r="ANZ211" s="2522"/>
      <c r="AOA211" s="2522"/>
      <c r="AOB211" s="2522"/>
      <c r="AOC211" s="2522"/>
      <c r="AOD211" s="2522"/>
      <c r="AOE211" s="2522"/>
      <c r="AOF211" s="2522"/>
      <c r="AOG211" s="2522"/>
      <c r="AOH211" s="2522"/>
      <c r="AOI211" s="2522"/>
      <c r="AOJ211" s="2522"/>
      <c r="AOK211" s="2522"/>
      <c r="AOL211" s="2522"/>
      <c r="AOM211" s="2522"/>
      <c r="AON211" s="2522"/>
      <c r="AOO211" s="2522"/>
      <c r="AOP211" s="2522"/>
      <c r="AOQ211" s="2522"/>
      <c r="AOR211" s="2522"/>
      <c r="AOS211" s="2522"/>
      <c r="AOT211" s="2522"/>
      <c r="AOU211" s="2522"/>
      <c r="AOV211" s="2522"/>
      <c r="AOW211" s="2522"/>
      <c r="AOX211" s="2522"/>
      <c r="AOY211" s="2522"/>
      <c r="AOZ211" s="2522"/>
      <c r="APA211" s="2522"/>
      <c r="APB211" s="2522"/>
      <c r="APC211" s="2522"/>
      <c r="APD211" s="2522"/>
      <c r="APE211" s="2522"/>
      <c r="APF211" s="2522"/>
      <c r="APG211" s="2522"/>
      <c r="APH211" s="2522"/>
      <c r="API211" s="2522"/>
      <c r="APJ211" s="2522"/>
      <c r="APK211" s="2522"/>
      <c r="APL211" s="2522"/>
      <c r="APM211" s="2522"/>
      <c r="APN211" s="2522"/>
      <c r="APO211" s="2522"/>
      <c r="APP211" s="2522"/>
      <c r="APQ211" s="2522"/>
      <c r="APR211" s="2522"/>
      <c r="APS211" s="2522"/>
      <c r="APT211" s="2522"/>
      <c r="APU211" s="2522"/>
      <c r="APV211" s="2522"/>
      <c r="APW211" s="2522"/>
      <c r="APX211" s="2522"/>
      <c r="APY211" s="2522"/>
      <c r="APZ211" s="2522"/>
      <c r="AQA211" s="2522"/>
      <c r="AQB211" s="2522"/>
      <c r="AQC211" s="2522"/>
      <c r="AQD211" s="2522"/>
      <c r="AQE211" s="2522"/>
      <c r="AQF211" s="2522"/>
      <c r="AQG211" s="2522"/>
      <c r="AQH211" s="2522"/>
      <c r="AQI211" s="2522"/>
      <c r="AQJ211" s="2522"/>
      <c r="AQK211" s="2522"/>
      <c r="AQL211" s="2522"/>
      <c r="AQM211" s="2522"/>
      <c r="AQN211" s="2522"/>
      <c r="AQO211" s="2522"/>
      <c r="AQP211" s="2522"/>
      <c r="AQQ211" s="2522"/>
      <c r="AQR211" s="2522"/>
      <c r="AQS211" s="2522"/>
      <c r="AQT211" s="2522"/>
      <c r="AQU211" s="2522"/>
      <c r="AQV211" s="2522"/>
      <c r="AQW211" s="2522"/>
      <c r="AQX211" s="2522"/>
      <c r="AQY211" s="2522"/>
      <c r="AQZ211" s="2522"/>
      <c r="ARA211" s="2522"/>
      <c r="ARB211" s="2522"/>
      <c r="ARC211" s="2522"/>
      <c r="ARD211" s="2522"/>
      <c r="ARE211" s="2522"/>
      <c r="ARF211" s="2522"/>
      <c r="ARG211" s="2522"/>
      <c r="ARH211" s="2522"/>
      <c r="ARI211" s="2522"/>
      <c r="ARJ211" s="2522"/>
      <c r="ARK211" s="2522"/>
      <c r="ARL211" s="2522"/>
      <c r="ARM211" s="2522"/>
      <c r="ARN211" s="2522"/>
      <c r="ARO211" s="2522"/>
      <c r="ARP211" s="2522"/>
      <c r="ARQ211" s="2522"/>
      <c r="ARR211" s="2522"/>
      <c r="ARS211" s="2522"/>
      <c r="ART211" s="2522"/>
      <c r="ARU211" s="2522"/>
      <c r="ARV211" s="2522"/>
      <c r="ARW211" s="2522"/>
      <c r="ARX211" s="2522"/>
      <c r="ARY211" s="2522"/>
      <c r="ARZ211" s="2522"/>
      <c r="ASA211" s="2522"/>
      <c r="ASB211" s="2522"/>
      <c r="ASC211" s="2522"/>
      <c r="ASD211" s="2522"/>
      <c r="ASE211" s="2522"/>
      <c r="ASF211" s="2522"/>
      <c r="ASG211" s="2522"/>
      <c r="ASH211" s="2522"/>
      <c r="ASI211" s="2522"/>
      <c r="ASJ211" s="2522"/>
      <c r="ASK211" s="2522"/>
      <c r="ASL211" s="2522"/>
      <c r="ASM211" s="2522"/>
      <c r="ASN211" s="2522"/>
      <c r="ASO211" s="2522"/>
      <c r="ASP211" s="2522"/>
      <c r="ASQ211" s="2522"/>
      <c r="ASR211" s="2522"/>
      <c r="ASS211" s="2522"/>
      <c r="AST211" s="2522"/>
      <c r="ASU211" s="2522"/>
      <c r="ASV211" s="2522"/>
      <c r="ASW211" s="2522"/>
      <c r="ASX211" s="2522"/>
      <c r="ASY211" s="2522"/>
      <c r="ASZ211" s="2522"/>
      <c r="ATA211" s="2522"/>
      <c r="ATB211" s="2522"/>
      <c r="ATC211" s="2522"/>
      <c r="ATD211" s="2522"/>
      <c r="ATE211" s="2522"/>
      <c r="ATF211" s="2522"/>
      <c r="ATG211" s="2522"/>
      <c r="ATH211" s="2522"/>
      <c r="ATI211" s="2522"/>
      <c r="ATJ211" s="2522"/>
      <c r="ATK211" s="2522"/>
      <c r="ATL211" s="2522"/>
      <c r="ATM211" s="2522"/>
      <c r="ATN211" s="2522"/>
      <c r="ATO211" s="2522"/>
      <c r="ATP211" s="2522"/>
      <c r="ATQ211" s="2522"/>
      <c r="ATR211" s="2522"/>
      <c r="ATS211" s="2522"/>
      <c r="ATT211" s="2522"/>
      <c r="ATU211" s="2522"/>
      <c r="ATV211" s="2522"/>
      <c r="ATW211" s="2522"/>
      <c r="ATX211" s="2522"/>
      <c r="ATY211" s="2522"/>
      <c r="ATZ211" s="2522"/>
      <c r="AUA211" s="2522"/>
      <c r="AUB211" s="2522"/>
      <c r="AUC211" s="2522"/>
      <c r="AUD211" s="2522"/>
      <c r="AUE211" s="2522"/>
      <c r="AUF211" s="2522"/>
      <c r="AUG211" s="2522"/>
      <c r="AUH211" s="2522"/>
      <c r="AUI211" s="2522"/>
      <c r="AUJ211" s="2522"/>
      <c r="AUK211" s="2522"/>
      <c r="AUL211" s="2522"/>
      <c r="AUM211" s="2522"/>
      <c r="AUN211" s="2522"/>
      <c r="AUO211" s="2522"/>
      <c r="AUP211" s="2522"/>
      <c r="AUQ211" s="2522"/>
      <c r="AUR211" s="2522"/>
      <c r="AUS211" s="2522"/>
      <c r="AUT211" s="2522"/>
      <c r="AUU211" s="2522"/>
      <c r="AUV211" s="2522"/>
      <c r="AUW211" s="2522"/>
      <c r="AUX211" s="2522"/>
      <c r="AUY211" s="2522"/>
      <c r="AUZ211" s="2522"/>
      <c r="AVA211" s="2522"/>
      <c r="AVB211" s="2522"/>
      <c r="AVC211" s="2522"/>
      <c r="AVD211" s="2522"/>
      <c r="AVE211" s="2522"/>
      <c r="AVF211" s="2522"/>
      <c r="AVG211" s="2522"/>
      <c r="AVH211" s="2522"/>
      <c r="AVI211" s="2522"/>
      <c r="AVJ211" s="2522"/>
      <c r="AVK211" s="2522"/>
      <c r="AVL211" s="2522"/>
      <c r="AVM211" s="2522"/>
      <c r="AVN211" s="2522"/>
      <c r="AVO211" s="2522"/>
      <c r="AVP211" s="2522"/>
      <c r="AVQ211" s="2522"/>
      <c r="AVR211" s="2522"/>
      <c r="AVS211" s="2522"/>
      <c r="AVT211" s="2522"/>
      <c r="AVU211" s="2522"/>
      <c r="AVV211" s="2522"/>
      <c r="AVW211" s="2522"/>
      <c r="AVX211" s="2522"/>
      <c r="AVY211" s="2522"/>
      <c r="AVZ211" s="2522"/>
      <c r="AWA211" s="2522"/>
      <c r="AWB211" s="2522"/>
      <c r="AWC211" s="2522"/>
      <c r="AWD211" s="2522"/>
      <c r="AWE211" s="2522"/>
      <c r="AWF211" s="2522"/>
      <c r="AWG211" s="2522"/>
      <c r="AWH211" s="2522"/>
      <c r="AWI211" s="2522"/>
      <c r="AWJ211" s="2522"/>
      <c r="AWK211" s="2522"/>
      <c r="AWL211" s="2522"/>
      <c r="AWM211" s="2522"/>
      <c r="AWN211" s="2522"/>
      <c r="AWO211" s="2522"/>
      <c r="AWP211" s="2522"/>
      <c r="AWQ211" s="2522"/>
      <c r="AWR211" s="2522"/>
      <c r="AWS211" s="2522"/>
      <c r="AWT211" s="2522"/>
      <c r="AWU211" s="2522"/>
      <c r="AWV211" s="2522"/>
      <c r="AWW211" s="2522"/>
      <c r="AWX211" s="2522"/>
      <c r="AWY211" s="2522"/>
      <c r="AWZ211" s="2522"/>
      <c r="AXA211" s="2522"/>
      <c r="AXB211" s="2522"/>
      <c r="AXC211" s="2522"/>
      <c r="AXD211" s="2522"/>
      <c r="AXE211" s="2522"/>
      <c r="AXF211" s="2522"/>
      <c r="AXG211" s="2522"/>
      <c r="AXH211" s="2522"/>
      <c r="AXI211" s="2522"/>
      <c r="AXJ211" s="2522"/>
      <c r="AXK211" s="2522"/>
      <c r="AXL211" s="2522"/>
      <c r="AXM211" s="2522"/>
      <c r="AXN211" s="2522"/>
      <c r="AXO211" s="2522"/>
      <c r="AXP211" s="2522"/>
      <c r="AXQ211" s="2522"/>
      <c r="AXR211" s="2522"/>
      <c r="AXS211" s="2522"/>
      <c r="AXT211" s="2522"/>
      <c r="AXU211" s="2522"/>
      <c r="AXV211" s="2522"/>
      <c r="AXW211" s="2522"/>
      <c r="AXX211" s="2522"/>
      <c r="AXY211" s="2522"/>
      <c r="AXZ211" s="2522"/>
      <c r="AYA211" s="2522"/>
      <c r="AYB211" s="2522"/>
      <c r="AYC211" s="2522"/>
      <c r="AYD211" s="2522"/>
      <c r="AYE211" s="2522"/>
      <c r="AYF211" s="2522"/>
      <c r="AYG211" s="2522"/>
      <c r="AYH211" s="2522"/>
      <c r="AYI211" s="2522"/>
      <c r="AYJ211" s="2522"/>
      <c r="AYK211" s="2522"/>
      <c r="AYL211" s="2522"/>
      <c r="AYM211" s="2522"/>
      <c r="AYN211" s="2522"/>
      <c r="AYO211" s="2522"/>
      <c r="AYP211" s="2522"/>
      <c r="AYQ211" s="2522"/>
      <c r="AYR211" s="2522"/>
      <c r="AYS211" s="2522"/>
      <c r="AYT211" s="2522"/>
      <c r="AYU211" s="2522"/>
      <c r="AYV211" s="2522"/>
      <c r="AYW211" s="2522"/>
      <c r="AYX211" s="2522"/>
      <c r="AYY211" s="2522"/>
      <c r="AYZ211" s="2522"/>
      <c r="AZA211" s="2522"/>
      <c r="AZB211" s="2522"/>
      <c r="AZC211" s="2522"/>
      <c r="AZD211" s="2522"/>
      <c r="AZE211" s="2522"/>
      <c r="AZF211" s="2522"/>
      <c r="AZG211" s="2522"/>
      <c r="AZH211" s="2522"/>
      <c r="AZI211" s="2522"/>
      <c r="AZJ211" s="2522"/>
      <c r="AZK211" s="2522"/>
      <c r="AZL211" s="2522"/>
      <c r="AZM211" s="2522"/>
      <c r="AZN211" s="2522"/>
      <c r="AZO211" s="2522"/>
      <c r="AZP211" s="2522"/>
      <c r="AZQ211" s="2522"/>
      <c r="AZR211" s="2522"/>
      <c r="AZS211" s="2522"/>
      <c r="AZT211" s="2522"/>
      <c r="AZU211" s="2522"/>
      <c r="AZV211" s="2522"/>
      <c r="AZW211" s="2522"/>
      <c r="AZX211" s="2522"/>
      <c r="AZY211" s="2522"/>
      <c r="AZZ211" s="2522"/>
      <c r="BAA211" s="2522"/>
      <c r="BAB211" s="2522"/>
      <c r="BAC211" s="2522"/>
      <c r="BAD211" s="2522"/>
      <c r="BAE211" s="2522"/>
      <c r="BAF211" s="2522"/>
      <c r="BAG211" s="2522"/>
      <c r="BAH211" s="2522"/>
      <c r="BAI211" s="2522"/>
      <c r="BAJ211" s="2522"/>
      <c r="BAK211" s="2522"/>
      <c r="BAL211" s="2522"/>
      <c r="BAM211" s="2522"/>
      <c r="BAN211" s="2522"/>
      <c r="BAO211" s="2522"/>
      <c r="BAP211" s="2522"/>
      <c r="BAQ211" s="2522"/>
      <c r="BAR211" s="2522"/>
      <c r="BAS211" s="2522"/>
      <c r="BAT211" s="2522"/>
      <c r="BAU211" s="2522"/>
      <c r="BAV211" s="2522"/>
      <c r="BAW211" s="2522"/>
      <c r="BAX211" s="2522"/>
      <c r="BAY211" s="2522"/>
      <c r="BAZ211" s="2522"/>
      <c r="BBA211" s="2522"/>
      <c r="BBB211" s="2522"/>
      <c r="BBC211" s="2522"/>
      <c r="BBD211" s="2522"/>
      <c r="BBE211" s="2522"/>
      <c r="BBF211" s="2522"/>
      <c r="BBG211" s="2522"/>
      <c r="BBH211" s="2522"/>
      <c r="BBI211" s="2522"/>
      <c r="BBJ211" s="2522"/>
      <c r="BBK211" s="2522"/>
      <c r="BBL211" s="2522"/>
      <c r="BBM211" s="2522"/>
      <c r="BBN211" s="2522"/>
      <c r="BBO211" s="2522"/>
      <c r="BBP211" s="2522"/>
      <c r="BBQ211" s="2522"/>
      <c r="BBR211" s="2522"/>
      <c r="BBS211" s="2522"/>
      <c r="BBT211" s="2522"/>
      <c r="BBU211" s="2522"/>
      <c r="BBV211" s="2522"/>
      <c r="BBW211" s="2522"/>
      <c r="BBX211" s="2522"/>
      <c r="BBY211" s="2522"/>
      <c r="BBZ211" s="2522"/>
      <c r="BCA211" s="2522"/>
      <c r="BCB211" s="2522"/>
      <c r="BCC211" s="2522"/>
      <c r="BCD211" s="2522"/>
      <c r="BCE211" s="2522"/>
      <c r="BCF211" s="2522"/>
      <c r="BCG211" s="2522"/>
      <c r="BCH211" s="2522"/>
      <c r="BCI211" s="2522"/>
      <c r="BCJ211" s="2522"/>
      <c r="BCK211" s="2522"/>
      <c r="BCL211" s="2522"/>
      <c r="BCM211" s="2522"/>
      <c r="BCN211" s="2522"/>
      <c r="BCO211" s="2522"/>
      <c r="BCP211" s="2522"/>
      <c r="BCQ211" s="2522"/>
      <c r="BCR211" s="2522"/>
      <c r="BCS211" s="2522"/>
      <c r="BCT211" s="2522"/>
      <c r="BCU211" s="2522"/>
      <c r="BCV211" s="2522"/>
      <c r="BCW211" s="2522"/>
      <c r="BCX211" s="2522"/>
      <c r="BCY211" s="2522"/>
      <c r="BCZ211" s="2522"/>
      <c r="BDA211" s="2522"/>
      <c r="BDB211" s="2522"/>
      <c r="BDC211" s="2522"/>
      <c r="BDD211" s="2522"/>
      <c r="BDE211" s="2522"/>
      <c r="BDF211" s="2522"/>
      <c r="BDG211" s="2522"/>
      <c r="BDH211" s="2522"/>
      <c r="BDI211" s="2522"/>
      <c r="BDJ211" s="2522"/>
      <c r="BDK211" s="2522"/>
      <c r="BDL211" s="2522"/>
      <c r="BDM211" s="2522"/>
      <c r="BDN211" s="2522"/>
      <c r="BDO211" s="2522"/>
      <c r="BDP211" s="2522"/>
      <c r="BDQ211" s="2522"/>
      <c r="BDR211" s="2522"/>
      <c r="BDS211" s="2522"/>
      <c r="BDT211" s="2522"/>
      <c r="BDU211" s="2522"/>
      <c r="BDV211" s="2522"/>
      <c r="BDW211" s="2522"/>
      <c r="BDX211" s="2522"/>
      <c r="BDY211" s="2522"/>
      <c r="BDZ211" s="2522"/>
      <c r="BEA211" s="2522"/>
      <c r="BEB211" s="2522"/>
      <c r="BEC211" s="2522"/>
      <c r="BED211" s="2522"/>
      <c r="BEE211" s="2522"/>
      <c r="BEF211" s="2522"/>
      <c r="BEG211" s="2522"/>
      <c r="BEH211" s="2522"/>
      <c r="BEI211" s="2522"/>
      <c r="BEJ211" s="2522"/>
      <c r="BEK211" s="2522"/>
      <c r="BEL211" s="2522"/>
      <c r="BEM211" s="2522"/>
      <c r="BEN211" s="2522"/>
      <c r="BEO211" s="2522"/>
      <c r="BEP211" s="2522"/>
      <c r="BEQ211" s="2522"/>
      <c r="BER211" s="2522"/>
      <c r="BES211" s="2522"/>
      <c r="BET211" s="2522"/>
      <c r="BEU211" s="2522"/>
      <c r="BEV211" s="2522"/>
      <c r="BEW211" s="2522"/>
      <c r="BEX211" s="2522"/>
      <c r="BEY211" s="2522"/>
      <c r="BEZ211" s="2522"/>
      <c r="BFA211" s="2522"/>
      <c r="BFB211" s="2522"/>
      <c r="BFC211" s="2522"/>
      <c r="BFD211" s="2522"/>
      <c r="BFE211" s="2522"/>
      <c r="BFF211" s="2522"/>
      <c r="BFG211" s="2522"/>
      <c r="BFH211" s="2522"/>
      <c r="BFI211" s="2522"/>
      <c r="BFJ211" s="2522"/>
      <c r="BFK211" s="2522"/>
      <c r="BFL211" s="2522"/>
      <c r="BFM211" s="2522"/>
      <c r="BFN211" s="2522"/>
      <c r="BFO211" s="2522"/>
      <c r="BFP211" s="2522"/>
      <c r="BFQ211" s="2522"/>
      <c r="BFR211" s="2522"/>
      <c r="BFS211" s="2522"/>
      <c r="BFT211" s="2522"/>
      <c r="BFU211" s="2522"/>
      <c r="BFV211" s="2522"/>
      <c r="BFW211" s="2522"/>
      <c r="BFX211" s="2522"/>
      <c r="BFY211" s="2522"/>
      <c r="BFZ211" s="2522"/>
      <c r="BGA211" s="2522"/>
      <c r="BGB211" s="2522"/>
      <c r="BGC211" s="2522"/>
      <c r="BGD211" s="2522"/>
      <c r="BGE211" s="2522"/>
      <c r="BGF211" s="2522"/>
      <c r="BGG211" s="2522"/>
      <c r="BGH211" s="2522"/>
      <c r="BGI211" s="2522"/>
      <c r="BGJ211" s="2522"/>
      <c r="BGK211" s="2522"/>
      <c r="BGL211" s="2522"/>
      <c r="BGM211" s="2522"/>
      <c r="BGN211" s="2522"/>
      <c r="BGO211" s="2522"/>
      <c r="BGP211" s="2522"/>
      <c r="BGQ211" s="2522"/>
      <c r="BGR211" s="2522"/>
      <c r="BGS211" s="2522"/>
      <c r="BGT211" s="2522"/>
      <c r="BGU211" s="2522"/>
      <c r="BGV211" s="2522"/>
      <c r="BGW211" s="2522"/>
      <c r="BGX211" s="2522"/>
      <c r="BGY211" s="2522"/>
      <c r="BGZ211" s="2522"/>
      <c r="BHA211" s="2522"/>
      <c r="BHB211" s="2522"/>
      <c r="BHC211" s="2522"/>
      <c r="BHD211" s="2522"/>
      <c r="BHE211" s="2522"/>
      <c r="BHF211" s="2522"/>
      <c r="BHG211" s="2522"/>
      <c r="BHH211" s="2522"/>
      <c r="BHI211" s="2522"/>
      <c r="BHJ211" s="2522"/>
      <c r="BHK211" s="2522"/>
      <c r="BHL211" s="2522"/>
      <c r="BHM211" s="2522"/>
      <c r="BHN211" s="2522"/>
      <c r="BHO211" s="2522"/>
      <c r="BHP211" s="2522"/>
      <c r="BHQ211" s="2522"/>
      <c r="BHR211" s="2522"/>
      <c r="BHS211" s="2522"/>
      <c r="BHT211" s="2522"/>
      <c r="BHU211" s="2522"/>
      <c r="BHV211" s="2522"/>
      <c r="BHW211" s="2522"/>
      <c r="BHX211" s="2522"/>
      <c r="BHY211" s="2522"/>
      <c r="BHZ211" s="2522"/>
      <c r="BIA211" s="2522"/>
      <c r="BIB211" s="2522"/>
      <c r="BIC211" s="2522"/>
      <c r="BID211" s="2522"/>
      <c r="BIE211" s="2522"/>
      <c r="BIF211" s="2522"/>
      <c r="BIG211" s="2522"/>
      <c r="BIH211" s="2522"/>
      <c r="BII211" s="2522"/>
      <c r="BIJ211" s="2522"/>
      <c r="BIK211" s="2522"/>
      <c r="BIL211" s="2522"/>
      <c r="BIM211" s="2522"/>
      <c r="BIN211" s="2522"/>
      <c r="BIO211" s="2522"/>
      <c r="BIP211" s="2522"/>
      <c r="BIQ211" s="2522"/>
      <c r="BIR211" s="2522"/>
      <c r="BIS211" s="2522"/>
      <c r="BIT211" s="2522"/>
      <c r="BIU211" s="2522"/>
      <c r="BIV211" s="2522"/>
      <c r="BIW211" s="2522"/>
      <c r="BIX211" s="2522"/>
      <c r="BIY211" s="2522"/>
      <c r="BIZ211" s="2522"/>
      <c r="BJA211" s="2522"/>
      <c r="BJB211" s="2522"/>
      <c r="BJC211" s="2522"/>
      <c r="BJD211" s="2522"/>
      <c r="BJE211" s="2522"/>
      <c r="BJF211" s="2522"/>
      <c r="BJG211" s="2522"/>
      <c r="BJH211" s="2522"/>
      <c r="BJI211" s="2522"/>
      <c r="BJJ211" s="2522"/>
      <c r="BJK211" s="2522"/>
      <c r="BJL211" s="2522"/>
      <c r="BJM211" s="2522"/>
      <c r="BJN211" s="2522"/>
      <c r="BJO211" s="2522"/>
      <c r="BJP211" s="2522"/>
      <c r="BJQ211" s="2522"/>
      <c r="BJR211" s="2522"/>
      <c r="BJS211" s="2522"/>
      <c r="BJT211" s="2522"/>
      <c r="BJU211" s="2522"/>
      <c r="BJV211" s="2522"/>
      <c r="BJW211" s="2522"/>
      <c r="BJX211" s="2522"/>
      <c r="BJY211" s="2522"/>
      <c r="BJZ211" s="2522"/>
      <c r="BKA211" s="2522"/>
      <c r="BKB211" s="2522"/>
      <c r="BKC211" s="2522"/>
      <c r="BKD211" s="2522"/>
      <c r="BKE211" s="2522"/>
      <c r="BKF211" s="2522"/>
      <c r="BKG211" s="2522"/>
      <c r="BKH211" s="2522"/>
      <c r="BKI211" s="2522"/>
      <c r="BKJ211" s="2522"/>
      <c r="BKK211" s="2522"/>
      <c r="BKL211" s="2522"/>
      <c r="BKM211" s="2522"/>
      <c r="BKN211" s="2522"/>
      <c r="BKO211" s="2522"/>
      <c r="BKP211" s="2522"/>
      <c r="BKQ211" s="2522"/>
      <c r="BKR211" s="2522"/>
      <c r="BKS211" s="2522"/>
      <c r="BKT211" s="2522"/>
      <c r="BKU211" s="2522"/>
      <c r="BKV211" s="2522"/>
      <c r="BKW211" s="2522"/>
      <c r="BKX211" s="2522"/>
      <c r="BKY211" s="2522"/>
      <c r="BKZ211" s="2522"/>
      <c r="BLA211" s="2522"/>
      <c r="BLB211" s="2522"/>
      <c r="BLC211" s="2522"/>
      <c r="BLD211" s="2522"/>
      <c r="BLE211" s="2522"/>
      <c r="BLF211" s="2522"/>
      <c r="BLG211" s="2522"/>
      <c r="BLH211" s="2522"/>
      <c r="BLI211" s="2522"/>
      <c r="BLJ211" s="2522"/>
      <c r="BLK211" s="2522"/>
      <c r="BLL211" s="2522"/>
      <c r="BLM211" s="2522"/>
      <c r="BLN211" s="2522"/>
      <c r="BLO211" s="2522"/>
      <c r="BLP211" s="2522"/>
      <c r="BLQ211" s="2522"/>
      <c r="BLR211" s="2522"/>
      <c r="BLS211" s="2522"/>
      <c r="BLT211" s="2522"/>
      <c r="BLU211" s="2522"/>
      <c r="BLV211" s="2522"/>
      <c r="BLW211" s="2522"/>
      <c r="BLX211" s="2522"/>
      <c r="BLY211" s="2522"/>
      <c r="BLZ211" s="2522"/>
      <c r="BMA211" s="2522"/>
      <c r="BMB211" s="2522"/>
      <c r="BMC211" s="2522"/>
      <c r="BMD211" s="2522"/>
      <c r="BME211" s="2522"/>
      <c r="BMF211" s="2522"/>
      <c r="BMG211" s="2522"/>
      <c r="BMH211" s="2522"/>
      <c r="BMI211" s="2522"/>
      <c r="BMJ211" s="2522"/>
      <c r="BMK211" s="2522"/>
      <c r="BML211" s="2522"/>
      <c r="BMM211" s="2522"/>
      <c r="BMN211" s="2522"/>
      <c r="BMO211" s="2522"/>
      <c r="BMP211" s="2522"/>
      <c r="BMQ211" s="2522"/>
      <c r="BMR211" s="2522"/>
      <c r="BMS211" s="2522"/>
      <c r="BMT211" s="2522"/>
      <c r="BMU211" s="2522"/>
      <c r="BMV211" s="2522"/>
      <c r="BMW211" s="2522"/>
      <c r="BMX211" s="2522"/>
      <c r="BMY211" s="2522"/>
      <c r="BMZ211" s="2522"/>
      <c r="BNA211" s="2522"/>
      <c r="BNB211" s="2522"/>
      <c r="BNC211" s="2522"/>
      <c r="BND211" s="2522"/>
      <c r="BNE211" s="2522"/>
      <c r="BNF211" s="2522"/>
      <c r="BNG211" s="2522"/>
      <c r="BNH211" s="2522"/>
      <c r="BNI211" s="2522"/>
      <c r="BNJ211" s="2522"/>
      <c r="BNK211" s="2522"/>
      <c r="BNL211" s="2522"/>
      <c r="BNM211" s="2522"/>
      <c r="BNN211" s="2522"/>
      <c r="BNO211" s="2522"/>
      <c r="BNP211" s="2522"/>
      <c r="BNQ211" s="2522"/>
      <c r="BNR211" s="2522"/>
      <c r="BNS211" s="2522"/>
      <c r="BNT211" s="2522"/>
      <c r="BNU211" s="2522"/>
      <c r="BNV211" s="2522"/>
      <c r="BNW211" s="2522"/>
      <c r="BNX211" s="2522"/>
      <c r="BNY211" s="2522"/>
      <c r="BNZ211" s="2522"/>
      <c r="BOA211" s="2522"/>
      <c r="BOB211" s="2522"/>
      <c r="BOC211" s="2522"/>
      <c r="BOD211" s="2522"/>
      <c r="BOE211" s="2522"/>
      <c r="BOF211" s="2522"/>
      <c r="BOG211" s="2522"/>
      <c r="BOH211" s="2522"/>
      <c r="BOI211" s="2522"/>
      <c r="BOJ211" s="2522"/>
      <c r="BOK211" s="2522"/>
      <c r="BOL211" s="2522"/>
      <c r="BOM211" s="2522"/>
      <c r="BON211" s="2522"/>
      <c r="BOO211" s="2522"/>
      <c r="BOP211" s="2522"/>
      <c r="BOQ211" s="2522"/>
      <c r="BOR211" s="2522"/>
      <c r="BOS211" s="2522"/>
      <c r="BOT211" s="2522"/>
      <c r="BOU211" s="2522"/>
      <c r="BOV211" s="2522"/>
      <c r="BOW211" s="2522"/>
      <c r="BOX211" s="2522"/>
      <c r="BOY211" s="2522"/>
      <c r="BOZ211" s="2522"/>
      <c r="BPA211" s="2522"/>
      <c r="BPB211" s="2522"/>
      <c r="BPC211" s="2522"/>
      <c r="BPD211" s="2522"/>
      <c r="BPE211" s="2522"/>
      <c r="BPF211" s="2522"/>
      <c r="BPG211" s="2522"/>
      <c r="BPH211" s="2522"/>
      <c r="BPI211" s="2522"/>
      <c r="BPJ211" s="2522"/>
      <c r="BPK211" s="2522"/>
      <c r="BPL211" s="2522"/>
      <c r="BPM211" s="2522"/>
      <c r="BPN211" s="2522"/>
      <c r="BPO211" s="2522"/>
      <c r="BPP211" s="2522"/>
      <c r="BPQ211" s="2522"/>
      <c r="BPR211" s="2522"/>
      <c r="BPS211" s="2522"/>
      <c r="BPT211" s="2522"/>
      <c r="BPU211" s="2522"/>
      <c r="BPV211" s="2522"/>
      <c r="BPW211" s="2522"/>
      <c r="BPX211" s="2522"/>
      <c r="BPY211" s="2522"/>
      <c r="BPZ211" s="2522"/>
      <c r="BQA211" s="2522"/>
      <c r="BQB211" s="2522"/>
      <c r="BQC211" s="2522"/>
      <c r="BQD211" s="2522"/>
      <c r="BQE211" s="2522"/>
      <c r="BQF211" s="2522"/>
      <c r="BQG211" s="2522"/>
      <c r="BQH211" s="2522"/>
      <c r="BQI211" s="2522"/>
      <c r="BQJ211" s="2522"/>
      <c r="BQK211" s="2522"/>
      <c r="BQL211" s="2522"/>
      <c r="BQM211" s="2522"/>
      <c r="BQN211" s="2522"/>
      <c r="BQO211" s="2522"/>
      <c r="BQP211" s="2522"/>
      <c r="BQQ211" s="2522"/>
      <c r="BQR211" s="2522"/>
      <c r="BQS211" s="2522"/>
      <c r="BQT211" s="2522"/>
      <c r="BQU211" s="2522"/>
      <c r="BQV211" s="2522"/>
      <c r="BQW211" s="2522"/>
      <c r="BQX211" s="2522"/>
      <c r="BQY211" s="2522"/>
      <c r="BQZ211" s="2522"/>
      <c r="BRA211" s="2522"/>
      <c r="BRB211" s="2522"/>
      <c r="BRC211" s="2522"/>
      <c r="BRD211" s="2522"/>
      <c r="BRE211" s="2522"/>
      <c r="BRF211" s="2522"/>
      <c r="BRG211" s="2522"/>
      <c r="BRH211" s="2522"/>
      <c r="BRI211" s="2522"/>
      <c r="BRJ211" s="2522"/>
      <c r="BRK211" s="2522"/>
      <c r="BRL211" s="2522"/>
      <c r="BRM211" s="2522"/>
      <c r="BRN211" s="2522"/>
      <c r="BRO211" s="2522"/>
      <c r="BRP211" s="2522"/>
      <c r="BRQ211" s="2522"/>
      <c r="BRR211" s="2522"/>
      <c r="BRS211" s="2522"/>
      <c r="BRT211" s="2522"/>
      <c r="BRU211" s="2522"/>
      <c r="BRV211" s="2522"/>
      <c r="BRW211" s="2522"/>
      <c r="BRX211" s="2522"/>
      <c r="BRY211" s="2522"/>
      <c r="BRZ211" s="2522"/>
      <c r="BSA211" s="2522"/>
      <c r="BSB211" s="2522"/>
      <c r="BSC211" s="2522"/>
      <c r="BSD211" s="2522"/>
      <c r="BSE211" s="2522"/>
      <c r="BSF211" s="2522"/>
      <c r="BSG211" s="2522"/>
      <c r="BSH211" s="2522"/>
      <c r="BSI211" s="2522"/>
      <c r="BSJ211" s="2522"/>
      <c r="BSK211" s="2522"/>
      <c r="BSL211" s="2522"/>
      <c r="BSM211" s="2522"/>
      <c r="BSN211" s="2522"/>
      <c r="BSO211" s="2522"/>
      <c r="BSP211" s="2522"/>
      <c r="BSQ211" s="2522"/>
      <c r="BSR211" s="2522"/>
      <c r="BSS211" s="2522"/>
      <c r="BST211" s="2522"/>
      <c r="BSU211" s="2522"/>
      <c r="BSV211" s="2522"/>
      <c r="BSW211" s="2522"/>
      <c r="BSX211" s="2522"/>
      <c r="BSY211" s="2522"/>
      <c r="BSZ211" s="2522"/>
      <c r="BTA211" s="2522"/>
      <c r="BTB211" s="2522"/>
      <c r="BTC211" s="2522"/>
      <c r="BTD211" s="2522"/>
      <c r="BTE211" s="2522"/>
      <c r="BTF211" s="2522"/>
      <c r="BTG211" s="2522"/>
      <c r="BTH211" s="2522"/>
      <c r="BTI211" s="2522"/>
      <c r="BTJ211" s="2522"/>
      <c r="BTK211" s="2522"/>
      <c r="BTL211" s="2522"/>
      <c r="BTM211" s="2522"/>
      <c r="BTN211" s="2522"/>
      <c r="BTO211" s="2522"/>
      <c r="BTP211" s="2522"/>
      <c r="BTQ211" s="2522"/>
      <c r="BTR211" s="2522"/>
      <c r="BTS211" s="2522"/>
      <c r="BTT211" s="2522"/>
      <c r="BTU211" s="2522"/>
      <c r="BTV211" s="2522"/>
      <c r="BTW211" s="2522"/>
      <c r="BTX211" s="2522"/>
      <c r="BTY211" s="2522"/>
      <c r="BTZ211" s="2522"/>
      <c r="BUA211" s="2522"/>
      <c r="BUB211" s="2522"/>
      <c r="BUC211" s="2522"/>
      <c r="BUD211" s="2522"/>
      <c r="BUE211" s="2522"/>
      <c r="BUF211" s="2522"/>
      <c r="BUG211" s="2522"/>
      <c r="BUH211" s="2522"/>
      <c r="BUI211" s="2522"/>
      <c r="BUJ211" s="2522"/>
      <c r="BUK211" s="2522"/>
      <c r="BUL211" s="2522"/>
      <c r="BUM211" s="2522"/>
      <c r="BUN211" s="2522"/>
      <c r="BUO211" s="2522"/>
      <c r="BUP211" s="2522"/>
      <c r="BUQ211" s="2522"/>
      <c r="BUR211" s="2522"/>
      <c r="BUS211" s="2522"/>
      <c r="BUT211" s="2522"/>
      <c r="BUU211" s="2522"/>
      <c r="BUV211" s="2522"/>
      <c r="BUW211" s="2522"/>
      <c r="BUX211" s="2522"/>
      <c r="BUY211" s="2522"/>
      <c r="BUZ211" s="2522"/>
      <c r="BVA211" s="2522"/>
      <c r="BVB211" s="2522"/>
      <c r="BVC211" s="2522"/>
      <c r="BVD211" s="2522"/>
      <c r="BVE211" s="2522"/>
      <c r="BVF211" s="2522"/>
      <c r="BVG211" s="2522"/>
      <c r="BVH211" s="2522"/>
      <c r="BVI211" s="2522"/>
      <c r="BVJ211" s="2522"/>
      <c r="BVK211" s="2522"/>
      <c r="BVL211" s="2522"/>
      <c r="BVM211" s="2522"/>
      <c r="BVN211" s="2522"/>
      <c r="BVO211" s="2522"/>
      <c r="BVP211" s="2522"/>
      <c r="BVQ211" s="2522"/>
      <c r="BVR211" s="2522"/>
      <c r="BVS211" s="2522"/>
      <c r="BVT211" s="2522"/>
      <c r="BVU211" s="2522"/>
      <c r="BVV211" s="2522"/>
      <c r="BVW211" s="2522"/>
      <c r="BVX211" s="2522"/>
      <c r="BVY211" s="2522"/>
      <c r="BVZ211" s="2522"/>
      <c r="BWA211" s="2522"/>
      <c r="BWB211" s="2522"/>
      <c r="BWC211" s="2522"/>
      <c r="BWD211" s="2522"/>
      <c r="BWE211" s="2522"/>
      <c r="BWF211" s="2522"/>
      <c r="BWG211" s="2522"/>
      <c r="BWH211" s="2522"/>
      <c r="BWI211" s="2522"/>
      <c r="BWJ211" s="2522"/>
      <c r="BWK211" s="2522"/>
      <c r="BWL211" s="2522"/>
      <c r="BWM211" s="2522"/>
      <c r="BWN211" s="2522"/>
      <c r="BWO211" s="2522"/>
      <c r="BWP211" s="2522"/>
      <c r="BWQ211" s="2522"/>
      <c r="BWR211" s="2522"/>
      <c r="BWS211" s="2522"/>
      <c r="BWT211" s="2522"/>
      <c r="BWU211" s="2522"/>
      <c r="BWV211" s="2522"/>
      <c r="BWW211" s="2522"/>
      <c r="BWX211" s="2522"/>
      <c r="BWY211" s="2522"/>
      <c r="BWZ211" s="2522"/>
      <c r="BXA211" s="2522"/>
      <c r="BXB211" s="2522"/>
      <c r="BXC211" s="2522"/>
      <c r="BXD211" s="2522"/>
      <c r="BXE211" s="2522"/>
      <c r="BXF211" s="2522"/>
      <c r="BXG211" s="2522"/>
      <c r="BXH211" s="2522"/>
      <c r="BXI211" s="2522"/>
      <c r="BXJ211" s="2522"/>
      <c r="BXK211" s="2522"/>
      <c r="BXL211" s="2522"/>
      <c r="BXM211" s="2522"/>
      <c r="BXN211" s="2522"/>
      <c r="BXO211" s="2522"/>
      <c r="BXP211" s="2522"/>
      <c r="BXQ211" s="2522"/>
      <c r="BXR211" s="2522"/>
      <c r="BXS211" s="2522"/>
      <c r="BXT211" s="2522"/>
      <c r="BXU211" s="2522"/>
      <c r="BXV211" s="2522"/>
      <c r="BXW211" s="2522"/>
      <c r="BXX211" s="2522"/>
      <c r="BXY211" s="2522"/>
      <c r="BXZ211" s="2522"/>
      <c r="BYA211" s="2522"/>
      <c r="BYB211" s="2522"/>
      <c r="BYC211" s="2522"/>
      <c r="BYD211" s="2522"/>
      <c r="BYE211" s="2522"/>
      <c r="BYF211" s="2522"/>
      <c r="BYG211" s="2522"/>
      <c r="BYH211" s="2522"/>
      <c r="BYI211" s="2522"/>
      <c r="BYJ211" s="2522"/>
      <c r="BYK211" s="2522"/>
      <c r="BYL211" s="2522"/>
      <c r="BYM211" s="2522"/>
      <c r="BYN211" s="2522"/>
      <c r="BYO211" s="2522"/>
      <c r="BYP211" s="2522"/>
      <c r="BYQ211" s="2522"/>
      <c r="BYR211" s="2522"/>
      <c r="BYS211" s="2522"/>
      <c r="BYT211" s="2522"/>
      <c r="BYU211" s="2522"/>
      <c r="BYV211" s="2522"/>
      <c r="BYW211" s="2522"/>
      <c r="BYX211" s="2522"/>
      <c r="BYY211" s="2522"/>
      <c r="BYZ211" s="2522"/>
      <c r="BZA211" s="2522"/>
      <c r="BZB211" s="2522"/>
      <c r="BZC211" s="2522"/>
      <c r="BZD211" s="2522"/>
      <c r="BZE211" s="2522"/>
      <c r="BZF211" s="2522"/>
      <c r="BZG211" s="2522"/>
      <c r="BZH211" s="2522"/>
      <c r="BZI211" s="2522"/>
      <c r="BZJ211" s="2522"/>
      <c r="BZK211" s="2522"/>
      <c r="BZL211" s="2522"/>
      <c r="BZM211" s="2522"/>
      <c r="BZN211" s="2522"/>
      <c r="BZO211" s="2522"/>
      <c r="BZP211" s="2522"/>
      <c r="BZQ211" s="2522"/>
      <c r="BZR211" s="2522"/>
      <c r="BZS211" s="2522"/>
      <c r="BZT211" s="2522"/>
      <c r="BZU211" s="2522"/>
      <c r="BZV211" s="2522"/>
      <c r="BZW211" s="2522"/>
      <c r="BZX211" s="2522"/>
      <c r="BZY211" s="2522"/>
      <c r="BZZ211" s="2522"/>
      <c r="CAA211" s="2522"/>
      <c r="CAB211" s="2522"/>
      <c r="CAC211" s="2522"/>
      <c r="CAD211" s="2522"/>
      <c r="CAE211" s="2522"/>
      <c r="CAF211" s="2522"/>
      <c r="CAG211" s="2522"/>
      <c r="CAH211" s="2522"/>
      <c r="CAI211" s="2522"/>
      <c r="CAJ211" s="2522"/>
      <c r="CAK211" s="2522"/>
      <c r="CAL211" s="2522"/>
      <c r="CAM211" s="2522"/>
      <c r="CAN211" s="2522"/>
      <c r="CAO211" s="2522"/>
      <c r="CAP211" s="2522"/>
      <c r="CAQ211" s="2522"/>
      <c r="CAR211" s="2522"/>
      <c r="CAS211" s="2522"/>
      <c r="CAT211" s="2522"/>
      <c r="CAU211" s="2522"/>
      <c r="CAV211" s="2522"/>
      <c r="CAW211" s="2522"/>
      <c r="CAX211" s="2522"/>
      <c r="CAY211" s="2522"/>
      <c r="CAZ211" s="2522"/>
      <c r="CBA211" s="2522"/>
      <c r="CBB211" s="2522"/>
      <c r="CBC211" s="2522"/>
      <c r="CBD211" s="2522"/>
      <c r="CBE211" s="2522"/>
      <c r="CBF211" s="2522"/>
      <c r="CBG211" s="2522"/>
      <c r="CBH211" s="2522"/>
      <c r="CBI211" s="2522"/>
      <c r="CBJ211" s="2522"/>
      <c r="CBK211" s="2522"/>
      <c r="CBL211" s="2522"/>
      <c r="CBM211" s="2522"/>
      <c r="CBN211" s="2522"/>
      <c r="CBO211" s="2522"/>
      <c r="CBP211" s="2522"/>
      <c r="CBQ211" s="2522"/>
      <c r="CBR211" s="2522"/>
      <c r="CBS211" s="2522"/>
      <c r="CBT211" s="2522"/>
      <c r="CBU211" s="2522"/>
      <c r="CBV211" s="2522"/>
      <c r="CBW211" s="2522"/>
      <c r="CBX211" s="2522"/>
      <c r="CBY211" s="2522"/>
      <c r="CBZ211" s="2522"/>
      <c r="CCA211" s="2522"/>
      <c r="CCB211" s="2522"/>
      <c r="CCC211" s="2522"/>
      <c r="CCD211" s="2522"/>
      <c r="CCE211" s="2522"/>
      <c r="CCF211" s="2522"/>
      <c r="CCG211" s="2522"/>
      <c r="CCH211" s="2522"/>
      <c r="CCI211" s="2522"/>
      <c r="CCJ211" s="2522"/>
      <c r="CCK211" s="2522"/>
      <c r="CCL211" s="2522"/>
      <c r="CCM211" s="2522"/>
      <c r="CCN211" s="2522"/>
      <c r="CCO211" s="2522"/>
      <c r="CCP211" s="2522"/>
      <c r="CCQ211" s="2522"/>
      <c r="CCR211" s="2522"/>
      <c r="CCS211" s="2522"/>
      <c r="CCT211" s="2522"/>
      <c r="CCU211" s="2522"/>
      <c r="CCV211" s="2522"/>
      <c r="CCW211" s="2522"/>
      <c r="CCX211" s="2522"/>
      <c r="CCY211" s="2522"/>
      <c r="CCZ211" s="2522"/>
      <c r="CDA211" s="2522"/>
      <c r="CDB211" s="2522"/>
      <c r="CDC211" s="2522"/>
      <c r="CDD211" s="2522"/>
      <c r="CDE211" s="2522"/>
      <c r="CDF211" s="2522"/>
      <c r="CDG211" s="2522"/>
      <c r="CDH211" s="2522"/>
      <c r="CDI211" s="2522"/>
      <c r="CDJ211" s="2522"/>
      <c r="CDK211" s="2522"/>
      <c r="CDL211" s="2522"/>
      <c r="CDM211" s="2522"/>
      <c r="CDN211" s="2522"/>
      <c r="CDO211" s="2522"/>
      <c r="CDP211" s="2522"/>
      <c r="CDQ211" s="2522"/>
      <c r="CDR211" s="2522"/>
      <c r="CDS211" s="2522"/>
      <c r="CDT211" s="2522"/>
      <c r="CDU211" s="2522"/>
      <c r="CDV211" s="2522"/>
      <c r="CDW211" s="2522"/>
      <c r="CDX211" s="2522"/>
      <c r="CDY211" s="2522"/>
      <c r="CDZ211" s="2522"/>
      <c r="CEA211" s="2522"/>
      <c r="CEB211" s="2522"/>
      <c r="CEC211" s="2522"/>
      <c r="CED211" s="2522"/>
      <c r="CEE211" s="2522"/>
      <c r="CEF211" s="2522"/>
      <c r="CEG211" s="2522"/>
      <c r="CEH211" s="2522"/>
      <c r="CEI211" s="2522"/>
      <c r="CEJ211" s="2522"/>
      <c r="CEK211" s="2522"/>
      <c r="CEL211" s="2522"/>
      <c r="CEM211" s="2522"/>
      <c r="CEN211" s="2522"/>
      <c r="CEO211" s="2522"/>
      <c r="CEP211" s="2522"/>
      <c r="CEQ211" s="2522"/>
      <c r="CER211" s="2522"/>
      <c r="CES211" s="2522"/>
      <c r="CET211" s="2522"/>
      <c r="CEU211" s="2522"/>
      <c r="CEV211" s="2522"/>
      <c r="CEW211" s="2522"/>
      <c r="CEX211" s="2522"/>
      <c r="CEY211" s="2522"/>
      <c r="CEZ211" s="2522"/>
      <c r="CFA211" s="2522"/>
      <c r="CFB211" s="2522"/>
      <c r="CFC211" s="2522"/>
      <c r="CFD211" s="2522"/>
      <c r="CFE211" s="2522"/>
      <c r="CFF211" s="2522"/>
      <c r="CFG211" s="2522"/>
      <c r="CFH211" s="2522"/>
      <c r="CFI211" s="2522"/>
      <c r="CFJ211" s="2522"/>
      <c r="CFK211" s="2522"/>
      <c r="CFL211" s="2522"/>
      <c r="CFM211" s="2522"/>
      <c r="CFN211" s="2522"/>
      <c r="CFO211" s="2522"/>
      <c r="CFP211" s="2522"/>
      <c r="CFQ211" s="2522"/>
      <c r="CFR211" s="2522"/>
      <c r="CFS211" s="2522"/>
      <c r="CFT211" s="2522"/>
      <c r="CFU211" s="2522"/>
      <c r="CFV211" s="2522"/>
      <c r="CFW211" s="2522"/>
      <c r="CFX211" s="2522"/>
      <c r="CFY211" s="2522"/>
      <c r="CFZ211" s="2522"/>
      <c r="CGA211" s="2522"/>
      <c r="CGB211" s="2522"/>
      <c r="CGC211" s="2522"/>
      <c r="CGD211" s="2522"/>
      <c r="CGE211" s="2522"/>
      <c r="CGF211" s="2522"/>
      <c r="CGG211" s="2522"/>
      <c r="CGH211" s="2522"/>
      <c r="CGI211" s="2522"/>
      <c r="CGJ211" s="2522"/>
      <c r="CGK211" s="2522"/>
      <c r="CGL211" s="2522"/>
      <c r="CGM211" s="2522"/>
      <c r="CGN211" s="2522"/>
      <c r="CGO211" s="2522"/>
      <c r="CGP211" s="2522"/>
      <c r="CGQ211" s="2522"/>
      <c r="CGR211" s="2522"/>
      <c r="CGS211" s="2522"/>
      <c r="CGT211" s="2522"/>
      <c r="CGU211" s="2522"/>
      <c r="CGV211" s="2522"/>
      <c r="CGW211" s="2522"/>
      <c r="CGX211" s="2522"/>
      <c r="CGY211" s="2522"/>
      <c r="CGZ211" s="2522"/>
      <c r="CHA211" s="2522"/>
      <c r="CHB211" s="2522"/>
      <c r="CHC211" s="2522"/>
      <c r="CHD211" s="2522"/>
      <c r="CHE211" s="2522"/>
      <c r="CHF211" s="2522"/>
      <c r="CHG211" s="2522"/>
      <c r="CHH211" s="2522"/>
      <c r="CHI211" s="2522"/>
      <c r="CHJ211" s="2522"/>
      <c r="CHK211" s="2522"/>
      <c r="CHL211" s="2522"/>
      <c r="CHM211" s="2522"/>
      <c r="CHN211" s="2522"/>
      <c r="CHO211" s="2522"/>
      <c r="CHP211" s="2522"/>
      <c r="CHQ211" s="2522"/>
      <c r="CHR211" s="2522"/>
      <c r="CHS211" s="2522"/>
      <c r="CHT211" s="2522"/>
      <c r="CHU211" s="2522"/>
      <c r="CHV211" s="2522"/>
      <c r="CHW211" s="2522"/>
      <c r="CHX211" s="2522"/>
      <c r="CHY211" s="2522"/>
      <c r="CHZ211" s="2522"/>
      <c r="CIA211" s="2522"/>
      <c r="CIB211" s="2522"/>
      <c r="CIC211" s="2522"/>
      <c r="CID211" s="2522"/>
      <c r="CIE211" s="2522"/>
      <c r="CIF211" s="2522"/>
      <c r="CIG211" s="2522"/>
      <c r="CIH211" s="2522"/>
      <c r="CII211" s="2522"/>
      <c r="CIJ211" s="2522"/>
      <c r="CIK211" s="2522"/>
      <c r="CIL211" s="2522"/>
      <c r="CIM211" s="2522"/>
      <c r="CIN211" s="2522"/>
      <c r="CIO211" s="2522"/>
      <c r="CIP211" s="2522"/>
      <c r="CIQ211" s="2522"/>
      <c r="CIR211" s="2522"/>
      <c r="CIS211" s="2522"/>
      <c r="CIT211" s="2522"/>
      <c r="CIU211" s="2522"/>
      <c r="CIV211" s="2522"/>
      <c r="CIW211" s="2522"/>
      <c r="CIX211" s="2522"/>
      <c r="CIY211" s="2522"/>
      <c r="CIZ211" s="2522"/>
      <c r="CJA211" s="2522"/>
      <c r="CJB211" s="2522"/>
      <c r="CJC211" s="2522"/>
      <c r="CJD211" s="2522"/>
      <c r="CJE211" s="2522"/>
      <c r="CJF211" s="2522"/>
      <c r="CJG211" s="2522"/>
      <c r="CJH211" s="2522"/>
      <c r="CJI211" s="2522"/>
      <c r="CJJ211" s="2522"/>
      <c r="CJK211" s="2522"/>
      <c r="CJL211" s="2522"/>
      <c r="CJM211" s="2522"/>
      <c r="CJN211" s="2522"/>
      <c r="CJO211" s="2522"/>
      <c r="CJP211" s="2522"/>
      <c r="CJQ211" s="2522"/>
      <c r="CJR211" s="2522"/>
      <c r="CJS211" s="2522"/>
      <c r="CJT211" s="2522"/>
      <c r="CJU211" s="2522"/>
      <c r="CJV211" s="2522"/>
      <c r="CJW211" s="2522"/>
      <c r="CJX211" s="2522"/>
      <c r="CJY211" s="2522"/>
      <c r="CJZ211" s="2522"/>
      <c r="CKA211" s="2522"/>
      <c r="CKB211" s="2522"/>
      <c r="CKC211" s="2522"/>
      <c r="CKD211" s="2522"/>
      <c r="CKE211" s="2522"/>
      <c r="CKF211" s="2522"/>
      <c r="CKG211" s="2522"/>
      <c r="CKH211" s="2522"/>
      <c r="CKI211" s="2522"/>
      <c r="CKJ211" s="2522"/>
      <c r="CKK211" s="2522"/>
      <c r="CKL211" s="2522"/>
      <c r="CKM211" s="2522"/>
      <c r="CKN211" s="2522"/>
      <c r="CKO211" s="2522"/>
      <c r="CKP211" s="2522"/>
      <c r="CKQ211" s="2522"/>
      <c r="CKR211" s="2522"/>
      <c r="CKS211" s="2522"/>
      <c r="CKT211" s="2522"/>
      <c r="CKU211" s="2522"/>
      <c r="CKV211" s="2522"/>
      <c r="CKW211" s="2522"/>
      <c r="CKX211" s="2522"/>
      <c r="CKY211" s="2522"/>
      <c r="CKZ211" s="2522"/>
      <c r="CLA211" s="2522"/>
      <c r="CLB211" s="2522"/>
      <c r="CLC211" s="2522"/>
      <c r="CLD211" s="2522"/>
      <c r="CLE211" s="2522"/>
      <c r="CLF211" s="2522"/>
      <c r="CLG211" s="2522"/>
      <c r="CLH211" s="2522"/>
      <c r="CLI211" s="2522"/>
      <c r="CLJ211" s="2522"/>
      <c r="CLK211" s="2522"/>
      <c r="CLL211" s="2522"/>
      <c r="CLM211" s="2522"/>
      <c r="CLN211" s="2522"/>
      <c r="CLO211" s="2522"/>
      <c r="CLP211" s="2522"/>
      <c r="CLQ211" s="2522"/>
      <c r="CLR211" s="2522"/>
      <c r="CLS211" s="2522"/>
      <c r="CLT211" s="2522"/>
      <c r="CLU211" s="2522"/>
      <c r="CLV211" s="2522"/>
      <c r="CLW211" s="2522"/>
      <c r="CLX211" s="2522"/>
      <c r="CLY211" s="2522"/>
      <c r="CLZ211" s="2522"/>
      <c r="CMA211" s="2522"/>
      <c r="CMB211" s="2522"/>
      <c r="CMC211" s="2522"/>
      <c r="CMD211" s="2522"/>
      <c r="CME211" s="2522"/>
      <c r="CMF211" s="2522"/>
      <c r="CMG211" s="2522"/>
      <c r="CMH211" s="2522"/>
      <c r="CMI211" s="2522"/>
      <c r="CMJ211" s="2522"/>
      <c r="CMK211" s="2522"/>
      <c r="CML211" s="2522"/>
      <c r="CMM211" s="2522"/>
      <c r="CMN211" s="2522"/>
      <c r="CMO211" s="2522"/>
      <c r="CMP211" s="2522"/>
      <c r="CMQ211" s="2522"/>
      <c r="CMR211" s="2522"/>
      <c r="CMS211" s="2522"/>
      <c r="CMT211" s="2522"/>
      <c r="CMU211" s="2522"/>
      <c r="CMV211" s="2522"/>
      <c r="CMW211" s="2522"/>
      <c r="CMX211" s="2522"/>
      <c r="CMY211" s="2522"/>
      <c r="CMZ211" s="2522"/>
      <c r="CNA211" s="2522"/>
      <c r="CNB211" s="2522"/>
      <c r="CNC211" s="2522"/>
      <c r="CND211" s="2522"/>
      <c r="CNE211" s="2522"/>
      <c r="CNF211" s="2522"/>
      <c r="CNG211" s="2522"/>
      <c r="CNH211" s="2522"/>
      <c r="CNI211" s="2522"/>
      <c r="CNJ211" s="2522"/>
      <c r="CNK211" s="2522"/>
      <c r="CNL211" s="2522"/>
      <c r="CNM211" s="2522"/>
      <c r="CNN211" s="2522"/>
      <c r="CNO211" s="2522"/>
      <c r="CNP211" s="2522"/>
      <c r="CNQ211" s="2522"/>
      <c r="CNR211" s="2522"/>
      <c r="CNS211" s="2522"/>
      <c r="CNT211" s="2522"/>
      <c r="CNU211" s="2522"/>
      <c r="CNV211" s="2522"/>
      <c r="CNW211" s="2522"/>
      <c r="CNX211" s="2522"/>
      <c r="CNY211" s="2522"/>
      <c r="CNZ211" s="2522"/>
      <c r="COA211" s="2522"/>
      <c r="COB211" s="2522"/>
      <c r="COC211" s="2522"/>
      <c r="COD211" s="2522"/>
      <c r="COE211" s="2522"/>
      <c r="COF211" s="2522"/>
      <c r="COG211" s="2522"/>
      <c r="COH211" s="2522"/>
      <c r="COI211" s="2522"/>
      <c r="COJ211" s="2522"/>
      <c r="COK211" s="2522"/>
      <c r="COL211" s="2522"/>
      <c r="COM211" s="2522"/>
      <c r="CON211" s="2522"/>
      <c r="COO211" s="2522"/>
      <c r="COP211" s="2522"/>
      <c r="COQ211" s="2522"/>
      <c r="COR211" s="2522"/>
      <c r="COS211" s="2522"/>
      <c r="COT211" s="2522"/>
      <c r="COU211" s="2522"/>
      <c r="COV211" s="2522"/>
      <c r="COW211" s="2522"/>
      <c r="COX211" s="2522"/>
      <c r="COY211" s="2522"/>
      <c r="COZ211" s="2522"/>
      <c r="CPA211" s="2522"/>
      <c r="CPB211" s="2522"/>
      <c r="CPC211" s="2522"/>
      <c r="CPD211" s="2522"/>
      <c r="CPE211" s="2522"/>
      <c r="CPF211" s="2522"/>
      <c r="CPG211" s="2522"/>
      <c r="CPH211" s="2522"/>
      <c r="CPI211" s="2522"/>
      <c r="CPJ211" s="2522"/>
      <c r="CPK211" s="2522"/>
      <c r="CPL211" s="2522"/>
      <c r="CPM211" s="2522"/>
      <c r="CPN211" s="2522"/>
      <c r="CPO211" s="2522"/>
      <c r="CPP211" s="2522"/>
      <c r="CPQ211" s="2522"/>
      <c r="CPR211" s="2522"/>
      <c r="CPS211" s="2522"/>
      <c r="CPT211" s="2522"/>
      <c r="CPU211" s="2522"/>
      <c r="CPV211" s="2522"/>
      <c r="CPW211" s="2522"/>
      <c r="CPX211" s="2522"/>
      <c r="CPY211" s="2522"/>
      <c r="CPZ211" s="2522"/>
      <c r="CQA211" s="2522"/>
      <c r="CQB211" s="2522"/>
      <c r="CQC211" s="2522"/>
      <c r="CQD211" s="2522"/>
      <c r="CQE211" s="2522"/>
      <c r="CQF211" s="2522"/>
      <c r="CQG211" s="2522"/>
      <c r="CQH211" s="2522"/>
      <c r="CQI211" s="2522"/>
      <c r="CQJ211" s="2522"/>
      <c r="CQK211" s="2522"/>
      <c r="CQL211" s="2522"/>
      <c r="CQM211" s="2522"/>
      <c r="CQN211" s="2522"/>
      <c r="CQO211" s="2522"/>
      <c r="CQP211" s="2522"/>
      <c r="CQQ211" s="2522"/>
      <c r="CQR211" s="2522"/>
      <c r="CQS211" s="2522"/>
      <c r="CQT211" s="2522"/>
      <c r="CQU211" s="2522"/>
      <c r="CQV211" s="2522"/>
      <c r="CQW211" s="2522"/>
      <c r="CQX211" s="2522"/>
      <c r="CQY211" s="2522"/>
      <c r="CQZ211" s="2522"/>
      <c r="CRA211" s="2522"/>
      <c r="CRB211" s="2522"/>
      <c r="CRC211" s="2522"/>
      <c r="CRD211" s="2522"/>
      <c r="CRE211" s="2522"/>
      <c r="CRF211" s="2522"/>
      <c r="CRG211" s="2522"/>
      <c r="CRH211" s="2522"/>
      <c r="CRI211" s="2522"/>
      <c r="CRJ211" s="2522"/>
      <c r="CRK211" s="2522"/>
      <c r="CRL211" s="2522"/>
      <c r="CRM211" s="2522"/>
      <c r="CRN211" s="2522"/>
      <c r="CRO211" s="2522"/>
      <c r="CRP211" s="2522"/>
      <c r="CRQ211" s="2522"/>
      <c r="CRR211" s="2522"/>
      <c r="CRS211" s="2522"/>
      <c r="CRT211" s="2522"/>
      <c r="CRU211" s="2522"/>
      <c r="CRV211" s="2522"/>
      <c r="CRW211" s="2522"/>
      <c r="CRX211" s="2522"/>
      <c r="CRY211" s="2522"/>
      <c r="CRZ211" s="2522"/>
      <c r="CSA211" s="2522"/>
      <c r="CSB211" s="2522"/>
      <c r="CSC211" s="2522"/>
      <c r="CSD211" s="2522"/>
      <c r="CSE211" s="2522"/>
      <c r="CSF211" s="2522"/>
      <c r="CSG211" s="2522"/>
      <c r="CSH211" s="2522"/>
      <c r="CSI211" s="2522"/>
      <c r="CSJ211" s="2522"/>
      <c r="CSK211" s="2522"/>
      <c r="CSL211" s="2522"/>
      <c r="CSM211" s="2522"/>
      <c r="CSN211" s="2522"/>
      <c r="CSO211" s="2522"/>
      <c r="CSP211" s="2522"/>
      <c r="CSQ211" s="2522"/>
      <c r="CSR211" s="2522"/>
      <c r="CSS211" s="2522"/>
      <c r="CST211" s="2522"/>
      <c r="CSU211" s="2522"/>
      <c r="CSV211" s="2522"/>
      <c r="CSW211" s="2522"/>
      <c r="CSX211" s="2522"/>
      <c r="CSY211" s="2522"/>
      <c r="CSZ211" s="2522"/>
      <c r="CTA211" s="2522"/>
      <c r="CTB211" s="2522"/>
      <c r="CTC211" s="2522"/>
      <c r="CTD211" s="2522"/>
      <c r="CTE211" s="2522"/>
      <c r="CTF211" s="2522"/>
      <c r="CTG211" s="2522"/>
      <c r="CTH211" s="2522"/>
      <c r="CTI211" s="2522"/>
      <c r="CTJ211" s="2522"/>
      <c r="CTK211" s="2522"/>
      <c r="CTL211" s="2522"/>
      <c r="CTM211" s="2522"/>
      <c r="CTN211" s="2522"/>
      <c r="CTO211" s="2522"/>
      <c r="CTP211" s="2522"/>
      <c r="CTQ211" s="2522"/>
      <c r="CTR211" s="2522"/>
      <c r="CTS211" s="2522"/>
      <c r="CTT211" s="2522"/>
      <c r="CTU211" s="2522"/>
      <c r="CTV211" s="2522"/>
      <c r="CTW211" s="2522"/>
      <c r="CTX211" s="2522"/>
      <c r="CTY211" s="2522"/>
      <c r="CTZ211" s="2522"/>
      <c r="CUA211" s="2522"/>
      <c r="CUB211" s="2522"/>
      <c r="CUC211" s="2522"/>
      <c r="CUD211" s="2522"/>
      <c r="CUE211" s="2522"/>
      <c r="CUF211" s="2522"/>
      <c r="CUG211" s="2522"/>
      <c r="CUH211" s="2522"/>
      <c r="CUI211" s="2522"/>
      <c r="CUJ211" s="2522"/>
      <c r="CUK211" s="2522"/>
      <c r="CUL211" s="2522"/>
      <c r="CUM211" s="2522"/>
      <c r="CUN211" s="2522"/>
      <c r="CUO211" s="2522"/>
      <c r="CUP211" s="2522"/>
      <c r="CUQ211" s="2522"/>
      <c r="CUR211" s="2522"/>
      <c r="CUS211" s="2522"/>
      <c r="CUT211" s="2522"/>
      <c r="CUU211" s="2522"/>
      <c r="CUV211" s="2522"/>
      <c r="CUW211" s="2522"/>
      <c r="CUX211" s="2522"/>
      <c r="CUY211" s="2522"/>
      <c r="CUZ211" s="2522"/>
      <c r="CVA211" s="2522"/>
      <c r="CVB211" s="2522"/>
      <c r="CVC211" s="2522"/>
      <c r="CVD211" s="2522"/>
      <c r="CVE211" s="2522"/>
      <c r="CVF211" s="2522"/>
      <c r="CVG211" s="2522"/>
      <c r="CVH211" s="2522"/>
      <c r="CVI211" s="2522"/>
      <c r="CVJ211" s="2522"/>
      <c r="CVK211" s="2522"/>
      <c r="CVL211" s="2522"/>
      <c r="CVM211" s="2522"/>
      <c r="CVN211" s="2522"/>
      <c r="CVO211" s="2522"/>
      <c r="CVP211" s="2522"/>
      <c r="CVQ211" s="2522"/>
      <c r="CVR211" s="2522"/>
      <c r="CVS211" s="2522"/>
      <c r="CVT211" s="2522"/>
      <c r="CVU211" s="2522"/>
      <c r="CVV211" s="2522"/>
      <c r="CVW211" s="2522"/>
      <c r="CVX211" s="2522"/>
      <c r="CVY211" s="2522"/>
      <c r="CVZ211" s="2522"/>
      <c r="CWA211" s="2522"/>
      <c r="CWB211" s="2522"/>
      <c r="CWC211" s="2522"/>
      <c r="CWD211" s="2522"/>
      <c r="CWE211" s="2522"/>
      <c r="CWF211" s="2522"/>
      <c r="CWG211" s="2522"/>
      <c r="CWH211" s="2522"/>
      <c r="CWI211" s="2522"/>
      <c r="CWJ211" s="2522"/>
      <c r="CWK211" s="2522"/>
      <c r="CWL211" s="2522"/>
      <c r="CWM211" s="2522"/>
      <c r="CWN211" s="2522"/>
      <c r="CWO211" s="2522"/>
      <c r="CWP211" s="2522"/>
      <c r="CWQ211" s="2522"/>
      <c r="CWR211" s="2522"/>
      <c r="CWS211" s="2522"/>
      <c r="CWT211" s="2522"/>
      <c r="CWU211" s="2522"/>
      <c r="CWV211" s="2522"/>
      <c r="CWW211" s="2522"/>
      <c r="CWX211" s="2522"/>
      <c r="CWY211" s="2522"/>
      <c r="CWZ211" s="2522"/>
      <c r="CXA211" s="2522"/>
      <c r="CXB211" s="2522"/>
      <c r="CXC211" s="2522"/>
      <c r="CXD211" s="2522"/>
      <c r="CXE211" s="2522"/>
      <c r="CXF211" s="2522"/>
      <c r="CXG211" s="2522"/>
      <c r="CXH211" s="2522"/>
      <c r="CXI211" s="2522"/>
      <c r="CXJ211" s="2522"/>
      <c r="CXK211" s="2522"/>
      <c r="CXL211" s="2522"/>
      <c r="CXM211" s="2522"/>
      <c r="CXN211" s="2522"/>
      <c r="CXO211" s="2522"/>
      <c r="CXP211" s="2522"/>
      <c r="CXQ211" s="2522"/>
      <c r="CXR211" s="2522"/>
      <c r="CXS211" s="2522"/>
      <c r="CXT211" s="2522"/>
      <c r="CXU211" s="2522"/>
      <c r="CXV211" s="2522"/>
      <c r="CXW211" s="2522"/>
      <c r="CXX211" s="2522"/>
      <c r="CXY211" s="2522"/>
      <c r="CXZ211" s="2522"/>
      <c r="CYA211" s="2522"/>
      <c r="CYB211" s="2522"/>
      <c r="CYC211" s="2522"/>
      <c r="CYD211" s="2522"/>
      <c r="CYE211" s="2522"/>
      <c r="CYF211" s="2522"/>
      <c r="CYG211" s="2522"/>
      <c r="CYH211" s="2522"/>
      <c r="CYI211" s="2522"/>
      <c r="CYJ211" s="2522"/>
      <c r="CYK211" s="2522"/>
      <c r="CYL211" s="2522"/>
      <c r="CYM211" s="2522"/>
      <c r="CYN211" s="2522"/>
      <c r="CYO211" s="2522"/>
      <c r="CYP211" s="2522"/>
      <c r="CYQ211" s="2522"/>
      <c r="CYR211" s="2522"/>
      <c r="CYS211" s="2522"/>
      <c r="CYT211" s="2522"/>
      <c r="CYU211" s="2522"/>
      <c r="CYV211" s="2522"/>
      <c r="CYW211" s="2522"/>
      <c r="CYX211" s="2522"/>
      <c r="CYY211" s="2522"/>
      <c r="CYZ211" s="2522"/>
      <c r="CZA211" s="2522"/>
      <c r="CZB211" s="2522"/>
      <c r="CZC211" s="2522"/>
      <c r="CZD211" s="2522"/>
      <c r="CZE211" s="2522"/>
      <c r="CZF211" s="2522"/>
      <c r="CZG211" s="2522"/>
      <c r="CZH211" s="2522"/>
      <c r="CZI211" s="2522"/>
      <c r="CZJ211" s="2522"/>
      <c r="CZK211" s="2522"/>
      <c r="CZL211" s="2522"/>
      <c r="CZM211" s="2522"/>
      <c r="CZN211" s="2522"/>
      <c r="CZO211" s="2522"/>
      <c r="CZP211" s="2522"/>
      <c r="CZQ211" s="2522"/>
      <c r="CZR211" s="2522"/>
      <c r="CZS211" s="2522"/>
      <c r="CZT211" s="2522"/>
      <c r="CZU211" s="2522"/>
      <c r="CZV211" s="2522"/>
      <c r="CZW211" s="2522"/>
      <c r="CZX211" s="2522"/>
      <c r="CZY211" s="2522"/>
      <c r="CZZ211" s="2522"/>
      <c r="DAA211" s="2522"/>
      <c r="DAB211" s="2522"/>
      <c r="DAC211" s="2522"/>
      <c r="DAD211" s="2522"/>
      <c r="DAE211" s="2522"/>
      <c r="DAF211" s="2522"/>
      <c r="DAG211" s="2522"/>
      <c r="DAH211" s="2522"/>
      <c r="DAI211" s="2522"/>
      <c r="DAJ211" s="2522"/>
      <c r="DAK211" s="2522"/>
      <c r="DAL211" s="2522"/>
      <c r="DAM211" s="2522"/>
      <c r="DAN211" s="2522"/>
      <c r="DAO211" s="2522"/>
      <c r="DAP211" s="2522"/>
      <c r="DAQ211" s="2522"/>
      <c r="DAR211" s="2522"/>
      <c r="DAS211" s="2522"/>
      <c r="DAT211" s="2522"/>
      <c r="DAU211" s="2522"/>
      <c r="DAV211" s="2522"/>
      <c r="DAW211" s="2522"/>
      <c r="DAX211" s="2522"/>
      <c r="DAY211" s="2522"/>
      <c r="DAZ211" s="2522"/>
      <c r="DBA211" s="2522"/>
      <c r="DBB211" s="2522"/>
      <c r="DBC211" s="2522"/>
      <c r="DBD211" s="2522"/>
      <c r="DBE211" s="2522"/>
      <c r="DBF211" s="2522"/>
      <c r="DBG211" s="2522"/>
      <c r="DBH211" s="2522"/>
      <c r="DBI211" s="2522"/>
      <c r="DBJ211" s="2522"/>
      <c r="DBK211" s="2522"/>
      <c r="DBL211" s="2522"/>
      <c r="DBM211" s="2522"/>
      <c r="DBN211" s="2522"/>
      <c r="DBO211" s="2522"/>
      <c r="DBP211" s="2522"/>
      <c r="DBQ211" s="2522"/>
      <c r="DBR211" s="2522"/>
      <c r="DBS211" s="2522"/>
      <c r="DBT211" s="2522"/>
      <c r="DBU211" s="2522"/>
      <c r="DBV211" s="2522"/>
      <c r="DBW211" s="2522"/>
      <c r="DBX211" s="2522"/>
      <c r="DBY211" s="2522"/>
      <c r="DBZ211" s="2522"/>
      <c r="DCA211" s="2522"/>
      <c r="DCB211" s="2522"/>
      <c r="DCC211" s="2522"/>
      <c r="DCD211" s="2522"/>
      <c r="DCE211" s="2522"/>
      <c r="DCF211" s="2522"/>
      <c r="DCG211" s="2522"/>
      <c r="DCH211" s="2522"/>
      <c r="DCI211" s="2522"/>
      <c r="DCJ211" s="2522"/>
      <c r="DCK211" s="2522"/>
      <c r="DCL211" s="2522"/>
      <c r="DCM211" s="2522"/>
      <c r="DCN211" s="2522"/>
      <c r="DCO211" s="2522"/>
      <c r="DCP211" s="2522"/>
      <c r="DCQ211" s="2522"/>
      <c r="DCR211" s="2522"/>
      <c r="DCS211" s="2522"/>
      <c r="DCT211" s="2522"/>
      <c r="DCU211" s="2522"/>
      <c r="DCV211" s="2522"/>
      <c r="DCW211" s="2522"/>
      <c r="DCX211" s="2522"/>
      <c r="DCY211" s="2522"/>
      <c r="DCZ211" s="2522"/>
      <c r="DDA211" s="2522"/>
      <c r="DDB211" s="2522"/>
      <c r="DDC211" s="2522"/>
      <c r="DDD211" s="2522"/>
      <c r="DDE211" s="2522"/>
      <c r="DDF211" s="2522"/>
      <c r="DDG211" s="2522"/>
      <c r="DDH211" s="2522"/>
      <c r="DDI211" s="2522"/>
      <c r="DDJ211" s="2522"/>
      <c r="DDK211" s="2522"/>
      <c r="DDL211" s="2522"/>
      <c r="DDM211" s="2522"/>
      <c r="DDN211" s="2522"/>
      <c r="DDO211" s="2522"/>
      <c r="DDP211" s="2522"/>
      <c r="DDQ211" s="2522"/>
      <c r="DDR211" s="2522"/>
      <c r="DDS211" s="2522"/>
      <c r="DDT211" s="2522"/>
      <c r="DDU211" s="2522"/>
      <c r="DDV211" s="2522"/>
      <c r="DDW211" s="2522"/>
      <c r="DDX211" s="2522"/>
      <c r="DDY211" s="2522"/>
      <c r="DDZ211" s="2522"/>
      <c r="DEA211" s="2522"/>
      <c r="DEB211" s="2522"/>
      <c r="DEC211" s="2522"/>
      <c r="DED211" s="2522"/>
      <c r="DEE211" s="2522"/>
      <c r="DEF211" s="2522"/>
      <c r="DEG211" s="2522"/>
      <c r="DEH211" s="2522"/>
      <c r="DEI211" s="2522"/>
      <c r="DEJ211" s="2522"/>
      <c r="DEK211" s="2522"/>
      <c r="DEL211" s="2522"/>
      <c r="DEM211" s="2522"/>
      <c r="DEN211" s="2522"/>
      <c r="DEO211" s="2522"/>
      <c r="DEP211" s="2522"/>
      <c r="DEQ211" s="2522"/>
      <c r="DER211" s="2522"/>
      <c r="DES211" s="2522"/>
      <c r="DET211" s="2522"/>
      <c r="DEU211" s="2522"/>
      <c r="DEV211" s="2522"/>
      <c r="DEW211" s="2522"/>
      <c r="DEX211" s="2522"/>
      <c r="DEY211" s="2522"/>
      <c r="DEZ211" s="2522"/>
      <c r="DFA211" s="2522"/>
      <c r="DFB211" s="2522"/>
      <c r="DFC211" s="2522"/>
      <c r="DFD211" s="2522"/>
      <c r="DFE211" s="2522"/>
      <c r="DFF211" s="2522"/>
      <c r="DFG211" s="2522"/>
      <c r="DFH211" s="2522"/>
      <c r="DFI211" s="2522"/>
      <c r="DFJ211" s="2522"/>
      <c r="DFK211" s="2522"/>
      <c r="DFL211" s="2522"/>
      <c r="DFM211" s="2522"/>
      <c r="DFN211" s="2522"/>
      <c r="DFO211" s="2522"/>
      <c r="DFP211" s="2522"/>
      <c r="DFQ211" s="2522"/>
      <c r="DFR211" s="2522"/>
      <c r="DFS211" s="2522"/>
      <c r="DFT211" s="2522"/>
      <c r="DFU211" s="2522"/>
      <c r="DFV211" s="2522"/>
      <c r="DFW211" s="2522"/>
      <c r="DFX211" s="2522"/>
      <c r="DFY211" s="2522"/>
      <c r="DFZ211" s="2522"/>
      <c r="DGA211" s="2522"/>
      <c r="DGB211" s="2522"/>
      <c r="DGC211" s="2522"/>
      <c r="DGD211" s="2522"/>
      <c r="DGE211" s="2522"/>
      <c r="DGF211" s="2522"/>
      <c r="DGG211" s="2522"/>
      <c r="DGH211" s="2522"/>
      <c r="DGI211" s="2522"/>
      <c r="DGJ211" s="2522"/>
      <c r="DGK211" s="2522"/>
      <c r="DGL211" s="2522"/>
      <c r="DGM211" s="2522"/>
      <c r="DGN211" s="2522"/>
      <c r="DGO211" s="2522"/>
      <c r="DGP211" s="2522"/>
      <c r="DGQ211" s="2522"/>
      <c r="DGR211" s="2522"/>
      <c r="DGS211" s="2522"/>
      <c r="DGT211" s="2522"/>
      <c r="DGU211" s="2522"/>
      <c r="DGV211" s="2522"/>
      <c r="DGW211" s="2522"/>
      <c r="DGX211" s="2522"/>
      <c r="DGY211" s="2522"/>
      <c r="DGZ211" s="2522"/>
      <c r="DHA211" s="2522"/>
      <c r="DHB211" s="2522"/>
      <c r="DHC211" s="2522"/>
      <c r="DHD211" s="2522"/>
      <c r="DHE211" s="2522"/>
      <c r="DHF211" s="2522"/>
      <c r="DHG211" s="2522"/>
      <c r="DHH211" s="2522"/>
      <c r="DHI211" s="2522"/>
      <c r="DHJ211" s="2522"/>
      <c r="DHK211" s="2522"/>
      <c r="DHL211" s="2522"/>
      <c r="DHM211" s="2522"/>
      <c r="DHN211" s="2522"/>
      <c r="DHO211" s="2522"/>
      <c r="DHP211" s="2522"/>
      <c r="DHQ211" s="2522"/>
      <c r="DHR211" s="2522"/>
      <c r="DHS211" s="2522"/>
      <c r="DHT211" s="2522"/>
      <c r="DHU211" s="2522"/>
      <c r="DHV211" s="2522"/>
      <c r="DHW211" s="2522"/>
      <c r="DHX211" s="2522"/>
      <c r="DHY211" s="2522"/>
      <c r="DHZ211" s="2522"/>
      <c r="DIA211" s="2522"/>
      <c r="DIB211" s="2522"/>
      <c r="DIC211" s="2522"/>
      <c r="DID211" s="2522"/>
      <c r="DIE211" s="2522"/>
      <c r="DIF211" s="2522"/>
      <c r="DIG211" s="2522"/>
      <c r="DIH211" s="2522"/>
      <c r="DII211" s="2522"/>
      <c r="DIJ211" s="2522"/>
      <c r="DIK211" s="2522"/>
      <c r="DIL211" s="2522"/>
      <c r="DIM211" s="2522"/>
      <c r="DIN211" s="2522"/>
      <c r="DIO211" s="2522"/>
      <c r="DIP211" s="2522"/>
      <c r="DIQ211" s="2522"/>
      <c r="DIR211" s="2522"/>
      <c r="DIS211" s="2522"/>
      <c r="DIT211" s="2522"/>
      <c r="DIU211" s="2522"/>
      <c r="DIV211" s="2522"/>
      <c r="DIW211" s="2522"/>
      <c r="DIX211" s="2522"/>
      <c r="DIY211" s="2522"/>
      <c r="DIZ211" s="2522"/>
      <c r="DJA211" s="2522"/>
      <c r="DJB211" s="2522"/>
      <c r="DJC211" s="2522"/>
      <c r="DJD211" s="2522"/>
      <c r="DJE211" s="2522"/>
      <c r="DJF211" s="2522"/>
      <c r="DJG211" s="2522"/>
      <c r="DJH211" s="2522"/>
      <c r="DJI211" s="2522"/>
      <c r="DJJ211" s="2522"/>
      <c r="DJK211" s="2522"/>
      <c r="DJL211" s="2522"/>
      <c r="DJM211" s="2522"/>
      <c r="DJN211" s="2522"/>
      <c r="DJO211" s="2522"/>
      <c r="DJP211" s="2522"/>
      <c r="DJQ211" s="2522"/>
      <c r="DJR211" s="2522"/>
      <c r="DJS211" s="2522"/>
      <c r="DJT211" s="2522"/>
      <c r="DJU211" s="2522"/>
      <c r="DJV211" s="2522"/>
      <c r="DJW211" s="2522"/>
      <c r="DJX211" s="2522"/>
      <c r="DJY211" s="2522"/>
      <c r="DJZ211" s="2522"/>
      <c r="DKA211" s="2522"/>
      <c r="DKB211" s="2522"/>
      <c r="DKC211" s="2522"/>
      <c r="DKD211" s="2522"/>
      <c r="DKE211" s="2522"/>
      <c r="DKF211" s="2522"/>
      <c r="DKG211" s="2522"/>
      <c r="DKH211" s="2522"/>
      <c r="DKI211" s="2522"/>
      <c r="DKJ211" s="2522"/>
      <c r="DKK211" s="2522"/>
      <c r="DKL211" s="2522"/>
      <c r="DKM211" s="2522"/>
      <c r="DKN211" s="2522"/>
      <c r="DKO211" s="2522"/>
      <c r="DKP211" s="2522"/>
      <c r="DKQ211" s="2522"/>
      <c r="DKR211" s="2522"/>
      <c r="DKS211" s="2522"/>
      <c r="DKT211" s="2522"/>
      <c r="DKU211" s="2522"/>
      <c r="DKV211" s="2522"/>
      <c r="DKW211" s="2522"/>
      <c r="DKX211" s="2522"/>
      <c r="DKY211" s="2522"/>
      <c r="DKZ211" s="2522"/>
      <c r="DLA211" s="2522"/>
      <c r="DLB211" s="2522"/>
      <c r="DLC211" s="2522"/>
      <c r="DLD211" s="2522"/>
      <c r="DLE211" s="2522"/>
      <c r="DLF211" s="2522"/>
      <c r="DLG211" s="2522"/>
      <c r="DLH211" s="2522"/>
      <c r="DLI211" s="2522"/>
      <c r="DLJ211" s="2522"/>
      <c r="DLK211" s="2522"/>
      <c r="DLL211" s="2522"/>
      <c r="DLM211" s="2522"/>
      <c r="DLN211" s="2522"/>
      <c r="DLO211" s="2522"/>
      <c r="DLP211" s="2522"/>
      <c r="DLQ211" s="2522"/>
      <c r="DLR211" s="2522"/>
      <c r="DLS211" s="2522"/>
      <c r="DLT211" s="2522"/>
      <c r="DLU211" s="2522"/>
      <c r="DLV211" s="2522"/>
      <c r="DLW211" s="2522"/>
      <c r="DLX211" s="2522"/>
      <c r="DLY211" s="2522"/>
      <c r="DLZ211" s="2522"/>
      <c r="DMA211" s="2522"/>
      <c r="DMB211" s="2522"/>
      <c r="DMC211" s="2522"/>
      <c r="DMD211" s="2522"/>
      <c r="DME211" s="2522"/>
      <c r="DMF211" s="2522"/>
      <c r="DMG211" s="2522"/>
      <c r="DMH211" s="2522"/>
      <c r="DMI211" s="2522"/>
      <c r="DMJ211" s="2522"/>
      <c r="DMK211" s="2522"/>
      <c r="DML211" s="2522"/>
      <c r="DMM211" s="2522"/>
      <c r="DMN211" s="2522"/>
      <c r="DMO211" s="2522"/>
      <c r="DMP211" s="2522"/>
      <c r="DMQ211" s="2522"/>
      <c r="DMR211" s="2522"/>
      <c r="DMS211" s="2522"/>
      <c r="DMT211" s="2522"/>
      <c r="DMU211" s="2522"/>
      <c r="DMV211" s="2522"/>
      <c r="DMW211" s="2522"/>
      <c r="DMX211" s="2522"/>
      <c r="DMY211" s="2522"/>
      <c r="DMZ211" s="2522"/>
      <c r="DNA211" s="2522"/>
      <c r="DNB211" s="2522"/>
      <c r="DNC211" s="2522"/>
      <c r="DND211" s="2522"/>
      <c r="DNE211" s="2522"/>
      <c r="DNF211" s="2522"/>
      <c r="DNG211" s="2522"/>
      <c r="DNH211" s="2522"/>
      <c r="DNI211" s="2522"/>
      <c r="DNJ211" s="2522"/>
      <c r="DNK211" s="2522"/>
      <c r="DNL211" s="2522"/>
      <c r="DNM211" s="2522"/>
      <c r="DNN211" s="2522"/>
      <c r="DNO211" s="2522"/>
      <c r="DNP211" s="2522"/>
      <c r="DNQ211" s="2522"/>
      <c r="DNR211" s="2522"/>
      <c r="DNS211" s="2522"/>
      <c r="DNT211" s="2522"/>
      <c r="DNU211" s="2522"/>
      <c r="DNV211" s="2522"/>
      <c r="DNW211" s="2522"/>
      <c r="DNX211" s="2522"/>
      <c r="DNY211" s="2522"/>
      <c r="DNZ211" s="2522"/>
      <c r="DOA211" s="2522"/>
      <c r="DOB211" s="2522"/>
      <c r="DOC211" s="2522"/>
      <c r="DOD211" s="2522"/>
      <c r="DOE211" s="2522"/>
      <c r="DOF211" s="2522"/>
      <c r="DOG211" s="2522"/>
      <c r="DOH211" s="2522"/>
      <c r="DOI211" s="2522"/>
      <c r="DOJ211" s="2522"/>
      <c r="DOK211" s="2522"/>
      <c r="DOL211" s="2522"/>
      <c r="DOM211" s="2522"/>
      <c r="DON211" s="2522"/>
      <c r="DOO211" s="2522"/>
      <c r="DOP211" s="2522"/>
      <c r="DOQ211" s="2522"/>
      <c r="DOR211" s="2522"/>
      <c r="DOS211" s="2522"/>
      <c r="DOT211" s="2522"/>
      <c r="DOU211" s="2522"/>
      <c r="DOV211" s="2522"/>
      <c r="DOW211" s="2522"/>
      <c r="DOX211" s="2522"/>
      <c r="DOY211" s="2522"/>
      <c r="DOZ211" s="2522"/>
      <c r="DPA211" s="2522"/>
      <c r="DPB211" s="2522"/>
      <c r="DPC211" s="2522"/>
      <c r="DPD211" s="2522"/>
      <c r="DPE211" s="2522"/>
      <c r="DPF211" s="2522"/>
      <c r="DPG211" s="2522"/>
      <c r="DPH211" s="2522"/>
      <c r="DPI211" s="2522"/>
      <c r="DPJ211" s="2522"/>
      <c r="DPK211" s="2522"/>
      <c r="DPL211" s="2522"/>
      <c r="DPM211" s="2522"/>
      <c r="DPN211" s="2522"/>
      <c r="DPO211" s="2522"/>
      <c r="DPP211" s="2522"/>
      <c r="DPQ211" s="2522"/>
      <c r="DPR211" s="2522"/>
      <c r="DPS211" s="2522"/>
      <c r="DPT211" s="2522"/>
      <c r="DPU211" s="2522"/>
      <c r="DPV211" s="2522"/>
      <c r="DPW211" s="2522"/>
      <c r="DPX211" s="2522"/>
      <c r="DPY211" s="2522"/>
      <c r="DPZ211" s="2522"/>
      <c r="DQA211" s="2522"/>
      <c r="DQB211" s="2522"/>
      <c r="DQC211" s="2522"/>
      <c r="DQD211" s="2522"/>
      <c r="DQE211" s="2522"/>
      <c r="DQF211" s="2522"/>
      <c r="DQG211" s="2522"/>
      <c r="DQH211" s="2522"/>
      <c r="DQI211" s="2522"/>
      <c r="DQJ211" s="2522"/>
      <c r="DQK211" s="2522"/>
      <c r="DQL211" s="2522"/>
      <c r="DQM211" s="2522"/>
      <c r="DQN211" s="2522"/>
      <c r="DQO211" s="2522"/>
      <c r="DQP211" s="2522"/>
      <c r="DQQ211" s="2522"/>
      <c r="DQR211" s="2522"/>
      <c r="DQS211" s="2522"/>
      <c r="DQT211" s="2522"/>
      <c r="DQU211" s="2522"/>
      <c r="DQV211" s="2522"/>
      <c r="DQW211" s="2522"/>
      <c r="DQX211" s="2522"/>
      <c r="DQY211" s="2522"/>
      <c r="DQZ211" s="2522"/>
      <c r="DRA211" s="2522"/>
      <c r="DRB211" s="2522"/>
      <c r="DRC211" s="2522"/>
      <c r="DRD211" s="2522"/>
      <c r="DRE211" s="2522"/>
      <c r="DRF211" s="2522"/>
      <c r="DRG211" s="2522"/>
      <c r="DRH211" s="2522"/>
      <c r="DRI211" s="2522"/>
      <c r="DRJ211" s="2522"/>
      <c r="DRK211" s="2522"/>
      <c r="DRL211" s="2522"/>
      <c r="DRM211" s="2522"/>
      <c r="DRN211" s="2522"/>
      <c r="DRO211" s="2522"/>
      <c r="DRP211" s="2522"/>
      <c r="DRQ211" s="2522"/>
      <c r="DRR211" s="2522"/>
      <c r="DRS211" s="2522"/>
      <c r="DRT211" s="2522"/>
      <c r="DRU211" s="2522"/>
      <c r="DRV211" s="2522"/>
      <c r="DRW211" s="2522"/>
      <c r="DRX211" s="2522"/>
      <c r="DRY211" s="2522"/>
      <c r="DRZ211" s="2522"/>
      <c r="DSA211" s="2522"/>
      <c r="DSB211" s="2522"/>
      <c r="DSC211" s="2522"/>
      <c r="DSD211" s="2522"/>
      <c r="DSE211" s="2522"/>
      <c r="DSF211" s="2522"/>
      <c r="DSG211" s="2522"/>
      <c r="DSH211" s="2522"/>
      <c r="DSI211" s="2522"/>
      <c r="DSJ211" s="2522"/>
      <c r="DSK211" s="2522"/>
      <c r="DSL211" s="2522"/>
      <c r="DSM211" s="2522"/>
      <c r="DSN211" s="2522"/>
      <c r="DSO211" s="2522"/>
      <c r="DSP211" s="2522"/>
      <c r="DSQ211" s="2522"/>
      <c r="DSR211" s="2522"/>
      <c r="DSS211" s="2522"/>
      <c r="DST211" s="2522"/>
      <c r="DSU211" s="2522"/>
      <c r="DSV211" s="2522"/>
      <c r="DSW211" s="2522"/>
      <c r="DSX211" s="2522"/>
      <c r="DSY211" s="2522"/>
      <c r="DSZ211" s="2522"/>
      <c r="DTA211" s="2522"/>
      <c r="DTB211" s="2522"/>
      <c r="DTC211" s="2522"/>
      <c r="DTD211" s="2522"/>
      <c r="DTE211" s="2522"/>
      <c r="DTF211" s="2522"/>
      <c r="DTG211" s="2522"/>
      <c r="DTH211" s="2522"/>
      <c r="DTI211" s="2522"/>
      <c r="DTJ211" s="2522"/>
      <c r="DTK211" s="2522"/>
      <c r="DTL211" s="2522"/>
      <c r="DTM211" s="2522"/>
      <c r="DTN211" s="2522"/>
      <c r="DTO211" s="2522"/>
      <c r="DTP211" s="2522"/>
      <c r="DTQ211" s="2522"/>
      <c r="DTR211" s="2522"/>
      <c r="DTS211" s="2522"/>
      <c r="DTT211" s="2522"/>
      <c r="DTU211" s="2522"/>
      <c r="DTV211" s="2522"/>
      <c r="DTW211" s="2522"/>
      <c r="DTX211" s="2522"/>
      <c r="DTY211" s="2522"/>
      <c r="DTZ211" s="2522"/>
      <c r="DUA211" s="2522"/>
      <c r="DUB211" s="2522"/>
      <c r="DUC211" s="2522"/>
      <c r="DUD211" s="2522"/>
      <c r="DUE211" s="2522"/>
      <c r="DUF211" s="2522"/>
      <c r="DUG211" s="2522"/>
      <c r="DUH211" s="2522"/>
      <c r="DUI211" s="2522"/>
      <c r="DUJ211" s="2522"/>
      <c r="DUK211" s="2522"/>
      <c r="DUL211" s="2522"/>
      <c r="DUM211" s="2522"/>
      <c r="DUN211" s="2522"/>
      <c r="DUO211" s="2522"/>
      <c r="DUP211" s="2522"/>
      <c r="DUQ211" s="2522"/>
      <c r="DUR211" s="2522"/>
      <c r="DUS211" s="2522"/>
      <c r="DUT211" s="2522"/>
      <c r="DUU211" s="2522"/>
      <c r="DUV211" s="2522"/>
      <c r="DUW211" s="2522"/>
      <c r="DUX211" s="2522"/>
      <c r="DUY211" s="2522"/>
      <c r="DUZ211" s="2522"/>
      <c r="DVA211" s="2522"/>
      <c r="DVB211" s="2522"/>
      <c r="DVC211" s="2522"/>
      <c r="DVD211" s="2522"/>
      <c r="DVE211" s="2522"/>
      <c r="DVF211" s="2522"/>
      <c r="DVG211" s="2522"/>
      <c r="DVH211" s="2522"/>
      <c r="DVI211" s="2522"/>
      <c r="DVJ211" s="2522"/>
      <c r="DVK211" s="2522"/>
      <c r="DVL211" s="2522"/>
      <c r="DVM211" s="2522"/>
      <c r="DVN211" s="2522"/>
      <c r="DVO211" s="2522"/>
      <c r="DVP211" s="2522"/>
      <c r="DVQ211" s="2522"/>
      <c r="DVR211" s="2522"/>
      <c r="DVS211" s="2522"/>
      <c r="DVT211" s="2522"/>
      <c r="DVU211" s="2522"/>
      <c r="DVV211" s="2522"/>
      <c r="DVW211" s="2522"/>
      <c r="DVX211" s="2522"/>
      <c r="DVY211" s="2522"/>
      <c r="DVZ211" s="2522"/>
      <c r="DWA211" s="2522"/>
      <c r="DWB211" s="2522"/>
      <c r="DWC211" s="2522"/>
      <c r="DWD211" s="2522"/>
      <c r="DWE211" s="2522"/>
      <c r="DWF211" s="2522"/>
      <c r="DWG211" s="2522"/>
      <c r="DWH211" s="2522"/>
      <c r="DWI211" s="2522"/>
      <c r="DWJ211" s="2522"/>
      <c r="DWK211" s="2522"/>
      <c r="DWL211" s="2522"/>
      <c r="DWM211" s="2522"/>
      <c r="DWN211" s="2522"/>
      <c r="DWO211" s="2522"/>
      <c r="DWP211" s="2522"/>
      <c r="DWQ211" s="2522"/>
      <c r="DWR211" s="2522"/>
      <c r="DWS211" s="2522"/>
      <c r="DWT211" s="2522"/>
      <c r="DWU211" s="2522"/>
      <c r="DWV211" s="2522"/>
      <c r="DWW211" s="2522"/>
      <c r="DWX211" s="2522"/>
      <c r="DWY211" s="2522"/>
      <c r="DWZ211" s="2522"/>
      <c r="DXA211" s="2522"/>
      <c r="DXB211" s="2522"/>
      <c r="DXC211" s="2522"/>
      <c r="DXD211" s="2522"/>
      <c r="DXE211" s="2522"/>
      <c r="DXF211" s="2522"/>
      <c r="DXG211" s="2522"/>
      <c r="DXH211" s="2522"/>
      <c r="DXI211" s="2522"/>
      <c r="DXJ211" s="2522"/>
      <c r="DXK211" s="2522"/>
      <c r="DXL211" s="2522"/>
      <c r="DXM211" s="2522"/>
      <c r="DXN211" s="2522"/>
      <c r="DXO211" s="2522"/>
      <c r="DXP211" s="2522"/>
      <c r="DXQ211" s="2522"/>
      <c r="DXR211" s="2522"/>
      <c r="DXS211" s="2522"/>
      <c r="DXT211" s="2522"/>
      <c r="DXU211" s="2522"/>
      <c r="DXV211" s="2522"/>
      <c r="DXW211" s="2522"/>
      <c r="DXX211" s="2522"/>
      <c r="DXY211" s="2522"/>
      <c r="DXZ211" s="2522"/>
      <c r="DYA211" s="2522"/>
      <c r="DYB211" s="2522"/>
      <c r="DYC211" s="2522"/>
      <c r="DYD211" s="2522"/>
      <c r="DYE211" s="2522"/>
      <c r="DYF211" s="2522"/>
      <c r="DYG211" s="2522"/>
      <c r="DYH211" s="2522"/>
      <c r="DYI211" s="2522"/>
      <c r="DYJ211" s="2522"/>
      <c r="DYK211" s="2522"/>
      <c r="DYL211" s="2522"/>
      <c r="DYM211" s="2522"/>
      <c r="DYN211" s="2522"/>
      <c r="DYO211" s="2522"/>
      <c r="DYP211" s="2522"/>
      <c r="DYQ211" s="2522"/>
      <c r="DYR211" s="2522"/>
      <c r="DYS211" s="2522"/>
      <c r="DYT211" s="2522"/>
      <c r="DYU211" s="2522"/>
      <c r="DYV211" s="2522"/>
      <c r="DYW211" s="2522"/>
      <c r="DYX211" s="2522"/>
      <c r="DYY211" s="2522"/>
      <c r="DYZ211" s="2522"/>
      <c r="DZA211" s="2522"/>
      <c r="DZB211" s="2522"/>
      <c r="DZC211" s="2522"/>
      <c r="DZD211" s="2522"/>
      <c r="DZE211" s="2522"/>
      <c r="DZF211" s="2522"/>
      <c r="DZG211" s="2522"/>
      <c r="DZH211" s="2522"/>
      <c r="DZI211" s="2522"/>
      <c r="DZJ211" s="2522"/>
      <c r="DZK211" s="2522"/>
      <c r="DZL211" s="2522"/>
      <c r="DZM211" s="2522"/>
      <c r="DZN211" s="2522"/>
      <c r="DZO211" s="2522"/>
      <c r="DZP211" s="2522"/>
      <c r="DZQ211" s="2522"/>
      <c r="DZR211" s="2522"/>
      <c r="DZS211" s="2522"/>
      <c r="DZT211" s="2522"/>
      <c r="DZU211" s="2522"/>
      <c r="DZV211" s="2522"/>
      <c r="DZW211" s="2522"/>
      <c r="DZX211" s="2522"/>
      <c r="DZY211" s="2522"/>
      <c r="DZZ211" s="2522"/>
      <c r="EAA211" s="2522"/>
      <c r="EAB211" s="2522"/>
      <c r="EAC211" s="2522"/>
      <c r="EAD211" s="2522"/>
      <c r="EAE211" s="2522"/>
      <c r="EAF211" s="2522"/>
      <c r="EAG211" s="2522"/>
      <c r="EAH211" s="2522"/>
      <c r="EAI211" s="2522"/>
      <c r="EAJ211" s="2522"/>
      <c r="EAK211" s="2522"/>
      <c r="EAL211" s="2522"/>
      <c r="EAM211" s="2522"/>
      <c r="EAN211" s="2522"/>
      <c r="EAO211" s="2522"/>
      <c r="EAP211" s="2522"/>
      <c r="EAQ211" s="2522"/>
      <c r="EAR211" s="2522"/>
      <c r="EAS211" s="2522"/>
      <c r="EAT211" s="2522"/>
      <c r="EAU211" s="2522"/>
      <c r="EAV211" s="2522"/>
      <c r="EAW211" s="2522"/>
      <c r="EAX211" s="2522"/>
      <c r="EAY211" s="2522"/>
      <c r="EAZ211" s="2522"/>
      <c r="EBA211" s="2522"/>
      <c r="EBB211" s="2522"/>
      <c r="EBC211" s="2522"/>
      <c r="EBD211" s="2522"/>
      <c r="EBE211" s="2522"/>
      <c r="EBF211" s="2522"/>
      <c r="EBG211" s="2522"/>
      <c r="EBH211" s="2522"/>
      <c r="EBI211" s="2522"/>
      <c r="EBJ211" s="2522"/>
      <c r="EBK211" s="2522"/>
      <c r="EBL211" s="2522"/>
      <c r="EBM211" s="2522"/>
      <c r="EBN211" s="2522"/>
      <c r="EBO211" s="2522"/>
      <c r="EBP211" s="2522"/>
      <c r="EBQ211" s="2522"/>
      <c r="EBR211" s="2522"/>
      <c r="EBS211" s="2522"/>
      <c r="EBT211" s="2522"/>
      <c r="EBU211" s="2522"/>
      <c r="EBV211" s="2522"/>
      <c r="EBW211" s="2522"/>
      <c r="EBX211" s="2522"/>
      <c r="EBY211" s="2522"/>
      <c r="EBZ211" s="2522"/>
      <c r="ECA211" s="2522"/>
      <c r="ECB211" s="2522"/>
      <c r="ECC211" s="2522"/>
      <c r="ECD211" s="2522"/>
      <c r="ECE211" s="2522"/>
      <c r="ECF211" s="2522"/>
      <c r="ECG211" s="2522"/>
      <c r="ECH211" s="2522"/>
      <c r="ECI211" s="2522"/>
      <c r="ECJ211" s="2522"/>
      <c r="ECK211" s="2522"/>
      <c r="ECL211" s="2522"/>
      <c r="ECM211" s="2522"/>
      <c r="ECN211" s="2522"/>
      <c r="ECO211" s="2522"/>
      <c r="ECP211" s="2522"/>
      <c r="ECQ211" s="2522"/>
      <c r="ECR211" s="2522"/>
      <c r="ECS211" s="2522"/>
      <c r="ECT211" s="2522"/>
      <c r="ECU211" s="2522"/>
      <c r="ECV211" s="2522"/>
      <c r="ECW211" s="2522"/>
      <c r="ECX211" s="2522"/>
      <c r="ECY211" s="2522"/>
      <c r="ECZ211" s="2522"/>
      <c r="EDA211" s="2522"/>
      <c r="EDB211" s="2522"/>
      <c r="EDC211" s="2522"/>
      <c r="EDD211" s="2522"/>
      <c r="EDE211" s="2522"/>
      <c r="EDF211" s="2522"/>
      <c r="EDG211" s="2522"/>
      <c r="EDH211" s="2522"/>
      <c r="EDI211" s="2522"/>
      <c r="EDJ211" s="2522"/>
      <c r="EDK211" s="2522"/>
      <c r="EDL211" s="2522"/>
      <c r="EDM211" s="2522"/>
      <c r="EDN211" s="2522"/>
      <c r="EDO211" s="2522"/>
      <c r="EDP211" s="2522"/>
      <c r="EDQ211" s="2522"/>
      <c r="EDR211" s="2522"/>
      <c r="EDS211" s="2522"/>
      <c r="EDT211" s="2522"/>
      <c r="EDU211" s="2522"/>
      <c r="EDV211" s="2522"/>
      <c r="EDW211" s="2522"/>
      <c r="EDX211" s="2522"/>
      <c r="EDY211" s="2522"/>
      <c r="EDZ211" s="2522"/>
      <c r="EEA211" s="2522"/>
      <c r="EEB211" s="2522"/>
      <c r="EEC211" s="2522"/>
      <c r="EED211" s="2522"/>
      <c r="EEE211" s="2522"/>
      <c r="EEF211" s="2522"/>
      <c r="EEG211" s="2522"/>
      <c r="EEH211" s="2522"/>
      <c r="EEI211" s="2522"/>
      <c r="EEJ211" s="2522"/>
      <c r="EEK211" s="2522"/>
      <c r="EEL211" s="2522"/>
      <c r="EEM211" s="2522"/>
      <c r="EEN211" s="2522"/>
      <c r="EEO211" s="2522"/>
      <c r="EEP211" s="2522"/>
      <c r="EEQ211" s="2522"/>
      <c r="EER211" s="2522"/>
      <c r="EES211" s="2522"/>
      <c r="EET211" s="2522"/>
      <c r="EEU211" s="2522"/>
      <c r="EEV211" s="2522"/>
      <c r="EEW211" s="2522"/>
      <c r="EEX211" s="2522"/>
      <c r="EEY211" s="2522"/>
      <c r="EEZ211" s="2522"/>
      <c r="EFA211" s="2522"/>
      <c r="EFB211" s="2522"/>
      <c r="EFC211" s="2522"/>
      <c r="EFD211" s="2522"/>
      <c r="EFE211" s="2522"/>
      <c r="EFF211" s="2522"/>
      <c r="EFG211" s="2522"/>
      <c r="EFH211" s="2522"/>
      <c r="EFI211" s="2522"/>
      <c r="EFJ211" s="2522"/>
      <c r="EFK211" s="2522"/>
      <c r="EFL211" s="2522"/>
      <c r="EFM211" s="2522"/>
      <c r="EFN211" s="2522"/>
      <c r="EFO211" s="2522"/>
      <c r="EFP211" s="2522"/>
      <c r="EFQ211" s="2522"/>
      <c r="EFR211" s="2522"/>
      <c r="EFS211" s="2522"/>
      <c r="EFT211" s="2522"/>
      <c r="EFU211" s="2522"/>
      <c r="EFV211" s="2522"/>
      <c r="EFW211" s="2522"/>
      <c r="EFX211" s="2522"/>
      <c r="EFY211" s="2522"/>
      <c r="EFZ211" s="2522"/>
      <c r="EGA211" s="2522"/>
      <c r="EGB211" s="2522"/>
      <c r="EGC211" s="2522"/>
      <c r="EGD211" s="2522"/>
      <c r="EGE211" s="2522"/>
      <c r="EGF211" s="2522"/>
      <c r="EGG211" s="2522"/>
      <c r="EGH211" s="2522"/>
      <c r="EGI211" s="2522"/>
      <c r="EGJ211" s="2522"/>
      <c r="EGK211" s="2522"/>
      <c r="EGL211" s="2522"/>
      <c r="EGM211" s="2522"/>
      <c r="EGN211" s="2522"/>
      <c r="EGO211" s="2522"/>
      <c r="EGP211" s="2522"/>
      <c r="EGQ211" s="2522"/>
      <c r="EGR211" s="2522"/>
      <c r="EGS211" s="2522"/>
      <c r="EGT211" s="2522"/>
      <c r="EGU211" s="2522"/>
      <c r="EGV211" s="2522"/>
      <c r="EGW211" s="2522"/>
      <c r="EGX211" s="2522"/>
      <c r="EGY211" s="2522"/>
      <c r="EGZ211" s="2522"/>
      <c r="EHA211" s="2522"/>
      <c r="EHB211" s="2522"/>
      <c r="EHC211" s="2522"/>
      <c r="EHD211" s="2522"/>
      <c r="EHE211" s="2522"/>
      <c r="EHF211" s="2522"/>
      <c r="EHG211" s="2522"/>
      <c r="EHH211" s="2522"/>
      <c r="EHI211" s="2522"/>
      <c r="EHJ211" s="2522"/>
      <c r="EHK211" s="2522"/>
      <c r="EHL211" s="2522"/>
      <c r="EHM211" s="2522"/>
      <c r="EHN211" s="2522"/>
      <c r="EHO211" s="2522"/>
      <c r="EHP211" s="2522"/>
      <c r="EHQ211" s="2522"/>
      <c r="EHR211" s="2522"/>
      <c r="EHS211" s="2522"/>
      <c r="EHT211" s="2522"/>
      <c r="EHU211" s="2522"/>
      <c r="EHV211" s="2522"/>
      <c r="EHW211" s="2522"/>
      <c r="EHX211" s="2522"/>
      <c r="EHY211" s="2522"/>
      <c r="EHZ211" s="2522"/>
      <c r="EIA211" s="2522"/>
      <c r="EIB211" s="2522"/>
      <c r="EIC211" s="2522"/>
      <c r="EID211" s="2522"/>
      <c r="EIE211" s="2522"/>
      <c r="EIF211" s="2522"/>
      <c r="EIG211" s="2522"/>
      <c r="EIH211" s="2522"/>
      <c r="EII211" s="2522"/>
      <c r="EIJ211" s="2522"/>
      <c r="EIK211" s="2522"/>
      <c r="EIL211" s="2522"/>
      <c r="EIM211" s="2522"/>
      <c r="EIN211" s="2522"/>
      <c r="EIO211" s="2522"/>
      <c r="EIP211" s="2522"/>
      <c r="EIQ211" s="2522"/>
      <c r="EIR211" s="2522"/>
      <c r="EIS211" s="2522"/>
      <c r="EIT211" s="2522"/>
      <c r="EIU211" s="2522"/>
      <c r="EIV211" s="2522"/>
      <c r="EIW211" s="2522"/>
      <c r="EIX211" s="2522"/>
      <c r="EIY211" s="2522"/>
      <c r="EIZ211" s="2522"/>
      <c r="EJA211" s="2522"/>
      <c r="EJB211" s="2522"/>
      <c r="EJC211" s="2522"/>
      <c r="EJD211" s="2522"/>
      <c r="EJE211" s="2522"/>
      <c r="EJF211" s="2522"/>
      <c r="EJG211" s="2522"/>
      <c r="EJH211" s="2522"/>
      <c r="EJI211" s="2522"/>
      <c r="EJJ211" s="2522"/>
      <c r="EJK211" s="2522"/>
      <c r="EJL211" s="2522"/>
      <c r="EJM211" s="2522"/>
      <c r="EJN211" s="2522"/>
      <c r="EJO211" s="2522"/>
      <c r="EJP211" s="2522"/>
      <c r="EJQ211" s="2522"/>
      <c r="EJR211" s="2522"/>
      <c r="EJS211" s="2522"/>
      <c r="EJT211" s="2522"/>
      <c r="EJU211" s="2522"/>
      <c r="EJV211" s="2522"/>
      <c r="EJW211" s="2522"/>
      <c r="EJX211" s="2522"/>
      <c r="EJY211" s="2522"/>
      <c r="EJZ211" s="2522"/>
      <c r="EKA211" s="2522"/>
      <c r="EKB211" s="2522"/>
      <c r="EKC211" s="2522"/>
      <c r="EKD211" s="2522"/>
      <c r="EKE211" s="2522"/>
      <c r="EKF211" s="2522"/>
      <c r="EKG211" s="2522"/>
      <c r="EKH211" s="2522"/>
      <c r="EKI211" s="2522"/>
      <c r="EKJ211" s="2522"/>
      <c r="EKK211" s="2522"/>
      <c r="EKL211" s="2522"/>
      <c r="EKM211" s="2522"/>
      <c r="EKN211" s="2522"/>
      <c r="EKO211" s="2522"/>
      <c r="EKP211" s="2522"/>
      <c r="EKQ211" s="2522"/>
      <c r="EKR211" s="2522"/>
      <c r="EKS211" s="2522"/>
      <c r="EKT211" s="2522"/>
      <c r="EKU211" s="2522"/>
      <c r="EKV211" s="2522"/>
      <c r="EKW211" s="2522"/>
      <c r="EKX211" s="2522"/>
      <c r="EKY211" s="2522"/>
      <c r="EKZ211" s="2522"/>
      <c r="ELA211" s="2522"/>
      <c r="ELB211" s="2522"/>
      <c r="ELC211" s="2522"/>
      <c r="ELD211" s="2522"/>
      <c r="ELE211" s="2522"/>
      <c r="ELF211" s="2522"/>
      <c r="ELG211" s="2522"/>
      <c r="ELH211" s="2522"/>
      <c r="ELI211" s="2522"/>
      <c r="ELJ211" s="2522"/>
      <c r="ELK211" s="2522"/>
      <c r="ELL211" s="2522"/>
      <c r="ELM211" s="2522"/>
      <c r="ELN211" s="2522"/>
      <c r="ELO211" s="2522"/>
      <c r="ELP211" s="2522"/>
      <c r="ELQ211" s="2522"/>
      <c r="ELR211" s="2522"/>
      <c r="ELS211" s="2522"/>
      <c r="ELT211" s="2522"/>
      <c r="ELU211" s="2522"/>
      <c r="ELV211" s="2522"/>
      <c r="ELW211" s="2522"/>
      <c r="ELX211" s="2522"/>
      <c r="ELY211" s="2522"/>
      <c r="ELZ211" s="2522"/>
      <c r="EMA211" s="2522"/>
      <c r="EMB211" s="2522"/>
      <c r="EMC211" s="2522"/>
      <c r="EMD211" s="2522"/>
      <c r="EME211" s="2522"/>
      <c r="EMF211" s="2522"/>
      <c r="EMG211" s="2522"/>
      <c r="EMH211" s="2522"/>
      <c r="EMI211" s="2522"/>
      <c r="EMJ211" s="2522"/>
      <c r="EMK211" s="2522"/>
      <c r="EML211" s="2522"/>
      <c r="EMM211" s="2522"/>
      <c r="EMN211" s="2522"/>
      <c r="EMO211" s="2522"/>
      <c r="EMP211" s="2522"/>
      <c r="EMQ211" s="2522"/>
      <c r="EMR211" s="2522"/>
      <c r="EMS211" s="2522"/>
      <c r="EMT211" s="2522"/>
      <c r="EMU211" s="2522"/>
      <c r="EMV211" s="2522"/>
      <c r="EMW211" s="2522"/>
      <c r="EMX211" s="2522"/>
      <c r="EMY211" s="2522"/>
      <c r="EMZ211" s="2522"/>
      <c r="ENA211" s="2522"/>
      <c r="ENB211" s="2522"/>
      <c r="ENC211" s="2522"/>
      <c r="END211" s="2522"/>
      <c r="ENE211" s="2522"/>
      <c r="ENF211" s="2522"/>
      <c r="ENG211" s="2522"/>
      <c r="ENH211" s="2522"/>
      <c r="ENI211" s="2522"/>
      <c r="ENJ211" s="2522"/>
      <c r="ENK211" s="2522"/>
      <c r="ENL211" s="2522"/>
      <c r="ENM211" s="2522"/>
      <c r="ENN211" s="2522"/>
      <c r="ENO211" s="2522"/>
      <c r="ENP211" s="2522"/>
      <c r="ENQ211" s="2522"/>
      <c r="ENR211" s="2522"/>
      <c r="ENS211" s="2522"/>
      <c r="ENT211" s="2522"/>
      <c r="ENU211" s="2522"/>
      <c r="ENV211" s="2522"/>
      <c r="ENW211" s="2522"/>
      <c r="ENX211" s="2522"/>
      <c r="ENY211" s="2522"/>
      <c r="ENZ211" s="2522"/>
      <c r="EOA211" s="2522"/>
      <c r="EOB211" s="2522"/>
      <c r="EOC211" s="2522"/>
      <c r="EOD211" s="2522"/>
      <c r="EOE211" s="2522"/>
      <c r="EOF211" s="2522"/>
      <c r="EOG211" s="2522"/>
      <c r="EOH211" s="2522"/>
      <c r="EOI211" s="2522"/>
      <c r="EOJ211" s="2522"/>
      <c r="EOK211" s="2522"/>
      <c r="EOL211" s="2522"/>
      <c r="EOM211" s="2522"/>
      <c r="EON211" s="2522"/>
      <c r="EOO211" s="2522"/>
      <c r="EOP211" s="2522"/>
      <c r="EOQ211" s="2522"/>
      <c r="EOR211" s="2522"/>
      <c r="EOS211" s="2522"/>
      <c r="EOT211" s="2522"/>
      <c r="EOU211" s="2522"/>
      <c r="EOV211" s="2522"/>
      <c r="EOW211" s="2522"/>
      <c r="EOX211" s="2522"/>
      <c r="EOY211" s="2522"/>
      <c r="EOZ211" s="2522"/>
      <c r="EPA211" s="2522"/>
      <c r="EPB211" s="2522"/>
      <c r="EPC211" s="2522"/>
      <c r="EPD211" s="2522"/>
      <c r="EPE211" s="2522"/>
      <c r="EPF211" s="2522"/>
      <c r="EPG211" s="2522"/>
      <c r="EPH211" s="2522"/>
      <c r="EPI211" s="2522"/>
      <c r="EPJ211" s="2522"/>
      <c r="EPK211" s="2522"/>
      <c r="EPL211" s="2522"/>
      <c r="EPM211" s="2522"/>
      <c r="EPN211" s="2522"/>
      <c r="EPO211" s="2522"/>
      <c r="EPP211" s="2522"/>
      <c r="EPQ211" s="2522"/>
      <c r="EPR211" s="2522"/>
      <c r="EPS211" s="2522"/>
      <c r="EPT211" s="2522"/>
      <c r="EPU211" s="2522"/>
      <c r="EPV211" s="2522"/>
      <c r="EPW211" s="2522"/>
      <c r="EPX211" s="2522"/>
      <c r="EPY211" s="2522"/>
      <c r="EPZ211" s="2522"/>
      <c r="EQA211" s="2522"/>
      <c r="EQB211" s="2522"/>
      <c r="EQC211" s="2522"/>
      <c r="EQD211" s="2522"/>
      <c r="EQE211" s="2522"/>
      <c r="EQF211" s="2522"/>
      <c r="EQG211" s="2522"/>
      <c r="EQH211" s="2522"/>
      <c r="EQI211" s="2522"/>
      <c r="EQJ211" s="2522"/>
      <c r="EQK211" s="2522"/>
      <c r="EQL211" s="2522"/>
      <c r="EQM211" s="2522"/>
      <c r="EQN211" s="2522"/>
      <c r="EQO211" s="2522"/>
      <c r="EQP211" s="2522"/>
      <c r="EQQ211" s="2522"/>
      <c r="EQR211" s="2522"/>
      <c r="EQS211" s="2522"/>
      <c r="EQT211" s="2522"/>
      <c r="EQU211" s="2522"/>
      <c r="EQV211" s="2522"/>
      <c r="EQW211" s="2522"/>
      <c r="EQX211" s="2522"/>
      <c r="EQY211" s="2522"/>
      <c r="EQZ211" s="2522"/>
      <c r="ERA211" s="2522"/>
      <c r="ERB211" s="2522"/>
      <c r="ERC211" s="2522"/>
      <c r="ERD211" s="2522"/>
      <c r="ERE211" s="2522"/>
      <c r="ERF211" s="2522"/>
      <c r="ERG211" s="2522"/>
      <c r="ERH211" s="2522"/>
      <c r="ERI211" s="2522"/>
      <c r="ERJ211" s="2522"/>
      <c r="ERK211" s="2522"/>
      <c r="ERL211" s="2522"/>
      <c r="ERM211" s="2522"/>
      <c r="ERN211" s="2522"/>
      <c r="ERO211" s="2522"/>
      <c r="ERP211" s="2522"/>
      <c r="ERQ211" s="2522"/>
      <c r="ERR211" s="2522"/>
      <c r="ERS211" s="2522"/>
      <c r="ERT211" s="2522"/>
      <c r="ERU211" s="2522"/>
      <c r="ERV211" s="2522"/>
      <c r="ERW211" s="2522"/>
      <c r="ERX211" s="2522"/>
      <c r="ERY211" s="2522"/>
      <c r="ERZ211" s="2522"/>
      <c r="ESA211" s="2522"/>
      <c r="ESB211" s="2522"/>
      <c r="ESC211" s="2522"/>
      <c r="ESD211" s="2522"/>
      <c r="ESE211" s="2522"/>
      <c r="ESF211" s="2522"/>
      <c r="ESG211" s="2522"/>
      <c r="ESH211" s="2522"/>
      <c r="ESI211" s="2522"/>
      <c r="ESJ211" s="2522"/>
      <c r="ESK211" s="2522"/>
      <c r="ESL211" s="2522"/>
      <c r="ESM211" s="2522"/>
      <c r="ESN211" s="2522"/>
      <c r="ESO211" s="2522"/>
      <c r="ESP211" s="2522"/>
      <c r="ESQ211" s="2522"/>
      <c r="ESR211" s="2522"/>
      <c r="ESS211" s="2522"/>
      <c r="EST211" s="2522"/>
      <c r="ESU211" s="2522"/>
      <c r="ESV211" s="2522"/>
      <c r="ESW211" s="2522"/>
      <c r="ESX211" s="2522"/>
      <c r="ESY211" s="2522"/>
      <c r="ESZ211" s="2522"/>
      <c r="ETA211" s="2522"/>
      <c r="ETB211" s="2522"/>
      <c r="ETC211" s="2522"/>
      <c r="ETD211" s="2522"/>
      <c r="ETE211" s="2522"/>
      <c r="ETF211" s="2522"/>
      <c r="ETG211" s="2522"/>
      <c r="ETH211" s="2522"/>
      <c r="ETI211" s="2522"/>
      <c r="ETJ211" s="2522"/>
      <c r="ETK211" s="2522"/>
      <c r="ETL211" s="2522"/>
      <c r="ETM211" s="2522"/>
      <c r="ETN211" s="2522"/>
      <c r="ETO211" s="2522"/>
      <c r="ETP211" s="2522"/>
      <c r="ETQ211" s="2522"/>
      <c r="ETR211" s="2522"/>
      <c r="ETS211" s="2522"/>
      <c r="ETT211" s="2522"/>
      <c r="ETU211" s="2522"/>
      <c r="ETV211" s="2522"/>
      <c r="ETW211" s="2522"/>
      <c r="ETX211" s="2522"/>
      <c r="ETY211" s="2522"/>
      <c r="ETZ211" s="2522"/>
      <c r="EUA211" s="2522"/>
      <c r="EUB211" s="2522"/>
      <c r="EUC211" s="2522"/>
      <c r="EUD211" s="2522"/>
      <c r="EUE211" s="2522"/>
      <c r="EUF211" s="2522"/>
      <c r="EUG211" s="2522"/>
      <c r="EUH211" s="2522"/>
      <c r="EUI211" s="2522"/>
      <c r="EUJ211" s="2522"/>
      <c r="EUK211" s="2522"/>
      <c r="EUL211" s="2522"/>
      <c r="EUM211" s="2522"/>
      <c r="EUN211" s="2522"/>
      <c r="EUO211" s="2522"/>
      <c r="EUP211" s="2522"/>
      <c r="EUQ211" s="2522"/>
      <c r="EUR211" s="2522"/>
      <c r="EUS211" s="2522"/>
      <c r="EUT211" s="2522"/>
      <c r="EUU211" s="2522"/>
      <c r="EUV211" s="2522"/>
      <c r="EUW211" s="2522"/>
      <c r="EUX211" s="2522"/>
      <c r="EUY211" s="2522"/>
      <c r="EUZ211" s="2522"/>
      <c r="EVA211" s="2522"/>
      <c r="EVB211" s="2522"/>
      <c r="EVC211" s="2522"/>
      <c r="EVD211" s="2522"/>
      <c r="EVE211" s="2522"/>
      <c r="EVF211" s="2522"/>
      <c r="EVG211" s="2522"/>
      <c r="EVH211" s="2522"/>
      <c r="EVI211" s="2522"/>
      <c r="EVJ211" s="2522"/>
      <c r="EVK211" s="2522"/>
      <c r="EVL211" s="2522"/>
      <c r="EVM211" s="2522"/>
      <c r="EVN211" s="2522"/>
      <c r="EVO211" s="2522"/>
      <c r="EVP211" s="2522"/>
      <c r="EVQ211" s="2522"/>
      <c r="EVR211" s="2522"/>
      <c r="EVS211" s="2522"/>
      <c r="EVT211" s="2522"/>
      <c r="EVU211" s="2522"/>
      <c r="EVV211" s="2522"/>
      <c r="EVW211" s="2522"/>
      <c r="EVX211" s="2522"/>
      <c r="EVY211" s="2522"/>
      <c r="EVZ211" s="2522"/>
      <c r="EWA211" s="2522"/>
      <c r="EWB211" s="2522"/>
      <c r="EWC211" s="2522"/>
      <c r="EWD211" s="2522"/>
      <c r="EWE211" s="2522"/>
      <c r="EWF211" s="2522"/>
      <c r="EWG211" s="2522"/>
      <c r="EWH211" s="2522"/>
      <c r="EWI211" s="2522"/>
      <c r="EWJ211" s="2522"/>
      <c r="EWK211" s="2522"/>
      <c r="EWL211" s="2522"/>
      <c r="EWM211" s="2522"/>
      <c r="EWN211" s="2522"/>
      <c r="EWO211" s="2522"/>
      <c r="EWP211" s="2522"/>
      <c r="EWQ211" s="2522"/>
      <c r="EWR211" s="2522"/>
      <c r="EWS211" s="2522"/>
      <c r="EWT211" s="2522"/>
      <c r="EWU211" s="2522"/>
      <c r="EWV211" s="2522"/>
      <c r="EWW211" s="2522"/>
      <c r="EWX211" s="2522"/>
      <c r="EWY211" s="2522"/>
      <c r="EWZ211" s="2522"/>
      <c r="EXA211" s="2522"/>
      <c r="EXB211" s="2522"/>
      <c r="EXC211" s="2522"/>
      <c r="EXD211" s="2522"/>
      <c r="EXE211" s="2522"/>
      <c r="EXF211" s="2522"/>
      <c r="EXG211" s="2522"/>
      <c r="EXH211" s="2522"/>
      <c r="EXI211" s="2522"/>
      <c r="EXJ211" s="2522"/>
      <c r="EXK211" s="2522"/>
      <c r="EXL211" s="2522"/>
      <c r="EXM211" s="2522"/>
      <c r="EXN211" s="2522"/>
      <c r="EXO211" s="2522"/>
      <c r="EXP211" s="2522"/>
      <c r="EXQ211" s="2522"/>
      <c r="EXR211" s="2522"/>
      <c r="EXS211" s="2522"/>
      <c r="EXT211" s="2522"/>
      <c r="EXU211" s="2522"/>
      <c r="EXV211" s="2522"/>
      <c r="EXW211" s="2522"/>
      <c r="EXX211" s="2522"/>
      <c r="EXY211" s="2522"/>
      <c r="EXZ211" s="2522"/>
      <c r="EYA211" s="2522"/>
      <c r="EYB211" s="2522"/>
      <c r="EYC211" s="2522"/>
      <c r="EYD211" s="2522"/>
      <c r="EYE211" s="2522"/>
      <c r="EYF211" s="2522"/>
      <c r="EYG211" s="2522"/>
      <c r="EYH211" s="2522"/>
      <c r="EYI211" s="2522"/>
      <c r="EYJ211" s="2522"/>
      <c r="EYK211" s="2522"/>
      <c r="EYL211" s="2522"/>
      <c r="EYM211" s="2522"/>
      <c r="EYN211" s="2522"/>
      <c r="EYO211" s="2522"/>
      <c r="EYP211" s="2522"/>
      <c r="EYQ211" s="2522"/>
      <c r="EYR211" s="2522"/>
      <c r="EYS211" s="2522"/>
      <c r="EYT211" s="2522"/>
      <c r="EYU211" s="2522"/>
      <c r="EYV211" s="2522"/>
      <c r="EYW211" s="2522"/>
      <c r="EYX211" s="2522"/>
      <c r="EYY211" s="2522"/>
      <c r="EYZ211" s="2522"/>
      <c r="EZA211" s="2522"/>
      <c r="EZB211" s="2522"/>
      <c r="EZC211" s="2522"/>
      <c r="EZD211" s="2522"/>
      <c r="EZE211" s="2522"/>
      <c r="EZF211" s="2522"/>
      <c r="EZG211" s="2522"/>
      <c r="EZH211" s="2522"/>
      <c r="EZI211" s="2522"/>
      <c r="EZJ211" s="2522"/>
      <c r="EZK211" s="2522"/>
      <c r="EZL211" s="2522"/>
      <c r="EZM211" s="2522"/>
      <c r="EZN211" s="2522"/>
      <c r="EZO211" s="2522"/>
      <c r="EZP211" s="2522"/>
      <c r="EZQ211" s="2522"/>
      <c r="EZR211" s="2522"/>
      <c r="EZS211" s="2522"/>
      <c r="EZT211" s="2522"/>
      <c r="EZU211" s="2522"/>
      <c r="EZV211" s="2522"/>
      <c r="EZW211" s="2522"/>
      <c r="EZX211" s="2522"/>
      <c r="EZY211" s="2522"/>
      <c r="EZZ211" s="2522"/>
      <c r="FAA211" s="2522"/>
      <c r="FAB211" s="2522"/>
      <c r="FAC211" s="2522"/>
      <c r="FAD211" s="2522"/>
      <c r="FAE211" s="2522"/>
      <c r="FAF211" s="2522"/>
      <c r="FAG211" s="2522"/>
      <c r="FAH211" s="2522"/>
      <c r="FAI211" s="2522"/>
      <c r="FAJ211" s="2522"/>
      <c r="FAK211" s="2522"/>
      <c r="FAL211" s="2522"/>
      <c r="FAM211" s="2522"/>
      <c r="FAN211" s="2522"/>
      <c r="FAO211" s="2522"/>
      <c r="FAP211" s="2522"/>
      <c r="FAQ211" s="2522"/>
      <c r="FAR211" s="2522"/>
      <c r="FAS211" s="2522"/>
      <c r="FAT211" s="2522"/>
      <c r="FAU211" s="2522"/>
      <c r="FAV211" s="2522"/>
      <c r="FAW211" s="2522"/>
      <c r="FAX211" s="2522"/>
      <c r="FAY211" s="2522"/>
      <c r="FAZ211" s="2522"/>
      <c r="FBA211" s="2522"/>
      <c r="FBB211" s="2522"/>
      <c r="FBC211" s="2522"/>
      <c r="FBD211" s="2522"/>
      <c r="FBE211" s="2522"/>
      <c r="FBF211" s="2522"/>
      <c r="FBG211" s="2522"/>
      <c r="FBH211" s="2522"/>
      <c r="FBI211" s="2522"/>
      <c r="FBJ211" s="2522"/>
      <c r="FBK211" s="2522"/>
      <c r="FBL211" s="2522"/>
      <c r="FBM211" s="2522"/>
      <c r="FBN211" s="2522"/>
      <c r="FBO211" s="2522"/>
      <c r="FBP211" s="2522"/>
      <c r="FBQ211" s="2522"/>
      <c r="FBR211" s="2522"/>
      <c r="FBS211" s="2522"/>
      <c r="FBT211" s="2522"/>
      <c r="FBU211" s="2522"/>
      <c r="FBV211" s="2522"/>
      <c r="FBW211" s="2522"/>
      <c r="FBX211" s="2522"/>
      <c r="FBY211" s="2522"/>
      <c r="FBZ211" s="2522"/>
      <c r="FCA211" s="2522"/>
      <c r="FCB211" s="2522"/>
      <c r="FCC211" s="2522"/>
      <c r="FCD211" s="2522"/>
      <c r="FCE211" s="2522"/>
      <c r="FCF211" s="2522"/>
      <c r="FCG211" s="2522"/>
      <c r="FCH211" s="2522"/>
      <c r="FCI211" s="2522"/>
      <c r="FCJ211" s="2522"/>
      <c r="FCK211" s="2522"/>
      <c r="FCL211" s="2522"/>
      <c r="FCM211" s="2522"/>
      <c r="FCN211" s="2522"/>
      <c r="FCO211" s="2522"/>
      <c r="FCP211" s="2522"/>
      <c r="FCQ211" s="2522"/>
      <c r="FCR211" s="2522"/>
      <c r="FCS211" s="2522"/>
      <c r="FCT211" s="2522"/>
      <c r="FCU211" s="2522"/>
      <c r="FCV211" s="2522"/>
      <c r="FCW211" s="2522"/>
      <c r="FCX211" s="2522"/>
      <c r="FCY211" s="2522"/>
      <c r="FCZ211" s="2522"/>
      <c r="FDA211" s="2522"/>
      <c r="FDB211" s="2522"/>
      <c r="FDC211" s="2522"/>
      <c r="FDD211" s="2522"/>
      <c r="FDE211" s="2522"/>
      <c r="FDF211" s="2522"/>
      <c r="FDG211" s="2522"/>
      <c r="FDH211" s="2522"/>
      <c r="FDI211" s="2522"/>
      <c r="FDJ211" s="2522"/>
      <c r="FDK211" s="2522"/>
      <c r="FDL211" s="2522"/>
      <c r="FDM211" s="2522"/>
      <c r="FDN211" s="2522"/>
      <c r="FDO211" s="2522"/>
      <c r="FDP211" s="2522"/>
      <c r="FDQ211" s="2522"/>
      <c r="FDR211" s="2522"/>
      <c r="FDS211" s="2522"/>
      <c r="FDT211" s="2522"/>
      <c r="FDU211" s="2522"/>
      <c r="FDV211" s="2522"/>
      <c r="FDW211" s="2522"/>
      <c r="FDX211" s="2522"/>
      <c r="FDY211" s="2522"/>
      <c r="FDZ211" s="2522"/>
      <c r="FEA211" s="2522"/>
      <c r="FEB211" s="2522"/>
      <c r="FEC211" s="2522"/>
      <c r="FED211" s="2522"/>
      <c r="FEE211" s="2522"/>
      <c r="FEF211" s="2522"/>
      <c r="FEG211" s="2522"/>
      <c r="FEH211" s="2522"/>
      <c r="FEI211" s="2522"/>
      <c r="FEJ211" s="2522"/>
      <c r="FEK211" s="2522"/>
      <c r="FEL211" s="2522"/>
      <c r="FEM211" s="2522"/>
      <c r="FEN211" s="2522"/>
      <c r="FEO211" s="2522"/>
      <c r="FEP211" s="2522"/>
      <c r="FEQ211" s="2522"/>
      <c r="FER211" s="2522"/>
      <c r="FES211" s="2522"/>
      <c r="FET211" s="2522"/>
      <c r="FEU211" s="2522"/>
      <c r="FEV211" s="2522"/>
      <c r="FEW211" s="2522"/>
      <c r="FEX211" s="2522"/>
      <c r="FEY211" s="2522"/>
      <c r="FEZ211" s="2522"/>
      <c r="FFA211" s="2522"/>
      <c r="FFB211" s="2522"/>
      <c r="FFC211" s="2522"/>
      <c r="FFD211" s="2522"/>
      <c r="FFE211" s="2522"/>
      <c r="FFF211" s="2522"/>
      <c r="FFG211" s="2522"/>
      <c r="FFH211" s="2522"/>
      <c r="FFI211" s="2522"/>
      <c r="FFJ211" s="2522"/>
      <c r="FFK211" s="2522"/>
      <c r="FFL211" s="2522"/>
      <c r="FFM211" s="2522"/>
      <c r="FFN211" s="2522"/>
      <c r="FFO211" s="2522"/>
      <c r="FFP211" s="2522"/>
      <c r="FFQ211" s="2522"/>
      <c r="FFR211" s="2522"/>
      <c r="FFS211" s="2522"/>
      <c r="FFT211" s="2522"/>
      <c r="FFU211" s="2522"/>
      <c r="FFV211" s="2522"/>
      <c r="FFW211" s="2522"/>
      <c r="FFX211" s="2522"/>
      <c r="FFY211" s="2522"/>
      <c r="FFZ211" s="2522"/>
      <c r="FGA211" s="2522"/>
      <c r="FGB211" s="2522"/>
      <c r="FGC211" s="2522"/>
      <c r="FGD211" s="2522"/>
      <c r="FGE211" s="2522"/>
      <c r="FGF211" s="2522"/>
      <c r="FGG211" s="2522"/>
      <c r="FGH211" s="2522"/>
      <c r="FGI211" s="2522"/>
      <c r="FGJ211" s="2522"/>
      <c r="FGK211" s="2522"/>
      <c r="FGL211" s="2522"/>
      <c r="FGM211" s="2522"/>
      <c r="FGN211" s="2522"/>
      <c r="FGO211" s="2522"/>
      <c r="FGP211" s="2522"/>
      <c r="FGQ211" s="2522"/>
      <c r="FGR211" s="2522"/>
      <c r="FGS211" s="2522"/>
      <c r="FGT211" s="2522"/>
      <c r="FGU211" s="2522"/>
      <c r="FGV211" s="2522"/>
      <c r="FGW211" s="2522"/>
      <c r="FGX211" s="2522"/>
      <c r="FGY211" s="2522"/>
      <c r="FGZ211" s="2522"/>
      <c r="FHA211" s="2522"/>
      <c r="FHB211" s="2522"/>
      <c r="FHC211" s="2522"/>
      <c r="FHD211" s="2522"/>
      <c r="FHE211" s="2522"/>
      <c r="FHF211" s="2522"/>
      <c r="FHG211" s="2522"/>
      <c r="FHH211" s="2522"/>
      <c r="FHI211" s="2522"/>
      <c r="FHJ211" s="2522"/>
      <c r="FHK211" s="2522"/>
      <c r="FHL211" s="2522"/>
      <c r="FHM211" s="2522"/>
      <c r="FHN211" s="2522"/>
      <c r="FHO211" s="2522"/>
      <c r="FHP211" s="2522"/>
      <c r="FHQ211" s="2522"/>
      <c r="FHR211" s="2522"/>
      <c r="FHS211" s="2522"/>
      <c r="FHT211" s="2522"/>
      <c r="FHU211" s="2522"/>
      <c r="FHV211" s="2522"/>
      <c r="FHW211" s="2522"/>
      <c r="FHX211" s="2522"/>
      <c r="FHY211" s="2522"/>
      <c r="FHZ211" s="2522"/>
      <c r="FIA211" s="2522"/>
      <c r="FIB211" s="2522"/>
      <c r="FIC211" s="2522"/>
      <c r="FID211" s="2522"/>
      <c r="FIE211" s="2522"/>
      <c r="FIF211" s="2522"/>
      <c r="FIG211" s="2522"/>
      <c r="FIH211" s="2522"/>
      <c r="FII211" s="2522"/>
      <c r="FIJ211" s="2522"/>
      <c r="FIK211" s="2522"/>
      <c r="FIL211" s="2522"/>
      <c r="FIM211" s="2522"/>
      <c r="FIN211" s="2522"/>
      <c r="FIO211" s="2522"/>
      <c r="FIP211" s="2522"/>
      <c r="FIQ211" s="2522"/>
      <c r="FIR211" s="2522"/>
      <c r="FIS211" s="2522"/>
      <c r="FIT211" s="2522"/>
      <c r="FIU211" s="2522"/>
      <c r="FIV211" s="2522"/>
      <c r="FIW211" s="2522"/>
      <c r="FIX211" s="2522"/>
      <c r="FIY211" s="2522"/>
      <c r="FIZ211" s="2522"/>
      <c r="FJA211" s="2522"/>
      <c r="FJB211" s="2522"/>
      <c r="FJC211" s="2522"/>
      <c r="FJD211" s="2522"/>
      <c r="FJE211" s="2522"/>
      <c r="FJF211" s="2522"/>
      <c r="FJG211" s="2522"/>
      <c r="FJH211" s="2522"/>
      <c r="FJI211" s="2522"/>
      <c r="FJJ211" s="2522"/>
      <c r="FJK211" s="2522"/>
      <c r="FJL211" s="2522"/>
      <c r="FJM211" s="2522"/>
      <c r="FJN211" s="2522"/>
      <c r="FJO211" s="2522"/>
      <c r="FJP211" s="2522"/>
      <c r="FJQ211" s="2522"/>
      <c r="FJR211" s="2522"/>
      <c r="FJS211" s="2522"/>
      <c r="FJT211" s="2522"/>
      <c r="FJU211" s="2522"/>
      <c r="FJV211" s="2522"/>
      <c r="FJW211" s="2522"/>
      <c r="FJX211" s="2522"/>
      <c r="FJY211" s="2522"/>
      <c r="FJZ211" s="2522"/>
      <c r="FKA211" s="2522"/>
      <c r="FKB211" s="2522"/>
      <c r="FKC211" s="2522"/>
      <c r="FKD211" s="2522"/>
      <c r="FKE211" s="2522"/>
      <c r="FKF211" s="2522"/>
      <c r="FKG211" s="2522"/>
      <c r="FKH211" s="2522"/>
      <c r="FKI211" s="2522"/>
      <c r="FKJ211" s="2522"/>
      <c r="FKK211" s="2522"/>
      <c r="FKL211" s="2522"/>
      <c r="FKM211" s="2522"/>
      <c r="FKN211" s="2522"/>
      <c r="FKO211" s="2522"/>
      <c r="FKP211" s="2522"/>
      <c r="FKQ211" s="2522"/>
      <c r="FKR211" s="2522"/>
      <c r="FKS211" s="2522"/>
      <c r="FKT211" s="2522"/>
      <c r="FKU211" s="2522"/>
      <c r="FKV211" s="2522"/>
      <c r="FKW211" s="2522"/>
      <c r="FKX211" s="2522"/>
      <c r="FKY211" s="2522"/>
      <c r="FKZ211" s="2522"/>
      <c r="FLA211" s="2522"/>
      <c r="FLB211" s="2522"/>
      <c r="FLC211" s="2522"/>
      <c r="FLD211" s="2522"/>
      <c r="FLE211" s="2522"/>
      <c r="FLF211" s="2522"/>
      <c r="FLG211" s="2522"/>
      <c r="FLH211" s="2522"/>
      <c r="FLI211" s="2522"/>
      <c r="FLJ211" s="2522"/>
      <c r="FLK211" s="2522"/>
      <c r="FLL211" s="2522"/>
      <c r="FLM211" s="2522"/>
      <c r="FLN211" s="2522"/>
      <c r="FLO211" s="2522"/>
      <c r="FLP211" s="2522"/>
      <c r="FLQ211" s="2522"/>
      <c r="FLR211" s="2522"/>
      <c r="FLS211" s="2522"/>
      <c r="FLT211" s="2522"/>
      <c r="FLU211" s="2522"/>
      <c r="FLV211" s="2522"/>
      <c r="FLW211" s="2522"/>
      <c r="FLX211" s="2522"/>
      <c r="FLY211" s="2522"/>
      <c r="FLZ211" s="2522"/>
      <c r="FMA211" s="2522"/>
      <c r="FMB211" s="2522"/>
      <c r="FMC211" s="2522"/>
      <c r="FMD211" s="2522"/>
      <c r="FME211" s="2522"/>
      <c r="FMF211" s="2522"/>
      <c r="FMG211" s="2522"/>
      <c r="FMH211" s="2522"/>
      <c r="FMI211" s="2522"/>
      <c r="FMJ211" s="2522"/>
      <c r="FMK211" s="2522"/>
      <c r="FML211" s="2522"/>
      <c r="FMM211" s="2522"/>
      <c r="FMN211" s="2522"/>
      <c r="FMO211" s="2522"/>
      <c r="FMP211" s="2522"/>
      <c r="FMQ211" s="2522"/>
      <c r="FMR211" s="2522"/>
      <c r="FMS211" s="2522"/>
      <c r="FMT211" s="2522"/>
      <c r="FMU211" s="2522"/>
      <c r="FMV211" s="2522"/>
      <c r="FMW211" s="2522"/>
      <c r="FMX211" s="2522"/>
      <c r="FMY211" s="2522"/>
      <c r="FMZ211" s="2522"/>
      <c r="FNA211" s="2522"/>
      <c r="FNB211" s="2522"/>
      <c r="FNC211" s="2522"/>
      <c r="FND211" s="2522"/>
      <c r="FNE211" s="2522"/>
      <c r="FNF211" s="2522"/>
      <c r="FNG211" s="2522"/>
      <c r="FNH211" s="2522"/>
      <c r="FNI211" s="2522"/>
      <c r="FNJ211" s="2522"/>
      <c r="FNK211" s="2522"/>
      <c r="FNL211" s="2522"/>
      <c r="FNM211" s="2522"/>
      <c r="FNN211" s="2522"/>
      <c r="FNO211" s="2522"/>
      <c r="FNP211" s="2522"/>
      <c r="FNQ211" s="2522"/>
      <c r="FNR211" s="2522"/>
      <c r="FNS211" s="2522"/>
      <c r="FNT211" s="2522"/>
      <c r="FNU211" s="2522"/>
      <c r="FNV211" s="2522"/>
      <c r="FNW211" s="2522"/>
      <c r="FNX211" s="2522"/>
      <c r="FNY211" s="2522"/>
      <c r="FNZ211" s="2522"/>
      <c r="FOA211" s="2522"/>
      <c r="FOB211" s="2522"/>
      <c r="FOC211" s="2522"/>
      <c r="FOD211" s="2522"/>
      <c r="FOE211" s="2522"/>
      <c r="FOF211" s="2522"/>
      <c r="FOG211" s="2522"/>
      <c r="FOH211" s="2522"/>
      <c r="FOI211" s="2522"/>
      <c r="FOJ211" s="2522"/>
      <c r="FOK211" s="2522"/>
      <c r="FOL211" s="2522"/>
      <c r="FOM211" s="2522"/>
      <c r="FON211" s="2522"/>
      <c r="FOO211" s="2522"/>
      <c r="FOP211" s="2522"/>
      <c r="FOQ211" s="2522"/>
      <c r="FOR211" s="2522"/>
      <c r="FOS211" s="2522"/>
      <c r="FOT211" s="2522"/>
      <c r="FOU211" s="2522"/>
      <c r="FOV211" s="2522"/>
      <c r="FOW211" s="2522"/>
      <c r="FOX211" s="2522"/>
      <c r="FOY211" s="2522"/>
      <c r="FOZ211" s="2522"/>
      <c r="FPA211" s="2522"/>
      <c r="FPB211" s="2522"/>
      <c r="FPC211" s="2522"/>
      <c r="FPD211" s="2522"/>
      <c r="FPE211" s="2522"/>
      <c r="FPF211" s="2522"/>
      <c r="FPG211" s="2522"/>
      <c r="FPH211" s="2522"/>
      <c r="FPI211" s="2522"/>
      <c r="FPJ211" s="2522"/>
      <c r="FPK211" s="2522"/>
      <c r="FPL211" s="2522"/>
      <c r="FPM211" s="2522"/>
      <c r="FPN211" s="2522"/>
      <c r="FPO211" s="2522"/>
      <c r="FPP211" s="2522"/>
      <c r="FPQ211" s="2522"/>
      <c r="FPR211" s="2522"/>
      <c r="FPS211" s="2522"/>
      <c r="FPT211" s="2522"/>
      <c r="FPU211" s="2522"/>
      <c r="FPV211" s="2522"/>
      <c r="FPW211" s="2522"/>
      <c r="FPX211" s="2522"/>
      <c r="FPY211" s="2522"/>
      <c r="FPZ211" s="2522"/>
      <c r="FQA211" s="2522"/>
      <c r="FQB211" s="2522"/>
      <c r="FQC211" s="2522"/>
      <c r="FQD211" s="2522"/>
      <c r="FQE211" s="2522"/>
      <c r="FQF211" s="2522"/>
      <c r="FQG211" s="2522"/>
      <c r="FQH211" s="2522"/>
      <c r="FQI211" s="2522"/>
      <c r="FQJ211" s="2522"/>
      <c r="FQK211" s="2522"/>
      <c r="FQL211" s="2522"/>
      <c r="FQM211" s="2522"/>
      <c r="FQN211" s="2522"/>
      <c r="FQO211" s="2522"/>
      <c r="FQP211" s="2522"/>
      <c r="FQQ211" s="2522"/>
      <c r="FQR211" s="2522"/>
      <c r="FQS211" s="2522"/>
      <c r="FQT211" s="2522"/>
      <c r="FQU211" s="2522"/>
      <c r="FQV211" s="2522"/>
      <c r="FQW211" s="2522"/>
      <c r="FQX211" s="2522"/>
      <c r="FQY211" s="2522"/>
      <c r="FQZ211" s="2522"/>
      <c r="FRA211" s="2522"/>
      <c r="FRB211" s="2522"/>
      <c r="FRC211" s="2522"/>
      <c r="FRD211" s="2522"/>
      <c r="FRE211" s="2522"/>
      <c r="FRF211" s="2522"/>
      <c r="FRG211" s="2522"/>
      <c r="FRH211" s="2522"/>
      <c r="FRI211" s="2522"/>
      <c r="FRJ211" s="2522"/>
      <c r="FRK211" s="2522"/>
      <c r="FRL211" s="2522"/>
      <c r="FRM211" s="2522"/>
      <c r="FRN211" s="2522"/>
      <c r="FRO211" s="2522"/>
      <c r="FRP211" s="2522"/>
      <c r="FRQ211" s="2522"/>
      <c r="FRR211" s="2522"/>
      <c r="FRS211" s="2522"/>
      <c r="FRT211" s="2522"/>
      <c r="FRU211" s="2522"/>
      <c r="FRV211" s="2522"/>
      <c r="FRW211" s="2522"/>
      <c r="FRX211" s="2522"/>
      <c r="FRY211" s="2522"/>
      <c r="FRZ211" s="2522"/>
      <c r="FSA211" s="2522"/>
      <c r="FSB211" s="2522"/>
      <c r="FSC211" s="2522"/>
      <c r="FSD211" s="2522"/>
      <c r="FSE211" s="2522"/>
      <c r="FSF211" s="2522"/>
      <c r="FSG211" s="2522"/>
      <c r="FSH211" s="2522"/>
      <c r="FSI211" s="2522"/>
      <c r="FSJ211" s="2522"/>
      <c r="FSK211" s="2522"/>
      <c r="FSL211" s="2522"/>
      <c r="FSM211" s="2522"/>
      <c r="FSN211" s="2522"/>
      <c r="FSO211" s="2522"/>
      <c r="FSP211" s="2522"/>
      <c r="FSQ211" s="2522"/>
      <c r="FSR211" s="2522"/>
      <c r="FSS211" s="2522"/>
      <c r="FST211" s="2522"/>
      <c r="FSU211" s="2522"/>
      <c r="FSV211" s="2522"/>
      <c r="FSW211" s="2522"/>
      <c r="FSX211" s="2522"/>
      <c r="FSY211" s="2522"/>
      <c r="FSZ211" s="2522"/>
      <c r="FTA211" s="2522"/>
      <c r="FTB211" s="2522"/>
      <c r="FTC211" s="2522"/>
      <c r="FTD211" s="2522"/>
      <c r="FTE211" s="2522"/>
      <c r="FTF211" s="2522"/>
      <c r="FTG211" s="2522"/>
      <c r="FTH211" s="2522"/>
      <c r="FTI211" s="2522"/>
      <c r="FTJ211" s="2522"/>
      <c r="FTK211" s="2522"/>
      <c r="FTL211" s="2522"/>
      <c r="FTM211" s="2522"/>
      <c r="FTN211" s="2522"/>
      <c r="FTO211" s="2522"/>
      <c r="FTP211" s="2522"/>
      <c r="FTQ211" s="2522"/>
      <c r="FTR211" s="2522"/>
      <c r="FTS211" s="2522"/>
      <c r="FTT211" s="2522"/>
      <c r="FTU211" s="2522"/>
      <c r="FTV211" s="2522"/>
      <c r="FTW211" s="2522"/>
      <c r="FTX211" s="2522"/>
      <c r="FTY211" s="2522"/>
      <c r="FTZ211" s="2522"/>
      <c r="FUA211" s="2522"/>
      <c r="FUB211" s="2522"/>
      <c r="FUC211" s="2522"/>
      <c r="FUD211" s="2522"/>
      <c r="FUE211" s="2522"/>
      <c r="FUF211" s="2522"/>
      <c r="FUG211" s="2522"/>
      <c r="FUH211" s="2522"/>
      <c r="FUI211" s="2522"/>
      <c r="FUJ211" s="2522"/>
      <c r="FUK211" s="2522"/>
      <c r="FUL211" s="2522"/>
      <c r="FUM211" s="2522"/>
      <c r="FUN211" s="2522"/>
      <c r="FUO211" s="2522"/>
      <c r="FUP211" s="2522"/>
      <c r="FUQ211" s="2522"/>
      <c r="FUR211" s="2522"/>
      <c r="FUS211" s="2522"/>
      <c r="FUT211" s="2522"/>
      <c r="FUU211" s="2522"/>
      <c r="FUV211" s="2522"/>
      <c r="FUW211" s="2522"/>
      <c r="FUX211" s="2522"/>
      <c r="FUY211" s="2522"/>
      <c r="FUZ211" s="2522"/>
      <c r="FVA211" s="2522"/>
      <c r="FVB211" s="2522"/>
      <c r="FVC211" s="2522"/>
      <c r="FVD211" s="2522"/>
      <c r="FVE211" s="2522"/>
      <c r="FVF211" s="2522"/>
      <c r="FVG211" s="2522"/>
      <c r="FVH211" s="2522"/>
      <c r="FVI211" s="2522"/>
      <c r="FVJ211" s="2522"/>
      <c r="FVK211" s="2522"/>
      <c r="FVL211" s="2522"/>
      <c r="FVM211" s="2522"/>
      <c r="FVN211" s="2522"/>
      <c r="FVO211" s="2522"/>
      <c r="FVP211" s="2522"/>
      <c r="FVQ211" s="2522"/>
      <c r="FVR211" s="2522"/>
      <c r="FVS211" s="2522"/>
      <c r="FVT211" s="2522"/>
      <c r="FVU211" s="2522"/>
      <c r="FVV211" s="2522"/>
      <c r="FVW211" s="2522"/>
      <c r="FVX211" s="2522"/>
      <c r="FVY211" s="2522"/>
      <c r="FVZ211" s="2522"/>
      <c r="FWA211" s="2522"/>
      <c r="FWB211" s="2522"/>
      <c r="FWC211" s="2522"/>
      <c r="FWD211" s="2522"/>
      <c r="FWE211" s="2522"/>
      <c r="FWF211" s="2522"/>
      <c r="FWG211" s="2522"/>
      <c r="FWH211" s="2522"/>
      <c r="FWI211" s="2522"/>
      <c r="FWJ211" s="2522"/>
      <c r="FWK211" s="2522"/>
      <c r="FWL211" s="2522"/>
      <c r="FWM211" s="2522"/>
      <c r="FWN211" s="2522"/>
      <c r="FWO211" s="2522"/>
      <c r="FWP211" s="2522"/>
      <c r="FWQ211" s="2522"/>
      <c r="FWR211" s="2522"/>
      <c r="FWS211" s="2522"/>
      <c r="FWT211" s="2522"/>
      <c r="FWU211" s="2522"/>
      <c r="FWV211" s="2522"/>
      <c r="FWW211" s="2522"/>
      <c r="FWX211" s="2522"/>
      <c r="FWY211" s="2522"/>
      <c r="FWZ211" s="2522"/>
      <c r="FXA211" s="2522"/>
      <c r="FXB211" s="2522"/>
      <c r="FXC211" s="2522"/>
      <c r="FXD211" s="2522"/>
      <c r="FXE211" s="2522"/>
      <c r="FXF211" s="2522"/>
      <c r="FXG211" s="2522"/>
      <c r="FXH211" s="2522"/>
      <c r="FXI211" s="2522"/>
      <c r="FXJ211" s="2522"/>
      <c r="FXK211" s="2522"/>
      <c r="FXL211" s="2522"/>
      <c r="FXM211" s="2522"/>
      <c r="FXN211" s="2522"/>
      <c r="FXO211" s="2522"/>
      <c r="FXP211" s="2522"/>
      <c r="FXQ211" s="2522"/>
      <c r="FXR211" s="2522"/>
      <c r="FXS211" s="2522"/>
      <c r="FXT211" s="2522"/>
      <c r="FXU211" s="2522"/>
      <c r="FXV211" s="2522"/>
      <c r="FXW211" s="2522"/>
      <c r="FXX211" s="2522"/>
      <c r="FXY211" s="2522"/>
      <c r="FXZ211" s="2522"/>
      <c r="FYA211" s="2522"/>
      <c r="FYB211" s="2522"/>
      <c r="FYC211" s="2522"/>
      <c r="FYD211" s="2522"/>
      <c r="FYE211" s="2522"/>
      <c r="FYF211" s="2522"/>
      <c r="FYG211" s="2522"/>
      <c r="FYH211" s="2522"/>
      <c r="FYI211" s="2522"/>
      <c r="FYJ211" s="2522"/>
      <c r="FYK211" s="2522"/>
      <c r="FYL211" s="2522"/>
      <c r="FYM211" s="2522"/>
      <c r="FYN211" s="2522"/>
      <c r="FYO211" s="2522"/>
      <c r="FYP211" s="2522"/>
      <c r="FYQ211" s="2522"/>
      <c r="FYR211" s="2522"/>
      <c r="FYS211" s="2522"/>
      <c r="FYT211" s="2522"/>
      <c r="FYU211" s="2522"/>
      <c r="FYV211" s="2522"/>
      <c r="FYW211" s="2522"/>
      <c r="FYX211" s="2522"/>
      <c r="FYY211" s="2522"/>
      <c r="FYZ211" s="2522"/>
      <c r="FZA211" s="2522"/>
      <c r="FZB211" s="2522"/>
      <c r="FZC211" s="2522"/>
      <c r="FZD211" s="2522"/>
      <c r="FZE211" s="2522"/>
      <c r="FZF211" s="2522"/>
      <c r="FZG211" s="2522"/>
      <c r="FZH211" s="2522"/>
      <c r="FZI211" s="2522"/>
      <c r="FZJ211" s="2522"/>
      <c r="FZK211" s="2522"/>
      <c r="FZL211" s="2522"/>
      <c r="FZM211" s="2522"/>
      <c r="FZN211" s="2522"/>
      <c r="FZO211" s="2522"/>
      <c r="FZP211" s="2522"/>
      <c r="FZQ211" s="2522"/>
      <c r="FZR211" s="2522"/>
      <c r="FZS211" s="2522"/>
      <c r="FZT211" s="2522"/>
      <c r="FZU211" s="2522"/>
      <c r="FZV211" s="2522"/>
      <c r="FZW211" s="2522"/>
      <c r="FZX211" s="2522"/>
      <c r="FZY211" s="2522"/>
      <c r="FZZ211" s="2522"/>
      <c r="GAA211" s="2522"/>
      <c r="GAB211" s="2522"/>
      <c r="GAC211" s="2522"/>
      <c r="GAD211" s="2522"/>
      <c r="GAE211" s="2522"/>
      <c r="GAF211" s="2522"/>
      <c r="GAG211" s="2522"/>
      <c r="GAH211" s="2522"/>
      <c r="GAI211" s="2522"/>
      <c r="GAJ211" s="2522"/>
      <c r="GAK211" s="2522"/>
      <c r="GAL211" s="2522"/>
      <c r="GAM211" s="2522"/>
      <c r="GAN211" s="2522"/>
      <c r="GAO211" s="2522"/>
      <c r="GAP211" s="2522"/>
      <c r="GAQ211" s="2522"/>
      <c r="GAR211" s="2522"/>
      <c r="GAS211" s="2522"/>
      <c r="GAT211" s="2522"/>
      <c r="GAU211" s="2522"/>
      <c r="GAV211" s="2522"/>
      <c r="GAW211" s="2522"/>
      <c r="GAX211" s="2522"/>
      <c r="GAY211" s="2522"/>
      <c r="GAZ211" s="2522"/>
      <c r="GBA211" s="2522"/>
      <c r="GBB211" s="2522"/>
      <c r="GBC211" s="2522"/>
      <c r="GBD211" s="2522"/>
      <c r="GBE211" s="2522"/>
      <c r="GBF211" s="2522"/>
      <c r="GBG211" s="2522"/>
      <c r="GBH211" s="2522"/>
      <c r="GBI211" s="2522"/>
      <c r="GBJ211" s="2522"/>
      <c r="GBK211" s="2522"/>
      <c r="GBL211" s="2522"/>
      <c r="GBM211" s="2522"/>
      <c r="GBN211" s="2522"/>
      <c r="GBO211" s="2522"/>
      <c r="GBP211" s="2522"/>
      <c r="GBQ211" s="2522"/>
      <c r="GBR211" s="2522"/>
      <c r="GBS211" s="2522"/>
      <c r="GBT211" s="2522"/>
      <c r="GBU211" s="2522"/>
      <c r="GBV211" s="2522"/>
      <c r="GBW211" s="2522"/>
      <c r="GBX211" s="2522"/>
      <c r="GBY211" s="2522"/>
      <c r="GBZ211" s="2522"/>
      <c r="GCA211" s="2522"/>
      <c r="GCB211" s="2522"/>
      <c r="GCC211" s="2522"/>
      <c r="GCD211" s="2522"/>
      <c r="GCE211" s="2522"/>
      <c r="GCF211" s="2522"/>
      <c r="GCG211" s="2522"/>
      <c r="GCH211" s="2522"/>
      <c r="GCI211" s="2522"/>
      <c r="GCJ211" s="2522"/>
      <c r="GCK211" s="2522"/>
      <c r="GCL211" s="2522"/>
      <c r="GCM211" s="2522"/>
      <c r="GCN211" s="2522"/>
      <c r="GCO211" s="2522"/>
      <c r="GCP211" s="2522"/>
      <c r="GCQ211" s="2522"/>
      <c r="GCR211" s="2522"/>
      <c r="GCS211" s="2522"/>
      <c r="GCT211" s="2522"/>
      <c r="GCU211" s="2522"/>
      <c r="GCV211" s="2522"/>
      <c r="GCW211" s="2522"/>
      <c r="GCX211" s="2522"/>
      <c r="GCY211" s="2522"/>
      <c r="GCZ211" s="2522"/>
      <c r="GDA211" s="2522"/>
      <c r="GDB211" s="2522"/>
      <c r="GDC211" s="2522"/>
      <c r="GDD211" s="2522"/>
      <c r="GDE211" s="2522"/>
      <c r="GDF211" s="2522"/>
      <c r="GDG211" s="2522"/>
      <c r="GDH211" s="2522"/>
      <c r="GDI211" s="2522"/>
      <c r="GDJ211" s="2522"/>
      <c r="GDK211" s="2522"/>
      <c r="GDL211" s="2522"/>
      <c r="GDM211" s="2522"/>
      <c r="GDN211" s="2522"/>
      <c r="GDO211" s="2522"/>
      <c r="GDP211" s="2522"/>
      <c r="GDQ211" s="2522"/>
      <c r="GDR211" s="2522"/>
      <c r="GDS211" s="2522"/>
      <c r="GDT211" s="2522"/>
      <c r="GDU211" s="2522"/>
      <c r="GDV211" s="2522"/>
      <c r="GDW211" s="2522"/>
      <c r="GDX211" s="2522"/>
      <c r="GDY211" s="2522"/>
      <c r="GDZ211" s="2522"/>
      <c r="GEA211" s="2522"/>
      <c r="GEB211" s="2522"/>
      <c r="GEC211" s="2522"/>
      <c r="GED211" s="2522"/>
      <c r="GEE211" s="2522"/>
      <c r="GEF211" s="2522"/>
      <c r="GEG211" s="2522"/>
      <c r="GEH211" s="2522"/>
      <c r="GEI211" s="2522"/>
      <c r="GEJ211" s="2522"/>
      <c r="GEK211" s="2522"/>
      <c r="GEL211" s="2522"/>
      <c r="GEM211" s="2522"/>
      <c r="GEN211" s="2522"/>
      <c r="GEO211" s="2522"/>
      <c r="GEP211" s="2522"/>
      <c r="GEQ211" s="2522"/>
      <c r="GER211" s="2522"/>
      <c r="GES211" s="2522"/>
      <c r="GET211" s="2522"/>
      <c r="GEU211" s="2522"/>
      <c r="GEV211" s="2522"/>
      <c r="GEW211" s="2522"/>
      <c r="GEX211" s="2522"/>
      <c r="GEY211" s="2522"/>
      <c r="GEZ211" s="2522"/>
      <c r="GFA211" s="2522"/>
      <c r="GFB211" s="2522"/>
      <c r="GFC211" s="2522"/>
      <c r="GFD211" s="2522"/>
      <c r="GFE211" s="2522"/>
      <c r="GFF211" s="2522"/>
      <c r="GFG211" s="2522"/>
      <c r="GFH211" s="2522"/>
      <c r="GFI211" s="2522"/>
      <c r="GFJ211" s="2522"/>
      <c r="GFK211" s="2522"/>
      <c r="GFL211" s="2522"/>
      <c r="GFM211" s="2522"/>
      <c r="GFN211" s="2522"/>
      <c r="GFO211" s="2522"/>
      <c r="GFP211" s="2522"/>
      <c r="GFQ211" s="2522"/>
      <c r="GFR211" s="2522"/>
      <c r="GFS211" s="2522"/>
      <c r="GFT211" s="2522"/>
      <c r="GFU211" s="2522"/>
      <c r="GFV211" s="2522"/>
      <c r="GFW211" s="2522"/>
      <c r="GFX211" s="2522"/>
      <c r="GFY211" s="2522"/>
      <c r="GFZ211" s="2522"/>
      <c r="GGA211" s="2522"/>
      <c r="GGB211" s="2522"/>
      <c r="GGC211" s="2522"/>
      <c r="GGD211" s="2522"/>
      <c r="GGE211" s="2522"/>
      <c r="GGF211" s="2522"/>
      <c r="GGG211" s="2522"/>
      <c r="GGH211" s="2522"/>
      <c r="GGI211" s="2522"/>
      <c r="GGJ211" s="2522"/>
      <c r="GGK211" s="2522"/>
      <c r="GGL211" s="2522"/>
      <c r="GGM211" s="2522"/>
      <c r="GGN211" s="2522"/>
      <c r="GGO211" s="2522"/>
      <c r="GGP211" s="2522"/>
      <c r="GGQ211" s="2522"/>
      <c r="GGR211" s="2522"/>
      <c r="GGS211" s="2522"/>
      <c r="GGT211" s="2522"/>
      <c r="GGU211" s="2522"/>
      <c r="GGV211" s="2522"/>
      <c r="GGW211" s="2522"/>
      <c r="GGX211" s="2522"/>
      <c r="GGY211" s="2522"/>
      <c r="GGZ211" s="2522"/>
      <c r="GHA211" s="2522"/>
      <c r="GHB211" s="2522"/>
      <c r="GHC211" s="2522"/>
      <c r="GHD211" s="2522"/>
      <c r="GHE211" s="2522"/>
      <c r="GHF211" s="2522"/>
      <c r="GHG211" s="2522"/>
      <c r="GHH211" s="2522"/>
      <c r="GHI211" s="2522"/>
      <c r="GHJ211" s="2522"/>
      <c r="GHK211" s="2522"/>
      <c r="GHL211" s="2522"/>
      <c r="GHM211" s="2522"/>
      <c r="GHN211" s="2522"/>
      <c r="GHO211" s="2522"/>
      <c r="GHP211" s="2522"/>
      <c r="GHQ211" s="2522"/>
      <c r="GHR211" s="2522"/>
      <c r="GHS211" s="2522"/>
      <c r="GHT211" s="2522"/>
      <c r="GHU211" s="2522"/>
      <c r="GHV211" s="2522"/>
      <c r="GHW211" s="2522"/>
      <c r="GHX211" s="2522"/>
      <c r="GHY211" s="2522"/>
      <c r="GHZ211" s="2522"/>
      <c r="GIA211" s="2522"/>
      <c r="GIB211" s="2522"/>
      <c r="GIC211" s="2522"/>
      <c r="GID211" s="2522"/>
      <c r="GIE211" s="2522"/>
      <c r="GIF211" s="2522"/>
      <c r="GIG211" s="2522"/>
      <c r="GIH211" s="2522"/>
      <c r="GII211" s="2522"/>
      <c r="GIJ211" s="2522"/>
      <c r="GIK211" s="2522"/>
      <c r="GIL211" s="2522"/>
      <c r="GIM211" s="2522"/>
      <c r="GIN211" s="2522"/>
      <c r="GIO211" s="2522"/>
      <c r="GIP211" s="2522"/>
      <c r="GIQ211" s="2522"/>
      <c r="GIR211" s="2522"/>
      <c r="GIS211" s="2522"/>
      <c r="GIT211" s="2522"/>
      <c r="GIU211" s="2522"/>
      <c r="GIV211" s="2522"/>
      <c r="GIW211" s="2522"/>
      <c r="GIX211" s="2522"/>
      <c r="GIY211" s="2522"/>
      <c r="GIZ211" s="2522"/>
      <c r="GJA211" s="2522"/>
      <c r="GJB211" s="2522"/>
      <c r="GJC211" s="2522"/>
      <c r="GJD211" s="2522"/>
      <c r="GJE211" s="2522"/>
      <c r="GJF211" s="2522"/>
      <c r="GJG211" s="2522"/>
      <c r="GJH211" s="2522"/>
      <c r="GJI211" s="2522"/>
      <c r="GJJ211" s="2522"/>
      <c r="GJK211" s="2522"/>
      <c r="GJL211" s="2522"/>
      <c r="GJM211" s="2522"/>
      <c r="GJN211" s="2522"/>
      <c r="GJO211" s="2522"/>
      <c r="GJP211" s="2522"/>
      <c r="GJQ211" s="2522"/>
      <c r="GJR211" s="2522"/>
      <c r="GJS211" s="2522"/>
      <c r="GJT211" s="2522"/>
      <c r="GJU211" s="2522"/>
      <c r="GJV211" s="2522"/>
      <c r="GJW211" s="2522"/>
      <c r="GJX211" s="2522"/>
      <c r="GJY211" s="2522"/>
      <c r="GJZ211" s="2522"/>
      <c r="GKA211" s="2522"/>
      <c r="GKB211" s="2522"/>
      <c r="GKC211" s="2522"/>
      <c r="GKD211" s="2522"/>
      <c r="GKE211" s="2522"/>
      <c r="GKF211" s="2522"/>
      <c r="GKG211" s="2522"/>
      <c r="GKH211" s="2522"/>
      <c r="GKI211" s="2522"/>
      <c r="GKJ211" s="2522"/>
      <c r="GKK211" s="2522"/>
      <c r="GKL211" s="2522"/>
      <c r="GKM211" s="2522"/>
      <c r="GKN211" s="2522"/>
      <c r="GKO211" s="2522"/>
      <c r="GKP211" s="2522"/>
      <c r="GKQ211" s="2522"/>
      <c r="GKR211" s="2522"/>
      <c r="GKS211" s="2522"/>
      <c r="GKT211" s="2522"/>
      <c r="GKU211" s="2522"/>
      <c r="GKV211" s="2522"/>
      <c r="GKW211" s="2522"/>
      <c r="GKX211" s="2522"/>
      <c r="GKY211" s="2522"/>
      <c r="GKZ211" s="2522"/>
      <c r="GLA211" s="2522"/>
      <c r="GLB211" s="2522"/>
      <c r="GLC211" s="2522"/>
      <c r="GLD211" s="2522"/>
      <c r="GLE211" s="2522"/>
      <c r="GLF211" s="2522"/>
      <c r="GLG211" s="2522"/>
      <c r="GLH211" s="2522"/>
      <c r="GLI211" s="2522"/>
      <c r="GLJ211" s="2522"/>
      <c r="GLK211" s="2522"/>
      <c r="GLL211" s="2522"/>
      <c r="GLM211" s="2522"/>
      <c r="GLN211" s="2522"/>
      <c r="GLO211" s="2522"/>
      <c r="GLP211" s="2522"/>
      <c r="GLQ211" s="2522"/>
      <c r="GLR211" s="2522"/>
      <c r="GLS211" s="2522"/>
      <c r="GLT211" s="2522"/>
      <c r="GLU211" s="2522"/>
      <c r="GLV211" s="2522"/>
      <c r="GLW211" s="2522"/>
      <c r="GLX211" s="2522"/>
      <c r="GLY211" s="2522"/>
      <c r="GLZ211" s="2522"/>
      <c r="GMA211" s="2522"/>
      <c r="GMB211" s="2522"/>
      <c r="GMC211" s="2522"/>
      <c r="GMD211" s="2522"/>
      <c r="GME211" s="2522"/>
      <c r="GMF211" s="2522"/>
      <c r="GMG211" s="2522"/>
      <c r="GMH211" s="2522"/>
      <c r="GMI211" s="2522"/>
      <c r="GMJ211" s="2522"/>
      <c r="GMK211" s="2522"/>
      <c r="GML211" s="2522"/>
      <c r="GMM211" s="2522"/>
      <c r="GMN211" s="2522"/>
      <c r="GMO211" s="2522"/>
      <c r="GMP211" s="2522"/>
      <c r="GMQ211" s="2522"/>
      <c r="GMR211" s="2522"/>
      <c r="GMS211" s="2522"/>
      <c r="GMT211" s="2522"/>
      <c r="GMU211" s="2522"/>
      <c r="GMV211" s="2522"/>
      <c r="GMW211" s="2522"/>
      <c r="GMX211" s="2522"/>
      <c r="GMY211" s="2522"/>
      <c r="GMZ211" s="2522"/>
      <c r="GNA211" s="2522"/>
      <c r="GNB211" s="2522"/>
      <c r="GNC211" s="2522"/>
      <c r="GND211" s="2522"/>
      <c r="GNE211" s="2522"/>
      <c r="GNF211" s="2522"/>
      <c r="GNG211" s="2522"/>
      <c r="GNH211" s="2522"/>
      <c r="GNI211" s="2522"/>
      <c r="GNJ211" s="2522"/>
      <c r="GNK211" s="2522"/>
      <c r="GNL211" s="2522"/>
      <c r="GNM211" s="2522"/>
      <c r="GNN211" s="2522"/>
      <c r="GNO211" s="2522"/>
      <c r="GNP211" s="2522"/>
      <c r="GNQ211" s="2522"/>
      <c r="GNR211" s="2522"/>
      <c r="GNS211" s="2522"/>
      <c r="GNT211" s="2522"/>
      <c r="GNU211" s="2522"/>
      <c r="GNV211" s="2522"/>
      <c r="GNW211" s="2522"/>
      <c r="GNX211" s="2522"/>
      <c r="GNY211" s="2522"/>
      <c r="GNZ211" s="2522"/>
      <c r="GOA211" s="2522"/>
      <c r="GOB211" s="2522"/>
      <c r="GOC211" s="2522"/>
      <c r="GOD211" s="2522"/>
      <c r="GOE211" s="2522"/>
      <c r="GOF211" s="2522"/>
      <c r="GOG211" s="2522"/>
      <c r="GOH211" s="2522"/>
      <c r="GOI211" s="2522"/>
      <c r="GOJ211" s="2522"/>
      <c r="GOK211" s="2522"/>
      <c r="GOL211" s="2522"/>
      <c r="GOM211" s="2522"/>
      <c r="GON211" s="2522"/>
      <c r="GOO211" s="2522"/>
      <c r="GOP211" s="2522"/>
      <c r="GOQ211" s="2522"/>
      <c r="GOR211" s="2522"/>
      <c r="GOS211" s="2522"/>
      <c r="GOT211" s="2522"/>
      <c r="GOU211" s="2522"/>
      <c r="GOV211" s="2522"/>
      <c r="GOW211" s="2522"/>
      <c r="GOX211" s="2522"/>
      <c r="GOY211" s="2522"/>
      <c r="GOZ211" s="2522"/>
      <c r="GPA211" s="2522"/>
      <c r="GPB211" s="2522"/>
      <c r="GPC211" s="2522"/>
      <c r="GPD211" s="2522"/>
      <c r="GPE211" s="2522"/>
      <c r="GPF211" s="2522"/>
      <c r="GPG211" s="2522"/>
      <c r="GPH211" s="2522"/>
      <c r="GPI211" s="2522"/>
      <c r="GPJ211" s="2522"/>
      <c r="GPK211" s="2522"/>
      <c r="GPL211" s="2522"/>
      <c r="GPM211" s="2522"/>
      <c r="GPN211" s="2522"/>
      <c r="GPO211" s="2522"/>
      <c r="GPP211" s="2522"/>
      <c r="GPQ211" s="2522"/>
      <c r="GPR211" s="2522"/>
      <c r="GPS211" s="2522"/>
      <c r="GPT211" s="2522"/>
      <c r="GPU211" s="2522"/>
      <c r="GPV211" s="2522"/>
      <c r="GPW211" s="2522"/>
      <c r="GPX211" s="2522"/>
      <c r="GPY211" s="2522"/>
      <c r="GPZ211" s="2522"/>
      <c r="GQA211" s="2522"/>
      <c r="GQB211" s="2522"/>
      <c r="GQC211" s="2522"/>
      <c r="GQD211" s="2522"/>
      <c r="GQE211" s="2522"/>
      <c r="GQF211" s="2522"/>
      <c r="GQG211" s="2522"/>
      <c r="GQH211" s="2522"/>
      <c r="GQI211" s="2522"/>
      <c r="GQJ211" s="2522"/>
      <c r="GQK211" s="2522"/>
      <c r="GQL211" s="2522"/>
      <c r="GQM211" s="2522"/>
      <c r="GQN211" s="2522"/>
      <c r="GQO211" s="2522"/>
      <c r="GQP211" s="2522"/>
      <c r="GQQ211" s="2522"/>
      <c r="GQR211" s="2522"/>
      <c r="GQS211" s="2522"/>
      <c r="GQT211" s="2522"/>
      <c r="GQU211" s="2522"/>
      <c r="GQV211" s="2522"/>
      <c r="GQW211" s="2522"/>
      <c r="GQX211" s="2522"/>
      <c r="GQY211" s="2522"/>
      <c r="GQZ211" s="2522"/>
      <c r="GRA211" s="2522"/>
      <c r="GRB211" s="2522"/>
      <c r="GRC211" s="2522"/>
      <c r="GRD211" s="2522"/>
      <c r="GRE211" s="2522"/>
      <c r="GRF211" s="2522"/>
      <c r="GRG211" s="2522"/>
      <c r="GRH211" s="2522"/>
      <c r="GRI211" s="2522"/>
      <c r="GRJ211" s="2522"/>
      <c r="GRK211" s="2522"/>
      <c r="GRL211" s="2522"/>
      <c r="GRM211" s="2522"/>
      <c r="GRN211" s="2522"/>
      <c r="GRO211" s="2522"/>
      <c r="GRP211" s="2522"/>
      <c r="GRQ211" s="2522"/>
      <c r="GRR211" s="2522"/>
      <c r="GRS211" s="2522"/>
      <c r="GRT211" s="2522"/>
      <c r="GRU211" s="2522"/>
      <c r="GRV211" s="2522"/>
      <c r="GRW211" s="2522"/>
      <c r="GRX211" s="2522"/>
      <c r="GRY211" s="2522"/>
      <c r="GRZ211" s="2522"/>
      <c r="GSA211" s="2522"/>
      <c r="GSB211" s="2522"/>
      <c r="GSC211" s="2522"/>
      <c r="GSD211" s="2522"/>
      <c r="GSE211" s="2522"/>
      <c r="GSF211" s="2522"/>
      <c r="GSG211" s="2522"/>
      <c r="GSH211" s="2522"/>
      <c r="GSI211" s="2522"/>
      <c r="GSJ211" s="2522"/>
      <c r="GSK211" s="2522"/>
      <c r="GSL211" s="2522"/>
      <c r="GSM211" s="2522"/>
      <c r="GSN211" s="2522"/>
      <c r="GSO211" s="2522"/>
      <c r="GSP211" s="2522"/>
      <c r="GSQ211" s="2522"/>
      <c r="GSR211" s="2522"/>
      <c r="GSS211" s="2522"/>
      <c r="GST211" s="2522"/>
      <c r="GSU211" s="2522"/>
      <c r="GSV211" s="2522"/>
      <c r="GSW211" s="2522"/>
      <c r="GSX211" s="2522"/>
      <c r="GSY211" s="2522"/>
      <c r="GSZ211" s="2522"/>
      <c r="GTA211" s="2522"/>
      <c r="GTB211" s="2522"/>
      <c r="GTC211" s="2522"/>
      <c r="GTD211" s="2522"/>
      <c r="GTE211" s="2522"/>
      <c r="GTF211" s="2522"/>
      <c r="GTG211" s="2522"/>
      <c r="GTH211" s="2522"/>
      <c r="GTI211" s="2522"/>
      <c r="GTJ211" s="2522"/>
      <c r="GTK211" s="2522"/>
      <c r="GTL211" s="2522"/>
      <c r="GTM211" s="2522"/>
      <c r="GTN211" s="2522"/>
      <c r="GTO211" s="2522"/>
      <c r="GTP211" s="2522"/>
      <c r="GTQ211" s="2522"/>
      <c r="GTR211" s="2522"/>
      <c r="GTS211" s="2522"/>
      <c r="GTT211" s="2522"/>
      <c r="GTU211" s="2522"/>
      <c r="GTV211" s="2522"/>
      <c r="GTW211" s="2522"/>
      <c r="GTX211" s="2522"/>
      <c r="GTY211" s="2522"/>
      <c r="GTZ211" s="2522"/>
      <c r="GUA211" s="2522"/>
      <c r="GUB211" s="2522"/>
      <c r="GUC211" s="2522"/>
      <c r="GUD211" s="2522"/>
      <c r="GUE211" s="2522"/>
      <c r="GUF211" s="2522"/>
      <c r="GUG211" s="2522"/>
      <c r="GUH211" s="2522"/>
      <c r="GUI211" s="2522"/>
      <c r="GUJ211" s="2522"/>
      <c r="GUK211" s="2522"/>
      <c r="GUL211" s="2522"/>
      <c r="GUM211" s="2522"/>
      <c r="GUN211" s="2522"/>
      <c r="GUO211" s="2522"/>
      <c r="GUP211" s="2522"/>
      <c r="GUQ211" s="2522"/>
      <c r="GUR211" s="2522"/>
      <c r="GUS211" s="2522"/>
      <c r="GUT211" s="2522"/>
      <c r="GUU211" s="2522"/>
      <c r="GUV211" s="2522"/>
      <c r="GUW211" s="2522"/>
      <c r="GUX211" s="2522"/>
      <c r="GUY211" s="2522"/>
      <c r="GUZ211" s="2522"/>
      <c r="GVA211" s="2522"/>
      <c r="GVB211" s="2522"/>
      <c r="GVC211" s="2522"/>
      <c r="GVD211" s="2522"/>
      <c r="GVE211" s="2522"/>
      <c r="GVF211" s="2522"/>
      <c r="GVG211" s="2522"/>
      <c r="GVH211" s="2522"/>
      <c r="GVI211" s="2522"/>
      <c r="GVJ211" s="2522"/>
      <c r="GVK211" s="2522"/>
      <c r="GVL211" s="2522"/>
      <c r="GVM211" s="2522"/>
      <c r="GVN211" s="2522"/>
      <c r="GVO211" s="2522"/>
      <c r="GVP211" s="2522"/>
      <c r="GVQ211" s="2522"/>
      <c r="GVR211" s="2522"/>
      <c r="GVS211" s="2522"/>
      <c r="GVT211" s="2522"/>
      <c r="GVU211" s="2522"/>
      <c r="GVV211" s="2522"/>
      <c r="GVW211" s="2522"/>
      <c r="GVX211" s="2522"/>
      <c r="GVY211" s="2522"/>
      <c r="GVZ211" s="2522"/>
      <c r="GWA211" s="2522"/>
      <c r="GWB211" s="2522"/>
      <c r="GWC211" s="2522"/>
      <c r="GWD211" s="2522"/>
      <c r="GWE211" s="2522"/>
      <c r="GWF211" s="2522"/>
      <c r="GWG211" s="2522"/>
      <c r="GWH211" s="2522"/>
      <c r="GWI211" s="2522"/>
      <c r="GWJ211" s="2522"/>
      <c r="GWK211" s="2522"/>
      <c r="GWL211" s="2522"/>
      <c r="GWM211" s="2522"/>
      <c r="GWN211" s="2522"/>
      <c r="GWO211" s="2522"/>
      <c r="GWP211" s="2522"/>
      <c r="GWQ211" s="2522"/>
      <c r="GWR211" s="2522"/>
      <c r="GWS211" s="2522"/>
      <c r="GWT211" s="2522"/>
      <c r="GWU211" s="2522"/>
      <c r="GWV211" s="2522"/>
      <c r="GWW211" s="2522"/>
      <c r="GWX211" s="2522"/>
      <c r="GWY211" s="2522"/>
      <c r="GWZ211" s="2522"/>
      <c r="GXA211" s="2522"/>
      <c r="GXB211" s="2522"/>
      <c r="GXC211" s="2522"/>
      <c r="GXD211" s="2522"/>
      <c r="GXE211" s="2522"/>
      <c r="GXF211" s="2522"/>
      <c r="GXG211" s="2522"/>
      <c r="GXH211" s="2522"/>
      <c r="GXI211" s="2522"/>
      <c r="GXJ211" s="2522"/>
      <c r="GXK211" s="2522"/>
      <c r="GXL211" s="2522"/>
      <c r="GXM211" s="2522"/>
      <c r="GXN211" s="2522"/>
      <c r="GXO211" s="2522"/>
      <c r="GXP211" s="2522"/>
      <c r="GXQ211" s="2522"/>
      <c r="GXR211" s="2522"/>
      <c r="GXS211" s="2522"/>
      <c r="GXT211" s="2522"/>
      <c r="GXU211" s="2522"/>
      <c r="GXV211" s="2522"/>
      <c r="GXW211" s="2522"/>
      <c r="GXX211" s="2522"/>
      <c r="GXY211" s="2522"/>
      <c r="GXZ211" s="2522"/>
      <c r="GYA211" s="2522"/>
      <c r="GYB211" s="2522"/>
      <c r="GYC211" s="2522"/>
      <c r="GYD211" s="2522"/>
      <c r="GYE211" s="2522"/>
      <c r="GYF211" s="2522"/>
      <c r="GYG211" s="2522"/>
      <c r="GYH211" s="2522"/>
      <c r="GYI211" s="2522"/>
      <c r="GYJ211" s="2522"/>
      <c r="GYK211" s="2522"/>
      <c r="GYL211" s="2522"/>
      <c r="GYM211" s="2522"/>
      <c r="GYN211" s="2522"/>
      <c r="GYO211" s="2522"/>
      <c r="GYP211" s="2522"/>
      <c r="GYQ211" s="2522"/>
      <c r="GYR211" s="2522"/>
      <c r="GYS211" s="2522"/>
      <c r="GYT211" s="2522"/>
      <c r="GYU211" s="2522"/>
      <c r="GYV211" s="2522"/>
      <c r="GYW211" s="2522"/>
      <c r="GYX211" s="2522"/>
      <c r="GYY211" s="2522"/>
      <c r="GYZ211" s="2522"/>
      <c r="GZA211" s="2522"/>
      <c r="GZB211" s="2522"/>
      <c r="GZC211" s="2522"/>
      <c r="GZD211" s="2522"/>
      <c r="GZE211" s="2522"/>
      <c r="GZF211" s="2522"/>
      <c r="GZG211" s="2522"/>
      <c r="GZH211" s="2522"/>
      <c r="GZI211" s="2522"/>
      <c r="GZJ211" s="2522"/>
      <c r="GZK211" s="2522"/>
      <c r="GZL211" s="2522"/>
      <c r="GZM211" s="2522"/>
      <c r="GZN211" s="2522"/>
      <c r="GZO211" s="2522"/>
      <c r="GZP211" s="2522"/>
      <c r="GZQ211" s="2522"/>
      <c r="GZR211" s="2522"/>
      <c r="GZS211" s="2522"/>
      <c r="GZT211" s="2522"/>
      <c r="GZU211" s="2522"/>
      <c r="GZV211" s="2522"/>
      <c r="GZW211" s="2522"/>
      <c r="GZX211" s="2522"/>
      <c r="GZY211" s="2522"/>
      <c r="GZZ211" s="2522"/>
      <c r="HAA211" s="2522"/>
      <c r="HAB211" s="2522"/>
      <c r="HAC211" s="2522"/>
      <c r="HAD211" s="2522"/>
      <c r="HAE211" s="2522"/>
      <c r="HAF211" s="2522"/>
      <c r="HAG211" s="2522"/>
      <c r="HAH211" s="2522"/>
      <c r="HAI211" s="2522"/>
      <c r="HAJ211" s="2522"/>
      <c r="HAK211" s="2522"/>
      <c r="HAL211" s="2522"/>
      <c r="HAM211" s="2522"/>
      <c r="HAN211" s="2522"/>
      <c r="HAO211" s="2522"/>
      <c r="HAP211" s="2522"/>
      <c r="HAQ211" s="2522"/>
      <c r="HAR211" s="2522"/>
      <c r="HAS211" s="2522"/>
      <c r="HAT211" s="2522"/>
      <c r="HAU211" s="2522"/>
      <c r="HAV211" s="2522"/>
      <c r="HAW211" s="2522"/>
      <c r="HAX211" s="2522"/>
      <c r="HAY211" s="2522"/>
      <c r="HAZ211" s="2522"/>
      <c r="HBA211" s="2522"/>
      <c r="HBB211" s="2522"/>
      <c r="HBC211" s="2522"/>
      <c r="HBD211" s="2522"/>
      <c r="HBE211" s="2522"/>
      <c r="HBF211" s="2522"/>
      <c r="HBG211" s="2522"/>
      <c r="HBH211" s="2522"/>
      <c r="HBI211" s="2522"/>
      <c r="HBJ211" s="2522"/>
      <c r="HBK211" s="2522"/>
      <c r="HBL211" s="2522"/>
      <c r="HBM211" s="2522"/>
      <c r="HBN211" s="2522"/>
      <c r="HBO211" s="2522"/>
      <c r="HBP211" s="2522"/>
      <c r="HBQ211" s="2522"/>
      <c r="HBR211" s="2522"/>
      <c r="HBS211" s="2522"/>
      <c r="HBT211" s="2522"/>
      <c r="HBU211" s="2522"/>
      <c r="HBV211" s="2522"/>
      <c r="HBW211" s="2522"/>
      <c r="HBX211" s="2522"/>
      <c r="HBY211" s="2522"/>
      <c r="HBZ211" s="2522"/>
      <c r="HCA211" s="2522"/>
      <c r="HCB211" s="2522"/>
      <c r="HCC211" s="2522"/>
      <c r="HCD211" s="2522"/>
      <c r="HCE211" s="2522"/>
      <c r="HCF211" s="2522"/>
      <c r="HCG211" s="2522"/>
      <c r="HCH211" s="2522"/>
      <c r="HCI211" s="2522"/>
      <c r="HCJ211" s="2522"/>
      <c r="HCK211" s="2522"/>
      <c r="HCL211" s="2522"/>
      <c r="HCM211" s="2522"/>
      <c r="HCN211" s="2522"/>
      <c r="HCO211" s="2522"/>
      <c r="HCP211" s="2522"/>
      <c r="HCQ211" s="2522"/>
      <c r="HCR211" s="2522"/>
      <c r="HCS211" s="2522"/>
      <c r="HCT211" s="2522"/>
      <c r="HCU211" s="2522"/>
      <c r="HCV211" s="2522"/>
      <c r="HCW211" s="2522"/>
      <c r="HCX211" s="2522"/>
      <c r="HCY211" s="2522"/>
      <c r="HCZ211" s="2522"/>
      <c r="HDA211" s="2522"/>
      <c r="HDB211" s="2522"/>
      <c r="HDC211" s="2522"/>
      <c r="HDD211" s="2522"/>
      <c r="HDE211" s="2522"/>
      <c r="HDF211" s="2522"/>
      <c r="HDG211" s="2522"/>
      <c r="HDH211" s="2522"/>
      <c r="HDI211" s="2522"/>
      <c r="HDJ211" s="2522"/>
      <c r="HDK211" s="2522"/>
      <c r="HDL211" s="2522"/>
      <c r="HDM211" s="2522"/>
      <c r="HDN211" s="2522"/>
      <c r="HDO211" s="2522"/>
      <c r="HDP211" s="2522"/>
      <c r="HDQ211" s="2522"/>
      <c r="HDR211" s="2522"/>
      <c r="HDS211" s="2522"/>
      <c r="HDT211" s="2522"/>
      <c r="HDU211" s="2522"/>
      <c r="HDV211" s="2522"/>
      <c r="HDW211" s="2522"/>
      <c r="HDX211" s="2522"/>
      <c r="HDY211" s="2522"/>
      <c r="HDZ211" s="2522"/>
      <c r="HEA211" s="2522"/>
      <c r="HEB211" s="2522"/>
      <c r="HEC211" s="2522"/>
      <c r="HED211" s="2522"/>
      <c r="HEE211" s="2522"/>
      <c r="HEF211" s="2522"/>
      <c r="HEG211" s="2522"/>
      <c r="HEH211" s="2522"/>
      <c r="HEI211" s="2522"/>
      <c r="HEJ211" s="2522"/>
      <c r="HEK211" s="2522"/>
      <c r="HEL211" s="2522"/>
      <c r="HEM211" s="2522"/>
      <c r="HEN211" s="2522"/>
      <c r="HEO211" s="2522"/>
      <c r="HEP211" s="2522"/>
      <c r="HEQ211" s="2522"/>
      <c r="HER211" s="2522"/>
      <c r="HES211" s="2522"/>
      <c r="HET211" s="2522"/>
      <c r="HEU211" s="2522"/>
      <c r="HEV211" s="2522"/>
      <c r="HEW211" s="2522"/>
      <c r="HEX211" s="2522"/>
      <c r="HEY211" s="2522"/>
      <c r="HEZ211" s="2522"/>
      <c r="HFA211" s="2522"/>
      <c r="HFB211" s="2522"/>
      <c r="HFC211" s="2522"/>
      <c r="HFD211" s="2522"/>
      <c r="HFE211" s="2522"/>
      <c r="HFF211" s="2522"/>
      <c r="HFG211" s="2522"/>
      <c r="HFH211" s="2522"/>
      <c r="HFI211" s="2522"/>
      <c r="HFJ211" s="2522"/>
      <c r="HFK211" s="2522"/>
      <c r="HFL211" s="2522"/>
      <c r="HFM211" s="2522"/>
      <c r="HFN211" s="2522"/>
      <c r="HFO211" s="2522"/>
      <c r="HFP211" s="2522"/>
      <c r="HFQ211" s="2522"/>
      <c r="HFR211" s="2522"/>
      <c r="HFS211" s="2522"/>
      <c r="HFT211" s="2522"/>
      <c r="HFU211" s="2522"/>
      <c r="HFV211" s="2522"/>
      <c r="HFW211" s="2522"/>
      <c r="HFX211" s="2522"/>
      <c r="HFY211" s="2522"/>
      <c r="HFZ211" s="2522"/>
      <c r="HGA211" s="2522"/>
      <c r="HGB211" s="2522"/>
      <c r="HGC211" s="2522"/>
      <c r="HGD211" s="2522"/>
      <c r="HGE211" s="2522"/>
      <c r="HGF211" s="2522"/>
      <c r="HGG211" s="2522"/>
      <c r="HGH211" s="2522"/>
      <c r="HGI211" s="2522"/>
      <c r="HGJ211" s="2522"/>
      <c r="HGK211" s="2522"/>
      <c r="HGL211" s="2522"/>
      <c r="HGM211" s="2522"/>
      <c r="HGN211" s="2522"/>
      <c r="HGO211" s="2522"/>
      <c r="HGP211" s="2522"/>
      <c r="HGQ211" s="2522"/>
      <c r="HGR211" s="2522"/>
      <c r="HGS211" s="2522"/>
      <c r="HGT211" s="2522"/>
      <c r="HGU211" s="2522"/>
      <c r="HGV211" s="2522"/>
      <c r="HGW211" s="2522"/>
      <c r="HGX211" s="2522"/>
      <c r="HGY211" s="2522"/>
      <c r="HGZ211" s="2522"/>
      <c r="HHA211" s="2522"/>
      <c r="HHB211" s="2522"/>
      <c r="HHC211" s="2522"/>
      <c r="HHD211" s="2522"/>
      <c r="HHE211" s="2522"/>
      <c r="HHF211" s="2522"/>
      <c r="HHG211" s="2522"/>
      <c r="HHH211" s="2522"/>
      <c r="HHI211" s="2522"/>
      <c r="HHJ211" s="2522"/>
      <c r="HHK211" s="2522"/>
      <c r="HHL211" s="2522"/>
      <c r="HHM211" s="2522"/>
      <c r="HHN211" s="2522"/>
      <c r="HHO211" s="2522"/>
      <c r="HHP211" s="2522"/>
      <c r="HHQ211" s="2522"/>
      <c r="HHR211" s="2522"/>
      <c r="HHS211" s="2522"/>
      <c r="HHT211" s="2522"/>
      <c r="HHU211" s="2522"/>
      <c r="HHV211" s="2522"/>
      <c r="HHW211" s="2522"/>
      <c r="HHX211" s="2522"/>
      <c r="HHY211" s="2522"/>
      <c r="HHZ211" s="2522"/>
      <c r="HIA211" s="2522"/>
      <c r="HIB211" s="2522"/>
      <c r="HIC211" s="2522"/>
      <c r="HID211" s="2522"/>
      <c r="HIE211" s="2522"/>
      <c r="HIF211" s="2522"/>
      <c r="HIG211" s="2522"/>
      <c r="HIH211" s="2522"/>
      <c r="HII211" s="2522"/>
      <c r="HIJ211" s="2522"/>
      <c r="HIK211" s="2522"/>
      <c r="HIL211" s="2522"/>
      <c r="HIM211" s="2522"/>
      <c r="HIN211" s="2522"/>
      <c r="HIO211" s="2522"/>
      <c r="HIP211" s="2522"/>
      <c r="HIQ211" s="2522"/>
      <c r="HIR211" s="2522"/>
      <c r="HIS211" s="2522"/>
      <c r="HIT211" s="2522"/>
      <c r="HIU211" s="2522"/>
      <c r="HIV211" s="2522"/>
      <c r="HIW211" s="2522"/>
      <c r="HIX211" s="2522"/>
      <c r="HIY211" s="2522"/>
      <c r="HIZ211" s="2522"/>
      <c r="HJA211" s="2522"/>
      <c r="HJB211" s="2522"/>
      <c r="HJC211" s="2522"/>
      <c r="HJD211" s="2522"/>
      <c r="HJE211" s="2522"/>
      <c r="HJF211" s="2522"/>
      <c r="HJG211" s="2522"/>
      <c r="HJH211" s="2522"/>
      <c r="HJI211" s="2522"/>
      <c r="HJJ211" s="2522"/>
      <c r="HJK211" s="2522"/>
      <c r="HJL211" s="2522"/>
      <c r="HJM211" s="2522"/>
      <c r="HJN211" s="2522"/>
      <c r="HJO211" s="2522"/>
      <c r="HJP211" s="2522"/>
      <c r="HJQ211" s="2522"/>
      <c r="HJR211" s="2522"/>
      <c r="HJS211" s="2522"/>
      <c r="HJT211" s="2522"/>
      <c r="HJU211" s="2522"/>
      <c r="HJV211" s="2522"/>
      <c r="HJW211" s="2522"/>
      <c r="HJX211" s="2522"/>
      <c r="HJY211" s="2522"/>
      <c r="HJZ211" s="2522"/>
      <c r="HKA211" s="2522"/>
      <c r="HKB211" s="2522"/>
      <c r="HKC211" s="2522"/>
      <c r="HKD211" s="2522"/>
      <c r="HKE211" s="2522"/>
      <c r="HKF211" s="2522"/>
      <c r="HKG211" s="2522"/>
      <c r="HKH211" s="2522"/>
      <c r="HKI211" s="2522"/>
      <c r="HKJ211" s="2522"/>
      <c r="HKK211" s="2522"/>
      <c r="HKL211" s="2522"/>
      <c r="HKM211" s="2522"/>
      <c r="HKN211" s="2522"/>
      <c r="HKO211" s="2522"/>
      <c r="HKP211" s="2522"/>
      <c r="HKQ211" s="2522"/>
      <c r="HKR211" s="2522"/>
      <c r="HKS211" s="2522"/>
      <c r="HKT211" s="2522"/>
      <c r="HKU211" s="2522"/>
      <c r="HKV211" s="2522"/>
      <c r="HKW211" s="2522"/>
      <c r="HKX211" s="2522"/>
      <c r="HKY211" s="2522"/>
      <c r="HKZ211" s="2522"/>
      <c r="HLA211" s="2522"/>
      <c r="HLB211" s="2522"/>
      <c r="HLC211" s="2522"/>
      <c r="HLD211" s="2522"/>
      <c r="HLE211" s="2522"/>
      <c r="HLF211" s="2522"/>
      <c r="HLG211" s="2522"/>
      <c r="HLH211" s="2522"/>
      <c r="HLI211" s="2522"/>
      <c r="HLJ211" s="2522"/>
      <c r="HLK211" s="2522"/>
      <c r="HLL211" s="2522"/>
      <c r="HLM211" s="2522"/>
      <c r="HLN211" s="2522"/>
      <c r="HLO211" s="2522"/>
      <c r="HLP211" s="2522"/>
      <c r="HLQ211" s="2522"/>
      <c r="HLR211" s="2522"/>
      <c r="HLS211" s="2522"/>
      <c r="HLT211" s="2522"/>
      <c r="HLU211" s="2522"/>
      <c r="HLV211" s="2522"/>
      <c r="HLW211" s="2522"/>
      <c r="HLX211" s="2522"/>
      <c r="HLY211" s="2522"/>
      <c r="HLZ211" s="2522"/>
      <c r="HMA211" s="2522"/>
      <c r="HMB211" s="2522"/>
      <c r="HMC211" s="2522"/>
      <c r="HMD211" s="2522"/>
      <c r="HME211" s="2522"/>
      <c r="HMF211" s="2522"/>
      <c r="HMG211" s="2522"/>
      <c r="HMH211" s="2522"/>
      <c r="HMI211" s="2522"/>
      <c r="HMJ211" s="2522"/>
      <c r="HMK211" s="2522"/>
      <c r="HML211" s="2522"/>
      <c r="HMM211" s="2522"/>
      <c r="HMN211" s="2522"/>
      <c r="HMO211" s="2522"/>
      <c r="HMP211" s="2522"/>
      <c r="HMQ211" s="2522"/>
      <c r="HMR211" s="2522"/>
      <c r="HMS211" s="2522"/>
      <c r="HMT211" s="2522"/>
      <c r="HMU211" s="2522"/>
      <c r="HMV211" s="2522"/>
      <c r="HMW211" s="2522"/>
      <c r="HMX211" s="2522"/>
      <c r="HMY211" s="2522"/>
      <c r="HMZ211" s="2522"/>
      <c r="HNA211" s="2522"/>
      <c r="HNB211" s="2522"/>
      <c r="HNC211" s="2522"/>
      <c r="HND211" s="2522"/>
      <c r="HNE211" s="2522"/>
      <c r="HNF211" s="2522"/>
      <c r="HNG211" s="2522"/>
      <c r="HNH211" s="2522"/>
      <c r="HNI211" s="2522"/>
      <c r="HNJ211" s="2522"/>
      <c r="HNK211" s="2522"/>
      <c r="HNL211" s="2522"/>
      <c r="HNM211" s="2522"/>
      <c r="HNN211" s="2522"/>
      <c r="HNO211" s="2522"/>
      <c r="HNP211" s="2522"/>
      <c r="HNQ211" s="2522"/>
      <c r="HNR211" s="2522"/>
      <c r="HNS211" s="2522"/>
      <c r="HNT211" s="2522"/>
      <c r="HNU211" s="2522"/>
      <c r="HNV211" s="2522"/>
      <c r="HNW211" s="2522"/>
      <c r="HNX211" s="2522"/>
      <c r="HNY211" s="2522"/>
      <c r="HNZ211" s="2522"/>
      <c r="HOA211" s="2522"/>
      <c r="HOB211" s="2522"/>
      <c r="HOC211" s="2522"/>
      <c r="HOD211" s="2522"/>
      <c r="HOE211" s="2522"/>
      <c r="HOF211" s="2522"/>
      <c r="HOG211" s="2522"/>
      <c r="HOH211" s="2522"/>
      <c r="HOI211" s="2522"/>
      <c r="HOJ211" s="2522"/>
      <c r="HOK211" s="2522"/>
      <c r="HOL211" s="2522"/>
      <c r="HOM211" s="2522"/>
      <c r="HON211" s="2522"/>
      <c r="HOO211" s="2522"/>
      <c r="HOP211" s="2522"/>
      <c r="HOQ211" s="2522"/>
      <c r="HOR211" s="2522"/>
      <c r="HOS211" s="2522"/>
      <c r="HOT211" s="2522"/>
      <c r="HOU211" s="2522"/>
      <c r="HOV211" s="2522"/>
      <c r="HOW211" s="2522"/>
      <c r="HOX211" s="2522"/>
      <c r="HOY211" s="2522"/>
      <c r="HOZ211" s="2522"/>
      <c r="HPA211" s="2522"/>
      <c r="HPB211" s="2522"/>
      <c r="HPC211" s="2522"/>
      <c r="HPD211" s="2522"/>
      <c r="HPE211" s="2522"/>
      <c r="HPF211" s="2522"/>
      <c r="HPG211" s="2522"/>
      <c r="HPH211" s="2522"/>
      <c r="HPI211" s="2522"/>
      <c r="HPJ211" s="2522"/>
      <c r="HPK211" s="2522"/>
      <c r="HPL211" s="2522"/>
      <c r="HPM211" s="2522"/>
      <c r="HPN211" s="2522"/>
      <c r="HPO211" s="2522"/>
      <c r="HPP211" s="2522"/>
      <c r="HPQ211" s="2522"/>
      <c r="HPR211" s="2522"/>
      <c r="HPS211" s="2522"/>
      <c r="HPT211" s="2522"/>
      <c r="HPU211" s="2522"/>
      <c r="HPV211" s="2522"/>
      <c r="HPW211" s="2522"/>
      <c r="HPX211" s="2522"/>
      <c r="HPY211" s="2522"/>
      <c r="HPZ211" s="2522"/>
      <c r="HQA211" s="2522"/>
      <c r="HQB211" s="2522"/>
      <c r="HQC211" s="2522"/>
      <c r="HQD211" s="2522"/>
      <c r="HQE211" s="2522"/>
      <c r="HQF211" s="2522"/>
      <c r="HQG211" s="2522"/>
      <c r="HQH211" s="2522"/>
      <c r="HQI211" s="2522"/>
      <c r="HQJ211" s="2522"/>
      <c r="HQK211" s="2522"/>
      <c r="HQL211" s="2522"/>
      <c r="HQM211" s="2522"/>
      <c r="HQN211" s="2522"/>
      <c r="HQO211" s="2522"/>
      <c r="HQP211" s="2522"/>
      <c r="HQQ211" s="2522"/>
      <c r="HQR211" s="2522"/>
      <c r="HQS211" s="2522"/>
      <c r="HQT211" s="2522"/>
      <c r="HQU211" s="2522"/>
      <c r="HQV211" s="2522"/>
      <c r="HQW211" s="2522"/>
      <c r="HQX211" s="2522"/>
      <c r="HQY211" s="2522"/>
      <c r="HQZ211" s="2522"/>
      <c r="HRA211" s="2522"/>
      <c r="HRB211" s="2522"/>
      <c r="HRC211" s="2522"/>
      <c r="HRD211" s="2522"/>
      <c r="HRE211" s="2522"/>
      <c r="HRF211" s="2522"/>
      <c r="HRG211" s="2522"/>
      <c r="HRH211" s="2522"/>
      <c r="HRI211" s="2522"/>
      <c r="HRJ211" s="2522"/>
      <c r="HRK211" s="2522"/>
      <c r="HRL211" s="2522"/>
      <c r="HRM211" s="2522"/>
      <c r="HRN211" s="2522"/>
      <c r="HRO211" s="2522"/>
      <c r="HRP211" s="2522"/>
      <c r="HRQ211" s="2522"/>
      <c r="HRR211" s="2522"/>
      <c r="HRS211" s="2522"/>
      <c r="HRT211" s="2522"/>
      <c r="HRU211" s="2522"/>
      <c r="HRV211" s="2522"/>
      <c r="HRW211" s="2522"/>
      <c r="HRX211" s="2522"/>
      <c r="HRY211" s="2522"/>
      <c r="HRZ211" s="2522"/>
      <c r="HSA211" s="2522"/>
      <c r="HSB211" s="2522"/>
      <c r="HSC211" s="2522"/>
      <c r="HSD211" s="2522"/>
      <c r="HSE211" s="2522"/>
      <c r="HSF211" s="2522"/>
      <c r="HSG211" s="2522"/>
      <c r="HSH211" s="2522"/>
      <c r="HSI211" s="2522"/>
      <c r="HSJ211" s="2522"/>
      <c r="HSK211" s="2522"/>
      <c r="HSL211" s="2522"/>
      <c r="HSM211" s="2522"/>
      <c r="HSN211" s="2522"/>
      <c r="HSO211" s="2522"/>
      <c r="HSP211" s="2522"/>
      <c r="HSQ211" s="2522"/>
      <c r="HSR211" s="2522"/>
      <c r="HSS211" s="2522"/>
      <c r="HST211" s="2522"/>
      <c r="HSU211" s="2522"/>
      <c r="HSV211" s="2522"/>
      <c r="HSW211" s="2522"/>
      <c r="HSX211" s="2522"/>
      <c r="HSY211" s="2522"/>
      <c r="HSZ211" s="2522"/>
      <c r="HTA211" s="2522"/>
      <c r="HTB211" s="2522"/>
      <c r="HTC211" s="2522"/>
      <c r="HTD211" s="2522"/>
      <c r="HTE211" s="2522"/>
      <c r="HTF211" s="2522"/>
      <c r="HTG211" s="2522"/>
      <c r="HTH211" s="2522"/>
      <c r="HTI211" s="2522"/>
      <c r="HTJ211" s="2522"/>
      <c r="HTK211" s="2522"/>
      <c r="HTL211" s="2522"/>
      <c r="HTM211" s="2522"/>
      <c r="HTN211" s="2522"/>
      <c r="HTO211" s="2522"/>
      <c r="HTP211" s="2522"/>
      <c r="HTQ211" s="2522"/>
      <c r="HTR211" s="2522"/>
      <c r="HTS211" s="2522"/>
      <c r="HTT211" s="2522"/>
      <c r="HTU211" s="2522"/>
      <c r="HTV211" s="2522"/>
      <c r="HTW211" s="2522"/>
      <c r="HTX211" s="2522"/>
      <c r="HTY211" s="2522"/>
      <c r="HTZ211" s="2522"/>
      <c r="HUA211" s="2522"/>
      <c r="HUB211" s="2522"/>
      <c r="HUC211" s="2522"/>
      <c r="HUD211" s="2522"/>
      <c r="HUE211" s="2522"/>
      <c r="HUF211" s="2522"/>
      <c r="HUG211" s="2522"/>
      <c r="HUH211" s="2522"/>
      <c r="HUI211" s="2522"/>
      <c r="HUJ211" s="2522"/>
      <c r="HUK211" s="2522"/>
      <c r="HUL211" s="2522"/>
      <c r="HUM211" s="2522"/>
      <c r="HUN211" s="2522"/>
      <c r="HUO211" s="2522"/>
      <c r="HUP211" s="2522"/>
      <c r="HUQ211" s="2522"/>
      <c r="HUR211" s="2522"/>
      <c r="HUS211" s="2522"/>
      <c r="HUT211" s="2522"/>
      <c r="HUU211" s="2522"/>
      <c r="HUV211" s="2522"/>
      <c r="HUW211" s="2522"/>
      <c r="HUX211" s="2522"/>
      <c r="HUY211" s="2522"/>
      <c r="HUZ211" s="2522"/>
      <c r="HVA211" s="2522"/>
      <c r="HVB211" s="2522"/>
      <c r="HVC211" s="2522"/>
      <c r="HVD211" s="2522"/>
      <c r="HVE211" s="2522"/>
      <c r="HVF211" s="2522"/>
      <c r="HVG211" s="2522"/>
      <c r="HVH211" s="2522"/>
      <c r="HVI211" s="2522"/>
      <c r="HVJ211" s="2522"/>
      <c r="HVK211" s="2522"/>
      <c r="HVL211" s="2522"/>
      <c r="HVM211" s="2522"/>
      <c r="HVN211" s="2522"/>
      <c r="HVO211" s="2522"/>
      <c r="HVP211" s="2522"/>
      <c r="HVQ211" s="2522"/>
      <c r="HVR211" s="2522"/>
      <c r="HVS211" s="2522"/>
      <c r="HVT211" s="2522"/>
      <c r="HVU211" s="2522"/>
      <c r="HVV211" s="2522"/>
      <c r="HVW211" s="2522"/>
      <c r="HVX211" s="2522"/>
      <c r="HVY211" s="2522"/>
      <c r="HVZ211" s="2522"/>
      <c r="HWA211" s="2522"/>
      <c r="HWB211" s="2522"/>
      <c r="HWC211" s="2522"/>
      <c r="HWD211" s="2522"/>
      <c r="HWE211" s="2522"/>
      <c r="HWF211" s="2522"/>
      <c r="HWG211" s="2522"/>
      <c r="HWH211" s="2522"/>
      <c r="HWI211" s="2522"/>
      <c r="HWJ211" s="2522"/>
      <c r="HWK211" s="2522"/>
      <c r="HWL211" s="2522"/>
      <c r="HWM211" s="2522"/>
      <c r="HWN211" s="2522"/>
      <c r="HWO211" s="2522"/>
      <c r="HWP211" s="2522"/>
      <c r="HWQ211" s="2522"/>
      <c r="HWR211" s="2522"/>
      <c r="HWS211" s="2522"/>
      <c r="HWT211" s="2522"/>
      <c r="HWU211" s="2522"/>
      <c r="HWV211" s="2522"/>
      <c r="HWW211" s="2522"/>
      <c r="HWX211" s="2522"/>
      <c r="HWY211" s="2522"/>
      <c r="HWZ211" s="2522"/>
      <c r="HXA211" s="2522"/>
      <c r="HXB211" s="2522"/>
      <c r="HXC211" s="2522"/>
      <c r="HXD211" s="2522"/>
      <c r="HXE211" s="2522"/>
      <c r="HXF211" s="2522"/>
      <c r="HXG211" s="2522"/>
      <c r="HXH211" s="2522"/>
      <c r="HXI211" s="2522"/>
      <c r="HXJ211" s="2522"/>
      <c r="HXK211" s="2522"/>
      <c r="HXL211" s="2522"/>
      <c r="HXM211" s="2522"/>
      <c r="HXN211" s="2522"/>
      <c r="HXO211" s="2522"/>
      <c r="HXP211" s="2522"/>
      <c r="HXQ211" s="2522"/>
      <c r="HXR211" s="2522"/>
      <c r="HXS211" s="2522"/>
      <c r="HXT211" s="2522"/>
      <c r="HXU211" s="2522"/>
      <c r="HXV211" s="2522"/>
      <c r="HXW211" s="2522"/>
      <c r="HXX211" s="2522"/>
      <c r="HXY211" s="2522"/>
      <c r="HXZ211" s="2522"/>
      <c r="HYA211" s="2522"/>
      <c r="HYB211" s="2522"/>
      <c r="HYC211" s="2522"/>
      <c r="HYD211" s="2522"/>
      <c r="HYE211" s="2522"/>
      <c r="HYF211" s="2522"/>
      <c r="HYG211" s="2522"/>
      <c r="HYH211" s="2522"/>
      <c r="HYI211" s="2522"/>
      <c r="HYJ211" s="2522"/>
      <c r="HYK211" s="2522"/>
      <c r="HYL211" s="2522"/>
      <c r="HYM211" s="2522"/>
      <c r="HYN211" s="2522"/>
      <c r="HYO211" s="2522"/>
      <c r="HYP211" s="2522"/>
      <c r="HYQ211" s="2522"/>
      <c r="HYR211" s="2522"/>
      <c r="HYS211" s="2522"/>
      <c r="HYT211" s="2522"/>
      <c r="HYU211" s="2522"/>
      <c r="HYV211" s="2522"/>
      <c r="HYW211" s="2522"/>
      <c r="HYX211" s="2522"/>
      <c r="HYY211" s="2522"/>
      <c r="HYZ211" s="2522"/>
      <c r="HZA211" s="2522"/>
      <c r="HZB211" s="2522"/>
      <c r="HZC211" s="2522"/>
      <c r="HZD211" s="2522"/>
      <c r="HZE211" s="2522"/>
      <c r="HZF211" s="2522"/>
      <c r="HZG211" s="2522"/>
      <c r="HZH211" s="2522"/>
      <c r="HZI211" s="2522"/>
      <c r="HZJ211" s="2522"/>
      <c r="HZK211" s="2522"/>
      <c r="HZL211" s="2522"/>
      <c r="HZM211" s="2522"/>
      <c r="HZN211" s="2522"/>
      <c r="HZO211" s="2522"/>
      <c r="HZP211" s="2522"/>
      <c r="HZQ211" s="2522"/>
      <c r="HZR211" s="2522"/>
      <c r="HZS211" s="2522"/>
      <c r="HZT211" s="2522"/>
      <c r="HZU211" s="2522"/>
      <c r="HZV211" s="2522"/>
      <c r="HZW211" s="2522"/>
      <c r="HZX211" s="2522"/>
      <c r="HZY211" s="2522"/>
      <c r="HZZ211" s="2522"/>
      <c r="IAA211" s="2522"/>
      <c r="IAB211" s="2522"/>
      <c r="IAC211" s="2522"/>
      <c r="IAD211" s="2522"/>
      <c r="IAE211" s="2522"/>
      <c r="IAF211" s="2522"/>
      <c r="IAG211" s="2522"/>
      <c r="IAH211" s="2522"/>
      <c r="IAI211" s="2522"/>
      <c r="IAJ211" s="2522"/>
      <c r="IAK211" s="2522"/>
      <c r="IAL211" s="2522"/>
      <c r="IAM211" s="2522"/>
      <c r="IAN211" s="2522"/>
      <c r="IAO211" s="2522"/>
      <c r="IAP211" s="2522"/>
      <c r="IAQ211" s="2522"/>
      <c r="IAR211" s="2522"/>
      <c r="IAS211" s="2522"/>
      <c r="IAT211" s="2522"/>
      <c r="IAU211" s="2522"/>
      <c r="IAV211" s="2522"/>
      <c r="IAW211" s="2522"/>
      <c r="IAX211" s="2522"/>
      <c r="IAY211" s="2522"/>
      <c r="IAZ211" s="2522"/>
      <c r="IBA211" s="2522"/>
      <c r="IBB211" s="2522"/>
      <c r="IBC211" s="2522"/>
      <c r="IBD211" s="2522"/>
      <c r="IBE211" s="2522"/>
      <c r="IBF211" s="2522"/>
      <c r="IBG211" s="2522"/>
      <c r="IBH211" s="2522"/>
      <c r="IBI211" s="2522"/>
      <c r="IBJ211" s="2522"/>
      <c r="IBK211" s="2522"/>
      <c r="IBL211" s="2522"/>
      <c r="IBM211" s="2522"/>
      <c r="IBN211" s="2522"/>
      <c r="IBO211" s="2522"/>
      <c r="IBP211" s="2522"/>
      <c r="IBQ211" s="2522"/>
      <c r="IBR211" s="2522"/>
      <c r="IBS211" s="2522"/>
      <c r="IBT211" s="2522"/>
      <c r="IBU211" s="2522"/>
      <c r="IBV211" s="2522"/>
      <c r="IBW211" s="2522"/>
      <c r="IBX211" s="2522"/>
      <c r="IBY211" s="2522"/>
      <c r="IBZ211" s="2522"/>
      <c r="ICA211" s="2522"/>
      <c r="ICB211" s="2522"/>
      <c r="ICC211" s="2522"/>
      <c r="ICD211" s="2522"/>
      <c r="ICE211" s="2522"/>
      <c r="ICF211" s="2522"/>
      <c r="ICG211" s="2522"/>
      <c r="ICH211" s="2522"/>
      <c r="ICI211" s="2522"/>
      <c r="ICJ211" s="2522"/>
      <c r="ICK211" s="2522"/>
      <c r="ICL211" s="2522"/>
      <c r="ICM211" s="2522"/>
      <c r="ICN211" s="2522"/>
      <c r="ICO211" s="2522"/>
      <c r="ICP211" s="2522"/>
      <c r="ICQ211" s="2522"/>
      <c r="ICR211" s="2522"/>
      <c r="ICS211" s="2522"/>
      <c r="ICT211" s="2522"/>
      <c r="ICU211" s="2522"/>
      <c r="ICV211" s="2522"/>
      <c r="ICW211" s="2522"/>
      <c r="ICX211" s="2522"/>
      <c r="ICY211" s="2522"/>
      <c r="ICZ211" s="2522"/>
      <c r="IDA211" s="2522"/>
      <c r="IDB211" s="2522"/>
      <c r="IDC211" s="2522"/>
      <c r="IDD211" s="2522"/>
      <c r="IDE211" s="2522"/>
      <c r="IDF211" s="2522"/>
      <c r="IDG211" s="2522"/>
      <c r="IDH211" s="2522"/>
      <c r="IDI211" s="2522"/>
      <c r="IDJ211" s="2522"/>
      <c r="IDK211" s="2522"/>
      <c r="IDL211" s="2522"/>
      <c r="IDM211" s="2522"/>
      <c r="IDN211" s="2522"/>
      <c r="IDO211" s="2522"/>
      <c r="IDP211" s="2522"/>
      <c r="IDQ211" s="2522"/>
      <c r="IDR211" s="2522"/>
      <c r="IDS211" s="2522"/>
      <c r="IDT211" s="2522"/>
      <c r="IDU211" s="2522"/>
      <c r="IDV211" s="2522"/>
      <c r="IDW211" s="2522"/>
      <c r="IDX211" s="2522"/>
      <c r="IDY211" s="2522"/>
      <c r="IDZ211" s="2522"/>
      <c r="IEA211" s="2522"/>
      <c r="IEB211" s="2522"/>
      <c r="IEC211" s="2522"/>
      <c r="IED211" s="2522"/>
      <c r="IEE211" s="2522"/>
      <c r="IEF211" s="2522"/>
      <c r="IEG211" s="2522"/>
      <c r="IEH211" s="2522"/>
      <c r="IEI211" s="2522"/>
      <c r="IEJ211" s="2522"/>
      <c r="IEK211" s="2522"/>
      <c r="IEL211" s="2522"/>
      <c r="IEM211" s="2522"/>
      <c r="IEN211" s="2522"/>
      <c r="IEO211" s="2522"/>
      <c r="IEP211" s="2522"/>
      <c r="IEQ211" s="2522"/>
      <c r="IER211" s="2522"/>
      <c r="IES211" s="2522"/>
      <c r="IET211" s="2522"/>
      <c r="IEU211" s="2522"/>
      <c r="IEV211" s="2522"/>
      <c r="IEW211" s="2522"/>
      <c r="IEX211" s="2522"/>
      <c r="IEY211" s="2522"/>
      <c r="IEZ211" s="2522"/>
      <c r="IFA211" s="2522"/>
      <c r="IFB211" s="2522"/>
      <c r="IFC211" s="2522"/>
      <c r="IFD211" s="2522"/>
      <c r="IFE211" s="2522"/>
      <c r="IFF211" s="2522"/>
      <c r="IFG211" s="2522"/>
      <c r="IFH211" s="2522"/>
      <c r="IFI211" s="2522"/>
      <c r="IFJ211" s="2522"/>
      <c r="IFK211" s="2522"/>
      <c r="IFL211" s="2522"/>
      <c r="IFM211" s="2522"/>
      <c r="IFN211" s="2522"/>
      <c r="IFO211" s="2522"/>
      <c r="IFP211" s="2522"/>
      <c r="IFQ211" s="2522"/>
      <c r="IFR211" s="2522"/>
      <c r="IFS211" s="2522"/>
      <c r="IFT211" s="2522"/>
      <c r="IFU211" s="2522"/>
      <c r="IFV211" s="2522"/>
      <c r="IFW211" s="2522"/>
      <c r="IFX211" s="2522"/>
      <c r="IFY211" s="2522"/>
      <c r="IFZ211" s="2522"/>
      <c r="IGA211" s="2522"/>
      <c r="IGB211" s="2522"/>
      <c r="IGC211" s="2522"/>
      <c r="IGD211" s="2522"/>
      <c r="IGE211" s="2522"/>
      <c r="IGF211" s="2522"/>
      <c r="IGG211" s="2522"/>
      <c r="IGH211" s="2522"/>
      <c r="IGI211" s="2522"/>
      <c r="IGJ211" s="2522"/>
      <c r="IGK211" s="2522"/>
      <c r="IGL211" s="2522"/>
      <c r="IGM211" s="2522"/>
      <c r="IGN211" s="2522"/>
      <c r="IGO211" s="2522"/>
      <c r="IGP211" s="2522"/>
      <c r="IGQ211" s="2522"/>
      <c r="IGR211" s="2522"/>
      <c r="IGS211" s="2522"/>
      <c r="IGT211" s="2522"/>
      <c r="IGU211" s="2522"/>
      <c r="IGV211" s="2522"/>
      <c r="IGW211" s="2522"/>
      <c r="IGX211" s="2522"/>
      <c r="IGY211" s="2522"/>
      <c r="IGZ211" s="2522"/>
      <c r="IHA211" s="2522"/>
      <c r="IHB211" s="2522"/>
      <c r="IHC211" s="2522"/>
      <c r="IHD211" s="2522"/>
      <c r="IHE211" s="2522"/>
      <c r="IHF211" s="2522"/>
      <c r="IHG211" s="2522"/>
      <c r="IHH211" s="2522"/>
      <c r="IHI211" s="2522"/>
      <c r="IHJ211" s="2522"/>
      <c r="IHK211" s="2522"/>
      <c r="IHL211" s="2522"/>
      <c r="IHM211" s="2522"/>
      <c r="IHN211" s="2522"/>
      <c r="IHO211" s="2522"/>
      <c r="IHP211" s="2522"/>
      <c r="IHQ211" s="2522"/>
      <c r="IHR211" s="2522"/>
      <c r="IHS211" s="2522"/>
      <c r="IHT211" s="2522"/>
      <c r="IHU211" s="2522"/>
      <c r="IHV211" s="2522"/>
      <c r="IHW211" s="2522"/>
      <c r="IHX211" s="2522"/>
      <c r="IHY211" s="2522"/>
      <c r="IHZ211" s="2522"/>
      <c r="IIA211" s="2522"/>
      <c r="IIB211" s="2522"/>
      <c r="IIC211" s="2522"/>
      <c r="IID211" s="2522"/>
      <c r="IIE211" s="2522"/>
      <c r="IIF211" s="2522"/>
      <c r="IIG211" s="2522"/>
      <c r="IIH211" s="2522"/>
      <c r="III211" s="2522"/>
      <c r="IIJ211" s="2522"/>
      <c r="IIK211" s="2522"/>
      <c r="IIL211" s="2522"/>
      <c r="IIM211" s="2522"/>
      <c r="IIN211" s="2522"/>
      <c r="IIO211" s="2522"/>
      <c r="IIP211" s="2522"/>
      <c r="IIQ211" s="2522"/>
      <c r="IIR211" s="2522"/>
      <c r="IIS211" s="2522"/>
      <c r="IIT211" s="2522"/>
      <c r="IIU211" s="2522"/>
      <c r="IIV211" s="2522"/>
      <c r="IIW211" s="2522"/>
      <c r="IIX211" s="2522"/>
      <c r="IIY211" s="2522"/>
      <c r="IIZ211" s="2522"/>
      <c r="IJA211" s="2522"/>
      <c r="IJB211" s="2522"/>
      <c r="IJC211" s="2522"/>
      <c r="IJD211" s="2522"/>
      <c r="IJE211" s="2522"/>
      <c r="IJF211" s="2522"/>
      <c r="IJG211" s="2522"/>
      <c r="IJH211" s="2522"/>
      <c r="IJI211" s="2522"/>
      <c r="IJJ211" s="2522"/>
      <c r="IJK211" s="2522"/>
      <c r="IJL211" s="2522"/>
      <c r="IJM211" s="2522"/>
      <c r="IJN211" s="2522"/>
      <c r="IJO211" s="2522"/>
      <c r="IJP211" s="2522"/>
      <c r="IJQ211" s="2522"/>
      <c r="IJR211" s="2522"/>
      <c r="IJS211" s="2522"/>
      <c r="IJT211" s="2522"/>
      <c r="IJU211" s="2522"/>
      <c r="IJV211" s="2522"/>
      <c r="IJW211" s="2522"/>
      <c r="IJX211" s="2522"/>
      <c r="IJY211" s="2522"/>
      <c r="IJZ211" s="2522"/>
      <c r="IKA211" s="2522"/>
      <c r="IKB211" s="2522"/>
      <c r="IKC211" s="2522"/>
      <c r="IKD211" s="2522"/>
      <c r="IKE211" s="2522"/>
      <c r="IKF211" s="2522"/>
      <c r="IKG211" s="2522"/>
      <c r="IKH211" s="2522"/>
      <c r="IKI211" s="2522"/>
      <c r="IKJ211" s="2522"/>
      <c r="IKK211" s="2522"/>
      <c r="IKL211" s="2522"/>
      <c r="IKM211" s="2522"/>
      <c r="IKN211" s="2522"/>
      <c r="IKO211" s="2522"/>
      <c r="IKP211" s="2522"/>
      <c r="IKQ211" s="2522"/>
      <c r="IKR211" s="2522"/>
      <c r="IKS211" s="2522"/>
      <c r="IKT211" s="2522"/>
      <c r="IKU211" s="2522"/>
      <c r="IKV211" s="2522"/>
      <c r="IKW211" s="2522"/>
      <c r="IKX211" s="2522"/>
      <c r="IKY211" s="2522"/>
      <c r="IKZ211" s="2522"/>
      <c r="ILA211" s="2522"/>
      <c r="ILB211" s="2522"/>
      <c r="ILC211" s="2522"/>
      <c r="ILD211" s="2522"/>
      <c r="ILE211" s="2522"/>
      <c r="ILF211" s="2522"/>
      <c r="ILG211" s="2522"/>
      <c r="ILH211" s="2522"/>
      <c r="ILI211" s="2522"/>
      <c r="ILJ211" s="2522"/>
      <c r="ILK211" s="2522"/>
      <c r="ILL211" s="2522"/>
      <c r="ILM211" s="2522"/>
      <c r="ILN211" s="2522"/>
      <c r="ILO211" s="2522"/>
      <c r="ILP211" s="2522"/>
      <c r="ILQ211" s="2522"/>
      <c r="ILR211" s="2522"/>
      <c r="ILS211" s="2522"/>
      <c r="ILT211" s="2522"/>
      <c r="ILU211" s="2522"/>
      <c r="ILV211" s="2522"/>
      <c r="ILW211" s="2522"/>
      <c r="ILX211" s="2522"/>
      <c r="ILY211" s="2522"/>
      <c r="ILZ211" s="2522"/>
      <c r="IMA211" s="2522"/>
      <c r="IMB211" s="2522"/>
      <c r="IMC211" s="2522"/>
      <c r="IMD211" s="2522"/>
      <c r="IME211" s="2522"/>
      <c r="IMF211" s="2522"/>
      <c r="IMG211" s="2522"/>
      <c r="IMH211" s="2522"/>
      <c r="IMI211" s="2522"/>
      <c r="IMJ211" s="2522"/>
      <c r="IMK211" s="2522"/>
      <c r="IML211" s="2522"/>
      <c r="IMM211" s="2522"/>
      <c r="IMN211" s="2522"/>
      <c r="IMO211" s="2522"/>
      <c r="IMP211" s="2522"/>
      <c r="IMQ211" s="2522"/>
      <c r="IMR211" s="2522"/>
      <c r="IMS211" s="2522"/>
      <c r="IMT211" s="2522"/>
      <c r="IMU211" s="2522"/>
      <c r="IMV211" s="2522"/>
      <c r="IMW211" s="2522"/>
      <c r="IMX211" s="2522"/>
      <c r="IMY211" s="2522"/>
      <c r="IMZ211" s="2522"/>
      <c r="INA211" s="2522"/>
      <c r="INB211" s="2522"/>
      <c r="INC211" s="2522"/>
      <c r="IND211" s="2522"/>
      <c r="INE211" s="2522"/>
      <c r="INF211" s="2522"/>
      <c r="ING211" s="2522"/>
      <c r="INH211" s="2522"/>
      <c r="INI211" s="2522"/>
      <c r="INJ211" s="2522"/>
      <c r="INK211" s="2522"/>
      <c r="INL211" s="2522"/>
      <c r="INM211" s="2522"/>
      <c r="INN211" s="2522"/>
      <c r="INO211" s="2522"/>
      <c r="INP211" s="2522"/>
      <c r="INQ211" s="2522"/>
      <c r="INR211" s="2522"/>
      <c r="INS211" s="2522"/>
      <c r="INT211" s="2522"/>
      <c r="INU211" s="2522"/>
      <c r="INV211" s="2522"/>
      <c r="INW211" s="2522"/>
      <c r="INX211" s="2522"/>
      <c r="INY211" s="2522"/>
      <c r="INZ211" s="2522"/>
      <c r="IOA211" s="2522"/>
      <c r="IOB211" s="2522"/>
      <c r="IOC211" s="2522"/>
      <c r="IOD211" s="2522"/>
      <c r="IOE211" s="2522"/>
      <c r="IOF211" s="2522"/>
      <c r="IOG211" s="2522"/>
      <c r="IOH211" s="2522"/>
      <c r="IOI211" s="2522"/>
      <c r="IOJ211" s="2522"/>
      <c r="IOK211" s="2522"/>
      <c r="IOL211" s="2522"/>
      <c r="IOM211" s="2522"/>
      <c r="ION211" s="2522"/>
      <c r="IOO211" s="2522"/>
      <c r="IOP211" s="2522"/>
      <c r="IOQ211" s="2522"/>
      <c r="IOR211" s="2522"/>
      <c r="IOS211" s="2522"/>
      <c r="IOT211" s="2522"/>
      <c r="IOU211" s="2522"/>
      <c r="IOV211" s="2522"/>
      <c r="IOW211" s="2522"/>
      <c r="IOX211" s="2522"/>
      <c r="IOY211" s="2522"/>
      <c r="IOZ211" s="2522"/>
      <c r="IPA211" s="2522"/>
      <c r="IPB211" s="2522"/>
      <c r="IPC211" s="2522"/>
      <c r="IPD211" s="2522"/>
      <c r="IPE211" s="2522"/>
      <c r="IPF211" s="2522"/>
      <c r="IPG211" s="2522"/>
      <c r="IPH211" s="2522"/>
      <c r="IPI211" s="2522"/>
      <c r="IPJ211" s="2522"/>
      <c r="IPK211" s="2522"/>
      <c r="IPL211" s="2522"/>
      <c r="IPM211" s="2522"/>
      <c r="IPN211" s="2522"/>
      <c r="IPO211" s="2522"/>
      <c r="IPP211" s="2522"/>
      <c r="IPQ211" s="2522"/>
      <c r="IPR211" s="2522"/>
      <c r="IPS211" s="2522"/>
      <c r="IPT211" s="2522"/>
      <c r="IPU211" s="2522"/>
      <c r="IPV211" s="2522"/>
      <c r="IPW211" s="2522"/>
      <c r="IPX211" s="2522"/>
      <c r="IPY211" s="2522"/>
      <c r="IPZ211" s="2522"/>
      <c r="IQA211" s="2522"/>
      <c r="IQB211" s="2522"/>
      <c r="IQC211" s="2522"/>
      <c r="IQD211" s="2522"/>
      <c r="IQE211" s="2522"/>
      <c r="IQF211" s="2522"/>
      <c r="IQG211" s="2522"/>
      <c r="IQH211" s="2522"/>
      <c r="IQI211" s="2522"/>
      <c r="IQJ211" s="2522"/>
      <c r="IQK211" s="2522"/>
      <c r="IQL211" s="2522"/>
      <c r="IQM211" s="2522"/>
      <c r="IQN211" s="2522"/>
      <c r="IQO211" s="2522"/>
      <c r="IQP211" s="2522"/>
      <c r="IQQ211" s="2522"/>
      <c r="IQR211" s="2522"/>
      <c r="IQS211" s="2522"/>
      <c r="IQT211" s="2522"/>
      <c r="IQU211" s="2522"/>
      <c r="IQV211" s="2522"/>
      <c r="IQW211" s="2522"/>
      <c r="IQX211" s="2522"/>
      <c r="IQY211" s="2522"/>
      <c r="IQZ211" s="2522"/>
      <c r="IRA211" s="2522"/>
      <c r="IRB211" s="2522"/>
      <c r="IRC211" s="2522"/>
      <c r="IRD211" s="2522"/>
      <c r="IRE211" s="2522"/>
      <c r="IRF211" s="2522"/>
      <c r="IRG211" s="2522"/>
      <c r="IRH211" s="2522"/>
      <c r="IRI211" s="2522"/>
      <c r="IRJ211" s="2522"/>
      <c r="IRK211" s="2522"/>
      <c r="IRL211" s="2522"/>
      <c r="IRM211" s="2522"/>
      <c r="IRN211" s="2522"/>
      <c r="IRO211" s="2522"/>
      <c r="IRP211" s="2522"/>
      <c r="IRQ211" s="2522"/>
      <c r="IRR211" s="2522"/>
      <c r="IRS211" s="2522"/>
      <c r="IRT211" s="2522"/>
      <c r="IRU211" s="2522"/>
      <c r="IRV211" s="2522"/>
      <c r="IRW211" s="2522"/>
      <c r="IRX211" s="2522"/>
      <c r="IRY211" s="2522"/>
      <c r="IRZ211" s="2522"/>
      <c r="ISA211" s="2522"/>
      <c r="ISB211" s="2522"/>
      <c r="ISC211" s="2522"/>
      <c r="ISD211" s="2522"/>
      <c r="ISE211" s="2522"/>
      <c r="ISF211" s="2522"/>
      <c r="ISG211" s="2522"/>
      <c r="ISH211" s="2522"/>
      <c r="ISI211" s="2522"/>
      <c r="ISJ211" s="2522"/>
      <c r="ISK211" s="2522"/>
      <c r="ISL211" s="2522"/>
      <c r="ISM211" s="2522"/>
      <c r="ISN211" s="2522"/>
      <c r="ISO211" s="2522"/>
      <c r="ISP211" s="2522"/>
      <c r="ISQ211" s="2522"/>
      <c r="ISR211" s="2522"/>
      <c r="ISS211" s="2522"/>
      <c r="IST211" s="2522"/>
      <c r="ISU211" s="2522"/>
      <c r="ISV211" s="2522"/>
      <c r="ISW211" s="2522"/>
      <c r="ISX211" s="2522"/>
      <c r="ISY211" s="2522"/>
      <c r="ISZ211" s="2522"/>
      <c r="ITA211" s="2522"/>
      <c r="ITB211" s="2522"/>
      <c r="ITC211" s="2522"/>
      <c r="ITD211" s="2522"/>
      <c r="ITE211" s="2522"/>
      <c r="ITF211" s="2522"/>
      <c r="ITG211" s="2522"/>
      <c r="ITH211" s="2522"/>
      <c r="ITI211" s="2522"/>
      <c r="ITJ211" s="2522"/>
      <c r="ITK211" s="2522"/>
      <c r="ITL211" s="2522"/>
      <c r="ITM211" s="2522"/>
      <c r="ITN211" s="2522"/>
      <c r="ITO211" s="2522"/>
      <c r="ITP211" s="2522"/>
      <c r="ITQ211" s="2522"/>
      <c r="ITR211" s="2522"/>
      <c r="ITS211" s="2522"/>
      <c r="ITT211" s="2522"/>
      <c r="ITU211" s="2522"/>
      <c r="ITV211" s="2522"/>
      <c r="ITW211" s="2522"/>
      <c r="ITX211" s="2522"/>
      <c r="ITY211" s="2522"/>
      <c r="ITZ211" s="2522"/>
      <c r="IUA211" s="2522"/>
      <c r="IUB211" s="2522"/>
      <c r="IUC211" s="2522"/>
      <c r="IUD211" s="2522"/>
      <c r="IUE211" s="2522"/>
      <c r="IUF211" s="2522"/>
      <c r="IUG211" s="2522"/>
      <c r="IUH211" s="2522"/>
      <c r="IUI211" s="2522"/>
      <c r="IUJ211" s="2522"/>
      <c r="IUK211" s="2522"/>
      <c r="IUL211" s="2522"/>
      <c r="IUM211" s="2522"/>
      <c r="IUN211" s="2522"/>
      <c r="IUO211" s="2522"/>
      <c r="IUP211" s="2522"/>
      <c r="IUQ211" s="2522"/>
      <c r="IUR211" s="2522"/>
      <c r="IUS211" s="2522"/>
      <c r="IUT211" s="2522"/>
      <c r="IUU211" s="2522"/>
      <c r="IUV211" s="2522"/>
      <c r="IUW211" s="2522"/>
      <c r="IUX211" s="2522"/>
      <c r="IUY211" s="2522"/>
      <c r="IUZ211" s="2522"/>
      <c r="IVA211" s="2522"/>
      <c r="IVB211" s="2522"/>
      <c r="IVC211" s="2522"/>
      <c r="IVD211" s="2522"/>
      <c r="IVE211" s="2522"/>
      <c r="IVF211" s="2522"/>
      <c r="IVG211" s="2522"/>
      <c r="IVH211" s="2522"/>
      <c r="IVI211" s="2522"/>
      <c r="IVJ211" s="2522"/>
      <c r="IVK211" s="2522"/>
      <c r="IVL211" s="2522"/>
      <c r="IVM211" s="2522"/>
      <c r="IVN211" s="2522"/>
      <c r="IVO211" s="2522"/>
      <c r="IVP211" s="2522"/>
      <c r="IVQ211" s="2522"/>
      <c r="IVR211" s="2522"/>
      <c r="IVS211" s="2522"/>
      <c r="IVT211" s="2522"/>
      <c r="IVU211" s="2522"/>
      <c r="IVV211" s="2522"/>
      <c r="IVW211" s="2522"/>
      <c r="IVX211" s="2522"/>
      <c r="IVY211" s="2522"/>
      <c r="IVZ211" s="2522"/>
      <c r="IWA211" s="2522"/>
      <c r="IWB211" s="2522"/>
      <c r="IWC211" s="2522"/>
      <c r="IWD211" s="2522"/>
      <c r="IWE211" s="2522"/>
      <c r="IWF211" s="2522"/>
      <c r="IWG211" s="2522"/>
      <c r="IWH211" s="2522"/>
      <c r="IWI211" s="2522"/>
      <c r="IWJ211" s="2522"/>
      <c r="IWK211" s="2522"/>
      <c r="IWL211" s="2522"/>
      <c r="IWM211" s="2522"/>
      <c r="IWN211" s="2522"/>
      <c r="IWO211" s="2522"/>
      <c r="IWP211" s="2522"/>
      <c r="IWQ211" s="2522"/>
      <c r="IWR211" s="2522"/>
      <c r="IWS211" s="2522"/>
      <c r="IWT211" s="2522"/>
      <c r="IWU211" s="2522"/>
      <c r="IWV211" s="2522"/>
      <c r="IWW211" s="2522"/>
      <c r="IWX211" s="2522"/>
      <c r="IWY211" s="2522"/>
      <c r="IWZ211" s="2522"/>
      <c r="IXA211" s="2522"/>
      <c r="IXB211" s="2522"/>
      <c r="IXC211" s="2522"/>
      <c r="IXD211" s="2522"/>
      <c r="IXE211" s="2522"/>
      <c r="IXF211" s="2522"/>
      <c r="IXG211" s="2522"/>
      <c r="IXH211" s="2522"/>
      <c r="IXI211" s="2522"/>
      <c r="IXJ211" s="2522"/>
      <c r="IXK211" s="2522"/>
      <c r="IXL211" s="2522"/>
      <c r="IXM211" s="2522"/>
      <c r="IXN211" s="2522"/>
      <c r="IXO211" s="2522"/>
      <c r="IXP211" s="2522"/>
      <c r="IXQ211" s="2522"/>
      <c r="IXR211" s="2522"/>
      <c r="IXS211" s="2522"/>
      <c r="IXT211" s="2522"/>
      <c r="IXU211" s="2522"/>
      <c r="IXV211" s="2522"/>
      <c r="IXW211" s="2522"/>
      <c r="IXX211" s="2522"/>
      <c r="IXY211" s="2522"/>
      <c r="IXZ211" s="2522"/>
      <c r="IYA211" s="2522"/>
      <c r="IYB211" s="2522"/>
      <c r="IYC211" s="2522"/>
      <c r="IYD211" s="2522"/>
      <c r="IYE211" s="2522"/>
      <c r="IYF211" s="2522"/>
      <c r="IYG211" s="2522"/>
      <c r="IYH211" s="2522"/>
      <c r="IYI211" s="2522"/>
      <c r="IYJ211" s="2522"/>
      <c r="IYK211" s="2522"/>
      <c r="IYL211" s="2522"/>
      <c r="IYM211" s="2522"/>
      <c r="IYN211" s="2522"/>
      <c r="IYO211" s="2522"/>
      <c r="IYP211" s="2522"/>
      <c r="IYQ211" s="2522"/>
      <c r="IYR211" s="2522"/>
      <c r="IYS211" s="2522"/>
      <c r="IYT211" s="2522"/>
      <c r="IYU211" s="2522"/>
      <c r="IYV211" s="2522"/>
      <c r="IYW211" s="2522"/>
      <c r="IYX211" s="2522"/>
      <c r="IYY211" s="2522"/>
      <c r="IYZ211" s="2522"/>
      <c r="IZA211" s="2522"/>
      <c r="IZB211" s="2522"/>
      <c r="IZC211" s="2522"/>
      <c r="IZD211" s="2522"/>
      <c r="IZE211" s="2522"/>
      <c r="IZF211" s="2522"/>
      <c r="IZG211" s="2522"/>
      <c r="IZH211" s="2522"/>
      <c r="IZI211" s="2522"/>
      <c r="IZJ211" s="2522"/>
      <c r="IZK211" s="2522"/>
      <c r="IZL211" s="2522"/>
      <c r="IZM211" s="2522"/>
      <c r="IZN211" s="2522"/>
      <c r="IZO211" s="2522"/>
      <c r="IZP211" s="2522"/>
      <c r="IZQ211" s="2522"/>
      <c r="IZR211" s="2522"/>
      <c r="IZS211" s="2522"/>
      <c r="IZT211" s="2522"/>
      <c r="IZU211" s="2522"/>
      <c r="IZV211" s="2522"/>
      <c r="IZW211" s="2522"/>
      <c r="IZX211" s="2522"/>
      <c r="IZY211" s="2522"/>
      <c r="IZZ211" s="2522"/>
      <c r="JAA211" s="2522"/>
      <c r="JAB211" s="2522"/>
      <c r="JAC211" s="2522"/>
      <c r="JAD211" s="2522"/>
      <c r="JAE211" s="2522"/>
      <c r="JAF211" s="2522"/>
      <c r="JAG211" s="2522"/>
      <c r="JAH211" s="2522"/>
      <c r="JAI211" s="2522"/>
      <c r="JAJ211" s="2522"/>
      <c r="JAK211" s="2522"/>
      <c r="JAL211" s="2522"/>
      <c r="JAM211" s="2522"/>
      <c r="JAN211" s="2522"/>
      <c r="JAO211" s="2522"/>
      <c r="JAP211" s="2522"/>
      <c r="JAQ211" s="2522"/>
      <c r="JAR211" s="2522"/>
      <c r="JAS211" s="2522"/>
      <c r="JAT211" s="2522"/>
      <c r="JAU211" s="2522"/>
      <c r="JAV211" s="2522"/>
      <c r="JAW211" s="2522"/>
      <c r="JAX211" s="2522"/>
      <c r="JAY211" s="2522"/>
      <c r="JAZ211" s="2522"/>
      <c r="JBA211" s="2522"/>
      <c r="JBB211" s="2522"/>
      <c r="JBC211" s="2522"/>
      <c r="JBD211" s="2522"/>
      <c r="JBE211" s="2522"/>
      <c r="JBF211" s="2522"/>
      <c r="JBG211" s="2522"/>
      <c r="JBH211" s="2522"/>
      <c r="JBI211" s="2522"/>
      <c r="JBJ211" s="2522"/>
      <c r="JBK211" s="2522"/>
      <c r="JBL211" s="2522"/>
      <c r="JBM211" s="2522"/>
      <c r="JBN211" s="2522"/>
      <c r="JBO211" s="2522"/>
      <c r="JBP211" s="2522"/>
      <c r="JBQ211" s="2522"/>
      <c r="JBR211" s="2522"/>
      <c r="JBS211" s="2522"/>
      <c r="JBT211" s="2522"/>
      <c r="JBU211" s="2522"/>
      <c r="JBV211" s="2522"/>
      <c r="JBW211" s="2522"/>
      <c r="JBX211" s="2522"/>
      <c r="JBY211" s="2522"/>
      <c r="JBZ211" s="2522"/>
      <c r="JCA211" s="2522"/>
      <c r="JCB211" s="2522"/>
      <c r="JCC211" s="2522"/>
      <c r="JCD211" s="2522"/>
      <c r="JCE211" s="2522"/>
      <c r="JCF211" s="2522"/>
      <c r="JCG211" s="2522"/>
      <c r="JCH211" s="2522"/>
      <c r="JCI211" s="2522"/>
      <c r="JCJ211" s="2522"/>
      <c r="JCK211" s="2522"/>
      <c r="JCL211" s="2522"/>
      <c r="JCM211" s="2522"/>
      <c r="JCN211" s="2522"/>
      <c r="JCO211" s="2522"/>
      <c r="JCP211" s="2522"/>
      <c r="JCQ211" s="2522"/>
      <c r="JCR211" s="2522"/>
      <c r="JCS211" s="2522"/>
      <c r="JCT211" s="2522"/>
      <c r="JCU211" s="2522"/>
      <c r="JCV211" s="2522"/>
      <c r="JCW211" s="2522"/>
      <c r="JCX211" s="2522"/>
      <c r="JCY211" s="2522"/>
      <c r="JCZ211" s="2522"/>
      <c r="JDA211" s="2522"/>
      <c r="JDB211" s="2522"/>
      <c r="JDC211" s="2522"/>
      <c r="JDD211" s="2522"/>
      <c r="JDE211" s="2522"/>
      <c r="JDF211" s="2522"/>
      <c r="JDG211" s="2522"/>
      <c r="JDH211" s="2522"/>
      <c r="JDI211" s="2522"/>
      <c r="JDJ211" s="2522"/>
      <c r="JDK211" s="2522"/>
      <c r="JDL211" s="2522"/>
      <c r="JDM211" s="2522"/>
      <c r="JDN211" s="2522"/>
      <c r="JDO211" s="2522"/>
      <c r="JDP211" s="2522"/>
      <c r="JDQ211" s="2522"/>
      <c r="JDR211" s="2522"/>
      <c r="JDS211" s="2522"/>
      <c r="JDT211" s="2522"/>
      <c r="JDU211" s="2522"/>
      <c r="JDV211" s="2522"/>
      <c r="JDW211" s="2522"/>
      <c r="JDX211" s="2522"/>
      <c r="JDY211" s="2522"/>
      <c r="JDZ211" s="2522"/>
      <c r="JEA211" s="2522"/>
      <c r="JEB211" s="2522"/>
      <c r="JEC211" s="2522"/>
      <c r="JED211" s="2522"/>
      <c r="JEE211" s="2522"/>
      <c r="JEF211" s="2522"/>
      <c r="JEG211" s="2522"/>
      <c r="JEH211" s="2522"/>
      <c r="JEI211" s="2522"/>
      <c r="JEJ211" s="2522"/>
      <c r="JEK211" s="2522"/>
      <c r="JEL211" s="2522"/>
      <c r="JEM211" s="2522"/>
      <c r="JEN211" s="2522"/>
      <c r="JEO211" s="2522"/>
      <c r="JEP211" s="2522"/>
      <c r="JEQ211" s="2522"/>
      <c r="JER211" s="2522"/>
      <c r="JES211" s="2522"/>
      <c r="JET211" s="2522"/>
      <c r="JEU211" s="2522"/>
      <c r="JEV211" s="2522"/>
      <c r="JEW211" s="2522"/>
      <c r="JEX211" s="2522"/>
      <c r="JEY211" s="2522"/>
      <c r="JEZ211" s="2522"/>
      <c r="JFA211" s="2522"/>
      <c r="JFB211" s="2522"/>
      <c r="JFC211" s="2522"/>
      <c r="JFD211" s="2522"/>
      <c r="JFE211" s="2522"/>
      <c r="JFF211" s="2522"/>
      <c r="JFG211" s="2522"/>
      <c r="JFH211" s="2522"/>
      <c r="JFI211" s="2522"/>
      <c r="JFJ211" s="2522"/>
      <c r="JFK211" s="2522"/>
      <c r="JFL211" s="2522"/>
      <c r="JFM211" s="2522"/>
      <c r="JFN211" s="2522"/>
      <c r="JFO211" s="2522"/>
      <c r="JFP211" s="2522"/>
      <c r="JFQ211" s="2522"/>
      <c r="JFR211" s="2522"/>
      <c r="JFS211" s="2522"/>
      <c r="JFT211" s="2522"/>
      <c r="JFU211" s="2522"/>
      <c r="JFV211" s="2522"/>
      <c r="JFW211" s="2522"/>
      <c r="JFX211" s="2522"/>
      <c r="JFY211" s="2522"/>
      <c r="JFZ211" s="2522"/>
      <c r="JGA211" s="2522"/>
      <c r="JGB211" s="2522"/>
      <c r="JGC211" s="2522"/>
      <c r="JGD211" s="2522"/>
      <c r="JGE211" s="2522"/>
      <c r="JGF211" s="2522"/>
      <c r="JGG211" s="2522"/>
      <c r="JGH211" s="2522"/>
      <c r="JGI211" s="2522"/>
      <c r="JGJ211" s="2522"/>
      <c r="JGK211" s="2522"/>
      <c r="JGL211" s="2522"/>
      <c r="JGM211" s="2522"/>
      <c r="JGN211" s="2522"/>
      <c r="JGO211" s="2522"/>
      <c r="JGP211" s="2522"/>
      <c r="JGQ211" s="2522"/>
      <c r="JGR211" s="2522"/>
      <c r="JGS211" s="2522"/>
      <c r="JGT211" s="2522"/>
      <c r="JGU211" s="2522"/>
      <c r="JGV211" s="2522"/>
      <c r="JGW211" s="2522"/>
      <c r="JGX211" s="2522"/>
      <c r="JGY211" s="2522"/>
      <c r="JGZ211" s="2522"/>
      <c r="JHA211" s="2522"/>
      <c r="JHB211" s="2522"/>
      <c r="JHC211" s="2522"/>
      <c r="JHD211" s="2522"/>
      <c r="JHE211" s="2522"/>
      <c r="JHF211" s="2522"/>
      <c r="JHG211" s="2522"/>
      <c r="JHH211" s="2522"/>
      <c r="JHI211" s="2522"/>
      <c r="JHJ211" s="2522"/>
      <c r="JHK211" s="2522"/>
      <c r="JHL211" s="2522"/>
      <c r="JHM211" s="2522"/>
      <c r="JHN211" s="2522"/>
      <c r="JHO211" s="2522"/>
      <c r="JHP211" s="2522"/>
      <c r="JHQ211" s="2522"/>
      <c r="JHR211" s="2522"/>
      <c r="JHS211" s="2522"/>
      <c r="JHT211" s="2522"/>
      <c r="JHU211" s="2522"/>
      <c r="JHV211" s="2522"/>
      <c r="JHW211" s="2522"/>
      <c r="JHX211" s="2522"/>
      <c r="JHY211" s="2522"/>
      <c r="JHZ211" s="2522"/>
      <c r="JIA211" s="2522"/>
      <c r="JIB211" s="2522"/>
      <c r="JIC211" s="2522"/>
      <c r="JID211" s="2522"/>
      <c r="JIE211" s="2522"/>
      <c r="JIF211" s="2522"/>
      <c r="JIG211" s="2522"/>
      <c r="JIH211" s="2522"/>
      <c r="JII211" s="2522"/>
      <c r="JIJ211" s="2522"/>
      <c r="JIK211" s="2522"/>
      <c r="JIL211" s="2522"/>
      <c r="JIM211" s="2522"/>
      <c r="JIN211" s="2522"/>
      <c r="JIO211" s="2522"/>
      <c r="JIP211" s="2522"/>
      <c r="JIQ211" s="2522"/>
      <c r="JIR211" s="2522"/>
      <c r="JIS211" s="2522"/>
      <c r="JIT211" s="2522"/>
      <c r="JIU211" s="2522"/>
      <c r="JIV211" s="2522"/>
      <c r="JIW211" s="2522"/>
      <c r="JIX211" s="2522"/>
      <c r="JIY211" s="2522"/>
      <c r="JIZ211" s="2522"/>
      <c r="JJA211" s="2522"/>
      <c r="JJB211" s="2522"/>
      <c r="JJC211" s="2522"/>
      <c r="JJD211" s="2522"/>
      <c r="JJE211" s="2522"/>
      <c r="JJF211" s="2522"/>
      <c r="JJG211" s="2522"/>
      <c r="JJH211" s="2522"/>
      <c r="JJI211" s="2522"/>
      <c r="JJJ211" s="2522"/>
      <c r="JJK211" s="2522"/>
      <c r="JJL211" s="2522"/>
      <c r="JJM211" s="2522"/>
      <c r="JJN211" s="2522"/>
      <c r="JJO211" s="2522"/>
      <c r="JJP211" s="2522"/>
      <c r="JJQ211" s="2522"/>
      <c r="JJR211" s="2522"/>
      <c r="JJS211" s="2522"/>
      <c r="JJT211" s="2522"/>
      <c r="JJU211" s="2522"/>
      <c r="JJV211" s="2522"/>
      <c r="JJW211" s="2522"/>
      <c r="JJX211" s="2522"/>
      <c r="JJY211" s="2522"/>
      <c r="JJZ211" s="2522"/>
      <c r="JKA211" s="2522"/>
      <c r="JKB211" s="2522"/>
      <c r="JKC211" s="2522"/>
      <c r="JKD211" s="2522"/>
      <c r="JKE211" s="2522"/>
      <c r="JKF211" s="2522"/>
      <c r="JKG211" s="2522"/>
      <c r="JKH211" s="2522"/>
      <c r="JKI211" s="2522"/>
      <c r="JKJ211" s="2522"/>
      <c r="JKK211" s="2522"/>
      <c r="JKL211" s="2522"/>
      <c r="JKM211" s="2522"/>
      <c r="JKN211" s="2522"/>
      <c r="JKO211" s="2522"/>
      <c r="JKP211" s="2522"/>
      <c r="JKQ211" s="2522"/>
      <c r="JKR211" s="2522"/>
      <c r="JKS211" s="2522"/>
      <c r="JKT211" s="2522"/>
      <c r="JKU211" s="2522"/>
      <c r="JKV211" s="2522"/>
      <c r="JKW211" s="2522"/>
      <c r="JKX211" s="2522"/>
      <c r="JKY211" s="2522"/>
      <c r="JKZ211" s="2522"/>
      <c r="JLA211" s="2522"/>
      <c r="JLB211" s="2522"/>
      <c r="JLC211" s="2522"/>
      <c r="JLD211" s="2522"/>
      <c r="JLE211" s="2522"/>
      <c r="JLF211" s="2522"/>
      <c r="JLG211" s="2522"/>
      <c r="JLH211" s="2522"/>
      <c r="JLI211" s="2522"/>
      <c r="JLJ211" s="2522"/>
      <c r="JLK211" s="2522"/>
      <c r="JLL211" s="2522"/>
      <c r="JLM211" s="2522"/>
      <c r="JLN211" s="2522"/>
      <c r="JLO211" s="2522"/>
      <c r="JLP211" s="2522"/>
      <c r="JLQ211" s="2522"/>
      <c r="JLR211" s="2522"/>
      <c r="JLS211" s="2522"/>
      <c r="JLT211" s="2522"/>
      <c r="JLU211" s="2522"/>
      <c r="JLV211" s="2522"/>
      <c r="JLW211" s="2522"/>
      <c r="JLX211" s="2522"/>
      <c r="JLY211" s="2522"/>
      <c r="JLZ211" s="2522"/>
      <c r="JMA211" s="2522"/>
      <c r="JMB211" s="2522"/>
      <c r="JMC211" s="2522"/>
      <c r="JMD211" s="2522"/>
      <c r="JME211" s="2522"/>
      <c r="JMF211" s="2522"/>
      <c r="JMG211" s="2522"/>
      <c r="JMH211" s="2522"/>
      <c r="JMI211" s="2522"/>
      <c r="JMJ211" s="2522"/>
      <c r="JMK211" s="2522"/>
      <c r="JML211" s="2522"/>
      <c r="JMM211" s="2522"/>
      <c r="JMN211" s="2522"/>
      <c r="JMO211" s="2522"/>
      <c r="JMP211" s="2522"/>
      <c r="JMQ211" s="2522"/>
      <c r="JMR211" s="2522"/>
      <c r="JMS211" s="2522"/>
      <c r="JMT211" s="2522"/>
      <c r="JMU211" s="2522"/>
      <c r="JMV211" s="2522"/>
      <c r="JMW211" s="2522"/>
      <c r="JMX211" s="2522"/>
      <c r="JMY211" s="2522"/>
      <c r="JMZ211" s="2522"/>
      <c r="JNA211" s="2522"/>
      <c r="JNB211" s="2522"/>
      <c r="JNC211" s="2522"/>
      <c r="JND211" s="2522"/>
      <c r="JNE211" s="2522"/>
      <c r="JNF211" s="2522"/>
      <c r="JNG211" s="2522"/>
      <c r="JNH211" s="2522"/>
      <c r="JNI211" s="2522"/>
      <c r="JNJ211" s="2522"/>
      <c r="JNK211" s="2522"/>
      <c r="JNL211" s="2522"/>
      <c r="JNM211" s="2522"/>
      <c r="JNN211" s="2522"/>
      <c r="JNO211" s="2522"/>
      <c r="JNP211" s="2522"/>
      <c r="JNQ211" s="2522"/>
      <c r="JNR211" s="2522"/>
      <c r="JNS211" s="2522"/>
      <c r="JNT211" s="2522"/>
      <c r="JNU211" s="2522"/>
      <c r="JNV211" s="2522"/>
      <c r="JNW211" s="2522"/>
      <c r="JNX211" s="2522"/>
      <c r="JNY211" s="2522"/>
      <c r="JNZ211" s="2522"/>
      <c r="JOA211" s="2522"/>
      <c r="JOB211" s="2522"/>
      <c r="JOC211" s="2522"/>
      <c r="JOD211" s="2522"/>
      <c r="JOE211" s="2522"/>
      <c r="JOF211" s="2522"/>
      <c r="JOG211" s="2522"/>
      <c r="JOH211" s="2522"/>
      <c r="JOI211" s="2522"/>
      <c r="JOJ211" s="2522"/>
      <c r="JOK211" s="2522"/>
      <c r="JOL211" s="2522"/>
      <c r="JOM211" s="2522"/>
      <c r="JON211" s="2522"/>
      <c r="JOO211" s="2522"/>
      <c r="JOP211" s="2522"/>
      <c r="JOQ211" s="2522"/>
      <c r="JOR211" s="2522"/>
      <c r="JOS211" s="2522"/>
      <c r="JOT211" s="2522"/>
      <c r="JOU211" s="2522"/>
      <c r="JOV211" s="2522"/>
      <c r="JOW211" s="2522"/>
      <c r="JOX211" s="2522"/>
      <c r="JOY211" s="2522"/>
      <c r="JOZ211" s="2522"/>
      <c r="JPA211" s="2522"/>
      <c r="JPB211" s="2522"/>
      <c r="JPC211" s="2522"/>
      <c r="JPD211" s="2522"/>
      <c r="JPE211" s="2522"/>
      <c r="JPF211" s="2522"/>
      <c r="JPG211" s="2522"/>
      <c r="JPH211" s="2522"/>
      <c r="JPI211" s="2522"/>
      <c r="JPJ211" s="2522"/>
      <c r="JPK211" s="2522"/>
      <c r="JPL211" s="2522"/>
      <c r="JPM211" s="2522"/>
      <c r="JPN211" s="2522"/>
      <c r="JPO211" s="2522"/>
      <c r="JPP211" s="2522"/>
      <c r="JPQ211" s="2522"/>
      <c r="JPR211" s="2522"/>
      <c r="JPS211" s="2522"/>
      <c r="JPT211" s="2522"/>
      <c r="JPU211" s="2522"/>
      <c r="JPV211" s="2522"/>
      <c r="JPW211" s="2522"/>
      <c r="JPX211" s="2522"/>
      <c r="JPY211" s="2522"/>
      <c r="JPZ211" s="2522"/>
      <c r="JQA211" s="2522"/>
      <c r="JQB211" s="2522"/>
      <c r="JQC211" s="2522"/>
      <c r="JQD211" s="2522"/>
      <c r="JQE211" s="2522"/>
      <c r="JQF211" s="2522"/>
      <c r="JQG211" s="2522"/>
      <c r="JQH211" s="2522"/>
      <c r="JQI211" s="2522"/>
      <c r="JQJ211" s="2522"/>
      <c r="JQK211" s="2522"/>
      <c r="JQL211" s="2522"/>
      <c r="JQM211" s="2522"/>
      <c r="JQN211" s="2522"/>
      <c r="JQO211" s="2522"/>
      <c r="JQP211" s="2522"/>
      <c r="JQQ211" s="2522"/>
      <c r="JQR211" s="2522"/>
      <c r="JQS211" s="2522"/>
      <c r="JQT211" s="2522"/>
      <c r="JQU211" s="2522"/>
      <c r="JQV211" s="2522"/>
      <c r="JQW211" s="2522"/>
      <c r="JQX211" s="2522"/>
      <c r="JQY211" s="2522"/>
      <c r="JQZ211" s="2522"/>
      <c r="JRA211" s="2522"/>
      <c r="JRB211" s="2522"/>
      <c r="JRC211" s="2522"/>
      <c r="JRD211" s="2522"/>
      <c r="JRE211" s="2522"/>
      <c r="JRF211" s="2522"/>
      <c r="JRG211" s="2522"/>
      <c r="JRH211" s="2522"/>
      <c r="JRI211" s="2522"/>
      <c r="JRJ211" s="2522"/>
      <c r="JRK211" s="2522"/>
      <c r="JRL211" s="2522"/>
      <c r="JRM211" s="2522"/>
      <c r="JRN211" s="2522"/>
      <c r="JRO211" s="2522"/>
      <c r="JRP211" s="2522"/>
      <c r="JRQ211" s="2522"/>
      <c r="JRR211" s="2522"/>
      <c r="JRS211" s="2522"/>
      <c r="JRT211" s="2522"/>
      <c r="JRU211" s="2522"/>
      <c r="JRV211" s="2522"/>
      <c r="JRW211" s="2522"/>
      <c r="JRX211" s="2522"/>
      <c r="JRY211" s="2522"/>
      <c r="JRZ211" s="2522"/>
      <c r="JSA211" s="2522"/>
      <c r="JSB211" s="2522"/>
      <c r="JSC211" s="2522"/>
      <c r="JSD211" s="2522"/>
      <c r="JSE211" s="2522"/>
      <c r="JSF211" s="2522"/>
      <c r="JSG211" s="2522"/>
      <c r="JSH211" s="2522"/>
      <c r="JSI211" s="2522"/>
      <c r="JSJ211" s="2522"/>
      <c r="JSK211" s="2522"/>
      <c r="JSL211" s="2522"/>
      <c r="JSM211" s="2522"/>
      <c r="JSN211" s="2522"/>
      <c r="JSO211" s="2522"/>
      <c r="JSP211" s="2522"/>
      <c r="JSQ211" s="2522"/>
      <c r="JSR211" s="2522"/>
      <c r="JSS211" s="2522"/>
      <c r="JST211" s="2522"/>
      <c r="JSU211" s="2522"/>
      <c r="JSV211" s="2522"/>
      <c r="JSW211" s="2522"/>
      <c r="JSX211" s="2522"/>
      <c r="JSY211" s="2522"/>
      <c r="JSZ211" s="2522"/>
      <c r="JTA211" s="2522"/>
      <c r="JTB211" s="2522"/>
      <c r="JTC211" s="2522"/>
      <c r="JTD211" s="2522"/>
      <c r="JTE211" s="2522"/>
      <c r="JTF211" s="2522"/>
      <c r="JTG211" s="2522"/>
      <c r="JTH211" s="2522"/>
      <c r="JTI211" s="2522"/>
      <c r="JTJ211" s="2522"/>
      <c r="JTK211" s="2522"/>
      <c r="JTL211" s="2522"/>
      <c r="JTM211" s="2522"/>
      <c r="JTN211" s="2522"/>
      <c r="JTO211" s="2522"/>
      <c r="JTP211" s="2522"/>
      <c r="JTQ211" s="2522"/>
      <c r="JTR211" s="2522"/>
      <c r="JTS211" s="2522"/>
      <c r="JTT211" s="2522"/>
      <c r="JTU211" s="2522"/>
      <c r="JTV211" s="2522"/>
      <c r="JTW211" s="2522"/>
      <c r="JTX211" s="2522"/>
      <c r="JTY211" s="2522"/>
      <c r="JTZ211" s="2522"/>
      <c r="JUA211" s="2522"/>
      <c r="JUB211" s="2522"/>
      <c r="JUC211" s="2522"/>
      <c r="JUD211" s="2522"/>
      <c r="JUE211" s="2522"/>
      <c r="JUF211" s="2522"/>
      <c r="JUG211" s="2522"/>
      <c r="JUH211" s="2522"/>
      <c r="JUI211" s="2522"/>
      <c r="JUJ211" s="2522"/>
      <c r="JUK211" s="2522"/>
      <c r="JUL211" s="2522"/>
      <c r="JUM211" s="2522"/>
      <c r="JUN211" s="2522"/>
      <c r="JUO211" s="2522"/>
      <c r="JUP211" s="2522"/>
      <c r="JUQ211" s="2522"/>
      <c r="JUR211" s="2522"/>
      <c r="JUS211" s="2522"/>
      <c r="JUT211" s="2522"/>
      <c r="JUU211" s="2522"/>
      <c r="JUV211" s="2522"/>
      <c r="JUW211" s="2522"/>
      <c r="JUX211" s="2522"/>
      <c r="JUY211" s="2522"/>
      <c r="JUZ211" s="2522"/>
      <c r="JVA211" s="2522"/>
      <c r="JVB211" s="2522"/>
      <c r="JVC211" s="2522"/>
      <c r="JVD211" s="2522"/>
      <c r="JVE211" s="2522"/>
      <c r="JVF211" s="2522"/>
      <c r="JVG211" s="2522"/>
      <c r="JVH211" s="2522"/>
      <c r="JVI211" s="2522"/>
      <c r="JVJ211" s="2522"/>
      <c r="JVK211" s="2522"/>
      <c r="JVL211" s="2522"/>
      <c r="JVM211" s="2522"/>
      <c r="JVN211" s="2522"/>
      <c r="JVO211" s="2522"/>
      <c r="JVP211" s="2522"/>
      <c r="JVQ211" s="2522"/>
      <c r="JVR211" s="2522"/>
      <c r="JVS211" s="2522"/>
      <c r="JVT211" s="2522"/>
      <c r="JVU211" s="2522"/>
      <c r="JVV211" s="2522"/>
      <c r="JVW211" s="2522"/>
      <c r="JVX211" s="2522"/>
      <c r="JVY211" s="2522"/>
      <c r="JVZ211" s="2522"/>
      <c r="JWA211" s="2522"/>
      <c r="JWB211" s="2522"/>
      <c r="JWC211" s="2522"/>
      <c r="JWD211" s="2522"/>
      <c r="JWE211" s="2522"/>
      <c r="JWF211" s="2522"/>
      <c r="JWG211" s="2522"/>
      <c r="JWH211" s="2522"/>
      <c r="JWI211" s="2522"/>
      <c r="JWJ211" s="2522"/>
      <c r="JWK211" s="2522"/>
      <c r="JWL211" s="2522"/>
      <c r="JWM211" s="2522"/>
      <c r="JWN211" s="2522"/>
      <c r="JWO211" s="2522"/>
      <c r="JWP211" s="2522"/>
      <c r="JWQ211" s="2522"/>
      <c r="JWR211" s="2522"/>
      <c r="JWS211" s="2522"/>
      <c r="JWT211" s="2522"/>
      <c r="JWU211" s="2522"/>
      <c r="JWV211" s="2522"/>
      <c r="JWW211" s="2522"/>
      <c r="JWX211" s="2522"/>
      <c r="JWY211" s="2522"/>
      <c r="JWZ211" s="2522"/>
      <c r="JXA211" s="2522"/>
      <c r="JXB211" s="2522"/>
      <c r="JXC211" s="2522"/>
      <c r="JXD211" s="2522"/>
      <c r="JXE211" s="2522"/>
      <c r="JXF211" s="2522"/>
      <c r="JXG211" s="2522"/>
      <c r="JXH211" s="2522"/>
      <c r="JXI211" s="2522"/>
      <c r="JXJ211" s="2522"/>
      <c r="JXK211" s="2522"/>
      <c r="JXL211" s="2522"/>
      <c r="JXM211" s="2522"/>
      <c r="JXN211" s="2522"/>
      <c r="JXO211" s="2522"/>
      <c r="JXP211" s="2522"/>
      <c r="JXQ211" s="2522"/>
      <c r="JXR211" s="2522"/>
      <c r="JXS211" s="2522"/>
      <c r="JXT211" s="2522"/>
      <c r="JXU211" s="2522"/>
      <c r="JXV211" s="2522"/>
      <c r="JXW211" s="2522"/>
      <c r="JXX211" s="2522"/>
      <c r="JXY211" s="2522"/>
      <c r="JXZ211" s="2522"/>
      <c r="JYA211" s="2522"/>
      <c r="JYB211" s="2522"/>
      <c r="JYC211" s="2522"/>
      <c r="JYD211" s="2522"/>
      <c r="JYE211" s="2522"/>
      <c r="JYF211" s="2522"/>
      <c r="JYG211" s="2522"/>
      <c r="JYH211" s="2522"/>
      <c r="JYI211" s="2522"/>
      <c r="JYJ211" s="2522"/>
      <c r="JYK211" s="2522"/>
      <c r="JYL211" s="2522"/>
      <c r="JYM211" s="2522"/>
      <c r="JYN211" s="2522"/>
      <c r="JYO211" s="2522"/>
      <c r="JYP211" s="2522"/>
      <c r="JYQ211" s="2522"/>
      <c r="JYR211" s="2522"/>
      <c r="JYS211" s="2522"/>
      <c r="JYT211" s="2522"/>
      <c r="JYU211" s="2522"/>
      <c r="JYV211" s="2522"/>
      <c r="JYW211" s="2522"/>
      <c r="JYX211" s="2522"/>
      <c r="JYY211" s="2522"/>
      <c r="JYZ211" s="2522"/>
      <c r="JZA211" s="2522"/>
      <c r="JZB211" s="2522"/>
      <c r="JZC211" s="2522"/>
      <c r="JZD211" s="2522"/>
      <c r="JZE211" s="2522"/>
      <c r="JZF211" s="2522"/>
      <c r="JZG211" s="2522"/>
      <c r="JZH211" s="2522"/>
      <c r="JZI211" s="2522"/>
      <c r="JZJ211" s="2522"/>
      <c r="JZK211" s="2522"/>
      <c r="JZL211" s="2522"/>
      <c r="JZM211" s="2522"/>
      <c r="JZN211" s="2522"/>
      <c r="JZO211" s="2522"/>
      <c r="JZP211" s="2522"/>
      <c r="JZQ211" s="2522"/>
      <c r="JZR211" s="2522"/>
      <c r="JZS211" s="2522"/>
      <c r="JZT211" s="2522"/>
      <c r="JZU211" s="2522"/>
      <c r="JZV211" s="2522"/>
      <c r="JZW211" s="2522"/>
      <c r="JZX211" s="2522"/>
      <c r="JZY211" s="2522"/>
      <c r="JZZ211" s="2522"/>
      <c r="KAA211" s="2522"/>
      <c r="KAB211" s="2522"/>
      <c r="KAC211" s="2522"/>
      <c r="KAD211" s="2522"/>
      <c r="KAE211" s="2522"/>
      <c r="KAF211" s="2522"/>
      <c r="KAG211" s="2522"/>
      <c r="KAH211" s="2522"/>
      <c r="KAI211" s="2522"/>
      <c r="KAJ211" s="2522"/>
      <c r="KAK211" s="2522"/>
      <c r="KAL211" s="2522"/>
      <c r="KAM211" s="2522"/>
      <c r="KAN211" s="2522"/>
      <c r="KAO211" s="2522"/>
      <c r="KAP211" s="2522"/>
      <c r="KAQ211" s="2522"/>
      <c r="KAR211" s="2522"/>
      <c r="KAS211" s="2522"/>
      <c r="KAT211" s="2522"/>
      <c r="KAU211" s="2522"/>
      <c r="KAV211" s="2522"/>
      <c r="KAW211" s="2522"/>
      <c r="KAX211" s="2522"/>
      <c r="KAY211" s="2522"/>
      <c r="KAZ211" s="2522"/>
      <c r="KBA211" s="2522"/>
      <c r="KBB211" s="2522"/>
      <c r="KBC211" s="2522"/>
      <c r="KBD211" s="2522"/>
      <c r="KBE211" s="2522"/>
      <c r="KBF211" s="2522"/>
      <c r="KBG211" s="2522"/>
      <c r="KBH211" s="2522"/>
      <c r="KBI211" s="2522"/>
      <c r="KBJ211" s="2522"/>
      <c r="KBK211" s="2522"/>
      <c r="KBL211" s="2522"/>
      <c r="KBM211" s="2522"/>
      <c r="KBN211" s="2522"/>
      <c r="KBO211" s="2522"/>
      <c r="KBP211" s="2522"/>
      <c r="KBQ211" s="2522"/>
      <c r="KBR211" s="2522"/>
      <c r="KBS211" s="2522"/>
      <c r="KBT211" s="2522"/>
      <c r="KBU211" s="2522"/>
      <c r="KBV211" s="2522"/>
      <c r="KBW211" s="2522"/>
      <c r="KBX211" s="2522"/>
      <c r="KBY211" s="2522"/>
      <c r="KBZ211" s="2522"/>
      <c r="KCA211" s="2522"/>
      <c r="KCB211" s="2522"/>
      <c r="KCC211" s="2522"/>
      <c r="KCD211" s="2522"/>
      <c r="KCE211" s="2522"/>
      <c r="KCF211" s="2522"/>
      <c r="KCG211" s="2522"/>
      <c r="KCH211" s="2522"/>
      <c r="KCI211" s="2522"/>
      <c r="KCJ211" s="2522"/>
      <c r="KCK211" s="2522"/>
      <c r="KCL211" s="2522"/>
      <c r="KCM211" s="2522"/>
      <c r="KCN211" s="2522"/>
      <c r="KCO211" s="2522"/>
      <c r="KCP211" s="2522"/>
      <c r="KCQ211" s="2522"/>
      <c r="KCR211" s="2522"/>
      <c r="KCS211" s="2522"/>
      <c r="KCT211" s="2522"/>
      <c r="KCU211" s="2522"/>
      <c r="KCV211" s="2522"/>
      <c r="KCW211" s="2522"/>
      <c r="KCX211" s="2522"/>
      <c r="KCY211" s="2522"/>
      <c r="KCZ211" s="2522"/>
      <c r="KDA211" s="2522"/>
      <c r="KDB211" s="2522"/>
      <c r="KDC211" s="2522"/>
      <c r="KDD211" s="2522"/>
      <c r="KDE211" s="2522"/>
      <c r="KDF211" s="2522"/>
      <c r="KDG211" s="2522"/>
      <c r="KDH211" s="2522"/>
      <c r="KDI211" s="2522"/>
      <c r="KDJ211" s="2522"/>
      <c r="KDK211" s="2522"/>
      <c r="KDL211" s="2522"/>
      <c r="KDM211" s="2522"/>
      <c r="KDN211" s="2522"/>
      <c r="KDO211" s="2522"/>
      <c r="KDP211" s="2522"/>
      <c r="KDQ211" s="2522"/>
      <c r="KDR211" s="2522"/>
      <c r="KDS211" s="2522"/>
      <c r="KDT211" s="2522"/>
      <c r="KDU211" s="2522"/>
      <c r="KDV211" s="2522"/>
      <c r="KDW211" s="2522"/>
      <c r="KDX211" s="2522"/>
      <c r="KDY211" s="2522"/>
      <c r="KDZ211" s="2522"/>
      <c r="KEA211" s="2522"/>
      <c r="KEB211" s="2522"/>
      <c r="KEC211" s="2522"/>
      <c r="KED211" s="2522"/>
      <c r="KEE211" s="2522"/>
      <c r="KEF211" s="2522"/>
      <c r="KEG211" s="2522"/>
      <c r="KEH211" s="2522"/>
      <c r="KEI211" s="2522"/>
      <c r="KEJ211" s="2522"/>
      <c r="KEK211" s="2522"/>
      <c r="KEL211" s="2522"/>
      <c r="KEM211" s="2522"/>
      <c r="KEN211" s="2522"/>
      <c r="KEO211" s="2522"/>
      <c r="KEP211" s="2522"/>
      <c r="KEQ211" s="2522"/>
      <c r="KER211" s="2522"/>
      <c r="KES211" s="2522"/>
      <c r="KET211" s="2522"/>
      <c r="KEU211" s="2522"/>
      <c r="KEV211" s="2522"/>
      <c r="KEW211" s="2522"/>
      <c r="KEX211" s="2522"/>
      <c r="KEY211" s="2522"/>
      <c r="KEZ211" s="2522"/>
      <c r="KFA211" s="2522"/>
      <c r="KFB211" s="2522"/>
      <c r="KFC211" s="2522"/>
      <c r="KFD211" s="2522"/>
      <c r="KFE211" s="2522"/>
      <c r="KFF211" s="2522"/>
      <c r="KFG211" s="2522"/>
      <c r="KFH211" s="2522"/>
      <c r="KFI211" s="2522"/>
      <c r="KFJ211" s="2522"/>
      <c r="KFK211" s="2522"/>
      <c r="KFL211" s="2522"/>
      <c r="KFM211" s="2522"/>
      <c r="KFN211" s="2522"/>
      <c r="KFO211" s="2522"/>
      <c r="KFP211" s="2522"/>
      <c r="KFQ211" s="2522"/>
      <c r="KFR211" s="2522"/>
      <c r="KFS211" s="2522"/>
      <c r="KFT211" s="2522"/>
      <c r="KFU211" s="2522"/>
      <c r="KFV211" s="2522"/>
      <c r="KFW211" s="2522"/>
      <c r="KFX211" s="2522"/>
      <c r="KFY211" s="2522"/>
      <c r="KFZ211" s="2522"/>
      <c r="KGA211" s="2522"/>
      <c r="KGB211" s="2522"/>
      <c r="KGC211" s="2522"/>
      <c r="KGD211" s="2522"/>
      <c r="KGE211" s="2522"/>
      <c r="KGF211" s="2522"/>
      <c r="KGG211" s="2522"/>
      <c r="KGH211" s="2522"/>
      <c r="KGI211" s="2522"/>
      <c r="KGJ211" s="2522"/>
      <c r="KGK211" s="2522"/>
      <c r="KGL211" s="2522"/>
      <c r="KGM211" s="2522"/>
      <c r="KGN211" s="2522"/>
      <c r="KGO211" s="2522"/>
      <c r="KGP211" s="2522"/>
      <c r="KGQ211" s="2522"/>
      <c r="KGR211" s="2522"/>
      <c r="KGS211" s="2522"/>
      <c r="KGT211" s="2522"/>
      <c r="KGU211" s="2522"/>
      <c r="KGV211" s="2522"/>
      <c r="KGW211" s="2522"/>
      <c r="KGX211" s="2522"/>
      <c r="KGY211" s="2522"/>
      <c r="KGZ211" s="2522"/>
      <c r="KHA211" s="2522"/>
      <c r="KHB211" s="2522"/>
      <c r="KHC211" s="2522"/>
      <c r="KHD211" s="2522"/>
      <c r="KHE211" s="2522"/>
      <c r="KHF211" s="2522"/>
      <c r="KHG211" s="2522"/>
      <c r="KHH211" s="2522"/>
      <c r="KHI211" s="2522"/>
      <c r="KHJ211" s="2522"/>
      <c r="KHK211" s="2522"/>
      <c r="KHL211" s="2522"/>
      <c r="KHM211" s="2522"/>
      <c r="KHN211" s="2522"/>
      <c r="KHO211" s="2522"/>
      <c r="KHP211" s="2522"/>
      <c r="KHQ211" s="2522"/>
      <c r="KHR211" s="2522"/>
      <c r="KHS211" s="2522"/>
      <c r="KHT211" s="2522"/>
      <c r="KHU211" s="2522"/>
      <c r="KHV211" s="2522"/>
      <c r="KHW211" s="2522"/>
      <c r="KHX211" s="2522"/>
      <c r="KHY211" s="2522"/>
      <c r="KHZ211" s="2522"/>
      <c r="KIA211" s="2522"/>
      <c r="KIB211" s="2522"/>
      <c r="KIC211" s="2522"/>
      <c r="KID211" s="2522"/>
      <c r="KIE211" s="2522"/>
      <c r="KIF211" s="2522"/>
      <c r="KIG211" s="2522"/>
      <c r="KIH211" s="2522"/>
      <c r="KII211" s="2522"/>
      <c r="KIJ211" s="2522"/>
      <c r="KIK211" s="2522"/>
      <c r="KIL211" s="2522"/>
      <c r="KIM211" s="2522"/>
      <c r="KIN211" s="2522"/>
      <c r="KIO211" s="2522"/>
      <c r="KIP211" s="2522"/>
      <c r="KIQ211" s="2522"/>
      <c r="KIR211" s="2522"/>
      <c r="KIS211" s="2522"/>
      <c r="KIT211" s="2522"/>
      <c r="KIU211" s="2522"/>
      <c r="KIV211" s="2522"/>
      <c r="KIW211" s="2522"/>
      <c r="KIX211" s="2522"/>
      <c r="KIY211" s="2522"/>
      <c r="KIZ211" s="2522"/>
      <c r="KJA211" s="2522"/>
      <c r="KJB211" s="2522"/>
      <c r="KJC211" s="2522"/>
      <c r="KJD211" s="2522"/>
      <c r="KJE211" s="2522"/>
      <c r="KJF211" s="2522"/>
      <c r="KJG211" s="2522"/>
      <c r="KJH211" s="2522"/>
      <c r="KJI211" s="2522"/>
      <c r="KJJ211" s="2522"/>
      <c r="KJK211" s="2522"/>
      <c r="KJL211" s="2522"/>
      <c r="KJM211" s="2522"/>
      <c r="KJN211" s="2522"/>
      <c r="KJO211" s="2522"/>
      <c r="KJP211" s="2522"/>
      <c r="KJQ211" s="2522"/>
      <c r="KJR211" s="2522"/>
      <c r="KJS211" s="2522"/>
      <c r="KJT211" s="2522"/>
      <c r="KJU211" s="2522"/>
      <c r="KJV211" s="2522"/>
      <c r="KJW211" s="2522"/>
      <c r="KJX211" s="2522"/>
      <c r="KJY211" s="2522"/>
      <c r="KJZ211" s="2522"/>
      <c r="KKA211" s="2522"/>
      <c r="KKB211" s="2522"/>
      <c r="KKC211" s="2522"/>
      <c r="KKD211" s="2522"/>
      <c r="KKE211" s="2522"/>
      <c r="KKF211" s="2522"/>
      <c r="KKG211" s="2522"/>
      <c r="KKH211" s="2522"/>
      <c r="KKI211" s="2522"/>
      <c r="KKJ211" s="2522"/>
      <c r="KKK211" s="2522"/>
      <c r="KKL211" s="2522"/>
      <c r="KKM211" s="2522"/>
      <c r="KKN211" s="2522"/>
      <c r="KKO211" s="2522"/>
      <c r="KKP211" s="2522"/>
      <c r="KKQ211" s="2522"/>
      <c r="KKR211" s="2522"/>
      <c r="KKS211" s="2522"/>
      <c r="KKT211" s="2522"/>
      <c r="KKU211" s="2522"/>
      <c r="KKV211" s="2522"/>
      <c r="KKW211" s="2522"/>
      <c r="KKX211" s="2522"/>
      <c r="KKY211" s="2522"/>
      <c r="KKZ211" s="2522"/>
      <c r="KLA211" s="2522"/>
      <c r="KLB211" s="2522"/>
      <c r="KLC211" s="2522"/>
      <c r="KLD211" s="2522"/>
      <c r="KLE211" s="2522"/>
      <c r="KLF211" s="2522"/>
      <c r="KLG211" s="2522"/>
      <c r="KLH211" s="2522"/>
      <c r="KLI211" s="2522"/>
      <c r="KLJ211" s="2522"/>
      <c r="KLK211" s="2522"/>
      <c r="KLL211" s="2522"/>
      <c r="KLM211" s="2522"/>
      <c r="KLN211" s="2522"/>
      <c r="KLO211" s="2522"/>
      <c r="KLP211" s="2522"/>
      <c r="KLQ211" s="2522"/>
      <c r="KLR211" s="2522"/>
      <c r="KLS211" s="2522"/>
      <c r="KLT211" s="2522"/>
      <c r="KLU211" s="2522"/>
      <c r="KLV211" s="2522"/>
      <c r="KLW211" s="2522"/>
      <c r="KLX211" s="2522"/>
      <c r="KLY211" s="2522"/>
      <c r="KLZ211" s="2522"/>
      <c r="KMA211" s="2522"/>
      <c r="KMB211" s="2522"/>
      <c r="KMC211" s="2522"/>
      <c r="KMD211" s="2522"/>
      <c r="KME211" s="2522"/>
      <c r="KMF211" s="2522"/>
      <c r="KMG211" s="2522"/>
      <c r="KMH211" s="2522"/>
      <c r="KMI211" s="2522"/>
      <c r="KMJ211" s="2522"/>
      <c r="KMK211" s="2522"/>
      <c r="KML211" s="2522"/>
      <c r="KMM211" s="2522"/>
      <c r="KMN211" s="2522"/>
      <c r="KMO211" s="2522"/>
      <c r="KMP211" s="2522"/>
      <c r="KMQ211" s="2522"/>
      <c r="KMR211" s="2522"/>
      <c r="KMS211" s="2522"/>
      <c r="KMT211" s="2522"/>
      <c r="KMU211" s="2522"/>
      <c r="KMV211" s="2522"/>
      <c r="KMW211" s="2522"/>
      <c r="KMX211" s="2522"/>
      <c r="KMY211" s="2522"/>
      <c r="KMZ211" s="2522"/>
      <c r="KNA211" s="2522"/>
      <c r="KNB211" s="2522"/>
      <c r="KNC211" s="2522"/>
      <c r="KND211" s="2522"/>
      <c r="KNE211" s="2522"/>
      <c r="KNF211" s="2522"/>
      <c r="KNG211" s="2522"/>
      <c r="KNH211" s="2522"/>
      <c r="KNI211" s="2522"/>
      <c r="KNJ211" s="2522"/>
      <c r="KNK211" s="2522"/>
      <c r="KNL211" s="2522"/>
      <c r="KNM211" s="2522"/>
      <c r="KNN211" s="2522"/>
      <c r="KNO211" s="2522"/>
      <c r="KNP211" s="2522"/>
      <c r="KNQ211" s="2522"/>
      <c r="KNR211" s="2522"/>
      <c r="KNS211" s="2522"/>
      <c r="KNT211" s="2522"/>
      <c r="KNU211" s="2522"/>
      <c r="KNV211" s="2522"/>
      <c r="KNW211" s="2522"/>
      <c r="KNX211" s="2522"/>
      <c r="KNY211" s="2522"/>
      <c r="KNZ211" s="2522"/>
      <c r="KOA211" s="2522"/>
      <c r="KOB211" s="2522"/>
      <c r="KOC211" s="2522"/>
      <c r="KOD211" s="2522"/>
      <c r="KOE211" s="2522"/>
      <c r="KOF211" s="2522"/>
      <c r="KOG211" s="2522"/>
      <c r="KOH211" s="2522"/>
      <c r="KOI211" s="2522"/>
      <c r="KOJ211" s="2522"/>
      <c r="KOK211" s="2522"/>
      <c r="KOL211" s="2522"/>
      <c r="KOM211" s="2522"/>
      <c r="KON211" s="2522"/>
      <c r="KOO211" s="2522"/>
      <c r="KOP211" s="2522"/>
      <c r="KOQ211" s="2522"/>
      <c r="KOR211" s="2522"/>
      <c r="KOS211" s="2522"/>
      <c r="KOT211" s="2522"/>
      <c r="KOU211" s="2522"/>
      <c r="KOV211" s="2522"/>
      <c r="KOW211" s="2522"/>
      <c r="KOX211" s="2522"/>
      <c r="KOY211" s="2522"/>
      <c r="KOZ211" s="2522"/>
      <c r="KPA211" s="2522"/>
      <c r="KPB211" s="2522"/>
      <c r="KPC211" s="2522"/>
      <c r="KPD211" s="2522"/>
      <c r="KPE211" s="2522"/>
      <c r="KPF211" s="2522"/>
      <c r="KPG211" s="2522"/>
      <c r="KPH211" s="2522"/>
      <c r="KPI211" s="2522"/>
      <c r="KPJ211" s="2522"/>
      <c r="KPK211" s="2522"/>
      <c r="KPL211" s="2522"/>
      <c r="KPM211" s="2522"/>
      <c r="KPN211" s="2522"/>
      <c r="KPO211" s="2522"/>
      <c r="KPP211" s="2522"/>
      <c r="KPQ211" s="2522"/>
      <c r="KPR211" s="2522"/>
      <c r="KPS211" s="2522"/>
      <c r="KPT211" s="2522"/>
      <c r="KPU211" s="2522"/>
      <c r="KPV211" s="2522"/>
      <c r="KPW211" s="2522"/>
      <c r="KPX211" s="2522"/>
      <c r="KPY211" s="2522"/>
      <c r="KPZ211" s="2522"/>
      <c r="KQA211" s="2522"/>
      <c r="KQB211" s="2522"/>
      <c r="KQC211" s="2522"/>
      <c r="KQD211" s="2522"/>
      <c r="KQE211" s="2522"/>
      <c r="KQF211" s="2522"/>
      <c r="KQG211" s="2522"/>
      <c r="KQH211" s="2522"/>
      <c r="KQI211" s="2522"/>
      <c r="KQJ211" s="2522"/>
      <c r="KQK211" s="2522"/>
      <c r="KQL211" s="2522"/>
      <c r="KQM211" s="2522"/>
      <c r="KQN211" s="2522"/>
      <c r="KQO211" s="2522"/>
      <c r="KQP211" s="2522"/>
      <c r="KQQ211" s="2522"/>
      <c r="KQR211" s="2522"/>
      <c r="KQS211" s="2522"/>
      <c r="KQT211" s="2522"/>
      <c r="KQU211" s="2522"/>
      <c r="KQV211" s="2522"/>
      <c r="KQW211" s="2522"/>
      <c r="KQX211" s="2522"/>
      <c r="KQY211" s="2522"/>
      <c r="KQZ211" s="2522"/>
      <c r="KRA211" s="2522"/>
      <c r="KRB211" s="2522"/>
      <c r="KRC211" s="2522"/>
      <c r="KRD211" s="2522"/>
      <c r="KRE211" s="2522"/>
      <c r="KRF211" s="2522"/>
      <c r="KRG211" s="2522"/>
      <c r="KRH211" s="2522"/>
      <c r="KRI211" s="2522"/>
      <c r="KRJ211" s="2522"/>
      <c r="KRK211" s="2522"/>
      <c r="KRL211" s="2522"/>
      <c r="KRM211" s="2522"/>
      <c r="KRN211" s="2522"/>
      <c r="KRO211" s="2522"/>
      <c r="KRP211" s="2522"/>
      <c r="KRQ211" s="2522"/>
      <c r="KRR211" s="2522"/>
      <c r="KRS211" s="2522"/>
      <c r="KRT211" s="2522"/>
      <c r="KRU211" s="2522"/>
      <c r="KRV211" s="2522"/>
      <c r="KRW211" s="2522"/>
      <c r="KRX211" s="2522"/>
      <c r="KRY211" s="2522"/>
      <c r="KRZ211" s="2522"/>
      <c r="KSA211" s="2522"/>
      <c r="KSB211" s="2522"/>
      <c r="KSC211" s="2522"/>
      <c r="KSD211" s="2522"/>
      <c r="KSE211" s="2522"/>
      <c r="KSF211" s="2522"/>
      <c r="KSG211" s="2522"/>
      <c r="KSH211" s="2522"/>
      <c r="KSI211" s="2522"/>
      <c r="KSJ211" s="2522"/>
      <c r="KSK211" s="2522"/>
      <c r="KSL211" s="2522"/>
      <c r="KSM211" s="2522"/>
      <c r="KSN211" s="2522"/>
      <c r="KSO211" s="2522"/>
      <c r="KSP211" s="2522"/>
      <c r="KSQ211" s="2522"/>
      <c r="KSR211" s="2522"/>
      <c r="KSS211" s="2522"/>
      <c r="KST211" s="2522"/>
      <c r="KSU211" s="2522"/>
      <c r="KSV211" s="2522"/>
      <c r="KSW211" s="2522"/>
      <c r="KSX211" s="2522"/>
      <c r="KSY211" s="2522"/>
      <c r="KSZ211" s="2522"/>
      <c r="KTA211" s="2522"/>
      <c r="KTB211" s="2522"/>
      <c r="KTC211" s="2522"/>
      <c r="KTD211" s="2522"/>
      <c r="KTE211" s="2522"/>
      <c r="KTF211" s="2522"/>
      <c r="KTG211" s="2522"/>
      <c r="KTH211" s="2522"/>
      <c r="KTI211" s="2522"/>
      <c r="KTJ211" s="2522"/>
      <c r="KTK211" s="2522"/>
      <c r="KTL211" s="2522"/>
      <c r="KTM211" s="2522"/>
      <c r="KTN211" s="2522"/>
      <c r="KTO211" s="2522"/>
      <c r="KTP211" s="2522"/>
      <c r="KTQ211" s="2522"/>
      <c r="KTR211" s="2522"/>
      <c r="KTS211" s="2522"/>
      <c r="KTT211" s="2522"/>
      <c r="KTU211" s="2522"/>
      <c r="KTV211" s="2522"/>
      <c r="KTW211" s="2522"/>
      <c r="KTX211" s="2522"/>
      <c r="KTY211" s="2522"/>
      <c r="KTZ211" s="2522"/>
      <c r="KUA211" s="2522"/>
      <c r="KUB211" s="2522"/>
      <c r="KUC211" s="2522"/>
      <c r="KUD211" s="2522"/>
      <c r="KUE211" s="2522"/>
      <c r="KUF211" s="2522"/>
      <c r="KUG211" s="2522"/>
      <c r="KUH211" s="2522"/>
      <c r="KUI211" s="2522"/>
      <c r="KUJ211" s="2522"/>
      <c r="KUK211" s="2522"/>
      <c r="KUL211" s="2522"/>
      <c r="KUM211" s="2522"/>
      <c r="KUN211" s="2522"/>
      <c r="KUO211" s="2522"/>
      <c r="KUP211" s="2522"/>
      <c r="KUQ211" s="2522"/>
      <c r="KUR211" s="2522"/>
      <c r="KUS211" s="2522"/>
      <c r="KUT211" s="2522"/>
      <c r="KUU211" s="2522"/>
      <c r="KUV211" s="2522"/>
      <c r="KUW211" s="2522"/>
      <c r="KUX211" s="2522"/>
      <c r="KUY211" s="2522"/>
      <c r="KUZ211" s="2522"/>
      <c r="KVA211" s="2522"/>
      <c r="KVB211" s="2522"/>
      <c r="KVC211" s="2522"/>
      <c r="KVD211" s="2522"/>
      <c r="KVE211" s="2522"/>
      <c r="KVF211" s="2522"/>
      <c r="KVG211" s="2522"/>
      <c r="KVH211" s="2522"/>
      <c r="KVI211" s="2522"/>
      <c r="KVJ211" s="2522"/>
      <c r="KVK211" s="2522"/>
      <c r="KVL211" s="2522"/>
      <c r="KVM211" s="2522"/>
      <c r="KVN211" s="2522"/>
      <c r="KVO211" s="2522"/>
      <c r="KVP211" s="2522"/>
      <c r="KVQ211" s="2522"/>
      <c r="KVR211" s="2522"/>
      <c r="KVS211" s="2522"/>
      <c r="KVT211" s="2522"/>
      <c r="KVU211" s="2522"/>
      <c r="KVV211" s="2522"/>
      <c r="KVW211" s="2522"/>
      <c r="KVX211" s="2522"/>
      <c r="KVY211" s="2522"/>
      <c r="KVZ211" s="2522"/>
      <c r="KWA211" s="2522"/>
      <c r="KWB211" s="2522"/>
      <c r="KWC211" s="2522"/>
      <c r="KWD211" s="2522"/>
      <c r="KWE211" s="2522"/>
      <c r="KWF211" s="2522"/>
      <c r="KWG211" s="2522"/>
      <c r="KWH211" s="2522"/>
      <c r="KWI211" s="2522"/>
      <c r="KWJ211" s="2522"/>
      <c r="KWK211" s="2522"/>
      <c r="KWL211" s="2522"/>
      <c r="KWM211" s="2522"/>
      <c r="KWN211" s="2522"/>
      <c r="KWO211" s="2522"/>
      <c r="KWP211" s="2522"/>
      <c r="KWQ211" s="2522"/>
      <c r="KWR211" s="2522"/>
      <c r="KWS211" s="2522"/>
      <c r="KWT211" s="2522"/>
      <c r="KWU211" s="2522"/>
      <c r="KWV211" s="2522"/>
      <c r="KWW211" s="2522"/>
      <c r="KWX211" s="2522"/>
      <c r="KWY211" s="2522"/>
      <c r="KWZ211" s="2522"/>
      <c r="KXA211" s="2522"/>
      <c r="KXB211" s="2522"/>
      <c r="KXC211" s="2522"/>
      <c r="KXD211" s="2522"/>
      <c r="KXE211" s="2522"/>
      <c r="KXF211" s="2522"/>
      <c r="KXG211" s="2522"/>
      <c r="KXH211" s="2522"/>
      <c r="KXI211" s="2522"/>
      <c r="KXJ211" s="2522"/>
      <c r="KXK211" s="2522"/>
      <c r="KXL211" s="2522"/>
      <c r="KXM211" s="2522"/>
      <c r="KXN211" s="2522"/>
      <c r="KXO211" s="2522"/>
      <c r="KXP211" s="2522"/>
      <c r="KXQ211" s="2522"/>
      <c r="KXR211" s="2522"/>
      <c r="KXS211" s="2522"/>
      <c r="KXT211" s="2522"/>
      <c r="KXU211" s="2522"/>
      <c r="KXV211" s="2522"/>
      <c r="KXW211" s="2522"/>
      <c r="KXX211" s="2522"/>
      <c r="KXY211" s="2522"/>
      <c r="KXZ211" s="2522"/>
      <c r="KYA211" s="2522"/>
      <c r="KYB211" s="2522"/>
      <c r="KYC211" s="2522"/>
      <c r="KYD211" s="2522"/>
      <c r="KYE211" s="2522"/>
      <c r="KYF211" s="2522"/>
      <c r="KYG211" s="2522"/>
      <c r="KYH211" s="2522"/>
      <c r="KYI211" s="2522"/>
      <c r="KYJ211" s="2522"/>
      <c r="KYK211" s="2522"/>
      <c r="KYL211" s="2522"/>
      <c r="KYM211" s="2522"/>
      <c r="KYN211" s="2522"/>
      <c r="KYO211" s="2522"/>
      <c r="KYP211" s="2522"/>
      <c r="KYQ211" s="2522"/>
      <c r="KYR211" s="2522"/>
      <c r="KYS211" s="2522"/>
      <c r="KYT211" s="2522"/>
      <c r="KYU211" s="2522"/>
      <c r="KYV211" s="2522"/>
      <c r="KYW211" s="2522"/>
      <c r="KYX211" s="2522"/>
      <c r="KYY211" s="2522"/>
      <c r="KYZ211" s="2522"/>
      <c r="KZA211" s="2522"/>
      <c r="KZB211" s="2522"/>
      <c r="KZC211" s="2522"/>
      <c r="KZD211" s="2522"/>
      <c r="KZE211" s="2522"/>
      <c r="KZF211" s="2522"/>
      <c r="KZG211" s="2522"/>
      <c r="KZH211" s="2522"/>
      <c r="KZI211" s="2522"/>
      <c r="KZJ211" s="2522"/>
      <c r="KZK211" s="2522"/>
      <c r="KZL211" s="2522"/>
      <c r="KZM211" s="2522"/>
      <c r="KZN211" s="2522"/>
      <c r="KZO211" s="2522"/>
      <c r="KZP211" s="2522"/>
      <c r="KZQ211" s="2522"/>
      <c r="KZR211" s="2522"/>
      <c r="KZS211" s="2522"/>
      <c r="KZT211" s="2522"/>
      <c r="KZU211" s="2522"/>
      <c r="KZV211" s="2522"/>
      <c r="KZW211" s="2522"/>
      <c r="KZX211" s="2522"/>
      <c r="KZY211" s="2522"/>
      <c r="KZZ211" s="2522"/>
      <c r="LAA211" s="2522"/>
      <c r="LAB211" s="2522"/>
      <c r="LAC211" s="2522"/>
      <c r="LAD211" s="2522"/>
      <c r="LAE211" s="2522"/>
      <c r="LAF211" s="2522"/>
      <c r="LAG211" s="2522"/>
      <c r="LAH211" s="2522"/>
      <c r="LAI211" s="2522"/>
      <c r="LAJ211" s="2522"/>
      <c r="LAK211" s="2522"/>
      <c r="LAL211" s="2522"/>
      <c r="LAM211" s="2522"/>
      <c r="LAN211" s="2522"/>
      <c r="LAO211" s="2522"/>
      <c r="LAP211" s="2522"/>
      <c r="LAQ211" s="2522"/>
      <c r="LAR211" s="2522"/>
      <c r="LAS211" s="2522"/>
      <c r="LAT211" s="2522"/>
      <c r="LAU211" s="2522"/>
      <c r="LAV211" s="2522"/>
      <c r="LAW211" s="2522"/>
      <c r="LAX211" s="2522"/>
      <c r="LAY211" s="2522"/>
      <c r="LAZ211" s="2522"/>
      <c r="LBA211" s="2522"/>
      <c r="LBB211" s="2522"/>
      <c r="LBC211" s="2522"/>
      <c r="LBD211" s="2522"/>
      <c r="LBE211" s="2522"/>
      <c r="LBF211" s="2522"/>
      <c r="LBG211" s="2522"/>
      <c r="LBH211" s="2522"/>
      <c r="LBI211" s="2522"/>
      <c r="LBJ211" s="2522"/>
      <c r="LBK211" s="2522"/>
      <c r="LBL211" s="2522"/>
      <c r="LBM211" s="2522"/>
      <c r="LBN211" s="2522"/>
      <c r="LBO211" s="2522"/>
      <c r="LBP211" s="2522"/>
      <c r="LBQ211" s="2522"/>
      <c r="LBR211" s="2522"/>
      <c r="LBS211" s="2522"/>
      <c r="LBT211" s="2522"/>
      <c r="LBU211" s="2522"/>
      <c r="LBV211" s="2522"/>
      <c r="LBW211" s="2522"/>
      <c r="LBX211" s="2522"/>
      <c r="LBY211" s="2522"/>
      <c r="LBZ211" s="2522"/>
      <c r="LCA211" s="2522"/>
      <c r="LCB211" s="2522"/>
      <c r="LCC211" s="2522"/>
      <c r="LCD211" s="2522"/>
      <c r="LCE211" s="2522"/>
      <c r="LCF211" s="2522"/>
      <c r="LCG211" s="2522"/>
      <c r="LCH211" s="2522"/>
      <c r="LCI211" s="2522"/>
      <c r="LCJ211" s="2522"/>
      <c r="LCK211" s="2522"/>
      <c r="LCL211" s="2522"/>
      <c r="LCM211" s="2522"/>
      <c r="LCN211" s="2522"/>
      <c r="LCO211" s="2522"/>
      <c r="LCP211" s="2522"/>
      <c r="LCQ211" s="2522"/>
      <c r="LCR211" s="2522"/>
      <c r="LCS211" s="2522"/>
      <c r="LCT211" s="2522"/>
      <c r="LCU211" s="2522"/>
      <c r="LCV211" s="2522"/>
      <c r="LCW211" s="2522"/>
      <c r="LCX211" s="2522"/>
      <c r="LCY211" s="2522"/>
      <c r="LCZ211" s="2522"/>
      <c r="LDA211" s="2522"/>
      <c r="LDB211" s="2522"/>
      <c r="LDC211" s="2522"/>
      <c r="LDD211" s="2522"/>
      <c r="LDE211" s="2522"/>
      <c r="LDF211" s="2522"/>
      <c r="LDG211" s="2522"/>
      <c r="LDH211" s="2522"/>
      <c r="LDI211" s="2522"/>
      <c r="LDJ211" s="2522"/>
      <c r="LDK211" s="2522"/>
      <c r="LDL211" s="2522"/>
      <c r="LDM211" s="2522"/>
      <c r="LDN211" s="2522"/>
      <c r="LDO211" s="2522"/>
      <c r="LDP211" s="2522"/>
      <c r="LDQ211" s="2522"/>
      <c r="LDR211" s="2522"/>
      <c r="LDS211" s="2522"/>
      <c r="LDT211" s="2522"/>
      <c r="LDU211" s="2522"/>
      <c r="LDV211" s="2522"/>
      <c r="LDW211" s="2522"/>
      <c r="LDX211" s="2522"/>
      <c r="LDY211" s="2522"/>
      <c r="LDZ211" s="2522"/>
      <c r="LEA211" s="2522"/>
      <c r="LEB211" s="2522"/>
      <c r="LEC211" s="2522"/>
      <c r="LED211" s="2522"/>
      <c r="LEE211" s="2522"/>
      <c r="LEF211" s="2522"/>
      <c r="LEG211" s="2522"/>
      <c r="LEH211" s="2522"/>
      <c r="LEI211" s="2522"/>
      <c r="LEJ211" s="2522"/>
      <c r="LEK211" s="2522"/>
      <c r="LEL211" s="2522"/>
      <c r="LEM211" s="2522"/>
      <c r="LEN211" s="2522"/>
      <c r="LEO211" s="2522"/>
      <c r="LEP211" s="2522"/>
      <c r="LEQ211" s="2522"/>
      <c r="LER211" s="2522"/>
      <c r="LES211" s="2522"/>
      <c r="LET211" s="2522"/>
      <c r="LEU211" s="2522"/>
      <c r="LEV211" s="2522"/>
      <c r="LEW211" s="2522"/>
      <c r="LEX211" s="2522"/>
      <c r="LEY211" s="2522"/>
      <c r="LEZ211" s="2522"/>
      <c r="LFA211" s="2522"/>
      <c r="LFB211" s="2522"/>
      <c r="LFC211" s="2522"/>
      <c r="LFD211" s="2522"/>
      <c r="LFE211" s="2522"/>
      <c r="LFF211" s="2522"/>
      <c r="LFG211" s="2522"/>
      <c r="LFH211" s="2522"/>
      <c r="LFI211" s="2522"/>
      <c r="LFJ211" s="2522"/>
      <c r="LFK211" s="2522"/>
      <c r="LFL211" s="2522"/>
      <c r="LFM211" s="2522"/>
      <c r="LFN211" s="2522"/>
      <c r="LFO211" s="2522"/>
      <c r="LFP211" s="2522"/>
      <c r="LFQ211" s="2522"/>
      <c r="LFR211" s="2522"/>
      <c r="LFS211" s="2522"/>
      <c r="LFT211" s="2522"/>
      <c r="LFU211" s="2522"/>
      <c r="LFV211" s="2522"/>
      <c r="LFW211" s="2522"/>
      <c r="LFX211" s="2522"/>
      <c r="LFY211" s="2522"/>
      <c r="LFZ211" s="2522"/>
      <c r="LGA211" s="2522"/>
      <c r="LGB211" s="2522"/>
      <c r="LGC211" s="2522"/>
      <c r="LGD211" s="2522"/>
      <c r="LGE211" s="2522"/>
      <c r="LGF211" s="2522"/>
      <c r="LGG211" s="2522"/>
      <c r="LGH211" s="2522"/>
      <c r="LGI211" s="2522"/>
      <c r="LGJ211" s="2522"/>
      <c r="LGK211" s="2522"/>
      <c r="LGL211" s="2522"/>
      <c r="LGM211" s="2522"/>
      <c r="LGN211" s="2522"/>
      <c r="LGO211" s="2522"/>
      <c r="LGP211" s="2522"/>
      <c r="LGQ211" s="2522"/>
      <c r="LGR211" s="2522"/>
      <c r="LGS211" s="2522"/>
      <c r="LGT211" s="2522"/>
      <c r="LGU211" s="2522"/>
      <c r="LGV211" s="2522"/>
      <c r="LGW211" s="2522"/>
      <c r="LGX211" s="2522"/>
      <c r="LGY211" s="2522"/>
      <c r="LGZ211" s="2522"/>
      <c r="LHA211" s="2522"/>
      <c r="LHB211" s="2522"/>
      <c r="LHC211" s="2522"/>
      <c r="LHD211" s="2522"/>
      <c r="LHE211" s="2522"/>
      <c r="LHF211" s="2522"/>
      <c r="LHG211" s="2522"/>
      <c r="LHH211" s="2522"/>
      <c r="LHI211" s="2522"/>
      <c r="LHJ211" s="2522"/>
      <c r="LHK211" s="2522"/>
      <c r="LHL211" s="2522"/>
      <c r="LHM211" s="2522"/>
      <c r="LHN211" s="2522"/>
      <c r="LHO211" s="2522"/>
      <c r="LHP211" s="2522"/>
      <c r="LHQ211" s="2522"/>
      <c r="LHR211" s="2522"/>
      <c r="LHS211" s="2522"/>
      <c r="LHT211" s="2522"/>
      <c r="LHU211" s="2522"/>
      <c r="LHV211" s="2522"/>
      <c r="LHW211" s="2522"/>
      <c r="LHX211" s="2522"/>
      <c r="LHY211" s="2522"/>
      <c r="LHZ211" s="2522"/>
      <c r="LIA211" s="2522"/>
      <c r="LIB211" s="2522"/>
      <c r="LIC211" s="2522"/>
      <c r="LID211" s="2522"/>
      <c r="LIE211" s="2522"/>
      <c r="LIF211" s="2522"/>
      <c r="LIG211" s="2522"/>
      <c r="LIH211" s="2522"/>
      <c r="LII211" s="2522"/>
      <c r="LIJ211" s="2522"/>
      <c r="LIK211" s="2522"/>
      <c r="LIL211" s="2522"/>
      <c r="LIM211" s="2522"/>
      <c r="LIN211" s="2522"/>
      <c r="LIO211" s="2522"/>
      <c r="LIP211" s="2522"/>
      <c r="LIQ211" s="2522"/>
      <c r="LIR211" s="2522"/>
      <c r="LIS211" s="2522"/>
      <c r="LIT211" s="2522"/>
      <c r="LIU211" s="2522"/>
      <c r="LIV211" s="2522"/>
      <c r="LIW211" s="2522"/>
      <c r="LIX211" s="2522"/>
      <c r="LIY211" s="2522"/>
      <c r="LIZ211" s="2522"/>
      <c r="LJA211" s="2522"/>
      <c r="LJB211" s="2522"/>
      <c r="LJC211" s="2522"/>
      <c r="LJD211" s="2522"/>
      <c r="LJE211" s="2522"/>
      <c r="LJF211" s="2522"/>
      <c r="LJG211" s="2522"/>
      <c r="LJH211" s="2522"/>
      <c r="LJI211" s="2522"/>
      <c r="LJJ211" s="2522"/>
      <c r="LJK211" s="2522"/>
      <c r="LJL211" s="2522"/>
      <c r="LJM211" s="2522"/>
      <c r="LJN211" s="2522"/>
      <c r="LJO211" s="2522"/>
      <c r="LJP211" s="2522"/>
      <c r="LJQ211" s="2522"/>
      <c r="LJR211" s="2522"/>
      <c r="LJS211" s="2522"/>
      <c r="LJT211" s="2522"/>
      <c r="LJU211" s="2522"/>
      <c r="LJV211" s="2522"/>
      <c r="LJW211" s="2522"/>
      <c r="LJX211" s="2522"/>
      <c r="LJY211" s="2522"/>
      <c r="LJZ211" s="2522"/>
      <c r="LKA211" s="2522"/>
      <c r="LKB211" s="2522"/>
      <c r="LKC211" s="2522"/>
      <c r="LKD211" s="2522"/>
      <c r="LKE211" s="2522"/>
      <c r="LKF211" s="2522"/>
      <c r="LKG211" s="2522"/>
      <c r="LKH211" s="2522"/>
      <c r="LKI211" s="2522"/>
      <c r="LKJ211" s="2522"/>
      <c r="LKK211" s="2522"/>
      <c r="LKL211" s="2522"/>
      <c r="LKM211" s="2522"/>
      <c r="LKN211" s="2522"/>
      <c r="LKO211" s="2522"/>
      <c r="LKP211" s="2522"/>
      <c r="LKQ211" s="2522"/>
      <c r="LKR211" s="2522"/>
      <c r="LKS211" s="2522"/>
      <c r="LKT211" s="2522"/>
      <c r="LKU211" s="2522"/>
      <c r="LKV211" s="2522"/>
      <c r="LKW211" s="2522"/>
      <c r="LKX211" s="2522"/>
      <c r="LKY211" s="2522"/>
      <c r="LKZ211" s="2522"/>
      <c r="LLA211" s="2522"/>
      <c r="LLB211" s="2522"/>
      <c r="LLC211" s="2522"/>
      <c r="LLD211" s="2522"/>
      <c r="LLE211" s="2522"/>
      <c r="LLF211" s="2522"/>
      <c r="LLG211" s="2522"/>
      <c r="LLH211" s="2522"/>
      <c r="LLI211" s="2522"/>
      <c r="LLJ211" s="2522"/>
      <c r="LLK211" s="2522"/>
      <c r="LLL211" s="2522"/>
      <c r="LLM211" s="2522"/>
      <c r="LLN211" s="2522"/>
      <c r="LLO211" s="2522"/>
      <c r="LLP211" s="2522"/>
      <c r="LLQ211" s="2522"/>
      <c r="LLR211" s="2522"/>
      <c r="LLS211" s="2522"/>
      <c r="LLT211" s="2522"/>
      <c r="LLU211" s="2522"/>
      <c r="LLV211" s="2522"/>
      <c r="LLW211" s="2522"/>
      <c r="LLX211" s="2522"/>
      <c r="LLY211" s="2522"/>
      <c r="LLZ211" s="2522"/>
      <c r="LMA211" s="2522"/>
      <c r="LMB211" s="2522"/>
      <c r="LMC211" s="2522"/>
      <c r="LMD211" s="2522"/>
      <c r="LME211" s="2522"/>
      <c r="LMF211" s="2522"/>
      <c r="LMG211" s="2522"/>
      <c r="LMH211" s="2522"/>
      <c r="LMI211" s="2522"/>
      <c r="LMJ211" s="2522"/>
      <c r="LMK211" s="2522"/>
      <c r="LML211" s="2522"/>
      <c r="LMM211" s="2522"/>
      <c r="LMN211" s="2522"/>
      <c r="LMO211" s="2522"/>
      <c r="LMP211" s="2522"/>
      <c r="LMQ211" s="2522"/>
      <c r="LMR211" s="2522"/>
      <c r="LMS211" s="2522"/>
      <c r="LMT211" s="2522"/>
      <c r="LMU211" s="2522"/>
      <c r="LMV211" s="2522"/>
      <c r="LMW211" s="2522"/>
      <c r="LMX211" s="2522"/>
      <c r="LMY211" s="2522"/>
      <c r="LMZ211" s="2522"/>
      <c r="LNA211" s="2522"/>
      <c r="LNB211" s="2522"/>
      <c r="LNC211" s="2522"/>
      <c r="LND211" s="2522"/>
      <c r="LNE211" s="2522"/>
      <c r="LNF211" s="2522"/>
      <c r="LNG211" s="2522"/>
      <c r="LNH211" s="2522"/>
      <c r="LNI211" s="2522"/>
      <c r="LNJ211" s="2522"/>
      <c r="LNK211" s="2522"/>
      <c r="LNL211" s="2522"/>
      <c r="LNM211" s="2522"/>
      <c r="LNN211" s="2522"/>
      <c r="LNO211" s="2522"/>
      <c r="LNP211" s="2522"/>
      <c r="LNQ211" s="2522"/>
      <c r="LNR211" s="2522"/>
      <c r="LNS211" s="2522"/>
      <c r="LNT211" s="2522"/>
      <c r="LNU211" s="2522"/>
      <c r="LNV211" s="2522"/>
      <c r="LNW211" s="2522"/>
      <c r="LNX211" s="2522"/>
      <c r="LNY211" s="2522"/>
      <c r="LNZ211" s="2522"/>
      <c r="LOA211" s="2522"/>
      <c r="LOB211" s="2522"/>
      <c r="LOC211" s="2522"/>
      <c r="LOD211" s="2522"/>
      <c r="LOE211" s="2522"/>
      <c r="LOF211" s="2522"/>
      <c r="LOG211" s="2522"/>
      <c r="LOH211" s="2522"/>
      <c r="LOI211" s="2522"/>
      <c r="LOJ211" s="2522"/>
      <c r="LOK211" s="2522"/>
      <c r="LOL211" s="2522"/>
      <c r="LOM211" s="2522"/>
      <c r="LON211" s="2522"/>
      <c r="LOO211" s="2522"/>
      <c r="LOP211" s="2522"/>
      <c r="LOQ211" s="2522"/>
      <c r="LOR211" s="2522"/>
      <c r="LOS211" s="2522"/>
      <c r="LOT211" s="2522"/>
      <c r="LOU211" s="2522"/>
      <c r="LOV211" s="2522"/>
      <c r="LOW211" s="2522"/>
      <c r="LOX211" s="2522"/>
      <c r="LOY211" s="2522"/>
      <c r="LOZ211" s="2522"/>
      <c r="LPA211" s="2522"/>
      <c r="LPB211" s="2522"/>
      <c r="LPC211" s="2522"/>
      <c r="LPD211" s="2522"/>
      <c r="LPE211" s="2522"/>
      <c r="LPF211" s="2522"/>
      <c r="LPG211" s="2522"/>
      <c r="LPH211" s="2522"/>
      <c r="LPI211" s="2522"/>
      <c r="LPJ211" s="2522"/>
      <c r="LPK211" s="2522"/>
      <c r="LPL211" s="2522"/>
      <c r="LPM211" s="2522"/>
      <c r="LPN211" s="2522"/>
      <c r="LPO211" s="2522"/>
      <c r="LPP211" s="2522"/>
      <c r="LPQ211" s="2522"/>
      <c r="LPR211" s="2522"/>
      <c r="LPS211" s="2522"/>
      <c r="LPT211" s="2522"/>
      <c r="LPU211" s="2522"/>
      <c r="LPV211" s="2522"/>
      <c r="LPW211" s="2522"/>
      <c r="LPX211" s="2522"/>
      <c r="LPY211" s="2522"/>
      <c r="LPZ211" s="2522"/>
      <c r="LQA211" s="2522"/>
      <c r="LQB211" s="2522"/>
      <c r="LQC211" s="2522"/>
      <c r="LQD211" s="2522"/>
      <c r="LQE211" s="2522"/>
      <c r="LQF211" s="2522"/>
      <c r="LQG211" s="2522"/>
      <c r="LQH211" s="2522"/>
      <c r="LQI211" s="2522"/>
      <c r="LQJ211" s="2522"/>
      <c r="LQK211" s="2522"/>
      <c r="LQL211" s="2522"/>
      <c r="LQM211" s="2522"/>
      <c r="LQN211" s="2522"/>
      <c r="LQO211" s="2522"/>
      <c r="LQP211" s="2522"/>
      <c r="LQQ211" s="2522"/>
      <c r="LQR211" s="2522"/>
      <c r="LQS211" s="2522"/>
      <c r="LQT211" s="2522"/>
      <c r="LQU211" s="2522"/>
      <c r="LQV211" s="2522"/>
      <c r="LQW211" s="2522"/>
      <c r="LQX211" s="2522"/>
      <c r="LQY211" s="2522"/>
      <c r="LQZ211" s="2522"/>
      <c r="LRA211" s="2522"/>
      <c r="LRB211" s="2522"/>
      <c r="LRC211" s="2522"/>
      <c r="LRD211" s="2522"/>
      <c r="LRE211" s="2522"/>
      <c r="LRF211" s="2522"/>
      <c r="LRG211" s="2522"/>
      <c r="LRH211" s="2522"/>
      <c r="LRI211" s="2522"/>
      <c r="LRJ211" s="2522"/>
      <c r="LRK211" s="2522"/>
      <c r="LRL211" s="2522"/>
      <c r="LRM211" s="2522"/>
      <c r="LRN211" s="2522"/>
      <c r="LRO211" s="2522"/>
      <c r="LRP211" s="2522"/>
      <c r="LRQ211" s="2522"/>
      <c r="LRR211" s="2522"/>
      <c r="LRS211" s="2522"/>
      <c r="LRT211" s="2522"/>
      <c r="LRU211" s="2522"/>
      <c r="LRV211" s="2522"/>
      <c r="LRW211" s="2522"/>
      <c r="LRX211" s="2522"/>
      <c r="LRY211" s="2522"/>
      <c r="LRZ211" s="2522"/>
      <c r="LSA211" s="2522"/>
      <c r="LSB211" s="2522"/>
      <c r="LSC211" s="2522"/>
      <c r="LSD211" s="2522"/>
      <c r="LSE211" s="2522"/>
      <c r="LSF211" s="2522"/>
      <c r="LSG211" s="2522"/>
      <c r="LSH211" s="2522"/>
      <c r="LSI211" s="2522"/>
      <c r="LSJ211" s="2522"/>
      <c r="LSK211" s="2522"/>
      <c r="LSL211" s="2522"/>
      <c r="LSM211" s="2522"/>
      <c r="LSN211" s="2522"/>
      <c r="LSO211" s="2522"/>
      <c r="LSP211" s="2522"/>
      <c r="LSQ211" s="2522"/>
      <c r="LSR211" s="2522"/>
      <c r="LSS211" s="2522"/>
      <c r="LST211" s="2522"/>
      <c r="LSU211" s="2522"/>
      <c r="LSV211" s="2522"/>
      <c r="LSW211" s="2522"/>
      <c r="LSX211" s="2522"/>
      <c r="LSY211" s="2522"/>
      <c r="LSZ211" s="2522"/>
      <c r="LTA211" s="2522"/>
      <c r="LTB211" s="2522"/>
      <c r="LTC211" s="2522"/>
      <c r="LTD211" s="2522"/>
      <c r="LTE211" s="2522"/>
      <c r="LTF211" s="2522"/>
      <c r="LTG211" s="2522"/>
      <c r="LTH211" s="2522"/>
      <c r="LTI211" s="2522"/>
      <c r="LTJ211" s="2522"/>
      <c r="LTK211" s="2522"/>
      <c r="LTL211" s="2522"/>
      <c r="LTM211" s="2522"/>
      <c r="LTN211" s="2522"/>
      <c r="LTO211" s="2522"/>
      <c r="LTP211" s="2522"/>
      <c r="LTQ211" s="2522"/>
      <c r="LTR211" s="2522"/>
      <c r="LTS211" s="2522"/>
      <c r="LTT211" s="2522"/>
      <c r="LTU211" s="2522"/>
      <c r="LTV211" s="2522"/>
      <c r="LTW211" s="2522"/>
      <c r="LTX211" s="2522"/>
      <c r="LTY211" s="2522"/>
      <c r="LTZ211" s="2522"/>
      <c r="LUA211" s="2522"/>
      <c r="LUB211" s="2522"/>
      <c r="LUC211" s="2522"/>
      <c r="LUD211" s="2522"/>
      <c r="LUE211" s="2522"/>
      <c r="LUF211" s="2522"/>
      <c r="LUG211" s="2522"/>
      <c r="LUH211" s="2522"/>
      <c r="LUI211" s="2522"/>
      <c r="LUJ211" s="2522"/>
      <c r="LUK211" s="2522"/>
      <c r="LUL211" s="2522"/>
      <c r="LUM211" s="2522"/>
      <c r="LUN211" s="2522"/>
      <c r="LUO211" s="2522"/>
      <c r="LUP211" s="2522"/>
      <c r="LUQ211" s="2522"/>
      <c r="LUR211" s="2522"/>
      <c r="LUS211" s="2522"/>
      <c r="LUT211" s="2522"/>
      <c r="LUU211" s="2522"/>
      <c r="LUV211" s="2522"/>
      <c r="LUW211" s="2522"/>
      <c r="LUX211" s="2522"/>
      <c r="LUY211" s="2522"/>
      <c r="LUZ211" s="2522"/>
      <c r="LVA211" s="2522"/>
      <c r="LVB211" s="2522"/>
      <c r="LVC211" s="2522"/>
      <c r="LVD211" s="2522"/>
      <c r="LVE211" s="2522"/>
      <c r="LVF211" s="2522"/>
      <c r="LVG211" s="2522"/>
      <c r="LVH211" s="2522"/>
      <c r="LVI211" s="2522"/>
      <c r="LVJ211" s="2522"/>
      <c r="LVK211" s="2522"/>
      <c r="LVL211" s="2522"/>
      <c r="LVM211" s="2522"/>
      <c r="LVN211" s="2522"/>
      <c r="LVO211" s="2522"/>
      <c r="LVP211" s="2522"/>
      <c r="LVQ211" s="2522"/>
      <c r="LVR211" s="2522"/>
      <c r="LVS211" s="2522"/>
      <c r="LVT211" s="2522"/>
      <c r="LVU211" s="2522"/>
      <c r="LVV211" s="2522"/>
      <c r="LVW211" s="2522"/>
      <c r="LVX211" s="2522"/>
      <c r="LVY211" s="2522"/>
      <c r="LVZ211" s="2522"/>
      <c r="LWA211" s="2522"/>
      <c r="LWB211" s="2522"/>
      <c r="LWC211" s="2522"/>
      <c r="LWD211" s="2522"/>
      <c r="LWE211" s="2522"/>
      <c r="LWF211" s="2522"/>
      <c r="LWG211" s="2522"/>
      <c r="LWH211" s="2522"/>
      <c r="LWI211" s="2522"/>
      <c r="LWJ211" s="2522"/>
      <c r="LWK211" s="2522"/>
      <c r="LWL211" s="2522"/>
      <c r="LWM211" s="2522"/>
      <c r="LWN211" s="2522"/>
      <c r="LWO211" s="2522"/>
      <c r="LWP211" s="2522"/>
      <c r="LWQ211" s="2522"/>
      <c r="LWR211" s="2522"/>
      <c r="LWS211" s="2522"/>
      <c r="LWT211" s="2522"/>
      <c r="LWU211" s="2522"/>
      <c r="LWV211" s="2522"/>
      <c r="LWW211" s="2522"/>
      <c r="LWX211" s="2522"/>
      <c r="LWY211" s="2522"/>
      <c r="LWZ211" s="2522"/>
      <c r="LXA211" s="2522"/>
      <c r="LXB211" s="2522"/>
      <c r="LXC211" s="2522"/>
      <c r="LXD211" s="2522"/>
      <c r="LXE211" s="2522"/>
      <c r="LXF211" s="2522"/>
      <c r="LXG211" s="2522"/>
      <c r="LXH211" s="2522"/>
      <c r="LXI211" s="2522"/>
      <c r="LXJ211" s="2522"/>
      <c r="LXK211" s="2522"/>
      <c r="LXL211" s="2522"/>
      <c r="LXM211" s="2522"/>
      <c r="LXN211" s="2522"/>
      <c r="LXO211" s="2522"/>
      <c r="LXP211" s="2522"/>
      <c r="LXQ211" s="2522"/>
      <c r="LXR211" s="2522"/>
      <c r="LXS211" s="2522"/>
      <c r="LXT211" s="2522"/>
      <c r="LXU211" s="2522"/>
      <c r="LXV211" s="2522"/>
      <c r="LXW211" s="2522"/>
      <c r="LXX211" s="2522"/>
      <c r="LXY211" s="2522"/>
      <c r="LXZ211" s="2522"/>
      <c r="LYA211" s="2522"/>
      <c r="LYB211" s="2522"/>
      <c r="LYC211" s="2522"/>
      <c r="LYD211" s="2522"/>
      <c r="LYE211" s="2522"/>
      <c r="LYF211" s="2522"/>
      <c r="LYG211" s="2522"/>
      <c r="LYH211" s="2522"/>
      <c r="LYI211" s="2522"/>
      <c r="LYJ211" s="2522"/>
      <c r="LYK211" s="2522"/>
      <c r="LYL211" s="2522"/>
      <c r="LYM211" s="2522"/>
      <c r="LYN211" s="2522"/>
      <c r="LYO211" s="2522"/>
      <c r="LYP211" s="2522"/>
      <c r="LYQ211" s="2522"/>
      <c r="LYR211" s="2522"/>
      <c r="LYS211" s="2522"/>
      <c r="LYT211" s="2522"/>
      <c r="LYU211" s="2522"/>
      <c r="LYV211" s="2522"/>
      <c r="LYW211" s="2522"/>
      <c r="LYX211" s="2522"/>
      <c r="LYY211" s="2522"/>
      <c r="LYZ211" s="2522"/>
      <c r="LZA211" s="2522"/>
      <c r="LZB211" s="2522"/>
      <c r="LZC211" s="2522"/>
      <c r="LZD211" s="2522"/>
      <c r="LZE211" s="2522"/>
      <c r="LZF211" s="2522"/>
      <c r="LZG211" s="2522"/>
      <c r="LZH211" s="2522"/>
      <c r="LZI211" s="2522"/>
      <c r="LZJ211" s="2522"/>
      <c r="LZK211" s="2522"/>
      <c r="LZL211" s="2522"/>
      <c r="LZM211" s="2522"/>
      <c r="LZN211" s="2522"/>
      <c r="LZO211" s="2522"/>
      <c r="LZP211" s="2522"/>
      <c r="LZQ211" s="2522"/>
      <c r="LZR211" s="2522"/>
      <c r="LZS211" s="2522"/>
      <c r="LZT211" s="2522"/>
      <c r="LZU211" s="2522"/>
      <c r="LZV211" s="2522"/>
      <c r="LZW211" s="2522"/>
      <c r="LZX211" s="2522"/>
      <c r="LZY211" s="2522"/>
      <c r="LZZ211" s="2522"/>
      <c r="MAA211" s="2522"/>
      <c r="MAB211" s="2522"/>
      <c r="MAC211" s="2522"/>
      <c r="MAD211" s="2522"/>
      <c r="MAE211" s="2522"/>
      <c r="MAF211" s="2522"/>
      <c r="MAG211" s="2522"/>
      <c r="MAH211" s="2522"/>
      <c r="MAI211" s="2522"/>
      <c r="MAJ211" s="2522"/>
      <c r="MAK211" s="2522"/>
      <c r="MAL211" s="2522"/>
      <c r="MAM211" s="2522"/>
      <c r="MAN211" s="2522"/>
      <c r="MAO211" s="2522"/>
      <c r="MAP211" s="2522"/>
      <c r="MAQ211" s="2522"/>
      <c r="MAR211" s="2522"/>
      <c r="MAS211" s="2522"/>
      <c r="MAT211" s="2522"/>
      <c r="MAU211" s="2522"/>
      <c r="MAV211" s="2522"/>
      <c r="MAW211" s="2522"/>
      <c r="MAX211" s="2522"/>
      <c r="MAY211" s="2522"/>
      <c r="MAZ211" s="2522"/>
      <c r="MBA211" s="2522"/>
      <c r="MBB211" s="2522"/>
      <c r="MBC211" s="2522"/>
      <c r="MBD211" s="2522"/>
      <c r="MBE211" s="2522"/>
      <c r="MBF211" s="2522"/>
      <c r="MBG211" s="2522"/>
      <c r="MBH211" s="2522"/>
      <c r="MBI211" s="2522"/>
      <c r="MBJ211" s="2522"/>
      <c r="MBK211" s="2522"/>
      <c r="MBL211" s="2522"/>
      <c r="MBM211" s="2522"/>
      <c r="MBN211" s="2522"/>
      <c r="MBO211" s="2522"/>
      <c r="MBP211" s="2522"/>
      <c r="MBQ211" s="2522"/>
      <c r="MBR211" s="2522"/>
      <c r="MBS211" s="2522"/>
      <c r="MBT211" s="2522"/>
      <c r="MBU211" s="2522"/>
      <c r="MBV211" s="2522"/>
      <c r="MBW211" s="2522"/>
      <c r="MBX211" s="2522"/>
      <c r="MBY211" s="2522"/>
      <c r="MBZ211" s="2522"/>
      <c r="MCA211" s="2522"/>
      <c r="MCB211" s="2522"/>
      <c r="MCC211" s="2522"/>
      <c r="MCD211" s="2522"/>
      <c r="MCE211" s="2522"/>
      <c r="MCF211" s="2522"/>
      <c r="MCG211" s="2522"/>
      <c r="MCH211" s="2522"/>
      <c r="MCI211" s="2522"/>
      <c r="MCJ211" s="2522"/>
      <c r="MCK211" s="2522"/>
      <c r="MCL211" s="2522"/>
      <c r="MCM211" s="2522"/>
      <c r="MCN211" s="2522"/>
      <c r="MCO211" s="2522"/>
      <c r="MCP211" s="2522"/>
      <c r="MCQ211" s="2522"/>
      <c r="MCR211" s="2522"/>
      <c r="MCS211" s="2522"/>
      <c r="MCT211" s="2522"/>
      <c r="MCU211" s="2522"/>
      <c r="MCV211" s="2522"/>
      <c r="MCW211" s="2522"/>
      <c r="MCX211" s="2522"/>
      <c r="MCY211" s="2522"/>
      <c r="MCZ211" s="2522"/>
      <c r="MDA211" s="2522"/>
      <c r="MDB211" s="2522"/>
      <c r="MDC211" s="2522"/>
      <c r="MDD211" s="2522"/>
      <c r="MDE211" s="2522"/>
      <c r="MDF211" s="2522"/>
      <c r="MDG211" s="2522"/>
      <c r="MDH211" s="2522"/>
      <c r="MDI211" s="2522"/>
      <c r="MDJ211" s="2522"/>
      <c r="MDK211" s="2522"/>
      <c r="MDL211" s="2522"/>
      <c r="MDM211" s="2522"/>
      <c r="MDN211" s="2522"/>
      <c r="MDO211" s="2522"/>
      <c r="MDP211" s="2522"/>
      <c r="MDQ211" s="2522"/>
      <c r="MDR211" s="2522"/>
      <c r="MDS211" s="2522"/>
      <c r="MDT211" s="2522"/>
      <c r="MDU211" s="2522"/>
      <c r="MDV211" s="2522"/>
      <c r="MDW211" s="2522"/>
      <c r="MDX211" s="2522"/>
      <c r="MDY211" s="2522"/>
      <c r="MDZ211" s="2522"/>
      <c r="MEA211" s="2522"/>
      <c r="MEB211" s="2522"/>
      <c r="MEC211" s="2522"/>
      <c r="MED211" s="2522"/>
      <c r="MEE211" s="2522"/>
      <c r="MEF211" s="2522"/>
      <c r="MEG211" s="2522"/>
      <c r="MEH211" s="2522"/>
      <c r="MEI211" s="2522"/>
      <c r="MEJ211" s="2522"/>
      <c r="MEK211" s="2522"/>
      <c r="MEL211" s="2522"/>
      <c r="MEM211" s="2522"/>
      <c r="MEN211" s="2522"/>
      <c r="MEO211" s="2522"/>
      <c r="MEP211" s="2522"/>
      <c r="MEQ211" s="2522"/>
      <c r="MER211" s="2522"/>
      <c r="MES211" s="2522"/>
      <c r="MET211" s="2522"/>
      <c r="MEU211" s="2522"/>
      <c r="MEV211" s="2522"/>
      <c r="MEW211" s="2522"/>
      <c r="MEX211" s="2522"/>
      <c r="MEY211" s="2522"/>
      <c r="MEZ211" s="2522"/>
      <c r="MFA211" s="2522"/>
      <c r="MFB211" s="2522"/>
      <c r="MFC211" s="2522"/>
      <c r="MFD211" s="2522"/>
      <c r="MFE211" s="2522"/>
      <c r="MFF211" s="2522"/>
      <c r="MFG211" s="2522"/>
      <c r="MFH211" s="2522"/>
      <c r="MFI211" s="2522"/>
      <c r="MFJ211" s="2522"/>
      <c r="MFK211" s="2522"/>
      <c r="MFL211" s="2522"/>
      <c r="MFM211" s="2522"/>
      <c r="MFN211" s="2522"/>
      <c r="MFO211" s="2522"/>
      <c r="MFP211" s="2522"/>
      <c r="MFQ211" s="2522"/>
      <c r="MFR211" s="2522"/>
      <c r="MFS211" s="2522"/>
      <c r="MFT211" s="2522"/>
      <c r="MFU211" s="2522"/>
      <c r="MFV211" s="2522"/>
      <c r="MFW211" s="2522"/>
      <c r="MFX211" s="2522"/>
      <c r="MFY211" s="2522"/>
      <c r="MFZ211" s="2522"/>
      <c r="MGA211" s="2522"/>
      <c r="MGB211" s="2522"/>
      <c r="MGC211" s="2522"/>
      <c r="MGD211" s="2522"/>
      <c r="MGE211" s="2522"/>
      <c r="MGF211" s="2522"/>
      <c r="MGG211" s="2522"/>
      <c r="MGH211" s="2522"/>
      <c r="MGI211" s="2522"/>
      <c r="MGJ211" s="2522"/>
      <c r="MGK211" s="2522"/>
      <c r="MGL211" s="2522"/>
      <c r="MGM211" s="2522"/>
      <c r="MGN211" s="2522"/>
      <c r="MGO211" s="2522"/>
      <c r="MGP211" s="2522"/>
      <c r="MGQ211" s="2522"/>
      <c r="MGR211" s="2522"/>
      <c r="MGS211" s="2522"/>
      <c r="MGT211" s="2522"/>
      <c r="MGU211" s="2522"/>
      <c r="MGV211" s="2522"/>
      <c r="MGW211" s="2522"/>
      <c r="MGX211" s="2522"/>
      <c r="MGY211" s="2522"/>
      <c r="MGZ211" s="2522"/>
      <c r="MHA211" s="2522"/>
      <c r="MHB211" s="2522"/>
      <c r="MHC211" s="2522"/>
      <c r="MHD211" s="2522"/>
      <c r="MHE211" s="2522"/>
      <c r="MHF211" s="2522"/>
      <c r="MHG211" s="2522"/>
      <c r="MHH211" s="2522"/>
      <c r="MHI211" s="2522"/>
      <c r="MHJ211" s="2522"/>
      <c r="MHK211" s="2522"/>
      <c r="MHL211" s="2522"/>
      <c r="MHM211" s="2522"/>
      <c r="MHN211" s="2522"/>
      <c r="MHO211" s="2522"/>
      <c r="MHP211" s="2522"/>
      <c r="MHQ211" s="2522"/>
      <c r="MHR211" s="2522"/>
      <c r="MHS211" s="2522"/>
      <c r="MHT211" s="2522"/>
      <c r="MHU211" s="2522"/>
      <c r="MHV211" s="2522"/>
      <c r="MHW211" s="2522"/>
      <c r="MHX211" s="2522"/>
      <c r="MHY211" s="2522"/>
      <c r="MHZ211" s="2522"/>
      <c r="MIA211" s="2522"/>
      <c r="MIB211" s="2522"/>
      <c r="MIC211" s="2522"/>
      <c r="MID211" s="2522"/>
      <c r="MIE211" s="2522"/>
      <c r="MIF211" s="2522"/>
      <c r="MIG211" s="2522"/>
      <c r="MIH211" s="2522"/>
      <c r="MII211" s="2522"/>
      <c r="MIJ211" s="2522"/>
      <c r="MIK211" s="2522"/>
      <c r="MIL211" s="2522"/>
      <c r="MIM211" s="2522"/>
      <c r="MIN211" s="2522"/>
      <c r="MIO211" s="2522"/>
      <c r="MIP211" s="2522"/>
      <c r="MIQ211" s="2522"/>
      <c r="MIR211" s="2522"/>
      <c r="MIS211" s="2522"/>
      <c r="MIT211" s="2522"/>
      <c r="MIU211" s="2522"/>
      <c r="MIV211" s="2522"/>
      <c r="MIW211" s="2522"/>
      <c r="MIX211" s="2522"/>
      <c r="MIY211" s="2522"/>
      <c r="MIZ211" s="2522"/>
      <c r="MJA211" s="2522"/>
      <c r="MJB211" s="2522"/>
      <c r="MJC211" s="2522"/>
      <c r="MJD211" s="2522"/>
      <c r="MJE211" s="2522"/>
      <c r="MJF211" s="2522"/>
      <c r="MJG211" s="2522"/>
      <c r="MJH211" s="2522"/>
      <c r="MJI211" s="2522"/>
      <c r="MJJ211" s="2522"/>
      <c r="MJK211" s="2522"/>
      <c r="MJL211" s="2522"/>
      <c r="MJM211" s="2522"/>
      <c r="MJN211" s="2522"/>
      <c r="MJO211" s="2522"/>
      <c r="MJP211" s="2522"/>
      <c r="MJQ211" s="2522"/>
      <c r="MJR211" s="2522"/>
      <c r="MJS211" s="2522"/>
      <c r="MJT211" s="2522"/>
      <c r="MJU211" s="2522"/>
      <c r="MJV211" s="2522"/>
      <c r="MJW211" s="2522"/>
      <c r="MJX211" s="2522"/>
      <c r="MJY211" s="2522"/>
      <c r="MJZ211" s="2522"/>
      <c r="MKA211" s="2522"/>
      <c r="MKB211" s="2522"/>
      <c r="MKC211" s="2522"/>
      <c r="MKD211" s="2522"/>
      <c r="MKE211" s="2522"/>
      <c r="MKF211" s="2522"/>
      <c r="MKG211" s="2522"/>
      <c r="MKH211" s="2522"/>
      <c r="MKI211" s="2522"/>
      <c r="MKJ211" s="2522"/>
      <c r="MKK211" s="2522"/>
      <c r="MKL211" s="2522"/>
      <c r="MKM211" s="2522"/>
      <c r="MKN211" s="2522"/>
      <c r="MKO211" s="2522"/>
      <c r="MKP211" s="2522"/>
      <c r="MKQ211" s="2522"/>
      <c r="MKR211" s="2522"/>
      <c r="MKS211" s="2522"/>
      <c r="MKT211" s="2522"/>
      <c r="MKU211" s="2522"/>
      <c r="MKV211" s="2522"/>
      <c r="MKW211" s="2522"/>
      <c r="MKX211" s="2522"/>
      <c r="MKY211" s="2522"/>
      <c r="MKZ211" s="2522"/>
      <c r="MLA211" s="2522"/>
      <c r="MLB211" s="2522"/>
      <c r="MLC211" s="2522"/>
      <c r="MLD211" s="2522"/>
      <c r="MLE211" s="2522"/>
      <c r="MLF211" s="2522"/>
      <c r="MLG211" s="2522"/>
      <c r="MLH211" s="2522"/>
      <c r="MLI211" s="2522"/>
      <c r="MLJ211" s="2522"/>
      <c r="MLK211" s="2522"/>
      <c r="MLL211" s="2522"/>
      <c r="MLM211" s="2522"/>
      <c r="MLN211" s="2522"/>
      <c r="MLO211" s="2522"/>
      <c r="MLP211" s="2522"/>
      <c r="MLQ211" s="2522"/>
      <c r="MLR211" s="2522"/>
      <c r="MLS211" s="2522"/>
      <c r="MLT211" s="2522"/>
      <c r="MLU211" s="2522"/>
      <c r="MLV211" s="2522"/>
      <c r="MLW211" s="2522"/>
      <c r="MLX211" s="2522"/>
      <c r="MLY211" s="2522"/>
      <c r="MLZ211" s="2522"/>
      <c r="MMA211" s="2522"/>
      <c r="MMB211" s="2522"/>
      <c r="MMC211" s="2522"/>
      <c r="MMD211" s="2522"/>
      <c r="MME211" s="2522"/>
      <c r="MMF211" s="2522"/>
      <c r="MMG211" s="2522"/>
      <c r="MMH211" s="2522"/>
      <c r="MMI211" s="2522"/>
      <c r="MMJ211" s="2522"/>
      <c r="MMK211" s="2522"/>
      <c r="MML211" s="2522"/>
      <c r="MMM211" s="2522"/>
      <c r="MMN211" s="2522"/>
      <c r="MMO211" s="2522"/>
      <c r="MMP211" s="2522"/>
      <c r="MMQ211" s="2522"/>
      <c r="MMR211" s="2522"/>
      <c r="MMS211" s="2522"/>
      <c r="MMT211" s="2522"/>
      <c r="MMU211" s="2522"/>
      <c r="MMV211" s="2522"/>
      <c r="MMW211" s="2522"/>
      <c r="MMX211" s="2522"/>
      <c r="MMY211" s="2522"/>
      <c r="MMZ211" s="2522"/>
      <c r="MNA211" s="2522"/>
      <c r="MNB211" s="2522"/>
      <c r="MNC211" s="2522"/>
      <c r="MND211" s="2522"/>
      <c r="MNE211" s="2522"/>
      <c r="MNF211" s="2522"/>
      <c r="MNG211" s="2522"/>
      <c r="MNH211" s="2522"/>
      <c r="MNI211" s="2522"/>
      <c r="MNJ211" s="2522"/>
      <c r="MNK211" s="2522"/>
      <c r="MNL211" s="2522"/>
      <c r="MNM211" s="2522"/>
      <c r="MNN211" s="2522"/>
      <c r="MNO211" s="2522"/>
      <c r="MNP211" s="2522"/>
      <c r="MNQ211" s="2522"/>
      <c r="MNR211" s="2522"/>
      <c r="MNS211" s="2522"/>
      <c r="MNT211" s="2522"/>
      <c r="MNU211" s="2522"/>
      <c r="MNV211" s="2522"/>
      <c r="MNW211" s="2522"/>
      <c r="MNX211" s="2522"/>
      <c r="MNY211" s="2522"/>
      <c r="MNZ211" s="2522"/>
      <c r="MOA211" s="2522"/>
      <c r="MOB211" s="2522"/>
      <c r="MOC211" s="2522"/>
      <c r="MOD211" s="2522"/>
      <c r="MOE211" s="2522"/>
      <c r="MOF211" s="2522"/>
      <c r="MOG211" s="2522"/>
      <c r="MOH211" s="2522"/>
      <c r="MOI211" s="2522"/>
      <c r="MOJ211" s="2522"/>
      <c r="MOK211" s="2522"/>
      <c r="MOL211" s="2522"/>
      <c r="MOM211" s="2522"/>
      <c r="MON211" s="2522"/>
      <c r="MOO211" s="2522"/>
      <c r="MOP211" s="2522"/>
      <c r="MOQ211" s="2522"/>
      <c r="MOR211" s="2522"/>
      <c r="MOS211" s="2522"/>
      <c r="MOT211" s="2522"/>
      <c r="MOU211" s="2522"/>
      <c r="MOV211" s="2522"/>
      <c r="MOW211" s="2522"/>
      <c r="MOX211" s="2522"/>
      <c r="MOY211" s="2522"/>
      <c r="MOZ211" s="2522"/>
      <c r="MPA211" s="2522"/>
      <c r="MPB211" s="2522"/>
      <c r="MPC211" s="2522"/>
      <c r="MPD211" s="2522"/>
      <c r="MPE211" s="2522"/>
      <c r="MPF211" s="2522"/>
      <c r="MPG211" s="2522"/>
      <c r="MPH211" s="2522"/>
      <c r="MPI211" s="2522"/>
      <c r="MPJ211" s="2522"/>
      <c r="MPK211" s="2522"/>
      <c r="MPL211" s="2522"/>
      <c r="MPM211" s="2522"/>
      <c r="MPN211" s="2522"/>
      <c r="MPO211" s="2522"/>
      <c r="MPP211" s="2522"/>
      <c r="MPQ211" s="2522"/>
      <c r="MPR211" s="2522"/>
      <c r="MPS211" s="2522"/>
      <c r="MPT211" s="2522"/>
      <c r="MPU211" s="2522"/>
      <c r="MPV211" s="2522"/>
      <c r="MPW211" s="2522"/>
      <c r="MPX211" s="2522"/>
      <c r="MPY211" s="2522"/>
      <c r="MPZ211" s="2522"/>
      <c r="MQA211" s="2522"/>
      <c r="MQB211" s="2522"/>
      <c r="MQC211" s="2522"/>
      <c r="MQD211" s="2522"/>
      <c r="MQE211" s="2522"/>
      <c r="MQF211" s="2522"/>
      <c r="MQG211" s="2522"/>
      <c r="MQH211" s="2522"/>
      <c r="MQI211" s="2522"/>
      <c r="MQJ211" s="2522"/>
      <c r="MQK211" s="2522"/>
      <c r="MQL211" s="2522"/>
      <c r="MQM211" s="2522"/>
      <c r="MQN211" s="2522"/>
      <c r="MQO211" s="2522"/>
      <c r="MQP211" s="2522"/>
      <c r="MQQ211" s="2522"/>
      <c r="MQR211" s="2522"/>
      <c r="MQS211" s="2522"/>
      <c r="MQT211" s="2522"/>
      <c r="MQU211" s="2522"/>
      <c r="MQV211" s="2522"/>
      <c r="MQW211" s="2522"/>
      <c r="MQX211" s="2522"/>
      <c r="MQY211" s="2522"/>
      <c r="MQZ211" s="2522"/>
      <c r="MRA211" s="2522"/>
      <c r="MRB211" s="2522"/>
      <c r="MRC211" s="2522"/>
      <c r="MRD211" s="2522"/>
      <c r="MRE211" s="2522"/>
      <c r="MRF211" s="2522"/>
      <c r="MRG211" s="2522"/>
      <c r="MRH211" s="2522"/>
      <c r="MRI211" s="2522"/>
      <c r="MRJ211" s="2522"/>
      <c r="MRK211" s="2522"/>
      <c r="MRL211" s="2522"/>
      <c r="MRM211" s="2522"/>
      <c r="MRN211" s="2522"/>
      <c r="MRO211" s="2522"/>
      <c r="MRP211" s="2522"/>
      <c r="MRQ211" s="2522"/>
      <c r="MRR211" s="2522"/>
      <c r="MRS211" s="2522"/>
      <c r="MRT211" s="2522"/>
      <c r="MRU211" s="2522"/>
      <c r="MRV211" s="2522"/>
      <c r="MRW211" s="2522"/>
      <c r="MRX211" s="2522"/>
      <c r="MRY211" s="2522"/>
      <c r="MRZ211" s="2522"/>
      <c r="MSA211" s="2522"/>
      <c r="MSB211" s="2522"/>
      <c r="MSC211" s="2522"/>
      <c r="MSD211" s="2522"/>
      <c r="MSE211" s="2522"/>
      <c r="MSF211" s="2522"/>
      <c r="MSG211" s="2522"/>
      <c r="MSH211" s="2522"/>
      <c r="MSI211" s="2522"/>
      <c r="MSJ211" s="2522"/>
      <c r="MSK211" s="2522"/>
      <c r="MSL211" s="2522"/>
      <c r="MSM211" s="2522"/>
      <c r="MSN211" s="2522"/>
      <c r="MSO211" s="2522"/>
      <c r="MSP211" s="2522"/>
      <c r="MSQ211" s="2522"/>
      <c r="MSR211" s="2522"/>
      <c r="MSS211" s="2522"/>
      <c r="MST211" s="2522"/>
      <c r="MSU211" s="2522"/>
      <c r="MSV211" s="2522"/>
      <c r="MSW211" s="2522"/>
      <c r="MSX211" s="2522"/>
      <c r="MSY211" s="2522"/>
      <c r="MSZ211" s="2522"/>
      <c r="MTA211" s="2522"/>
      <c r="MTB211" s="2522"/>
      <c r="MTC211" s="2522"/>
      <c r="MTD211" s="2522"/>
      <c r="MTE211" s="2522"/>
      <c r="MTF211" s="2522"/>
      <c r="MTG211" s="2522"/>
      <c r="MTH211" s="2522"/>
      <c r="MTI211" s="2522"/>
      <c r="MTJ211" s="2522"/>
      <c r="MTK211" s="2522"/>
      <c r="MTL211" s="2522"/>
      <c r="MTM211" s="2522"/>
      <c r="MTN211" s="2522"/>
      <c r="MTO211" s="2522"/>
      <c r="MTP211" s="2522"/>
      <c r="MTQ211" s="2522"/>
      <c r="MTR211" s="2522"/>
      <c r="MTS211" s="2522"/>
      <c r="MTT211" s="2522"/>
      <c r="MTU211" s="2522"/>
      <c r="MTV211" s="2522"/>
      <c r="MTW211" s="2522"/>
      <c r="MTX211" s="2522"/>
      <c r="MTY211" s="2522"/>
      <c r="MTZ211" s="2522"/>
      <c r="MUA211" s="2522"/>
      <c r="MUB211" s="2522"/>
      <c r="MUC211" s="2522"/>
      <c r="MUD211" s="2522"/>
      <c r="MUE211" s="2522"/>
      <c r="MUF211" s="2522"/>
      <c r="MUG211" s="2522"/>
      <c r="MUH211" s="2522"/>
      <c r="MUI211" s="2522"/>
      <c r="MUJ211" s="2522"/>
      <c r="MUK211" s="2522"/>
      <c r="MUL211" s="2522"/>
      <c r="MUM211" s="2522"/>
      <c r="MUN211" s="2522"/>
      <c r="MUO211" s="2522"/>
      <c r="MUP211" s="2522"/>
      <c r="MUQ211" s="2522"/>
      <c r="MUR211" s="2522"/>
      <c r="MUS211" s="2522"/>
      <c r="MUT211" s="2522"/>
      <c r="MUU211" s="2522"/>
      <c r="MUV211" s="2522"/>
      <c r="MUW211" s="2522"/>
      <c r="MUX211" s="2522"/>
      <c r="MUY211" s="2522"/>
      <c r="MUZ211" s="2522"/>
      <c r="MVA211" s="2522"/>
      <c r="MVB211" s="2522"/>
      <c r="MVC211" s="2522"/>
      <c r="MVD211" s="2522"/>
      <c r="MVE211" s="2522"/>
      <c r="MVF211" s="2522"/>
      <c r="MVG211" s="2522"/>
      <c r="MVH211" s="2522"/>
      <c r="MVI211" s="2522"/>
      <c r="MVJ211" s="2522"/>
      <c r="MVK211" s="2522"/>
      <c r="MVL211" s="2522"/>
      <c r="MVM211" s="2522"/>
      <c r="MVN211" s="2522"/>
      <c r="MVO211" s="2522"/>
      <c r="MVP211" s="2522"/>
      <c r="MVQ211" s="2522"/>
      <c r="MVR211" s="2522"/>
      <c r="MVS211" s="2522"/>
      <c r="MVT211" s="2522"/>
      <c r="MVU211" s="2522"/>
      <c r="MVV211" s="2522"/>
      <c r="MVW211" s="2522"/>
      <c r="MVX211" s="2522"/>
      <c r="MVY211" s="2522"/>
      <c r="MVZ211" s="2522"/>
      <c r="MWA211" s="2522"/>
      <c r="MWB211" s="2522"/>
      <c r="MWC211" s="2522"/>
      <c r="MWD211" s="2522"/>
      <c r="MWE211" s="2522"/>
      <c r="MWF211" s="2522"/>
      <c r="MWG211" s="2522"/>
      <c r="MWH211" s="2522"/>
      <c r="MWI211" s="2522"/>
      <c r="MWJ211" s="2522"/>
      <c r="MWK211" s="2522"/>
      <c r="MWL211" s="2522"/>
      <c r="MWM211" s="2522"/>
      <c r="MWN211" s="2522"/>
      <c r="MWO211" s="2522"/>
      <c r="MWP211" s="2522"/>
      <c r="MWQ211" s="2522"/>
      <c r="MWR211" s="2522"/>
      <c r="MWS211" s="2522"/>
      <c r="MWT211" s="2522"/>
      <c r="MWU211" s="2522"/>
      <c r="MWV211" s="2522"/>
      <c r="MWW211" s="2522"/>
      <c r="MWX211" s="2522"/>
      <c r="MWY211" s="2522"/>
      <c r="MWZ211" s="2522"/>
      <c r="MXA211" s="2522"/>
      <c r="MXB211" s="2522"/>
      <c r="MXC211" s="2522"/>
      <c r="MXD211" s="2522"/>
      <c r="MXE211" s="2522"/>
      <c r="MXF211" s="2522"/>
      <c r="MXG211" s="2522"/>
      <c r="MXH211" s="2522"/>
      <c r="MXI211" s="2522"/>
      <c r="MXJ211" s="2522"/>
      <c r="MXK211" s="2522"/>
      <c r="MXL211" s="2522"/>
      <c r="MXM211" s="2522"/>
      <c r="MXN211" s="2522"/>
      <c r="MXO211" s="2522"/>
      <c r="MXP211" s="2522"/>
      <c r="MXQ211" s="2522"/>
      <c r="MXR211" s="2522"/>
      <c r="MXS211" s="2522"/>
      <c r="MXT211" s="2522"/>
      <c r="MXU211" s="2522"/>
      <c r="MXV211" s="2522"/>
      <c r="MXW211" s="2522"/>
      <c r="MXX211" s="2522"/>
      <c r="MXY211" s="2522"/>
      <c r="MXZ211" s="2522"/>
      <c r="MYA211" s="2522"/>
      <c r="MYB211" s="2522"/>
      <c r="MYC211" s="2522"/>
      <c r="MYD211" s="2522"/>
      <c r="MYE211" s="2522"/>
      <c r="MYF211" s="2522"/>
      <c r="MYG211" s="2522"/>
      <c r="MYH211" s="2522"/>
      <c r="MYI211" s="2522"/>
      <c r="MYJ211" s="2522"/>
      <c r="MYK211" s="2522"/>
      <c r="MYL211" s="2522"/>
      <c r="MYM211" s="2522"/>
      <c r="MYN211" s="2522"/>
      <c r="MYO211" s="2522"/>
      <c r="MYP211" s="2522"/>
      <c r="MYQ211" s="2522"/>
      <c r="MYR211" s="2522"/>
      <c r="MYS211" s="2522"/>
      <c r="MYT211" s="2522"/>
      <c r="MYU211" s="2522"/>
      <c r="MYV211" s="2522"/>
      <c r="MYW211" s="2522"/>
      <c r="MYX211" s="2522"/>
      <c r="MYY211" s="2522"/>
      <c r="MYZ211" s="2522"/>
      <c r="MZA211" s="2522"/>
      <c r="MZB211" s="2522"/>
      <c r="MZC211" s="2522"/>
      <c r="MZD211" s="2522"/>
      <c r="MZE211" s="2522"/>
      <c r="MZF211" s="2522"/>
      <c r="MZG211" s="2522"/>
      <c r="MZH211" s="2522"/>
      <c r="MZI211" s="2522"/>
      <c r="MZJ211" s="2522"/>
      <c r="MZK211" s="2522"/>
      <c r="MZL211" s="2522"/>
      <c r="MZM211" s="2522"/>
      <c r="MZN211" s="2522"/>
      <c r="MZO211" s="2522"/>
      <c r="MZP211" s="2522"/>
      <c r="MZQ211" s="2522"/>
      <c r="MZR211" s="2522"/>
      <c r="MZS211" s="2522"/>
      <c r="MZT211" s="2522"/>
      <c r="MZU211" s="2522"/>
      <c r="MZV211" s="2522"/>
      <c r="MZW211" s="2522"/>
      <c r="MZX211" s="2522"/>
      <c r="MZY211" s="2522"/>
      <c r="MZZ211" s="2522"/>
      <c r="NAA211" s="2522"/>
      <c r="NAB211" s="2522"/>
      <c r="NAC211" s="2522"/>
      <c r="NAD211" s="2522"/>
      <c r="NAE211" s="2522"/>
      <c r="NAF211" s="2522"/>
      <c r="NAG211" s="2522"/>
      <c r="NAH211" s="2522"/>
      <c r="NAI211" s="2522"/>
      <c r="NAJ211" s="2522"/>
      <c r="NAK211" s="2522"/>
      <c r="NAL211" s="2522"/>
      <c r="NAM211" s="2522"/>
      <c r="NAN211" s="2522"/>
      <c r="NAO211" s="2522"/>
      <c r="NAP211" s="2522"/>
      <c r="NAQ211" s="2522"/>
      <c r="NAR211" s="2522"/>
      <c r="NAS211" s="2522"/>
      <c r="NAT211" s="2522"/>
      <c r="NAU211" s="2522"/>
      <c r="NAV211" s="2522"/>
      <c r="NAW211" s="2522"/>
      <c r="NAX211" s="2522"/>
      <c r="NAY211" s="2522"/>
      <c r="NAZ211" s="2522"/>
      <c r="NBA211" s="2522"/>
      <c r="NBB211" s="2522"/>
      <c r="NBC211" s="2522"/>
      <c r="NBD211" s="2522"/>
      <c r="NBE211" s="2522"/>
      <c r="NBF211" s="2522"/>
      <c r="NBG211" s="2522"/>
      <c r="NBH211" s="2522"/>
      <c r="NBI211" s="2522"/>
      <c r="NBJ211" s="2522"/>
      <c r="NBK211" s="2522"/>
      <c r="NBL211" s="2522"/>
      <c r="NBM211" s="2522"/>
      <c r="NBN211" s="2522"/>
      <c r="NBO211" s="2522"/>
      <c r="NBP211" s="2522"/>
      <c r="NBQ211" s="2522"/>
      <c r="NBR211" s="2522"/>
      <c r="NBS211" s="2522"/>
      <c r="NBT211" s="2522"/>
      <c r="NBU211" s="2522"/>
      <c r="NBV211" s="2522"/>
      <c r="NBW211" s="2522"/>
      <c r="NBX211" s="2522"/>
      <c r="NBY211" s="2522"/>
      <c r="NBZ211" s="2522"/>
      <c r="NCA211" s="2522"/>
      <c r="NCB211" s="2522"/>
      <c r="NCC211" s="2522"/>
      <c r="NCD211" s="2522"/>
      <c r="NCE211" s="2522"/>
      <c r="NCF211" s="2522"/>
      <c r="NCG211" s="2522"/>
      <c r="NCH211" s="2522"/>
      <c r="NCI211" s="2522"/>
      <c r="NCJ211" s="2522"/>
      <c r="NCK211" s="2522"/>
      <c r="NCL211" s="2522"/>
      <c r="NCM211" s="2522"/>
      <c r="NCN211" s="2522"/>
      <c r="NCO211" s="2522"/>
      <c r="NCP211" s="2522"/>
      <c r="NCQ211" s="2522"/>
      <c r="NCR211" s="2522"/>
      <c r="NCS211" s="2522"/>
      <c r="NCT211" s="2522"/>
      <c r="NCU211" s="2522"/>
      <c r="NCV211" s="2522"/>
      <c r="NCW211" s="2522"/>
      <c r="NCX211" s="2522"/>
      <c r="NCY211" s="2522"/>
      <c r="NCZ211" s="2522"/>
      <c r="NDA211" s="2522"/>
      <c r="NDB211" s="2522"/>
      <c r="NDC211" s="2522"/>
      <c r="NDD211" s="2522"/>
      <c r="NDE211" s="2522"/>
      <c r="NDF211" s="2522"/>
      <c r="NDG211" s="2522"/>
      <c r="NDH211" s="2522"/>
      <c r="NDI211" s="2522"/>
      <c r="NDJ211" s="2522"/>
      <c r="NDK211" s="2522"/>
      <c r="NDL211" s="2522"/>
      <c r="NDM211" s="2522"/>
      <c r="NDN211" s="2522"/>
      <c r="NDO211" s="2522"/>
      <c r="NDP211" s="2522"/>
      <c r="NDQ211" s="2522"/>
      <c r="NDR211" s="2522"/>
      <c r="NDS211" s="2522"/>
      <c r="NDT211" s="2522"/>
      <c r="NDU211" s="2522"/>
      <c r="NDV211" s="2522"/>
      <c r="NDW211" s="2522"/>
      <c r="NDX211" s="2522"/>
      <c r="NDY211" s="2522"/>
      <c r="NDZ211" s="2522"/>
      <c r="NEA211" s="2522"/>
      <c r="NEB211" s="2522"/>
      <c r="NEC211" s="2522"/>
      <c r="NED211" s="2522"/>
      <c r="NEE211" s="2522"/>
      <c r="NEF211" s="2522"/>
      <c r="NEG211" s="2522"/>
      <c r="NEH211" s="2522"/>
      <c r="NEI211" s="2522"/>
      <c r="NEJ211" s="2522"/>
      <c r="NEK211" s="2522"/>
      <c r="NEL211" s="2522"/>
      <c r="NEM211" s="2522"/>
      <c r="NEN211" s="2522"/>
      <c r="NEO211" s="2522"/>
      <c r="NEP211" s="2522"/>
      <c r="NEQ211" s="2522"/>
      <c r="NER211" s="2522"/>
      <c r="NES211" s="2522"/>
      <c r="NET211" s="2522"/>
      <c r="NEU211" s="2522"/>
      <c r="NEV211" s="2522"/>
      <c r="NEW211" s="2522"/>
      <c r="NEX211" s="2522"/>
      <c r="NEY211" s="2522"/>
      <c r="NEZ211" s="2522"/>
      <c r="NFA211" s="2522"/>
      <c r="NFB211" s="2522"/>
      <c r="NFC211" s="2522"/>
      <c r="NFD211" s="2522"/>
      <c r="NFE211" s="2522"/>
      <c r="NFF211" s="2522"/>
      <c r="NFG211" s="2522"/>
      <c r="NFH211" s="2522"/>
      <c r="NFI211" s="2522"/>
      <c r="NFJ211" s="2522"/>
      <c r="NFK211" s="2522"/>
      <c r="NFL211" s="2522"/>
      <c r="NFM211" s="2522"/>
      <c r="NFN211" s="2522"/>
      <c r="NFO211" s="2522"/>
      <c r="NFP211" s="2522"/>
      <c r="NFQ211" s="2522"/>
      <c r="NFR211" s="2522"/>
      <c r="NFS211" s="2522"/>
      <c r="NFT211" s="2522"/>
      <c r="NFU211" s="2522"/>
      <c r="NFV211" s="2522"/>
      <c r="NFW211" s="2522"/>
      <c r="NFX211" s="2522"/>
      <c r="NFY211" s="2522"/>
      <c r="NFZ211" s="2522"/>
      <c r="NGA211" s="2522"/>
      <c r="NGB211" s="2522"/>
      <c r="NGC211" s="2522"/>
      <c r="NGD211" s="2522"/>
      <c r="NGE211" s="2522"/>
      <c r="NGF211" s="2522"/>
      <c r="NGG211" s="2522"/>
      <c r="NGH211" s="2522"/>
      <c r="NGI211" s="2522"/>
      <c r="NGJ211" s="2522"/>
      <c r="NGK211" s="2522"/>
      <c r="NGL211" s="2522"/>
      <c r="NGM211" s="2522"/>
      <c r="NGN211" s="2522"/>
      <c r="NGO211" s="2522"/>
      <c r="NGP211" s="2522"/>
      <c r="NGQ211" s="2522"/>
      <c r="NGR211" s="2522"/>
      <c r="NGS211" s="2522"/>
      <c r="NGT211" s="2522"/>
      <c r="NGU211" s="2522"/>
      <c r="NGV211" s="2522"/>
      <c r="NGW211" s="2522"/>
      <c r="NGX211" s="2522"/>
      <c r="NGY211" s="2522"/>
      <c r="NGZ211" s="2522"/>
      <c r="NHA211" s="2522"/>
      <c r="NHB211" s="2522"/>
      <c r="NHC211" s="2522"/>
      <c r="NHD211" s="2522"/>
      <c r="NHE211" s="2522"/>
      <c r="NHF211" s="2522"/>
      <c r="NHG211" s="2522"/>
      <c r="NHH211" s="2522"/>
      <c r="NHI211" s="2522"/>
      <c r="NHJ211" s="2522"/>
      <c r="NHK211" s="2522"/>
      <c r="NHL211" s="2522"/>
      <c r="NHM211" s="2522"/>
      <c r="NHN211" s="2522"/>
      <c r="NHO211" s="2522"/>
      <c r="NHP211" s="2522"/>
      <c r="NHQ211" s="2522"/>
      <c r="NHR211" s="2522"/>
      <c r="NHS211" s="2522"/>
      <c r="NHT211" s="2522"/>
      <c r="NHU211" s="2522"/>
      <c r="NHV211" s="2522"/>
      <c r="NHW211" s="2522"/>
      <c r="NHX211" s="2522"/>
      <c r="NHY211" s="2522"/>
      <c r="NHZ211" s="2522"/>
      <c r="NIA211" s="2522"/>
      <c r="NIB211" s="2522"/>
      <c r="NIC211" s="2522"/>
      <c r="NID211" s="2522"/>
      <c r="NIE211" s="2522"/>
      <c r="NIF211" s="2522"/>
      <c r="NIG211" s="2522"/>
      <c r="NIH211" s="2522"/>
      <c r="NII211" s="2522"/>
      <c r="NIJ211" s="2522"/>
      <c r="NIK211" s="2522"/>
      <c r="NIL211" s="2522"/>
      <c r="NIM211" s="2522"/>
      <c r="NIN211" s="2522"/>
      <c r="NIO211" s="2522"/>
      <c r="NIP211" s="2522"/>
      <c r="NIQ211" s="2522"/>
      <c r="NIR211" s="2522"/>
      <c r="NIS211" s="2522"/>
      <c r="NIT211" s="2522"/>
      <c r="NIU211" s="2522"/>
      <c r="NIV211" s="2522"/>
      <c r="NIW211" s="2522"/>
      <c r="NIX211" s="2522"/>
      <c r="NIY211" s="2522"/>
      <c r="NIZ211" s="2522"/>
      <c r="NJA211" s="2522"/>
      <c r="NJB211" s="2522"/>
      <c r="NJC211" s="2522"/>
      <c r="NJD211" s="2522"/>
      <c r="NJE211" s="2522"/>
      <c r="NJF211" s="2522"/>
      <c r="NJG211" s="2522"/>
      <c r="NJH211" s="2522"/>
      <c r="NJI211" s="2522"/>
      <c r="NJJ211" s="2522"/>
      <c r="NJK211" s="2522"/>
      <c r="NJL211" s="2522"/>
      <c r="NJM211" s="2522"/>
      <c r="NJN211" s="2522"/>
      <c r="NJO211" s="2522"/>
      <c r="NJP211" s="2522"/>
      <c r="NJQ211" s="2522"/>
      <c r="NJR211" s="2522"/>
      <c r="NJS211" s="2522"/>
      <c r="NJT211" s="2522"/>
      <c r="NJU211" s="2522"/>
      <c r="NJV211" s="2522"/>
      <c r="NJW211" s="2522"/>
      <c r="NJX211" s="2522"/>
      <c r="NJY211" s="2522"/>
      <c r="NJZ211" s="2522"/>
      <c r="NKA211" s="2522"/>
      <c r="NKB211" s="2522"/>
      <c r="NKC211" s="2522"/>
      <c r="NKD211" s="2522"/>
      <c r="NKE211" s="2522"/>
      <c r="NKF211" s="2522"/>
      <c r="NKG211" s="2522"/>
      <c r="NKH211" s="2522"/>
      <c r="NKI211" s="2522"/>
      <c r="NKJ211" s="2522"/>
      <c r="NKK211" s="2522"/>
      <c r="NKL211" s="2522"/>
      <c r="NKM211" s="2522"/>
      <c r="NKN211" s="2522"/>
      <c r="NKO211" s="2522"/>
      <c r="NKP211" s="2522"/>
      <c r="NKQ211" s="2522"/>
      <c r="NKR211" s="2522"/>
      <c r="NKS211" s="2522"/>
      <c r="NKT211" s="2522"/>
      <c r="NKU211" s="2522"/>
      <c r="NKV211" s="2522"/>
      <c r="NKW211" s="2522"/>
      <c r="NKX211" s="2522"/>
      <c r="NKY211" s="2522"/>
      <c r="NKZ211" s="2522"/>
      <c r="NLA211" s="2522"/>
      <c r="NLB211" s="2522"/>
      <c r="NLC211" s="2522"/>
      <c r="NLD211" s="2522"/>
      <c r="NLE211" s="2522"/>
      <c r="NLF211" s="2522"/>
      <c r="NLG211" s="2522"/>
      <c r="NLH211" s="2522"/>
      <c r="NLI211" s="2522"/>
      <c r="NLJ211" s="2522"/>
      <c r="NLK211" s="2522"/>
      <c r="NLL211" s="2522"/>
      <c r="NLM211" s="2522"/>
      <c r="NLN211" s="2522"/>
      <c r="NLO211" s="2522"/>
      <c r="NLP211" s="2522"/>
      <c r="NLQ211" s="2522"/>
      <c r="NLR211" s="2522"/>
      <c r="NLS211" s="2522"/>
      <c r="NLT211" s="2522"/>
      <c r="NLU211" s="2522"/>
      <c r="NLV211" s="2522"/>
      <c r="NLW211" s="2522"/>
      <c r="NLX211" s="2522"/>
      <c r="NLY211" s="2522"/>
      <c r="NLZ211" s="2522"/>
      <c r="NMA211" s="2522"/>
      <c r="NMB211" s="2522"/>
      <c r="NMC211" s="2522"/>
      <c r="NMD211" s="2522"/>
      <c r="NME211" s="2522"/>
      <c r="NMF211" s="2522"/>
      <c r="NMG211" s="2522"/>
      <c r="NMH211" s="2522"/>
      <c r="NMI211" s="2522"/>
      <c r="NMJ211" s="2522"/>
      <c r="NMK211" s="2522"/>
      <c r="NML211" s="2522"/>
      <c r="NMM211" s="2522"/>
      <c r="NMN211" s="2522"/>
      <c r="NMO211" s="2522"/>
      <c r="NMP211" s="2522"/>
      <c r="NMQ211" s="2522"/>
      <c r="NMR211" s="2522"/>
      <c r="NMS211" s="2522"/>
      <c r="NMT211" s="2522"/>
      <c r="NMU211" s="2522"/>
      <c r="NMV211" s="2522"/>
      <c r="NMW211" s="2522"/>
      <c r="NMX211" s="2522"/>
      <c r="NMY211" s="2522"/>
      <c r="NMZ211" s="2522"/>
      <c r="NNA211" s="2522"/>
      <c r="NNB211" s="2522"/>
      <c r="NNC211" s="2522"/>
      <c r="NND211" s="2522"/>
      <c r="NNE211" s="2522"/>
      <c r="NNF211" s="2522"/>
      <c r="NNG211" s="2522"/>
      <c r="NNH211" s="2522"/>
      <c r="NNI211" s="2522"/>
      <c r="NNJ211" s="2522"/>
      <c r="NNK211" s="2522"/>
      <c r="NNL211" s="2522"/>
      <c r="NNM211" s="2522"/>
      <c r="NNN211" s="2522"/>
      <c r="NNO211" s="2522"/>
      <c r="NNP211" s="2522"/>
      <c r="NNQ211" s="2522"/>
      <c r="NNR211" s="2522"/>
      <c r="NNS211" s="2522"/>
      <c r="NNT211" s="2522"/>
      <c r="NNU211" s="2522"/>
      <c r="NNV211" s="2522"/>
      <c r="NNW211" s="2522"/>
      <c r="NNX211" s="2522"/>
      <c r="NNY211" s="2522"/>
      <c r="NNZ211" s="2522"/>
      <c r="NOA211" s="2522"/>
      <c r="NOB211" s="2522"/>
      <c r="NOC211" s="2522"/>
      <c r="NOD211" s="2522"/>
      <c r="NOE211" s="2522"/>
      <c r="NOF211" s="2522"/>
      <c r="NOG211" s="2522"/>
      <c r="NOH211" s="2522"/>
      <c r="NOI211" s="2522"/>
      <c r="NOJ211" s="2522"/>
      <c r="NOK211" s="2522"/>
      <c r="NOL211" s="2522"/>
      <c r="NOM211" s="2522"/>
      <c r="NON211" s="2522"/>
      <c r="NOO211" s="2522"/>
      <c r="NOP211" s="2522"/>
      <c r="NOQ211" s="2522"/>
      <c r="NOR211" s="2522"/>
      <c r="NOS211" s="2522"/>
      <c r="NOT211" s="2522"/>
      <c r="NOU211" s="2522"/>
      <c r="NOV211" s="2522"/>
      <c r="NOW211" s="2522"/>
      <c r="NOX211" s="2522"/>
      <c r="NOY211" s="2522"/>
      <c r="NOZ211" s="2522"/>
      <c r="NPA211" s="2522"/>
      <c r="NPB211" s="2522"/>
      <c r="NPC211" s="2522"/>
      <c r="NPD211" s="2522"/>
      <c r="NPE211" s="2522"/>
      <c r="NPF211" s="2522"/>
      <c r="NPG211" s="2522"/>
      <c r="NPH211" s="2522"/>
      <c r="NPI211" s="2522"/>
      <c r="NPJ211" s="2522"/>
      <c r="NPK211" s="2522"/>
      <c r="NPL211" s="2522"/>
      <c r="NPM211" s="2522"/>
      <c r="NPN211" s="2522"/>
      <c r="NPO211" s="2522"/>
      <c r="NPP211" s="2522"/>
      <c r="NPQ211" s="2522"/>
      <c r="NPR211" s="2522"/>
      <c r="NPS211" s="2522"/>
      <c r="NPT211" s="2522"/>
      <c r="NPU211" s="2522"/>
      <c r="NPV211" s="2522"/>
      <c r="NPW211" s="2522"/>
      <c r="NPX211" s="2522"/>
      <c r="NPY211" s="2522"/>
      <c r="NPZ211" s="2522"/>
      <c r="NQA211" s="2522"/>
      <c r="NQB211" s="2522"/>
      <c r="NQC211" s="2522"/>
      <c r="NQD211" s="2522"/>
      <c r="NQE211" s="2522"/>
      <c r="NQF211" s="2522"/>
      <c r="NQG211" s="2522"/>
      <c r="NQH211" s="2522"/>
      <c r="NQI211" s="2522"/>
      <c r="NQJ211" s="2522"/>
      <c r="NQK211" s="2522"/>
      <c r="NQL211" s="2522"/>
      <c r="NQM211" s="2522"/>
      <c r="NQN211" s="2522"/>
      <c r="NQO211" s="2522"/>
      <c r="NQP211" s="2522"/>
      <c r="NQQ211" s="2522"/>
      <c r="NQR211" s="2522"/>
      <c r="NQS211" s="2522"/>
      <c r="NQT211" s="2522"/>
      <c r="NQU211" s="2522"/>
      <c r="NQV211" s="2522"/>
      <c r="NQW211" s="2522"/>
      <c r="NQX211" s="2522"/>
      <c r="NQY211" s="2522"/>
      <c r="NQZ211" s="2522"/>
      <c r="NRA211" s="2522"/>
      <c r="NRB211" s="2522"/>
      <c r="NRC211" s="2522"/>
      <c r="NRD211" s="2522"/>
      <c r="NRE211" s="2522"/>
      <c r="NRF211" s="2522"/>
      <c r="NRG211" s="2522"/>
      <c r="NRH211" s="2522"/>
      <c r="NRI211" s="2522"/>
      <c r="NRJ211" s="2522"/>
      <c r="NRK211" s="2522"/>
      <c r="NRL211" s="2522"/>
      <c r="NRM211" s="2522"/>
      <c r="NRN211" s="2522"/>
      <c r="NRO211" s="2522"/>
      <c r="NRP211" s="2522"/>
      <c r="NRQ211" s="2522"/>
      <c r="NRR211" s="2522"/>
      <c r="NRS211" s="2522"/>
      <c r="NRT211" s="2522"/>
      <c r="NRU211" s="2522"/>
      <c r="NRV211" s="2522"/>
      <c r="NRW211" s="2522"/>
      <c r="NRX211" s="2522"/>
      <c r="NRY211" s="2522"/>
      <c r="NRZ211" s="2522"/>
      <c r="NSA211" s="2522"/>
      <c r="NSB211" s="2522"/>
      <c r="NSC211" s="2522"/>
      <c r="NSD211" s="2522"/>
      <c r="NSE211" s="2522"/>
      <c r="NSF211" s="2522"/>
      <c r="NSG211" s="2522"/>
      <c r="NSH211" s="2522"/>
      <c r="NSI211" s="2522"/>
      <c r="NSJ211" s="2522"/>
      <c r="NSK211" s="2522"/>
      <c r="NSL211" s="2522"/>
      <c r="NSM211" s="2522"/>
      <c r="NSN211" s="2522"/>
      <c r="NSO211" s="2522"/>
      <c r="NSP211" s="2522"/>
      <c r="NSQ211" s="2522"/>
      <c r="NSR211" s="2522"/>
      <c r="NSS211" s="2522"/>
      <c r="NST211" s="2522"/>
      <c r="NSU211" s="2522"/>
      <c r="NSV211" s="2522"/>
      <c r="NSW211" s="2522"/>
      <c r="NSX211" s="2522"/>
      <c r="NSY211" s="2522"/>
      <c r="NSZ211" s="2522"/>
      <c r="NTA211" s="2522"/>
      <c r="NTB211" s="2522"/>
      <c r="NTC211" s="2522"/>
      <c r="NTD211" s="2522"/>
      <c r="NTE211" s="2522"/>
      <c r="NTF211" s="2522"/>
      <c r="NTG211" s="2522"/>
      <c r="NTH211" s="2522"/>
      <c r="NTI211" s="2522"/>
      <c r="NTJ211" s="2522"/>
      <c r="NTK211" s="2522"/>
      <c r="NTL211" s="2522"/>
      <c r="NTM211" s="2522"/>
      <c r="NTN211" s="2522"/>
      <c r="NTO211" s="2522"/>
      <c r="NTP211" s="2522"/>
      <c r="NTQ211" s="2522"/>
      <c r="NTR211" s="2522"/>
      <c r="NTS211" s="2522"/>
      <c r="NTT211" s="2522"/>
      <c r="NTU211" s="2522"/>
      <c r="NTV211" s="2522"/>
      <c r="NTW211" s="2522"/>
      <c r="NTX211" s="2522"/>
      <c r="NTY211" s="2522"/>
      <c r="NTZ211" s="2522"/>
      <c r="NUA211" s="2522"/>
      <c r="NUB211" s="2522"/>
      <c r="NUC211" s="2522"/>
      <c r="NUD211" s="2522"/>
      <c r="NUE211" s="2522"/>
      <c r="NUF211" s="2522"/>
      <c r="NUG211" s="2522"/>
      <c r="NUH211" s="2522"/>
      <c r="NUI211" s="2522"/>
      <c r="NUJ211" s="2522"/>
      <c r="NUK211" s="2522"/>
      <c r="NUL211" s="2522"/>
      <c r="NUM211" s="2522"/>
      <c r="NUN211" s="2522"/>
      <c r="NUO211" s="2522"/>
      <c r="NUP211" s="2522"/>
      <c r="NUQ211" s="2522"/>
      <c r="NUR211" s="2522"/>
      <c r="NUS211" s="2522"/>
      <c r="NUT211" s="2522"/>
      <c r="NUU211" s="2522"/>
      <c r="NUV211" s="2522"/>
      <c r="NUW211" s="2522"/>
      <c r="NUX211" s="2522"/>
      <c r="NUY211" s="2522"/>
      <c r="NUZ211" s="2522"/>
      <c r="NVA211" s="2522"/>
      <c r="NVB211" s="2522"/>
      <c r="NVC211" s="2522"/>
      <c r="NVD211" s="2522"/>
      <c r="NVE211" s="2522"/>
      <c r="NVF211" s="2522"/>
      <c r="NVG211" s="2522"/>
      <c r="NVH211" s="2522"/>
      <c r="NVI211" s="2522"/>
      <c r="NVJ211" s="2522"/>
      <c r="NVK211" s="2522"/>
      <c r="NVL211" s="2522"/>
      <c r="NVM211" s="2522"/>
      <c r="NVN211" s="2522"/>
      <c r="NVO211" s="2522"/>
      <c r="NVP211" s="2522"/>
      <c r="NVQ211" s="2522"/>
      <c r="NVR211" s="2522"/>
      <c r="NVS211" s="2522"/>
      <c r="NVT211" s="2522"/>
      <c r="NVU211" s="2522"/>
      <c r="NVV211" s="2522"/>
      <c r="NVW211" s="2522"/>
      <c r="NVX211" s="2522"/>
      <c r="NVY211" s="2522"/>
      <c r="NVZ211" s="2522"/>
      <c r="NWA211" s="2522"/>
      <c r="NWB211" s="2522"/>
      <c r="NWC211" s="2522"/>
      <c r="NWD211" s="2522"/>
      <c r="NWE211" s="2522"/>
      <c r="NWF211" s="2522"/>
      <c r="NWG211" s="2522"/>
      <c r="NWH211" s="2522"/>
      <c r="NWI211" s="2522"/>
      <c r="NWJ211" s="2522"/>
      <c r="NWK211" s="2522"/>
      <c r="NWL211" s="2522"/>
      <c r="NWM211" s="2522"/>
      <c r="NWN211" s="2522"/>
      <c r="NWO211" s="2522"/>
      <c r="NWP211" s="2522"/>
      <c r="NWQ211" s="2522"/>
      <c r="NWR211" s="2522"/>
      <c r="NWS211" s="2522"/>
      <c r="NWT211" s="2522"/>
      <c r="NWU211" s="2522"/>
      <c r="NWV211" s="2522"/>
      <c r="NWW211" s="2522"/>
      <c r="NWX211" s="2522"/>
      <c r="NWY211" s="2522"/>
      <c r="NWZ211" s="2522"/>
      <c r="NXA211" s="2522"/>
      <c r="NXB211" s="2522"/>
      <c r="NXC211" s="2522"/>
      <c r="NXD211" s="2522"/>
      <c r="NXE211" s="2522"/>
      <c r="NXF211" s="2522"/>
      <c r="NXG211" s="2522"/>
      <c r="NXH211" s="2522"/>
      <c r="NXI211" s="2522"/>
      <c r="NXJ211" s="2522"/>
      <c r="NXK211" s="2522"/>
      <c r="NXL211" s="2522"/>
      <c r="NXM211" s="2522"/>
      <c r="NXN211" s="2522"/>
      <c r="NXO211" s="2522"/>
      <c r="NXP211" s="2522"/>
      <c r="NXQ211" s="2522"/>
      <c r="NXR211" s="2522"/>
      <c r="NXS211" s="2522"/>
      <c r="NXT211" s="2522"/>
      <c r="NXU211" s="2522"/>
      <c r="NXV211" s="2522"/>
      <c r="NXW211" s="2522"/>
      <c r="NXX211" s="2522"/>
      <c r="NXY211" s="2522"/>
      <c r="NXZ211" s="2522"/>
      <c r="NYA211" s="2522"/>
      <c r="NYB211" s="2522"/>
      <c r="NYC211" s="2522"/>
      <c r="NYD211" s="2522"/>
      <c r="NYE211" s="2522"/>
      <c r="NYF211" s="2522"/>
      <c r="NYG211" s="2522"/>
      <c r="NYH211" s="2522"/>
      <c r="NYI211" s="2522"/>
      <c r="NYJ211" s="2522"/>
      <c r="NYK211" s="2522"/>
      <c r="NYL211" s="2522"/>
      <c r="NYM211" s="2522"/>
      <c r="NYN211" s="2522"/>
      <c r="NYO211" s="2522"/>
      <c r="NYP211" s="2522"/>
      <c r="NYQ211" s="2522"/>
      <c r="NYR211" s="2522"/>
      <c r="NYS211" s="2522"/>
      <c r="NYT211" s="2522"/>
      <c r="NYU211" s="2522"/>
      <c r="NYV211" s="2522"/>
      <c r="NYW211" s="2522"/>
      <c r="NYX211" s="2522"/>
      <c r="NYY211" s="2522"/>
      <c r="NYZ211" s="2522"/>
      <c r="NZA211" s="2522"/>
      <c r="NZB211" s="2522"/>
      <c r="NZC211" s="2522"/>
      <c r="NZD211" s="2522"/>
      <c r="NZE211" s="2522"/>
      <c r="NZF211" s="2522"/>
      <c r="NZG211" s="2522"/>
      <c r="NZH211" s="2522"/>
      <c r="NZI211" s="2522"/>
      <c r="NZJ211" s="2522"/>
      <c r="NZK211" s="2522"/>
      <c r="NZL211" s="2522"/>
      <c r="NZM211" s="2522"/>
      <c r="NZN211" s="2522"/>
      <c r="NZO211" s="2522"/>
      <c r="NZP211" s="2522"/>
      <c r="NZQ211" s="2522"/>
      <c r="NZR211" s="2522"/>
      <c r="NZS211" s="2522"/>
      <c r="NZT211" s="2522"/>
      <c r="NZU211" s="2522"/>
      <c r="NZV211" s="2522"/>
      <c r="NZW211" s="2522"/>
      <c r="NZX211" s="2522"/>
      <c r="NZY211" s="2522"/>
      <c r="NZZ211" s="2522"/>
      <c r="OAA211" s="2522"/>
      <c r="OAB211" s="2522"/>
      <c r="OAC211" s="2522"/>
      <c r="OAD211" s="2522"/>
      <c r="OAE211" s="2522"/>
      <c r="OAF211" s="2522"/>
      <c r="OAG211" s="2522"/>
      <c r="OAH211" s="2522"/>
      <c r="OAI211" s="2522"/>
      <c r="OAJ211" s="2522"/>
      <c r="OAK211" s="2522"/>
      <c r="OAL211" s="2522"/>
      <c r="OAM211" s="2522"/>
      <c r="OAN211" s="2522"/>
      <c r="OAO211" s="2522"/>
      <c r="OAP211" s="2522"/>
      <c r="OAQ211" s="2522"/>
      <c r="OAR211" s="2522"/>
      <c r="OAS211" s="2522"/>
      <c r="OAT211" s="2522"/>
      <c r="OAU211" s="2522"/>
      <c r="OAV211" s="2522"/>
      <c r="OAW211" s="2522"/>
      <c r="OAX211" s="2522"/>
      <c r="OAY211" s="2522"/>
      <c r="OAZ211" s="2522"/>
      <c r="OBA211" s="2522"/>
      <c r="OBB211" s="2522"/>
      <c r="OBC211" s="2522"/>
      <c r="OBD211" s="2522"/>
      <c r="OBE211" s="2522"/>
      <c r="OBF211" s="2522"/>
      <c r="OBG211" s="2522"/>
      <c r="OBH211" s="2522"/>
      <c r="OBI211" s="2522"/>
      <c r="OBJ211" s="2522"/>
      <c r="OBK211" s="2522"/>
      <c r="OBL211" s="2522"/>
      <c r="OBM211" s="2522"/>
      <c r="OBN211" s="2522"/>
      <c r="OBO211" s="2522"/>
      <c r="OBP211" s="2522"/>
      <c r="OBQ211" s="2522"/>
      <c r="OBR211" s="2522"/>
      <c r="OBS211" s="2522"/>
      <c r="OBT211" s="2522"/>
      <c r="OBU211" s="2522"/>
      <c r="OBV211" s="2522"/>
      <c r="OBW211" s="2522"/>
      <c r="OBX211" s="2522"/>
      <c r="OBY211" s="2522"/>
      <c r="OBZ211" s="2522"/>
      <c r="OCA211" s="2522"/>
      <c r="OCB211" s="2522"/>
      <c r="OCC211" s="2522"/>
      <c r="OCD211" s="2522"/>
      <c r="OCE211" s="2522"/>
      <c r="OCF211" s="2522"/>
      <c r="OCG211" s="2522"/>
      <c r="OCH211" s="2522"/>
      <c r="OCI211" s="2522"/>
      <c r="OCJ211" s="2522"/>
      <c r="OCK211" s="2522"/>
      <c r="OCL211" s="2522"/>
      <c r="OCM211" s="2522"/>
      <c r="OCN211" s="2522"/>
      <c r="OCO211" s="2522"/>
      <c r="OCP211" s="2522"/>
      <c r="OCQ211" s="2522"/>
      <c r="OCR211" s="2522"/>
      <c r="OCS211" s="2522"/>
      <c r="OCT211" s="2522"/>
      <c r="OCU211" s="2522"/>
      <c r="OCV211" s="2522"/>
      <c r="OCW211" s="2522"/>
      <c r="OCX211" s="2522"/>
      <c r="OCY211" s="2522"/>
      <c r="OCZ211" s="2522"/>
      <c r="ODA211" s="2522"/>
      <c r="ODB211" s="2522"/>
      <c r="ODC211" s="2522"/>
      <c r="ODD211" s="2522"/>
      <c r="ODE211" s="2522"/>
      <c r="ODF211" s="2522"/>
      <c r="ODG211" s="2522"/>
      <c r="ODH211" s="2522"/>
      <c r="ODI211" s="2522"/>
      <c r="ODJ211" s="2522"/>
      <c r="ODK211" s="2522"/>
      <c r="ODL211" s="2522"/>
      <c r="ODM211" s="2522"/>
      <c r="ODN211" s="2522"/>
      <c r="ODO211" s="2522"/>
      <c r="ODP211" s="2522"/>
      <c r="ODQ211" s="2522"/>
      <c r="ODR211" s="2522"/>
      <c r="ODS211" s="2522"/>
      <c r="ODT211" s="2522"/>
      <c r="ODU211" s="2522"/>
      <c r="ODV211" s="2522"/>
      <c r="ODW211" s="2522"/>
      <c r="ODX211" s="2522"/>
      <c r="ODY211" s="2522"/>
      <c r="ODZ211" s="2522"/>
      <c r="OEA211" s="2522"/>
      <c r="OEB211" s="2522"/>
      <c r="OEC211" s="2522"/>
      <c r="OED211" s="2522"/>
      <c r="OEE211" s="2522"/>
      <c r="OEF211" s="2522"/>
      <c r="OEG211" s="2522"/>
      <c r="OEH211" s="2522"/>
      <c r="OEI211" s="2522"/>
      <c r="OEJ211" s="2522"/>
      <c r="OEK211" s="2522"/>
      <c r="OEL211" s="2522"/>
      <c r="OEM211" s="2522"/>
      <c r="OEN211" s="2522"/>
      <c r="OEO211" s="2522"/>
      <c r="OEP211" s="2522"/>
      <c r="OEQ211" s="2522"/>
      <c r="OER211" s="2522"/>
      <c r="OES211" s="2522"/>
      <c r="OET211" s="2522"/>
      <c r="OEU211" s="2522"/>
      <c r="OEV211" s="2522"/>
      <c r="OEW211" s="2522"/>
      <c r="OEX211" s="2522"/>
      <c r="OEY211" s="2522"/>
      <c r="OEZ211" s="2522"/>
      <c r="OFA211" s="2522"/>
      <c r="OFB211" s="2522"/>
      <c r="OFC211" s="2522"/>
      <c r="OFD211" s="2522"/>
      <c r="OFE211" s="2522"/>
      <c r="OFF211" s="2522"/>
      <c r="OFG211" s="2522"/>
      <c r="OFH211" s="2522"/>
      <c r="OFI211" s="2522"/>
      <c r="OFJ211" s="2522"/>
      <c r="OFK211" s="2522"/>
      <c r="OFL211" s="2522"/>
      <c r="OFM211" s="2522"/>
      <c r="OFN211" s="2522"/>
      <c r="OFO211" s="2522"/>
      <c r="OFP211" s="2522"/>
      <c r="OFQ211" s="2522"/>
      <c r="OFR211" s="2522"/>
      <c r="OFS211" s="2522"/>
      <c r="OFT211" s="2522"/>
      <c r="OFU211" s="2522"/>
      <c r="OFV211" s="2522"/>
      <c r="OFW211" s="2522"/>
      <c r="OFX211" s="2522"/>
      <c r="OFY211" s="2522"/>
      <c r="OFZ211" s="2522"/>
      <c r="OGA211" s="2522"/>
      <c r="OGB211" s="2522"/>
      <c r="OGC211" s="2522"/>
      <c r="OGD211" s="2522"/>
      <c r="OGE211" s="2522"/>
      <c r="OGF211" s="2522"/>
      <c r="OGG211" s="2522"/>
      <c r="OGH211" s="2522"/>
      <c r="OGI211" s="2522"/>
      <c r="OGJ211" s="2522"/>
      <c r="OGK211" s="2522"/>
      <c r="OGL211" s="2522"/>
      <c r="OGM211" s="2522"/>
      <c r="OGN211" s="2522"/>
      <c r="OGO211" s="2522"/>
      <c r="OGP211" s="2522"/>
      <c r="OGQ211" s="2522"/>
      <c r="OGR211" s="2522"/>
      <c r="OGS211" s="2522"/>
      <c r="OGT211" s="2522"/>
      <c r="OGU211" s="2522"/>
      <c r="OGV211" s="2522"/>
      <c r="OGW211" s="2522"/>
      <c r="OGX211" s="2522"/>
      <c r="OGY211" s="2522"/>
      <c r="OGZ211" s="2522"/>
      <c r="OHA211" s="2522"/>
      <c r="OHB211" s="2522"/>
      <c r="OHC211" s="2522"/>
      <c r="OHD211" s="2522"/>
      <c r="OHE211" s="2522"/>
      <c r="OHF211" s="2522"/>
      <c r="OHG211" s="2522"/>
      <c r="OHH211" s="2522"/>
      <c r="OHI211" s="2522"/>
      <c r="OHJ211" s="2522"/>
      <c r="OHK211" s="2522"/>
      <c r="OHL211" s="2522"/>
      <c r="OHM211" s="2522"/>
      <c r="OHN211" s="2522"/>
      <c r="OHO211" s="2522"/>
      <c r="OHP211" s="2522"/>
      <c r="OHQ211" s="2522"/>
      <c r="OHR211" s="2522"/>
      <c r="OHS211" s="2522"/>
      <c r="OHT211" s="2522"/>
      <c r="OHU211" s="2522"/>
      <c r="OHV211" s="2522"/>
      <c r="OHW211" s="2522"/>
      <c r="OHX211" s="2522"/>
      <c r="OHY211" s="2522"/>
      <c r="OHZ211" s="2522"/>
      <c r="OIA211" s="2522"/>
      <c r="OIB211" s="2522"/>
      <c r="OIC211" s="2522"/>
      <c r="OID211" s="2522"/>
      <c r="OIE211" s="2522"/>
      <c r="OIF211" s="2522"/>
      <c r="OIG211" s="2522"/>
      <c r="OIH211" s="2522"/>
      <c r="OII211" s="2522"/>
      <c r="OIJ211" s="2522"/>
      <c r="OIK211" s="2522"/>
      <c r="OIL211" s="2522"/>
      <c r="OIM211" s="2522"/>
      <c r="OIN211" s="2522"/>
      <c r="OIO211" s="2522"/>
      <c r="OIP211" s="2522"/>
      <c r="OIQ211" s="2522"/>
      <c r="OIR211" s="2522"/>
      <c r="OIS211" s="2522"/>
      <c r="OIT211" s="2522"/>
      <c r="OIU211" s="2522"/>
      <c r="OIV211" s="2522"/>
      <c r="OIW211" s="2522"/>
      <c r="OIX211" s="2522"/>
      <c r="OIY211" s="2522"/>
      <c r="OIZ211" s="2522"/>
      <c r="OJA211" s="2522"/>
      <c r="OJB211" s="2522"/>
      <c r="OJC211" s="2522"/>
      <c r="OJD211" s="2522"/>
      <c r="OJE211" s="2522"/>
      <c r="OJF211" s="2522"/>
      <c r="OJG211" s="2522"/>
      <c r="OJH211" s="2522"/>
      <c r="OJI211" s="2522"/>
      <c r="OJJ211" s="2522"/>
      <c r="OJK211" s="2522"/>
      <c r="OJL211" s="2522"/>
      <c r="OJM211" s="2522"/>
      <c r="OJN211" s="2522"/>
      <c r="OJO211" s="2522"/>
      <c r="OJP211" s="2522"/>
      <c r="OJQ211" s="2522"/>
      <c r="OJR211" s="2522"/>
      <c r="OJS211" s="2522"/>
      <c r="OJT211" s="2522"/>
      <c r="OJU211" s="2522"/>
      <c r="OJV211" s="2522"/>
      <c r="OJW211" s="2522"/>
      <c r="OJX211" s="2522"/>
      <c r="OJY211" s="2522"/>
      <c r="OJZ211" s="2522"/>
      <c r="OKA211" s="2522"/>
      <c r="OKB211" s="2522"/>
      <c r="OKC211" s="2522"/>
      <c r="OKD211" s="2522"/>
      <c r="OKE211" s="2522"/>
      <c r="OKF211" s="2522"/>
      <c r="OKG211" s="2522"/>
      <c r="OKH211" s="2522"/>
      <c r="OKI211" s="2522"/>
      <c r="OKJ211" s="2522"/>
      <c r="OKK211" s="2522"/>
      <c r="OKL211" s="2522"/>
      <c r="OKM211" s="2522"/>
      <c r="OKN211" s="2522"/>
      <c r="OKO211" s="2522"/>
      <c r="OKP211" s="2522"/>
      <c r="OKQ211" s="2522"/>
      <c r="OKR211" s="2522"/>
      <c r="OKS211" s="2522"/>
      <c r="OKT211" s="2522"/>
      <c r="OKU211" s="2522"/>
      <c r="OKV211" s="2522"/>
      <c r="OKW211" s="2522"/>
      <c r="OKX211" s="2522"/>
      <c r="OKY211" s="2522"/>
      <c r="OKZ211" s="2522"/>
      <c r="OLA211" s="2522"/>
      <c r="OLB211" s="2522"/>
      <c r="OLC211" s="2522"/>
      <c r="OLD211" s="2522"/>
      <c r="OLE211" s="2522"/>
      <c r="OLF211" s="2522"/>
      <c r="OLG211" s="2522"/>
      <c r="OLH211" s="2522"/>
      <c r="OLI211" s="2522"/>
      <c r="OLJ211" s="2522"/>
      <c r="OLK211" s="2522"/>
      <c r="OLL211" s="2522"/>
      <c r="OLM211" s="2522"/>
      <c r="OLN211" s="2522"/>
      <c r="OLO211" s="2522"/>
      <c r="OLP211" s="2522"/>
      <c r="OLQ211" s="2522"/>
      <c r="OLR211" s="2522"/>
      <c r="OLS211" s="2522"/>
      <c r="OLT211" s="2522"/>
      <c r="OLU211" s="2522"/>
      <c r="OLV211" s="2522"/>
      <c r="OLW211" s="2522"/>
      <c r="OLX211" s="2522"/>
      <c r="OLY211" s="2522"/>
      <c r="OLZ211" s="2522"/>
      <c r="OMA211" s="2522"/>
      <c r="OMB211" s="2522"/>
      <c r="OMC211" s="2522"/>
      <c r="OMD211" s="2522"/>
      <c r="OME211" s="2522"/>
      <c r="OMF211" s="2522"/>
      <c r="OMG211" s="2522"/>
      <c r="OMH211" s="2522"/>
      <c r="OMI211" s="2522"/>
      <c r="OMJ211" s="2522"/>
      <c r="OMK211" s="2522"/>
      <c r="OML211" s="2522"/>
      <c r="OMM211" s="2522"/>
      <c r="OMN211" s="2522"/>
      <c r="OMO211" s="2522"/>
      <c r="OMP211" s="2522"/>
      <c r="OMQ211" s="2522"/>
      <c r="OMR211" s="2522"/>
      <c r="OMS211" s="2522"/>
      <c r="OMT211" s="2522"/>
      <c r="OMU211" s="2522"/>
      <c r="OMV211" s="2522"/>
      <c r="OMW211" s="2522"/>
      <c r="OMX211" s="2522"/>
      <c r="OMY211" s="2522"/>
      <c r="OMZ211" s="2522"/>
      <c r="ONA211" s="2522"/>
      <c r="ONB211" s="2522"/>
      <c r="ONC211" s="2522"/>
      <c r="OND211" s="2522"/>
      <c r="ONE211" s="2522"/>
      <c r="ONF211" s="2522"/>
      <c r="ONG211" s="2522"/>
      <c r="ONH211" s="2522"/>
      <c r="ONI211" s="2522"/>
      <c r="ONJ211" s="2522"/>
      <c r="ONK211" s="2522"/>
      <c r="ONL211" s="2522"/>
      <c r="ONM211" s="2522"/>
      <c r="ONN211" s="2522"/>
      <c r="ONO211" s="2522"/>
      <c r="ONP211" s="2522"/>
      <c r="ONQ211" s="2522"/>
      <c r="ONR211" s="2522"/>
      <c r="ONS211" s="2522"/>
      <c r="ONT211" s="2522"/>
      <c r="ONU211" s="2522"/>
      <c r="ONV211" s="2522"/>
      <c r="ONW211" s="2522"/>
      <c r="ONX211" s="2522"/>
      <c r="ONY211" s="2522"/>
      <c r="ONZ211" s="2522"/>
      <c r="OOA211" s="2522"/>
      <c r="OOB211" s="2522"/>
      <c r="OOC211" s="2522"/>
      <c r="OOD211" s="2522"/>
      <c r="OOE211" s="2522"/>
      <c r="OOF211" s="2522"/>
      <c r="OOG211" s="2522"/>
      <c r="OOH211" s="2522"/>
      <c r="OOI211" s="2522"/>
      <c r="OOJ211" s="2522"/>
      <c r="OOK211" s="2522"/>
      <c r="OOL211" s="2522"/>
      <c r="OOM211" s="2522"/>
      <c r="OON211" s="2522"/>
      <c r="OOO211" s="2522"/>
      <c r="OOP211" s="2522"/>
      <c r="OOQ211" s="2522"/>
      <c r="OOR211" s="2522"/>
      <c r="OOS211" s="2522"/>
      <c r="OOT211" s="2522"/>
      <c r="OOU211" s="2522"/>
      <c r="OOV211" s="2522"/>
      <c r="OOW211" s="2522"/>
      <c r="OOX211" s="2522"/>
      <c r="OOY211" s="2522"/>
      <c r="OOZ211" s="2522"/>
      <c r="OPA211" s="2522"/>
      <c r="OPB211" s="2522"/>
      <c r="OPC211" s="2522"/>
      <c r="OPD211" s="2522"/>
      <c r="OPE211" s="2522"/>
      <c r="OPF211" s="2522"/>
      <c r="OPG211" s="2522"/>
      <c r="OPH211" s="2522"/>
      <c r="OPI211" s="2522"/>
      <c r="OPJ211" s="2522"/>
      <c r="OPK211" s="2522"/>
      <c r="OPL211" s="2522"/>
      <c r="OPM211" s="2522"/>
      <c r="OPN211" s="2522"/>
      <c r="OPO211" s="2522"/>
      <c r="OPP211" s="2522"/>
      <c r="OPQ211" s="2522"/>
      <c r="OPR211" s="2522"/>
      <c r="OPS211" s="2522"/>
      <c r="OPT211" s="2522"/>
      <c r="OPU211" s="2522"/>
      <c r="OPV211" s="2522"/>
      <c r="OPW211" s="2522"/>
      <c r="OPX211" s="2522"/>
      <c r="OPY211" s="2522"/>
      <c r="OPZ211" s="2522"/>
      <c r="OQA211" s="2522"/>
      <c r="OQB211" s="2522"/>
      <c r="OQC211" s="2522"/>
      <c r="OQD211" s="2522"/>
      <c r="OQE211" s="2522"/>
      <c r="OQF211" s="2522"/>
      <c r="OQG211" s="2522"/>
      <c r="OQH211" s="2522"/>
      <c r="OQI211" s="2522"/>
      <c r="OQJ211" s="2522"/>
      <c r="OQK211" s="2522"/>
      <c r="OQL211" s="2522"/>
      <c r="OQM211" s="2522"/>
      <c r="OQN211" s="2522"/>
      <c r="OQO211" s="2522"/>
      <c r="OQP211" s="2522"/>
      <c r="OQQ211" s="2522"/>
      <c r="OQR211" s="2522"/>
      <c r="OQS211" s="2522"/>
      <c r="OQT211" s="2522"/>
      <c r="OQU211" s="2522"/>
      <c r="OQV211" s="2522"/>
      <c r="OQW211" s="2522"/>
      <c r="OQX211" s="2522"/>
      <c r="OQY211" s="2522"/>
      <c r="OQZ211" s="2522"/>
      <c r="ORA211" s="2522"/>
      <c r="ORB211" s="2522"/>
      <c r="ORC211" s="2522"/>
      <c r="ORD211" s="2522"/>
      <c r="ORE211" s="2522"/>
      <c r="ORF211" s="2522"/>
      <c r="ORG211" s="2522"/>
      <c r="ORH211" s="2522"/>
      <c r="ORI211" s="2522"/>
      <c r="ORJ211" s="2522"/>
      <c r="ORK211" s="2522"/>
      <c r="ORL211" s="2522"/>
      <c r="ORM211" s="2522"/>
      <c r="ORN211" s="2522"/>
      <c r="ORO211" s="2522"/>
      <c r="ORP211" s="2522"/>
      <c r="ORQ211" s="2522"/>
      <c r="ORR211" s="2522"/>
      <c r="ORS211" s="2522"/>
      <c r="ORT211" s="2522"/>
      <c r="ORU211" s="2522"/>
      <c r="ORV211" s="2522"/>
      <c r="ORW211" s="2522"/>
      <c r="ORX211" s="2522"/>
      <c r="ORY211" s="2522"/>
      <c r="ORZ211" s="2522"/>
      <c r="OSA211" s="2522"/>
      <c r="OSB211" s="2522"/>
      <c r="OSC211" s="2522"/>
      <c r="OSD211" s="2522"/>
      <c r="OSE211" s="2522"/>
      <c r="OSF211" s="2522"/>
      <c r="OSG211" s="2522"/>
      <c r="OSH211" s="2522"/>
      <c r="OSI211" s="2522"/>
      <c r="OSJ211" s="2522"/>
      <c r="OSK211" s="2522"/>
      <c r="OSL211" s="2522"/>
      <c r="OSM211" s="2522"/>
      <c r="OSN211" s="2522"/>
      <c r="OSO211" s="2522"/>
      <c r="OSP211" s="2522"/>
      <c r="OSQ211" s="2522"/>
      <c r="OSR211" s="2522"/>
      <c r="OSS211" s="2522"/>
      <c r="OST211" s="2522"/>
      <c r="OSU211" s="2522"/>
      <c r="OSV211" s="2522"/>
      <c r="OSW211" s="2522"/>
      <c r="OSX211" s="2522"/>
      <c r="OSY211" s="2522"/>
      <c r="OSZ211" s="2522"/>
      <c r="OTA211" s="2522"/>
      <c r="OTB211" s="2522"/>
      <c r="OTC211" s="2522"/>
      <c r="OTD211" s="2522"/>
      <c r="OTE211" s="2522"/>
      <c r="OTF211" s="2522"/>
      <c r="OTG211" s="2522"/>
      <c r="OTH211" s="2522"/>
      <c r="OTI211" s="2522"/>
      <c r="OTJ211" s="2522"/>
      <c r="OTK211" s="2522"/>
      <c r="OTL211" s="2522"/>
      <c r="OTM211" s="2522"/>
      <c r="OTN211" s="2522"/>
      <c r="OTO211" s="2522"/>
      <c r="OTP211" s="2522"/>
      <c r="OTQ211" s="2522"/>
      <c r="OTR211" s="2522"/>
      <c r="OTS211" s="2522"/>
      <c r="OTT211" s="2522"/>
      <c r="OTU211" s="2522"/>
      <c r="OTV211" s="2522"/>
      <c r="OTW211" s="2522"/>
      <c r="OTX211" s="2522"/>
      <c r="OTY211" s="2522"/>
      <c r="OTZ211" s="2522"/>
      <c r="OUA211" s="2522"/>
      <c r="OUB211" s="2522"/>
      <c r="OUC211" s="2522"/>
      <c r="OUD211" s="2522"/>
      <c r="OUE211" s="2522"/>
      <c r="OUF211" s="2522"/>
      <c r="OUG211" s="2522"/>
      <c r="OUH211" s="2522"/>
      <c r="OUI211" s="2522"/>
      <c r="OUJ211" s="2522"/>
      <c r="OUK211" s="2522"/>
      <c r="OUL211" s="2522"/>
      <c r="OUM211" s="2522"/>
      <c r="OUN211" s="2522"/>
      <c r="OUO211" s="2522"/>
      <c r="OUP211" s="2522"/>
      <c r="OUQ211" s="2522"/>
      <c r="OUR211" s="2522"/>
      <c r="OUS211" s="2522"/>
      <c r="OUT211" s="2522"/>
      <c r="OUU211" s="2522"/>
      <c r="OUV211" s="2522"/>
      <c r="OUW211" s="2522"/>
      <c r="OUX211" s="2522"/>
      <c r="OUY211" s="2522"/>
      <c r="OUZ211" s="2522"/>
      <c r="OVA211" s="2522"/>
      <c r="OVB211" s="2522"/>
      <c r="OVC211" s="2522"/>
      <c r="OVD211" s="2522"/>
      <c r="OVE211" s="2522"/>
      <c r="OVF211" s="2522"/>
      <c r="OVG211" s="2522"/>
      <c r="OVH211" s="2522"/>
      <c r="OVI211" s="2522"/>
      <c r="OVJ211" s="2522"/>
      <c r="OVK211" s="2522"/>
      <c r="OVL211" s="2522"/>
      <c r="OVM211" s="2522"/>
      <c r="OVN211" s="2522"/>
      <c r="OVO211" s="2522"/>
      <c r="OVP211" s="2522"/>
      <c r="OVQ211" s="2522"/>
      <c r="OVR211" s="2522"/>
      <c r="OVS211" s="2522"/>
      <c r="OVT211" s="2522"/>
      <c r="OVU211" s="2522"/>
      <c r="OVV211" s="2522"/>
      <c r="OVW211" s="2522"/>
      <c r="OVX211" s="2522"/>
      <c r="OVY211" s="2522"/>
      <c r="OVZ211" s="2522"/>
      <c r="OWA211" s="2522"/>
      <c r="OWB211" s="2522"/>
      <c r="OWC211" s="2522"/>
      <c r="OWD211" s="2522"/>
      <c r="OWE211" s="2522"/>
      <c r="OWF211" s="2522"/>
      <c r="OWG211" s="2522"/>
      <c r="OWH211" s="2522"/>
      <c r="OWI211" s="2522"/>
      <c r="OWJ211" s="2522"/>
      <c r="OWK211" s="2522"/>
      <c r="OWL211" s="2522"/>
      <c r="OWM211" s="2522"/>
      <c r="OWN211" s="2522"/>
      <c r="OWO211" s="2522"/>
      <c r="OWP211" s="2522"/>
      <c r="OWQ211" s="2522"/>
      <c r="OWR211" s="2522"/>
      <c r="OWS211" s="2522"/>
      <c r="OWT211" s="2522"/>
      <c r="OWU211" s="2522"/>
      <c r="OWV211" s="2522"/>
      <c r="OWW211" s="2522"/>
      <c r="OWX211" s="2522"/>
      <c r="OWY211" s="2522"/>
      <c r="OWZ211" s="2522"/>
      <c r="OXA211" s="2522"/>
      <c r="OXB211" s="2522"/>
      <c r="OXC211" s="2522"/>
      <c r="OXD211" s="2522"/>
      <c r="OXE211" s="2522"/>
      <c r="OXF211" s="2522"/>
      <c r="OXG211" s="2522"/>
      <c r="OXH211" s="2522"/>
      <c r="OXI211" s="2522"/>
      <c r="OXJ211" s="2522"/>
      <c r="OXK211" s="2522"/>
      <c r="OXL211" s="2522"/>
      <c r="OXM211" s="2522"/>
      <c r="OXN211" s="2522"/>
      <c r="OXO211" s="2522"/>
      <c r="OXP211" s="2522"/>
      <c r="OXQ211" s="2522"/>
      <c r="OXR211" s="2522"/>
      <c r="OXS211" s="2522"/>
      <c r="OXT211" s="2522"/>
      <c r="OXU211" s="2522"/>
      <c r="OXV211" s="2522"/>
      <c r="OXW211" s="2522"/>
      <c r="OXX211" s="2522"/>
      <c r="OXY211" s="2522"/>
      <c r="OXZ211" s="2522"/>
      <c r="OYA211" s="2522"/>
      <c r="OYB211" s="2522"/>
      <c r="OYC211" s="2522"/>
      <c r="OYD211" s="2522"/>
      <c r="OYE211" s="2522"/>
      <c r="OYF211" s="2522"/>
      <c r="OYG211" s="2522"/>
      <c r="OYH211" s="2522"/>
      <c r="OYI211" s="2522"/>
      <c r="OYJ211" s="2522"/>
      <c r="OYK211" s="2522"/>
      <c r="OYL211" s="2522"/>
      <c r="OYM211" s="2522"/>
      <c r="OYN211" s="2522"/>
      <c r="OYO211" s="2522"/>
      <c r="OYP211" s="2522"/>
      <c r="OYQ211" s="2522"/>
      <c r="OYR211" s="2522"/>
      <c r="OYS211" s="2522"/>
      <c r="OYT211" s="2522"/>
      <c r="OYU211" s="2522"/>
      <c r="OYV211" s="2522"/>
      <c r="OYW211" s="2522"/>
      <c r="OYX211" s="2522"/>
      <c r="OYY211" s="2522"/>
      <c r="OYZ211" s="2522"/>
      <c r="OZA211" s="2522"/>
      <c r="OZB211" s="2522"/>
      <c r="OZC211" s="2522"/>
      <c r="OZD211" s="2522"/>
      <c r="OZE211" s="2522"/>
      <c r="OZF211" s="2522"/>
      <c r="OZG211" s="2522"/>
      <c r="OZH211" s="2522"/>
      <c r="OZI211" s="2522"/>
      <c r="OZJ211" s="2522"/>
      <c r="OZK211" s="2522"/>
      <c r="OZL211" s="2522"/>
      <c r="OZM211" s="2522"/>
      <c r="OZN211" s="2522"/>
      <c r="OZO211" s="2522"/>
      <c r="OZP211" s="2522"/>
      <c r="OZQ211" s="2522"/>
      <c r="OZR211" s="2522"/>
      <c r="OZS211" s="2522"/>
      <c r="OZT211" s="2522"/>
      <c r="OZU211" s="2522"/>
      <c r="OZV211" s="2522"/>
      <c r="OZW211" s="2522"/>
      <c r="OZX211" s="2522"/>
      <c r="OZY211" s="2522"/>
      <c r="OZZ211" s="2522"/>
      <c r="PAA211" s="2522"/>
      <c r="PAB211" s="2522"/>
      <c r="PAC211" s="2522"/>
      <c r="PAD211" s="2522"/>
      <c r="PAE211" s="2522"/>
      <c r="PAF211" s="2522"/>
      <c r="PAG211" s="2522"/>
      <c r="PAH211" s="2522"/>
      <c r="PAI211" s="2522"/>
      <c r="PAJ211" s="2522"/>
      <c r="PAK211" s="2522"/>
      <c r="PAL211" s="2522"/>
      <c r="PAM211" s="2522"/>
      <c r="PAN211" s="2522"/>
      <c r="PAO211" s="2522"/>
      <c r="PAP211" s="2522"/>
      <c r="PAQ211" s="2522"/>
      <c r="PAR211" s="2522"/>
      <c r="PAS211" s="2522"/>
      <c r="PAT211" s="2522"/>
      <c r="PAU211" s="2522"/>
      <c r="PAV211" s="2522"/>
      <c r="PAW211" s="2522"/>
      <c r="PAX211" s="2522"/>
      <c r="PAY211" s="2522"/>
      <c r="PAZ211" s="2522"/>
      <c r="PBA211" s="2522"/>
      <c r="PBB211" s="2522"/>
      <c r="PBC211" s="2522"/>
      <c r="PBD211" s="2522"/>
      <c r="PBE211" s="2522"/>
      <c r="PBF211" s="2522"/>
      <c r="PBG211" s="2522"/>
      <c r="PBH211" s="2522"/>
      <c r="PBI211" s="2522"/>
      <c r="PBJ211" s="2522"/>
      <c r="PBK211" s="2522"/>
      <c r="PBL211" s="2522"/>
      <c r="PBM211" s="2522"/>
      <c r="PBN211" s="2522"/>
      <c r="PBO211" s="2522"/>
      <c r="PBP211" s="2522"/>
      <c r="PBQ211" s="2522"/>
      <c r="PBR211" s="2522"/>
      <c r="PBS211" s="2522"/>
      <c r="PBT211" s="2522"/>
      <c r="PBU211" s="2522"/>
      <c r="PBV211" s="2522"/>
      <c r="PBW211" s="2522"/>
      <c r="PBX211" s="2522"/>
      <c r="PBY211" s="2522"/>
      <c r="PBZ211" s="2522"/>
      <c r="PCA211" s="2522"/>
      <c r="PCB211" s="2522"/>
      <c r="PCC211" s="2522"/>
      <c r="PCD211" s="2522"/>
      <c r="PCE211" s="2522"/>
      <c r="PCF211" s="2522"/>
      <c r="PCG211" s="2522"/>
      <c r="PCH211" s="2522"/>
      <c r="PCI211" s="2522"/>
      <c r="PCJ211" s="2522"/>
      <c r="PCK211" s="2522"/>
      <c r="PCL211" s="2522"/>
      <c r="PCM211" s="2522"/>
      <c r="PCN211" s="2522"/>
      <c r="PCO211" s="2522"/>
      <c r="PCP211" s="2522"/>
      <c r="PCQ211" s="2522"/>
      <c r="PCR211" s="2522"/>
      <c r="PCS211" s="2522"/>
      <c r="PCT211" s="2522"/>
      <c r="PCU211" s="2522"/>
      <c r="PCV211" s="2522"/>
      <c r="PCW211" s="2522"/>
      <c r="PCX211" s="2522"/>
      <c r="PCY211" s="2522"/>
      <c r="PCZ211" s="2522"/>
      <c r="PDA211" s="2522"/>
      <c r="PDB211" s="2522"/>
      <c r="PDC211" s="2522"/>
      <c r="PDD211" s="2522"/>
      <c r="PDE211" s="2522"/>
      <c r="PDF211" s="2522"/>
      <c r="PDG211" s="2522"/>
      <c r="PDH211" s="2522"/>
      <c r="PDI211" s="2522"/>
      <c r="PDJ211" s="2522"/>
      <c r="PDK211" s="2522"/>
      <c r="PDL211" s="2522"/>
      <c r="PDM211" s="2522"/>
      <c r="PDN211" s="2522"/>
      <c r="PDO211" s="2522"/>
      <c r="PDP211" s="2522"/>
      <c r="PDQ211" s="2522"/>
      <c r="PDR211" s="2522"/>
      <c r="PDS211" s="2522"/>
      <c r="PDT211" s="2522"/>
      <c r="PDU211" s="2522"/>
      <c r="PDV211" s="2522"/>
      <c r="PDW211" s="2522"/>
      <c r="PDX211" s="2522"/>
      <c r="PDY211" s="2522"/>
      <c r="PDZ211" s="2522"/>
      <c r="PEA211" s="2522"/>
      <c r="PEB211" s="2522"/>
      <c r="PEC211" s="2522"/>
      <c r="PED211" s="2522"/>
      <c r="PEE211" s="2522"/>
      <c r="PEF211" s="2522"/>
      <c r="PEG211" s="2522"/>
      <c r="PEH211" s="2522"/>
      <c r="PEI211" s="2522"/>
      <c r="PEJ211" s="2522"/>
      <c r="PEK211" s="2522"/>
      <c r="PEL211" s="2522"/>
      <c r="PEM211" s="2522"/>
      <c r="PEN211" s="2522"/>
      <c r="PEO211" s="2522"/>
      <c r="PEP211" s="2522"/>
      <c r="PEQ211" s="2522"/>
      <c r="PER211" s="2522"/>
      <c r="PES211" s="2522"/>
      <c r="PET211" s="2522"/>
      <c r="PEU211" s="2522"/>
      <c r="PEV211" s="2522"/>
      <c r="PEW211" s="2522"/>
      <c r="PEX211" s="2522"/>
      <c r="PEY211" s="2522"/>
      <c r="PEZ211" s="2522"/>
      <c r="PFA211" s="2522"/>
      <c r="PFB211" s="2522"/>
      <c r="PFC211" s="2522"/>
      <c r="PFD211" s="2522"/>
      <c r="PFE211" s="2522"/>
      <c r="PFF211" s="2522"/>
      <c r="PFG211" s="2522"/>
      <c r="PFH211" s="2522"/>
      <c r="PFI211" s="2522"/>
      <c r="PFJ211" s="2522"/>
      <c r="PFK211" s="2522"/>
      <c r="PFL211" s="2522"/>
      <c r="PFM211" s="2522"/>
      <c r="PFN211" s="2522"/>
      <c r="PFO211" s="2522"/>
      <c r="PFP211" s="2522"/>
      <c r="PFQ211" s="2522"/>
      <c r="PFR211" s="2522"/>
      <c r="PFS211" s="2522"/>
      <c r="PFT211" s="2522"/>
      <c r="PFU211" s="2522"/>
      <c r="PFV211" s="2522"/>
      <c r="PFW211" s="2522"/>
      <c r="PFX211" s="2522"/>
      <c r="PFY211" s="2522"/>
      <c r="PFZ211" s="2522"/>
      <c r="PGA211" s="2522"/>
      <c r="PGB211" s="2522"/>
      <c r="PGC211" s="2522"/>
      <c r="PGD211" s="2522"/>
      <c r="PGE211" s="2522"/>
      <c r="PGF211" s="2522"/>
      <c r="PGG211" s="2522"/>
      <c r="PGH211" s="2522"/>
      <c r="PGI211" s="2522"/>
      <c r="PGJ211" s="2522"/>
      <c r="PGK211" s="2522"/>
      <c r="PGL211" s="2522"/>
      <c r="PGM211" s="2522"/>
      <c r="PGN211" s="2522"/>
      <c r="PGO211" s="2522"/>
      <c r="PGP211" s="2522"/>
      <c r="PGQ211" s="2522"/>
      <c r="PGR211" s="2522"/>
      <c r="PGS211" s="2522"/>
      <c r="PGT211" s="2522"/>
      <c r="PGU211" s="2522"/>
      <c r="PGV211" s="2522"/>
      <c r="PGW211" s="2522"/>
      <c r="PGX211" s="2522"/>
      <c r="PGY211" s="2522"/>
      <c r="PGZ211" s="2522"/>
      <c r="PHA211" s="2522"/>
      <c r="PHB211" s="2522"/>
      <c r="PHC211" s="2522"/>
      <c r="PHD211" s="2522"/>
      <c r="PHE211" s="2522"/>
      <c r="PHF211" s="2522"/>
      <c r="PHG211" s="2522"/>
      <c r="PHH211" s="2522"/>
      <c r="PHI211" s="2522"/>
      <c r="PHJ211" s="2522"/>
      <c r="PHK211" s="2522"/>
      <c r="PHL211" s="2522"/>
      <c r="PHM211" s="2522"/>
      <c r="PHN211" s="2522"/>
      <c r="PHO211" s="2522"/>
      <c r="PHP211" s="2522"/>
      <c r="PHQ211" s="2522"/>
      <c r="PHR211" s="2522"/>
      <c r="PHS211" s="2522"/>
      <c r="PHT211" s="2522"/>
      <c r="PHU211" s="2522"/>
      <c r="PHV211" s="2522"/>
      <c r="PHW211" s="2522"/>
      <c r="PHX211" s="2522"/>
      <c r="PHY211" s="2522"/>
      <c r="PHZ211" s="2522"/>
      <c r="PIA211" s="2522"/>
      <c r="PIB211" s="2522"/>
      <c r="PIC211" s="2522"/>
      <c r="PID211" s="2522"/>
      <c r="PIE211" s="2522"/>
      <c r="PIF211" s="2522"/>
      <c r="PIG211" s="2522"/>
      <c r="PIH211" s="2522"/>
      <c r="PII211" s="2522"/>
      <c r="PIJ211" s="2522"/>
      <c r="PIK211" s="2522"/>
      <c r="PIL211" s="2522"/>
      <c r="PIM211" s="2522"/>
      <c r="PIN211" s="2522"/>
      <c r="PIO211" s="2522"/>
      <c r="PIP211" s="2522"/>
      <c r="PIQ211" s="2522"/>
      <c r="PIR211" s="2522"/>
      <c r="PIS211" s="2522"/>
      <c r="PIT211" s="2522"/>
      <c r="PIU211" s="2522"/>
      <c r="PIV211" s="2522"/>
      <c r="PIW211" s="2522"/>
      <c r="PIX211" s="2522"/>
      <c r="PIY211" s="2522"/>
      <c r="PIZ211" s="2522"/>
      <c r="PJA211" s="2522"/>
      <c r="PJB211" s="2522"/>
      <c r="PJC211" s="2522"/>
      <c r="PJD211" s="2522"/>
      <c r="PJE211" s="2522"/>
      <c r="PJF211" s="2522"/>
      <c r="PJG211" s="2522"/>
      <c r="PJH211" s="2522"/>
      <c r="PJI211" s="2522"/>
      <c r="PJJ211" s="2522"/>
      <c r="PJK211" s="2522"/>
      <c r="PJL211" s="2522"/>
      <c r="PJM211" s="2522"/>
      <c r="PJN211" s="2522"/>
      <c r="PJO211" s="2522"/>
      <c r="PJP211" s="2522"/>
      <c r="PJQ211" s="2522"/>
      <c r="PJR211" s="2522"/>
      <c r="PJS211" s="2522"/>
      <c r="PJT211" s="2522"/>
      <c r="PJU211" s="2522"/>
      <c r="PJV211" s="2522"/>
      <c r="PJW211" s="2522"/>
      <c r="PJX211" s="2522"/>
      <c r="PJY211" s="2522"/>
      <c r="PJZ211" s="2522"/>
      <c r="PKA211" s="2522"/>
      <c r="PKB211" s="2522"/>
      <c r="PKC211" s="2522"/>
      <c r="PKD211" s="2522"/>
      <c r="PKE211" s="2522"/>
      <c r="PKF211" s="2522"/>
      <c r="PKG211" s="2522"/>
      <c r="PKH211" s="2522"/>
      <c r="PKI211" s="2522"/>
      <c r="PKJ211" s="2522"/>
      <c r="PKK211" s="2522"/>
      <c r="PKL211" s="2522"/>
      <c r="PKM211" s="2522"/>
      <c r="PKN211" s="2522"/>
      <c r="PKO211" s="2522"/>
      <c r="PKP211" s="2522"/>
      <c r="PKQ211" s="2522"/>
      <c r="PKR211" s="2522"/>
      <c r="PKS211" s="2522"/>
      <c r="PKT211" s="2522"/>
      <c r="PKU211" s="2522"/>
      <c r="PKV211" s="2522"/>
      <c r="PKW211" s="2522"/>
      <c r="PKX211" s="2522"/>
      <c r="PKY211" s="2522"/>
      <c r="PKZ211" s="2522"/>
      <c r="PLA211" s="2522"/>
      <c r="PLB211" s="2522"/>
      <c r="PLC211" s="2522"/>
      <c r="PLD211" s="2522"/>
      <c r="PLE211" s="2522"/>
      <c r="PLF211" s="2522"/>
      <c r="PLG211" s="2522"/>
      <c r="PLH211" s="2522"/>
      <c r="PLI211" s="2522"/>
      <c r="PLJ211" s="2522"/>
      <c r="PLK211" s="2522"/>
      <c r="PLL211" s="2522"/>
      <c r="PLM211" s="2522"/>
      <c r="PLN211" s="2522"/>
      <c r="PLO211" s="2522"/>
      <c r="PLP211" s="2522"/>
      <c r="PLQ211" s="2522"/>
      <c r="PLR211" s="2522"/>
      <c r="PLS211" s="2522"/>
      <c r="PLT211" s="2522"/>
      <c r="PLU211" s="2522"/>
      <c r="PLV211" s="2522"/>
      <c r="PLW211" s="2522"/>
      <c r="PLX211" s="2522"/>
      <c r="PLY211" s="2522"/>
      <c r="PLZ211" s="2522"/>
      <c r="PMA211" s="2522"/>
      <c r="PMB211" s="2522"/>
      <c r="PMC211" s="2522"/>
      <c r="PMD211" s="2522"/>
      <c r="PME211" s="2522"/>
      <c r="PMF211" s="2522"/>
      <c r="PMG211" s="2522"/>
      <c r="PMH211" s="2522"/>
      <c r="PMI211" s="2522"/>
      <c r="PMJ211" s="2522"/>
      <c r="PMK211" s="2522"/>
      <c r="PML211" s="2522"/>
      <c r="PMM211" s="2522"/>
      <c r="PMN211" s="2522"/>
      <c r="PMO211" s="2522"/>
      <c r="PMP211" s="2522"/>
      <c r="PMQ211" s="2522"/>
      <c r="PMR211" s="2522"/>
      <c r="PMS211" s="2522"/>
      <c r="PMT211" s="2522"/>
      <c r="PMU211" s="2522"/>
      <c r="PMV211" s="2522"/>
      <c r="PMW211" s="2522"/>
      <c r="PMX211" s="2522"/>
      <c r="PMY211" s="2522"/>
      <c r="PMZ211" s="2522"/>
      <c r="PNA211" s="2522"/>
      <c r="PNB211" s="2522"/>
      <c r="PNC211" s="2522"/>
      <c r="PND211" s="2522"/>
      <c r="PNE211" s="2522"/>
      <c r="PNF211" s="2522"/>
      <c r="PNG211" s="2522"/>
      <c r="PNH211" s="2522"/>
      <c r="PNI211" s="2522"/>
      <c r="PNJ211" s="2522"/>
      <c r="PNK211" s="2522"/>
      <c r="PNL211" s="2522"/>
      <c r="PNM211" s="2522"/>
      <c r="PNN211" s="2522"/>
      <c r="PNO211" s="2522"/>
      <c r="PNP211" s="2522"/>
      <c r="PNQ211" s="2522"/>
      <c r="PNR211" s="2522"/>
      <c r="PNS211" s="2522"/>
      <c r="PNT211" s="2522"/>
      <c r="PNU211" s="2522"/>
      <c r="PNV211" s="2522"/>
      <c r="PNW211" s="2522"/>
      <c r="PNX211" s="2522"/>
      <c r="PNY211" s="2522"/>
      <c r="PNZ211" s="2522"/>
      <c r="POA211" s="2522"/>
      <c r="POB211" s="2522"/>
      <c r="POC211" s="2522"/>
      <c r="POD211" s="2522"/>
      <c r="POE211" s="2522"/>
      <c r="POF211" s="2522"/>
      <c r="POG211" s="2522"/>
      <c r="POH211" s="2522"/>
      <c r="POI211" s="2522"/>
      <c r="POJ211" s="2522"/>
      <c r="POK211" s="2522"/>
      <c r="POL211" s="2522"/>
      <c r="POM211" s="2522"/>
      <c r="PON211" s="2522"/>
      <c r="POO211" s="2522"/>
      <c r="POP211" s="2522"/>
      <c r="POQ211" s="2522"/>
      <c r="POR211" s="2522"/>
      <c r="POS211" s="2522"/>
      <c r="POT211" s="2522"/>
      <c r="POU211" s="2522"/>
      <c r="POV211" s="2522"/>
      <c r="POW211" s="2522"/>
      <c r="POX211" s="2522"/>
      <c r="POY211" s="2522"/>
      <c r="POZ211" s="2522"/>
      <c r="PPA211" s="2522"/>
      <c r="PPB211" s="2522"/>
      <c r="PPC211" s="2522"/>
      <c r="PPD211" s="2522"/>
      <c r="PPE211" s="2522"/>
      <c r="PPF211" s="2522"/>
      <c r="PPG211" s="2522"/>
      <c r="PPH211" s="2522"/>
      <c r="PPI211" s="2522"/>
      <c r="PPJ211" s="2522"/>
      <c r="PPK211" s="2522"/>
      <c r="PPL211" s="2522"/>
      <c r="PPM211" s="2522"/>
      <c r="PPN211" s="2522"/>
      <c r="PPO211" s="2522"/>
      <c r="PPP211" s="2522"/>
      <c r="PPQ211" s="2522"/>
      <c r="PPR211" s="2522"/>
      <c r="PPS211" s="2522"/>
      <c r="PPT211" s="2522"/>
      <c r="PPU211" s="2522"/>
      <c r="PPV211" s="2522"/>
      <c r="PPW211" s="2522"/>
      <c r="PPX211" s="2522"/>
      <c r="PPY211" s="2522"/>
      <c r="PPZ211" s="2522"/>
      <c r="PQA211" s="2522"/>
      <c r="PQB211" s="2522"/>
      <c r="PQC211" s="2522"/>
      <c r="PQD211" s="2522"/>
      <c r="PQE211" s="2522"/>
      <c r="PQF211" s="2522"/>
      <c r="PQG211" s="2522"/>
      <c r="PQH211" s="2522"/>
      <c r="PQI211" s="2522"/>
      <c r="PQJ211" s="2522"/>
      <c r="PQK211" s="2522"/>
      <c r="PQL211" s="2522"/>
      <c r="PQM211" s="2522"/>
      <c r="PQN211" s="2522"/>
      <c r="PQO211" s="2522"/>
      <c r="PQP211" s="2522"/>
      <c r="PQQ211" s="2522"/>
      <c r="PQR211" s="2522"/>
      <c r="PQS211" s="2522"/>
      <c r="PQT211" s="2522"/>
      <c r="PQU211" s="2522"/>
      <c r="PQV211" s="2522"/>
      <c r="PQW211" s="2522"/>
      <c r="PQX211" s="2522"/>
      <c r="PQY211" s="2522"/>
      <c r="PQZ211" s="2522"/>
      <c r="PRA211" s="2522"/>
      <c r="PRB211" s="2522"/>
      <c r="PRC211" s="2522"/>
      <c r="PRD211" s="2522"/>
      <c r="PRE211" s="2522"/>
      <c r="PRF211" s="2522"/>
      <c r="PRG211" s="2522"/>
      <c r="PRH211" s="2522"/>
      <c r="PRI211" s="2522"/>
      <c r="PRJ211" s="2522"/>
      <c r="PRK211" s="2522"/>
      <c r="PRL211" s="2522"/>
      <c r="PRM211" s="2522"/>
      <c r="PRN211" s="2522"/>
      <c r="PRO211" s="2522"/>
      <c r="PRP211" s="2522"/>
      <c r="PRQ211" s="2522"/>
      <c r="PRR211" s="2522"/>
      <c r="PRS211" s="2522"/>
      <c r="PRT211" s="2522"/>
      <c r="PRU211" s="2522"/>
      <c r="PRV211" s="2522"/>
      <c r="PRW211" s="2522"/>
      <c r="PRX211" s="2522"/>
      <c r="PRY211" s="2522"/>
      <c r="PRZ211" s="2522"/>
      <c r="PSA211" s="2522"/>
      <c r="PSB211" s="2522"/>
      <c r="PSC211" s="2522"/>
      <c r="PSD211" s="2522"/>
      <c r="PSE211" s="2522"/>
      <c r="PSF211" s="2522"/>
      <c r="PSG211" s="2522"/>
      <c r="PSH211" s="2522"/>
      <c r="PSI211" s="2522"/>
      <c r="PSJ211" s="2522"/>
      <c r="PSK211" s="2522"/>
      <c r="PSL211" s="2522"/>
      <c r="PSM211" s="2522"/>
      <c r="PSN211" s="2522"/>
      <c r="PSO211" s="2522"/>
      <c r="PSP211" s="2522"/>
      <c r="PSQ211" s="2522"/>
      <c r="PSR211" s="2522"/>
      <c r="PSS211" s="2522"/>
      <c r="PST211" s="2522"/>
      <c r="PSU211" s="2522"/>
      <c r="PSV211" s="2522"/>
      <c r="PSW211" s="2522"/>
      <c r="PSX211" s="2522"/>
      <c r="PSY211" s="2522"/>
      <c r="PSZ211" s="2522"/>
      <c r="PTA211" s="2522"/>
      <c r="PTB211" s="2522"/>
      <c r="PTC211" s="2522"/>
      <c r="PTD211" s="2522"/>
      <c r="PTE211" s="2522"/>
      <c r="PTF211" s="2522"/>
      <c r="PTG211" s="2522"/>
      <c r="PTH211" s="2522"/>
      <c r="PTI211" s="2522"/>
      <c r="PTJ211" s="2522"/>
      <c r="PTK211" s="2522"/>
      <c r="PTL211" s="2522"/>
      <c r="PTM211" s="2522"/>
      <c r="PTN211" s="2522"/>
      <c r="PTO211" s="2522"/>
      <c r="PTP211" s="2522"/>
      <c r="PTQ211" s="2522"/>
      <c r="PTR211" s="2522"/>
      <c r="PTS211" s="2522"/>
      <c r="PTT211" s="2522"/>
      <c r="PTU211" s="2522"/>
      <c r="PTV211" s="2522"/>
      <c r="PTW211" s="2522"/>
      <c r="PTX211" s="2522"/>
      <c r="PTY211" s="2522"/>
      <c r="PTZ211" s="2522"/>
      <c r="PUA211" s="2522"/>
      <c r="PUB211" s="2522"/>
      <c r="PUC211" s="2522"/>
      <c r="PUD211" s="2522"/>
      <c r="PUE211" s="2522"/>
      <c r="PUF211" s="2522"/>
      <c r="PUG211" s="2522"/>
      <c r="PUH211" s="2522"/>
      <c r="PUI211" s="2522"/>
      <c r="PUJ211" s="2522"/>
      <c r="PUK211" s="2522"/>
      <c r="PUL211" s="2522"/>
      <c r="PUM211" s="2522"/>
      <c r="PUN211" s="2522"/>
      <c r="PUO211" s="2522"/>
      <c r="PUP211" s="2522"/>
      <c r="PUQ211" s="2522"/>
      <c r="PUR211" s="2522"/>
      <c r="PUS211" s="2522"/>
      <c r="PUT211" s="2522"/>
      <c r="PUU211" s="2522"/>
      <c r="PUV211" s="2522"/>
      <c r="PUW211" s="2522"/>
      <c r="PUX211" s="2522"/>
      <c r="PUY211" s="2522"/>
      <c r="PUZ211" s="2522"/>
      <c r="PVA211" s="2522"/>
      <c r="PVB211" s="2522"/>
      <c r="PVC211" s="2522"/>
      <c r="PVD211" s="2522"/>
      <c r="PVE211" s="2522"/>
      <c r="PVF211" s="2522"/>
      <c r="PVG211" s="2522"/>
      <c r="PVH211" s="2522"/>
      <c r="PVI211" s="2522"/>
      <c r="PVJ211" s="2522"/>
      <c r="PVK211" s="2522"/>
      <c r="PVL211" s="2522"/>
      <c r="PVM211" s="2522"/>
      <c r="PVN211" s="2522"/>
      <c r="PVO211" s="2522"/>
      <c r="PVP211" s="2522"/>
      <c r="PVQ211" s="2522"/>
      <c r="PVR211" s="2522"/>
      <c r="PVS211" s="2522"/>
      <c r="PVT211" s="2522"/>
      <c r="PVU211" s="2522"/>
      <c r="PVV211" s="2522"/>
      <c r="PVW211" s="2522"/>
      <c r="PVX211" s="2522"/>
      <c r="PVY211" s="2522"/>
      <c r="PVZ211" s="2522"/>
      <c r="PWA211" s="2522"/>
      <c r="PWB211" s="2522"/>
      <c r="PWC211" s="2522"/>
      <c r="PWD211" s="2522"/>
      <c r="PWE211" s="2522"/>
      <c r="PWF211" s="2522"/>
      <c r="PWG211" s="2522"/>
      <c r="PWH211" s="2522"/>
      <c r="PWI211" s="2522"/>
      <c r="PWJ211" s="2522"/>
      <c r="PWK211" s="2522"/>
      <c r="PWL211" s="2522"/>
      <c r="PWM211" s="2522"/>
      <c r="PWN211" s="2522"/>
      <c r="PWO211" s="2522"/>
      <c r="PWP211" s="2522"/>
      <c r="PWQ211" s="2522"/>
      <c r="PWR211" s="2522"/>
      <c r="PWS211" s="2522"/>
      <c r="PWT211" s="2522"/>
      <c r="PWU211" s="2522"/>
      <c r="PWV211" s="2522"/>
      <c r="PWW211" s="2522"/>
      <c r="PWX211" s="2522"/>
      <c r="PWY211" s="2522"/>
      <c r="PWZ211" s="2522"/>
      <c r="PXA211" s="2522"/>
      <c r="PXB211" s="2522"/>
      <c r="PXC211" s="2522"/>
      <c r="PXD211" s="2522"/>
      <c r="PXE211" s="2522"/>
      <c r="PXF211" s="2522"/>
      <c r="PXG211" s="2522"/>
      <c r="PXH211" s="2522"/>
      <c r="PXI211" s="2522"/>
      <c r="PXJ211" s="2522"/>
      <c r="PXK211" s="2522"/>
      <c r="PXL211" s="2522"/>
      <c r="PXM211" s="2522"/>
      <c r="PXN211" s="2522"/>
      <c r="PXO211" s="2522"/>
      <c r="PXP211" s="2522"/>
      <c r="PXQ211" s="2522"/>
      <c r="PXR211" s="2522"/>
      <c r="PXS211" s="2522"/>
      <c r="PXT211" s="2522"/>
      <c r="PXU211" s="2522"/>
      <c r="PXV211" s="2522"/>
      <c r="PXW211" s="2522"/>
      <c r="PXX211" s="2522"/>
      <c r="PXY211" s="2522"/>
      <c r="PXZ211" s="2522"/>
      <c r="PYA211" s="2522"/>
      <c r="PYB211" s="2522"/>
      <c r="PYC211" s="2522"/>
      <c r="PYD211" s="2522"/>
      <c r="PYE211" s="2522"/>
      <c r="PYF211" s="2522"/>
      <c r="PYG211" s="2522"/>
      <c r="PYH211" s="2522"/>
      <c r="PYI211" s="2522"/>
      <c r="PYJ211" s="2522"/>
      <c r="PYK211" s="2522"/>
      <c r="PYL211" s="2522"/>
      <c r="PYM211" s="2522"/>
      <c r="PYN211" s="2522"/>
      <c r="PYO211" s="2522"/>
      <c r="PYP211" s="2522"/>
      <c r="PYQ211" s="2522"/>
      <c r="PYR211" s="2522"/>
      <c r="PYS211" s="2522"/>
      <c r="PYT211" s="2522"/>
      <c r="PYU211" s="2522"/>
      <c r="PYV211" s="2522"/>
      <c r="PYW211" s="2522"/>
      <c r="PYX211" s="2522"/>
      <c r="PYY211" s="2522"/>
      <c r="PYZ211" s="2522"/>
      <c r="PZA211" s="2522"/>
      <c r="PZB211" s="2522"/>
      <c r="PZC211" s="2522"/>
      <c r="PZD211" s="2522"/>
      <c r="PZE211" s="2522"/>
      <c r="PZF211" s="2522"/>
      <c r="PZG211" s="2522"/>
      <c r="PZH211" s="2522"/>
      <c r="PZI211" s="2522"/>
      <c r="PZJ211" s="2522"/>
      <c r="PZK211" s="2522"/>
      <c r="PZL211" s="2522"/>
      <c r="PZM211" s="2522"/>
      <c r="PZN211" s="2522"/>
      <c r="PZO211" s="2522"/>
      <c r="PZP211" s="2522"/>
      <c r="PZQ211" s="2522"/>
      <c r="PZR211" s="2522"/>
      <c r="PZS211" s="2522"/>
      <c r="PZT211" s="2522"/>
      <c r="PZU211" s="2522"/>
      <c r="PZV211" s="2522"/>
      <c r="PZW211" s="2522"/>
      <c r="PZX211" s="2522"/>
      <c r="PZY211" s="2522"/>
      <c r="PZZ211" s="2522"/>
      <c r="QAA211" s="2522"/>
      <c r="QAB211" s="2522"/>
      <c r="QAC211" s="2522"/>
      <c r="QAD211" s="2522"/>
      <c r="QAE211" s="2522"/>
      <c r="QAF211" s="2522"/>
      <c r="QAG211" s="2522"/>
      <c r="QAH211" s="2522"/>
      <c r="QAI211" s="2522"/>
      <c r="QAJ211" s="2522"/>
      <c r="QAK211" s="2522"/>
      <c r="QAL211" s="2522"/>
      <c r="QAM211" s="2522"/>
      <c r="QAN211" s="2522"/>
      <c r="QAO211" s="2522"/>
      <c r="QAP211" s="2522"/>
      <c r="QAQ211" s="2522"/>
      <c r="QAR211" s="2522"/>
      <c r="QAS211" s="2522"/>
      <c r="QAT211" s="2522"/>
      <c r="QAU211" s="2522"/>
      <c r="QAV211" s="2522"/>
      <c r="QAW211" s="2522"/>
      <c r="QAX211" s="2522"/>
      <c r="QAY211" s="2522"/>
      <c r="QAZ211" s="2522"/>
      <c r="QBA211" s="2522"/>
      <c r="QBB211" s="2522"/>
      <c r="QBC211" s="2522"/>
      <c r="QBD211" s="2522"/>
      <c r="QBE211" s="2522"/>
      <c r="QBF211" s="2522"/>
      <c r="QBG211" s="2522"/>
      <c r="QBH211" s="2522"/>
      <c r="QBI211" s="2522"/>
      <c r="QBJ211" s="2522"/>
      <c r="QBK211" s="2522"/>
      <c r="QBL211" s="2522"/>
      <c r="QBM211" s="2522"/>
      <c r="QBN211" s="2522"/>
      <c r="QBO211" s="2522"/>
      <c r="QBP211" s="2522"/>
      <c r="QBQ211" s="2522"/>
      <c r="QBR211" s="2522"/>
      <c r="QBS211" s="2522"/>
      <c r="QBT211" s="2522"/>
      <c r="QBU211" s="2522"/>
      <c r="QBV211" s="2522"/>
      <c r="QBW211" s="2522"/>
      <c r="QBX211" s="2522"/>
      <c r="QBY211" s="2522"/>
      <c r="QBZ211" s="2522"/>
      <c r="QCA211" s="2522"/>
      <c r="QCB211" s="2522"/>
      <c r="QCC211" s="2522"/>
      <c r="QCD211" s="2522"/>
      <c r="QCE211" s="2522"/>
      <c r="QCF211" s="2522"/>
      <c r="QCG211" s="2522"/>
      <c r="QCH211" s="2522"/>
      <c r="QCI211" s="2522"/>
      <c r="QCJ211" s="2522"/>
      <c r="QCK211" s="2522"/>
      <c r="QCL211" s="2522"/>
      <c r="QCM211" s="2522"/>
      <c r="QCN211" s="2522"/>
      <c r="QCO211" s="2522"/>
      <c r="QCP211" s="2522"/>
      <c r="QCQ211" s="2522"/>
      <c r="QCR211" s="2522"/>
      <c r="QCS211" s="2522"/>
      <c r="QCT211" s="2522"/>
      <c r="QCU211" s="2522"/>
      <c r="QCV211" s="2522"/>
      <c r="QCW211" s="2522"/>
      <c r="QCX211" s="2522"/>
      <c r="QCY211" s="2522"/>
      <c r="QCZ211" s="2522"/>
      <c r="QDA211" s="2522"/>
      <c r="QDB211" s="2522"/>
      <c r="QDC211" s="2522"/>
      <c r="QDD211" s="2522"/>
      <c r="QDE211" s="2522"/>
      <c r="QDF211" s="2522"/>
      <c r="QDG211" s="2522"/>
      <c r="QDH211" s="2522"/>
      <c r="QDI211" s="2522"/>
      <c r="QDJ211" s="2522"/>
      <c r="QDK211" s="2522"/>
      <c r="QDL211" s="2522"/>
      <c r="QDM211" s="2522"/>
      <c r="QDN211" s="2522"/>
      <c r="QDO211" s="2522"/>
      <c r="QDP211" s="2522"/>
      <c r="QDQ211" s="2522"/>
      <c r="QDR211" s="2522"/>
      <c r="QDS211" s="2522"/>
      <c r="QDT211" s="2522"/>
      <c r="QDU211" s="2522"/>
      <c r="QDV211" s="2522"/>
      <c r="QDW211" s="2522"/>
      <c r="QDX211" s="2522"/>
      <c r="QDY211" s="2522"/>
      <c r="QDZ211" s="2522"/>
      <c r="QEA211" s="2522"/>
      <c r="QEB211" s="2522"/>
      <c r="QEC211" s="2522"/>
      <c r="QED211" s="2522"/>
      <c r="QEE211" s="2522"/>
      <c r="QEF211" s="2522"/>
      <c r="QEG211" s="2522"/>
      <c r="QEH211" s="2522"/>
      <c r="QEI211" s="2522"/>
      <c r="QEJ211" s="2522"/>
      <c r="QEK211" s="2522"/>
      <c r="QEL211" s="2522"/>
      <c r="QEM211" s="2522"/>
      <c r="QEN211" s="2522"/>
      <c r="QEO211" s="2522"/>
      <c r="QEP211" s="2522"/>
      <c r="QEQ211" s="2522"/>
      <c r="QER211" s="2522"/>
      <c r="QES211" s="2522"/>
      <c r="QET211" s="2522"/>
      <c r="QEU211" s="2522"/>
      <c r="QEV211" s="2522"/>
      <c r="QEW211" s="2522"/>
      <c r="QEX211" s="2522"/>
      <c r="QEY211" s="2522"/>
      <c r="QEZ211" s="2522"/>
      <c r="QFA211" s="2522"/>
      <c r="QFB211" s="2522"/>
      <c r="QFC211" s="2522"/>
      <c r="QFD211" s="2522"/>
      <c r="QFE211" s="2522"/>
      <c r="QFF211" s="2522"/>
      <c r="QFG211" s="2522"/>
      <c r="QFH211" s="2522"/>
      <c r="QFI211" s="2522"/>
      <c r="QFJ211" s="2522"/>
      <c r="QFK211" s="2522"/>
      <c r="QFL211" s="2522"/>
      <c r="QFM211" s="2522"/>
      <c r="QFN211" s="2522"/>
      <c r="QFO211" s="2522"/>
      <c r="QFP211" s="2522"/>
      <c r="QFQ211" s="2522"/>
      <c r="QFR211" s="2522"/>
      <c r="QFS211" s="2522"/>
      <c r="QFT211" s="2522"/>
      <c r="QFU211" s="2522"/>
      <c r="QFV211" s="2522"/>
      <c r="QFW211" s="2522"/>
      <c r="QFX211" s="2522"/>
      <c r="QFY211" s="2522"/>
      <c r="QFZ211" s="2522"/>
      <c r="QGA211" s="2522"/>
      <c r="QGB211" s="2522"/>
      <c r="QGC211" s="2522"/>
      <c r="QGD211" s="2522"/>
      <c r="QGE211" s="2522"/>
      <c r="QGF211" s="2522"/>
      <c r="QGG211" s="2522"/>
      <c r="QGH211" s="2522"/>
      <c r="QGI211" s="2522"/>
      <c r="QGJ211" s="2522"/>
      <c r="QGK211" s="2522"/>
      <c r="QGL211" s="2522"/>
      <c r="QGM211" s="2522"/>
      <c r="QGN211" s="2522"/>
      <c r="QGO211" s="2522"/>
      <c r="QGP211" s="2522"/>
      <c r="QGQ211" s="2522"/>
      <c r="QGR211" s="2522"/>
      <c r="QGS211" s="2522"/>
      <c r="QGT211" s="2522"/>
      <c r="QGU211" s="2522"/>
      <c r="QGV211" s="2522"/>
      <c r="QGW211" s="2522"/>
      <c r="QGX211" s="2522"/>
      <c r="QGY211" s="2522"/>
      <c r="QGZ211" s="2522"/>
      <c r="QHA211" s="2522"/>
      <c r="QHB211" s="2522"/>
      <c r="QHC211" s="2522"/>
      <c r="QHD211" s="2522"/>
      <c r="QHE211" s="2522"/>
      <c r="QHF211" s="2522"/>
      <c r="QHG211" s="2522"/>
      <c r="QHH211" s="2522"/>
      <c r="QHI211" s="2522"/>
      <c r="QHJ211" s="2522"/>
      <c r="QHK211" s="2522"/>
      <c r="QHL211" s="2522"/>
      <c r="QHM211" s="2522"/>
      <c r="QHN211" s="2522"/>
      <c r="QHO211" s="2522"/>
      <c r="QHP211" s="2522"/>
      <c r="QHQ211" s="2522"/>
      <c r="QHR211" s="2522"/>
      <c r="QHS211" s="2522"/>
      <c r="QHT211" s="2522"/>
      <c r="QHU211" s="2522"/>
      <c r="QHV211" s="2522"/>
      <c r="QHW211" s="2522"/>
      <c r="QHX211" s="2522"/>
      <c r="QHY211" s="2522"/>
      <c r="QHZ211" s="2522"/>
      <c r="QIA211" s="2522"/>
      <c r="QIB211" s="2522"/>
      <c r="QIC211" s="2522"/>
      <c r="QID211" s="2522"/>
      <c r="QIE211" s="2522"/>
      <c r="QIF211" s="2522"/>
      <c r="QIG211" s="2522"/>
      <c r="QIH211" s="2522"/>
      <c r="QII211" s="2522"/>
      <c r="QIJ211" s="2522"/>
      <c r="QIK211" s="2522"/>
      <c r="QIL211" s="2522"/>
      <c r="QIM211" s="2522"/>
      <c r="QIN211" s="2522"/>
      <c r="QIO211" s="2522"/>
      <c r="QIP211" s="2522"/>
      <c r="QIQ211" s="2522"/>
      <c r="QIR211" s="2522"/>
      <c r="QIS211" s="2522"/>
      <c r="QIT211" s="2522"/>
      <c r="QIU211" s="2522"/>
      <c r="QIV211" s="2522"/>
      <c r="QIW211" s="2522"/>
      <c r="QIX211" s="2522"/>
      <c r="QIY211" s="2522"/>
      <c r="QIZ211" s="2522"/>
      <c r="QJA211" s="2522"/>
      <c r="QJB211" s="2522"/>
      <c r="QJC211" s="2522"/>
      <c r="QJD211" s="2522"/>
      <c r="QJE211" s="2522"/>
      <c r="QJF211" s="2522"/>
      <c r="QJG211" s="2522"/>
      <c r="QJH211" s="2522"/>
      <c r="QJI211" s="2522"/>
      <c r="QJJ211" s="2522"/>
      <c r="QJK211" s="2522"/>
      <c r="QJL211" s="2522"/>
      <c r="QJM211" s="2522"/>
      <c r="QJN211" s="2522"/>
      <c r="QJO211" s="2522"/>
      <c r="QJP211" s="2522"/>
      <c r="QJQ211" s="2522"/>
      <c r="QJR211" s="2522"/>
      <c r="QJS211" s="2522"/>
      <c r="QJT211" s="2522"/>
      <c r="QJU211" s="2522"/>
      <c r="QJV211" s="2522"/>
      <c r="QJW211" s="2522"/>
      <c r="QJX211" s="2522"/>
      <c r="QJY211" s="2522"/>
      <c r="QJZ211" s="2522"/>
      <c r="QKA211" s="2522"/>
      <c r="QKB211" s="2522"/>
      <c r="QKC211" s="2522"/>
      <c r="QKD211" s="2522"/>
      <c r="QKE211" s="2522"/>
      <c r="QKF211" s="2522"/>
      <c r="QKG211" s="2522"/>
      <c r="QKH211" s="2522"/>
      <c r="QKI211" s="2522"/>
      <c r="QKJ211" s="2522"/>
      <c r="QKK211" s="2522"/>
      <c r="QKL211" s="2522"/>
      <c r="QKM211" s="2522"/>
      <c r="QKN211" s="2522"/>
      <c r="QKO211" s="2522"/>
      <c r="QKP211" s="2522"/>
      <c r="QKQ211" s="2522"/>
      <c r="QKR211" s="2522"/>
      <c r="QKS211" s="2522"/>
      <c r="QKT211" s="2522"/>
      <c r="QKU211" s="2522"/>
      <c r="QKV211" s="2522"/>
      <c r="QKW211" s="2522"/>
      <c r="QKX211" s="2522"/>
      <c r="QKY211" s="2522"/>
      <c r="QKZ211" s="2522"/>
      <c r="QLA211" s="2522"/>
      <c r="QLB211" s="2522"/>
      <c r="QLC211" s="2522"/>
      <c r="QLD211" s="2522"/>
      <c r="QLE211" s="2522"/>
      <c r="QLF211" s="2522"/>
      <c r="QLG211" s="2522"/>
      <c r="QLH211" s="2522"/>
      <c r="QLI211" s="2522"/>
      <c r="QLJ211" s="2522"/>
      <c r="QLK211" s="2522"/>
      <c r="QLL211" s="2522"/>
      <c r="QLM211" s="2522"/>
      <c r="QLN211" s="2522"/>
      <c r="QLO211" s="2522"/>
      <c r="QLP211" s="2522"/>
      <c r="QLQ211" s="2522"/>
      <c r="QLR211" s="2522"/>
      <c r="QLS211" s="2522"/>
      <c r="QLT211" s="2522"/>
      <c r="QLU211" s="2522"/>
      <c r="QLV211" s="2522"/>
      <c r="QLW211" s="2522"/>
      <c r="QLX211" s="2522"/>
      <c r="QLY211" s="2522"/>
      <c r="QLZ211" s="2522"/>
      <c r="QMA211" s="2522"/>
      <c r="QMB211" s="2522"/>
      <c r="QMC211" s="2522"/>
      <c r="QMD211" s="2522"/>
      <c r="QME211" s="2522"/>
      <c r="QMF211" s="2522"/>
      <c r="QMG211" s="2522"/>
      <c r="QMH211" s="2522"/>
      <c r="QMI211" s="2522"/>
      <c r="QMJ211" s="2522"/>
      <c r="QMK211" s="2522"/>
      <c r="QML211" s="2522"/>
      <c r="QMM211" s="2522"/>
      <c r="QMN211" s="2522"/>
      <c r="QMO211" s="2522"/>
      <c r="QMP211" s="2522"/>
      <c r="QMQ211" s="2522"/>
      <c r="QMR211" s="2522"/>
      <c r="QMS211" s="2522"/>
      <c r="QMT211" s="2522"/>
      <c r="QMU211" s="2522"/>
      <c r="QMV211" s="2522"/>
      <c r="QMW211" s="2522"/>
      <c r="QMX211" s="2522"/>
      <c r="QMY211" s="2522"/>
      <c r="QMZ211" s="2522"/>
      <c r="QNA211" s="2522"/>
      <c r="QNB211" s="2522"/>
      <c r="QNC211" s="2522"/>
      <c r="QND211" s="2522"/>
      <c r="QNE211" s="2522"/>
      <c r="QNF211" s="2522"/>
      <c r="QNG211" s="2522"/>
      <c r="QNH211" s="2522"/>
      <c r="QNI211" s="2522"/>
      <c r="QNJ211" s="2522"/>
      <c r="QNK211" s="2522"/>
      <c r="QNL211" s="2522"/>
      <c r="QNM211" s="2522"/>
      <c r="QNN211" s="2522"/>
      <c r="QNO211" s="2522"/>
      <c r="QNP211" s="2522"/>
      <c r="QNQ211" s="2522"/>
      <c r="QNR211" s="2522"/>
      <c r="QNS211" s="2522"/>
      <c r="QNT211" s="2522"/>
      <c r="QNU211" s="2522"/>
      <c r="QNV211" s="2522"/>
      <c r="QNW211" s="2522"/>
      <c r="QNX211" s="2522"/>
      <c r="QNY211" s="2522"/>
      <c r="QNZ211" s="2522"/>
      <c r="QOA211" s="2522"/>
      <c r="QOB211" s="2522"/>
      <c r="QOC211" s="2522"/>
      <c r="QOD211" s="2522"/>
      <c r="QOE211" s="2522"/>
      <c r="QOF211" s="2522"/>
      <c r="QOG211" s="2522"/>
      <c r="QOH211" s="2522"/>
      <c r="QOI211" s="2522"/>
      <c r="QOJ211" s="2522"/>
      <c r="QOK211" s="2522"/>
      <c r="QOL211" s="2522"/>
      <c r="QOM211" s="2522"/>
      <c r="QON211" s="2522"/>
      <c r="QOO211" s="2522"/>
      <c r="QOP211" s="2522"/>
      <c r="QOQ211" s="2522"/>
      <c r="QOR211" s="2522"/>
      <c r="QOS211" s="2522"/>
      <c r="QOT211" s="2522"/>
      <c r="QOU211" s="2522"/>
      <c r="QOV211" s="2522"/>
      <c r="QOW211" s="2522"/>
      <c r="QOX211" s="2522"/>
      <c r="QOY211" s="2522"/>
      <c r="QOZ211" s="2522"/>
      <c r="QPA211" s="2522"/>
      <c r="QPB211" s="2522"/>
      <c r="QPC211" s="2522"/>
      <c r="QPD211" s="2522"/>
      <c r="QPE211" s="2522"/>
      <c r="QPF211" s="2522"/>
      <c r="QPG211" s="2522"/>
      <c r="QPH211" s="2522"/>
      <c r="QPI211" s="2522"/>
      <c r="QPJ211" s="2522"/>
      <c r="QPK211" s="2522"/>
      <c r="QPL211" s="2522"/>
      <c r="QPM211" s="2522"/>
      <c r="QPN211" s="2522"/>
      <c r="QPO211" s="2522"/>
      <c r="QPP211" s="2522"/>
      <c r="QPQ211" s="2522"/>
      <c r="QPR211" s="2522"/>
      <c r="QPS211" s="2522"/>
      <c r="QPT211" s="2522"/>
      <c r="QPU211" s="2522"/>
      <c r="QPV211" s="2522"/>
      <c r="QPW211" s="2522"/>
      <c r="QPX211" s="2522"/>
      <c r="QPY211" s="2522"/>
      <c r="QPZ211" s="2522"/>
      <c r="QQA211" s="2522"/>
      <c r="QQB211" s="2522"/>
      <c r="QQC211" s="2522"/>
      <c r="QQD211" s="2522"/>
      <c r="QQE211" s="2522"/>
      <c r="QQF211" s="2522"/>
      <c r="QQG211" s="2522"/>
      <c r="QQH211" s="2522"/>
      <c r="QQI211" s="2522"/>
      <c r="QQJ211" s="2522"/>
      <c r="QQK211" s="2522"/>
      <c r="QQL211" s="2522"/>
      <c r="QQM211" s="2522"/>
      <c r="QQN211" s="2522"/>
      <c r="QQO211" s="2522"/>
      <c r="QQP211" s="2522"/>
      <c r="QQQ211" s="2522"/>
      <c r="QQR211" s="2522"/>
      <c r="QQS211" s="2522"/>
      <c r="QQT211" s="2522"/>
      <c r="QQU211" s="2522"/>
      <c r="QQV211" s="2522"/>
      <c r="QQW211" s="2522"/>
      <c r="QQX211" s="2522"/>
      <c r="QQY211" s="2522"/>
      <c r="QQZ211" s="2522"/>
      <c r="QRA211" s="2522"/>
      <c r="QRB211" s="2522"/>
      <c r="QRC211" s="2522"/>
      <c r="QRD211" s="2522"/>
      <c r="QRE211" s="2522"/>
      <c r="QRF211" s="2522"/>
      <c r="QRG211" s="2522"/>
      <c r="QRH211" s="2522"/>
      <c r="QRI211" s="2522"/>
      <c r="QRJ211" s="2522"/>
      <c r="QRK211" s="2522"/>
      <c r="QRL211" s="2522"/>
      <c r="QRM211" s="2522"/>
      <c r="QRN211" s="2522"/>
      <c r="QRO211" s="2522"/>
      <c r="QRP211" s="2522"/>
      <c r="QRQ211" s="2522"/>
      <c r="QRR211" s="2522"/>
      <c r="QRS211" s="2522"/>
      <c r="QRT211" s="2522"/>
      <c r="QRU211" s="2522"/>
      <c r="QRV211" s="2522"/>
      <c r="QRW211" s="2522"/>
      <c r="QRX211" s="2522"/>
      <c r="QRY211" s="2522"/>
      <c r="QRZ211" s="2522"/>
      <c r="QSA211" s="2522"/>
      <c r="QSB211" s="2522"/>
      <c r="QSC211" s="2522"/>
      <c r="QSD211" s="2522"/>
      <c r="QSE211" s="2522"/>
      <c r="QSF211" s="2522"/>
      <c r="QSG211" s="2522"/>
      <c r="QSH211" s="2522"/>
      <c r="QSI211" s="2522"/>
      <c r="QSJ211" s="2522"/>
      <c r="QSK211" s="2522"/>
      <c r="QSL211" s="2522"/>
      <c r="QSM211" s="2522"/>
      <c r="QSN211" s="2522"/>
      <c r="QSO211" s="2522"/>
      <c r="QSP211" s="2522"/>
      <c r="QSQ211" s="2522"/>
      <c r="QSR211" s="2522"/>
      <c r="QSS211" s="2522"/>
      <c r="QST211" s="2522"/>
      <c r="QSU211" s="2522"/>
      <c r="QSV211" s="2522"/>
      <c r="QSW211" s="2522"/>
      <c r="QSX211" s="2522"/>
      <c r="QSY211" s="2522"/>
      <c r="QSZ211" s="2522"/>
      <c r="QTA211" s="2522"/>
      <c r="QTB211" s="2522"/>
      <c r="QTC211" s="2522"/>
      <c r="QTD211" s="2522"/>
      <c r="QTE211" s="2522"/>
      <c r="QTF211" s="2522"/>
      <c r="QTG211" s="2522"/>
      <c r="QTH211" s="2522"/>
      <c r="QTI211" s="2522"/>
      <c r="QTJ211" s="2522"/>
      <c r="QTK211" s="2522"/>
      <c r="QTL211" s="2522"/>
      <c r="QTM211" s="2522"/>
      <c r="QTN211" s="2522"/>
      <c r="QTO211" s="2522"/>
      <c r="QTP211" s="2522"/>
      <c r="QTQ211" s="2522"/>
      <c r="QTR211" s="2522"/>
      <c r="QTS211" s="2522"/>
      <c r="QTT211" s="2522"/>
      <c r="QTU211" s="2522"/>
      <c r="QTV211" s="2522"/>
      <c r="QTW211" s="2522"/>
      <c r="QTX211" s="2522"/>
      <c r="QTY211" s="2522"/>
      <c r="QTZ211" s="2522"/>
      <c r="QUA211" s="2522"/>
      <c r="QUB211" s="2522"/>
      <c r="QUC211" s="2522"/>
      <c r="QUD211" s="2522"/>
      <c r="QUE211" s="2522"/>
      <c r="QUF211" s="2522"/>
      <c r="QUG211" s="2522"/>
      <c r="QUH211" s="2522"/>
      <c r="QUI211" s="2522"/>
      <c r="QUJ211" s="2522"/>
      <c r="QUK211" s="2522"/>
      <c r="QUL211" s="2522"/>
      <c r="QUM211" s="2522"/>
      <c r="QUN211" s="2522"/>
      <c r="QUO211" s="2522"/>
      <c r="QUP211" s="2522"/>
      <c r="QUQ211" s="2522"/>
      <c r="QUR211" s="2522"/>
      <c r="QUS211" s="2522"/>
      <c r="QUT211" s="2522"/>
      <c r="QUU211" s="2522"/>
      <c r="QUV211" s="2522"/>
      <c r="QUW211" s="2522"/>
      <c r="QUX211" s="2522"/>
      <c r="QUY211" s="2522"/>
      <c r="QUZ211" s="2522"/>
      <c r="QVA211" s="2522"/>
      <c r="QVB211" s="2522"/>
      <c r="QVC211" s="2522"/>
      <c r="QVD211" s="2522"/>
      <c r="QVE211" s="2522"/>
      <c r="QVF211" s="2522"/>
      <c r="QVG211" s="2522"/>
      <c r="QVH211" s="2522"/>
      <c r="QVI211" s="2522"/>
      <c r="QVJ211" s="2522"/>
      <c r="QVK211" s="2522"/>
      <c r="QVL211" s="2522"/>
      <c r="QVM211" s="2522"/>
      <c r="QVN211" s="2522"/>
      <c r="QVO211" s="2522"/>
      <c r="QVP211" s="2522"/>
      <c r="QVQ211" s="2522"/>
      <c r="QVR211" s="2522"/>
      <c r="QVS211" s="2522"/>
      <c r="QVT211" s="2522"/>
      <c r="QVU211" s="2522"/>
      <c r="QVV211" s="2522"/>
      <c r="QVW211" s="2522"/>
      <c r="QVX211" s="2522"/>
      <c r="QVY211" s="2522"/>
      <c r="QVZ211" s="2522"/>
      <c r="QWA211" s="2522"/>
      <c r="QWB211" s="2522"/>
      <c r="QWC211" s="2522"/>
      <c r="QWD211" s="2522"/>
      <c r="QWE211" s="2522"/>
      <c r="QWF211" s="2522"/>
      <c r="QWG211" s="2522"/>
      <c r="QWH211" s="2522"/>
      <c r="QWI211" s="2522"/>
      <c r="QWJ211" s="2522"/>
      <c r="QWK211" s="2522"/>
      <c r="QWL211" s="2522"/>
      <c r="QWM211" s="2522"/>
      <c r="QWN211" s="2522"/>
      <c r="QWO211" s="2522"/>
      <c r="QWP211" s="2522"/>
      <c r="QWQ211" s="2522"/>
      <c r="QWR211" s="2522"/>
      <c r="QWS211" s="2522"/>
      <c r="QWT211" s="2522"/>
      <c r="QWU211" s="2522"/>
      <c r="QWV211" s="2522"/>
      <c r="QWW211" s="2522"/>
      <c r="QWX211" s="2522"/>
      <c r="QWY211" s="2522"/>
      <c r="QWZ211" s="2522"/>
      <c r="QXA211" s="2522"/>
      <c r="QXB211" s="2522"/>
      <c r="QXC211" s="2522"/>
      <c r="QXD211" s="2522"/>
      <c r="QXE211" s="2522"/>
      <c r="QXF211" s="2522"/>
      <c r="QXG211" s="2522"/>
      <c r="QXH211" s="2522"/>
      <c r="QXI211" s="2522"/>
      <c r="QXJ211" s="2522"/>
      <c r="QXK211" s="2522"/>
      <c r="QXL211" s="2522"/>
      <c r="QXM211" s="2522"/>
      <c r="QXN211" s="2522"/>
      <c r="QXO211" s="2522"/>
      <c r="QXP211" s="2522"/>
      <c r="QXQ211" s="2522"/>
      <c r="QXR211" s="2522"/>
      <c r="QXS211" s="2522"/>
      <c r="QXT211" s="2522"/>
      <c r="QXU211" s="2522"/>
      <c r="QXV211" s="2522"/>
      <c r="QXW211" s="2522"/>
      <c r="QXX211" s="2522"/>
      <c r="QXY211" s="2522"/>
      <c r="QXZ211" s="2522"/>
      <c r="QYA211" s="2522"/>
      <c r="QYB211" s="2522"/>
      <c r="QYC211" s="2522"/>
      <c r="QYD211" s="2522"/>
      <c r="QYE211" s="2522"/>
      <c r="QYF211" s="2522"/>
      <c r="QYG211" s="2522"/>
      <c r="QYH211" s="2522"/>
      <c r="QYI211" s="2522"/>
      <c r="QYJ211" s="2522"/>
      <c r="QYK211" s="2522"/>
      <c r="QYL211" s="2522"/>
      <c r="QYM211" s="2522"/>
      <c r="QYN211" s="2522"/>
      <c r="QYO211" s="2522"/>
      <c r="QYP211" s="2522"/>
      <c r="QYQ211" s="2522"/>
      <c r="QYR211" s="2522"/>
      <c r="QYS211" s="2522"/>
      <c r="QYT211" s="2522"/>
      <c r="QYU211" s="2522"/>
      <c r="QYV211" s="2522"/>
      <c r="QYW211" s="2522"/>
      <c r="QYX211" s="2522"/>
      <c r="QYY211" s="2522"/>
      <c r="QYZ211" s="2522"/>
      <c r="QZA211" s="2522"/>
      <c r="QZB211" s="2522"/>
      <c r="QZC211" s="2522"/>
      <c r="QZD211" s="2522"/>
      <c r="QZE211" s="2522"/>
      <c r="QZF211" s="2522"/>
      <c r="QZG211" s="2522"/>
      <c r="QZH211" s="2522"/>
      <c r="QZI211" s="2522"/>
      <c r="QZJ211" s="2522"/>
      <c r="QZK211" s="2522"/>
      <c r="QZL211" s="2522"/>
      <c r="QZM211" s="2522"/>
      <c r="QZN211" s="2522"/>
      <c r="QZO211" s="2522"/>
      <c r="QZP211" s="2522"/>
      <c r="QZQ211" s="2522"/>
      <c r="QZR211" s="2522"/>
      <c r="QZS211" s="2522"/>
      <c r="QZT211" s="2522"/>
      <c r="QZU211" s="2522"/>
      <c r="QZV211" s="2522"/>
      <c r="QZW211" s="2522"/>
      <c r="QZX211" s="2522"/>
      <c r="QZY211" s="2522"/>
      <c r="QZZ211" s="2522"/>
      <c r="RAA211" s="2522"/>
      <c r="RAB211" s="2522"/>
      <c r="RAC211" s="2522"/>
      <c r="RAD211" s="2522"/>
      <c r="RAE211" s="2522"/>
      <c r="RAF211" s="2522"/>
      <c r="RAG211" s="2522"/>
      <c r="RAH211" s="2522"/>
      <c r="RAI211" s="2522"/>
      <c r="RAJ211" s="2522"/>
      <c r="RAK211" s="2522"/>
      <c r="RAL211" s="2522"/>
      <c r="RAM211" s="2522"/>
      <c r="RAN211" s="2522"/>
      <c r="RAO211" s="2522"/>
      <c r="RAP211" s="2522"/>
      <c r="RAQ211" s="2522"/>
      <c r="RAR211" s="2522"/>
      <c r="RAS211" s="2522"/>
      <c r="RAT211" s="2522"/>
      <c r="RAU211" s="2522"/>
      <c r="RAV211" s="2522"/>
      <c r="RAW211" s="2522"/>
      <c r="RAX211" s="2522"/>
      <c r="RAY211" s="2522"/>
      <c r="RAZ211" s="2522"/>
      <c r="RBA211" s="2522"/>
      <c r="RBB211" s="2522"/>
      <c r="RBC211" s="2522"/>
      <c r="RBD211" s="2522"/>
      <c r="RBE211" s="2522"/>
      <c r="RBF211" s="2522"/>
      <c r="RBG211" s="2522"/>
      <c r="RBH211" s="2522"/>
      <c r="RBI211" s="2522"/>
      <c r="RBJ211" s="2522"/>
      <c r="RBK211" s="2522"/>
      <c r="RBL211" s="2522"/>
      <c r="RBM211" s="2522"/>
      <c r="RBN211" s="2522"/>
      <c r="RBO211" s="2522"/>
      <c r="RBP211" s="2522"/>
      <c r="RBQ211" s="2522"/>
      <c r="RBR211" s="2522"/>
      <c r="RBS211" s="2522"/>
      <c r="RBT211" s="2522"/>
      <c r="RBU211" s="2522"/>
      <c r="RBV211" s="2522"/>
      <c r="RBW211" s="2522"/>
      <c r="RBX211" s="2522"/>
      <c r="RBY211" s="2522"/>
      <c r="RBZ211" s="2522"/>
      <c r="RCA211" s="2522"/>
      <c r="RCB211" s="2522"/>
      <c r="RCC211" s="2522"/>
      <c r="RCD211" s="2522"/>
      <c r="RCE211" s="2522"/>
      <c r="RCF211" s="2522"/>
      <c r="RCG211" s="2522"/>
      <c r="RCH211" s="2522"/>
      <c r="RCI211" s="2522"/>
      <c r="RCJ211" s="2522"/>
      <c r="RCK211" s="2522"/>
      <c r="RCL211" s="2522"/>
      <c r="RCM211" s="2522"/>
      <c r="RCN211" s="2522"/>
      <c r="RCO211" s="2522"/>
      <c r="RCP211" s="2522"/>
      <c r="RCQ211" s="2522"/>
      <c r="RCR211" s="2522"/>
      <c r="RCS211" s="2522"/>
      <c r="RCT211" s="2522"/>
      <c r="RCU211" s="2522"/>
      <c r="RCV211" s="2522"/>
      <c r="RCW211" s="2522"/>
      <c r="RCX211" s="2522"/>
      <c r="RCY211" s="2522"/>
      <c r="RCZ211" s="2522"/>
      <c r="RDA211" s="2522"/>
      <c r="RDB211" s="2522"/>
      <c r="RDC211" s="2522"/>
      <c r="RDD211" s="2522"/>
      <c r="RDE211" s="2522"/>
      <c r="RDF211" s="2522"/>
      <c r="RDG211" s="2522"/>
      <c r="RDH211" s="2522"/>
      <c r="RDI211" s="2522"/>
      <c r="RDJ211" s="2522"/>
      <c r="RDK211" s="2522"/>
      <c r="RDL211" s="2522"/>
      <c r="RDM211" s="2522"/>
      <c r="RDN211" s="2522"/>
      <c r="RDO211" s="2522"/>
      <c r="RDP211" s="2522"/>
      <c r="RDQ211" s="2522"/>
      <c r="RDR211" s="2522"/>
      <c r="RDS211" s="2522"/>
      <c r="RDT211" s="2522"/>
      <c r="RDU211" s="2522"/>
      <c r="RDV211" s="2522"/>
      <c r="RDW211" s="2522"/>
      <c r="RDX211" s="2522"/>
      <c r="RDY211" s="2522"/>
      <c r="RDZ211" s="2522"/>
      <c r="REA211" s="2522"/>
      <c r="REB211" s="2522"/>
      <c r="REC211" s="2522"/>
      <c r="RED211" s="2522"/>
      <c r="REE211" s="2522"/>
      <c r="REF211" s="2522"/>
      <c r="REG211" s="2522"/>
      <c r="REH211" s="2522"/>
      <c r="REI211" s="2522"/>
      <c r="REJ211" s="2522"/>
      <c r="REK211" s="2522"/>
      <c r="REL211" s="2522"/>
      <c r="REM211" s="2522"/>
      <c r="REN211" s="2522"/>
      <c r="REO211" s="2522"/>
      <c r="REP211" s="2522"/>
      <c r="REQ211" s="2522"/>
      <c r="RER211" s="2522"/>
      <c r="RES211" s="2522"/>
      <c r="RET211" s="2522"/>
      <c r="REU211" s="2522"/>
      <c r="REV211" s="2522"/>
      <c r="REW211" s="2522"/>
      <c r="REX211" s="2522"/>
      <c r="REY211" s="2522"/>
      <c r="REZ211" s="2522"/>
      <c r="RFA211" s="2522"/>
      <c r="RFB211" s="2522"/>
      <c r="RFC211" s="2522"/>
      <c r="RFD211" s="2522"/>
      <c r="RFE211" s="2522"/>
      <c r="RFF211" s="2522"/>
      <c r="RFG211" s="2522"/>
      <c r="RFH211" s="2522"/>
      <c r="RFI211" s="2522"/>
      <c r="RFJ211" s="2522"/>
      <c r="RFK211" s="2522"/>
      <c r="RFL211" s="2522"/>
      <c r="RFM211" s="2522"/>
      <c r="RFN211" s="2522"/>
      <c r="RFO211" s="2522"/>
      <c r="RFP211" s="2522"/>
      <c r="RFQ211" s="2522"/>
      <c r="RFR211" s="2522"/>
      <c r="RFS211" s="2522"/>
      <c r="RFT211" s="2522"/>
      <c r="RFU211" s="2522"/>
      <c r="RFV211" s="2522"/>
      <c r="RFW211" s="2522"/>
      <c r="RFX211" s="2522"/>
      <c r="RFY211" s="2522"/>
      <c r="RFZ211" s="2522"/>
      <c r="RGA211" s="2522"/>
      <c r="RGB211" s="2522"/>
      <c r="RGC211" s="2522"/>
      <c r="RGD211" s="2522"/>
      <c r="RGE211" s="2522"/>
      <c r="RGF211" s="2522"/>
      <c r="RGG211" s="2522"/>
      <c r="RGH211" s="2522"/>
      <c r="RGI211" s="2522"/>
      <c r="RGJ211" s="2522"/>
      <c r="RGK211" s="2522"/>
      <c r="RGL211" s="2522"/>
      <c r="RGM211" s="2522"/>
      <c r="RGN211" s="2522"/>
      <c r="RGO211" s="2522"/>
      <c r="RGP211" s="2522"/>
      <c r="RGQ211" s="2522"/>
      <c r="RGR211" s="2522"/>
      <c r="RGS211" s="2522"/>
      <c r="RGT211" s="2522"/>
      <c r="RGU211" s="2522"/>
      <c r="RGV211" s="2522"/>
      <c r="RGW211" s="2522"/>
      <c r="RGX211" s="2522"/>
      <c r="RGY211" s="2522"/>
      <c r="RGZ211" s="2522"/>
      <c r="RHA211" s="2522"/>
      <c r="RHB211" s="2522"/>
      <c r="RHC211" s="2522"/>
      <c r="RHD211" s="2522"/>
      <c r="RHE211" s="2522"/>
      <c r="RHF211" s="2522"/>
      <c r="RHG211" s="2522"/>
      <c r="RHH211" s="2522"/>
      <c r="RHI211" s="2522"/>
      <c r="RHJ211" s="2522"/>
      <c r="RHK211" s="2522"/>
      <c r="RHL211" s="2522"/>
      <c r="RHM211" s="2522"/>
      <c r="RHN211" s="2522"/>
      <c r="RHO211" s="2522"/>
      <c r="RHP211" s="2522"/>
      <c r="RHQ211" s="2522"/>
      <c r="RHR211" s="2522"/>
      <c r="RHS211" s="2522"/>
      <c r="RHT211" s="2522"/>
      <c r="RHU211" s="2522"/>
      <c r="RHV211" s="2522"/>
      <c r="RHW211" s="2522"/>
      <c r="RHX211" s="2522"/>
      <c r="RHY211" s="2522"/>
      <c r="RHZ211" s="2522"/>
      <c r="RIA211" s="2522"/>
      <c r="RIB211" s="2522"/>
      <c r="RIC211" s="2522"/>
      <c r="RID211" s="2522"/>
      <c r="RIE211" s="2522"/>
      <c r="RIF211" s="2522"/>
      <c r="RIG211" s="2522"/>
      <c r="RIH211" s="2522"/>
      <c r="RII211" s="2522"/>
      <c r="RIJ211" s="2522"/>
      <c r="RIK211" s="2522"/>
      <c r="RIL211" s="2522"/>
      <c r="RIM211" s="2522"/>
      <c r="RIN211" s="2522"/>
      <c r="RIO211" s="2522"/>
      <c r="RIP211" s="2522"/>
      <c r="RIQ211" s="2522"/>
      <c r="RIR211" s="2522"/>
      <c r="RIS211" s="2522"/>
      <c r="RIT211" s="2522"/>
      <c r="RIU211" s="2522"/>
      <c r="RIV211" s="2522"/>
      <c r="RIW211" s="2522"/>
      <c r="RIX211" s="2522"/>
      <c r="RIY211" s="2522"/>
      <c r="RIZ211" s="2522"/>
      <c r="RJA211" s="2522"/>
      <c r="RJB211" s="2522"/>
      <c r="RJC211" s="2522"/>
      <c r="RJD211" s="2522"/>
      <c r="RJE211" s="2522"/>
      <c r="RJF211" s="2522"/>
      <c r="RJG211" s="2522"/>
      <c r="RJH211" s="2522"/>
      <c r="RJI211" s="2522"/>
      <c r="RJJ211" s="2522"/>
      <c r="RJK211" s="2522"/>
      <c r="RJL211" s="2522"/>
      <c r="RJM211" s="2522"/>
      <c r="RJN211" s="2522"/>
      <c r="RJO211" s="2522"/>
      <c r="RJP211" s="2522"/>
      <c r="RJQ211" s="2522"/>
      <c r="RJR211" s="2522"/>
      <c r="RJS211" s="2522"/>
      <c r="RJT211" s="2522"/>
      <c r="RJU211" s="2522"/>
      <c r="RJV211" s="2522"/>
      <c r="RJW211" s="2522"/>
      <c r="RJX211" s="2522"/>
      <c r="RJY211" s="2522"/>
      <c r="RJZ211" s="2522"/>
      <c r="RKA211" s="2522"/>
      <c r="RKB211" s="2522"/>
      <c r="RKC211" s="2522"/>
      <c r="RKD211" s="2522"/>
      <c r="RKE211" s="2522"/>
      <c r="RKF211" s="2522"/>
      <c r="RKG211" s="2522"/>
      <c r="RKH211" s="2522"/>
      <c r="RKI211" s="2522"/>
      <c r="RKJ211" s="2522"/>
      <c r="RKK211" s="2522"/>
      <c r="RKL211" s="2522"/>
      <c r="RKM211" s="2522"/>
      <c r="RKN211" s="2522"/>
      <c r="RKO211" s="2522"/>
      <c r="RKP211" s="2522"/>
      <c r="RKQ211" s="2522"/>
      <c r="RKR211" s="2522"/>
      <c r="RKS211" s="2522"/>
      <c r="RKT211" s="2522"/>
      <c r="RKU211" s="2522"/>
      <c r="RKV211" s="2522"/>
      <c r="RKW211" s="2522"/>
      <c r="RKX211" s="2522"/>
      <c r="RKY211" s="2522"/>
      <c r="RKZ211" s="2522"/>
      <c r="RLA211" s="2522"/>
      <c r="RLB211" s="2522"/>
      <c r="RLC211" s="2522"/>
      <c r="RLD211" s="2522"/>
      <c r="RLE211" s="2522"/>
      <c r="RLF211" s="2522"/>
      <c r="RLG211" s="2522"/>
      <c r="RLH211" s="2522"/>
      <c r="RLI211" s="2522"/>
      <c r="RLJ211" s="2522"/>
      <c r="RLK211" s="2522"/>
      <c r="RLL211" s="2522"/>
      <c r="RLM211" s="2522"/>
      <c r="RLN211" s="2522"/>
      <c r="RLO211" s="2522"/>
      <c r="RLP211" s="2522"/>
      <c r="RLQ211" s="2522"/>
      <c r="RLR211" s="2522"/>
      <c r="RLS211" s="2522"/>
      <c r="RLT211" s="2522"/>
      <c r="RLU211" s="2522"/>
      <c r="RLV211" s="2522"/>
      <c r="RLW211" s="2522"/>
      <c r="RLX211" s="2522"/>
      <c r="RLY211" s="2522"/>
      <c r="RLZ211" s="2522"/>
      <c r="RMA211" s="2522"/>
      <c r="RMB211" s="2522"/>
      <c r="RMC211" s="2522"/>
      <c r="RMD211" s="2522"/>
      <c r="RME211" s="2522"/>
      <c r="RMF211" s="2522"/>
      <c r="RMG211" s="2522"/>
      <c r="RMH211" s="2522"/>
      <c r="RMI211" s="2522"/>
      <c r="RMJ211" s="2522"/>
      <c r="RMK211" s="2522"/>
      <c r="RML211" s="2522"/>
      <c r="RMM211" s="2522"/>
      <c r="RMN211" s="2522"/>
      <c r="RMO211" s="2522"/>
      <c r="RMP211" s="2522"/>
      <c r="RMQ211" s="2522"/>
      <c r="RMR211" s="2522"/>
      <c r="RMS211" s="2522"/>
      <c r="RMT211" s="2522"/>
      <c r="RMU211" s="2522"/>
      <c r="RMV211" s="2522"/>
      <c r="RMW211" s="2522"/>
      <c r="RMX211" s="2522"/>
      <c r="RMY211" s="2522"/>
      <c r="RMZ211" s="2522"/>
      <c r="RNA211" s="2522"/>
      <c r="RNB211" s="2522"/>
      <c r="RNC211" s="2522"/>
      <c r="RND211" s="2522"/>
      <c r="RNE211" s="2522"/>
      <c r="RNF211" s="2522"/>
      <c r="RNG211" s="2522"/>
      <c r="RNH211" s="2522"/>
      <c r="RNI211" s="2522"/>
      <c r="RNJ211" s="2522"/>
      <c r="RNK211" s="2522"/>
      <c r="RNL211" s="2522"/>
      <c r="RNM211" s="2522"/>
      <c r="RNN211" s="2522"/>
      <c r="RNO211" s="2522"/>
      <c r="RNP211" s="2522"/>
      <c r="RNQ211" s="2522"/>
      <c r="RNR211" s="2522"/>
      <c r="RNS211" s="2522"/>
      <c r="RNT211" s="2522"/>
      <c r="RNU211" s="2522"/>
      <c r="RNV211" s="2522"/>
      <c r="RNW211" s="2522"/>
      <c r="RNX211" s="2522"/>
      <c r="RNY211" s="2522"/>
      <c r="RNZ211" s="2522"/>
      <c r="ROA211" s="2522"/>
      <c r="ROB211" s="2522"/>
      <c r="ROC211" s="2522"/>
      <c r="ROD211" s="2522"/>
      <c r="ROE211" s="2522"/>
      <c r="ROF211" s="2522"/>
      <c r="ROG211" s="2522"/>
      <c r="ROH211" s="2522"/>
      <c r="ROI211" s="2522"/>
      <c r="ROJ211" s="2522"/>
      <c r="ROK211" s="2522"/>
      <c r="ROL211" s="2522"/>
      <c r="ROM211" s="2522"/>
      <c r="RON211" s="2522"/>
      <c r="ROO211" s="2522"/>
      <c r="ROP211" s="2522"/>
      <c r="ROQ211" s="2522"/>
      <c r="ROR211" s="2522"/>
      <c r="ROS211" s="2522"/>
      <c r="ROT211" s="2522"/>
      <c r="ROU211" s="2522"/>
      <c r="ROV211" s="2522"/>
      <c r="ROW211" s="2522"/>
      <c r="ROX211" s="2522"/>
      <c r="ROY211" s="2522"/>
      <c r="ROZ211" s="2522"/>
      <c r="RPA211" s="2522"/>
      <c r="RPB211" s="2522"/>
      <c r="RPC211" s="2522"/>
      <c r="RPD211" s="2522"/>
      <c r="RPE211" s="2522"/>
      <c r="RPF211" s="2522"/>
      <c r="RPG211" s="2522"/>
      <c r="RPH211" s="2522"/>
      <c r="RPI211" s="2522"/>
      <c r="RPJ211" s="2522"/>
      <c r="RPK211" s="2522"/>
      <c r="RPL211" s="2522"/>
      <c r="RPM211" s="2522"/>
      <c r="RPN211" s="2522"/>
      <c r="RPO211" s="2522"/>
      <c r="RPP211" s="2522"/>
      <c r="RPQ211" s="2522"/>
      <c r="RPR211" s="2522"/>
      <c r="RPS211" s="2522"/>
      <c r="RPT211" s="2522"/>
      <c r="RPU211" s="2522"/>
      <c r="RPV211" s="2522"/>
      <c r="RPW211" s="2522"/>
      <c r="RPX211" s="2522"/>
      <c r="RPY211" s="2522"/>
      <c r="RPZ211" s="2522"/>
      <c r="RQA211" s="2522"/>
      <c r="RQB211" s="2522"/>
      <c r="RQC211" s="2522"/>
      <c r="RQD211" s="2522"/>
      <c r="RQE211" s="2522"/>
      <c r="RQF211" s="2522"/>
      <c r="RQG211" s="2522"/>
      <c r="RQH211" s="2522"/>
      <c r="RQI211" s="2522"/>
      <c r="RQJ211" s="2522"/>
      <c r="RQK211" s="2522"/>
      <c r="RQL211" s="2522"/>
      <c r="RQM211" s="2522"/>
      <c r="RQN211" s="2522"/>
      <c r="RQO211" s="2522"/>
      <c r="RQP211" s="2522"/>
      <c r="RQQ211" s="2522"/>
      <c r="RQR211" s="2522"/>
      <c r="RQS211" s="2522"/>
      <c r="RQT211" s="2522"/>
      <c r="RQU211" s="2522"/>
      <c r="RQV211" s="2522"/>
      <c r="RQW211" s="2522"/>
      <c r="RQX211" s="2522"/>
      <c r="RQY211" s="2522"/>
      <c r="RQZ211" s="2522"/>
      <c r="RRA211" s="2522"/>
      <c r="RRB211" s="2522"/>
      <c r="RRC211" s="2522"/>
      <c r="RRD211" s="2522"/>
      <c r="RRE211" s="2522"/>
      <c r="RRF211" s="2522"/>
      <c r="RRG211" s="2522"/>
      <c r="RRH211" s="2522"/>
      <c r="RRI211" s="2522"/>
      <c r="RRJ211" s="2522"/>
      <c r="RRK211" s="2522"/>
      <c r="RRL211" s="2522"/>
      <c r="RRM211" s="2522"/>
      <c r="RRN211" s="2522"/>
      <c r="RRO211" s="2522"/>
      <c r="RRP211" s="2522"/>
      <c r="RRQ211" s="2522"/>
      <c r="RRR211" s="2522"/>
      <c r="RRS211" s="2522"/>
      <c r="RRT211" s="2522"/>
      <c r="RRU211" s="2522"/>
      <c r="RRV211" s="2522"/>
      <c r="RRW211" s="2522"/>
      <c r="RRX211" s="2522"/>
      <c r="RRY211" s="2522"/>
      <c r="RRZ211" s="2522"/>
      <c r="RSA211" s="2522"/>
      <c r="RSB211" s="2522"/>
      <c r="RSC211" s="2522"/>
      <c r="RSD211" s="2522"/>
      <c r="RSE211" s="2522"/>
      <c r="RSF211" s="2522"/>
      <c r="RSG211" s="2522"/>
      <c r="RSH211" s="2522"/>
      <c r="RSI211" s="2522"/>
      <c r="RSJ211" s="2522"/>
      <c r="RSK211" s="2522"/>
      <c r="RSL211" s="2522"/>
      <c r="RSM211" s="2522"/>
      <c r="RSN211" s="2522"/>
      <c r="RSO211" s="2522"/>
      <c r="RSP211" s="2522"/>
      <c r="RSQ211" s="2522"/>
      <c r="RSR211" s="2522"/>
      <c r="RSS211" s="2522"/>
      <c r="RST211" s="2522"/>
      <c r="RSU211" s="2522"/>
      <c r="RSV211" s="2522"/>
      <c r="RSW211" s="2522"/>
      <c r="RSX211" s="2522"/>
      <c r="RSY211" s="2522"/>
      <c r="RSZ211" s="2522"/>
      <c r="RTA211" s="2522"/>
      <c r="RTB211" s="2522"/>
      <c r="RTC211" s="2522"/>
      <c r="RTD211" s="2522"/>
      <c r="RTE211" s="2522"/>
      <c r="RTF211" s="2522"/>
      <c r="RTG211" s="2522"/>
      <c r="RTH211" s="2522"/>
      <c r="RTI211" s="2522"/>
      <c r="RTJ211" s="2522"/>
      <c r="RTK211" s="2522"/>
      <c r="RTL211" s="2522"/>
      <c r="RTM211" s="2522"/>
      <c r="RTN211" s="2522"/>
      <c r="RTO211" s="2522"/>
      <c r="RTP211" s="2522"/>
      <c r="RTQ211" s="2522"/>
      <c r="RTR211" s="2522"/>
      <c r="RTS211" s="2522"/>
      <c r="RTT211" s="2522"/>
      <c r="RTU211" s="2522"/>
      <c r="RTV211" s="2522"/>
      <c r="RTW211" s="2522"/>
      <c r="RTX211" s="2522"/>
      <c r="RTY211" s="2522"/>
      <c r="RTZ211" s="2522"/>
      <c r="RUA211" s="2522"/>
      <c r="RUB211" s="2522"/>
      <c r="RUC211" s="2522"/>
      <c r="RUD211" s="2522"/>
      <c r="RUE211" s="2522"/>
      <c r="RUF211" s="2522"/>
      <c r="RUG211" s="2522"/>
      <c r="RUH211" s="2522"/>
      <c r="RUI211" s="2522"/>
      <c r="RUJ211" s="2522"/>
      <c r="RUK211" s="2522"/>
      <c r="RUL211" s="2522"/>
      <c r="RUM211" s="2522"/>
      <c r="RUN211" s="2522"/>
      <c r="RUO211" s="2522"/>
      <c r="RUP211" s="2522"/>
      <c r="RUQ211" s="2522"/>
      <c r="RUR211" s="2522"/>
      <c r="RUS211" s="2522"/>
      <c r="RUT211" s="2522"/>
      <c r="RUU211" s="2522"/>
      <c r="RUV211" s="2522"/>
      <c r="RUW211" s="2522"/>
      <c r="RUX211" s="2522"/>
      <c r="RUY211" s="2522"/>
      <c r="RUZ211" s="2522"/>
      <c r="RVA211" s="2522"/>
      <c r="RVB211" s="2522"/>
      <c r="RVC211" s="2522"/>
      <c r="RVD211" s="2522"/>
      <c r="RVE211" s="2522"/>
      <c r="RVF211" s="2522"/>
      <c r="RVG211" s="2522"/>
      <c r="RVH211" s="2522"/>
      <c r="RVI211" s="2522"/>
      <c r="RVJ211" s="2522"/>
      <c r="RVK211" s="2522"/>
      <c r="RVL211" s="2522"/>
      <c r="RVM211" s="2522"/>
      <c r="RVN211" s="2522"/>
      <c r="RVO211" s="2522"/>
      <c r="RVP211" s="2522"/>
      <c r="RVQ211" s="2522"/>
      <c r="RVR211" s="2522"/>
      <c r="RVS211" s="2522"/>
      <c r="RVT211" s="2522"/>
      <c r="RVU211" s="2522"/>
      <c r="RVV211" s="2522"/>
      <c r="RVW211" s="2522"/>
      <c r="RVX211" s="2522"/>
      <c r="RVY211" s="2522"/>
      <c r="RVZ211" s="2522"/>
      <c r="RWA211" s="2522"/>
      <c r="RWB211" s="2522"/>
      <c r="RWC211" s="2522"/>
      <c r="RWD211" s="2522"/>
      <c r="RWE211" s="2522"/>
      <c r="RWF211" s="2522"/>
      <c r="RWG211" s="2522"/>
      <c r="RWH211" s="2522"/>
      <c r="RWI211" s="2522"/>
      <c r="RWJ211" s="2522"/>
      <c r="RWK211" s="2522"/>
      <c r="RWL211" s="2522"/>
      <c r="RWM211" s="2522"/>
      <c r="RWN211" s="2522"/>
      <c r="RWO211" s="2522"/>
      <c r="RWP211" s="2522"/>
      <c r="RWQ211" s="2522"/>
      <c r="RWR211" s="2522"/>
      <c r="RWS211" s="2522"/>
      <c r="RWT211" s="2522"/>
      <c r="RWU211" s="2522"/>
      <c r="RWV211" s="2522"/>
      <c r="RWW211" s="2522"/>
      <c r="RWX211" s="2522"/>
      <c r="RWY211" s="2522"/>
      <c r="RWZ211" s="2522"/>
      <c r="RXA211" s="2522"/>
      <c r="RXB211" s="2522"/>
      <c r="RXC211" s="2522"/>
      <c r="RXD211" s="2522"/>
      <c r="RXE211" s="2522"/>
      <c r="RXF211" s="2522"/>
      <c r="RXG211" s="2522"/>
      <c r="RXH211" s="2522"/>
      <c r="RXI211" s="2522"/>
      <c r="RXJ211" s="2522"/>
      <c r="RXK211" s="2522"/>
      <c r="RXL211" s="2522"/>
      <c r="RXM211" s="2522"/>
      <c r="RXN211" s="2522"/>
      <c r="RXO211" s="2522"/>
      <c r="RXP211" s="2522"/>
      <c r="RXQ211" s="2522"/>
      <c r="RXR211" s="2522"/>
      <c r="RXS211" s="2522"/>
      <c r="RXT211" s="2522"/>
      <c r="RXU211" s="2522"/>
      <c r="RXV211" s="2522"/>
      <c r="RXW211" s="2522"/>
      <c r="RXX211" s="2522"/>
      <c r="RXY211" s="2522"/>
      <c r="RXZ211" s="2522"/>
      <c r="RYA211" s="2522"/>
      <c r="RYB211" s="2522"/>
      <c r="RYC211" s="2522"/>
      <c r="RYD211" s="2522"/>
      <c r="RYE211" s="2522"/>
      <c r="RYF211" s="2522"/>
      <c r="RYG211" s="2522"/>
      <c r="RYH211" s="2522"/>
      <c r="RYI211" s="2522"/>
      <c r="RYJ211" s="2522"/>
      <c r="RYK211" s="2522"/>
      <c r="RYL211" s="2522"/>
      <c r="RYM211" s="2522"/>
      <c r="RYN211" s="2522"/>
      <c r="RYO211" s="2522"/>
      <c r="RYP211" s="2522"/>
      <c r="RYQ211" s="2522"/>
      <c r="RYR211" s="2522"/>
      <c r="RYS211" s="2522"/>
      <c r="RYT211" s="2522"/>
      <c r="RYU211" s="2522"/>
      <c r="RYV211" s="2522"/>
      <c r="RYW211" s="2522"/>
      <c r="RYX211" s="2522"/>
      <c r="RYY211" s="2522"/>
      <c r="RYZ211" s="2522"/>
      <c r="RZA211" s="2522"/>
      <c r="RZB211" s="2522"/>
      <c r="RZC211" s="2522"/>
      <c r="RZD211" s="2522"/>
      <c r="RZE211" s="2522"/>
      <c r="RZF211" s="2522"/>
      <c r="RZG211" s="2522"/>
      <c r="RZH211" s="2522"/>
      <c r="RZI211" s="2522"/>
      <c r="RZJ211" s="2522"/>
      <c r="RZK211" s="2522"/>
      <c r="RZL211" s="2522"/>
      <c r="RZM211" s="2522"/>
      <c r="RZN211" s="2522"/>
      <c r="RZO211" s="2522"/>
      <c r="RZP211" s="2522"/>
      <c r="RZQ211" s="2522"/>
      <c r="RZR211" s="2522"/>
      <c r="RZS211" s="2522"/>
      <c r="RZT211" s="2522"/>
      <c r="RZU211" s="2522"/>
      <c r="RZV211" s="2522"/>
      <c r="RZW211" s="2522"/>
      <c r="RZX211" s="2522"/>
      <c r="RZY211" s="2522"/>
      <c r="RZZ211" s="2522"/>
      <c r="SAA211" s="2522"/>
      <c r="SAB211" s="2522"/>
      <c r="SAC211" s="2522"/>
      <c r="SAD211" s="2522"/>
      <c r="SAE211" s="2522"/>
      <c r="SAF211" s="2522"/>
      <c r="SAG211" s="2522"/>
      <c r="SAH211" s="2522"/>
      <c r="SAI211" s="2522"/>
      <c r="SAJ211" s="2522"/>
      <c r="SAK211" s="2522"/>
      <c r="SAL211" s="2522"/>
      <c r="SAM211" s="2522"/>
      <c r="SAN211" s="2522"/>
      <c r="SAO211" s="2522"/>
      <c r="SAP211" s="2522"/>
      <c r="SAQ211" s="2522"/>
      <c r="SAR211" s="2522"/>
      <c r="SAS211" s="2522"/>
      <c r="SAT211" s="2522"/>
      <c r="SAU211" s="2522"/>
      <c r="SAV211" s="2522"/>
      <c r="SAW211" s="2522"/>
      <c r="SAX211" s="2522"/>
      <c r="SAY211" s="2522"/>
      <c r="SAZ211" s="2522"/>
      <c r="SBA211" s="2522"/>
      <c r="SBB211" s="2522"/>
      <c r="SBC211" s="2522"/>
      <c r="SBD211" s="2522"/>
      <c r="SBE211" s="2522"/>
      <c r="SBF211" s="2522"/>
      <c r="SBG211" s="2522"/>
      <c r="SBH211" s="2522"/>
      <c r="SBI211" s="2522"/>
      <c r="SBJ211" s="2522"/>
      <c r="SBK211" s="2522"/>
      <c r="SBL211" s="2522"/>
      <c r="SBM211" s="2522"/>
      <c r="SBN211" s="2522"/>
      <c r="SBO211" s="2522"/>
      <c r="SBP211" s="2522"/>
      <c r="SBQ211" s="2522"/>
      <c r="SBR211" s="2522"/>
      <c r="SBS211" s="2522"/>
      <c r="SBT211" s="2522"/>
      <c r="SBU211" s="2522"/>
      <c r="SBV211" s="2522"/>
      <c r="SBW211" s="2522"/>
      <c r="SBX211" s="2522"/>
      <c r="SBY211" s="2522"/>
      <c r="SBZ211" s="2522"/>
      <c r="SCA211" s="2522"/>
      <c r="SCB211" s="2522"/>
      <c r="SCC211" s="2522"/>
      <c r="SCD211" s="2522"/>
      <c r="SCE211" s="2522"/>
      <c r="SCF211" s="2522"/>
      <c r="SCG211" s="2522"/>
      <c r="SCH211" s="2522"/>
      <c r="SCI211" s="2522"/>
      <c r="SCJ211" s="2522"/>
      <c r="SCK211" s="2522"/>
      <c r="SCL211" s="2522"/>
      <c r="SCM211" s="2522"/>
      <c r="SCN211" s="2522"/>
      <c r="SCO211" s="2522"/>
      <c r="SCP211" s="2522"/>
      <c r="SCQ211" s="2522"/>
      <c r="SCR211" s="2522"/>
      <c r="SCS211" s="2522"/>
      <c r="SCT211" s="2522"/>
      <c r="SCU211" s="2522"/>
      <c r="SCV211" s="2522"/>
      <c r="SCW211" s="2522"/>
      <c r="SCX211" s="2522"/>
      <c r="SCY211" s="2522"/>
      <c r="SCZ211" s="2522"/>
      <c r="SDA211" s="2522"/>
      <c r="SDB211" s="2522"/>
      <c r="SDC211" s="2522"/>
      <c r="SDD211" s="2522"/>
      <c r="SDE211" s="2522"/>
      <c r="SDF211" s="2522"/>
      <c r="SDG211" s="2522"/>
      <c r="SDH211" s="2522"/>
      <c r="SDI211" s="2522"/>
      <c r="SDJ211" s="2522"/>
      <c r="SDK211" s="2522"/>
      <c r="SDL211" s="2522"/>
      <c r="SDM211" s="2522"/>
      <c r="SDN211" s="2522"/>
      <c r="SDO211" s="2522"/>
      <c r="SDP211" s="2522"/>
      <c r="SDQ211" s="2522"/>
      <c r="SDR211" s="2522"/>
      <c r="SDS211" s="2522"/>
      <c r="SDT211" s="2522"/>
      <c r="SDU211" s="2522"/>
      <c r="SDV211" s="2522"/>
      <c r="SDW211" s="2522"/>
      <c r="SDX211" s="2522"/>
      <c r="SDY211" s="2522"/>
      <c r="SDZ211" s="2522"/>
      <c r="SEA211" s="2522"/>
      <c r="SEB211" s="2522"/>
      <c r="SEC211" s="2522"/>
      <c r="SED211" s="2522"/>
      <c r="SEE211" s="2522"/>
      <c r="SEF211" s="2522"/>
      <c r="SEG211" s="2522"/>
      <c r="SEH211" s="2522"/>
      <c r="SEI211" s="2522"/>
      <c r="SEJ211" s="2522"/>
      <c r="SEK211" s="2522"/>
      <c r="SEL211" s="2522"/>
      <c r="SEM211" s="2522"/>
      <c r="SEN211" s="2522"/>
      <c r="SEO211" s="2522"/>
      <c r="SEP211" s="2522"/>
      <c r="SEQ211" s="2522"/>
      <c r="SER211" s="2522"/>
      <c r="SES211" s="2522"/>
      <c r="SET211" s="2522"/>
      <c r="SEU211" s="2522"/>
      <c r="SEV211" s="2522"/>
      <c r="SEW211" s="2522"/>
      <c r="SEX211" s="2522"/>
      <c r="SEY211" s="2522"/>
      <c r="SEZ211" s="2522"/>
      <c r="SFA211" s="2522"/>
      <c r="SFB211" s="2522"/>
      <c r="SFC211" s="2522"/>
      <c r="SFD211" s="2522"/>
      <c r="SFE211" s="2522"/>
      <c r="SFF211" s="2522"/>
      <c r="SFG211" s="2522"/>
      <c r="SFH211" s="2522"/>
      <c r="SFI211" s="2522"/>
      <c r="SFJ211" s="2522"/>
      <c r="SFK211" s="2522"/>
      <c r="SFL211" s="2522"/>
      <c r="SFM211" s="2522"/>
      <c r="SFN211" s="2522"/>
      <c r="SFO211" s="2522"/>
      <c r="SFP211" s="2522"/>
      <c r="SFQ211" s="2522"/>
      <c r="SFR211" s="2522"/>
      <c r="SFS211" s="2522"/>
      <c r="SFT211" s="2522"/>
      <c r="SFU211" s="2522"/>
      <c r="SFV211" s="2522"/>
      <c r="SFW211" s="2522"/>
      <c r="SFX211" s="2522"/>
      <c r="SFY211" s="2522"/>
      <c r="SFZ211" s="2522"/>
      <c r="SGA211" s="2522"/>
      <c r="SGB211" s="2522"/>
      <c r="SGC211" s="2522"/>
      <c r="SGD211" s="2522"/>
      <c r="SGE211" s="2522"/>
      <c r="SGF211" s="2522"/>
      <c r="SGG211" s="2522"/>
      <c r="SGH211" s="2522"/>
      <c r="SGI211" s="2522"/>
      <c r="SGJ211" s="2522"/>
      <c r="SGK211" s="2522"/>
      <c r="SGL211" s="2522"/>
      <c r="SGM211" s="2522"/>
      <c r="SGN211" s="2522"/>
      <c r="SGO211" s="2522"/>
      <c r="SGP211" s="2522"/>
      <c r="SGQ211" s="2522"/>
      <c r="SGR211" s="2522"/>
      <c r="SGS211" s="2522"/>
      <c r="SGT211" s="2522"/>
      <c r="SGU211" s="2522"/>
      <c r="SGV211" s="2522"/>
      <c r="SGW211" s="2522"/>
      <c r="SGX211" s="2522"/>
      <c r="SGY211" s="2522"/>
      <c r="SGZ211" s="2522"/>
      <c r="SHA211" s="2522"/>
      <c r="SHB211" s="2522"/>
      <c r="SHC211" s="2522"/>
      <c r="SHD211" s="2522"/>
      <c r="SHE211" s="2522"/>
      <c r="SHF211" s="2522"/>
      <c r="SHG211" s="2522"/>
      <c r="SHH211" s="2522"/>
      <c r="SHI211" s="2522"/>
      <c r="SHJ211" s="2522"/>
      <c r="SHK211" s="2522"/>
      <c r="SHL211" s="2522"/>
      <c r="SHM211" s="2522"/>
      <c r="SHN211" s="2522"/>
      <c r="SHO211" s="2522"/>
      <c r="SHP211" s="2522"/>
      <c r="SHQ211" s="2522"/>
      <c r="SHR211" s="2522"/>
      <c r="SHS211" s="2522"/>
      <c r="SHT211" s="2522"/>
      <c r="SHU211" s="2522"/>
      <c r="SHV211" s="2522"/>
      <c r="SHW211" s="2522"/>
      <c r="SHX211" s="2522"/>
      <c r="SHY211" s="2522"/>
      <c r="SHZ211" s="2522"/>
      <c r="SIA211" s="2522"/>
      <c r="SIB211" s="2522"/>
      <c r="SIC211" s="2522"/>
      <c r="SID211" s="2522"/>
      <c r="SIE211" s="2522"/>
      <c r="SIF211" s="2522"/>
      <c r="SIG211" s="2522"/>
      <c r="SIH211" s="2522"/>
      <c r="SII211" s="2522"/>
      <c r="SIJ211" s="2522"/>
      <c r="SIK211" s="2522"/>
      <c r="SIL211" s="2522"/>
      <c r="SIM211" s="2522"/>
      <c r="SIN211" s="2522"/>
      <c r="SIO211" s="2522"/>
      <c r="SIP211" s="2522"/>
      <c r="SIQ211" s="2522"/>
      <c r="SIR211" s="2522"/>
      <c r="SIS211" s="2522"/>
      <c r="SIT211" s="2522"/>
      <c r="SIU211" s="2522"/>
      <c r="SIV211" s="2522"/>
      <c r="SIW211" s="2522"/>
      <c r="SIX211" s="2522"/>
      <c r="SIY211" s="2522"/>
      <c r="SIZ211" s="2522"/>
      <c r="SJA211" s="2522"/>
      <c r="SJB211" s="2522"/>
      <c r="SJC211" s="2522"/>
      <c r="SJD211" s="2522"/>
      <c r="SJE211" s="2522"/>
      <c r="SJF211" s="2522"/>
      <c r="SJG211" s="2522"/>
      <c r="SJH211" s="2522"/>
      <c r="SJI211" s="2522"/>
      <c r="SJJ211" s="2522"/>
      <c r="SJK211" s="2522"/>
      <c r="SJL211" s="2522"/>
      <c r="SJM211" s="2522"/>
      <c r="SJN211" s="2522"/>
      <c r="SJO211" s="2522"/>
      <c r="SJP211" s="2522"/>
      <c r="SJQ211" s="2522"/>
      <c r="SJR211" s="2522"/>
      <c r="SJS211" s="2522"/>
      <c r="SJT211" s="2522"/>
      <c r="SJU211" s="2522"/>
      <c r="SJV211" s="2522"/>
      <c r="SJW211" s="2522"/>
      <c r="SJX211" s="2522"/>
      <c r="SJY211" s="2522"/>
      <c r="SJZ211" s="2522"/>
      <c r="SKA211" s="2522"/>
      <c r="SKB211" s="2522"/>
      <c r="SKC211" s="2522"/>
      <c r="SKD211" s="2522"/>
      <c r="SKE211" s="2522"/>
      <c r="SKF211" s="2522"/>
      <c r="SKG211" s="2522"/>
      <c r="SKH211" s="2522"/>
      <c r="SKI211" s="2522"/>
      <c r="SKJ211" s="2522"/>
      <c r="SKK211" s="2522"/>
      <c r="SKL211" s="2522"/>
      <c r="SKM211" s="2522"/>
      <c r="SKN211" s="2522"/>
      <c r="SKO211" s="2522"/>
      <c r="SKP211" s="2522"/>
      <c r="SKQ211" s="2522"/>
      <c r="SKR211" s="2522"/>
      <c r="SKS211" s="2522"/>
      <c r="SKT211" s="2522"/>
      <c r="SKU211" s="2522"/>
      <c r="SKV211" s="2522"/>
      <c r="SKW211" s="2522"/>
      <c r="SKX211" s="2522"/>
      <c r="SKY211" s="2522"/>
      <c r="SKZ211" s="2522"/>
      <c r="SLA211" s="2522"/>
      <c r="SLB211" s="2522"/>
      <c r="SLC211" s="2522"/>
      <c r="SLD211" s="2522"/>
      <c r="SLE211" s="2522"/>
      <c r="SLF211" s="2522"/>
      <c r="SLG211" s="2522"/>
      <c r="SLH211" s="2522"/>
      <c r="SLI211" s="2522"/>
      <c r="SLJ211" s="2522"/>
      <c r="SLK211" s="2522"/>
      <c r="SLL211" s="2522"/>
      <c r="SLM211" s="2522"/>
      <c r="SLN211" s="2522"/>
      <c r="SLO211" s="2522"/>
      <c r="SLP211" s="2522"/>
      <c r="SLQ211" s="2522"/>
      <c r="SLR211" s="2522"/>
      <c r="SLS211" s="2522"/>
      <c r="SLT211" s="2522"/>
      <c r="SLU211" s="2522"/>
      <c r="SLV211" s="2522"/>
      <c r="SLW211" s="2522"/>
      <c r="SLX211" s="2522"/>
      <c r="SLY211" s="2522"/>
      <c r="SLZ211" s="2522"/>
      <c r="SMA211" s="2522"/>
      <c r="SMB211" s="2522"/>
      <c r="SMC211" s="2522"/>
      <c r="SMD211" s="2522"/>
      <c r="SME211" s="2522"/>
      <c r="SMF211" s="2522"/>
      <c r="SMG211" s="2522"/>
      <c r="SMH211" s="2522"/>
      <c r="SMI211" s="2522"/>
      <c r="SMJ211" s="2522"/>
      <c r="SMK211" s="2522"/>
      <c r="SML211" s="2522"/>
      <c r="SMM211" s="2522"/>
      <c r="SMN211" s="2522"/>
      <c r="SMO211" s="2522"/>
      <c r="SMP211" s="2522"/>
      <c r="SMQ211" s="2522"/>
      <c r="SMR211" s="2522"/>
      <c r="SMS211" s="2522"/>
      <c r="SMT211" s="2522"/>
      <c r="SMU211" s="2522"/>
      <c r="SMV211" s="2522"/>
      <c r="SMW211" s="2522"/>
      <c r="SMX211" s="2522"/>
      <c r="SMY211" s="2522"/>
      <c r="SMZ211" s="2522"/>
      <c r="SNA211" s="2522"/>
      <c r="SNB211" s="2522"/>
      <c r="SNC211" s="2522"/>
      <c r="SND211" s="2522"/>
      <c r="SNE211" s="2522"/>
      <c r="SNF211" s="2522"/>
      <c r="SNG211" s="2522"/>
      <c r="SNH211" s="2522"/>
      <c r="SNI211" s="2522"/>
      <c r="SNJ211" s="2522"/>
      <c r="SNK211" s="2522"/>
      <c r="SNL211" s="2522"/>
      <c r="SNM211" s="2522"/>
      <c r="SNN211" s="2522"/>
      <c r="SNO211" s="2522"/>
      <c r="SNP211" s="2522"/>
      <c r="SNQ211" s="2522"/>
      <c r="SNR211" s="2522"/>
      <c r="SNS211" s="2522"/>
      <c r="SNT211" s="2522"/>
      <c r="SNU211" s="2522"/>
      <c r="SNV211" s="2522"/>
      <c r="SNW211" s="2522"/>
      <c r="SNX211" s="2522"/>
      <c r="SNY211" s="2522"/>
      <c r="SNZ211" s="2522"/>
      <c r="SOA211" s="2522"/>
      <c r="SOB211" s="2522"/>
      <c r="SOC211" s="2522"/>
      <c r="SOD211" s="2522"/>
      <c r="SOE211" s="2522"/>
      <c r="SOF211" s="2522"/>
      <c r="SOG211" s="2522"/>
      <c r="SOH211" s="2522"/>
      <c r="SOI211" s="2522"/>
      <c r="SOJ211" s="2522"/>
      <c r="SOK211" s="2522"/>
      <c r="SOL211" s="2522"/>
      <c r="SOM211" s="2522"/>
      <c r="SON211" s="2522"/>
      <c r="SOO211" s="2522"/>
      <c r="SOP211" s="2522"/>
      <c r="SOQ211" s="2522"/>
      <c r="SOR211" s="2522"/>
      <c r="SOS211" s="2522"/>
      <c r="SOT211" s="2522"/>
      <c r="SOU211" s="2522"/>
      <c r="SOV211" s="2522"/>
      <c r="SOW211" s="2522"/>
      <c r="SOX211" s="2522"/>
      <c r="SOY211" s="2522"/>
      <c r="SOZ211" s="2522"/>
      <c r="SPA211" s="2522"/>
      <c r="SPB211" s="2522"/>
      <c r="SPC211" s="2522"/>
      <c r="SPD211" s="2522"/>
      <c r="SPE211" s="2522"/>
      <c r="SPF211" s="2522"/>
      <c r="SPG211" s="2522"/>
      <c r="SPH211" s="2522"/>
      <c r="SPI211" s="2522"/>
      <c r="SPJ211" s="2522"/>
      <c r="SPK211" s="2522"/>
      <c r="SPL211" s="2522"/>
      <c r="SPM211" s="2522"/>
      <c r="SPN211" s="2522"/>
      <c r="SPO211" s="2522"/>
      <c r="SPP211" s="2522"/>
      <c r="SPQ211" s="2522"/>
      <c r="SPR211" s="2522"/>
      <c r="SPS211" s="2522"/>
      <c r="SPT211" s="2522"/>
      <c r="SPU211" s="2522"/>
      <c r="SPV211" s="2522"/>
      <c r="SPW211" s="2522"/>
      <c r="SPX211" s="2522"/>
      <c r="SPY211" s="2522"/>
      <c r="SPZ211" s="2522"/>
      <c r="SQA211" s="2522"/>
      <c r="SQB211" s="2522"/>
      <c r="SQC211" s="2522"/>
      <c r="SQD211" s="2522"/>
      <c r="SQE211" s="2522"/>
      <c r="SQF211" s="2522"/>
      <c r="SQG211" s="2522"/>
      <c r="SQH211" s="2522"/>
      <c r="SQI211" s="2522"/>
      <c r="SQJ211" s="2522"/>
      <c r="SQK211" s="2522"/>
      <c r="SQL211" s="2522"/>
      <c r="SQM211" s="2522"/>
      <c r="SQN211" s="2522"/>
      <c r="SQO211" s="2522"/>
      <c r="SQP211" s="2522"/>
      <c r="SQQ211" s="2522"/>
      <c r="SQR211" s="2522"/>
      <c r="SQS211" s="2522"/>
      <c r="SQT211" s="2522"/>
      <c r="SQU211" s="2522"/>
      <c r="SQV211" s="2522"/>
      <c r="SQW211" s="2522"/>
      <c r="SQX211" s="2522"/>
      <c r="SQY211" s="2522"/>
      <c r="SQZ211" s="2522"/>
      <c r="SRA211" s="2522"/>
      <c r="SRB211" s="2522"/>
      <c r="SRC211" s="2522"/>
      <c r="SRD211" s="2522"/>
      <c r="SRE211" s="2522"/>
      <c r="SRF211" s="2522"/>
      <c r="SRG211" s="2522"/>
      <c r="SRH211" s="2522"/>
      <c r="SRI211" s="2522"/>
      <c r="SRJ211" s="2522"/>
      <c r="SRK211" s="2522"/>
      <c r="SRL211" s="2522"/>
      <c r="SRM211" s="2522"/>
      <c r="SRN211" s="2522"/>
      <c r="SRO211" s="2522"/>
      <c r="SRP211" s="2522"/>
      <c r="SRQ211" s="2522"/>
      <c r="SRR211" s="2522"/>
      <c r="SRS211" s="2522"/>
      <c r="SRT211" s="2522"/>
      <c r="SRU211" s="2522"/>
      <c r="SRV211" s="2522"/>
      <c r="SRW211" s="2522"/>
      <c r="SRX211" s="2522"/>
      <c r="SRY211" s="2522"/>
      <c r="SRZ211" s="2522"/>
      <c r="SSA211" s="2522"/>
      <c r="SSB211" s="2522"/>
      <c r="SSC211" s="2522"/>
      <c r="SSD211" s="2522"/>
      <c r="SSE211" s="2522"/>
      <c r="SSF211" s="2522"/>
      <c r="SSG211" s="2522"/>
      <c r="SSH211" s="2522"/>
      <c r="SSI211" s="2522"/>
      <c r="SSJ211" s="2522"/>
      <c r="SSK211" s="2522"/>
      <c r="SSL211" s="2522"/>
      <c r="SSM211" s="2522"/>
      <c r="SSN211" s="2522"/>
      <c r="SSO211" s="2522"/>
      <c r="SSP211" s="2522"/>
      <c r="SSQ211" s="2522"/>
      <c r="SSR211" s="2522"/>
      <c r="SSS211" s="2522"/>
      <c r="SST211" s="2522"/>
      <c r="SSU211" s="2522"/>
      <c r="SSV211" s="2522"/>
      <c r="SSW211" s="2522"/>
      <c r="SSX211" s="2522"/>
      <c r="SSY211" s="2522"/>
      <c r="SSZ211" s="2522"/>
      <c r="STA211" s="2522"/>
      <c r="STB211" s="2522"/>
      <c r="STC211" s="2522"/>
      <c r="STD211" s="2522"/>
      <c r="STE211" s="2522"/>
      <c r="STF211" s="2522"/>
      <c r="STG211" s="2522"/>
      <c r="STH211" s="2522"/>
      <c r="STI211" s="2522"/>
      <c r="STJ211" s="2522"/>
      <c r="STK211" s="2522"/>
      <c r="STL211" s="2522"/>
      <c r="STM211" s="2522"/>
      <c r="STN211" s="2522"/>
      <c r="STO211" s="2522"/>
      <c r="STP211" s="2522"/>
      <c r="STQ211" s="2522"/>
      <c r="STR211" s="2522"/>
      <c r="STS211" s="2522"/>
      <c r="STT211" s="2522"/>
      <c r="STU211" s="2522"/>
      <c r="STV211" s="2522"/>
      <c r="STW211" s="2522"/>
      <c r="STX211" s="2522"/>
      <c r="STY211" s="2522"/>
      <c r="STZ211" s="2522"/>
      <c r="SUA211" s="2522"/>
      <c r="SUB211" s="2522"/>
      <c r="SUC211" s="2522"/>
      <c r="SUD211" s="2522"/>
      <c r="SUE211" s="2522"/>
      <c r="SUF211" s="2522"/>
      <c r="SUG211" s="2522"/>
      <c r="SUH211" s="2522"/>
      <c r="SUI211" s="2522"/>
      <c r="SUJ211" s="2522"/>
      <c r="SUK211" s="2522"/>
      <c r="SUL211" s="2522"/>
      <c r="SUM211" s="2522"/>
      <c r="SUN211" s="2522"/>
      <c r="SUO211" s="2522"/>
      <c r="SUP211" s="2522"/>
      <c r="SUQ211" s="2522"/>
      <c r="SUR211" s="2522"/>
      <c r="SUS211" s="2522"/>
      <c r="SUT211" s="2522"/>
      <c r="SUU211" s="2522"/>
      <c r="SUV211" s="2522"/>
      <c r="SUW211" s="2522"/>
      <c r="SUX211" s="2522"/>
      <c r="SUY211" s="2522"/>
      <c r="SUZ211" s="2522"/>
      <c r="SVA211" s="2522"/>
      <c r="SVB211" s="2522"/>
      <c r="SVC211" s="2522"/>
      <c r="SVD211" s="2522"/>
      <c r="SVE211" s="2522"/>
      <c r="SVF211" s="2522"/>
      <c r="SVG211" s="2522"/>
      <c r="SVH211" s="2522"/>
      <c r="SVI211" s="2522"/>
      <c r="SVJ211" s="2522"/>
      <c r="SVK211" s="2522"/>
      <c r="SVL211" s="2522"/>
      <c r="SVM211" s="2522"/>
      <c r="SVN211" s="2522"/>
      <c r="SVO211" s="2522"/>
      <c r="SVP211" s="2522"/>
      <c r="SVQ211" s="2522"/>
      <c r="SVR211" s="2522"/>
      <c r="SVS211" s="2522"/>
      <c r="SVT211" s="2522"/>
      <c r="SVU211" s="2522"/>
      <c r="SVV211" s="2522"/>
      <c r="SVW211" s="2522"/>
      <c r="SVX211" s="2522"/>
      <c r="SVY211" s="2522"/>
      <c r="SVZ211" s="2522"/>
      <c r="SWA211" s="2522"/>
      <c r="SWB211" s="2522"/>
      <c r="SWC211" s="2522"/>
      <c r="SWD211" s="2522"/>
      <c r="SWE211" s="2522"/>
      <c r="SWF211" s="2522"/>
      <c r="SWG211" s="2522"/>
      <c r="SWH211" s="2522"/>
      <c r="SWI211" s="2522"/>
      <c r="SWJ211" s="2522"/>
      <c r="SWK211" s="2522"/>
      <c r="SWL211" s="2522"/>
      <c r="SWM211" s="2522"/>
      <c r="SWN211" s="2522"/>
      <c r="SWO211" s="2522"/>
      <c r="SWP211" s="2522"/>
      <c r="SWQ211" s="2522"/>
      <c r="SWR211" s="2522"/>
      <c r="SWS211" s="2522"/>
      <c r="SWT211" s="2522"/>
      <c r="SWU211" s="2522"/>
      <c r="SWV211" s="2522"/>
      <c r="SWW211" s="2522"/>
      <c r="SWX211" s="2522"/>
      <c r="SWY211" s="2522"/>
      <c r="SWZ211" s="2522"/>
      <c r="SXA211" s="2522"/>
      <c r="SXB211" s="2522"/>
      <c r="SXC211" s="2522"/>
      <c r="SXD211" s="2522"/>
      <c r="SXE211" s="2522"/>
      <c r="SXF211" s="2522"/>
      <c r="SXG211" s="2522"/>
      <c r="SXH211" s="2522"/>
      <c r="SXI211" s="2522"/>
      <c r="SXJ211" s="2522"/>
      <c r="SXK211" s="2522"/>
      <c r="SXL211" s="2522"/>
      <c r="SXM211" s="2522"/>
      <c r="SXN211" s="2522"/>
      <c r="SXO211" s="2522"/>
      <c r="SXP211" s="2522"/>
      <c r="SXQ211" s="2522"/>
      <c r="SXR211" s="2522"/>
      <c r="SXS211" s="2522"/>
      <c r="SXT211" s="2522"/>
      <c r="SXU211" s="2522"/>
      <c r="SXV211" s="2522"/>
      <c r="SXW211" s="2522"/>
      <c r="SXX211" s="2522"/>
      <c r="SXY211" s="2522"/>
      <c r="SXZ211" s="2522"/>
      <c r="SYA211" s="2522"/>
      <c r="SYB211" s="2522"/>
      <c r="SYC211" s="2522"/>
      <c r="SYD211" s="2522"/>
      <c r="SYE211" s="2522"/>
      <c r="SYF211" s="2522"/>
      <c r="SYG211" s="2522"/>
      <c r="SYH211" s="2522"/>
      <c r="SYI211" s="2522"/>
      <c r="SYJ211" s="2522"/>
      <c r="SYK211" s="2522"/>
      <c r="SYL211" s="2522"/>
      <c r="SYM211" s="2522"/>
      <c r="SYN211" s="2522"/>
      <c r="SYO211" s="2522"/>
      <c r="SYP211" s="2522"/>
      <c r="SYQ211" s="2522"/>
      <c r="SYR211" s="2522"/>
      <c r="SYS211" s="2522"/>
      <c r="SYT211" s="2522"/>
      <c r="SYU211" s="2522"/>
      <c r="SYV211" s="2522"/>
      <c r="SYW211" s="2522"/>
      <c r="SYX211" s="2522"/>
      <c r="SYY211" s="2522"/>
      <c r="SYZ211" s="2522"/>
      <c r="SZA211" s="2522"/>
      <c r="SZB211" s="2522"/>
      <c r="SZC211" s="2522"/>
      <c r="SZD211" s="2522"/>
      <c r="SZE211" s="2522"/>
      <c r="SZF211" s="2522"/>
      <c r="SZG211" s="2522"/>
      <c r="SZH211" s="2522"/>
      <c r="SZI211" s="2522"/>
      <c r="SZJ211" s="2522"/>
      <c r="SZK211" s="2522"/>
      <c r="SZL211" s="2522"/>
      <c r="SZM211" s="2522"/>
      <c r="SZN211" s="2522"/>
      <c r="SZO211" s="2522"/>
      <c r="SZP211" s="2522"/>
      <c r="SZQ211" s="2522"/>
      <c r="SZR211" s="2522"/>
      <c r="SZS211" s="2522"/>
      <c r="SZT211" s="2522"/>
      <c r="SZU211" s="2522"/>
      <c r="SZV211" s="2522"/>
      <c r="SZW211" s="2522"/>
      <c r="SZX211" s="2522"/>
      <c r="SZY211" s="2522"/>
      <c r="SZZ211" s="2522"/>
      <c r="TAA211" s="2522"/>
      <c r="TAB211" s="2522"/>
      <c r="TAC211" s="2522"/>
      <c r="TAD211" s="2522"/>
      <c r="TAE211" s="2522"/>
      <c r="TAF211" s="2522"/>
      <c r="TAG211" s="2522"/>
      <c r="TAH211" s="2522"/>
      <c r="TAI211" s="2522"/>
      <c r="TAJ211" s="2522"/>
      <c r="TAK211" s="2522"/>
      <c r="TAL211" s="2522"/>
      <c r="TAM211" s="2522"/>
      <c r="TAN211" s="2522"/>
      <c r="TAO211" s="2522"/>
      <c r="TAP211" s="2522"/>
      <c r="TAQ211" s="2522"/>
      <c r="TAR211" s="2522"/>
      <c r="TAS211" s="2522"/>
      <c r="TAT211" s="2522"/>
      <c r="TAU211" s="2522"/>
      <c r="TAV211" s="2522"/>
      <c r="TAW211" s="2522"/>
      <c r="TAX211" s="2522"/>
      <c r="TAY211" s="2522"/>
      <c r="TAZ211" s="2522"/>
      <c r="TBA211" s="2522"/>
      <c r="TBB211" s="2522"/>
      <c r="TBC211" s="2522"/>
      <c r="TBD211" s="2522"/>
      <c r="TBE211" s="2522"/>
      <c r="TBF211" s="2522"/>
      <c r="TBG211" s="2522"/>
      <c r="TBH211" s="2522"/>
      <c r="TBI211" s="2522"/>
      <c r="TBJ211" s="2522"/>
      <c r="TBK211" s="2522"/>
      <c r="TBL211" s="2522"/>
      <c r="TBM211" s="2522"/>
      <c r="TBN211" s="2522"/>
      <c r="TBO211" s="2522"/>
      <c r="TBP211" s="2522"/>
      <c r="TBQ211" s="2522"/>
      <c r="TBR211" s="2522"/>
      <c r="TBS211" s="2522"/>
      <c r="TBT211" s="2522"/>
      <c r="TBU211" s="2522"/>
      <c r="TBV211" s="2522"/>
      <c r="TBW211" s="2522"/>
      <c r="TBX211" s="2522"/>
      <c r="TBY211" s="2522"/>
      <c r="TBZ211" s="2522"/>
      <c r="TCA211" s="2522"/>
      <c r="TCB211" s="2522"/>
      <c r="TCC211" s="2522"/>
      <c r="TCD211" s="2522"/>
      <c r="TCE211" s="2522"/>
      <c r="TCF211" s="2522"/>
      <c r="TCG211" s="2522"/>
      <c r="TCH211" s="2522"/>
      <c r="TCI211" s="2522"/>
      <c r="TCJ211" s="2522"/>
      <c r="TCK211" s="2522"/>
      <c r="TCL211" s="2522"/>
      <c r="TCM211" s="2522"/>
      <c r="TCN211" s="2522"/>
      <c r="TCO211" s="2522"/>
      <c r="TCP211" s="2522"/>
      <c r="TCQ211" s="2522"/>
      <c r="TCR211" s="2522"/>
      <c r="TCS211" s="2522"/>
      <c r="TCT211" s="2522"/>
      <c r="TCU211" s="2522"/>
      <c r="TCV211" s="2522"/>
      <c r="TCW211" s="2522"/>
      <c r="TCX211" s="2522"/>
      <c r="TCY211" s="2522"/>
      <c r="TCZ211" s="2522"/>
      <c r="TDA211" s="2522"/>
      <c r="TDB211" s="2522"/>
      <c r="TDC211" s="2522"/>
      <c r="TDD211" s="2522"/>
      <c r="TDE211" s="2522"/>
      <c r="TDF211" s="2522"/>
      <c r="TDG211" s="2522"/>
      <c r="TDH211" s="2522"/>
      <c r="TDI211" s="2522"/>
      <c r="TDJ211" s="2522"/>
      <c r="TDK211" s="2522"/>
      <c r="TDL211" s="2522"/>
      <c r="TDM211" s="2522"/>
      <c r="TDN211" s="2522"/>
      <c r="TDO211" s="2522"/>
      <c r="TDP211" s="2522"/>
      <c r="TDQ211" s="2522"/>
      <c r="TDR211" s="2522"/>
      <c r="TDS211" s="2522"/>
      <c r="TDT211" s="2522"/>
      <c r="TDU211" s="2522"/>
      <c r="TDV211" s="2522"/>
      <c r="TDW211" s="2522"/>
      <c r="TDX211" s="2522"/>
      <c r="TDY211" s="2522"/>
      <c r="TDZ211" s="2522"/>
      <c r="TEA211" s="2522"/>
      <c r="TEB211" s="2522"/>
      <c r="TEC211" s="2522"/>
      <c r="TED211" s="2522"/>
      <c r="TEE211" s="2522"/>
      <c r="TEF211" s="2522"/>
      <c r="TEG211" s="2522"/>
      <c r="TEH211" s="2522"/>
      <c r="TEI211" s="2522"/>
      <c r="TEJ211" s="2522"/>
      <c r="TEK211" s="2522"/>
      <c r="TEL211" s="2522"/>
      <c r="TEM211" s="2522"/>
      <c r="TEN211" s="2522"/>
      <c r="TEO211" s="2522"/>
      <c r="TEP211" s="2522"/>
      <c r="TEQ211" s="2522"/>
      <c r="TER211" s="2522"/>
      <c r="TES211" s="2522"/>
      <c r="TET211" s="2522"/>
      <c r="TEU211" s="2522"/>
      <c r="TEV211" s="2522"/>
      <c r="TEW211" s="2522"/>
      <c r="TEX211" s="2522"/>
      <c r="TEY211" s="2522"/>
      <c r="TEZ211" s="2522"/>
      <c r="TFA211" s="2522"/>
      <c r="TFB211" s="2522"/>
      <c r="TFC211" s="2522"/>
      <c r="TFD211" s="2522"/>
      <c r="TFE211" s="2522"/>
      <c r="TFF211" s="2522"/>
      <c r="TFG211" s="2522"/>
      <c r="TFH211" s="2522"/>
      <c r="TFI211" s="2522"/>
      <c r="TFJ211" s="2522"/>
      <c r="TFK211" s="2522"/>
      <c r="TFL211" s="2522"/>
      <c r="TFM211" s="2522"/>
      <c r="TFN211" s="2522"/>
      <c r="TFO211" s="2522"/>
      <c r="TFP211" s="2522"/>
      <c r="TFQ211" s="2522"/>
      <c r="TFR211" s="2522"/>
      <c r="TFS211" s="2522"/>
      <c r="TFT211" s="2522"/>
      <c r="TFU211" s="2522"/>
      <c r="TFV211" s="2522"/>
      <c r="TFW211" s="2522"/>
      <c r="TFX211" s="2522"/>
      <c r="TFY211" s="2522"/>
      <c r="TFZ211" s="2522"/>
      <c r="TGA211" s="2522"/>
      <c r="TGB211" s="2522"/>
      <c r="TGC211" s="2522"/>
      <c r="TGD211" s="2522"/>
      <c r="TGE211" s="2522"/>
      <c r="TGF211" s="2522"/>
      <c r="TGG211" s="2522"/>
      <c r="TGH211" s="2522"/>
      <c r="TGI211" s="2522"/>
      <c r="TGJ211" s="2522"/>
      <c r="TGK211" s="2522"/>
      <c r="TGL211" s="2522"/>
      <c r="TGM211" s="2522"/>
      <c r="TGN211" s="2522"/>
      <c r="TGO211" s="2522"/>
      <c r="TGP211" s="2522"/>
      <c r="TGQ211" s="2522"/>
      <c r="TGR211" s="2522"/>
      <c r="TGS211" s="2522"/>
      <c r="TGT211" s="2522"/>
      <c r="TGU211" s="2522"/>
      <c r="TGV211" s="2522"/>
      <c r="TGW211" s="2522"/>
      <c r="TGX211" s="2522"/>
      <c r="TGY211" s="2522"/>
      <c r="TGZ211" s="2522"/>
      <c r="THA211" s="2522"/>
      <c r="THB211" s="2522"/>
      <c r="THC211" s="2522"/>
      <c r="THD211" s="2522"/>
      <c r="THE211" s="2522"/>
      <c r="THF211" s="2522"/>
      <c r="THG211" s="2522"/>
      <c r="THH211" s="2522"/>
      <c r="THI211" s="2522"/>
      <c r="THJ211" s="2522"/>
      <c r="THK211" s="2522"/>
      <c r="THL211" s="2522"/>
      <c r="THM211" s="2522"/>
      <c r="THN211" s="2522"/>
      <c r="THO211" s="2522"/>
      <c r="THP211" s="2522"/>
      <c r="THQ211" s="2522"/>
      <c r="THR211" s="2522"/>
      <c r="THS211" s="2522"/>
      <c r="THT211" s="2522"/>
      <c r="THU211" s="2522"/>
      <c r="THV211" s="2522"/>
      <c r="THW211" s="2522"/>
      <c r="THX211" s="2522"/>
      <c r="THY211" s="2522"/>
      <c r="THZ211" s="2522"/>
      <c r="TIA211" s="2522"/>
      <c r="TIB211" s="2522"/>
      <c r="TIC211" s="2522"/>
      <c r="TID211" s="2522"/>
      <c r="TIE211" s="2522"/>
      <c r="TIF211" s="2522"/>
      <c r="TIG211" s="2522"/>
      <c r="TIH211" s="2522"/>
      <c r="TII211" s="2522"/>
      <c r="TIJ211" s="2522"/>
      <c r="TIK211" s="2522"/>
      <c r="TIL211" s="2522"/>
      <c r="TIM211" s="2522"/>
      <c r="TIN211" s="2522"/>
      <c r="TIO211" s="2522"/>
      <c r="TIP211" s="2522"/>
      <c r="TIQ211" s="2522"/>
      <c r="TIR211" s="2522"/>
      <c r="TIS211" s="2522"/>
      <c r="TIT211" s="2522"/>
      <c r="TIU211" s="2522"/>
      <c r="TIV211" s="2522"/>
      <c r="TIW211" s="2522"/>
      <c r="TIX211" s="2522"/>
      <c r="TIY211" s="2522"/>
      <c r="TIZ211" s="2522"/>
      <c r="TJA211" s="2522"/>
      <c r="TJB211" s="2522"/>
      <c r="TJC211" s="2522"/>
      <c r="TJD211" s="2522"/>
      <c r="TJE211" s="2522"/>
      <c r="TJF211" s="2522"/>
      <c r="TJG211" s="2522"/>
      <c r="TJH211" s="2522"/>
      <c r="TJI211" s="2522"/>
      <c r="TJJ211" s="2522"/>
      <c r="TJK211" s="2522"/>
      <c r="TJL211" s="2522"/>
      <c r="TJM211" s="2522"/>
      <c r="TJN211" s="2522"/>
      <c r="TJO211" s="2522"/>
      <c r="TJP211" s="2522"/>
      <c r="TJQ211" s="2522"/>
      <c r="TJR211" s="2522"/>
      <c r="TJS211" s="2522"/>
      <c r="TJT211" s="2522"/>
      <c r="TJU211" s="2522"/>
      <c r="TJV211" s="2522"/>
      <c r="TJW211" s="2522"/>
      <c r="TJX211" s="2522"/>
      <c r="TJY211" s="2522"/>
      <c r="TJZ211" s="2522"/>
      <c r="TKA211" s="2522"/>
      <c r="TKB211" s="2522"/>
      <c r="TKC211" s="2522"/>
      <c r="TKD211" s="2522"/>
      <c r="TKE211" s="2522"/>
      <c r="TKF211" s="2522"/>
      <c r="TKG211" s="2522"/>
      <c r="TKH211" s="2522"/>
      <c r="TKI211" s="2522"/>
      <c r="TKJ211" s="2522"/>
      <c r="TKK211" s="2522"/>
      <c r="TKL211" s="2522"/>
      <c r="TKM211" s="2522"/>
      <c r="TKN211" s="2522"/>
      <c r="TKO211" s="2522"/>
      <c r="TKP211" s="2522"/>
      <c r="TKQ211" s="2522"/>
      <c r="TKR211" s="2522"/>
      <c r="TKS211" s="2522"/>
      <c r="TKT211" s="2522"/>
      <c r="TKU211" s="2522"/>
      <c r="TKV211" s="2522"/>
      <c r="TKW211" s="2522"/>
      <c r="TKX211" s="2522"/>
      <c r="TKY211" s="2522"/>
      <c r="TKZ211" s="2522"/>
      <c r="TLA211" s="2522"/>
      <c r="TLB211" s="2522"/>
      <c r="TLC211" s="2522"/>
      <c r="TLD211" s="2522"/>
      <c r="TLE211" s="2522"/>
      <c r="TLF211" s="2522"/>
      <c r="TLG211" s="2522"/>
      <c r="TLH211" s="2522"/>
      <c r="TLI211" s="2522"/>
      <c r="TLJ211" s="2522"/>
      <c r="TLK211" s="2522"/>
      <c r="TLL211" s="2522"/>
      <c r="TLM211" s="2522"/>
      <c r="TLN211" s="2522"/>
      <c r="TLO211" s="2522"/>
      <c r="TLP211" s="2522"/>
      <c r="TLQ211" s="2522"/>
      <c r="TLR211" s="2522"/>
      <c r="TLS211" s="2522"/>
      <c r="TLT211" s="2522"/>
      <c r="TLU211" s="2522"/>
      <c r="TLV211" s="2522"/>
      <c r="TLW211" s="2522"/>
      <c r="TLX211" s="2522"/>
      <c r="TLY211" s="2522"/>
      <c r="TLZ211" s="2522"/>
      <c r="TMA211" s="2522"/>
      <c r="TMB211" s="2522"/>
      <c r="TMC211" s="2522"/>
      <c r="TMD211" s="2522"/>
      <c r="TME211" s="2522"/>
      <c r="TMF211" s="2522"/>
      <c r="TMG211" s="2522"/>
      <c r="TMH211" s="2522"/>
      <c r="TMI211" s="2522"/>
      <c r="TMJ211" s="2522"/>
      <c r="TMK211" s="2522"/>
      <c r="TML211" s="2522"/>
      <c r="TMM211" s="2522"/>
      <c r="TMN211" s="2522"/>
      <c r="TMO211" s="2522"/>
      <c r="TMP211" s="2522"/>
      <c r="TMQ211" s="2522"/>
      <c r="TMR211" s="2522"/>
      <c r="TMS211" s="2522"/>
      <c r="TMT211" s="2522"/>
      <c r="TMU211" s="2522"/>
      <c r="TMV211" s="2522"/>
      <c r="TMW211" s="2522"/>
      <c r="TMX211" s="2522"/>
      <c r="TMY211" s="2522"/>
      <c r="TMZ211" s="2522"/>
      <c r="TNA211" s="2522"/>
      <c r="TNB211" s="2522"/>
      <c r="TNC211" s="2522"/>
      <c r="TND211" s="2522"/>
      <c r="TNE211" s="2522"/>
      <c r="TNF211" s="2522"/>
      <c r="TNG211" s="2522"/>
      <c r="TNH211" s="2522"/>
      <c r="TNI211" s="2522"/>
      <c r="TNJ211" s="2522"/>
      <c r="TNK211" s="2522"/>
      <c r="TNL211" s="2522"/>
      <c r="TNM211" s="2522"/>
      <c r="TNN211" s="2522"/>
      <c r="TNO211" s="2522"/>
      <c r="TNP211" s="2522"/>
      <c r="TNQ211" s="2522"/>
      <c r="TNR211" s="2522"/>
      <c r="TNS211" s="2522"/>
      <c r="TNT211" s="2522"/>
      <c r="TNU211" s="2522"/>
      <c r="TNV211" s="2522"/>
      <c r="TNW211" s="2522"/>
      <c r="TNX211" s="2522"/>
      <c r="TNY211" s="2522"/>
      <c r="TNZ211" s="2522"/>
      <c r="TOA211" s="2522"/>
      <c r="TOB211" s="2522"/>
      <c r="TOC211" s="2522"/>
      <c r="TOD211" s="2522"/>
      <c r="TOE211" s="2522"/>
      <c r="TOF211" s="2522"/>
      <c r="TOG211" s="2522"/>
      <c r="TOH211" s="2522"/>
      <c r="TOI211" s="2522"/>
      <c r="TOJ211" s="2522"/>
      <c r="TOK211" s="2522"/>
      <c r="TOL211" s="2522"/>
      <c r="TOM211" s="2522"/>
      <c r="TON211" s="2522"/>
      <c r="TOO211" s="2522"/>
      <c r="TOP211" s="2522"/>
      <c r="TOQ211" s="2522"/>
      <c r="TOR211" s="2522"/>
      <c r="TOS211" s="2522"/>
      <c r="TOT211" s="2522"/>
      <c r="TOU211" s="2522"/>
      <c r="TOV211" s="2522"/>
      <c r="TOW211" s="2522"/>
      <c r="TOX211" s="2522"/>
      <c r="TOY211" s="2522"/>
      <c r="TOZ211" s="2522"/>
      <c r="TPA211" s="2522"/>
      <c r="TPB211" s="2522"/>
      <c r="TPC211" s="2522"/>
      <c r="TPD211" s="2522"/>
      <c r="TPE211" s="2522"/>
      <c r="TPF211" s="2522"/>
      <c r="TPG211" s="2522"/>
      <c r="TPH211" s="2522"/>
      <c r="TPI211" s="2522"/>
      <c r="TPJ211" s="2522"/>
      <c r="TPK211" s="2522"/>
      <c r="TPL211" s="2522"/>
      <c r="TPM211" s="2522"/>
      <c r="TPN211" s="2522"/>
      <c r="TPO211" s="2522"/>
      <c r="TPP211" s="2522"/>
      <c r="TPQ211" s="2522"/>
      <c r="TPR211" s="2522"/>
      <c r="TPS211" s="2522"/>
      <c r="TPT211" s="2522"/>
      <c r="TPU211" s="2522"/>
      <c r="TPV211" s="2522"/>
      <c r="TPW211" s="2522"/>
      <c r="TPX211" s="2522"/>
      <c r="TPY211" s="2522"/>
      <c r="TPZ211" s="2522"/>
      <c r="TQA211" s="2522"/>
      <c r="TQB211" s="2522"/>
      <c r="TQC211" s="2522"/>
      <c r="TQD211" s="2522"/>
      <c r="TQE211" s="2522"/>
      <c r="TQF211" s="2522"/>
      <c r="TQG211" s="2522"/>
      <c r="TQH211" s="2522"/>
      <c r="TQI211" s="2522"/>
      <c r="TQJ211" s="2522"/>
      <c r="TQK211" s="2522"/>
      <c r="TQL211" s="2522"/>
      <c r="TQM211" s="2522"/>
      <c r="TQN211" s="2522"/>
      <c r="TQO211" s="2522"/>
      <c r="TQP211" s="2522"/>
      <c r="TQQ211" s="2522"/>
      <c r="TQR211" s="2522"/>
      <c r="TQS211" s="2522"/>
      <c r="TQT211" s="2522"/>
      <c r="TQU211" s="2522"/>
      <c r="TQV211" s="2522"/>
      <c r="TQW211" s="2522"/>
      <c r="TQX211" s="2522"/>
      <c r="TQY211" s="2522"/>
      <c r="TQZ211" s="2522"/>
      <c r="TRA211" s="2522"/>
      <c r="TRB211" s="2522"/>
      <c r="TRC211" s="2522"/>
      <c r="TRD211" s="2522"/>
      <c r="TRE211" s="2522"/>
      <c r="TRF211" s="2522"/>
      <c r="TRG211" s="2522"/>
      <c r="TRH211" s="2522"/>
      <c r="TRI211" s="2522"/>
      <c r="TRJ211" s="2522"/>
      <c r="TRK211" s="2522"/>
      <c r="TRL211" s="2522"/>
      <c r="TRM211" s="2522"/>
      <c r="TRN211" s="2522"/>
      <c r="TRO211" s="2522"/>
      <c r="TRP211" s="2522"/>
      <c r="TRQ211" s="2522"/>
      <c r="TRR211" s="2522"/>
      <c r="TRS211" s="2522"/>
      <c r="TRT211" s="2522"/>
      <c r="TRU211" s="2522"/>
      <c r="TRV211" s="2522"/>
      <c r="TRW211" s="2522"/>
      <c r="TRX211" s="2522"/>
      <c r="TRY211" s="2522"/>
      <c r="TRZ211" s="2522"/>
      <c r="TSA211" s="2522"/>
      <c r="TSB211" s="2522"/>
      <c r="TSC211" s="2522"/>
      <c r="TSD211" s="2522"/>
      <c r="TSE211" s="2522"/>
      <c r="TSF211" s="2522"/>
      <c r="TSG211" s="2522"/>
      <c r="TSH211" s="2522"/>
      <c r="TSI211" s="2522"/>
      <c r="TSJ211" s="2522"/>
      <c r="TSK211" s="2522"/>
      <c r="TSL211" s="2522"/>
      <c r="TSM211" s="2522"/>
      <c r="TSN211" s="2522"/>
      <c r="TSO211" s="2522"/>
      <c r="TSP211" s="2522"/>
      <c r="TSQ211" s="2522"/>
      <c r="TSR211" s="2522"/>
      <c r="TSS211" s="2522"/>
      <c r="TST211" s="2522"/>
      <c r="TSU211" s="2522"/>
      <c r="TSV211" s="2522"/>
      <c r="TSW211" s="2522"/>
      <c r="TSX211" s="2522"/>
      <c r="TSY211" s="2522"/>
      <c r="TSZ211" s="2522"/>
      <c r="TTA211" s="2522"/>
      <c r="TTB211" s="2522"/>
      <c r="TTC211" s="2522"/>
      <c r="TTD211" s="2522"/>
      <c r="TTE211" s="2522"/>
      <c r="TTF211" s="2522"/>
      <c r="TTG211" s="2522"/>
      <c r="TTH211" s="2522"/>
      <c r="TTI211" s="2522"/>
      <c r="TTJ211" s="2522"/>
      <c r="TTK211" s="2522"/>
      <c r="TTL211" s="2522"/>
      <c r="TTM211" s="2522"/>
      <c r="TTN211" s="2522"/>
      <c r="TTO211" s="2522"/>
      <c r="TTP211" s="2522"/>
      <c r="TTQ211" s="2522"/>
      <c r="TTR211" s="2522"/>
      <c r="TTS211" s="2522"/>
      <c r="TTT211" s="2522"/>
      <c r="TTU211" s="2522"/>
      <c r="TTV211" s="2522"/>
      <c r="TTW211" s="2522"/>
      <c r="TTX211" s="2522"/>
      <c r="TTY211" s="2522"/>
      <c r="TTZ211" s="2522"/>
      <c r="TUA211" s="2522"/>
      <c r="TUB211" s="2522"/>
      <c r="TUC211" s="2522"/>
      <c r="TUD211" s="2522"/>
      <c r="TUE211" s="2522"/>
      <c r="TUF211" s="2522"/>
      <c r="TUG211" s="2522"/>
      <c r="TUH211" s="2522"/>
      <c r="TUI211" s="2522"/>
      <c r="TUJ211" s="2522"/>
      <c r="TUK211" s="2522"/>
      <c r="TUL211" s="2522"/>
      <c r="TUM211" s="2522"/>
      <c r="TUN211" s="2522"/>
      <c r="TUO211" s="2522"/>
      <c r="TUP211" s="2522"/>
      <c r="TUQ211" s="2522"/>
      <c r="TUR211" s="2522"/>
      <c r="TUS211" s="2522"/>
      <c r="TUT211" s="2522"/>
      <c r="TUU211" s="2522"/>
      <c r="TUV211" s="2522"/>
      <c r="TUW211" s="2522"/>
      <c r="TUX211" s="2522"/>
      <c r="TUY211" s="2522"/>
      <c r="TUZ211" s="2522"/>
      <c r="TVA211" s="2522"/>
      <c r="TVB211" s="2522"/>
      <c r="TVC211" s="2522"/>
      <c r="TVD211" s="2522"/>
      <c r="TVE211" s="2522"/>
      <c r="TVF211" s="2522"/>
      <c r="TVG211" s="2522"/>
      <c r="TVH211" s="2522"/>
      <c r="TVI211" s="2522"/>
      <c r="TVJ211" s="2522"/>
      <c r="TVK211" s="2522"/>
      <c r="TVL211" s="2522"/>
      <c r="TVM211" s="2522"/>
      <c r="TVN211" s="2522"/>
      <c r="TVO211" s="2522"/>
      <c r="TVP211" s="2522"/>
      <c r="TVQ211" s="2522"/>
      <c r="TVR211" s="2522"/>
      <c r="TVS211" s="2522"/>
      <c r="TVT211" s="2522"/>
      <c r="TVU211" s="2522"/>
      <c r="TVV211" s="2522"/>
      <c r="TVW211" s="2522"/>
      <c r="TVX211" s="2522"/>
      <c r="TVY211" s="2522"/>
      <c r="TVZ211" s="2522"/>
      <c r="TWA211" s="2522"/>
      <c r="TWB211" s="2522"/>
      <c r="TWC211" s="2522"/>
      <c r="TWD211" s="2522"/>
      <c r="TWE211" s="2522"/>
      <c r="TWF211" s="2522"/>
      <c r="TWG211" s="2522"/>
      <c r="TWH211" s="2522"/>
      <c r="TWI211" s="2522"/>
      <c r="TWJ211" s="2522"/>
      <c r="TWK211" s="2522"/>
      <c r="TWL211" s="2522"/>
      <c r="TWM211" s="2522"/>
      <c r="TWN211" s="2522"/>
      <c r="TWO211" s="2522"/>
      <c r="TWP211" s="2522"/>
      <c r="TWQ211" s="2522"/>
      <c r="TWR211" s="2522"/>
      <c r="TWS211" s="2522"/>
      <c r="TWT211" s="2522"/>
      <c r="TWU211" s="2522"/>
      <c r="TWV211" s="2522"/>
      <c r="TWW211" s="2522"/>
      <c r="TWX211" s="2522"/>
      <c r="TWY211" s="2522"/>
      <c r="TWZ211" s="2522"/>
      <c r="TXA211" s="2522"/>
      <c r="TXB211" s="2522"/>
      <c r="TXC211" s="2522"/>
      <c r="TXD211" s="2522"/>
      <c r="TXE211" s="2522"/>
      <c r="TXF211" s="2522"/>
      <c r="TXG211" s="2522"/>
      <c r="TXH211" s="2522"/>
      <c r="TXI211" s="2522"/>
      <c r="TXJ211" s="2522"/>
      <c r="TXK211" s="2522"/>
      <c r="TXL211" s="2522"/>
      <c r="TXM211" s="2522"/>
      <c r="TXN211" s="2522"/>
      <c r="TXO211" s="2522"/>
      <c r="TXP211" s="2522"/>
      <c r="TXQ211" s="2522"/>
      <c r="TXR211" s="2522"/>
      <c r="TXS211" s="2522"/>
      <c r="TXT211" s="2522"/>
      <c r="TXU211" s="2522"/>
      <c r="TXV211" s="2522"/>
      <c r="TXW211" s="2522"/>
      <c r="TXX211" s="2522"/>
      <c r="TXY211" s="2522"/>
      <c r="TXZ211" s="2522"/>
      <c r="TYA211" s="2522"/>
      <c r="TYB211" s="2522"/>
      <c r="TYC211" s="2522"/>
      <c r="TYD211" s="2522"/>
      <c r="TYE211" s="2522"/>
      <c r="TYF211" s="2522"/>
      <c r="TYG211" s="2522"/>
      <c r="TYH211" s="2522"/>
      <c r="TYI211" s="2522"/>
      <c r="TYJ211" s="2522"/>
      <c r="TYK211" s="2522"/>
      <c r="TYL211" s="2522"/>
      <c r="TYM211" s="2522"/>
      <c r="TYN211" s="2522"/>
      <c r="TYO211" s="2522"/>
      <c r="TYP211" s="2522"/>
      <c r="TYQ211" s="2522"/>
      <c r="TYR211" s="2522"/>
      <c r="TYS211" s="2522"/>
      <c r="TYT211" s="2522"/>
      <c r="TYU211" s="2522"/>
      <c r="TYV211" s="2522"/>
      <c r="TYW211" s="2522"/>
      <c r="TYX211" s="2522"/>
      <c r="TYY211" s="2522"/>
      <c r="TYZ211" s="2522"/>
      <c r="TZA211" s="2522"/>
      <c r="TZB211" s="2522"/>
      <c r="TZC211" s="2522"/>
      <c r="TZD211" s="2522"/>
      <c r="TZE211" s="2522"/>
      <c r="TZF211" s="2522"/>
      <c r="TZG211" s="2522"/>
      <c r="TZH211" s="2522"/>
      <c r="TZI211" s="2522"/>
      <c r="TZJ211" s="2522"/>
      <c r="TZK211" s="2522"/>
      <c r="TZL211" s="2522"/>
      <c r="TZM211" s="2522"/>
      <c r="TZN211" s="2522"/>
      <c r="TZO211" s="2522"/>
      <c r="TZP211" s="2522"/>
      <c r="TZQ211" s="2522"/>
      <c r="TZR211" s="2522"/>
      <c r="TZS211" s="2522"/>
      <c r="TZT211" s="2522"/>
      <c r="TZU211" s="2522"/>
      <c r="TZV211" s="2522"/>
      <c r="TZW211" s="2522"/>
      <c r="TZX211" s="2522"/>
      <c r="TZY211" s="2522"/>
      <c r="TZZ211" s="2522"/>
      <c r="UAA211" s="2522"/>
      <c r="UAB211" s="2522"/>
      <c r="UAC211" s="2522"/>
      <c r="UAD211" s="2522"/>
      <c r="UAE211" s="2522"/>
      <c r="UAF211" s="2522"/>
      <c r="UAG211" s="2522"/>
      <c r="UAH211" s="2522"/>
      <c r="UAI211" s="2522"/>
      <c r="UAJ211" s="2522"/>
      <c r="UAK211" s="2522"/>
      <c r="UAL211" s="2522"/>
      <c r="UAM211" s="2522"/>
      <c r="UAN211" s="2522"/>
      <c r="UAO211" s="2522"/>
      <c r="UAP211" s="2522"/>
      <c r="UAQ211" s="2522"/>
      <c r="UAR211" s="2522"/>
      <c r="UAS211" s="2522"/>
      <c r="UAT211" s="2522"/>
      <c r="UAU211" s="2522"/>
      <c r="UAV211" s="2522"/>
      <c r="UAW211" s="2522"/>
      <c r="UAX211" s="2522"/>
      <c r="UAY211" s="2522"/>
      <c r="UAZ211" s="2522"/>
      <c r="UBA211" s="2522"/>
      <c r="UBB211" s="2522"/>
      <c r="UBC211" s="2522"/>
      <c r="UBD211" s="2522"/>
      <c r="UBE211" s="2522"/>
      <c r="UBF211" s="2522"/>
      <c r="UBG211" s="2522"/>
      <c r="UBH211" s="2522"/>
      <c r="UBI211" s="2522"/>
      <c r="UBJ211" s="2522"/>
      <c r="UBK211" s="2522"/>
      <c r="UBL211" s="2522"/>
      <c r="UBM211" s="2522"/>
      <c r="UBN211" s="2522"/>
      <c r="UBO211" s="2522"/>
      <c r="UBP211" s="2522"/>
      <c r="UBQ211" s="2522"/>
      <c r="UBR211" s="2522"/>
      <c r="UBS211" s="2522"/>
      <c r="UBT211" s="2522"/>
      <c r="UBU211" s="2522"/>
      <c r="UBV211" s="2522"/>
      <c r="UBW211" s="2522"/>
      <c r="UBX211" s="2522"/>
      <c r="UBY211" s="2522"/>
      <c r="UBZ211" s="2522"/>
      <c r="UCA211" s="2522"/>
      <c r="UCB211" s="2522"/>
      <c r="UCC211" s="2522"/>
      <c r="UCD211" s="2522"/>
      <c r="UCE211" s="2522"/>
      <c r="UCF211" s="2522"/>
      <c r="UCG211" s="2522"/>
      <c r="UCH211" s="2522"/>
      <c r="UCI211" s="2522"/>
      <c r="UCJ211" s="2522"/>
      <c r="UCK211" s="2522"/>
      <c r="UCL211" s="2522"/>
      <c r="UCM211" s="2522"/>
      <c r="UCN211" s="2522"/>
      <c r="UCO211" s="2522"/>
      <c r="UCP211" s="2522"/>
      <c r="UCQ211" s="2522"/>
      <c r="UCR211" s="2522"/>
      <c r="UCS211" s="2522"/>
      <c r="UCT211" s="2522"/>
      <c r="UCU211" s="2522"/>
      <c r="UCV211" s="2522"/>
      <c r="UCW211" s="2522"/>
      <c r="UCX211" s="2522"/>
      <c r="UCY211" s="2522"/>
      <c r="UCZ211" s="2522"/>
      <c r="UDA211" s="2522"/>
      <c r="UDB211" s="2522"/>
      <c r="UDC211" s="2522"/>
      <c r="UDD211" s="2522"/>
      <c r="UDE211" s="2522"/>
      <c r="UDF211" s="2522"/>
      <c r="UDG211" s="2522"/>
      <c r="UDH211" s="2522"/>
      <c r="UDI211" s="2522"/>
      <c r="UDJ211" s="2522"/>
      <c r="UDK211" s="2522"/>
      <c r="UDL211" s="2522"/>
      <c r="UDM211" s="2522"/>
      <c r="UDN211" s="2522"/>
      <c r="UDO211" s="2522"/>
      <c r="UDP211" s="2522"/>
      <c r="UDQ211" s="2522"/>
      <c r="UDR211" s="2522"/>
      <c r="UDS211" s="2522"/>
      <c r="UDT211" s="2522"/>
      <c r="UDU211" s="2522"/>
      <c r="UDV211" s="2522"/>
      <c r="UDW211" s="2522"/>
      <c r="UDX211" s="2522"/>
      <c r="UDY211" s="2522"/>
      <c r="UDZ211" s="2522"/>
      <c r="UEA211" s="2522"/>
      <c r="UEB211" s="2522"/>
      <c r="UEC211" s="2522"/>
      <c r="UED211" s="2522"/>
      <c r="UEE211" s="2522"/>
      <c r="UEF211" s="2522"/>
      <c r="UEG211" s="2522"/>
      <c r="UEH211" s="2522"/>
      <c r="UEI211" s="2522"/>
      <c r="UEJ211" s="2522"/>
      <c r="UEK211" s="2522"/>
      <c r="UEL211" s="2522"/>
      <c r="UEM211" s="2522"/>
      <c r="UEN211" s="2522"/>
      <c r="UEO211" s="2522"/>
      <c r="UEP211" s="2522"/>
      <c r="UEQ211" s="2522"/>
      <c r="UER211" s="2522"/>
      <c r="UES211" s="2522"/>
      <c r="UET211" s="2522"/>
      <c r="UEU211" s="2522"/>
      <c r="UEV211" s="2522"/>
      <c r="UEW211" s="2522"/>
      <c r="UEX211" s="2522"/>
      <c r="UEY211" s="2522"/>
      <c r="UEZ211" s="2522"/>
      <c r="UFA211" s="2522"/>
      <c r="UFB211" s="2522"/>
      <c r="UFC211" s="2522"/>
      <c r="UFD211" s="2522"/>
      <c r="UFE211" s="2522"/>
      <c r="UFF211" s="2522"/>
      <c r="UFG211" s="2522"/>
      <c r="UFH211" s="2522"/>
      <c r="UFI211" s="2522"/>
      <c r="UFJ211" s="2522"/>
      <c r="UFK211" s="2522"/>
      <c r="UFL211" s="2522"/>
      <c r="UFM211" s="2522"/>
      <c r="UFN211" s="2522"/>
      <c r="UFO211" s="2522"/>
      <c r="UFP211" s="2522"/>
      <c r="UFQ211" s="2522"/>
      <c r="UFR211" s="2522"/>
      <c r="UFS211" s="2522"/>
      <c r="UFT211" s="2522"/>
      <c r="UFU211" s="2522"/>
      <c r="UFV211" s="2522"/>
      <c r="UFW211" s="2522"/>
      <c r="UFX211" s="2522"/>
      <c r="UFY211" s="2522"/>
      <c r="UFZ211" s="2522"/>
      <c r="UGA211" s="2522"/>
      <c r="UGB211" s="2522"/>
      <c r="UGC211" s="2522"/>
      <c r="UGD211" s="2522"/>
      <c r="UGE211" s="2522"/>
      <c r="UGF211" s="2522"/>
      <c r="UGG211" s="2522"/>
      <c r="UGH211" s="2522"/>
      <c r="UGI211" s="2522"/>
      <c r="UGJ211" s="2522"/>
      <c r="UGK211" s="2522"/>
      <c r="UGL211" s="2522"/>
      <c r="UGM211" s="2522"/>
      <c r="UGN211" s="2522"/>
      <c r="UGO211" s="2522"/>
      <c r="UGP211" s="2522"/>
      <c r="UGQ211" s="2522"/>
      <c r="UGR211" s="2522"/>
      <c r="UGS211" s="2522"/>
      <c r="UGT211" s="2522"/>
      <c r="UGU211" s="2522"/>
      <c r="UGV211" s="2522"/>
      <c r="UGW211" s="2522"/>
      <c r="UGX211" s="2522"/>
      <c r="UGY211" s="2522"/>
      <c r="UGZ211" s="2522"/>
      <c r="UHA211" s="2522"/>
      <c r="UHB211" s="2522"/>
      <c r="UHC211" s="2522"/>
      <c r="UHD211" s="2522"/>
      <c r="UHE211" s="2522"/>
      <c r="UHF211" s="2522"/>
      <c r="UHG211" s="2522"/>
      <c r="UHH211" s="2522"/>
      <c r="UHI211" s="2522"/>
      <c r="UHJ211" s="2522"/>
      <c r="UHK211" s="2522"/>
      <c r="UHL211" s="2522"/>
      <c r="UHM211" s="2522"/>
      <c r="UHN211" s="2522"/>
      <c r="UHO211" s="2522"/>
      <c r="UHP211" s="2522"/>
      <c r="UHQ211" s="2522"/>
      <c r="UHR211" s="2522"/>
      <c r="UHS211" s="2522"/>
      <c r="UHT211" s="2522"/>
      <c r="UHU211" s="2522"/>
      <c r="UHV211" s="2522"/>
      <c r="UHW211" s="2522"/>
      <c r="UHX211" s="2522"/>
      <c r="UHY211" s="2522"/>
      <c r="UHZ211" s="2522"/>
      <c r="UIA211" s="2522"/>
      <c r="UIB211" s="2522"/>
      <c r="UIC211" s="2522"/>
      <c r="UID211" s="2522"/>
      <c r="UIE211" s="2522"/>
      <c r="UIF211" s="2522"/>
      <c r="UIG211" s="2522"/>
      <c r="UIH211" s="2522"/>
      <c r="UII211" s="2522"/>
      <c r="UIJ211" s="2522"/>
      <c r="UIK211" s="2522"/>
      <c r="UIL211" s="2522"/>
      <c r="UIM211" s="2522"/>
      <c r="UIN211" s="2522"/>
      <c r="UIO211" s="2522"/>
      <c r="UIP211" s="2522"/>
      <c r="UIQ211" s="2522"/>
      <c r="UIR211" s="2522"/>
      <c r="UIS211" s="2522"/>
      <c r="UIT211" s="2522"/>
      <c r="UIU211" s="2522"/>
      <c r="UIV211" s="2522"/>
      <c r="UIW211" s="2522"/>
      <c r="UIX211" s="2522"/>
      <c r="UIY211" s="2522"/>
      <c r="UIZ211" s="2522"/>
      <c r="UJA211" s="2522"/>
      <c r="UJB211" s="2522"/>
      <c r="UJC211" s="2522"/>
      <c r="UJD211" s="2522"/>
      <c r="UJE211" s="2522"/>
      <c r="UJF211" s="2522"/>
      <c r="UJG211" s="2522"/>
      <c r="UJH211" s="2522"/>
      <c r="UJI211" s="2522"/>
      <c r="UJJ211" s="2522"/>
      <c r="UJK211" s="2522"/>
      <c r="UJL211" s="2522"/>
      <c r="UJM211" s="2522"/>
      <c r="UJN211" s="2522"/>
      <c r="UJO211" s="2522"/>
      <c r="UJP211" s="2522"/>
      <c r="UJQ211" s="2522"/>
      <c r="UJR211" s="2522"/>
      <c r="UJS211" s="2522"/>
      <c r="UJT211" s="2522"/>
      <c r="UJU211" s="2522"/>
      <c r="UJV211" s="2522"/>
      <c r="UJW211" s="2522"/>
      <c r="UJX211" s="2522"/>
      <c r="UJY211" s="2522"/>
      <c r="UJZ211" s="2522"/>
      <c r="UKA211" s="2522"/>
      <c r="UKB211" s="2522"/>
      <c r="UKC211" s="2522"/>
      <c r="UKD211" s="2522"/>
      <c r="UKE211" s="2522"/>
      <c r="UKF211" s="2522"/>
      <c r="UKG211" s="2522"/>
      <c r="UKH211" s="2522"/>
      <c r="UKI211" s="2522"/>
      <c r="UKJ211" s="2522"/>
      <c r="UKK211" s="2522"/>
      <c r="UKL211" s="2522"/>
      <c r="UKM211" s="2522"/>
      <c r="UKN211" s="2522"/>
      <c r="UKO211" s="2522"/>
      <c r="UKP211" s="2522"/>
      <c r="UKQ211" s="2522"/>
      <c r="UKR211" s="2522"/>
      <c r="UKS211" s="2522"/>
      <c r="UKT211" s="2522"/>
      <c r="UKU211" s="2522"/>
      <c r="UKV211" s="2522"/>
      <c r="UKW211" s="2522"/>
      <c r="UKX211" s="2522"/>
      <c r="UKY211" s="2522"/>
      <c r="UKZ211" s="2522"/>
      <c r="ULA211" s="2522"/>
      <c r="ULB211" s="2522"/>
      <c r="ULC211" s="2522"/>
      <c r="ULD211" s="2522"/>
      <c r="ULE211" s="2522"/>
      <c r="ULF211" s="2522"/>
      <c r="ULG211" s="2522"/>
      <c r="ULH211" s="2522"/>
      <c r="ULI211" s="2522"/>
      <c r="ULJ211" s="2522"/>
      <c r="ULK211" s="2522"/>
      <c r="ULL211" s="2522"/>
      <c r="ULM211" s="2522"/>
      <c r="ULN211" s="2522"/>
      <c r="ULO211" s="2522"/>
      <c r="ULP211" s="2522"/>
      <c r="ULQ211" s="2522"/>
      <c r="ULR211" s="2522"/>
      <c r="ULS211" s="2522"/>
      <c r="ULT211" s="2522"/>
      <c r="ULU211" s="2522"/>
      <c r="ULV211" s="2522"/>
      <c r="ULW211" s="2522"/>
      <c r="ULX211" s="2522"/>
      <c r="ULY211" s="2522"/>
      <c r="ULZ211" s="2522"/>
      <c r="UMA211" s="2522"/>
      <c r="UMB211" s="2522"/>
      <c r="UMC211" s="2522"/>
      <c r="UMD211" s="2522"/>
      <c r="UME211" s="2522"/>
      <c r="UMF211" s="2522"/>
      <c r="UMG211" s="2522"/>
      <c r="UMH211" s="2522"/>
      <c r="UMI211" s="2522"/>
      <c r="UMJ211" s="2522"/>
      <c r="UMK211" s="2522"/>
      <c r="UML211" s="2522"/>
      <c r="UMM211" s="2522"/>
      <c r="UMN211" s="2522"/>
      <c r="UMO211" s="2522"/>
      <c r="UMP211" s="2522"/>
      <c r="UMQ211" s="2522"/>
      <c r="UMR211" s="2522"/>
      <c r="UMS211" s="2522"/>
      <c r="UMT211" s="2522"/>
      <c r="UMU211" s="2522"/>
      <c r="UMV211" s="2522"/>
      <c r="UMW211" s="2522"/>
      <c r="UMX211" s="2522"/>
      <c r="UMY211" s="2522"/>
      <c r="UMZ211" s="2522"/>
      <c r="UNA211" s="2522"/>
      <c r="UNB211" s="2522"/>
      <c r="UNC211" s="2522"/>
      <c r="UND211" s="2522"/>
      <c r="UNE211" s="2522"/>
      <c r="UNF211" s="2522"/>
      <c r="UNG211" s="2522"/>
      <c r="UNH211" s="2522"/>
      <c r="UNI211" s="2522"/>
      <c r="UNJ211" s="2522"/>
      <c r="UNK211" s="2522"/>
      <c r="UNL211" s="2522"/>
      <c r="UNM211" s="2522"/>
      <c r="UNN211" s="2522"/>
      <c r="UNO211" s="2522"/>
      <c r="UNP211" s="2522"/>
      <c r="UNQ211" s="2522"/>
      <c r="UNR211" s="2522"/>
      <c r="UNS211" s="2522"/>
      <c r="UNT211" s="2522"/>
      <c r="UNU211" s="2522"/>
      <c r="UNV211" s="2522"/>
      <c r="UNW211" s="2522"/>
      <c r="UNX211" s="2522"/>
      <c r="UNY211" s="2522"/>
      <c r="UNZ211" s="2522"/>
      <c r="UOA211" s="2522"/>
      <c r="UOB211" s="2522"/>
      <c r="UOC211" s="2522"/>
      <c r="UOD211" s="2522"/>
      <c r="UOE211" s="2522"/>
      <c r="UOF211" s="2522"/>
      <c r="UOG211" s="2522"/>
      <c r="UOH211" s="2522"/>
      <c r="UOI211" s="2522"/>
      <c r="UOJ211" s="2522"/>
      <c r="UOK211" s="2522"/>
      <c r="UOL211" s="2522"/>
      <c r="UOM211" s="2522"/>
      <c r="UON211" s="2522"/>
      <c r="UOO211" s="2522"/>
      <c r="UOP211" s="2522"/>
      <c r="UOQ211" s="2522"/>
      <c r="UOR211" s="2522"/>
      <c r="UOS211" s="2522"/>
      <c r="UOT211" s="2522"/>
      <c r="UOU211" s="2522"/>
      <c r="UOV211" s="2522"/>
      <c r="UOW211" s="2522"/>
      <c r="UOX211" s="2522"/>
      <c r="UOY211" s="2522"/>
      <c r="UOZ211" s="2522"/>
      <c r="UPA211" s="2522"/>
      <c r="UPB211" s="2522"/>
      <c r="UPC211" s="2522"/>
      <c r="UPD211" s="2522"/>
      <c r="UPE211" s="2522"/>
      <c r="UPF211" s="2522"/>
      <c r="UPG211" s="2522"/>
      <c r="UPH211" s="2522"/>
      <c r="UPI211" s="2522"/>
      <c r="UPJ211" s="2522"/>
      <c r="UPK211" s="2522"/>
      <c r="UPL211" s="2522"/>
      <c r="UPM211" s="2522"/>
      <c r="UPN211" s="2522"/>
      <c r="UPO211" s="2522"/>
      <c r="UPP211" s="2522"/>
      <c r="UPQ211" s="2522"/>
      <c r="UPR211" s="2522"/>
      <c r="UPS211" s="2522"/>
      <c r="UPT211" s="2522"/>
      <c r="UPU211" s="2522"/>
      <c r="UPV211" s="2522"/>
      <c r="UPW211" s="2522"/>
      <c r="UPX211" s="2522"/>
      <c r="UPY211" s="2522"/>
      <c r="UPZ211" s="2522"/>
      <c r="UQA211" s="2522"/>
      <c r="UQB211" s="2522"/>
      <c r="UQC211" s="2522"/>
      <c r="UQD211" s="2522"/>
      <c r="UQE211" s="2522"/>
      <c r="UQF211" s="2522"/>
      <c r="UQG211" s="2522"/>
      <c r="UQH211" s="2522"/>
      <c r="UQI211" s="2522"/>
      <c r="UQJ211" s="2522"/>
      <c r="UQK211" s="2522"/>
      <c r="UQL211" s="2522"/>
      <c r="UQM211" s="2522"/>
      <c r="UQN211" s="2522"/>
      <c r="UQO211" s="2522"/>
      <c r="UQP211" s="2522"/>
      <c r="UQQ211" s="2522"/>
      <c r="UQR211" s="2522"/>
      <c r="UQS211" s="2522"/>
      <c r="UQT211" s="2522"/>
      <c r="UQU211" s="2522"/>
      <c r="UQV211" s="2522"/>
      <c r="UQW211" s="2522"/>
      <c r="UQX211" s="2522"/>
      <c r="UQY211" s="2522"/>
      <c r="UQZ211" s="2522"/>
      <c r="URA211" s="2522"/>
      <c r="URB211" s="2522"/>
      <c r="URC211" s="2522"/>
      <c r="URD211" s="2522"/>
      <c r="URE211" s="2522"/>
      <c r="URF211" s="2522"/>
      <c r="URG211" s="2522"/>
      <c r="URH211" s="2522"/>
      <c r="URI211" s="2522"/>
      <c r="URJ211" s="2522"/>
      <c r="URK211" s="2522"/>
      <c r="URL211" s="2522"/>
      <c r="URM211" s="2522"/>
      <c r="URN211" s="2522"/>
      <c r="URO211" s="2522"/>
      <c r="URP211" s="2522"/>
      <c r="URQ211" s="2522"/>
      <c r="URR211" s="2522"/>
      <c r="URS211" s="2522"/>
      <c r="URT211" s="2522"/>
      <c r="URU211" s="2522"/>
      <c r="URV211" s="2522"/>
      <c r="URW211" s="2522"/>
      <c r="URX211" s="2522"/>
      <c r="URY211" s="2522"/>
      <c r="URZ211" s="2522"/>
      <c r="USA211" s="2522"/>
      <c r="USB211" s="2522"/>
      <c r="USC211" s="2522"/>
      <c r="USD211" s="2522"/>
      <c r="USE211" s="2522"/>
      <c r="USF211" s="2522"/>
      <c r="USG211" s="2522"/>
      <c r="USH211" s="2522"/>
      <c r="USI211" s="2522"/>
      <c r="USJ211" s="2522"/>
      <c r="USK211" s="2522"/>
      <c r="USL211" s="2522"/>
      <c r="USM211" s="2522"/>
      <c r="USN211" s="2522"/>
      <c r="USO211" s="2522"/>
      <c r="USP211" s="2522"/>
      <c r="USQ211" s="2522"/>
      <c r="USR211" s="2522"/>
      <c r="USS211" s="2522"/>
      <c r="UST211" s="2522"/>
      <c r="USU211" s="2522"/>
      <c r="USV211" s="2522"/>
      <c r="USW211" s="2522"/>
      <c r="USX211" s="2522"/>
      <c r="USY211" s="2522"/>
      <c r="USZ211" s="2522"/>
      <c r="UTA211" s="2522"/>
      <c r="UTB211" s="2522"/>
      <c r="UTC211" s="2522"/>
      <c r="UTD211" s="2522"/>
      <c r="UTE211" s="2522"/>
      <c r="UTF211" s="2522"/>
      <c r="UTG211" s="2522"/>
      <c r="UTH211" s="2522"/>
      <c r="UTI211" s="2522"/>
      <c r="UTJ211" s="2522"/>
      <c r="UTK211" s="2522"/>
      <c r="UTL211" s="2522"/>
      <c r="UTM211" s="2522"/>
      <c r="UTN211" s="2522"/>
      <c r="UTO211" s="2522"/>
      <c r="UTP211" s="2522"/>
      <c r="UTQ211" s="2522"/>
      <c r="UTR211" s="2522"/>
      <c r="UTS211" s="2522"/>
      <c r="UTT211" s="2522"/>
      <c r="UTU211" s="2522"/>
      <c r="UTV211" s="2522"/>
      <c r="UTW211" s="2522"/>
      <c r="UTX211" s="2522"/>
      <c r="UTY211" s="2522"/>
      <c r="UTZ211" s="2522"/>
      <c r="UUA211" s="2522"/>
      <c r="UUB211" s="2522"/>
      <c r="UUC211" s="2522"/>
      <c r="UUD211" s="2522"/>
      <c r="UUE211" s="2522"/>
      <c r="UUF211" s="2522"/>
      <c r="UUG211" s="2522"/>
      <c r="UUH211" s="2522"/>
      <c r="UUI211" s="2522"/>
      <c r="UUJ211" s="2522"/>
      <c r="UUK211" s="2522"/>
      <c r="UUL211" s="2522"/>
      <c r="UUM211" s="2522"/>
      <c r="UUN211" s="2522"/>
      <c r="UUO211" s="2522"/>
      <c r="UUP211" s="2522"/>
      <c r="UUQ211" s="2522"/>
      <c r="UUR211" s="2522"/>
      <c r="UUS211" s="2522"/>
      <c r="UUT211" s="2522"/>
      <c r="UUU211" s="2522"/>
      <c r="UUV211" s="2522"/>
      <c r="UUW211" s="2522"/>
      <c r="UUX211" s="2522"/>
      <c r="UUY211" s="2522"/>
      <c r="UUZ211" s="2522"/>
      <c r="UVA211" s="2522"/>
      <c r="UVB211" s="2522"/>
      <c r="UVC211" s="2522"/>
      <c r="UVD211" s="2522"/>
      <c r="UVE211" s="2522"/>
      <c r="UVF211" s="2522"/>
      <c r="UVG211" s="2522"/>
      <c r="UVH211" s="2522"/>
      <c r="UVI211" s="2522"/>
      <c r="UVJ211" s="2522"/>
      <c r="UVK211" s="2522"/>
      <c r="UVL211" s="2522"/>
      <c r="UVM211" s="2522"/>
      <c r="UVN211" s="2522"/>
      <c r="UVO211" s="2522"/>
      <c r="UVP211" s="2522"/>
      <c r="UVQ211" s="2522"/>
      <c r="UVR211" s="2522"/>
      <c r="UVS211" s="2522"/>
      <c r="UVT211" s="2522"/>
      <c r="UVU211" s="2522"/>
      <c r="UVV211" s="2522"/>
      <c r="UVW211" s="2522"/>
      <c r="UVX211" s="2522"/>
      <c r="UVY211" s="2522"/>
      <c r="UVZ211" s="2522"/>
      <c r="UWA211" s="2522"/>
      <c r="UWB211" s="2522"/>
      <c r="UWC211" s="2522"/>
      <c r="UWD211" s="2522"/>
      <c r="UWE211" s="2522"/>
      <c r="UWF211" s="2522"/>
      <c r="UWG211" s="2522"/>
      <c r="UWH211" s="2522"/>
      <c r="UWI211" s="2522"/>
      <c r="UWJ211" s="2522"/>
      <c r="UWK211" s="2522"/>
      <c r="UWL211" s="2522"/>
      <c r="UWM211" s="2522"/>
      <c r="UWN211" s="2522"/>
      <c r="UWO211" s="2522"/>
      <c r="UWP211" s="2522"/>
      <c r="UWQ211" s="2522"/>
      <c r="UWR211" s="2522"/>
      <c r="UWS211" s="2522"/>
      <c r="UWT211" s="2522"/>
      <c r="UWU211" s="2522"/>
      <c r="UWV211" s="2522"/>
      <c r="UWW211" s="2522"/>
      <c r="UWX211" s="2522"/>
      <c r="UWY211" s="2522"/>
      <c r="UWZ211" s="2522"/>
      <c r="UXA211" s="2522"/>
      <c r="UXB211" s="2522"/>
      <c r="UXC211" s="2522"/>
      <c r="UXD211" s="2522"/>
      <c r="UXE211" s="2522"/>
      <c r="UXF211" s="2522"/>
      <c r="UXG211" s="2522"/>
      <c r="UXH211" s="2522"/>
      <c r="UXI211" s="2522"/>
      <c r="UXJ211" s="2522"/>
      <c r="UXK211" s="2522"/>
      <c r="UXL211" s="2522"/>
      <c r="UXM211" s="2522"/>
      <c r="UXN211" s="2522"/>
      <c r="UXO211" s="2522"/>
      <c r="UXP211" s="2522"/>
      <c r="UXQ211" s="2522"/>
      <c r="UXR211" s="2522"/>
      <c r="UXS211" s="2522"/>
      <c r="UXT211" s="2522"/>
      <c r="UXU211" s="2522"/>
      <c r="UXV211" s="2522"/>
      <c r="UXW211" s="2522"/>
      <c r="UXX211" s="2522"/>
      <c r="UXY211" s="2522"/>
      <c r="UXZ211" s="2522"/>
      <c r="UYA211" s="2522"/>
      <c r="UYB211" s="2522"/>
      <c r="UYC211" s="2522"/>
      <c r="UYD211" s="2522"/>
      <c r="UYE211" s="2522"/>
      <c r="UYF211" s="2522"/>
      <c r="UYG211" s="2522"/>
      <c r="UYH211" s="2522"/>
      <c r="UYI211" s="2522"/>
      <c r="UYJ211" s="2522"/>
      <c r="UYK211" s="2522"/>
      <c r="UYL211" s="2522"/>
      <c r="UYM211" s="2522"/>
      <c r="UYN211" s="2522"/>
      <c r="UYO211" s="2522"/>
      <c r="UYP211" s="2522"/>
      <c r="UYQ211" s="2522"/>
      <c r="UYR211" s="2522"/>
      <c r="UYS211" s="2522"/>
      <c r="UYT211" s="2522"/>
      <c r="UYU211" s="2522"/>
      <c r="UYV211" s="2522"/>
      <c r="UYW211" s="2522"/>
      <c r="UYX211" s="2522"/>
      <c r="UYY211" s="2522"/>
      <c r="UYZ211" s="2522"/>
      <c r="UZA211" s="2522"/>
      <c r="UZB211" s="2522"/>
      <c r="UZC211" s="2522"/>
      <c r="UZD211" s="2522"/>
      <c r="UZE211" s="2522"/>
      <c r="UZF211" s="2522"/>
      <c r="UZG211" s="2522"/>
      <c r="UZH211" s="2522"/>
      <c r="UZI211" s="2522"/>
      <c r="UZJ211" s="2522"/>
      <c r="UZK211" s="2522"/>
      <c r="UZL211" s="2522"/>
      <c r="UZM211" s="2522"/>
      <c r="UZN211" s="2522"/>
      <c r="UZO211" s="2522"/>
      <c r="UZP211" s="2522"/>
      <c r="UZQ211" s="2522"/>
      <c r="UZR211" s="2522"/>
      <c r="UZS211" s="2522"/>
      <c r="UZT211" s="2522"/>
      <c r="UZU211" s="2522"/>
      <c r="UZV211" s="2522"/>
      <c r="UZW211" s="2522"/>
      <c r="UZX211" s="2522"/>
      <c r="UZY211" s="2522"/>
      <c r="UZZ211" s="2522"/>
      <c r="VAA211" s="2522"/>
      <c r="VAB211" s="2522"/>
      <c r="VAC211" s="2522"/>
      <c r="VAD211" s="2522"/>
      <c r="VAE211" s="2522"/>
      <c r="VAF211" s="2522"/>
      <c r="VAG211" s="2522"/>
      <c r="VAH211" s="2522"/>
      <c r="VAI211" s="2522"/>
      <c r="VAJ211" s="2522"/>
      <c r="VAK211" s="2522"/>
      <c r="VAL211" s="2522"/>
      <c r="VAM211" s="2522"/>
      <c r="VAN211" s="2522"/>
      <c r="VAO211" s="2522"/>
      <c r="VAP211" s="2522"/>
      <c r="VAQ211" s="2522"/>
      <c r="VAR211" s="2522"/>
      <c r="VAS211" s="2522"/>
      <c r="VAT211" s="2522"/>
      <c r="VAU211" s="2522"/>
      <c r="VAV211" s="2522"/>
      <c r="VAW211" s="2522"/>
      <c r="VAX211" s="2522"/>
      <c r="VAY211" s="2522"/>
      <c r="VAZ211" s="2522"/>
      <c r="VBA211" s="2522"/>
      <c r="VBB211" s="2522"/>
      <c r="VBC211" s="2522"/>
      <c r="VBD211" s="2522"/>
      <c r="VBE211" s="2522"/>
      <c r="VBF211" s="2522"/>
      <c r="VBG211" s="2522"/>
      <c r="VBH211" s="2522"/>
      <c r="VBI211" s="2522"/>
      <c r="VBJ211" s="2522"/>
      <c r="VBK211" s="2522"/>
      <c r="VBL211" s="2522"/>
      <c r="VBM211" s="2522"/>
      <c r="VBN211" s="2522"/>
      <c r="VBO211" s="2522"/>
      <c r="VBP211" s="2522"/>
      <c r="VBQ211" s="2522"/>
      <c r="VBR211" s="2522"/>
      <c r="VBS211" s="2522"/>
      <c r="VBT211" s="2522"/>
      <c r="VBU211" s="2522"/>
      <c r="VBV211" s="2522"/>
      <c r="VBW211" s="2522"/>
      <c r="VBX211" s="2522"/>
      <c r="VBY211" s="2522"/>
      <c r="VBZ211" s="2522"/>
      <c r="VCA211" s="2522"/>
      <c r="VCB211" s="2522"/>
      <c r="VCC211" s="2522"/>
      <c r="VCD211" s="2522"/>
      <c r="VCE211" s="2522"/>
      <c r="VCF211" s="2522"/>
      <c r="VCG211" s="2522"/>
      <c r="VCH211" s="2522"/>
      <c r="VCI211" s="2522"/>
      <c r="VCJ211" s="2522"/>
      <c r="VCK211" s="2522"/>
      <c r="VCL211" s="2522"/>
      <c r="VCM211" s="2522"/>
      <c r="VCN211" s="2522"/>
      <c r="VCO211" s="2522"/>
      <c r="VCP211" s="2522"/>
      <c r="VCQ211" s="2522"/>
      <c r="VCR211" s="2522"/>
      <c r="VCS211" s="2522"/>
      <c r="VCT211" s="2522"/>
      <c r="VCU211" s="2522"/>
      <c r="VCV211" s="2522"/>
      <c r="VCW211" s="2522"/>
      <c r="VCX211" s="2522"/>
      <c r="VCY211" s="2522"/>
      <c r="VCZ211" s="2522"/>
      <c r="VDA211" s="2522"/>
      <c r="VDB211" s="2522"/>
      <c r="VDC211" s="2522"/>
      <c r="VDD211" s="2522"/>
      <c r="VDE211" s="2522"/>
      <c r="VDF211" s="2522"/>
      <c r="VDG211" s="2522"/>
      <c r="VDH211" s="2522"/>
      <c r="VDI211" s="2522"/>
      <c r="VDJ211" s="2522"/>
      <c r="VDK211" s="2522"/>
      <c r="VDL211" s="2522"/>
      <c r="VDM211" s="2522"/>
      <c r="VDN211" s="2522"/>
      <c r="VDO211" s="2522"/>
      <c r="VDP211" s="2522"/>
      <c r="VDQ211" s="2522"/>
      <c r="VDR211" s="2522"/>
      <c r="VDS211" s="2522"/>
      <c r="VDT211" s="2522"/>
      <c r="VDU211" s="2522"/>
      <c r="VDV211" s="2522"/>
      <c r="VDW211" s="2522"/>
      <c r="VDX211" s="2522"/>
      <c r="VDY211" s="2522"/>
      <c r="VDZ211" s="2522"/>
      <c r="VEA211" s="2522"/>
      <c r="VEB211" s="2522"/>
      <c r="VEC211" s="2522"/>
      <c r="VED211" s="2522"/>
      <c r="VEE211" s="2522"/>
      <c r="VEF211" s="2522"/>
      <c r="VEG211" s="2522"/>
      <c r="VEH211" s="2522"/>
      <c r="VEI211" s="2522"/>
      <c r="VEJ211" s="2522"/>
      <c r="VEK211" s="2522"/>
      <c r="VEL211" s="2522"/>
      <c r="VEM211" s="2522"/>
      <c r="VEN211" s="2522"/>
      <c r="VEO211" s="2522"/>
      <c r="VEP211" s="2522"/>
      <c r="VEQ211" s="2522"/>
      <c r="VER211" s="2522"/>
      <c r="VES211" s="2522"/>
      <c r="VET211" s="2522"/>
      <c r="VEU211" s="2522"/>
      <c r="VEV211" s="2522"/>
      <c r="VEW211" s="2522"/>
      <c r="VEX211" s="2522"/>
      <c r="VEY211" s="2522"/>
      <c r="VEZ211" s="2522"/>
      <c r="VFA211" s="2522"/>
      <c r="VFB211" s="2522"/>
      <c r="VFC211" s="2522"/>
      <c r="VFD211" s="2522"/>
      <c r="VFE211" s="2522"/>
      <c r="VFF211" s="2522"/>
      <c r="VFG211" s="2522"/>
      <c r="VFH211" s="2522"/>
      <c r="VFI211" s="2522"/>
      <c r="VFJ211" s="2522"/>
      <c r="VFK211" s="2522"/>
      <c r="VFL211" s="2522"/>
      <c r="VFM211" s="2522"/>
      <c r="VFN211" s="2522"/>
      <c r="VFO211" s="2522"/>
      <c r="VFP211" s="2522"/>
      <c r="VFQ211" s="2522"/>
      <c r="VFR211" s="2522"/>
      <c r="VFS211" s="2522"/>
      <c r="VFT211" s="2522"/>
      <c r="VFU211" s="2522"/>
      <c r="VFV211" s="2522"/>
      <c r="VFW211" s="2522"/>
      <c r="VFX211" s="2522"/>
      <c r="VFY211" s="2522"/>
      <c r="VFZ211" s="2522"/>
      <c r="VGA211" s="2522"/>
      <c r="VGB211" s="2522"/>
      <c r="VGC211" s="2522"/>
      <c r="VGD211" s="2522"/>
      <c r="VGE211" s="2522"/>
      <c r="VGF211" s="2522"/>
      <c r="VGG211" s="2522"/>
      <c r="VGH211" s="2522"/>
      <c r="VGI211" s="2522"/>
      <c r="VGJ211" s="2522"/>
      <c r="VGK211" s="2522"/>
      <c r="VGL211" s="2522"/>
      <c r="VGM211" s="2522"/>
      <c r="VGN211" s="2522"/>
      <c r="VGO211" s="2522"/>
      <c r="VGP211" s="2522"/>
      <c r="VGQ211" s="2522"/>
      <c r="VGR211" s="2522"/>
      <c r="VGS211" s="2522"/>
      <c r="VGT211" s="2522"/>
      <c r="VGU211" s="2522"/>
      <c r="VGV211" s="2522"/>
      <c r="VGW211" s="2522"/>
      <c r="VGX211" s="2522"/>
      <c r="VGY211" s="2522"/>
      <c r="VGZ211" s="2522"/>
      <c r="VHA211" s="2522"/>
      <c r="VHB211" s="2522"/>
      <c r="VHC211" s="2522"/>
      <c r="VHD211" s="2522"/>
      <c r="VHE211" s="2522"/>
      <c r="VHF211" s="2522"/>
      <c r="VHG211" s="2522"/>
      <c r="VHH211" s="2522"/>
      <c r="VHI211" s="2522"/>
      <c r="VHJ211" s="2522"/>
      <c r="VHK211" s="2522"/>
      <c r="VHL211" s="2522"/>
      <c r="VHM211" s="2522"/>
      <c r="VHN211" s="2522"/>
      <c r="VHO211" s="2522"/>
      <c r="VHP211" s="2522"/>
      <c r="VHQ211" s="2522"/>
      <c r="VHR211" s="2522"/>
      <c r="VHS211" s="2522"/>
      <c r="VHT211" s="2522"/>
      <c r="VHU211" s="2522"/>
      <c r="VHV211" s="2522"/>
      <c r="VHW211" s="2522"/>
      <c r="VHX211" s="2522"/>
      <c r="VHY211" s="2522"/>
      <c r="VHZ211" s="2522"/>
      <c r="VIA211" s="2522"/>
      <c r="VIB211" s="2522"/>
      <c r="VIC211" s="2522"/>
      <c r="VID211" s="2522"/>
      <c r="VIE211" s="2522"/>
      <c r="VIF211" s="2522"/>
      <c r="VIG211" s="2522"/>
      <c r="VIH211" s="2522"/>
      <c r="VII211" s="2522"/>
      <c r="VIJ211" s="2522"/>
      <c r="VIK211" s="2522"/>
      <c r="VIL211" s="2522"/>
      <c r="VIM211" s="2522"/>
      <c r="VIN211" s="2522"/>
      <c r="VIO211" s="2522"/>
      <c r="VIP211" s="2522"/>
      <c r="VIQ211" s="2522"/>
      <c r="VIR211" s="2522"/>
      <c r="VIS211" s="2522"/>
      <c r="VIT211" s="2522"/>
      <c r="VIU211" s="2522"/>
      <c r="VIV211" s="2522"/>
      <c r="VIW211" s="2522"/>
      <c r="VIX211" s="2522"/>
      <c r="VIY211" s="2522"/>
      <c r="VIZ211" s="2522"/>
      <c r="VJA211" s="2522"/>
      <c r="VJB211" s="2522"/>
      <c r="VJC211" s="2522"/>
      <c r="VJD211" s="2522"/>
      <c r="VJE211" s="2522"/>
      <c r="VJF211" s="2522"/>
      <c r="VJG211" s="2522"/>
      <c r="VJH211" s="2522"/>
      <c r="VJI211" s="2522"/>
      <c r="VJJ211" s="2522"/>
      <c r="VJK211" s="2522"/>
      <c r="VJL211" s="2522"/>
      <c r="VJM211" s="2522"/>
      <c r="VJN211" s="2522"/>
      <c r="VJO211" s="2522"/>
      <c r="VJP211" s="2522"/>
      <c r="VJQ211" s="2522"/>
      <c r="VJR211" s="2522"/>
      <c r="VJS211" s="2522"/>
      <c r="VJT211" s="2522"/>
      <c r="VJU211" s="2522"/>
      <c r="VJV211" s="2522"/>
      <c r="VJW211" s="2522"/>
      <c r="VJX211" s="2522"/>
      <c r="VJY211" s="2522"/>
      <c r="VJZ211" s="2522"/>
      <c r="VKA211" s="2522"/>
      <c r="VKB211" s="2522"/>
      <c r="VKC211" s="2522"/>
      <c r="VKD211" s="2522"/>
      <c r="VKE211" s="2522"/>
      <c r="VKF211" s="2522"/>
      <c r="VKG211" s="2522"/>
      <c r="VKH211" s="2522"/>
      <c r="VKI211" s="2522"/>
      <c r="VKJ211" s="2522"/>
      <c r="VKK211" s="2522"/>
      <c r="VKL211" s="2522"/>
      <c r="VKM211" s="2522"/>
      <c r="VKN211" s="2522"/>
      <c r="VKO211" s="2522"/>
      <c r="VKP211" s="2522"/>
      <c r="VKQ211" s="2522"/>
      <c r="VKR211" s="2522"/>
      <c r="VKS211" s="2522"/>
      <c r="VKT211" s="2522"/>
      <c r="VKU211" s="2522"/>
      <c r="VKV211" s="2522"/>
      <c r="VKW211" s="2522"/>
      <c r="VKX211" s="2522"/>
      <c r="VKY211" s="2522"/>
      <c r="VKZ211" s="2522"/>
      <c r="VLA211" s="2522"/>
      <c r="VLB211" s="2522"/>
      <c r="VLC211" s="2522"/>
      <c r="VLD211" s="2522"/>
      <c r="VLE211" s="2522"/>
      <c r="VLF211" s="2522"/>
      <c r="VLG211" s="2522"/>
      <c r="VLH211" s="2522"/>
      <c r="VLI211" s="2522"/>
      <c r="VLJ211" s="2522"/>
      <c r="VLK211" s="2522"/>
      <c r="VLL211" s="2522"/>
      <c r="VLM211" s="2522"/>
      <c r="VLN211" s="2522"/>
      <c r="VLO211" s="2522"/>
      <c r="VLP211" s="2522"/>
      <c r="VLQ211" s="2522"/>
      <c r="VLR211" s="2522"/>
      <c r="VLS211" s="2522"/>
      <c r="VLT211" s="2522"/>
      <c r="VLU211" s="2522"/>
      <c r="VLV211" s="2522"/>
      <c r="VLW211" s="2522"/>
      <c r="VLX211" s="2522"/>
      <c r="VLY211" s="2522"/>
      <c r="VLZ211" s="2522"/>
      <c r="VMA211" s="2522"/>
      <c r="VMB211" s="2522"/>
      <c r="VMC211" s="2522"/>
      <c r="VMD211" s="2522"/>
      <c r="VME211" s="2522"/>
      <c r="VMF211" s="2522"/>
      <c r="VMG211" s="2522"/>
      <c r="VMH211" s="2522"/>
      <c r="VMI211" s="2522"/>
      <c r="VMJ211" s="2522"/>
      <c r="VMK211" s="2522"/>
      <c r="VML211" s="2522"/>
      <c r="VMM211" s="2522"/>
      <c r="VMN211" s="2522"/>
      <c r="VMO211" s="2522"/>
      <c r="VMP211" s="2522"/>
      <c r="VMQ211" s="2522"/>
      <c r="VMR211" s="2522"/>
      <c r="VMS211" s="2522"/>
      <c r="VMT211" s="2522"/>
      <c r="VMU211" s="2522"/>
      <c r="VMV211" s="2522"/>
      <c r="VMW211" s="2522"/>
      <c r="VMX211" s="2522"/>
      <c r="VMY211" s="2522"/>
      <c r="VMZ211" s="2522"/>
      <c r="VNA211" s="2522"/>
      <c r="VNB211" s="2522"/>
      <c r="VNC211" s="2522"/>
      <c r="VND211" s="2522"/>
      <c r="VNE211" s="2522"/>
      <c r="VNF211" s="2522"/>
      <c r="VNG211" s="2522"/>
      <c r="VNH211" s="2522"/>
      <c r="VNI211" s="2522"/>
      <c r="VNJ211" s="2522"/>
      <c r="VNK211" s="2522"/>
      <c r="VNL211" s="2522"/>
      <c r="VNM211" s="2522"/>
      <c r="VNN211" s="2522"/>
      <c r="VNO211" s="2522"/>
      <c r="VNP211" s="2522"/>
      <c r="VNQ211" s="2522"/>
      <c r="VNR211" s="2522"/>
      <c r="VNS211" s="2522"/>
      <c r="VNT211" s="2522"/>
      <c r="VNU211" s="2522"/>
      <c r="VNV211" s="2522"/>
      <c r="VNW211" s="2522"/>
      <c r="VNX211" s="2522"/>
      <c r="VNY211" s="2522"/>
      <c r="VNZ211" s="2522"/>
      <c r="VOA211" s="2522"/>
      <c r="VOB211" s="2522"/>
      <c r="VOC211" s="2522"/>
      <c r="VOD211" s="2522"/>
      <c r="VOE211" s="2522"/>
      <c r="VOF211" s="2522"/>
      <c r="VOG211" s="2522"/>
      <c r="VOH211" s="2522"/>
      <c r="VOI211" s="2522"/>
      <c r="VOJ211" s="2522"/>
      <c r="VOK211" s="2522"/>
      <c r="VOL211" s="2522"/>
      <c r="VOM211" s="2522"/>
      <c r="VON211" s="2522"/>
      <c r="VOO211" s="2522"/>
      <c r="VOP211" s="2522"/>
      <c r="VOQ211" s="2522"/>
      <c r="VOR211" s="2522"/>
      <c r="VOS211" s="2522"/>
      <c r="VOT211" s="2522"/>
      <c r="VOU211" s="2522"/>
      <c r="VOV211" s="2522"/>
      <c r="VOW211" s="2522"/>
      <c r="VOX211" s="2522"/>
      <c r="VOY211" s="2522"/>
      <c r="VOZ211" s="2522"/>
      <c r="VPA211" s="2522"/>
      <c r="VPB211" s="2522"/>
      <c r="VPC211" s="2522"/>
      <c r="VPD211" s="2522"/>
      <c r="VPE211" s="2522"/>
      <c r="VPF211" s="2522"/>
      <c r="VPG211" s="2522"/>
      <c r="VPH211" s="2522"/>
      <c r="VPI211" s="2522"/>
      <c r="VPJ211" s="2522"/>
      <c r="VPK211" s="2522"/>
      <c r="VPL211" s="2522"/>
      <c r="VPM211" s="2522"/>
      <c r="VPN211" s="2522"/>
      <c r="VPO211" s="2522"/>
      <c r="VPP211" s="2522"/>
      <c r="VPQ211" s="2522"/>
      <c r="VPR211" s="2522"/>
      <c r="VPS211" s="2522"/>
      <c r="VPT211" s="2522"/>
      <c r="VPU211" s="2522"/>
      <c r="VPV211" s="2522"/>
      <c r="VPW211" s="2522"/>
      <c r="VPX211" s="2522"/>
      <c r="VPY211" s="2522"/>
      <c r="VPZ211" s="2522"/>
      <c r="VQA211" s="2522"/>
      <c r="VQB211" s="2522"/>
      <c r="VQC211" s="2522"/>
      <c r="VQD211" s="2522"/>
      <c r="VQE211" s="2522"/>
      <c r="VQF211" s="2522"/>
      <c r="VQG211" s="2522"/>
      <c r="VQH211" s="2522"/>
      <c r="VQI211" s="2522"/>
      <c r="VQJ211" s="2522"/>
      <c r="VQK211" s="2522"/>
      <c r="VQL211" s="2522"/>
      <c r="VQM211" s="2522"/>
      <c r="VQN211" s="2522"/>
      <c r="VQO211" s="2522"/>
      <c r="VQP211" s="2522"/>
      <c r="VQQ211" s="2522"/>
      <c r="VQR211" s="2522"/>
      <c r="VQS211" s="2522"/>
      <c r="VQT211" s="2522"/>
      <c r="VQU211" s="2522"/>
      <c r="VQV211" s="2522"/>
      <c r="VQW211" s="2522"/>
      <c r="VQX211" s="2522"/>
      <c r="VQY211" s="2522"/>
      <c r="VQZ211" s="2522"/>
      <c r="VRA211" s="2522"/>
      <c r="VRB211" s="2522"/>
      <c r="VRC211" s="2522"/>
      <c r="VRD211" s="2522"/>
      <c r="VRE211" s="2522"/>
      <c r="VRF211" s="2522"/>
      <c r="VRG211" s="2522"/>
      <c r="VRH211" s="2522"/>
      <c r="VRI211" s="2522"/>
      <c r="VRJ211" s="2522"/>
      <c r="VRK211" s="2522"/>
      <c r="VRL211" s="2522"/>
      <c r="VRM211" s="2522"/>
      <c r="VRN211" s="2522"/>
      <c r="VRO211" s="2522"/>
      <c r="VRP211" s="2522"/>
      <c r="VRQ211" s="2522"/>
      <c r="VRR211" s="2522"/>
      <c r="VRS211" s="2522"/>
      <c r="VRT211" s="2522"/>
      <c r="VRU211" s="2522"/>
      <c r="VRV211" s="2522"/>
      <c r="VRW211" s="2522"/>
      <c r="VRX211" s="2522"/>
      <c r="VRY211" s="2522"/>
      <c r="VRZ211" s="2522"/>
      <c r="VSA211" s="2522"/>
      <c r="VSB211" s="2522"/>
      <c r="VSC211" s="2522"/>
      <c r="VSD211" s="2522"/>
      <c r="VSE211" s="2522"/>
      <c r="VSF211" s="2522"/>
      <c r="VSG211" s="2522"/>
      <c r="VSH211" s="2522"/>
      <c r="VSI211" s="2522"/>
      <c r="VSJ211" s="2522"/>
      <c r="VSK211" s="2522"/>
      <c r="VSL211" s="2522"/>
      <c r="VSM211" s="2522"/>
      <c r="VSN211" s="2522"/>
      <c r="VSO211" s="2522"/>
      <c r="VSP211" s="2522"/>
      <c r="VSQ211" s="2522"/>
      <c r="VSR211" s="2522"/>
      <c r="VSS211" s="2522"/>
      <c r="VST211" s="2522"/>
      <c r="VSU211" s="2522"/>
      <c r="VSV211" s="2522"/>
      <c r="VSW211" s="2522"/>
      <c r="VSX211" s="2522"/>
      <c r="VSY211" s="2522"/>
      <c r="VSZ211" s="2522"/>
      <c r="VTA211" s="2522"/>
      <c r="VTB211" s="2522"/>
      <c r="VTC211" s="2522"/>
      <c r="VTD211" s="2522"/>
      <c r="VTE211" s="2522"/>
      <c r="VTF211" s="2522"/>
      <c r="VTG211" s="2522"/>
      <c r="VTH211" s="2522"/>
      <c r="VTI211" s="2522"/>
      <c r="VTJ211" s="2522"/>
      <c r="VTK211" s="2522"/>
      <c r="VTL211" s="2522"/>
      <c r="VTM211" s="2522"/>
      <c r="VTN211" s="2522"/>
      <c r="VTO211" s="2522"/>
      <c r="VTP211" s="2522"/>
      <c r="VTQ211" s="2522"/>
      <c r="VTR211" s="2522"/>
      <c r="VTS211" s="2522"/>
      <c r="VTT211" s="2522"/>
      <c r="VTU211" s="2522"/>
      <c r="VTV211" s="2522"/>
      <c r="VTW211" s="2522"/>
      <c r="VTX211" s="2522"/>
      <c r="VTY211" s="2522"/>
      <c r="VTZ211" s="2522"/>
      <c r="VUA211" s="2522"/>
      <c r="VUB211" s="2522"/>
      <c r="VUC211" s="2522"/>
      <c r="VUD211" s="2522"/>
      <c r="VUE211" s="2522"/>
      <c r="VUF211" s="2522"/>
      <c r="VUG211" s="2522"/>
      <c r="VUH211" s="2522"/>
      <c r="VUI211" s="2522"/>
      <c r="VUJ211" s="2522"/>
      <c r="VUK211" s="2522"/>
      <c r="VUL211" s="2522"/>
      <c r="VUM211" s="2522"/>
      <c r="VUN211" s="2522"/>
      <c r="VUO211" s="2522"/>
      <c r="VUP211" s="2522"/>
      <c r="VUQ211" s="2522"/>
      <c r="VUR211" s="2522"/>
      <c r="VUS211" s="2522"/>
      <c r="VUT211" s="2522"/>
      <c r="VUU211" s="2522"/>
      <c r="VUV211" s="2522"/>
      <c r="VUW211" s="2522"/>
      <c r="VUX211" s="2522"/>
      <c r="VUY211" s="2522"/>
      <c r="VUZ211" s="2522"/>
      <c r="VVA211" s="2522"/>
      <c r="VVB211" s="2522"/>
      <c r="VVC211" s="2522"/>
      <c r="VVD211" s="2522"/>
      <c r="VVE211" s="2522"/>
      <c r="VVF211" s="2522"/>
      <c r="VVG211" s="2522"/>
      <c r="VVH211" s="2522"/>
      <c r="VVI211" s="2522"/>
      <c r="VVJ211" s="2522"/>
      <c r="VVK211" s="2522"/>
      <c r="VVL211" s="2522"/>
      <c r="VVM211" s="2522"/>
      <c r="VVN211" s="2522"/>
      <c r="VVO211" s="2522"/>
      <c r="VVP211" s="2522"/>
      <c r="VVQ211" s="2522"/>
      <c r="VVR211" s="2522"/>
      <c r="VVS211" s="2522"/>
      <c r="VVT211" s="2522"/>
      <c r="VVU211" s="2522"/>
      <c r="VVV211" s="2522"/>
      <c r="VVW211" s="2522"/>
      <c r="VVX211" s="2522"/>
      <c r="VVY211" s="2522"/>
      <c r="VVZ211" s="2522"/>
      <c r="VWA211" s="2522"/>
      <c r="VWB211" s="2522"/>
      <c r="VWC211" s="2522"/>
      <c r="VWD211" s="2522"/>
      <c r="VWE211" s="2522"/>
      <c r="VWF211" s="2522"/>
      <c r="VWG211" s="2522"/>
      <c r="VWH211" s="2522"/>
      <c r="VWI211" s="2522"/>
      <c r="VWJ211" s="2522"/>
      <c r="VWK211" s="2522"/>
      <c r="VWL211" s="2522"/>
      <c r="VWM211" s="2522"/>
      <c r="VWN211" s="2522"/>
      <c r="VWO211" s="2522"/>
      <c r="VWP211" s="2522"/>
      <c r="VWQ211" s="2522"/>
      <c r="VWR211" s="2522"/>
      <c r="VWS211" s="2522"/>
      <c r="VWT211" s="2522"/>
      <c r="VWU211" s="2522"/>
      <c r="VWV211" s="2522"/>
      <c r="VWW211" s="2522"/>
      <c r="VWX211" s="2522"/>
      <c r="VWY211" s="2522"/>
      <c r="VWZ211" s="2522"/>
      <c r="VXA211" s="2522"/>
      <c r="VXB211" s="2522"/>
      <c r="VXC211" s="2522"/>
      <c r="VXD211" s="2522"/>
      <c r="VXE211" s="2522"/>
      <c r="VXF211" s="2522"/>
      <c r="VXG211" s="2522"/>
      <c r="VXH211" s="2522"/>
      <c r="VXI211" s="2522"/>
      <c r="VXJ211" s="2522"/>
      <c r="VXK211" s="2522"/>
      <c r="VXL211" s="2522"/>
      <c r="VXM211" s="2522"/>
      <c r="VXN211" s="2522"/>
      <c r="VXO211" s="2522"/>
      <c r="VXP211" s="2522"/>
      <c r="VXQ211" s="2522"/>
      <c r="VXR211" s="2522"/>
      <c r="VXS211" s="2522"/>
      <c r="VXT211" s="2522"/>
      <c r="VXU211" s="2522"/>
      <c r="VXV211" s="2522"/>
      <c r="VXW211" s="2522"/>
      <c r="VXX211" s="2522"/>
      <c r="VXY211" s="2522"/>
      <c r="VXZ211" s="2522"/>
      <c r="VYA211" s="2522"/>
      <c r="VYB211" s="2522"/>
      <c r="VYC211" s="2522"/>
      <c r="VYD211" s="2522"/>
      <c r="VYE211" s="2522"/>
      <c r="VYF211" s="2522"/>
      <c r="VYG211" s="2522"/>
      <c r="VYH211" s="2522"/>
      <c r="VYI211" s="2522"/>
      <c r="VYJ211" s="2522"/>
      <c r="VYK211" s="2522"/>
      <c r="VYL211" s="2522"/>
      <c r="VYM211" s="2522"/>
      <c r="VYN211" s="2522"/>
      <c r="VYO211" s="2522"/>
      <c r="VYP211" s="2522"/>
      <c r="VYQ211" s="2522"/>
      <c r="VYR211" s="2522"/>
      <c r="VYS211" s="2522"/>
      <c r="VYT211" s="2522"/>
      <c r="VYU211" s="2522"/>
      <c r="VYV211" s="2522"/>
      <c r="VYW211" s="2522"/>
      <c r="VYX211" s="2522"/>
      <c r="VYY211" s="2522"/>
      <c r="VYZ211" s="2522"/>
      <c r="VZA211" s="2522"/>
      <c r="VZB211" s="2522"/>
      <c r="VZC211" s="2522"/>
      <c r="VZD211" s="2522"/>
      <c r="VZE211" s="2522"/>
      <c r="VZF211" s="2522"/>
      <c r="VZG211" s="2522"/>
      <c r="VZH211" s="2522"/>
      <c r="VZI211" s="2522"/>
      <c r="VZJ211" s="2522"/>
      <c r="VZK211" s="2522"/>
      <c r="VZL211" s="2522"/>
      <c r="VZM211" s="2522"/>
      <c r="VZN211" s="2522"/>
      <c r="VZO211" s="2522"/>
      <c r="VZP211" s="2522"/>
      <c r="VZQ211" s="2522"/>
      <c r="VZR211" s="2522"/>
      <c r="VZS211" s="2522"/>
      <c r="VZT211" s="2522"/>
      <c r="VZU211" s="2522"/>
      <c r="VZV211" s="2522"/>
      <c r="VZW211" s="2522"/>
      <c r="VZX211" s="2522"/>
      <c r="VZY211" s="2522"/>
      <c r="VZZ211" s="2522"/>
      <c r="WAA211" s="2522"/>
      <c r="WAB211" s="2522"/>
      <c r="WAC211" s="2522"/>
      <c r="WAD211" s="2522"/>
      <c r="WAE211" s="2522"/>
      <c r="WAF211" s="2522"/>
      <c r="WAG211" s="2522"/>
      <c r="WAH211" s="2522"/>
      <c r="WAI211" s="2522"/>
      <c r="WAJ211" s="2522"/>
      <c r="WAK211" s="2522"/>
      <c r="WAL211" s="2522"/>
      <c r="WAM211" s="2522"/>
      <c r="WAN211" s="2522"/>
      <c r="WAO211" s="2522"/>
      <c r="WAP211" s="2522"/>
      <c r="WAQ211" s="2522"/>
      <c r="WAR211" s="2522"/>
      <c r="WAS211" s="2522"/>
      <c r="WAT211" s="2522"/>
      <c r="WAU211" s="2522"/>
      <c r="WAV211" s="2522"/>
      <c r="WAW211" s="2522"/>
      <c r="WAX211" s="2522"/>
      <c r="WAY211" s="2522"/>
      <c r="WAZ211" s="2522"/>
      <c r="WBA211" s="2522"/>
      <c r="WBB211" s="2522"/>
      <c r="WBC211" s="2522"/>
      <c r="WBD211" s="2522"/>
      <c r="WBE211" s="2522"/>
      <c r="WBF211" s="2522"/>
      <c r="WBG211" s="2522"/>
      <c r="WBH211" s="2522"/>
      <c r="WBI211" s="2522"/>
      <c r="WBJ211" s="2522"/>
      <c r="WBK211" s="2522"/>
      <c r="WBL211" s="2522"/>
      <c r="WBM211" s="2522"/>
      <c r="WBN211" s="2522"/>
      <c r="WBO211" s="2522"/>
      <c r="WBP211" s="2522"/>
      <c r="WBQ211" s="2522"/>
      <c r="WBR211" s="2522"/>
      <c r="WBS211" s="2522"/>
      <c r="WBT211" s="2522"/>
      <c r="WBU211" s="2522"/>
      <c r="WBV211" s="2522"/>
      <c r="WBW211" s="2522"/>
      <c r="WBX211" s="2522"/>
      <c r="WBY211" s="2522"/>
      <c r="WBZ211" s="2522"/>
      <c r="WCA211" s="2522"/>
      <c r="WCB211" s="2522"/>
      <c r="WCC211" s="2522"/>
      <c r="WCD211" s="2522"/>
      <c r="WCE211" s="2522"/>
      <c r="WCF211" s="2522"/>
      <c r="WCG211" s="2522"/>
      <c r="WCH211" s="2522"/>
      <c r="WCI211" s="2522"/>
      <c r="WCJ211" s="2522"/>
      <c r="WCK211" s="2522"/>
      <c r="WCL211" s="2522"/>
      <c r="WCM211" s="2522"/>
      <c r="WCN211" s="2522"/>
      <c r="WCO211" s="2522"/>
      <c r="WCP211" s="2522"/>
      <c r="WCQ211" s="2522"/>
      <c r="WCR211" s="2522"/>
      <c r="WCS211" s="2522"/>
      <c r="WCT211" s="2522"/>
      <c r="WCU211" s="2522"/>
      <c r="WCV211" s="2522"/>
      <c r="WCW211" s="2522"/>
      <c r="WCX211" s="2522"/>
      <c r="WCY211" s="2522"/>
      <c r="WCZ211" s="2522"/>
      <c r="WDA211" s="2522"/>
      <c r="WDB211" s="2522"/>
      <c r="WDC211" s="2522"/>
      <c r="WDD211" s="2522"/>
      <c r="WDE211" s="2522"/>
      <c r="WDF211" s="2522"/>
      <c r="WDG211" s="2522"/>
      <c r="WDH211" s="2522"/>
      <c r="WDI211" s="2522"/>
      <c r="WDJ211" s="2522"/>
      <c r="WDK211" s="2522"/>
      <c r="WDL211" s="2522"/>
      <c r="WDM211" s="2522"/>
      <c r="WDN211" s="2522"/>
      <c r="WDO211" s="2522"/>
      <c r="WDP211" s="2522"/>
      <c r="WDQ211" s="2522"/>
      <c r="WDR211" s="2522"/>
      <c r="WDS211" s="2522"/>
      <c r="WDT211" s="2522"/>
      <c r="WDU211" s="2522"/>
      <c r="WDV211" s="2522"/>
      <c r="WDW211" s="2522"/>
      <c r="WDX211" s="2522"/>
      <c r="WDY211" s="2522"/>
      <c r="WDZ211" s="2522"/>
      <c r="WEA211" s="2522"/>
      <c r="WEB211" s="2522"/>
      <c r="WEC211" s="2522"/>
      <c r="WED211" s="2522"/>
      <c r="WEE211" s="2522"/>
      <c r="WEF211" s="2522"/>
      <c r="WEG211" s="2522"/>
      <c r="WEH211" s="2522"/>
      <c r="WEI211" s="2522"/>
      <c r="WEJ211" s="2522"/>
      <c r="WEK211" s="2522"/>
      <c r="WEL211" s="2522"/>
      <c r="WEM211" s="2522"/>
      <c r="WEN211" s="2522"/>
      <c r="WEO211" s="2522"/>
      <c r="WEP211" s="2522"/>
      <c r="WEQ211" s="2522"/>
      <c r="WER211" s="2522"/>
      <c r="WES211" s="2522"/>
      <c r="WET211" s="2522"/>
      <c r="WEU211" s="2522"/>
      <c r="WEV211" s="2522"/>
      <c r="WEW211" s="2522"/>
      <c r="WEX211" s="2522"/>
      <c r="WEY211" s="2522"/>
      <c r="WEZ211" s="2522"/>
      <c r="WFA211" s="2522"/>
      <c r="WFB211" s="2522"/>
      <c r="WFC211" s="2522"/>
      <c r="WFD211" s="2522"/>
      <c r="WFE211" s="2522"/>
      <c r="WFF211" s="2522"/>
      <c r="WFG211" s="2522"/>
      <c r="WFH211" s="2522"/>
      <c r="WFI211" s="2522"/>
      <c r="WFJ211" s="2522"/>
      <c r="WFK211" s="2522"/>
      <c r="WFL211" s="2522"/>
      <c r="WFM211" s="2522"/>
      <c r="WFN211" s="2522"/>
      <c r="WFO211" s="2522"/>
      <c r="WFP211" s="2522"/>
      <c r="WFQ211" s="2522"/>
      <c r="WFR211" s="2522"/>
      <c r="WFS211" s="2522"/>
      <c r="WFT211" s="2522"/>
      <c r="WFU211" s="2522"/>
      <c r="WFV211" s="2522"/>
      <c r="WFW211" s="2522"/>
      <c r="WFX211" s="2522"/>
      <c r="WFY211" s="2522"/>
      <c r="WFZ211" s="2522"/>
      <c r="WGA211" s="2522"/>
      <c r="WGB211" s="2522"/>
      <c r="WGC211" s="2522"/>
      <c r="WGD211" s="2522"/>
      <c r="WGE211" s="2522"/>
      <c r="WGF211" s="2522"/>
      <c r="WGG211" s="2522"/>
      <c r="WGH211" s="2522"/>
      <c r="WGI211" s="2522"/>
      <c r="WGJ211" s="2522"/>
      <c r="WGK211" s="2522"/>
      <c r="WGL211" s="2522"/>
      <c r="WGM211" s="2522"/>
      <c r="WGN211" s="2522"/>
      <c r="WGO211" s="2522"/>
      <c r="WGP211" s="2522"/>
      <c r="WGQ211" s="2522"/>
      <c r="WGR211" s="2522"/>
      <c r="WGS211" s="2522"/>
      <c r="WGT211" s="2522"/>
      <c r="WGU211" s="2522"/>
      <c r="WGV211" s="2522"/>
      <c r="WGW211" s="2522"/>
      <c r="WGX211" s="2522"/>
      <c r="WGY211" s="2522"/>
      <c r="WGZ211" s="2522"/>
      <c r="WHA211" s="2522"/>
      <c r="WHB211" s="2522"/>
      <c r="WHC211" s="2522"/>
      <c r="WHD211" s="2522"/>
      <c r="WHE211" s="2522"/>
      <c r="WHF211" s="2522"/>
      <c r="WHG211" s="2522"/>
      <c r="WHH211" s="2522"/>
      <c r="WHI211" s="2522"/>
      <c r="WHJ211" s="2522"/>
      <c r="WHK211" s="2522"/>
      <c r="WHL211" s="2522"/>
      <c r="WHM211" s="2522"/>
      <c r="WHN211" s="2522"/>
      <c r="WHO211" s="2522"/>
      <c r="WHP211" s="2522"/>
      <c r="WHQ211" s="2522"/>
      <c r="WHR211" s="2522"/>
      <c r="WHS211" s="2522"/>
      <c r="WHT211" s="2522"/>
      <c r="WHU211" s="2522"/>
      <c r="WHV211" s="2522"/>
      <c r="WHW211" s="2522"/>
      <c r="WHX211" s="2522"/>
      <c r="WHY211" s="2522"/>
      <c r="WHZ211" s="2522"/>
      <c r="WIA211" s="2522"/>
      <c r="WIB211" s="2522"/>
      <c r="WIC211" s="2522"/>
      <c r="WID211" s="2522"/>
      <c r="WIE211" s="2522"/>
      <c r="WIF211" s="2522"/>
      <c r="WIG211" s="2522"/>
      <c r="WIH211" s="2522"/>
      <c r="WII211" s="2522"/>
      <c r="WIJ211" s="2522"/>
      <c r="WIK211" s="2522"/>
      <c r="WIL211" s="2522"/>
      <c r="WIM211" s="2522"/>
      <c r="WIN211" s="2522"/>
      <c r="WIO211" s="2522"/>
      <c r="WIP211" s="2522"/>
      <c r="WIQ211" s="2522"/>
      <c r="WIR211" s="2522"/>
      <c r="WIS211" s="2522"/>
      <c r="WIT211" s="2522"/>
      <c r="WIU211" s="2522"/>
      <c r="WIV211" s="2522"/>
      <c r="WIW211" s="2522"/>
      <c r="WIX211" s="2522"/>
      <c r="WIY211" s="2522"/>
      <c r="WIZ211" s="2522"/>
      <c r="WJA211" s="2522"/>
      <c r="WJB211" s="2522"/>
      <c r="WJC211" s="2522"/>
      <c r="WJD211" s="2522"/>
      <c r="WJE211" s="2522"/>
      <c r="WJF211" s="2522"/>
      <c r="WJG211" s="2522"/>
      <c r="WJH211" s="2522"/>
      <c r="WJI211" s="2522"/>
      <c r="WJJ211" s="2522"/>
      <c r="WJK211" s="2522"/>
      <c r="WJL211" s="2522"/>
      <c r="WJM211" s="2522"/>
      <c r="WJN211" s="2522"/>
      <c r="WJO211" s="2522"/>
      <c r="WJP211" s="2522"/>
      <c r="WJQ211" s="2522"/>
      <c r="WJR211" s="2522"/>
      <c r="WJS211" s="2522"/>
      <c r="WJT211" s="2522"/>
      <c r="WJU211" s="2522"/>
      <c r="WJV211" s="2522"/>
      <c r="WJW211" s="2522"/>
      <c r="WJX211" s="2522"/>
      <c r="WJY211" s="2522"/>
      <c r="WJZ211" s="2522"/>
      <c r="WKA211" s="2522"/>
      <c r="WKB211" s="2522"/>
      <c r="WKC211" s="2522"/>
      <c r="WKD211" s="2522"/>
      <c r="WKE211" s="2522"/>
      <c r="WKF211" s="2522"/>
      <c r="WKG211" s="2522"/>
      <c r="WKH211" s="2522"/>
      <c r="WKI211" s="2522"/>
      <c r="WKJ211" s="2522"/>
      <c r="WKK211" s="2522"/>
      <c r="WKL211" s="2522"/>
      <c r="WKM211" s="2522"/>
      <c r="WKN211" s="2522"/>
      <c r="WKO211" s="2522"/>
      <c r="WKP211" s="2522"/>
      <c r="WKQ211" s="2522"/>
      <c r="WKR211" s="2522"/>
      <c r="WKS211" s="2522"/>
      <c r="WKT211" s="2522"/>
      <c r="WKU211" s="2522"/>
      <c r="WKV211" s="2522"/>
      <c r="WKW211" s="2522"/>
      <c r="WKX211" s="2522"/>
      <c r="WKY211" s="2522"/>
      <c r="WKZ211" s="2522"/>
      <c r="WLA211" s="2522"/>
      <c r="WLB211" s="2522"/>
      <c r="WLC211" s="2522"/>
      <c r="WLD211" s="2522"/>
      <c r="WLE211" s="2522"/>
      <c r="WLF211" s="2522"/>
      <c r="WLG211" s="2522"/>
      <c r="WLH211" s="2522"/>
      <c r="WLI211" s="2522"/>
      <c r="WLJ211" s="2522"/>
      <c r="WLK211" s="2522"/>
      <c r="WLL211" s="2522"/>
      <c r="WLM211" s="2522"/>
      <c r="WLN211" s="2522"/>
      <c r="WLO211" s="2522"/>
      <c r="WLP211" s="2522"/>
      <c r="WLQ211" s="2522"/>
      <c r="WLR211" s="2522"/>
      <c r="WLS211" s="2522"/>
      <c r="WLT211" s="2522"/>
      <c r="WLU211" s="2522"/>
      <c r="WLV211" s="2522"/>
      <c r="WLW211" s="2522"/>
      <c r="WLX211" s="2522"/>
      <c r="WLY211" s="2522"/>
      <c r="WLZ211" s="2522"/>
      <c r="WMA211" s="2522"/>
      <c r="WMB211" s="2522"/>
      <c r="WMC211" s="2522"/>
      <c r="WMD211" s="2522"/>
      <c r="WME211" s="2522"/>
      <c r="WMF211" s="2522"/>
      <c r="WMG211" s="2522"/>
      <c r="WMH211" s="2522"/>
      <c r="WMI211" s="2522"/>
      <c r="WMJ211" s="2522"/>
      <c r="WMK211" s="2522"/>
      <c r="WML211" s="2522"/>
      <c r="WMM211" s="2522"/>
      <c r="WMN211" s="2522"/>
      <c r="WMO211" s="2522"/>
      <c r="WMP211" s="2522"/>
      <c r="WMQ211" s="2522"/>
      <c r="WMR211" s="2522"/>
      <c r="WMS211" s="2522"/>
      <c r="WMT211" s="2522"/>
      <c r="WMU211" s="2522"/>
      <c r="WMV211" s="2522"/>
      <c r="WMW211" s="2522"/>
      <c r="WMX211" s="2522"/>
      <c r="WMY211" s="2522"/>
      <c r="WMZ211" s="2522"/>
      <c r="WNA211" s="2522"/>
      <c r="WNB211" s="2522"/>
      <c r="WNC211" s="2522"/>
      <c r="WND211" s="2522"/>
      <c r="WNE211" s="2522"/>
      <c r="WNF211" s="2522"/>
      <c r="WNG211" s="2522"/>
      <c r="WNH211" s="2522"/>
      <c r="WNI211" s="2522"/>
      <c r="WNJ211" s="2522"/>
      <c r="WNK211" s="2522"/>
      <c r="WNL211" s="2522"/>
      <c r="WNM211" s="2522"/>
      <c r="WNN211" s="2522"/>
      <c r="WNO211" s="2522"/>
      <c r="WNP211" s="2522"/>
      <c r="WNQ211" s="2522"/>
      <c r="WNR211" s="2522"/>
      <c r="WNS211" s="2522"/>
      <c r="WNT211" s="2522"/>
      <c r="WNU211" s="2522"/>
      <c r="WNV211" s="2522"/>
      <c r="WNW211" s="2522"/>
      <c r="WNX211" s="2522"/>
      <c r="WNY211" s="2522"/>
      <c r="WNZ211" s="2522"/>
      <c r="WOA211" s="2522"/>
      <c r="WOB211" s="2522"/>
      <c r="WOC211" s="2522"/>
      <c r="WOD211" s="2522"/>
      <c r="WOE211" s="2522"/>
      <c r="WOF211" s="2522"/>
      <c r="WOG211" s="2522"/>
      <c r="WOH211" s="2522"/>
      <c r="WOI211" s="2522"/>
      <c r="WOJ211" s="2522"/>
      <c r="WOK211" s="2522"/>
      <c r="WOL211" s="2522"/>
      <c r="WOM211" s="2522"/>
      <c r="WON211" s="2522"/>
      <c r="WOO211" s="2522"/>
      <c r="WOP211" s="2522"/>
      <c r="WOQ211" s="2522"/>
      <c r="WOR211" s="2522"/>
      <c r="WOS211" s="2522"/>
      <c r="WOT211" s="2522"/>
      <c r="WOU211" s="2522"/>
      <c r="WOV211" s="2522"/>
      <c r="WOW211" s="2522"/>
      <c r="WOX211" s="2522"/>
      <c r="WOY211" s="2522"/>
      <c r="WOZ211" s="2522"/>
      <c r="WPA211" s="2522"/>
      <c r="WPB211" s="2522"/>
      <c r="WPC211" s="2522"/>
      <c r="WPD211" s="2522"/>
      <c r="WPE211" s="2522"/>
      <c r="WPF211" s="2522"/>
      <c r="WPG211" s="2522"/>
      <c r="WPH211" s="2522"/>
      <c r="WPI211" s="2522"/>
      <c r="WPJ211" s="2522"/>
      <c r="WPK211" s="2522"/>
      <c r="WPL211" s="2522"/>
      <c r="WPM211" s="2522"/>
      <c r="WPN211" s="2522"/>
      <c r="WPO211" s="2522"/>
      <c r="WPP211" s="2522"/>
      <c r="WPQ211" s="2522"/>
      <c r="WPR211" s="2522"/>
      <c r="WPS211" s="2522"/>
      <c r="WPT211" s="2522"/>
      <c r="WPU211" s="2522"/>
      <c r="WPV211" s="2522"/>
      <c r="WPW211" s="2522"/>
      <c r="WPX211" s="2522"/>
      <c r="WPY211" s="2522"/>
      <c r="WPZ211" s="2522"/>
      <c r="WQA211" s="2522"/>
      <c r="WQB211" s="2522"/>
      <c r="WQC211" s="2522"/>
      <c r="WQD211" s="2522"/>
      <c r="WQE211" s="2522"/>
      <c r="WQF211" s="2522"/>
      <c r="WQG211" s="2522"/>
      <c r="WQH211" s="2522"/>
      <c r="WQI211" s="2522"/>
      <c r="WQJ211" s="2522"/>
      <c r="WQK211" s="2522"/>
      <c r="WQL211" s="2522"/>
      <c r="WQM211" s="2522"/>
      <c r="WQN211" s="2522"/>
      <c r="WQO211" s="2522"/>
      <c r="WQP211" s="2522"/>
      <c r="WQQ211" s="2522"/>
      <c r="WQR211" s="2522"/>
      <c r="WQS211" s="2522"/>
      <c r="WQT211" s="2522"/>
      <c r="WQU211" s="2522"/>
      <c r="WQV211" s="2522"/>
      <c r="WQW211" s="2522"/>
      <c r="WQX211" s="2522"/>
      <c r="WQY211" s="2522"/>
      <c r="WQZ211" s="2522"/>
      <c r="WRA211" s="2522"/>
      <c r="WRB211" s="2522"/>
      <c r="WRC211" s="2522"/>
      <c r="WRD211" s="2522"/>
      <c r="WRE211" s="2522"/>
      <c r="WRF211" s="2522"/>
      <c r="WRG211" s="2522"/>
      <c r="WRH211" s="2522"/>
      <c r="WRI211" s="2522"/>
      <c r="WRJ211" s="2522"/>
      <c r="WRK211" s="2522"/>
      <c r="WRL211" s="2522"/>
      <c r="WRM211" s="2522"/>
      <c r="WRN211" s="2522"/>
      <c r="WRO211" s="2522"/>
      <c r="WRP211" s="2522"/>
      <c r="WRQ211" s="2522"/>
      <c r="WRR211" s="2522"/>
      <c r="WRS211" s="2522"/>
      <c r="WRT211" s="2522"/>
      <c r="WRU211" s="2522"/>
      <c r="WRV211" s="2522"/>
      <c r="WRW211" s="2522"/>
      <c r="WRX211" s="2522"/>
      <c r="WRY211" s="2522"/>
      <c r="WRZ211" s="2522"/>
      <c r="WSA211" s="2522"/>
      <c r="WSB211" s="2522"/>
      <c r="WSC211" s="2522"/>
      <c r="WSD211" s="2522"/>
      <c r="WSE211" s="2522"/>
      <c r="WSF211" s="2522"/>
      <c r="WSG211" s="2522"/>
      <c r="WSH211" s="2522"/>
      <c r="WSI211" s="2522"/>
      <c r="WSJ211" s="2522"/>
      <c r="WSK211" s="2522"/>
      <c r="WSL211" s="2522"/>
      <c r="WSM211" s="2522"/>
      <c r="WSN211" s="2522"/>
      <c r="WSO211" s="2522"/>
      <c r="WSP211" s="2522"/>
      <c r="WSQ211" s="2522"/>
      <c r="WSR211" s="2522"/>
      <c r="WSS211" s="2522"/>
      <c r="WST211" s="2522"/>
      <c r="WSU211" s="2522"/>
      <c r="WSV211" s="2522"/>
      <c r="WSW211" s="2522"/>
      <c r="WSX211" s="2522"/>
      <c r="WSY211" s="2522"/>
      <c r="WSZ211" s="2522"/>
      <c r="WTA211" s="2522"/>
      <c r="WTB211" s="2522"/>
      <c r="WTC211" s="2522"/>
      <c r="WTD211" s="2522"/>
      <c r="WTE211" s="2522"/>
      <c r="WTF211" s="2522"/>
      <c r="WTG211" s="2522"/>
      <c r="WTH211" s="2522"/>
      <c r="WTI211" s="2522"/>
      <c r="WTJ211" s="2522"/>
      <c r="WTK211" s="2522"/>
      <c r="WTL211" s="2522"/>
      <c r="WTM211" s="2522"/>
      <c r="WTN211" s="2522"/>
      <c r="WTO211" s="2522"/>
      <c r="WTP211" s="2522"/>
      <c r="WTQ211" s="2522"/>
      <c r="WTR211" s="2522"/>
      <c r="WTS211" s="2522"/>
      <c r="WTT211" s="2522"/>
      <c r="WTU211" s="2522"/>
      <c r="WTV211" s="2522"/>
      <c r="WTW211" s="2522"/>
      <c r="WTX211" s="2522"/>
      <c r="WTY211" s="2522"/>
      <c r="WTZ211" s="2522"/>
      <c r="WUA211" s="2522"/>
      <c r="WUB211" s="2522"/>
      <c r="WUC211" s="2522"/>
      <c r="WUD211" s="2522"/>
      <c r="WUE211" s="2522"/>
      <c r="WUF211" s="2522"/>
      <c r="WUG211" s="2522"/>
      <c r="WUH211" s="2522"/>
      <c r="WUI211" s="2522"/>
      <c r="WUJ211" s="2522"/>
      <c r="WUK211" s="2522"/>
      <c r="WUL211" s="2522"/>
      <c r="WUM211" s="2522"/>
      <c r="WUN211" s="2522"/>
      <c r="WUO211" s="2522"/>
      <c r="WUP211" s="2522"/>
      <c r="WUQ211" s="2522"/>
      <c r="WUR211" s="2522"/>
      <c r="WUS211" s="2522"/>
      <c r="WUT211" s="2522"/>
      <c r="WUU211" s="2522"/>
      <c r="WUV211" s="2522"/>
      <c r="WUW211" s="2522"/>
      <c r="WUX211" s="2522"/>
      <c r="WUY211" s="2522"/>
      <c r="WUZ211" s="2522"/>
      <c r="WVA211" s="2522"/>
      <c r="WVB211" s="2522"/>
      <c r="WVC211" s="2522"/>
      <c r="WVD211" s="2522"/>
      <c r="WVE211" s="2522"/>
      <c r="WVF211" s="2522"/>
      <c r="WVG211" s="2522"/>
      <c r="WVH211" s="2522"/>
      <c r="WVI211" s="2522"/>
      <c r="WVJ211" s="2522"/>
      <c r="WVK211" s="2522"/>
      <c r="WVL211" s="2522"/>
      <c r="WVM211" s="2522"/>
      <c r="WVN211" s="2522"/>
      <c r="WVO211" s="2522"/>
      <c r="WVP211" s="2522"/>
      <c r="WVQ211" s="2522"/>
      <c r="WVR211" s="2522"/>
      <c r="WVS211" s="2522"/>
      <c r="WVT211" s="2522"/>
      <c r="WVU211" s="2522"/>
      <c r="WVV211" s="2522"/>
      <c r="WVW211" s="2522"/>
      <c r="WVX211" s="2522"/>
      <c r="WVY211" s="2522"/>
      <c r="WVZ211" s="2522"/>
      <c r="WWA211" s="2522"/>
      <c r="WWB211" s="2522"/>
      <c r="WWC211" s="2522"/>
      <c r="WWD211" s="2522"/>
      <c r="WWE211" s="2522"/>
      <c r="WWF211" s="2522"/>
      <c r="WWG211" s="2522"/>
      <c r="WWH211" s="2522"/>
      <c r="WWI211" s="2522"/>
      <c r="WWJ211" s="2522"/>
      <c r="WWK211" s="2522"/>
      <c r="WWL211" s="2522"/>
      <c r="WWM211" s="2522"/>
      <c r="WWN211" s="2522"/>
      <c r="WWO211" s="2522"/>
      <c r="WWP211" s="2522"/>
      <c r="WWQ211" s="2522"/>
      <c r="WWR211" s="2522"/>
      <c r="WWS211" s="2522"/>
      <c r="WWT211" s="2522"/>
      <c r="WWU211" s="2522"/>
      <c r="WWV211" s="2522"/>
      <c r="WWW211" s="2522"/>
      <c r="WWX211" s="2522"/>
      <c r="WWY211" s="2522"/>
      <c r="WWZ211" s="2522"/>
      <c r="WXA211" s="2522"/>
      <c r="WXB211" s="2522"/>
      <c r="WXC211" s="2522"/>
      <c r="WXD211" s="2522"/>
      <c r="WXE211" s="2522"/>
      <c r="WXF211" s="2522"/>
      <c r="WXG211" s="2522"/>
      <c r="WXH211" s="2522"/>
      <c r="WXI211" s="2522"/>
      <c r="WXJ211" s="2522"/>
      <c r="WXK211" s="2522"/>
      <c r="WXL211" s="2522"/>
      <c r="WXM211" s="2522"/>
      <c r="WXN211" s="2522"/>
      <c r="WXO211" s="2522"/>
      <c r="WXP211" s="2522"/>
      <c r="WXQ211" s="2522"/>
      <c r="WXR211" s="2522"/>
      <c r="WXS211" s="2522"/>
      <c r="WXT211" s="2522"/>
      <c r="WXU211" s="2522"/>
      <c r="WXV211" s="2522"/>
      <c r="WXW211" s="2522"/>
      <c r="WXX211" s="2522"/>
      <c r="WXY211" s="2522"/>
      <c r="WXZ211" s="2522"/>
      <c r="WYA211" s="2522"/>
      <c r="WYB211" s="2522"/>
      <c r="WYC211" s="2522"/>
      <c r="WYD211" s="2522"/>
      <c r="WYE211" s="2522"/>
      <c r="WYF211" s="2522"/>
      <c r="WYG211" s="2522"/>
      <c r="WYH211" s="2522"/>
      <c r="WYI211" s="2522"/>
      <c r="WYJ211" s="2522"/>
      <c r="WYK211" s="2522"/>
      <c r="WYL211" s="2522"/>
      <c r="WYM211" s="2522"/>
      <c r="WYN211" s="2522"/>
      <c r="WYO211" s="2522"/>
      <c r="WYP211" s="2522"/>
      <c r="WYQ211" s="2522"/>
      <c r="WYR211" s="2522"/>
      <c r="WYS211" s="2522"/>
      <c r="WYT211" s="2522"/>
      <c r="WYU211" s="2522"/>
      <c r="WYV211" s="2522"/>
      <c r="WYW211" s="2522"/>
      <c r="WYX211" s="2522"/>
      <c r="WYY211" s="2522"/>
      <c r="WYZ211" s="2522"/>
      <c r="WZA211" s="2522"/>
      <c r="WZB211" s="2522"/>
      <c r="WZC211" s="2522"/>
      <c r="WZD211" s="2522"/>
      <c r="WZE211" s="2522"/>
      <c r="WZF211" s="2522"/>
      <c r="WZG211" s="2522"/>
      <c r="WZH211" s="2522"/>
      <c r="WZI211" s="2522"/>
      <c r="WZJ211" s="2522"/>
      <c r="WZK211" s="2522"/>
      <c r="WZL211" s="2522"/>
      <c r="WZM211" s="2522"/>
      <c r="WZN211" s="2522"/>
      <c r="WZO211" s="2522"/>
      <c r="WZP211" s="2522"/>
      <c r="WZQ211" s="2522"/>
      <c r="WZR211" s="2522"/>
      <c r="WZS211" s="2522"/>
      <c r="WZT211" s="2522"/>
      <c r="WZU211" s="2522"/>
      <c r="WZV211" s="2522"/>
      <c r="WZW211" s="2522"/>
      <c r="WZX211" s="2522"/>
      <c r="WZY211" s="2522"/>
      <c r="WZZ211" s="2522"/>
      <c r="XAA211" s="2522"/>
      <c r="XAB211" s="2522"/>
      <c r="XAC211" s="2522"/>
      <c r="XAD211" s="2522"/>
      <c r="XAE211" s="2522"/>
      <c r="XAF211" s="2522"/>
      <c r="XAG211" s="2522"/>
      <c r="XAH211" s="2522"/>
      <c r="XAI211" s="2522"/>
      <c r="XAJ211" s="2522"/>
      <c r="XAK211" s="2522"/>
      <c r="XAL211" s="2522"/>
      <c r="XAM211" s="2522"/>
      <c r="XAN211" s="2522"/>
      <c r="XAO211" s="2522"/>
      <c r="XAP211" s="2522"/>
      <c r="XAQ211" s="2522"/>
      <c r="XAR211" s="2522"/>
      <c r="XAS211" s="2522"/>
      <c r="XAT211" s="2522"/>
      <c r="XAU211" s="2522"/>
      <c r="XAV211" s="2522"/>
      <c r="XAW211" s="2522"/>
      <c r="XAX211" s="2522"/>
      <c r="XAY211" s="2522"/>
      <c r="XAZ211" s="2522"/>
    </row>
    <row r="212" spans="1:16276" s="2290" customFormat="1" x14ac:dyDescent="0.25">
      <c r="B212" s="2398">
        <v>912</v>
      </c>
      <c r="C212" s="2521"/>
      <c r="D212" s="2384"/>
      <c r="E212" s="2525"/>
      <c r="F212" s="2417">
        <f>F117</f>
        <v>0</v>
      </c>
      <c r="G212" s="2417">
        <f>G117</f>
        <v>0</v>
      </c>
      <c r="H212" s="2417"/>
      <c r="I212" s="2417"/>
      <c r="J212" s="2417">
        <f>J117</f>
        <v>0</v>
      </c>
      <c r="K212" s="2417">
        <f>K117</f>
        <v>7</v>
      </c>
      <c r="L212" s="2417"/>
      <c r="M212" s="2417"/>
      <c r="N212" s="2417">
        <f>N117</f>
        <v>0</v>
      </c>
      <c r="O212" s="2417">
        <f>O117</f>
        <v>7</v>
      </c>
      <c r="P212" s="2417"/>
      <c r="Q212" s="2417"/>
      <c r="R212" s="2417">
        <f t="shared" ref="R212:Y213" si="38">R117</f>
        <v>0</v>
      </c>
      <c r="S212" s="2417">
        <f t="shared" si="38"/>
        <v>0</v>
      </c>
      <c r="T212" s="2417">
        <f t="shared" si="38"/>
        <v>0</v>
      </c>
      <c r="U212" s="2417">
        <f t="shared" si="38"/>
        <v>7</v>
      </c>
      <c r="V212" s="2417">
        <f t="shared" si="38"/>
        <v>0</v>
      </c>
      <c r="W212" s="2417">
        <f t="shared" si="38"/>
        <v>0</v>
      </c>
      <c r="X212" s="2417">
        <f t="shared" si="38"/>
        <v>0</v>
      </c>
      <c r="Y212" s="2417">
        <f t="shared" si="38"/>
        <v>0</v>
      </c>
      <c r="AA212" s="2292"/>
    </row>
    <row r="213" spans="1:16276" s="2290" customFormat="1" x14ac:dyDescent="0.25">
      <c r="B213" s="2398">
        <v>921</v>
      </c>
      <c r="C213" s="2521"/>
      <c r="D213" s="2384"/>
      <c r="E213" s="2525"/>
      <c r="F213" s="2417">
        <f>F118</f>
        <v>0</v>
      </c>
      <c r="G213" s="2417">
        <f>G118</f>
        <v>0</v>
      </c>
      <c r="H213" s="2417"/>
      <c r="I213" s="2417"/>
      <c r="J213" s="2417">
        <f>J118</f>
        <v>0</v>
      </c>
      <c r="K213" s="2417">
        <f>K118</f>
        <v>68</v>
      </c>
      <c r="L213" s="2417"/>
      <c r="M213" s="2417"/>
      <c r="N213" s="2417">
        <f>N118</f>
        <v>0</v>
      </c>
      <c r="O213" s="2417">
        <f>O118</f>
        <v>68</v>
      </c>
      <c r="P213" s="2417"/>
      <c r="Q213" s="2417"/>
      <c r="R213" s="2417">
        <f t="shared" si="38"/>
        <v>0</v>
      </c>
      <c r="S213" s="2417">
        <f t="shared" si="38"/>
        <v>0</v>
      </c>
      <c r="T213" s="2417">
        <f t="shared" si="38"/>
        <v>0</v>
      </c>
      <c r="U213" s="2417">
        <f t="shared" si="38"/>
        <v>68</v>
      </c>
      <c r="V213" s="2417">
        <f t="shared" si="38"/>
        <v>0</v>
      </c>
      <c r="W213" s="2417">
        <f t="shared" si="38"/>
        <v>0</v>
      </c>
      <c r="X213" s="2417">
        <f t="shared" si="38"/>
        <v>0</v>
      </c>
      <c r="Y213" s="2417">
        <f t="shared" si="38"/>
        <v>0</v>
      </c>
      <c r="AA213" s="2292"/>
    </row>
    <row r="214" spans="1:16276" s="2290" customFormat="1" x14ac:dyDescent="0.25">
      <c r="B214" s="2398">
        <v>922</v>
      </c>
      <c r="C214" s="2521"/>
      <c r="D214" s="2384"/>
      <c r="E214" s="2525"/>
      <c r="F214" s="2417">
        <f>F113</f>
        <v>15</v>
      </c>
      <c r="G214" s="2417">
        <f>G113</f>
        <v>0</v>
      </c>
      <c r="H214" s="2417"/>
      <c r="I214" s="2417"/>
      <c r="J214" s="2417">
        <f>J113</f>
        <v>0</v>
      </c>
      <c r="K214" s="2417">
        <f>K113</f>
        <v>0</v>
      </c>
      <c r="L214" s="2417"/>
      <c r="M214" s="2417"/>
      <c r="N214" s="2417">
        <f>N113</f>
        <v>0</v>
      </c>
      <c r="O214" s="2417">
        <f>O113</f>
        <v>0</v>
      </c>
      <c r="P214" s="2417"/>
      <c r="Q214" s="2417"/>
      <c r="R214" s="2417">
        <f t="shared" ref="R214:Y214" si="39">R113</f>
        <v>0</v>
      </c>
      <c r="S214" s="2417">
        <f t="shared" si="39"/>
        <v>0</v>
      </c>
      <c r="T214" s="2417">
        <f t="shared" si="39"/>
        <v>0</v>
      </c>
      <c r="U214" s="2417">
        <f t="shared" si="39"/>
        <v>0</v>
      </c>
      <c r="V214" s="2417">
        <f t="shared" si="39"/>
        <v>0</v>
      </c>
      <c r="W214" s="2417">
        <f t="shared" si="39"/>
        <v>0</v>
      </c>
      <c r="X214" s="2417">
        <f t="shared" si="39"/>
        <v>0</v>
      </c>
      <c r="Y214" s="2417">
        <f t="shared" si="39"/>
        <v>0</v>
      </c>
      <c r="AA214" s="2292"/>
    </row>
    <row r="215" spans="1:16276" s="2290" customFormat="1" x14ac:dyDescent="0.25">
      <c r="B215" s="2398">
        <v>952</v>
      </c>
      <c r="C215" s="2521"/>
      <c r="D215" s="2384"/>
      <c r="E215" s="2525"/>
      <c r="F215" s="2417">
        <f>F119</f>
        <v>0</v>
      </c>
      <c r="G215" s="2417">
        <f>G119</f>
        <v>0</v>
      </c>
      <c r="H215" s="2417"/>
      <c r="I215" s="2417"/>
      <c r="J215" s="2417">
        <f>J119</f>
        <v>0</v>
      </c>
      <c r="K215" s="2417">
        <f>K119</f>
        <v>28</v>
      </c>
      <c r="L215" s="2417"/>
      <c r="M215" s="2417"/>
      <c r="N215" s="2417">
        <f>N119</f>
        <v>0</v>
      </c>
      <c r="O215" s="2417">
        <f>O119</f>
        <v>28</v>
      </c>
      <c r="P215" s="2417"/>
      <c r="Q215" s="2417"/>
      <c r="R215" s="2417">
        <f t="shared" ref="R215:Y215" si="40">R119</f>
        <v>0</v>
      </c>
      <c r="S215" s="2417">
        <f t="shared" si="40"/>
        <v>0</v>
      </c>
      <c r="T215" s="2417">
        <f t="shared" si="40"/>
        <v>0</v>
      </c>
      <c r="U215" s="2417">
        <f t="shared" si="40"/>
        <v>28</v>
      </c>
      <c r="V215" s="2417">
        <f t="shared" si="40"/>
        <v>0</v>
      </c>
      <c r="W215" s="2417">
        <f t="shared" si="40"/>
        <v>0</v>
      </c>
      <c r="X215" s="2417">
        <f t="shared" si="40"/>
        <v>0</v>
      </c>
      <c r="Y215" s="2417">
        <f t="shared" si="40"/>
        <v>0</v>
      </c>
      <c r="AA215" s="2292"/>
    </row>
    <row r="216" spans="1:16276" s="2540" customFormat="1" x14ac:dyDescent="0.25">
      <c r="B216" s="2541">
        <v>955</v>
      </c>
      <c r="C216" s="2542"/>
      <c r="D216" s="2543"/>
      <c r="E216" s="2544"/>
      <c r="F216" s="2545">
        <f>F14+F32+F71+F49+F96+F156</f>
        <v>52.9</v>
      </c>
      <c r="G216" s="2545">
        <f>G14+G32+G71+G49+G96+G156</f>
        <v>0</v>
      </c>
      <c r="H216" s="2545"/>
      <c r="I216" s="2545"/>
      <c r="J216" s="2545">
        <f>J14+J32+J71+J49+J96+J156</f>
        <v>28.1</v>
      </c>
      <c r="K216" s="2545">
        <f>K14+K32+K71+K49+K96+K156</f>
        <v>8.8000000000000007</v>
      </c>
      <c r="L216" s="2545"/>
      <c r="M216" s="2545"/>
      <c r="N216" s="2545">
        <f>N14+N32+N71+N49+N96+N156</f>
        <v>28.1</v>
      </c>
      <c r="O216" s="2545">
        <f>O14+O32+O71+O49+O96+O156</f>
        <v>8.8000000000000007</v>
      </c>
      <c r="P216" s="2545"/>
      <c r="Q216" s="2545"/>
      <c r="R216" s="2545">
        <f>R14+R32+R71+R49+R96+R156+R175+R183+R189+R196</f>
        <v>106.2</v>
      </c>
      <c r="S216" s="2545">
        <f>S14+S32+S71+S49+S96+S156+S175+S183+S189+S196</f>
        <v>105.8</v>
      </c>
      <c r="T216" s="2545">
        <f>T14+T32+T71+T49+T96+T156+T175+T183+T189+T196</f>
        <v>0</v>
      </c>
      <c r="U216" s="2545">
        <f>U14+U32+U71+U49+U96+U156</f>
        <v>13.2</v>
      </c>
      <c r="V216" s="2545">
        <f>V14+V32+V71+V49+V96+V156</f>
        <v>-0.3</v>
      </c>
      <c r="W216" s="2545">
        <f>W14+W32+W71+W49+W96+W156</f>
        <v>77.099999999999994</v>
      </c>
      <c r="X216" s="2545">
        <f>X14+X32+X71+X49+X96+X156+X175+X183+X189+X196</f>
        <v>105.8</v>
      </c>
      <c r="Y216" s="2545">
        <f>Y14+Y32+Y71+Y49+Y96+Y156+Y175+Y183+Y189+Y196</f>
        <v>105.8</v>
      </c>
      <c r="AA216" s="2546"/>
      <c r="AB216" s="2547"/>
    </row>
    <row r="217" spans="1:16276" s="2290" customFormat="1" x14ac:dyDescent="0.25">
      <c r="B217" s="2398">
        <v>963</v>
      </c>
      <c r="C217" s="2521"/>
      <c r="D217" s="2384"/>
      <c r="E217" s="2525"/>
      <c r="F217" s="2417">
        <f>F17+F21+F23+F38+F62+F82+F91+F104+F126+F169</f>
        <v>117.8</v>
      </c>
      <c r="G217" s="2417">
        <f>G17+G21+G23+G38+G62+G82+G91+G104+G126+G169</f>
        <v>0</v>
      </c>
      <c r="H217" s="2417"/>
      <c r="I217" s="2417"/>
      <c r="J217" s="2417">
        <f>J17+J21+J23+J38+J62+J82+J91+J104+J126+J169</f>
        <v>78.599999999999994</v>
      </c>
      <c r="K217" s="2417">
        <f>K17+K21+K23+K38+K62+K82+K91+K104+K126+K169</f>
        <v>8.6</v>
      </c>
      <c r="L217" s="2417"/>
      <c r="M217" s="2417"/>
      <c r="N217" s="2417">
        <f>N17+N21+N23+N38+N62+N82+N91+N104+N126+N169</f>
        <v>79.099999999999994</v>
      </c>
      <c r="O217" s="2417">
        <f>O17+O21+O23+O38+O62+O82+O91+O104+O126+O169</f>
        <v>8.6</v>
      </c>
      <c r="P217" s="2417"/>
      <c r="Q217" s="2417"/>
      <c r="R217" s="2417">
        <f t="shared" ref="R217:Y217" si="41">R17+R21+R23+R38+R62+R82+R91+R104+R126+R169+R204</f>
        <v>253.1</v>
      </c>
      <c r="S217" s="2417">
        <f t="shared" si="41"/>
        <v>253.1</v>
      </c>
      <c r="T217" s="2417">
        <f t="shared" si="41"/>
        <v>0</v>
      </c>
      <c r="U217" s="2417">
        <f t="shared" si="41"/>
        <v>23.4</v>
      </c>
      <c r="V217" s="2417">
        <f t="shared" si="41"/>
        <v>174.5</v>
      </c>
      <c r="W217" s="2417">
        <f t="shared" si="41"/>
        <v>697.4</v>
      </c>
      <c r="X217" s="2417">
        <f t="shared" si="41"/>
        <v>223.8</v>
      </c>
      <c r="Y217" s="2417">
        <f t="shared" si="41"/>
        <v>279.10000000000002</v>
      </c>
      <c r="AA217" s="2292"/>
    </row>
    <row r="218" spans="1:16276" s="2290" customFormat="1" x14ac:dyDescent="0.25">
      <c r="B218" s="2398">
        <v>966</v>
      </c>
      <c r="C218" s="2521"/>
      <c r="D218" s="2384"/>
      <c r="E218" s="2525"/>
      <c r="F218" s="2417">
        <f>F115+F116</f>
        <v>301.3</v>
      </c>
      <c r="G218" s="2417">
        <f>G115+G116</f>
        <v>0</v>
      </c>
      <c r="H218" s="2417"/>
      <c r="I218" s="2417"/>
      <c r="J218" s="2417">
        <f>J115+J116</f>
        <v>280</v>
      </c>
      <c r="K218" s="2417">
        <f>K115+K116</f>
        <v>168</v>
      </c>
      <c r="L218" s="2417"/>
      <c r="M218" s="2417"/>
      <c r="N218" s="2417">
        <f>N115+N116</f>
        <v>280</v>
      </c>
      <c r="O218" s="2417">
        <f>O115+O116</f>
        <v>168</v>
      </c>
      <c r="P218" s="2417"/>
      <c r="Q218" s="2417"/>
      <c r="R218" s="2417">
        <f t="shared" ref="R218:Y218" si="42">R115+R116</f>
        <v>280</v>
      </c>
      <c r="S218" s="2417">
        <f t="shared" si="42"/>
        <v>280</v>
      </c>
      <c r="T218" s="2417">
        <f t="shared" si="42"/>
        <v>0</v>
      </c>
      <c r="U218" s="2417">
        <f t="shared" si="42"/>
        <v>168</v>
      </c>
      <c r="V218" s="2417">
        <f t="shared" si="42"/>
        <v>0</v>
      </c>
      <c r="W218" s="2417">
        <f t="shared" si="42"/>
        <v>100</v>
      </c>
      <c r="X218" s="2417">
        <f t="shared" si="42"/>
        <v>300</v>
      </c>
      <c r="Y218" s="2417">
        <f t="shared" si="42"/>
        <v>300</v>
      </c>
      <c r="AA218" s="2292"/>
    </row>
    <row r="219" spans="1:16276" s="2290" customFormat="1" x14ac:dyDescent="0.25">
      <c r="B219" s="2398">
        <v>971</v>
      </c>
      <c r="C219" s="2521"/>
      <c r="D219" s="2384"/>
      <c r="E219" s="2525"/>
      <c r="F219" s="2417">
        <f>F94</f>
        <v>190</v>
      </c>
      <c r="G219" s="2417"/>
      <c r="H219" s="2384"/>
      <c r="I219" s="2384"/>
      <c r="J219" s="2384"/>
      <c r="K219" s="2384"/>
      <c r="L219" s="2384"/>
      <c r="M219" s="2384"/>
      <c r="N219" s="2384"/>
      <c r="O219" s="2384"/>
      <c r="P219" s="2384"/>
      <c r="Q219" s="2384"/>
      <c r="R219" s="2384"/>
      <c r="S219" s="2384"/>
      <c r="T219" s="2384"/>
      <c r="U219" s="2384"/>
      <c r="V219" s="2384"/>
      <c r="W219" s="2384"/>
      <c r="X219" s="2384"/>
      <c r="Y219" s="2384"/>
      <c r="AA219" s="2292"/>
      <c r="AB219" s="2527"/>
    </row>
    <row r="220" spans="1:16276" s="2290" customFormat="1" x14ac:dyDescent="0.25">
      <c r="B220" s="2398">
        <v>981</v>
      </c>
      <c r="C220" s="2521"/>
      <c r="D220" s="2384"/>
      <c r="E220" s="2525"/>
      <c r="F220" s="2417">
        <f>F24+F26+F30+F41+F44+F45+F54+F58+F67+F75+F78+F80+F86+F102+F106+F109+F121+F111+F131+F132+F133+F134+F135+F136+F138+F139+F140+F141+F142+F162+F165</f>
        <v>162.30000000000001</v>
      </c>
      <c r="G220" s="2417">
        <f>G24+G26+G30+G41+G44+G45+G54+G58+G67+G75+G78+G80+G86+G102+G106+G109+G121+G111+G131+G132+G133+G134+G135+G136+G138+G139+G140+G141+G142+G162+G165</f>
        <v>6.5</v>
      </c>
      <c r="H220" s="2417"/>
      <c r="I220" s="2417"/>
      <c r="J220" s="2417">
        <f>J24+J26+J30+J41+J44+J45+J54+J58+J67+J75+J78+J80+J86+J102+J106+J109+J121+J111+J131+J132+J133+J134+J135+J136+J138+J139+J140+J141+J142+J162+J165</f>
        <v>141.6</v>
      </c>
      <c r="K220" s="2417">
        <f>K24+K26+K30+K41+K44+K45+K54+K58+K67+K75+K78+K80+K86+K102+K106+K109+K121+K111+K131+K132+K133+K134+K135+K136+K138+K139+K140+K141+K142+K162+K165</f>
        <v>20.100000000000001</v>
      </c>
      <c r="L220" s="2417"/>
      <c r="M220" s="2417"/>
      <c r="N220" s="2417">
        <f>N24+N26+N30+N41+N44+N45+N54+N58+N67+N75+N78+N80+N86+N102+N106+N109+N121+N111+N131+N132+N133+N134+N135+N136+N138+N139+N140+N141+N142+N162+N165</f>
        <v>141.1</v>
      </c>
      <c r="O220" s="2417">
        <f>O24+O26+O30+O41+O44+O45+O54+O58+O67+O75+O78+O80+O86+O102+O106+O109+O121+O111+O131+O132+O133+O134+O135+O136+O138+O139+O140+O141+O142+O162+O165</f>
        <v>20.100000000000001</v>
      </c>
      <c r="P220" s="2417"/>
      <c r="Q220" s="2417"/>
      <c r="R220" s="2417">
        <f>R24+R26+R30+R41+R44+R45+R54+R58+R67+R75+R78+R80+R86+R102+R106+R111+R109+R121+R131+R132+R133+R134+R135+R136+R138+R139+R140+R141+R142+R162+R165</f>
        <v>109.5</v>
      </c>
      <c r="S220" s="2417">
        <f>S24+S26+S30+S41+S44+S45+S54+S58+S67+S75+S78+S80+S86+S102+S106+S111+S109+S121+S131+S132+S133+S134+S135+S136+S138+S139+S140+S141+S142+S162+S165</f>
        <v>109.5</v>
      </c>
      <c r="T220" s="2417">
        <f>T24+T26+T30+T41+T44+T45+T54+T58+T67+T75+T78+T80+T86+T102+T106+T111+T109+T121+T131+T132+T133+T134+T135+T136+T138+T139+T140+T141+T142+T162+T165</f>
        <v>0</v>
      </c>
      <c r="U220" s="2417">
        <f>U24+U26+U30+U41+U44+U45+U54+U58+U67+U75+U78+U80+U86+U102+U106+U109+U121+U111+U131+U132+U133+U134+U135+U136+U138+U139+U140+U141+U142+U162+U165</f>
        <v>17.7</v>
      </c>
      <c r="V220" s="2417">
        <f>V24+V26+V30+V41+V44+V45+V54+V58+V67+V75+V78+V80+V86+V102+V106+V109+V121+V111+V131+V132+V133+V134+V135+V136+V138+V139+V140+V141+V142+V162+V165</f>
        <v>-32.1</v>
      </c>
      <c r="W220" s="2417">
        <f>W24+W26+W30+W41+W44+W45+W54+W58+W67+W75+W78+W80+W86+W102+W106+W109+W121+W111+W131+W132+W133+W134+W135+W136+W138+W139+W140+W141+W142+W162+W165</f>
        <v>1683.9</v>
      </c>
      <c r="X220" s="2417">
        <f>X24+X26+X30+X41+X44+X45+X54+X58+X67+X75+X78+X80+X86+X102+X106+X109+X121+X111+X131+X132+X133+X134+X135+X136+X138+X139+X140+X141+X142+X162+X165-5</f>
        <v>112</v>
      </c>
      <c r="Y220" s="2417">
        <f>Y24+Y26+Y30+Y41+Y44+Y45+Y54+Y58+Y67+Y75+Y78+Y80+Y86+Y102+Y106+Y109+Y121+Y111+Y131+Y132+Y133+Y134+Y135+Y136+Y138+Y139+Y140+Y141+Y142+Y162+Y165-5</f>
        <v>114.1</v>
      </c>
      <c r="AA220" s="2292"/>
    </row>
    <row r="221" spans="1:16276" s="2290" customFormat="1" x14ac:dyDescent="0.25">
      <c r="B221" s="2398">
        <v>985</v>
      </c>
      <c r="C221" s="2521"/>
      <c r="D221" s="2384"/>
      <c r="E221" s="2525"/>
      <c r="F221" s="2417">
        <f>F137</f>
        <v>1.5</v>
      </c>
      <c r="G221" s="2417">
        <f>G137</f>
        <v>0</v>
      </c>
      <c r="H221" s="2417"/>
      <c r="I221" s="2417"/>
      <c r="J221" s="2417">
        <f>J137</f>
        <v>1.5</v>
      </c>
      <c r="K221" s="2417">
        <f>K137</f>
        <v>0</v>
      </c>
      <c r="L221" s="2417"/>
      <c r="M221" s="2417"/>
      <c r="N221" s="2417">
        <f>N137</f>
        <v>1.5</v>
      </c>
      <c r="O221" s="2417">
        <f>O137</f>
        <v>0</v>
      </c>
      <c r="P221" s="2417"/>
      <c r="Q221" s="2417"/>
      <c r="R221" s="2417">
        <f t="shared" ref="R221:Y221" si="43">R137</f>
        <v>1.5</v>
      </c>
      <c r="S221" s="2417">
        <f t="shared" si="43"/>
        <v>1.5</v>
      </c>
      <c r="T221" s="2417">
        <f t="shared" si="43"/>
        <v>0</v>
      </c>
      <c r="U221" s="2417">
        <f t="shared" si="43"/>
        <v>0</v>
      </c>
      <c r="V221" s="2417">
        <f t="shared" si="43"/>
        <v>0</v>
      </c>
      <c r="W221" s="2417">
        <f t="shared" si="43"/>
        <v>100</v>
      </c>
      <c r="X221" s="2417">
        <f t="shared" si="43"/>
        <v>1.5</v>
      </c>
      <c r="Y221" s="2417">
        <f t="shared" si="43"/>
        <v>1.5</v>
      </c>
      <c r="AA221" s="2292"/>
    </row>
    <row r="222" spans="1:16276" s="2290" customFormat="1" hidden="1" x14ac:dyDescent="0.25">
      <c r="B222" s="2398">
        <v>912</v>
      </c>
      <c r="C222" s="2521"/>
      <c r="D222" s="2342"/>
      <c r="E222" s="2382"/>
      <c r="F222" s="2333" t="e">
        <f>F212+#REF!+#REF!</f>
        <v>#REF!</v>
      </c>
      <c r="G222" s="2333" t="e">
        <f>G212+#REF!+#REF!</f>
        <v>#REF!</v>
      </c>
      <c r="H222" s="2333" t="e">
        <f>H212+#REF!+#REF!</f>
        <v>#REF!</v>
      </c>
      <c r="I222" s="2333" t="e">
        <f>I212+#REF!+#REF!</f>
        <v>#REF!</v>
      </c>
      <c r="J222" s="2333" t="e">
        <f>J212+#REF!+#REF!</f>
        <v>#REF!</v>
      </c>
      <c r="K222" s="2333" t="e">
        <f>K212+#REF!+#REF!</f>
        <v>#REF!</v>
      </c>
      <c r="L222" s="2333" t="e">
        <f>L212+#REF!+#REF!</f>
        <v>#REF!</v>
      </c>
      <c r="M222" s="2333" t="e">
        <f>M212+#REF!+#REF!</f>
        <v>#REF!</v>
      </c>
      <c r="N222" s="2333" t="e">
        <f>N212+#REF!+#REF!</f>
        <v>#REF!</v>
      </c>
      <c r="O222" s="2333" t="e">
        <f>O212+#REF!+#REF!</f>
        <v>#REF!</v>
      </c>
      <c r="P222" s="2333" t="e">
        <f>P212+#REF!+#REF!</f>
        <v>#REF!</v>
      </c>
      <c r="Q222" s="2333" t="e">
        <f>Q212+#REF!+#REF!</f>
        <v>#REF!</v>
      </c>
      <c r="R222" s="2333" t="e">
        <f>R212+#REF!+#REF!</f>
        <v>#REF!</v>
      </c>
      <c r="S222" s="2333"/>
      <c r="T222" s="2333"/>
      <c r="U222" s="2333" t="e">
        <f>U212+#REF!+#REF!</f>
        <v>#REF!</v>
      </c>
      <c r="V222" s="2333" t="e">
        <f>V212+#REF!+#REF!</f>
        <v>#REF!</v>
      </c>
      <c r="W222" s="2333" t="e">
        <f>W212+#REF!+#REF!</f>
        <v>#REF!</v>
      </c>
      <c r="X222" s="2333" t="e">
        <f>X212+#REF!+#REF!</f>
        <v>#REF!</v>
      </c>
      <c r="Y222" s="2333" t="e">
        <f>Y212+#REF!+#REF!</f>
        <v>#REF!</v>
      </c>
      <c r="AA222" s="2292"/>
    </row>
    <row r="223" spans="1:16276" s="2290" customFormat="1" hidden="1" x14ac:dyDescent="0.25">
      <c r="B223" s="2398">
        <v>921</v>
      </c>
      <c r="C223" s="2521"/>
      <c r="D223" s="2342"/>
      <c r="E223" s="2382"/>
      <c r="F223" s="2333" t="e">
        <f>#REF!+F213+#REF!+#REF!</f>
        <v>#REF!</v>
      </c>
      <c r="G223" s="2333" t="e">
        <f>#REF!+G213+#REF!+#REF!</f>
        <v>#REF!</v>
      </c>
      <c r="H223" s="2333" t="e">
        <f>#REF!+H213+#REF!+#REF!</f>
        <v>#REF!</v>
      </c>
      <c r="I223" s="2333" t="e">
        <f>#REF!+I213+#REF!+#REF!</f>
        <v>#REF!</v>
      </c>
      <c r="J223" s="2333" t="e">
        <f>#REF!+J213+#REF!+#REF!</f>
        <v>#REF!</v>
      </c>
      <c r="K223" s="2333" t="e">
        <f>#REF!+K213+#REF!+#REF!</f>
        <v>#REF!</v>
      </c>
      <c r="L223" s="2333" t="e">
        <f>#REF!+L213+#REF!+#REF!</f>
        <v>#REF!</v>
      </c>
      <c r="M223" s="2333" t="e">
        <f>#REF!+M213+#REF!+#REF!</f>
        <v>#REF!</v>
      </c>
      <c r="N223" s="2333" t="e">
        <f>#REF!+N213+#REF!+#REF!</f>
        <v>#REF!</v>
      </c>
      <c r="O223" s="2333" t="e">
        <f>#REF!+O213+#REF!+#REF!</f>
        <v>#REF!</v>
      </c>
      <c r="P223" s="2333" t="e">
        <f>#REF!+P213+#REF!+#REF!</f>
        <v>#REF!</v>
      </c>
      <c r="Q223" s="2333" t="e">
        <f>#REF!+Q213+#REF!+#REF!</f>
        <v>#REF!</v>
      </c>
      <c r="R223" s="2333" t="e">
        <f>#REF!+R213+#REF!+#REF!</f>
        <v>#REF!</v>
      </c>
      <c r="S223" s="2333"/>
      <c r="T223" s="2333"/>
      <c r="U223" s="2333" t="e">
        <f>#REF!+U213+#REF!+#REF!</f>
        <v>#REF!</v>
      </c>
      <c r="V223" s="2333" t="e">
        <f>#REF!+V213+#REF!+#REF!</f>
        <v>#REF!</v>
      </c>
      <c r="W223" s="2333" t="e">
        <f>#REF!+W213+#REF!+#REF!</f>
        <v>#REF!</v>
      </c>
      <c r="X223" s="2333" t="e">
        <f>#REF!+X213+#REF!+#REF!</f>
        <v>#REF!</v>
      </c>
      <c r="Y223" s="2333" t="e">
        <f>#REF!+Y213+#REF!+#REF!</f>
        <v>#REF!</v>
      </c>
      <c r="AA223" s="2292"/>
    </row>
    <row r="224" spans="1:16276" s="2290" customFormat="1" hidden="1" x14ac:dyDescent="0.25">
      <c r="B224" s="2398">
        <v>922</v>
      </c>
      <c r="C224" s="2521"/>
      <c r="D224" s="2342"/>
      <c r="E224" s="2382"/>
      <c r="F224" s="2333" t="e">
        <f>F214+#REF!+#REF!+#REF!</f>
        <v>#REF!</v>
      </c>
      <c r="G224" s="2333" t="e">
        <f>G214+#REF!+#REF!+#REF!</f>
        <v>#REF!</v>
      </c>
      <c r="H224" s="2333" t="e">
        <f>H214+#REF!+#REF!+#REF!</f>
        <v>#REF!</v>
      </c>
      <c r="I224" s="2333" t="e">
        <f>I214+#REF!+#REF!+#REF!</f>
        <v>#REF!</v>
      </c>
      <c r="J224" s="2333" t="e">
        <f>J214+#REF!+#REF!+#REF!</f>
        <v>#REF!</v>
      </c>
      <c r="K224" s="2333" t="e">
        <f>K214+#REF!+#REF!+#REF!</f>
        <v>#REF!</v>
      </c>
      <c r="L224" s="2333" t="e">
        <f>L214+#REF!+#REF!+#REF!</f>
        <v>#REF!</v>
      </c>
      <c r="M224" s="2333" t="e">
        <f>M214+#REF!+#REF!+#REF!</f>
        <v>#REF!</v>
      </c>
      <c r="N224" s="2333" t="e">
        <f>N214+#REF!+#REF!+#REF!</f>
        <v>#REF!</v>
      </c>
      <c r="O224" s="2333" t="e">
        <f>O214+#REF!+#REF!+#REF!</f>
        <v>#REF!</v>
      </c>
      <c r="P224" s="2333" t="e">
        <f>P214+#REF!+#REF!+#REF!</f>
        <v>#REF!</v>
      </c>
      <c r="Q224" s="2333" t="e">
        <f>Q214+#REF!+#REF!+#REF!</f>
        <v>#REF!</v>
      </c>
      <c r="R224" s="2333" t="e">
        <f>R214+#REF!+#REF!+#REF!</f>
        <v>#REF!</v>
      </c>
      <c r="S224" s="2333"/>
      <c r="T224" s="2333"/>
      <c r="U224" s="2333" t="e">
        <f>U214+#REF!+#REF!+#REF!</f>
        <v>#REF!</v>
      </c>
      <c r="V224" s="2333" t="e">
        <f>V214+#REF!+#REF!+#REF!</f>
        <v>#REF!</v>
      </c>
      <c r="W224" s="2333" t="e">
        <f>W214+#REF!+#REF!+#REF!</f>
        <v>#REF!</v>
      </c>
      <c r="X224" s="2333" t="e">
        <f>X214+#REF!+#REF!+#REF!</f>
        <v>#REF!</v>
      </c>
      <c r="Y224" s="2333" t="e">
        <f>Y214+#REF!+#REF!+#REF!</f>
        <v>#REF!</v>
      </c>
      <c r="AA224" s="2292"/>
    </row>
    <row r="225" spans="2:27" s="2290" customFormat="1" hidden="1" x14ac:dyDescent="0.25">
      <c r="B225" s="2398">
        <v>925</v>
      </c>
      <c r="C225" s="2521"/>
      <c r="D225" s="2342"/>
      <c r="E225" s="2382"/>
      <c r="F225" s="2333" t="e">
        <f>#REF!</f>
        <v>#REF!</v>
      </c>
      <c r="G225" s="2333" t="e">
        <f>#REF!</f>
        <v>#REF!</v>
      </c>
      <c r="H225" s="2333" t="e">
        <f>#REF!</f>
        <v>#REF!</v>
      </c>
      <c r="I225" s="2333" t="e">
        <f>#REF!</f>
        <v>#REF!</v>
      </c>
      <c r="J225" s="2333" t="e">
        <f>#REF!</f>
        <v>#REF!</v>
      </c>
      <c r="K225" s="2333" t="e">
        <f>#REF!</f>
        <v>#REF!</v>
      </c>
      <c r="L225" s="2333" t="e">
        <f>#REF!</f>
        <v>#REF!</v>
      </c>
      <c r="M225" s="2333" t="e">
        <f>#REF!</f>
        <v>#REF!</v>
      </c>
      <c r="N225" s="2333" t="e">
        <f>#REF!</f>
        <v>#REF!</v>
      </c>
      <c r="O225" s="2333" t="e">
        <f>#REF!</f>
        <v>#REF!</v>
      </c>
      <c r="P225" s="2333" t="e">
        <f>#REF!</f>
        <v>#REF!</v>
      </c>
      <c r="Q225" s="2333" t="e">
        <f>#REF!</f>
        <v>#REF!</v>
      </c>
      <c r="R225" s="2333" t="e">
        <f>#REF!</f>
        <v>#REF!</v>
      </c>
      <c r="S225" s="2333"/>
      <c r="T225" s="2333"/>
      <c r="U225" s="2333" t="e">
        <f>#REF!</f>
        <v>#REF!</v>
      </c>
      <c r="V225" s="2333" t="e">
        <f>#REF!</f>
        <v>#REF!</v>
      </c>
      <c r="W225" s="2333" t="e">
        <f>#REF!</f>
        <v>#REF!</v>
      </c>
      <c r="X225" s="2333" t="e">
        <f>#REF!</f>
        <v>#REF!</v>
      </c>
      <c r="Y225" s="2333" t="e">
        <f>#REF!</f>
        <v>#REF!</v>
      </c>
      <c r="AA225" s="2292"/>
    </row>
    <row r="226" spans="2:27" s="2290" customFormat="1" hidden="1" x14ac:dyDescent="0.25">
      <c r="B226" s="2398">
        <v>926</v>
      </c>
      <c r="C226" s="2521"/>
      <c r="D226" s="2342"/>
      <c r="E226" s="2382"/>
      <c r="F226" s="2333" t="e">
        <f>#REF!</f>
        <v>#REF!</v>
      </c>
      <c r="G226" s="2333" t="e">
        <f>#REF!</f>
        <v>#REF!</v>
      </c>
      <c r="H226" s="2333" t="e">
        <f>#REF!</f>
        <v>#REF!</v>
      </c>
      <c r="I226" s="2333" t="e">
        <f>#REF!</f>
        <v>#REF!</v>
      </c>
      <c r="J226" s="2333" t="e">
        <f>#REF!</f>
        <v>#REF!</v>
      </c>
      <c r="K226" s="2333" t="e">
        <f>#REF!</f>
        <v>#REF!</v>
      </c>
      <c r="L226" s="2333" t="e">
        <f>#REF!</f>
        <v>#REF!</v>
      </c>
      <c r="M226" s="2333" t="e">
        <f>#REF!</f>
        <v>#REF!</v>
      </c>
      <c r="N226" s="2333" t="e">
        <f>#REF!</f>
        <v>#REF!</v>
      </c>
      <c r="O226" s="2333" t="e">
        <f>#REF!</f>
        <v>#REF!</v>
      </c>
      <c r="P226" s="2333" t="e">
        <f>#REF!</f>
        <v>#REF!</v>
      </c>
      <c r="Q226" s="2333" t="e">
        <f>#REF!</f>
        <v>#REF!</v>
      </c>
      <c r="R226" s="2333" t="e">
        <f>#REF!</f>
        <v>#REF!</v>
      </c>
      <c r="S226" s="2333"/>
      <c r="T226" s="2333"/>
      <c r="U226" s="2333" t="e">
        <f>#REF!</f>
        <v>#REF!</v>
      </c>
      <c r="V226" s="2333" t="e">
        <f>#REF!</f>
        <v>#REF!</v>
      </c>
      <c r="W226" s="2333" t="e">
        <f>#REF!</f>
        <v>#REF!</v>
      </c>
      <c r="X226" s="2333" t="e">
        <f>#REF!</f>
        <v>#REF!</v>
      </c>
      <c r="Y226" s="2333" t="e">
        <f>#REF!</f>
        <v>#REF!</v>
      </c>
      <c r="AA226" s="2292"/>
    </row>
    <row r="227" spans="2:27" s="2290" customFormat="1" hidden="1" x14ac:dyDescent="0.25">
      <c r="B227" s="2398">
        <v>951</v>
      </c>
      <c r="C227" s="2521"/>
      <c r="D227" s="2342"/>
      <c r="E227" s="2382"/>
      <c r="F227" s="2333" t="e">
        <f>#REF!</f>
        <v>#REF!</v>
      </c>
      <c r="G227" s="2333" t="e">
        <f>#REF!</f>
        <v>#REF!</v>
      </c>
      <c r="H227" s="2333" t="e">
        <f>#REF!</f>
        <v>#REF!</v>
      </c>
      <c r="I227" s="2333" t="e">
        <f>#REF!</f>
        <v>#REF!</v>
      </c>
      <c r="J227" s="2333" t="e">
        <f>#REF!</f>
        <v>#REF!</v>
      </c>
      <c r="K227" s="2333" t="e">
        <f>#REF!</f>
        <v>#REF!</v>
      </c>
      <c r="L227" s="2333" t="e">
        <f>#REF!</f>
        <v>#REF!</v>
      </c>
      <c r="M227" s="2333" t="e">
        <f>#REF!</f>
        <v>#REF!</v>
      </c>
      <c r="N227" s="2333" t="e">
        <f>#REF!</f>
        <v>#REF!</v>
      </c>
      <c r="O227" s="2333" t="e">
        <f>#REF!</f>
        <v>#REF!</v>
      </c>
      <c r="P227" s="2333" t="e">
        <f>#REF!</f>
        <v>#REF!</v>
      </c>
      <c r="Q227" s="2333" t="e">
        <f>#REF!</f>
        <v>#REF!</v>
      </c>
      <c r="R227" s="2333" t="e">
        <f>#REF!</f>
        <v>#REF!</v>
      </c>
      <c r="S227" s="2333"/>
      <c r="T227" s="2333"/>
      <c r="U227" s="2333" t="e">
        <f>#REF!</f>
        <v>#REF!</v>
      </c>
      <c r="V227" s="2333" t="e">
        <f>#REF!</f>
        <v>#REF!</v>
      </c>
      <c r="W227" s="2333" t="e">
        <f>#REF!</f>
        <v>#REF!</v>
      </c>
      <c r="X227" s="2333" t="e">
        <f>#REF!</f>
        <v>#REF!</v>
      </c>
      <c r="Y227" s="2333" t="e">
        <f>#REF!</f>
        <v>#REF!</v>
      </c>
      <c r="AA227" s="2292"/>
    </row>
    <row r="228" spans="2:27" s="2290" customFormat="1" hidden="1" x14ac:dyDescent="0.25">
      <c r="B228" s="2398">
        <v>952</v>
      </c>
      <c r="C228" s="2521"/>
      <c r="D228" s="2342"/>
      <c r="E228" s="2382"/>
      <c r="F228" s="2333" t="e">
        <f>F215+#REF!+#REF!</f>
        <v>#REF!</v>
      </c>
      <c r="G228" s="2333" t="e">
        <f>G215+#REF!+#REF!</f>
        <v>#REF!</v>
      </c>
      <c r="H228" s="2333" t="e">
        <f>H215+#REF!+#REF!</f>
        <v>#REF!</v>
      </c>
      <c r="I228" s="2333" t="e">
        <f>I215+#REF!+#REF!</f>
        <v>#REF!</v>
      </c>
      <c r="J228" s="2333" t="e">
        <f>J215+#REF!+#REF!</f>
        <v>#REF!</v>
      </c>
      <c r="K228" s="2333" t="e">
        <f>K215+#REF!+#REF!</f>
        <v>#REF!</v>
      </c>
      <c r="L228" s="2333" t="e">
        <f>L215+#REF!+#REF!</f>
        <v>#REF!</v>
      </c>
      <c r="M228" s="2333" t="e">
        <f>M215+#REF!+#REF!</f>
        <v>#REF!</v>
      </c>
      <c r="N228" s="2333" t="e">
        <f>N215+#REF!+#REF!</f>
        <v>#REF!</v>
      </c>
      <c r="O228" s="2333" t="e">
        <f>O215+#REF!+#REF!</f>
        <v>#REF!</v>
      </c>
      <c r="P228" s="2333" t="e">
        <f>P215+#REF!+#REF!</f>
        <v>#REF!</v>
      </c>
      <c r="Q228" s="2333" t="e">
        <f>Q215+#REF!+#REF!</f>
        <v>#REF!</v>
      </c>
      <c r="R228" s="2333" t="e">
        <f>R215+#REF!+#REF!</f>
        <v>#REF!</v>
      </c>
      <c r="S228" s="2333"/>
      <c r="T228" s="2333"/>
      <c r="U228" s="2333" t="e">
        <f>U215+#REF!+#REF!</f>
        <v>#REF!</v>
      </c>
      <c r="V228" s="2333" t="e">
        <f>V215+#REF!+#REF!</f>
        <v>#REF!</v>
      </c>
      <c r="W228" s="2333" t="e">
        <f>W215+#REF!+#REF!</f>
        <v>#REF!</v>
      </c>
      <c r="X228" s="2333" t="e">
        <f>X215+#REF!+#REF!</f>
        <v>#REF!</v>
      </c>
      <c r="Y228" s="2333" t="e">
        <f>Y215+#REF!+#REF!</f>
        <v>#REF!</v>
      </c>
      <c r="AA228" s="2292"/>
    </row>
    <row r="229" spans="2:27" s="2290" customFormat="1" hidden="1" x14ac:dyDescent="0.25">
      <c r="B229" s="2398">
        <v>953</v>
      </c>
      <c r="C229" s="2521"/>
      <c r="D229" s="2342"/>
      <c r="E229" s="2382"/>
      <c r="F229" s="2333" t="e">
        <f>#REF!+#REF!</f>
        <v>#REF!</v>
      </c>
      <c r="G229" s="2333" t="e">
        <f>#REF!+#REF!</f>
        <v>#REF!</v>
      </c>
      <c r="H229" s="2333" t="e">
        <f>#REF!+#REF!</f>
        <v>#REF!</v>
      </c>
      <c r="I229" s="2333" t="e">
        <f>#REF!+#REF!</f>
        <v>#REF!</v>
      </c>
      <c r="J229" s="2333" t="e">
        <f>#REF!+#REF!</f>
        <v>#REF!</v>
      </c>
      <c r="K229" s="2333" t="e">
        <f>#REF!+#REF!</f>
        <v>#REF!</v>
      </c>
      <c r="L229" s="2333" t="e">
        <f>#REF!+#REF!</f>
        <v>#REF!</v>
      </c>
      <c r="M229" s="2333" t="e">
        <f>#REF!+#REF!</f>
        <v>#REF!</v>
      </c>
      <c r="N229" s="2333" t="e">
        <f>#REF!+#REF!</f>
        <v>#REF!</v>
      </c>
      <c r="O229" s="2333" t="e">
        <f>#REF!+#REF!</f>
        <v>#REF!</v>
      </c>
      <c r="P229" s="2333" t="e">
        <f>#REF!+#REF!</f>
        <v>#REF!</v>
      </c>
      <c r="Q229" s="2333" t="e">
        <f>#REF!+#REF!</f>
        <v>#REF!</v>
      </c>
      <c r="R229" s="2333" t="e">
        <f>#REF!+#REF!</f>
        <v>#REF!</v>
      </c>
      <c r="S229" s="2333"/>
      <c r="T229" s="2333"/>
      <c r="U229" s="2333" t="e">
        <f>#REF!+#REF!</f>
        <v>#REF!</v>
      </c>
      <c r="V229" s="2333" t="e">
        <f>#REF!+#REF!</f>
        <v>#REF!</v>
      </c>
      <c r="W229" s="2333" t="e">
        <f>#REF!+#REF!</f>
        <v>#REF!</v>
      </c>
      <c r="X229" s="2333" t="e">
        <f>#REF!+#REF!</f>
        <v>#REF!</v>
      </c>
      <c r="Y229" s="2333" t="e">
        <f>#REF!+#REF!</f>
        <v>#REF!</v>
      </c>
      <c r="AA229" s="2292"/>
    </row>
    <row r="230" spans="2:27" s="2290" customFormat="1" hidden="1" x14ac:dyDescent="0.25">
      <c r="B230" s="2398">
        <v>954</v>
      </c>
      <c r="C230" s="2521"/>
      <c r="D230" s="2342"/>
      <c r="E230" s="2382"/>
      <c r="F230" s="2333" t="e">
        <f>#REF!+#REF!+#REF!+#REF!+#REF!+#REF!+#REF!</f>
        <v>#REF!</v>
      </c>
      <c r="G230" s="2333" t="e">
        <f>#REF!+#REF!+#REF!+#REF!+#REF!+#REF!+#REF!</f>
        <v>#REF!</v>
      </c>
      <c r="H230" s="2333" t="e">
        <f>#REF!+#REF!+#REF!+#REF!+#REF!+#REF!+#REF!</f>
        <v>#REF!</v>
      </c>
      <c r="I230" s="2333" t="e">
        <f>#REF!+#REF!+#REF!+#REF!+#REF!+#REF!+#REF!</f>
        <v>#REF!</v>
      </c>
      <c r="J230" s="2333" t="e">
        <f>#REF!+#REF!+#REF!+#REF!+#REF!+#REF!+#REF!</f>
        <v>#REF!</v>
      </c>
      <c r="K230" s="2333" t="e">
        <f>#REF!+#REF!+#REF!+#REF!+#REF!+#REF!+#REF!</f>
        <v>#REF!</v>
      </c>
      <c r="L230" s="2333" t="e">
        <f>#REF!+#REF!+#REF!+#REF!+#REF!+#REF!+#REF!</f>
        <v>#REF!</v>
      </c>
      <c r="M230" s="2333" t="e">
        <f>#REF!+#REF!+#REF!+#REF!+#REF!+#REF!+#REF!</f>
        <v>#REF!</v>
      </c>
      <c r="N230" s="2333" t="e">
        <f>#REF!+#REF!+#REF!+#REF!+#REF!+#REF!+#REF!</f>
        <v>#REF!</v>
      </c>
      <c r="O230" s="2333" t="e">
        <f>#REF!+#REF!+#REF!+#REF!+#REF!+#REF!+#REF!</f>
        <v>#REF!</v>
      </c>
      <c r="P230" s="2333" t="e">
        <f>#REF!+#REF!+#REF!+#REF!+#REF!+#REF!+#REF!</f>
        <v>#REF!</v>
      </c>
      <c r="Q230" s="2333" t="e">
        <f>#REF!+#REF!+#REF!+#REF!+#REF!+#REF!+#REF!</f>
        <v>#REF!</v>
      </c>
      <c r="R230" s="2333" t="e">
        <f>#REF!+#REF!+#REF!+#REF!+#REF!+#REF!+#REF!+#REF!</f>
        <v>#REF!</v>
      </c>
      <c r="S230" s="2333"/>
      <c r="T230" s="2333"/>
      <c r="U230" s="2333" t="e">
        <f>#REF!+#REF!+#REF!+#REF!+#REF!+#REF!+#REF!</f>
        <v>#REF!</v>
      </c>
      <c r="V230" s="2333" t="e">
        <f>#REF!+#REF!+#REF!+#REF!+#REF!+#REF!+#REF!</f>
        <v>#REF!</v>
      </c>
      <c r="W230" s="2333" t="e">
        <f>#REF!+#REF!+#REF!+#REF!+#REF!+#REF!+#REF!</f>
        <v>#REF!</v>
      </c>
      <c r="X230" s="2333" t="e">
        <f>#REF!+#REF!+#REF!+#REF!+#REF!+#REF!+#REF!+#REF!</f>
        <v>#REF!</v>
      </c>
      <c r="Y230" s="2333" t="e">
        <f>#REF!+#REF!+#REF!+#REF!+#REF!+#REF!+#REF!+#REF!</f>
        <v>#REF!</v>
      </c>
      <c r="AA230" s="2292"/>
    </row>
    <row r="231" spans="2:27" s="2290" customFormat="1" hidden="1" x14ac:dyDescent="0.25">
      <c r="B231" s="2398">
        <v>955</v>
      </c>
      <c r="C231" s="2521"/>
      <c r="D231" s="2342"/>
      <c r="E231" s="2382"/>
      <c r="F231" s="2333" t="e">
        <f>#REF!+F216+#REF!+#REF!+#REF!+#REF!+#REF!</f>
        <v>#REF!</v>
      </c>
      <c r="G231" s="2333" t="e">
        <f>#REF!+G216+#REF!+#REF!+#REF!+#REF!+#REF!</f>
        <v>#REF!</v>
      </c>
      <c r="H231" s="2333" t="e">
        <f>#REF!+H216+#REF!+#REF!+#REF!+#REF!+#REF!</f>
        <v>#REF!</v>
      </c>
      <c r="I231" s="2333" t="e">
        <f>#REF!+I216+#REF!+#REF!+#REF!+#REF!+#REF!</f>
        <v>#REF!</v>
      </c>
      <c r="J231" s="2333" t="e">
        <f>#REF!+J216+#REF!+#REF!+#REF!+#REF!+#REF!</f>
        <v>#REF!</v>
      </c>
      <c r="K231" s="2333" t="e">
        <f>#REF!+K216+#REF!+#REF!+#REF!+#REF!+#REF!</f>
        <v>#REF!</v>
      </c>
      <c r="L231" s="2333" t="e">
        <f>#REF!+L216+#REF!+#REF!+#REF!+#REF!+#REF!</f>
        <v>#REF!</v>
      </c>
      <c r="M231" s="2333" t="e">
        <f>#REF!+M216+#REF!+#REF!+#REF!+#REF!+#REF!</f>
        <v>#REF!</v>
      </c>
      <c r="N231" s="2333" t="e">
        <f>#REF!+N216+#REF!+#REF!+#REF!+#REF!+#REF!</f>
        <v>#REF!</v>
      </c>
      <c r="O231" s="2333" t="e">
        <f>#REF!+O216+#REF!+#REF!+#REF!+#REF!+#REF!</f>
        <v>#REF!</v>
      </c>
      <c r="P231" s="2333" t="e">
        <f>#REF!+P216+#REF!+#REF!+#REF!+#REF!+#REF!</f>
        <v>#REF!</v>
      </c>
      <c r="Q231" s="2333" t="e">
        <f>#REF!+Q216+#REF!+#REF!+#REF!+#REF!+#REF!</f>
        <v>#REF!</v>
      </c>
      <c r="R231" s="2333" t="e">
        <f>#REF!+R216+#REF!+#REF!+#REF!+#REF!+#REF!</f>
        <v>#REF!</v>
      </c>
      <c r="S231" s="2333"/>
      <c r="T231" s="2333"/>
      <c r="U231" s="2333" t="e">
        <f>#REF!+U216+#REF!+#REF!+#REF!+#REF!+#REF!</f>
        <v>#REF!</v>
      </c>
      <c r="V231" s="2333" t="e">
        <f>#REF!+V216+#REF!+#REF!+#REF!+#REF!+#REF!</f>
        <v>#REF!</v>
      </c>
      <c r="W231" s="2333" t="e">
        <f>#REF!+W216+#REF!+#REF!+#REF!+#REF!+#REF!</f>
        <v>#REF!</v>
      </c>
      <c r="X231" s="2333" t="e">
        <f>X216+#REF!+#REF!+#REF!+#REF!+#REF!</f>
        <v>#REF!</v>
      </c>
      <c r="Y231" s="2333" t="e">
        <f>Y216+#REF!+#REF!+#REF!+#REF!+#REF!</f>
        <v>#REF!</v>
      </c>
      <c r="AA231" s="2292"/>
    </row>
    <row r="232" spans="2:27" s="2290" customFormat="1" hidden="1" x14ac:dyDescent="0.25">
      <c r="B232" s="2398">
        <v>958</v>
      </c>
      <c r="C232" s="2521"/>
      <c r="D232" s="2342"/>
      <c r="E232" s="2382"/>
      <c r="F232" s="2333" t="e">
        <f>#REF!</f>
        <v>#REF!</v>
      </c>
      <c r="G232" s="2333" t="e">
        <f>#REF!</f>
        <v>#REF!</v>
      </c>
      <c r="H232" s="2333" t="e">
        <f>#REF!</f>
        <v>#REF!</v>
      </c>
      <c r="I232" s="2333" t="e">
        <f>#REF!</f>
        <v>#REF!</v>
      </c>
      <c r="J232" s="2333" t="e">
        <f>#REF!</f>
        <v>#REF!</v>
      </c>
      <c r="K232" s="2333" t="e">
        <f>#REF!</f>
        <v>#REF!</v>
      </c>
      <c r="L232" s="2333" t="e">
        <f>#REF!</f>
        <v>#REF!</v>
      </c>
      <c r="M232" s="2333" t="e">
        <f>#REF!</f>
        <v>#REF!</v>
      </c>
      <c r="N232" s="2333" t="e">
        <f>#REF!</f>
        <v>#REF!</v>
      </c>
      <c r="O232" s="2333" t="e">
        <f>#REF!</f>
        <v>#REF!</v>
      </c>
      <c r="P232" s="2333" t="e">
        <f>#REF!</f>
        <v>#REF!</v>
      </c>
      <c r="Q232" s="2333" t="e">
        <f>#REF!</f>
        <v>#REF!</v>
      </c>
      <c r="R232" s="2333" t="e">
        <f>#REF!</f>
        <v>#REF!</v>
      </c>
      <c r="S232" s="2333"/>
      <c r="T232" s="2333"/>
      <c r="U232" s="2333" t="e">
        <f>#REF!</f>
        <v>#REF!</v>
      </c>
      <c r="V232" s="2333" t="e">
        <f>#REF!</f>
        <v>#REF!</v>
      </c>
      <c r="W232" s="2333" t="e">
        <f>#REF!</f>
        <v>#REF!</v>
      </c>
      <c r="X232" s="2333" t="e">
        <f>#REF!</f>
        <v>#REF!</v>
      </c>
      <c r="Y232" s="2333" t="e">
        <f>#REF!</f>
        <v>#REF!</v>
      </c>
      <c r="AA232" s="2292"/>
    </row>
    <row r="233" spans="2:27" s="2290" customFormat="1" hidden="1" x14ac:dyDescent="0.25">
      <c r="B233" s="2398">
        <v>963</v>
      </c>
      <c r="C233" s="2521"/>
      <c r="D233" s="2342"/>
      <c r="E233" s="2382"/>
      <c r="F233" s="2333" t="e">
        <f>#REF!+#REF!+#REF!+#REF!+#REF!+#REF!+#REF!+F217+#REF!+#REF!+#REF!+#REF!+#REF!</f>
        <v>#REF!</v>
      </c>
      <c r="G233" s="2333" t="e">
        <f>#REF!+#REF!+#REF!+#REF!+#REF!+#REF!+#REF!+G217+#REF!+#REF!+#REF!+#REF!+#REF!</f>
        <v>#REF!</v>
      </c>
      <c r="H233" s="2333" t="e">
        <f>#REF!+#REF!+#REF!+#REF!+#REF!+#REF!+#REF!+H217+#REF!+#REF!+#REF!+#REF!+#REF!</f>
        <v>#REF!</v>
      </c>
      <c r="I233" s="2333" t="e">
        <f>#REF!+#REF!+#REF!+#REF!+#REF!+#REF!+#REF!+I217+#REF!+#REF!+#REF!+#REF!+#REF!</f>
        <v>#REF!</v>
      </c>
      <c r="J233" s="2333" t="e">
        <f>#REF!+#REF!+#REF!+#REF!+#REF!+#REF!+#REF!+J217+#REF!+#REF!+#REF!+#REF!+#REF!</f>
        <v>#REF!</v>
      </c>
      <c r="K233" s="2333" t="e">
        <f>#REF!+#REF!+#REF!+#REF!+#REF!+#REF!+#REF!+K217+#REF!+#REF!+#REF!+#REF!+#REF!</f>
        <v>#REF!</v>
      </c>
      <c r="L233" s="2333" t="e">
        <f>#REF!+#REF!+#REF!+#REF!+#REF!+#REF!+#REF!+L217+#REF!+#REF!+#REF!+#REF!+#REF!</f>
        <v>#REF!</v>
      </c>
      <c r="M233" s="2333" t="e">
        <f>#REF!+#REF!+#REF!+#REF!+#REF!+#REF!+#REF!+M217+#REF!+#REF!+#REF!+#REF!+#REF!</f>
        <v>#REF!</v>
      </c>
      <c r="N233" s="2333" t="e">
        <f>#REF!+#REF!+#REF!+#REF!+#REF!+#REF!+#REF!+N217+#REF!+#REF!+#REF!+#REF!+#REF!</f>
        <v>#REF!</v>
      </c>
      <c r="O233" s="2333" t="e">
        <f>#REF!+#REF!+#REF!+#REF!+#REF!+#REF!+#REF!+O217+#REF!+#REF!+#REF!+#REF!+#REF!</f>
        <v>#REF!</v>
      </c>
      <c r="P233" s="2333" t="e">
        <f>#REF!+#REF!+#REF!+#REF!+#REF!+#REF!+#REF!+P217+#REF!+#REF!+#REF!+#REF!+#REF!</f>
        <v>#REF!</v>
      </c>
      <c r="Q233" s="2333" t="e">
        <f>#REF!+#REF!+#REF!+#REF!+#REF!+#REF!+#REF!+Q217+#REF!+#REF!+#REF!+#REF!+#REF!</f>
        <v>#REF!</v>
      </c>
      <c r="R233" s="2333" t="e">
        <f>#REF!+#REF!+#REF!+#REF!+#REF!+#REF!+#REF!+R217+#REF!+#REF!+#REF!+#REF!+#REF!</f>
        <v>#REF!</v>
      </c>
      <c r="S233" s="2333"/>
      <c r="T233" s="2333"/>
      <c r="U233" s="2333" t="e">
        <f>#REF!+#REF!+#REF!+#REF!+#REF!+#REF!+#REF!+U217+#REF!+#REF!+#REF!+#REF!+#REF!</f>
        <v>#REF!</v>
      </c>
      <c r="V233" s="2333" t="e">
        <f>#REF!+#REF!+#REF!+#REF!+#REF!+#REF!+#REF!+V217+#REF!+#REF!+#REF!+#REF!+#REF!</f>
        <v>#REF!</v>
      </c>
      <c r="W233" s="2333" t="e">
        <f>#REF!+#REF!+#REF!+#REF!+#REF!+#REF!+#REF!+W217+#REF!+#REF!+#REF!+#REF!+#REF!</f>
        <v>#REF!</v>
      </c>
      <c r="X233" s="2333" t="e">
        <f>#REF!+#REF!+#REF!+#REF!+#REF!+#REF!+#REF!+X217+#REF!+#REF!+#REF!+#REF!+#REF!</f>
        <v>#REF!</v>
      </c>
      <c r="Y233" s="2333" t="e">
        <f>#REF!+#REF!+#REF!+#REF!+#REF!+#REF!+#REF!+Y217+#REF!+#REF!+#REF!+#REF!+#REF!</f>
        <v>#REF!</v>
      </c>
      <c r="AA233" s="2292"/>
    </row>
    <row r="234" spans="2:27" s="2290" customFormat="1" hidden="1" x14ac:dyDescent="0.25">
      <c r="B234" s="2398">
        <v>966</v>
      </c>
      <c r="C234" s="2521"/>
      <c r="D234" s="2342"/>
      <c r="E234" s="2382"/>
      <c r="F234" s="2333" t="e">
        <f>#REF!+#REF!+#REF!+F218+#REF!+#REF!+#REF!</f>
        <v>#REF!</v>
      </c>
      <c r="G234" s="2333" t="e">
        <f>#REF!+#REF!+#REF!+G218+#REF!+#REF!+#REF!</f>
        <v>#REF!</v>
      </c>
      <c r="H234" s="2333" t="e">
        <f>#REF!+#REF!+#REF!+H218+#REF!+#REF!+#REF!</f>
        <v>#REF!</v>
      </c>
      <c r="I234" s="2333" t="e">
        <f>#REF!+#REF!+#REF!+I218+#REF!+#REF!+#REF!</f>
        <v>#REF!</v>
      </c>
      <c r="J234" s="2333" t="e">
        <f>#REF!+#REF!+#REF!+J218+#REF!+#REF!+#REF!</f>
        <v>#REF!</v>
      </c>
      <c r="K234" s="2333" t="e">
        <f>#REF!+#REF!+#REF!+K218+#REF!+#REF!+#REF!</f>
        <v>#REF!</v>
      </c>
      <c r="L234" s="2333" t="e">
        <f>#REF!+#REF!+#REF!+L218+#REF!+#REF!+#REF!</f>
        <v>#REF!</v>
      </c>
      <c r="M234" s="2333" t="e">
        <f>#REF!+#REF!+#REF!+M218+#REF!+#REF!+#REF!</f>
        <v>#REF!</v>
      </c>
      <c r="N234" s="2333" t="e">
        <f>#REF!+#REF!+#REF!+N218+#REF!+#REF!+#REF!</f>
        <v>#REF!</v>
      </c>
      <c r="O234" s="2333" t="e">
        <f>#REF!+#REF!+#REF!+O218+#REF!+#REF!+#REF!</f>
        <v>#REF!</v>
      </c>
      <c r="P234" s="2333" t="e">
        <f>#REF!+#REF!+#REF!+P218+#REF!+#REF!+#REF!</f>
        <v>#REF!</v>
      </c>
      <c r="Q234" s="2333" t="e">
        <f>#REF!+#REF!+#REF!+Q218+#REF!+#REF!+#REF!</f>
        <v>#REF!</v>
      </c>
      <c r="R234" s="2333" t="e">
        <f>#REF!+#REF!+#REF!+R218+#REF!+#REF!+#REF!</f>
        <v>#REF!</v>
      </c>
      <c r="S234" s="2333"/>
      <c r="T234" s="2333"/>
      <c r="U234" s="2333" t="e">
        <f>#REF!+#REF!+#REF!+U218+#REF!+#REF!+#REF!</f>
        <v>#REF!</v>
      </c>
      <c r="V234" s="2333" t="e">
        <f>#REF!+#REF!+#REF!+V218+#REF!+#REF!+#REF!</f>
        <v>#REF!</v>
      </c>
      <c r="W234" s="2333" t="e">
        <f>#REF!+#REF!+#REF!+W218+#REF!+#REF!+#REF!</f>
        <v>#REF!</v>
      </c>
      <c r="X234" s="2333" t="e">
        <f>#REF!+#REF!+#REF!+X218+#REF!+#REF!+#REF!</f>
        <v>#REF!</v>
      </c>
      <c r="Y234" s="2333" t="e">
        <f>#REF!+#REF!+#REF!+Y218+#REF!+#REF!+#REF!</f>
        <v>#REF!</v>
      </c>
      <c r="AA234" s="2292"/>
    </row>
    <row r="235" spans="2:27" s="2290" customFormat="1" hidden="1" x14ac:dyDescent="0.25">
      <c r="B235" s="2398">
        <v>971</v>
      </c>
      <c r="C235" s="2521"/>
      <c r="D235" s="2342"/>
      <c r="E235" s="2382"/>
      <c r="F235" s="2333" t="e">
        <f>F219+#REF!+#REF!+#REF!+#REF!+#REF!</f>
        <v>#REF!</v>
      </c>
      <c r="G235" s="2333" t="e">
        <f>G219+#REF!+#REF!+#REF!+#REF!+#REF!</f>
        <v>#REF!</v>
      </c>
      <c r="H235" s="2333" t="e">
        <f>H219+#REF!+#REF!+#REF!+#REF!+#REF!</f>
        <v>#REF!</v>
      </c>
      <c r="I235" s="2333" t="e">
        <f>I219+#REF!+#REF!+#REF!+#REF!+#REF!</f>
        <v>#REF!</v>
      </c>
      <c r="J235" s="2333" t="e">
        <f>J219+#REF!+#REF!+#REF!+#REF!+#REF!</f>
        <v>#REF!</v>
      </c>
      <c r="K235" s="2333" t="e">
        <f>K219+#REF!+#REF!+#REF!+#REF!+#REF!</f>
        <v>#REF!</v>
      </c>
      <c r="L235" s="2333" t="e">
        <f>L219+#REF!+#REF!+#REF!+#REF!+#REF!</f>
        <v>#REF!</v>
      </c>
      <c r="M235" s="2333" t="e">
        <f>M219+#REF!+#REF!+#REF!+#REF!+#REF!</f>
        <v>#REF!</v>
      </c>
      <c r="N235" s="2333" t="e">
        <f>N219+#REF!+#REF!+#REF!+#REF!+#REF!</f>
        <v>#REF!</v>
      </c>
      <c r="O235" s="2333" t="e">
        <f>O219+#REF!+#REF!+#REF!+#REF!+#REF!</f>
        <v>#REF!</v>
      </c>
      <c r="P235" s="2333" t="e">
        <f>P219+#REF!+#REF!+#REF!+#REF!+#REF!</f>
        <v>#REF!</v>
      </c>
      <c r="Q235" s="2333" t="e">
        <f>Q219+#REF!+#REF!+#REF!+#REF!+#REF!</f>
        <v>#REF!</v>
      </c>
      <c r="R235" s="2333" t="e">
        <f>R219+#REF!+#REF!+#REF!+#REF!+#REF!</f>
        <v>#REF!</v>
      </c>
      <c r="S235" s="2333"/>
      <c r="T235" s="2333"/>
      <c r="U235" s="2333" t="e">
        <f>U219+#REF!+#REF!+#REF!+#REF!+#REF!</f>
        <v>#REF!</v>
      </c>
      <c r="V235" s="2333" t="e">
        <f>V219+#REF!+#REF!+#REF!+#REF!+#REF!</f>
        <v>#REF!</v>
      </c>
      <c r="W235" s="2333" t="e">
        <f>W219+#REF!+#REF!+#REF!+#REF!+#REF!</f>
        <v>#REF!</v>
      </c>
      <c r="X235" s="2333" t="e">
        <f>X219+#REF!+#REF!+#REF!+#REF!+#REF!</f>
        <v>#REF!</v>
      </c>
      <c r="Y235" s="2333" t="e">
        <f>Y219+#REF!+#REF!+#REF!+#REF!+#REF!</f>
        <v>#REF!</v>
      </c>
      <c r="AA235" s="2292"/>
    </row>
    <row r="236" spans="2:27" s="2290" customFormat="1" hidden="1" x14ac:dyDescent="0.25">
      <c r="B236" s="2398">
        <v>981</v>
      </c>
      <c r="C236" s="2521"/>
      <c r="D236" s="2342"/>
      <c r="E236" s="2382"/>
      <c r="F236" s="2333" t="e">
        <f>#REF!+#REF!+#REF!+#REF!+#REF!+F220+#REF!+#REF!+#REF!+#REF!+#REF!</f>
        <v>#REF!</v>
      </c>
      <c r="G236" s="2333" t="e">
        <f>#REF!+#REF!+#REF!+#REF!+#REF!+G220+#REF!+#REF!+#REF!+#REF!+#REF!</f>
        <v>#REF!</v>
      </c>
      <c r="H236" s="2333" t="e">
        <f>#REF!+#REF!+#REF!+#REF!+#REF!+H220+#REF!+#REF!+#REF!+#REF!+#REF!</f>
        <v>#REF!</v>
      </c>
      <c r="I236" s="2333" t="e">
        <f>#REF!+#REF!+#REF!+#REF!+#REF!+I220+#REF!+#REF!+#REF!+#REF!+#REF!</f>
        <v>#REF!</v>
      </c>
      <c r="J236" s="2333" t="e">
        <f>#REF!+#REF!+#REF!+#REF!+#REF!+J220+#REF!+#REF!+#REF!+#REF!+#REF!</f>
        <v>#REF!</v>
      </c>
      <c r="K236" s="2333" t="e">
        <f>#REF!+#REF!+#REF!+#REF!+#REF!+K220+#REF!+#REF!+#REF!+#REF!+#REF!</f>
        <v>#REF!</v>
      </c>
      <c r="L236" s="2333" t="e">
        <f>#REF!+#REF!+#REF!+#REF!+#REF!+L220+#REF!+#REF!+#REF!+#REF!+#REF!</f>
        <v>#REF!</v>
      </c>
      <c r="M236" s="2333" t="e">
        <f>#REF!+#REF!+#REF!+#REF!+#REF!+M220+#REF!+#REF!+#REF!+#REF!+#REF!</f>
        <v>#REF!</v>
      </c>
      <c r="N236" s="2333" t="e">
        <f>#REF!+#REF!+#REF!+#REF!+#REF!+N220+#REF!+#REF!+#REF!+#REF!+#REF!</f>
        <v>#REF!</v>
      </c>
      <c r="O236" s="2333" t="e">
        <f>#REF!+#REF!+#REF!+#REF!+#REF!+O220+#REF!+#REF!+#REF!+#REF!+#REF!</f>
        <v>#REF!</v>
      </c>
      <c r="P236" s="2333" t="e">
        <f>#REF!+#REF!+#REF!+#REF!+#REF!+P220+#REF!+#REF!+#REF!+#REF!+#REF!</f>
        <v>#REF!</v>
      </c>
      <c r="Q236" s="2333" t="e">
        <f>#REF!+#REF!+#REF!+#REF!+#REF!+Q220+#REF!+#REF!+#REF!+#REF!+#REF!</f>
        <v>#REF!</v>
      </c>
      <c r="R236" s="2333" t="e">
        <f>#REF!+#REF!+#REF!+#REF!+#REF!+R220+#REF!+#REF!+#REF!+#REF!+#REF!</f>
        <v>#REF!</v>
      </c>
      <c r="S236" s="2333"/>
      <c r="T236" s="2333"/>
      <c r="U236" s="2333" t="e">
        <f>#REF!+#REF!+#REF!+#REF!+#REF!+U220+#REF!+#REF!+#REF!+#REF!+#REF!</f>
        <v>#REF!</v>
      </c>
      <c r="V236" s="2333" t="e">
        <f>#REF!+#REF!+#REF!+#REF!+#REF!+V220+#REF!+#REF!+#REF!+#REF!+#REF!</f>
        <v>#REF!</v>
      </c>
      <c r="W236" s="2333" t="e">
        <f>#REF!+#REF!+#REF!+#REF!+#REF!+W220+#REF!+#REF!+#REF!+#REF!+#REF!</f>
        <v>#REF!</v>
      </c>
      <c r="X236" s="2333" t="e">
        <f>#REF!+#REF!+#REF!+#REF!+#REF!+X220+#REF!+#REF!+#REF!+#REF!+#REF!</f>
        <v>#REF!</v>
      </c>
      <c r="Y236" s="2333" t="e">
        <f>#REF!+#REF!+#REF!+#REF!+#REF!+Y220+#REF!+#REF!+#REF!+#REF!+#REF!</f>
        <v>#REF!</v>
      </c>
      <c r="AA236" s="2292"/>
    </row>
    <row r="237" spans="2:27" s="2290" customFormat="1" hidden="1" x14ac:dyDescent="0.25">
      <c r="B237" s="2398">
        <v>982</v>
      </c>
      <c r="C237" s="2521"/>
      <c r="D237" s="2342"/>
      <c r="E237" s="2382"/>
      <c r="F237" s="2333" t="e">
        <f>#REF!</f>
        <v>#REF!</v>
      </c>
      <c r="G237" s="2333" t="e">
        <f>#REF!</f>
        <v>#REF!</v>
      </c>
      <c r="H237" s="2333" t="e">
        <f>#REF!</f>
        <v>#REF!</v>
      </c>
      <c r="I237" s="2333" t="e">
        <f>#REF!</f>
        <v>#REF!</v>
      </c>
      <c r="J237" s="2333" t="e">
        <f>#REF!</f>
        <v>#REF!</v>
      </c>
      <c r="K237" s="2333" t="e">
        <f>#REF!</f>
        <v>#REF!</v>
      </c>
      <c r="L237" s="2333" t="e">
        <f>#REF!</f>
        <v>#REF!</v>
      </c>
      <c r="M237" s="2333" t="e">
        <f>#REF!</f>
        <v>#REF!</v>
      </c>
      <c r="N237" s="2333" t="e">
        <f>#REF!</f>
        <v>#REF!</v>
      </c>
      <c r="O237" s="2333" t="e">
        <f>#REF!</f>
        <v>#REF!</v>
      </c>
      <c r="P237" s="2333" t="e">
        <f>#REF!</f>
        <v>#REF!</v>
      </c>
      <c r="Q237" s="2333" t="e">
        <f>#REF!</f>
        <v>#REF!</v>
      </c>
      <c r="R237" s="2333" t="e">
        <f>#REF!</f>
        <v>#REF!</v>
      </c>
      <c r="S237" s="2333"/>
      <c r="T237" s="2333"/>
      <c r="U237" s="2333" t="e">
        <f>#REF!</f>
        <v>#REF!</v>
      </c>
      <c r="V237" s="2333" t="e">
        <f>#REF!</f>
        <v>#REF!</v>
      </c>
      <c r="W237" s="2333" t="e">
        <f>#REF!</f>
        <v>#REF!</v>
      </c>
      <c r="X237" s="2333" t="e">
        <f>#REF!</f>
        <v>#REF!</v>
      </c>
      <c r="Y237" s="2333" t="e">
        <f>#REF!</f>
        <v>#REF!</v>
      </c>
      <c r="AA237" s="2292"/>
    </row>
    <row r="238" spans="2:27" s="2290" customFormat="1" hidden="1" x14ac:dyDescent="0.25">
      <c r="B238" s="2398">
        <v>983</v>
      </c>
      <c r="C238" s="2521"/>
      <c r="D238" s="2342"/>
      <c r="E238" s="2382"/>
      <c r="F238" s="2333" t="e">
        <f>#REF!+#REF!</f>
        <v>#REF!</v>
      </c>
      <c r="G238" s="2333" t="e">
        <f>#REF!+#REF!</f>
        <v>#REF!</v>
      </c>
      <c r="H238" s="2333" t="e">
        <f>#REF!+#REF!</f>
        <v>#REF!</v>
      </c>
      <c r="I238" s="2333" t="e">
        <f>#REF!+#REF!</f>
        <v>#REF!</v>
      </c>
      <c r="J238" s="2333" t="e">
        <f>#REF!+#REF!</f>
        <v>#REF!</v>
      </c>
      <c r="K238" s="2333" t="e">
        <f>#REF!+#REF!</f>
        <v>#REF!</v>
      </c>
      <c r="L238" s="2333" t="e">
        <f>#REF!+#REF!</f>
        <v>#REF!</v>
      </c>
      <c r="M238" s="2333" t="e">
        <f>#REF!+#REF!</f>
        <v>#REF!</v>
      </c>
      <c r="N238" s="2333" t="e">
        <f>#REF!+#REF!</f>
        <v>#REF!</v>
      </c>
      <c r="O238" s="2333" t="e">
        <f>#REF!+#REF!</f>
        <v>#REF!</v>
      </c>
      <c r="P238" s="2333" t="e">
        <f>#REF!+#REF!</f>
        <v>#REF!</v>
      </c>
      <c r="Q238" s="2333" t="e">
        <f>#REF!+#REF!</f>
        <v>#REF!</v>
      </c>
      <c r="R238" s="2333" t="e">
        <f>#REF!+#REF!</f>
        <v>#REF!</v>
      </c>
      <c r="S238" s="2333"/>
      <c r="T238" s="2333"/>
      <c r="U238" s="2333" t="e">
        <f>#REF!+#REF!</f>
        <v>#REF!</v>
      </c>
      <c r="V238" s="2333" t="e">
        <f>#REF!+#REF!</f>
        <v>#REF!</v>
      </c>
      <c r="W238" s="2333" t="e">
        <f>#REF!+#REF!</f>
        <v>#REF!</v>
      </c>
      <c r="X238" s="2333" t="e">
        <f>#REF!+#REF!</f>
        <v>#REF!</v>
      </c>
      <c r="Y238" s="2333" t="e">
        <f>#REF!+#REF!</f>
        <v>#REF!</v>
      </c>
      <c r="AA238" s="2292"/>
    </row>
    <row r="239" spans="2:27" s="2290" customFormat="1" hidden="1" x14ac:dyDescent="0.25">
      <c r="B239" s="2398">
        <v>985</v>
      </c>
      <c r="C239" s="2521"/>
      <c r="D239" s="2342"/>
      <c r="E239" s="2382"/>
      <c r="F239" s="2333" t="e">
        <f>F221+#REF!+#REF!+#REF!</f>
        <v>#REF!</v>
      </c>
      <c r="G239" s="2333" t="e">
        <f>G221+#REF!+#REF!+#REF!</f>
        <v>#REF!</v>
      </c>
      <c r="H239" s="2333" t="e">
        <f>H221+#REF!+#REF!+#REF!</f>
        <v>#REF!</v>
      </c>
      <c r="I239" s="2333" t="e">
        <f>I221+#REF!+#REF!+#REF!</f>
        <v>#REF!</v>
      </c>
      <c r="J239" s="2333" t="e">
        <f>J221+#REF!+#REF!+#REF!</f>
        <v>#REF!</v>
      </c>
      <c r="K239" s="2333" t="e">
        <f>K221+#REF!+#REF!+#REF!</f>
        <v>#REF!</v>
      </c>
      <c r="L239" s="2333" t="e">
        <f>L221+#REF!+#REF!+#REF!</f>
        <v>#REF!</v>
      </c>
      <c r="M239" s="2333" t="e">
        <f>M221+#REF!+#REF!+#REF!</f>
        <v>#REF!</v>
      </c>
      <c r="N239" s="2333" t="e">
        <f>N221+#REF!+#REF!+#REF!</f>
        <v>#REF!</v>
      </c>
      <c r="O239" s="2333" t="e">
        <f>O221+#REF!+#REF!+#REF!</f>
        <v>#REF!</v>
      </c>
      <c r="P239" s="2333" t="e">
        <f>P221+#REF!+#REF!+#REF!</f>
        <v>#REF!</v>
      </c>
      <c r="Q239" s="2333" t="e">
        <f>Q221+#REF!+#REF!+#REF!</f>
        <v>#REF!</v>
      </c>
      <c r="R239" s="2333" t="e">
        <f>R221+#REF!+#REF!+#REF!</f>
        <v>#REF!</v>
      </c>
      <c r="S239" s="2333"/>
      <c r="T239" s="2333"/>
      <c r="U239" s="2333" t="e">
        <f>U221+#REF!+#REF!+#REF!</f>
        <v>#REF!</v>
      </c>
      <c r="V239" s="2333" t="e">
        <f>V221+#REF!+#REF!+#REF!</f>
        <v>#REF!</v>
      </c>
      <c r="W239" s="2333" t="e">
        <f>W221+#REF!+#REF!+#REF!</f>
        <v>#REF!</v>
      </c>
      <c r="X239" s="2333" t="e">
        <f>X221+#REF!+#REF!+#REF!</f>
        <v>#REF!</v>
      </c>
      <c r="Y239" s="2333" t="e">
        <f>Y221+#REF!+#REF!+#REF!</f>
        <v>#REF!</v>
      </c>
      <c r="AA239" s="2292"/>
    </row>
    <row r="240" spans="2:27" s="2290" customFormat="1" hidden="1" x14ac:dyDescent="0.25">
      <c r="B240" s="2398">
        <v>986</v>
      </c>
      <c r="C240" s="2521"/>
      <c r="D240" s="2342"/>
      <c r="E240" s="2382"/>
      <c r="F240" s="2333" t="e">
        <f>#REF!</f>
        <v>#REF!</v>
      </c>
      <c r="G240" s="2333" t="e">
        <f>#REF!</f>
        <v>#REF!</v>
      </c>
      <c r="H240" s="2333" t="e">
        <f>#REF!</f>
        <v>#REF!</v>
      </c>
      <c r="I240" s="2333" t="e">
        <f>#REF!</f>
        <v>#REF!</v>
      </c>
      <c r="J240" s="2333" t="e">
        <f>#REF!</f>
        <v>#REF!</v>
      </c>
      <c r="K240" s="2333" t="e">
        <f>#REF!</f>
        <v>#REF!</v>
      </c>
      <c r="L240" s="2333" t="e">
        <f>#REF!</f>
        <v>#REF!</v>
      </c>
      <c r="M240" s="2333" t="e">
        <f>#REF!</f>
        <v>#REF!</v>
      </c>
      <c r="N240" s="2333" t="e">
        <f>#REF!</f>
        <v>#REF!</v>
      </c>
      <c r="O240" s="2333" t="e">
        <f>#REF!</f>
        <v>#REF!</v>
      </c>
      <c r="P240" s="2333" t="e">
        <f>#REF!</f>
        <v>#REF!</v>
      </c>
      <c r="Q240" s="2333" t="e">
        <f>#REF!</f>
        <v>#REF!</v>
      </c>
      <c r="R240" s="2333" t="e">
        <f>#REF!</f>
        <v>#REF!</v>
      </c>
      <c r="S240" s="2333"/>
      <c r="T240" s="2333"/>
      <c r="U240" s="2333" t="e">
        <f>#REF!</f>
        <v>#REF!</v>
      </c>
      <c r="V240" s="2333" t="e">
        <f>#REF!</f>
        <v>#REF!</v>
      </c>
      <c r="W240" s="2333" t="e">
        <f>#REF!</f>
        <v>#REF!</v>
      </c>
      <c r="X240" s="2333" t="e">
        <f>#REF!</f>
        <v>#REF!</v>
      </c>
      <c r="Y240" s="2333" t="e">
        <f>#REF!</f>
        <v>#REF!</v>
      </c>
      <c r="AA240" s="2292"/>
    </row>
    <row r="241" spans="2:27" s="2290" customFormat="1" hidden="1" x14ac:dyDescent="0.25">
      <c r="B241" s="2291"/>
      <c r="C241" s="2292"/>
      <c r="D241" s="2527"/>
      <c r="E241" s="2528"/>
      <c r="F241" s="2529" t="e">
        <f>SUM(F222:F240)</f>
        <v>#REF!</v>
      </c>
      <c r="G241" s="2529" t="e">
        <f t="shared" ref="G241:Y241" si="44">SUM(G222:G240)</f>
        <v>#REF!</v>
      </c>
      <c r="H241" s="2529" t="e">
        <f t="shared" si="44"/>
        <v>#REF!</v>
      </c>
      <c r="I241" s="2529" t="e">
        <f t="shared" si="44"/>
        <v>#REF!</v>
      </c>
      <c r="J241" s="2529" t="e">
        <f t="shared" si="44"/>
        <v>#REF!</v>
      </c>
      <c r="K241" s="2529" t="e">
        <f t="shared" si="44"/>
        <v>#REF!</v>
      </c>
      <c r="L241" s="2529" t="e">
        <f t="shared" si="44"/>
        <v>#REF!</v>
      </c>
      <c r="M241" s="2529" t="e">
        <f t="shared" si="44"/>
        <v>#REF!</v>
      </c>
      <c r="N241" s="2529" t="e">
        <f t="shared" si="44"/>
        <v>#REF!</v>
      </c>
      <c r="O241" s="2529" t="e">
        <f t="shared" si="44"/>
        <v>#REF!</v>
      </c>
      <c r="P241" s="2529" t="e">
        <f t="shared" si="44"/>
        <v>#REF!</v>
      </c>
      <c r="Q241" s="2529" t="e">
        <f t="shared" si="44"/>
        <v>#REF!</v>
      </c>
      <c r="R241" s="2529" t="e">
        <f>SUM(R222:R240)</f>
        <v>#REF!</v>
      </c>
      <c r="S241" s="2529"/>
      <c r="T241" s="2529"/>
      <c r="U241" s="2529" t="e">
        <f t="shared" si="44"/>
        <v>#REF!</v>
      </c>
      <c r="V241" s="2529" t="e">
        <f t="shared" si="44"/>
        <v>#REF!</v>
      </c>
      <c r="W241" s="2529" t="e">
        <f t="shared" si="44"/>
        <v>#REF!</v>
      </c>
      <c r="X241" s="2529" t="e">
        <f t="shared" si="44"/>
        <v>#REF!</v>
      </c>
      <c r="Y241" s="2529" t="e">
        <f t="shared" si="44"/>
        <v>#REF!</v>
      </c>
      <c r="AA241" s="2292"/>
    </row>
    <row r="242" spans="2:27" s="2290" customFormat="1" hidden="1" x14ac:dyDescent="0.25">
      <c r="B242" s="2291"/>
      <c r="C242" s="2292"/>
      <c r="D242" s="2527"/>
      <c r="E242" s="2528"/>
      <c r="F242" s="2529" t="e">
        <f>#REF!-F241</f>
        <v>#REF!</v>
      </c>
      <c r="G242" s="2529" t="e">
        <f>#REF!-G241</f>
        <v>#REF!</v>
      </c>
      <c r="H242" s="2529" t="e">
        <f>#REF!-H241</f>
        <v>#REF!</v>
      </c>
      <c r="I242" s="2529" t="e">
        <f>#REF!-I241</f>
        <v>#REF!</v>
      </c>
      <c r="J242" s="2529" t="e">
        <f>#REF!-J241</f>
        <v>#REF!</v>
      </c>
      <c r="K242" s="2529" t="e">
        <f>#REF!-K241</f>
        <v>#REF!</v>
      </c>
      <c r="L242" s="2529" t="e">
        <f>#REF!-L241</f>
        <v>#REF!</v>
      </c>
      <c r="M242" s="2529" t="e">
        <f>#REF!-M241</f>
        <v>#REF!</v>
      </c>
      <c r="N242" s="2529" t="e">
        <f>#REF!-N241</f>
        <v>#REF!</v>
      </c>
      <c r="O242" s="2529" t="e">
        <f>#REF!-O241</f>
        <v>#REF!</v>
      </c>
      <c r="P242" s="2529" t="e">
        <f>#REF!-P241</f>
        <v>#REF!</v>
      </c>
      <c r="Q242" s="2529" t="e">
        <f>#REF!-Q241</f>
        <v>#REF!</v>
      </c>
      <c r="R242" s="2529" t="e">
        <f>#REF!-R241</f>
        <v>#REF!</v>
      </c>
      <c r="S242" s="2529"/>
      <c r="T242" s="2529"/>
      <c r="U242" s="2529" t="e">
        <f>#REF!-U241</f>
        <v>#REF!</v>
      </c>
      <c r="V242" s="2529" t="e">
        <f>#REF!-V241</f>
        <v>#REF!</v>
      </c>
      <c r="W242" s="2529" t="e">
        <f>#REF!-W241</f>
        <v>#REF!</v>
      </c>
      <c r="X242" s="2529" t="e">
        <f>#REF!-X241</f>
        <v>#REF!</v>
      </c>
      <c r="Y242" s="2529" t="e">
        <f>#REF!-Y241</f>
        <v>#REF!</v>
      </c>
      <c r="AA242" s="2292"/>
    </row>
    <row r="243" spans="2:27" s="2290" customFormat="1" hidden="1" x14ac:dyDescent="0.25">
      <c r="B243" s="2291"/>
      <c r="C243" s="2292"/>
      <c r="D243" s="2527"/>
      <c r="E243" s="2528"/>
      <c r="F243" s="2527" t="e">
        <f>F242</f>
        <v>#REF!</v>
      </c>
      <c r="G243" s="2527"/>
      <c r="H243" s="2527"/>
      <c r="I243" s="2527"/>
      <c r="J243" s="2527"/>
      <c r="K243" s="2527"/>
      <c r="L243" s="2527"/>
      <c r="M243" s="2527"/>
      <c r="N243" s="2527"/>
      <c r="O243" s="2527"/>
      <c r="P243" s="2527"/>
      <c r="Q243" s="2527"/>
      <c r="R243" s="2527"/>
      <c r="S243" s="2527"/>
      <c r="T243" s="2527"/>
      <c r="U243" s="2527"/>
      <c r="V243" s="2527"/>
      <c r="W243" s="2527"/>
      <c r="X243" s="2527"/>
      <c r="Y243" s="2527"/>
      <c r="Z243" s="2527" t="e">
        <f>#REF!-Z242</f>
        <v>#REF!</v>
      </c>
      <c r="AA243" s="2292"/>
    </row>
    <row r="244" spans="2:27" x14ac:dyDescent="0.25">
      <c r="D244" s="2531"/>
      <c r="E244" s="2531"/>
      <c r="F244" s="2531"/>
      <c r="G244" s="2531"/>
      <c r="H244" s="2531"/>
      <c r="I244" s="2531"/>
      <c r="J244" s="2531"/>
      <c r="K244" s="2531"/>
      <c r="L244" s="2531"/>
      <c r="M244" s="2531"/>
      <c r="N244" s="2531"/>
      <c r="O244" s="2531"/>
      <c r="P244" s="2531"/>
      <c r="Q244" s="2531"/>
      <c r="R244" s="2531"/>
      <c r="S244" s="2531"/>
      <c r="T244" s="2531"/>
      <c r="U244" s="2531"/>
      <c r="V244" s="2531"/>
      <c r="W244" s="2531"/>
      <c r="X244" s="2531"/>
      <c r="Y244" s="2531"/>
      <c r="Z244" s="2531"/>
    </row>
    <row r="245" spans="2:27" x14ac:dyDescent="0.25">
      <c r="D245" s="2531"/>
      <c r="E245" s="2531"/>
      <c r="F245" s="2531"/>
      <c r="G245" s="2531"/>
      <c r="H245" s="2531"/>
      <c r="I245" s="2531"/>
      <c r="J245" s="2531"/>
      <c r="K245" s="2531"/>
      <c r="L245" s="2531"/>
      <c r="M245" s="2531"/>
      <c r="N245" s="2531"/>
      <c r="O245" s="2531"/>
      <c r="P245" s="2531"/>
      <c r="Q245" s="2531"/>
      <c r="R245" s="2531"/>
      <c r="S245" s="2531"/>
      <c r="T245" s="2531"/>
      <c r="U245" s="2531"/>
      <c r="V245" s="2531"/>
      <c r="W245" s="2531"/>
      <c r="X245" s="2531"/>
      <c r="Y245" s="2531"/>
      <c r="Z245" s="2531"/>
    </row>
    <row r="252" spans="2:27" x14ac:dyDescent="0.25">
      <c r="T252" s="2532">
        <f>S220-50.6</f>
        <v>58.9</v>
      </c>
    </row>
  </sheetData>
  <autoFilter ref="A10:XEJ207">
    <filterColumn colId="1">
      <filters>
        <filter val="955"/>
      </filters>
    </filterColumn>
  </autoFilter>
  <mergeCells count="54">
    <mergeCell ref="A5:A9"/>
    <mergeCell ref="B5:B9"/>
    <mergeCell ref="C5:C9"/>
    <mergeCell ref="D5:G6"/>
    <mergeCell ref="H5:O5"/>
    <mergeCell ref="D7:D9"/>
    <mergeCell ref="E7:E9"/>
    <mergeCell ref="F7:G7"/>
    <mergeCell ref="L7:L9"/>
    <mergeCell ref="V5:W6"/>
    <mergeCell ref="X5:X6"/>
    <mergeCell ref="Y5:Y6"/>
    <mergeCell ref="Z5:Z9"/>
    <mergeCell ref="H6:K6"/>
    <mergeCell ref="L6:O6"/>
    <mergeCell ref="P6:U6"/>
    <mergeCell ref="H7:H9"/>
    <mergeCell ref="I7:I9"/>
    <mergeCell ref="J7:K7"/>
    <mergeCell ref="P5:U5"/>
    <mergeCell ref="M7:M9"/>
    <mergeCell ref="N7:O7"/>
    <mergeCell ref="P7:P9"/>
    <mergeCell ref="Q7:Q9"/>
    <mergeCell ref="R7:U7"/>
    <mergeCell ref="W7:W9"/>
    <mergeCell ref="X7:Y7"/>
    <mergeCell ref="R8:R9"/>
    <mergeCell ref="S8:T8"/>
    <mergeCell ref="U8:U9"/>
    <mergeCell ref="X9:Y9"/>
    <mergeCell ref="V7:V9"/>
    <mergeCell ref="Z189:Z195"/>
    <mergeCell ref="Z196:Z201"/>
    <mergeCell ref="F209:G209"/>
    <mergeCell ref="J209:K209"/>
    <mergeCell ref="N209:O209"/>
    <mergeCell ref="R209:U209"/>
    <mergeCell ref="A2:Z2"/>
    <mergeCell ref="A3:Z3"/>
    <mergeCell ref="Z157:Z160"/>
    <mergeCell ref="Z175:Z182"/>
    <mergeCell ref="Z183:Z188"/>
    <mergeCell ref="Z75:Z76"/>
    <mergeCell ref="Z102:Z103"/>
    <mergeCell ref="Z104:Z105"/>
    <mergeCell ref="Z109:Z112"/>
    <mergeCell ref="Z115:Z119"/>
    <mergeCell ref="A11:Y11"/>
    <mergeCell ref="A12:Y12"/>
    <mergeCell ref="Z50:Z53"/>
    <mergeCell ref="Z55:Z57"/>
    <mergeCell ref="Z58:Z61"/>
    <mergeCell ref="Z65:Z66"/>
  </mergeCells>
  <pageMargins left="0.70866141732283472" right="0.70866141732283472" top="0.74803149606299213" bottom="0.74803149606299213" header="0.31496062992125984" footer="0.31496062992125984"/>
  <pageSetup paperSize="9" scale="42" orientation="landscape" r:id="rId1"/>
  <rowBreaks count="2" manualBreakCount="2">
    <brk id="25" max="23" man="1"/>
    <brk id="128" min="16" max="2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N434"/>
  <sheetViews>
    <sheetView view="pageBreakPreview" zoomScale="70" zoomScaleNormal="70" zoomScaleSheetLayoutView="70" workbookViewId="0">
      <pane xSplit="4" ySplit="9" topLeftCell="Q279" activePane="bottomRight" state="frozen"/>
      <selection activeCell="T17" sqref="T17"/>
      <selection pane="topRight" activeCell="T17" sqref="T17"/>
      <selection pane="bottomLeft" activeCell="T17" sqref="T17"/>
      <selection pane="bottomRight" activeCell="S434" sqref="S434:U434"/>
    </sheetView>
  </sheetViews>
  <sheetFormatPr defaultColWidth="10.6640625" defaultRowHeight="15" x14ac:dyDescent="0.25"/>
  <cols>
    <col min="1" max="1" width="9.33203125" style="585" customWidth="1"/>
    <col min="2" max="2" width="66.33203125" style="467" customWidth="1"/>
    <col min="3" max="3" width="20.1640625" style="586" customWidth="1"/>
    <col min="4" max="5" width="16.1640625" style="585" customWidth="1"/>
    <col min="6" max="6" width="16.5" style="563" hidden="1" customWidth="1"/>
    <col min="7" max="7" width="16.5" style="564" hidden="1" customWidth="1"/>
    <col min="8" max="8" width="16.5" style="565" hidden="1" customWidth="1"/>
    <col min="9" max="9" width="10.83203125" style="470" hidden="1" customWidth="1"/>
    <col min="10" max="10" width="17.33203125" style="470" hidden="1" customWidth="1"/>
    <col min="11" max="11" width="14.83203125" style="470" hidden="1" customWidth="1"/>
    <col min="12" max="12" width="25.1640625" style="470" hidden="1" customWidth="1"/>
    <col min="13" max="13" width="17.33203125" style="470" hidden="1" customWidth="1"/>
    <col min="14" max="14" width="14.83203125" style="470" hidden="1" customWidth="1"/>
    <col min="15" max="17" width="14.83203125" style="470" customWidth="1"/>
    <col min="18" max="18" width="18.33203125" style="470" customWidth="1"/>
    <col min="19" max="25" width="14.83203125" style="470" customWidth="1"/>
    <col min="26" max="27" width="14.83203125" style="566" customWidth="1"/>
    <col min="28" max="28" width="42.1640625" style="465" customWidth="1"/>
    <col min="29" max="29" width="14.83203125" style="583" customWidth="1"/>
    <col min="30" max="30" width="12.83203125" style="467" customWidth="1"/>
    <col min="31" max="31" width="10.83203125" style="467" bestFit="1" customWidth="1"/>
    <col min="32" max="32" width="18.5" style="584" customWidth="1"/>
    <col min="33" max="33" width="13.5" style="467" customWidth="1"/>
    <col min="34" max="16384" width="10.6640625" style="467"/>
  </cols>
  <sheetData>
    <row r="1" spans="1:40" x14ac:dyDescent="0.25">
      <c r="A1" s="1034"/>
      <c r="B1" s="374"/>
      <c r="C1" s="374"/>
      <c r="D1" s="1034"/>
      <c r="E1" s="1034"/>
      <c r="F1" s="375"/>
      <c r="G1" s="376"/>
      <c r="H1" s="377"/>
      <c r="I1" s="378"/>
      <c r="J1" s="378"/>
      <c r="K1" s="463"/>
      <c r="L1" s="378"/>
      <c r="M1" s="378"/>
      <c r="N1" s="463"/>
      <c r="O1" s="378"/>
      <c r="P1" s="378"/>
      <c r="Q1" s="463"/>
      <c r="R1" s="463"/>
      <c r="S1" s="463"/>
      <c r="T1" s="378"/>
      <c r="U1" s="378"/>
      <c r="V1" s="463"/>
      <c r="W1" s="378"/>
      <c r="X1" s="378"/>
      <c r="Y1" s="463"/>
      <c r="Z1" s="377"/>
      <c r="AA1" s="377"/>
      <c r="AB1" s="379"/>
      <c r="AC1" s="464"/>
      <c r="AD1" s="465"/>
      <c r="AE1" s="465"/>
      <c r="AF1" s="466"/>
      <c r="AG1" s="465"/>
      <c r="AH1" s="465"/>
    </row>
    <row r="2" spans="1:40" ht="24.75" customHeight="1" x14ac:dyDescent="0.25">
      <c r="A2" s="3513" t="s">
        <v>1405</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464"/>
      <c r="AD2" s="465"/>
      <c r="AE2" s="465"/>
      <c r="AF2" s="466"/>
      <c r="AG2" s="465"/>
      <c r="AH2" s="465"/>
    </row>
    <row r="3" spans="1:40" ht="18.75" x14ac:dyDescent="0.25">
      <c r="A3" s="3538" t="s">
        <v>2024</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464"/>
      <c r="AD3" s="465"/>
      <c r="AE3" s="465"/>
      <c r="AF3" s="466"/>
      <c r="AG3" s="465"/>
      <c r="AH3" s="465"/>
    </row>
    <row r="4" spans="1:40" ht="15.75" x14ac:dyDescent="0.25">
      <c r="A4" s="1034"/>
      <c r="B4" s="374"/>
      <c r="C4" s="374"/>
      <c r="D4" s="1034"/>
      <c r="E4" s="1034"/>
      <c r="F4" s="375"/>
      <c r="G4" s="376"/>
      <c r="H4" s="377"/>
      <c r="I4" s="378"/>
      <c r="J4" s="378"/>
      <c r="K4" s="463"/>
      <c r="L4" s="378"/>
      <c r="M4" s="378"/>
      <c r="N4" s="463"/>
      <c r="O4" s="378"/>
      <c r="P4" s="378"/>
      <c r="Q4" s="463"/>
      <c r="R4" s="463"/>
      <c r="S4" s="463"/>
      <c r="T4" s="378"/>
      <c r="U4" s="378"/>
      <c r="V4" s="463"/>
      <c r="W4" s="378"/>
      <c r="X4" s="378"/>
      <c r="Y4" s="463"/>
      <c r="Z4" s="377"/>
      <c r="AA4" s="377"/>
      <c r="AB4" s="683">
        <v>43831</v>
      </c>
      <c r="AC4" s="464"/>
      <c r="AD4" s="465"/>
      <c r="AE4" s="465"/>
      <c r="AF4" s="466"/>
      <c r="AG4" s="465"/>
      <c r="AH4" s="465"/>
    </row>
    <row r="5" spans="1:40" ht="63.75" customHeight="1" x14ac:dyDescent="0.25">
      <c r="A5" s="3539" t="s">
        <v>78</v>
      </c>
      <c r="B5" s="3539" t="s">
        <v>484</v>
      </c>
      <c r="C5" s="3540" t="s">
        <v>485</v>
      </c>
      <c r="D5" s="3539" t="s">
        <v>486</v>
      </c>
      <c r="E5" s="3539" t="s">
        <v>219</v>
      </c>
      <c r="F5" s="3533" t="s">
        <v>344</v>
      </c>
      <c r="G5" s="3533"/>
      <c r="H5" s="3533"/>
      <c r="I5" s="3533" t="s">
        <v>487</v>
      </c>
      <c r="J5" s="3533"/>
      <c r="K5" s="3533"/>
      <c r="L5" s="3541" t="s">
        <v>488</v>
      </c>
      <c r="M5" s="3542"/>
      <c r="N5" s="3543"/>
      <c r="O5" s="3533" t="s">
        <v>489</v>
      </c>
      <c r="P5" s="3533"/>
      <c r="Q5" s="3533"/>
      <c r="R5" s="3531" t="s">
        <v>490</v>
      </c>
      <c r="S5" s="3532"/>
      <c r="T5" s="3533" t="s">
        <v>205</v>
      </c>
      <c r="U5" s="3533"/>
      <c r="V5" s="3533"/>
      <c r="W5" s="3534" t="s">
        <v>206</v>
      </c>
      <c r="X5" s="3535"/>
      <c r="Y5" s="3536"/>
      <c r="Z5" s="3537" t="s">
        <v>120</v>
      </c>
      <c r="AA5" s="3537"/>
      <c r="AB5" s="3530" t="s">
        <v>491</v>
      </c>
      <c r="AC5" s="464"/>
      <c r="AD5" s="465"/>
      <c r="AE5" s="465"/>
      <c r="AF5" s="466"/>
      <c r="AG5" s="465"/>
      <c r="AH5" s="465"/>
    </row>
    <row r="6" spans="1:40" s="465" customFormat="1" ht="62.25" customHeight="1" x14ac:dyDescent="0.25">
      <c r="A6" s="3539"/>
      <c r="B6" s="3539"/>
      <c r="C6" s="3540"/>
      <c r="D6" s="3539"/>
      <c r="E6" s="3539"/>
      <c r="F6" s="3544" t="s">
        <v>492</v>
      </c>
      <c r="G6" s="3545" t="s">
        <v>493</v>
      </c>
      <c r="H6" s="3520" t="s">
        <v>494</v>
      </c>
      <c r="I6" s="3520" t="s">
        <v>492</v>
      </c>
      <c r="J6" s="3520" t="s">
        <v>493</v>
      </c>
      <c r="K6" s="3520" t="s">
        <v>494</v>
      </c>
      <c r="L6" s="3521" t="s">
        <v>492</v>
      </c>
      <c r="M6" s="3521" t="s">
        <v>493</v>
      </c>
      <c r="N6" s="3521" t="s">
        <v>494</v>
      </c>
      <c r="O6" s="3520" t="s">
        <v>492</v>
      </c>
      <c r="P6" s="3520" t="s">
        <v>493</v>
      </c>
      <c r="Q6" s="3520" t="s">
        <v>494</v>
      </c>
      <c r="R6" s="468" t="s">
        <v>495</v>
      </c>
      <c r="S6" s="1243" t="s">
        <v>496</v>
      </c>
      <c r="T6" s="3520" t="s">
        <v>492</v>
      </c>
      <c r="U6" s="3520" t="s">
        <v>493</v>
      </c>
      <c r="V6" s="3520" t="s">
        <v>494</v>
      </c>
      <c r="W6" s="3521" t="s">
        <v>492</v>
      </c>
      <c r="X6" s="3521" t="s">
        <v>493</v>
      </c>
      <c r="Y6" s="3521" t="s">
        <v>494</v>
      </c>
      <c r="Z6" s="3520" t="s">
        <v>497</v>
      </c>
      <c r="AA6" s="3526" t="s">
        <v>498</v>
      </c>
      <c r="AB6" s="3530"/>
      <c r="AC6" s="469">
        <f>Z9+[16]РМС!X9+[16]СПЖ!X9+[16]ОД!X9+[16]Наркомания!X9+[16]Молодежь!X9+[16]Стимулирование!V1392</f>
        <v>1717.5</v>
      </c>
      <c r="AD6" s="470">
        <f>S9+[16]Стимулирование!T873+1750</f>
        <v>2183.6999999999998</v>
      </c>
      <c r="AF6" s="466"/>
    </row>
    <row r="7" spans="1:40" s="465" customFormat="1" ht="59.25" hidden="1" customHeight="1" x14ac:dyDescent="0.25">
      <c r="A7" s="3539"/>
      <c r="B7" s="3539"/>
      <c r="C7" s="3540"/>
      <c r="D7" s="3539"/>
      <c r="E7" s="3539"/>
      <c r="F7" s="3544"/>
      <c r="G7" s="3545"/>
      <c r="H7" s="3520"/>
      <c r="I7" s="3520"/>
      <c r="J7" s="3520"/>
      <c r="K7" s="3520"/>
      <c r="L7" s="3522"/>
      <c r="M7" s="3522"/>
      <c r="N7" s="3522"/>
      <c r="O7" s="3520"/>
      <c r="P7" s="3520"/>
      <c r="Q7" s="3520"/>
      <c r="R7" s="1243"/>
      <c r="S7" s="1243"/>
      <c r="T7" s="3520"/>
      <c r="U7" s="3520"/>
      <c r="V7" s="3520"/>
      <c r="W7" s="3522"/>
      <c r="X7" s="3522"/>
      <c r="Y7" s="3522"/>
      <c r="Z7" s="3520"/>
      <c r="AA7" s="3526"/>
      <c r="AB7" s="3530"/>
      <c r="AC7" s="464"/>
      <c r="AD7" s="470"/>
      <c r="AE7" s="470"/>
      <c r="AF7" s="466"/>
    </row>
    <row r="8" spans="1:40" s="465" customFormat="1" x14ac:dyDescent="0.25">
      <c r="A8" s="1240">
        <v>1</v>
      </c>
      <c r="B8" s="1240">
        <v>2</v>
      </c>
      <c r="C8" s="1240">
        <v>3</v>
      </c>
      <c r="D8" s="1240">
        <v>4</v>
      </c>
      <c r="E8" s="1240">
        <v>5</v>
      </c>
      <c r="F8" s="471">
        <v>6</v>
      </c>
      <c r="G8" s="471">
        <v>7</v>
      </c>
      <c r="H8" s="1240">
        <v>8</v>
      </c>
      <c r="I8" s="1240">
        <v>9</v>
      </c>
      <c r="J8" s="1240">
        <v>10</v>
      </c>
      <c r="K8" s="1240">
        <v>11</v>
      </c>
      <c r="L8" s="1240">
        <v>12</v>
      </c>
      <c r="M8" s="1240">
        <v>13</v>
      </c>
      <c r="N8" s="1240">
        <v>14</v>
      </c>
      <c r="O8" s="472">
        <v>15</v>
      </c>
      <c r="P8" s="472">
        <v>16</v>
      </c>
      <c r="Q8" s="472">
        <v>17</v>
      </c>
      <c r="R8" s="473" t="s">
        <v>499</v>
      </c>
      <c r="S8" s="473" t="s">
        <v>500</v>
      </c>
      <c r="T8" s="472">
        <v>18</v>
      </c>
      <c r="U8" s="472">
        <v>19</v>
      </c>
      <c r="V8" s="472">
        <v>20</v>
      </c>
      <c r="W8" s="472">
        <v>21</v>
      </c>
      <c r="X8" s="472">
        <v>22</v>
      </c>
      <c r="Y8" s="472">
        <v>23</v>
      </c>
      <c r="Z8" s="1240">
        <v>24</v>
      </c>
      <c r="AA8" s="1240">
        <v>25</v>
      </c>
      <c r="AB8" s="1240">
        <v>26</v>
      </c>
      <c r="AC8" s="464"/>
      <c r="AF8" s="466"/>
    </row>
    <row r="9" spans="1:40" s="486" customFormat="1" ht="26.25" hidden="1" customHeight="1" x14ac:dyDescent="0.25">
      <c r="A9" s="474"/>
      <c r="B9" s="475" t="s">
        <v>501</v>
      </c>
      <c r="C9" s="476"/>
      <c r="D9" s="477"/>
      <c r="E9" s="474"/>
      <c r="F9" s="478"/>
      <c r="G9" s="479"/>
      <c r="H9" s="480" t="e">
        <f>#REF!+H10+H32+#REF!+#REF!+#REF!+#REF!+H51+H73+#REF!+H146+#REF!+H157+#REF!+#REF!+H181+H190+H213+H252+#REF!+#REF!+#REF!+H281+H302+#REF!+H316+#REF!+#REF!+H336+#REF!+#REF!+H352+#REF!+#REF!+#REF!+#REF!+#REF!+#REF!+#REF!+#REF!+#REF!+#REF!+#REF!+H412</f>
        <v>#REF!</v>
      </c>
      <c r="I9" s="480"/>
      <c r="J9" s="480"/>
      <c r="K9" s="480">
        <f>K10+K32+K51+K73+K146+K157+K181+K190+K213+K252+K281+K302+K316+K336+K352+K412</f>
        <v>891.2</v>
      </c>
      <c r="L9" s="480"/>
      <c r="M9" s="480"/>
      <c r="N9" s="480">
        <f>N10+N32+N51+N73+N146+N157+N181+N190+N213+N252+N281+N302+N316+N336+N352+N412</f>
        <v>891.2</v>
      </c>
      <c r="O9" s="480"/>
      <c r="P9" s="480"/>
      <c r="Q9" s="480">
        <f>Q10+Q32+Q51+Q73+Q146+Q157+Q181+Q190+Q213+Q252+Q281+Q302+Q316+Q336+Q352+Q412</f>
        <v>1365.1</v>
      </c>
      <c r="R9" s="480">
        <f>R10+R32+R51+R73+R146+R157+R181+R190+R213+R252+R281+R302+R316+R336+R352+R412</f>
        <v>1131.0999999999999</v>
      </c>
      <c r="S9" s="480">
        <f>S10+S32+S51+S73+S146+S157+S181+S190+S213+S252+S281+S302+S316+S336+S352+S412</f>
        <v>233.9</v>
      </c>
      <c r="T9" s="480"/>
      <c r="U9" s="480"/>
      <c r="V9" s="480">
        <f>V10+V32+V51+V73+V146+V157+V181+V190+V213+V252+V281+V302+V316+V336+V352+V412</f>
        <v>1257.4000000000001</v>
      </c>
      <c r="W9" s="480"/>
      <c r="X9" s="480"/>
      <c r="Y9" s="480">
        <f>Y10+Y32+Y51+Y73+Y146+Y157+Y181+Y190+Y213+Y252+Y281+Y302+Y316+Y336+Y352+Y412</f>
        <v>1257.4000000000001</v>
      </c>
      <c r="Z9" s="480">
        <f t="shared" ref="Z9:Z72" si="0">Q9-K9</f>
        <v>473.9</v>
      </c>
      <c r="AA9" s="480">
        <f t="shared" ref="AA9:AA72" si="1">IFERROR(Q9/K9*100,"-")</f>
        <v>153.19999999999999</v>
      </c>
      <c r="AB9" s="481"/>
      <c r="AC9" s="482"/>
      <c r="AD9" s="483"/>
      <c r="AE9" s="483"/>
      <c r="AF9" s="484"/>
      <c r="AG9" s="485"/>
      <c r="AH9" s="484"/>
      <c r="AI9" s="483"/>
      <c r="AJ9" s="483"/>
      <c r="AL9" s="483"/>
      <c r="AM9" s="483"/>
      <c r="AN9" s="483"/>
    </row>
    <row r="10" spans="1:40" s="492" customFormat="1" ht="14.25" hidden="1" x14ac:dyDescent="0.2">
      <c r="A10" s="487"/>
      <c r="B10" s="831" t="s">
        <v>1231</v>
      </c>
      <c r="C10" s="490"/>
      <c r="D10" s="487"/>
      <c r="E10" s="487"/>
      <c r="F10" s="832"/>
      <c r="G10" s="833"/>
      <c r="H10" s="513" t="e">
        <f>#REF!+H11+#REF!</f>
        <v>#REF!</v>
      </c>
      <c r="I10" s="513"/>
      <c r="J10" s="513"/>
      <c r="K10" s="513">
        <f>K11</f>
        <v>34.200000000000003</v>
      </c>
      <c r="L10" s="513"/>
      <c r="M10" s="513"/>
      <c r="N10" s="513">
        <f>N11</f>
        <v>34.200000000000003</v>
      </c>
      <c r="O10" s="513"/>
      <c r="P10" s="513"/>
      <c r="Q10" s="513">
        <f>Q11</f>
        <v>37</v>
      </c>
      <c r="R10" s="513">
        <f>Q10</f>
        <v>37</v>
      </c>
      <c r="S10" s="513"/>
      <c r="T10" s="513"/>
      <c r="U10" s="513"/>
      <c r="V10" s="513">
        <f>V11</f>
        <v>31.1</v>
      </c>
      <c r="W10" s="513"/>
      <c r="X10" s="513"/>
      <c r="Y10" s="513">
        <f>Y11</f>
        <v>31.1</v>
      </c>
      <c r="Z10" s="513">
        <f t="shared" si="0"/>
        <v>2.8</v>
      </c>
      <c r="AA10" s="513">
        <f t="shared" si="1"/>
        <v>108.2</v>
      </c>
      <c r="AB10" s="834"/>
      <c r="AC10" s="491"/>
      <c r="AD10" s="835"/>
      <c r="AE10" s="835"/>
      <c r="AF10" s="836"/>
      <c r="AG10" s="466"/>
      <c r="AH10" s="466"/>
    </row>
    <row r="11" spans="1:40" s="492" customFormat="1" ht="38.25" hidden="1" x14ac:dyDescent="0.2">
      <c r="A11" s="522"/>
      <c r="B11" s="825" t="s">
        <v>1664</v>
      </c>
      <c r="C11" s="837"/>
      <c r="D11" s="522" t="s">
        <v>1444</v>
      </c>
      <c r="E11" s="838"/>
      <c r="F11" s="839"/>
      <c r="G11" s="840"/>
      <c r="H11" s="841">
        <f>H12+H16+H20+H21+H22+H23+H24+H26</f>
        <v>58.3</v>
      </c>
      <c r="I11" s="841"/>
      <c r="J11" s="841"/>
      <c r="K11" s="841">
        <f>K12+K16+K20+K21+K22+K23+K24+K26</f>
        <v>34.200000000000003</v>
      </c>
      <c r="L11" s="841"/>
      <c r="M11" s="841"/>
      <c r="N11" s="841">
        <f>N12+N16+N20+N21+N22+N23+N24+N26</f>
        <v>34.200000000000003</v>
      </c>
      <c r="O11" s="841"/>
      <c r="P11" s="841"/>
      <c r="Q11" s="841">
        <f>Q12+Q16+Q20+Q21+Q24+Q26</f>
        <v>37</v>
      </c>
      <c r="R11" s="841">
        <f t="shared" ref="R11:R72" si="2">Q11</f>
        <v>37</v>
      </c>
      <c r="S11" s="841"/>
      <c r="T11" s="841"/>
      <c r="U11" s="841"/>
      <c r="V11" s="841">
        <f>V12+V16+V20+V21+V24+V26</f>
        <v>31.1</v>
      </c>
      <c r="W11" s="841"/>
      <c r="X11" s="841"/>
      <c r="Y11" s="841">
        <f>Y12+Y16+Y20+Y21+Y24+Y26</f>
        <v>31.1</v>
      </c>
      <c r="Z11" s="841">
        <f t="shared" si="0"/>
        <v>2.8</v>
      </c>
      <c r="AA11" s="841">
        <f t="shared" si="1"/>
        <v>108.2</v>
      </c>
      <c r="AB11" s="849"/>
      <c r="AC11" s="491" t="s">
        <v>1665</v>
      </c>
      <c r="AF11" s="466"/>
      <c r="AG11" s="466"/>
      <c r="AH11" s="466"/>
    </row>
    <row r="12" spans="1:40" s="492" customFormat="1" ht="14.25" hidden="1" x14ac:dyDescent="0.2">
      <c r="A12" s="1240"/>
      <c r="B12" s="500" t="s">
        <v>1228</v>
      </c>
      <c r="C12" s="501" t="s">
        <v>797</v>
      </c>
      <c r="D12" s="1240"/>
      <c r="E12" s="842"/>
      <c r="F12" s="530"/>
      <c r="G12" s="531"/>
      <c r="H12" s="542">
        <f>SUM(H13:H15)</f>
        <v>7.8</v>
      </c>
      <c r="I12" s="532"/>
      <c r="J12" s="532"/>
      <c r="K12" s="533">
        <f>SUM(K13:K15)</f>
        <v>4</v>
      </c>
      <c r="L12" s="532"/>
      <c r="M12" s="532"/>
      <c r="N12" s="533">
        <f>SUM(N13:N15)</f>
        <v>4</v>
      </c>
      <c r="O12" s="532"/>
      <c r="P12" s="532"/>
      <c r="Q12" s="533">
        <f>SUM(Q13:Q15)</f>
        <v>4</v>
      </c>
      <c r="R12" s="533">
        <f t="shared" si="2"/>
        <v>4</v>
      </c>
      <c r="S12" s="533"/>
      <c r="T12" s="532"/>
      <c r="U12" s="532"/>
      <c r="V12" s="533">
        <f>SUM(V13:V15)</f>
        <v>4</v>
      </c>
      <c r="W12" s="532"/>
      <c r="X12" s="532"/>
      <c r="Y12" s="533">
        <f>SUM(Y13:Y15)</f>
        <v>4</v>
      </c>
      <c r="Z12" s="542">
        <f t="shared" si="0"/>
        <v>0</v>
      </c>
      <c r="AA12" s="542">
        <f t="shared" si="1"/>
        <v>100</v>
      </c>
      <c r="AB12" s="1030"/>
      <c r="AC12" s="1822" t="s">
        <v>1665</v>
      </c>
      <c r="AF12" s="466"/>
      <c r="AG12" s="466"/>
      <c r="AH12" s="466"/>
    </row>
    <row r="13" spans="1:40" s="498" customFormat="1" hidden="1" x14ac:dyDescent="0.25">
      <c r="A13" s="962"/>
      <c r="B13" s="856" t="s">
        <v>1666</v>
      </c>
      <c r="C13" s="499"/>
      <c r="D13" s="962"/>
      <c r="E13" s="1031" t="s">
        <v>227</v>
      </c>
      <c r="F13" s="494">
        <v>1</v>
      </c>
      <c r="G13" s="495">
        <v>3</v>
      </c>
      <c r="H13" s="559">
        <f>F13*G13</f>
        <v>3</v>
      </c>
      <c r="I13" s="496"/>
      <c r="J13" s="496"/>
      <c r="K13" s="857">
        <v>0</v>
      </c>
      <c r="L13" s="496"/>
      <c r="M13" s="496"/>
      <c r="N13" s="857">
        <v>0</v>
      </c>
      <c r="O13" s="496"/>
      <c r="P13" s="496"/>
      <c r="Q13" s="857"/>
      <c r="R13" s="857">
        <f t="shared" si="2"/>
        <v>0</v>
      </c>
      <c r="S13" s="857"/>
      <c r="T13" s="496"/>
      <c r="U13" s="496"/>
      <c r="V13" s="857"/>
      <c r="W13" s="496"/>
      <c r="X13" s="496"/>
      <c r="Y13" s="857"/>
      <c r="Z13" s="559">
        <f t="shared" si="0"/>
        <v>0</v>
      </c>
      <c r="AA13" s="559" t="str">
        <f t="shared" si="1"/>
        <v>-</v>
      </c>
      <c r="AB13" s="900"/>
      <c r="AC13" s="1823" t="s">
        <v>1665</v>
      </c>
      <c r="AF13" s="466"/>
      <c r="AG13" s="465"/>
      <c r="AH13" s="465"/>
    </row>
    <row r="14" spans="1:40" s="498" customFormat="1" ht="63.75" hidden="1" x14ac:dyDescent="0.25">
      <c r="A14" s="962"/>
      <c r="B14" s="1824" t="s">
        <v>1667</v>
      </c>
      <c r="C14" s="499"/>
      <c r="D14" s="962"/>
      <c r="E14" s="1031"/>
      <c r="F14" s="494"/>
      <c r="G14" s="495"/>
      <c r="H14" s="559"/>
      <c r="I14" s="496">
        <v>2</v>
      </c>
      <c r="J14" s="496">
        <v>1</v>
      </c>
      <c r="K14" s="857">
        <f>I14*J14</f>
        <v>2</v>
      </c>
      <c r="L14" s="496">
        <v>2</v>
      </c>
      <c r="M14" s="496">
        <v>1</v>
      </c>
      <c r="N14" s="857">
        <f>L14*M14</f>
        <v>2</v>
      </c>
      <c r="O14" s="496">
        <v>2</v>
      </c>
      <c r="P14" s="496">
        <v>2</v>
      </c>
      <c r="Q14" s="857">
        <f>O14*P14</f>
        <v>4</v>
      </c>
      <c r="R14" s="857">
        <f t="shared" si="2"/>
        <v>4</v>
      </c>
      <c r="S14" s="857"/>
      <c r="T14" s="496">
        <v>2</v>
      </c>
      <c r="U14" s="496">
        <v>2</v>
      </c>
      <c r="V14" s="857">
        <f>T14*U14</f>
        <v>4</v>
      </c>
      <c r="W14" s="496">
        <v>2</v>
      </c>
      <c r="X14" s="496">
        <v>2</v>
      </c>
      <c r="Y14" s="857">
        <f>W14*X14</f>
        <v>4</v>
      </c>
      <c r="Z14" s="559">
        <f t="shared" si="0"/>
        <v>2</v>
      </c>
      <c r="AA14" s="559">
        <f t="shared" si="1"/>
        <v>200</v>
      </c>
      <c r="AB14" s="900" t="s">
        <v>1668</v>
      </c>
      <c r="AC14" s="1823" t="s">
        <v>1665</v>
      </c>
      <c r="AF14" s="466"/>
      <c r="AG14" s="465"/>
      <c r="AH14" s="465"/>
    </row>
    <row r="15" spans="1:40" s="498" customFormat="1" hidden="1" x14ac:dyDescent="0.25">
      <c r="A15" s="962"/>
      <c r="B15" s="856" t="s">
        <v>1669</v>
      </c>
      <c r="C15" s="499"/>
      <c r="D15" s="962"/>
      <c r="E15" s="1031" t="s">
        <v>310</v>
      </c>
      <c r="F15" s="494">
        <v>40</v>
      </c>
      <c r="G15" s="495">
        <v>0.12</v>
      </c>
      <c r="H15" s="559">
        <f>F15*G15</f>
        <v>4.8</v>
      </c>
      <c r="I15" s="496">
        <v>40</v>
      </c>
      <c r="J15" s="883">
        <v>0.05</v>
      </c>
      <c r="K15" s="857">
        <f>I15*J15</f>
        <v>2</v>
      </c>
      <c r="L15" s="496">
        <v>40</v>
      </c>
      <c r="M15" s="883">
        <v>0.05</v>
      </c>
      <c r="N15" s="857">
        <f>L15*M15</f>
        <v>2</v>
      </c>
      <c r="O15" s="496"/>
      <c r="P15" s="496"/>
      <c r="Q15" s="857"/>
      <c r="R15" s="857">
        <f t="shared" si="2"/>
        <v>0</v>
      </c>
      <c r="S15" s="857"/>
      <c r="T15" s="496"/>
      <c r="U15" s="496"/>
      <c r="V15" s="857"/>
      <c r="W15" s="496"/>
      <c r="X15" s="496"/>
      <c r="Y15" s="857"/>
      <c r="Z15" s="559">
        <f t="shared" si="0"/>
        <v>-2</v>
      </c>
      <c r="AA15" s="559">
        <f t="shared" si="1"/>
        <v>0</v>
      </c>
      <c r="AB15" s="900"/>
      <c r="AC15" s="1823" t="s">
        <v>1665</v>
      </c>
      <c r="AF15" s="466"/>
      <c r="AG15" s="465"/>
      <c r="AH15" s="465"/>
    </row>
    <row r="16" spans="1:40" s="492" customFormat="1" ht="25.5" hidden="1" x14ac:dyDescent="0.2">
      <c r="A16" s="1240"/>
      <c r="B16" s="865" t="s">
        <v>1670</v>
      </c>
      <c r="C16" s="508" t="s">
        <v>797</v>
      </c>
      <c r="D16" s="1240"/>
      <c r="E16" s="842" t="s">
        <v>310</v>
      </c>
      <c r="F16" s="530"/>
      <c r="G16" s="531"/>
      <c r="H16" s="542">
        <f>SUM(H17:H19)</f>
        <v>6.6</v>
      </c>
      <c r="I16" s="532"/>
      <c r="J16" s="532"/>
      <c r="K16" s="533">
        <f>SUM(K17:K19)</f>
        <v>1.4</v>
      </c>
      <c r="L16" s="532"/>
      <c r="M16" s="532"/>
      <c r="N16" s="533">
        <f>SUM(N17:N19)</f>
        <v>1.4</v>
      </c>
      <c r="O16" s="532"/>
      <c r="P16" s="532"/>
      <c r="Q16" s="533">
        <f>SUM(Q17:Q19)</f>
        <v>1.4</v>
      </c>
      <c r="R16" s="533">
        <f t="shared" si="2"/>
        <v>1.4</v>
      </c>
      <c r="S16" s="533"/>
      <c r="T16" s="532"/>
      <c r="U16" s="532"/>
      <c r="V16" s="533">
        <f>SUM(V17:V19)</f>
        <v>1.4</v>
      </c>
      <c r="W16" s="532"/>
      <c r="X16" s="532"/>
      <c r="Y16" s="533">
        <f>SUM(Y17:Y19)</f>
        <v>1.4</v>
      </c>
      <c r="Z16" s="542">
        <f t="shared" si="0"/>
        <v>0</v>
      </c>
      <c r="AA16" s="542">
        <f t="shared" si="1"/>
        <v>100</v>
      </c>
      <c r="AB16" s="900"/>
      <c r="AC16" s="1823" t="s">
        <v>1665</v>
      </c>
      <c r="AF16" s="466"/>
      <c r="AG16" s="466"/>
      <c r="AH16" s="466"/>
    </row>
    <row r="17" spans="1:34" s="498" customFormat="1" ht="63.75" hidden="1" x14ac:dyDescent="0.25">
      <c r="A17" s="962"/>
      <c r="B17" s="502" t="s">
        <v>1671</v>
      </c>
      <c r="C17" s="499"/>
      <c r="D17" s="962"/>
      <c r="E17" s="1031" t="s">
        <v>227</v>
      </c>
      <c r="F17" s="494">
        <v>28</v>
      </c>
      <c r="G17" s="495">
        <v>0.1</v>
      </c>
      <c r="H17" s="559">
        <f t="shared" ref="H17:H24" si="3">F17*G17</f>
        <v>2.8</v>
      </c>
      <c r="I17" s="496">
        <v>14</v>
      </c>
      <c r="J17" s="883">
        <v>0.1</v>
      </c>
      <c r="K17" s="857">
        <f>I17*J17</f>
        <v>1.4</v>
      </c>
      <c r="L17" s="496">
        <v>14</v>
      </c>
      <c r="M17" s="883">
        <v>0.1</v>
      </c>
      <c r="N17" s="857">
        <f>L17*M17</f>
        <v>1.4</v>
      </c>
      <c r="O17" s="496">
        <v>14</v>
      </c>
      <c r="P17" s="496">
        <v>0.1</v>
      </c>
      <c r="Q17" s="857">
        <f>O17*P17</f>
        <v>1.4</v>
      </c>
      <c r="R17" s="857">
        <f t="shared" si="2"/>
        <v>1.4</v>
      </c>
      <c r="S17" s="857"/>
      <c r="T17" s="496">
        <f>O17</f>
        <v>14</v>
      </c>
      <c r="U17" s="496">
        <v>0.1</v>
      </c>
      <c r="V17" s="857">
        <f>T17*U17</f>
        <v>1.4</v>
      </c>
      <c r="W17" s="496">
        <f>T17</f>
        <v>14</v>
      </c>
      <c r="X17" s="496">
        <v>0.1</v>
      </c>
      <c r="Y17" s="857">
        <f>W17*X17</f>
        <v>1.4</v>
      </c>
      <c r="Z17" s="559">
        <f t="shared" si="0"/>
        <v>0</v>
      </c>
      <c r="AA17" s="559">
        <f t="shared" si="1"/>
        <v>100</v>
      </c>
      <c r="AB17" s="900" t="s">
        <v>1672</v>
      </c>
      <c r="AC17" s="1823" t="s">
        <v>1665</v>
      </c>
      <c r="AF17" s="466"/>
      <c r="AG17" s="465"/>
      <c r="AH17" s="465"/>
    </row>
    <row r="18" spans="1:34" s="498" customFormat="1" hidden="1" x14ac:dyDescent="0.25">
      <c r="A18" s="962"/>
      <c r="B18" s="502" t="s">
        <v>1673</v>
      </c>
      <c r="C18" s="503"/>
      <c r="D18" s="962"/>
      <c r="E18" s="1031" t="s">
        <v>227</v>
      </c>
      <c r="F18" s="494" t="s">
        <v>1087</v>
      </c>
      <c r="G18" s="495">
        <v>2</v>
      </c>
      <c r="H18" s="559">
        <f t="shared" si="3"/>
        <v>2</v>
      </c>
      <c r="I18" s="496"/>
      <c r="J18" s="496"/>
      <c r="K18" s="857">
        <f>I18*J18</f>
        <v>0</v>
      </c>
      <c r="L18" s="496"/>
      <c r="M18" s="496"/>
      <c r="N18" s="857">
        <f>L18*M18</f>
        <v>0</v>
      </c>
      <c r="O18" s="496"/>
      <c r="P18" s="496"/>
      <c r="Q18" s="857"/>
      <c r="R18" s="857">
        <f t="shared" si="2"/>
        <v>0</v>
      </c>
      <c r="S18" s="857"/>
      <c r="T18" s="496"/>
      <c r="U18" s="496"/>
      <c r="V18" s="857"/>
      <c r="W18" s="496"/>
      <c r="X18" s="496"/>
      <c r="Y18" s="857"/>
      <c r="Z18" s="559">
        <f t="shared" si="0"/>
        <v>0</v>
      </c>
      <c r="AA18" s="559" t="str">
        <f t="shared" si="1"/>
        <v>-</v>
      </c>
      <c r="AB18" s="900"/>
      <c r="AC18" s="1822" t="s">
        <v>1665</v>
      </c>
      <c r="AF18" s="466"/>
      <c r="AG18" s="465"/>
      <c r="AH18" s="465"/>
    </row>
    <row r="19" spans="1:34" s="498" customFormat="1" ht="76.5" hidden="1" x14ac:dyDescent="0.25">
      <c r="A19" s="962"/>
      <c r="B19" s="856" t="s">
        <v>1674</v>
      </c>
      <c r="C19" s="499"/>
      <c r="D19" s="962"/>
      <c r="E19" s="1031" t="s">
        <v>227</v>
      </c>
      <c r="F19" s="494" t="s">
        <v>1092</v>
      </c>
      <c r="G19" s="495" t="s">
        <v>1675</v>
      </c>
      <c r="H19" s="559">
        <f t="shared" si="3"/>
        <v>1.8</v>
      </c>
      <c r="I19" s="496"/>
      <c r="J19" s="496"/>
      <c r="K19" s="857">
        <f>I19*J19</f>
        <v>0</v>
      </c>
      <c r="L19" s="496"/>
      <c r="M19" s="496"/>
      <c r="N19" s="857">
        <f>L19*M19</f>
        <v>0</v>
      </c>
      <c r="O19" s="496"/>
      <c r="P19" s="496"/>
      <c r="Q19" s="857"/>
      <c r="R19" s="857">
        <f t="shared" si="2"/>
        <v>0</v>
      </c>
      <c r="S19" s="857"/>
      <c r="T19" s="496"/>
      <c r="U19" s="496"/>
      <c r="V19" s="857"/>
      <c r="W19" s="496"/>
      <c r="X19" s="496"/>
      <c r="Y19" s="857"/>
      <c r="Z19" s="559">
        <f t="shared" si="0"/>
        <v>0</v>
      </c>
      <c r="AA19" s="559" t="str">
        <f t="shared" si="1"/>
        <v>-</v>
      </c>
      <c r="AB19" s="900" t="s">
        <v>1676</v>
      </c>
      <c r="AC19" s="1823" t="s">
        <v>1665</v>
      </c>
      <c r="AF19" s="466"/>
      <c r="AG19" s="465"/>
      <c r="AH19" s="465"/>
    </row>
    <row r="20" spans="1:34" s="492" customFormat="1" ht="14.25" x14ac:dyDescent="0.2">
      <c r="A20" s="1240"/>
      <c r="B20" s="865" t="s">
        <v>1677</v>
      </c>
      <c r="C20" s="508" t="s">
        <v>796</v>
      </c>
      <c r="D20" s="1240"/>
      <c r="E20" s="842" t="s">
        <v>227</v>
      </c>
      <c r="F20" s="863">
        <v>330</v>
      </c>
      <c r="G20" s="864">
        <v>0.02</v>
      </c>
      <c r="H20" s="542">
        <f t="shared" si="3"/>
        <v>6.6</v>
      </c>
      <c r="I20" s="1825">
        <v>330</v>
      </c>
      <c r="J20" s="1825">
        <v>0</v>
      </c>
      <c r="K20" s="533">
        <f>I20*J20</f>
        <v>0</v>
      </c>
      <c r="L20" s="1825">
        <v>330</v>
      </c>
      <c r="M20" s="1825">
        <v>0</v>
      </c>
      <c r="N20" s="533">
        <f>L20*M20</f>
        <v>0</v>
      </c>
      <c r="O20" s="1825">
        <v>330</v>
      </c>
      <c r="P20" s="1825">
        <v>0</v>
      </c>
      <c r="Q20" s="533">
        <v>6.6</v>
      </c>
      <c r="R20" s="533">
        <f t="shared" si="2"/>
        <v>6.6</v>
      </c>
      <c r="S20" s="533"/>
      <c r="T20" s="1825">
        <v>330</v>
      </c>
      <c r="U20" s="1825">
        <v>0</v>
      </c>
      <c r="V20" s="533">
        <f>T20*U20</f>
        <v>0</v>
      </c>
      <c r="W20" s="1825">
        <v>330</v>
      </c>
      <c r="X20" s="1825">
        <v>0</v>
      </c>
      <c r="Y20" s="533">
        <f>W20*X20</f>
        <v>0</v>
      </c>
      <c r="Z20" s="542">
        <f t="shared" si="0"/>
        <v>6.6</v>
      </c>
      <c r="AA20" s="542" t="str">
        <f t="shared" si="1"/>
        <v>-</v>
      </c>
      <c r="AB20" s="900"/>
      <c r="AC20" s="1823" t="s">
        <v>1665</v>
      </c>
      <c r="AF20" s="466"/>
      <c r="AG20" s="466"/>
      <c r="AH20" s="466"/>
    </row>
    <row r="21" spans="1:34" s="492" customFormat="1" ht="14.25" hidden="1" x14ac:dyDescent="0.2">
      <c r="A21" s="1240"/>
      <c r="B21" s="865" t="s">
        <v>1678</v>
      </c>
      <c r="C21" s="508" t="s">
        <v>797</v>
      </c>
      <c r="D21" s="1240"/>
      <c r="E21" s="842" t="s">
        <v>227</v>
      </c>
      <c r="F21" s="863">
        <v>30</v>
      </c>
      <c r="G21" s="864">
        <v>0.06</v>
      </c>
      <c r="H21" s="1826">
        <f t="shared" si="3"/>
        <v>1.8</v>
      </c>
      <c r="I21" s="1825">
        <v>30</v>
      </c>
      <c r="J21" s="1825">
        <v>0.1</v>
      </c>
      <c r="K21" s="1825">
        <f>I21*J21</f>
        <v>3</v>
      </c>
      <c r="L21" s="1825">
        <v>30</v>
      </c>
      <c r="M21" s="1825">
        <v>0.1</v>
      </c>
      <c r="N21" s="1825">
        <f>L21*M21</f>
        <v>3</v>
      </c>
      <c r="O21" s="1825">
        <v>30</v>
      </c>
      <c r="P21" s="1825">
        <v>0.1</v>
      </c>
      <c r="Q21" s="533">
        <f>O21*P21</f>
        <v>3</v>
      </c>
      <c r="R21" s="533">
        <f t="shared" si="2"/>
        <v>3</v>
      </c>
      <c r="S21" s="533"/>
      <c r="T21" s="1825">
        <v>30</v>
      </c>
      <c r="U21" s="1825">
        <v>0.1</v>
      </c>
      <c r="V21" s="533">
        <f>T21*U21</f>
        <v>3</v>
      </c>
      <c r="W21" s="1825">
        <v>30</v>
      </c>
      <c r="X21" s="1825">
        <v>0.1</v>
      </c>
      <c r="Y21" s="533">
        <f>W21*X21</f>
        <v>3</v>
      </c>
      <c r="Z21" s="1826">
        <f t="shared" si="0"/>
        <v>0</v>
      </c>
      <c r="AA21" s="1826">
        <f t="shared" si="1"/>
        <v>100</v>
      </c>
      <c r="AB21" s="900"/>
      <c r="AC21" s="1823" t="s">
        <v>1665</v>
      </c>
      <c r="AF21" s="466"/>
      <c r="AG21" s="466"/>
      <c r="AH21" s="466"/>
    </row>
    <row r="22" spans="1:34" s="492" customFormat="1" ht="14.25" x14ac:dyDescent="0.2">
      <c r="A22" s="1240"/>
      <c r="B22" s="865" t="s">
        <v>1679</v>
      </c>
      <c r="C22" s="508" t="s">
        <v>796</v>
      </c>
      <c r="D22" s="1240"/>
      <c r="E22" s="842" t="s">
        <v>227</v>
      </c>
      <c r="F22" s="557">
        <v>2</v>
      </c>
      <c r="G22" s="558">
        <v>0.6</v>
      </c>
      <c r="H22" s="542">
        <f t="shared" si="3"/>
        <v>1.2</v>
      </c>
      <c r="I22" s="533"/>
      <c r="J22" s="533"/>
      <c r="K22" s="533"/>
      <c r="L22" s="533"/>
      <c r="M22" s="533"/>
      <c r="N22" s="533"/>
      <c r="O22" s="533"/>
      <c r="P22" s="533"/>
      <c r="Q22" s="533"/>
      <c r="R22" s="533">
        <f t="shared" si="2"/>
        <v>0</v>
      </c>
      <c r="S22" s="533"/>
      <c r="T22" s="533"/>
      <c r="U22" s="533"/>
      <c r="V22" s="533"/>
      <c r="W22" s="533"/>
      <c r="X22" s="533"/>
      <c r="Y22" s="533"/>
      <c r="Z22" s="542">
        <f t="shared" si="0"/>
        <v>0</v>
      </c>
      <c r="AA22" s="542" t="str">
        <f t="shared" si="1"/>
        <v>-</v>
      </c>
      <c r="AB22" s="900"/>
      <c r="AC22" s="1823" t="s">
        <v>1665</v>
      </c>
      <c r="AF22" s="466"/>
      <c r="AG22" s="466"/>
      <c r="AH22" s="466"/>
    </row>
    <row r="23" spans="1:34" s="492" customFormat="1" ht="14.25" x14ac:dyDescent="0.2">
      <c r="A23" s="1240"/>
      <c r="B23" s="500" t="s">
        <v>1680</v>
      </c>
      <c r="C23" s="501" t="s">
        <v>796</v>
      </c>
      <c r="D23" s="1240"/>
      <c r="E23" s="842" t="s">
        <v>227</v>
      </c>
      <c r="F23" s="863">
        <v>80</v>
      </c>
      <c r="G23" s="864">
        <v>0.06</v>
      </c>
      <c r="H23" s="1826">
        <f t="shared" si="3"/>
        <v>4.8</v>
      </c>
      <c r="I23" s="1825">
        <v>37</v>
      </c>
      <c r="J23" s="1825">
        <v>0.1</v>
      </c>
      <c r="K23" s="1825">
        <f>I23*J23</f>
        <v>3.7</v>
      </c>
      <c r="L23" s="1825">
        <v>37</v>
      </c>
      <c r="M23" s="1825">
        <v>0.1</v>
      </c>
      <c r="N23" s="1825">
        <f>L23*M23</f>
        <v>3.7</v>
      </c>
      <c r="O23" s="1825"/>
      <c r="P23" s="1825"/>
      <c r="Q23" s="1825"/>
      <c r="R23" s="1825">
        <f t="shared" si="2"/>
        <v>0</v>
      </c>
      <c r="S23" s="1825"/>
      <c r="T23" s="1825"/>
      <c r="U23" s="1825"/>
      <c r="V23" s="1825"/>
      <c r="W23" s="1825"/>
      <c r="X23" s="1825"/>
      <c r="Y23" s="1825"/>
      <c r="Z23" s="1826">
        <f t="shared" si="0"/>
        <v>-3.7</v>
      </c>
      <c r="AA23" s="1826">
        <f t="shared" si="1"/>
        <v>0</v>
      </c>
      <c r="AB23" s="900"/>
      <c r="AC23" s="1822" t="s">
        <v>1665</v>
      </c>
      <c r="AF23" s="466"/>
      <c r="AG23" s="466"/>
      <c r="AH23" s="466"/>
    </row>
    <row r="24" spans="1:34" s="492" customFormat="1" ht="14.25" x14ac:dyDescent="0.2">
      <c r="A24" s="1240"/>
      <c r="B24" s="500" t="s">
        <v>1681</v>
      </c>
      <c r="C24" s="501" t="s">
        <v>796</v>
      </c>
      <c r="D24" s="1240"/>
      <c r="E24" s="842"/>
      <c r="F24" s="863">
        <v>167</v>
      </c>
      <c r="G24" s="864">
        <v>0.1</v>
      </c>
      <c r="H24" s="1826">
        <f t="shared" si="3"/>
        <v>16.7</v>
      </c>
      <c r="I24" s="1825">
        <v>37</v>
      </c>
      <c r="J24" s="1827">
        <v>0.25</v>
      </c>
      <c r="K24" s="1825">
        <f>I24*J24</f>
        <v>9.3000000000000007</v>
      </c>
      <c r="L24" s="1825">
        <v>37</v>
      </c>
      <c r="M24" s="1827">
        <v>0.25</v>
      </c>
      <c r="N24" s="1825">
        <f>L24*M24</f>
        <v>9.3000000000000007</v>
      </c>
      <c r="O24" s="1825"/>
      <c r="P24" s="1825"/>
      <c r="Q24" s="1825">
        <v>5.3</v>
      </c>
      <c r="R24" s="1825">
        <f t="shared" si="2"/>
        <v>5.3</v>
      </c>
      <c r="S24" s="1825"/>
      <c r="T24" s="1825"/>
      <c r="U24" s="1825"/>
      <c r="V24" s="1825">
        <f>SUM(V25:V25)</f>
        <v>6</v>
      </c>
      <c r="W24" s="1825"/>
      <c r="X24" s="1825"/>
      <c r="Y24" s="1825">
        <f>SUM(Y25:Y25)</f>
        <v>6</v>
      </c>
      <c r="Z24" s="1826">
        <f t="shared" si="0"/>
        <v>-4</v>
      </c>
      <c r="AA24" s="1826">
        <f t="shared" si="1"/>
        <v>57</v>
      </c>
      <c r="AB24" s="1029"/>
      <c r="AC24" s="1822" t="s">
        <v>1665</v>
      </c>
      <c r="AF24" s="466"/>
      <c r="AG24" s="466"/>
      <c r="AH24" s="466"/>
    </row>
    <row r="25" spans="1:34" s="492" customFormat="1" ht="14.25" hidden="1" x14ac:dyDescent="0.2">
      <c r="A25" s="1240"/>
      <c r="B25" s="500" t="s">
        <v>1682</v>
      </c>
      <c r="C25" s="501"/>
      <c r="D25" s="1240"/>
      <c r="E25" s="842"/>
      <c r="F25" s="863"/>
      <c r="G25" s="864"/>
      <c r="H25" s="1826"/>
      <c r="I25" s="1825"/>
      <c r="J25" s="1827"/>
      <c r="K25" s="1825"/>
      <c r="L25" s="1825"/>
      <c r="M25" s="1827"/>
      <c r="N25" s="1825"/>
      <c r="O25" s="682">
        <v>15</v>
      </c>
      <c r="P25" s="682">
        <v>0.4</v>
      </c>
      <c r="Q25" s="857">
        <f>O25*P25</f>
        <v>6</v>
      </c>
      <c r="R25" s="857">
        <f t="shared" si="2"/>
        <v>6</v>
      </c>
      <c r="S25" s="857"/>
      <c r="T25" s="682">
        <v>15</v>
      </c>
      <c r="U25" s="682">
        <v>0.4</v>
      </c>
      <c r="V25" s="857">
        <f>T25*U25</f>
        <v>6</v>
      </c>
      <c r="W25" s="682">
        <v>15</v>
      </c>
      <c r="X25" s="682">
        <v>0.4</v>
      </c>
      <c r="Y25" s="857">
        <f>W25*X25</f>
        <v>6</v>
      </c>
      <c r="Z25" s="1826">
        <f t="shared" si="0"/>
        <v>6</v>
      </c>
      <c r="AA25" s="1826" t="str">
        <f t="shared" si="1"/>
        <v>-</v>
      </c>
      <c r="AB25" s="1828"/>
      <c r="AC25" s="1822" t="s">
        <v>1665</v>
      </c>
      <c r="AF25" s="466"/>
      <c r="AG25" s="466"/>
      <c r="AH25" s="466"/>
    </row>
    <row r="26" spans="1:34" s="492" customFormat="1" ht="14.25" hidden="1" x14ac:dyDescent="0.2">
      <c r="A26" s="1240"/>
      <c r="B26" s="500" t="s">
        <v>1233</v>
      </c>
      <c r="C26" s="501" t="s">
        <v>1230</v>
      </c>
      <c r="D26" s="1240"/>
      <c r="E26" s="842" t="s">
        <v>318</v>
      </c>
      <c r="F26" s="1829"/>
      <c r="G26" s="1830"/>
      <c r="H26" s="542">
        <f>SUM(H27:H31)</f>
        <v>12.8</v>
      </c>
      <c r="I26" s="1831"/>
      <c r="J26" s="1831"/>
      <c r="K26" s="533">
        <f>SUM(K27:K31)</f>
        <v>12.8</v>
      </c>
      <c r="L26" s="1831"/>
      <c r="M26" s="1831"/>
      <c r="N26" s="533">
        <f>SUM(N27:N31)</f>
        <v>12.8</v>
      </c>
      <c r="O26" s="1831"/>
      <c r="P26" s="1831"/>
      <c r="Q26" s="533">
        <f>SUM(Q27:Q31)</f>
        <v>16.7</v>
      </c>
      <c r="R26" s="533">
        <f t="shared" si="2"/>
        <v>16.7</v>
      </c>
      <c r="S26" s="533"/>
      <c r="T26" s="1831"/>
      <c r="U26" s="1831"/>
      <c r="V26" s="533">
        <f>SUM(V27:V31)</f>
        <v>16.7</v>
      </c>
      <c r="W26" s="1831"/>
      <c r="X26" s="1831"/>
      <c r="Y26" s="533">
        <f>SUM(Y27:Y31)</f>
        <v>16.7</v>
      </c>
      <c r="Z26" s="542">
        <f t="shared" si="0"/>
        <v>3.9</v>
      </c>
      <c r="AA26" s="542">
        <f t="shared" si="1"/>
        <v>130.5</v>
      </c>
      <c r="AB26" s="899"/>
      <c r="AC26" s="1822" t="s">
        <v>1665</v>
      </c>
      <c r="AF26" s="466"/>
      <c r="AG26" s="466"/>
      <c r="AH26" s="466"/>
    </row>
    <row r="27" spans="1:34" s="498" customFormat="1" hidden="1" x14ac:dyDescent="0.25">
      <c r="A27" s="962"/>
      <c r="B27" s="502" t="s">
        <v>1519</v>
      </c>
      <c r="C27" s="503"/>
      <c r="D27" s="962"/>
      <c r="E27" s="1031" t="s">
        <v>318</v>
      </c>
      <c r="F27" s="494">
        <v>1</v>
      </c>
      <c r="G27" s="495">
        <v>3.45</v>
      </c>
      <c r="H27" s="559">
        <f>F27*G27</f>
        <v>3.5</v>
      </c>
      <c r="I27" s="496">
        <v>1</v>
      </c>
      <c r="J27" s="496">
        <v>3.5</v>
      </c>
      <c r="K27" s="857">
        <f>I27*J27</f>
        <v>3.5</v>
      </c>
      <c r="L27" s="496">
        <v>1</v>
      </c>
      <c r="M27" s="496">
        <v>3.5</v>
      </c>
      <c r="N27" s="857">
        <f>L27*M27</f>
        <v>3.5</v>
      </c>
      <c r="O27" s="496">
        <v>1</v>
      </c>
      <c r="P27" s="496">
        <v>3.5</v>
      </c>
      <c r="Q27" s="857">
        <f>O27*P27</f>
        <v>3.5</v>
      </c>
      <c r="R27" s="857">
        <f t="shared" si="2"/>
        <v>3.5</v>
      </c>
      <c r="S27" s="857"/>
      <c r="T27" s="496">
        <v>1</v>
      </c>
      <c r="U27" s="496">
        <v>3.5</v>
      </c>
      <c r="V27" s="857">
        <f>T27*U27</f>
        <v>3.5</v>
      </c>
      <c r="W27" s="496">
        <v>1</v>
      </c>
      <c r="X27" s="496">
        <v>3.5</v>
      </c>
      <c r="Y27" s="857">
        <f>W27*X27</f>
        <v>3.5</v>
      </c>
      <c r="Z27" s="559">
        <f t="shared" si="0"/>
        <v>0</v>
      </c>
      <c r="AA27" s="559">
        <f t="shared" si="1"/>
        <v>100</v>
      </c>
      <c r="AB27" s="1029"/>
      <c r="AC27" s="1822" t="s">
        <v>1665</v>
      </c>
      <c r="AF27" s="466"/>
      <c r="AG27" s="465"/>
      <c r="AH27" s="465"/>
    </row>
    <row r="28" spans="1:34" s="498" customFormat="1" hidden="1" x14ac:dyDescent="0.25">
      <c r="A28" s="962"/>
      <c r="B28" s="1038" t="s">
        <v>1683</v>
      </c>
      <c r="C28" s="1832"/>
      <c r="D28" s="962"/>
      <c r="E28" s="842"/>
      <c r="F28" s="863">
        <v>1</v>
      </c>
      <c r="G28" s="864">
        <v>2</v>
      </c>
      <c r="H28" s="559">
        <f>F28*G28</f>
        <v>2</v>
      </c>
      <c r="I28" s="682">
        <v>1</v>
      </c>
      <c r="J28" s="682">
        <v>2</v>
      </c>
      <c r="K28" s="857">
        <f>I28*J28</f>
        <v>2</v>
      </c>
      <c r="L28" s="682">
        <v>1</v>
      </c>
      <c r="M28" s="682">
        <v>2</v>
      </c>
      <c r="N28" s="857">
        <f>L28*M28</f>
        <v>2</v>
      </c>
      <c r="O28" s="682"/>
      <c r="P28" s="682"/>
      <c r="Q28" s="857"/>
      <c r="R28" s="857">
        <f t="shared" si="2"/>
        <v>0</v>
      </c>
      <c r="S28" s="857"/>
      <c r="T28" s="682"/>
      <c r="U28" s="682"/>
      <c r="V28" s="857"/>
      <c r="W28" s="682"/>
      <c r="X28" s="682"/>
      <c r="Y28" s="857"/>
      <c r="Z28" s="559">
        <f t="shared" si="0"/>
        <v>-2</v>
      </c>
      <c r="AA28" s="559">
        <f t="shared" si="1"/>
        <v>0</v>
      </c>
      <c r="AB28" s="1029"/>
      <c r="AC28" s="1822" t="s">
        <v>1665</v>
      </c>
      <c r="AF28" s="466"/>
      <c r="AG28" s="465"/>
      <c r="AH28" s="465"/>
    </row>
    <row r="29" spans="1:34" s="498" customFormat="1" ht="76.5" hidden="1" x14ac:dyDescent="0.25">
      <c r="A29" s="962"/>
      <c r="B29" s="1038" t="s">
        <v>1684</v>
      </c>
      <c r="C29" s="1832"/>
      <c r="D29" s="962"/>
      <c r="E29" s="842"/>
      <c r="F29" s="863"/>
      <c r="G29" s="864"/>
      <c r="H29" s="559"/>
      <c r="I29" s="682"/>
      <c r="J29" s="682"/>
      <c r="K29" s="857"/>
      <c r="L29" s="682"/>
      <c r="M29" s="682"/>
      <c r="N29" s="857"/>
      <c r="O29" s="682">
        <v>2</v>
      </c>
      <c r="P29" s="682">
        <v>2.5</v>
      </c>
      <c r="Q29" s="857">
        <f>O29*P29</f>
        <v>5</v>
      </c>
      <c r="R29" s="857">
        <f t="shared" si="2"/>
        <v>5</v>
      </c>
      <c r="S29" s="857"/>
      <c r="T29" s="682">
        <v>2</v>
      </c>
      <c r="U29" s="682">
        <v>2.5</v>
      </c>
      <c r="V29" s="857">
        <f>T29*U29</f>
        <v>5</v>
      </c>
      <c r="W29" s="682">
        <v>2</v>
      </c>
      <c r="X29" s="682">
        <v>2.5</v>
      </c>
      <c r="Y29" s="857">
        <f>W29*X29</f>
        <v>5</v>
      </c>
      <c r="Z29" s="559">
        <f t="shared" si="0"/>
        <v>5</v>
      </c>
      <c r="AA29" s="559" t="str">
        <f t="shared" si="1"/>
        <v>-</v>
      </c>
      <c r="AB29" s="843" t="s">
        <v>1685</v>
      </c>
      <c r="AC29" s="1822" t="s">
        <v>1665</v>
      </c>
      <c r="AF29" s="466"/>
      <c r="AG29" s="465"/>
      <c r="AH29" s="465"/>
    </row>
    <row r="30" spans="1:34" s="498" customFormat="1" hidden="1" x14ac:dyDescent="0.25">
      <c r="A30" s="962"/>
      <c r="B30" s="1038" t="s">
        <v>1686</v>
      </c>
      <c r="C30" s="1832"/>
      <c r="D30" s="962"/>
      <c r="E30" s="842"/>
      <c r="F30" s="863">
        <v>2</v>
      </c>
      <c r="G30" s="864">
        <v>2.2999999999999998</v>
      </c>
      <c r="H30" s="559">
        <f>F30*G30</f>
        <v>4.5999999999999996</v>
      </c>
      <c r="I30" s="682">
        <v>2</v>
      </c>
      <c r="J30" s="682">
        <v>2.2999999999999998</v>
      </c>
      <c r="K30" s="857">
        <f>I30*J30</f>
        <v>4.5999999999999996</v>
      </c>
      <c r="L30" s="682">
        <v>2</v>
      </c>
      <c r="M30" s="682">
        <v>2.2999999999999998</v>
      </c>
      <c r="N30" s="857">
        <f>L30*M30</f>
        <v>4.5999999999999996</v>
      </c>
      <c r="O30" s="682">
        <v>2</v>
      </c>
      <c r="P30" s="682">
        <v>2.2999999999999998</v>
      </c>
      <c r="Q30" s="857">
        <f>O30*P30</f>
        <v>4.5999999999999996</v>
      </c>
      <c r="R30" s="857">
        <f t="shared" si="2"/>
        <v>4.5999999999999996</v>
      </c>
      <c r="S30" s="857"/>
      <c r="T30" s="682">
        <v>2</v>
      </c>
      <c r="U30" s="682">
        <v>2.2999999999999998</v>
      </c>
      <c r="V30" s="857">
        <f>T30*U30</f>
        <v>4.5999999999999996</v>
      </c>
      <c r="W30" s="682">
        <v>2</v>
      </c>
      <c r="X30" s="682">
        <v>2.2999999999999998</v>
      </c>
      <c r="Y30" s="857">
        <f>W30*X30</f>
        <v>4.5999999999999996</v>
      </c>
      <c r="Z30" s="559">
        <f t="shared" si="0"/>
        <v>0</v>
      </c>
      <c r="AA30" s="559">
        <f t="shared" si="1"/>
        <v>100</v>
      </c>
      <c r="AB30" s="1029"/>
      <c r="AC30" s="1037" t="s">
        <v>1665</v>
      </c>
      <c r="AF30" s="466"/>
      <c r="AG30" s="465"/>
      <c r="AH30" s="465"/>
    </row>
    <row r="31" spans="1:34" s="498" customFormat="1" hidden="1" x14ac:dyDescent="0.25">
      <c r="A31" s="962"/>
      <c r="B31" s="1038" t="s">
        <v>1234</v>
      </c>
      <c r="C31" s="1832"/>
      <c r="D31" s="962"/>
      <c r="E31" s="842"/>
      <c r="F31" s="494"/>
      <c r="G31" s="495"/>
      <c r="H31" s="1245">
        <f>SUM(H27:H30)*0.271</f>
        <v>2.7</v>
      </c>
      <c r="I31" s="496"/>
      <c r="J31" s="496"/>
      <c r="K31" s="496">
        <f>SUM(K27:K30)*0.271</f>
        <v>2.7</v>
      </c>
      <c r="L31" s="496"/>
      <c r="M31" s="496"/>
      <c r="N31" s="496">
        <f>SUM(N27:N30)*0.271</f>
        <v>2.7</v>
      </c>
      <c r="O31" s="496"/>
      <c r="P31" s="496"/>
      <c r="Q31" s="496">
        <f>SUM(Q27:Q30)*0.271</f>
        <v>3.6</v>
      </c>
      <c r="R31" s="496">
        <f t="shared" si="2"/>
        <v>3.6</v>
      </c>
      <c r="S31" s="496"/>
      <c r="T31" s="496"/>
      <c r="U31" s="496"/>
      <c r="V31" s="496">
        <f>SUM(V27:V30)*0.271</f>
        <v>3.6</v>
      </c>
      <c r="W31" s="496"/>
      <c r="X31" s="496"/>
      <c r="Y31" s="496">
        <f>SUM(Y27:Y30)*0.271</f>
        <v>3.6</v>
      </c>
      <c r="Z31" s="1245">
        <f t="shared" si="0"/>
        <v>0.9</v>
      </c>
      <c r="AA31" s="1245">
        <f t="shared" si="1"/>
        <v>133.30000000000001</v>
      </c>
      <c r="AB31" s="1029"/>
      <c r="AC31" s="1037" t="s">
        <v>1665</v>
      </c>
      <c r="AF31" s="466"/>
      <c r="AG31" s="465"/>
      <c r="AH31" s="465"/>
    </row>
    <row r="32" spans="1:34" s="492" customFormat="1" ht="14.25" hidden="1" x14ac:dyDescent="0.2">
      <c r="A32" s="487"/>
      <c r="B32" s="844" t="s">
        <v>1232</v>
      </c>
      <c r="C32" s="845"/>
      <c r="D32" s="846"/>
      <c r="E32" s="487"/>
      <c r="F32" s="488"/>
      <c r="G32" s="489"/>
      <c r="H32" s="490" t="e">
        <f>#REF!+H33+#REF!</f>
        <v>#REF!</v>
      </c>
      <c r="I32" s="847"/>
      <c r="J32" s="847"/>
      <c r="K32" s="490">
        <f>K33</f>
        <v>61.8</v>
      </c>
      <c r="L32" s="847"/>
      <c r="M32" s="847"/>
      <c r="N32" s="490">
        <f>N33</f>
        <v>61.8</v>
      </c>
      <c r="O32" s="490"/>
      <c r="P32" s="490"/>
      <c r="Q32" s="490">
        <f>Q33</f>
        <v>32.5</v>
      </c>
      <c r="R32" s="490">
        <f t="shared" si="2"/>
        <v>32.5</v>
      </c>
      <c r="S32" s="490"/>
      <c r="T32" s="847"/>
      <c r="U32" s="847"/>
      <c r="V32" s="490">
        <f>V33</f>
        <v>26.3</v>
      </c>
      <c r="W32" s="490"/>
      <c r="X32" s="490"/>
      <c r="Y32" s="490">
        <f>Y33</f>
        <v>26.3</v>
      </c>
      <c r="Z32" s="490">
        <f t="shared" si="0"/>
        <v>-29.3</v>
      </c>
      <c r="AA32" s="490">
        <f t="shared" si="1"/>
        <v>52.6</v>
      </c>
      <c r="AB32" s="848"/>
      <c r="AC32" s="491"/>
      <c r="AF32" s="466"/>
      <c r="AG32" s="466"/>
      <c r="AH32" s="466"/>
    </row>
    <row r="33" spans="1:34" s="492" customFormat="1" ht="38.25" hidden="1" x14ac:dyDescent="0.2">
      <c r="A33" s="522"/>
      <c r="B33" s="825" t="s">
        <v>1664</v>
      </c>
      <c r="C33" s="837"/>
      <c r="D33" s="522" t="s">
        <v>1444</v>
      </c>
      <c r="E33" s="838"/>
      <c r="F33" s="839"/>
      <c r="G33" s="840"/>
      <c r="H33" s="841">
        <f>H34+H38+H43+H44+H46</f>
        <v>76.099999999999994</v>
      </c>
      <c r="I33" s="841"/>
      <c r="J33" s="841"/>
      <c r="K33" s="841">
        <f>K34+K38+K43+K44+K46</f>
        <v>61.8</v>
      </c>
      <c r="L33" s="841"/>
      <c r="M33" s="841"/>
      <c r="N33" s="841">
        <f>N34+N38+N43+N44+N46</f>
        <v>61.8</v>
      </c>
      <c r="O33" s="841"/>
      <c r="P33" s="841"/>
      <c r="Q33" s="841">
        <f>Q34+Q38+Q43+Q44+Q46</f>
        <v>32.5</v>
      </c>
      <c r="R33" s="841">
        <f t="shared" si="2"/>
        <v>32.5</v>
      </c>
      <c r="S33" s="841"/>
      <c r="T33" s="841"/>
      <c r="U33" s="841"/>
      <c r="V33" s="841">
        <f>V34+V38+V43+V44+V46</f>
        <v>26.3</v>
      </c>
      <c r="W33" s="841"/>
      <c r="X33" s="841"/>
      <c r="Y33" s="841">
        <f>Y34+Y38+Y43+Y44+Y46</f>
        <v>26.3</v>
      </c>
      <c r="Z33" s="841">
        <f t="shared" si="0"/>
        <v>-29.3</v>
      </c>
      <c r="AA33" s="841">
        <f t="shared" si="1"/>
        <v>52.6</v>
      </c>
      <c r="AB33" s="1833"/>
      <c r="AC33" s="491" t="s">
        <v>1665</v>
      </c>
      <c r="AF33" s="466"/>
      <c r="AG33" s="466"/>
      <c r="AH33" s="466"/>
    </row>
    <row r="34" spans="1:34" s="492" customFormat="1" ht="14.25" hidden="1" x14ac:dyDescent="0.2">
      <c r="A34" s="1240"/>
      <c r="B34" s="500" t="s">
        <v>1226</v>
      </c>
      <c r="C34" s="501" t="s">
        <v>797</v>
      </c>
      <c r="D34" s="1240"/>
      <c r="E34" s="842"/>
      <c r="F34" s="530"/>
      <c r="G34" s="531"/>
      <c r="H34" s="493">
        <f>SUM(H35:H37)</f>
        <v>16</v>
      </c>
      <c r="I34" s="532"/>
      <c r="J34" s="532"/>
      <c r="K34" s="532">
        <f>SUM(K35:K37)</f>
        <v>7.9</v>
      </c>
      <c r="L34" s="532"/>
      <c r="M34" s="532"/>
      <c r="N34" s="532">
        <v>7.9</v>
      </c>
      <c r="O34" s="532"/>
      <c r="P34" s="532"/>
      <c r="Q34" s="532">
        <f>SUM(Q35:Q37)</f>
        <v>14</v>
      </c>
      <c r="R34" s="532">
        <f t="shared" si="2"/>
        <v>14</v>
      </c>
      <c r="S34" s="532"/>
      <c r="T34" s="532"/>
      <c r="U34" s="532"/>
      <c r="V34" s="532">
        <f>SUM(V35:V37)</f>
        <v>14</v>
      </c>
      <c r="W34" s="532"/>
      <c r="X34" s="532"/>
      <c r="Y34" s="532">
        <f>SUM(Y35:Y37)</f>
        <v>14</v>
      </c>
      <c r="Z34" s="493">
        <f t="shared" si="0"/>
        <v>6.1</v>
      </c>
      <c r="AA34" s="493">
        <f t="shared" si="1"/>
        <v>177.2</v>
      </c>
      <c r="AB34" s="901"/>
      <c r="AC34" s="1822" t="s">
        <v>1665</v>
      </c>
      <c r="AF34" s="466"/>
      <c r="AG34" s="466"/>
      <c r="AH34" s="466"/>
    </row>
    <row r="35" spans="1:34" s="498" customFormat="1" ht="38.25" hidden="1" x14ac:dyDescent="0.25">
      <c r="A35" s="962"/>
      <c r="B35" s="856" t="s">
        <v>1669</v>
      </c>
      <c r="C35" s="499"/>
      <c r="D35" s="962"/>
      <c r="E35" s="1031" t="s">
        <v>227</v>
      </c>
      <c r="F35" s="1834">
        <v>100</v>
      </c>
      <c r="G35" s="495">
        <v>0.12</v>
      </c>
      <c r="H35" s="559">
        <f>F35*G35</f>
        <v>12</v>
      </c>
      <c r="I35" s="1835">
        <v>100</v>
      </c>
      <c r="J35" s="883">
        <v>0.05</v>
      </c>
      <c r="K35" s="857">
        <f>I35*J35</f>
        <v>5</v>
      </c>
      <c r="L35" s="1835">
        <v>100</v>
      </c>
      <c r="M35" s="883">
        <v>0.05</v>
      </c>
      <c r="N35" s="857">
        <v>5</v>
      </c>
      <c r="O35" s="1835">
        <v>50</v>
      </c>
      <c r="P35" s="496">
        <v>0.2</v>
      </c>
      <c r="Q35" s="857">
        <f>O35*P35</f>
        <v>10</v>
      </c>
      <c r="R35" s="857">
        <f t="shared" si="2"/>
        <v>10</v>
      </c>
      <c r="S35" s="857"/>
      <c r="T35" s="1835">
        <v>50</v>
      </c>
      <c r="U35" s="496">
        <v>0.2</v>
      </c>
      <c r="V35" s="857">
        <f>T35*U35</f>
        <v>10</v>
      </c>
      <c r="W35" s="1835">
        <v>50</v>
      </c>
      <c r="X35" s="496">
        <v>0.2</v>
      </c>
      <c r="Y35" s="857">
        <f>W35*X35</f>
        <v>10</v>
      </c>
      <c r="Z35" s="559">
        <f t="shared" si="0"/>
        <v>5</v>
      </c>
      <c r="AA35" s="559">
        <f t="shared" si="1"/>
        <v>200</v>
      </c>
      <c r="AB35" s="901" t="s">
        <v>1687</v>
      </c>
      <c r="AC35" s="1823" t="s">
        <v>1665</v>
      </c>
      <c r="AF35" s="466"/>
      <c r="AG35" s="465"/>
      <c r="AH35" s="465"/>
    </row>
    <row r="36" spans="1:34" s="498" customFormat="1" hidden="1" x14ac:dyDescent="0.25">
      <c r="A36" s="962"/>
      <c r="B36" s="856" t="s">
        <v>1688</v>
      </c>
      <c r="C36" s="499"/>
      <c r="D36" s="962"/>
      <c r="E36" s="1031" t="s">
        <v>227</v>
      </c>
      <c r="F36" s="1834">
        <v>10</v>
      </c>
      <c r="G36" s="495">
        <v>0.1</v>
      </c>
      <c r="H36" s="559">
        <f>F36*G36</f>
        <v>1</v>
      </c>
      <c r="I36" s="1835">
        <v>17</v>
      </c>
      <c r="J36" s="883">
        <v>0.05</v>
      </c>
      <c r="K36" s="857">
        <f>I36*J36</f>
        <v>0.9</v>
      </c>
      <c r="L36" s="1835">
        <v>17</v>
      </c>
      <c r="M36" s="883">
        <v>0.05</v>
      </c>
      <c r="N36" s="857">
        <v>0.9</v>
      </c>
      <c r="O36" s="1835"/>
      <c r="P36" s="496"/>
      <c r="Q36" s="857"/>
      <c r="R36" s="857">
        <f t="shared" si="2"/>
        <v>0</v>
      </c>
      <c r="S36" s="857"/>
      <c r="T36" s="1835"/>
      <c r="U36" s="496"/>
      <c r="V36" s="857"/>
      <c r="W36" s="1835"/>
      <c r="X36" s="496"/>
      <c r="Y36" s="857"/>
      <c r="Z36" s="559">
        <f t="shared" si="0"/>
        <v>-0.9</v>
      </c>
      <c r="AA36" s="559">
        <f t="shared" si="1"/>
        <v>0</v>
      </c>
      <c r="AB36" s="901"/>
      <c r="AC36" s="1823" t="s">
        <v>1665</v>
      </c>
      <c r="AF36" s="466"/>
      <c r="AG36" s="465"/>
      <c r="AH36" s="465"/>
    </row>
    <row r="37" spans="1:34" s="498" customFormat="1" ht="38.25" hidden="1" x14ac:dyDescent="0.25">
      <c r="A37" s="962"/>
      <c r="B37" s="502" t="s">
        <v>1689</v>
      </c>
      <c r="C37" s="503"/>
      <c r="D37" s="962"/>
      <c r="E37" s="1031" t="s">
        <v>227</v>
      </c>
      <c r="F37" s="1834">
        <v>1</v>
      </c>
      <c r="G37" s="495">
        <v>3</v>
      </c>
      <c r="H37" s="559">
        <f>F37*G37</f>
        <v>3</v>
      </c>
      <c r="I37" s="1835">
        <v>2</v>
      </c>
      <c r="J37" s="496">
        <v>1</v>
      </c>
      <c r="K37" s="857">
        <f>I37*J37</f>
        <v>2</v>
      </c>
      <c r="L37" s="1835">
        <v>2</v>
      </c>
      <c r="M37" s="496">
        <v>1</v>
      </c>
      <c r="N37" s="857">
        <v>2</v>
      </c>
      <c r="O37" s="1835">
        <v>2</v>
      </c>
      <c r="P37" s="496">
        <v>2</v>
      </c>
      <c r="Q37" s="857">
        <f>O37*P37</f>
        <v>4</v>
      </c>
      <c r="R37" s="857">
        <f t="shared" si="2"/>
        <v>4</v>
      </c>
      <c r="S37" s="857"/>
      <c r="T37" s="1835">
        <v>2</v>
      </c>
      <c r="U37" s="496">
        <v>2</v>
      </c>
      <c r="V37" s="857">
        <f>T37*U37</f>
        <v>4</v>
      </c>
      <c r="W37" s="1835">
        <v>2</v>
      </c>
      <c r="X37" s="496">
        <v>2</v>
      </c>
      <c r="Y37" s="857">
        <f>W37*X37</f>
        <v>4</v>
      </c>
      <c r="Z37" s="559">
        <f t="shared" si="0"/>
        <v>2</v>
      </c>
      <c r="AA37" s="559">
        <f t="shared" si="1"/>
        <v>200</v>
      </c>
      <c r="AB37" s="901" t="s">
        <v>1690</v>
      </c>
      <c r="AC37" s="1822" t="s">
        <v>1665</v>
      </c>
      <c r="AF37" s="466"/>
      <c r="AG37" s="465"/>
      <c r="AH37" s="465"/>
    </row>
    <row r="38" spans="1:34" s="492" customFormat="1" ht="25.5" hidden="1" x14ac:dyDescent="0.2">
      <c r="A38" s="1240"/>
      <c r="B38" s="500" t="s">
        <v>1691</v>
      </c>
      <c r="C38" s="501" t="s">
        <v>797</v>
      </c>
      <c r="D38" s="1240"/>
      <c r="E38" s="842"/>
      <c r="F38" s="530"/>
      <c r="G38" s="531"/>
      <c r="H38" s="493">
        <f>SUM(H39:H42)</f>
        <v>7.5</v>
      </c>
      <c r="I38" s="532"/>
      <c r="J38" s="532"/>
      <c r="K38" s="532">
        <f>SUM(K39:K42)</f>
        <v>0.9</v>
      </c>
      <c r="L38" s="532"/>
      <c r="M38" s="532"/>
      <c r="N38" s="532">
        <v>0.9</v>
      </c>
      <c r="O38" s="532"/>
      <c r="P38" s="532"/>
      <c r="Q38" s="532">
        <f>SUM(Q39:Q41)</f>
        <v>2</v>
      </c>
      <c r="R38" s="532">
        <f t="shared" si="2"/>
        <v>2</v>
      </c>
      <c r="S38" s="532"/>
      <c r="T38" s="532"/>
      <c r="U38" s="532"/>
      <c r="V38" s="532">
        <f>SUM(V39:V41)</f>
        <v>2</v>
      </c>
      <c r="W38" s="532"/>
      <c r="X38" s="532"/>
      <c r="Y38" s="532">
        <f>SUM(Y39:Y41)</f>
        <v>2</v>
      </c>
      <c r="Z38" s="493">
        <f t="shared" si="0"/>
        <v>1.1000000000000001</v>
      </c>
      <c r="AA38" s="493">
        <f t="shared" si="1"/>
        <v>222.2</v>
      </c>
      <c r="AB38" s="901"/>
      <c r="AC38" s="1822" t="s">
        <v>1665</v>
      </c>
      <c r="AF38" s="466"/>
      <c r="AG38" s="466"/>
      <c r="AH38" s="466"/>
    </row>
    <row r="39" spans="1:34" s="498" customFormat="1" hidden="1" x14ac:dyDescent="0.25">
      <c r="A39" s="962"/>
      <c r="B39" s="856" t="s">
        <v>1692</v>
      </c>
      <c r="C39" s="499"/>
      <c r="D39" s="962"/>
      <c r="E39" s="1031" t="s">
        <v>227</v>
      </c>
      <c r="F39" s="1834">
        <v>4</v>
      </c>
      <c r="G39" s="495">
        <v>0.3</v>
      </c>
      <c r="H39" s="559">
        <f>F39*G39</f>
        <v>1.2</v>
      </c>
      <c r="I39" s="1835"/>
      <c r="J39" s="496"/>
      <c r="K39" s="857"/>
      <c r="L39" s="1835"/>
      <c r="M39" s="496"/>
      <c r="N39" s="857"/>
      <c r="O39" s="1835"/>
      <c r="P39" s="496"/>
      <c r="Q39" s="857"/>
      <c r="R39" s="857">
        <f t="shared" si="2"/>
        <v>0</v>
      </c>
      <c r="S39" s="857"/>
      <c r="T39" s="1835"/>
      <c r="U39" s="496"/>
      <c r="V39" s="857"/>
      <c r="W39" s="1835"/>
      <c r="X39" s="496"/>
      <c r="Y39" s="857"/>
      <c r="Z39" s="559">
        <f t="shared" si="0"/>
        <v>0</v>
      </c>
      <c r="AA39" s="559" t="str">
        <f t="shared" si="1"/>
        <v>-</v>
      </c>
      <c r="AB39" s="901"/>
      <c r="AC39" s="1823" t="s">
        <v>1665</v>
      </c>
      <c r="AF39" s="466"/>
      <c r="AG39" s="465"/>
      <c r="AH39" s="465"/>
    </row>
    <row r="40" spans="1:34" s="498" customFormat="1" ht="63.75" hidden="1" x14ac:dyDescent="0.25">
      <c r="A40" s="962"/>
      <c r="B40" s="502" t="s">
        <v>1693</v>
      </c>
      <c r="C40" s="499"/>
      <c r="D40" s="962"/>
      <c r="E40" s="1031" t="s">
        <v>227</v>
      </c>
      <c r="F40" s="494">
        <v>18</v>
      </c>
      <c r="G40" s="495">
        <v>0.1</v>
      </c>
      <c r="H40" s="559">
        <f>F40*G40</f>
        <v>1.8</v>
      </c>
      <c r="I40" s="496">
        <v>9</v>
      </c>
      <c r="J40" s="883">
        <v>0.1</v>
      </c>
      <c r="K40" s="857">
        <f>I40*J40</f>
        <v>0.9</v>
      </c>
      <c r="L40" s="496">
        <v>9</v>
      </c>
      <c r="M40" s="883">
        <v>0.1</v>
      </c>
      <c r="N40" s="857">
        <v>0.9</v>
      </c>
      <c r="O40" s="496">
        <v>20</v>
      </c>
      <c r="P40" s="496">
        <v>0.1</v>
      </c>
      <c r="Q40" s="857">
        <f>O40*P40</f>
        <v>2</v>
      </c>
      <c r="R40" s="857">
        <f t="shared" si="2"/>
        <v>2</v>
      </c>
      <c r="S40" s="857"/>
      <c r="T40" s="496">
        <v>20</v>
      </c>
      <c r="U40" s="496">
        <v>0.1</v>
      </c>
      <c r="V40" s="857">
        <f>T40*U40</f>
        <v>2</v>
      </c>
      <c r="W40" s="496">
        <v>20</v>
      </c>
      <c r="X40" s="496">
        <v>0.1</v>
      </c>
      <c r="Y40" s="857">
        <f>W40*X40</f>
        <v>2</v>
      </c>
      <c r="Z40" s="559">
        <f t="shared" si="0"/>
        <v>1.1000000000000001</v>
      </c>
      <c r="AA40" s="559">
        <f t="shared" si="1"/>
        <v>222.2</v>
      </c>
      <c r="AB40" s="900" t="s">
        <v>1694</v>
      </c>
      <c r="AC40" s="1823" t="s">
        <v>1665</v>
      </c>
      <c r="AF40" s="466"/>
      <c r="AG40" s="465"/>
      <c r="AH40" s="465"/>
    </row>
    <row r="41" spans="1:34" s="498" customFormat="1" hidden="1" x14ac:dyDescent="0.25">
      <c r="A41" s="962"/>
      <c r="B41" s="856" t="s">
        <v>1695</v>
      </c>
      <c r="C41" s="499"/>
      <c r="D41" s="962"/>
      <c r="E41" s="1031" t="s">
        <v>227</v>
      </c>
      <c r="F41" s="494">
        <v>1</v>
      </c>
      <c r="G41" s="495">
        <v>2</v>
      </c>
      <c r="H41" s="559">
        <f>F41*G41</f>
        <v>2</v>
      </c>
      <c r="I41" s="496"/>
      <c r="J41" s="496"/>
      <c r="K41" s="857"/>
      <c r="L41" s="496"/>
      <c r="M41" s="496"/>
      <c r="N41" s="857"/>
      <c r="O41" s="496"/>
      <c r="P41" s="496"/>
      <c r="Q41" s="857"/>
      <c r="R41" s="857">
        <f t="shared" si="2"/>
        <v>0</v>
      </c>
      <c r="S41" s="857"/>
      <c r="T41" s="496"/>
      <c r="U41" s="496"/>
      <c r="V41" s="857"/>
      <c r="W41" s="496"/>
      <c r="X41" s="496"/>
      <c r="Y41" s="857"/>
      <c r="Z41" s="559">
        <f t="shared" si="0"/>
        <v>0</v>
      </c>
      <c r="AA41" s="559" t="str">
        <f t="shared" si="1"/>
        <v>-</v>
      </c>
      <c r="AB41" s="1246"/>
      <c r="AC41" s="1823" t="s">
        <v>1665</v>
      </c>
      <c r="AF41" s="466"/>
      <c r="AG41" s="465"/>
      <c r="AH41" s="465"/>
    </row>
    <row r="42" spans="1:34" s="498" customFormat="1" hidden="1" x14ac:dyDescent="0.25">
      <c r="A42" s="962"/>
      <c r="B42" s="856" t="s">
        <v>1695</v>
      </c>
      <c r="C42" s="499"/>
      <c r="D42" s="962"/>
      <c r="E42" s="1031" t="s">
        <v>227</v>
      </c>
      <c r="F42" s="494">
        <v>1</v>
      </c>
      <c r="G42" s="495">
        <v>2.5</v>
      </c>
      <c r="H42" s="559">
        <f>F42*G42</f>
        <v>2.5</v>
      </c>
      <c r="I42" s="496"/>
      <c r="J42" s="496"/>
      <c r="K42" s="857"/>
      <c r="L42" s="496"/>
      <c r="M42" s="496"/>
      <c r="N42" s="857"/>
      <c r="O42" s="496"/>
      <c r="P42" s="496"/>
      <c r="Q42" s="857"/>
      <c r="R42" s="857">
        <f t="shared" si="2"/>
        <v>0</v>
      </c>
      <c r="S42" s="857"/>
      <c r="T42" s="496"/>
      <c r="U42" s="496"/>
      <c r="V42" s="857"/>
      <c r="W42" s="496"/>
      <c r="X42" s="496"/>
      <c r="Y42" s="857"/>
      <c r="Z42" s="559">
        <f t="shared" si="0"/>
        <v>0</v>
      </c>
      <c r="AA42" s="559" t="str">
        <f t="shared" si="1"/>
        <v>-</v>
      </c>
      <c r="AB42" s="827"/>
      <c r="AC42" s="1823" t="s">
        <v>1665</v>
      </c>
      <c r="AF42" s="466"/>
      <c r="AG42" s="465"/>
      <c r="AH42" s="465"/>
    </row>
    <row r="43" spans="1:34" s="492" customFormat="1" ht="14.25" x14ac:dyDescent="0.2">
      <c r="A43" s="1240"/>
      <c r="B43" s="500" t="s">
        <v>1696</v>
      </c>
      <c r="C43" s="501" t="s">
        <v>796</v>
      </c>
      <c r="D43" s="1240"/>
      <c r="E43" s="842"/>
      <c r="F43" s="530">
        <v>310</v>
      </c>
      <c r="G43" s="531">
        <v>0.02</v>
      </c>
      <c r="H43" s="493">
        <f>F43*G43</f>
        <v>6.2</v>
      </c>
      <c r="I43" s="532">
        <v>310</v>
      </c>
      <c r="J43" s="1836">
        <v>0.02</v>
      </c>
      <c r="K43" s="532">
        <f>I43*J43</f>
        <v>6.2</v>
      </c>
      <c r="L43" s="532">
        <v>310</v>
      </c>
      <c r="M43" s="1836">
        <v>0.02</v>
      </c>
      <c r="N43" s="532">
        <v>6.2</v>
      </c>
      <c r="O43" s="532">
        <v>310</v>
      </c>
      <c r="P43" s="532">
        <v>0</v>
      </c>
      <c r="Q43" s="532">
        <v>6.2</v>
      </c>
      <c r="R43" s="532">
        <f t="shared" si="2"/>
        <v>6.2</v>
      </c>
      <c r="S43" s="532"/>
      <c r="T43" s="532">
        <v>310</v>
      </c>
      <c r="U43" s="532">
        <v>0</v>
      </c>
      <c r="V43" s="532">
        <f>T43*U43</f>
        <v>0</v>
      </c>
      <c r="W43" s="532">
        <v>310</v>
      </c>
      <c r="X43" s="532">
        <v>0</v>
      </c>
      <c r="Y43" s="532">
        <f>W43*X43</f>
        <v>0</v>
      </c>
      <c r="Z43" s="493">
        <f t="shared" si="0"/>
        <v>0</v>
      </c>
      <c r="AA43" s="493">
        <f t="shared" si="1"/>
        <v>100</v>
      </c>
      <c r="AB43" s="901"/>
      <c r="AC43" s="1822" t="s">
        <v>1665</v>
      </c>
      <c r="AF43" s="466"/>
      <c r="AG43" s="466"/>
      <c r="AH43" s="466"/>
    </row>
    <row r="44" spans="1:34" s="492" customFormat="1" ht="14.25" x14ac:dyDescent="0.2">
      <c r="A44" s="1240"/>
      <c r="B44" s="865" t="s">
        <v>803</v>
      </c>
      <c r="C44" s="508" t="s">
        <v>796</v>
      </c>
      <c r="D44" s="1240"/>
      <c r="E44" s="842" t="s">
        <v>227</v>
      </c>
      <c r="F44" s="530"/>
      <c r="G44" s="531"/>
      <c r="H44" s="542">
        <f>H45</f>
        <v>33.6</v>
      </c>
      <c r="I44" s="532"/>
      <c r="J44" s="532"/>
      <c r="K44" s="533">
        <f>K45</f>
        <v>34</v>
      </c>
      <c r="L44" s="532"/>
      <c r="M44" s="532"/>
      <c r="N44" s="533">
        <v>34</v>
      </c>
      <c r="O44" s="532"/>
      <c r="P44" s="532"/>
      <c r="Q44" s="533"/>
      <c r="R44" s="533">
        <f t="shared" si="2"/>
        <v>0</v>
      </c>
      <c r="S44" s="533"/>
      <c r="T44" s="532"/>
      <c r="U44" s="532"/>
      <c r="V44" s="533"/>
      <c r="W44" s="532"/>
      <c r="X44" s="532"/>
      <c r="Y44" s="533"/>
      <c r="Z44" s="542">
        <f t="shared" si="0"/>
        <v>-34</v>
      </c>
      <c r="AA44" s="542">
        <f t="shared" si="1"/>
        <v>0</v>
      </c>
      <c r="AB44" s="901"/>
      <c r="AC44" s="1823" t="s">
        <v>1665</v>
      </c>
      <c r="AF44" s="466"/>
      <c r="AG44" s="466"/>
      <c r="AH44" s="466"/>
    </row>
    <row r="45" spans="1:34" s="498" customFormat="1" hidden="1" x14ac:dyDescent="0.25">
      <c r="A45" s="962"/>
      <c r="B45" s="502" t="s">
        <v>1697</v>
      </c>
      <c r="C45" s="503"/>
      <c r="D45" s="962"/>
      <c r="E45" s="842"/>
      <c r="F45" s="494">
        <v>168</v>
      </c>
      <c r="G45" s="495">
        <v>0.2</v>
      </c>
      <c r="H45" s="1245">
        <f>F45*G45</f>
        <v>33.6</v>
      </c>
      <c r="I45" s="496">
        <v>170</v>
      </c>
      <c r="J45" s="496">
        <v>0.2</v>
      </c>
      <c r="K45" s="496">
        <f>I45*J45</f>
        <v>34</v>
      </c>
      <c r="L45" s="496">
        <v>170</v>
      </c>
      <c r="M45" s="496">
        <v>0.2</v>
      </c>
      <c r="N45" s="496">
        <v>34</v>
      </c>
      <c r="O45" s="496"/>
      <c r="P45" s="496"/>
      <c r="Q45" s="496"/>
      <c r="R45" s="496">
        <f t="shared" si="2"/>
        <v>0</v>
      </c>
      <c r="S45" s="496"/>
      <c r="T45" s="496"/>
      <c r="U45" s="496"/>
      <c r="V45" s="496"/>
      <c r="W45" s="496"/>
      <c r="X45" s="496"/>
      <c r="Y45" s="496"/>
      <c r="Z45" s="1245">
        <f t="shared" si="0"/>
        <v>-34</v>
      </c>
      <c r="AA45" s="1245">
        <f t="shared" si="1"/>
        <v>0</v>
      </c>
      <c r="AB45" s="901"/>
      <c r="AC45" s="1822" t="s">
        <v>1665</v>
      </c>
      <c r="AF45" s="466"/>
      <c r="AG45" s="465"/>
      <c r="AH45" s="465"/>
    </row>
    <row r="46" spans="1:34" s="492" customFormat="1" ht="14.25" hidden="1" x14ac:dyDescent="0.2">
      <c r="A46" s="1240"/>
      <c r="B46" s="500" t="s">
        <v>1233</v>
      </c>
      <c r="C46" s="501" t="s">
        <v>1230</v>
      </c>
      <c r="D46" s="1240"/>
      <c r="E46" s="842" t="s">
        <v>227</v>
      </c>
      <c r="F46" s="530"/>
      <c r="G46" s="531"/>
      <c r="H46" s="542">
        <f>SUM(H47:H50)</f>
        <v>12.8</v>
      </c>
      <c r="I46" s="532"/>
      <c r="J46" s="532"/>
      <c r="K46" s="533">
        <f>SUM(K47:K50)</f>
        <v>12.8</v>
      </c>
      <c r="L46" s="532"/>
      <c r="M46" s="532"/>
      <c r="N46" s="533">
        <v>12.8</v>
      </c>
      <c r="O46" s="532"/>
      <c r="P46" s="532"/>
      <c r="Q46" s="533">
        <f>SUM(Q47:Q50)</f>
        <v>10.3</v>
      </c>
      <c r="R46" s="533">
        <f t="shared" si="2"/>
        <v>10.3</v>
      </c>
      <c r="S46" s="533"/>
      <c r="T46" s="532"/>
      <c r="U46" s="532"/>
      <c r="V46" s="533">
        <f>SUM(V47:V50)</f>
        <v>10.3</v>
      </c>
      <c r="W46" s="532"/>
      <c r="X46" s="532"/>
      <c r="Y46" s="533">
        <f>SUM(Y47:Y50)</f>
        <v>10.3</v>
      </c>
      <c r="Z46" s="542">
        <f t="shared" si="0"/>
        <v>-2.5</v>
      </c>
      <c r="AA46" s="542">
        <f t="shared" si="1"/>
        <v>80.5</v>
      </c>
      <c r="AB46" s="901"/>
      <c r="AC46" s="1822" t="s">
        <v>1665</v>
      </c>
      <c r="AF46" s="466"/>
      <c r="AG46" s="466"/>
      <c r="AH46" s="466"/>
    </row>
    <row r="47" spans="1:34" s="498" customFormat="1" hidden="1" x14ac:dyDescent="0.25">
      <c r="A47" s="962"/>
      <c r="B47" s="502" t="s">
        <v>1698</v>
      </c>
      <c r="C47" s="503"/>
      <c r="D47" s="962"/>
      <c r="E47" s="1031" t="s">
        <v>227</v>
      </c>
      <c r="F47" s="494">
        <v>1</v>
      </c>
      <c r="G47" s="495">
        <v>3.45</v>
      </c>
      <c r="H47" s="559">
        <f>F47*G47</f>
        <v>3.5</v>
      </c>
      <c r="I47" s="496">
        <v>1</v>
      </c>
      <c r="J47" s="496">
        <v>3.5</v>
      </c>
      <c r="K47" s="857">
        <f>I47*J47</f>
        <v>3.5</v>
      </c>
      <c r="L47" s="496">
        <v>1</v>
      </c>
      <c r="M47" s="496">
        <v>3.5</v>
      </c>
      <c r="N47" s="857">
        <v>3.5</v>
      </c>
      <c r="O47" s="496">
        <v>1</v>
      </c>
      <c r="P47" s="496">
        <v>3.5</v>
      </c>
      <c r="Q47" s="857">
        <f>O47*P47</f>
        <v>3.5</v>
      </c>
      <c r="R47" s="857">
        <f t="shared" si="2"/>
        <v>3.5</v>
      </c>
      <c r="S47" s="857"/>
      <c r="T47" s="496">
        <v>1</v>
      </c>
      <c r="U47" s="496">
        <v>3.5</v>
      </c>
      <c r="V47" s="857">
        <f>T47*U47</f>
        <v>3.5</v>
      </c>
      <c r="W47" s="496">
        <v>1</v>
      </c>
      <c r="X47" s="496">
        <v>3.5</v>
      </c>
      <c r="Y47" s="857">
        <f>W47*X47</f>
        <v>3.5</v>
      </c>
      <c r="Z47" s="559">
        <f t="shared" si="0"/>
        <v>0</v>
      </c>
      <c r="AA47" s="559">
        <f t="shared" si="1"/>
        <v>100</v>
      </c>
      <c r="AB47" s="901"/>
      <c r="AC47" s="1822" t="s">
        <v>1665</v>
      </c>
      <c r="AF47" s="466"/>
      <c r="AG47" s="465"/>
      <c r="AH47" s="465"/>
    </row>
    <row r="48" spans="1:34" s="498" customFormat="1" hidden="1" x14ac:dyDescent="0.25">
      <c r="A48" s="962"/>
      <c r="B48" s="502" t="s">
        <v>1699</v>
      </c>
      <c r="C48" s="503"/>
      <c r="D48" s="962"/>
      <c r="E48" s="1031"/>
      <c r="F48" s="494">
        <v>1</v>
      </c>
      <c r="G48" s="495">
        <v>2</v>
      </c>
      <c r="H48" s="559">
        <f>F48*G48</f>
        <v>2</v>
      </c>
      <c r="I48" s="496">
        <v>1</v>
      </c>
      <c r="J48" s="496">
        <v>2</v>
      </c>
      <c r="K48" s="857">
        <f>I48*J48</f>
        <v>2</v>
      </c>
      <c r="L48" s="496">
        <v>1</v>
      </c>
      <c r="M48" s="496">
        <v>2</v>
      </c>
      <c r="N48" s="857">
        <v>2</v>
      </c>
      <c r="O48" s="496"/>
      <c r="P48" s="496"/>
      <c r="Q48" s="857"/>
      <c r="R48" s="857">
        <f t="shared" si="2"/>
        <v>0</v>
      </c>
      <c r="S48" s="857"/>
      <c r="T48" s="496"/>
      <c r="U48" s="496"/>
      <c r="V48" s="857"/>
      <c r="W48" s="496"/>
      <c r="X48" s="496"/>
      <c r="Y48" s="857"/>
      <c r="Z48" s="559">
        <f t="shared" si="0"/>
        <v>-2</v>
      </c>
      <c r="AA48" s="559">
        <f t="shared" si="1"/>
        <v>0</v>
      </c>
      <c r="AB48" s="901"/>
      <c r="AC48" s="1822" t="s">
        <v>1665</v>
      </c>
      <c r="AF48" s="466"/>
      <c r="AG48" s="465"/>
      <c r="AH48" s="465"/>
    </row>
    <row r="49" spans="1:34" s="498" customFormat="1" hidden="1" x14ac:dyDescent="0.25">
      <c r="A49" s="962"/>
      <c r="B49" s="502" t="s">
        <v>1686</v>
      </c>
      <c r="C49" s="503"/>
      <c r="D49" s="962"/>
      <c r="E49" s="1031"/>
      <c r="F49" s="494">
        <v>2</v>
      </c>
      <c r="G49" s="495">
        <v>2.2999999999999998</v>
      </c>
      <c r="H49" s="559">
        <f>F49*G49</f>
        <v>4.5999999999999996</v>
      </c>
      <c r="I49" s="496">
        <v>2</v>
      </c>
      <c r="J49" s="496">
        <v>2.2999999999999998</v>
      </c>
      <c r="K49" s="857">
        <f>I49*J49</f>
        <v>4.5999999999999996</v>
      </c>
      <c r="L49" s="496">
        <v>2</v>
      </c>
      <c r="M49" s="496">
        <v>2.2999999999999998</v>
      </c>
      <c r="N49" s="857">
        <v>4.5999999999999996</v>
      </c>
      <c r="O49" s="496">
        <v>2</v>
      </c>
      <c r="P49" s="496">
        <v>2.2999999999999998</v>
      </c>
      <c r="Q49" s="857">
        <f>O49*P49</f>
        <v>4.5999999999999996</v>
      </c>
      <c r="R49" s="857">
        <f t="shared" si="2"/>
        <v>4.5999999999999996</v>
      </c>
      <c r="S49" s="857"/>
      <c r="T49" s="496">
        <v>2</v>
      </c>
      <c r="U49" s="496">
        <v>2.2999999999999998</v>
      </c>
      <c r="V49" s="857">
        <f>T49*U49</f>
        <v>4.5999999999999996</v>
      </c>
      <c r="W49" s="496">
        <v>2</v>
      </c>
      <c r="X49" s="496">
        <v>2.2999999999999998</v>
      </c>
      <c r="Y49" s="857">
        <f>W49*X49</f>
        <v>4.5999999999999996</v>
      </c>
      <c r="Z49" s="559">
        <f t="shared" si="0"/>
        <v>0</v>
      </c>
      <c r="AA49" s="559">
        <f t="shared" si="1"/>
        <v>100</v>
      </c>
      <c r="AB49" s="901"/>
      <c r="AC49" s="1822" t="s">
        <v>1665</v>
      </c>
      <c r="AF49" s="466"/>
      <c r="AG49" s="465"/>
      <c r="AH49" s="465"/>
    </row>
    <row r="50" spans="1:34" s="498" customFormat="1" hidden="1" x14ac:dyDescent="0.25">
      <c r="A50" s="962"/>
      <c r="B50" s="502" t="s">
        <v>1234</v>
      </c>
      <c r="C50" s="503"/>
      <c r="D50" s="962"/>
      <c r="E50" s="1031"/>
      <c r="F50" s="557"/>
      <c r="G50" s="558"/>
      <c r="H50" s="559">
        <f>SUM(H47:H49)*0.271</f>
        <v>2.7</v>
      </c>
      <c r="I50" s="857"/>
      <c r="J50" s="857"/>
      <c r="K50" s="857">
        <f>SUM(K47:K49)*0.271</f>
        <v>2.7</v>
      </c>
      <c r="L50" s="857"/>
      <c r="M50" s="857"/>
      <c r="N50" s="857">
        <v>2.7</v>
      </c>
      <c r="O50" s="857"/>
      <c r="P50" s="857"/>
      <c r="Q50" s="857">
        <f>SUM(Q47:Q49)*0.271</f>
        <v>2.2000000000000002</v>
      </c>
      <c r="R50" s="857">
        <f t="shared" si="2"/>
        <v>2.2000000000000002</v>
      </c>
      <c r="S50" s="857"/>
      <c r="T50" s="857"/>
      <c r="U50" s="857"/>
      <c r="V50" s="857">
        <f>SUM(V47:V49)*0.271</f>
        <v>2.2000000000000002</v>
      </c>
      <c r="W50" s="857"/>
      <c r="X50" s="857"/>
      <c r="Y50" s="857">
        <f>SUM(Y47:Y49)*0.271</f>
        <v>2.2000000000000002</v>
      </c>
      <c r="Z50" s="559">
        <f t="shared" si="0"/>
        <v>-0.5</v>
      </c>
      <c r="AA50" s="559">
        <f t="shared" si="1"/>
        <v>81.5</v>
      </c>
      <c r="AB50" s="1837"/>
      <c r="AC50" s="1822" t="s">
        <v>1665</v>
      </c>
      <c r="AF50" s="466"/>
      <c r="AG50" s="465"/>
      <c r="AH50" s="465"/>
    </row>
    <row r="51" spans="1:34" s="492" customFormat="1" ht="14.25" hidden="1" x14ac:dyDescent="0.2">
      <c r="A51" s="487"/>
      <c r="B51" s="543" t="s">
        <v>1236</v>
      </c>
      <c r="C51" s="511"/>
      <c r="D51" s="487"/>
      <c r="E51" s="487"/>
      <c r="F51" s="488"/>
      <c r="G51" s="489"/>
      <c r="H51" s="490" t="e">
        <f>#REF!+H52+#REF!+#REF!</f>
        <v>#REF!</v>
      </c>
      <c r="I51" s="847"/>
      <c r="J51" s="847"/>
      <c r="K51" s="490">
        <f>K52</f>
        <v>49.7</v>
      </c>
      <c r="L51" s="847"/>
      <c r="M51" s="847"/>
      <c r="N51" s="490">
        <f>N52</f>
        <v>49.7</v>
      </c>
      <c r="O51" s="847"/>
      <c r="P51" s="847"/>
      <c r="Q51" s="490">
        <f>Q52</f>
        <v>60</v>
      </c>
      <c r="R51" s="490">
        <f t="shared" si="2"/>
        <v>60</v>
      </c>
      <c r="S51" s="490"/>
      <c r="T51" s="847"/>
      <c r="U51" s="847"/>
      <c r="V51" s="490">
        <f>V52</f>
        <v>60</v>
      </c>
      <c r="W51" s="490"/>
      <c r="X51" s="490"/>
      <c r="Y51" s="490">
        <f>Y52</f>
        <v>60</v>
      </c>
      <c r="Z51" s="490">
        <f t="shared" si="0"/>
        <v>10.3</v>
      </c>
      <c r="AA51" s="490">
        <f t="shared" si="1"/>
        <v>120.7</v>
      </c>
      <c r="AB51" s="555"/>
      <c r="AC51" s="491"/>
      <c r="AF51" s="466"/>
      <c r="AG51" s="466"/>
      <c r="AH51" s="466"/>
    </row>
    <row r="52" spans="1:34" s="492" customFormat="1" ht="38.25" hidden="1" x14ac:dyDescent="0.2">
      <c r="A52" s="522"/>
      <c r="B52" s="858" t="s">
        <v>1700</v>
      </c>
      <c r="C52" s="859"/>
      <c r="D52" s="522" t="s">
        <v>1444</v>
      </c>
      <c r="E52" s="860"/>
      <c r="F52" s="523"/>
      <c r="G52" s="524"/>
      <c r="H52" s="526">
        <f>H53+H60+H65+H68+H72</f>
        <v>66.900000000000006</v>
      </c>
      <c r="I52" s="526"/>
      <c r="J52" s="526"/>
      <c r="K52" s="526">
        <f>K53+K60+K65+K68+K72</f>
        <v>49.7</v>
      </c>
      <c r="L52" s="526"/>
      <c r="M52" s="526"/>
      <c r="N52" s="526">
        <f>N53+N60+N65+N68+N72</f>
        <v>49.7</v>
      </c>
      <c r="O52" s="526"/>
      <c r="P52" s="526"/>
      <c r="Q52" s="526">
        <f>Q53+Q60+Q64+Q65+Q68+Q72+Q71</f>
        <v>60</v>
      </c>
      <c r="R52" s="526">
        <f t="shared" si="2"/>
        <v>60</v>
      </c>
      <c r="S52" s="526"/>
      <c r="T52" s="526"/>
      <c r="U52" s="526"/>
      <c r="V52" s="526">
        <f>V53+V60+V64+V65+V68+V72+V71</f>
        <v>60</v>
      </c>
      <c r="W52" s="526"/>
      <c r="X52" s="526"/>
      <c r="Y52" s="526">
        <f>Y53+Y60+Y64+Y65+Y68+Y72+Y71</f>
        <v>60</v>
      </c>
      <c r="Z52" s="526">
        <f t="shared" si="0"/>
        <v>10.3</v>
      </c>
      <c r="AA52" s="526">
        <f t="shared" si="1"/>
        <v>120.7</v>
      </c>
      <c r="AB52" s="849" t="s">
        <v>1701</v>
      </c>
      <c r="AC52" s="491" t="s">
        <v>1665</v>
      </c>
      <c r="AF52" s="466"/>
      <c r="AG52" s="466"/>
      <c r="AH52" s="466"/>
    </row>
    <row r="53" spans="1:34" s="492" customFormat="1" ht="14.25" hidden="1" x14ac:dyDescent="0.2">
      <c r="A53" s="1240"/>
      <c r="B53" s="507" t="s">
        <v>1242</v>
      </c>
      <c r="C53" s="508" t="s">
        <v>1230</v>
      </c>
      <c r="D53" s="932"/>
      <c r="E53" s="861"/>
      <c r="F53" s="828"/>
      <c r="G53" s="829"/>
      <c r="H53" s="542">
        <f>SUM(H54:H59)</f>
        <v>28.2</v>
      </c>
      <c r="I53" s="533"/>
      <c r="J53" s="533"/>
      <c r="K53" s="533">
        <f>SUM(K54:K59)</f>
        <v>24.8</v>
      </c>
      <c r="L53" s="533"/>
      <c r="M53" s="533"/>
      <c r="N53" s="533">
        <f>SUM(N54:N59)</f>
        <v>24.8</v>
      </c>
      <c r="O53" s="533"/>
      <c r="P53" s="533"/>
      <c r="Q53" s="533">
        <f>SUM(Q54:Q59)</f>
        <v>22</v>
      </c>
      <c r="R53" s="533">
        <f t="shared" si="2"/>
        <v>22</v>
      </c>
      <c r="S53" s="533"/>
      <c r="T53" s="533"/>
      <c r="U53" s="533"/>
      <c r="V53" s="533">
        <f>SUM(V54:V59)</f>
        <v>22</v>
      </c>
      <c r="W53" s="533"/>
      <c r="X53" s="533"/>
      <c r="Y53" s="533">
        <f>SUM(Y54:Y59)</f>
        <v>22</v>
      </c>
      <c r="Z53" s="542">
        <f t="shared" si="0"/>
        <v>-2.8</v>
      </c>
      <c r="AA53" s="542">
        <f t="shared" si="1"/>
        <v>88.7</v>
      </c>
      <c r="AB53" s="1030"/>
      <c r="AC53" s="1823" t="s">
        <v>1665</v>
      </c>
      <c r="AF53" s="466"/>
      <c r="AG53" s="466"/>
      <c r="AH53" s="466"/>
    </row>
    <row r="54" spans="1:34" s="498" customFormat="1" hidden="1" x14ac:dyDescent="0.25">
      <c r="A54" s="962"/>
      <c r="B54" s="856" t="s">
        <v>1702</v>
      </c>
      <c r="C54" s="499"/>
      <c r="D54" s="903"/>
      <c r="E54" s="855" t="s">
        <v>318</v>
      </c>
      <c r="F54" s="557">
        <v>1</v>
      </c>
      <c r="G54" s="558">
        <v>3.45</v>
      </c>
      <c r="H54" s="559">
        <f>F54*G54</f>
        <v>3.5</v>
      </c>
      <c r="I54" s="857">
        <v>1</v>
      </c>
      <c r="J54" s="857">
        <v>3.5</v>
      </c>
      <c r="K54" s="857">
        <f>I54*J54</f>
        <v>3.5</v>
      </c>
      <c r="L54" s="857">
        <v>1</v>
      </c>
      <c r="M54" s="857">
        <v>3.5</v>
      </c>
      <c r="N54" s="857">
        <f>L54*M54</f>
        <v>3.5</v>
      </c>
      <c r="O54" s="857">
        <v>1</v>
      </c>
      <c r="P54" s="857">
        <v>3.5</v>
      </c>
      <c r="Q54" s="857">
        <f>O54*P54</f>
        <v>3.5</v>
      </c>
      <c r="R54" s="857">
        <f t="shared" si="2"/>
        <v>3.5</v>
      </c>
      <c r="S54" s="857"/>
      <c r="T54" s="857">
        <v>1</v>
      </c>
      <c r="U54" s="857">
        <v>3.5</v>
      </c>
      <c r="V54" s="857">
        <f>T54*U54</f>
        <v>3.5</v>
      </c>
      <c r="W54" s="857">
        <v>1</v>
      </c>
      <c r="X54" s="857">
        <v>3.5</v>
      </c>
      <c r="Y54" s="857">
        <f>W54*X54</f>
        <v>3.5</v>
      </c>
      <c r="Z54" s="559">
        <f t="shared" si="0"/>
        <v>0</v>
      </c>
      <c r="AA54" s="559">
        <f t="shared" si="1"/>
        <v>100</v>
      </c>
      <c r="AB54" s="1029"/>
      <c r="AC54" s="1823" t="s">
        <v>1665</v>
      </c>
      <c r="AF54" s="466"/>
      <c r="AG54" s="465"/>
      <c r="AH54" s="465"/>
    </row>
    <row r="55" spans="1:34" s="498" customFormat="1" ht="38.25" hidden="1" x14ac:dyDescent="0.25">
      <c r="A55" s="962"/>
      <c r="B55" s="856" t="s">
        <v>1365</v>
      </c>
      <c r="C55" s="499"/>
      <c r="D55" s="903"/>
      <c r="E55" s="855" t="s">
        <v>318</v>
      </c>
      <c r="F55" s="557">
        <v>1</v>
      </c>
      <c r="G55" s="558">
        <v>2.2999999999999998</v>
      </c>
      <c r="H55" s="559">
        <f>F55*G55</f>
        <v>2.2999999999999998</v>
      </c>
      <c r="I55" s="857">
        <v>1</v>
      </c>
      <c r="J55" s="857">
        <v>2.2999999999999998</v>
      </c>
      <c r="K55" s="857">
        <f>I55*J55</f>
        <v>2.2999999999999998</v>
      </c>
      <c r="L55" s="857">
        <v>1</v>
      </c>
      <c r="M55" s="857">
        <v>2.2999999999999998</v>
      </c>
      <c r="N55" s="857">
        <f>L55*M55</f>
        <v>2.2999999999999998</v>
      </c>
      <c r="O55" s="857">
        <v>2</v>
      </c>
      <c r="P55" s="857">
        <v>2.2999999999999998</v>
      </c>
      <c r="Q55" s="857">
        <f>O55*P55</f>
        <v>4.5999999999999996</v>
      </c>
      <c r="R55" s="857">
        <f t="shared" si="2"/>
        <v>4.5999999999999996</v>
      </c>
      <c r="S55" s="857"/>
      <c r="T55" s="857">
        <v>2</v>
      </c>
      <c r="U55" s="857">
        <v>2.2999999999999998</v>
      </c>
      <c r="V55" s="857">
        <f>T55*U55</f>
        <v>4.5999999999999996</v>
      </c>
      <c r="W55" s="857">
        <v>2</v>
      </c>
      <c r="X55" s="857">
        <v>2.2999999999999998</v>
      </c>
      <c r="Y55" s="857">
        <f>W55*X55</f>
        <v>4.5999999999999996</v>
      </c>
      <c r="Z55" s="559">
        <f t="shared" si="0"/>
        <v>2.2999999999999998</v>
      </c>
      <c r="AA55" s="559">
        <f t="shared" si="1"/>
        <v>200</v>
      </c>
      <c r="AB55" s="1029" t="s">
        <v>1703</v>
      </c>
      <c r="AC55" s="1823" t="s">
        <v>1665</v>
      </c>
      <c r="AF55" s="466"/>
      <c r="AG55" s="465"/>
      <c r="AH55" s="465"/>
    </row>
    <row r="56" spans="1:34" s="498" customFormat="1" hidden="1" x14ac:dyDescent="0.25">
      <c r="A56" s="962"/>
      <c r="B56" s="856" t="s">
        <v>1704</v>
      </c>
      <c r="C56" s="499"/>
      <c r="D56" s="962"/>
      <c r="E56" s="1245" t="s">
        <v>318</v>
      </c>
      <c r="F56" s="557">
        <v>1</v>
      </c>
      <c r="G56" s="558">
        <v>5.2</v>
      </c>
      <c r="H56" s="559">
        <f>F56*G56</f>
        <v>5.2</v>
      </c>
      <c r="I56" s="857">
        <v>1</v>
      </c>
      <c r="J56" s="857">
        <v>2.5</v>
      </c>
      <c r="K56" s="857">
        <f>I56*J56</f>
        <v>2.5</v>
      </c>
      <c r="L56" s="857">
        <v>1</v>
      </c>
      <c r="M56" s="857">
        <v>2.5</v>
      </c>
      <c r="N56" s="857">
        <f>L56*M56</f>
        <v>2.5</v>
      </c>
      <c r="O56" s="857"/>
      <c r="P56" s="857"/>
      <c r="Q56" s="857"/>
      <c r="R56" s="857">
        <f t="shared" si="2"/>
        <v>0</v>
      </c>
      <c r="S56" s="857"/>
      <c r="T56" s="857"/>
      <c r="U56" s="857"/>
      <c r="V56" s="857"/>
      <c r="W56" s="857"/>
      <c r="X56" s="857"/>
      <c r="Y56" s="857"/>
      <c r="Z56" s="559">
        <f t="shared" si="0"/>
        <v>-2.5</v>
      </c>
      <c r="AA56" s="559">
        <f t="shared" si="1"/>
        <v>0</v>
      </c>
      <c r="AB56" s="843"/>
      <c r="AC56" s="1823" t="s">
        <v>1665</v>
      </c>
      <c r="AF56" s="466"/>
      <c r="AG56" s="465"/>
      <c r="AH56" s="465"/>
    </row>
    <row r="57" spans="1:34" s="498" customFormat="1" hidden="1" x14ac:dyDescent="0.25">
      <c r="A57" s="962"/>
      <c r="B57" s="506" t="s">
        <v>1366</v>
      </c>
      <c r="C57" s="499"/>
      <c r="D57" s="903"/>
      <c r="E57" s="1245" t="s">
        <v>318</v>
      </c>
      <c r="F57" s="557">
        <v>4</v>
      </c>
      <c r="G57" s="558">
        <v>2.2999999999999998</v>
      </c>
      <c r="H57" s="559">
        <f>F57*G57</f>
        <v>9.1999999999999993</v>
      </c>
      <c r="I57" s="857">
        <v>4</v>
      </c>
      <c r="J57" s="857">
        <v>2.2999999999999998</v>
      </c>
      <c r="K57" s="857">
        <f>I57*J57</f>
        <v>9.1999999999999993</v>
      </c>
      <c r="L57" s="857">
        <v>4</v>
      </c>
      <c r="M57" s="857">
        <v>2.2999999999999998</v>
      </c>
      <c r="N57" s="857">
        <f>L57*M57</f>
        <v>9.1999999999999993</v>
      </c>
      <c r="O57" s="857"/>
      <c r="P57" s="857"/>
      <c r="Q57" s="857"/>
      <c r="R57" s="857">
        <f t="shared" si="2"/>
        <v>0</v>
      </c>
      <c r="S57" s="857"/>
      <c r="T57" s="857"/>
      <c r="U57" s="857"/>
      <c r="V57" s="857"/>
      <c r="W57" s="857"/>
      <c r="X57" s="857"/>
      <c r="Y57" s="857"/>
      <c r="Z57" s="559">
        <f t="shared" si="0"/>
        <v>-9.1999999999999993</v>
      </c>
      <c r="AA57" s="559">
        <f t="shared" si="1"/>
        <v>0</v>
      </c>
      <c r="AB57" s="1838"/>
      <c r="AC57" s="1823" t="s">
        <v>1665</v>
      </c>
      <c r="AF57" s="466"/>
      <c r="AG57" s="465"/>
      <c r="AH57" s="465"/>
    </row>
    <row r="58" spans="1:34" s="498" customFormat="1" ht="51" hidden="1" x14ac:dyDescent="0.25">
      <c r="A58" s="962"/>
      <c r="B58" s="506" t="s">
        <v>1705</v>
      </c>
      <c r="C58" s="499"/>
      <c r="D58" s="903"/>
      <c r="E58" s="1245" t="s">
        <v>318</v>
      </c>
      <c r="F58" s="557">
        <v>1</v>
      </c>
      <c r="G58" s="558">
        <v>2</v>
      </c>
      <c r="H58" s="559">
        <f>F58*G58</f>
        <v>2</v>
      </c>
      <c r="I58" s="857">
        <v>1</v>
      </c>
      <c r="J58" s="857">
        <v>2</v>
      </c>
      <c r="K58" s="857">
        <f>I58*J58</f>
        <v>2</v>
      </c>
      <c r="L58" s="857">
        <v>1</v>
      </c>
      <c r="M58" s="857">
        <v>2</v>
      </c>
      <c r="N58" s="857">
        <f>L58*M58</f>
        <v>2</v>
      </c>
      <c r="O58" s="857">
        <v>4</v>
      </c>
      <c r="P58" s="857">
        <v>2.2999999999999998</v>
      </c>
      <c r="Q58" s="857">
        <f>O58*P58</f>
        <v>9.1999999999999993</v>
      </c>
      <c r="R58" s="857">
        <f t="shared" si="2"/>
        <v>9.1999999999999993</v>
      </c>
      <c r="S58" s="857"/>
      <c r="T58" s="857">
        <v>4</v>
      </c>
      <c r="U58" s="857">
        <v>2.2999999999999998</v>
      </c>
      <c r="V58" s="857">
        <f>T58*U58</f>
        <v>9.1999999999999993</v>
      </c>
      <c r="W58" s="857">
        <v>4</v>
      </c>
      <c r="X58" s="857">
        <v>2.2999999999999998</v>
      </c>
      <c r="Y58" s="857">
        <f>W58*X58</f>
        <v>9.1999999999999993</v>
      </c>
      <c r="Z58" s="559">
        <f t="shared" si="0"/>
        <v>7.2</v>
      </c>
      <c r="AA58" s="559">
        <f t="shared" si="1"/>
        <v>460</v>
      </c>
      <c r="AB58" s="1838" t="s">
        <v>1706</v>
      </c>
      <c r="AC58" s="1823" t="s">
        <v>1665</v>
      </c>
      <c r="AF58" s="466"/>
      <c r="AG58" s="465"/>
      <c r="AH58" s="465"/>
    </row>
    <row r="59" spans="1:34" s="498" customFormat="1" hidden="1" x14ac:dyDescent="0.25">
      <c r="A59" s="962"/>
      <c r="B59" s="856" t="s">
        <v>842</v>
      </c>
      <c r="C59" s="499"/>
      <c r="D59" s="903"/>
      <c r="E59" s="855"/>
      <c r="F59" s="557"/>
      <c r="G59" s="558"/>
      <c r="H59" s="559">
        <f>SUM(H54:H58)*0.271</f>
        <v>6</v>
      </c>
      <c r="I59" s="857"/>
      <c r="J59" s="857"/>
      <c r="K59" s="857">
        <f>SUM(K54:K58)*0.271</f>
        <v>5.3</v>
      </c>
      <c r="L59" s="857"/>
      <c r="M59" s="857"/>
      <c r="N59" s="857">
        <f>SUM(N54:N58)*0.271</f>
        <v>5.3</v>
      </c>
      <c r="O59" s="857"/>
      <c r="P59" s="857"/>
      <c r="Q59" s="857">
        <f>SUM(Q54:Q58)*0.271</f>
        <v>4.7</v>
      </c>
      <c r="R59" s="857">
        <f t="shared" si="2"/>
        <v>4.7</v>
      </c>
      <c r="S59" s="857"/>
      <c r="T59" s="857"/>
      <c r="U59" s="857"/>
      <c r="V59" s="857">
        <f>SUM(V54:V58)*0.271</f>
        <v>4.7</v>
      </c>
      <c r="W59" s="857"/>
      <c r="X59" s="857"/>
      <c r="Y59" s="857">
        <f>SUM(Y54:Y58)*0.271</f>
        <v>4.7</v>
      </c>
      <c r="Z59" s="559">
        <f t="shared" si="0"/>
        <v>-0.6</v>
      </c>
      <c r="AA59" s="559">
        <f t="shared" si="1"/>
        <v>88.7</v>
      </c>
      <c r="AB59" s="1838"/>
      <c r="AC59" s="1823" t="s">
        <v>1665</v>
      </c>
      <c r="AF59" s="466"/>
      <c r="AG59" s="465"/>
      <c r="AH59" s="465"/>
    </row>
    <row r="60" spans="1:34" s="492" customFormat="1" ht="14.25" hidden="1" x14ac:dyDescent="0.2">
      <c r="A60" s="1240"/>
      <c r="B60" s="865" t="s">
        <v>1707</v>
      </c>
      <c r="C60" s="508" t="s">
        <v>797</v>
      </c>
      <c r="D60" s="932"/>
      <c r="E60" s="861"/>
      <c r="F60" s="828"/>
      <c r="G60" s="829"/>
      <c r="H60" s="542">
        <f>SUM(H61:H63)</f>
        <v>9.1999999999999993</v>
      </c>
      <c r="I60" s="533"/>
      <c r="J60" s="533"/>
      <c r="K60" s="533">
        <f>SUM(K61:K63)</f>
        <v>4.5999999999999996</v>
      </c>
      <c r="L60" s="533"/>
      <c r="M60" s="533"/>
      <c r="N60" s="533">
        <f>SUM(N61:N63)</f>
        <v>4.5999999999999996</v>
      </c>
      <c r="O60" s="533"/>
      <c r="P60" s="533"/>
      <c r="Q60" s="533">
        <f>SUM(Q61:Q63)</f>
        <v>10</v>
      </c>
      <c r="R60" s="533">
        <f t="shared" si="2"/>
        <v>10</v>
      </c>
      <c r="S60" s="533"/>
      <c r="T60" s="533"/>
      <c r="U60" s="533"/>
      <c r="V60" s="533">
        <f>SUM(V61:V63)</f>
        <v>10</v>
      </c>
      <c r="W60" s="533"/>
      <c r="X60" s="533"/>
      <c r="Y60" s="533">
        <f>SUM(Y61:Y63)</f>
        <v>10</v>
      </c>
      <c r="Z60" s="542">
        <f t="shared" si="0"/>
        <v>5.4</v>
      </c>
      <c r="AA60" s="542">
        <f t="shared" si="1"/>
        <v>217.4</v>
      </c>
      <c r="AB60" s="1838"/>
      <c r="AC60" s="1823" t="s">
        <v>1665</v>
      </c>
      <c r="AF60" s="466"/>
      <c r="AG60" s="466"/>
      <c r="AH60" s="466"/>
    </row>
    <row r="61" spans="1:34" s="498" customFormat="1" ht="63.75" hidden="1" x14ac:dyDescent="0.25">
      <c r="A61" s="962"/>
      <c r="B61" s="502" t="s">
        <v>1708</v>
      </c>
      <c r="C61" s="499"/>
      <c r="D61" s="903"/>
      <c r="E61" s="855" t="s">
        <v>227</v>
      </c>
      <c r="F61" s="557">
        <v>20</v>
      </c>
      <c r="G61" s="558">
        <v>0.1</v>
      </c>
      <c r="H61" s="559">
        <f>F61*G61</f>
        <v>2</v>
      </c>
      <c r="I61" s="857">
        <v>10</v>
      </c>
      <c r="J61" s="862">
        <v>0.1</v>
      </c>
      <c r="K61" s="857">
        <f>I61*J61</f>
        <v>1</v>
      </c>
      <c r="L61" s="857">
        <v>10</v>
      </c>
      <c r="M61" s="862">
        <v>0.1</v>
      </c>
      <c r="N61" s="857">
        <f>L61*M61</f>
        <v>1</v>
      </c>
      <c r="O61" s="857">
        <v>20</v>
      </c>
      <c r="P61" s="857">
        <v>0.1</v>
      </c>
      <c r="Q61" s="857">
        <f>O61*P61</f>
        <v>2</v>
      </c>
      <c r="R61" s="857">
        <f t="shared" si="2"/>
        <v>2</v>
      </c>
      <c r="S61" s="857"/>
      <c r="T61" s="857">
        <v>20</v>
      </c>
      <c r="U61" s="857">
        <v>0.1</v>
      </c>
      <c r="V61" s="857">
        <f>T61*U61</f>
        <v>2</v>
      </c>
      <c r="W61" s="857">
        <v>20</v>
      </c>
      <c r="X61" s="857">
        <v>0.1</v>
      </c>
      <c r="Y61" s="857">
        <f>W61*X61</f>
        <v>2</v>
      </c>
      <c r="Z61" s="559">
        <f t="shared" si="0"/>
        <v>1</v>
      </c>
      <c r="AA61" s="559">
        <f t="shared" si="1"/>
        <v>200</v>
      </c>
      <c r="AB61" s="900" t="s">
        <v>1694</v>
      </c>
      <c r="AC61" s="1823" t="s">
        <v>1665</v>
      </c>
      <c r="AF61" s="466"/>
      <c r="AG61" s="465"/>
      <c r="AH61" s="465"/>
    </row>
    <row r="62" spans="1:34" s="498" customFormat="1" hidden="1" x14ac:dyDescent="0.25">
      <c r="A62" s="962"/>
      <c r="B62" s="856" t="s">
        <v>1669</v>
      </c>
      <c r="C62" s="499"/>
      <c r="D62" s="962"/>
      <c r="E62" s="855" t="s">
        <v>1240</v>
      </c>
      <c r="F62" s="557">
        <v>30</v>
      </c>
      <c r="G62" s="558">
        <v>0.1</v>
      </c>
      <c r="H62" s="559">
        <f>F62*G62</f>
        <v>3</v>
      </c>
      <c r="I62" s="857">
        <v>30</v>
      </c>
      <c r="J62" s="862">
        <v>0.05</v>
      </c>
      <c r="K62" s="857">
        <f>I62*J62</f>
        <v>1.5</v>
      </c>
      <c r="L62" s="857">
        <v>30</v>
      </c>
      <c r="M62" s="862">
        <v>0.05</v>
      </c>
      <c r="N62" s="857">
        <f>L62*M62</f>
        <v>1.5</v>
      </c>
      <c r="O62" s="857">
        <v>40</v>
      </c>
      <c r="P62" s="857">
        <v>0.2</v>
      </c>
      <c r="Q62" s="857">
        <f>O62*P62</f>
        <v>8</v>
      </c>
      <c r="R62" s="857">
        <f t="shared" si="2"/>
        <v>8</v>
      </c>
      <c r="S62" s="857"/>
      <c r="T62" s="857">
        <v>40</v>
      </c>
      <c r="U62" s="857">
        <v>0.2</v>
      </c>
      <c r="V62" s="857">
        <f>T62*U62</f>
        <v>8</v>
      </c>
      <c r="W62" s="857">
        <v>40</v>
      </c>
      <c r="X62" s="857">
        <v>0.2</v>
      </c>
      <c r="Y62" s="857">
        <f>W62*X62</f>
        <v>8</v>
      </c>
      <c r="Z62" s="559">
        <f t="shared" si="0"/>
        <v>6.5</v>
      </c>
      <c r="AA62" s="559">
        <f t="shared" si="1"/>
        <v>533.29999999999995</v>
      </c>
      <c r="AB62" s="1838" t="s">
        <v>1709</v>
      </c>
      <c r="AC62" s="1823" t="s">
        <v>1665</v>
      </c>
      <c r="AF62" s="466"/>
      <c r="AG62" s="465"/>
      <c r="AH62" s="465"/>
    </row>
    <row r="63" spans="1:34" s="498" customFormat="1" hidden="1" x14ac:dyDescent="0.25">
      <c r="A63" s="962"/>
      <c r="B63" s="856" t="s">
        <v>1710</v>
      </c>
      <c r="C63" s="499"/>
      <c r="D63" s="903"/>
      <c r="E63" s="855"/>
      <c r="F63" s="557">
        <v>42</v>
      </c>
      <c r="G63" s="558">
        <v>0.1</v>
      </c>
      <c r="H63" s="559">
        <f>F63*G63</f>
        <v>4.2</v>
      </c>
      <c r="I63" s="857">
        <v>42</v>
      </c>
      <c r="J63" s="862">
        <v>0.05</v>
      </c>
      <c r="K63" s="857">
        <f>I63*J63</f>
        <v>2.1</v>
      </c>
      <c r="L63" s="857">
        <v>42</v>
      </c>
      <c r="M63" s="862">
        <v>0.05</v>
      </c>
      <c r="N63" s="857">
        <f>L63*M63</f>
        <v>2.1</v>
      </c>
      <c r="O63" s="857"/>
      <c r="P63" s="857"/>
      <c r="Q63" s="857"/>
      <c r="R63" s="857">
        <f t="shared" si="2"/>
        <v>0</v>
      </c>
      <c r="S63" s="857"/>
      <c r="T63" s="857"/>
      <c r="U63" s="857"/>
      <c r="V63" s="857"/>
      <c r="W63" s="857"/>
      <c r="X63" s="857"/>
      <c r="Y63" s="857"/>
      <c r="Z63" s="559">
        <f t="shared" si="0"/>
        <v>-2.1</v>
      </c>
      <c r="AA63" s="559">
        <f t="shared" si="1"/>
        <v>0</v>
      </c>
      <c r="AB63" s="1838"/>
      <c r="AC63" s="1823" t="s">
        <v>1665</v>
      </c>
      <c r="AF63" s="466"/>
      <c r="AG63" s="465"/>
      <c r="AH63" s="465"/>
    </row>
    <row r="64" spans="1:34" s="498" customFormat="1" ht="63.75" hidden="1" x14ac:dyDescent="0.25">
      <c r="A64" s="962"/>
      <c r="B64" s="865" t="s">
        <v>1711</v>
      </c>
      <c r="C64" s="508" t="s">
        <v>797</v>
      </c>
      <c r="D64" s="497"/>
      <c r="E64" s="497"/>
      <c r="F64" s="497"/>
      <c r="G64" s="497"/>
      <c r="H64" s="497"/>
      <c r="I64" s="497"/>
      <c r="J64" s="497"/>
      <c r="K64" s="497"/>
      <c r="L64" s="497"/>
      <c r="M64" s="497"/>
      <c r="N64" s="497"/>
      <c r="O64" s="857"/>
      <c r="P64" s="857"/>
      <c r="Q64" s="533">
        <v>12</v>
      </c>
      <c r="R64" s="533">
        <f t="shared" si="2"/>
        <v>12</v>
      </c>
      <c r="S64" s="533"/>
      <c r="T64" s="857"/>
      <c r="U64" s="857"/>
      <c r="V64" s="533">
        <v>12</v>
      </c>
      <c r="W64" s="857"/>
      <c r="X64" s="857"/>
      <c r="Y64" s="533">
        <v>12</v>
      </c>
      <c r="Z64" s="559">
        <f t="shared" si="0"/>
        <v>12</v>
      </c>
      <c r="AA64" s="559" t="str">
        <f t="shared" si="1"/>
        <v>-</v>
      </c>
      <c r="AB64" s="1838" t="s">
        <v>1712</v>
      </c>
      <c r="AC64" s="1823" t="s">
        <v>1665</v>
      </c>
      <c r="AF64" s="466"/>
      <c r="AG64" s="465"/>
      <c r="AH64" s="465"/>
    </row>
    <row r="65" spans="1:34" s="492" customFormat="1" ht="14.25" x14ac:dyDescent="0.2">
      <c r="A65" s="1240"/>
      <c r="B65" s="865" t="s">
        <v>1713</v>
      </c>
      <c r="C65" s="508" t="s">
        <v>796</v>
      </c>
      <c r="D65" s="932"/>
      <c r="E65" s="861"/>
      <c r="F65" s="828"/>
      <c r="G65" s="829"/>
      <c r="H65" s="542">
        <f>SUM(H66:H67)</f>
        <v>15.7</v>
      </c>
      <c r="I65" s="533"/>
      <c r="J65" s="533"/>
      <c r="K65" s="533">
        <f>SUM(K66:K67)</f>
        <v>7.8</v>
      </c>
      <c r="L65" s="533"/>
      <c r="M65" s="533"/>
      <c r="N65" s="533">
        <f>SUM(N66:N67)</f>
        <v>7.8</v>
      </c>
      <c r="O65" s="533"/>
      <c r="P65" s="533"/>
      <c r="Q65" s="533"/>
      <c r="R65" s="533">
        <f t="shared" si="2"/>
        <v>0</v>
      </c>
      <c r="S65" s="533"/>
      <c r="T65" s="533"/>
      <c r="U65" s="533"/>
      <c r="V65" s="533"/>
      <c r="W65" s="533"/>
      <c r="X65" s="533"/>
      <c r="Y65" s="533"/>
      <c r="Z65" s="542">
        <f t="shared" si="0"/>
        <v>-7.8</v>
      </c>
      <c r="AA65" s="542">
        <f t="shared" si="1"/>
        <v>0</v>
      </c>
      <c r="AB65" s="1838"/>
      <c r="AC65" s="1823" t="s">
        <v>1665</v>
      </c>
      <c r="AF65" s="466"/>
      <c r="AG65" s="466"/>
      <c r="AH65" s="466"/>
    </row>
    <row r="66" spans="1:34" s="498" customFormat="1" hidden="1" x14ac:dyDescent="0.25">
      <c r="A66" s="962"/>
      <c r="B66" s="856" t="s">
        <v>1714</v>
      </c>
      <c r="C66" s="499"/>
      <c r="D66" s="903"/>
      <c r="E66" s="1245" t="s">
        <v>227</v>
      </c>
      <c r="F66" s="557">
        <v>27</v>
      </c>
      <c r="G66" s="558">
        <v>0.1</v>
      </c>
      <c r="H66" s="559">
        <f>F66*G66</f>
        <v>2.7</v>
      </c>
      <c r="I66" s="857">
        <v>26</v>
      </c>
      <c r="J66" s="862">
        <v>0.05</v>
      </c>
      <c r="K66" s="857">
        <f>I66*J66</f>
        <v>1.3</v>
      </c>
      <c r="L66" s="857">
        <v>26</v>
      </c>
      <c r="M66" s="862">
        <v>0.05</v>
      </c>
      <c r="N66" s="857">
        <f>L66*M66</f>
        <v>1.3</v>
      </c>
      <c r="O66" s="857"/>
      <c r="P66" s="857"/>
      <c r="Q66" s="857"/>
      <c r="R66" s="857">
        <f t="shared" si="2"/>
        <v>0</v>
      </c>
      <c r="S66" s="857"/>
      <c r="T66" s="857"/>
      <c r="U66" s="857"/>
      <c r="V66" s="857"/>
      <c r="W66" s="857"/>
      <c r="X66" s="857"/>
      <c r="Y66" s="857"/>
      <c r="Z66" s="559">
        <f t="shared" si="0"/>
        <v>-1.3</v>
      </c>
      <c r="AA66" s="559">
        <f t="shared" si="1"/>
        <v>0</v>
      </c>
      <c r="AB66" s="1838"/>
      <c r="AC66" s="1823" t="s">
        <v>1665</v>
      </c>
      <c r="AF66" s="466"/>
      <c r="AG66" s="465"/>
      <c r="AH66" s="465"/>
    </row>
    <row r="67" spans="1:34" s="498" customFormat="1" hidden="1" x14ac:dyDescent="0.25">
      <c r="A67" s="962"/>
      <c r="B67" s="856" t="s">
        <v>1715</v>
      </c>
      <c r="C67" s="499"/>
      <c r="D67" s="903"/>
      <c r="E67" s="1245" t="s">
        <v>227</v>
      </c>
      <c r="F67" s="557">
        <v>26</v>
      </c>
      <c r="G67" s="558">
        <v>0.5</v>
      </c>
      <c r="H67" s="559">
        <f>F67*G67</f>
        <v>13</v>
      </c>
      <c r="I67" s="857">
        <v>26</v>
      </c>
      <c r="J67" s="862">
        <v>0.25</v>
      </c>
      <c r="K67" s="857">
        <f>I67*J67</f>
        <v>6.5</v>
      </c>
      <c r="L67" s="857">
        <v>26</v>
      </c>
      <c r="M67" s="862">
        <v>0.25</v>
      </c>
      <c r="N67" s="857">
        <f>L67*M67</f>
        <v>6.5</v>
      </c>
      <c r="O67" s="857"/>
      <c r="P67" s="857"/>
      <c r="Q67" s="857"/>
      <c r="R67" s="857">
        <f t="shared" si="2"/>
        <v>0</v>
      </c>
      <c r="S67" s="857"/>
      <c r="T67" s="857"/>
      <c r="U67" s="857"/>
      <c r="V67" s="857"/>
      <c r="W67" s="857"/>
      <c r="X67" s="857"/>
      <c r="Y67" s="857"/>
      <c r="Z67" s="559">
        <f t="shared" si="0"/>
        <v>-6.5</v>
      </c>
      <c r="AA67" s="559">
        <f t="shared" si="1"/>
        <v>0</v>
      </c>
      <c r="AB67" s="1838"/>
      <c r="AC67" s="1823" t="s">
        <v>1665</v>
      </c>
      <c r="AF67" s="466"/>
      <c r="AG67" s="465"/>
      <c r="AH67" s="465"/>
    </row>
    <row r="68" spans="1:34" s="498" customFormat="1" hidden="1" x14ac:dyDescent="0.25">
      <c r="A68" s="962"/>
      <c r="B68" s="865" t="s">
        <v>1716</v>
      </c>
      <c r="C68" s="508" t="s">
        <v>797</v>
      </c>
      <c r="D68" s="932"/>
      <c r="E68" s="861"/>
      <c r="F68" s="828"/>
      <c r="G68" s="829"/>
      <c r="H68" s="542">
        <f>SUM(H69:H69)</f>
        <v>6.3</v>
      </c>
      <c r="I68" s="533"/>
      <c r="J68" s="533"/>
      <c r="K68" s="533">
        <f>SUM(K69:K69)</f>
        <v>6.2</v>
      </c>
      <c r="L68" s="533"/>
      <c r="M68" s="533"/>
      <c r="N68" s="533">
        <f>SUM(N69:N69)</f>
        <v>6.2</v>
      </c>
      <c r="O68" s="533"/>
      <c r="P68" s="533"/>
      <c r="Q68" s="533">
        <f>SUM(Q69:Q70)</f>
        <v>8</v>
      </c>
      <c r="R68" s="533">
        <f t="shared" si="2"/>
        <v>8</v>
      </c>
      <c r="S68" s="533"/>
      <c r="T68" s="533"/>
      <c r="U68" s="533"/>
      <c r="V68" s="533">
        <f>SUM(V69:V70)</f>
        <v>8</v>
      </c>
      <c r="W68" s="533"/>
      <c r="X68" s="533"/>
      <c r="Y68" s="533">
        <f>SUM(Y69:Y70)</f>
        <v>8</v>
      </c>
      <c r="Z68" s="542">
        <f t="shared" si="0"/>
        <v>1.8</v>
      </c>
      <c r="AA68" s="542">
        <f t="shared" si="1"/>
        <v>129</v>
      </c>
      <c r="AB68" s="1838"/>
      <c r="AC68" s="1823" t="s">
        <v>1665</v>
      </c>
      <c r="AF68" s="466"/>
      <c r="AG68" s="465"/>
      <c r="AH68" s="465"/>
    </row>
    <row r="69" spans="1:34" s="492" customFormat="1" ht="25.5" hidden="1" x14ac:dyDescent="0.2">
      <c r="A69" s="1240"/>
      <c r="B69" s="856" t="s">
        <v>1717</v>
      </c>
      <c r="C69" s="499"/>
      <c r="D69" s="903"/>
      <c r="E69" s="855" t="s">
        <v>227</v>
      </c>
      <c r="F69" s="557">
        <v>210</v>
      </c>
      <c r="G69" s="558">
        <v>0.03</v>
      </c>
      <c r="H69" s="559">
        <f>F69*G69</f>
        <v>6.3</v>
      </c>
      <c r="I69" s="857">
        <v>62</v>
      </c>
      <c r="J69" s="857">
        <v>0.1</v>
      </c>
      <c r="K69" s="857">
        <f>I69*J69</f>
        <v>6.2</v>
      </c>
      <c r="L69" s="857">
        <v>62</v>
      </c>
      <c r="M69" s="857">
        <v>0.1</v>
      </c>
      <c r="N69" s="857">
        <f>L69*M69</f>
        <v>6.2</v>
      </c>
      <c r="O69" s="857">
        <v>50</v>
      </c>
      <c r="P69" s="857">
        <v>0.1</v>
      </c>
      <c r="Q69" s="857">
        <f>O69*P69</f>
        <v>5</v>
      </c>
      <c r="R69" s="857">
        <f t="shared" si="2"/>
        <v>5</v>
      </c>
      <c r="S69" s="857"/>
      <c r="T69" s="857">
        <v>50</v>
      </c>
      <c r="U69" s="857">
        <v>0.1</v>
      </c>
      <c r="V69" s="857">
        <f>T69*U69</f>
        <v>5</v>
      </c>
      <c r="W69" s="857">
        <v>50</v>
      </c>
      <c r="X69" s="857">
        <v>0.1</v>
      </c>
      <c r="Y69" s="857">
        <f>W69*X69</f>
        <v>5</v>
      </c>
      <c r="Z69" s="559">
        <f t="shared" si="0"/>
        <v>-1.2</v>
      </c>
      <c r="AA69" s="559">
        <f t="shared" si="1"/>
        <v>80.599999999999994</v>
      </c>
      <c r="AB69" s="1839" t="s">
        <v>1718</v>
      </c>
      <c r="AC69" s="1823" t="s">
        <v>1665</v>
      </c>
      <c r="AF69" s="466"/>
      <c r="AG69" s="466"/>
      <c r="AH69" s="466"/>
    </row>
    <row r="70" spans="1:34" s="498" customFormat="1" ht="51" hidden="1" x14ac:dyDescent="0.25">
      <c r="A70" s="962"/>
      <c r="B70" s="1840" t="s">
        <v>1719</v>
      </c>
      <c r="C70" s="499"/>
      <c r="D70" s="903"/>
      <c r="E70" s="855"/>
      <c r="F70" s="557"/>
      <c r="G70" s="558"/>
      <c r="H70" s="559"/>
      <c r="I70" s="857"/>
      <c r="J70" s="857"/>
      <c r="K70" s="857"/>
      <c r="L70" s="857"/>
      <c r="M70" s="857"/>
      <c r="N70" s="857"/>
      <c r="O70" s="857">
        <v>150</v>
      </c>
      <c r="P70" s="862">
        <v>0.02</v>
      </c>
      <c r="Q70" s="857">
        <f>O70*P70</f>
        <v>3</v>
      </c>
      <c r="R70" s="857">
        <f t="shared" si="2"/>
        <v>3</v>
      </c>
      <c r="S70" s="857"/>
      <c r="T70" s="857">
        <v>150</v>
      </c>
      <c r="U70" s="862">
        <v>0.02</v>
      </c>
      <c r="V70" s="857">
        <f>T70*U70</f>
        <v>3</v>
      </c>
      <c r="W70" s="857">
        <v>150</v>
      </c>
      <c r="X70" s="862">
        <v>0.02</v>
      </c>
      <c r="Y70" s="857">
        <f>W70*X70</f>
        <v>3</v>
      </c>
      <c r="Z70" s="559">
        <f t="shared" si="0"/>
        <v>3</v>
      </c>
      <c r="AA70" s="559" t="str">
        <f t="shared" si="1"/>
        <v>-</v>
      </c>
      <c r="AB70" s="1839" t="s">
        <v>1720</v>
      </c>
      <c r="AC70" s="1823" t="s">
        <v>1665</v>
      </c>
      <c r="AF70" s="466"/>
      <c r="AG70" s="465"/>
      <c r="AH70" s="465"/>
    </row>
    <row r="71" spans="1:34" s="498" customFormat="1" ht="63.75" hidden="1" x14ac:dyDescent="0.25">
      <c r="A71" s="962"/>
      <c r="B71" s="1841" t="s">
        <v>1721</v>
      </c>
      <c r="C71" s="508" t="s">
        <v>797</v>
      </c>
      <c r="D71" s="497"/>
      <c r="E71" s="497"/>
      <c r="F71" s="497"/>
      <c r="G71" s="497"/>
      <c r="H71" s="497"/>
      <c r="I71" s="497"/>
      <c r="J71" s="497"/>
      <c r="K71" s="497"/>
      <c r="L71" s="497"/>
      <c r="M71" s="497"/>
      <c r="N71" s="497"/>
      <c r="O71" s="857">
        <v>20</v>
      </c>
      <c r="P71" s="857">
        <v>0.4</v>
      </c>
      <c r="Q71" s="533">
        <f>O71*P71</f>
        <v>8</v>
      </c>
      <c r="R71" s="533">
        <f t="shared" si="2"/>
        <v>8</v>
      </c>
      <c r="S71" s="533"/>
      <c r="T71" s="857">
        <v>20</v>
      </c>
      <c r="U71" s="857">
        <v>0.4</v>
      </c>
      <c r="V71" s="533">
        <f>T71*U71</f>
        <v>8</v>
      </c>
      <c r="W71" s="857">
        <v>20</v>
      </c>
      <c r="X71" s="857">
        <v>0.4</v>
      </c>
      <c r="Y71" s="533">
        <f>W71*X71</f>
        <v>8</v>
      </c>
      <c r="Z71" s="559">
        <f t="shared" si="0"/>
        <v>8</v>
      </c>
      <c r="AA71" s="559" t="str">
        <f t="shared" si="1"/>
        <v>-</v>
      </c>
      <c r="AB71" s="1839" t="s">
        <v>1722</v>
      </c>
      <c r="AC71" s="1823" t="s">
        <v>1665</v>
      </c>
      <c r="AF71" s="466"/>
      <c r="AG71" s="465"/>
      <c r="AH71" s="465"/>
    </row>
    <row r="72" spans="1:34" s="492" customFormat="1" ht="14.25" hidden="1" x14ac:dyDescent="0.2">
      <c r="A72" s="1240"/>
      <c r="B72" s="865" t="s">
        <v>1723</v>
      </c>
      <c r="C72" s="508" t="s">
        <v>1237</v>
      </c>
      <c r="D72" s="932"/>
      <c r="E72" s="861"/>
      <c r="F72" s="828">
        <v>3</v>
      </c>
      <c r="G72" s="829">
        <v>2.5</v>
      </c>
      <c r="H72" s="542">
        <f>F72*G72</f>
        <v>7.5</v>
      </c>
      <c r="I72" s="533">
        <v>2.5</v>
      </c>
      <c r="J72" s="533">
        <v>2.5</v>
      </c>
      <c r="K72" s="533">
        <f>I72*J72</f>
        <v>6.3</v>
      </c>
      <c r="L72" s="533">
        <v>2.5</v>
      </c>
      <c r="M72" s="533">
        <v>2.5</v>
      </c>
      <c r="N72" s="533">
        <f>L72*M72</f>
        <v>6.3</v>
      </c>
      <c r="O72" s="533"/>
      <c r="P72" s="533"/>
      <c r="Q72" s="533"/>
      <c r="R72" s="533">
        <f t="shared" si="2"/>
        <v>0</v>
      </c>
      <c r="S72" s="533"/>
      <c r="T72" s="533"/>
      <c r="U72" s="533"/>
      <c r="V72" s="533"/>
      <c r="W72" s="533"/>
      <c r="X72" s="533"/>
      <c r="Y72" s="533"/>
      <c r="Z72" s="542">
        <f t="shared" si="0"/>
        <v>-6.3</v>
      </c>
      <c r="AA72" s="542">
        <f t="shared" si="1"/>
        <v>0</v>
      </c>
      <c r="AB72" s="1838"/>
      <c r="AC72" s="1823" t="s">
        <v>1665</v>
      </c>
      <c r="AF72" s="466"/>
      <c r="AG72" s="466"/>
      <c r="AH72" s="466"/>
    </row>
    <row r="73" spans="1:34" s="517" customFormat="1" ht="14.25" hidden="1" x14ac:dyDescent="0.2">
      <c r="A73" s="487"/>
      <c r="B73" s="510" t="s">
        <v>773</v>
      </c>
      <c r="C73" s="511"/>
      <c r="D73" s="487"/>
      <c r="E73" s="512"/>
      <c r="F73" s="488"/>
      <c r="G73" s="489"/>
      <c r="H73" s="513" t="e">
        <f>#REF!+H3+#REF!+H51627+H74+#REF!+#REF!+#REF!+#REF!</f>
        <v>#REF!</v>
      </c>
      <c r="I73" s="490"/>
      <c r="J73" s="490"/>
      <c r="K73" s="513">
        <f>K74</f>
        <v>229.7</v>
      </c>
      <c r="L73" s="490"/>
      <c r="M73" s="490"/>
      <c r="N73" s="513">
        <f>N74</f>
        <v>229.7</v>
      </c>
      <c r="O73" s="490"/>
      <c r="P73" s="490"/>
      <c r="Q73" s="513">
        <f>Q74</f>
        <v>463.1</v>
      </c>
      <c r="R73" s="513">
        <f t="shared" ref="R73:S73" si="4">R74</f>
        <v>229.1</v>
      </c>
      <c r="S73" s="513">
        <f t="shared" si="4"/>
        <v>233.9</v>
      </c>
      <c r="T73" s="513"/>
      <c r="U73" s="513"/>
      <c r="V73" s="513">
        <f>V74</f>
        <v>255.2</v>
      </c>
      <c r="W73" s="513"/>
      <c r="X73" s="513"/>
      <c r="Y73" s="513">
        <f>Y74</f>
        <v>255.2</v>
      </c>
      <c r="Z73" s="513">
        <f t="shared" ref="Z73:Z136" si="5">Q73-K73</f>
        <v>233.4</v>
      </c>
      <c r="AA73" s="513">
        <f t="shared" ref="AA73:AA136" si="6">IFERROR(Q73/K73*100,"-")</f>
        <v>201.6</v>
      </c>
      <c r="AB73" s="514"/>
      <c r="AC73" s="515"/>
      <c r="AD73" s="516">
        <f>Z73+[16]Стимулирование!R873+-211+225</f>
        <v>447.2</v>
      </c>
      <c r="AF73" s="518"/>
      <c r="AG73" s="519"/>
      <c r="AH73" s="519"/>
    </row>
    <row r="74" spans="1:34" s="527" customFormat="1" ht="38.25" hidden="1" x14ac:dyDescent="0.2">
      <c r="A74" s="522"/>
      <c r="B74" s="892" t="s">
        <v>1664</v>
      </c>
      <c r="C74" s="521"/>
      <c r="D74" s="522" t="s">
        <v>1444</v>
      </c>
      <c r="E74" s="522"/>
      <c r="F74" s="851"/>
      <c r="G74" s="852"/>
      <c r="H74" s="853">
        <f>H75+H85+H103+H134</f>
        <v>259.10000000000002</v>
      </c>
      <c r="I74" s="853"/>
      <c r="J74" s="853"/>
      <c r="K74" s="853">
        <f>K75+K85+K103+K134</f>
        <v>229.7</v>
      </c>
      <c r="L74" s="853"/>
      <c r="M74" s="853"/>
      <c r="N74" s="853">
        <f>N75+N85+N103+N134</f>
        <v>229.7</v>
      </c>
      <c r="O74" s="853"/>
      <c r="P74" s="853"/>
      <c r="Q74" s="853">
        <f>Q75+Q85+Q103+Q134</f>
        <v>463.1</v>
      </c>
      <c r="R74" s="853">
        <f t="shared" ref="R74:S74" si="7">R75+R85+R103+R134</f>
        <v>229.1</v>
      </c>
      <c r="S74" s="853">
        <f t="shared" si="7"/>
        <v>233.9</v>
      </c>
      <c r="T74" s="853"/>
      <c r="U74" s="853"/>
      <c r="V74" s="853">
        <f>V75+V85+V103+V134</f>
        <v>255.2</v>
      </c>
      <c r="W74" s="853"/>
      <c r="X74" s="853"/>
      <c r="Y74" s="853">
        <f>Y75+Y85+Y103+Y134</f>
        <v>255.2</v>
      </c>
      <c r="Z74" s="525">
        <f t="shared" si="5"/>
        <v>233.4</v>
      </c>
      <c r="AA74" s="853">
        <f t="shared" si="6"/>
        <v>201.6</v>
      </c>
      <c r="AB74" s="909"/>
      <c r="AC74" s="549" t="s">
        <v>1665</v>
      </c>
      <c r="AF74" s="528"/>
      <c r="AG74" s="528"/>
      <c r="AH74" s="528"/>
    </row>
    <row r="75" spans="1:34" s="871" customFormat="1" ht="14.25" hidden="1" x14ac:dyDescent="0.2">
      <c r="A75" s="869"/>
      <c r="B75" s="875" t="s">
        <v>1724</v>
      </c>
      <c r="C75" s="868"/>
      <c r="D75" s="869"/>
      <c r="E75" s="869"/>
      <c r="F75" s="879"/>
      <c r="G75" s="880"/>
      <c r="H75" s="681">
        <f>H80+H81+H83</f>
        <v>37</v>
      </c>
      <c r="I75" s="681"/>
      <c r="J75" s="681"/>
      <c r="K75" s="681">
        <f>K80+K81+K83</f>
        <v>33.5</v>
      </c>
      <c r="L75" s="681"/>
      <c r="M75" s="681"/>
      <c r="N75" s="681">
        <f>N80+N81+N83</f>
        <v>18.5</v>
      </c>
      <c r="O75" s="681"/>
      <c r="P75" s="681"/>
      <c r="Q75" s="681">
        <f>Q76+Q80+Q81+Q83</f>
        <v>32.299999999999997</v>
      </c>
      <c r="R75" s="681">
        <f t="shared" ref="R75:S75" si="8">R76+R80+R81+R83</f>
        <v>32.299999999999997</v>
      </c>
      <c r="S75" s="681">
        <f t="shared" si="8"/>
        <v>0</v>
      </c>
      <c r="T75" s="681"/>
      <c r="U75" s="681"/>
      <c r="V75" s="681">
        <f>V76+V80+V81+V83</f>
        <v>27.8</v>
      </c>
      <c r="W75" s="681"/>
      <c r="X75" s="681"/>
      <c r="Y75" s="681">
        <f>Y76+Y80+Y81+Y83</f>
        <v>27.8</v>
      </c>
      <c r="Z75" s="681">
        <f t="shared" si="5"/>
        <v>-1.2</v>
      </c>
      <c r="AA75" s="681">
        <f t="shared" si="6"/>
        <v>96.4</v>
      </c>
      <c r="AB75" s="1842"/>
      <c r="AC75" s="549" t="s">
        <v>1665</v>
      </c>
      <c r="AF75" s="872"/>
      <c r="AG75" s="872"/>
      <c r="AH75" s="872"/>
    </row>
    <row r="76" spans="1:34" s="492" customFormat="1" ht="14.25" hidden="1" x14ac:dyDescent="0.2">
      <c r="A76" s="1240"/>
      <c r="B76" s="876" t="s">
        <v>1233</v>
      </c>
      <c r="C76" s="501" t="s">
        <v>1230</v>
      </c>
      <c r="D76" s="1240"/>
      <c r="E76" s="1240"/>
      <c r="F76" s="530"/>
      <c r="G76" s="531"/>
      <c r="H76" s="493"/>
      <c r="I76" s="493"/>
      <c r="J76" s="493"/>
      <c r="K76" s="493"/>
      <c r="L76" s="493"/>
      <c r="M76" s="493"/>
      <c r="N76" s="493"/>
      <c r="O76" s="493"/>
      <c r="P76" s="493"/>
      <c r="Q76" s="532">
        <f>SUM(Q77:Q79)</f>
        <v>10.3</v>
      </c>
      <c r="R76" s="532">
        <f>Q76</f>
        <v>10.3</v>
      </c>
      <c r="S76" s="532"/>
      <c r="T76" s="493"/>
      <c r="U76" s="493"/>
      <c r="V76" s="532">
        <f>SUM(V77:V79)</f>
        <v>5.8</v>
      </c>
      <c r="W76" s="493"/>
      <c r="X76" s="493"/>
      <c r="Y76" s="532">
        <f>SUM(Y77:Y79)</f>
        <v>5.8</v>
      </c>
      <c r="Z76" s="493">
        <f t="shared" si="5"/>
        <v>10.3</v>
      </c>
      <c r="AA76" s="493" t="str">
        <f t="shared" si="6"/>
        <v>-</v>
      </c>
      <c r="AB76" s="921"/>
      <c r="AC76" s="549" t="s">
        <v>1665</v>
      </c>
      <c r="AF76" s="466"/>
      <c r="AG76" s="466"/>
      <c r="AH76" s="466"/>
    </row>
    <row r="77" spans="1:34" s="492" customFormat="1" ht="63.75" hidden="1" x14ac:dyDescent="0.2">
      <c r="A77" s="1240"/>
      <c r="B77" s="881" t="s">
        <v>1725</v>
      </c>
      <c r="C77" s="501"/>
      <c r="D77" s="1240"/>
      <c r="E77" s="873" t="s">
        <v>318</v>
      </c>
      <c r="F77" s="530"/>
      <c r="G77" s="531"/>
      <c r="H77" s="493"/>
      <c r="I77" s="493"/>
      <c r="J77" s="493"/>
      <c r="K77" s="493"/>
      <c r="L77" s="493"/>
      <c r="M77" s="493"/>
      <c r="N77" s="493"/>
      <c r="O77" s="496">
        <v>2</v>
      </c>
      <c r="P77" s="496">
        <v>2.2999999999999998</v>
      </c>
      <c r="Q77" s="496">
        <f>O77*P77</f>
        <v>4.5999999999999996</v>
      </c>
      <c r="R77" s="496">
        <f t="shared" ref="R77:R84" si="9">Q77</f>
        <v>4.5999999999999996</v>
      </c>
      <c r="S77" s="496"/>
      <c r="T77" s="496">
        <v>2</v>
      </c>
      <c r="U77" s="496">
        <v>2.2999999999999998</v>
      </c>
      <c r="V77" s="496">
        <f>T77*U77</f>
        <v>4.5999999999999996</v>
      </c>
      <c r="W77" s="496">
        <v>2</v>
      </c>
      <c r="X77" s="496">
        <v>2.2999999999999998</v>
      </c>
      <c r="Y77" s="496">
        <f>W77*X77</f>
        <v>4.5999999999999996</v>
      </c>
      <c r="Z77" s="493">
        <f t="shared" si="5"/>
        <v>4.5999999999999996</v>
      </c>
      <c r="AA77" s="493" t="str">
        <f t="shared" si="6"/>
        <v>-</v>
      </c>
      <c r="AB77" s="893" t="s">
        <v>1726</v>
      </c>
      <c r="AC77" s="491" t="s">
        <v>1665</v>
      </c>
      <c r="AF77" s="466"/>
      <c r="AG77" s="466"/>
      <c r="AH77" s="466"/>
    </row>
    <row r="78" spans="1:34" s="492" customFormat="1" ht="51" hidden="1" x14ac:dyDescent="0.2">
      <c r="A78" s="1240"/>
      <c r="B78" s="881" t="s">
        <v>1727</v>
      </c>
      <c r="C78" s="501"/>
      <c r="D78" s="1240"/>
      <c r="E78" s="962" t="s">
        <v>227</v>
      </c>
      <c r="F78" s="530"/>
      <c r="G78" s="531"/>
      <c r="H78" s="493"/>
      <c r="I78" s="493"/>
      <c r="J78" s="493"/>
      <c r="K78" s="493"/>
      <c r="L78" s="493"/>
      <c r="M78" s="493"/>
      <c r="N78" s="493"/>
      <c r="O78" s="496">
        <v>1</v>
      </c>
      <c r="P78" s="496">
        <v>3.5</v>
      </c>
      <c r="Q78" s="496">
        <f>O78*P78</f>
        <v>3.5</v>
      </c>
      <c r="R78" s="496">
        <f t="shared" si="9"/>
        <v>3.5</v>
      </c>
      <c r="S78" s="496"/>
      <c r="T78" s="496"/>
      <c r="U78" s="496"/>
      <c r="V78" s="496"/>
      <c r="W78" s="496"/>
      <c r="X78" s="496"/>
      <c r="Y78" s="496"/>
      <c r="Z78" s="493">
        <f t="shared" si="5"/>
        <v>3.5</v>
      </c>
      <c r="AA78" s="493" t="str">
        <f t="shared" si="6"/>
        <v>-</v>
      </c>
      <c r="AB78" s="893" t="s">
        <v>1728</v>
      </c>
      <c r="AC78" s="491" t="s">
        <v>1665</v>
      </c>
      <c r="AF78" s="466"/>
      <c r="AG78" s="466"/>
      <c r="AH78" s="466"/>
    </row>
    <row r="79" spans="1:34" s="492" customFormat="1" ht="14.25" hidden="1" x14ac:dyDescent="0.2">
      <c r="A79" s="1240"/>
      <c r="B79" s="881" t="s">
        <v>1729</v>
      </c>
      <c r="C79" s="501"/>
      <c r="D79" s="1240"/>
      <c r="E79" s="1240"/>
      <c r="F79" s="530"/>
      <c r="G79" s="531"/>
      <c r="H79" s="493"/>
      <c r="I79" s="493"/>
      <c r="J79" s="493"/>
      <c r="K79" s="493"/>
      <c r="L79" s="493"/>
      <c r="M79" s="493"/>
      <c r="N79" s="493"/>
      <c r="O79" s="496"/>
      <c r="P79" s="496"/>
      <c r="Q79" s="496">
        <f>SUM(Q77:Q78)*0.271</f>
        <v>2.2000000000000002</v>
      </c>
      <c r="R79" s="496">
        <f t="shared" si="9"/>
        <v>2.2000000000000002</v>
      </c>
      <c r="S79" s="496"/>
      <c r="T79" s="496"/>
      <c r="U79" s="496"/>
      <c r="V79" s="496">
        <f>SUM(V77)*0.271</f>
        <v>1.2</v>
      </c>
      <c r="W79" s="496"/>
      <c r="X79" s="496"/>
      <c r="Y79" s="496">
        <f>SUM(Y77)*0.271</f>
        <v>1.2</v>
      </c>
      <c r="Z79" s="493">
        <f t="shared" si="5"/>
        <v>2.2000000000000002</v>
      </c>
      <c r="AA79" s="493" t="str">
        <f t="shared" si="6"/>
        <v>-</v>
      </c>
      <c r="AB79" s="921"/>
      <c r="AC79" s="491" t="s">
        <v>1665</v>
      </c>
      <c r="AF79" s="466"/>
      <c r="AG79" s="466"/>
      <c r="AH79" s="466"/>
    </row>
    <row r="80" spans="1:34" s="492" customFormat="1" ht="14.25" hidden="1" x14ac:dyDescent="0.2">
      <c r="A80" s="1240"/>
      <c r="B80" s="876" t="s">
        <v>1730</v>
      </c>
      <c r="C80" s="501" t="s">
        <v>797</v>
      </c>
      <c r="D80" s="1240"/>
      <c r="E80" s="1240" t="s">
        <v>318</v>
      </c>
      <c r="F80" s="530">
        <v>15</v>
      </c>
      <c r="G80" s="531">
        <v>2</v>
      </c>
      <c r="H80" s="493">
        <f>F80*G80</f>
        <v>30</v>
      </c>
      <c r="I80" s="532">
        <v>15</v>
      </c>
      <c r="J80" s="532">
        <v>2</v>
      </c>
      <c r="K80" s="532">
        <f>I80*J80</f>
        <v>30</v>
      </c>
      <c r="L80" s="532">
        <v>15</v>
      </c>
      <c r="M80" s="532">
        <v>2</v>
      </c>
      <c r="N80" s="532">
        <f>L80*M80-30+15</f>
        <v>15</v>
      </c>
      <c r="O80" s="532">
        <v>15</v>
      </c>
      <c r="P80" s="532">
        <v>2</v>
      </c>
      <c r="Q80" s="532">
        <f>O80*P80-30+15</f>
        <v>15</v>
      </c>
      <c r="R80" s="532">
        <f t="shared" si="9"/>
        <v>15</v>
      </c>
      <c r="S80" s="532"/>
      <c r="T80" s="532">
        <v>15</v>
      </c>
      <c r="U80" s="532">
        <v>2</v>
      </c>
      <c r="V80" s="532">
        <f>T80*U80-30+15</f>
        <v>15</v>
      </c>
      <c r="W80" s="532">
        <v>15</v>
      </c>
      <c r="X80" s="532">
        <v>2</v>
      </c>
      <c r="Y80" s="532">
        <f>W80*X80-30+15</f>
        <v>15</v>
      </c>
      <c r="Z80" s="493">
        <f t="shared" si="5"/>
        <v>-15</v>
      </c>
      <c r="AA80" s="493">
        <f t="shared" si="6"/>
        <v>50</v>
      </c>
      <c r="AB80" s="893"/>
      <c r="AC80" s="491" t="s">
        <v>1665</v>
      </c>
      <c r="AF80" s="466"/>
      <c r="AG80" s="466"/>
      <c r="AH80" s="466"/>
    </row>
    <row r="81" spans="1:34" s="492" customFormat="1" ht="25.5" hidden="1" x14ac:dyDescent="0.2">
      <c r="A81" s="1240"/>
      <c r="B81" s="876" t="s">
        <v>1731</v>
      </c>
      <c r="C81" s="501" t="s">
        <v>797</v>
      </c>
      <c r="D81" s="1240"/>
      <c r="E81" s="1240"/>
      <c r="F81" s="530"/>
      <c r="G81" s="531"/>
      <c r="H81" s="493">
        <f>H82</f>
        <v>5.8</v>
      </c>
      <c r="I81" s="532"/>
      <c r="J81" s="532"/>
      <c r="K81" s="532">
        <f>K82</f>
        <v>2.9</v>
      </c>
      <c r="L81" s="532"/>
      <c r="M81" s="532"/>
      <c r="N81" s="532">
        <f>N82</f>
        <v>2.9</v>
      </c>
      <c r="O81" s="532"/>
      <c r="P81" s="532"/>
      <c r="Q81" s="532">
        <f>Q82</f>
        <v>6</v>
      </c>
      <c r="R81" s="532">
        <f t="shared" si="9"/>
        <v>6</v>
      </c>
      <c r="S81" s="532"/>
      <c r="T81" s="532"/>
      <c r="U81" s="532"/>
      <c r="V81" s="532">
        <f>V82</f>
        <v>6</v>
      </c>
      <c r="W81" s="532"/>
      <c r="X81" s="532"/>
      <c r="Y81" s="532">
        <f>Y82</f>
        <v>6</v>
      </c>
      <c r="Z81" s="493">
        <f t="shared" si="5"/>
        <v>3.1</v>
      </c>
      <c r="AA81" s="493">
        <f t="shared" si="6"/>
        <v>206.9</v>
      </c>
      <c r="AB81" s="893"/>
      <c r="AC81" s="491" t="s">
        <v>1665</v>
      </c>
      <c r="AF81" s="466"/>
      <c r="AG81" s="466"/>
      <c r="AH81" s="466"/>
    </row>
    <row r="82" spans="1:34" s="498" customFormat="1" ht="51" hidden="1" x14ac:dyDescent="0.25">
      <c r="A82" s="962"/>
      <c r="B82" s="881" t="s">
        <v>1669</v>
      </c>
      <c r="C82" s="503"/>
      <c r="D82" s="962"/>
      <c r="E82" s="962" t="s">
        <v>227</v>
      </c>
      <c r="F82" s="494">
        <v>58</v>
      </c>
      <c r="G82" s="495">
        <v>0.1</v>
      </c>
      <c r="H82" s="1245">
        <f>F82*G82</f>
        <v>5.8</v>
      </c>
      <c r="I82" s="496">
        <v>58</v>
      </c>
      <c r="J82" s="862">
        <v>0.05</v>
      </c>
      <c r="K82" s="496">
        <f>I82*J82</f>
        <v>2.9</v>
      </c>
      <c r="L82" s="496">
        <v>58</v>
      </c>
      <c r="M82" s="862">
        <v>0.05</v>
      </c>
      <c r="N82" s="496">
        <f>L82*M82</f>
        <v>2.9</v>
      </c>
      <c r="O82" s="496">
        <v>30</v>
      </c>
      <c r="P82" s="857">
        <v>0.2</v>
      </c>
      <c r="Q82" s="496">
        <f>O82*P82</f>
        <v>6</v>
      </c>
      <c r="R82" s="496">
        <f t="shared" si="9"/>
        <v>6</v>
      </c>
      <c r="S82" s="496"/>
      <c r="T82" s="496">
        <v>30</v>
      </c>
      <c r="U82" s="857">
        <v>0.2</v>
      </c>
      <c r="V82" s="496">
        <f>T82*U82</f>
        <v>6</v>
      </c>
      <c r="W82" s="496">
        <v>30</v>
      </c>
      <c r="X82" s="857">
        <v>0.2</v>
      </c>
      <c r="Y82" s="496">
        <f>W82*X82</f>
        <v>6</v>
      </c>
      <c r="Z82" s="1245">
        <f t="shared" si="5"/>
        <v>3.1</v>
      </c>
      <c r="AA82" s="1245">
        <f t="shared" si="6"/>
        <v>206.9</v>
      </c>
      <c r="AB82" s="901" t="s">
        <v>1732</v>
      </c>
      <c r="AC82" s="491" t="s">
        <v>1665</v>
      </c>
      <c r="AF82" s="466"/>
      <c r="AG82" s="465"/>
      <c r="AH82" s="465"/>
    </row>
    <row r="83" spans="1:34" s="492" customFormat="1" ht="14.25" hidden="1" x14ac:dyDescent="0.2">
      <c r="A83" s="1240"/>
      <c r="B83" s="876" t="s">
        <v>1733</v>
      </c>
      <c r="C83" s="501" t="s">
        <v>797</v>
      </c>
      <c r="D83" s="1240"/>
      <c r="E83" s="1240"/>
      <c r="F83" s="530"/>
      <c r="G83" s="531"/>
      <c r="H83" s="493">
        <f>H84</f>
        <v>1.2</v>
      </c>
      <c r="I83" s="532"/>
      <c r="J83" s="532"/>
      <c r="K83" s="532">
        <f>K84</f>
        <v>0.6</v>
      </c>
      <c r="L83" s="532"/>
      <c r="M83" s="532"/>
      <c r="N83" s="532">
        <f>N84</f>
        <v>0.6</v>
      </c>
      <c r="O83" s="532"/>
      <c r="P83" s="532"/>
      <c r="Q83" s="532">
        <f>Q84</f>
        <v>1</v>
      </c>
      <c r="R83" s="532">
        <f t="shared" si="9"/>
        <v>1</v>
      </c>
      <c r="S83" s="532"/>
      <c r="T83" s="532"/>
      <c r="U83" s="532"/>
      <c r="V83" s="532">
        <f>V84</f>
        <v>1</v>
      </c>
      <c r="W83" s="532"/>
      <c r="X83" s="532"/>
      <c r="Y83" s="532">
        <f>Y84</f>
        <v>1</v>
      </c>
      <c r="Z83" s="493">
        <f t="shared" si="5"/>
        <v>0.4</v>
      </c>
      <c r="AA83" s="493">
        <f t="shared" si="6"/>
        <v>166.7</v>
      </c>
      <c r="AB83" s="893"/>
      <c r="AC83" s="491" t="s">
        <v>1665</v>
      </c>
      <c r="AF83" s="466"/>
      <c r="AG83" s="466"/>
      <c r="AH83" s="466"/>
    </row>
    <row r="84" spans="1:34" s="498" customFormat="1" ht="26.25" hidden="1" x14ac:dyDescent="0.25">
      <c r="A84" s="962"/>
      <c r="B84" s="502" t="s">
        <v>1734</v>
      </c>
      <c r="C84" s="503"/>
      <c r="D84" s="962"/>
      <c r="E84" s="962" t="s">
        <v>227</v>
      </c>
      <c r="F84" s="494">
        <v>12</v>
      </c>
      <c r="G84" s="495">
        <v>0.1</v>
      </c>
      <c r="H84" s="1245">
        <f>F84*G84</f>
        <v>1.2</v>
      </c>
      <c r="I84" s="496">
        <v>6</v>
      </c>
      <c r="J84" s="862">
        <v>0.1</v>
      </c>
      <c r="K84" s="496">
        <f>I84*J84</f>
        <v>0.6</v>
      </c>
      <c r="L84" s="496">
        <v>6</v>
      </c>
      <c r="M84" s="862">
        <v>0.1</v>
      </c>
      <c r="N84" s="496">
        <f>L84*M84</f>
        <v>0.6</v>
      </c>
      <c r="O84" s="496">
        <v>10</v>
      </c>
      <c r="P84" s="857">
        <v>0.1</v>
      </c>
      <c r="Q84" s="496">
        <f>O84*P84</f>
        <v>1</v>
      </c>
      <c r="R84" s="496">
        <f t="shared" si="9"/>
        <v>1</v>
      </c>
      <c r="S84" s="496"/>
      <c r="T84" s="496">
        <v>10</v>
      </c>
      <c r="U84" s="857">
        <v>0.1</v>
      </c>
      <c r="V84" s="496">
        <f>T84*U84</f>
        <v>1</v>
      </c>
      <c r="W84" s="496">
        <v>10</v>
      </c>
      <c r="X84" s="857">
        <v>0.1</v>
      </c>
      <c r="Y84" s="496">
        <f>W84*X84</f>
        <v>1</v>
      </c>
      <c r="Z84" s="1245">
        <f t="shared" si="5"/>
        <v>0.4</v>
      </c>
      <c r="AA84" s="1245">
        <f t="shared" si="6"/>
        <v>166.7</v>
      </c>
      <c r="AB84" s="893" t="s">
        <v>1735</v>
      </c>
      <c r="AC84" s="491" t="s">
        <v>1665</v>
      </c>
      <c r="AF84" s="466"/>
      <c r="AG84" s="465"/>
      <c r="AH84" s="465"/>
    </row>
    <row r="85" spans="1:34" s="871" customFormat="1" ht="25.5" hidden="1" x14ac:dyDescent="0.2">
      <c r="A85" s="869"/>
      <c r="B85" s="875" t="s">
        <v>1736</v>
      </c>
      <c r="C85" s="868"/>
      <c r="D85" s="869"/>
      <c r="E85" s="869"/>
      <c r="F85" s="879"/>
      <c r="G85" s="880"/>
      <c r="H85" s="681">
        <f>H86+H91+H96+H95+H97+H98</f>
        <v>162.19999999999999</v>
      </c>
      <c r="I85" s="681"/>
      <c r="J85" s="1843"/>
      <c r="K85" s="681">
        <f>K86+K91+K96+K95+K97+K98</f>
        <v>138.5</v>
      </c>
      <c r="L85" s="681"/>
      <c r="M85" s="1843"/>
      <c r="N85" s="681">
        <f>N86+N91+N96+N95+N97+N98</f>
        <v>153.5</v>
      </c>
      <c r="O85" s="681"/>
      <c r="P85" s="681"/>
      <c r="Q85" s="681">
        <f>Q86+Q91+Q96+Q95+Q97+Q98</f>
        <v>187.1</v>
      </c>
      <c r="R85" s="681">
        <f>R86+R91+R96+R95+R97+R98</f>
        <v>141.5</v>
      </c>
      <c r="S85" s="681">
        <f>S86+S91+S96+S95+S97+S98</f>
        <v>45.6</v>
      </c>
      <c r="T85" s="681"/>
      <c r="U85" s="681"/>
      <c r="V85" s="681">
        <f>V86+V91+V96+V95+V97+V98</f>
        <v>146.30000000000001</v>
      </c>
      <c r="W85" s="681"/>
      <c r="X85" s="681"/>
      <c r="Y85" s="681">
        <f>Y86+Y91+Y96+Y95+Y97+Y98</f>
        <v>146.30000000000001</v>
      </c>
      <c r="Z85" s="681">
        <f t="shared" si="5"/>
        <v>48.6</v>
      </c>
      <c r="AA85" s="681">
        <f t="shared" si="6"/>
        <v>135.1</v>
      </c>
      <c r="AB85" s="1842"/>
      <c r="AC85" s="491" t="s">
        <v>1665</v>
      </c>
      <c r="AF85" s="872"/>
      <c r="AG85" s="872"/>
      <c r="AH85" s="872"/>
    </row>
    <row r="86" spans="1:34" s="492" customFormat="1" ht="14.25" hidden="1" x14ac:dyDescent="0.2">
      <c r="A86" s="1240"/>
      <c r="B86" s="876" t="s">
        <v>1233</v>
      </c>
      <c r="C86" s="501" t="s">
        <v>1230</v>
      </c>
      <c r="D86" s="1240"/>
      <c r="E86" s="1240"/>
      <c r="F86" s="530"/>
      <c r="G86" s="531"/>
      <c r="H86" s="542">
        <f>SUM(H87:H90)</f>
        <v>10.3</v>
      </c>
      <c r="I86" s="532"/>
      <c r="J86" s="532"/>
      <c r="K86" s="533">
        <f>SUM(K87:K90)</f>
        <v>10.3</v>
      </c>
      <c r="L86" s="532"/>
      <c r="M86" s="532"/>
      <c r="N86" s="533">
        <f>SUM(N87:N90)</f>
        <v>10.3</v>
      </c>
      <c r="O86" s="532"/>
      <c r="P86" s="532"/>
      <c r="Q86" s="533">
        <f>SUM(Q87:Q90)</f>
        <v>17.7</v>
      </c>
      <c r="R86" s="533">
        <f t="shared" ref="R86:S86" si="10">SUM(R87:R90)</f>
        <v>17.7</v>
      </c>
      <c r="S86" s="533">
        <f t="shared" si="10"/>
        <v>0</v>
      </c>
      <c r="T86" s="532"/>
      <c r="U86" s="532"/>
      <c r="V86" s="533">
        <f>SUM(V87:V90)</f>
        <v>16.100000000000001</v>
      </c>
      <c r="W86" s="532"/>
      <c r="X86" s="532"/>
      <c r="Y86" s="533">
        <f>SUM(Y87:Y90)</f>
        <v>16.100000000000001</v>
      </c>
      <c r="Z86" s="542">
        <f t="shared" si="5"/>
        <v>7.4</v>
      </c>
      <c r="AA86" s="542">
        <f t="shared" si="6"/>
        <v>171.8</v>
      </c>
      <c r="AB86" s="893"/>
      <c r="AC86" s="491" t="s">
        <v>1665</v>
      </c>
      <c r="AF86" s="466"/>
      <c r="AG86" s="466"/>
      <c r="AH86" s="466"/>
    </row>
    <row r="87" spans="1:34" s="498" customFormat="1" hidden="1" x14ac:dyDescent="0.25">
      <c r="A87" s="962"/>
      <c r="B87" s="881" t="s">
        <v>1737</v>
      </c>
      <c r="C87" s="503"/>
      <c r="D87" s="962"/>
      <c r="E87" s="962" t="s">
        <v>318</v>
      </c>
      <c r="F87" s="494">
        <v>1</v>
      </c>
      <c r="G87" s="495">
        <v>3.5</v>
      </c>
      <c r="H87" s="559">
        <f>F87*G87</f>
        <v>3.5</v>
      </c>
      <c r="I87" s="496">
        <v>1</v>
      </c>
      <c r="J87" s="496">
        <v>3.5</v>
      </c>
      <c r="K87" s="857">
        <f>I87*J87</f>
        <v>3.5</v>
      </c>
      <c r="L87" s="496">
        <v>1</v>
      </c>
      <c r="M87" s="496">
        <v>3.5</v>
      </c>
      <c r="N87" s="857">
        <f>L87*M87</f>
        <v>3.5</v>
      </c>
      <c r="O87" s="496">
        <v>1</v>
      </c>
      <c r="P87" s="496">
        <v>3.5</v>
      </c>
      <c r="Q87" s="857">
        <f>O87*P87</f>
        <v>3.5</v>
      </c>
      <c r="R87" s="857">
        <f>Q87</f>
        <v>3.5</v>
      </c>
      <c r="S87" s="857"/>
      <c r="T87" s="496">
        <v>1</v>
      </c>
      <c r="U87" s="496">
        <v>3.5</v>
      </c>
      <c r="V87" s="857">
        <f>T87*U87</f>
        <v>3.5</v>
      </c>
      <c r="W87" s="496">
        <v>1</v>
      </c>
      <c r="X87" s="496">
        <v>3.5</v>
      </c>
      <c r="Y87" s="857">
        <f>W87*X87</f>
        <v>3.5</v>
      </c>
      <c r="Z87" s="559">
        <f t="shared" si="5"/>
        <v>0</v>
      </c>
      <c r="AA87" s="559">
        <f t="shared" si="6"/>
        <v>100</v>
      </c>
      <c r="AB87" s="893"/>
      <c r="AC87" s="491" t="s">
        <v>1665</v>
      </c>
      <c r="AF87" s="466"/>
      <c r="AG87" s="465"/>
      <c r="AH87" s="465"/>
    </row>
    <row r="88" spans="1:34" s="498" customFormat="1" ht="51.75" hidden="1" x14ac:dyDescent="0.25">
      <c r="A88" s="962"/>
      <c r="B88" s="881" t="s">
        <v>1738</v>
      </c>
      <c r="C88" s="503"/>
      <c r="D88" s="962"/>
      <c r="E88" s="962" t="s">
        <v>318</v>
      </c>
      <c r="F88" s="494"/>
      <c r="G88" s="495"/>
      <c r="H88" s="559"/>
      <c r="I88" s="496"/>
      <c r="J88" s="496"/>
      <c r="K88" s="857"/>
      <c r="L88" s="496"/>
      <c r="M88" s="496"/>
      <c r="N88" s="857"/>
      <c r="O88" s="496">
        <v>1</v>
      </c>
      <c r="P88" s="496">
        <v>5.8</v>
      </c>
      <c r="Q88" s="857">
        <f>O88*P88</f>
        <v>5.8</v>
      </c>
      <c r="R88" s="857">
        <f>Q88</f>
        <v>5.8</v>
      </c>
      <c r="S88" s="857"/>
      <c r="T88" s="496">
        <v>1</v>
      </c>
      <c r="U88" s="496">
        <v>4.5999999999999996</v>
      </c>
      <c r="V88" s="857">
        <f>T88*U88</f>
        <v>4.5999999999999996</v>
      </c>
      <c r="W88" s="496">
        <v>1</v>
      </c>
      <c r="X88" s="496">
        <v>4.5999999999999996</v>
      </c>
      <c r="Y88" s="857">
        <f>W88*X88</f>
        <v>4.5999999999999996</v>
      </c>
      <c r="Z88" s="559">
        <f t="shared" si="5"/>
        <v>5.8</v>
      </c>
      <c r="AA88" s="559" t="str">
        <f t="shared" si="6"/>
        <v>-</v>
      </c>
      <c r="AB88" s="893" t="s">
        <v>1739</v>
      </c>
      <c r="AC88" s="491" t="s">
        <v>1665</v>
      </c>
      <c r="AF88" s="466"/>
      <c r="AG88" s="465"/>
      <c r="AH88" s="465"/>
    </row>
    <row r="89" spans="1:34" s="498" customFormat="1" hidden="1" x14ac:dyDescent="0.25">
      <c r="A89" s="962"/>
      <c r="B89" s="881" t="s">
        <v>1740</v>
      </c>
      <c r="C89" s="503"/>
      <c r="D89" s="962"/>
      <c r="E89" s="962" t="s">
        <v>318</v>
      </c>
      <c r="F89" s="494">
        <v>2</v>
      </c>
      <c r="G89" s="495">
        <v>2.2999999999999998</v>
      </c>
      <c r="H89" s="559">
        <f>F89*G89</f>
        <v>4.5999999999999996</v>
      </c>
      <c r="I89" s="496">
        <v>2</v>
      </c>
      <c r="J89" s="496">
        <v>2.2999999999999998</v>
      </c>
      <c r="K89" s="857">
        <f>I89*J89</f>
        <v>4.5999999999999996</v>
      </c>
      <c r="L89" s="496">
        <v>2</v>
      </c>
      <c r="M89" s="496">
        <v>2.2999999999999998</v>
      </c>
      <c r="N89" s="857">
        <f>L89*M89</f>
        <v>4.5999999999999996</v>
      </c>
      <c r="O89" s="496">
        <v>2</v>
      </c>
      <c r="P89" s="496">
        <v>2.2999999999999998</v>
      </c>
      <c r="Q89" s="857">
        <f>O89*P89</f>
        <v>4.5999999999999996</v>
      </c>
      <c r="R89" s="857">
        <f>Q89</f>
        <v>4.5999999999999996</v>
      </c>
      <c r="S89" s="857"/>
      <c r="T89" s="496">
        <v>2</v>
      </c>
      <c r="U89" s="496">
        <v>2.2999999999999998</v>
      </c>
      <c r="V89" s="857">
        <f>T89*U89</f>
        <v>4.5999999999999996</v>
      </c>
      <c r="W89" s="496">
        <v>2</v>
      </c>
      <c r="X89" s="496">
        <v>2.2999999999999998</v>
      </c>
      <c r="Y89" s="857">
        <f>W89*X89</f>
        <v>4.5999999999999996</v>
      </c>
      <c r="Z89" s="559">
        <f t="shared" si="5"/>
        <v>0</v>
      </c>
      <c r="AA89" s="559">
        <f t="shared" si="6"/>
        <v>100</v>
      </c>
      <c r="AB89" s="893"/>
      <c r="AC89" s="491" t="s">
        <v>1665</v>
      </c>
      <c r="AF89" s="466"/>
      <c r="AG89" s="465"/>
      <c r="AH89" s="465"/>
    </row>
    <row r="90" spans="1:34" s="498" customFormat="1" hidden="1" x14ac:dyDescent="0.25">
      <c r="A90" s="962"/>
      <c r="B90" s="881" t="s">
        <v>1729</v>
      </c>
      <c r="C90" s="503"/>
      <c r="D90" s="962"/>
      <c r="E90" s="962"/>
      <c r="F90" s="494"/>
      <c r="G90" s="495"/>
      <c r="H90" s="1245">
        <f>SUM(H87:H89)*0.271</f>
        <v>2.2000000000000002</v>
      </c>
      <c r="I90" s="496"/>
      <c r="J90" s="496"/>
      <c r="K90" s="496">
        <f>SUM(K87:K89)*0.271</f>
        <v>2.2000000000000002</v>
      </c>
      <c r="L90" s="496"/>
      <c r="M90" s="496"/>
      <c r="N90" s="496">
        <f>SUM(N87:N89)*0.271</f>
        <v>2.2000000000000002</v>
      </c>
      <c r="O90" s="496"/>
      <c r="P90" s="496"/>
      <c r="Q90" s="496">
        <f>SUM(Q87:Q89)*0.271</f>
        <v>3.8</v>
      </c>
      <c r="R90" s="496">
        <f t="shared" ref="R90:S90" si="11">SUM(R87:R89)*0.271</f>
        <v>3.8</v>
      </c>
      <c r="S90" s="496">
        <f t="shared" si="11"/>
        <v>0</v>
      </c>
      <c r="T90" s="496"/>
      <c r="U90" s="496"/>
      <c r="V90" s="496">
        <f>SUM(V87:V89)*0.271</f>
        <v>3.4</v>
      </c>
      <c r="W90" s="496"/>
      <c r="X90" s="496"/>
      <c r="Y90" s="496">
        <f>SUM(Y87:Y89)*0.271</f>
        <v>3.4</v>
      </c>
      <c r="Z90" s="1245">
        <f t="shared" si="5"/>
        <v>1.6</v>
      </c>
      <c r="AA90" s="1245">
        <f t="shared" si="6"/>
        <v>172.7</v>
      </c>
      <c r="AB90" s="921"/>
      <c r="AC90" s="491" t="s">
        <v>1665</v>
      </c>
      <c r="AF90" s="466"/>
      <c r="AG90" s="465"/>
      <c r="AH90" s="465"/>
    </row>
    <row r="91" spans="1:34" s="492" customFormat="1" ht="14.25" hidden="1" x14ac:dyDescent="0.2">
      <c r="A91" s="1240"/>
      <c r="B91" s="876" t="s">
        <v>1741</v>
      </c>
      <c r="C91" s="501" t="s">
        <v>797</v>
      </c>
      <c r="D91" s="1240"/>
      <c r="E91" s="1240"/>
      <c r="F91" s="530"/>
      <c r="G91" s="531"/>
      <c r="H91" s="542">
        <f>SUM(H92:H94)</f>
        <v>4.4000000000000004</v>
      </c>
      <c r="I91" s="532"/>
      <c r="J91" s="532"/>
      <c r="K91" s="533">
        <f>SUM(K92:K94)</f>
        <v>1.2</v>
      </c>
      <c r="L91" s="532"/>
      <c r="M91" s="532"/>
      <c r="N91" s="533">
        <f>SUM(N92:N94)</f>
        <v>1.2</v>
      </c>
      <c r="O91" s="532"/>
      <c r="P91" s="532"/>
      <c r="Q91" s="533">
        <f>SUM(Q92:Q94)</f>
        <v>22.2</v>
      </c>
      <c r="R91" s="533">
        <f>SUM(R92:R94)</f>
        <v>0</v>
      </c>
      <c r="S91" s="533">
        <f>SUM(S92:S94)</f>
        <v>22.2</v>
      </c>
      <c r="T91" s="532"/>
      <c r="U91" s="532"/>
      <c r="V91" s="533">
        <f>SUM(V92:V94)</f>
        <v>4.2</v>
      </c>
      <c r="W91" s="532"/>
      <c r="X91" s="532"/>
      <c r="Y91" s="533">
        <f>SUM(Y92:Y94)</f>
        <v>4.2</v>
      </c>
      <c r="Z91" s="542">
        <f t="shared" si="5"/>
        <v>21</v>
      </c>
      <c r="AA91" s="542">
        <f t="shared" si="6"/>
        <v>1850</v>
      </c>
      <c r="AB91" s="921"/>
      <c r="AC91" s="491" t="s">
        <v>1665</v>
      </c>
      <c r="AF91" s="466"/>
      <c r="AG91" s="466"/>
      <c r="AH91" s="466"/>
    </row>
    <row r="92" spans="1:34" s="498" customFormat="1" hidden="1" x14ac:dyDescent="0.25">
      <c r="A92" s="962"/>
      <c r="B92" s="502" t="s">
        <v>1742</v>
      </c>
      <c r="C92" s="499"/>
      <c r="D92" s="962"/>
      <c r="E92" s="962" t="s">
        <v>227</v>
      </c>
      <c r="F92" s="494">
        <v>26</v>
      </c>
      <c r="G92" s="495">
        <v>0.1</v>
      </c>
      <c r="H92" s="559">
        <f>F92*G92</f>
        <v>2.6</v>
      </c>
      <c r="I92" s="496">
        <v>12</v>
      </c>
      <c r="J92" s="862">
        <v>0.1</v>
      </c>
      <c r="K92" s="857">
        <f>I92*J92</f>
        <v>1.2</v>
      </c>
      <c r="L92" s="496">
        <v>12</v>
      </c>
      <c r="M92" s="862">
        <v>0.1</v>
      </c>
      <c r="N92" s="857">
        <f>L92*M92</f>
        <v>1.2</v>
      </c>
      <c r="O92" s="496">
        <v>10</v>
      </c>
      <c r="P92" s="857">
        <v>0.1</v>
      </c>
      <c r="Q92" s="857">
        <f>O92*P92</f>
        <v>1</v>
      </c>
      <c r="R92" s="857"/>
      <c r="S92" s="857">
        <v>1</v>
      </c>
      <c r="T92" s="496">
        <v>10</v>
      </c>
      <c r="U92" s="857">
        <v>0.1</v>
      </c>
      <c r="V92" s="857">
        <f t="shared" ref="V92:V97" si="12">T92*U92</f>
        <v>1</v>
      </c>
      <c r="W92" s="496">
        <v>10</v>
      </c>
      <c r="X92" s="857">
        <v>0.1</v>
      </c>
      <c r="Y92" s="857">
        <f t="shared" ref="Y92:Y97" si="13">W92*X92</f>
        <v>1</v>
      </c>
      <c r="Z92" s="559">
        <f t="shared" si="5"/>
        <v>-0.2</v>
      </c>
      <c r="AA92" s="559">
        <f t="shared" si="6"/>
        <v>83.3</v>
      </c>
      <c r="AB92" s="893"/>
      <c r="AC92" s="491" t="s">
        <v>1665</v>
      </c>
      <c r="AF92" s="466"/>
      <c r="AG92" s="465"/>
      <c r="AH92" s="465"/>
    </row>
    <row r="93" spans="1:34" s="498" customFormat="1" ht="39" hidden="1" x14ac:dyDescent="0.25">
      <c r="A93" s="962"/>
      <c r="B93" s="502" t="s">
        <v>1743</v>
      </c>
      <c r="C93" s="499"/>
      <c r="D93" s="962"/>
      <c r="E93" s="962" t="s">
        <v>1238</v>
      </c>
      <c r="F93" s="494"/>
      <c r="G93" s="495"/>
      <c r="H93" s="559"/>
      <c r="I93" s="496"/>
      <c r="J93" s="862"/>
      <c r="K93" s="857"/>
      <c r="L93" s="496"/>
      <c r="M93" s="862"/>
      <c r="N93" s="857"/>
      <c r="O93" s="496">
        <v>20</v>
      </c>
      <c r="P93" s="857">
        <v>0.9</v>
      </c>
      <c r="Q93" s="857">
        <f>O93*P93</f>
        <v>18</v>
      </c>
      <c r="R93" s="857"/>
      <c r="S93" s="857">
        <f>Q93-R93</f>
        <v>18</v>
      </c>
      <c r="T93" s="496"/>
      <c r="U93" s="857"/>
      <c r="V93" s="857">
        <f t="shared" si="12"/>
        <v>0</v>
      </c>
      <c r="W93" s="496"/>
      <c r="X93" s="857"/>
      <c r="Y93" s="857">
        <f t="shared" si="13"/>
        <v>0</v>
      </c>
      <c r="Z93" s="559">
        <f t="shared" si="5"/>
        <v>18</v>
      </c>
      <c r="AA93" s="559" t="str">
        <f t="shared" si="6"/>
        <v>-</v>
      </c>
      <c r="AB93" s="1844" t="s">
        <v>1744</v>
      </c>
      <c r="AC93" s="491" t="s">
        <v>1665</v>
      </c>
      <c r="AF93" s="466"/>
      <c r="AG93" s="465"/>
      <c r="AH93" s="465"/>
    </row>
    <row r="94" spans="1:34" s="498" customFormat="1" hidden="1" x14ac:dyDescent="0.25">
      <c r="A94" s="962"/>
      <c r="B94" s="878" t="s">
        <v>1692</v>
      </c>
      <c r="C94" s="499"/>
      <c r="D94" s="962"/>
      <c r="E94" s="962" t="s">
        <v>227</v>
      </c>
      <c r="F94" s="494">
        <v>6</v>
      </c>
      <c r="G94" s="495">
        <v>0.3</v>
      </c>
      <c r="H94" s="559">
        <f>F94*G94</f>
        <v>1.8</v>
      </c>
      <c r="I94" s="496"/>
      <c r="J94" s="496"/>
      <c r="K94" s="857">
        <f>I94*J94</f>
        <v>0</v>
      </c>
      <c r="L94" s="496"/>
      <c r="M94" s="496"/>
      <c r="N94" s="857">
        <f>L94*M94</f>
        <v>0</v>
      </c>
      <c r="O94" s="496">
        <v>8</v>
      </c>
      <c r="P94" s="496">
        <v>0.4</v>
      </c>
      <c r="Q94" s="857">
        <f>O94*P94</f>
        <v>3.2</v>
      </c>
      <c r="R94" s="857"/>
      <c r="S94" s="857">
        <f>Q94</f>
        <v>3.2</v>
      </c>
      <c r="T94" s="496">
        <v>8</v>
      </c>
      <c r="U94" s="496">
        <v>0.4</v>
      </c>
      <c r="V94" s="857">
        <f t="shared" si="12"/>
        <v>3.2</v>
      </c>
      <c r="W94" s="496">
        <v>8</v>
      </c>
      <c r="X94" s="496">
        <v>0.4</v>
      </c>
      <c r="Y94" s="857">
        <f t="shared" si="13"/>
        <v>3.2</v>
      </c>
      <c r="Z94" s="559">
        <f t="shared" si="5"/>
        <v>3.2</v>
      </c>
      <c r="AA94" s="559" t="str">
        <f t="shared" si="6"/>
        <v>-</v>
      </c>
      <c r="AB94" s="1845"/>
      <c r="AC94" s="491" t="s">
        <v>1665</v>
      </c>
      <c r="AF94" s="466"/>
      <c r="AG94" s="465"/>
      <c r="AH94" s="465"/>
    </row>
    <row r="95" spans="1:34" s="492" customFormat="1" ht="38.25" x14ac:dyDescent="0.2">
      <c r="A95" s="1240"/>
      <c r="B95" s="877" t="s">
        <v>1745</v>
      </c>
      <c r="C95" s="508" t="s">
        <v>796</v>
      </c>
      <c r="D95" s="1240"/>
      <c r="E95" s="1240" t="s">
        <v>1235</v>
      </c>
      <c r="F95" s="530">
        <v>12</v>
      </c>
      <c r="G95" s="1846">
        <v>0.5</v>
      </c>
      <c r="H95" s="542">
        <f>F95*G95</f>
        <v>6</v>
      </c>
      <c r="I95" s="532">
        <v>15</v>
      </c>
      <c r="J95" s="1847">
        <v>0.4</v>
      </c>
      <c r="K95" s="533">
        <f>I95*J95</f>
        <v>6</v>
      </c>
      <c r="L95" s="532">
        <v>15</v>
      </c>
      <c r="M95" s="1847">
        <v>0.4</v>
      </c>
      <c r="N95" s="533">
        <f>L95*M95</f>
        <v>6</v>
      </c>
      <c r="O95" s="532"/>
      <c r="P95" s="1847"/>
      <c r="Q95" s="533"/>
      <c r="R95" s="533"/>
      <c r="S95" s="533"/>
      <c r="T95" s="532"/>
      <c r="U95" s="1847"/>
      <c r="V95" s="533"/>
      <c r="W95" s="532"/>
      <c r="X95" s="1847"/>
      <c r="Y95" s="533"/>
      <c r="Z95" s="542">
        <f t="shared" si="5"/>
        <v>-6</v>
      </c>
      <c r="AA95" s="542">
        <f t="shared" si="6"/>
        <v>0</v>
      </c>
      <c r="AB95" s="893" t="s">
        <v>1746</v>
      </c>
      <c r="AC95" s="491" t="s">
        <v>1665</v>
      </c>
      <c r="AF95" s="466"/>
      <c r="AG95" s="466"/>
      <c r="AH95" s="466"/>
    </row>
    <row r="96" spans="1:34" s="492" customFormat="1" ht="14.25" hidden="1" x14ac:dyDescent="0.2">
      <c r="A96" s="1240"/>
      <c r="B96" s="876" t="s">
        <v>1246</v>
      </c>
      <c r="C96" s="501" t="s">
        <v>1237</v>
      </c>
      <c r="D96" s="1240"/>
      <c r="E96" s="1240" t="s">
        <v>664</v>
      </c>
      <c r="F96" s="1848">
        <v>2</v>
      </c>
      <c r="G96" s="1830">
        <v>2.5</v>
      </c>
      <c r="H96" s="542">
        <f>F96*G96</f>
        <v>5</v>
      </c>
      <c r="I96" s="1849">
        <v>2</v>
      </c>
      <c r="J96" s="1831">
        <v>2.5</v>
      </c>
      <c r="K96" s="533">
        <f>I96*J96</f>
        <v>5</v>
      </c>
      <c r="L96" s="1849">
        <v>2</v>
      </c>
      <c r="M96" s="1831">
        <v>2.5</v>
      </c>
      <c r="N96" s="533">
        <f>L96*M96</f>
        <v>5</v>
      </c>
      <c r="O96" s="1849">
        <v>2</v>
      </c>
      <c r="P96" s="1831">
        <v>2.5</v>
      </c>
      <c r="Q96" s="533">
        <f>O96*P96</f>
        <v>5</v>
      </c>
      <c r="R96" s="533">
        <f>Q96</f>
        <v>5</v>
      </c>
      <c r="S96" s="533"/>
      <c r="T96" s="1849">
        <v>2</v>
      </c>
      <c r="U96" s="1831">
        <v>2.5</v>
      </c>
      <c r="V96" s="533">
        <f t="shared" si="12"/>
        <v>5</v>
      </c>
      <c r="W96" s="1849">
        <v>2</v>
      </c>
      <c r="X96" s="1831">
        <v>2.5</v>
      </c>
      <c r="Y96" s="533">
        <f t="shared" si="13"/>
        <v>5</v>
      </c>
      <c r="Z96" s="542">
        <f t="shared" si="5"/>
        <v>0</v>
      </c>
      <c r="AA96" s="542">
        <f t="shared" si="6"/>
        <v>100</v>
      </c>
      <c r="AB96" s="893"/>
      <c r="AC96" s="491" t="s">
        <v>1665</v>
      </c>
      <c r="AF96" s="466"/>
      <c r="AG96" s="466"/>
      <c r="AH96" s="466"/>
    </row>
    <row r="97" spans="1:34" s="492" customFormat="1" ht="14.25" hidden="1" x14ac:dyDescent="0.2">
      <c r="A97" s="1240"/>
      <c r="B97" s="876" t="s">
        <v>1367</v>
      </c>
      <c r="C97" s="501" t="s">
        <v>797</v>
      </c>
      <c r="D97" s="1240"/>
      <c r="E97" s="1240" t="s">
        <v>227</v>
      </c>
      <c r="F97" s="1848">
        <v>3</v>
      </c>
      <c r="G97" s="1830">
        <v>35</v>
      </c>
      <c r="H97" s="542">
        <f>F97*G97</f>
        <v>105</v>
      </c>
      <c r="I97" s="1849">
        <v>3</v>
      </c>
      <c r="J97" s="1831">
        <v>35</v>
      </c>
      <c r="K97" s="533">
        <f>I97*J97</f>
        <v>105</v>
      </c>
      <c r="L97" s="1849">
        <v>3</v>
      </c>
      <c r="M97" s="1831">
        <v>35</v>
      </c>
      <c r="N97" s="533">
        <f>L97*M97</f>
        <v>105</v>
      </c>
      <c r="O97" s="1849">
        <v>3</v>
      </c>
      <c r="P97" s="1831">
        <v>35</v>
      </c>
      <c r="Q97" s="533">
        <f>O97*P97</f>
        <v>105</v>
      </c>
      <c r="R97" s="533">
        <f>Q97</f>
        <v>105</v>
      </c>
      <c r="S97" s="533"/>
      <c r="T97" s="1849">
        <v>3</v>
      </c>
      <c r="U97" s="1831">
        <v>35</v>
      </c>
      <c r="V97" s="533">
        <f t="shared" si="12"/>
        <v>105</v>
      </c>
      <c r="W97" s="1849">
        <v>3</v>
      </c>
      <c r="X97" s="1831">
        <v>35</v>
      </c>
      <c r="Y97" s="533">
        <f t="shared" si="13"/>
        <v>105</v>
      </c>
      <c r="Z97" s="542">
        <f t="shared" si="5"/>
        <v>0</v>
      </c>
      <c r="AA97" s="542">
        <f t="shared" si="6"/>
        <v>100</v>
      </c>
      <c r="AB97" s="893"/>
      <c r="AC97" s="491" t="s">
        <v>1665</v>
      </c>
      <c r="AF97" s="466"/>
      <c r="AG97" s="466"/>
      <c r="AH97" s="466"/>
    </row>
    <row r="98" spans="1:34" s="492" customFormat="1" ht="25.5" hidden="1" x14ac:dyDescent="0.2">
      <c r="A98" s="1240"/>
      <c r="B98" s="877" t="s">
        <v>1747</v>
      </c>
      <c r="C98" s="508" t="s">
        <v>797</v>
      </c>
      <c r="D98" s="1240"/>
      <c r="E98" s="1240"/>
      <c r="F98" s="1848"/>
      <c r="G98" s="1830"/>
      <c r="H98" s="493">
        <f>H99+H102</f>
        <v>31.5</v>
      </c>
      <c r="I98" s="1849"/>
      <c r="J98" s="1831"/>
      <c r="K98" s="532">
        <f>K99+K102</f>
        <v>11</v>
      </c>
      <c r="L98" s="1849"/>
      <c r="M98" s="1831"/>
      <c r="N98" s="532">
        <f>N99+N102</f>
        <v>26</v>
      </c>
      <c r="O98" s="1849"/>
      <c r="P98" s="1831"/>
      <c r="Q98" s="532">
        <f>SUM(Q99:Q102)</f>
        <v>37.200000000000003</v>
      </c>
      <c r="R98" s="532">
        <f t="shared" ref="R98:S98" si="14">SUM(R99:R102)</f>
        <v>13.8</v>
      </c>
      <c r="S98" s="532">
        <f t="shared" si="14"/>
        <v>23.4</v>
      </c>
      <c r="T98" s="1849"/>
      <c r="U98" s="1831"/>
      <c r="V98" s="532">
        <f>SUM(V99:V102)</f>
        <v>16</v>
      </c>
      <c r="W98" s="1849"/>
      <c r="X98" s="1831"/>
      <c r="Y98" s="532">
        <f>SUM(Y99:Y102)</f>
        <v>16</v>
      </c>
      <c r="Z98" s="493">
        <f t="shared" si="5"/>
        <v>26.2</v>
      </c>
      <c r="AA98" s="493">
        <f t="shared" si="6"/>
        <v>338.2</v>
      </c>
      <c r="AB98" s="921"/>
      <c r="AC98" s="491" t="s">
        <v>1665</v>
      </c>
      <c r="AF98" s="466"/>
      <c r="AG98" s="466"/>
      <c r="AH98" s="466"/>
    </row>
    <row r="99" spans="1:34" s="498" customFormat="1" hidden="1" x14ac:dyDescent="0.25">
      <c r="A99" s="962"/>
      <c r="B99" s="1850" t="s">
        <v>1748</v>
      </c>
      <c r="C99" s="499"/>
      <c r="D99" s="962"/>
      <c r="E99" s="962" t="s">
        <v>227</v>
      </c>
      <c r="F99" s="494">
        <v>210</v>
      </c>
      <c r="G99" s="495">
        <v>0.12</v>
      </c>
      <c r="H99" s="1851">
        <f>F99*G99</f>
        <v>25.2</v>
      </c>
      <c r="I99" s="496">
        <v>220</v>
      </c>
      <c r="J99" s="883">
        <v>0.05</v>
      </c>
      <c r="K99" s="1852">
        <f>I99*J99</f>
        <v>11</v>
      </c>
      <c r="L99" s="496">
        <v>220</v>
      </c>
      <c r="M99" s="883">
        <v>0.05</v>
      </c>
      <c r="N99" s="1852">
        <f>L99*M99</f>
        <v>11</v>
      </c>
      <c r="O99" s="496"/>
      <c r="P99" s="496"/>
      <c r="Q99" s="1852"/>
      <c r="R99" s="1852"/>
      <c r="S99" s="1852"/>
      <c r="T99" s="496"/>
      <c r="U99" s="496"/>
      <c r="V99" s="1852"/>
      <c r="W99" s="496"/>
      <c r="X99" s="496"/>
      <c r="Y99" s="1852"/>
      <c r="Z99" s="1851">
        <f t="shared" si="5"/>
        <v>-11</v>
      </c>
      <c r="AA99" s="1851">
        <f t="shared" si="6"/>
        <v>0</v>
      </c>
      <c r="AB99" s="893"/>
      <c r="AC99" s="491" t="s">
        <v>1665</v>
      </c>
      <c r="AF99" s="466"/>
      <c r="AG99" s="465"/>
      <c r="AH99" s="465"/>
    </row>
    <row r="100" spans="1:34" s="498" customFormat="1" ht="25.5" hidden="1" x14ac:dyDescent="0.25">
      <c r="A100" s="962"/>
      <c r="B100" s="1850" t="s">
        <v>1689</v>
      </c>
      <c r="C100" s="499"/>
      <c r="D100" s="962"/>
      <c r="E100" s="541" t="s">
        <v>1238</v>
      </c>
      <c r="F100" s="494"/>
      <c r="G100" s="495"/>
      <c r="H100" s="1851"/>
      <c r="I100" s="496"/>
      <c r="J100" s="883"/>
      <c r="K100" s="1852"/>
      <c r="L100" s="496"/>
      <c r="M100" s="883"/>
      <c r="N100" s="1852"/>
      <c r="O100" s="496">
        <v>4</v>
      </c>
      <c r="P100" s="496">
        <v>2</v>
      </c>
      <c r="Q100" s="1852">
        <f>O100*P100</f>
        <v>8</v>
      </c>
      <c r="R100" s="1852"/>
      <c r="S100" s="1852">
        <f>Q100</f>
        <v>8</v>
      </c>
      <c r="T100" s="496">
        <v>4</v>
      </c>
      <c r="U100" s="496">
        <v>2</v>
      </c>
      <c r="V100" s="1852"/>
      <c r="W100" s="496">
        <v>4</v>
      </c>
      <c r="X100" s="496">
        <v>2</v>
      </c>
      <c r="Y100" s="1852"/>
      <c r="Z100" s="1851">
        <f t="shared" si="5"/>
        <v>8</v>
      </c>
      <c r="AA100" s="1851" t="str">
        <f t="shared" si="6"/>
        <v>-</v>
      </c>
      <c r="AB100" s="1853" t="s">
        <v>1749</v>
      </c>
      <c r="AC100" s="491" t="s">
        <v>1665</v>
      </c>
      <c r="AF100" s="466"/>
      <c r="AG100" s="465"/>
      <c r="AH100" s="465"/>
    </row>
    <row r="101" spans="1:34" s="498" customFormat="1" hidden="1" x14ac:dyDescent="0.25">
      <c r="A101" s="962"/>
      <c r="B101" s="1850" t="s">
        <v>1750</v>
      </c>
      <c r="C101" s="499"/>
      <c r="D101" s="962"/>
      <c r="E101" s="541" t="s">
        <v>1238</v>
      </c>
      <c r="F101" s="494"/>
      <c r="G101" s="495"/>
      <c r="H101" s="1851"/>
      <c r="I101" s="496"/>
      <c r="J101" s="883"/>
      <c r="K101" s="1852"/>
      <c r="L101" s="496"/>
      <c r="M101" s="883"/>
      <c r="N101" s="1852"/>
      <c r="O101" s="496">
        <v>6</v>
      </c>
      <c r="P101" s="496">
        <v>2.2000000000000002</v>
      </c>
      <c r="Q101" s="1852">
        <f>O101*P101</f>
        <v>13.2</v>
      </c>
      <c r="R101" s="1852"/>
      <c r="S101" s="1852">
        <f>Q101</f>
        <v>13.2</v>
      </c>
      <c r="T101" s="496"/>
      <c r="U101" s="496"/>
      <c r="V101" s="1852"/>
      <c r="W101" s="496"/>
      <c r="X101" s="496"/>
      <c r="Y101" s="1852"/>
      <c r="Z101" s="1851">
        <f t="shared" si="5"/>
        <v>13.2</v>
      </c>
      <c r="AA101" s="1851" t="str">
        <f t="shared" si="6"/>
        <v>-</v>
      </c>
      <c r="AB101" s="1854"/>
      <c r="AC101" s="491" t="s">
        <v>1665</v>
      </c>
      <c r="AF101" s="466"/>
      <c r="AG101" s="465"/>
      <c r="AH101" s="465"/>
    </row>
    <row r="102" spans="1:34" s="498" customFormat="1" ht="64.5" hidden="1" x14ac:dyDescent="0.25">
      <c r="A102" s="962"/>
      <c r="B102" s="1855" t="s">
        <v>1751</v>
      </c>
      <c r="C102" s="499"/>
      <c r="D102" s="962"/>
      <c r="E102" s="962" t="s">
        <v>1240</v>
      </c>
      <c r="F102" s="494">
        <v>1</v>
      </c>
      <c r="G102" s="495">
        <v>6.3</v>
      </c>
      <c r="H102" s="1851">
        <f>F102*G102</f>
        <v>6.3</v>
      </c>
      <c r="I102" s="496"/>
      <c r="J102" s="496"/>
      <c r="K102" s="1852">
        <f>I102*J102</f>
        <v>0</v>
      </c>
      <c r="L102" s="496"/>
      <c r="M102" s="496"/>
      <c r="N102" s="1852">
        <v>15</v>
      </c>
      <c r="O102" s="496">
        <v>2</v>
      </c>
      <c r="P102" s="496">
        <v>8</v>
      </c>
      <c r="Q102" s="1852">
        <f>O102*P102</f>
        <v>16</v>
      </c>
      <c r="R102" s="1852">
        <f>11+2.8</f>
        <v>13.8</v>
      </c>
      <c r="S102" s="1852">
        <f>Q102-R102</f>
        <v>2.2000000000000002</v>
      </c>
      <c r="T102" s="496">
        <v>2</v>
      </c>
      <c r="U102" s="496">
        <v>8</v>
      </c>
      <c r="V102" s="1852">
        <f>T102*U102</f>
        <v>16</v>
      </c>
      <c r="W102" s="496">
        <v>2</v>
      </c>
      <c r="X102" s="496">
        <v>8</v>
      </c>
      <c r="Y102" s="1852">
        <f>W102*X102</f>
        <v>16</v>
      </c>
      <c r="Z102" s="1851">
        <f t="shared" si="5"/>
        <v>16</v>
      </c>
      <c r="AA102" s="1851" t="str">
        <f t="shared" si="6"/>
        <v>-</v>
      </c>
      <c r="AB102" s="893" t="s">
        <v>1752</v>
      </c>
      <c r="AC102" s="491" t="s">
        <v>1665</v>
      </c>
      <c r="AF102" s="466"/>
      <c r="AG102" s="465"/>
      <c r="AH102" s="465"/>
    </row>
    <row r="103" spans="1:34" s="871" customFormat="1" ht="14.25" hidden="1" x14ac:dyDescent="0.2">
      <c r="A103" s="869"/>
      <c r="B103" s="1856" t="s">
        <v>1753</v>
      </c>
      <c r="C103" s="1857"/>
      <c r="D103" s="869"/>
      <c r="E103" s="869"/>
      <c r="F103" s="1858"/>
      <c r="G103" s="1859"/>
      <c r="H103" s="681">
        <f>H104+H114+H115+H118+H119+H120</f>
        <v>59.9</v>
      </c>
      <c r="I103" s="1860"/>
      <c r="J103" s="888"/>
      <c r="K103" s="681">
        <f>K104+K114+K115+K118+K119+K120</f>
        <v>57.7</v>
      </c>
      <c r="L103" s="1860"/>
      <c r="M103" s="888"/>
      <c r="N103" s="681">
        <f>N104+N114+N115+N118+N119+N120</f>
        <v>57.7</v>
      </c>
      <c r="O103" s="1860"/>
      <c r="P103" s="888"/>
      <c r="Q103" s="681">
        <f>Q104+Q114+Q115+Q118+Q119+Q120+Q126+Q125</f>
        <v>168.6</v>
      </c>
      <c r="R103" s="681">
        <f t="shared" ref="R103" si="15">R104+R114+R115+R118+R119+R120+R126+R125</f>
        <v>55.3</v>
      </c>
      <c r="S103" s="681">
        <f>S104+S114+S115+S118+S119+S120+S126+S125</f>
        <v>113.2</v>
      </c>
      <c r="T103" s="1860"/>
      <c r="U103" s="888"/>
      <c r="V103" s="681">
        <f>V104+V114+V115+V118+V119+V120+V126</f>
        <v>81.099999999999994</v>
      </c>
      <c r="W103" s="1860"/>
      <c r="X103" s="888"/>
      <c r="Y103" s="681">
        <f>Y104+Y114+Y115+Y118+Y119+Y120+Y126</f>
        <v>81.099999999999994</v>
      </c>
      <c r="Z103" s="681">
        <f t="shared" si="5"/>
        <v>110.9</v>
      </c>
      <c r="AA103" s="681">
        <f t="shared" si="6"/>
        <v>292.2</v>
      </c>
      <c r="AB103" s="896"/>
      <c r="AC103" s="920" t="s">
        <v>1665</v>
      </c>
      <c r="AF103" s="872"/>
      <c r="AG103" s="872"/>
      <c r="AH103" s="872"/>
    </row>
    <row r="104" spans="1:34" s="492" customFormat="1" ht="14.25" hidden="1" x14ac:dyDescent="0.2">
      <c r="A104" s="1240"/>
      <c r="B104" s="1861" t="s">
        <v>1233</v>
      </c>
      <c r="C104" s="508" t="s">
        <v>1230</v>
      </c>
      <c r="D104" s="1240"/>
      <c r="E104" s="1240"/>
      <c r="F104" s="530"/>
      <c r="G104" s="531"/>
      <c r="H104" s="542">
        <f>SUM(H105:H113)</f>
        <v>26.1</v>
      </c>
      <c r="I104" s="532"/>
      <c r="J104" s="532"/>
      <c r="K104" s="533">
        <f>SUM(K105:K113)</f>
        <v>25.8</v>
      </c>
      <c r="L104" s="532"/>
      <c r="M104" s="532"/>
      <c r="N104" s="533">
        <f>SUM(N105:N113)</f>
        <v>25.8</v>
      </c>
      <c r="O104" s="532"/>
      <c r="P104" s="532"/>
      <c r="Q104" s="533">
        <f>SUM(Q105:Q113)</f>
        <v>47.7</v>
      </c>
      <c r="R104" s="533">
        <f>SUM(R105:R113)</f>
        <v>37.200000000000003</v>
      </c>
      <c r="S104" s="533">
        <f t="shared" ref="S104" si="16">SUM(S105:S113)</f>
        <v>10.4</v>
      </c>
      <c r="T104" s="532"/>
      <c r="U104" s="532"/>
      <c r="V104" s="533">
        <f>SUM(V105:V113)</f>
        <v>43.1</v>
      </c>
      <c r="W104" s="532"/>
      <c r="X104" s="532"/>
      <c r="Y104" s="533">
        <f>SUM(Y105:Y113)</f>
        <v>43.1</v>
      </c>
      <c r="Z104" s="542">
        <f t="shared" si="5"/>
        <v>21.9</v>
      </c>
      <c r="AA104" s="542">
        <f t="shared" si="6"/>
        <v>184.9</v>
      </c>
      <c r="AB104" s="893"/>
      <c r="AC104" s="491" t="s">
        <v>1665</v>
      </c>
      <c r="AF104" s="466"/>
      <c r="AG104" s="466"/>
      <c r="AH104" s="466"/>
    </row>
    <row r="105" spans="1:34" s="498" customFormat="1" hidden="1" x14ac:dyDescent="0.25">
      <c r="A105" s="962"/>
      <c r="B105" s="1862" t="s">
        <v>1737</v>
      </c>
      <c r="C105" s="499"/>
      <c r="D105" s="962"/>
      <c r="E105" s="962" t="s">
        <v>318</v>
      </c>
      <c r="F105" s="494">
        <v>1</v>
      </c>
      <c r="G105" s="495">
        <v>3.5</v>
      </c>
      <c r="H105" s="559">
        <f>F105*G105</f>
        <v>3.5</v>
      </c>
      <c r="I105" s="496">
        <v>1</v>
      </c>
      <c r="J105" s="496">
        <v>3.5</v>
      </c>
      <c r="K105" s="857">
        <f>I105*J105</f>
        <v>3.5</v>
      </c>
      <c r="L105" s="496">
        <v>1</v>
      </c>
      <c r="M105" s="496">
        <v>3.5</v>
      </c>
      <c r="N105" s="857">
        <f>L105*M105</f>
        <v>3.5</v>
      </c>
      <c r="O105" s="496">
        <v>1</v>
      </c>
      <c r="P105" s="496">
        <v>3.5</v>
      </c>
      <c r="Q105" s="857">
        <f t="shared" ref="Q105:Q111" si="17">O105*P105</f>
        <v>3.5</v>
      </c>
      <c r="R105" s="857">
        <f>K105</f>
        <v>3.5</v>
      </c>
      <c r="S105" s="857">
        <f>Q105-R105</f>
        <v>0</v>
      </c>
      <c r="T105" s="496">
        <v>1</v>
      </c>
      <c r="U105" s="496">
        <v>3.5</v>
      </c>
      <c r="V105" s="857">
        <f>T105*U105</f>
        <v>3.5</v>
      </c>
      <c r="W105" s="496">
        <v>1</v>
      </c>
      <c r="X105" s="496">
        <v>3.5</v>
      </c>
      <c r="Y105" s="857">
        <f>W105*X105</f>
        <v>3.5</v>
      </c>
      <c r="Z105" s="559">
        <f t="shared" si="5"/>
        <v>0</v>
      </c>
      <c r="AA105" s="559">
        <f t="shared" si="6"/>
        <v>100</v>
      </c>
      <c r="AB105" s="893"/>
      <c r="AC105" s="491" t="s">
        <v>1665</v>
      </c>
      <c r="AF105" s="466"/>
      <c r="AG105" s="465"/>
      <c r="AH105" s="465"/>
    </row>
    <row r="106" spans="1:34" s="498" customFormat="1" hidden="1" x14ac:dyDescent="0.25">
      <c r="A106" s="962"/>
      <c r="B106" s="1862" t="s">
        <v>1754</v>
      </c>
      <c r="C106" s="499"/>
      <c r="D106" s="962"/>
      <c r="E106" s="962" t="s">
        <v>318</v>
      </c>
      <c r="F106" s="494">
        <v>2</v>
      </c>
      <c r="G106" s="495">
        <v>2.2999999999999998</v>
      </c>
      <c r="H106" s="559">
        <f>F106*G106</f>
        <v>4.5999999999999996</v>
      </c>
      <c r="I106" s="496">
        <v>2</v>
      </c>
      <c r="J106" s="496">
        <v>2.2999999999999998</v>
      </c>
      <c r="K106" s="857">
        <f t="shared" ref="K106:K112" si="18">I106*J106</f>
        <v>4.5999999999999996</v>
      </c>
      <c r="L106" s="496">
        <v>2</v>
      </c>
      <c r="M106" s="496">
        <v>2.2999999999999998</v>
      </c>
      <c r="N106" s="857">
        <f t="shared" ref="N106:N112" si="19">L106*M106</f>
        <v>4.5999999999999996</v>
      </c>
      <c r="O106" s="496">
        <v>2</v>
      </c>
      <c r="P106" s="496">
        <v>2.2999999999999998</v>
      </c>
      <c r="Q106" s="857">
        <f t="shared" si="17"/>
        <v>4.5999999999999996</v>
      </c>
      <c r="R106" s="857">
        <f t="shared" ref="R106:R107" si="20">K106</f>
        <v>4.5999999999999996</v>
      </c>
      <c r="S106" s="857">
        <f t="shared" ref="S106:S112" si="21">Q106-R106</f>
        <v>0</v>
      </c>
      <c r="T106" s="496">
        <v>2</v>
      </c>
      <c r="U106" s="496">
        <v>2.2999999999999998</v>
      </c>
      <c r="V106" s="857">
        <f>T106*U106</f>
        <v>4.5999999999999996</v>
      </c>
      <c r="W106" s="496">
        <v>2</v>
      </c>
      <c r="X106" s="496">
        <v>2.2999999999999998</v>
      </c>
      <c r="Y106" s="857">
        <f>W106*X106</f>
        <v>4.5999999999999996</v>
      </c>
      <c r="Z106" s="559">
        <f t="shared" si="5"/>
        <v>0</v>
      </c>
      <c r="AA106" s="559">
        <f t="shared" si="6"/>
        <v>100</v>
      </c>
      <c r="AB106" s="893"/>
      <c r="AC106" s="491" t="s">
        <v>1665</v>
      </c>
      <c r="AF106" s="466"/>
      <c r="AG106" s="465"/>
      <c r="AH106" s="465"/>
    </row>
    <row r="107" spans="1:34" s="498" customFormat="1" ht="127.5" hidden="1" x14ac:dyDescent="0.25">
      <c r="A107" s="962"/>
      <c r="B107" s="1855" t="s">
        <v>1755</v>
      </c>
      <c r="C107" s="499"/>
      <c r="D107" s="962"/>
      <c r="E107" s="962" t="s">
        <v>318</v>
      </c>
      <c r="F107" s="494">
        <v>6</v>
      </c>
      <c r="G107" s="495">
        <v>1.73</v>
      </c>
      <c r="H107" s="559">
        <f>F107*G107</f>
        <v>10.4</v>
      </c>
      <c r="I107" s="496">
        <v>6</v>
      </c>
      <c r="J107" s="496">
        <v>1.7</v>
      </c>
      <c r="K107" s="857">
        <f t="shared" si="18"/>
        <v>10.199999999999999</v>
      </c>
      <c r="L107" s="496">
        <v>6</v>
      </c>
      <c r="M107" s="496">
        <v>1.7</v>
      </c>
      <c r="N107" s="857">
        <f t="shared" si="19"/>
        <v>10.199999999999999</v>
      </c>
      <c r="O107" s="496">
        <v>6</v>
      </c>
      <c r="P107" s="496">
        <v>2.2999999999999998</v>
      </c>
      <c r="Q107" s="857">
        <f t="shared" si="17"/>
        <v>13.8</v>
      </c>
      <c r="R107" s="857">
        <f t="shared" si="20"/>
        <v>10.199999999999999</v>
      </c>
      <c r="S107" s="857">
        <f t="shared" si="21"/>
        <v>3.6</v>
      </c>
      <c r="T107" s="496">
        <v>6</v>
      </c>
      <c r="U107" s="496">
        <v>1.7</v>
      </c>
      <c r="V107" s="857">
        <f>T107*U107</f>
        <v>10.199999999999999</v>
      </c>
      <c r="W107" s="496">
        <v>6</v>
      </c>
      <c r="X107" s="496">
        <v>1.7</v>
      </c>
      <c r="Y107" s="857">
        <f>W107*X107</f>
        <v>10.199999999999999</v>
      </c>
      <c r="Z107" s="559">
        <f t="shared" si="5"/>
        <v>3.6</v>
      </c>
      <c r="AA107" s="559">
        <f t="shared" si="6"/>
        <v>135.30000000000001</v>
      </c>
      <c r="AB107" s="1863" t="s">
        <v>1756</v>
      </c>
      <c r="AC107" s="491" t="s">
        <v>1665</v>
      </c>
      <c r="AF107" s="466"/>
      <c r="AG107" s="465"/>
      <c r="AH107" s="465"/>
    </row>
    <row r="108" spans="1:34" s="498" customFormat="1" ht="39.75" hidden="1" customHeight="1" x14ac:dyDescent="0.25">
      <c r="A108" s="962"/>
      <c r="B108" s="1855" t="s">
        <v>1757</v>
      </c>
      <c r="C108" s="499"/>
      <c r="D108" s="962"/>
      <c r="E108" s="541" t="s">
        <v>318</v>
      </c>
      <c r="F108" s="494"/>
      <c r="G108" s="495"/>
      <c r="H108" s="559"/>
      <c r="I108" s="496"/>
      <c r="J108" s="496"/>
      <c r="K108" s="857"/>
      <c r="L108" s="496"/>
      <c r="M108" s="496"/>
      <c r="N108" s="857"/>
      <c r="O108" s="496">
        <v>1</v>
      </c>
      <c r="P108" s="496">
        <v>3.5</v>
      </c>
      <c r="Q108" s="857">
        <f t="shared" si="17"/>
        <v>3.5</v>
      </c>
      <c r="R108" s="857">
        <f>Q108</f>
        <v>3.5</v>
      </c>
      <c r="S108" s="857"/>
      <c r="T108" s="496">
        <v>1</v>
      </c>
      <c r="U108" s="496">
        <v>3.5</v>
      </c>
      <c r="V108" s="857">
        <f t="shared" ref="V108:V109" si="22">T108*U108</f>
        <v>3.5</v>
      </c>
      <c r="W108" s="496">
        <v>1</v>
      </c>
      <c r="X108" s="496">
        <v>3.5</v>
      </c>
      <c r="Y108" s="857">
        <f t="shared" ref="Y108:Y109" si="23">W108*X108</f>
        <v>3.5</v>
      </c>
      <c r="Z108" s="559">
        <f t="shared" si="5"/>
        <v>3.5</v>
      </c>
      <c r="AA108" s="559" t="str">
        <f t="shared" si="6"/>
        <v>-</v>
      </c>
      <c r="AB108" s="1863" t="s">
        <v>1758</v>
      </c>
      <c r="AC108" s="491" t="s">
        <v>1665</v>
      </c>
      <c r="AF108" s="466"/>
      <c r="AG108" s="465"/>
      <c r="AH108" s="465"/>
    </row>
    <row r="109" spans="1:34" s="498" customFormat="1" ht="34.5" hidden="1" customHeight="1" x14ac:dyDescent="0.25">
      <c r="A109" s="962"/>
      <c r="B109" s="1855" t="s">
        <v>1759</v>
      </c>
      <c r="C109" s="499"/>
      <c r="D109" s="962"/>
      <c r="E109" s="541" t="s">
        <v>318</v>
      </c>
      <c r="F109" s="494"/>
      <c r="G109" s="495"/>
      <c r="H109" s="559"/>
      <c r="I109" s="496"/>
      <c r="J109" s="496"/>
      <c r="K109" s="857"/>
      <c r="L109" s="496"/>
      <c r="M109" s="496"/>
      <c r="N109" s="857"/>
      <c r="O109" s="496">
        <v>1</v>
      </c>
      <c r="P109" s="496">
        <v>3.5</v>
      </c>
      <c r="Q109" s="857">
        <f t="shared" si="17"/>
        <v>3.5</v>
      </c>
      <c r="R109" s="857">
        <f>Q109</f>
        <v>3.5</v>
      </c>
      <c r="S109" s="857"/>
      <c r="T109" s="496">
        <v>1</v>
      </c>
      <c r="U109" s="496">
        <v>3.5</v>
      </c>
      <c r="V109" s="857">
        <f t="shared" si="22"/>
        <v>3.5</v>
      </c>
      <c r="W109" s="496">
        <v>1</v>
      </c>
      <c r="X109" s="496">
        <v>3.5</v>
      </c>
      <c r="Y109" s="857">
        <f t="shared" si="23"/>
        <v>3.5</v>
      </c>
      <c r="Z109" s="559">
        <f t="shared" si="5"/>
        <v>3.5</v>
      </c>
      <c r="AA109" s="559" t="str">
        <f t="shared" si="6"/>
        <v>-</v>
      </c>
      <c r="AB109" s="1863" t="s">
        <v>1760</v>
      </c>
      <c r="AC109" s="491" t="s">
        <v>1665</v>
      </c>
      <c r="AF109" s="466"/>
      <c r="AG109" s="465"/>
      <c r="AH109" s="465"/>
    </row>
    <row r="110" spans="1:34" s="498" customFormat="1" ht="25.5" hidden="1" x14ac:dyDescent="0.25">
      <c r="A110" s="962"/>
      <c r="B110" s="1855" t="s">
        <v>1761</v>
      </c>
      <c r="C110" s="499"/>
      <c r="D110" s="962"/>
      <c r="E110" s="541" t="s">
        <v>1762</v>
      </c>
      <c r="F110" s="494"/>
      <c r="G110" s="495"/>
      <c r="H110" s="559"/>
      <c r="I110" s="496"/>
      <c r="J110" s="496"/>
      <c r="K110" s="857"/>
      <c r="L110" s="496"/>
      <c r="M110" s="496"/>
      <c r="N110" s="857"/>
      <c r="O110" s="496">
        <v>2</v>
      </c>
      <c r="P110" s="496">
        <v>2.2999999999999998</v>
      </c>
      <c r="Q110" s="857">
        <f t="shared" si="17"/>
        <v>4.5999999999999996</v>
      </c>
      <c r="R110" s="857"/>
      <c r="S110" s="857">
        <f>Q110</f>
        <v>4.5999999999999996</v>
      </c>
      <c r="T110" s="496">
        <v>2</v>
      </c>
      <c r="U110" s="496">
        <v>2.2999999999999998</v>
      </c>
      <c r="V110" s="857">
        <f>T110*U110</f>
        <v>4.5999999999999996</v>
      </c>
      <c r="W110" s="496">
        <v>2</v>
      </c>
      <c r="X110" s="496">
        <v>2.2999999999999998</v>
      </c>
      <c r="Y110" s="857">
        <f>W110*X110</f>
        <v>4.5999999999999996</v>
      </c>
      <c r="Z110" s="559">
        <f t="shared" si="5"/>
        <v>4.5999999999999996</v>
      </c>
      <c r="AA110" s="559" t="str">
        <f t="shared" si="6"/>
        <v>-</v>
      </c>
      <c r="AB110" s="1863" t="s">
        <v>1763</v>
      </c>
      <c r="AC110" s="491" t="s">
        <v>1665</v>
      </c>
      <c r="AF110" s="466"/>
      <c r="AG110" s="465"/>
      <c r="AH110" s="465"/>
    </row>
    <row r="111" spans="1:34" s="498" customFormat="1" ht="77.25" hidden="1" x14ac:dyDescent="0.25">
      <c r="A111" s="962"/>
      <c r="B111" s="551" t="s">
        <v>1764</v>
      </c>
      <c r="C111" s="499"/>
      <c r="D111" s="962"/>
      <c r="E111" s="541" t="s">
        <v>318</v>
      </c>
      <c r="F111" s="494"/>
      <c r="G111" s="495"/>
      <c r="H111" s="559"/>
      <c r="I111" s="496"/>
      <c r="J111" s="496"/>
      <c r="K111" s="857"/>
      <c r="L111" s="496"/>
      <c r="M111" s="496"/>
      <c r="N111" s="857"/>
      <c r="O111" s="1864">
        <v>1</v>
      </c>
      <c r="P111" s="1864">
        <v>4</v>
      </c>
      <c r="Q111" s="857">
        <f t="shared" si="17"/>
        <v>4</v>
      </c>
      <c r="R111" s="857">
        <f>Q111</f>
        <v>4</v>
      </c>
      <c r="S111" s="857"/>
      <c r="T111" s="1864">
        <v>1</v>
      </c>
      <c r="U111" s="1864">
        <v>4</v>
      </c>
      <c r="V111" s="1865">
        <f>U111*T111</f>
        <v>4</v>
      </c>
      <c r="W111" s="1864">
        <v>1</v>
      </c>
      <c r="X111" s="1864">
        <v>4</v>
      </c>
      <c r="Y111" s="1865">
        <f>X111*W111</f>
        <v>4</v>
      </c>
      <c r="Z111" s="559">
        <f t="shared" si="5"/>
        <v>4</v>
      </c>
      <c r="AA111" s="559" t="str">
        <f t="shared" si="6"/>
        <v>-</v>
      </c>
      <c r="AB111" s="893" t="s">
        <v>1765</v>
      </c>
      <c r="AC111" s="491" t="s">
        <v>1665</v>
      </c>
      <c r="AF111" s="466"/>
      <c r="AG111" s="465"/>
      <c r="AH111" s="465"/>
    </row>
    <row r="112" spans="1:34" s="498" customFormat="1" hidden="1" x14ac:dyDescent="0.25">
      <c r="A112" s="962"/>
      <c r="B112" s="881" t="s">
        <v>1766</v>
      </c>
      <c r="C112" s="503"/>
      <c r="D112" s="962"/>
      <c r="E112" s="962" t="s">
        <v>318</v>
      </c>
      <c r="F112" s="494">
        <v>1</v>
      </c>
      <c r="G112" s="495">
        <v>2</v>
      </c>
      <c r="H112" s="559">
        <f>F112*G112</f>
        <v>2</v>
      </c>
      <c r="I112" s="496">
        <v>1</v>
      </c>
      <c r="J112" s="496">
        <v>2</v>
      </c>
      <c r="K112" s="857">
        <f t="shared" si="18"/>
        <v>2</v>
      </c>
      <c r="L112" s="496">
        <v>1</v>
      </c>
      <c r="M112" s="496">
        <v>2</v>
      </c>
      <c r="N112" s="857">
        <f t="shared" si="19"/>
        <v>2</v>
      </c>
      <c r="O112" s="496"/>
      <c r="P112" s="496"/>
      <c r="Q112" s="857"/>
      <c r="R112" s="857"/>
      <c r="S112" s="857">
        <f t="shared" si="21"/>
        <v>0</v>
      </c>
      <c r="T112" s="496"/>
      <c r="U112" s="496"/>
      <c r="V112" s="857">
        <f>T112*U112</f>
        <v>0</v>
      </c>
      <c r="W112" s="496"/>
      <c r="X112" s="496"/>
      <c r="Y112" s="857">
        <f>W112*X112</f>
        <v>0</v>
      </c>
      <c r="Z112" s="559">
        <f t="shared" si="5"/>
        <v>-2</v>
      </c>
      <c r="AA112" s="559">
        <f t="shared" si="6"/>
        <v>0</v>
      </c>
      <c r="AB112" s="893"/>
      <c r="AC112" s="491" t="s">
        <v>1665</v>
      </c>
      <c r="AF112" s="466"/>
      <c r="AG112" s="465"/>
      <c r="AH112" s="465"/>
    </row>
    <row r="113" spans="1:34" s="498" customFormat="1" hidden="1" x14ac:dyDescent="0.25">
      <c r="A113" s="962"/>
      <c r="B113" s="881" t="s">
        <v>1729</v>
      </c>
      <c r="C113" s="503"/>
      <c r="D113" s="962"/>
      <c r="E113" s="962"/>
      <c r="F113" s="494"/>
      <c r="G113" s="495"/>
      <c r="H113" s="559">
        <f>SUM(H105:H112)*0.271</f>
        <v>5.6</v>
      </c>
      <c r="I113" s="496"/>
      <c r="J113" s="496"/>
      <c r="K113" s="857">
        <f>SUM(K105:K112)*0.271</f>
        <v>5.5</v>
      </c>
      <c r="L113" s="496"/>
      <c r="M113" s="496"/>
      <c r="N113" s="857">
        <f>SUM(N105:N112)*0.271</f>
        <v>5.5</v>
      </c>
      <c r="O113" s="496"/>
      <c r="P113" s="496"/>
      <c r="Q113" s="857">
        <f>SUM(Q105:Q112)*0.271</f>
        <v>10.199999999999999</v>
      </c>
      <c r="R113" s="857">
        <f t="shared" ref="R113:S113" si="24">SUM(R105:R112)*0.271</f>
        <v>7.9</v>
      </c>
      <c r="S113" s="857">
        <f t="shared" si="24"/>
        <v>2.2000000000000002</v>
      </c>
      <c r="T113" s="496"/>
      <c r="U113" s="496"/>
      <c r="V113" s="857">
        <f>SUM(V105:V112)*0.271</f>
        <v>9.1999999999999993</v>
      </c>
      <c r="W113" s="496"/>
      <c r="X113" s="496"/>
      <c r="Y113" s="857">
        <f>SUM(Y105:Y112)*0.271</f>
        <v>9.1999999999999993</v>
      </c>
      <c r="Z113" s="559">
        <f t="shared" si="5"/>
        <v>4.7</v>
      </c>
      <c r="AA113" s="559">
        <f t="shared" si="6"/>
        <v>185.5</v>
      </c>
      <c r="AB113" s="551"/>
      <c r="AC113" s="491" t="s">
        <v>1665</v>
      </c>
      <c r="AF113" s="466"/>
      <c r="AG113" s="465"/>
      <c r="AH113" s="465"/>
    </row>
    <row r="114" spans="1:34" s="492" customFormat="1" ht="14.25" x14ac:dyDescent="0.2">
      <c r="A114" s="1240"/>
      <c r="B114" s="876" t="s">
        <v>1767</v>
      </c>
      <c r="C114" s="501" t="s">
        <v>796</v>
      </c>
      <c r="D114" s="1240"/>
      <c r="E114" s="1240" t="s">
        <v>227</v>
      </c>
      <c r="F114" s="530">
        <v>50</v>
      </c>
      <c r="G114" s="531">
        <v>0.05</v>
      </c>
      <c r="H114" s="542">
        <f>F114*G114</f>
        <v>2.5</v>
      </c>
      <c r="I114" s="532">
        <v>50</v>
      </c>
      <c r="J114" s="532">
        <v>0.1</v>
      </c>
      <c r="K114" s="533">
        <f>I114*J114</f>
        <v>5</v>
      </c>
      <c r="L114" s="532">
        <v>50</v>
      </c>
      <c r="M114" s="532">
        <v>0.1</v>
      </c>
      <c r="N114" s="533">
        <f>L114*M114</f>
        <v>5</v>
      </c>
      <c r="O114" s="532">
        <v>25</v>
      </c>
      <c r="P114" s="532">
        <v>0.1</v>
      </c>
      <c r="Q114" s="533">
        <v>1.3</v>
      </c>
      <c r="R114" s="533">
        <f>Q114</f>
        <v>1.3</v>
      </c>
      <c r="S114" s="533"/>
      <c r="T114" s="532">
        <v>25</v>
      </c>
      <c r="U114" s="532">
        <v>0.1</v>
      </c>
      <c r="V114" s="533">
        <f>T114*U114</f>
        <v>2.5</v>
      </c>
      <c r="W114" s="532">
        <v>25</v>
      </c>
      <c r="X114" s="532">
        <v>0.1</v>
      </c>
      <c r="Y114" s="533">
        <f>W114*X114</f>
        <v>2.5</v>
      </c>
      <c r="Z114" s="542">
        <f t="shared" si="5"/>
        <v>-3.7</v>
      </c>
      <c r="AA114" s="542">
        <f t="shared" si="6"/>
        <v>26</v>
      </c>
      <c r="AB114" s="893"/>
      <c r="AC114" s="491" t="s">
        <v>1665</v>
      </c>
      <c r="AF114" s="466"/>
      <c r="AG114" s="466"/>
      <c r="AH114" s="466"/>
    </row>
    <row r="115" spans="1:34" s="492" customFormat="1" ht="14.25" hidden="1" x14ac:dyDescent="0.2">
      <c r="A115" s="1240"/>
      <c r="B115" s="876" t="s">
        <v>1768</v>
      </c>
      <c r="C115" s="501" t="s">
        <v>797</v>
      </c>
      <c r="D115" s="1240"/>
      <c r="E115" s="1240"/>
      <c r="F115" s="530"/>
      <c r="G115" s="531"/>
      <c r="H115" s="493">
        <f>H116+H117</f>
        <v>7.8</v>
      </c>
      <c r="I115" s="532"/>
      <c r="J115" s="532"/>
      <c r="K115" s="532">
        <f>K116+K117</f>
        <v>1</v>
      </c>
      <c r="L115" s="532"/>
      <c r="M115" s="532"/>
      <c r="N115" s="532">
        <f>N116+N117</f>
        <v>1</v>
      </c>
      <c r="O115" s="532"/>
      <c r="P115" s="532"/>
      <c r="Q115" s="532">
        <f>SUM(Q116:Q117)</f>
        <v>22</v>
      </c>
      <c r="R115" s="532">
        <f t="shared" ref="R115:S115" si="25">SUM(R116:R117)</f>
        <v>5.4</v>
      </c>
      <c r="S115" s="532">
        <f t="shared" si="25"/>
        <v>16.600000000000001</v>
      </c>
      <c r="T115" s="532"/>
      <c r="U115" s="532"/>
      <c r="V115" s="532">
        <f>SUM(V116:V117)</f>
        <v>22</v>
      </c>
      <c r="W115" s="532"/>
      <c r="X115" s="532"/>
      <c r="Y115" s="532">
        <f>SUM(Y116:Y117)</f>
        <v>22</v>
      </c>
      <c r="Z115" s="493">
        <f t="shared" si="5"/>
        <v>21</v>
      </c>
      <c r="AA115" s="493">
        <f t="shared" si="6"/>
        <v>2200</v>
      </c>
      <c r="AB115" s="893"/>
      <c r="AC115" s="491" t="s">
        <v>1665</v>
      </c>
      <c r="AF115" s="466"/>
      <c r="AG115" s="466"/>
      <c r="AH115" s="466"/>
    </row>
    <row r="116" spans="1:34" s="498" customFormat="1" ht="51.75" hidden="1" x14ac:dyDescent="0.25">
      <c r="A116" s="962"/>
      <c r="B116" s="502" t="s">
        <v>1769</v>
      </c>
      <c r="C116" s="503"/>
      <c r="D116" s="962"/>
      <c r="E116" s="962" t="s">
        <v>227</v>
      </c>
      <c r="F116" s="494">
        <v>20</v>
      </c>
      <c r="G116" s="495">
        <v>0.1</v>
      </c>
      <c r="H116" s="1245">
        <f>F116*G116</f>
        <v>2</v>
      </c>
      <c r="I116" s="496">
        <v>10</v>
      </c>
      <c r="J116" s="883">
        <v>0.1</v>
      </c>
      <c r="K116" s="496">
        <f>I116*J116</f>
        <v>1</v>
      </c>
      <c r="L116" s="496">
        <v>10</v>
      </c>
      <c r="M116" s="883">
        <v>0.1</v>
      </c>
      <c r="N116" s="496">
        <f>L116*M116</f>
        <v>1</v>
      </c>
      <c r="O116" s="496">
        <v>20</v>
      </c>
      <c r="P116" s="496">
        <v>0.1</v>
      </c>
      <c r="Q116" s="496">
        <f>O116*P116</f>
        <v>2</v>
      </c>
      <c r="R116" s="496"/>
      <c r="S116" s="496">
        <f>Q116</f>
        <v>2</v>
      </c>
      <c r="T116" s="496">
        <v>20</v>
      </c>
      <c r="U116" s="496">
        <v>0.1</v>
      </c>
      <c r="V116" s="496">
        <f>T116*U116</f>
        <v>2</v>
      </c>
      <c r="W116" s="496">
        <v>20</v>
      </c>
      <c r="X116" s="496">
        <v>0.1</v>
      </c>
      <c r="Y116" s="496">
        <f>W116*X116</f>
        <v>2</v>
      </c>
      <c r="Z116" s="1245">
        <f t="shared" si="5"/>
        <v>1</v>
      </c>
      <c r="AA116" s="1245">
        <f t="shared" si="6"/>
        <v>200</v>
      </c>
      <c r="AB116" s="893" t="s">
        <v>1770</v>
      </c>
      <c r="AC116" s="491" t="s">
        <v>1665</v>
      </c>
      <c r="AF116" s="466"/>
      <c r="AG116" s="465"/>
      <c r="AH116" s="465"/>
    </row>
    <row r="117" spans="1:34" s="498" customFormat="1" ht="26.25" hidden="1" x14ac:dyDescent="0.25">
      <c r="A117" s="962"/>
      <c r="B117" s="881" t="s">
        <v>1771</v>
      </c>
      <c r="C117" s="503"/>
      <c r="D117" s="962"/>
      <c r="E117" s="962" t="s">
        <v>227</v>
      </c>
      <c r="F117" s="494">
        <v>58</v>
      </c>
      <c r="G117" s="495">
        <v>0.1</v>
      </c>
      <c r="H117" s="559">
        <f>F117*G117</f>
        <v>5.8</v>
      </c>
      <c r="I117" s="496"/>
      <c r="J117" s="496"/>
      <c r="K117" s="496">
        <f>I117*J117</f>
        <v>0</v>
      </c>
      <c r="L117" s="496"/>
      <c r="M117" s="496"/>
      <c r="N117" s="496">
        <f>L117*M117</f>
        <v>0</v>
      </c>
      <c r="O117" s="496">
        <v>100</v>
      </c>
      <c r="P117" s="496">
        <v>0.2</v>
      </c>
      <c r="Q117" s="496">
        <f>O117*P117</f>
        <v>20</v>
      </c>
      <c r="R117" s="496">
        <v>5.4</v>
      </c>
      <c r="S117" s="496">
        <f>Q117-R117</f>
        <v>14.6</v>
      </c>
      <c r="T117" s="496">
        <v>100</v>
      </c>
      <c r="U117" s="496">
        <v>0.2</v>
      </c>
      <c r="V117" s="496">
        <f>T117*U117</f>
        <v>20</v>
      </c>
      <c r="W117" s="496">
        <v>100</v>
      </c>
      <c r="X117" s="496">
        <v>0.2</v>
      </c>
      <c r="Y117" s="496">
        <f>W117*X117</f>
        <v>20</v>
      </c>
      <c r="Z117" s="559">
        <f t="shared" si="5"/>
        <v>20</v>
      </c>
      <c r="AA117" s="559" t="str">
        <f t="shared" si="6"/>
        <v>-</v>
      </c>
      <c r="AB117" s="893" t="s">
        <v>1772</v>
      </c>
      <c r="AC117" s="491" t="s">
        <v>1665</v>
      </c>
      <c r="AF117" s="466"/>
      <c r="AG117" s="465"/>
      <c r="AH117" s="465"/>
    </row>
    <row r="118" spans="1:34" s="492" customFormat="1" ht="14.25" hidden="1" x14ac:dyDescent="0.2">
      <c r="A118" s="1240"/>
      <c r="B118" s="876" t="s">
        <v>1246</v>
      </c>
      <c r="C118" s="501" t="s">
        <v>1237</v>
      </c>
      <c r="D118" s="1240"/>
      <c r="E118" s="1240" t="s">
        <v>664</v>
      </c>
      <c r="F118" s="530">
        <v>3</v>
      </c>
      <c r="G118" s="531">
        <v>2.5</v>
      </c>
      <c r="H118" s="542">
        <f>F118*G118</f>
        <v>7.5</v>
      </c>
      <c r="I118" s="532">
        <v>3</v>
      </c>
      <c r="J118" s="532">
        <v>2.5</v>
      </c>
      <c r="K118" s="533">
        <f>I118*J118</f>
        <v>7.5</v>
      </c>
      <c r="L118" s="532">
        <v>3</v>
      </c>
      <c r="M118" s="532">
        <v>2.5</v>
      </c>
      <c r="N118" s="533">
        <f>L118*M118</f>
        <v>7.5</v>
      </c>
      <c r="O118" s="532">
        <v>3</v>
      </c>
      <c r="P118" s="532">
        <v>2.5</v>
      </c>
      <c r="Q118" s="533">
        <f>O118*P118</f>
        <v>7.5</v>
      </c>
      <c r="R118" s="533"/>
      <c r="S118" s="533">
        <f>Q118</f>
        <v>7.5</v>
      </c>
      <c r="T118" s="532">
        <v>3</v>
      </c>
      <c r="U118" s="532">
        <v>2.5</v>
      </c>
      <c r="V118" s="533">
        <f>T118*U118</f>
        <v>7.5</v>
      </c>
      <c r="W118" s="532">
        <v>3</v>
      </c>
      <c r="X118" s="532">
        <v>2.5</v>
      </c>
      <c r="Y118" s="533">
        <f>W118*X118</f>
        <v>7.5</v>
      </c>
      <c r="Z118" s="542">
        <f t="shared" si="5"/>
        <v>0</v>
      </c>
      <c r="AA118" s="542">
        <f t="shared" si="6"/>
        <v>100</v>
      </c>
      <c r="AB118" s="893"/>
      <c r="AC118" s="491" t="s">
        <v>1665</v>
      </c>
      <c r="AF118" s="466"/>
      <c r="AG118" s="466"/>
      <c r="AH118" s="466"/>
    </row>
    <row r="119" spans="1:34" s="492" customFormat="1" ht="14.25" hidden="1" x14ac:dyDescent="0.2">
      <c r="A119" s="1240"/>
      <c r="B119" s="876" t="s">
        <v>1773</v>
      </c>
      <c r="C119" s="501" t="s">
        <v>797</v>
      </c>
      <c r="D119" s="1240"/>
      <c r="E119" s="1240" t="s">
        <v>227</v>
      </c>
      <c r="F119" s="1829">
        <v>100</v>
      </c>
      <c r="G119" s="1830">
        <v>0.06</v>
      </c>
      <c r="H119" s="542">
        <f>F119*G119</f>
        <v>6</v>
      </c>
      <c r="I119" s="1831">
        <v>60</v>
      </c>
      <c r="J119" s="1831">
        <v>0.1</v>
      </c>
      <c r="K119" s="533">
        <f>I119*J119</f>
        <v>6</v>
      </c>
      <c r="L119" s="1831">
        <v>60</v>
      </c>
      <c r="M119" s="1831">
        <v>0.1</v>
      </c>
      <c r="N119" s="533">
        <f>L119*M119</f>
        <v>6</v>
      </c>
      <c r="O119" s="1831">
        <v>60</v>
      </c>
      <c r="P119" s="1831">
        <v>0.1</v>
      </c>
      <c r="Q119" s="533">
        <f>O119*P119</f>
        <v>6</v>
      </c>
      <c r="R119" s="533"/>
      <c r="S119" s="533">
        <f>Q119</f>
        <v>6</v>
      </c>
      <c r="T119" s="1831">
        <v>60</v>
      </c>
      <c r="U119" s="1831">
        <v>0.1</v>
      </c>
      <c r="V119" s="533">
        <f>T119*U119</f>
        <v>6</v>
      </c>
      <c r="W119" s="1831">
        <v>60</v>
      </c>
      <c r="X119" s="1831">
        <v>0.1</v>
      </c>
      <c r="Y119" s="533">
        <f>W119*X119</f>
        <v>6</v>
      </c>
      <c r="Z119" s="542">
        <f t="shared" si="5"/>
        <v>0</v>
      </c>
      <c r="AA119" s="542">
        <f t="shared" si="6"/>
        <v>100</v>
      </c>
      <c r="AB119" s="893"/>
      <c r="AC119" s="491" t="s">
        <v>1665</v>
      </c>
      <c r="AF119" s="466"/>
      <c r="AG119" s="466"/>
      <c r="AH119" s="466"/>
    </row>
    <row r="120" spans="1:34" s="492" customFormat="1" ht="14.25" hidden="1" x14ac:dyDescent="0.2">
      <c r="A120" s="1240"/>
      <c r="B120" s="876" t="s">
        <v>1368</v>
      </c>
      <c r="C120" s="501" t="s">
        <v>797</v>
      </c>
      <c r="D120" s="1240"/>
      <c r="E120" s="1240"/>
      <c r="F120" s="1829"/>
      <c r="G120" s="1830"/>
      <c r="H120" s="493">
        <f>SUM(H121:H124)</f>
        <v>10</v>
      </c>
      <c r="I120" s="1831"/>
      <c r="J120" s="1831"/>
      <c r="K120" s="532">
        <f>SUM(K121:K124)</f>
        <v>12.4</v>
      </c>
      <c r="L120" s="1831"/>
      <c r="M120" s="1831"/>
      <c r="N120" s="532">
        <f>SUM(N121:N124)</f>
        <v>12.4</v>
      </c>
      <c r="O120" s="1831"/>
      <c r="P120" s="1831"/>
      <c r="Q120" s="532">
        <f>SUM(Q121:Q124)</f>
        <v>21.4</v>
      </c>
      <c r="R120" s="532">
        <f t="shared" ref="R120:S120" si="26">SUM(R121:R124)</f>
        <v>11.4</v>
      </c>
      <c r="S120" s="532">
        <f t="shared" si="26"/>
        <v>10</v>
      </c>
      <c r="T120" s="1831"/>
      <c r="U120" s="1831"/>
      <c r="V120" s="532">
        <f>SUM(V121:V124)</f>
        <v>0</v>
      </c>
      <c r="W120" s="1831"/>
      <c r="X120" s="1831"/>
      <c r="Y120" s="532">
        <f>SUM(Y121:Y124)</f>
        <v>0</v>
      </c>
      <c r="Z120" s="493">
        <f t="shared" si="5"/>
        <v>9</v>
      </c>
      <c r="AA120" s="493">
        <f t="shared" si="6"/>
        <v>172.6</v>
      </c>
      <c r="AB120" s="893"/>
      <c r="AC120" s="491" t="s">
        <v>1665</v>
      </c>
      <c r="AF120" s="466"/>
      <c r="AG120" s="466"/>
      <c r="AH120" s="466"/>
    </row>
    <row r="121" spans="1:34" s="498" customFormat="1" hidden="1" x14ac:dyDescent="0.25">
      <c r="A121" s="962"/>
      <c r="B121" s="878" t="s">
        <v>1774</v>
      </c>
      <c r="C121" s="499"/>
      <c r="D121" s="962"/>
      <c r="E121" s="541" t="s">
        <v>227</v>
      </c>
      <c r="F121" s="494">
        <v>100</v>
      </c>
      <c r="G121" s="495">
        <v>0.02</v>
      </c>
      <c r="H121" s="1245">
        <f>F121*G121</f>
        <v>2</v>
      </c>
      <c r="I121" s="496">
        <v>10</v>
      </c>
      <c r="J121" s="496">
        <v>0.1</v>
      </c>
      <c r="K121" s="496">
        <f>I121*J121</f>
        <v>1</v>
      </c>
      <c r="L121" s="496">
        <v>10</v>
      </c>
      <c r="M121" s="496">
        <v>0.1</v>
      </c>
      <c r="N121" s="496">
        <f>L121*M121</f>
        <v>1</v>
      </c>
      <c r="O121" s="496"/>
      <c r="P121" s="496"/>
      <c r="Q121" s="496"/>
      <c r="R121" s="496"/>
      <c r="S121" s="496"/>
      <c r="T121" s="496"/>
      <c r="U121" s="496"/>
      <c r="V121" s="496">
        <f>T121*U121</f>
        <v>0</v>
      </c>
      <c r="W121" s="496"/>
      <c r="X121" s="496"/>
      <c r="Y121" s="496">
        <f>W121*X121</f>
        <v>0</v>
      </c>
      <c r="Z121" s="1245">
        <f t="shared" si="5"/>
        <v>-1</v>
      </c>
      <c r="AA121" s="1245">
        <f t="shared" si="6"/>
        <v>0</v>
      </c>
      <c r="AB121" s="893"/>
      <c r="AC121" s="491" t="s">
        <v>1665</v>
      </c>
      <c r="AF121" s="466"/>
      <c r="AG121" s="465"/>
      <c r="AH121" s="465"/>
    </row>
    <row r="122" spans="1:34" s="498" customFormat="1" ht="25.5" hidden="1" x14ac:dyDescent="0.25">
      <c r="A122" s="962"/>
      <c r="B122" s="878" t="s">
        <v>1775</v>
      </c>
      <c r="C122" s="499"/>
      <c r="D122" s="962"/>
      <c r="E122" s="541" t="s">
        <v>227</v>
      </c>
      <c r="F122" s="494"/>
      <c r="G122" s="495"/>
      <c r="H122" s="1245"/>
      <c r="I122" s="496">
        <v>3</v>
      </c>
      <c r="J122" s="496">
        <v>3.8</v>
      </c>
      <c r="K122" s="496">
        <f>I122*J122</f>
        <v>11.4</v>
      </c>
      <c r="L122" s="496">
        <v>3</v>
      </c>
      <c r="M122" s="496">
        <v>3.8</v>
      </c>
      <c r="N122" s="496">
        <f>L122*M122</f>
        <v>11.4</v>
      </c>
      <c r="O122" s="496">
        <v>3</v>
      </c>
      <c r="P122" s="496">
        <v>3.8</v>
      </c>
      <c r="Q122" s="496">
        <f>O122*P122</f>
        <v>11.4</v>
      </c>
      <c r="R122" s="496">
        <f>Q122</f>
        <v>11.4</v>
      </c>
      <c r="S122" s="496"/>
      <c r="T122" s="496"/>
      <c r="U122" s="496"/>
      <c r="V122" s="496"/>
      <c r="W122" s="496"/>
      <c r="X122" s="496"/>
      <c r="Y122" s="496"/>
      <c r="Z122" s="1245">
        <f t="shared" si="5"/>
        <v>0</v>
      </c>
      <c r="AA122" s="1245">
        <f t="shared" si="6"/>
        <v>100</v>
      </c>
      <c r="AB122" s="1031" t="s">
        <v>1776</v>
      </c>
      <c r="AC122" s="491" t="s">
        <v>1665</v>
      </c>
      <c r="AF122" s="466"/>
      <c r="AG122" s="465"/>
      <c r="AH122" s="465"/>
    </row>
    <row r="123" spans="1:34" s="498" customFormat="1" hidden="1" x14ac:dyDescent="0.25">
      <c r="A123" s="962"/>
      <c r="B123" s="878" t="s">
        <v>1777</v>
      </c>
      <c r="C123" s="499"/>
      <c r="D123" s="962"/>
      <c r="E123" s="541" t="s">
        <v>227</v>
      </c>
      <c r="F123" s="494"/>
      <c r="G123" s="495"/>
      <c r="H123" s="1245"/>
      <c r="I123" s="496"/>
      <c r="J123" s="496"/>
      <c r="K123" s="496"/>
      <c r="L123" s="496"/>
      <c r="M123" s="496"/>
      <c r="N123" s="496"/>
      <c r="O123" s="496">
        <v>10</v>
      </c>
      <c r="P123" s="496">
        <v>0.5</v>
      </c>
      <c r="Q123" s="496">
        <f>O123*P123</f>
        <v>5</v>
      </c>
      <c r="R123" s="496"/>
      <c r="S123" s="496">
        <f>Q123</f>
        <v>5</v>
      </c>
      <c r="T123" s="496"/>
      <c r="U123" s="496"/>
      <c r="V123" s="496"/>
      <c r="W123" s="496"/>
      <c r="X123" s="496"/>
      <c r="Y123" s="496"/>
      <c r="Z123" s="1245">
        <f t="shared" si="5"/>
        <v>5</v>
      </c>
      <c r="AA123" s="1245" t="str">
        <f t="shared" si="6"/>
        <v>-</v>
      </c>
      <c r="AB123" s="1031"/>
      <c r="AC123" s="491" t="s">
        <v>1665</v>
      </c>
      <c r="AF123" s="466"/>
      <c r="AG123" s="465"/>
      <c r="AH123" s="465"/>
    </row>
    <row r="124" spans="1:34" s="498" customFormat="1" hidden="1" x14ac:dyDescent="0.25">
      <c r="A124" s="962"/>
      <c r="B124" s="878" t="s">
        <v>1778</v>
      </c>
      <c r="C124" s="499"/>
      <c r="D124" s="962"/>
      <c r="E124" s="962" t="s">
        <v>227</v>
      </c>
      <c r="F124" s="494">
        <v>1</v>
      </c>
      <c r="G124" s="495">
        <v>8</v>
      </c>
      <c r="H124" s="1245">
        <v>8</v>
      </c>
      <c r="I124" s="496"/>
      <c r="J124" s="496"/>
      <c r="K124" s="496">
        <v>0</v>
      </c>
      <c r="L124" s="496"/>
      <c r="M124" s="496"/>
      <c r="N124" s="496">
        <v>0</v>
      </c>
      <c r="O124" s="496">
        <v>2</v>
      </c>
      <c r="P124" s="496">
        <v>2.5</v>
      </c>
      <c r="Q124" s="496">
        <f>O124*P124</f>
        <v>5</v>
      </c>
      <c r="R124" s="496"/>
      <c r="S124" s="496">
        <f>Q124-R124</f>
        <v>5</v>
      </c>
      <c r="T124" s="496"/>
      <c r="U124" s="496"/>
      <c r="V124" s="496">
        <f>T124*U124</f>
        <v>0</v>
      </c>
      <c r="W124" s="496"/>
      <c r="X124" s="496"/>
      <c r="Y124" s="496">
        <f>W124*X124</f>
        <v>0</v>
      </c>
      <c r="Z124" s="1245">
        <f t="shared" si="5"/>
        <v>5</v>
      </c>
      <c r="AA124" s="1245" t="str">
        <f t="shared" si="6"/>
        <v>-</v>
      </c>
      <c r="AB124" s="893"/>
      <c r="AC124" s="491" t="s">
        <v>1665</v>
      </c>
      <c r="AF124" s="466"/>
      <c r="AG124" s="465"/>
      <c r="AH124" s="465"/>
    </row>
    <row r="125" spans="1:34" s="498" customFormat="1" ht="51.75" hidden="1" x14ac:dyDescent="0.25">
      <c r="A125" s="962"/>
      <c r="B125" s="877" t="s">
        <v>1779</v>
      </c>
      <c r="C125" s="508" t="s">
        <v>797</v>
      </c>
      <c r="D125" s="962"/>
      <c r="E125" s="962"/>
      <c r="F125" s="494"/>
      <c r="G125" s="495"/>
      <c r="H125" s="1245"/>
      <c r="I125" s="496"/>
      <c r="J125" s="496"/>
      <c r="K125" s="496"/>
      <c r="L125" s="496"/>
      <c r="M125" s="496"/>
      <c r="N125" s="496"/>
      <c r="O125" s="496"/>
      <c r="P125" s="496"/>
      <c r="Q125" s="532">
        <v>6</v>
      </c>
      <c r="R125" s="532"/>
      <c r="S125" s="532">
        <f>Q125</f>
        <v>6</v>
      </c>
      <c r="T125" s="496"/>
      <c r="U125" s="496"/>
      <c r="V125" s="496"/>
      <c r="W125" s="496"/>
      <c r="X125" s="496"/>
      <c r="Y125" s="496"/>
      <c r="Z125" s="1245">
        <f t="shared" si="5"/>
        <v>6</v>
      </c>
      <c r="AA125" s="1245" t="str">
        <f t="shared" si="6"/>
        <v>-</v>
      </c>
      <c r="AB125" s="893" t="s">
        <v>1780</v>
      </c>
      <c r="AC125" s="491" t="s">
        <v>1665</v>
      </c>
      <c r="AF125" s="466"/>
      <c r="AG125" s="465"/>
      <c r="AH125" s="465"/>
    </row>
    <row r="126" spans="1:34" s="498" customFormat="1" ht="26.25" hidden="1" x14ac:dyDescent="0.25">
      <c r="A126" s="962"/>
      <c r="B126" s="877" t="s">
        <v>1370</v>
      </c>
      <c r="C126" s="508" t="s">
        <v>800</v>
      </c>
      <c r="D126" s="962"/>
      <c r="E126" s="962"/>
      <c r="F126" s="494"/>
      <c r="G126" s="495"/>
      <c r="H126" s="1245"/>
      <c r="I126" s="496"/>
      <c r="J126" s="496"/>
      <c r="K126" s="496"/>
      <c r="L126" s="496"/>
      <c r="M126" s="496"/>
      <c r="N126" s="496"/>
      <c r="O126" s="496"/>
      <c r="P126" s="496"/>
      <c r="Q126" s="532">
        <f>SUM(Q127:Q133)</f>
        <v>56.7</v>
      </c>
      <c r="R126" s="532"/>
      <c r="S126" s="532">
        <f>Q126</f>
        <v>56.7</v>
      </c>
      <c r="T126" s="496"/>
      <c r="U126" s="496"/>
      <c r="V126" s="532">
        <f>SUM(V130:V133)</f>
        <v>0</v>
      </c>
      <c r="W126" s="496"/>
      <c r="X126" s="496"/>
      <c r="Y126" s="532">
        <f>SUM(Y130:Y133)</f>
        <v>0</v>
      </c>
      <c r="Z126" s="1245">
        <f t="shared" si="5"/>
        <v>56.7</v>
      </c>
      <c r="AA126" s="1245" t="str">
        <f t="shared" si="6"/>
        <v>-</v>
      </c>
      <c r="AB126" s="893" t="s">
        <v>1781</v>
      </c>
      <c r="AC126" s="491" t="s">
        <v>1665</v>
      </c>
      <c r="AF126" s="466"/>
      <c r="AG126" s="465"/>
      <c r="AH126" s="465"/>
    </row>
    <row r="127" spans="1:34" s="498" customFormat="1" ht="51" hidden="1" x14ac:dyDescent="0.25">
      <c r="A127" s="962"/>
      <c r="B127" s="878" t="s">
        <v>1782</v>
      </c>
      <c r="C127" s="499"/>
      <c r="D127" s="962"/>
      <c r="E127" s="541" t="s">
        <v>227</v>
      </c>
      <c r="F127" s="494"/>
      <c r="G127" s="495"/>
      <c r="H127" s="1245"/>
      <c r="I127" s="496"/>
      <c r="J127" s="496"/>
      <c r="K127" s="496"/>
      <c r="L127" s="496"/>
      <c r="M127" s="496"/>
      <c r="N127" s="496"/>
      <c r="O127" s="496">
        <v>2</v>
      </c>
      <c r="P127" s="496">
        <v>3.2</v>
      </c>
      <c r="Q127" s="496">
        <f t="shared" ref="Q127:Q133" si="27">O127*P127</f>
        <v>6.4</v>
      </c>
      <c r="R127" s="496"/>
      <c r="S127" s="496">
        <f>Q127</f>
        <v>6.4</v>
      </c>
      <c r="T127" s="496"/>
      <c r="U127" s="496"/>
      <c r="V127" s="532"/>
      <c r="W127" s="496"/>
      <c r="X127" s="496"/>
      <c r="Y127" s="532"/>
      <c r="Z127" s="1245">
        <f t="shared" si="5"/>
        <v>6.4</v>
      </c>
      <c r="AA127" s="1245" t="str">
        <f t="shared" si="6"/>
        <v>-</v>
      </c>
      <c r="AB127" s="1031" t="s">
        <v>1783</v>
      </c>
      <c r="AC127" s="491" t="s">
        <v>1665</v>
      </c>
      <c r="AF127" s="466"/>
      <c r="AG127" s="465"/>
      <c r="AH127" s="465"/>
    </row>
    <row r="128" spans="1:34" s="498" customFormat="1" hidden="1" x14ac:dyDescent="0.25">
      <c r="A128" s="962"/>
      <c r="B128" s="878" t="s">
        <v>1784</v>
      </c>
      <c r="C128" s="499"/>
      <c r="D128" s="962"/>
      <c r="E128" s="541" t="s">
        <v>227</v>
      </c>
      <c r="F128" s="494"/>
      <c r="G128" s="495"/>
      <c r="H128" s="1245"/>
      <c r="I128" s="496"/>
      <c r="J128" s="496"/>
      <c r="K128" s="496"/>
      <c r="L128" s="496"/>
      <c r="M128" s="496"/>
      <c r="N128" s="496"/>
      <c r="O128" s="496">
        <v>2</v>
      </c>
      <c r="P128" s="496">
        <v>1.9</v>
      </c>
      <c r="Q128" s="496">
        <f t="shared" si="27"/>
        <v>3.8</v>
      </c>
      <c r="R128" s="496"/>
      <c r="S128" s="496">
        <f>Q128</f>
        <v>3.8</v>
      </c>
      <c r="T128" s="496"/>
      <c r="U128" s="496"/>
      <c r="V128" s="532"/>
      <c r="W128" s="496"/>
      <c r="X128" s="496"/>
      <c r="Y128" s="532"/>
      <c r="Z128" s="1245">
        <f t="shared" si="5"/>
        <v>3.8</v>
      </c>
      <c r="AA128" s="1245" t="str">
        <f t="shared" si="6"/>
        <v>-</v>
      </c>
      <c r="AB128" s="1031"/>
      <c r="AC128" s="491" t="s">
        <v>1665</v>
      </c>
      <c r="AF128" s="466"/>
      <c r="AG128" s="465"/>
      <c r="AH128" s="465"/>
    </row>
    <row r="129" spans="1:34" s="498" customFormat="1" ht="51.75" hidden="1" x14ac:dyDescent="0.25">
      <c r="A129" s="962"/>
      <c r="B129" s="878" t="s">
        <v>1785</v>
      </c>
      <c r="C129" s="499"/>
      <c r="D129" s="962"/>
      <c r="E129" s="541" t="s">
        <v>227</v>
      </c>
      <c r="F129" s="494"/>
      <c r="G129" s="495"/>
      <c r="H129" s="1245"/>
      <c r="I129" s="496"/>
      <c r="J129" s="496"/>
      <c r="K129" s="496"/>
      <c r="L129" s="496"/>
      <c r="M129" s="496"/>
      <c r="N129" s="496"/>
      <c r="O129" s="496">
        <v>2</v>
      </c>
      <c r="P129" s="496">
        <v>2</v>
      </c>
      <c r="Q129" s="496">
        <f t="shared" si="27"/>
        <v>4</v>
      </c>
      <c r="R129" s="496"/>
      <c r="S129" s="496">
        <f t="shared" ref="S129:S133" si="28">Q129</f>
        <v>4</v>
      </c>
      <c r="T129" s="496"/>
      <c r="U129" s="496"/>
      <c r="V129" s="532"/>
      <c r="W129" s="496"/>
      <c r="X129" s="496"/>
      <c r="Y129" s="532"/>
      <c r="Z129" s="1245">
        <f t="shared" si="5"/>
        <v>4</v>
      </c>
      <c r="AA129" s="1245" t="str">
        <f t="shared" si="6"/>
        <v>-</v>
      </c>
      <c r="AB129" s="893" t="s">
        <v>1786</v>
      </c>
      <c r="AC129" s="491" t="s">
        <v>1665</v>
      </c>
      <c r="AF129" s="466"/>
      <c r="AG129" s="465"/>
      <c r="AH129" s="465"/>
    </row>
    <row r="130" spans="1:34" s="498" customFormat="1" ht="51.75" hidden="1" x14ac:dyDescent="0.25">
      <c r="A130" s="962"/>
      <c r="B130" s="878" t="s">
        <v>1787</v>
      </c>
      <c r="C130" s="499"/>
      <c r="D130" s="962"/>
      <c r="E130" s="541" t="s">
        <v>227</v>
      </c>
      <c r="F130" s="494"/>
      <c r="G130" s="495"/>
      <c r="H130" s="1245"/>
      <c r="I130" s="496"/>
      <c r="J130" s="496"/>
      <c r="K130" s="496"/>
      <c r="L130" s="496"/>
      <c r="M130" s="496"/>
      <c r="N130" s="496"/>
      <c r="O130" s="496">
        <v>20</v>
      </c>
      <c r="P130" s="496">
        <v>1.3</v>
      </c>
      <c r="Q130" s="496">
        <f t="shared" si="27"/>
        <v>26</v>
      </c>
      <c r="R130" s="496"/>
      <c r="S130" s="496">
        <f t="shared" si="28"/>
        <v>26</v>
      </c>
      <c r="T130" s="496"/>
      <c r="U130" s="496"/>
      <c r="V130" s="496"/>
      <c r="W130" s="496"/>
      <c r="X130" s="496"/>
      <c r="Y130" s="496"/>
      <c r="Z130" s="1245">
        <f t="shared" si="5"/>
        <v>26</v>
      </c>
      <c r="AA130" s="1245" t="str">
        <f t="shared" si="6"/>
        <v>-</v>
      </c>
      <c r="AB130" s="893" t="s">
        <v>1788</v>
      </c>
      <c r="AC130" s="491" t="s">
        <v>1665</v>
      </c>
      <c r="AF130" s="466"/>
      <c r="AG130" s="465"/>
      <c r="AH130" s="465"/>
    </row>
    <row r="131" spans="1:34" s="498" customFormat="1" ht="38.25" hidden="1" x14ac:dyDescent="0.25">
      <c r="A131" s="962"/>
      <c r="B131" s="878" t="s">
        <v>1789</v>
      </c>
      <c r="C131" s="499"/>
      <c r="D131" s="962"/>
      <c r="E131" s="541" t="s">
        <v>227</v>
      </c>
      <c r="F131" s="494"/>
      <c r="G131" s="495"/>
      <c r="H131" s="1245"/>
      <c r="I131" s="496"/>
      <c r="J131" s="496"/>
      <c r="K131" s="496"/>
      <c r="L131" s="496"/>
      <c r="M131" s="496"/>
      <c r="N131" s="496"/>
      <c r="O131" s="496">
        <v>10</v>
      </c>
      <c r="P131" s="496">
        <v>0.5</v>
      </c>
      <c r="Q131" s="496">
        <f t="shared" si="27"/>
        <v>5</v>
      </c>
      <c r="R131" s="496"/>
      <c r="S131" s="496">
        <f t="shared" si="28"/>
        <v>5</v>
      </c>
      <c r="T131" s="496"/>
      <c r="U131" s="496"/>
      <c r="V131" s="496"/>
      <c r="W131" s="496"/>
      <c r="X131" s="496"/>
      <c r="Y131" s="496"/>
      <c r="Z131" s="1245">
        <f t="shared" si="5"/>
        <v>5</v>
      </c>
      <c r="AA131" s="1245" t="str">
        <f t="shared" si="6"/>
        <v>-</v>
      </c>
      <c r="AB131" s="843" t="s">
        <v>1790</v>
      </c>
      <c r="AC131" s="491" t="s">
        <v>1665</v>
      </c>
      <c r="AF131" s="466"/>
      <c r="AG131" s="465"/>
      <c r="AH131" s="465"/>
    </row>
    <row r="132" spans="1:34" s="498" customFormat="1" hidden="1" x14ac:dyDescent="0.25">
      <c r="A132" s="962"/>
      <c r="B132" s="878" t="s">
        <v>1791</v>
      </c>
      <c r="C132" s="499"/>
      <c r="D132" s="962"/>
      <c r="E132" s="541" t="s">
        <v>227</v>
      </c>
      <c r="F132" s="494"/>
      <c r="G132" s="495"/>
      <c r="H132" s="1245"/>
      <c r="I132" s="496"/>
      <c r="J132" s="496"/>
      <c r="K132" s="496"/>
      <c r="L132" s="496"/>
      <c r="M132" s="496"/>
      <c r="N132" s="496"/>
      <c r="O132" s="496">
        <v>1</v>
      </c>
      <c r="P132" s="496">
        <v>1.5</v>
      </c>
      <c r="Q132" s="496">
        <f t="shared" si="27"/>
        <v>1.5</v>
      </c>
      <c r="R132" s="496"/>
      <c r="S132" s="496">
        <f t="shared" si="28"/>
        <v>1.5</v>
      </c>
      <c r="T132" s="496"/>
      <c r="U132" s="496"/>
      <c r="V132" s="496"/>
      <c r="W132" s="496"/>
      <c r="X132" s="496"/>
      <c r="Y132" s="496"/>
      <c r="Z132" s="1245">
        <f t="shared" si="5"/>
        <v>1.5</v>
      </c>
      <c r="AA132" s="1245" t="str">
        <f t="shared" si="6"/>
        <v>-</v>
      </c>
      <c r="AB132" s="843"/>
      <c r="AC132" s="491" t="s">
        <v>1665</v>
      </c>
      <c r="AF132" s="466"/>
      <c r="AG132" s="465"/>
      <c r="AH132" s="465"/>
    </row>
    <row r="133" spans="1:34" s="498" customFormat="1" hidden="1" x14ac:dyDescent="0.25">
      <c r="A133" s="962"/>
      <c r="B133" s="878" t="s">
        <v>1792</v>
      </c>
      <c r="C133" s="499"/>
      <c r="D133" s="962"/>
      <c r="E133" s="541" t="s">
        <v>227</v>
      </c>
      <c r="F133" s="494"/>
      <c r="G133" s="495"/>
      <c r="H133" s="1245"/>
      <c r="I133" s="496"/>
      <c r="J133" s="496"/>
      <c r="K133" s="496"/>
      <c r="L133" s="496"/>
      <c r="M133" s="496"/>
      <c r="N133" s="496"/>
      <c r="O133" s="496">
        <v>10</v>
      </c>
      <c r="P133" s="496">
        <v>1</v>
      </c>
      <c r="Q133" s="496">
        <f t="shared" si="27"/>
        <v>10</v>
      </c>
      <c r="R133" s="496"/>
      <c r="S133" s="496">
        <f t="shared" si="28"/>
        <v>10</v>
      </c>
      <c r="T133" s="496"/>
      <c r="U133" s="496"/>
      <c r="V133" s="496"/>
      <c r="W133" s="496"/>
      <c r="X133" s="496"/>
      <c r="Y133" s="496"/>
      <c r="Z133" s="1245">
        <f t="shared" si="5"/>
        <v>10</v>
      </c>
      <c r="AA133" s="1245" t="str">
        <f t="shared" si="6"/>
        <v>-</v>
      </c>
      <c r="AB133" s="843"/>
      <c r="AC133" s="491" t="s">
        <v>1665</v>
      </c>
      <c r="AF133" s="466"/>
      <c r="AG133" s="465"/>
      <c r="AH133" s="465"/>
    </row>
    <row r="134" spans="1:34" s="889" customFormat="1" ht="107.25" hidden="1" customHeight="1" x14ac:dyDescent="0.25">
      <c r="A134" s="885"/>
      <c r="B134" s="1866" t="s">
        <v>1793</v>
      </c>
      <c r="C134" s="894"/>
      <c r="D134" s="885"/>
      <c r="E134" s="1867"/>
      <c r="F134" s="1868"/>
      <c r="G134" s="1868"/>
      <c r="H134" s="887"/>
      <c r="I134" s="1868"/>
      <c r="J134" s="1868"/>
      <c r="K134" s="887"/>
      <c r="L134" s="1868"/>
      <c r="M134" s="1868"/>
      <c r="N134" s="887"/>
      <c r="O134" s="1868"/>
      <c r="P134" s="1868"/>
      <c r="Q134" s="884">
        <f>Q135+Q141+Q142+Q144</f>
        <v>75.099999999999994</v>
      </c>
      <c r="R134" s="884">
        <f t="shared" ref="R134" si="29">R135+R141+R142+R144</f>
        <v>0</v>
      </c>
      <c r="S134" s="884">
        <f>S135+S141+S142+S144</f>
        <v>75.099999999999994</v>
      </c>
      <c r="T134" s="1868"/>
      <c r="U134" s="1868"/>
      <c r="V134" s="887"/>
      <c r="W134" s="1868"/>
      <c r="X134" s="1868"/>
      <c r="Y134" s="887"/>
      <c r="Z134" s="895">
        <f t="shared" si="5"/>
        <v>75.099999999999994</v>
      </c>
      <c r="AA134" s="895" t="str">
        <f t="shared" si="6"/>
        <v>-</v>
      </c>
      <c r="AB134" s="1869" t="s">
        <v>1794</v>
      </c>
      <c r="AC134" s="491" t="s">
        <v>1665</v>
      </c>
      <c r="AF134" s="872"/>
      <c r="AG134" s="890"/>
      <c r="AH134" s="890"/>
    </row>
    <row r="135" spans="1:34" s="498" customFormat="1" hidden="1" x14ac:dyDescent="0.25">
      <c r="A135" s="962"/>
      <c r="B135" s="1861" t="s">
        <v>1233</v>
      </c>
      <c r="C135" s="508" t="s">
        <v>1230</v>
      </c>
      <c r="D135" s="962"/>
      <c r="E135" s="535"/>
      <c r="F135" s="682"/>
      <c r="G135" s="682"/>
      <c r="H135" s="496"/>
      <c r="I135" s="682"/>
      <c r="J135" s="682"/>
      <c r="K135" s="496"/>
      <c r="L135" s="682"/>
      <c r="M135" s="682"/>
      <c r="N135" s="496"/>
      <c r="O135" s="682"/>
      <c r="P135" s="682"/>
      <c r="Q135" s="532">
        <f>SUM(Q136:Q140)</f>
        <v>38.1</v>
      </c>
      <c r="R135" s="532"/>
      <c r="S135" s="532">
        <f>Q135</f>
        <v>38.1</v>
      </c>
      <c r="T135" s="682"/>
      <c r="U135" s="682"/>
      <c r="V135" s="496"/>
      <c r="W135" s="682"/>
      <c r="X135" s="682"/>
      <c r="Y135" s="496"/>
      <c r="Z135" s="1245">
        <f t="shared" si="5"/>
        <v>38.1</v>
      </c>
      <c r="AA135" s="1245" t="str">
        <f t="shared" si="6"/>
        <v>-</v>
      </c>
      <c r="AB135" s="1870"/>
      <c r="AC135" s="491" t="s">
        <v>1665</v>
      </c>
      <c r="AF135" s="466"/>
      <c r="AG135" s="465"/>
      <c r="AH135" s="465"/>
    </row>
    <row r="136" spans="1:34" s="1876" customFormat="1" hidden="1" x14ac:dyDescent="0.25">
      <c r="A136" s="541"/>
      <c r="B136" s="1871" t="s">
        <v>1737</v>
      </c>
      <c r="C136" s="1872"/>
      <c r="D136" s="541"/>
      <c r="E136" s="1040" t="s">
        <v>318</v>
      </c>
      <c r="F136" s="1873"/>
      <c r="G136" s="1873"/>
      <c r="H136" s="908"/>
      <c r="I136" s="1873"/>
      <c r="J136" s="1873"/>
      <c r="K136" s="908"/>
      <c r="L136" s="1873"/>
      <c r="M136" s="1873"/>
      <c r="N136" s="908"/>
      <c r="O136" s="1873">
        <v>1</v>
      </c>
      <c r="P136" s="1873">
        <v>10</v>
      </c>
      <c r="Q136" s="908">
        <f>O136*P136</f>
        <v>10</v>
      </c>
      <c r="R136" s="908"/>
      <c r="S136" s="908">
        <f t="shared" ref="S136:S145" si="30">Q136</f>
        <v>10</v>
      </c>
      <c r="T136" s="1873"/>
      <c r="U136" s="1873"/>
      <c r="V136" s="908"/>
      <c r="W136" s="1873"/>
      <c r="X136" s="1873"/>
      <c r="Y136" s="908"/>
      <c r="Z136" s="1874">
        <f t="shared" si="5"/>
        <v>10</v>
      </c>
      <c r="AA136" s="1874" t="str">
        <f t="shared" si="6"/>
        <v>-</v>
      </c>
      <c r="AB136" s="3527" t="s">
        <v>1795</v>
      </c>
      <c r="AC136" s="1875" t="s">
        <v>1665</v>
      </c>
      <c r="AF136" s="1877"/>
      <c r="AG136" s="379"/>
      <c r="AH136" s="379"/>
    </row>
    <row r="137" spans="1:34" s="1876" customFormat="1" hidden="1" x14ac:dyDescent="0.25">
      <c r="A137" s="541"/>
      <c r="B137" s="1871" t="s">
        <v>1754</v>
      </c>
      <c r="C137" s="1872"/>
      <c r="D137" s="541"/>
      <c r="E137" s="1040" t="s">
        <v>318</v>
      </c>
      <c r="F137" s="1873"/>
      <c r="G137" s="1873"/>
      <c r="H137" s="908"/>
      <c r="I137" s="1873"/>
      <c r="J137" s="1873"/>
      <c r="K137" s="908"/>
      <c r="L137" s="1873"/>
      <c r="M137" s="1873"/>
      <c r="N137" s="908"/>
      <c r="O137" s="1873">
        <v>2</v>
      </c>
      <c r="P137" s="1873">
        <v>5</v>
      </c>
      <c r="Q137" s="908">
        <f>O137*P137</f>
        <v>10</v>
      </c>
      <c r="R137" s="908"/>
      <c r="S137" s="908">
        <f t="shared" si="30"/>
        <v>10</v>
      </c>
      <c r="T137" s="1873"/>
      <c r="U137" s="1873"/>
      <c r="V137" s="908"/>
      <c r="W137" s="1873"/>
      <c r="X137" s="1873"/>
      <c r="Y137" s="908"/>
      <c r="Z137" s="1874">
        <f t="shared" ref="Z137:Z173" si="31">Q137-K137</f>
        <v>10</v>
      </c>
      <c r="AA137" s="1874" t="str">
        <f t="shared" ref="AA137:AA173" si="32">IFERROR(Q137/K137*100,"-")</f>
        <v>-</v>
      </c>
      <c r="AB137" s="3528"/>
      <c r="AC137" s="1875" t="s">
        <v>1665</v>
      </c>
      <c r="AF137" s="1877"/>
      <c r="AG137" s="1878">
        <f>Q134-[17]ПГ!$Q$187</f>
        <v>2.5</v>
      </c>
      <c r="AH137" s="379"/>
    </row>
    <row r="138" spans="1:34" s="1876" customFormat="1" hidden="1" x14ac:dyDescent="0.25">
      <c r="A138" s="541"/>
      <c r="B138" s="1879" t="s">
        <v>1796</v>
      </c>
      <c r="C138" s="1872"/>
      <c r="D138" s="541"/>
      <c r="E138" s="1040" t="s">
        <v>318</v>
      </c>
      <c r="F138" s="1873"/>
      <c r="G138" s="1873"/>
      <c r="H138" s="908"/>
      <c r="I138" s="1873"/>
      <c r="J138" s="1873"/>
      <c r="K138" s="908"/>
      <c r="L138" s="1873"/>
      <c r="M138" s="1873"/>
      <c r="N138" s="908"/>
      <c r="O138" s="1873">
        <v>1</v>
      </c>
      <c r="P138" s="1873">
        <v>10</v>
      </c>
      <c r="Q138" s="908">
        <f>O138*P138</f>
        <v>10</v>
      </c>
      <c r="R138" s="908"/>
      <c r="S138" s="908">
        <f t="shared" si="30"/>
        <v>10</v>
      </c>
      <c r="T138" s="1873"/>
      <c r="U138" s="1873"/>
      <c r="V138" s="908"/>
      <c r="W138" s="1873"/>
      <c r="X138" s="1873"/>
      <c r="Y138" s="908"/>
      <c r="Z138" s="1874">
        <f t="shared" si="31"/>
        <v>10</v>
      </c>
      <c r="AA138" s="1874" t="str">
        <f t="shared" si="32"/>
        <v>-</v>
      </c>
      <c r="AB138" s="3529"/>
      <c r="AC138" s="1875" t="s">
        <v>1665</v>
      </c>
      <c r="AF138" s="1877"/>
      <c r="AG138" s="379"/>
      <c r="AH138" s="379"/>
    </row>
    <row r="139" spans="1:34" s="1876" customFormat="1" hidden="1" x14ac:dyDescent="0.25">
      <c r="A139" s="541"/>
      <c r="B139" s="1879" t="s">
        <v>1797</v>
      </c>
      <c r="C139" s="1872"/>
      <c r="D139" s="541"/>
      <c r="E139" s="1040" t="s">
        <v>318</v>
      </c>
      <c r="F139" s="1873"/>
      <c r="G139" s="1873"/>
      <c r="H139" s="908"/>
      <c r="I139" s="1873"/>
      <c r="J139" s="1873"/>
      <c r="K139" s="908"/>
      <c r="L139" s="1873"/>
      <c r="M139" s="1873"/>
      <c r="N139" s="908"/>
      <c r="O139" s="1873"/>
      <c r="P139" s="1873"/>
      <c r="Q139" s="908">
        <f>O139*P139</f>
        <v>0</v>
      </c>
      <c r="R139" s="908"/>
      <c r="S139" s="908">
        <f t="shared" si="30"/>
        <v>0</v>
      </c>
      <c r="T139" s="1873"/>
      <c r="U139" s="1873"/>
      <c r="V139" s="908"/>
      <c r="W139" s="1873"/>
      <c r="X139" s="1873"/>
      <c r="Y139" s="908"/>
      <c r="Z139" s="1874">
        <f t="shared" si="31"/>
        <v>0</v>
      </c>
      <c r="AA139" s="1874" t="str">
        <f t="shared" si="32"/>
        <v>-</v>
      </c>
      <c r="AB139" s="1870"/>
      <c r="AC139" s="1875" t="s">
        <v>1665</v>
      </c>
      <c r="AF139" s="1877"/>
      <c r="AG139" s="379"/>
      <c r="AH139" s="379"/>
    </row>
    <row r="140" spans="1:34" s="1876" customFormat="1" hidden="1" x14ac:dyDescent="0.25">
      <c r="A140" s="541"/>
      <c r="B140" s="1880" t="s">
        <v>1729</v>
      </c>
      <c r="C140" s="1872"/>
      <c r="D140" s="541"/>
      <c r="E140" s="1040"/>
      <c r="F140" s="1873"/>
      <c r="G140" s="1873"/>
      <c r="H140" s="908"/>
      <c r="I140" s="1873"/>
      <c r="J140" s="1873"/>
      <c r="K140" s="908"/>
      <c r="L140" s="1873"/>
      <c r="M140" s="1873"/>
      <c r="N140" s="908"/>
      <c r="O140" s="1873"/>
      <c r="P140" s="1873"/>
      <c r="Q140" s="908">
        <f>SUM(Q136:Q139)*0.271</f>
        <v>8.1</v>
      </c>
      <c r="R140" s="908"/>
      <c r="S140" s="908">
        <f t="shared" si="30"/>
        <v>8.1</v>
      </c>
      <c r="T140" s="1873"/>
      <c r="U140" s="1873"/>
      <c r="V140" s="908"/>
      <c r="W140" s="1873"/>
      <c r="X140" s="1873"/>
      <c r="Y140" s="908"/>
      <c r="Z140" s="1874">
        <f t="shared" si="31"/>
        <v>8.1</v>
      </c>
      <c r="AA140" s="1874" t="str">
        <f t="shared" si="32"/>
        <v>-</v>
      </c>
      <c r="AB140" s="1870"/>
      <c r="AC140" s="1875" t="s">
        <v>1665</v>
      </c>
      <c r="AF140" s="1877"/>
      <c r="AG140" s="379"/>
      <c r="AH140" s="379"/>
    </row>
    <row r="141" spans="1:34" s="1876" customFormat="1" hidden="1" x14ac:dyDescent="0.25">
      <c r="A141" s="541"/>
      <c r="B141" s="876" t="s">
        <v>1798</v>
      </c>
      <c r="C141" s="508" t="s">
        <v>797</v>
      </c>
      <c r="D141" s="962"/>
      <c r="E141" s="535" t="s">
        <v>227</v>
      </c>
      <c r="F141" s="682"/>
      <c r="G141" s="682"/>
      <c r="H141" s="496"/>
      <c r="I141" s="682"/>
      <c r="J141" s="682"/>
      <c r="K141" s="496"/>
      <c r="L141" s="682"/>
      <c r="M141" s="682"/>
      <c r="N141" s="496"/>
      <c r="O141" s="1825">
        <v>50</v>
      </c>
      <c r="P141" s="1825">
        <v>0.1</v>
      </c>
      <c r="Q141" s="532">
        <f>O141*P141</f>
        <v>5</v>
      </c>
      <c r="R141" s="532"/>
      <c r="S141" s="532">
        <f t="shared" si="30"/>
        <v>5</v>
      </c>
      <c r="T141" s="682"/>
      <c r="U141" s="1873"/>
      <c r="V141" s="908"/>
      <c r="W141" s="1873"/>
      <c r="X141" s="1873"/>
      <c r="Y141" s="908"/>
      <c r="Z141" s="1874">
        <f t="shared" si="31"/>
        <v>5</v>
      </c>
      <c r="AA141" s="1874" t="str">
        <f t="shared" si="32"/>
        <v>-</v>
      </c>
      <c r="AB141" s="1881" t="s">
        <v>1799</v>
      </c>
      <c r="AC141" s="1875" t="s">
        <v>1665</v>
      </c>
      <c r="AF141" s="1877"/>
      <c r="AG141" s="379"/>
      <c r="AH141" s="379"/>
    </row>
    <row r="142" spans="1:34" s="1876" customFormat="1" ht="28.5" customHeight="1" x14ac:dyDescent="0.25">
      <c r="A142" s="541"/>
      <c r="B142" s="876" t="s">
        <v>1226</v>
      </c>
      <c r="C142" s="1882" t="s">
        <v>796</v>
      </c>
      <c r="D142" s="962"/>
      <c r="E142" s="535"/>
      <c r="F142" s="682"/>
      <c r="G142" s="682"/>
      <c r="H142" s="496"/>
      <c r="I142" s="682"/>
      <c r="J142" s="682"/>
      <c r="K142" s="496"/>
      <c r="L142" s="682"/>
      <c r="M142" s="682"/>
      <c r="N142" s="496"/>
      <c r="O142" s="682"/>
      <c r="P142" s="682"/>
      <c r="Q142" s="532">
        <f>SUM(Q143:Q143)</f>
        <v>30</v>
      </c>
      <c r="R142" s="532"/>
      <c r="S142" s="532">
        <f t="shared" si="30"/>
        <v>30</v>
      </c>
      <c r="T142" s="682"/>
      <c r="U142" s="1873"/>
      <c r="V142" s="908"/>
      <c r="W142" s="1873"/>
      <c r="X142" s="1873"/>
      <c r="Y142" s="908"/>
      <c r="Z142" s="1874">
        <f t="shared" si="31"/>
        <v>30</v>
      </c>
      <c r="AA142" s="1874" t="str">
        <f t="shared" si="32"/>
        <v>-</v>
      </c>
      <c r="AB142" s="3527" t="s">
        <v>1800</v>
      </c>
      <c r="AC142" s="1875" t="s">
        <v>1665</v>
      </c>
      <c r="AF142" s="1877"/>
      <c r="AG142" s="379"/>
      <c r="AH142" s="379"/>
    </row>
    <row r="143" spans="1:34" s="1876" customFormat="1" hidden="1" x14ac:dyDescent="0.25">
      <c r="A143" s="541"/>
      <c r="B143" s="1880" t="s">
        <v>1801</v>
      </c>
      <c r="C143" s="1872"/>
      <c r="D143" s="541"/>
      <c r="E143" s="1040" t="s">
        <v>227</v>
      </c>
      <c r="F143" s="1873"/>
      <c r="G143" s="1873"/>
      <c r="H143" s="908"/>
      <c r="I143" s="1873"/>
      <c r="J143" s="1873"/>
      <c r="K143" s="908"/>
      <c r="L143" s="1873"/>
      <c r="M143" s="1873"/>
      <c r="N143" s="908"/>
      <c r="O143" s="1873">
        <v>3</v>
      </c>
      <c r="P143" s="1873">
        <v>10</v>
      </c>
      <c r="Q143" s="908">
        <v>30</v>
      </c>
      <c r="R143" s="908"/>
      <c r="S143" s="908">
        <f t="shared" si="30"/>
        <v>30</v>
      </c>
      <c r="T143" s="1873"/>
      <c r="U143" s="1873"/>
      <c r="V143" s="908"/>
      <c r="W143" s="1873"/>
      <c r="X143" s="1873"/>
      <c r="Y143" s="908"/>
      <c r="Z143" s="1874">
        <f t="shared" si="31"/>
        <v>30</v>
      </c>
      <c r="AA143" s="1874" t="str">
        <f t="shared" si="32"/>
        <v>-</v>
      </c>
      <c r="AB143" s="3529"/>
      <c r="AC143" s="1875" t="s">
        <v>1665</v>
      </c>
      <c r="AF143" s="1877"/>
      <c r="AG143" s="379"/>
      <c r="AH143" s="379"/>
    </row>
    <row r="144" spans="1:34" s="498" customFormat="1" hidden="1" x14ac:dyDescent="0.25">
      <c r="A144" s="962"/>
      <c r="B144" s="876" t="s">
        <v>1741</v>
      </c>
      <c r="C144" s="508" t="s">
        <v>797</v>
      </c>
      <c r="D144" s="962"/>
      <c r="E144" s="535"/>
      <c r="F144" s="682"/>
      <c r="G144" s="682"/>
      <c r="H144" s="496"/>
      <c r="I144" s="682"/>
      <c r="J144" s="682"/>
      <c r="K144" s="496"/>
      <c r="L144" s="682"/>
      <c r="M144" s="682"/>
      <c r="N144" s="496"/>
      <c r="O144" s="682"/>
      <c r="P144" s="682"/>
      <c r="Q144" s="532">
        <f>Q145</f>
        <v>2</v>
      </c>
      <c r="R144" s="532"/>
      <c r="S144" s="532">
        <f t="shared" si="30"/>
        <v>2</v>
      </c>
      <c r="T144" s="682"/>
      <c r="U144" s="682"/>
      <c r="V144" s="496"/>
      <c r="W144" s="682"/>
      <c r="X144" s="682"/>
      <c r="Y144" s="496"/>
      <c r="Z144" s="1245">
        <f t="shared" si="31"/>
        <v>2</v>
      </c>
      <c r="AA144" s="1245" t="str">
        <f t="shared" si="32"/>
        <v>-</v>
      </c>
      <c r="AB144" s="1870"/>
      <c r="AC144" s="491" t="s">
        <v>1665</v>
      </c>
      <c r="AF144" s="466"/>
      <c r="AG144" s="465"/>
      <c r="AH144" s="465"/>
    </row>
    <row r="145" spans="1:34" s="498" customFormat="1" hidden="1" x14ac:dyDescent="0.25">
      <c r="A145" s="962"/>
      <c r="B145" s="502" t="s">
        <v>1769</v>
      </c>
      <c r="C145" s="499"/>
      <c r="D145" s="962"/>
      <c r="E145" s="535" t="s">
        <v>227</v>
      </c>
      <c r="F145" s="682"/>
      <c r="G145" s="682"/>
      <c r="H145" s="496"/>
      <c r="I145" s="682"/>
      <c r="J145" s="682"/>
      <c r="K145" s="496"/>
      <c r="L145" s="682"/>
      <c r="M145" s="682"/>
      <c r="N145" s="496"/>
      <c r="O145" s="682">
        <v>20</v>
      </c>
      <c r="P145" s="682">
        <v>0.1</v>
      </c>
      <c r="Q145" s="496">
        <f>O145*P145</f>
        <v>2</v>
      </c>
      <c r="R145" s="496"/>
      <c r="S145" s="496">
        <f t="shared" si="30"/>
        <v>2</v>
      </c>
      <c r="T145" s="682"/>
      <c r="U145" s="682"/>
      <c r="V145" s="496"/>
      <c r="W145" s="682"/>
      <c r="X145" s="682"/>
      <c r="Y145" s="496"/>
      <c r="Z145" s="1245">
        <f t="shared" si="31"/>
        <v>2</v>
      </c>
      <c r="AA145" s="1245" t="str">
        <f t="shared" si="32"/>
        <v>-</v>
      </c>
      <c r="AB145" s="1870"/>
      <c r="AC145" s="491" t="s">
        <v>1665</v>
      </c>
      <c r="AF145" s="466"/>
      <c r="AG145" s="465"/>
      <c r="AH145" s="465"/>
    </row>
    <row r="146" spans="1:34" s="517" customFormat="1" ht="14.25" hidden="1" x14ac:dyDescent="0.2">
      <c r="A146" s="487"/>
      <c r="B146" s="543" t="s">
        <v>1802</v>
      </c>
      <c r="C146" s="511"/>
      <c r="D146" s="487"/>
      <c r="E146" s="490"/>
      <c r="F146" s="832"/>
      <c r="G146" s="833"/>
      <c r="H146" s="513" t="e">
        <f>#REF!+#REF!+H147</f>
        <v>#REF!</v>
      </c>
      <c r="I146" s="513"/>
      <c r="J146" s="513"/>
      <c r="K146" s="513">
        <f>K147</f>
        <v>27</v>
      </c>
      <c r="L146" s="513"/>
      <c r="M146" s="513"/>
      <c r="N146" s="513">
        <f>N147</f>
        <v>27</v>
      </c>
      <c r="O146" s="513"/>
      <c r="P146" s="513"/>
      <c r="Q146" s="513">
        <f>Q147</f>
        <v>57.2</v>
      </c>
      <c r="R146" s="513">
        <f>R147</f>
        <v>57.2</v>
      </c>
      <c r="S146" s="513">
        <f>S147</f>
        <v>0</v>
      </c>
      <c r="T146" s="513"/>
      <c r="U146" s="513"/>
      <c r="V146" s="513">
        <f>V147</f>
        <v>50.9</v>
      </c>
      <c r="W146" s="513"/>
      <c r="X146" s="513"/>
      <c r="Y146" s="513">
        <f>Y147</f>
        <v>50.9</v>
      </c>
      <c r="Z146" s="513">
        <f t="shared" si="31"/>
        <v>30.2</v>
      </c>
      <c r="AA146" s="513">
        <f t="shared" si="32"/>
        <v>211.9</v>
      </c>
      <c r="AB146" s="897"/>
      <c r="AC146" s="515"/>
      <c r="AF146" s="518"/>
      <c r="AG146" s="519"/>
      <c r="AH146" s="519"/>
    </row>
    <row r="147" spans="1:34" s="527" customFormat="1" ht="38.25" hidden="1" x14ac:dyDescent="0.2">
      <c r="A147" s="522"/>
      <c r="B147" s="520" t="s">
        <v>1664</v>
      </c>
      <c r="C147" s="521"/>
      <c r="D147" s="522" t="s">
        <v>1444</v>
      </c>
      <c r="E147" s="522"/>
      <c r="F147" s="851"/>
      <c r="G147" s="852"/>
      <c r="H147" s="526">
        <f>H154+H156</f>
        <v>29</v>
      </c>
      <c r="I147" s="853"/>
      <c r="J147" s="853"/>
      <c r="K147" s="526">
        <f>K154+K155+K156</f>
        <v>27</v>
      </c>
      <c r="L147" s="853"/>
      <c r="M147" s="853"/>
      <c r="N147" s="526">
        <f>N154+N155+N156</f>
        <v>27</v>
      </c>
      <c r="O147" s="853"/>
      <c r="P147" s="853"/>
      <c r="Q147" s="526">
        <f>Q148+Q154+Q155+Q156</f>
        <v>57.2</v>
      </c>
      <c r="R147" s="526">
        <f t="shared" ref="R147:R210" si="33">Q147</f>
        <v>57.2</v>
      </c>
      <c r="S147" s="526"/>
      <c r="T147" s="853"/>
      <c r="U147" s="853"/>
      <c r="V147" s="526">
        <f>V148+V154+V155+V156</f>
        <v>50.9</v>
      </c>
      <c r="W147" s="853"/>
      <c r="X147" s="853"/>
      <c r="Y147" s="526">
        <f>Y148+Y154+Y155+Y156</f>
        <v>50.9</v>
      </c>
      <c r="Z147" s="526">
        <f t="shared" si="31"/>
        <v>30.2</v>
      </c>
      <c r="AA147" s="526">
        <f t="shared" si="32"/>
        <v>211.9</v>
      </c>
      <c r="AB147" s="1883"/>
      <c r="AC147" s="549" t="s">
        <v>1665</v>
      </c>
      <c r="AF147" s="528"/>
      <c r="AG147" s="528"/>
      <c r="AH147" s="528"/>
    </row>
    <row r="148" spans="1:34" s="492" customFormat="1" ht="14.25" hidden="1" x14ac:dyDescent="0.2">
      <c r="A148" s="1240"/>
      <c r="B148" s="1861" t="s">
        <v>1233</v>
      </c>
      <c r="C148" s="501" t="s">
        <v>1230</v>
      </c>
      <c r="D148" s="1240"/>
      <c r="E148" s="1240"/>
      <c r="F148" s="530"/>
      <c r="G148" s="531"/>
      <c r="H148" s="542"/>
      <c r="I148" s="493"/>
      <c r="J148" s="493"/>
      <c r="K148" s="542"/>
      <c r="L148" s="493"/>
      <c r="M148" s="493"/>
      <c r="N148" s="542"/>
      <c r="O148" s="493"/>
      <c r="P148" s="493"/>
      <c r="Q148" s="542">
        <f>SUM(Q149:Q153)</f>
        <v>30.2</v>
      </c>
      <c r="R148" s="542">
        <f t="shared" si="33"/>
        <v>30.2</v>
      </c>
      <c r="S148" s="542"/>
      <c r="T148" s="493"/>
      <c r="U148" s="493"/>
      <c r="V148" s="542">
        <f>SUM(V149:V153)</f>
        <v>19.100000000000001</v>
      </c>
      <c r="W148" s="493"/>
      <c r="X148" s="493"/>
      <c r="Y148" s="542">
        <f>SUM(Y149:Y153)</f>
        <v>19.100000000000001</v>
      </c>
      <c r="Z148" s="542">
        <f t="shared" si="31"/>
        <v>30.2</v>
      </c>
      <c r="AA148" s="542" t="str">
        <f t="shared" si="32"/>
        <v>-</v>
      </c>
      <c r="AB148" s="1884" t="s">
        <v>1803</v>
      </c>
      <c r="AC148" s="549" t="s">
        <v>1665</v>
      </c>
      <c r="AF148" s="466"/>
      <c r="AG148" s="466"/>
      <c r="AH148" s="466"/>
    </row>
    <row r="149" spans="1:34" s="492" customFormat="1" ht="14.25" hidden="1" x14ac:dyDescent="0.2">
      <c r="A149" s="1240"/>
      <c r="B149" s="1885" t="s">
        <v>1804</v>
      </c>
      <c r="C149" s="501"/>
      <c r="D149" s="1240"/>
      <c r="E149" s="962" t="s">
        <v>318</v>
      </c>
      <c r="F149" s="530"/>
      <c r="G149" s="531"/>
      <c r="H149" s="542"/>
      <c r="I149" s="493"/>
      <c r="J149" s="493"/>
      <c r="K149" s="542"/>
      <c r="L149" s="493"/>
      <c r="M149" s="493"/>
      <c r="N149" s="542"/>
      <c r="O149" s="1886">
        <v>1</v>
      </c>
      <c r="P149" s="1245">
        <v>2.2999999999999998</v>
      </c>
      <c r="Q149" s="857">
        <f>O149*P149</f>
        <v>2.2999999999999998</v>
      </c>
      <c r="R149" s="857">
        <f t="shared" si="33"/>
        <v>2.2999999999999998</v>
      </c>
      <c r="S149" s="857"/>
      <c r="T149" s="1886">
        <v>1</v>
      </c>
      <c r="U149" s="1245">
        <v>2.2999999999999998</v>
      </c>
      <c r="V149" s="857">
        <f>T149*U149</f>
        <v>2.2999999999999998</v>
      </c>
      <c r="W149" s="1886">
        <v>1</v>
      </c>
      <c r="X149" s="1245">
        <v>2.2999999999999998</v>
      </c>
      <c r="Y149" s="857">
        <f>W149*X149</f>
        <v>2.2999999999999998</v>
      </c>
      <c r="Z149" s="542">
        <f t="shared" si="31"/>
        <v>2.2999999999999998</v>
      </c>
      <c r="AA149" s="542" t="str">
        <f t="shared" si="32"/>
        <v>-</v>
      </c>
      <c r="AB149" s="1884" t="s">
        <v>1805</v>
      </c>
      <c r="AC149" s="491" t="s">
        <v>1665</v>
      </c>
      <c r="AF149" s="466"/>
      <c r="AG149" s="466"/>
      <c r="AH149" s="466"/>
    </row>
    <row r="150" spans="1:34" s="492" customFormat="1" ht="52.5" hidden="1" customHeight="1" x14ac:dyDescent="0.2">
      <c r="A150" s="1240"/>
      <c r="B150" s="1885" t="s">
        <v>1757</v>
      </c>
      <c r="C150" s="501"/>
      <c r="D150" s="1240"/>
      <c r="E150" s="962" t="s">
        <v>318</v>
      </c>
      <c r="F150" s="530"/>
      <c r="G150" s="531"/>
      <c r="H150" s="542"/>
      <c r="I150" s="493"/>
      <c r="J150" s="493"/>
      <c r="K150" s="542"/>
      <c r="L150" s="493"/>
      <c r="M150" s="493"/>
      <c r="N150" s="542"/>
      <c r="O150" s="1886">
        <v>2</v>
      </c>
      <c r="P150" s="1245">
        <v>3.5</v>
      </c>
      <c r="Q150" s="857">
        <f t="shared" ref="Q150:Q151" si="34">O150*P150</f>
        <v>7</v>
      </c>
      <c r="R150" s="857">
        <f t="shared" si="33"/>
        <v>7</v>
      </c>
      <c r="S150" s="857"/>
      <c r="T150" s="1886">
        <v>2</v>
      </c>
      <c r="U150" s="1245">
        <v>3.5</v>
      </c>
      <c r="V150" s="857">
        <f t="shared" ref="V150:V151" si="35">T150*U150</f>
        <v>7</v>
      </c>
      <c r="W150" s="1886">
        <v>2</v>
      </c>
      <c r="X150" s="1245">
        <v>3.5</v>
      </c>
      <c r="Y150" s="857">
        <f t="shared" ref="Y150:Y151" si="36">W150*X150</f>
        <v>7</v>
      </c>
      <c r="Z150" s="542">
        <f t="shared" si="31"/>
        <v>7</v>
      </c>
      <c r="AA150" s="542" t="str">
        <f t="shared" si="32"/>
        <v>-</v>
      </c>
      <c r="AB150" s="1884" t="s">
        <v>1806</v>
      </c>
      <c r="AC150" s="491" t="s">
        <v>1665</v>
      </c>
      <c r="AF150" s="466"/>
      <c r="AG150" s="466"/>
      <c r="AH150" s="466"/>
    </row>
    <row r="151" spans="1:34" s="492" customFormat="1" ht="72" hidden="1" customHeight="1" x14ac:dyDescent="0.2">
      <c r="A151" s="1240"/>
      <c r="B151" s="1885" t="s">
        <v>1807</v>
      </c>
      <c r="C151" s="501"/>
      <c r="D151" s="1240"/>
      <c r="E151" s="962" t="s">
        <v>318</v>
      </c>
      <c r="F151" s="530"/>
      <c r="G151" s="531"/>
      <c r="H151" s="542"/>
      <c r="I151" s="493"/>
      <c r="J151" s="493"/>
      <c r="K151" s="542"/>
      <c r="L151" s="493"/>
      <c r="M151" s="493"/>
      <c r="N151" s="542"/>
      <c r="O151" s="1886">
        <v>1</v>
      </c>
      <c r="P151" s="1245">
        <v>4</v>
      </c>
      <c r="Q151" s="857">
        <f t="shared" si="34"/>
        <v>4</v>
      </c>
      <c r="R151" s="857">
        <f t="shared" si="33"/>
        <v>4</v>
      </c>
      <c r="S151" s="857"/>
      <c r="T151" s="1886">
        <v>1</v>
      </c>
      <c r="U151" s="1245">
        <v>4</v>
      </c>
      <c r="V151" s="857">
        <f t="shared" si="35"/>
        <v>4</v>
      </c>
      <c r="W151" s="1886">
        <v>1</v>
      </c>
      <c r="X151" s="1245">
        <v>4</v>
      </c>
      <c r="Y151" s="857">
        <f t="shared" si="36"/>
        <v>4</v>
      </c>
      <c r="Z151" s="542">
        <f t="shared" si="31"/>
        <v>4</v>
      </c>
      <c r="AA151" s="542" t="str">
        <f t="shared" si="32"/>
        <v>-</v>
      </c>
      <c r="AB151" s="901" t="s">
        <v>1808</v>
      </c>
      <c r="AC151" s="491" t="s">
        <v>1665</v>
      </c>
      <c r="AF151" s="466"/>
      <c r="AG151" s="466"/>
      <c r="AH151" s="466"/>
    </row>
    <row r="152" spans="1:34" s="492" customFormat="1" ht="38.25" hidden="1" x14ac:dyDescent="0.2">
      <c r="A152" s="1240"/>
      <c r="B152" s="1862" t="s">
        <v>1809</v>
      </c>
      <c r="C152" s="501"/>
      <c r="D152" s="1240"/>
      <c r="E152" s="1240" t="s">
        <v>318</v>
      </c>
      <c r="F152" s="530"/>
      <c r="G152" s="531"/>
      <c r="H152" s="542"/>
      <c r="I152" s="493"/>
      <c r="J152" s="493"/>
      <c r="K152" s="542"/>
      <c r="L152" s="493"/>
      <c r="M152" s="493"/>
      <c r="N152" s="542"/>
      <c r="O152" s="1886">
        <v>3</v>
      </c>
      <c r="P152" s="1245">
        <v>3.5</v>
      </c>
      <c r="Q152" s="857">
        <f>O152*P152</f>
        <v>10.5</v>
      </c>
      <c r="R152" s="857">
        <f t="shared" si="33"/>
        <v>10.5</v>
      </c>
      <c r="S152" s="857"/>
      <c r="T152" s="1245">
        <v>2</v>
      </c>
      <c r="U152" s="1245">
        <v>2.2999999999999998</v>
      </c>
      <c r="V152" s="857">
        <f>T152*U152</f>
        <v>4.5999999999999996</v>
      </c>
      <c r="W152" s="1245">
        <v>2</v>
      </c>
      <c r="X152" s="1245">
        <v>2.2999999999999998</v>
      </c>
      <c r="Y152" s="857">
        <f>W152*X152</f>
        <v>4.5999999999999996</v>
      </c>
      <c r="Z152" s="542">
        <f t="shared" si="31"/>
        <v>10.5</v>
      </c>
      <c r="AA152" s="542" t="str">
        <f t="shared" si="32"/>
        <v>-</v>
      </c>
      <c r="AB152" s="1839" t="s">
        <v>1810</v>
      </c>
      <c r="AC152" s="491" t="s">
        <v>1665</v>
      </c>
      <c r="AF152" s="466"/>
      <c r="AG152" s="466"/>
      <c r="AH152" s="466"/>
    </row>
    <row r="153" spans="1:34" s="492" customFormat="1" ht="14.25" hidden="1" x14ac:dyDescent="0.2">
      <c r="A153" s="1240"/>
      <c r="B153" s="881" t="s">
        <v>1729</v>
      </c>
      <c r="C153" s="501"/>
      <c r="D153" s="1240"/>
      <c r="E153" s="1240"/>
      <c r="F153" s="530"/>
      <c r="G153" s="531"/>
      <c r="H153" s="542"/>
      <c r="I153" s="493"/>
      <c r="J153" s="493"/>
      <c r="K153" s="542"/>
      <c r="L153" s="493"/>
      <c r="M153" s="493"/>
      <c r="N153" s="542"/>
      <c r="O153" s="493"/>
      <c r="P153" s="493"/>
      <c r="Q153" s="857">
        <f>SUM(Q149:Q152)*0.271</f>
        <v>6.4</v>
      </c>
      <c r="R153" s="857">
        <f t="shared" si="33"/>
        <v>6.4</v>
      </c>
      <c r="S153" s="857"/>
      <c r="T153" s="493"/>
      <c r="U153" s="493"/>
      <c r="V153" s="857">
        <f>SUM(V152)*0.271</f>
        <v>1.2</v>
      </c>
      <c r="W153" s="493"/>
      <c r="X153" s="493"/>
      <c r="Y153" s="857">
        <f>SUM(Y152)*0.271</f>
        <v>1.2</v>
      </c>
      <c r="Z153" s="542">
        <f t="shared" si="31"/>
        <v>6.4</v>
      </c>
      <c r="AA153" s="542" t="str">
        <f t="shared" si="32"/>
        <v>-</v>
      </c>
      <c r="AB153" s="1884"/>
      <c r="AC153" s="549" t="s">
        <v>1665</v>
      </c>
      <c r="AF153" s="466"/>
      <c r="AG153" s="466"/>
      <c r="AH153" s="466"/>
    </row>
    <row r="154" spans="1:34" s="498" customFormat="1" x14ac:dyDescent="0.25">
      <c r="A154" s="962"/>
      <c r="B154" s="502" t="s">
        <v>1811</v>
      </c>
      <c r="C154" s="501" t="s">
        <v>796</v>
      </c>
      <c r="D154" s="903"/>
      <c r="E154" s="962" t="s">
        <v>227</v>
      </c>
      <c r="F154" s="494">
        <v>240</v>
      </c>
      <c r="G154" s="495">
        <v>0.1</v>
      </c>
      <c r="H154" s="559">
        <f>F154*G154</f>
        <v>24</v>
      </c>
      <c r="I154" s="1245">
        <v>120</v>
      </c>
      <c r="J154" s="1245">
        <v>0.2</v>
      </c>
      <c r="K154" s="559">
        <f>I154*J154</f>
        <v>24</v>
      </c>
      <c r="L154" s="1245">
        <v>120</v>
      </c>
      <c r="M154" s="1245">
        <v>0.2</v>
      </c>
      <c r="N154" s="559">
        <f>L154*M154</f>
        <v>24</v>
      </c>
      <c r="O154" s="1245">
        <v>96</v>
      </c>
      <c r="P154" s="1245">
        <v>0.3</v>
      </c>
      <c r="Q154" s="533">
        <v>24</v>
      </c>
      <c r="R154" s="533">
        <f t="shared" si="33"/>
        <v>24</v>
      </c>
      <c r="S154" s="533"/>
      <c r="T154" s="1245">
        <v>96</v>
      </c>
      <c r="U154" s="1245">
        <v>0.3</v>
      </c>
      <c r="V154" s="533">
        <f>T154*U154</f>
        <v>28.8</v>
      </c>
      <c r="W154" s="1245">
        <v>96</v>
      </c>
      <c r="X154" s="1245">
        <v>0.3</v>
      </c>
      <c r="Y154" s="533">
        <f>W154*X154</f>
        <v>28.8</v>
      </c>
      <c r="Z154" s="559">
        <f t="shared" si="31"/>
        <v>0</v>
      </c>
      <c r="AA154" s="559">
        <f t="shared" si="32"/>
        <v>100</v>
      </c>
      <c r="AB154" s="893"/>
      <c r="AC154" s="549" t="s">
        <v>1665</v>
      </c>
      <c r="AF154" s="466"/>
      <c r="AG154" s="465"/>
      <c r="AH154" s="465"/>
    </row>
    <row r="155" spans="1:34" s="498" customFormat="1" ht="25.5" hidden="1" x14ac:dyDescent="0.25">
      <c r="A155" s="962"/>
      <c r="B155" s="502" t="s">
        <v>1812</v>
      </c>
      <c r="C155" s="501" t="s">
        <v>797</v>
      </c>
      <c r="D155" s="903"/>
      <c r="E155" s="962" t="s">
        <v>227</v>
      </c>
      <c r="F155" s="494"/>
      <c r="G155" s="495"/>
      <c r="H155" s="559"/>
      <c r="I155" s="1245">
        <v>10</v>
      </c>
      <c r="J155" s="1245">
        <v>0.1</v>
      </c>
      <c r="K155" s="559">
        <f>I155*J155</f>
        <v>1</v>
      </c>
      <c r="L155" s="1245">
        <v>10</v>
      </c>
      <c r="M155" s="1245">
        <v>0.1</v>
      </c>
      <c r="N155" s="559">
        <f>L155*M155</f>
        <v>1</v>
      </c>
      <c r="O155" s="1245">
        <v>10</v>
      </c>
      <c r="P155" s="1245">
        <v>0.1</v>
      </c>
      <c r="Q155" s="533">
        <f>O155*P155</f>
        <v>1</v>
      </c>
      <c r="R155" s="533">
        <f t="shared" si="33"/>
        <v>1</v>
      </c>
      <c r="S155" s="533"/>
      <c r="T155" s="1245">
        <v>10</v>
      </c>
      <c r="U155" s="1245">
        <v>0.1</v>
      </c>
      <c r="V155" s="533">
        <f>T155*U155</f>
        <v>1</v>
      </c>
      <c r="W155" s="1245">
        <v>10</v>
      </c>
      <c r="X155" s="1245">
        <v>0.1</v>
      </c>
      <c r="Y155" s="533">
        <f>W155*X155</f>
        <v>1</v>
      </c>
      <c r="Z155" s="559">
        <f t="shared" si="31"/>
        <v>0</v>
      </c>
      <c r="AA155" s="559">
        <f t="shared" si="32"/>
        <v>100</v>
      </c>
      <c r="AB155" s="893"/>
      <c r="AC155" s="549" t="s">
        <v>1665</v>
      </c>
      <c r="AF155" s="466"/>
      <c r="AG155" s="465"/>
      <c r="AH155" s="465"/>
    </row>
    <row r="156" spans="1:34" s="498" customFormat="1" ht="38.25" hidden="1" x14ac:dyDescent="0.25">
      <c r="A156" s="962"/>
      <c r="B156" s="502" t="s">
        <v>1813</v>
      </c>
      <c r="C156" s="501" t="s">
        <v>797</v>
      </c>
      <c r="D156" s="903"/>
      <c r="E156" s="962" t="s">
        <v>227</v>
      </c>
      <c r="F156" s="494">
        <v>25</v>
      </c>
      <c r="G156" s="495">
        <v>0.2</v>
      </c>
      <c r="H156" s="1245">
        <f>F156*G156</f>
        <v>5</v>
      </c>
      <c r="I156" s="1245">
        <v>20</v>
      </c>
      <c r="J156" s="1245">
        <v>0.1</v>
      </c>
      <c r="K156" s="559">
        <f>I156*J156</f>
        <v>2</v>
      </c>
      <c r="L156" s="1245">
        <v>20</v>
      </c>
      <c r="M156" s="1245">
        <v>0.1</v>
      </c>
      <c r="N156" s="559">
        <f>L156*M156</f>
        <v>2</v>
      </c>
      <c r="O156" s="1245">
        <v>20</v>
      </c>
      <c r="P156" s="1245">
        <v>0.1</v>
      </c>
      <c r="Q156" s="533">
        <f>O156*P156</f>
        <v>2</v>
      </c>
      <c r="R156" s="533">
        <f t="shared" si="33"/>
        <v>2</v>
      </c>
      <c r="S156" s="533"/>
      <c r="T156" s="1245">
        <v>20</v>
      </c>
      <c r="U156" s="1245">
        <v>0.1</v>
      </c>
      <c r="V156" s="533">
        <f>T156*U156</f>
        <v>2</v>
      </c>
      <c r="W156" s="1245">
        <v>20</v>
      </c>
      <c r="X156" s="1245">
        <v>0.1</v>
      </c>
      <c r="Y156" s="533">
        <f>W156*X156</f>
        <v>2</v>
      </c>
      <c r="Z156" s="559">
        <f t="shared" si="31"/>
        <v>0</v>
      </c>
      <c r="AA156" s="559">
        <f t="shared" si="32"/>
        <v>100</v>
      </c>
      <c r="AB156" s="1887" t="s">
        <v>1814</v>
      </c>
      <c r="AC156" s="549" t="s">
        <v>1665</v>
      </c>
      <c r="AF156" s="466"/>
      <c r="AG156" s="465"/>
      <c r="AH156" s="465"/>
    </row>
    <row r="157" spans="1:34" s="517" customFormat="1" ht="14.25" hidden="1" x14ac:dyDescent="0.2">
      <c r="A157" s="487"/>
      <c r="B157" s="543" t="s">
        <v>1241</v>
      </c>
      <c r="C157" s="511"/>
      <c r="D157" s="487"/>
      <c r="E157" s="554"/>
      <c r="F157" s="488"/>
      <c r="G157" s="489"/>
      <c r="H157" s="513" t="e">
        <f>#REF!+#REF!+H158+#REF!</f>
        <v>#REF!</v>
      </c>
      <c r="I157" s="490"/>
      <c r="J157" s="490"/>
      <c r="K157" s="513">
        <f>K158</f>
        <v>53.1</v>
      </c>
      <c r="L157" s="490"/>
      <c r="M157" s="490"/>
      <c r="N157" s="513">
        <f>N158</f>
        <v>53.1</v>
      </c>
      <c r="O157" s="490"/>
      <c r="P157" s="490"/>
      <c r="Q157" s="513">
        <f>Q158</f>
        <v>67.2</v>
      </c>
      <c r="R157" s="513">
        <f t="shared" si="33"/>
        <v>67.2</v>
      </c>
      <c r="S157" s="513"/>
      <c r="T157" s="490"/>
      <c r="U157" s="490"/>
      <c r="V157" s="513">
        <f>V158</f>
        <v>70.2</v>
      </c>
      <c r="W157" s="513"/>
      <c r="X157" s="513"/>
      <c r="Y157" s="513">
        <f>Y158</f>
        <v>70.2</v>
      </c>
      <c r="Z157" s="513">
        <f t="shared" si="31"/>
        <v>14.1</v>
      </c>
      <c r="AA157" s="513">
        <f t="shared" si="32"/>
        <v>126.6</v>
      </c>
      <c r="AB157" s="897"/>
      <c r="AC157" s="515"/>
      <c r="AF157" s="519"/>
      <c r="AG157" s="519"/>
      <c r="AH157" s="519"/>
    </row>
    <row r="158" spans="1:34" s="527" customFormat="1" ht="38.25" hidden="1" x14ac:dyDescent="0.2">
      <c r="A158" s="522"/>
      <c r="B158" s="520" t="s">
        <v>1664</v>
      </c>
      <c r="C158" s="521"/>
      <c r="D158" s="1888" t="s">
        <v>1444</v>
      </c>
      <c r="E158" s="522"/>
      <c r="F158" s="851"/>
      <c r="G158" s="852"/>
      <c r="H158" s="853">
        <f>H159+H163+H166+H169+H179+H180</f>
        <v>58.9</v>
      </c>
      <c r="I158" s="853"/>
      <c r="J158" s="853"/>
      <c r="K158" s="853">
        <f>K159+K163+K166+K169+K179+K180</f>
        <v>53.1</v>
      </c>
      <c r="L158" s="853"/>
      <c r="M158" s="853"/>
      <c r="N158" s="853">
        <f>N159+N163+N166+N169+N179+N180</f>
        <v>53.1</v>
      </c>
      <c r="O158" s="853"/>
      <c r="P158" s="853"/>
      <c r="Q158" s="853">
        <f>Q159+Q163+Q166+Q169+Q179+Q180</f>
        <v>67.2</v>
      </c>
      <c r="R158" s="853">
        <f t="shared" si="33"/>
        <v>67.2</v>
      </c>
      <c r="S158" s="853"/>
      <c r="T158" s="853"/>
      <c r="U158" s="853"/>
      <c r="V158" s="853">
        <f>V159+V163+V166+V169+V179+V180</f>
        <v>70.2</v>
      </c>
      <c r="W158" s="853"/>
      <c r="X158" s="853"/>
      <c r="Y158" s="853">
        <f>Y159+Y163+Y166+Y169+Y179+Y180</f>
        <v>70.2</v>
      </c>
      <c r="Z158" s="853">
        <f t="shared" si="31"/>
        <v>14.1</v>
      </c>
      <c r="AA158" s="853">
        <f t="shared" si="32"/>
        <v>126.6</v>
      </c>
      <c r="AB158" s="907"/>
      <c r="AC158" s="549" t="s">
        <v>1665</v>
      </c>
      <c r="AF158" s="528"/>
      <c r="AG158" s="528"/>
      <c r="AH158" s="528"/>
    </row>
    <row r="159" spans="1:34" s="492" customFormat="1" ht="14.25" hidden="1" x14ac:dyDescent="0.2">
      <c r="A159" s="1240"/>
      <c r="B159" s="500" t="s">
        <v>1226</v>
      </c>
      <c r="C159" s="501" t="s">
        <v>797</v>
      </c>
      <c r="D159" s="552"/>
      <c r="E159" s="1240"/>
      <c r="F159" s="530"/>
      <c r="G159" s="531"/>
      <c r="H159" s="493">
        <f>H162</f>
        <v>9.6</v>
      </c>
      <c r="I159" s="532"/>
      <c r="J159" s="532"/>
      <c r="K159" s="532">
        <f>K162</f>
        <v>4.8</v>
      </c>
      <c r="L159" s="532"/>
      <c r="M159" s="532"/>
      <c r="N159" s="532">
        <f>N162</f>
        <v>4.8</v>
      </c>
      <c r="O159" s="532"/>
      <c r="P159" s="532"/>
      <c r="Q159" s="532">
        <f>Q162+Q160+Q161</f>
        <v>2</v>
      </c>
      <c r="R159" s="532">
        <f t="shared" si="33"/>
        <v>2</v>
      </c>
      <c r="S159" s="532"/>
      <c r="T159" s="532"/>
      <c r="U159" s="532"/>
      <c r="V159" s="532">
        <f>V162+V160+V161</f>
        <v>2</v>
      </c>
      <c r="W159" s="532"/>
      <c r="X159" s="532"/>
      <c r="Y159" s="532">
        <f>Y162+Y160+Y161</f>
        <v>2</v>
      </c>
      <c r="Z159" s="493">
        <f t="shared" si="31"/>
        <v>-2.8</v>
      </c>
      <c r="AA159" s="493">
        <f t="shared" si="32"/>
        <v>41.7</v>
      </c>
      <c r="AB159" s="827"/>
      <c r="AC159" s="549" t="s">
        <v>1665</v>
      </c>
      <c r="AF159" s="466"/>
      <c r="AG159" s="466"/>
      <c r="AH159" s="466"/>
    </row>
    <row r="160" spans="1:34" s="492" customFormat="1" ht="38.25" hidden="1" x14ac:dyDescent="0.2">
      <c r="A160" s="1240"/>
      <c r="B160" s="500" t="s">
        <v>1815</v>
      </c>
      <c r="C160" s="501"/>
      <c r="D160" s="932"/>
      <c r="E160" s="873" t="s">
        <v>1238</v>
      </c>
      <c r="F160" s="530"/>
      <c r="G160" s="531"/>
      <c r="H160" s="493"/>
      <c r="I160" s="532"/>
      <c r="J160" s="532"/>
      <c r="K160" s="532"/>
      <c r="L160" s="532"/>
      <c r="M160" s="532"/>
      <c r="N160" s="532"/>
      <c r="O160" s="496">
        <v>2</v>
      </c>
      <c r="P160" s="496">
        <v>1</v>
      </c>
      <c r="Q160" s="496">
        <f>O160*P160</f>
        <v>2</v>
      </c>
      <c r="R160" s="496">
        <f t="shared" si="33"/>
        <v>2</v>
      </c>
      <c r="S160" s="496"/>
      <c r="T160" s="496">
        <v>2</v>
      </c>
      <c r="U160" s="496">
        <v>1</v>
      </c>
      <c r="V160" s="496">
        <f>T160*U160</f>
        <v>2</v>
      </c>
      <c r="W160" s="496">
        <v>2</v>
      </c>
      <c r="X160" s="496">
        <v>1</v>
      </c>
      <c r="Y160" s="496">
        <f>W160*X160</f>
        <v>2</v>
      </c>
      <c r="Z160" s="493">
        <f t="shared" si="31"/>
        <v>2</v>
      </c>
      <c r="AA160" s="493" t="str">
        <f t="shared" si="32"/>
        <v>-</v>
      </c>
      <c r="AB160" s="827" t="s">
        <v>1816</v>
      </c>
      <c r="AC160" s="549" t="s">
        <v>1665</v>
      </c>
      <c r="AF160" s="466"/>
      <c r="AG160" s="466"/>
      <c r="AH160" s="466"/>
    </row>
    <row r="161" spans="1:34" s="492" customFormat="1" ht="25.5" hidden="1" x14ac:dyDescent="0.2">
      <c r="A161" s="1240"/>
      <c r="B161" s="502" t="s">
        <v>1817</v>
      </c>
      <c r="C161" s="501"/>
      <c r="D161" s="932"/>
      <c r="E161" s="873" t="s">
        <v>1238</v>
      </c>
      <c r="F161" s="530"/>
      <c r="G161" s="531"/>
      <c r="H161" s="493"/>
      <c r="I161" s="532"/>
      <c r="J161" s="532"/>
      <c r="K161" s="532"/>
      <c r="L161" s="532"/>
      <c r="M161" s="532"/>
      <c r="N161" s="532"/>
      <c r="O161" s="496"/>
      <c r="P161" s="496"/>
      <c r="Q161" s="496"/>
      <c r="R161" s="496">
        <f t="shared" si="33"/>
        <v>0</v>
      </c>
      <c r="S161" s="496"/>
      <c r="T161" s="496"/>
      <c r="U161" s="496"/>
      <c r="V161" s="496"/>
      <c r="W161" s="496"/>
      <c r="X161" s="496"/>
      <c r="Y161" s="496"/>
      <c r="Z161" s="493">
        <f t="shared" si="31"/>
        <v>0</v>
      </c>
      <c r="AA161" s="493" t="str">
        <f t="shared" si="32"/>
        <v>-</v>
      </c>
      <c r="AB161" s="827" t="s">
        <v>1818</v>
      </c>
      <c r="AC161" s="549" t="s">
        <v>1665</v>
      </c>
      <c r="AF161" s="466"/>
      <c r="AG161" s="466"/>
      <c r="AH161" s="466"/>
    </row>
    <row r="162" spans="1:34" s="498" customFormat="1" hidden="1" x14ac:dyDescent="0.25">
      <c r="A162" s="962"/>
      <c r="B162" s="856" t="s">
        <v>1819</v>
      </c>
      <c r="C162" s="499"/>
      <c r="D162" s="903"/>
      <c r="E162" s="962"/>
      <c r="F162" s="1834">
        <v>1</v>
      </c>
      <c r="G162" s="495">
        <v>9.6</v>
      </c>
      <c r="H162" s="1245">
        <f>F162*G162</f>
        <v>9.6</v>
      </c>
      <c r="I162" s="1835">
        <v>1</v>
      </c>
      <c r="J162" s="496">
        <v>4.8</v>
      </c>
      <c r="K162" s="496">
        <f>I162*J162</f>
        <v>4.8</v>
      </c>
      <c r="L162" s="1835">
        <v>1</v>
      </c>
      <c r="M162" s="496">
        <v>4.8</v>
      </c>
      <c r="N162" s="496">
        <f>L162*M162</f>
        <v>4.8</v>
      </c>
      <c r="O162" s="1835"/>
      <c r="P162" s="496"/>
      <c r="Q162" s="496"/>
      <c r="R162" s="496">
        <f t="shared" si="33"/>
        <v>0</v>
      </c>
      <c r="S162" s="496"/>
      <c r="T162" s="1835"/>
      <c r="U162" s="496"/>
      <c r="V162" s="496"/>
      <c r="W162" s="1835"/>
      <c r="X162" s="496"/>
      <c r="Y162" s="496"/>
      <c r="Z162" s="1245">
        <f t="shared" si="31"/>
        <v>-4.8</v>
      </c>
      <c r="AA162" s="1245">
        <f t="shared" si="32"/>
        <v>0</v>
      </c>
      <c r="AB162" s="827"/>
      <c r="AC162" s="549" t="s">
        <v>1665</v>
      </c>
      <c r="AF162" s="466"/>
      <c r="AG162" s="465"/>
      <c r="AH162" s="465"/>
    </row>
    <row r="163" spans="1:34" s="492" customFormat="1" ht="25.5" hidden="1" x14ac:dyDescent="0.2">
      <c r="A163" s="1240"/>
      <c r="B163" s="500" t="s">
        <v>1239</v>
      </c>
      <c r="C163" s="501" t="s">
        <v>797</v>
      </c>
      <c r="D163" s="932"/>
      <c r="E163" s="1240"/>
      <c r="F163" s="530"/>
      <c r="G163" s="531"/>
      <c r="H163" s="493">
        <f>SUM(H164:H165)</f>
        <v>7.2</v>
      </c>
      <c r="I163" s="532"/>
      <c r="J163" s="532"/>
      <c r="K163" s="532">
        <f>SUM(K164:K165)</f>
        <v>1.6</v>
      </c>
      <c r="L163" s="532"/>
      <c r="M163" s="532"/>
      <c r="N163" s="532">
        <f>SUM(N164:N165)</f>
        <v>1.6</v>
      </c>
      <c r="O163" s="532"/>
      <c r="P163" s="532"/>
      <c r="Q163" s="532">
        <f>SUM(Q164:Q165)</f>
        <v>2</v>
      </c>
      <c r="R163" s="532">
        <f t="shared" si="33"/>
        <v>2</v>
      </c>
      <c r="S163" s="532"/>
      <c r="T163" s="532"/>
      <c r="U163" s="532"/>
      <c r="V163" s="532">
        <f>SUM(V164:V165)</f>
        <v>2</v>
      </c>
      <c r="W163" s="532"/>
      <c r="X163" s="532"/>
      <c r="Y163" s="532">
        <f>SUM(Y164:Y165)</f>
        <v>2</v>
      </c>
      <c r="Z163" s="493">
        <f t="shared" si="31"/>
        <v>0.4</v>
      </c>
      <c r="AA163" s="493">
        <f t="shared" si="32"/>
        <v>125</v>
      </c>
      <c r="AB163" s="827"/>
      <c r="AC163" s="549" t="s">
        <v>1665</v>
      </c>
      <c r="AF163" s="466"/>
      <c r="AG163" s="466"/>
      <c r="AH163" s="466"/>
    </row>
    <row r="164" spans="1:34" s="498" customFormat="1" ht="127.5" hidden="1" x14ac:dyDescent="0.25">
      <c r="A164" s="962"/>
      <c r="B164" s="502" t="s">
        <v>1769</v>
      </c>
      <c r="C164" s="499"/>
      <c r="D164" s="903"/>
      <c r="E164" s="962" t="s">
        <v>227</v>
      </c>
      <c r="F164" s="494">
        <v>32</v>
      </c>
      <c r="G164" s="495">
        <v>0.1</v>
      </c>
      <c r="H164" s="1245">
        <f>F164*G164</f>
        <v>3.2</v>
      </c>
      <c r="I164" s="496">
        <v>16</v>
      </c>
      <c r="J164" s="883">
        <v>0.1</v>
      </c>
      <c r="K164" s="496">
        <f>I164*J164</f>
        <v>1.6</v>
      </c>
      <c r="L164" s="496">
        <v>16</v>
      </c>
      <c r="M164" s="883">
        <v>0.1</v>
      </c>
      <c r="N164" s="496">
        <f>L164*M164</f>
        <v>1.6</v>
      </c>
      <c r="O164" s="496">
        <v>20</v>
      </c>
      <c r="P164" s="496">
        <v>0.1</v>
      </c>
      <c r="Q164" s="496">
        <f>O164*P164</f>
        <v>2</v>
      </c>
      <c r="R164" s="496">
        <f t="shared" si="33"/>
        <v>2</v>
      </c>
      <c r="S164" s="496"/>
      <c r="T164" s="496">
        <v>20</v>
      </c>
      <c r="U164" s="496">
        <v>0.1</v>
      </c>
      <c r="V164" s="496">
        <f>T164*U164</f>
        <v>2</v>
      </c>
      <c r="W164" s="496">
        <v>20</v>
      </c>
      <c r="X164" s="496">
        <v>0.1</v>
      </c>
      <c r="Y164" s="496">
        <f>W164*X164</f>
        <v>2</v>
      </c>
      <c r="Z164" s="1245">
        <f t="shared" si="31"/>
        <v>0.4</v>
      </c>
      <c r="AA164" s="1245">
        <f t="shared" si="32"/>
        <v>125</v>
      </c>
      <c r="AB164" s="900" t="s">
        <v>1820</v>
      </c>
      <c r="AC164" s="549" t="s">
        <v>1665</v>
      </c>
      <c r="AF164" s="466"/>
      <c r="AG164" s="465"/>
      <c r="AH164" s="465"/>
    </row>
    <row r="165" spans="1:34" s="498" customFormat="1" hidden="1" x14ac:dyDescent="0.25">
      <c r="A165" s="962"/>
      <c r="B165" s="856" t="s">
        <v>1821</v>
      </c>
      <c r="C165" s="499"/>
      <c r="D165" s="903"/>
      <c r="E165" s="962" t="s">
        <v>1240</v>
      </c>
      <c r="F165" s="494">
        <v>40</v>
      </c>
      <c r="G165" s="495">
        <v>0.1</v>
      </c>
      <c r="H165" s="1245">
        <f>F165*G165</f>
        <v>4</v>
      </c>
      <c r="I165" s="496"/>
      <c r="J165" s="496"/>
      <c r="K165" s="496">
        <f>I165*J165</f>
        <v>0</v>
      </c>
      <c r="L165" s="496"/>
      <c r="M165" s="496"/>
      <c r="N165" s="496">
        <f>L165*M165</f>
        <v>0</v>
      </c>
      <c r="O165" s="496"/>
      <c r="P165" s="496"/>
      <c r="Q165" s="496"/>
      <c r="R165" s="496">
        <f t="shared" si="33"/>
        <v>0</v>
      </c>
      <c r="S165" s="496"/>
      <c r="T165" s="496"/>
      <c r="U165" s="496"/>
      <c r="V165" s="496"/>
      <c r="W165" s="496"/>
      <c r="X165" s="496"/>
      <c r="Y165" s="496"/>
      <c r="Z165" s="1245">
        <f t="shared" si="31"/>
        <v>0</v>
      </c>
      <c r="AA165" s="1245" t="str">
        <f t="shared" si="32"/>
        <v>-</v>
      </c>
      <c r="AB165" s="827"/>
      <c r="AC165" s="549" t="s">
        <v>1665</v>
      </c>
      <c r="AF165" s="466"/>
      <c r="AG165" s="465"/>
      <c r="AH165" s="465"/>
    </row>
    <row r="166" spans="1:34" s="492" customFormat="1" ht="14.25" x14ac:dyDescent="0.2">
      <c r="A166" s="1240"/>
      <c r="B166" s="500" t="s">
        <v>1822</v>
      </c>
      <c r="C166" s="501" t="s">
        <v>796</v>
      </c>
      <c r="D166" s="932"/>
      <c r="E166" s="1240"/>
      <c r="F166" s="530"/>
      <c r="G166" s="531"/>
      <c r="H166" s="493">
        <f>SUM(H167:H168)</f>
        <v>6</v>
      </c>
      <c r="I166" s="532"/>
      <c r="J166" s="532"/>
      <c r="K166" s="532">
        <f>SUM(K167:K168)</f>
        <v>9</v>
      </c>
      <c r="L166" s="532"/>
      <c r="M166" s="532"/>
      <c r="N166" s="532">
        <f>SUM(N167:N168)</f>
        <v>9</v>
      </c>
      <c r="O166" s="532"/>
      <c r="P166" s="532"/>
      <c r="Q166" s="532">
        <v>6</v>
      </c>
      <c r="R166" s="532">
        <f t="shared" si="33"/>
        <v>6</v>
      </c>
      <c r="S166" s="532"/>
      <c r="T166" s="532"/>
      <c r="U166" s="532"/>
      <c r="V166" s="532">
        <f>SUM(V167:V168)</f>
        <v>9</v>
      </c>
      <c r="W166" s="532"/>
      <c r="X166" s="532"/>
      <c r="Y166" s="532">
        <f>SUM(Y167:Y168)</f>
        <v>9</v>
      </c>
      <c r="Z166" s="493">
        <f t="shared" si="31"/>
        <v>-3</v>
      </c>
      <c r="AA166" s="493">
        <f t="shared" si="32"/>
        <v>66.7</v>
      </c>
      <c r="AB166" s="901"/>
      <c r="AC166" s="549" t="s">
        <v>1665</v>
      </c>
      <c r="AF166" s="466"/>
      <c r="AG166" s="466"/>
      <c r="AH166" s="466"/>
    </row>
    <row r="167" spans="1:34" s="498" customFormat="1" hidden="1" x14ac:dyDescent="0.25">
      <c r="A167" s="962"/>
      <c r="B167" s="502" t="s">
        <v>1823</v>
      </c>
      <c r="C167" s="503"/>
      <c r="D167" s="903"/>
      <c r="E167" s="962" t="s">
        <v>227</v>
      </c>
      <c r="F167" s="494">
        <v>6</v>
      </c>
      <c r="G167" s="495">
        <v>0.5</v>
      </c>
      <c r="H167" s="1245">
        <f>F167*G167</f>
        <v>3</v>
      </c>
      <c r="I167" s="496">
        <v>6</v>
      </c>
      <c r="J167" s="496">
        <v>0.5</v>
      </c>
      <c r="K167" s="496">
        <f>I167*J167</f>
        <v>3</v>
      </c>
      <c r="L167" s="496">
        <v>6</v>
      </c>
      <c r="M167" s="496">
        <v>0.5</v>
      </c>
      <c r="N167" s="496">
        <f>L167*M167</f>
        <v>3</v>
      </c>
      <c r="O167" s="496">
        <v>6</v>
      </c>
      <c r="P167" s="496">
        <v>0.5</v>
      </c>
      <c r="Q167" s="496">
        <f>O167*P167</f>
        <v>3</v>
      </c>
      <c r="R167" s="496">
        <f t="shared" si="33"/>
        <v>3</v>
      </c>
      <c r="S167" s="496"/>
      <c r="T167" s="496">
        <v>6</v>
      </c>
      <c r="U167" s="496">
        <v>0.5</v>
      </c>
      <c r="V167" s="496">
        <f>T167*U167</f>
        <v>3</v>
      </c>
      <c r="W167" s="496">
        <v>6</v>
      </c>
      <c r="X167" s="496">
        <v>0.5</v>
      </c>
      <c r="Y167" s="496">
        <f>W167*X167</f>
        <v>3</v>
      </c>
      <c r="Z167" s="1245">
        <f t="shared" si="31"/>
        <v>0</v>
      </c>
      <c r="AA167" s="1245">
        <f t="shared" si="32"/>
        <v>100</v>
      </c>
      <c r="AB167" s="901"/>
      <c r="AC167" s="549" t="s">
        <v>1665</v>
      </c>
      <c r="AF167" s="466"/>
      <c r="AG167" s="465"/>
      <c r="AH167" s="465"/>
    </row>
    <row r="168" spans="1:34" s="498" customFormat="1" hidden="1" x14ac:dyDescent="0.25">
      <c r="A168" s="962"/>
      <c r="B168" s="502" t="s">
        <v>1824</v>
      </c>
      <c r="C168" s="503"/>
      <c r="D168" s="903"/>
      <c r="E168" s="962" t="s">
        <v>227</v>
      </c>
      <c r="F168" s="494">
        <v>30</v>
      </c>
      <c r="G168" s="495">
        <v>0.1</v>
      </c>
      <c r="H168" s="1245">
        <f>F168*G168</f>
        <v>3</v>
      </c>
      <c r="I168" s="496">
        <v>60</v>
      </c>
      <c r="J168" s="496">
        <v>0.1</v>
      </c>
      <c r="K168" s="496">
        <f>I168*J168</f>
        <v>6</v>
      </c>
      <c r="L168" s="496">
        <v>60</v>
      </c>
      <c r="M168" s="496">
        <v>0.1</v>
      </c>
      <c r="N168" s="496">
        <f>L168*M168</f>
        <v>6</v>
      </c>
      <c r="O168" s="496">
        <v>60</v>
      </c>
      <c r="P168" s="496">
        <v>0.1</v>
      </c>
      <c r="Q168" s="496">
        <f>O168*P168</f>
        <v>6</v>
      </c>
      <c r="R168" s="496">
        <f t="shared" si="33"/>
        <v>6</v>
      </c>
      <c r="S168" s="496"/>
      <c r="T168" s="496">
        <v>60</v>
      </c>
      <c r="U168" s="496">
        <v>0.1</v>
      </c>
      <c r="V168" s="496">
        <f>T168*U168</f>
        <v>6</v>
      </c>
      <c r="W168" s="496">
        <v>60</v>
      </c>
      <c r="X168" s="496">
        <v>0.1</v>
      </c>
      <c r="Y168" s="496">
        <f>W168*X168</f>
        <v>6</v>
      </c>
      <c r="Z168" s="1245">
        <f t="shared" si="31"/>
        <v>0</v>
      </c>
      <c r="AA168" s="1245">
        <f t="shared" si="32"/>
        <v>100</v>
      </c>
      <c r="AB168" s="901"/>
      <c r="AC168" s="549" t="s">
        <v>1665</v>
      </c>
      <c r="AF168" s="466"/>
      <c r="AG168" s="465"/>
      <c r="AH168" s="465"/>
    </row>
    <row r="169" spans="1:34" s="492" customFormat="1" ht="14.25" hidden="1" x14ac:dyDescent="0.2">
      <c r="A169" s="1240"/>
      <c r="B169" s="500" t="s">
        <v>1233</v>
      </c>
      <c r="C169" s="501" t="s">
        <v>1230</v>
      </c>
      <c r="D169" s="932"/>
      <c r="E169" s="1240"/>
      <c r="F169" s="530"/>
      <c r="G169" s="531"/>
      <c r="H169" s="493">
        <f>SUM(H170:H178)</f>
        <v>18.7</v>
      </c>
      <c r="I169" s="532"/>
      <c r="J169" s="532"/>
      <c r="K169" s="532">
        <f>SUM(K170:K178)</f>
        <v>17.899999999999999</v>
      </c>
      <c r="L169" s="532"/>
      <c r="M169" s="532"/>
      <c r="N169" s="532">
        <f>SUM(N170:N178)</f>
        <v>17.899999999999999</v>
      </c>
      <c r="O169" s="532"/>
      <c r="P169" s="532"/>
      <c r="Q169" s="532">
        <f>SUM(Q170:Q178)</f>
        <v>37.4</v>
      </c>
      <c r="R169" s="532">
        <f t="shared" si="33"/>
        <v>37.4</v>
      </c>
      <c r="S169" s="532"/>
      <c r="T169" s="532"/>
      <c r="U169" s="532"/>
      <c r="V169" s="532">
        <f>SUM(V170:V178)</f>
        <v>37.4</v>
      </c>
      <c r="W169" s="532"/>
      <c r="X169" s="532"/>
      <c r="Y169" s="532">
        <f>SUM(Y170:Y178)</f>
        <v>37.4</v>
      </c>
      <c r="Z169" s="493">
        <f t="shared" si="31"/>
        <v>19.5</v>
      </c>
      <c r="AA169" s="493">
        <f t="shared" si="32"/>
        <v>208.9</v>
      </c>
      <c r="AB169" s="893"/>
      <c r="AC169" s="549" t="s">
        <v>1665</v>
      </c>
      <c r="AF169" s="466"/>
      <c r="AG169" s="466"/>
      <c r="AH169" s="466"/>
    </row>
    <row r="170" spans="1:34" s="498" customFormat="1" hidden="1" x14ac:dyDescent="0.25">
      <c r="A170" s="962"/>
      <c r="B170" s="502" t="s">
        <v>1737</v>
      </c>
      <c r="C170" s="503"/>
      <c r="D170" s="903"/>
      <c r="E170" s="962" t="s">
        <v>318</v>
      </c>
      <c r="F170" s="494">
        <v>1</v>
      </c>
      <c r="G170" s="495">
        <v>3.5</v>
      </c>
      <c r="H170" s="1245">
        <f>F170*G170</f>
        <v>3.5</v>
      </c>
      <c r="I170" s="496">
        <v>1</v>
      </c>
      <c r="J170" s="496">
        <v>3.5</v>
      </c>
      <c r="K170" s="496">
        <f>I170*J170</f>
        <v>3.5</v>
      </c>
      <c r="L170" s="496">
        <v>1</v>
      </c>
      <c r="M170" s="496">
        <v>3.5</v>
      </c>
      <c r="N170" s="496">
        <f>L170*M170</f>
        <v>3.5</v>
      </c>
      <c r="O170" s="496">
        <v>1</v>
      </c>
      <c r="P170" s="496">
        <v>3.5</v>
      </c>
      <c r="Q170" s="496">
        <f>O170*P170</f>
        <v>3.5</v>
      </c>
      <c r="R170" s="496">
        <f t="shared" si="33"/>
        <v>3.5</v>
      </c>
      <c r="S170" s="496"/>
      <c r="T170" s="496">
        <v>1</v>
      </c>
      <c r="U170" s="496">
        <v>3.5</v>
      </c>
      <c r="V170" s="496">
        <f>T170*U170</f>
        <v>3.5</v>
      </c>
      <c r="W170" s="496">
        <v>1</v>
      </c>
      <c r="X170" s="496">
        <v>3.5</v>
      </c>
      <c r="Y170" s="496">
        <f>W170*X170</f>
        <v>3.5</v>
      </c>
      <c r="Z170" s="1245">
        <f t="shared" si="31"/>
        <v>0</v>
      </c>
      <c r="AA170" s="1245">
        <f t="shared" si="32"/>
        <v>100</v>
      </c>
      <c r="AB170" s="893"/>
      <c r="AC170" s="549" t="s">
        <v>1665</v>
      </c>
      <c r="AF170" s="466"/>
      <c r="AG170" s="465"/>
      <c r="AH170" s="465"/>
    </row>
    <row r="171" spans="1:34" s="498" customFormat="1" hidden="1" x14ac:dyDescent="0.25">
      <c r="A171" s="962"/>
      <c r="B171" s="502" t="s">
        <v>1755</v>
      </c>
      <c r="C171" s="503"/>
      <c r="D171" s="903"/>
      <c r="E171" s="962" t="s">
        <v>318</v>
      </c>
      <c r="F171" s="494">
        <v>4</v>
      </c>
      <c r="G171" s="495">
        <v>1.73</v>
      </c>
      <c r="H171" s="1245">
        <f>F171*G171</f>
        <v>6.9</v>
      </c>
      <c r="I171" s="496">
        <v>4</v>
      </c>
      <c r="J171" s="496">
        <v>1.7</v>
      </c>
      <c r="K171" s="496">
        <f>I171*J171</f>
        <v>6.8</v>
      </c>
      <c r="L171" s="496">
        <v>4</v>
      </c>
      <c r="M171" s="496">
        <v>1.7</v>
      </c>
      <c r="N171" s="496">
        <f>L171*M171</f>
        <v>6.8</v>
      </c>
      <c r="O171" s="496">
        <v>4</v>
      </c>
      <c r="P171" s="496">
        <v>1.7</v>
      </c>
      <c r="Q171" s="496">
        <f>O171*P171</f>
        <v>6.8</v>
      </c>
      <c r="R171" s="496">
        <f t="shared" si="33"/>
        <v>6.8</v>
      </c>
      <c r="S171" s="496"/>
      <c r="T171" s="496">
        <v>4</v>
      </c>
      <c r="U171" s="496">
        <v>1.7</v>
      </c>
      <c r="V171" s="496">
        <f>T171*U171</f>
        <v>6.8</v>
      </c>
      <c r="W171" s="496">
        <v>4</v>
      </c>
      <c r="X171" s="496">
        <v>1.7</v>
      </c>
      <c r="Y171" s="496">
        <f>W171*X171</f>
        <v>6.8</v>
      </c>
      <c r="Z171" s="1245">
        <f t="shared" si="31"/>
        <v>0</v>
      </c>
      <c r="AA171" s="1245">
        <f t="shared" si="32"/>
        <v>100</v>
      </c>
      <c r="AB171" s="893"/>
      <c r="AC171" s="549" t="s">
        <v>1665</v>
      </c>
      <c r="AF171" s="466"/>
      <c r="AG171" s="465"/>
      <c r="AH171" s="465"/>
    </row>
    <row r="172" spans="1:34" s="498" customFormat="1" hidden="1" x14ac:dyDescent="0.25">
      <c r="A172" s="962"/>
      <c r="B172" s="502" t="s">
        <v>1754</v>
      </c>
      <c r="C172" s="503"/>
      <c r="D172" s="903"/>
      <c r="E172" s="962" t="s">
        <v>318</v>
      </c>
      <c r="F172" s="494">
        <v>1</v>
      </c>
      <c r="G172" s="495">
        <v>2.2999999999999998</v>
      </c>
      <c r="H172" s="1245">
        <f>F172*G172</f>
        <v>2.2999999999999998</v>
      </c>
      <c r="I172" s="496">
        <v>1</v>
      </c>
      <c r="J172" s="496">
        <v>2.2999999999999998</v>
      </c>
      <c r="K172" s="496">
        <f>I172*J172</f>
        <v>2.2999999999999998</v>
      </c>
      <c r="L172" s="496">
        <v>1</v>
      </c>
      <c r="M172" s="496">
        <v>2.2999999999999998</v>
      </c>
      <c r="N172" s="496">
        <f>L172*M172</f>
        <v>2.2999999999999998</v>
      </c>
      <c r="O172" s="496">
        <v>1</v>
      </c>
      <c r="P172" s="496">
        <v>2.2999999999999998</v>
      </c>
      <c r="Q172" s="496">
        <f>O172*P172</f>
        <v>2.2999999999999998</v>
      </c>
      <c r="R172" s="496">
        <f t="shared" si="33"/>
        <v>2.2999999999999998</v>
      </c>
      <c r="S172" s="496"/>
      <c r="T172" s="496">
        <v>1</v>
      </c>
      <c r="U172" s="496">
        <v>2.2999999999999998</v>
      </c>
      <c r="V172" s="496">
        <f>T172*U172</f>
        <v>2.2999999999999998</v>
      </c>
      <c r="W172" s="496">
        <v>1</v>
      </c>
      <c r="X172" s="496">
        <v>2.2999999999999998</v>
      </c>
      <c r="Y172" s="496">
        <f>W172*X172</f>
        <v>2.2999999999999998</v>
      </c>
      <c r="Z172" s="1245">
        <f t="shared" si="31"/>
        <v>0</v>
      </c>
      <c r="AA172" s="1245">
        <f t="shared" si="32"/>
        <v>100</v>
      </c>
      <c r="AB172" s="893"/>
      <c r="AC172" s="549" t="s">
        <v>1665</v>
      </c>
      <c r="AF172" s="466"/>
      <c r="AG172" s="465"/>
      <c r="AH172" s="465"/>
    </row>
    <row r="173" spans="1:34" s="498" customFormat="1" hidden="1" x14ac:dyDescent="0.25">
      <c r="A173" s="962"/>
      <c r="B173" s="502" t="s">
        <v>1825</v>
      </c>
      <c r="C173" s="503"/>
      <c r="D173" s="903"/>
      <c r="E173" s="962" t="s">
        <v>318</v>
      </c>
      <c r="F173" s="494">
        <v>1</v>
      </c>
      <c r="G173" s="495">
        <v>2</v>
      </c>
      <c r="H173" s="1245">
        <f>F173*G173</f>
        <v>2</v>
      </c>
      <c r="I173" s="496">
        <v>1</v>
      </c>
      <c r="J173" s="496">
        <v>2</v>
      </c>
      <c r="K173" s="496">
        <v>1.5</v>
      </c>
      <c r="L173" s="496">
        <v>1</v>
      </c>
      <c r="M173" s="496">
        <v>2</v>
      </c>
      <c r="N173" s="496">
        <v>1.5</v>
      </c>
      <c r="O173" s="496"/>
      <c r="P173" s="496"/>
      <c r="Q173" s="496"/>
      <c r="R173" s="496">
        <f t="shared" si="33"/>
        <v>0</v>
      </c>
      <c r="S173" s="496"/>
      <c r="T173" s="496"/>
      <c r="U173" s="496"/>
      <c r="V173" s="496"/>
      <c r="W173" s="496"/>
      <c r="X173" s="496"/>
      <c r="Y173" s="496"/>
      <c r="Z173" s="1245">
        <f t="shared" si="31"/>
        <v>-1.5</v>
      </c>
      <c r="AA173" s="1245">
        <f t="shared" si="32"/>
        <v>0</v>
      </c>
      <c r="AB173" s="893"/>
      <c r="AC173" s="549" t="s">
        <v>1665</v>
      </c>
      <c r="AF173" s="466"/>
      <c r="AG173" s="465"/>
      <c r="AH173" s="465"/>
    </row>
    <row r="174" spans="1:34" s="498" customFormat="1" hidden="1" x14ac:dyDescent="0.25">
      <c r="A174" s="962"/>
      <c r="B174" s="502" t="s">
        <v>1826</v>
      </c>
      <c r="C174" s="503"/>
      <c r="D174" s="903"/>
      <c r="E174" s="962" t="s">
        <v>318</v>
      </c>
      <c r="F174" s="496"/>
      <c r="G174" s="496"/>
      <c r="H174" s="496"/>
      <c r="I174" s="496"/>
      <c r="J174" s="496"/>
      <c r="K174" s="496"/>
      <c r="L174" s="496"/>
      <c r="M174" s="496"/>
      <c r="N174" s="496"/>
      <c r="O174" s="1886">
        <v>1</v>
      </c>
      <c r="P174" s="496">
        <v>2.2999999999999998</v>
      </c>
      <c r="Q174" s="496">
        <f>O174*P174</f>
        <v>2.2999999999999998</v>
      </c>
      <c r="R174" s="496">
        <f t="shared" si="33"/>
        <v>2.2999999999999998</v>
      </c>
      <c r="S174" s="496"/>
      <c r="T174" s="1886">
        <v>1</v>
      </c>
      <c r="U174" s="496">
        <v>2.2999999999999998</v>
      </c>
      <c r="V174" s="496">
        <f>T174*U174</f>
        <v>2.2999999999999998</v>
      </c>
      <c r="W174" s="1886">
        <v>1</v>
      </c>
      <c r="X174" s="496">
        <v>2.2999999999999998</v>
      </c>
      <c r="Y174" s="496">
        <f>W174*X174</f>
        <v>2.2999999999999998</v>
      </c>
      <c r="Z174" s="496"/>
      <c r="AA174" s="496"/>
      <c r="AB174" s="3514" t="s">
        <v>1803</v>
      </c>
      <c r="AC174" s="491" t="s">
        <v>1665</v>
      </c>
      <c r="AF174" s="466"/>
      <c r="AG174" s="465"/>
      <c r="AH174" s="465"/>
    </row>
    <row r="175" spans="1:34" s="498" customFormat="1" ht="25.5" hidden="1" x14ac:dyDescent="0.25">
      <c r="A175" s="962"/>
      <c r="B175" s="1885" t="s">
        <v>1757</v>
      </c>
      <c r="C175" s="503"/>
      <c r="D175" s="903"/>
      <c r="E175" s="962" t="s">
        <v>318</v>
      </c>
      <c r="F175" s="496"/>
      <c r="G175" s="496"/>
      <c r="H175" s="496"/>
      <c r="I175" s="496"/>
      <c r="J175" s="496"/>
      <c r="K175" s="496"/>
      <c r="L175" s="496"/>
      <c r="M175" s="496"/>
      <c r="N175" s="496"/>
      <c r="O175" s="1886">
        <v>1</v>
      </c>
      <c r="P175" s="496">
        <v>3.5</v>
      </c>
      <c r="Q175" s="496">
        <f t="shared" ref="Q175:Q177" si="37">O175*P175</f>
        <v>3.5</v>
      </c>
      <c r="R175" s="496">
        <f t="shared" si="33"/>
        <v>3.5</v>
      </c>
      <c r="S175" s="496"/>
      <c r="T175" s="1886">
        <v>1</v>
      </c>
      <c r="U175" s="496">
        <v>3.5</v>
      </c>
      <c r="V175" s="496">
        <f t="shared" ref="V175:V177" si="38">T175*U175</f>
        <v>3.5</v>
      </c>
      <c r="W175" s="1886">
        <v>1</v>
      </c>
      <c r="X175" s="496">
        <v>3.5</v>
      </c>
      <c r="Y175" s="496">
        <f t="shared" ref="Y175:Y177" si="39">W175*X175</f>
        <v>3.5</v>
      </c>
      <c r="Z175" s="496"/>
      <c r="AA175" s="496"/>
      <c r="AB175" s="3515"/>
      <c r="AC175" s="491" t="s">
        <v>1665</v>
      </c>
      <c r="AF175" s="466"/>
      <c r="AG175" s="465"/>
      <c r="AH175" s="465"/>
    </row>
    <row r="176" spans="1:34" s="498" customFormat="1" hidden="1" x14ac:dyDescent="0.25">
      <c r="A176" s="962"/>
      <c r="B176" s="1885" t="s">
        <v>1827</v>
      </c>
      <c r="C176" s="503"/>
      <c r="D176" s="903"/>
      <c r="E176" s="962" t="s">
        <v>318</v>
      </c>
      <c r="F176" s="496"/>
      <c r="G176" s="496"/>
      <c r="H176" s="496"/>
      <c r="I176" s="496"/>
      <c r="J176" s="496"/>
      <c r="K176" s="496"/>
      <c r="L176" s="496"/>
      <c r="M176" s="496"/>
      <c r="N176" s="496"/>
      <c r="O176" s="1886">
        <v>2</v>
      </c>
      <c r="P176" s="496">
        <v>3.5</v>
      </c>
      <c r="Q176" s="496">
        <f t="shared" si="37"/>
        <v>7</v>
      </c>
      <c r="R176" s="496">
        <f t="shared" si="33"/>
        <v>7</v>
      </c>
      <c r="S176" s="496"/>
      <c r="T176" s="1886">
        <v>2</v>
      </c>
      <c r="U176" s="496">
        <v>3.5</v>
      </c>
      <c r="V176" s="496">
        <f t="shared" si="38"/>
        <v>7</v>
      </c>
      <c r="W176" s="1886">
        <v>2</v>
      </c>
      <c r="X176" s="496">
        <v>3.5</v>
      </c>
      <c r="Y176" s="496">
        <f t="shared" si="39"/>
        <v>7</v>
      </c>
      <c r="Z176" s="496"/>
      <c r="AA176" s="496"/>
      <c r="AB176" s="3515"/>
      <c r="AC176" s="491" t="s">
        <v>1665</v>
      </c>
      <c r="AF176" s="466"/>
      <c r="AG176" s="465"/>
      <c r="AH176" s="465"/>
    </row>
    <row r="177" spans="1:34" s="498" customFormat="1" hidden="1" x14ac:dyDescent="0.25">
      <c r="A177" s="962"/>
      <c r="B177" s="1885" t="s">
        <v>1807</v>
      </c>
      <c r="C177" s="503"/>
      <c r="D177" s="903"/>
      <c r="E177" s="962" t="s">
        <v>318</v>
      </c>
      <c r="F177" s="496"/>
      <c r="G177" s="496"/>
      <c r="H177" s="496"/>
      <c r="I177" s="496"/>
      <c r="J177" s="496"/>
      <c r="K177" s="496"/>
      <c r="L177" s="496"/>
      <c r="M177" s="496"/>
      <c r="N177" s="496"/>
      <c r="O177" s="1886">
        <v>1</v>
      </c>
      <c r="P177" s="496">
        <v>4</v>
      </c>
      <c r="Q177" s="496">
        <f t="shared" si="37"/>
        <v>4</v>
      </c>
      <c r="R177" s="496">
        <f t="shared" si="33"/>
        <v>4</v>
      </c>
      <c r="S177" s="496"/>
      <c r="T177" s="1886">
        <v>1</v>
      </c>
      <c r="U177" s="496">
        <v>4</v>
      </c>
      <c r="V177" s="496">
        <f t="shared" si="38"/>
        <v>4</v>
      </c>
      <c r="W177" s="1886">
        <v>1</v>
      </c>
      <c r="X177" s="496">
        <v>4</v>
      </c>
      <c r="Y177" s="496">
        <f t="shared" si="39"/>
        <v>4</v>
      </c>
      <c r="Z177" s="496"/>
      <c r="AA177" s="496"/>
      <c r="AB177" s="3516"/>
      <c r="AC177" s="491" t="s">
        <v>1665</v>
      </c>
      <c r="AF177" s="466"/>
      <c r="AG177" s="465"/>
      <c r="AH177" s="465"/>
    </row>
    <row r="178" spans="1:34" s="498" customFormat="1" hidden="1" x14ac:dyDescent="0.25">
      <c r="A178" s="962"/>
      <c r="B178" s="502" t="s">
        <v>1729</v>
      </c>
      <c r="C178" s="503"/>
      <c r="D178" s="903"/>
      <c r="E178" s="962"/>
      <c r="F178" s="494"/>
      <c r="G178" s="495"/>
      <c r="H178" s="1245">
        <f>SUM(H170:H173)*0.271</f>
        <v>4</v>
      </c>
      <c r="I178" s="496"/>
      <c r="J178" s="496"/>
      <c r="K178" s="496">
        <f>SUM(K170:K173)*0.271</f>
        <v>3.8</v>
      </c>
      <c r="L178" s="496"/>
      <c r="M178" s="496"/>
      <c r="N178" s="496">
        <f>SUM(N170:N173)*0.271</f>
        <v>3.8</v>
      </c>
      <c r="O178" s="496"/>
      <c r="P178" s="496"/>
      <c r="Q178" s="496">
        <f>SUM(Q170:Q177)*0.271</f>
        <v>8</v>
      </c>
      <c r="R178" s="496">
        <f t="shared" si="33"/>
        <v>8</v>
      </c>
      <c r="S178" s="496"/>
      <c r="T178" s="496"/>
      <c r="U178" s="496"/>
      <c r="V178" s="496">
        <f>SUM(V170:V177)*0.271</f>
        <v>8</v>
      </c>
      <c r="W178" s="496"/>
      <c r="X178" s="496"/>
      <c r="Y178" s="496">
        <f>SUM(Y170:Y177)*0.271</f>
        <v>8</v>
      </c>
      <c r="Z178" s="1245">
        <f t="shared" ref="Z178:Z224" si="40">Q178-K178</f>
        <v>4.2</v>
      </c>
      <c r="AA178" s="1245">
        <f t="shared" ref="AA178:AA241" si="41">IFERROR(Q178/K178*100,"-")</f>
        <v>210.5</v>
      </c>
      <c r="AB178" s="893"/>
      <c r="AC178" s="549" t="s">
        <v>1665</v>
      </c>
      <c r="AF178" s="466"/>
      <c r="AG178" s="465"/>
      <c r="AH178" s="465"/>
    </row>
    <row r="179" spans="1:34" s="492" customFormat="1" ht="14.25" hidden="1" x14ac:dyDescent="0.2">
      <c r="A179" s="1240"/>
      <c r="B179" s="500" t="s">
        <v>1828</v>
      </c>
      <c r="C179" s="501" t="s">
        <v>797</v>
      </c>
      <c r="D179" s="932"/>
      <c r="E179" s="1240" t="s">
        <v>227</v>
      </c>
      <c r="F179" s="530">
        <v>40</v>
      </c>
      <c r="G179" s="531">
        <v>0.06</v>
      </c>
      <c r="H179" s="493">
        <f>F179*G179</f>
        <v>2.4</v>
      </c>
      <c r="I179" s="532">
        <v>48</v>
      </c>
      <c r="J179" s="532">
        <v>0.1</v>
      </c>
      <c r="K179" s="532">
        <f>I179*J179</f>
        <v>4.8</v>
      </c>
      <c r="L179" s="532">
        <v>48</v>
      </c>
      <c r="M179" s="532">
        <v>0.1</v>
      </c>
      <c r="N179" s="532">
        <f>L179*M179</f>
        <v>4.8</v>
      </c>
      <c r="O179" s="532">
        <v>48</v>
      </c>
      <c r="P179" s="532">
        <v>0.1</v>
      </c>
      <c r="Q179" s="532">
        <f>O179*P179</f>
        <v>4.8</v>
      </c>
      <c r="R179" s="532">
        <f t="shared" si="33"/>
        <v>4.8</v>
      </c>
      <c r="S179" s="532"/>
      <c r="T179" s="532">
        <v>48</v>
      </c>
      <c r="U179" s="532">
        <v>0.1</v>
      </c>
      <c r="V179" s="532">
        <f>T179*U179</f>
        <v>4.8</v>
      </c>
      <c r="W179" s="532">
        <v>48</v>
      </c>
      <c r="X179" s="532">
        <v>0.1</v>
      </c>
      <c r="Y179" s="532">
        <f>W179*X179</f>
        <v>4.8</v>
      </c>
      <c r="Z179" s="493">
        <f t="shared" si="40"/>
        <v>0</v>
      </c>
      <c r="AA179" s="493">
        <f t="shared" si="41"/>
        <v>100</v>
      </c>
      <c r="AB179" s="827"/>
      <c r="AC179" s="549" t="s">
        <v>1665</v>
      </c>
      <c r="AF179" s="466"/>
      <c r="AG179" s="466"/>
      <c r="AH179" s="466"/>
    </row>
    <row r="180" spans="1:34" s="492" customFormat="1" ht="14.25" hidden="1" x14ac:dyDescent="0.2">
      <c r="A180" s="1240"/>
      <c r="B180" s="500" t="s">
        <v>1246</v>
      </c>
      <c r="C180" s="501" t="s">
        <v>1237</v>
      </c>
      <c r="D180" s="932"/>
      <c r="E180" s="1240" t="s">
        <v>1829</v>
      </c>
      <c r="F180" s="530">
        <v>6</v>
      </c>
      <c r="G180" s="531">
        <v>2.5</v>
      </c>
      <c r="H180" s="493">
        <f>F180*G180</f>
        <v>15</v>
      </c>
      <c r="I180" s="532">
        <v>6</v>
      </c>
      <c r="J180" s="532">
        <v>2.5</v>
      </c>
      <c r="K180" s="532">
        <f>I180*J180</f>
        <v>15</v>
      </c>
      <c r="L180" s="532">
        <v>6</v>
      </c>
      <c r="M180" s="532">
        <v>2.5</v>
      </c>
      <c r="N180" s="532">
        <f>L180*M180</f>
        <v>15</v>
      </c>
      <c r="O180" s="532">
        <v>6</v>
      </c>
      <c r="P180" s="532">
        <v>2.5</v>
      </c>
      <c r="Q180" s="532">
        <f>O180*P180</f>
        <v>15</v>
      </c>
      <c r="R180" s="532">
        <f t="shared" si="33"/>
        <v>15</v>
      </c>
      <c r="S180" s="532"/>
      <c r="T180" s="532">
        <v>6</v>
      </c>
      <c r="U180" s="532">
        <v>2.5</v>
      </c>
      <c r="V180" s="532">
        <f>T180*U180</f>
        <v>15</v>
      </c>
      <c r="W180" s="532">
        <v>6</v>
      </c>
      <c r="X180" s="532">
        <v>2.5</v>
      </c>
      <c r="Y180" s="532">
        <f>W180*X180</f>
        <v>15</v>
      </c>
      <c r="Z180" s="493">
        <f t="shared" si="40"/>
        <v>0</v>
      </c>
      <c r="AA180" s="493">
        <f t="shared" si="41"/>
        <v>100</v>
      </c>
      <c r="AB180" s="827"/>
      <c r="AC180" s="549" t="s">
        <v>1665</v>
      </c>
      <c r="AF180" s="466"/>
      <c r="AG180" s="466"/>
      <c r="AH180" s="466"/>
    </row>
    <row r="181" spans="1:34" s="517" customFormat="1" ht="14.25" hidden="1" x14ac:dyDescent="0.2">
      <c r="A181" s="487"/>
      <c r="B181" s="543" t="s">
        <v>1243</v>
      </c>
      <c r="C181" s="511"/>
      <c r="D181" s="487"/>
      <c r="E181" s="554"/>
      <c r="F181" s="488"/>
      <c r="G181" s="489"/>
      <c r="H181" s="537" t="e">
        <f>#REF!+#REF!+H182</f>
        <v>#REF!</v>
      </c>
      <c r="I181" s="537"/>
      <c r="J181" s="537"/>
      <c r="K181" s="537">
        <f>K182</f>
        <v>5.2</v>
      </c>
      <c r="L181" s="537"/>
      <c r="M181" s="537"/>
      <c r="N181" s="537">
        <f>N182</f>
        <v>5.2</v>
      </c>
      <c r="O181" s="537"/>
      <c r="P181" s="537"/>
      <c r="Q181" s="537">
        <f>Q182</f>
        <v>2.4</v>
      </c>
      <c r="R181" s="537">
        <f t="shared" si="33"/>
        <v>2.4</v>
      </c>
      <c r="S181" s="537"/>
      <c r="T181" s="537"/>
      <c r="U181" s="537"/>
      <c r="V181" s="537">
        <f>V182</f>
        <v>2.4</v>
      </c>
      <c r="W181" s="537"/>
      <c r="X181" s="537"/>
      <c r="Y181" s="537">
        <f>Y182</f>
        <v>2.4</v>
      </c>
      <c r="Z181" s="537">
        <f t="shared" si="40"/>
        <v>-2.8</v>
      </c>
      <c r="AA181" s="537">
        <f t="shared" si="41"/>
        <v>46.2</v>
      </c>
      <c r="AB181" s="902"/>
      <c r="AC181" s="515"/>
      <c r="AF181" s="519"/>
      <c r="AG181" s="519"/>
      <c r="AH181" s="519"/>
    </row>
    <row r="182" spans="1:34" s="1891" customFormat="1" ht="38.25" hidden="1" x14ac:dyDescent="0.25">
      <c r="A182" s="850"/>
      <c r="B182" s="520" t="s">
        <v>1664</v>
      </c>
      <c r="C182" s="521"/>
      <c r="D182" s="522" t="s">
        <v>1444</v>
      </c>
      <c r="E182" s="850"/>
      <c r="F182" s="1889"/>
      <c r="G182" s="1889"/>
      <c r="H182" s="526">
        <f>H185+H188</f>
        <v>4.4000000000000004</v>
      </c>
      <c r="I182" s="1889"/>
      <c r="J182" s="1889"/>
      <c r="K182" s="526">
        <f>K185+K188+K183</f>
        <v>5.2</v>
      </c>
      <c r="L182" s="1889"/>
      <c r="M182" s="1889"/>
      <c r="N182" s="526">
        <f>N185+N188+N183</f>
        <v>5.2</v>
      </c>
      <c r="O182" s="1889"/>
      <c r="P182" s="1889"/>
      <c r="Q182" s="526">
        <f>Q185+Q188</f>
        <v>2.4</v>
      </c>
      <c r="R182" s="526">
        <f t="shared" si="33"/>
        <v>2.4</v>
      </c>
      <c r="S182" s="526"/>
      <c r="T182" s="526"/>
      <c r="U182" s="526"/>
      <c r="V182" s="526">
        <f>V185+V188</f>
        <v>2.4</v>
      </c>
      <c r="W182" s="526"/>
      <c r="X182" s="526"/>
      <c r="Y182" s="526">
        <f>Y185+Y188</f>
        <v>2.4</v>
      </c>
      <c r="Z182" s="526">
        <f t="shared" si="40"/>
        <v>-2.8</v>
      </c>
      <c r="AA182" s="526">
        <f t="shared" si="41"/>
        <v>46.2</v>
      </c>
      <c r="AB182" s="1890"/>
      <c r="AC182" s="534" t="s">
        <v>1665</v>
      </c>
      <c r="AF182" s="528"/>
      <c r="AG182" s="1892"/>
      <c r="AH182" s="1892"/>
    </row>
    <row r="183" spans="1:34" s="498" customFormat="1" x14ac:dyDescent="0.25">
      <c r="A183" s="962"/>
      <c r="B183" s="865" t="s">
        <v>1830</v>
      </c>
      <c r="C183" s="508" t="s">
        <v>796</v>
      </c>
      <c r="D183" s="903"/>
      <c r="E183" s="962"/>
      <c r="F183" s="857"/>
      <c r="G183" s="857"/>
      <c r="H183" s="533"/>
      <c r="I183" s="857"/>
      <c r="J183" s="857"/>
      <c r="K183" s="533">
        <f>K184</f>
        <v>3</v>
      </c>
      <c r="L183" s="857"/>
      <c r="M183" s="857"/>
      <c r="N183" s="533">
        <f>N184</f>
        <v>3</v>
      </c>
      <c r="O183" s="857"/>
      <c r="P183" s="857"/>
      <c r="Q183" s="533"/>
      <c r="R183" s="533">
        <f t="shared" si="33"/>
        <v>0</v>
      </c>
      <c r="S183" s="533"/>
      <c r="T183" s="857"/>
      <c r="U183" s="857"/>
      <c r="V183" s="533"/>
      <c r="W183" s="533"/>
      <c r="X183" s="533"/>
      <c r="Y183" s="533"/>
      <c r="Z183" s="559">
        <f t="shared" si="40"/>
        <v>-3</v>
      </c>
      <c r="AA183" s="559">
        <f t="shared" si="41"/>
        <v>0</v>
      </c>
      <c r="AB183" s="1893"/>
      <c r="AC183" s="534" t="s">
        <v>1665</v>
      </c>
      <c r="AF183" s="466"/>
      <c r="AG183" s="465"/>
      <c r="AH183" s="465"/>
    </row>
    <row r="184" spans="1:34" s="498" customFormat="1" ht="38.25" hidden="1" x14ac:dyDescent="0.25">
      <c r="A184" s="962"/>
      <c r="B184" s="856" t="s">
        <v>1831</v>
      </c>
      <c r="C184" s="499"/>
      <c r="D184" s="903"/>
      <c r="E184" s="962"/>
      <c r="F184" s="857"/>
      <c r="G184" s="857"/>
      <c r="H184" s="857"/>
      <c r="I184" s="857">
        <v>30</v>
      </c>
      <c r="J184" s="857">
        <v>0.1</v>
      </c>
      <c r="K184" s="857">
        <f>I184*J184</f>
        <v>3</v>
      </c>
      <c r="L184" s="857">
        <v>30</v>
      </c>
      <c r="M184" s="857">
        <v>0.1</v>
      </c>
      <c r="N184" s="857">
        <f>L184*M184</f>
        <v>3</v>
      </c>
      <c r="O184" s="857"/>
      <c r="P184" s="857"/>
      <c r="Q184" s="857"/>
      <c r="R184" s="857">
        <f t="shared" si="33"/>
        <v>0</v>
      </c>
      <c r="S184" s="857"/>
      <c r="T184" s="857"/>
      <c r="U184" s="857"/>
      <c r="V184" s="857"/>
      <c r="W184" s="857"/>
      <c r="X184" s="857"/>
      <c r="Y184" s="857"/>
      <c r="Z184" s="559">
        <f t="shared" si="40"/>
        <v>-3</v>
      </c>
      <c r="AA184" s="559">
        <f t="shared" si="41"/>
        <v>0</v>
      </c>
      <c r="AB184" s="1884" t="s">
        <v>1746</v>
      </c>
      <c r="AC184" s="534" t="s">
        <v>1665</v>
      </c>
      <c r="AF184" s="466"/>
      <c r="AG184" s="465"/>
      <c r="AH184" s="465"/>
    </row>
    <row r="185" spans="1:34" s="498" customFormat="1" hidden="1" x14ac:dyDescent="0.25">
      <c r="A185" s="962"/>
      <c r="B185" s="865" t="s">
        <v>1228</v>
      </c>
      <c r="C185" s="508" t="s">
        <v>797</v>
      </c>
      <c r="D185" s="903"/>
      <c r="E185" s="962"/>
      <c r="F185" s="857"/>
      <c r="G185" s="857"/>
      <c r="H185" s="533">
        <f>H186</f>
        <v>3.6</v>
      </c>
      <c r="I185" s="857"/>
      <c r="J185" s="857"/>
      <c r="K185" s="533">
        <f>SUM(K186:K187)</f>
        <v>1.8</v>
      </c>
      <c r="L185" s="857"/>
      <c r="M185" s="857"/>
      <c r="N185" s="533">
        <f>SUM(N186:N187)</f>
        <v>1.8</v>
      </c>
      <c r="O185" s="533"/>
      <c r="P185" s="533"/>
      <c r="Q185" s="533">
        <f>SUM(Q186:Q187)</f>
        <v>2</v>
      </c>
      <c r="R185" s="533">
        <f t="shared" si="33"/>
        <v>2</v>
      </c>
      <c r="S185" s="533"/>
      <c r="T185" s="533"/>
      <c r="U185" s="533"/>
      <c r="V185" s="533">
        <f>SUM(V186:V187)</f>
        <v>2</v>
      </c>
      <c r="W185" s="533"/>
      <c r="X185" s="533"/>
      <c r="Y185" s="533">
        <f>SUM(Y186:Y187)</f>
        <v>2</v>
      </c>
      <c r="Z185" s="559">
        <f t="shared" si="40"/>
        <v>0.2</v>
      </c>
      <c r="AA185" s="559">
        <f t="shared" si="41"/>
        <v>111.1</v>
      </c>
      <c r="AB185" s="1893"/>
      <c r="AC185" s="534" t="s">
        <v>1665</v>
      </c>
      <c r="AF185" s="466"/>
      <c r="AG185" s="465"/>
      <c r="AH185" s="465"/>
    </row>
    <row r="186" spans="1:34" s="498" customFormat="1" hidden="1" x14ac:dyDescent="0.25">
      <c r="A186" s="962"/>
      <c r="B186" s="856" t="s">
        <v>1832</v>
      </c>
      <c r="C186" s="508"/>
      <c r="D186" s="903"/>
      <c r="E186" s="962"/>
      <c r="F186" s="857">
        <v>36</v>
      </c>
      <c r="G186" s="857">
        <v>0.1</v>
      </c>
      <c r="H186" s="857">
        <f>F186*G186</f>
        <v>3.6</v>
      </c>
      <c r="I186" s="857">
        <v>36</v>
      </c>
      <c r="J186" s="862">
        <v>0.05</v>
      </c>
      <c r="K186" s="857">
        <f>I186*J186</f>
        <v>1.8</v>
      </c>
      <c r="L186" s="857">
        <v>36</v>
      </c>
      <c r="M186" s="862">
        <v>0.05</v>
      </c>
      <c r="N186" s="857">
        <f>L186*M186</f>
        <v>1.8</v>
      </c>
      <c r="O186" s="533"/>
      <c r="P186" s="533"/>
      <c r="Q186" s="533"/>
      <c r="R186" s="533">
        <f t="shared" si="33"/>
        <v>0</v>
      </c>
      <c r="S186" s="533"/>
      <c r="T186" s="533"/>
      <c r="U186" s="533"/>
      <c r="V186" s="533"/>
      <c r="W186" s="533"/>
      <c r="X186" s="533"/>
      <c r="Y186" s="533"/>
      <c r="Z186" s="559">
        <f t="shared" si="40"/>
        <v>-1.8</v>
      </c>
      <c r="AA186" s="559">
        <f t="shared" si="41"/>
        <v>0</v>
      </c>
      <c r="AB186" s="1893"/>
      <c r="AC186" s="534" t="s">
        <v>1665</v>
      </c>
      <c r="AF186" s="466"/>
      <c r="AG186" s="465"/>
      <c r="AH186" s="465"/>
    </row>
    <row r="187" spans="1:34" s="498" customFormat="1" ht="25.5" hidden="1" x14ac:dyDescent="0.25">
      <c r="A187" s="962"/>
      <c r="B187" s="856" t="s">
        <v>1833</v>
      </c>
      <c r="C187" s="499"/>
      <c r="D187" s="903"/>
      <c r="E187" s="962" t="s">
        <v>227</v>
      </c>
      <c r="F187" s="857"/>
      <c r="G187" s="857"/>
      <c r="H187" s="857"/>
      <c r="I187" s="857"/>
      <c r="J187" s="862"/>
      <c r="K187" s="857"/>
      <c r="L187" s="857"/>
      <c r="M187" s="862"/>
      <c r="N187" s="857"/>
      <c r="O187" s="857">
        <v>1</v>
      </c>
      <c r="P187" s="857">
        <v>2</v>
      </c>
      <c r="Q187" s="857">
        <f>O187*P187</f>
        <v>2</v>
      </c>
      <c r="R187" s="857">
        <f t="shared" si="33"/>
        <v>2</v>
      </c>
      <c r="S187" s="857"/>
      <c r="T187" s="857">
        <v>1</v>
      </c>
      <c r="U187" s="857">
        <v>2</v>
      </c>
      <c r="V187" s="857">
        <f>T187*U187</f>
        <v>2</v>
      </c>
      <c r="W187" s="857">
        <v>1</v>
      </c>
      <c r="X187" s="857">
        <v>2</v>
      </c>
      <c r="Y187" s="857">
        <f>W187*X187</f>
        <v>2</v>
      </c>
      <c r="Z187" s="559">
        <f t="shared" si="40"/>
        <v>2</v>
      </c>
      <c r="AA187" s="559" t="str">
        <f t="shared" si="41"/>
        <v>-</v>
      </c>
      <c r="AB187" s="1884" t="s">
        <v>1834</v>
      </c>
      <c r="AC187" s="534" t="s">
        <v>1665</v>
      </c>
      <c r="AF187" s="466"/>
      <c r="AG187" s="465"/>
      <c r="AH187" s="465"/>
    </row>
    <row r="188" spans="1:34" s="498" customFormat="1" hidden="1" x14ac:dyDescent="0.25">
      <c r="A188" s="962"/>
      <c r="B188" s="865" t="s">
        <v>801</v>
      </c>
      <c r="C188" s="508" t="s">
        <v>797</v>
      </c>
      <c r="D188" s="903"/>
      <c r="E188" s="962"/>
      <c r="F188" s="857"/>
      <c r="G188" s="857"/>
      <c r="H188" s="533">
        <f>H189</f>
        <v>0.8</v>
      </c>
      <c r="I188" s="857"/>
      <c r="J188" s="857"/>
      <c r="K188" s="533">
        <f>K189</f>
        <v>0.4</v>
      </c>
      <c r="L188" s="857"/>
      <c r="M188" s="857"/>
      <c r="N188" s="533">
        <f>N189</f>
        <v>0.4</v>
      </c>
      <c r="O188" s="533"/>
      <c r="P188" s="533"/>
      <c r="Q188" s="533">
        <f>Q189</f>
        <v>0.4</v>
      </c>
      <c r="R188" s="533">
        <f t="shared" si="33"/>
        <v>0.4</v>
      </c>
      <c r="S188" s="533"/>
      <c r="T188" s="533"/>
      <c r="U188" s="533"/>
      <c r="V188" s="533">
        <f>V189</f>
        <v>0.4</v>
      </c>
      <c r="W188" s="533"/>
      <c r="X188" s="533"/>
      <c r="Y188" s="533">
        <f>Y189</f>
        <v>0.4</v>
      </c>
      <c r="Z188" s="559">
        <f t="shared" si="40"/>
        <v>0</v>
      </c>
      <c r="AA188" s="559">
        <f t="shared" si="41"/>
        <v>100</v>
      </c>
      <c r="AB188" s="1893"/>
      <c r="AC188" s="534" t="s">
        <v>1665</v>
      </c>
      <c r="AF188" s="466"/>
      <c r="AG188" s="465"/>
      <c r="AH188" s="465"/>
    </row>
    <row r="189" spans="1:34" s="498" customFormat="1" hidden="1" x14ac:dyDescent="0.25">
      <c r="A189" s="962"/>
      <c r="B189" s="502" t="s">
        <v>1835</v>
      </c>
      <c r="C189" s="499"/>
      <c r="D189" s="903"/>
      <c r="E189" s="962" t="s">
        <v>227</v>
      </c>
      <c r="F189" s="857">
        <v>8</v>
      </c>
      <c r="G189" s="857">
        <v>0.1</v>
      </c>
      <c r="H189" s="857">
        <f>F189*G189</f>
        <v>0.8</v>
      </c>
      <c r="I189" s="857">
        <v>4</v>
      </c>
      <c r="J189" s="862">
        <v>0.1</v>
      </c>
      <c r="K189" s="857">
        <f>I189*J189</f>
        <v>0.4</v>
      </c>
      <c r="L189" s="857">
        <v>4</v>
      </c>
      <c r="M189" s="862">
        <v>0.1</v>
      </c>
      <c r="N189" s="857">
        <f>L189*M189</f>
        <v>0.4</v>
      </c>
      <c r="O189" s="857">
        <v>4</v>
      </c>
      <c r="P189" s="857">
        <v>0.1</v>
      </c>
      <c r="Q189" s="857">
        <f>O189*P189</f>
        <v>0.4</v>
      </c>
      <c r="R189" s="857">
        <f t="shared" si="33"/>
        <v>0.4</v>
      </c>
      <c r="S189" s="857"/>
      <c r="T189" s="857">
        <v>4</v>
      </c>
      <c r="U189" s="857">
        <v>0.1</v>
      </c>
      <c r="V189" s="857">
        <f>T189*U189</f>
        <v>0.4</v>
      </c>
      <c r="W189" s="857">
        <v>4</v>
      </c>
      <c r="X189" s="857">
        <v>0.1</v>
      </c>
      <c r="Y189" s="857">
        <f>W189*X189</f>
        <v>0.4</v>
      </c>
      <c r="Z189" s="559">
        <f t="shared" si="40"/>
        <v>0</v>
      </c>
      <c r="AA189" s="559">
        <f t="shared" si="41"/>
        <v>100</v>
      </c>
      <c r="AB189" s="1884"/>
      <c r="AC189" s="534" t="s">
        <v>1665</v>
      </c>
      <c r="AF189" s="466"/>
      <c r="AG189" s="465"/>
      <c r="AH189" s="465"/>
    </row>
    <row r="190" spans="1:34" s="517" customFormat="1" ht="14.25" hidden="1" x14ac:dyDescent="0.2">
      <c r="A190" s="487"/>
      <c r="B190" s="904" t="s">
        <v>1244</v>
      </c>
      <c r="C190" s="905"/>
      <c r="D190" s="487"/>
      <c r="E190" s="490"/>
      <c r="F190" s="488"/>
      <c r="G190" s="489"/>
      <c r="H190" s="490" t="e">
        <f>#REF!+H191+#REF!</f>
        <v>#REF!</v>
      </c>
      <c r="I190" s="847"/>
      <c r="J190" s="847"/>
      <c r="K190" s="490">
        <f>K191</f>
        <v>36.799999999999997</v>
      </c>
      <c r="L190" s="847"/>
      <c r="M190" s="847"/>
      <c r="N190" s="490">
        <f>N191</f>
        <v>36.799999999999997</v>
      </c>
      <c r="O190" s="847"/>
      <c r="P190" s="847"/>
      <c r="Q190" s="490">
        <f>Q191</f>
        <v>43.2</v>
      </c>
      <c r="R190" s="490">
        <f t="shared" si="33"/>
        <v>43.2</v>
      </c>
      <c r="S190" s="490"/>
      <c r="T190" s="847"/>
      <c r="U190" s="847"/>
      <c r="V190" s="490">
        <f>V191</f>
        <v>43.9</v>
      </c>
      <c r="W190" s="490"/>
      <c r="X190" s="490"/>
      <c r="Y190" s="490">
        <f>Y191</f>
        <v>43.9</v>
      </c>
      <c r="Z190" s="490">
        <f t="shared" si="40"/>
        <v>6.4</v>
      </c>
      <c r="AA190" s="490">
        <f t="shared" si="41"/>
        <v>117.4</v>
      </c>
      <c r="AB190" s="555"/>
      <c r="AC190" s="515"/>
      <c r="AF190" s="518"/>
      <c r="AG190" s="519"/>
      <c r="AH190" s="519"/>
    </row>
    <row r="191" spans="1:34" s="527" customFormat="1" ht="38.25" hidden="1" x14ac:dyDescent="0.2">
      <c r="A191" s="522"/>
      <c r="B191" s="858" t="s">
        <v>1700</v>
      </c>
      <c r="C191" s="859"/>
      <c r="D191" s="522" t="s">
        <v>1444</v>
      </c>
      <c r="E191" s="525"/>
      <c r="F191" s="1894"/>
      <c r="G191" s="1895"/>
      <c r="H191" s="860">
        <f>H192+H201+H203+H209+H210</f>
        <v>51.6</v>
      </c>
      <c r="I191" s="1896"/>
      <c r="J191" s="1896"/>
      <c r="K191" s="860">
        <f>K192+K201+K203+K209+K210</f>
        <v>36.799999999999997</v>
      </c>
      <c r="L191" s="1896"/>
      <c r="M191" s="1896"/>
      <c r="N191" s="860">
        <f>N192+N201+N203+N209+N210</f>
        <v>36.799999999999997</v>
      </c>
      <c r="O191" s="1896"/>
      <c r="P191" s="1896"/>
      <c r="Q191" s="860">
        <f>Q192+Q201+Q203+Q207+Q208+Q209+Q210</f>
        <v>43.2</v>
      </c>
      <c r="R191" s="860">
        <f t="shared" si="33"/>
        <v>43.2</v>
      </c>
      <c r="S191" s="860"/>
      <c r="T191" s="860"/>
      <c r="U191" s="860"/>
      <c r="V191" s="860">
        <f>V192+V201+V203+V207+V208+V209+V210</f>
        <v>43.9</v>
      </c>
      <c r="W191" s="860"/>
      <c r="X191" s="860"/>
      <c r="Y191" s="860">
        <f>Y192+Y201+Y203+Y207+Y208+Y209+Y210</f>
        <v>43.9</v>
      </c>
      <c r="Z191" s="860">
        <f t="shared" si="40"/>
        <v>6.4</v>
      </c>
      <c r="AA191" s="860">
        <f t="shared" si="41"/>
        <v>117.4</v>
      </c>
      <c r="AB191" s="1897"/>
      <c r="AC191" s="549" t="s">
        <v>1665</v>
      </c>
      <c r="AF191" s="528"/>
      <c r="AG191" s="528"/>
      <c r="AH191" s="528"/>
    </row>
    <row r="192" spans="1:34" s="492" customFormat="1" ht="14.25" hidden="1" x14ac:dyDescent="0.2">
      <c r="A192" s="1240"/>
      <c r="B192" s="1042" t="s">
        <v>1395</v>
      </c>
      <c r="C192" s="501" t="s">
        <v>1230</v>
      </c>
      <c r="D192" s="1240"/>
      <c r="E192" s="854"/>
      <c r="F192" s="1898"/>
      <c r="G192" s="1899"/>
      <c r="H192" s="493">
        <f>SUM(H193:H200)</f>
        <v>26.1</v>
      </c>
      <c r="I192" s="1900"/>
      <c r="J192" s="1900"/>
      <c r="K192" s="532">
        <f>SUM(K193:K200)</f>
        <v>20.8</v>
      </c>
      <c r="L192" s="1900"/>
      <c r="M192" s="1900"/>
      <c r="N192" s="532">
        <f>SUM(N193:N200)</f>
        <v>20.8</v>
      </c>
      <c r="O192" s="532"/>
      <c r="P192" s="532"/>
      <c r="Q192" s="532">
        <f>SUM(Q193:Q200)</f>
        <v>24.8</v>
      </c>
      <c r="R192" s="532">
        <f t="shared" si="33"/>
        <v>24.8</v>
      </c>
      <c r="S192" s="532"/>
      <c r="T192" s="532"/>
      <c r="U192" s="532"/>
      <c r="V192" s="532">
        <f>SUM(V193:V200)</f>
        <v>24.8</v>
      </c>
      <c r="W192" s="532"/>
      <c r="X192" s="532"/>
      <c r="Y192" s="532">
        <f>SUM(Y193:Y200)</f>
        <v>24.8</v>
      </c>
      <c r="Z192" s="493">
        <f t="shared" si="40"/>
        <v>4</v>
      </c>
      <c r="AA192" s="493">
        <f t="shared" si="41"/>
        <v>119.2</v>
      </c>
      <c r="AB192" s="1042"/>
      <c r="AC192" s="491" t="s">
        <v>1665</v>
      </c>
      <c r="AF192" s="466"/>
      <c r="AG192" s="466"/>
      <c r="AH192" s="466"/>
    </row>
    <row r="193" spans="1:34" s="498" customFormat="1" hidden="1" x14ac:dyDescent="0.25">
      <c r="A193" s="962"/>
      <c r="B193" s="1043" t="s">
        <v>1836</v>
      </c>
      <c r="C193" s="503"/>
      <c r="D193" s="903"/>
      <c r="E193" s="535" t="s">
        <v>1837</v>
      </c>
      <c r="F193" s="494">
        <v>2</v>
      </c>
      <c r="G193" s="495">
        <v>2.2999999999999998</v>
      </c>
      <c r="H193" s="1245">
        <f>F193*G193</f>
        <v>4.5999999999999996</v>
      </c>
      <c r="I193" s="496">
        <v>2</v>
      </c>
      <c r="J193" s="496">
        <v>2.2999999999999998</v>
      </c>
      <c r="K193" s="496">
        <f>I193*J193</f>
        <v>4.5999999999999996</v>
      </c>
      <c r="L193" s="496">
        <v>2</v>
      </c>
      <c r="M193" s="496">
        <v>2.2999999999999998</v>
      </c>
      <c r="N193" s="496">
        <f>L193*M193</f>
        <v>4.5999999999999996</v>
      </c>
      <c r="O193" s="496">
        <v>2</v>
      </c>
      <c r="P193" s="496">
        <v>2.2999999999999998</v>
      </c>
      <c r="Q193" s="496">
        <f>O193*P193</f>
        <v>4.5999999999999996</v>
      </c>
      <c r="R193" s="496">
        <f t="shared" si="33"/>
        <v>4.5999999999999996</v>
      </c>
      <c r="S193" s="496"/>
      <c r="T193" s="496">
        <v>2</v>
      </c>
      <c r="U193" s="496">
        <v>2.2999999999999998</v>
      </c>
      <c r="V193" s="496">
        <f>T193*U193</f>
        <v>4.5999999999999996</v>
      </c>
      <c r="W193" s="496">
        <v>2</v>
      </c>
      <c r="X193" s="496">
        <v>2.2999999999999998</v>
      </c>
      <c r="Y193" s="496">
        <f>W193*X193</f>
        <v>4.5999999999999996</v>
      </c>
      <c r="Z193" s="1245">
        <f t="shared" si="40"/>
        <v>0</v>
      </c>
      <c r="AA193" s="1245">
        <f t="shared" si="41"/>
        <v>100</v>
      </c>
      <c r="AB193" s="1043"/>
      <c r="AC193" s="491" t="s">
        <v>1665</v>
      </c>
      <c r="AF193" s="466"/>
      <c r="AG193" s="465"/>
      <c r="AH193" s="465"/>
    </row>
    <row r="194" spans="1:34" s="498" customFormat="1" hidden="1" x14ac:dyDescent="0.25">
      <c r="A194" s="962"/>
      <c r="B194" s="1043" t="s">
        <v>1838</v>
      </c>
      <c r="C194" s="503"/>
      <c r="D194" s="903"/>
      <c r="E194" s="535" t="s">
        <v>1837</v>
      </c>
      <c r="F194" s="494">
        <v>3</v>
      </c>
      <c r="G194" s="495">
        <v>1.1499999999999999</v>
      </c>
      <c r="H194" s="1245">
        <f>F194*G194</f>
        <v>3.5</v>
      </c>
      <c r="I194" s="496"/>
      <c r="J194" s="496"/>
      <c r="K194" s="496">
        <f>I194*J194</f>
        <v>0</v>
      </c>
      <c r="L194" s="496"/>
      <c r="M194" s="496"/>
      <c r="N194" s="496">
        <f>L194*M194</f>
        <v>0</v>
      </c>
      <c r="O194" s="496"/>
      <c r="P194" s="496"/>
      <c r="Q194" s="496"/>
      <c r="R194" s="496">
        <f t="shared" si="33"/>
        <v>0</v>
      </c>
      <c r="S194" s="496"/>
      <c r="T194" s="496"/>
      <c r="U194" s="496"/>
      <c r="V194" s="496"/>
      <c r="W194" s="496"/>
      <c r="X194" s="496"/>
      <c r="Y194" s="496"/>
      <c r="Z194" s="1245">
        <f t="shared" si="40"/>
        <v>0</v>
      </c>
      <c r="AA194" s="1245" t="str">
        <f t="shared" si="41"/>
        <v>-</v>
      </c>
      <c r="AB194" s="1043"/>
      <c r="AC194" s="491" t="s">
        <v>1665</v>
      </c>
      <c r="AF194" s="466"/>
      <c r="AG194" s="465"/>
      <c r="AH194" s="465"/>
    </row>
    <row r="195" spans="1:34" s="498" customFormat="1" hidden="1" x14ac:dyDescent="0.25">
      <c r="A195" s="962"/>
      <c r="B195" s="1043" t="s">
        <v>1839</v>
      </c>
      <c r="C195" s="503"/>
      <c r="D195" s="903"/>
      <c r="E195" s="535" t="s">
        <v>1837</v>
      </c>
      <c r="F195" s="494">
        <v>4</v>
      </c>
      <c r="G195" s="495">
        <v>1.73</v>
      </c>
      <c r="H195" s="1245">
        <f>F195*G195</f>
        <v>6.9</v>
      </c>
      <c r="I195" s="496">
        <v>4</v>
      </c>
      <c r="J195" s="496">
        <v>1.7</v>
      </c>
      <c r="K195" s="496">
        <f>I195*J195</f>
        <v>6.8</v>
      </c>
      <c r="L195" s="496">
        <v>4</v>
      </c>
      <c r="M195" s="496">
        <v>1.7</v>
      </c>
      <c r="N195" s="496">
        <f>L195*M195</f>
        <v>6.8</v>
      </c>
      <c r="O195" s="496">
        <v>4</v>
      </c>
      <c r="P195" s="496">
        <v>1.7</v>
      </c>
      <c r="Q195" s="496">
        <f>O195*P195</f>
        <v>6.8</v>
      </c>
      <c r="R195" s="496">
        <f t="shared" si="33"/>
        <v>6.8</v>
      </c>
      <c r="S195" s="496"/>
      <c r="T195" s="496">
        <v>4</v>
      </c>
      <c r="U195" s="496">
        <v>1.7</v>
      </c>
      <c r="V195" s="496">
        <f>T195*U195</f>
        <v>6.8</v>
      </c>
      <c r="W195" s="496">
        <v>4</v>
      </c>
      <c r="X195" s="496">
        <v>1.7</v>
      </c>
      <c r="Y195" s="496">
        <f>W195*X195</f>
        <v>6.8</v>
      </c>
      <c r="Z195" s="1245">
        <f t="shared" si="40"/>
        <v>0</v>
      </c>
      <c r="AA195" s="1245">
        <f t="shared" si="41"/>
        <v>100</v>
      </c>
      <c r="AB195" s="1043"/>
      <c r="AC195" s="491" t="s">
        <v>1665</v>
      </c>
      <c r="AF195" s="466"/>
      <c r="AG195" s="465"/>
      <c r="AH195" s="465"/>
    </row>
    <row r="196" spans="1:34" s="498" customFormat="1" hidden="1" x14ac:dyDescent="0.25">
      <c r="A196" s="962"/>
      <c r="B196" s="1901" t="s">
        <v>1519</v>
      </c>
      <c r="C196" s="1902"/>
      <c r="D196" s="903"/>
      <c r="E196" s="535" t="s">
        <v>1837</v>
      </c>
      <c r="F196" s="863">
        <v>1</v>
      </c>
      <c r="G196" s="864">
        <v>3.5</v>
      </c>
      <c r="H196" s="1245">
        <f>F196*G196</f>
        <v>3.5</v>
      </c>
      <c r="I196" s="682">
        <v>1</v>
      </c>
      <c r="J196" s="682">
        <v>3.5</v>
      </c>
      <c r="K196" s="496">
        <f>I196*J196</f>
        <v>3.5</v>
      </c>
      <c r="L196" s="682">
        <v>1</v>
      </c>
      <c r="M196" s="682">
        <v>3.5</v>
      </c>
      <c r="N196" s="496">
        <f>L196*M196</f>
        <v>3.5</v>
      </c>
      <c r="O196" s="682">
        <v>1</v>
      </c>
      <c r="P196" s="682">
        <v>3.5</v>
      </c>
      <c r="Q196" s="496">
        <f>O196*P196</f>
        <v>3.5</v>
      </c>
      <c r="R196" s="496">
        <f t="shared" si="33"/>
        <v>3.5</v>
      </c>
      <c r="S196" s="496"/>
      <c r="T196" s="682">
        <v>1</v>
      </c>
      <c r="U196" s="682">
        <v>3.5</v>
      </c>
      <c r="V196" s="496">
        <f>T196*U196</f>
        <v>3.5</v>
      </c>
      <c r="W196" s="682">
        <v>1</v>
      </c>
      <c r="X196" s="682">
        <v>3.5</v>
      </c>
      <c r="Y196" s="496">
        <f>W196*X196</f>
        <v>3.5</v>
      </c>
      <c r="Z196" s="1245">
        <f t="shared" si="40"/>
        <v>0</v>
      </c>
      <c r="AA196" s="1245">
        <f t="shared" si="41"/>
        <v>100</v>
      </c>
      <c r="AB196" s="1901"/>
      <c r="AC196" s="491" t="s">
        <v>1665</v>
      </c>
      <c r="AF196" s="466"/>
      <c r="AG196" s="465"/>
      <c r="AH196" s="465"/>
    </row>
    <row r="197" spans="1:34" s="498" customFormat="1" hidden="1" x14ac:dyDescent="0.25">
      <c r="A197" s="962"/>
      <c r="B197" s="1901" t="s">
        <v>1840</v>
      </c>
      <c r="C197" s="1902"/>
      <c r="D197" s="903"/>
      <c r="E197" s="535"/>
      <c r="F197" s="863"/>
      <c r="G197" s="864"/>
      <c r="H197" s="1245"/>
      <c r="I197" s="682">
        <v>3</v>
      </c>
      <c r="J197" s="682">
        <v>1.2</v>
      </c>
      <c r="K197" s="496">
        <v>0</v>
      </c>
      <c r="L197" s="682">
        <v>3</v>
      </c>
      <c r="M197" s="682">
        <v>1.2</v>
      </c>
      <c r="N197" s="496">
        <v>0</v>
      </c>
      <c r="O197" s="682"/>
      <c r="P197" s="682"/>
      <c r="Q197" s="496"/>
      <c r="R197" s="496">
        <f t="shared" si="33"/>
        <v>0</v>
      </c>
      <c r="S197" s="496"/>
      <c r="T197" s="682"/>
      <c r="U197" s="682"/>
      <c r="V197" s="496"/>
      <c r="W197" s="682"/>
      <c r="X197" s="682"/>
      <c r="Y197" s="496"/>
      <c r="Z197" s="1245">
        <f t="shared" si="40"/>
        <v>0</v>
      </c>
      <c r="AA197" s="1245" t="str">
        <f t="shared" si="41"/>
        <v>-</v>
      </c>
      <c r="AB197" s="1901"/>
      <c r="AC197" s="491" t="s">
        <v>1665</v>
      </c>
      <c r="AF197" s="466"/>
      <c r="AG197" s="465"/>
      <c r="AH197" s="465"/>
    </row>
    <row r="198" spans="1:34" s="498" customFormat="1" hidden="1" x14ac:dyDescent="0.25">
      <c r="A198" s="962"/>
      <c r="B198" s="1903" t="s">
        <v>1683</v>
      </c>
      <c r="C198" s="1904"/>
      <c r="D198" s="903"/>
      <c r="E198" s="535" t="s">
        <v>1837</v>
      </c>
      <c r="F198" s="863">
        <v>1</v>
      </c>
      <c r="G198" s="864">
        <v>2</v>
      </c>
      <c r="H198" s="1245">
        <f>F198*G198</f>
        <v>2</v>
      </c>
      <c r="I198" s="682">
        <v>1</v>
      </c>
      <c r="J198" s="682">
        <v>2</v>
      </c>
      <c r="K198" s="496">
        <v>1.5</v>
      </c>
      <c r="L198" s="682">
        <v>1</v>
      </c>
      <c r="M198" s="682">
        <v>2</v>
      </c>
      <c r="N198" s="496">
        <v>1.5</v>
      </c>
      <c r="O198" s="682"/>
      <c r="P198" s="682"/>
      <c r="Q198" s="496"/>
      <c r="R198" s="496">
        <f t="shared" si="33"/>
        <v>0</v>
      </c>
      <c r="S198" s="496"/>
      <c r="T198" s="682"/>
      <c r="U198" s="682"/>
      <c r="V198" s="496"/>
      <c r="W198" s="682"/>
      <c r="X198" s="682"/>
      <c r="Y198" s="496"/>
      <c r="Z198" s="1245">
        <f t="shared" si="40"/>
        <v>-1.5</v>
      </c>
      <c r="AA198" s="1245">
        <f t="shared" si="41"/>
        <v>0</v>
      </c>
      <c r="AB198" s="1903"/>
      <c r="AC198" s="491" t="s">
        <v>1665</v>
      </c>
      <c r="AF198" s="466"/>
      <c r="AG198" s="465"/>
      <c r="AH198" s="465"/>
    </row>
    <row r="199" spans="1:34" s="498" customFormat="1" hidden="1" x14ac:dyDescent="0.25">
      <c r="A199" s="962"/>
      <c r="B199" s="1903" t="s">
        <v>1841</v>
      </c>
      <c r="C199" s="1904"/>
      <c r="D199" s="903"/>
      <c r="E199" s="535"/>
      <c r="F199" s="863"/>
      <c r="G199" s="864"/>
      <c r="H199" s="1245"/>
      <c r="I199" s="682"/>
      <c r="J199" s="682"/>
      <c r="K199" s="496"/>
      <c r="L199" s="682"/>
      <c r="M199" s="682"/>
      <c r="N199" s="496"/>
      <c r="O199" s="682">
        <v>2</v>
      </c>
      <c r="P199" s="682">
        <v>2.2999999999999998</v>
      </c>
      <c r="Q199" s="496">
        <f>O199*P199</f>
        <v>4.5999999999999996</v>
      </c>
      <c r="R199" s="496">
        <f t="shared" si="33"/>
        <v>4.5999999999999996</v>
      </c>
      <c r="S199" s="496"/>
      <c r="T199" s="682">
        <v>2</v>
      </c>
      <c r="U199" s="682">
        <v>2.2999999999999998</v>
      </c>
      <c r="V199" s="496">
        <f>T199*U199</f>
        <v>4.5999999999999996</v>
      </c>
      <c r="W199" s="682">
        <v>2</v>
      </c>
      <c r="X199" s="682">
        <v>2.2999999999999998</v>
      </c>
      <c r="Y199" s="496">
        <f>W199*X199</f>
        <v>4.5999999999999996</v>
      </c>
      <c r="Z199" s="1245">
        <f t="shared" si="40"/>
        <v>4.5999999999999996</v>
      </c>
      <c r="AA199" s="1245" t="str">
        <f t="shared" si="41"/>
        <v>-</v>
      </c>
      <c r="AB199" s="1903"/>
      <c r="AC199" s="491" t="s">
        <v>1665</v>
      </c>
      <c r="AF199" s="466"/>
      <c r="AG199" s="465"/>
      <c r="AH199" s="465"/>
    </row>
    <row r="200" spans="1:34" s="498" customFormat="1" hidden="1" x14ac:dyDescent="0.25">
      <c r="A200" s="962"/>
      <c r="B200" s="1030" t="s">
        <v>842</v>
      </c>
      <c r="C200" s="553"/>
      <c r="D200" s="903"/>
      <c r="E200" s="535"/>
      <c r="F200" s="504"/>
      <c r="G200" s="505"/>
      <c r="H200" s="535">
        <f>SUM(H193:H198)*0.271</f>
        <v>5.6</v>
      </c>
      <c r="I200" s="1905"/>
      <c r="J200" s="1905"/>
      <c r="K200" s="1905">
        <f>SUM(K193:K198)*0.271</f>
        <v>4.4000000000000004</v>
      </c>
      <c r="L200" s="1905"/>
      <c r="M200" s="1905"/>
      <c r="N200" s="1905">
        <f>SUM(N193:N198)*0.271</f>
        <v>4.4000000000000004</v>
      </c>
      <c r="O200" s="1905"/>
      <c r="P200" s="1905"/>
      <c r="Q200" s="1905">
        <f>SUM(Q193:Q199)*0.271</f>
        <v>5.3</v>
      </c>
      <c r="R200" s="1905">
        <f t="shared" si="33"/>
        <v>5.3</v>
      </c>
      <c r="S200" s="1905"/>
      <c r="T200" s="1905"/>
      <c r="U200" s="1905"/>
      <c r="V200" s="1905">
        <f>SUM(V193:V199)*0.271</f>
        <v>5.3</v>
      </c>
      <c r="W200" s="1905"/>
      <c r="X200" s="1905"/>
      <c r="Y200" s="1905">
        <f>SUM(Y193:Y199)*0.271</f>
        <v>5.3</v>
      </c>
      <c r="Z200" s="535">
        <f t="shared" si="40"/>
        <v>0.9</v>
      </c>
      <c r="AA200" s="535">
        <f t="shared" si="41"/>
        <v>120.5</v>
      </c>
      <c r="AB200" s="1030"/>
      <c r="AC200" s="491" t="s">
        <v>1665</v>
      </c>
      <c r="AF200" s="466"/>
      <c r="AG200" s="465"/>
      <c r="AH200" s="465"/>
    </row>
    <row r="201" spans="1:34" s="492" customFormat="1" ht="25.5" hidden="1" x14ac:dyDescent="0.2">
      <c r="A201" s="1240"/>
      <c r="B201" s="898" t="s">
        <v>1842</v>
      </c>
      <c r="C201" s="529" t="s">
        <v>797</v>
      </c>
      <c r="D201" s="932"/>
      <c r="E201" s="854"/>
      <c r="F201" s="530"/>
      <c r="G201" s="531"/>
      <c r="H201" s="493">
        <f>SUM(H202:H202)</f>
        <v>1.6</v>
      </c>
      <c r="I201" s="532"/>
      <c r="J201" s="532"/>
      <c r="K201" s="532">
        <f>SUM(K202:K202)</f>
        <v>0.8</v>
      </c>
      <c r="L201" s="532"/>
      <c r="M201" s="532"/>
      <c r="N201" s="532">
        <f>SUM(N202:N202)</f>
        <v>0.8</v>
      </c>
      <c r="O201" s="532"/>
      <c r="P201" s="532"/>
      <c r="Q201" s="532">
        <f>SUM(Q202:Q202)</f>
        <v>1.2</v>
      </c>
      <c r="R201" s="532">
        <f t="shared" si="33"/>
        <v>1.2</v>
      </c>
      <c r="S201" s="532"/>
      <c r="T201" s="532"/>
      <c r="U201" s="532"/>
      <c r="V201" s="532">
        <f>SUM(V202:V202)</f>
        <v>1.2</v>
      </c>
      <c r="W201" s="532"/>
      <c r="X201" s="532"/>
      <c r="Y201" s="532">
        <f>SUM(Y202:Y202)</f>
        <v>1.2</v>
      </c>
      <c r="Z201" s="493">
        <f t="shared" si="40"/>
        <v>0.4</v>
      </c>
      <c r="AA201" s="493">
        <f t="shared" si="41"/>
        <v>150</v>
      </c>
      <c r="AB201" s="900"/>
      <c r="AC201" s="491" t="s">
        <v>1665</v>
      </c>
      <c r="AF201" s="466"/>
      <c r="AG201" s="466"/>
      <c r="AH201" s="466"/>
    </row>
    <row r="202" spans="1:34" s="498" customFormat="1" ht="89.25" hidden="1" x14ac:dyDescent="0.25">
      <c r="A202" s="962"/>
      <c r="B202" s="1030" t="s">
        <v>1843</v>
      </c>
      <c r="C202" s="553"/>
      <c r="D202" s="903"/>
      <c r="E202" s="535" t="s">
        <v>310</v>
      </c>
      <c r="F202" s="863">
        <v>16</v>
      </c>
      <c r="G202" s="864">
        <v>0.1</v>
      </c>
      <c r="H202" s="1245">
        <f>F202*G202</f>
        <v>1.6</v>
      </c>
      <c r="I202" s="682">
        <v>8</v>
      </c>
      <c r="J202" s="1906">
        <v>0.1</v>
      </c>
      <c r="K202" s="496">
        <f>I202*J202</f>
        <v>0.8</v>
      </c>
      <c r="L202" s="682">
        <v>8</v>
      </c>
      <c r="M202" s="1906">
        <v>0.1</v>
      </c>
      <c r="N202" s="496">
        <f>L202*M202</f>
        <v>0.8</v>
      </c>
      <c r="O202" s="682">
        <v>12</v>
      </c>
      <c r="P202" s="682">
        <v>0.1</v>
      </c>
      <c r="Q202" s="496">
        <f>O202*P202</f>
        <v>1.2</v>
      </c>
      <c r="R202" s="496">
        <f t="shared" si="33"/>
        <v>1.2</v>
      </c>
      <c r="S202" s="496"/>
      <c r="T202" s="682">
        <v>12</v>
      </c>
      <c r="U202" s="682">
        <v>0.1</v>
      </c>
      <c r="V202" s="496">
        <f>T202*U202</f>
        <v>1.2</v>
      </c>
      <c r="W202" s="682">
        <v>12</v>
      </c>
      <c r="X202" s="682">
        <v>0.1</v>
      </c>
      <c r="Y202" s="496">
        <f>W202*X202</f>
        <v>1.2</v>
      </c>
      <c r="Z202" s="1245">
        <f t="shared" si="40"/>
        <v>0.4</v>
      </c>
      <c r="AA202" s="1245">
        <f t="shared" si="41"/>
        <v>150</v>
      </c>
      <c r="AB202" s="900" t="s">
        <v>1844</v>
      </c>
      <c r="AC202" s="491" t="s">
        <v>1665</v>
      </c>
      <c r="AF202" s="466"/>
      <c r="AG202" s="465"/>
      <c r="AH202" s="465"/>
    </row>
    <row r="203" spans="1:34" s="492" customFormat="1" ht="14.25" hidden="1" x14ac:dyDescent="0.2">
      <c r="A203" s="1240"/>
      <c r="B203" s="898" t="s">
        <v>1845</v>
      </c>
      <c r="C203" s="529" t="s">
        <v>797</v>
      </c>
      <c r="D203" s="932"/>
      <c r="E203" s="854"/>
      <c r="F203" s="1898"/>
      <c r="G203" s="1899"/>
      <c r="H203" s="493">
        <f>SUM(H204:H206)</f>
        <v>9</v>
      </c>
      <c r="I203" s="1900"/>
      <c r="J203" s="1900"/>
      <c r="K203" s="532">
        <f>SUM(K204:K206)</f>
        <v>8</v>
      </c>
      <c r="L203" s="1900"/>
      <c r="M203" s="1900"/>
      <c r="N203" s="532">
        <f>SUM(N204:N206)</f>
        <v>8</v>
      </c>
      <c r="O203" s="532"/>
      <c r="P203" s="532"/>
      <c r="Q203" s="532">
        <f>SUM(Q204:Q206)</f>
        <v>4</v>
      </c>
      <c r="R203" s="532">
        <f t="shared" si="33"/>
        <v>4</v>
      </c>
      <c r="S203" s="532"/>
      <c r="T203" s="532"/>
      <c r="U203" s="532"/>
      <c r="V203" s="532">
        <f>SUM(V204:V206)</f>
        <v>4</v>
      </c>
      <c r="W203" s="532"/>
      <c r="X203" s="532"/>
      <c r="Y203" s="532">
        <f>SUM(Y204:Y206)</f>
        <v>4</v>
      </c>
      <c r="Z203" s="493">
        <f t="shared" si="40"/>
        <v>-4</v>
      </c>
      <c r="AA203" s="493">
        <f t="shared" si="41"/>
        <v>50</v>
      </c>
      <c r="AB203" s="900"/>
      <c r="AC203" s="491" t="s">
        <v>1665</v>
      </c>
      <c r="AF203" s="466"/>
      <c r="AG203" s="466"/>
      <c r="AH203" s="466"/>
    </row>
    <row r="204" spans="1:34" s="492" customFormat="1" ht="14.25" hidden="1" x14ac:dyDescent="0.2">
      <c r="A204" s="1240"/>
      <c r="B204" s="867" t="s">
        <v>1846</v>
      </c>
      <c r="C204" s="553"/>
      <c r="D204" s="903"/>
      <c r="E204" s="535" t="s">
        <v>227</v>
      </c>
      <c r="F204" s="1907">
        <v>60</v>
      </c>
      <c r="G204" s="1908">
        <v>0.1</v>
      </c>
      <c r="H204" s="1245">
        <f>F204*G204</f>
        <v>6</v>
      </c>
      <c r="I204" s="1864">
        <v>20</v>
      </c>
      <c r="J204" s="1906">
        <v>0.05</v>
      </c>
      <c r="K204" s="496">
        <f>I204*J204</f>
        <v>1</v>
      </c>
      <c r="L204" s="1864">
        <v>20</v>
      </c>
      <c r="M204" s="1906">
        <v>0.05</v>
      </c>
      <c r="N204" s="496">
        <f>L204*M204</f>
        <v>1</v>
      </c>
      <c r="O204" s="1864"/>
      <c r="P204" s="682"/>
      <c r="Q204" s="496"/>
      <c r="R204" s="496">
        <f t="shared" si="33"/>
        <v>0</v>
      </c>
      <c r="S204" s="496"/>
      <c r="T204" s="1864"/>
      <c r="U204" s="682"/>
      <c r="V204" s="496"/>
      <c r="W204" s="1864"/>
      <c r="X204" s="682"/>
      <c r="Y204" s="496"/>
      <c r="Z204" s="1245">
        <f t="shared" si="40"/>
        <v>-1</v>
      </c>
      <c r="AA204" s="1245">
        <f t="shared" si="41"/>
        <v>0</v>
      </c>
      <c r="AB204" s="900"/>
      <c r="AC204" s="491" t="s">
        <v>1665</v>
      </c>
      <c r="AF204" s="466"/>
      <c r="AG204" s="466"/>
      <c r="AH204" s="466"/>
    </row>
    <row r="205" spans="1:34" s="492" customFormat="1" ht="38.25" hidden="1" x14ac:dyDescent="0.2">
      <c r="A205" s="1240"/>
      <c r="B205" s="867" t="s">
        <v>1847</v>
      </c>
      <c r="C205" s="553"/>
      <c r="D205" s="903"/>
      <c r="E205" s="535"/>
      <c r="F205" s="1907"/>
      <c r="G205" s="1908"/>
      <c r="H205" s="1245"/>
      <c r="I205" s="1864">
        <v>4</v>
      </c>
      <c r="J205" s="1864">
        <v>1</v>
      </c>
      <c r="K205" s="496">
        <f>I205*J205</f>
        <v>4</v>
      </c>
      <c r="L205" s="1864">
        <v>4</v>
      </c>
      <c r="M205" s="1864">
        <v>1</v>
      </c>
      <c r="N205" s="496">
        <f>L205*M205</f>
        <v>4</v>
      </c>
      <c r="O205" s="1864">
        <v>1</v>
      </c>
      <c r="P205" s="1864">
        <v>4</v>
      </c>
      <c r="Q205" s="496">
        <f>O205*P205</f>
        <v>4</v>
      </c>
      <c r="R205" s="496">
        <f t="shared" si="33"/>
        <v>4</v>
      </c>
      <c r="S205" s="496"/>
      <c r="T205" s="1864">
        <v>1</v>
      </c>
      <c r="U205" s="1864">
        <v>4</v>
      </c>
      <c r="V205" s="496">
        <f>T205*U205</f>
        <v>4</v>
      </c>
      <c r="W205" s="1864">
        <v>1</v>
      </c>
      <c r="X205" s="1864">
        <v>4</v>
      </c>
      <c r="Y205" s="496">
        <f>W205*X205</f>
        <v>4</v>
      </c>
      <c r="Z205" s="1245">
        <f t="shared" si="40"/>
        <v>0</v>
      </c>
      <c r="AA205" s="1245">
        <f t="shared" si="41"/>
        <v>100</v>
      </c>
      <c r="AB205" s="900" t="s">
        <v>1848</v>
      </c>
      <c r="AC205" s="491" t="s">
        <v>1665</v>
      </c>
      <c r="AF205" s="466"/>
      <c r="AG205" s="466"/>
      <c r="AH205" s="466"/>
    </row>
    <row r="206" spans="1:34" s="498" customFormat="1" ht="38.25" hidden="1" x14ac:dyDescent="0.25">
      <c r="A206" s="962"/>
      <c r="B206" s="867" t="s">
        <v>1849</v>
      </c>
      <c r="C206" s="553"/>
      <c r="D206" s="903"/>
      <c r="E206" s="535"/>
      <c r="F206" s="1907"/>
      <c r="G206" s="1908"/>
      <c r="H206" s="1245">
        <v>3</v>
      </c>
      <c r="I206" s="1864"/>
      <c r="J206" s="1864"/>
      <c r="K206" s="496">
        <v>3</v>
      </c>
      <c r="L206" s="1864"/>
      <c r="M206" s="1864"/>
      <c r="N206" s="496">
        <v>3</v>
      </c>
      <c r="O206" s="1864"/>
      <c r="P206" s="1864"/>
      <c r="Q206" s="496"/>
      <c r="R206" s="496">
        <f t="shared" si="33"/>
        <v>0</v>
      </c>
      <c r="S206" s="496"/>
      <c r="T206" s="1864"/>
      <c r="U206" s="1864"/>
      <c r="V206" s="496"/>
      <c r="W206" s="1864"/>
      <c r="X206" s="1864"/>
      <c r="Y206" s="496"/>
      <c r="Z206" s="1245">
        <f t="shared" si="40"/>
        <v>-3</v>
      </c>
      <c r="AA206" s="1245">
        <f t="shared" si="41"/>
        <v>0</v>
      </c>
      <c r="AB206" s="900"/>
      <c r="AC206" s="491" t="s">
        <v>1665</v>
      </c>
      <c r="AF206" s="466"/>
      <c r="AG206" s="465"/>
      <c r="AH206" s="465"/>
    </row>
    <row r="207" spans="1:34" s="498" customFormat="1" ht="38.25" hidden="1" x14ac:dyDescent="0.25">
      <c r="A207" s="962"/>
      <c r="B207" s="866" t="s">
        <v>1850</v>
      </c>
      <c r="C207" s="1909">
        <v>981</v>
      </c>
      <c r="D207" s="497"/>
      <c r="E207" s="497"/>
      <c r="F207" s="497"/>
      <c r="G207" s="497"/>
      <c r="H207" s="497"/>
      <c r="I207" s="497"/>
      <c r="J207" s="497"/>
      <c r="K207" s="497"/>
      <c r="L207" s="497"/>
      <c r="M207" s="497"/>
      <c r="N207" s="497"/>
      <c r="O207" s="1864"/>
      <c r="P207" s="1864"/>
      <c r="Q207" s="532">
        <v>4</v>
      </c>
      <c r="R207" s="532">
        <f t="shared" si="33"/>
        <v>4</v>
      </c>
      <c r="S207" s="532"/>
      <c r="T207" s="1864"/>
      <c r="U207" s="1864"/>
      <c r="V207" s="532">
        <v>4</v>
      </c>
      <c r="W207" s="1864"/>
      <c r="X207" s="1864"/>
      <c r="Y207" s="532">
        <v>4</v>
      </c>
      <c r="Z207" s="1245">
        <f t="shared" si="40"/>
        <v>4</v>
      </c>
      <c r="AA207" s="1245" t="str">
        <f t="shared" si="41"/>
        <v>-</v>
      </c>
      <c r="AB207" s="900" t="s">
        <v>1851</v>
      </c>
      <c r="AC207" s="491" t="s">
        <v>1665</v>
      </c>
      <c r="AF207" s="466"/>
      <c r="AG207" s="465"/>
      <c r="AH207" s="465"/>
    </row>
    <row r="208" spans="1:34" s="498" customFormat="1" ht="63.75" hidden="1" x14ac:dyDescent="0.25">
      <c r="A208" s="962"/>
      <c r="B208" s="866" t="s">
        <v>1852</v>
      </c>
      <c r="C208" s="1909">
        <v>981</v>
      </c>
      <c r="D208" s="497"/>
      <c r="E208" s="497"/>
      <c r="F208" s="497"/>
      <c r="G208" s="497"/>
      <c r="H208" s="497"/>
      <c r="I208" s="497"/>
      <c r="J208" s="497"/>
      <c r="K208" s="497"/>
      <c r="L208" s="497"/>
      <c r="M208" s="497"/>
      <c r="N208" s="497"/>
      <c r="O208" s="1864"/>
      <c r="P208" s="1864"/>
      <c r="Q208" s="532">
        <v>2</v>
      </c>
      <c r="R208" s="532">
        <f t="shared" si="33"/>
        <v>2</v>
      </c>
      <c r="S208" s="532"/>
      <c r="T208" s="1864"/>
      <c r="U208" s="1864"/>
      <c r="V208" s="532">
        <v>2</v>
      </c>
      <c r="W208" s="1864"/>
      <c r="X208" s="1864"/>
      <c r="Y208" s="532">
        <v>2</v>
      </c>
      <c r="Z208" s="1245">
        <f t="shared" si="40"/>
        <v>2</v>
      </c>
      <c r="AA208" s="1245" t="str">
        <f t="shared" si="41"/>
        <v>-</v>
      </c>
      <c r="AB208" s="900" t="s">
        <v>1853</v>
      </c>
      <c r="AC208" s="491" t="s">
        <v>1665</v>
      </c>
      <c r="AF208" s="466"/>
      <c r="AG208" s="465"/>
      <c r="AH208" s="465"/>
    </row>
    <row r="209" spans="1:34" s="492" customFormat="1" ht="38.25" x14ac:dyDescent="0.2">
      <c r="A209" s="1240"/>
      <c r="B209" s="898" t="s">
        <v>1854</v>
      </c>
      <c r="C209" s="529" t="s">
        <v>796</v>
      </c>
      <c r="D209" s="932"/>
      <c r="E209" s="854" t="s">
        <v>227</v>
      </c>
      <c r="F209" s="530">
        <v>15</v>
      </c>
      <c r="G209" s="531">
        <v>0.5</v>
      </c>
      <c r="H209" s="493">
        <f>F209*G209</f>
        <v>7.5</v>
      </c>
      <c r="I209" s="532">
        <v>15</v>
      </c>
      <c r="J209" s="1836">
        <v>0.25</v>
      </c>
      <c r="K209" s="532">
        <f>I209*J209</f>
        <v>3.8</v>
      </c>
      <c r="L209" s="532">
        <v>15</v>
      </c>
      <c r="M209" s="1836">
        <v>0.25</v>
      </c>
      <c r="N209" s="532">
        <f>L209*M209</f>
        <v>3.8</v>
      </c>
      <c r="O209" s="532">
        <v>15</v>
      </c>
      <c r="P209" s="532">
        <v>0.3</v>
      </c>
      <c r="Q209" s="532">
        <v>3.8</v>
      </c>
      <c r="R209" s="532">
        <f t="shared" si="33"/>
        <v>3.8</v>
      </c>
      <c r="S209" s="532"/>
      <c r="T209" s="532">
        <v>15</v>
      </c>
      <c r="U209" s="532">
        <v>0.3</v>
      </c>
      <c r="V209" s="532">
        <f>T209*U209</f>
        <v>4.5</v>
      </c>
      <c r="W209" s="532">
        <v>15</v>
      </c>
      <c r="X209" s="532">
        <v>0.3</v>
      </c>
      <c r="Y209" s="532">
        <f>W209*X209</f>
        <v>4.5</v>
      </c>
      <c r="Z209" s="493">
        <f t="shared" si="40"/>
        <v>0</v>
      </c>
      <c r="AA209" s="493">
        <f t="shared" si="41"/>
        <v>100</v>
      </c>
      <c r="AB209" s="900" t="s">
        <v>1855</v>
      </c>
      <c r="AC209" s="491" t="s">
        <v>1665</v>
      </c>
      <c r="AF209" s="466"/>
      <c r="AG209" s="466"/>
      <c r="AH209" s="466"/>
    </row>
    <row r="210" spans="1:34" s="492" customFormat="1" ht="14.25" hidden="1" x14ac:dyDescent="0.2">
      <c r="A210" s="1240"/>
      <c r="B210" s="866" t="s">
        <v>1856</v>
      </c>
      <c r="C210" s="529" t="s">
        <v>797</v>
      </c>
      <c r="D210" s="1240"/>
      <c r="E210" s="854"/>
      <c r="F210" s="530"/>
      <c r="G210" s="531"/>
      <c r="H210" s="493">
        <f>SUM(H211:H212)</f>
        <v>7.4</v>
      </c>
      <c r="I210" s="532"/>
      <c r="J210" s="532"/>
      <c r="K210" s="532">
        <f>SUM(K211:K212)</f>
        <v>3.4</v>
      </c>
      <c r="L210" s="532"/>
      <c r="M210" s="532"/>
      <c r="N210" s="532">
        <f>SUM(N211:N212)</f>
        <v>3.4</v>
      </c>
      <c r="O210" s="532"/>
      <c r="P210" s="532"/>
      <c r="Q210" s="532">
        <f>SUM(Q211:Q212)</f>
        <v>3.4</v>
      </c>
      <c r="R210" s="532">
        <f t="shared" si="33"/>
        <v>3.4</v>
      </c>
      <c r="S210" s="532"/>
      <c r="T210" s="532"/>
      <c r="U210" s="532"/>
      <c r="V210" s="532">
        <f>SUM(V211:V212)</f>
        <v>3.4</v>
      </c>
      <c r="W210" s="532"/>
      <c r="X210" s="532"/>
      <c r="Y210" s="532">
        <f>SUM(Y211:Y212)</f>
        <v>3.4</v>
      </c>
      <c r="Z210" s="493">
        <f t="shared" si="40"/>
        <v>0</v>
      </c>
      <c r="AA210" s="493">
        <f t="shared" si="41"/>
        <v>100</v>
      </c>
      <c r="AB210" s="900"/>
      <c r="AC210" s="491" t="s">
        <v>1665</v>
      </c>
      <c r="AF210" s="466"/>
      <c r="AG210" s="466"/>
      <c r="AH210" s="466"/>
    </row>
    <row r="211" spans="1:34" s="498" customFormat="1" hidden="1" x14ac:dyDescent="0.25">
      <c r="A211" s="962"/>
      <c r="B211" s="867" t="s">
        <v>1857</v>
      </c>
      <c r="C211" s="553"/>
      <c r="D211" s="903"/>
      <c r="E211" s="535" t="s">
        <v>310</v>
      </c>
      <c r="F211" s="494">
        <v>1</v>
      </c>
      <c r="G211" s="495">
        <v>4</v>
      </c>
      <c r="H211" s="1245">
        <f>F211*G211</f>
        <v>4</v>
      </c>
      <c r="I211" s="509"/>
      <c r="J211" s="509"/>
      <c r="K211" s="509">
        <v>0</v>
      </c>
      <c r="L211" s="509"/>
      <c r="M211" s="509"/>
      <c r="N211" s="509">
        <v>0</v>
      </c>
      <c r="O211" s="509"/>
      <c r="P211" s="509"/>
      <c r="Q211" s="509"/>
      <c r="R211" s="509">
        <f t="shared" ref="R211:R274" si="42">Q211</f>
        <v>0</v>
      </c>
      <c r="S211" s="509"/>
      <c r="T211" s="509"/>
      <c r="U211" s="509"/>
      <c r="V211" s="509"/>
      <c r="W211" s="509"/>
      <c r="X211" s="509"/>
      <c r="Y211" s="509"/>
      <c r="Z211" s="1245">
        <f t="shared" si="40"/>
        <v>0</v>
      </c>
      <c r="AA211" s="1245" t="str">
        <f t="shared" si="41"/>
        <v>-</v>
      </c>
      <c r="AB211" s="900"/>
      <c r="AC211" s="491" t="s">
        <v>1665</v>
      </c>
      <c r="AF211" s="466"/>
      <c r="AG211" s="465"/>
      <c r="AH211" s="465"/>
    </row>
    <row r="212" spans="1:34" s="498" customFormat="1" hidden="1" x14ac:dyDescent="0.25">
      <c r="A212" s="962"/>
      <c r="B212" s="867" t="s">
        <v>1858</v>
      </c>
      <c r="C212" s="553"/>
      <c r="D212" s="903"/>
      <c r="E212" s="535" t="s">
        <v>310</v>
      </c>
      <c r="F212" s="494">
        <v>34</v>
      </c>
      <c r="G212" s="495">
        <v>0.1</v>
      </c>
      <c r="H212" s="1245">
        <f>F212*G212</f>
        <v>3.4</v>
      </c>
      <c r="I212" s="496">
        <v>34</v>
      </c>
      <c r="J212" s="496">
        <v>0.1</v>
      </c>
      <c r="K212" s="496">
        <f>I212*J212</f>
        <v>3.4</v>
      </c>
      <c r="L212" s="496">
        <v>34</v>
      </c>
      <c r="M212" s="496">
        <v>0.1</v>
      </c>
      <c r="N212" s="496">
        <f>L212*M212</f>
        <v>3.4</v>
      </c>
      <c r="O212" s="496">
        <v>34</v>
      </c>
      <c r="P212" s="496">
        <v>0.1</v>
      </c>
      <c r="Q212" s="496">
        <f>O212*P212</f>
        <v>3.4</v>
      </c>
      <c r="R212" s="496">
        <f t="shared" si="42"/>
        <v>3.4</v>
      </c>
      <c r="S212" s="496"/>
      <c r="T212" s="496">
        <v>34</v>
      </c>
      <c r="U212" s="496">
        <v>0.1</v>
      </c>
      <c r="V212" s="496">
        <f>T212*U212</f>
        <v>3.4</v>
      </c>
      <c r="W212" s="496">
        <v>34</v>
      </c>
      <c r="X212" s="496">
        <v>0.1</v>
      </c>
      <c r="Y212" s="496">
        <f>W212*X212</f>
        <v>3.4</v>
      </c>
      <c r="Z212" s="1245">
        <f t="shared" si="40"/>
        <v>0</v>
      </c>
      <c r="AA212" s="1245">
        <f t="shared" si="41"/>
        <v>100</v>
      </c>
      <c r="AB212" s="1910"/>
      <c r="AC212" s="491" t="s">
        <v>1665</v>
      </c>
      <c r="AF212" s="466"/>
      <c r="AG212" s="465"/>
      <c r="AH212" s="465"/>
    </row>
    <row r="213" spans="1:34" s="539" customFormat="1" hidden="1" x14ac:dyDescent="0.25">
      <c r="A213" s="536"/>
      <c r="B213" s="543" t="s">
        <v>799</v>
      </c>
      <c r="C213" s="511"/>
      <c r="D213" s="536"/>
      <c r="E213" s="544"/>
      <c r="F213" s="545"/>
      <c r="G213" s="546"/>
      <c r="H213" s="537" t="e">
        <f>#REF!+H214+#REF!+#REF!</f>
        <v>#REF!</v>
      </c>
      <c r="I213" s="537"/>
      <c r="J213" s="537"/>
      <c r="K213" s="537">
        <f>K214</f>
        <v>71.5</v>
      </c>
      <c r="L213" s="537"/>
      <c r="M213" s="537"/>
      <c r="N213" s="537">
        <f>N214</f>
        <v>71.5</v>
      </c>
      <c r="O213" s="537"/>
      <c r="P213" s="537"/>
      <c r="Q213" s="537">
        <f>Q214</f>
        <v>141.5</v>
      </c>
      <c r="R213" s="537">
        <f t="shared" si="42"/>
        <v>141.5</v>
      </c>
      <c r="S213" s="537"/>
      <c r="T213" s="537"/>
      <c r="U213" s="537"/>
      <c r="V213" s="537">
        <f>V214</f>
        <v>116</v>
      </c>
      <c r="W213" s="537"/>
      <c r="X213" s="537"/>
      <c r="Y213" s="537">
        <f>Y214</f>
        <v>116</v>
      </c>
      <c r="Z213" s="537">
        <f t="shared" si="40"/>
        <v>70</v>
      </c>
      <c r="AA213" s="537">
        <f t="shared" si="41"/>
        <v>197.9</v>
      </c>
      <c r="AC213" s="538"/>
      <c r="AF213" s="518"/>
      <c r="AG213" s="540"/>
      <c r="AH213" s="540"/>
    </row>
    <row r="214" spans="1:34" s="527" customFormat="1" ht="38.25" hidden="1" x14ac:dyDescent="0.2">
      <c r="A214" s="522"/>
      <c r="B214" s="520" t="s">
        <v>1664</v>
      </c>
      <c r="C214" s="521"/>
      <c r="D214" s="522" t="s">
        <v>1444</v>
      </c>
      <c r="E214" s="556"/>
      <c r="F214" s="523"/>
      <c r="G214" s="524"/>
      <c r="H214" s="526">
        <f>H215+H222+H223+H227+H230+H242+H244+H248+H249</f>
        <v>196.8</v>
      </c>
      <c r="I214" s="526"/>
      <c r="J214" s="526"/>
      <c r="K214" s="526">
        <f>K215+K222+K223+K227+K230+K242+K244+K248+K249</f>
        <v>71.5</v>
      </c>
      <c r="L214" s="526"/>
      <c r="M214" s="526"/>
      <c r="N214" s="526">
        <f>N215+N222+N223+N227+N230+N242+N244+N248+N249</f>
        <v>71.5</v>
      </c>
      <c r="O214" s="526"/>
      <c r="P214" s="526"/>
      <c r="Q214" s="526">
        <f>Q215+Q222+Q223+Q227+Q230+Q242+Q244+Q248+Q249</f>
        <v>141.5</v>
      </c>
      <c r="R214" s="526">
        <f t="shared" si="42"/>
        <v>141.5</v>
      </c>
      <c r="S214" s="526"/>
      <c r="T214" s="526"/>
      <c r="U214" s="526"/>
      <c r="V214" s="526">
        <f>V215+V222+V223+V227+V230+V242+V244+V248+V249</f>
        <v>116</v>
      </c>
      <c r="W214" s="526"/>
      <c r="X214" s="526"/>
      <c r="Y214" s="526">
        <f>Y215+Y222+Y223+Y227+Y230+Y242+Y244+Y248+Y249</f>
        <v>116</v>
      </c>
      <c r="Z214" s="526">
        <f t="shared" si="40"/>
        <v>70</v>
      </c>
      <c r="AA214" s="526">
        <f t="shared" si="41"/>
        <v>197.9</v>
      </c>
      <c r="AB214" s="1911"/>
      <c r="AC214" s="549" t="s">
        <v>1665</v>
      </c>
      <c r="AF214" s="528"/>
      <c r="AG214" s="528"/>
      <c r="AH214" s="528"/>
    </row>
    <row r="215" spans="1:34" s="492" customFormat="1" ht="14.25" hidden="1" x14ac:dyDescent="0.2">
      <c r="A215" s="1240"/>
      <c r="B215" s="500" t="s">
        <v>1859</v>
      </c>
      <c r="C215" s="501" t="s">
        <v>797</v>
      </c>
      <c r="D215" s="1240"/>
      <c r="E215" s="842"/>
      <c r="F215" s="828"/>
      <c r="G215" s="829"/>
      <c r="H215" s="542"/>
      <c r="I215" s="542"/>
      <c r="J215" s="542"/>
      <c r="K215" s="542">
        <f>SUM(K216:K221)</f>
        <v>7.9</v>
      </c>
      <c r="L215" s="542"/>
      <c r="M215" s="542"/>
      <c r="N215" s="542">
        <f>SUM(N216:N221)</f>
        <v>7.9</v>
      </c>
      <c r="O215" s="542"/>
      <c r="P215" s="542"/>
      <c r="Q215" s="533">
        <f>SUM(Q219:Q221)</f>
        <v>3.3</v>
      </c>
      <c r="R215" s="533">
        <f t="shared" si="42"/>
        <v>3.3</v>
      </c>
      <c r="S215" s="533"/>
      <c r="T215" s="542"/>
      <c r="U215" s="542"/>
      <c r="V215" s="533">
        <f>SUM(V219:V221)</f>
        <v>3.3</v>
      </c>
      <c r="W215" s="542"/>
      <c r="X215" s="542"/>
      <c r="Y215" s="533">
        <f>SUM(Y219:Y221)</f>
        <v>3.3</v>
      </c>
      <c r="Z215" s="542">
        <f t="shared" si="40"/>
        <v>-4.5999999999999996</v>
      </c>
      <c r="AA215" s="542">
        <f t="shared" si="41"/>
        <v>41.8</v>
      </c>
      <c r="AB215" s="921"/>
      <c r="AC215" s="549" t="s">
        <v>1665</v>
      </c>
      <c r="AF215" s="466"/>
      <c r="AG215" s="466"/>
      <c r="AH215" s="466"/>
    </row>
    <row r="216" spans="1:34" s="498" customFormat="1" hidden="1" x14ac:dyDescent="0.25">
      <c r="A216" s="962"/>
      <c r="B216" s="1879" t="s">
        <v>1860</v>
      </c>
      <c r="C216" s="499"/>
      <c r="D216" s="903"/>
      <c r="E216" s="535" t="s">
        <v>227</v>
      </c>
      <c r="F216" s="857"/>
      <c r="G216" s="857"/>
      <c r="H216" s="857"/>
      <c r="I216" s="857">
        <v>150</v>
      </c>
      <c r="J216" s="862">
        <v>0.05</v>
      </c>
      <c r="K216" s="857">
        <f>I216*J216</f>
        <v>7.5</v>
      </c>
      <c r="L216" s="857">
        <v>150</v>
      </c>
      <c r="M216" s="862">
        <v>0.05</v>
      </c>
      <c r="N216" s="857">
        <f>L216*M216</f>
        <v>7.5</v>
      </c>
      <c r="O216" s="857"/>
      <c r="P216" s="862"/>
      <c r="Q216" s="857"/>
      <c r="R216" s="857">
        <f t="shared" si="42"/>
        <v>0</v>
      </c>
      <c r="S216" s="857"/>
      <c r="T216" s="857"/>
      <c r="U216" s="862"/>
      <c r="V216" s="857"/>
      <c r="W216" s="857"/>
      <c r="X216" s="857"/>
      <c r="Y216" s="857"/>
      <c r="Z216" s="559">
        <f t="shared" si="40"/>
        <v>-7.5</v>
      </c>
      <c r="AA216" s="559">
        <f t="shared" si="41"/>
        <v>0</v>
      </c>
      <c r="AB216" s="1912"/>
      <c r="AC216" s="549" t="s">
        <v>1665</v>
      </c>
      <c r="AF216" s="466"/>
      <c r="AG216" s="465"/>
      <c r="AH216" s="465"/>
    </row>
    <row r="217" spans="1:34" s="498" customFormat="1" hidden="1" x14ac:dyDescent="0.25">
      <c r="A217" s="962"/>
      <c r="B217" s="856" t="s">
        <v>1861</v>
      </c>
      <c r="C217" s="499"/>
      <c r="D217" s="903"/>
      <c r="E217" s="535"/>
      <c r="F217" s="857"/>
      <c r="G217" s="857"/>
      <c r="H217" s="857"/>
      <c r="I217" s="857"/>
      <c r="J217" s="857"/>
      <c r="K217" s="857"/>
      <c r="L217" s="857"/>
      <c r="M217" s="857"/>
      <c r="N217" s="857"/>
      <c r="O217" s="857"/>
      <c r="P217" s="857"/>
      <c r="Q217" s="857"/>
      <c r="R217" s="857">
        <f t="shared" si="42"/>
        <v>0</v>
      </c>
      <c r="S217" s="857"/>
      <c r="T217" s="857"/>
      <c r="U217" s="857"/>
      <c r="V217" s="857"/>
      <c r="W217" s="857"/>
      <c r="X217" s="857"/>
      <c r="Y217" s="857"/>
      <c r="Z217" s="559">
        <f t="shared" si="40"/>
        <v>0</v>
      </c>
      <c r="AA217" s="559" t="str">
        <f t="shared" si="41"/>
        <v>-</v>
      </c>
      <c r="AB217" s="1912"/>
      <c r="AC217" s="549" t="s">
        <v>1665</v>
      </c>
      <c r="AF217" s="466"/>
      <c r="AG217" s="465"/>
      <c r="AH217" s="465"/>
    </row>
    <row r="218" spans="1:34" s="498" customFormat="1" hidden="1" x14ac:dyDescent="0.25">
      <c r="A218" s="962"/>
      <c r="B218" s="856" t="s">
        <v>1862</v>
      </c>
      <c r="C218" s="499"/>
      <c r="D218" s="903"/>
      <c r="E218" s="535" t="s">
        <v>227</v>
      </c>
      <c r="F218" s="857"/>
      <c r="G218" s="857"/>
      <c r="H218" s="857"/>
      <c r="I218" s="857">
        <v>40</v>
      </c>
      <c r="J218" s="862">
        <v>0.01</v>
      </c>
      <c r="K218" s="857">
        <f>I218*J218</f>
        <v>0.4</v>
      </c>
      <c r="L218" s="857">
        <v>40</v>
      </c>
      <c r="M218" s="862">
        <v>0.01</v>
      </c>
      <c r="N218" s="857">
        <f>L218*M218</f>
        <v>0.4</v>
      </c>
      <c r="O218" s="857"/>
      <c r="P218" s="862"/>
      <c r="Q218" s="857"/>
      <c r="R218" s="857">
        <f t="shared" si="42"/>
        <v>0</v>
      </c>
      <c r="S218" s="857"/>
      <c r="T218" s="857"/>
      <c r="U218" s="862"/>
      <c r="V218" s="857"/>
      <c r="W218" s="857"/>
      <c r="X218" s="857"/>
      <c r="Y218" s="857"/>
      <c r="Z218" s="559">
        <f t="shared" si="40"/>
        <v>-0.4</v>
      </c>
      <c r="AA218" s="559">
        <f t="shared" si="41"/>
        <v>0</v>
      </c>
      <c r="AB218" s="1912"/>
      <c r="AC218" s="549" t="s">
        <v>1665</v>
      </c>
      <c r="AF218" s="466"/>
      <c r="AG218" s="465"/>
      <c r="AH218" s="465"/>
    </row>
    <row r="219" spans="1:34" s="492" customFormat="1" ht="51" hidden="1" x14ac:dyDescent="0.2">
      <c r="A219" s="1240"/>
      <c r="B219" s="856" t="s">
        <v>1863</v>
      </c>
      <c r="C219" s="501"/>
      <c r="D219" s="1240"/>
      <c r="E219" s="842"/>
      <c r="F219" s="828"/>
      <c r="G219" s="829"/>
      <c r="H219" s="542"/>
      <c r="I219" s="542"/>
      <c r="J219" s="542"/>
      <c r="K219" s="542"/>
      <c r="L219" s="542"/>
      <c r="M219" s="542"/>
      <c r="N219" s="542"/>
      <c r="O219" s="857">
        <v>1</v>
      </c>
      <c r="P219" s="857">
        <v>0.4</v>
      </c>
      <c r="Q219" s="857">
        <f>O219*P219</f>
        <v>0.4</v>
      </c>
      <c r="R219" s="857">
        <f t="shared" si="42"/>
        <v>0.4</v>
      </c>
      <c r="S219" s="857"/>
      <c r="T219" s="857">
        <v>1</v>
      </c>
      <c r="U219" s="857">
        <v>0.4</v>
      </c>
      <c r="V219" s="857">
        <f>T219*U219</f>
        <v>0.4</v>
      </c>
      <c r="W219" s="857">
        <v>1</v>
      </c>
      <c r="X219" s="857">
        <v>0.4</v>
      </c>
      <c r="Y219" s="857">
        <f>W219*X219</f>
        <v>0.4</v>
      </c>
      <c r="Z219" s="559">
        <f t="shared" si="40"/>
        <v>0.4</v>
      </c>
      <c r="AA219" s="559" t="str">
        <f t="shared" si="41"/>
        <v>-</v>
      </c>
      <c r="AB219" s="827" t="s">
        <v>1864</v>
      </c>
      <c r="AC219" s="549" t="s">
        <v>1665</v>
      </c>
      <c r="AF219" s="466"/>
      <c r="AG219" s="466"/>
      <c r="AH219" s="466"/>
    </row>
    <row r="220" spans="1:34" s="492" customFormat="1" ht="25.5" hidden="1" x14ac:dyDescent="0.2">
      <c r="A220" s="1240"/>
      <c r="B220" s="856" t="s">
        <v>1865</v>
      </c>
      <c r="C220" s="501"/>
      <c r="D220" s="1240"/>
      <c r="E220" s="842"/>
      <c r="F220" s="828"/>
      <c r="G220" s="829"/>
      <c r="H220" s="542"/>
      <c r="I220" s="542"/>
      <c r="J220" s="542"/>
      <c r="K220" s="542"/>
      <c r="L220" s="542"/>
      <c r="M220" s="542"/>
      <c r="N220" s="542"/>
      <c r="O220" s="857">
        <v>1</v>
      </c>
      <c r="P220" s="857">
        <v>0.9</v>
      </c>
      <c r="Q220" s="857">
        <f>O220*P220</f>
        <v>0.9</v>
      </c>
      <c r="R220" s="857">
        <f t="shared" si="42"/>
        <v>0.9</v>
      </c>
      <c r="S220" s="857"/>
      <c r="T220" s="857">
        <v>1</v>
      </c>
      <c r="U220" s="857">
        <v>0.9</v>
      </c>
      <c r="V220" s="857">
        <f>T220*U220</f>
        <v>0.9</v>
      </c>
      <c r="W220" s="857">
        <v>1</v>
      </c>
      <c r="X220" s="857">
        <v>0.9</v>
      </c>
      <c r="Y220" s="857">
        <f>W220*X220</f>
        <v>0.9</v>
      </c>
      <c r="Z220" s="559">
        <f t="shared" si="40"/>
        <v>0.9</v>
      </c>
      <c r="AA220" s="559" t="str">
        <f t="shared" si="41"/>
        <v>-</v>
      </c>
      <c r="AB220" s="827" t="s">
        <v>1866</v>
      </c>
      <c r="AC220" s="549" t="s">
        <v>1665</v>
      </c>
      <c r="AF220" s="466"/>
      <c r="AG220" s="466"/>
      <c r="AH220" s="466"/>
    </row>
    <row r="221" spans="1:34" s="492" customFormat="1" ht="25.5" hidden="1" x14ac:dyDescent="0.2">
      <c r="A221" s="1240"/>
      <c r="B221" s="856" t="s">
        <v>1867</v>
      </c>
      <c r="C221" s="501"/>
      <c r="D221" s="1240"/>
      <c r="E221" s="842"/>
      <c r="F221" s="828"/>
      <c r="G221" s="829"/>
      <c r="H221" s="542"/>
      <c r="I221" s="542"/>
      <c r="J221" s="542"/>
      <c r="K221" s="542"/>
      <c r="L221" s="542"/>
      <c r="M221" s="542"/>
      <c r="N221" s="542"/>
      <c r="O221" s="857">
        <v>10</v>
      </c>
      <c r="P221" s="857">
        <v>0.2</v>
      </c>
      <c r="Q221" s="857">
        <f>O221*P221</f>
        <v>2</v>
      </c>
      <c r="R221" s="857">
        <f t="shared" si="42"/>
        <v>2</v>
      </c>
      <c r="S221" s="857"/>
      <c r="T221" s="857">
        <v>10</v>
      </c>
      <c r="U221" s="857">
        <v>0.2</v>
      </c>
      <c r="V221" s="857">
        <f>T221*U221</f>
        <v>2</v>
      </c>
      <c r="W221" s="857">
        <v>10</v>
      </c>
      <c r="X221" s="857">
        <v>0.2</v>
      </c>
      <c r="Y221" s="857">
        <f>W221*X221</f>
        <v>2</v>
      </c>
      <c r="Z221" s="559">
        <f t="shared" si="40"/>
        <v>2</v>
      </c>
      <c r="AA221" s="559" t="str">
        <f t="shared" si="41"/>
        <v>-</v>
      </c>
      <c r="AB221" s="827" t="s">
        <v>1868</v>
      </c>
      <c r="AC221" s="549" t="s">
        <v>1665</v>
      </c>
      <c r="AF221" s="466"/>
      <c r="AG221" s="466"/>
      <c r="AH221" s="466"/>
    </row>
    <row r="222" spans="1:34" s="492" customFormat="1" ht="14.25" hidden="1" x14ac:dyDescent="0.2">
      <c r="A222" s="1240"/>
      <c r="B222" s="500" t="s">
        <v>1869</v>
      </c>
      <c r="C222" s="501" t="s">
        <v>797</v>
      </c>
      <c r="D222" s="1240"/>
      <c r="E222" s="842"/>
      <c r="F222" s="828"/>
      <c r="G222" s="829"/>
      <c r="H222" s="542"/>
      <c r="I222" s="542">
        <v>60</v>
      </c>
      <c r="J222" s="542">
        <v>0.1</v>
      </c>
      <c r="K222" s="542">
        <f>I222*J222</f>
        <v>6</v>
      </c>
      <c r="L222" s="542">
        <v>60</v>
      </c>
      <c r="M222" s="542">
        <v>0.1</v>
      </c>
      <c r="N222" s="542">
        <f>L222*M222</f>
        <v>6</v>
      </c>
      <c r="O222" s="533">
        <v>60</v>
      </c>
      <c r="P222" s="533">
        <v>0.1</v>
      </c>
      <c r="Q222" s="533">
        <f>O222*P222</f>
        <v>6</v>
      </c>
      <c r="R222" s="533">
        <f t="shared" si="42"/>
        <v>6</v>
      </c>
      <c r="S222" s="533"/>
      <c r="T222" s="533">
        <v>60</v>
      </c>
      <c r="U222" s="533">
        <v>0.1</v>
      </c>
      <c r="V222" s="533">
        <f>T222*U222</f>
        <v>6</v>
      </c>
      <c r="W222" s="533">
        <v>60</v>
      </c>
      <c r="X222" s="533">
        <v>0.1</v>
      </c>
      <c r="Y222" s="533">
        <f>W222*X222</f>
        <v>6</v>
      </c>
      <c r="Z222" s="542">
        <f t="shared" si="40"/>
        <v>0</v>
      </c>
      <c r="AA222" s="542">
        <f t="shared" si="41"/>
        <v>100</v>
      </c>
      <c r="AB222" s="827"/>
      <c r="AC222" s="549" t="s">
        <v>1665</v>
      </c>
      <c r="AF222" s="466"/>
      <c r="AG222" s="466"/>
      <c r="AH222" s="466"/>
    </row>
    <row r="223" spans="1:34" s="492" customFormat="1" ht="25.5" hidden="1" x14ac:dyDescent="0.2">
      <c r="A223" s="1240"/>
      <c r="B223" s="500" t="s">
        <v>1239</v>
      </c>
      <c r="C223" s="501" t="s">
        <v>797</v>
      </c>
      <c r="D223" s="932"/>
      <c r="E223" s="854"/>
      <c r="F223" s="828"/>
      <c r="G223" s="829"/>
      <c r="H223" s="542">
        <f>SUM(H224:H229)</f>
        <v>15.4</v>
      </c>
      <c r="I223" s="533"/>
      <c r="J223" s="533"/>
      <c r="K223" s="533">
        <f>SUM(K224:K226)</f>
        <v>0.6</v>
      </c>
      <c r="L223" s="533"/>
      <c r="M223" s="533"/>
      <c r="N223" s="533">
        <f>SUM(N224:N226)</f>
        <v>0.6</v>
      </c>
      <c r="O223" s="533"/>
      <c r="P223" s="533"/>
      <c r="Q223" s="533">
        <f>SUM(Q224:Q226)</f>
        <v>4.5</v>
      </c>
      <c r="R223" s="533">
        <f t="shared" si="42"/>
        <v>4.5</v>
      </c>
      <c r="S223" s="533"/>
      <c r="T223" s="533"/>
      <c r="U223" s="533"/>
      <c r="V223" s="533">
        <f>SUM(V224:V226)</f>
        <v>6.2</v>
      </c>
      <c r="W223" s="533"/>
      <c r="X223" s="533"/>
      <c r="Y223" s="533">
        <f>SUM(Y224:Y226)</f>
        <v>6.2</v>
      </c>
      <c r="Z223" s="542">
        <f t="shared" si="40"/>
        <v>3.9</v>
      </c>
      <c r="AA223" s="542">
        <f t="shared" si="41"/>
        <v>750</v>
      </c>
      <c r="AB223" s="827"/>
      <c r="AC223" s="549" t="s">
        <v>1665</v>
      </c>
      <c r="AF223" s="466"/>
      <c r="AG223" s="466"/>
      <c r="AH223" s="466"/>
    </row>
    <row r="224" spans="1:34" s="498" customFormat="1" ht="140.25" hidden="1" x14ac:dyDescent="0.25">
      <c r="A224" s="962"/>
      <c r="B224" s="502" t="s">
        <v>1870</v>
      </c>
      <c r="C224" s="499"/>
      <c r="D224" s="903"/>
      <c r="E224" s="535" t="s">
        <v>227</v>
      </c>
      <c r="F224" s="557">
        <v>40</v>
      </c>
      <c r="G224" s="558">
        <v>0.08</v>
      </c>
      <c r="H224" s="559">
        <f>F224*G224</f>
        <v>3.2</v>
      </c>
      <c r="I224" s="857">
        <v>6</v>
      </c>
      <c r="J224" s="862">
        <v>0.1</v>
      </c>
      <c r="K224" s="857">
        <f>I224*J224</f>
        <v>0.6</v>
      </c>
      <c r="L224" s="857">
        <v>6</v>
      </c>
      <c r="M224" s="862">
        <v>0.1</v>
      </c>
      <c r="N224" s="857">
        <f>L224*M224</f>
        <v>0.6</v>
      </c>
      <c r="O224" s="496">
        <v>15</v>
      </c>
      <c r="P224" s="496">
        <v>0.1</v>
      </c>
      <c r="Q224" s="496">
        <f>O224*P224</f>
        <v>1.5</v>
      </c>
      <c r="R224" s="496">
        <f t="shared" si="42"/>
        <v>1.5</v>
      </c>
      <c r="S224" s="496"/>
      <c r="T224" s="496">
        <v>32</v>
      </c>
      <c r="U224" s="496">
        <v>0.1</v>
      </c>
      <c r="V224" s="496">
        <f>T224*U224</f>
        <v>3.2</v>
      </c>
      <c r="W224" s="496">
        <v>32</v>
      </c>
      <c r="X224" s="496">
        <v>0.1</v>
      </c>
      <c r="Y224" s="496">
        <f>W224*X224</f>
        <v>3.2</v>
      </c>
      <c r="Z224" s="559">
        <f t="shared" si="40"/>
        <v>0.9</v>
      </c>
      <c r="AA224" s="559">
        <f t="shared" si="41"/>
        <v>250</v>
      </c>
      <c r="AB224" s="900" t="s">
        <v>1871</v>
      </c>
      <c r="AC224" s="549" t="s">
        <v>1665</v>
      </c>
      <c r="AF224" s="466"/>
      <c r="AG224" s="465"/>
      <c r="AH224" s="465"/>
    </row>
    <row r="225" spans="1:34" s="498" customFormat="1" ht="38.25" hidden="1" x14ac:dyDescent="0.25">
      <c r="A225" s="962"/>
      <c r="B225" s="856" t="s">
        <v>1692</v>
      </c>
      <c r="C225" s="499"/>
      <c r="D225" s="903"/>
      <c r="E225" s="535" t="s">
        <v>227</v>
      </c>
      <c r="F225" s="557"/>
      <c r="G225" s="558">
        <v>0.3</v>
      </c>
      <c r="H225" s="559">
        <f>F225*G225</f>
        <v>0</v>
      </c>
      <c r="I225" s="857"/>
      <c r="J225" s="857"/>
      <c r="K225" s="857">
        <f>I225*J225</f>
        <v>0</v>
      </c>
      <c r="L225" s="857"/>
      <c r="M225" s="857"/>
      <c r="N225" s="857">
        <f>L225*M225</f>
        <v>0</v>
      </c>
      <c r="O225" s="857"/>
      <c r="P225" s="857"/>
      <c r="Q225" s="496"/>
      <c r="R225" s="496">
        <f t="shared" si="42"/>
        <v>0</v>
      </c>
      <c r="S225" s="496"/>
      <c r="T225" s="857"/>
      <c r="U225" s="857"/>
      <c r="V225" s="496"/>
      <c r="W225" s="857"/>
      <c r="X225" s="857"/>
      <c r="Y225" s="496"/>
      <c r="Z225" s="559"/>
      <c r="AA225" s="559" t="str">
        <f t="shared" si="41"/>
        <v>-</v>
      </c>
      <c r="AB225" s="900" t="s">
        <v>1872</v>
      </c>
      <c r="AC225" s="549" t="s">
        <v>1665</v>
      </c>
      <c r="AF225" s="466"/>
      <c r="AG225" s="465"/>
      <c r="AH225" s="465"/>
    </row>
    <row r="226" spans="1:34" s="498" customFormat="1" hidden="1" x14ac:dyDescent="0.25">
      <c r="A226" s="962"/>
      <c r="B226" s="856" t="s">
        <v>1873</v>
      </c>
      <c r="C226" s="499"/>
      <c r="D226" s="903"/>
      <c r="E226" s="535"/>
      <c r="F226" s="557"/>
      <c r="G226" s="558"/>
      <c r="H226" s="559"/>
      <c r="I226" s="857"/>
      <c r="J226" s="857"/>
      <c r="K226" s="857"/>
      <c r="L226" s="857"/>
      <c r="M226" s="857"/>
      <c r="N226" s="857"/>
      <c r="O226" s="857"/>
      <c r="P226" s="857"/>
      <c r="Q226" s="857">
        <v>3</v>
      </c>
      <c r="R226" s="857">
        <f t="shared" si="42"/>
        <v>3</v>
      </c>
      <c r="S226" s="857"/>
      <c r="T226" s="857"/>
      <c r="U226" s="857"/>
      <c r="V226" s="857">
        <v>3</v>
      </c>
      <c r="W226" s="857"/>
      <c r="X226" s="857"/>
      <c r="Y226" s="857">
        <v>3</v>
      </c>
      <c r="Z226" s="559">
        <f t="shared" ref="Z226:Z289" si="43">Q226-K226</f>
        <v>3</v>
      </c>
      <c r="AA226" s="559" t="str">
        <f t="shared" si="41"/>
        <v>-</v>
      </c>
      <c r="AB226" s="827"/>
      <c r="AC226" s="549" t="s">
        <v>1665</v>
      </c>
      <c r="AF226" s="466"/>
      <c r="AG226" s="465"/>
      <c r="AH226" s="465"/>
    </row>
    <row r="227" spans="1:34" s="498" customFormat="1" ht="48" hidden="1" customHeight="1" x14ac:dyDescent="0.25">
      <c r="A227" s="962"/>
      <c r="B227" s="865" t="s">
        <v>1874</v>
      </c>
      <c r="C227" s="508" t="s">
        <v>797</v>
      </c>
      <c r="D227" s="903"/>
      <c r="E227" s="535"/>
      <c r="F227" s="557"/>
      <c r="G227" s="558"/>
      <c r="H227" s="542">
        <f>SUM(H228:H229)</f>
        <v>6.1</v>
      </c>
      <c r="I227" s="857"/>
      <c r="J227" s="857"/>
      <c r="K227" s="542">
        <f>SUM(K228:K229)</f>
        <v>3</v>
      </c>
      <c r="L227" s="857"/>
      <c r="M227" s="857"/>
      <c r="N227" s="542">
        <f>SUM(N228:N229)</f>
        <v>3</v>
      </c>
      <c r="O227" s="857"/>
      <c r="P227" s="857"/>
      <c r="Q227" s="533"/>
      <c r="R227" s="533">
        <f t="shared" si="42"/>
        <v>0</v>
      </c>
      <c r="S227" s="533"/>
      <c r="T227" s="857"/>
      <c r="U227" s="857"/>
      <c r="V227" s="533"/>
      <c r="W227" s="857"/>
      <c r="X227" s="857"/>
      <c r="Y227" s="533"/>
      <c r="Z227" s="559">
        <f t="shared" si="43"/>
        <v>-3</v>
      </c>
      <c r="AA227" s="559">
        <f t="shared" si="41"/>
        <v>0</v>
      </c>
      <c r="AB227" s="900" t="s">
        <v>1875</v>
      </c>
      <c r="AC227" s="549" t="s">
        <v>1665</v>
      </c>
      <c r="AF227" s="466"/>
      <c r="AG227" s="465"/>
      <c r="AH227" s="465"/>
    </row>
    <row r="228" spans="1:34" s="498" customFormat="1" hidden="1" x14ac:dyDescent="0.25">
      <c r="A228" s="962"/>
      <c r="B228" s="856" t="s">
        <v>1876</v>
      </c>
      <c r="C228" s="499"/>
      <c r="D228" s="903"/>
      <c r="E228" s="535" t="s">
        <v>227</v>
      </c>
      <c r="F228" s="557">
        <v>9</v>
      </c>
      <c r="G228" s="558">
        <v>0.4</v>
      </c>
      <c r="H228" s="559">
        <f>F228*G228</f>
        <v>3.6</v>
      </c>
      <c r="I228" s="857"/>
      <c r="J228" s="857"/>
      <c r="K228" s="857"/>
      <c r="L228" s="857"/>
      <c r="M228" s="857"/>
      <c r="N228" s="857"/>
      <c r="O228" s="857"/>
      <c r="P228" s="857"/>
      <c r="Q228" s="533"/>
      <c r="R228" s="533">
        <f t="shared" si="42"/>
        <v>0</v>
      </c>
      <c r="S228" s="533"/>
      <c r="T228" s="857"/>
      <c r="U228" s="857"/>
      <c r="V228" s="533"/>
      <c r="W228" s="1913"/>
      <c r="X228" s="1913"/>
      <c r="Y228" s="533"/>
      <c r="Z228" s="559">
        <f t="shared" si="43"/>
        <v>0</v>
      </c>
      <c r="AA228" s="559" t="str">
        <f t="shared" si="41"/>
        <v>-</v>
      </c>
      <c r="AB228" s="500"/>
      <c r="AC228" s="549" t="s">
        <v>1665</v>
      </c>
      <c r="AF228" s="466"/>
      <c r="AG228" s="465"/>
      <c r="AH228" s="465"/>
    </row>
    <row r="229" spans="1:34" s="498" customFormat="1" hidden="1" x14ac:dyDescent="0.25">
      <c r="A229" s="962"/>
      <c r="B229" s="856" t="s">
        <v>1873</v>
      </c>
      <c r="C229" s="499"/>
      <c r="D229" s="903"/>
      <c r="E229" s="535" t="s">
        <v>227</v>
      </c>
      <c r="F229" s="557">
        <v>18</v>
      </c>
      <c r="G229" s="558">
        <v>0.14000000000000001</v>
      </c>
      <c r="H229" s="559">
        <f>F229*G229</f>
        <v>2.5</v>
      </c>
      <c r="I229" s="857"/>
      <c r="J229" s="857"/>
      <c r="K229" s="857">
        <v>3</v>
      </c>
      <c r="L229" s="857"/>
      <c r="M229" s="857"/>
      <c r="N229" s="857">
        <v>3</v>
      </c>
      <c r="O229" s="857"/>
      <c r="P229" s="857"/>
      <c r="Q229" s="857"/>
      <c r="R229" s="857">
        <f t="shared" si="42"/>
        <v>0</v>
      </c>
      <c r="S229" s="857"/>
      <c r="T229" s="857"/>
      <c r="U229" s="857"/>
      <c r="V229" s="857"/>
      <c r="W229" s="857"/>
      <c r="X229" s="857"/>
      <c r="Y229" s="857"/>
      <c r="Z229" s="559">
        <f t="shared" si="43"/>
        <v>-3</v>
      </c>
      <c r="AA229" s="559">
        <f t="shared" si="41"/>
        <v>0</v>
      </c>
      <c r="AB229" s="551"/>
      <c r="AC229" s="549" t="s">
        <v>1665</v>
      </c>
      <c r="AF229" s="466"/>
      <c r="AG229" s="465"/>
      <c r="AH229" s="465"/>
    </row>
    <row r="230" spans="1:34" s="492" customFormat="1" ht="14.25" hidden="1" x14ac:dyDescent="0.2">
      <c r="A230" s="1240"/>
      <c r="B230" s="500" t="s">
        <v>1233</v>
      </c>
      <c r="C230" s="501" t="s">
        <v>1230</v>
      </c>
      <c r="D230" s="932"/>
      <c r="E230" s="854"/>
      <c r="F230" s="828"/>
      <c r="G230" s="829"/>
      <c r="H230" s="542">
        <f>SUM(H231:H241)</f>
        <v>23.3</v>
      </c>
      <c r="I230" s="533"/>
      <c r="J230" s="533"/>
      <c r="K230" s="533">
        <f>SUM(K231:K241)</f>
        <v>22.5</v>
      </c>
      <c r="L230" s="533"/>
      <c r="M230" s="533"/>
      <c r="N230" s="533">
        <f>SUM(N231:N241)</f>
        <v>22.5</v>
      </c>
      <c r="O230" s="533"/>
      <c r="P230" s="533"/>
      <c r="Q230" s="533">
        <f>SUM(Q231:Q241)</f>
        <v>46</v>
      </c>
      <c r="R230" s="533">
        <f t="shared" si="42"/>
        <v>46</v>
      </c>
      <c r="S230" s="533"/>
      <c r="T230" s="533"/>
      <c r="U230" s="533"/>
      <c r="V230" s="533">
        <f>SUM(V231:V241)</f>
        <v>46</v>
      </c>
      <c r="W230" s="533"/>
      <c r="X230" s="533"/>
      <c r="Y230" s="533">
        <f>SUM(Y231:Y241)</f>
        <v>46</v>
      </c>
      <c r="Z230" s="542">
        <f t="shared" si="43"/>
        <v>23.5</v>
      </c>
      <c r="AA230" s="542">
        <f t="shared" si="41"/>
        <v>204.4</v>
      </c>
      <c r="AB230" s="921"/>
      <c r="AC230" s="549" t="s">
        <v>1665</v>
      </c>
      <c r="AF230" s="466"/>
      <c r="AG230" s="466"/>
      <c r="AH230" s="466"/>
    </row>
    <row r="231" spans="1:34" s="498" customFormat="1" ht="90" hidden="1" x14ac:dyDescent="0.25">
      <c r="A231" s="962"/>
      <c r="B231" s="551" t="s">
        <v>1519</v>
      </c>
      <c r="C231" s="553"/>
      <c r="D231" s="903"/>
      <c r="E231" s="535" t="s">
        <v>318</v>
      </c>
      <c r="F231" s="1907">
        <v>1</v>
      </c>
      <c r="G231" s="1908">
        <v>3.5</v>
      </c>
      <c r="H231" s="559">
        <f>F231*G231</f>
        <v>3.5</v>
      </c>
      <c r="I231" s="1864">
        <v>1</v>
      </c>
      <c r="J231" s="1864">
        <v>3.5</v>
      </c>
      <c r="K231" s="857">
        <f>I231*J231</f>
        <v>3.5</v>
      </c>
      <c r="L231" s="1864">
        <v>1</v>
      </c>
      <c r="M231" s="1864">
        <v>3.5</v>
      </c>
      <c r="N231" s="857">
        <f>L231*M231</f>
        <v>3.5</v>
      </c>
      <c r="O231" s="1864">
        <v>1</v>
      </c>
      <c r="P231" s="1864">
        <v>3.5</v>
      </c>
      <c r="Q231" s="1865">
        <f>P231*O231</f>
        <v>3.5</v>
      </c>
      <c r="R231" s="1865">
        <f t="shared" si="42"/>
        <v>3.5</v>
      </c>
      <c r="S231" s="1865"/>
      <c r="T231" s="1864">
        <v>1</v>
      </c>
      <c r="U231" s="1864">
        <v>3.5</v>
      </c>
      <c r="V231" s="1865">
        <f>U231*T231</f>
        <v>3.5</v>
      </c>
      <c r="W231" s="1864">
        <v>1</v>
      </c>
      <c r="X231" s="1864">
        <v>3.5</v>
      </c>
      <c r="Y231" s="1865">
        <f>X231*W231</f>
        <v>3.5</v>
      </c>
      <c r="Z231" s="559">
        <f t="shared" si="43"/>
        <v>0</v>
      </c>
      <c r="AA231" s="559">
        <f t="shared" si="41"/>
        <v>100</v>
      </c>
      <c r="AB231" s="893" t="s">
        <v>1877</v>
      </c>
      <c r="AC231" s="549" t="s">
        <v>1665</v>
      </c>
      <c r="AF231" s="466"/>
      <c r="AG231" s="465"/>
      <c r="AH231" s="465"/>
    </row>
    <row r="232" spans="1:34" s="498" customFormat="1" ht="51.75" hidden="1" x14ac:dyDescent="0.25">
      <c r="A232" s="962"/>
      <c r="B232" s="551" t="s">
        <v>1686</v>
      </c>
      <c r="C232" s="553"/>
      <c r="D232" s="903"/>
      <c r="E232" s="535" t="s">
        <v>318</v>
      </c>
      <c r="F232" s="1907">
        <v>1</v>
      </c>
      <c r="G232" s="1908">
        <v>2.2999999999999998</v>
      </c>
      <c r="H232" s="559">
        <f>F232*G232</f>
        <v>2.2999999999999998</v>
      </c>
      <c r="I232" s="1864">
        <v>1</v>
      </c>
      <c r="J232" s="1864">
        <v>2.2999999999999998</v>
      </c>
      <c r="K232" s="857">
        <f>I232*J232</f>
        <v>2.2999999999999998</v>
      </c>
      <c r="L232" s="1864">
        <v>1</v>
      </c>
      <c r="M232" s="1864">
        <v>2.2999999999999998</v>
      </c>
      <c r="N232" s="857">
        <f>L232*M232</f>
        <v>2.2999999999999998</v>
      </c>
      <c r="O232" s="1864">
        <v>2</v>
      </c>
      <c r="P232" s="1864">
        <v>2.2999999999999998</v>
      </c>
      <c r="Q232" s="1865">
        <f>P232*O232</f>
        <v>4.5999999999999996</v>
      </c>
      <c r="R232" s="1865">
        <f t="shared" si="42"/>
        <v>4.5999999999999996</v>
      </c>
      <c r="S232" s="1865"/>
      <c r="T232" s="1864">
        <v>2</v>
      </c>
      <c r="U232" s="1864">
        <v>2.2999999999999998</v>
      </c>
      <c r="V232" s="1865">
        <f>U232*T232</f>
        <v>4.5999999999999996</v>
      </c>
      <c r="W232" s="1864">
        <v>2</v>
      </c>
      <c r="X232" s="1864">
        <v>2.2999999999999998</v>
      </c>
      <c r="Y232" s="1865">
        <f>X232*W232</f>
        <v>4.5999999999999996</v>
      </c>
      <c r="Z232" s="559">
        <f t="shared" si="43"/>
        <v>2.2999999999999998</v>
      </c>
      <c r="AA232" s="559">
        <f t="shared" si="41"/>
        <v>200</v>
      </c>
      <c r="AB232" s="893" t="s">
        <v>1878</v>
      </c>
      <c r="AC232" s="549" t="s">
        <v>1665</v>
      </c>
      <c r="AF232" s="466"/>
      <c r="AG232" s="465"/>
      <c r="AH232" s="465"/>
    </row>
    <row r="233" spans="1:34" s="498" customFormat="1" hidden="1" x14ac:dyDescent="0.25">
      <c r="A233" s="962"/>
      <c r="B233" s="551" t="s">
        <v>1683</v>
      </c>
      <c r="C233" s="553"/>
      <c r="D233" s="903"/>
      <c r="E233" s="535" t="s">
        <v>318</v>
      </c>
      <c r="F233" s="1907">
        <v>1</v>
      </c>
      <c r="G233" s="1908">
        <v>2</v>
      </c>
      <c r="H233" s="559">
        <f>F233*G233</f>
        <v>2</v>
      </c>
      <c r="I233" s="1864">
        <v>1</v>
      </c>
      <c r="J233" s="1864">
        <v>2</v>
      </c>
      <c r="K233" s="857">
        <v>1.5</v>
      </c>
      <c r="L233" s="1864">
        <v>1</v>
      </c>
      <c r="M233" s="1864">
        <v>2</v>
      </c>
      <c r="N233" s="857">
        <v>1.5</v>
      </c>
      <c r="O233" s="1864"/>
      <c r="P233" s="1864"/>
      <c r="Q233" s="1865"/>
      <c r="R233" s="1865">
        <f t="shared" si="42"/>
        <v>0</v>
      </c>
      <c r="S233" s="1865"/>
      <c r="T233" s="1864"/>
      <c r="U233" s="1864"/>
      <c r="V233" s="1865"/>
      <c r="W233" s="1864"/>
      <c r="X233" s="1864"/>
      <c r="Y233" s="1865"/>
      <c r="Z233" s="559">
        <f t="shared" si="43"/>
        <v>-1.5</v>
      </c>
      <c r="AA233" s="559">
        <f t="shared" si="41"/>
        <v>0</v>
      </c>
      <c r="AB233" s="893"/>
      <c r="AC233" s="549" t="s">
        <v>1665</v>
      </c>
      <c r="AF233" s="466"/>
      <c r="AG233" s="465"/>
      <c r="AH233" s="465"/>
    </row>
    <row r="234" spans="1:34" s="498" customFormat="1" hidden="1" x14ac:dyDescent="0.25">
      <c r="A234" s="962"/>
      <c r="B234" s="551" t="s">
        <v>1879</v>
      </c>
      <c r="C234" s="553"/>
      <c r="D234" s="903"/>
      <c r="E234" s="535" t="s">
        <v>318</v>
      </c>
      <c r="F234" s="1907">
        <v>2</v>
      </c>
      <c r="G234" s="1908">
        <v>1.8</v>
      </c>
      <c r="H234" s="559">
        <f>F234*G234</f>
        <v>3.6</v>
      </c>
      <c r="I234" s="1864">
        <v>2</v>
      </c>
      <c r="J234" s="1864">
        <v>1.8</v>
      </c>
      <c r="K234" s="857">
        <f>I234*J234</f>
        <v>3.6</v>
      </c>
      <c r="L234" s="1864">
        <v>2</v>
      </c>
      <c r="M234" s="1864">
        <v>1.8</v>
      </c>
      <c r="N234" s="857">
        <f>L234*M234</f>
        <v>3.6</v>
      </c>
      <c r="O234" s="1864"/>
      <c r="P234" s="1864"/>
      <c r="Q234" s="1865"/>
      <c r="R234" s="1865">
        <f t="shared" si="42"/>
        <v>0</v>
      </c>
      <c r="S234" s="1865"/>
      <c r="T234" s="1864"/>
      <c r="U234" s="1864"/>
      <c r="V234" s="1865"/>
      <c r="W234" s="1864"/>
      <c r="X234" s="1864"/>
      <c r="Y234" s="1865"/>
      <c r="Z234" s="559">
        <f t="shared" si="43"/>
        <v>-3.6</v>
      </c>
      <c r="AA234" s="559">
        <f t="shared" si="41"/>
        <v>0</v>
      </c>
      <c r="AB234" s="893"/>
      <c r="AC234" s="549" t="s">
        <v>1665</v>
      </c>
      <c r="AF234" s="466"/>
      <c r="AG234" s="465"/>
      <c r="AH234" s="465"/>
    </row>
    <row r="235" spans="1:34" s="498" customFormat="1" ht="77.25" hidden="1" x14ac:dyDescent="0.25">
      <c r="A235" s="962"/>
      <c r="B235" s="551" t="s">
        <v>1880</v>
      </c>
      <c r="C235" s="553"/>
      <c r="D235" s="903"/>
      <c r="E235" s="535"/>
      <c r="F235" s="1907"/>
      <c r="G235" s="1908"/>
      <c r="H235" s="559"/>
      <c r="I235" s="1864"/>
      <c r="J235" s="1864"/>
      <c r="K235" s="857"/>
      <c r="L235" s="1864"/>
      <c r="M235" s="1864"/>
      <c r="N235" s="857"/>
      <c r="O235" s="1864">
        <v>1</v>
      </c>
      <c r="P235" s="1864">
        <v>4</v>
      </c>
      <c r="Q235" s="1865">
        <f>P235*O235</f>
        <v>4</v>
      </c>
      <c r="R235" s="1865">
        <f t="shared" si="42"/>
        <v>4</v>
      </c>
      <c r="S235" s="1865"/>
      <c r="T235" s="1864">
        <v>1</v>
      </c>
      <c r="U235" s="1864">
        <v>4</v>
      </c>
      <c r="V235" s="1865">
        <f>U235*T235</f>
        <v>4</v>
      </c>
      <c r="W235" s="1864">
        <v>1</v>
      </c>
      <c r="X235" s="1864">
        <v>4</v>
      </c>
      <c r="Y235" s="1865">
        <f>X235*W235</f>
        <v>4</v>
      </c>
      <c r="Z235" s="559">
        <f t="shared" si="43"/>
        <v>4</v>
      </c>
      <c r="AA235" s="559" t="str">
        <f t="shared" si="41"/>
        <v>-</v>
      </c>
      <c r="AB235" s="893" t="s">
        <v>1881</v>
      </c>
      <c r="AC235" s="491" t="s">
        <v>1665</v>
      </c>
      <c r="AF235" s="466"/>
      <c r="AG235" s="465"/>
      <c r="AH235" s="465"/>
    </row>
    <row r="236" spans="1:34" s="498" customFormat="1" ht="93" hidden="1" customHeight="1" x14ac:dyDescent="0.25">
      <c r="A236" s="962"/>
      <c r="B236" s="551" t="s">
        <v>1839</v>
      </c>
      <c r="C236" s="553"/>
      <c r="D236" s="903"/>
      <c r="E236" s="535" t="s">
        <v>318</v>
      </c>
      <c r="F236" s="1907">
        <v>4</v>
      </c>
      <c r="G236" s="1908">
        <v>1.73</v>
      </c>
      <c r="H236" s="559">
        <f>F236*G236</f>
        <v>6.9</v>
      </c>
      <c r="I236" s="1864">
        <v>4</v>
      </c>
      <c r="J236" s="1864">
        <v>1.7</v>
      </c>
      <c r="K236" s="857">
        <f>I236*J236</f>
        <v>6.8</v>
      </c>
      <c r="L236" s="1864">
        <v>4</v>
      </c>
      <c r="M236" s="1864">
        <v>1.7</v>
      </c>
      <c r="N236" s="857">
        <f>L236*M236</f>
        <v>6.8</v>
      </c>
      <c r="O236" s="1864">
        <v>4</v>
      </c>
      <c r="P236" s="1864">
        <v>1.7</v>
      </c>
      <c r="Q236" s="1865">
        <f>P236*O236</f>
        <v>6.8</v>
      </c>
      <c r="R236" s="1865">
        <f t="shared" si="42"/>
        <v>6.8</v>
      </c>
      <c r="S236" s="1865"/>
      <c r="T236" s="1864">
        <v>4</v>
      </c>
      <c r="U236" s="1864">
        <v>1.7</v>
      </c>
      <c r="V236" s="1865">
        <f>U236*T236</f>
        <v>6.8</v>
      </c>
      <c r="W236" s="1864">
        <v>4</v>
      </c>
      <c r="X236" s="1864">
        <v>1.7</v>
      </c>
      <c r="Y236" s="1865">
        <f>X236*W236</f>
        <v>6.8</v>
      </c>
      <c r="Z236" s="559">
        <f t="shared" si="43"/>
        <v>0</v>
      </c>
      <c r="AA236" s="559">
        <f t="shared" si="41"/>
        <v>100</v>
      </c>
      <c r="AB236" s="893" t="s">
        <v>1882</v>
      </c>
      <c r="AC236" s="491" t="s">
        <v>1665</v>
      </c>
      <c r="AF236" s="466"/>
      <c r="AG236" s="465"/>
      <c r="AH236" s="465"/>
    </row>
    <row r="237" spans="1:34" s="498" customFormat="1" ht="33.75" hidden="1" customHeight="1" x14ac:dyDescent="0.25">
      <c r="A237" s="962"/>
      <c r="B237" s="551" t="s">
        <v>1883</v>
      </c>
      <c r="C237" s="553"/>
      <c r="D237" s="903"/>
      <c r="E237" s="535"/>
      <c r="F237" s="1907"/>
      <c r="G237" s="1908"/>
      <c r="H237" s="559"/>
      <c r="I237" s="1864"/>
      <c r="J237" s="1864"/>
      <c r="K237" s="857"/>
      <c r="L237" s="1864"/>
      <c r="M237" s="1864"/>
      <c r="N237" s="857"/>
      <c r="O237" s="1864">
        <v>2</v>
      </c>
      <c r="P237" s="1864">
        <v>2.2999999999999998</v>
      </c>
      <c r="Q237" s="1865">
        <f>P237*O237</f>
        <v>4.5999999999999996</v>
      </c>
      <c r="R237" s="1865">
        <f t="shared" si="42"/>
        <v>4.5999999999999996</v>
      </c>
      <c r="S237" s="1865"/>
      <c r="T237" s="1864">
        <v>2</v>
      </c>
      <c r="U237" s="1864">
        <v>2.2999999999999998</v>
      </c>
      <c r="V237" s="1865">
        <f>U237*T237</f>
        <v>4.5999999999999996</v>
      </c>
      <c r="W237" s="1864">
        <v>2</v>
      </c>
      <c r="X237" s="1864">
        <v>2.2999999999999998</v>
      </c>
      <c r="Y237" s="1865">
        <f>X237*W237</f>
        <v>4.5999999999999996</v>
      </c>
      <c r="Z237" s="559">
        <f t="shared" si="43"/>
        <v>4.5999999999999996</v>
      </c>
      <c r="AA237" s="559" t="str">
        <f t="shared" si="41"/>
        <v>-</v>
      </c>
      <c r="AB237" s="827" t="s">
        <v>1884</v>
      </c>
      <c r="AC237" s="491" t="s">
        <v>1665</v>
      </c>
      <c r="AF237" s="466"/>
      <c r="AG237" s="465"/>
      <c r="AH237" s="465"/>
    </row>
    <row r="238" spans="1:34" s="498" customFormat="1" hidden="1" x14ac:dyDescent="0.25">
      <c r="A238" s="962"/>
      <c r="B238" s="551" t="s">
        <v>1826</v>
      </c>
      <c r="C238" s="553"/>
      <c r="D238" s="903"/>
      <c r="E238" s="535" t="s">
        <v>318</v>
      </c>
      <c r="F238" s="1864"/>
      <c r="G238" s="1864"/>
      <c r="H238" s="857"/>
      <c r="I238" s="1864"/>
      <c r="J238" s="1864"/>
      <c r="K238" s="857"/>
      <c r="L238" s="1864"/>
      <c r="M238" s="1864"/>
      <c r="N238" s="857"/>
      <c r="O238" s="1864">
        <v>1</v>
      </c>
      <c r="P238" s="1914">
        <v>2.2999999999999998</v>
      </c>
      <c r="Q238" s="1865">
        <f>O238*P238</f>
        <v>2.2999999999999998</v>
      </c>
      <c r="R238" s="1865">
        <f t="shared" si="42"/>
        <v>2.2999999999999998</v>
      </c>
      <c r="S238" s="1865"/>
      <c r="T238" s="1864">
        <v>1</v>
      </c>
      <c r="U238" s="1914">
        <v>2.2999999999999998</v>
      </c>
      <c r="V238" s="1865">
        <f>T238*U238</f>
        <v>2.2999999999999998</v>
      </c>
      <c r="W238" s="1864">
        <v>1</v>
      </c>
      <c r="X238" s="1914">
        <v>2.2999999999999998</v>
      </c>
      <c r="Y238" s="1865">
        <f>W238*X238</f>
        <v>2.2999999999999998</v>
      </c>
      <c r="Z238" s="857">
        <f t="shared" si="43"/>
        <v>2.2999999999999998</v>
      </c>
      <c r="AA238" s="857" t="str">
        <f t="shared" si="41"/>
        <v>-</v>
      </c>
      <c r="AB238" s="3514" t="s">
        <v>1885</v>
      </c>
      <c r="AC238" s="491" t="s">
        <v>1665</v>
      </c>
      <c r="AF238" s="466"/>
      <c r="AG238" s="465"/>
      <c r="AH238" s="465"/>
    </row>
    <row r="239" spans="1:34" s="498" customFormat="1" ht="25.5" hidden="1" x14ac:dyDescent="0.25">
      <c r="A239" s="962"/>
      <c r="B239" s="1885" t="s">
        <v>1757</v>
      </c>
      <c r="C239" s="553"/>
      <c r="D239" s="903"/>
      <c r="E239" s="535" t="s">
        <v>318</v>
      </c>
      <c r="F239" s="1864"/>
      <c r="G239" s="1864"/>
      <c r="H239" s="857"/>
      <c r="I239" s="1864"/>
      <c r="J239" s="1864"/>
      <c r="K239" s="857"/>
      <c r="L239" s="1864"/>
      <c r="M239" s="1864"/>
      <c r="N239" s="857"/>
      <c r="O239" s="1864">
        <v>2</v>
      </c>
      <c r="P239" s="1914">
        <v>3.45</v>
      </c>
      <c r="Q239" s="1865">
        <f t="shared" ref="Q239:Q240" si="44">O239*P239</f>
        <v>6.9</v>
      </c>
      <c r="R239" s="1865">
        <f t="shared" si="42"/>
        <v>6.9</v>
      </c>
      <c r="S239" s="1865"/>
      <c r="T239" s="1864">
        <v>2</v>
      </c>
      <c r="U239" s="1914">
        <v>3.45</v>
      </c>
      <c r="V239" s="1865">
        <f t="shared" ref="V239:V240" si="45">T239*U239</f>
        <v>6.9</v>
      </c>
      <c r="W239" s="1864">
        <v>2</v>
      </c>
      <c r="X239" s="1914">
        <v>3.45</v>
      </c>
      <c r="Y239" s="1865">
        <f t="shared" ref="Y239:Y240" si="46">W239*X239</f>
        <v>6.9</v>
      </c>
      <c r="Z239" s="857">
        <f t="shared" si="43"/>
        <v>6.9</v>
      </c>
      <c r="AA239" s="857" t="str">
        <f t="shared" si="41"/>
        <v>-</v>
      </c>
      <c r="AB239" s="3515"/>
      <c r="AC239" s="491" t="s">
        <v>1665</v>
      </c>
      <c r="AF239" s="466"/>
      <c r="AG239" s="465"/>
      <c r="AH239" s="465"/>
    </row>
    <row r="240" spans="1:34" s="498" customFormat="1" hidden="1" x14ac:dyDescent="0.25">
      <c r="A240" s="962"/>
      <c r="B240" s="1885" t="s">
        <v>1886</v>
      </c>
      <c r="C240" s="553"/>
      <c r="D240" s="903"/>
      <c r="E240" s="535" t="s">
        <v>318</v>
      </c>
      <c r="F240" s="1864"/>
      <c r="G240" s="1864"/>
      <c r="H240" s="857"/>
      <c r="I240" s="1864"/>
      <c r="J240" s="1864"/>
      <c r="K240" s="857"/>
      <c r="L240" s="1864"/>
      <c r="M240" s="1864"/>
      <c r="N240" s="857"/>
      <c r="O240" s="1864">
        <v>1</v>
      </c>
      <c r="P240" s="1914">
        <v>3.45</v>
      </c>
      <c r="Q240" s="1865">
        <f t="shared" si="44"/>
        <v>3.5</v>
      </c>
      <c r="R240" s="1865">
        <f t="shared" si="42"/>
        <v>3.5</v>
      </c>
      <c r="S240" s="1865"/>
      <c r="T240" s="1864">
        <v>1</v>
      </c>
      <c r="U240" s="1914">
        <v>3.45</v>
      </c>
      <c r="V240" s="1865">
        <f t="shared" si="45"/>
        <v>3.5</v>
      </c>
      <c r="W240" s="1864">
        <v>1</v>
      </c>
      <c r="X240" s="1914">
        <v>3.45</v>
      </c>
      <c r="Y240" s="1865">
        <f t="shared" si="46"/>
        <v>3.5</v>
      </c>
      <c r="Z240" s="857">
        <f t="shared" si="43"/>
        <v>3.5</v>
      </c>
      <c r="AA240" s="857" t="str">
        <f t="shared" si="41"/>
        <v>-</v>
      </c>
      <c r="AB240" s="3516"/>
      <c r="AC240" s="491" t="s">
        <v>1665</v>
      </c>
      <c r="AF240" s="466"/>
      <c r="AG240" s="465"/>
      <c r="AH240" s="465"/>
    </row>
    <row r="241" spans="1:34" s="498" customFormat="1" hidden="1" x14ac:dyDescent="0.25">
      <c r="A241" s="962"/>
      <c r="B241" s="551" t="s">
        <v>1729</v>
      </c>
      <c r="C241" s="553"/>
      <c r="D241" s="903"/>
      <c r="E241" s="535"/>
      <c r="F241" s="1907"/>
      <c r="G241" s="1908"/>
      <c r="H241" s="559">
        <f>SUM(H231:H236)*0.271</f>
        <v>5</v>
      </c>
      <c r="I241" s="1864"/>
      <c r="J241" s="1864"/>
      <c r="K241" s="857">
        <f>SUM(K231:K236)*0.271</f>
        <v>4.8</v>
      </c>
      <c r="L241" s="1864"/>
      <c r="M241" s="1864"/>
      <c r="N241" s="857">
        <f>SUM(N231:N236)*0.271</f>
        <v>4.8</v>
      </c>
      <c r="O241" s="857"/>
      <c r="P241" s="857"/>
      <c r="Q241" s="1865">
        <f>SUM(Q231:Q240)*0.271</f>
        <v>9.8000000000000007</v>
      </c>
      <c r="R241" s="1865">
        <f t="shared" si="42"/>
        <v>9.8000000000000007</v>
      </c>
      <c r="S241" s="1865"/>
      <c r="T241" s="857"/>
      <c r="U241" s="857"/>
      <c r="V241" s="1865">
        <f>SUM(V231:V240)*0.271</f>
        <v>9.8000000000000007</v>
      </c>
      <c r="W241" s="857"/>
      <c r="X241" s="857"/>
      <c r="Y241" s="1865">
        <f>SUM(Y231:Y240)*0.271</f>
        <v>9.8000000000000007</v>
      </c>
      <c r="Z241" s="559">
        <f t="shared" si="43"/>
        <v>5</v>
      </c>
      <c r="AA241" s="559">
        <f t="shared" si="41"/>
        <v>204.2</v>
      </c>
      <c r="AB241" s="921"/>
      <c r="AC241" s="491" t="s">
        <v>1665</v>
      </c>
      <c r="AF241" s="466"/>
      <c r="AG241" s="465"/>
      <c r="AH241" s="465"/>
    </row>
    <row r="242" spans="1:34" s="492" customFormat="1" ht="14.25" x14ac:dyDescent="0.2">
      <c r="A242" s="1240"/>
      <c r="B242" s="500" t="s">
        <v>1887</v>
      </c>
      <c r="C242" s="501" t="s">
        <v>796</v>
      </c>
      <c r="D242" s="932"/>
      <c r="E242" s="1042"/>
      <c r="F242" s="828">
        <v>13</v>
      </c>
      <c r="G242" s="829">
        <v>0.5</v>
      </c>
      <c r="H242" s="542">
        <f>F242*G242</f>
        <v>6.5</v>
      </c>
      <c r="I242" s="533">
        <v>13</v>
      </c>
      <c r="J242" s="533">
        <v>0.5</v>
      </c>
      <c r="K242" s="533">
        <f>I242*J242</f>
        <v>6.5</v>
      </c>
      <c r="L242" s="533">
        <v>13</v>
      </c>
      <c r="M242" s="533">
        <v>0.5</v>
      </c>
      <c r="N242" s="533">
        <f>L242*M242</f>
        <v>6.5</v>
      </c>
      <c r="O242" s="533"/>
      <c r="P242" s="533"/>
      <c r="Q242" s="533">
        <f>Q243</f>
        <v>6.5</v>
      </c>
      <c r="R242" s="533">
        <f t="shared" si="42"/>
        <v>6.5</v>
      </c>
      <c r="S242" s="533"/>
      <c r="T242" s="533"/>
      <c r="U242" s="533"/>
      <c r="V242" s="533">
        <f>V243</f>
        <v>6.5</v>
      </c>
      <c r="W242" s="533"/>
      <c r="X242" s="533"/>
      <c r="Y242" s="533">
        <f>Y243</f>
        <v>6.5</v>
      </c>
      <c r="Z242" s="542">
        <f t="shared" si="43"/>
        <v>0</v>
      </c>
      <c r="AA242" s="542">
        <f t="shared" ref="AA242:AA305" si="47">IFERROR(Q242/K242*100,"-")</f>
        <v>100</v>
      </c>
      <c r="AB242" s="921"/>
      <c r="AC242" s="491" t="s">
        <v>1665</v>
      </c>
      <c r="AF242" s="466"/>
      <c r="AG242" s="466"/>
      <c r="AH242" s="466"/>
    </row>
    <row r="243" spans="1:34" s="492" customFormat="1" ht="14.25" hidden="1" x14ac:dyDescent="0.2">
      <c r="A243" s="1240"/>
      <c r="B243" s="502" t="s">
        <v>1364</v>
      </c>
      <c r="C243" s="501"/>
      <c r="D243" s="932"/>
      <c r="E243" s="1042"/>
      <c r="F243" s="828"/>
      <c r="G243" s="829"/>
      <c r="H243" s="542"/>
      <c r="I243" s="533"/>
      <c r="J243" s="533"/>
      <c r="K243" s="533"/>
      <c r="L243" s="533"/>
      <c r="M243" s="533"/>
      <c r="N243" s="533"/>
      <c r="O243" s="857">
        <v>13</v>
      </c>
      <c r="P243" s="857">
        <v>0.5</v>
      </c>
      <c r="Q243" s="1865">
        <f>O243*P243</f>
        <v>6.5</v>
      </c>
      <c r="R243" s="1865">
        <f t="shared" si="42"/>
        <v>6.5</v>
      </c>
      <c r="S243" s="1865"/>
      <c r="T243" s="857">
        <v>13</v>
      </c>
      <c r="U243" s="857">
        <v>0.5</v>
      </c>
      <c r="V243" s="1865">
        <f>T243*U243</f>
        <v>6.5</v>
      </c>
      <c r="W243" s="857">
        <v>13</v>
      </c>
      <c r="X243" s="857">
        <v>0.5</v>
      </c>
      <c r="Y243" s="1865">
        <f>W243*X243</f>
        <v>6.5</v>
      </c>
      <c r="Z243" s="542">
        <f t="shared" si="43"/>
        <v>6.5</v>
      </c>
      <c r="AA243" s="542" t="str">
        <f t="shared" si="47"/>
        <v>-</v>
      </c>
      <c r="AB243" s="921"/>
      <c r="AC243" s="491" t="s">
        <v>1665</v>
      </c>
      <c r="AF243" s="466"/>
      <c r="AG243" s="466"/>
      <c r="AH243" s="466"/>
    </row>
    <row r="244" spans="1:34" s="492" customFormat="1" ht="14.25" hidden="1" x14ac:dyDescent="0.2">
      <c r="A244" s="1240"/>
      <c r="B244" s="500" t="s">
        <v>1888</v>
      </c>
      <c r="C244" s="501" t="s">
        <v>800</v>
      </c>
      <c r="D244" s="932"/>
      <c r="E244" s="552"/>
      <c r="F244" s="552"/>
      <c r="G244" s="552"/>
      <c r="H244" s="1915">
        <f>SUM(H245:H247)</f>
        <v>120.5</v>
      </c>
      <c r="I244" s="533">
        <v>1</v>
      </c>
      <c r="J244" s="533">
        <v>34</v>
      </c>
      <c r="K244" s="533"/>
      <c r="L244" s="533">
        <v>1</v>
      </c>
      <c r="M244" s="533">
        <v>34</v>
      </c>
      <c r="N244" s="533"/>
      <c r="O244" s="857"/>
      <c r="P244" s="857"/>
      <c r="Q244" s="1916">
        <f>SUM(Q245:Q247)</f>
        <v>37.200000000000003</v>
      </c>
      <c r="R244" s="1916">
        <f t="shared" si="42"/>
        <v>37.200000000000003</v>
      </c>
      <c r="S244" s="1916"/>
      <c r="T244" s="857"/>
      <c r="U244" s="857"/>
      <c r="V244" s="1916">
        <f>V245+V246</f>
        <v>10</v>
      </c>
      <c r="W244" s="857"/>
      <c r="X244" s="857"/>
      <c r="Y244" s="1916">
        <f>Y245+Y246</f>
        <v>10</v>
      </c>
      <c r="Z244" s="542">
        <f t="shared" si="43"/>
        <v>37.200000000000003</v>
      </c>
      <c r="AA244" s="542" t="str">
        <f t="shared" si="47"/>
        <v>-</v>
      </c>
      <c r="AB244" s="921"/>
      <c r="AC244" s="549" t="s">
        <v>1665</v>
      </c>
      <c r="AF244" s="466"/>
      <c r="AG244" s="466"/>
      <c r="AH244" s="466"/>
    </row>
    <row r="245" spans="1:34" s="492" customFormat="1" ht="38.25" hidden="1" x14ac:dyDescent="0.2">
      <c r="A245" s="1240"/>
      <c r="B245" s="502" t="s">
        <v>1889</v>
      </c>
      <c r="C245" s="501"/>
      <c r="D245" s="932"/>
      <c r="E245" s="854" t="s">
        <v>227</v>
      </c>
      <c r="F245" s="557">
        <v>2</v>
      </c>
      <c r="G245" s="558">
        <f>H245/F245</f>
        <v>15.25</v>
      </c>
      <c r="H245" s="559">
        <v>30.5</v>
      </c>
      <c r="I245" s="533"/>
      <c r="J245" s="533"/>
      <c r="K245" s="533"/>
      <c r="L245" s="533"/>
      <c r="M245" s="533"/>
      <c r="N245" s="533"/>
      <c r="O245" s="857">
        <v>3</v>
      </c>
      <c r="P245" s="857">
        <v>10</v>
      </c>
      <c r="Q245" s="1865">
        <f>O245*P245</f>
        <v>30</v>
      </c>
      <c r="R245" s="1865">
        <f t="shared" si="42"/>
        <v>30</v>
      </c>
      <c r="S245" s="1865"/>
      <c r="T245" s="857">
        <v>1</v>
      </c>
      <c r="U245" s="857">
        <v>10</v>
      </c>
      <c r="V245" s="1865">
        <f>T245*U245</f>
        <v>10</v>
      </c>
      <c r="W245" s="857">
        <v>1</v>
      </c>
      <c r="X245" s="857">
        <v>10</v>
      </c>
      <c r="Y245" s="1865">
        <f>W245*X245</f>
        <v>10</v>
      </c>
      <c r="Z245" s="542">
        <f t="shared" si="43"/>
        <v>30</v>
      </c>
      <c r="AA245" s="542" t="str">
        <f t="shared" si="47"/>
        <v>-</v>
      </c>
      <c r="AB245" s="827" t="s">
        <v>1890</v>
      </c>
      <c r="AC245" s="549" t="s">
        <v>1665</v>
      </c>
      <c r="AF245" s="466"/>
      <c r="AG245" s="466"/>
      <c r="AH245" s="466"/>
    </row>
    <row r="246" spans="1:34" s="492" customFormat="1" ht="38.25" hidden="1" x14ac:dyDescent="0.2">
      <c r="A246" s="1240"/>
      <c r="B246" s="502" t="s">
        <v>1891</v>
      </c>
      <c r="C246" s="501"/>
      <c r="D246" s="932"/>
      <c r="E246" s="854"/>
      <c r="F246" s="828"/>
      <c r="G246" s="829"/>
      <c r="H246" s="542"/>
      <c r="I246" s="533"/>
      <c r="J246" s="533"/>
      <c r="K246" s="533"/>
      <c r="L246" s="533"/>
      <c r="M246" s="533"/>
      <c r="N246" s="533"/>
      <c r="O246" s="857">
        <v>3</v>
      </c>
      <c r="P246" s="857">
        <v>2.4</v>
      </c>
      <c r="Q246" s="1865">
        <f>O246*P246</f>
        <v>7.2</v>
      </c>
      <c r="R246" s="1865">
        <f t="shared" si="42"/>
        <v>7.2</v>
      </c>
      <c r="S246" s="1865"/>
      <c r="T246" s="857"/>
      <c r="U246" s="857"/>
      <c r="V246" s="1865"/>
      <c r="W246" s="857"/>
      <c r="X246" s="857"/>
      <c r="Y246" s="1865"/>
      <c r="Z246" s="542">
        <f t="shared" si="43"/>
        <v>7.2</v>
      </c>
      <c r="AA246" s="542" t="str">
        <f t="shared" si="47"/>
        <v>-</v>
      </c>
      <c r="AB246" s="827" t="s">
        <v>1892</v>
      </c>
      <c r="AC246" s="549" t="s">
        <v>1665</v>
      </c>
      <c r="AF246" s="466"/>
      <c r="AG246" s="466"/>
      <c r="AH246" s="466"/>
    </row>
    <row r="247" spans="1:34" s="492" customFormat="1" ht="14.25" hidden="1" x14ac:dyDescent="0.2">
      <c r="A247" s="1240"/>
      <c r="B247" s="502" t="s">
        <v>1893</v>
      </c>
      <c r="C247" s="503"/>
      <c r="D247" s="903"/>
      <c r="E247" s="535" t="s">
        <v>227</v>
      </c>
      <c r="F247" s="557">
        <v>3</v>
      </c>
      <c r="G247" s="558">
        <v>30</v>
      </c>
      <c r="H247" s="559">
        <f>F247*G247</f>
        <v>90</v>
      </c>
      <c r="I247" s="857"/>
      <c r="J247" s="857"/>
      <c r="K247" s="857"/>
      <c r="L247" s="857"/>
      <c r="M247" s="857"/>
      <c r="N247" s="857"/>
      <c r="O247" s="857"/>
      <c r="P247" s="857"/>
      <c r="Q247" s="857"/>
      <c r="R247" s="857">
        <f t="shared" si="42"/>
        <v>0</v>
      </c>
      <c r="S247" s="857"/>
      <c r="T247" s="857"/>
      <c r="U247" s="857"/>
      <c r="V247" s="857"/>
      <c r="W247" s="857"/>
      <c r="X247" s="857"/>
      <c r="Y247" s="857"/>
      <c r="Z247" s="1245">
        <f t="shared" si="43"/>
        <v>0</v>
      </c>
      <c r="AA247" s="1245" t="str">
        <f t="shared" si="47"/>
        <v>-</v>
      </c>
      <c r="AB247" s="827"/>
      <c r="AC247" s="549" t="s">
        <v>1665</v>
      </c>
      <c r="AF247" s="466"/>
      <c r="AG247" s="466"/>
      <c r="AH247" s="466"/>
    </row>
    <row r="248" spans="1:34" s="492" customFormat="1" ht="14.25" hidden="1" x14ac:dyDescent="0.2">
      <c r="A248" s="1240"/>
      <c r="B248" s="500" t="s">
        <v>1246</v>
      </c>
      <c r="C248" s="501" t="s">
        <v>1237</v>
      </c>
      <c r="D248" s="932"/>
      <c r="E248" s="854" t="s">
        <v>1829</v>
      </c>
      <c r="F248" s="828">
        <v>10</v>
      </c>
      <c r="G248" s="829">
        <v>2.5</v>
      </c>
      <c r="H248" s="542">
        <f>F248*G248</f>
        <v>25</v>
      </c>
      <c r="I248" s="533">
        <v>10</v>
      </c>
      <c r="J248" s="533">
        <v>2.5</v>
      </c>
      <c r="K248" s="533">
        <f>I248*J248</f>
        <v>25</v>
      </c>
      <c r="L248" s="533">
        <v>10</v>
      </c>
      <c r="M248" s="533">
        <v>2.5</v>
      </c>
      <c r="N248" s="533">
        <f>L248*M248</f>
        <v>25</v>
      </c>
      <c r="O248" s="533">
        <v>10</v>
      </c>
      <c r="P248" s="533">
        <v>2.5</v>
      </c>
      <c r="Q248" s="533">
        <f>O248*P248</f>
        <v>25</v>
      </c>
      <c r="R248" s="533">
        <f t="shared" si="42"/>
        <v>25</v>
      </c>
      <c r="S248" s="533"/>
      <c r="T248" s="533">
        <v>10</v>
      </c>
      <c r="U248" s="533">
        <v>2.5</v>
      </c>
      <c r="V248" s="533">
        <f>T248*U248</f>
        <v>25</v>
      </c>
      <c r="W248" s="533">
        <v>10</v>
      </c>
      <c r="X248" s="533">
        <v>2.5</v>
      </c>
      <c r="Y248" s="533">
        <f>W248*X248</f>
        <v>25</v>
      </c>
      <c r="Z248" s="542">
        <f t="shared" si="43"/>
        <v>0</v>
      </c>
      <c r="AA248" s="542">
        <f t="shared" si="47"/>
        <v>100</v>
      </c>
      <c r="AB248" s="827"/>
      <c r="AC248" s="549" t="s">
        <v>1665</v>
      </c>
      <c r="AF248" s="466"/>
      <c r="AG248" s="466"/>
      <c r="AH248" s="466"/>
    </row>
    <row r="249" spans="1:34" s="492" customFormat="1" ht="14.25" hidden="1" x14ac:dyDescent="0.2">
      <c r="A249" s="1240"/>
      <c r="B249" s="1917" t="s">
        <v>1894</v>
      </c>
      <c r="C249" s="501" t="s">
        <v>797</v>
      </c>
      <c r="D249" s="932"/>
      <c r="E249" s="854"/>
      <c r="F249" s="828"/>
      <c r="G249" s="829"/>
      <c r="H249" s="542"/>
      <c r="I249" s="533"/>
      <c r="J249" s="533"/>
      <c r="K249" s="533">
        <f>SUM(K247:K247)</f>
        <v>0</v>
      </c>
      <c r="L249" s="533"/>
      <c r="M249" s="533"/>
      <c r="N249" s="533">
        <f>SUM(N247:N247)</f>
        <v>0</v>
      </c>
      <c r="O249" s="533"/>
      <c r="P249" s="533"/>
      <c r="Q249" s="533">
        <f>Q250+Q251</f>
        <v>13</v>
      </c>
      <c r="R249" s="533">
        <f t="shared" si="42"/>
        <v>13</v>
      </c>
      <c r="S249" s="533"/>
      <c r="T249" s="533"/>
      <c r="U249" s="533"/>
      <c r="V249" s="533">
        <f>V250+V251</f>
        <v>13</v>
      </c>
      <c r="W249" s="533"/>
      <c r="X249" s="533"/>
      <c r="Y249" s="533">
        <f>Y250+Y251</f>
        <v>13</v>
      </c>
      <c r="Z249" s="493">
        <f t="shared" si="43"/>
        <v>13</v>
      </c>
      <c r="AA249" s="493" t="str">
        <f t="shared" si="47"/>
        <v>-</v>
      </c>
      <c r="AB249" s="827"/>
      <c r="AC249" s="549" t="s">
        <v>1665</v>
      </c>
      <c r="AF249" s="466"/>
      <c r="AG249" s="466"/>
      <c r="AH249" s="466"/>
    </row>
    <row r="250" spans="1:34" s="492" customFormat="1" ht="51" hidden="1" x14ac:dyDescent="0.2">
      <c r="A250" s="1240"/>
      <c r="B250" s="502" t="s">
        <v>1895</v>
      </c>
      <c r="C250" s="501"/>
      <c r="D250" s="932"/>
      <c r="E250" s="854"/>
      <c r="F250" s="828"/>
      <c r="G250" s="829"/>
      <c r="H250" s="542"/>
      <c r="I250" s="533"/>
      <c r="J250" s="533"/>
      <c r="K250" s="533"/>
      <c r="L250" s="533"/>
      <c r="M250" s="533"/>
      <c r="N250" s="533"/>
      <c r="O250" s="533"/>
      <c r="P250" s="533"/>
      <c r="Q250" s="857">
        <v>8</v>
      </c>
      <c r="R250" s="857">
        <f t="shared" si="42"/>
        <v>8</v>
      </c>
      <c r="S250" s="857"/>
      <c r="T250" s="533"/>
      <c r="U250" s="533"/>
      <c r="V250" s="857">
        <v>8</v>
      </c>
      <c r="W250" s="533"/>
      <c r="X250" s="533"/>
      <c r="Y250" s="857">
        <v>8</v>
      </c>
      <c r="Z250" s="493">
        <f t="shared" si="43"/>
        <v>8</v>
      </c>
      <c r="AA250" s="493" t="str">
        <f t="shared" si="47"/>
        <v>-</v>
      </c>
      <c r="AB250" s="1246" t="s">
        <v>1896</v>
      </c>
      <c r="AC250" s="549" t="s">
        <v>1665</v>
      </c>
      <c r="AF250" s="466"/>
      <c r="AG250" s="466"/>
      <c r="AH250" s="466"/>
    </row>
    <row r="251" spans="1:34" s="492" customFormat="1" ht="14.25" hidden="1" x14ac:dyDescent="0.2">
      <c r="A251" s="1240"/>
      <c r="B251" s="502" t="s">
        <v>1897</v>
      </c>
      <c r="C251" s="501"/>
      <c r="D251" s="932"/>
      <c r="E251" s="854"/>
      <c r="F251" s="828"/>
      <c r="G251" s="829"/>
      <c r="H251" s="542"/>
      <c r="I251" s="533"/>
      <c r="J251" s="533"/>
      <c r="K251" s="533"/>
      <c r="L251" s="533"/>
      <c r="M251" s="533"/>
      <c r="N251" s="533"/>
      <c r="O251" s="533"/>
      <c r="P251" s="533"/>
      <c r="Q251" s="857">
        <v>5</v>
      </c>
      <c r="R251" s="857">
        <f t="shared" si="42"/>
        <v>5</v>
      </c>
      <c r="S251" s="857"/>
      <c r="T251" s="533"/>
      <c r="U251" s="533"/>
      <c r="V251" s="857">
        <v>5</v>
      </c>
      <c r="W251" s="533"/>
      <c r="X251" s="533"/>
      <c r="Y251" s="857">
        <v>5</v>
      </c>
      <c r="Z251" s="493">
        <f t="shared" si="43"/>
        <v>5</v>
      </c>
      <c r="AA251" s="493" t="str">
        <f t="shared" si="47"/>
        <v>-</v>
      </c>
      <c r="AB251" s="1247"/>
      <c r="AC251" s="549" t="s">
        <v>1665</v>
      </c>
      <c r="AF251" s="466"/>
      <c r="AG251" s="466"/>
      <c r="AH251" s="466"/>
    </row>
    <row r="252" spans="1:34" s="539" customFormat="1" hidden="1" x14ac:dyDescent="0.25">
      <c r="A252" s="536"/>
      <c r="B252" s="543" t="s">
        <v>1898</v>
      </c>
      <c r="C252" s="511"/>
      <c r="D252" s="1918"/>
      <c r="E252" s="490"/>
      <c r="F252" s="488"/>
      <c r="G252" s="489"/>
      <c r="H252" s="490">
        <f>H253</f>
        <v>113.2</v>
      </c>
      <c r="I252" s="490"/>
      <c r="J252" s="490"/>
      <c r="K252" s="490">
        <f>K253</f>
        <v>98.6</v>
      </c>
      <c r="L252" s="490"/>
      <c r="M252" s="490"/>
      <c r="N252" s="490">
        <f>N253</f>
        <v>98.6</v>
      </c>
      <c r="O252" s="1919"/>
      <c r="P252" s="1919"/>
      <c r="Q252" s="490">
        <f>Q253</f>
        <v>113</v>
      </c>
      <c r="R252" s="490">
        <f t="shared" si="42"/>
        <v>113</v>
      </c>
      <c r="S252" s="490"/>
      <c r="T252" s="1919"/>
      <c r="U252" s="1919"/>
      <c r="V252" s="490">
        <f>V253</f>
        <v>112.9</v>
      </c>
      <c r="W252" s="1919"/>
      <c r="X252" s="1919"/>
      <c r="Y252" s="490">
        <f>Y253</f>
        <v>112.9</v>
      </c>
      <c r="Z252" s="490">
        <f t="shared" si="43"/>
        <v>14.4</v>
      </c>
      <c r="AA252" s="490">
        <f t="shared" si="47"/>
        <v>114.6</v>
      </c>
      <c r="AB252" s="1920"/>
      <c r="AC252" s="538"/>
      <c r="AF252" s="518"/>
      <c r="AG252" s="540"/>
      <c r="AH252" s="540"/>
    </row>
    <row r="253" spans="1:34" s="527" customFormat="1" ht="38.25" hidden="1" x14ac:dyDescent="0.2">
      <c r="A253" s="522"/>
      <c r="B253" s="520" t="s">
        <v>1664</v>
      </c>
      <c r="C253" s="521"/>
      <c r="D253" s="522" t="s">
        <v>1444</v>
      </c>
      <c r="E253" s="556"/>
      <c r="F253" s="523"/>
      <c r="G253" s="524"/>
      <c r="H253" s="526">
        <f>H254+H258+H265+H266+H279+H280</f>
        <v>113.2</v>
      </c>
      <c r="I253" s="526"/>
      <c r="J253" s="526"/>
      <c r="K253" s="526">
        <f>K254+K258+K265+K266+K279+K280</f>
        <v>98.6</v>
      </c>
      <c r="L253" s="526"/>
      <c r="M253" s="526"/>
      <c r="N253" s="526">
        <f>N254+N258+N265+N266+N279+N280</f>
        <v>98.6</v>
      </c>
      <c r="O253" s="1921"/>
      <c r="P253" s="1921"/>
      <c r="Q253" s="526">
        <f>Q254+Q258+Q264+Q265+Q266+Q279+Q280</f>
        <v>113</v>
      </c>
      <c r="R253" s="526">
        <f t="shared" si="42"/>
        <v>113</v>
      </c>
      <c r="S253" s="526"/>
      <c r="T253" s="1921"/>
      <c r="U253" s="1921"/>
      <c r="V253" s="526">
        <f>V254+V258+V264+V265+V266+V279+V280</f>
        <v>112.9</v>
      </c>
      <c r="W253" s="1921"/>
      <c r="X253" s="1921"/>
      <c r="Y253" s="526">
        <f>Y254+Y258+Y264+Y265+Y266+Y279+Y280</f>
        <v>112.9</v>
      </c>
      <c r="Z253" s="526">
        <f t="shared" si="43"/>
        <v>14.4</v>
      </c>
      <c r="AA253" s="526">
        <f t="shared" si="47"/>
        <v>114.6</v>
      </c>
      <c r="AB253" s="1922"/>
      <c r="AC253" s="549" t="s">
        <v>1665</v>
      </c>
      <c r="AF253" s="528"/>
      <c r="AG253" s="528"/>
      <c r="AH253" s="528"/>
    </row>
    <row r="254" spans="1:34" s="492" customFormat="1" ht="14.25" hidden="1" x14ac:dyDescent="0.2">
      <c r="A254" s="1240"/>
      <c r="B254" s="500" t="s">
        <v>1899</v>
      </c>
      <c r="C254" s="501" t="s">
        <v>797</v>
      </c>
      <c r="D254" s="932"/>
      <c r="E254" s="842"/>
      <c r="F254" s="828"/>
      <c r="G254" s="829"/>
      <c r="H254" s="542">
        <f>SUM(H255:H257)</f>
        <v>11.2</v>
      </c>
      <c r="I254" s="533"/>
      <c r="J254" s="533"/>
      <c r="K254" s="533">
        <f>SUM(K255:K257)</f>
        <v>5.2</v>
      </c>
      <c r="L254" s="533"/>
      <c r="M254" s="533"/>
      <c r="N254" s="533">
        <f>SUM(N255:N257)</f>
        <v>5.2</v>
      </c>
      <c r="O254" s="533"/>
      <c r="P254" s="533"/>
      <c r="Q254" s="533">
        <f>SUM(Q255:Q257)</f>
        <v>5.2</v>
      </c>
      <c r="R254" s="533">
        <f t="shared" si="42"/>
        <v>5.2</v>
      </c>
      <c r="S254" s="533"/>
      <c r="T254" s="533"/>
      <c r="U254" s="533"/>
      <c r="V254" s="533">
        <f>SUM(V255:V257)</f>
        <v>5.2</v>
      </c>
      <c r="W254" s="533"/>
      <c r="X254" s="533"/>
      <c r="Y254" s="533">
        <f>SUM(Y255:Y257)</f>
        <v>5.2</v>
      </c>
      <c r="Z254" s="542">
        <f t="shared" si="43"/>
        <v>0</v>
      </c>
      <c r="AA254" s="542">
        <f t="shared" si="47"/>
        <v>100</v>
      </c>
      <c r="AB254" s="921"/>
      <c r="AC254" s="491" t="s">
        <v>1665</v>
      </c>
      <c r="AF254" s="466"/>
      <c r="AG254" s="466"/>
      <c r="AH254" s="466"/>
    </row>
    <row r="255" spans="1:34" s="498" customFormat="1" ht="127.5" hidden="1" x14ac:dyDescent="0.25">
      <c r="A255" s="962"/>
      <c r="B255" s="502" t="s">
        <v>1835</v>
      </c>
      <c r="C255" s="503"/>
      <c r="D255" s="903"/>
      <c r="E255" s="1031" t="s">
        <v>227</v>
      </c>
      <c r="F255" s="557">
        <v>30</v>
      </c>
      <c r="G255" s="558">
        <v>0.08</v>
      </c>
      <c r="H255" s="559">
        <f>F255*G255</f>
        <v>2.4</v>
      </c>
      <c r="I255" s="857">
        <v>12</v>
      </c>
      <c r="J255" s="862">
        <v>0.1</v>
      </c>
      <c r="K255" s="857">
        <f>I255*J255</f>
        <v>1.2</v>
      </c>
      <c r="L255" s="857">
        <v>12</v>
      </c>
      <c r="M255" s="862">
        <v>0.1</v>
      </c>
      <c r="N255" s="857">
        <f>L255*M255</f>
        <v>1.2</v>
      </c>
      <c r="O255" s="496">
        <v>12</v>
      </c>
      <c r="P255" s="496">
        <v>0.1</v>
      </c>
      <c r="Q255" s="496">
        <f>O255*P255</f>
        <v>1.2</v>
      </c>
      <c r="R255" s="496">
        <f t="shared" si="42"/>
        <v>1.2</v>
      </c>
      <c r="S255" s="496"/>
      <c r="T255" s="496">
        <v>12</v>
      </c>
      <c r="U255" s="496">
        <v>0.1</v>
      </c>
      <c r="V255" s="496">
        <f>T255*U255</f>
        <v>1.2</v>
      </c>
      <c r="W255" s="496">
        <v>12</v>
      </c>
      <c r="X255" s="496">
        <v>0.1</v>
      </c>
      <c r="Y255" s="496">
        <f>W255*X255</f>
        <v>1.2</v>
      </c>
      <c r="Z255" s="1245">
        <f t="shared" si="43"/>
        <v>0</v>
      </c>
      <c r="AA255" s="1245">
        <f t="shared" si="47"/>
        <v>100</v>
      </c>
      <c r="AB255" s="900" t="s">
        <v>1900</v>
      </c>
      <c r="AC255" s="491" t="s">
        <v>1665</v>
      </c>
      <c r="AF255" s="466"/>
      <c r="AG255" s="465"/>
      <c r="AH255" s="465"/>
    </row>
    <row r="256" spans="1:34" s="498" customFormat="1" hidden="1" x14ac:dyDescent="0.25">
      <c r="A256" s="962"/>
      <c r="B256" s="856" t="s">
        <v>1901</v>
      </c>
      <c r="C256" s="499"/>
      <c r="D256" s="903"/>
      <c r="E256" s="1031" t="s">
        <v>1240</v>
      </c>
      <c r="F256" s="557">
        <v>55</v>
      </c>
      <c r="G256" s="558">
        <v>0.12</v>
      </c>
      <c r="H256" s="559">
        <f>F256*G256</f>
        <v>6.6</v>
      </c>
      <c r="I256" s="857"/>
      <c r="J256" s="857"/>
      <c r="K256" s="857">
        <f>I256*J256</f>
        <v>0</v>
      </c>
      <c r="L256" s="857"/>
      <c r="M256" s="857"/>
      <c r="N256" s="857">
        <f>L256*M256</f>
        <v>0</v>
      </c>
      <c r="O256" s="857"/>
      <c r="P256" s="857"/>
      <c r="Q256" s="857"/>
      <c r="R256" s="857">
        <f t="shared" si="42"/>
        <v>0</v>
      </c>
      <c r="S256" s="857"/>
      <c r="T256" s="857"/>
      <c r="U256" s="857"/>
      <c r="V256" s="857"/>
      <c r="W256" s="857"/>
      <c r="X256" s="857"/>
      <c r="Y256" s="857"/>
      <c r="Z256" s="559">
        <f t="shared" si="43"/>
        <v>0</v>
      </c>
      <c r="AA256" s="559" t="str">
        <f t="shared" si="47"/>
        <v>-</v>
      </c>
      <c r="AB256" s="893"/>
      <c r="AC256" s="491" t="s">
        <v>1665</v>
      </c>
      <c r="AF256" s="466"/>
      <c r="AG256" s="465"/>
      <c r="AH256" s="465"/>
    </row>
    <row r="257" spans="1:34" s="498" customFormat="1" hidden="1" x14ac:dyDescent="0.25">
      <c r="A257" s="962"/>
      <c r="B257" s="856" t="s">
        <v>1873</v>
      </c>
      <c r="C257" s="499"/>
      <c r="D257" s="903"/>
      <c r="E257" s="1031" t="s">
        <v>1902</v>
      </c>
      <c r="F257" s="557">
        <v>10</v>
      </c>
      <c r="G257" s="558">
        <v>0.22</v>
      </c>
      <c r="H257" s="559">
        <f>F257*G257</f>
        <v>2.2000000000000002</v>
      </c>
      <c r="I257" s="857"/>
      <c r="J257" s="857"/>
      <c r="K257" s="857">
        <v>4</v>
      </c>
      <c r="L257" s="857"/>
      <c r="M257" s="857"/>
      <c r="N257" s="857">
        <v>4</v>
      </c>
      <c r="O257" s="857"/>
      <c r="P257" s="857"/>
      <c r="Q257" s="857">
        <v>4</v>
      </c>
      <c r="R257" s="857">
        <f t="shared" si="42"/>
        <v>4</v>
      </c>
      <c r="S257" s="857"/>
      <c r="T257" s="857"/>
      <c r="U257" s="857"/>
      <c r="V257" s="857">
        <v>4</v>
      </c>
      <c r="W257" s="857"/>
      <c r="X257" s="857"/>
      <c r="Y257" s="857">
        <v>4</v>
      </c>
      <c r="Z257" s="559">
        <f t="shared" si="43"/>
        <v>0</v>
      </c>
      <c r="AA257" s="559">
        <f t="shared" si="47"/>
        <v>100</v>
      </c>
      <c r="AB257" s="893"/>
      <c r="AC257" s="491" t="s">
        <v>1665</v>
      </c>
      <c r="AF257" s="466"/>
      <c r="AG257" s="465"/>
      <c r="AH257" s="465"/>
    </row>
    <row r="258" spans="1:34" s="492" customFormat="1" ht="14.25" hidden="1" x14ac:dyDescent="0.2">
      <c r="A258" s="1240"/>
      <c r="B258" s="865" t="s">
        <v>1903</v>
      </c>
      <c r="C258" s="508" t="s">
        <v>797</v>
      </c>
      <c r="D258" s="932"/>
      <c r="E258" s="842"/>
      <c r="F258" s="828"/>
      <c r="G258" s="829"/>
      <c r="H258" s="542">
        <f>SUM(H259:H263)</f>
        <v>15.9</v>
      </c>
      <c r="I258" s="533"/>
      <c r="J258" s="533"/>
      <c r="K258" s="542">
        <f>SUM(K259:K263)</f>
        <v>7.3</v>
      </c>
      <c r="L258" s="533"/>
      <c r="M258" s="533"/>
      <c r="N258" s="542">
        <f>SUM(N259:N263)</f>
        <v>7.3</v>
      </c>
      <c r="O258" s="533"/>
      <c r="P258" s="533"/>
      <c r="Q258" s="533">
        <f>SUM(Q259:Q263)</f>
        <v>10</v>
      </c>
      <c r="R258" s="533">
        <f t="shared" si="42"/>
        <v>10</v>
      </c>
      <c r="S258" s="533"/>
      <c r="T258" s="533"/>
      <c r="U258" s="533"/>
      <c r="V258" s="533">
        <f>SUM(V259:V263)</f>
        <v>10</v>
      </c>
      <c r="W258" s="533"/>
      <c r="X258" s="533"/>
      <c r="Y258" s="533">
        <f>SUM(Y259:Y263)</f>
        <v>10</v>
      </c>
      <c r="Z258" s="542">
        <f t="shared" si="43"/>
        <v>2.7</v>
      </c>
      <c r="AA258" s="542">
        <f t="shared" si="47"/>
        <v>137</v>
      </c>
      <c r="AB258" s="893"/>
      <c r="AC258" s="491" t="s">
        <v>1665</v>
      </c>
      <c r="AF258" s="466"/>
      <c r="AG258" s="466"/>
      <c r="AH258" s="466"/>
    </row>
    <row r="259" spans="1:34" s="492" customFormat="1" ht="14.25" hidden="1" x14ac:dyDescent="0.2">
      <c r="A259" s="1240"/>
      <c r="B259" s="502" t="s">
        <v>1860</v>
      </c>
      <c r="C259" s="503"/>
      <c r="D259" s="932"/>
      <c r="E259" s="842"/>
      <c r="F259" s="857">
        <v>48</v>
      </c>
      <c r="G259" s="857">
        <v>0.1</v>
      </c>
      <c r="H259" s="857">
        <f>F259*G259</f>
        <v>4.8</v>
      </c>
      <c r="I259" s="857">
        <v>48</v>
      </c>
      <c r="J259" s="862">
        <v>0.05</v>
      </c>
      <c r="K259" s="857">
        <f>I259*J259</f>
        <v>2.4</v>
      </c>
      <c r="L259" s="857">
        <v>48</v>
      </c>
      <c r="M259" s="862">
        <v>0.05</v>
      </c>
      <c r="N259" s="857">
        <f>L259*M259</f>
        <v>2.4</v>
      </c>
      <c r="O259" s="857"/>
      <c r="P259" s="857"/>
      <c r="Q259" s="857"/>
      <c r="R259" s="857">
        <f t="shared" si="42"/>
        <v>0</v>
      </c>
      <c r="S259" s="857"/>
      <c r="T259" s="857"/>
      <c r="U259" s="857"/>
      <c r="V259" s="857"/>
      <c r="W259" s="857"/>
      <c r="X259" s="857"/>
      <c r="Y259" s="857"/>
      <c r="Z259" s="559">
        <f t="shared" si="43"/>
        <v>-2.4</v>
      </c>
      <c r="AA259" s="559">
        <f t="shared" si="47"/>
        <v>0</v>
      </c>
      <c r="AB259" s="893"/>
      <c r="AC259" s="491" t="s">
        <v>1665</v>
      </c>
      <c r="AF259" s="466"/>
      <c r="AG259" s="466"/>
      <c r="AH259" s="466"/>
    </row>
    <row r="260" spans="1:34" s="498" customFormat="1" ht="51.75" hidden="1" x14ac:dyDescent="0.25">
      <c r="A260" s="962"/>
      <c r="B260" s="502" t="s">
        <v>1904</v>
      </c>
      <c r="C260" s="503"/>
      <c r="D260" s="903"/>
      <c r="E260" s="1031" t="s">
        <v>227</v>
      </c>
      <c r="F260" s="857"/>
      <c r="G260" s="857"/>
      <c r="H260" s="857"/>
      <c r="I260" s="857"/>
      <c r="J260" s="857"/>
      <c r="K260" s="857">
        <f>I260*J260</f>
        <v>0</v>
      </c>
      <c r="L260" s="857"/>
      <c r="M260" s="857"/>
      <c r="N260" s="857">
        <f>L260*M260</f>
        <v>0</v>
      </c>
      <c r="O260" s="857">
        <v>25</v>
      </c>
      <c r="P260" s="857">
        <v>0.4</v>
      </c>
      <c r="Q260" s="857">
        <f>O260*P260</f>
        <v>10</v>
      </c>
      <c r="R260" s="857">
        <f t="shared" si="42"/>
        <v>10</v>
      </c>
      <c r="S260" s="857"/>
      <c r="T260" s="857">
        <v>25</v>
      </c>
      <c r="U260" s="857">
        <v>0.4</v>
      </c>
      <c r="V260" s="857">
        <f>T260*U260</f>
        <v>10</v>
      </c>
      <c r="W260" s="857">
        <v>25</v>
      </c>
      <c r="X260" s="857">
        <v>0.4</v>
      </c>
      <c r="Y260" s="857">
        <f>W260*X260</f>
        <v>10</v>
      </c>
      <c r="Z260" s="559">
        <f t="shared" si="43"/>
        <v>10</v>
      </c>
      <c r="AA260" s="559" t="str">
        <f t="shared" si="47"/>
        <v>-</v>
      </c>
      <c r="AB260" s="893" t="s">
        <v>1905</v>
      </c>
      <c r="AC260" s="491" t="s">
        <v>1665</v>
      </c>
      <c r="AF260" s="466"/>
      <c r="AG260" s="465"/>
      <c r="AH260" s="465"/>
    </row>
    <row r="261" spans="1:34" s="498" customFormat="1" ht="38.25" hidden="1" x14ac:dyDescent="0.25">
      <c r="A261" s="962"/>
      <c r="B261" s="502" t="s">
        <v>1906</v>
      </c>
      <c r="C261" s="499"/>
      <c r="D261" s="903"/>
      <c r="E261" s="1031" t="s">
        <v>227</v>
      </c>
      <c r="F261" s="857">
        <v>1</v>
      </c>
      <c r="G261" s="857">
        <v>4.7</v>
      </c>
      <c r="H261" s="857">
        <f>F261*G261</f>
        <v>4.7</v>
      </c>
      <c r="I261" s="857">
        <v>2</v>
      </c>
      <c r="J261" s="857">
        <v>0.2</v>
      </c>
      <c r="K261" s="857">
        <f>I261*J261</f>
        <v>0.4</v>
      </c>
      <c r="L261" s="857">
        <v>2</v>
      </c>
      <c r="M261" s="857">
        <v>0.2</v>
      </c>
      <c r="N261" s="857">
        <f>L261*M261</f>
        <v>0.4</v>
      </c>
      <c r="O261" s="857"/>
      <c r="P261" s="857"/>
      <c r="Q261" s="857"/>
      <c r="R261" s="857">
        <f t="shared" si="42"/>
        <v>0</v>
      </c>
      <c r="S261" s="857"/>
      <c r="T261" s="857"/>
      <c r="U261" s="857"/>
      <c r="V261" s="857"/>
      <c r="W261" s="857"/>
      <c r="X261" s="857"/>
      <c r="Y261" s="857"/>
      <c r="Z261" s="559">
        <f t="shared" si="43"/>
        <v>-0.4</v>
      </c>
      <c r="AA261" s="559">
        <f t="shared" si="47"/>
        <v>0</v>
      </c>
      <c r="AB261" s="901" t="s">
        <v>1907</v>
      </c>
      <c r="AC261" s="491" t="s">
        <v>1665</v>
      </c>
      <c r="AF261" s="466"/>
      <c r="AG261" s="465"/>
      <c r="AH261" s="465"/>
    </row>
    <row r="262" spans="1:34" s="498" customFormat="1" hidden="1" x14ac:dyDescent="0.25">
      <c r="A262" s="962"/>
      <c r="B262" s="856" t="s">
        <v>1908</v>
      </c>
      <c r="C262" s="499"/>
      <c r="D262" s="903"/>
      <c r="E262" s="1031" t="s">
        <v>227</v>
      </c>
      <c r="F262" s="857">
        <v>2</v>
      </c>
      <c r="G262" s="857">
        <v>0.2</v>
      </c>
      <c r="H262" s="857">
        <f>F262*G262</f>
        <v>0.4</v>
      </c>
      <c r="I262" s="857"/>
      <c r="J262" s="857"/>
      <c r="K262" s="857"/>
      <c r="L262" s="857"/>
      <c r="M262" s="857"/>
      <c r="N262" s="857"/>
      <c r="O262" s="857"/>
      <c r="P262" s="857"/>
      <c r="Q262" s="857"/>
      <c r="R262" s="857">
        <f t="shared" si="42"/>
        <v>0</v>
      </c>
      <c r="S262" s="857"/>
      <c r="T262" s="857"/>
      <c r="U262" s="857"/>
      <c r="V262" s="857"/>
      <c r="W262" s="857"/>
      <c r="X262" s="857"/>
      <c r="Y262" s="857"/>
      <c r="Z262" s="559">
        <f t="shared" si="43"/>
        <v>0</v>
      </c>
      <c r="AA262" s="559" t="str">
        <f t="shared" si="47"/>
        <v>-</v>
      </c>
      <c r="AB262" s="1923"/>
      <c r="AC262" s="491" t="s">
        <v>1665</v>
      </c>
      <c r="AF262" s="466"/>
      <c r="AG262" s="465"/>
      <c r="AH262" s="465"/>
    </row>
    <row r="263" spans="1:34" s="498" customFormat="1" hidden="1" x14ac:dyDescent="0.25">
      <c r="A263" s="962"/>
      <c r="B263" s="856" t="s">
        <v>1909</v>
      </c>
      <c r="C263" s="499"/>
      <c r="D263" s="903"/>
      <c r="E263" s="1031" t="s">
        <v>227</v>
      </c>
      <c r="F263" s="857">
        <v>60</v>
      </c>
      <c r="G263" s="857">
        <v>0.1</v>
      </c>
      <c r="H263" s="857">
        <f>F263*G263</f>
        <v>6</v>
      </c>
      <c r="I263" s="857">
        <v>22.5</v>
      </c>
      <c r="J263" s="857">
        <v>0.2</v>
      </c>
      <c r="K263" s="857">
        <f>I263*J263</f>
        <v>4.5</v>
      </c>
      <c r="L263" s="857">
        <v>22.5</v>
      </c>
      <c r="M263" s="857">
        <v>0.2</v>
      </c>
      <c r="N263" s="857">
        <f>L263*M263</f>
        <v>4.5</v>
      </c>
      <c r="O263" s="857"/>
      <c r="P263" s="857"/>
      <c r="Q263" s="857"/>
      <c r="R263" s="857">
        <f t="shared" si="42"/>
        <v>0</v>
      </c>
      <c r="S263" s="857"/>
      <c r="T263" s="857"/>
      <c r="U263" s="857"/>
      <c r="V263" s="857"/>
      <c r="W263" s="857"/>
      <c r="X263" s="857"/>
      <c r="Y263" s="857"/>
      <c r="Z263" s="559">
        <f t="shared" si="43"/>
        <v>-4.5</v>
      </c>
      <c r="AA263" s="559">
        <f t="shared" si="47"/>
        <v>0</v>
      </c>
      <c r="AB263" s="827"/>
      <c r="AC263" s="491" t="s">
        <v>1665</v>
      </c>
      <c r="AF263" s="466"/>
      <c r="AG263" s="465"/>
      <c r="AH263" s="465"/>
    </row>
    <row r="264" spans="1:34" s="498" customFormat="1" ht="38.25" hidden="1" x14ac:dyDescent="0.25">
      <c r="A264" s="962"/>
      <c r="B264" s="865" t="s">
        <v>1910</v>
      </c>
      <c r="C264" s="508" t="s">
        <v>797</v>
      </c>
      <c r="D264" s="903"/>
      <c r="E264" s="1031" t="s">
        <v>1240</v>
      </c>
      <c r="F264" s="497"/>
      <c r="G264" s="497"/>
      <c r="H264" s="497"/>
      <c r="I264" s="497"/>
      <c r="J264" s="497"/>
      <c r="K264" s="497"/>
      <c r="L264" s="497"/>
      <c r="M264" s="497"/>
      <c r="N264" s="497"/>
      <c r="O264" s="857"/>
      <c r="P264" s="857"/>
      <c r="Q264" s="533"/>
      <c r="R264" s="533">
        <f t="shared" si="42"/>
        <v>0</v>
      </c>
      <c r="S264" s="533"/>
      <c r="T264" s="857"/>
      <c r="U264" s="857"/>
      <c r="V264" s="533"/>
      <c r="W264" s="857"/>
      <c r="X264" s="857"/>
      <c r="Y264" s="533"/>
      <c r="Z264" s="559">
        <f t="shared" si="43"/>
        <v>0</v>
      </c>
      <c r="AA264" s="559" t="str">
        <f t="shared" si="47"/>
        <v>-</v>
      </c>
      <c r="AB264" s="900" t="s">
        <v>1911</v>
      </c>
      <c r="AC264" s="491" t="s">
        <v>1665</v>
      </c>
      <c r="AF264" s="466"/>
      <c r="AG264" s="465"/>
      <c r="AH264" s="465"/>
    </row>
    <row r="265" spans="1:34" s="492" customFormat="1" ht="51" hidden="1" x14ac:dyDescent="0.2">
      <c r="A265" s="1240"/>
      <c r="B265" s="500" t="s">
        <v>1869</v>
      </c>
      <c r="C265" s="501" t="s">
        <v>797</v>
      </c>
      <c r="D265" s="932"/>
      <c r="E265" s="842" t="s">
        <v>227</v>
      </c>
      <c r="F265" s="828">
        <v>50</v>
      </c>
      <c r="G265" s="829">
        <v>7.0000000000000007E-2</v>
      </c>
      <c r="H265" s="542">
        <f>F265*G265</f>
        <v>3.5</v>
      </c>
      <c r="I265" s="533">
        <v>68</v>
      </c>
      <c r="J265" s="533">
        <v>0.1</v>
      </c>
      <c r="K265" s="533">
        <f>I265*J265</f>
        <v>6.8</v>
      </c>
      <c r="L265" s="533">
        <v>68</v>
      </c>
      <c r="M265" s="533">
        <v>0.1</v>
      </c>
      <c r="N265" s="533">
        <f>L265*M265</f>
        <v>6.8</v>
      </c>
      <c r="O265" s="533">
        <v>68</v>
      </c>
      <c r="P265" s="533">
        <v>0.1</v>
      </c>
      <c r="Q265" s="533">
        <f>O265*P265</f>
        <v>6.8</v>
      </c>
      <c r="R265" s="533">
        <f t="shared" si="42"/>
        <v>6.8</v>
      </c>
      <c r="S265" s="533"/>
      <c r="T265" s="533">
        <v>68</v>
      </c>
      <c r="U265" s="533">
        <v>0.1</v>
      </c>
      <c r="V265" s="533">
        <f>T265*U265</f>
        <v>6.8</v>
      </c>
      <c r="W265" s="533">
        <v>68</v>
      </c>
      <c r="X265" s="533">
        <v>0.1</v>
      </c>
      <c r="Y265" s="533">
        <f>W265*X265</f>
        <v>6.8</v>
      </c>
      <c r="Z265" s="542">
        <f t="shared" si="43"/>
        <v>0</v>
      </c>
      <c r="AA265" s="542">
        <f t="shared" si="47"/>
        <v>100</v>
      </c>
      <c r="AB265" s="827" t="s">
        <v>1912</v>
      </c>
      <c r="AC265" s="491" t="s">
        <v>1665</v>
      </c>
      <c r="AF265" s="466"/>
      <c r="AG265" s="466"/>
      <c r="AH265" s="466"/>
    </row>
    <row r="266" spans="1:34" s="492" customFormat="1" ht="14.25" hidden="1" x14ac:dyDescent="0.2">
      <c r="A266" s="1240"/>
      <c r="B266" s="500" t="s">
        <v>1233</v>
      </c>
      <c r="C266" s="501" t="s">
        <v>1230</v>
      </c>
      <c r="D266" s="932"/>
      <c r="E266" s="842"/>
      <c r="F266" s="533"/>
      <c r="G266" s="533"/>
      <c r="H266" s="533">
        <f>SUM(H267:H278)</f>
        <v>51.6</v>
      </c>
      <c r="I266" s="533"/>
      <c r="J266" s="533"/>
      <c r="K266" s="533">
        <f>SUM(K267:K278)</f>
        <v>48.3</v>
      </c>
      <c r="L266" s="533"/>
      <c r="M266" s="533"/>
      <c r="N266" s="533">
        <f>SUM(N267:N278)</f>
        <v>48.3</v>
      </c>
      <c r="O266" s="533"/>
      <c r="P266" s="533"/>
      <c r="Q266" s="533">
        <f>SUM(Q267:Q278)</f>
        <v>60</v>
      </c>
      <c r="R266" s="533">
        <f t="shared" si="42"/>
        <v>60</v>
      </c>
      <c r="S266" s="533"/>
      <c r="T266" s="533"/>
      <c r="U266" s="533"/>
      <c r="V266" s="533">
        <f>SUM(V267:V278)</f>
        <v>59.9</v>
      </c>
      <c r="W266" s="533"/>
      <c r="X266" s="533"/>
      <c r="Y266" s="533">
        <f>SUM(Y267:Y278)</f>
        <v>59.9</v>
      </c>
      <c r="Z266" s="542">
        <f t="shared" si="43"/>
        <v>11.7</v>
      </c>
      <c r="AA266" s="542">
        <f t="shared" si="47"/>
        <v>124.2</v>
      </c>
      <c r="AB266" s="893"/>
      <c r="AC266" s="491" t="s">
        <v>1665</v>
      </c>
      <c r="AF266" s="466"/>
      <c r="AG266" s="466"/>
      <c r="AH266" s="466"/>
    </row>
    <row r="267" spans="1:34" s="492" customFormat="1" ht="14.25" hidden="1" x14ac:dyDescent="0.2">
      <c r="A267" s="1240"/>
      <c r="B267" s="502" t="s">
        <v>1519</v>
      </c>
      <c r="C267" s="503"/>
      <c r="D267" s="932"/>
      <c r="E267" s="874" t="s">
        <v>318</v>
      </c>
      <c r="F267" s="857">
        <v>1</v>
      </c>
      <c r="G267" s="857">
        <v>3.5</v>
      </c>
      <c r="H267" s="682">
        <f t="shared" ref="H267:H272" si="48">F267*G267</f>
        <v>3.5</v>
      </c>
      <c r="I267" s="857">
        <v>1</v>
      </c>
      <c r="J267" s="857">
        <v>3.5</v>
      </c>
      <c r="K267" s="682">
        <f t="shared" ref="K267:K272" si="49">I267*J267</f>
        <v>3.5</v>
      </c>
      <c r="L267" s="857">
        <v>1</v>
      </c>
      <c r="M267" s="857">
        <v>3.5</v>
      </c>
      <c r="N267" s="682">
        <f t="shared" ref="N267:N272" si="50">L267*M267</f>
        <v>3.5</v>
      </c>
      <c r="O267" s="857">
        <v>1</v>
      </c>
      <c r="P267" s="857">
        <v>3.5</v>
      </c>
      <c r="Q267" s="682">
        <f>O267*P267</f>
        <v>3.5</v>
      </c>
      <c r="R267" s="682">
        <f t="shared" si="42"/>
        <v>3.5</v>
      </c>
      <c r="S267" s="682"/>
      <c r="T267" s="857">
        <v>1</v>
      </c>
      <c r="U267" s="857">
        <v>3.5</v>
      </c>
      <c r="V267" s="682">
        <f>T267*U267</f>
        <v>3.5</v>
      </c>
      <c r="W267" s="857">
        <v>1</v>
      </c>
      <c r="X267" s="857">
        <v>3.5</v>
      </c>
      <c r="Y267" s="682">
        <f>W267*X267</f>
        <v>3.5</v>
      </c>
      <c r="Z267" s="812">
        <f t="shared" si="43"/>
        <v>0</v>
      </c>
      <c r="AA267" s="812">
        <f t="shared" si="47"/>
        <v>100</v>
      </c>
      <c r="AB267" s="1924"/>
      <c r="AC267" s="491" t="s">
        <v>1665</v>
      </c>
      <c r="AF267" s="466"/>
      <c r="AG267" s="466"/>
      <c r="AH267" s="466"/>
    </row>
    <row r="268" spans="1:34" s="492" customFormat="1" ht="38.25" hidden="1" x14ac:dyDescent="0.2">
      <c r="A268" s="1240"/>
      <c r="B268" s="502" t="s">
        <v>1686</v>
      </c>
      <c r="C268" s="503"/>
      <c r="D268" s="932"/>
      <c r="E268" s="874" t="s">
        <v>318</v>
      </c>
      <c r="F268" s="857">
        <v>2</v>
      </c>
      <c r="G268" s="857">
        <v>2.2999999999999998</v>
      </c>
      <c r="H268" s="682">
        <f t="shared" si="48"/>
        <v>4.5999999999999996</v>
      </c>
      <c r="I268" s="857">
        <v>1</v>
      </c>
      <c r="J268" s="857">
        <v>2.2999999999999998</v>
      </c>
      <c r="K268" s="682">
        <f t="shared" si="49"/>
        <v>2.2999999999999998</v>
      </c>
      <c r="L268" s="857">
        <v>1</v>
      </c>
      <c r="M268" s="857">
        <v>2.2999999999999998</v>
      </c>
      <c r="N268" s="682">
        <f t="shared" si="50"/>
        <v>2.2999999999999998</v>
      </c>
      <c r="O268" s="857">
        <v>2</v>
      </c>
      <c r="P268" s="857">
        <v>2.2999999999999998</v>
      </c>
      <c r="Q268" s="682">
        <f>O268*P268</f>
        <v>4.5999999999999996</v>
      </c>
      <c r="R268" s="682">
        <f t="shared" si="42"/>
        <v>4.5999999999999996</v>
      </c>
      <c r="S268" s="682"/>
      <c r="T268" s="857">
        <v>2</v>
      </c>
      <c r="U268" s="857">
        <v>2.2999999999999998</v>
      </c>
      <c r="V268" s="682">
        <f>T268*U268</f>
        <v>4.5999999999999996</v>
      </c>
      <c r="W268" s="857">
        <v>2</v>
      </c>
      <c r="X268" s="857">
        <v>2.2999999999999998</v>
      </c>
      <c r="Y268" s="682">
        <f>W268*X268</f>
        <v>4.5999999999999996</v>
      </c>
      <c r="Z268" s="812">
        <f t="shared" si="43"/>
        <v>2.2999999999999998</v>
      </c>
      <c r="AA268" s="812">
        <f t="shared" si="47"/>
        <v>200</v>
      </c>
      <c r="AB268" s="1924" t="s">
        <v>1913</v>
      </c>
      <c r="AC268" s="491" t="s">
        <v>1665</v>
      </c>
      <c r="AF268" s="466"/>
      <c r="AG268" s="466"/>
      <c r="AH268" s="466"/>
    </row>
    <row r="269" spans="1:34" s="498" customFormat="1" hidden="1" x14ac:dyDescent="0.25">
      <c r="A269" s="962"/>
      <c r="B269" s="502" t="s">
        <v>1879</v>
      </c>
      <c r="C269" s="503"/>
      <c r="D269" s="903"/>
      <c r="E269" s="1031" t="s">
        <v>318</v>
      </c>
      <c r="F269" s="857">
        <v>5</v>
      </c>
      <c r="G269" s="857">
        <v>1.8</v>
      </c>
      <c r="H269" s="682">
        <f t="shared" si="48"/>
        <v>9</v>
      </c>
      <c r="I269" s="857">
        <v>5</v>
      </c>
      <c r="J269" s="857">
        <v>1.8</v>
      </c>
      <c r="K269" s="682">
        <f t="shared" si="49"/>
        <v>9</v>
      </c>
      <c r="L269" s="857">
        <v>5</v>
      </c>
      <c r="M269" s="857">
        <v>1.8</v>
      </c>
      <c r="N269" s="682">
        <f t="shared" si="50"/>
        <v>9</v>
      </c>
      <c r="O269" s="857"/>
      <c r="P269" s="857"/>
      <c r="Q269" s="682"/>
      <c r="R269" s="682">
        <f t="shared" si="42"/>
        <v>0</v>
      </c>
      <c r="S269" s="682"/>
      <c r="T269" s="857"/>
      <c r="U269" s="857"/>
      <c r="V269" s="682"/>
      <c r="W269" s="857"/>
      <c r="X269" s="857"/>
      <c r="Y269" s="682"/>
      <c r="Z269" s="812">
        <f t="shared" si="43"/>
        <v>-9</v>
      </c>
      <c r="AA269" s="812">
        <f t="shared" si="47"/>
        <v>0</v>
      </c>
      <c r="AB269" s="1924"/>
      <c r="AC269" s="491" t="s">
        <v>1665</v>
      </c>
      <c r="AF269" s="466"/>
      <c r="AG269" s="465"/>
      <c r="AH269" s="465"/>
    </row>
    <row r="270" spans="1:34" s="498" customFormat="1" hidden="1" x14ac:dyDescent="0.25">
      <c r="A270" s="962"/>
      <c r="B270" s="502" t="s">
        <v>1839</v>
      </c>
      <c r="C270" s="503"/>
      <c r="D270" s="903"/>
      <c r="E270" s="1031" t="s">
        <v>318</v>
      </c>
      <c r="F270" s="857">
        <v>4</v>
      </c>
      <c r="G270" s="857">
        <v>2.2999999999999998</v>
      </c>
      <c r="H270" s="682">
        <f t="shared" si="48"/>
        <v>9.1999999999999993</v>
      </c>
      <c r="I270" s="857">
        <v>4</v>
      </c>
      <c r="J270" s="857">
        <v>2.2999999999999998</v>
      </c>
      <c r="K270" s="682">
        <f t="shared" si="49"/>
        <v>9.1999999999999993</v>
      </c>
      <c r="L270" s="857">
        <v>4</v>
      </c>
      <c r="M270" s="857">
        <v>2.2999999999999998</v>
      </c>
      <c r="N270" s="682">
        <f t="shared" si="50"/>
        <v>9.1999999999999993</v>
      </c>
      <c r="O270" s="857">
        <v>4</v>
      </c>
      <c r="P270" s="857">
        <v>1.7</v>
      </c>
      <c r="Q270" s="682">
        <f>O270*P270</f>
        <v>6.8</v>
      </c>
      <c r="R270" s="682">
        <f t="shared" si="42"/>
        <v>6.8</v>
      </c>
      <c r="S270" s="682"/>
      <c r="T270" s="857">
        <v>4</v>
      </c>
      <c r="U270" s="857">
        <v>1.7</v>
      </c>
      <c r="V270" s="682">
        <f>T270*U270</f>
        <v>6.8</v>
      </c>
      <c r="W270" s="857">
        <v>4</v>
      </c>
      <c r="X270" s="857">
        <v>1.7</v>
      </c>
      <c r="Y270" s="682">
        <f>W270*X270</f>
        <v>6.8</v>
      </c>
      <c r="Z270" s="812">
        <f t="shared" si="43"/>
        <v>-2.4</v>
      </c>
      <c r="AA270" s="812">
        <f t="shared" si="47"/>
        <v>73.900000000000006</v>
      </c>
      <c r="AB270" s="1924"/>
      <c r="AC270" s="491" t="s">
        <v>1665</v>
      </c>
      <c r="AF270" s="466"/>
      <c r="AG270" s="465"/>
      <c r="AH270" s="465"/>
    </row>
    <row r="271" spans="1:34" s="498" customFormat="1" hidden="1" x14ac:dyDescent="0.25">
      <c r="A271" s="962"/>
      <c r="B271" s="502" t="s">
        <v>1683</v>
      </c>
      <c r="C271" s="503"/>
      <c r="D271" s="903"/>
      <c r="E271" s="1031" t="s">
        <v>318</v>
      </c>
      <c r="F271" s="857">
        <v>1</v>
      </c>
      <c r="G271" s="857">
        <v>2</v>
      </c>
      <c r="H271" s="682">
        <f t="shared" si="48"/>
        <v>2</v>
      </c>
      <c r="I271" s="857">
        <v>1</v>
      </c>
      <c r="J271" s="682">
        <v>2</v>
      </c>
      <c r="K271" s="682">
        <f>I271*J271</f>
        <v>2</v>
      </c>
      <c r="L271" s="857">
        <v>1</v>
      </c>
      <c r="M271" s="682">
        <v>2</v>
      </c>
      <c r="N271" s="682">
        <f t="shared" si="50"/>
        <v>2</v>
      </c>
      <c r="O271" s="857"/>
      <c r="P271" s="682"/>
      <c r="Q271" s="682"/>
      <c r="R271" s="682">
        <f t="shared" si="42"/>
        <v>0</v>
      </c>
      <c r="S271" s="682"/>
      <c r="T271" s="857"/>
      <c r="U271" s="682"/>
      <c r="V271" s="682"/>
      <c r="W271" s="857"/>
      <c r="X271" s="682"/>
      <c r="Y271" s="682"/>
      <c r="Z271" s="812">
        <f t="shared" si="43"/>
        <v>-2</v>
      </c>
      <c r="AA271" s="812">
        <f t="shared" si="47"/>
        <v>0</v>
      </c>
      <c r="AB271" s="893"/>
      <c r="AC271" s="491" t="s">
        <v>1665</v>
      </c>
      <c r="AF271" s="466"/>
      <c r="AG271" s="465"/>
      <c r="AH271" s="465"/>
    </row>
    <row r="272" spans="1:34" s="498" customFormat="1" ht="89.25" hidden="1" x14ac:dyDescent="0.25">
      <c r="A272" s="962"/>
      <c r="B272" s="502" t="s">
        <v>1914</v>
      </c>
      <c r="C272" s="503"/>
      <c r="D272" s="903"/>
      <c r="E272" s="1031" t="s">
        <v>318</v>
      </c>
      <c r="F272" s="857">
        <v>1</v>
      </c>
      <c r="G272" s="857">
        <v>12.3</v>
      </c>
      <c r="H272" s="682">
        <f t="shared" si="48"/>
        <v>12.3</v>
      </c>
      <c r="I272" s="857">
        <v>2</v>
      </c>
      <c r="J272" s="857">
        <v>6</v>
      </c>
      <c r="K272" s="682">
        <f t="shared" si="49"/>
        <v>12</v>
      </c>
      <c r="L272" s="857">
        <v>2</v>
      </c>
      <c r="M272" s="857">
        <v>6</v>
      </c>
      <c r="N272" s="682">
        <f t="shared" si="50"/>
        <v>12</v>
      </c>
      <c r="O272" s="857">
        <v>1</v>
      </c>
      <c r="P272" s="857">
        <v>5</v>
      </c>
      <c r="Q272" s="682">
        <f>O272*P272</f>
        <v>5</v>
      </c>
      <c r="R272" s="682">
        <f t="shared" si="42"/>
        <v>5</v>
      </c>
      <c r="S272" s="682"/>
      <c r="T272" s="857">
        <v>1</v>
      </c>
      <c r="U272" s="857">
        <v>5</v>
      </c>
      <c r="V272" s="682">
        <f>T272*U272</f>
        <v>5</v>
      </c>
      <c r="W272" s="857">
        <v>1</v>
      </c>
      <c r="X272" s="857">
        <v>5</v>
      </c>
      <c r="Y272" s="682">
        <f>W272*X272</f>
        <v>5</v>
      </c>
      <c r="Z272" s="812">
        <f t="shared" si="43"/>
        <v>-7</v>
      </c>
      <c r="AA272" s="812">
        <f t="shared" si="47"/>
        <v>41.7</v>
      </c>
      <c r="AB272" s="843" t="s">
        <v>1915</v>
      </c>
      <c r="AC272" s="491" t="s">
        <v>1665</v>
      </c>
      <c r="AF272" s="466"/>
      <c r="AG272" s="465"/>
      <c r="AH272" s="465"/>
    </row>
    <row r="273" spans="1:34" s="498" customFormat="1" hidden="1" x14ac:dyDescent="0.25">
      <c r="A273" s="962"/>
      <c r="B273" s="900" t="s">
        <v>1880</v>
      </c>
      <c r="C273" s="1925"/>
      <c r="D273" s="1926"/>
      <c r="E273" s="1927" t="s">
        <v>1837</v>
      </c>
      <c r="F273" s="1928"/>
      <c r="G273" s="1928"/>
      <c r="H273" s="1929">
        <v>0</v>
      </c>
      <c r="I273" s="1928"/>
      <c r="J273" s="1928"/>
      <c r="K273" s="1929">
        <v>0</v>
      </c>
      <c r="L273" s="1928"/>
      <c r="M273" s="1928"/>
      <c r="N273" s="1929">
        <v>0</v>
      </c>
      <c r="O273" s="1928">
        <v>1</v>
      </c>
      <c r="P273" s="1928">
        <v>4</v>
      </c>
      <c r="Q273" s="1929">
        <f t="shared" ref="Q273:Q277" si="51">P273*O273</f>
        <v>4</v>
      </c>
      <c r="R273" s="1929">
        <f t="shared" si="42"/>
        <v>4</v>
      </c>
      <c r="S273" s="1929"/>
      <c r="T273" s="1928">
        <v>1</v>
      </c>
      <c r="U273" s="1928">
        <v>4</v>
      </c>
      <c r="V273" s="1929">
        <f t="shared" ref="V273" si="52">U273*T273</f>
        <v>4</v>
      </c>
      <c r="W273" s="1928">
        <v>1</v>
      </c>
      <c r="X273" s="1928">
        <v>4</v>
      </c>
      <c r="Y273" s="1929">
        <f t="shared" ref="Y273" si="53">X273*W273</f>
        <v>4</v>
      </c>
      <c r="Z273" s="1929">
        <f t="shared" si="43"/>
        <v>4</v>
      </c>
      <c r="AA273" s="1929" t="str">
        <f t="shared" si="47"/>
        <v>-</v>
      </c>
      <c r="AB273" s="3514" t="s">
        <v>1916</v>
      </c>
      <c r="AC273" s="491" t="s">
        <v>1665</v>
      </c>
      <c r="AF273" s="466"/>
      <c r="AG273" s="465"/>
      <c r="AH273" s="465"/>
    </row>
    <row r="274" spans="1:34" s="498" customFormat="1" hidden="1" x14ac:dyDescent="0.25">
      <c r="A274" s="962"/>
      <c r="B274" s="1041" t="s">
        <v>1917</v>
      </c>
      <c r="C274" s="830"/>
      <c r="D274" s="1926"/>
      <c r="E274" s="1930" t="s">
        <v>318</v>
      </c>
      <c r="F274" s="1929"/>
      <c r="G274" s="1929"/>
      <c r="H274" s="1928"/>
      <c r="I274" s="1929"/>
      <c r="J274" s="1929"/>
      <c r="K274" s="1928"/>
      <c r="L274" s="1929"/>
      <c r="M274" s="1929"/>
      <c r="N274" s="1928"/>
      <c r="O274" s="1929">
        <v>3</v>
      </c>
      <c r="P274" s="1929">
        <v>3.5</v>
      </c>
      <c r="Q274" s="1929">
        <f t="shared" si="51"/>
        <v>10.5</v>
      </c>
      <c r="R274" s="1929">
        <f t="shared" si="42"/>
        <v>10.5</v>
      </c>
      <c r="S274" s="1929"/>
      <c r="T274" s="1929">
        <v>3</v>
      </c>
      <c r="U274" s="1929">
        <v>3.5</v>
      </c>
      <c r="V274" s="1928">
        <f t="shared" ref="V274" si="54">T274*U274</f>
        <v>10.5</v>
      </c>
      <c r="W274" s="1929">
        <v>3</v>
      </c>
      <c r="X274" s="1929">
        <v>3.5</v>
      </c>
      <c r="Y274" s="1928">
        <f t="shared" ref="Y274" si="55">W274*X274</f>
        <v>10.5</v>
      </c>
      <c r="Z274" s="1928">
        <f t="shared" si="43"/>
        <v>10.5</v>
      </c>
      <c r="AA274" s="1928" t="str">
        <f t="shared" si="47"/>
        <v>-</v>
      </c>
      <c r="AB274" s="3515"/>
      <c r="AC274" s="491" t="s">
        <v>1665</v>
      </c>
      <c r="AF274" s="466"/>
      <c r="AG274" s="465"/>
      <c r="AH274" s="465"/>
    </row>
    <row r="275" spans="1:34" s="498" customFormat="1" hidden="1" x14ac:dyDescent="0.25">
      <c r="A275" s="962"/>
      <c r="B275" s="900" t="s">
        <v>1826</v>
      </c>
      <c r="C275" s="830"/>
      <c r="D275" s="1926"/>
      <c r="E275" s="1930" t="s">
        <v>318</v>
      </c>
      <c r="F275" s="1929"/>
      <c r="G275" s="1929"/>
      <c r="H275" s="1928"/>
      <c r="I275" s="1929"/>
      <c r="J275" s="1929"/>
      <c r="K275" s="1928"/>
      <c r="L275" s="1929"/>
      <c r="M275" s="1929"/>
      <c r="N275" s="1928"/>
      <c r="O275" s="1929">
        <v>1</v>
      </c>
      <c r="P275" s="1929">
        <v>2.2999999999999998</v>
      </c>
      <c r="Q275" s="1929">
        <f t="shared" si="51"/>
        <v>2.2999999999999998</v>
      </c>
      <c r="R275" s="1929">
        <f t="shared" ref="R275:R338" si="56">Q275</f>
        <v>2.2999999999999998</v>
      </c>
      <c r="S275" s="1929"/>
      <c r="T275" s="1929">
        <v>1</v>
      </c>
      <c r="U275" s="1929">
        <v>2.2999999999999998</v>
      </c>
      <c r="V275" s="1928">
        <v>2.2999999999999998</v>
      </c>
      <c r="W275" s="1929">
        <v>1</v>
      </c>
      <c r="X275" s="1929">
        <v>2.2999999999999998</v>
      </c>
      <c r="Y275" s="1928">
        <v>2.2999999999999998</v>
      </c>
      <c r="Z275" s="1928">
        <f t="shared" si="43"/>
        <v>2.2999999999999998</v>
      </c>
      <c r="AA275" s="1928" t="str">
        <f t="shared" si="47"/>
        <v>-</v>
      </c>
      <c r="AB275" s="3515"/>
      <c r="AC275" s="491" t="s">
        <v>1665</v>
      </c>
      <c r="AF275" s="466"/>
      <c r="AG275" s="465"/>
      <c r="AH275" s="465"/>
    </row>
    <row r="276" spans="1:34" s="498" customFormat="1" ht="25.5" hidden="1" x14ac:dyDescent="0.25">
      <c r="A276" s="962"/>
      <c r="B276" s="1885" t="s">
        <v>1757</v>
      </c>
      <c r="C276" s="830"/>
      <c r="D276" s="1926"/>
      <c r="E276" s="1930" t="s">
        <v>318</v>
      </c>
      <c r="F276" s="1929"/>
      <c r="G276" s="1929"/>
      <c r="H276" s="1928"/>
      <c r="I276" s="1929"/>
      <c r="J276" s="1929"/>
      <c r="K276" s="1928"/>
      <c r="L276" s="1929"/>
      <c r="M276" s="1929"/>
      <c r="N276" s="1928"/>
      <c r="O276" s="1929">
        <v>2</v>
      </c>
      <c r="P276" s="1929">
        <v>3.5</v>
      </c>
      <c r="Q276" s="1929">
        <f t="shared" si="51"/>
        <v>7</v>
      </c>
      <c r="R276" s="1929">
        <f t="shared" si="56"/>
        <v>7</v>
      </c>
      <c r="S276" s="1929"/>
      <c r="T276" s="1929">
        <v>2</v>
      </c>
      <c r="U276" s="1929">
        <v>3.5</v>
      </c>
      <c r="V276" s="1928">
        <v>6.9</v>
      </c>
      <c r="W276" s="1929">
        <v>2</v>
      </c>
      <c r="X276" s="1929">
        <v>3.5</v>
      </c>
      <c r="Y276" s="1928">
        <v>6.9</v>
      </c>
      <c r="Z276" s="1928">
        <f t="shared" si="43"/>
        <v>7</v>
      </c>
      <c r="AA276" s="1928" t="str">
        <f t="shared" si="47"/>
        <v>-</v>
      </c>
      <c r="AB276" s="3515"/>
      <c r="AC276" s="491" t="s">
        <v>1665</v>
      </c>
      <c r="AF276" s="466"/>
      <c r="AG276" s="465"/>
      <c r="AH276" s="465"/>
    </row>
    <row r="277" spans="1:34" s="498" customFormat="1" hidden="1" x14ac:dyDescent="0.25">
      <c r="A277" s="962"/>
      <c r="B277" s="1885" t="s">
        <v>1886</v>
      </c>
      <c r="C277" s="830"/>
      <c r="D277" s="1926"/>
      <c r="E277" s="1930" t="s">
        <v>318</v>
      </c>
      <c r="F277" s="1929"/>
      <c r="G277" s="1929"/>
      <c r="H277" s="1928"/>
      <c r="I277" s="1929"/>
      <c r="J277" s="1929"/>
      <c r="K277" s="1928"/>
      <c r="L277" s="1929"/>
      <c r="M277" s="1929"/>
      <c r="N277" s="1928"/>
      <c r="O277" s="1929">
        <v>1</v>
      </c>
      <c r="P277" s="1929">
        <v>3.5</v>
      </c>
      <c r="Q277" s="1929">
        <f t="shared" si="51"/>
        <v>3.5</v>
      </c>
      <c r="R277" s="1929">
        <f t="shared" si="56"/>
        <v>3.5</v>
      </c>
      <c r="S277" s="1929"/>
      <c r="T277" s="1929">
        <v>1</v>
      </c>
      <c r="U277" s="1929">
        <v>3.5</v>
      </c>
      <c r="V277" s="1928">
        <v>3.5</v>
      </c>
      <c r="W277" s="1929">
        <v>1</v>
      </c>
      <c r="X277" s="1929">
        <v>3.5</v>
      </c>
      <c r="Y277" s="1928">
        <v>3.5</v>
      </c>
      <c r="Z277" s="1928">
        <f t="shared" si="43"/>
        <v>3.5</v>
      </c>
      <c r="AA277" s="1928" t="str">
        <f t="shared" si="47"/>
        <v>-</v>
      </c>
      <c r="AB277" s="3516"/>
      <c r="AC277" s="491" t="s">
        <v>1665</v>
      </c>
      <c r="AF277" s="466"/>
      <c r="AG277" s="465"/>
      <c r="AH277" s="465"/>
    </row>
    <row r="278" spans="1:34" s="498" customFormat="1" hidden="1" x14ac:dyDescent="0.25">
      <c r="A278" s="962"/>
      <c r="B278" s="502" t="s">
        <v>1729</v>
      </c>
      <c r="C278" s="503"/>
      <c r="D278" s="903"/>
      <c r="E278" s="1031"/>
      <c r="F278" s="857"/>
      <c r="G278" s="857"/>
      <c r="H278" s="682">
        <f>SUM(H267:H272)*0.271</f>
        <v>11</v>
      </c>
      <c r="I278" s="857"/>
      <c r="J278" s="857"/>
      <c r="K278" s="682">
        <f>SUM(K267:K272)*0.271</f>
        <v>10.3</v>
      </c>
      <c r="L278" s="857"/>
      <c r="M278" s="857"/>
      <c r="N278" s="682">
        <f>SUM(N267:N272)*0.271</f>
        <v>10.3</v>
      </c>
      <c r="O278" s="682"/>
      <c r="P278" s="682"/>
      <c r="Q278" s="682">
        <f>SUM(Q267:Q277)*0.271</f>
        <v>12.8</v>
      </c>
      <c r="R278" s="682">
        <f t="shared" si="56"/>
        <v>12.8</v>
      </c>
      <c r="S278" s="682"/>
      <c r="T278" s="682"/>
      <c r="U278" s="682"/>
      <c r="V278" s="682">
        <f>SUM(V267:V277)*0.271</f>
        <v>12.8</v>
      </c>
      <c r="W278" s="682"/>
      <c r="X278" s="682"/>
      <c r="Y278" s="682">
        <f>SUM(Y267:Y277)*0.271</f>
        <v>12.8</v>
      </c>
      <c r="Z278" s="812">
        <f t="shared" si="43"/>
        <v>2.5</v>
      </c>
      <c r="AA278" s="812">
        <f t="shared" si="47"/>
        <v>124.3</v>
      </c>
      <c r="AB278" s="893"/>
      <c r="AC278" s="491" t="s">
        <v>1665</v>
      </c>
      <c r="AF278" s="466"/>
      <c r="AG278" s="465"/>
      <c r="AH278" s="465"/>
    </row>
    <row r="279" spans="1:34" s="492" customFormat="1" ht="14.25" x14ac:dyDescent="0.2">
      <c r="A279" s="1240"/>
      <c r="B279" s="500" t="s">
        <v>798</v>
      </c>
      <c r="C279" s="501" t="s">
        <v>796</v>
      </c>
      <c r="D279" s="932"/>
      <c r="E279" s="842" t="s">
        <v>227</v>
      </c>
      <c r="F279" s="828">
        <v>10</v>
      </c>
      <c r="G279" s="829">
        <v>0.6</v>
      </c>
      <c r="H279" s="542">
        <f>F279*G279</f>
        <v>6</v>
      </c>
      <c r="I279" s="533">
        <v>12</v>
      </c>
      <c r="J279" s="533">
        <v>0.5</v>
      </c>
      <c r="K279" s="533">
        <f>I279*J279</f>
        <v>6</v>
      </c>
      <c r="L279" s="533">
        <v>12</v>
      </c>
      <c r="M279" s="533">
        <v>0.5</v>
      </c>
      <c r="N279" s="533">
        <f>L279*M279</f>
        <v>6</v>
      </c>
      <c r="O279" s="533">
        <v>12</v>
      </c>
      <c r="P279" s="533">
        <v>0.5</v>
      </c>
      <c r="Q279" s="533">
        <f>O279*P279</f>
        <v>6</v>
      </c>
      <c r="R279" s="533">
        <f t="shared" si="56"/>
        <v>6</v>
      </c>
      <c r="S279" s="533"/>
      <c r="T279" s="533">
        <v>12</v>
      </c>
      <c r="U279" s="533">
        <v>0.5</v>
      </c>
      <c r="V279" s="533">
        <f>T279*U279</f>
        <v>6</v>
      </c>
      <c r="W279" s="533">
        <v>12</v>
      </c>
      <c r="X279" s="533">
        <v>0.5</v>
      </c>
      <c r="Y279" s="533">
        <f>W279*X279</f>
        <v>6</v>
      </c>
      <c r="Z279" s="542">
        <f t="shared" si="43"/>
        <v>0</v>
      </c>
      <c r="AA279" s="542">
        <f t="shared" si="47"/>
        <v>100</v>
      </c>
      <c r="AB279" s="893"/>
      <c r="AC279" s="491" t="s">
        <v>1665</v>
      </c>
      <c r="AF279" s="466"/>
      <c r="AG279" s="466"/>
      <c r="AH279" s="466"/>
    </row>
    <row r="280" spans="1:34" s="492" customFormat="1" ht="14.25" hidden="1" x14ac:dyDescent="0.2">
      <c r="A280" s="1240"/>
      <c r="B280" s="500" t="s">
        <v>1246</v>
      </c>
      <c r="C280" s="501" t="s">
        <v>1237</v>
      </c>
      <c r="D280" s="932"/>
      <c r="E280" s="842" t="s">
        <v>1829</v>
      </c>
      <c r="F280" s="828">
        <v>10</v>
      </c>
      <c r="G280" s="829">
        <v>2.5</v>
      </c>
      <c r="H280" s="542">
        <f>F280*G280</f>
        <v>25</v>
      </c>
      <c r="I280" s="533">
        <v>10</v>
      </c>
      <c r="J280" s="533">
        <v>2.5</v>
      </c>
      <c r="K280" s="533">
        <f>I280*J280</f>
        <v>25</v>
      </c>
      <c r="L280" s="533">
        <v>10</v>
      </c>
      <c r="M280" s="533">
        <v>2.5</v>
      </c>
      <c r="N280" s="533">
        <f>L280*M280</f>
        <v>25</v>
      </c>
      <c r="O280" s="533">
        <v>10</v>
      </c>
      <c r="P280" s="533">
        <v>2.5</v>
      </c>
      <c r="Q280" s="533">
        <f>O280*P280</f>
        <v>25</v>
      </c>
      <c r="R280" s="533">
        <f t="shared" si="56"/>
        <v>25</v>
      </c>
      <c r="S280" s="533"/>
      <c r="T280" s="533">
        <v>10</v>
      </c>
      <c r="U280" s="533">
        <v>2.5</v>
      </c>
      <c r="V280" s="533">
        <f>T280*U280</f>
        <v>25</v>
      </c>
      <c r="W280" s="533">
        <v>10</v>
      </c>
      <c r="X280" s="533">
        <v>2.5</v>
      </c>
      <c r="Y280" s="533">
        <f>W280*X280</f>
        <v>25</v>
      </c>
      <c r="Z280" s="542">
        <f t="shared" si="43"/>
        <v>0</v>
      </c>
      <c r="AA280" s="542">
        <f t="shared" si="47"/>
        <v>100</v>
      </c>
      <c r="AB280" s="893"/>
      <c r="AC280" s="491" t="s">
        <v>1665</v>
      </c>
      <c r="AF280" s="466"/>
      <c r="AG280" s="466"/>
      <c r="AH280" s="466"/>
    </row>
    <row r="281" spans="1:34" s="539" customFormat="1" hidden="1" x14ac:dyDescent="0.25">
      <c r="A281" s="536"/>
      <c r="B281" s="510" t="s">
        <v>1247</v>
      </c>
      <c r="C281" s="511"/>
      <c r="D281" s="536"/>
      <c r="E281" s="536"/>
      <c r="F281" s="911"/>
      <c r="G281" s="912"/>
      <c r="H281" s="823" t="e">
        <f>#REF!+#REF!+H282+#REF!</f>
        <v>#REF!</v>
      </c>
      <c r="I281" s="913"/>
      <c r="J281" s="913"/>
      <c r="K281" s="823">
        <f>K282</f>
        <v>37.799999999999997</v>
      </c>
      <c r="L281" s="913"/>
      <c r="M281" s="913"/>
      <c r="N281" s="823">
        <f>N282</f>
        <v>37.799999999999997</v>
      </c>
      <c r="O281" s="913"/>
      <c r="P281" s="913"/>
      <c r="Q281" s="823">
        <f>Q282</f>
        <v>38.6</v>
      </c>
      <c r="R281" s="823">
        <f t="shared" si="56"/>
        <v>38.6</v>
      </c>
      <c r="S281" s="823"/>
      <c r="T281" s="913"/>
      <c r="U281" s="913"/>
      <c r="V281" s="823">
        <f>V282</f>
        <v>38.6</v>
      </c>
      <c r="W281" s="823"/>
      <c r="X281" s="823"/>
      <c r="Y281" s="823">
        <f>Y282</f>
        <v>38.6</v>
      </c>
      <c r="Z281" s="823">
        <f t="shared" si="43"/>
        <v>0.8</v>
      </c>
      <c r="AA281" s="823">
        <f t="shared" si="47"/>
        <v>102.1</v>
      </c>
      <c r="AB281" s="914"/>
      <c r="AC281" s="538"/>
      <c r="AF281" s="519"/>
      <c r="AG281" s="540"/>
      <c r="AH281" s="540"/>
    </row>
    <row r="282" spans="1:34" s="1891" customFormat="1" ht="38.25" hidden="1" x14ac:dyDescent="0.25">
      <c r="A282" s="850"/>
      <c r="B282" s="520" t="s">
        <v>1664</v>
      </c>
      <c r="C282" s="521"/>
      <c r="D282" s="522" t="s">
        <v>1444</v>
      </c>
      <c r="E282" s="556"/>
      <c r="F282" s="523"/>
      <c r="G282" s="524"/>
      <c r="H282" s="526">
        <f>H283+H288+H294+H295</f>
        <v>49.4</v>
      </c>
      <c r="I282" s="526"/>
      <c r="J282" s="526"/>
      <c r="K282" s="526">
        <f>K283+K288+K294+K295</f>
        <v>37.799999999999997</v>
      </c>
      <c r="L282" s="526"/>
      <c r="M282" s="526"/>
      <c r="N282" s="526">
        <f>N283+N288+N294+N295</f>
        <v>37.799999999999997</v>
      </c>
      <c r="O282" s="526"/>
      <c r="P282" s="526"/>
      <c r="Q282" s="526">
        <f>Q283+Q287+Q288+Q293+Q294+Q295</f>
        <v>38.6</v>
      </c>
      <c r="R282" s="526">
        <f t="shared" si="56"/>
        <v>38.6</v>
      </c>
      <c r="S282" s="526"/>
      <c r="T282" s="526"/>
      <c r="U282" s="526"/>
      <c r="V282" s="526">
        <f>V283+V287+V288+V293+V294+V295</f>
        <v>38.6</v>
      </c>
      <c r="W282" s="526"/>
      <c r="X282" s="526"/>
      <c r="Y282" s="526">
        <f>Y283+Y287+Y288+Y293+Y294+Y295</f>
        <v>38.6</v>
      </c>
      <c r="Z282" s="526">
        <f t="shared" si="43"/>
        <v>0.8</v>
      </c>
      <c r="AA282" s="526">
        <f t="shared" si="47"/>
        <v>102.1</v>
      </c>
      <c r="AB282" s="909"/>
      <c r="AC282" s="1931" t="s">
        <v>1665</v>
      </c>
      <c r="AF282" s="528"/>
      <c r="AG282" s="1892"/>
      <c r="AH282" s="1892"/>
    </row>
    <row r="283" spans="1:34" s="492" customFormat="1" ht="14.25" hidden="1" x14ac:dyDescent="0.2">
      <c r="A283" s="1240"/>
      <c r="B283" s="500" t="s">
        <v>1226</v>
      </c>
      <c r="C283" s="501" t="s">
        <v>797</v>
      </c>
      <c r="D283" s="932"/>
      <c r="E283" s="842"/>
      <c r="F283" s="828"/>
      <c r="G283" s="829"/>
      <c r="H283" s="542">
        <f>SUM(H284:H286)</f>
        <v>13.8</v>
      </c>
      <c r="I283" s="533"/>
      <c r="J283" s="533"/>
      <c r="K283" s="533">
        <f>SUM(K284:K286)</f>
        <v>11.2</v>
      </c>
      <c r="L283" s="533"/>
      <c r="M283" s="533"/>
      <c r="N283" s="533">
        <f>SUM(N284:N286)</f>
        <v>11.2</v>
      </c>
      <c r="O283" s="533"/>
      <c r="P283" s="533"/>
      <c r="Q283" s="533">
        <f>SUM(Q284:Q286)</f>
        <v>11.6</v>
      </c>
      <c r="R283" s="533">
        <f t="shared" si="56"/>
        <v>11.6</v>
      </c>
      <c r="S283" s="533"/>
      <c r="T283" s="533"/>
      <c r="U283" s="533"/>
      <c r="V283" s="533">
        <f>SUM(V284:V286)</f>
        <v>11.6</v>
      </c>
      <c r="W283" s="533"/>
      <c r="X283" s="533"/>
      <c r="Y283" s="533">
        <f>SUM(Y284:Y286)</f>
        <v>11.6</v>
      </c>
      <c r="Z283" s="542">
        <f t="shared" si="43"/>
        <v>0.4</v>
      </c>
      <c r="AA283" s="542">
        <f t="shared" si="47"/>
        <v>103.6</v>
      </c>
      <c r="AB283" s="921"/>
      <c r="AC283" s="534" t="s">
        <v>1665</v>
      </c>
      <c r="AF283" s="466"/>
      <c r="AG283" s="466"/>
      <c r="AH283" s="466"/>
    </row>
    <row r="284" spans="1:34" s="498" customFormat="1" ht="25.5" hidden="1" x14ac:dyDescent="0.25">
      <c r="A284" s="962"/>
      <c r="B284" s="856" t="s">
        <v>1918</v>
      </c>
      <c r="C284" s="499"/>
      <c r="D284" s="903"/>
      <c r="E284" s="1031" t="s">
        <v>1919</v>
      </c>
      <c r="F284" s="557">
        <v>26</v>
      </c>
      <c r="G284" s="558">
        <v>0.3</v>
      </c>
      <c r="H284" s="559">
        <f>F284*G284</f>
        <v>7.8</v>
      </c>
      <c r="I284" s="857">
        <v>26</v>
      </c>
      <c r="J284" s="857">
        <v>0.2</v>
      </c>
      <c r="K284" s="857">
        <f>I284*J284</f>
        <v>5.2</v>
      </c>
      <c r="L284" s="857">
        <v>26</v>
      </c>
      <c r="M284" s="857">
        <v>0.2</v>
      </c>
      <c r="N284" s="857">
        <f>L284*M284</f>
        <v>5.2</v>
      </c>
      <c r="O284" s="857">
        <v>14</v>
      </c>
      <c r="P284" s="857">
        <v>0.4</v>
      </c>
      <c r="Q284" s="857">
        <f>O284*P284</f>
        <v>5.6</v>
      </c>
      <c r="R284" s="857">
        <f t="shared" si="56"/>
        <v>5.6</v>
      </c>
      <c r="S284" s="857"/>
      <c r="T284" s="857">
        <v>14</v>
      </c>
      <c r="U284" s="857">
        <v>0.4</v>
      </c>
      <c r="V284" s="857">
        <f>T284*U284</f>
        <v>5.6</v>
      </c>
      <c r="W284" s="857">
        <v>14</v>
      </c>
      <c r="X284" s="857">
        <v>0.4</v>
      </c>
      <c r="Y284" s="857">
        <f>W284*X284</f>
        <v>5.6</v>
      </c>
      <c r="Z284" s="559">
        <f t="shared" si="43"/>
        <v>0.4</v>
      </c>
      <c r="AA284" s="559">
        <f t="shared" si="47"/>
        <v>107.7</v>
      </c>
      <c r="AB284" s="1932" t="s">
        <v>1920</v>
      </c>
      <c r="AC284" s="534" t="s">
        <v>1665</v>
      </c>
      <c r="AF284" s="466"/>
      <c r="AG284" s="465"/>
      <c r="AH284" s="465"/>
    </row>
    <row r="285" spans="1:34" s="498" customFormat="1" hidden="1" x14ac:dyDescent="0.25">
      <c r="A285" s="962"/>
      <c r="B285" s="856" t="s">
        <v>1689</v>
      </c>
      <c r="C285" s="499"/>
      <c r="D285" s="903"/>
      <c r="E285" s="1031"/>
      <c r="F285" s="557"/>
      <c r="G285" s="558"/>
      <c r="H285" s="559"/>
      <c r="I285" s="857"/>
      <c r="J285" s="857"/>
      <c r="K285" s="857"/>
      <c r="L285" s="857"/>
      <c r="M285" s="857"/>
      <c r="N285" s="857"/>
      <c r="O285" s="857">
        <v>1</v>
      </c>
      <c r="P285" s="857">
        <v>2</v>
      </c>
      <c r="Q285" s="857">
        <f>O285*P285</f>
        <v>2</v>
      </c>
      <c r="R285" s="857">
        <f t="shared" si="56"/>
        <v>2</v>
      </c>
      <c r="S285" s="857"/>
      <c r="T285" s="857">
        <v>1</v>
      </c>
      <c r="U285" s="857">
        <v>2</v>
      </c>
      <c r="V285" s="857">
        <f>T285*U285</f>
        <v>2</v>
      </c>
      <c r="W285" s="857">
        <v>1</v>
      </c>
      <c r="X285" s="857">
        <v>2</v>
      </c>
      <c r="Y285" s="857">
        <f>W285*X285</f>
        <v>2</v>
      </c>
      <c r="Z285" s="559">
        <f t="shared" si="43"/>
        <v>2</v>
      </c>
      <c r="AA285" s="559" t="str">
        <f t="shared" si="47"/>
        <v>-</v>
      </c>
      <c r="AB285" s="1933"/>
      <c r="AC285" s="534" t="s">
        <v>1665</v>
      </c>
      <c r="AF285" s="466"/>
      <c r="AG285" s="465"/>
      <c r="AH285" s="465"/>
    </row>
    <row r="286" spans="1:34" s="498" customFormat="1" hidden="1" x14ac:dyDescent="0.25">
      <c r="A286" s="962"/>
      <c r="B286" s="856" t="s">
        <v>1921</v>
      </c>
      <c r="C286" s="499"/>
      <c r="D286" s="903"/>
      <c r="E286" s="1031" t="s">
        <v>227</v>
      </c>
      <c r="F286" s="557">
        <v>6</v>
      </c>
      <c r="G286" s="558">
        <v>1</v>
      </c>
      <c r="H286" s="559">
        <f>F286*G286</f>
        <v>6</v>
      </c>
      <c r="I286" s="857">
        <v>6</v>
      </c>
      <c r="J286" s="857">
        <v>1</v>
      </c>
      <c r="K286" s="857">
        <f>I286*J286</f>
        <v>6</v>
      </c>
      <c r="L286" s="857">
        <v>6</v>
      </c>
      <c r="M286" s="857">
        <v>1</v>
      </c>
      <c r="N286" s="857">
        <f>L286*M286</f>
        <v>6</v>
      </c>
      <c r="O286" s="857">
        <v>4</v>
      </c>
      <c r="P286" s="857">
        <v>1</v>
      </c>
      <c r="Q286" s="857">
        <f>O286*P286</f>
        <v>4</v>
      </c>
      <c r="R286" s="857">
        <f t="shared" si="56"/>
        <v>4</v>
      </c>
      <c r="S286" s="857"/>
      <c r="T286" s="857">
        <v>4</v>
      </c>
      <c r="U286" s="857">
        <v>1</v>
      </c>
      <c r="V286" s="857">
        <f>T286*U286</f>
        <v>4</v>
      </c>
      <c r="W286" s="857">
        <v>4</v>
      </c>
      <c r="X286" s="857">
        <v>1</v>
      </c>
      <c r="Y286" s="857">
        <f>W286*X286</f>
        <v>4</v>
      </c>
      <c r="Z286" s="559">
        <f t="shared" si="43"/>
        <v>-2</v>
      </c>
      <c r="AA286" s="559">
        <f t="shared" si="47"/>
        <v>66.7</v>
      </c>
      <c r="AB286" s="1934"/>
      <c r="AC286" s="534" t="s">
        <v>1665</v>
      </c>
      <c r="AF286" s="466"/>
      <c r="AG286" s="465"/>
      <c r="AH286" s="465"/>
    </row>
    <row r="287" spans="1:34" s="498" customFormat="1" ht="25.5" hidden="1" x14ac:dyDescent="0.25">
      <c r="A287" s="962"/>
      <c r="B287" s="865" t="s">
        <v>1922</v>
      </c>
      <c r="C287" s="508" t="s">
        <v>797</v>
      </c>
      <c r="D287" s="903"/>
      <c r="E287" s="1031"/>
      <c r="F287" s="557"/>
      <c r="G287" s="558"/>
      <c r="H287" s="559"/>
      <c r="I287" s="857"/>
      <c r="J287" s="857"/>
      <c r="K287" s="857"/>
      <c r="L287" s="857"/>
      <c r="M287" s="857"/>
      <c r="N287" s="857"/>
      <c r="O287" s="857"/>
      <c r="P287" s="857"/>
      <c r="Q287" s="533">
        <v>1.7</v>
      </c>
      <c r="R287" s="533">
        <f t="shared" si="56"/>
        <v>1.7</v>
      </c>
      <c r="S287" s="533"/>
      <c r="T287" s="857"/>
      <c r="U287" s="857"/>
      <c r="V287" s="533">
        <v>1.7</v>
      </c>
      <c r="W287" s="857"/>
      <c r="X287" s="857"/>
      <c r="Y287" s="533">
        <v>1.7</v>
      </c>
      <c r="Z287" s="559">
        <f t="shared" si="43"/>
        <v>1.7</v>
      </c>
      <c r="AA287" s="559" t="str">
        <f t="shared" si="47"/>
        <v>-</v>
      </c>
      <c r="AB287" s="900" t="s">
        <v>1923</v>
      </c>
      <c r="AC287" s="534" t="s">
        <v>1665</v>
      </c>
      <c r="AF287" s="466"/>
      <c r="AG287" s="465"/>
      <c r="AH287" s="465"/>
    </row>
    <row r="288" spans="1:34" s="492" customFormat="1" ht="25.5" hidden="1" x14ac:dyDescent="0.2">
      <c r="A288" s="1240"/>
      <c r="B288" s="500" t="s">
        <v>1239</v>
      </c>
      <c r="C288" s="501" t="s">
        <v>797</v>
      </c>
      <c r="D288" s="932"/>
      <c r="E288" s="842"/>
      <c r="F288" s="828"/>
      <c r="G288" s="829"/>
      <c r="H288" s="542">
        <f>SUM(H289:H292)</f>
        <v>11.9</v>
      </c>
      <c r="I288" s="533"/>
      <c r="J288" s="533"/>
      <c r="K288" s="533">
        <f>SUM(K289:K292)</f>
        <v>0.8</v>
      </c>
      <c r="L288" s="533"/>
      <c r="M288" s="533"/>
      <c r="N288" s="533">
        <f>SUM(N289:N292)</f>
        <v>0.8</v>
      </c>
      <c r="O288" s="533"/>
      <c r="P288" s="533"/>
      <c r="Q288" s="533">
        <f>SUM(Q289:Q292)</f>
        <v>2</v>
      </c>
      <c r="R288" s="533">
        <f t="shared" si="56"/>
        <v>2</v>
      </c>
      <c r="S288" s="533"/>
      <c r="T288" s="533"/>
      <c r="U288" s="533"/>
      <c r="V288" s="533">
        <f>SUM(V289:V292)</f>
        <v>2</v>
      </c>
      <c r="W288" s="533"/>
      <c r="X288" s="533"/>
      <c r="Y288" s="533">
        <f>SUM(Y289:Y292)</f>
        <v>2</v>
      </c>
      <c r="Z288" s="542">
        <f t="shared" si="43"/>
        <v>1.2</v>
      </c>
      <c r="AA288" s="542">
        <f t="shared" si="47"/>
        <v>250</v>
      </c>
      <c r="AB288" s="921"/>
      <c r="AC288" s="534" t="s">
        <v>1665</v>
      </c>
      <c r="AF288" s="466"/>
      <c r="AG288" s="466"/>
      <c r="AH288" s="466"/>
    </row>
    <row r="289" spans="1:34" s="498" customFormat="1" ht="38.25" hidden="1" x14ac:dyDescent="0.25">
      <c r="A289" s="962"/>
      <c r="B289" s="502" t="s">
        <v>1924</v>
      </c>
      <c r="C289" s="499"/>
      <c r="D289" s="903"/>
      <c r="E289" s="1031" t="s">
        <v>227</v>
      </c>
      <c r="F289" s="557">
        <v>14</v>
      </c>
      <c r="G289" s="558">
        <v>0.1</v>
      </c>
      <c r="H289" s="559">
        <f>F289*G289</f>
        <v>1.4</v>
      </c>
      <c r="I289" s="857">
        <v>8</v>
      </c>
      <c r="J289" s="862">
        <v>0.1</v>
      </c>
      <c r="K289" s="857">
        <f>I289*J289</f>
        <v>0.8</v>
      </c>
      <c r="L289" s="857">
        <v>8</v>
      </c>
      <c r="M289" s="862">
        <v>0.1</v>
      </c>
      <c r="N289" s="857">
        <f>L289*M289</f>
        <v>0.8</v>
      </c>
      <c r="O289" s="857">
        <v>20</v>
      </c>
      <c r="P289" s="857">
        <v>0.1</v>
      </c>
      <c r="Q289" s="857">
        <f>O289*P289</f>
        <v>2</v>
      </c>
      <c r="R289" s="857">
        <f t="shared" si="56"/>
        <v>2</v>
      </c>
      <c r="S289" s="857"/>
      <c r="T289" s="857">
        <v>20</v>
      </c>
      <c r="U289" s="857">
        <v>0.1</v>
      </c>
      <c r="V289" s="857">
        <f>T289*U289</f>
        <v>2</v>
      </c>
      <c r="W289" s="857">
        <v>20</v>
      </c>
      <c r="X289" s="857">
        <v>0.1</v>
      </c>
      <c r="Y289" s="857">
        <f>W289*X289</f>
        <v>2</v>
      </c>
      <c r="Z289" s="559">
        <f t="shared" si="43"/>
        <v>1.2</v>
      </c>
      <c r="AA289" s="559">
        <f t="shared" si="47"/>
        <v>250</v>
      </c>
      <c r="AB289" s="827" t="s">
        <v>1925</v>
      </c>
      <c r="AC289" s="534" t="s">
        <v>1665</v>
      </c>
      <c r="AF289" s="466"/>
      <c r="AG289" s="465"/>
      <c r="AH289" s="465"/>
    </row>
    <row r="290" spans="1:34" s="498" customFormat="1" hidden="1" x14ac:dyDescent="0.25">
      <c r="A290" s="962"/>
      <c r="B290" s="856" t="s">
        <v>1926</v>
      </c>
      <c r="C290" s="499"/>
      <c r="D290" s="903"/>
      <c r="E290" s="1031" t="s">
        <v>227</v>
      </c>
      <c r="F290" s="557">
        <v>2</v>
      </c>
      <c r="G290" s="558">
        <v>2</v>
      </c>
      <c r="H290" s="559">
        <f>F290*G290</f>
        <v>4</v>
      </c>
      <c r="I290" s="857"/>
      <c r="J290" s="857"/>
      <c r="K290" s="857"/>
      <c r="L290" s="857"/>
      <c r="M290" s="857"/>
      <c r="N290" s="857"/>
      <c r="O290" s="857"/>
      <c r="P290" s="857"/>
      <c r="Q290" s="857"/>
      <c r="R290" s="857">
        <f t="shared" si="56"/>
        <v>0</v>
      </c>
      <c r="S290" s="857"/>
      <c r="T290" s="857"/>
      <c r="U290" s="857"/>
      <c r="V290" s="857"/>
      <c r="W290" s="857"/>
      <c r="X290" s="857"/>
      <c r="Y290" s="857"/>
      <c r="Z290" s="559">
        <f t="shared" ref="Z290:Z353" si="57">Q290-K290</f>
        <v>0</v>
      </c>
      <c r="AA290" s="559" t="str">
        <f t="shared" si="47"/>
        <v>-</v>
      </c>
      <c r="AB290" s="827"/>
      <c r="AC290" s="534" t="s">
        <v>1665</v>
      </c>
      <c r="AF290" s="466"/>
      <c r="AG290" s="465"/>
      <c r="AH290" s="465"/>
    </row>
    <row r="291" spans="1:34" s="498" customFormat="1" hidden="1" x14ac:dyDescent="0.25">
      <c r="A291" s="962"/>
      <c r="B291" s="856" t="s">
        <v>1369</v>
      </c>
      <c r="C291" s="499"/>
      <c r="D291" s="903"/>
      <c r="E291" s="1031" t="s">
        <v>227</v>
      </c>
      <c r="F291" s="557">
        <v>4</v>
      </c>
      <c r="G291" s="558">
        <v>0.75</v>
      </c>
      <c r="H291" s="559">
        <f>F291*G291</f>
        <v>3</v>
      </c>
      <c r="I291" s="857"/>
      <c r="J291" s="857"/>
      <c r="K291" s="857"/>
      <c r="L291" s="857"/>
      <c r="M291" s="857"/>
      <c r="N291" s="857"/>
      <c r="O291" s="857"/>
      <c r="P291" s="857"/>
      <c r="Q291" s="857"/>
      <c r="R291" s="857">
        <f t="shared" si="56"/>
        <v>0</v>
      </c>
      <c r="S291" s="857"/>
      <c r="T291" s="857"/>
      <c r="U291" s="857"/>
      <c r="V291" s="857"/>
      <c r="W291" s="857"/>
      <c r="X291" s="857"/>
      <c r="Y291" s="857"/>
      <c r="Z291" s="559">
        <f t="shared" si="57"/>
        <v>0</v>
      </c>
      <c r="AA291" s="559" t="str">
        <f t="shared" si="47"/>
        <v>-</v>
      </c>
      <c r="AB291" s="901"/>
      <c r="AC291" s="534" t="s">
        <v>1665</v>
      </c>
      <c r="AF291" s="466"/>
      <c r="AG291" s="465"/>
      <c r="AH291" s="465"/>
    </row>
    <row r="292" spans="1:34" s="498" customFormat="1" hidden="1" x14ac:dyDescent="0.25">
      <c r="A292" s="962"/>
      <c r="B292" s="856" t="s">
        <v>1692</v>
      </c>
      <c r="C292" s="499"/>
      <c r="D292" s="903"/>
      <c r="E292" s="1031" t="s">
        <v>227</v>
      </c>
      <c r="F292" s="557">
        <v>10</v>
      </c>
      <c r="G292" s="558">
        <v>0.35</v>
      </c>
      <c r="H292" s="559">
        <f>F292*G292</f>
        <v>3.5</v>
      </c>
      <c r="I292" s="857"/>
      <c r="J292" s="857"/>
      <c r="K292" s="857"/>
      <c r="L292" s="857"/>
      <c r="M292" s="857"/>
      <c r="N292" s="857"/>
      <c r="O292" s="857"/>
      <c r="P292" s="857"/>
      <c r="Q292" s="857"/>
      <c r="R292" s="857">
        <f t="shared" si="56"/>
        <v>0</v>
      </c>
      <c r="S292" s="857"/>
      <c r="T292" s="857"/>
      <c r="U292" s="857"/>
      <c r="V292" s="857"/>
      <c r="W292" s="857"/>
      <c r="X292" s="857"/>
      <c r="Y292" s="857"/>
      <c r="Z292" s="559">
        <f t="shared" si="57"/>
        <v>0</v>
      </c>
      <c r="AA292" s="559" t="str">
        <f t="shared" si="47"/>
        <v>-</v>
      </c>
      <c r="AB292" s="901"/>
      <c r="AC292" s="534" t="s">
        <v>1665</v>
      </c>
      <c r="AF292" s="466"/>
      <c r="AG292" s="465"/>
      <c r="AH292" s="465"/>
    </row>
    <row r="293" spans="1:34" s="498" customFormat="1" ht="26.25" hidden="1" customHeight="1" x14ac:dyDescent="0.25">
      <c r="A293" s="962"/>
      <c r="B293" s="1841" t="s">
        <v>1927</v>
      </c>
      <c r="C293" s="508" t="s">
        <v>797</v>
      </c>
      <c r="D293" s="903"/>
      <c r="E293" s="1031"/>
      <c r="F293" s="557"/>
      <c r="G293" s="558"/>
      <c r="H293" s="559"/>
      <c r="I293" s="857"/>
      <c r="J293" s="857"/>
      <c r="K293" s="857"/>
      <c r="L293" s="857"/>
      <c r="M293" s="857"/>
      <c r="N293" s="857"/>
      <c r="O293" s="533">
        <v>150</v>
      </c>
      <c r="P293" s="906">
        <v>0.02</v>
      </c>
      <c r="Q293" s="533">
        <f>O293*P293</f>
        <v>3</v>
      </c>
      <c r="R293" s="533">
        <f t="shared" si="56"/>
        <v>3</v>
      </c>
      <c r="S293" s="533"/>
      <c r="T293" s="533">
        <v>150</v>
      </c>
      <c r="U293" s="906">
        <v>0.02</v>
      </c>
      <c r="V293" s="533">
        <f>T293*U293</f>
        <v>3</v>
      </c>
      <c r="W293" s="533">
        <v>150</v>
      </c>
      <c r="X293" s="906">
        <v>0.02</v>
      </c>
      <c r="Y293" s="533">
        <f>W293*X293</f>
        <v>3</v>
      </c>
      <c r="Z293" s="559">
        <f t="shared" si="57"/>
        <v>3</v>
      </c>
      <c r="AA293" s="559" t="str">
        <f t="shared" si="47"/>
        <v>-</v>
      </c>
      <c r="AB293" s="1839" t="s">
        <v>1928</v>
      </c>
      <c r="AC293" s="534" t="s">
        <v>1665</v>
      </c>
      <c r="AF293" s="466"/>
      <c r="AG293" s="465"/>
      <c r="AH293" s="465"/>
    </row>
    <row r="294" spans="1:34" s="492" customFormat="1" ht="25.5" x14ac:dyDescent="0.2">
      <c r="A294" s="1240"/>
      <c r="B294" s="865" t="s">
        <v>1929</v>
      </c>
      <c r="C294" s="508" t="s">
        <v>796</v>
      </c>
      <c r="D294" s="932"/>
      <c r="E294" s="842"/>
      <c r="F294" s="828">
        <v>20</v>
      </c>
      <c r="G294" s="829">
        <v>0.5</v>
      </c>
      <c r="H294" s="542">
        <f>F294*G294</f>
        <v>10</v>
      </c>
      <c r="I294" s="533">
        <v>26</v>
      </c>
      <c r="J294" s="533">
        <v>0.5</v>
      </c>
      <c r="K294" s="533">
        <f>I294*J294</f>
        <v>13</v>
      </c>
      <c r="L294" s="533">
        <v>26</v>
      </c>
      <c r="M294" s="533">
        <v>0.5</v>
      </c>
      <c r="N294" s="533">
        <f>L294*M294</f>
        <v>13</v>
      </c>
      <c r="O294" s="533">
        <v>20</v>
      </c>
      <c r="P294" s="533">
        <v>0.5</v>
      </c>
      <c r="Q294" s="533">
        <f>O294*P294</f>
        <v>10</v>
      </c>
      <c r="R294" s="533">
        <f t="shared" si="56"/>
        <v>10</v>
      </c>
      <c r="S294" s="533"/>
      <c r="T294" s="533">
        <v>20</v>
      </c>
      <c r="U294" s="533">
        <v>0.5</v>
      </c>
      <c r="V294" s="533">
        <f>T294*U294</f>
        <v>10</v>
      </c>
      <c r="W294" s="533">
        <v>20</v>
      </c>
      <c r="X294" s="533">
        <v>0.5</v>
      </c>
      <c r="Y294" s="533">
        <f>W294*X294</f>
        <v>10</v>
      </c>
      <c r="Z294" s="542">
        <f t="shared" si="57"/>
        <v>-3</v>
      </c>
      <c r="AA294" s="542">
        <f t="shared" si="47"/>
        <v>76.900000000000006</v>
      </c>
      <c r="AB294" s="901" t="s">
        <v>1372</v>
      </c>
      <c r="AC294" s="534" t="s">
        <v>1665</v>
      </c>
      <c r="AF294" s="466"/>
      <c r="AG294" s="466"/>
      <c r="AH294" s="466"/>
    </row>
    <row r="295" spans="1:34" s="492" customFormat="1" ht="14.25" hidden="1" x14ac:dyDescent="0.2">
      <c r="A295" s="1240"/>
      <c r="B295" s="500" t="s">
        <v>1233</v>
      </c>
      <c r="C295" s="501" t="s">
        <v>1230</v>
      </c>
      <c r="D295" s="932"/>
      <c r="E295" s="842"/>
      <c r="F295" s="828"/>
      <c r="G295" s="829"/>
      <c r="H295" s="542">
        <f>SUM(H296:H301)</f>
        <v>13.7</v>
      </c>
      <c r="I295" s="533"/>
      <c r="J295" s="533"/>
      <c r="K295" s="533">
        <f>SUM(K296:K301)</f>
        <v>12.8</v>
      </c>
      <c r="L295" s="533"/>
      <c r="M295" s="533"/>
      <c r="N295" s="533">
        <f>SUM(N296:N301)</f>
        <v>12.8</v>
      </c>
      <c r="O295" s="533"/>
      <c r="P295" s="533"/>
      <c r="Q295" s="533">
        <f>SUM(Q296:Q301)</f>
        <v>10.3</v>
      </c>
      <c r="R295" s="533">
        <f t="shared" si="56"/>
        <v>10.3</v>
      </c>
      <c r="S295" s="533"/>
      <c r="T295" s="533"/>
      <c r="U295" s="533"/>
      <c r="V295" s="533">
        <f>SUM(V296:V301)</f>
        <v>10.3</v>
      </c>
      <c r="W295" s="533"/>
      <c r="X295" s="533"/>
      <c r="Y295" s="533">
        <f>SUM(Y296:Y301)</f>
        <v>10.3</v>
      </c>
      <c r="Z295" s="542">
        <f t="shared" si="57"/>
        <v>-2.5</v>
      </c>
      <c r="AA295" s="542">
        <f t="shared" si="47"/>
        <v>80.5</v>
      </c>
      <c r="AB295" s="921"/>
      <c r="AC295" s="534" t="s">
        <v>1665</v>
      </c>
      <c r="AF295" s="466"/>
      <c r="AG295" s="466"/>
      <c r="AH295" s="466"/>
    </row>
    <row r="296" spans="1:34" s="498" customFormat="1" hidden="1" x14ac:dyDescent="0.25">
      <c r="A296" s="962"/>
      <c r="B296" s="502" t="s">
        <v>1519</v>
      </c>
      <c r="C296" s="503"/>
      <c r="D296" s="903"/>
      <c r="E296" s="1031" t="s">
        <v>318</v>
      </c>
      <c r="F296" s="557">
        <v>1</v>
      </c>
      <c r="G296" s="558">
        <v>3.45</v>
      </c>
      <c r="H296" s="559">
        <f>F296*G296</f>
        <v>3.5</v>
      </c>
      <c r="I296" s="857">
        <v>1</v>
      </c>
      <c r="J296" s="857">
        <v>3.5</v>
      </c>
      <c r="K296" s="857">
        <f>I296*J296</f>
        <v>3.5</v>
      </c>
      <c r="L296" s="857">
        <v>1</v>
      </c>
      <c r="M296" s="857">
        <v>3.5</v>
      </c>
      <c r="N296" s="857">
        <f>L296*M296</f>
        <v>3.5</v>
      </c>
      <c r="O296" s="857">
        <v>1</v>
      </c>
      <c r="P296" s="857">
        <v>3.5</v>
      </c>
      <c r="Q296" s="857">
        <f>O296*P296</f>
        <v>3.5</v>
      </c>
      <c r="R296" s="857">
        <f t="shared" si="56"/>
        <v>3.5</v>
      </c>
      <c r="S296" s="857"/>
      <c r="T296" s="857">
        <v>1</v>
      </c>
      <c r="U296" s="857">
        <v>3.5</v>
      </c>
      <c r="V296" s="857">
        <f>T296*U296</f>
        <v>3.5</v>
      </c>
      <c r="W296" s="857">
        <v>1</v>
      </c>
      <c r="X296" s="857">
        <v>3.5</v>
      </c>
      <c r="Y296" s="857">
        <f>W296*X296</f>
        <v>3.5</v>
      </c>
      <c r="Z296" s="559">
        <f t="shared" si="57"/>
        <v>0</v>
      </c>
      <c r="AA296" s="559">
        <f t="shared" si="47"/>
        <v>100</v>
      </c>
      <c r="AB296" s="893"/>
      <c r="AC296" s="534" t="s">
        <v>1665</v>
      </c>
      <c r="AF296" s="466"/>
      <c r="AG296" s="465"/>
      <c r="AH296" s="465"/>
    </row>
    <row r="297" spans="1:34" s="498" customFormat="1" hidden="1" x14ac:dyDescent="0.25">
      <c r="A297" s="962"/>
      <c r="B297" s="502" t="s">
        <v>1686</v>
      </c>
      <c r="C297" s="503"/>
      <c r="D297" s="903"/>
      <c r="E297" s="1031" t="s">
        <v>318</v>
      </c>
      <c r="F297" s="557">
        <v>1</v>
      </c>
      <c r="G297" s="558">
        <v>2.2999999999999998</v>
      </c>
      <c r="H297" s="559">
        <f>F297*G297</f>
        <v>2.2999999999999998</v>
      </c>
      <c r="I297" s="857">
        <v>1</v>
      </c>
      <c r="J297" s="857">
        <v>2.2999999999999998</v>
      </c>
      <c r="K297" s="857">
        <f>I297*J297</f>
        <v>2.2999999999999998</v>
      </c>
      <c r="L297" s="857">
        <v>1</v>
      </c>
      <c r="M297" s="857">
        <v>2.2999999999999998</v>
      </c>
      <c r="N297" s="857">
        <f>L297*M297</f>
        <v>2.2999999999999998</v>
      </c>
      <c r="O297" s="857">
        <v>1</v>
      </c>
      <c r="P297" s="857">
        <v>2.2999999999999998</v>
      </c>
      <c r="Q297" s="857">
        <f>O297*P297</f>
        <v>2.2999999999999998</v>
      </c>
      <c r="R297" s="857">
        <f t="shared" si="56"/>
        <v>2.2999999999999998</v>
      </c>
      <c r="S297" s="857"/>
      <c r="T297" s="857">
        <v>1</v>
      </c>
      <c r="U297" s="857">
        <v>2.2999999999999998</v>
      </c>
      <c r="V297" s="857">
        <f>T297*U297</f>
        <v>2.2999999999999998</v>
      </c>
      <c r="W297" s="857">
        <v>1</v>
      </c>
      <c r="X297" s="857">
        <v>2.2999999999999998</v>
      </c>
      <c r="Y297" s="857">
        <f>W297*X297</f>
        <v>2.2999999999999998</v>
      </c>
      <c r="Z297" s="559">
        <f t="shared" si="57"/>
        <v>0</v>
      </c>
      <c r="AA297" s="559">
        <f t="shared" si="47"/>
        <v>100</v>
      </c>
      <c r="AB297" s="893"/>
      <c r="AC297" s="534" t="s">
        <v>1665</v>
      </c>
      <c r="AF297" s="466"/>
      <c r="AG297" s="465"/>
      <c r="AH297" s="465"/>
    </row>
    <row r="298" spans="1:34" s="498" customFormat="1" hidden="1" x14ac:dyDescent="0.25">
      <c r="A298" s="962"/>
      <c r="B298" s="502" t="s">
        <v>1930</v>
      </c>
      <c r="C298" s="503"/>
      <c r="D298" s="903"/>
      <c r="E298" s="1031" t="s">
        <v>318</v>
      </c>
      <c r="F298" s="557">
        <v>1</v>
      </c>
      <c r="G298" s="558">
        <v>3.15</v>
      </c>
      <c r="H298" s="559">
        <f>F298*G298</f>
        <v>3.2</v>
      </c>
      <c r="I298" s="857">
        <v>1</v>
      </c>
      <c r="J298" s="857">
        <v>2.5</v>
      </c>
      <c r="K298" s="857">
        <f>I298*J298</f>
        <v>2.5</v>
      </c>
      <c r="L298" s="857">
        <v>1</v>
      </c>
      <c r="M298" s="857">
        <v>2.5</v>
      </c>
      <c r="N298" s="857">
        <f>L298*M298</f>
        <v>2.5</v>
      </c>
      <c r="O298" s="857"/>
      <c r="P298" s="857"/>
      <c r="Q298" s="857"/>
      <c r="R298" s="857">
        <f t="shared" si="56"/>
        <v>0</v>
      </c>
      <c r="S298" s="857"/>
      <c r="T298" s="857"/>
      <c r="U298" s="857"/>
      <c r="V298" s="857"/>
      <c r="W298" s="857"/>
      <c r="X298" s="857"/>
      <c r="Y298" s="857"/>
      <c r="Z298" s="559">
        <f t="shared" si="57"/>
        <v>-2.5</v>
      </c>
      <c r="AA298" s="559">
        <f t="shared" si="47"/>
        <v>0</v>
      </c>
      <c r="AB298" s="893"/>
      <c r="AC298" s="534" t="s">
        <v>1665</v>
      </c>
      <c r="AF298" s="466"/>
      <c r="AG298" s="465"/>
      <c r="AH298" s="465"/>
    </row>
    <row r="299" spans="1:34" s="498" customFormat="1" hidden="1" x14ac:dyDescent="0.25">
      <c r="A299" s="962"/>
      <c r="B299" s="502" t="s">
        <v>1879</v>
      </c>
      <c r="C299" s="503"/>
      <c r="D299" s="903"/>
      <c r="E299" s="1031" t="s">
        <v>318</v>
      </c>
      <c r="F299" s="557">
        <v>1</v>
      </c>
      <c r="G299" s="558">
        <v>1.8</v>
      </c>
      <c r="H299" s="559">
        <f>F299*G299</f>
        <v>1.8</v>
      </c>
      <c r="I299" s="857">
        <v>1</v>
      </c>
      <c r="J299" s="857">
        <v>1.8</v>
      </c>
      <c r="K299" s="857">
        <f>I299*J299</f>
        <v>1.8</v>
      </c>
      <c r="L299" s="857">
        <v>1</v>
      </c>
      <c r="M299" s="857">
        <v>1.8</v>
      </c>
      <c r="N299" s="857">
        <f>L299*M299</f>
        <v>1.8</v>
      </c>
      <c r="O299" s="857"/>
      <c r="P299" s="857"/>
      <c r="Q299" s="857"/>
      <c r="R299" s="857">
        <f t="shared" si="56"/>
        <v>0</v>
      </c>
      <c r="S299" s="857"/>
      <c r="T299" s="857"/>
      <c r="U299" s="857"/>
      <c r="V299" s="857"/>
      <c r="W299" s="857"/>
      <c r="X299" s="857"/>
      <c r="Y299" s="857"/>
      <c r="Z299" s="559">
        <f t="shared" si="57"/>
        <v>-1.8</v>
      </c>
      <c r="AA299" s="559">
        <f t="shared" si="47"/>
        <v>0</v>
      </c>
      <c r="AB299" s="893"/>
      <c r="AC299" s="534" t="s">
        <v>1665</v>
      </c>
      <c r="AF299" s="466"/>
      <c r="AG299" s="465"/>
      <c r="AH299" s="465"/>
    </row>
    <row r="300" spans="1:34" s="498" customFormat="1" ht="25.5" hidden="1" x14ac:dyDescent="0.25">
      <c r="A300" s="962"/>
      <c r="B300" s="502" t="s">
        <v>1931</v>
      </c>
      <c r="C300" s="503"/>
      <c r="D300" s="903"/>
      <c r="E300" s="1031"/>
      <c r="F300" s="557"/>
      <c r="G300" s="558"/>
      <c r="H300" s="559"/>
      <c r="I300" s="857"/>
      <c r="J300" s="857"/>
      <c r="K300" s="857"/>
      <c r="L300" s="857"/>
      <c r="M300" s="857"/>
      <c r="N300" s="857"/>
      <c r="O300" s="857">
        <v>1</v>
      </c>
      <c r="P300" s="857">
        <v>2.2999999999999998</v>
      </c>
      <c r="Q300" s="857">
        <f>O300*P300</f>
        <v>2.2999999999999998</v>
      </c>
      <c r="R300" s="857">
        <f t="shared" si="56"/>
        <v>2.2999999999999998</v>
      </c>
      <c r="S300" s="857"/>
      <c r="T300" s="857">
        <v>1</v>
      </c>
      <c r="U300" s="857">
        <v>2.2999999999999998</v>
      </c>
      <c r="V300" s="857">
        <f>T300*U300</f>
        <v>2.2999999999999998</v>
      </c>
      <c r="W300" s="857">
        <v>1</v>
      </c>
      <c r="X300" s="857">
        <v>2.2999999999999998</v>
      </c>
      <c r="Y300" s="857">
        <f>W300*X300</f>
        <v>2.2999999999999998</v>
      </c>
      <c r="Z300" s="559">
        <f t="shared" si="57"/>
        <v>2.2999999999999998</v>
      </c>
      <c r="AA300" s="559" t="str">
        <f t="shared" si="47"/>
        <v>-</v>
      </c>
      <c r="AB300" s="1838" t="s">
        <v>1932</v>
      </c>
      <c r="AC300" s="534" t="s">
        <v>1665</v>
      </c>
      <c r="AF300" s="466"/>
      <c r="AG300" s="465"/>
      <c r="AH300" s="465"/>
    </row>
    <row r="301" spans="1:34" s="498" customFormat="1" hidden="1" x14ac:dyDescent="0.25">
      <c r="A301" s="962"/>
      <c r="B301" s="502" t="s">
        <v>1729</v>
      </c>
      <c r="C301" s="503"/>
      <c r="D301" s="903"/>
      <c r="E301" s="1031"/>
      <c r="F301" s="557"/>
      <c r="G301" s="558"/>
      <c r="H301" s="559">
        <f>SUM(H296:H300)*0.271</f>
        <v>2.9</v>
      </c>
      <c r="I301" s="857"/>
      <c r="J301" s="857"/>
      <c r="K301" s="857">
        <f>SUM(K296:K299)*0.271</f>
        <v>2.7</v>
      </c>
      <c r="L301" s="857"/>
      <c r="M301" s="857"/>
      <c r="N301" s="857">
        <f>SUM(N296:N299)*0.271</f>
        <v>2.7</v>
      </c>
      <c r="O301" s="857"/>
      <c r="P301" s="857"/>
      <c r="Q301" s="857">
        <f>SUM(Q296:Q300)*0.271</f>
        <v>2.2000000000000002</v>
      </c>
      <c r="R301" s="857">
        <f t="shared" si="56"/>
        <v>2.2000000000000002</v>
      </c>
      <c r="S301" s="857"/>
      <c r="T301" s="857"/>
      <c r="U301" s="857"/>
      <c r="V301" s="857">
        <f>SUM(V296:V300)*0.271</f>
        <v>2.2000000000000002</v>
      </c>
      <c r="W301" s="857"/>
      <c r="X301" s="857"/>
      <c r="Y301" s="857">
        <f>SUM(Y296:Y300)*0.271</f>
        <v>2.2000000000000002</v>
      </c>
      <c r="Z301" s="559">
        <f t="shared" si="57"/>
        <v>-0.5</v>
      </c>
      <c r="AA301" s="559">
        <f t="shared" si="47"/>
        <v>81.5</v>
      </c>
      <c r="AB301" s="921"/>
      <c r="AC301" s="534" t="s">
        <v>1665</v>
      </c>
      <c r="AF301" s="466"/>
      <c r="AG301" s="465"/>
      <c r="AH301" s="465"/>
    </row>
    <row r="302" spans="1:34" s="517" customFormat="1" ht="21.75" hidden="1" customHeight="1" x14ac:dyDescent="0.2">
      <c r="A302" s="487"/>
      <c r="B302" s="543" t="s">
        <v>1248</v>
      </c>
      <c r="C302" s="511"/>
      <c r="D302" s="487"/>
      <c r="E302" s="487"/>
      <c r="F302" s="821"/>
      <c r="G302" s="822"/>
      <c r="H302" s="823" t="e">
        <f>#REF!+H303+#REF!</f>
        <v>#REF!</v>
      </c>
      <c r="I302" s="915"/>
      <c r="J302" s="915"/>
      <c r="K302" s="823">
        <f>K303</f>
        <v>16.600000000000001</v>
      </c>
      <c r="L302" s="915"/>
      <c r="M302" s="915"/>
      <c r="N302" s="823">
        <f>N303</f>
        <v>16.600000000000001</v>
      </c>
      <c r="O302" s="915"/>
      <c r="P302" s="915"/>
      <c r="Q302" s="823">
        <f>Q303</f>
        <v>32.799999999999997</v>
      </c>
      <c r="R302" s="823">
        <f t="shared" si="56"/>
        <v>32.799999999999997</v>
      </c>
      <c r="S302" s="823"/>
      <c r="T302" s="915"/>
      <c r="U302" s="915"/>
      <c r="V302" s="823">
        <f>V303</f>
        <v>32.799999999999997</v>
      </c>
      <c r="W302" s="823"/>
      <c r="X302" s="823"/>
      <c r="Y302" s="823">
        <f>Y303</f>
        <v>32.799999999999997</v>
      </c>
      <c r="Z302" s="823">
        <f t="shared" si="57"/>
        <v>16.2</v>
      </c>
      <c r="AA302" s="823">
        <f t="shared" si="47"/>
        <v>197.6</v>
      </c>
      <c r="AB302" s="555"/>
      <c r="AC302" s="515"/>
      <c r="AF302" s="519"/>
      <c r="AG302" s="519"/>
      <c r="AH302" s="519"/>
    </row>
    <row r="303" spans="1:34" s="527" customFormat="1" ht="38.25" hidden="1" x14ac:dyDescent="0.2">
      <c r="A303" s="522"/>
      <c r="B303" s="916" t="s">
        <v>1664</v>
      </c>
      <c r="C303" s="521"/>
      <c r="D303" s="522" t="s">
        <v>1444</v>
      </c>
      <c r="E303" s="525"/>
      <c r="F303" s="547"/>
      <c r="G303" s="548"/>
      <c r="H303" s="1935">
        <f>H304+H309+H312+H315</f>
        <v>19.899999999999999</v>
      </c>
      <c r="I303" s="525"/>
      <c r="J303" s="525"/>
      <c r="K303" s="525">
        <f>K304+K309+K312+K315</f>
        <v>16.600000000000001</v>
      </c>
      <c r="L303" s="525"/>
      <c r="M303" s="525"/>
      <c r="N303" s="525">
        <f>N304+N309+N312+N315</f>
        <v>16.600000000000001</v>
      </c>
      <c r="O303" s="525"/>
      <c r="P303" s="525"/>
      <c r="Q303" s="525">
        <f>Q304+Q309+Q312+Q315</f>
        <v>32.799999999999997</v>
      </c>
      <c r="R303" s="525">
        <f t="shared" si="56"/>
        <v>32.799999999999997</v>
      </c>
      <c r="S303" s="525"/>
      <c r="T303" s="525"/>
      <c r="U303" s="525"/>
      <c r="V303" s="525">
        <f>V304+V309+V312+V315</f>
        <v>32.799999999999997</v>
      </c>
      <c r="W303" s="1935"/>
      <c r="X303" s="1935"/>
      <c r="Y303" s="525">
        <f>Y304+Y309+Y312+Y315</f>
        <v>32.799999999999997</v>
      </c>
      <c r="Z303" s="1935">
        <f t="shared" si="57"/>
        <v>16.2</v>
      </c>
      <c r="AA303" s="1935">
        <f t="shared" si="47"/>
        <v>197.6</v>
      </c>
      <c r="AB303" s="1936" t="s">
        <v>1920</v>
      </c>
      <c r="AC303" s="549" t="s">
        <v>1665</v>
      </c>
      <c r="AF303" s="528"/>
      <c r="AG303" s="528"/>
      <c r="AH303" s="528"/>
    </row>
    <row r="304" spans="1:34" s="492" customFormat="1" ht="14.25" hidden="1" x14ac:dyDescent="0.2">
      <c r="A304" s="1240"/>
      <c r="B304" s="500" t="s">
        <v>1233</v>
      </c>
      <c r="C304" s="501" t="s">
        <v>1230</v>
      </c>
      <c r="D304" s="1240"/>
      <c r="E304" s="854"/>
      <c r="F304" s="854"/>
      <c r="G304" s="854"/>
      <c r="H304" s="1831">
        <f>SUM(H307:H308)</f>
        <v>0</v>
      </c>
      <c r="I304" s="1831"/>
      <c r="J304" s="1831"/>
      <c r="K304" s="1831">
        <f>SUM(K307:K308)</f>
        <v>0</v>
      </c>
      <c r="L304" s="1831"/>
      <c r="M304" s="1831"/>
      <c r="N304" s="1831">
        <f>SUM(N307:N308)</f>
        <v>0</v>
      </c>
      <c r="O304" s="1831"/>
      <c r="P304" s="1831"/>
      <c r="Q304" s="1831">
        <f>SUM(Q305:Q308)</f>
        <v>13.2</v>
      </c>
      <c r="R304" s="1831">
        <f t="shared" si="56"/>
        <v>13.2</v>
      </c>
      <c r="S304" s="1831"/>
      <c r="T304" s="1831"/>
      <c r="U304" s="1831"/>
      <c r="V304" s="1831">
        <f>SUM(V305:V308)</f>
        <v>13.2</v>
      </c>
      <c r="W304" s="1831"/>
      <c r="X304" s="1831"/>
      <c r="Y304" s="1831">
        <f>SUM(Y305:Y308)</f>
        <v>13.2</v>
      </c>
      <c r="Z304" s="854">
        <f t="shared" si="57"/>
        <v>13.2</v>
      </c>
      <c r="AA304" s="854" t="str">
        <f t="shared" si="47"/>
        <v>-</v>
      </c>
      <c r="AB304" s="3517" t="s">
        <v>1916</v>
      </c>
      <c r="AC304" s="491" t="s">
        <v>1665</v>
      </c>
      <c r="AF304" s="466"/>
      <c r="AG304" s="466"/>
      <c r="AH304" s="466"/>
    </row>
    <row r="305" spans="1:34" s="492" customFormat="1" ht="14.25" hidden="1" x14ac:dyDescent="0.2">
      <c r="A305" s="1240"/>
      <c r="B305" s="1885" t="s">
        <v>1933</v>
      </c>
      <c r="C305" s="501"/>
      <c r="D305" s="1240"/>
      <c r="E305" s="535" t="s">
        <v>1837</v>
      </c>
      <c r="F305" s="854"/>
      <c r="G305" s="854"/>
      <c r="H305" s="1831"/>
      <c r="I305" s="1831"/>
      <c r="J305" s="1831"/>
      <c r="K305" s="1831"/>
      <c r="L305" s="1831"/>
      <c r="M305" s="1831"/>
      <c r="N305" s="1831"/>
      <c r="O305" s="1905">
        <v>1</v>
      </c>
      <c r="P305" s="1905">
        <v>3.5</v>
      </c>
      <c r="Q305" s="1905">
        <f>O305*P305</f>
        <v>3.5</v>
      </c>
      <c r="R305" s="1905">
        <f t="shared" si="56"/>
        <v>3.5</v>
      </c>
      <c r="S305" s="1905"/>
      <c r="T305" s="1905">
        <v>1</v>
      </c>
      <c r="U305" s="1905">
        <v>3.5</v>
      </c>
      <c r="V305" s="1905">
        <f>T305*U305</f>
        <v>3.5</v>
      </c>
      <c r="W305" s="1905">
        <v>1</v>
      </c>
      <c r="X305" s="1905">
        <v>3.5</v>
      </c>
      <c r="Y305" s="1905">
        <f>W305*X305</f>
        <v>3.5</v>
      </c>
      <c r="Z305" s="854">
        <f t="shared" si="57"/>
        <v>3.5</v>
      </c>
      <c r="AA305" s="854" t="str">
        <f t="shared" si="47"/>
        <v>-</v>
      </c>
      <c r="AB305" s="3518"/>
      <c r="AC305" s="491" t="s">
        <v>1665</v>
      </c>
      <c r="AF305" s="466"/>
      <c r="AG305" s="466"/>
      <c r="AH305" s="466"/>
    </row>
    <row r="306" spans="1:34" s="492" customFormat="1" ht="14.25" hidden="1" x14ac:dyDescent="0.2">
      <c r="A306" s="1240"/>
      <c r="B306" s="1885" t="s">
        <v>1404</v>
      </c>
      <c r="C306" s="501"/>
      <c r="D306" s="1240"/>
      <c r="E306" s="535" t="s">
        <v>318</v>
      </c>
      <c r="F306" s="854"/>
      <c r="G306" s="854"/>
      <c r="H306" s="1831"/>
      <c r="I306" s="1831"/>
      <c r="J306" s="1831"/>
      <c r="K306" s="1831"/>
      <c r="L306" s="1831"/>
      <c r="M306" s="1831"/>
      <c r="N306" s="1831"/>
      <c r="O306" s="1905">
        <v>1</v>
      </c>
      <c r="P306" s="1905">
        <v>2.2999999999999998</v>
      </c>
      <c r="Q306" s="1905">
        <f t="shared" ref="Q306:Q307" si="58">O306*P306</f>
        <v>2.2999999999999998</v>
      </c>
      <c r="R306" s="1905">
        <f t="shared" si="56"/>
        <v>2.2999999999999998</v>
      </c>
      <c r="S306" s="1905"/>
      <c r="T306" s="1905">
        <v>1</v>
      </c>
      <c r="U306" s="1905">
        <v>2.2999999999999998</v>
      </c>
      <c r="V306" s="1905">
        <f t="shared" ref="V306:V307" si="59">T306*U306</f>
        <v>2.2999999999999998</v>
      </c>
      <c r="W306" s="1905">
        <v>1</v>
      </c>
      <c r="X306" s="1905">
        <v>2.2999999999999998</v>
      </c>
      <c r="Y306" s="1905">
        <f t="shared" ref="Y306:Y307" si="60">W306*X306</f>
        <v>2.2999999999999998</v>
      </c>
      <c r="Z306" s="854">
        <f t="shared" si="57"/>
        <v>2.2999999999999998</v>
      </c>
      <c r="AA306" s="854" t="str">
        <f t="shared" ref="AA306:AA369" si="61">IFERROR(Q306/K306*100,"-")</f>
        <v>-</v>
      </c>
      <c r="AB306" s="3518"/>
      <c r="AC306" s="491" t="s">
        <v>1665</v>
      </c>
      <c r="AF306" s="466"/>
      <c r="AG306" s="466"/>
      <c r="AH306" s="466"/>
    </row>
    <row r="307" spans="1:34" s="492" customFormat="1" ht="14.25" hidden="1" x14ac:dyDescent="0.2">
      <c r="A307" s="1240"/>
      <c r="B307" s="1885" t="s">
        <v>1934</v>
      </c>
      <c r="C307" s="501"/>
      <c r="D307" s="1240"/>
      <c r="E307" s="535" t="s">
        <v>318</v>
      </c>
      <c r="F307" s="854"/>
      <c r="G307" s="854"/>
      <c r="H307" s="854"/>
      <c r="I307" s="854"/>
      <c r="J307" s="854"/>
      <c r="K307" s="854"/>
      <c r="L307" s="854"/>
      <c r="M307" s="854"/>
      <c r="N307" s="854"/>
      <c r="O307" s="1905">
        <v>2</v>
      </c>
      <c r="P307" s="1905">
        <v>2.2999999999999998</v>
      </c>
      <c r="Q307" s="1905">
        <f t="shared" si="58"/>
        <v>4.5999999999999996</v>
      </c>
      <c r="R307" s="1905">
        <f t="shared" si="56"/>
        <v>4.5999999999999996</v>
      </c>
      <c r="S307" s="1905"/>
      <c r="T307" s="1905">
        <v>2</v>
      </c>
      <c r="U307" s="1905">
        <v>2.2999999999999998</v>
      </c>
      <c r="V307" s="1905">
        <f t="shared" si="59"/>
        <v>4.5999999999999996</v>
      </c>
      <c r="W307" s="1905">
        <v>2</v>
      </c>
      <c r="X307" s="1905">
        <v>2.2999999999999998</v>
      </c>
      <c r="Y307" s="1905">
        <f t="shared" si="60"/>
        <v>4.5999999999999996</v>
      </c>
      <c r="Z307" s="854">
        <f t="shared" si="57"/>
        <v>4.5999999999999996</v>
      </c>
      <c r="AA307" s="854" t="str">
        <f t="shared" si="61"/>
        <v>-</v>
      </c>
      <c r="AB307" s="3518"/>
      <c r="AC307" s="491" t="s">
        <v>1665</v>
      </c>
      <c r="AF307" s="466"/>
      <c r="AG307" s="466"/>
      <c r="AH307" s="466"/>
    </row>
    <row r="308" spans="1:34" s="492" customFormat="1" ht="14.25" hidden="1" x14ac:dyDescent="0.2">
      <c r="A308" s="1240"/>
      <c r="B308" s="502" t="s">
        <v>1729</v>
      </c>
      <c r="C308" s="501"/>
      <c r="D308" s="1240"/>
      <c r="E308" s="854"/>
      <c r="F308" s="854"/>
      <c r="G308" s="854"/>
      <c r="H308" s="854"/>
      <c r="I308" s="854"/>
      <c r="J308" s="854"/>
      <c r="K308" s="854"/>
      <c r="L308" s="854"/>
      <c r="M308" s="854"/>
      <c r="N308" s="854"/>
      <c r="O308" s="854"/>
      <c r="P308" s="854"/>
      <c r="Q308" s="1905">
        <f>SUM(Q305:Q307)*0.271</f>
        <v>2.8</v>
      </c>
      <c r="R308" s="1905">
        <f t="shared" si="56"/>
        <v>2.8</v>
      </c>
      <c r="S308" s="1905"/>
      <c r="T308" s="854"/>
      <c r="U308" s="854"/>
      <c r="V308" s="1905">
        <f>SUM(V305:V307)*0.271</f>
        <v>2.8</v>
      </c>
      <c r="W308" s="854"/>
      <c r="X308" s="854"/>
      <c r="Y308" s="1905">
        <f>SUM(Y305:Y307)*0.271</f>
        <v>2.8</v>
      </c>
      <c r="Z308" s="854">
        <f t="shared" si="57"/>
        <v>2.8</v>
      </c>
      <c r="AA308" s="854" t="str">
        <f t="shared" si="61"/>
        <v>-</v>
      </c>
      <c r="AB308" s="3519"/>
      <c r="AC308" s="491" t="s">
        <v>1665</v>
      </c>
      <c r="AF308" s="466"/>
      <c r="AG308" s="466"/>
      <c r="AH308" s="466"/>
    </row>
    <row r="309" spans="1:34" s="492" customFormat="1" ht="25.5" hidden="1" x14ac:dyDescent="0.2">
      <c r="A309" s="1240"/>
      <c r="B309" s="500" t="s">
        <v>1239</v>
      </c>
      <c r="C309" s="501" t="s">
        <v>797</v>
      </c>
      <c r="D309" s="932"/>
      <c r="E309" s="842"/>
      <c r="F309" s="828"/>
      <c r="G309" s="829"/>
      <c r="H309" s="542">
        <f>SUM(H310:H311)</f>
        <v>4</v>
      </c>
      <c r="I309" s="533"/>
      <c r="J309" s="533"/>
      <c r="K309" s="533">
        <f>SUM(K310:K311)</f>
        <v>0.8</v>
      </c>
      <c r="L309" s="533"/>
      <c r="M309" s="533"/>
      <c r="N309" s="533">
        <f>SUM(N310:N311)</f>
        <v>0.8</v>
      </c>
      <c r="O309" s="533"/>
      <c r="P309" s="533"/>
      <c r="Q309" s="533">
        <f>SUM(Q310:Q311)</f>
        <v>1.6</v>
      </c>
      <c r="R309" s="533">
        <f t="shared" si="56"/>
        <v>1.6</v>
      </c>
      <c r="S309" s="533"/>
      <c r="T309" s="533"/>
      <c r="U309" s="533"/>
      <c r="V309" s="533">
        <f>SUM(V310:V311)</f>
        <v>1.6</v>
      </c>
      <c r="W309" s="533"/>
      <c r="X309" s="533"/>
      <c r="Y309" s="533">
        <f>SUM(Y310:Y311)</f>
        <v>1.6</v>
      </c>
      <c r="Z309" s="542">
        <f t="shared" si="57"/>
        <v>0.8</v>
      </c>
      <c r="AA309" s="542">
        <f t="shared" si="61"/>
        <v>200</v>
      </c>
      <c r="AB309" s="910"/>
      <c r="AC309" s="491" t="s">
        <v>1665</v>
      </c>
      <c r="AF309" s="466"/>
      <c r="AG309" s="466"/>
      <c r="AH309" s="466"/>
    </row>
    <row r="310" spans="1:34" s="492" customFormat="1" ht="25.5" hidden="1" x14ac:dyDescent="0.2">
      <c r="A310" s="1240"/>
      <c r="B310" s="502" t="s">
        <v>1935</v>
      </c>
      <c r="C310" s="499"/>
      <c r="D310" s="903"/>
      <c r="E310" s="1031" t="s">
        <v>227</v>
      </c>
      <c r="F310" s="557">
        <v>19</v>
      </c>
      <c r="G310" s="558">
        <v>0.1</v>
      </c>
      <c r="H310" s="559">
        <f>F310*G310</f>
        <v>1.9</v>
      </c>
      <c r="I310" s="857">
        <v>8</v>
      </c>
      <c r="J310" s="862">
        <v>0.1</v>
      </c>
      <c r="K310" s="857">
        <f>I310*J310</f>
        <v>0.8</v>
      </c>
      <c r="L310" s="857">
        <v>8</v>
      </c>
      <c r="M310" s="862">
        <v>0.1</v>
      </c>
      <c r="N310" s="857">
        <f>L310*M310</f>
        <v>0.8</v>
      </c>
      <c r="O310" s="857">
        <v>16</v>
      </c>
      <c r="P310" s="857">
        <v>0.1</v>
      </c>
      <c r="Q310" s="857">
        <f>O310*P310</f>
        <v>1.6</v>
      </c>
      <c r="R310" s="857">
        <f t="shared" si="56"/>
        <v>1.6</v>
      </c>
      <c r="S310" s="857"/>
      <c r="T310" s="857">
        <v>16</v>
      </c>
      <c r="U310" s="857">
        <v>0.1</v>
      </c>
      <c r="V310" s="857">
        <f>T310*U310</f>
        <v>1.6</v>
      </c>
      <c r="W310" s="857">
        <v>16</v>
      </c>
      <c r="X310" s="857">
        <v>0.1</v>
      </c>
      <c r="Y310" s="857">
        <f>W310*X310</f>
        <v>1.6</v>
      </c>
      <c r="Z310" s="559">
        <f t="shared" si="57"/>
        <v>0.8</v>
      </c>
      <c r="AA310" s="559">
        <f t="shared" si="61"/>
        <v>200</v>
      </c>
      <c r="AB310" s="827" t="s">
        <v>1936</v>
      </c>
      <c r="AC310" s="491" t="s">
        <v>1665</v>
      </c>
      <c r="AF310" s="466"/>
      <c r="AG310" s="466"/>
      <c r="AH310" s="466"/>
    </row>
    <row r="311" spans="1:34" s="492" customFormat="1" ht="14.25" hidden="1" x14ac:dyDescent="0.2">
      <c r="A311" s="1240"/>
      <c r="B311" s="856" t="s">
        <v>1692</v>
      </c>
      <c r="C311" s="499"/>
      <c r="D311" s="903"/>
      <c r="E311" s="1031" t="s">
        <v>227</v>
      </c>
      <c r="F311" s="557">
        <v>6</v>
      </c>
      <c r="G311" s="558">
        <v>0.35</v>
      </c>
      <c r="H311" s="559">
        <f>F311*G311</f>
        <v>2.1</v>
      </c>
      <c r="I311" s="857"/>
      <c r="J311" s="857"/>
      <c r="K311" s="857"/>
      <c r="L311" s="857"/>
      <c r="M311" s="857"/>
      <c r="N311" s="857"/>
      <c r="O311" s="857"/>
      <c r="P311" s="857"/>
      <c r="Q311" s="857"/>
      <c r="R311" s="857">
        <f t="shared" si="56"/>
        <v>0</v>
      </c>
      <c r="S311" s="857"/>
      <c r="T311" s="857"/>
      <c r="U311" s="857"/>
      <c r="V311" s="857"/>
      <c r="W311" s="857"/>
      <c r="X311" s="857"/>
      <c r="Y311" s="857"/>
      <c r="Z311" s="559">
        <f t="shared" si="57"/>
        <v>0</v>
      </c>
      <c r="AA311" s="559" t="str">
        <f t="shared" si="61"/>
        <v>-</v>
      </c>
      <c r="AB311" s="827"/>
      <c r="AC311" s="491" t="s">
        <v>1665</v>
      </c>
      <c r="AF311" s="466"/>
      <c r="AG311" s="466"/>
      <c r="AH311" s="466"/>
    </row>
    <row r="312" spans="1:34" s="498" customFormat="1" hidden="1" x14ac:dyDescent="0.25">
      <c r="A312" s="962"/>
      <c r="B312" s="500" t="s">
        <v>1937</v>
      </c>
      <c r="C312" s="501" t="s">
        <v>797</v>
      </c>
      <c r="D312" s="932"/>
      <c r="E312" s="842" t="s">
        <v>1240</v>
      </c>
      <c r="F312" s="828"/>
      <c r="G312" s="829"/>
      <c r="H312" s="542">
        <f>SUM(H313:H314)</f>
        <v>5.8</v>
      </c>
      <c r="I312" s="533"/>
      <c r="J312" s="533"/>
      <c r="K312" s="542">
        <f>SUM(K313:K314)</f>
        <v>5.8</v>
      </c>
      <c r="L312" s="533"/>
      <c r="M312" s="533"/>
      <c r="N312" s="542">
        <f>SUM(N313:N314)</f>
        <v>5.8</v>
      </c>
      <c r="O312" s="533"/>
      <c r="P312" s="533"/>
      <c r="Q312" s="533">
        <f>SUM(Q313:Q314)</f>
        <v>2</v>
      </c>
      <c r="R312" s="533">
        <f t="shared" si="56"/>
        <v>2</v>
      </c>
      <c r="S312" s="533"/>
      <c r="T312" s="533"/>
      <c r="U312" s="533"/>
      <c r="V312" s="533">
        <f>SUM(V313:V314)</f>
        <v>2</v>
      </c>
      <c r="W312" s="533"/>
      <c r="X312" s="533"/>
      <c r="Y312" s="533">
        <f>SUM(Y313:Y314)</f>
        <v>2</v>
      </c>
      <c r="Z312" s="542">
        <f t="shared" si="57"/>
        <v>-3.8</v>
      </c>
      <c r="AA312" s="542">
        <f t="shared" si="61"/>
        <v>34.5</v>
      </c>
      <c r="AB312" s="827"/>
      <c r="AC312" s="491" t="s">
        <v>1665</v>
      </c>
      <c r="AF312" s="466"/>
      <c r="AG312" s="465"/>
      <c r="AH312" s="465"/>
    </row>
    <row r="313" spans="1:34" s="498" customFormat="1" hidden="1" x14ac:dyDescent="0.25">
      <c r="A313" s="962"/>
      <c r="B313" s="502" t="s">
        <v>1909</v>
      </c>
      <c r="C313" s="497"/>
      <c r="F313" s="857">
        <v>29</v>
      </c>
      <c r="G313" s="857">
        <v>0.2</v>
      </c>
      <c r="H313" s="857">
        <f>F313*G313</f>
        <v>5.8</v>
      </c>
      <c r="I313" s="857">
        <v>29</v>
      </c>
      <c r="J313" s="857">
        <v>0.2</v>
      </c>
      <c r="K313" s="857">
        <f>I313*J313</f>
        <v>5.8</v>
      </c>
      <c r="L313" s="857">
        <v>29</v>
      </c>
      <c r="M313" s="857">
        <v>0.2</v>
      </c>
      <c r="N313" s="857">
        <f>L313*M313</f>
        <v>5.8</v>
      </c>
      <c r="O313" s="857"/>
      <c r="P313" s="857"/>
      <c r="Q313" s="857"/>
      <c r="R313" s="857">
        <f t="shared" si="56"/>
        <v>0</v>
      </c>
      <c r="S313" s="857"/>
      <c r="T313" s="857"/>
      <c r="U313" s="857"/>
      <c r="V313" s="857"/>
      <c r="W313" s="857"/>
      <c r="X313" s="857"/>
      <c r="Y313" s="857"/>
      <c r="Z313" s="542">
        <f t="shared" si="57"/>
        <v>-5.8</v>
      </c>
      <c r="AA313" s="542">
        <f t="shared" si="61"/>
        <v>0</v>
      </c>
      <c r="AB313" s="827"/>
      <c r="AC313" s="491" t="s">
        <v>1665</v>
      </c>
      <c r="AF313" s="466"/>
      <c r="AG313" s="465"/>
      <c r="AH313" s="465"/>
    </row>
    <row r="314" spans="1:34" s="498" customFormat="1" ht="25.5" hidden="1" x14ac:dyDescent="0.25">
      <c r="A314" s="962"/>
      <c r="B314" s="502" t="s">
        <v>1938</v>
      </c>
      <c r="C314" s="499"/>
      <c r="D314" s="903"/>
      <c r="E314" s="1031"/>
      <c r="F314" s="857"/>
      <c r="G314" s="857"/>
      <c r="H314" s="857"/>
      <c r="I314" s="857"/>
      <c r="J314" s="857"/>
      <c r="K314" s="857"/>
      <c r="L314" s="857"/>
      <c r="M314" s="857"/>
      <c r="N314" s="857"/>
      <c r="O314" s="857">
        <v>1</v>
      </c>
      <c r="P314" s="857">
        <v>2</v>
      </c>
      <c r="Q314" s="857">
        <f>O314*P314</f>
        <v>2</v>
      </c>
      <c r="R314" s="857">
        <f t="shared" si="56"/>
        <v>2</v>
      </c>
      <c r="S314" s="857"/>
      <c r="T314" s="857">
        <v>1</v>
      </c>
      <c r="U314" s="857">
        <v>2</v>
      </c>
      <c r="V314" s="857">
        <f>T314*U314</f>
        <v>2</v>
      </c>
      <c r="W314" s="857">
        <v>1</v>
      </c>
      <c r="X314" s="857">
        <v>2</v>
      </c>
      <c r="Y314" s="857">
        <f>W314*X314</f>
        <v>2</v>
      </c>
      <c r="Z314" s="542">
        <f t="shared" si="57"/>
        <v>2</v>
      </c>
      <c r="AA314" s="542" t="str">
        <f t="shared" si="61"/>
        <v>-</v>
      </c>
      <c r="AB314" s="827" t="s">
        <v>1939</v>
      </c>
      <c r="AC314" s="491" t="s">
        <v>1665</v>
      </c>
      <c r="AF314" s="466"/>
      <c r="AG314" s="465"/>
      <c r="AH314" s="465"/>
    </row>
    <row r="315" spans="1:34" s="492" customFormat="1" ht="25.5" x14ac:dyDescent="0.2">
      <c r="A315" s="1240"/>
      <c r="B315" s="500" t="s">
        <v>1940</v>
      </c>
      <c r="C315" s="501" t="s">
        <v>796</v>
      </c>
      <c r="D315" s="932"/>
      <c r="E315" s="842"/>
      <c r="F315" s="828">
        <v>53</v>
      </c>
      <c r="G315" s="829">
        <v>0.19</v>
      </c>
      <c r="H315" s="542">
        <f>F315*G315</f>
        <v>10.1</v>
      </c>
      <c r="I315" s="533">
        <v>100</v>
      </c>
      <c r="J315" s="533">
        <v>0.1</v>
      </c>
      <c r="K315" s="533">
        <f>I315*J315</f>
        <v>10</v>
      </c>
      <c r="L315" s="533">
        <v>100</v>
      </c>
      <c r="M315" s="533">
        <v>0.1</v>
      </c>
      <c r="N315" s="533">
        <f>L315*M315</f>
        <v>10</v>
      </c>
      <c r="O315" s="533">
        <v>40</v>
      </c>
      <c r="P315" s="533">
        <v>0.4</v>
      </c>
      <c r="Q315" s="533">
        <f>O315*P315</f>
        <v>16</v>
      </c>
      <c r="R315" s="533">
        <f t="shared" si="56"/>
        <v>16</v>
      </c>
      <c r="S315" s="533"/>
      <c r="T315" s="533">
        <v>40</v>
      </c>
      <c r="U315" s="533">
        <v>0.4</v>
      </c>
      <c r="V315" s="533">
        <f>T315*U315</f>
        <v>16</v>
      </c>
      <c r="W315" s="533">
        <v>40</v>
      </c>
      <c r="X315" s="533">
        <v>0.4</v>
      </c>
      <c r="Y315" s="533">
        <f>W315*X315</f>
        <v>16</v>
      </c>
      <c r="Z315" s="542">
        <f t="shared" si="57"/>
        <v>6</v>
      </c>
      <c r="AA315" s="542">
        <f t="shared" si="61"/>
        <v>160</v>
      </c>
      <c r="AB315" s="843" t="s">
        <v>1941</v>
      </c>
      <c r="AC315" s="491" t="s">
        <v>1665</v>
      </c>
      <c r="AF315" s="466"/>
      <c r="AG315" s="466"/>
      <c r="AH315" s="466"/>
    </row>
    <row r="316" spans="1:34" s="517" customFormat="1" ht="14.25" hidden="1" x14ac:dyDescent="0.2">
      <c r="A316" s="487"/>
      <c r="B316" s="510" t="s">
        <v>1249</v>
      </c>
      <c r="C316" s="511"/>
      <c r="D316" s="487"/>
      <c r="E316" s="487"/>
      <c r="F316" s="488"/>
      <c r="G316" s="489"/>
      <c r="H316" s="490" t="e">
        <f>#REF!+H317+#REF!</f>
        <v>#REF!</v>
      </c>
      <c r="I316" s="847"/>
      <c r="J316" s="847"/>
      <c r="K316" s="490">
        <f>K317</f>
        <v>28.6</v>
      </c>
      <c r="L316" s="847"/>
      <c r="M316" s="847"/>
      <c r="N316" s="490">
        <f>N317</f>
        <v>28.6</v>
      </c>
      <c r="O316" s="847"/>
      <c r="P316" s="847"/>
      <c r="Q316" s="490">
        <f>Q317</f>
        <v>37.5</v>
      </c>
      <c r="R316" s="490">
        <f t="shared" si="56"/>
        <v>37.5</v>
      </c>
      <c r="S316" s="490"/>
      <c r="T316" s="847"/>
      <c r="U316" s="847"/>
      <c r="V316" s="490">
        <f>V317</f>
        <v>37.5</v>
      </c>
      <c r="W316" s="490"/>
      <c r="X316" s="490"/>
      <c r="Y316" s="490">
        <f>Y317</f>
        <v>37.5</v>
      </c>
      <c r="Z316" s="490">
        <f t="shared" si="57"/>
        <v>8.9</v>
      </c>
      <c r="AA316" s="490">
        <f t="shared" si="61"/>
        <v>131.1</v>
      </c>
      <c r="AB316" s="555"/>
      <c r="AC316" s="515"/>
      <c r="AF316" s="519"/>
      <c r="AG316" s="519"/>
      <c r="AH316" s="519"/>
    </row>
    <row r="317" spans="1:34" s="527" customFormat="1" ht="38.25" hidden="1" x14ac:dyDescent="0.2">
      <c r="A317" s="522"/>
      <c r="B317" s="858" t="s">
        <v>1700</v>
      </c>
      <c r="C317" s="859"/>
      <c r="D317" s="522" t="s">
        <v>1444</v>
      </c>
      <c r="E317" s="860"/>
      <c r="F317" s="523"/>
      <c r="G317" s="524"/>
      <c r="H317" s="526">
        <f>H318+H324+H329+H333</f>
        <v>48.4</v>
      </c>
      <c r="I317" s="526"/>
      <c r="J317" s="526"/>
      <c r="K317" s="526">
        <f>K318+K324+K329+K333</f>
        <v>28.6</v>
      </c>
      <c r="L317" s="526"/>
      <c r="M317" s="526"/>
      <c r="N317" s="526">
        <f>N318+N324+N329+N333</f>
        <v>28.6</v>
      </c>
      <c r="O317" s="526"/>
      <c r="P317" s="526"/>
      <c r="Q317" s="526">
        <f>Q318+Q324+Q329+Q333</f>
        <v>37.5</v>
      </c>
      <c r="R317" s="526">
        <f t="shared" si="56"/>
        <v>37.5</v>
      </c>
      <c r="S317" s="526"/>
      <c r="T317" s="526"/>
      <c r="U317" s="526"/>
      <c r="V317" s="526">
        <f>V318+V324+V329+V333</f>
        <v>37.5</v>
      </c>
      <c r="W317" s="526"/>
      <c r="X317" s="526"/>
      <c r="Y317" s="526">
        <f>Y318+Y324+Y329+Y333</f>
        <v>37.5</v>
      </c>
      <c r="Z317" s="526">
        <f t="shared" si="57"/>
        <v>8.9</v>
      </c>
      <c r="AA317" s="526">
        <f t="shared" si="61"/>
        <v>131.1</v>
      </c>
      <c r="AB317" s="849"/>
      <c r="AC317" s="549" t="s">
        <v>1665</v>
      </c>
      <c r="AF317" s="528"/>
      <c r="AG317" s="528"/>
      <c r="AH317" s="528"/>
    </row>
    <row r="318" spans="1:34" s="492" customFormat="1" ht="14.25" hidden="1" x14ac:dyDescent="0.2">
      <c r="A318" s="1240"/>
      <c r="B318" s="507" t="s">
        <v>1242</v>
      </c>
      <c r="C318" s="508" t="s">
        <v>1230</v>
      </c>
      <c r="D318" s="932"/>
      <c r="E318" s="493"/>
      <c r="F318" s="828"/>
      <c r="G318" s="829"/>
      <c r="H318" s="542">
        <f>SUM(H319:H323)</f>
        <v>13.2</v>
      </c>
      <c r="I318" s="533"/>
      <c r="J318" s="533"/>
      <c r="K318" s="533">
        <f>SUM(K319:K323)</f>
        <v>12.2</v>
      </c>
      <c r="L318" s="533"/>
      <c r="M318" s="533"/>
      <c r="N318" s="533">
        <f>SUM(N319:N323)</f>
        <v>12.2</v>
      </c>
      <c r="O318" s="533"/>
      <c r="P318" s="533"/>
      <c r="Q318" s="533">
        <f>SUM(Q319:Q323)</f>
        <v>13.5</v>
      </c>
      <c r="R318" s="533">
        <f t="shared" si="56"/>
        <v>13.5</v>
      </c>
      <c r="S318" s="533"/>
      <c r="T318" s="533"/>
      <c r="U318" s="533"/>
      <c r="V318" s="533">
        <f>SUM(V319:V323)</f>
        <v>13.5</v>
      </c>
      <c r="W318" s="533"/>
      <c r="X318" s="533"/>
      <c r="Y318" s="533">
        <f>SUM(Y319:Y323)</f>
        <v>13.5</v>
      </c>
      <c r="Z318" s="542">
        <f t="shared" si="57"/>
        <v>1.3</v>
      </c>
      <c r="AA318" s="542">
        <f t="shared" si="61"/>
        <v>110.7</v>
      </c>
      <c r="AB318" s="1030"/>
      <c r="AC318" s="491" t="s">
        <v>1665</v>
      </c>
      <c r="AF318" s="466"/>
      <c r="AG318" s="466"/>
      <c r="AH318" s="466"/>
    </row>
    <row r="319" spans="1:34" s="498" customFormat="1" hidden="1" x14ac:dyDescent="0.25">
      <c r="A319" s="962"/>
      <c r="B319" s="856" t="s">
        <v>1942</v>
      </c>
      <c r="C319" s="499"/>
      <c r="D319" s="903"/>
      <c r="E319" s="855" t="s">
        <v>318</v>
      </c>
      <c r="F319" s="557">
        <v>1</v>
      </c>
      <c r="G319" s="558">
        <v>3.45</v>
      </c>
      <c r="H319" s="559">
        <f>F319*G319</f>
        <v>3.5</v>
      </c>
      <c r="I319" s="857">
        <v>1</v>
      </c>
      <c r="J319" s="857">
        <v>3.5</v>
      </c>
      <c r="K319" s="857">
        <f>I319*J319</f>
        <v>3.5</v>
      </c>
      <c r="L319" s="857">
        <v>1</v>
      </c>
      <c r="M319" s="857">
        <v>3.5</v>
      </c>
      <c r="N319" s="857">
        <f>L319*M319</f>
        <v>3.5</v>
      </c>
      <c r="O319" s="857">
        <v>1</v>
      </c>
      <c r="P319" s="857">
        <v>3.5</v>
      </c>
      <c r="Q319" s="857">
        <f>O319*P319</f>
        <v>3.5</v>
      </c>
      <c r="R319" s="857">
        <f t="shared" si="56"/>
        <v>3.5</v>
      </c>
      <c r="S319" s="857"/>
      <c r="T319" s="857">
        <v>1</v>
      </c>
      <c r="U319" s="857">
        <v>3.5</v>
      </c>
      <c r="V319" s="857">
        <f>T319*U319</f>
        <v>3.5</v>
      </c>
      <c r="W319" s="857">
        <v>1</v>
      </c>
      <c r="X319" s="857">
        <v>3.5</v>
      </c>
      <c r="Y319" s="857">
        <f>W319*X319</f>
        <v>3.5</v>
      </c>
      <c r="Z319" s="559">
        <f t="shared" si="57"/>
        <v>0</v>
      </c>
      <c r="AA319" s="559">
        <f t="shared" si="61"/>
        <v>100</v>
      </c>
      <c r="AB319" s="900"/>
      <c r="AC319" s="491" t="s">
        <v>1665</v>
      </c>
      <c r="AF319" s="466"/>
      <c r="AG319" s="465"/>
      <c r="AH319" s="465"/>
    </row>
    <row r="320" spans="1:34" s="498" customFormat="1" hidden="1" x14ac:dyDescent="0.25">
      <c r="A320" s="962"/>
      <c r="B320" s="856" t="s">
        <v>1943</v>
      </c>
      <c r="C320" s="499"/>
      <c r="D320" s="903"/>
      <c r="E320" s="855" t="s">
        <v>318</v>
      </c>
      <c r="F320" s="557">
        <v>1</v>
      </c>
      <c r="G320" s="558">
        <v>2.2999999999999998</v>
      </c>
      <c r="H320" s="559">
        <f>F320*G320</f>
        <v>2.2999999999999998</v>
      </c>
      <c r="I320" s="857">
        <v>1</v>
      </c>
      <c r="J320" s="857">
        <v>1.5</v>
      </c>
      <c r="K320" s="857">
        <f>I320*J320</f>
        <v>1.5</v>
      </c>
      <c r="L320" s="857">
        <v>1</v>
      </c>
      <c r="M320" s="857">
        <v>1.5</v>
      </c>
      <c r="N320" s="857">
        <f>L320*M320</f>
        <v>1.5</v>
      </c>
      <c r="O320" s="857"/>
      <c r="P320" s="857"/>
      <c r="Q320" s="857"/>
      <c r="R320" s="857">
        <f t="shared" si="56"/>
        <v>0</v>
      </c>
      <c r="S320" s="857"/>
      <c r="T320" s="857"/>
      <c r="U320" s="857"/>
      <c r="V320" s="857"/>
      <c r="W320" s="857"/>
      <c r="X320" s="857"/>
      <c r="Y320" s="857"/>
      <c r="Z320" s="559">
        <f t="shared" si="57"/>
        <v>-1.5</v>
      </c>
      <c r="AA320" s="559">
        <f t="shared" si="61"/>
        <v>0</v>
      </c>
      <c r="AB320" s="900"/>
      <c r="AC320" s="491" t="s">
        <v>1665</v>
      </c>
      <c r="AF320" s="466"/>
      <c r="AG320" s="465"/>
      <c r="AH320" s="465"/>
    </row>
    <row r="321" spans="1:34" s="498" customFormat="1" ht="76.5" hidden="1" x14ac:dyDescent="0.25">
      <c r="A321" s="962"/>
      <c r="B321" s="856" t="s">
        <v>1944</v>
      </c>
      <c r="C321" s="499"/>
      <c r="D321" s="903"/>
      <c r="E321" s="855"/>
      <c r="F321" s="557"/>
      <c r="G321" s="558"/>
      <c r="H321" s="559"/>
      <c r="I321" s="857"/>
      <c r="J321" s="857"/>
      <c r="K321" s="857"/>
      <c r="L321" s="857"/>
      <c r="M321" s="857"/>
      <c r="N321" s="857"/>
      <c r="O321" s="857">
        <v>1</v>
      </c>
      <c r="P321" s="857">
        <v>2.5</v>
      </c>
      <c r="Q321" s="857">
        <f>O321*P321</f>
        <v>2.5</v>
      </c>
      <c r="R321" s="857">
        <f t="shared" si="56"/>
        <v>2.5</v>
      </c>
      <c r="S321" s="857"/>
      <c r="T321" s="857">
        <v>1</v>
      </c>
      <c r="U321" s="857">
        <v>2.5</v>
      </c>
      <c r="V321" s="857">
        <f>T321*U321</f>
        <v>2.5</v>
      </c>
      <c r="W321" s="857">
        <v>1</v>
      </c>
      <c r="X321" s="857">
        <v>2.5</v>
      </c>
      <c r="Y321" s="857">
        <f>W321*X321</f>
        <v>2.5</v>
      </c>
      <c r="Z321" s="559">
        <f t="shared" si="57"/>
        <v>2.5</v>
      </c>
      <c r="AA321" s="559" t="str">
        <f t="shared" si="61"/>
        <v>-</v>
      </c>
      <c r="AB321" s="900" t="s">
        <v>1945</v>
      </c>
      <c r="AC321" s="491" t="s">
        <v>1665</v>
      </c>
      <c r="AF321" s="466"/>
      <c r="AG321" s="465"/>
      <c r="AH321" s="465"/>
    </row>
    <row r="322" spans="1:34" s="498" customFormat="1" hidden="1" x14ac:dyDescent="0.25">
      <c r="A322" s="962"/>
      <c r="B322" s="856" t="s">
        <v>1404</v>
      </c>
      <c r="C322" s="499"/>
      <c r="D322" s="903"/>
      <c r="E322" s="855" t="s">
        <v>318</v>
      </c>
      <c r="F322" s="557">
        <v>2</v>
      </c>
      <c r="G322" s="558">
        <v>2.2999999999999998</v>
      </c>
      <c r="H322" s="559">
        <f>F322*G322</f>
        <v>4.5999999999999996</v>
      </c>
      <c r="I322" s="857">
        <v>2</v>
      </c>
      <c r="J322" s="857">
        <v>2.2999999999999998</v>
      </c>
      <c r="K322" s="857">
        <f>I322*J322</f>
        <v>4.5999999999999996</v>
      </c>
      <c r="L322" s="857">
        <v>2</v>
      </c>
      <c r="M322" s="857">
        <v>2.2999999999999998</v>
      </c>
      <c r="N322" s="857">
        <f>L322*M322</f>
        <v>4.5999999999999996</v>
      </c>
      <c r="O322" s="857">
        <v>2</v>
      </c>
      <c r="P322" s="857">
        <v>2.2999999999999998</v>
      </c>
      <c r="Q322" s="857">
        <f>O322*P322</f>
        <v>4.5999999999999996</v>
      </c>
      <c r="R322" s="857">
        <f t="shared" si="56"/>
        <v>4.5999999999999996</v>
      </c>
      <c r="S322" s="857"/>
      <c r="T322" s="857">
        <v>2</v>
      </c>
      <c r="U322" s="857">
        <v>2.2999999999999998</v>
      </c>
      <c r="V322" s="857">
        <f>T322*U322</f>
        <v>4.5999999999999996</v>
      </c>
      <c r="W322" s="857">
        <v>2</v>
      </c>
      <c r="X322" s="857">
        <v>2.2999999999999998</v>
      </c>
      <c r="Y322" s="857">
        <f>W322*X322</f>
        <v>4.5999999999999996</v>
      </c>
      <c r="Z322" s="559">
        <f t="shared" si="57"/>
        <v>0</v>
      </c>
      <c r="AA322" s="559">
        <f t="shared" si="61"/>
        <v>100</v>
      </c>
      <c r="AB322" s="900"/>
      <c r="AC322" s="491" t="s">
        <v>1665</v>
      </c>
      <c r="AF322" s="466"/>
      <c r="AG322" s="465"/>
      <c r="AH322" s="465"/>
    </row>
    <row r="323" spans="1:34" s="498" customFormat="1" hidden="1" x14ac:dyDescent="0.25">
      <c r="A323" s="962"/>
      <c r="B323" s="506" t="s">
        <v>842</v>
      </c>
      <c r="C323" s="499"/>
      <c r="D323" s="903"/>
      <c r="E323" s="855"/>
      <c r="F323" s="557"/>
      <c r="G323" s="558"/>
      <c r="H323" s="559">
        <f>(H319+H320+H322)*27.1/100</f>
        <v>2.8</v>
      </c>
      <c r="I323" s="857"/>
      <c r="J323" s="857"/>
      <c r="K323" s="857">
        <f>(K319+K320+K322)*27.1/100</f>
        <v>2.6</v>
      </c>
      <c r="L323" s="857"/>
      <c r="M323" s="857"/>
      <c r="N323" s="857">
        <f>(N319+N320+N322)*27.1/100</f>
        <v>2.6</v>
      </c>
      <c r="O323" s="857"/>
      <c r="P323" s="857"/>
      <c r="Q323" s="857">
        <f>(Q319+Q320+Q322+Q321)*27.1/100</f>
        <v>2.9</v>
      </c>
      <c r="R323" s="857">
        <f t="shared" si="56"/>
        <v>2.9</v>
      </c>
      <c r="S323" s="857"/>
      <c r="T323" s="857"/>
      <c r="U323" s="857"/>
      <c r="V323" s="857">
        <f>(V319+V320+V322+V321)*27.1/100</f>
        <v>2.9</v>
      </c>
      <c r="W323" s="857"/>
      <c r="X323" s="857"/>
      <c r="Y323" s="857">
        <f>(Y319+Y320+Y322+Y321)*27.1/100</f>
        <v>2.9</v>
      </c>
      <c r="Z323" s="559">
        <f t="shared" si="57"/>
        <v>0.3</v>
      </c>
      <c r="AA323" s="559">
        <f t="shared" si="61"/>
        <v>111.5</v>
      </c>
      <c r="AB323" s="900"/>
      <c r="AC323" s="491" t="s">
        <v>1665</v>
      </c>
      <c r="AF323" s="466"/>
      <c r="AG323" s="465"/>
      <c r="AH323" s="465"/>
    </row>
    <row r="324" spans="1:34" s="492" customFormat="1" ht="14.25" hidden="1" x14ac:dyDescent="0.2">
      <c r="A324" s="1240"/>
      <c r="B324" s="507" t="s">
        <v>1707</v>
      </c>
      <c r="C324" s="508" t="s">
        <v>797</v>
      </c>
      <c r="D324" s="932"/>
      <c r="E324" s="493"/>
      <c r="F324" s="828"/>
      <c r="G324" s="829"/>
      <c r="H324" s="542">
        <f>SUM(H325:H328)</f>
        <v>11.2</v>
      </c>
      <c r="I324" s="533"/>
      <c r="J324" s="533"/>
      <c r="K324" s="533">
        <f>SUM(K325:K328)</f>
        <v>1.2</v>
      </c>
      <c r="L324" s="533"/>
      <c r="M324" s="533"/>
      <c r="N324" s="533">
        <f>SUM(N325:N328)</f>
        <v>1.2</v>
      </c>
      <c r="O324" s="533"/>
      <c r="P324" s="533"/>
      <c r="Q324" s="533">
        <f>SUM(Q325:Q328)</f>
        <v>2</v>
      </c>
      <c r="R324" s="533">
        <f t="shared" si="56"/>
        <v>2</v>
      </c>
      <c r="S324" s="533"/>
      <c r="T324" s="533"/>
      <c r="U324" s="533"/>
      <c r="V324" s="533">
        <f>SUM(V325:V328)</f>
        <v>2</v>
      </c>
      <c r="W324" s="533"/>
      <c r="X324" s="533"/>
      <c r="Y324" s="533">
        <f>SUM(Y325:Y328)</f>
        <v>2</v>
      </c>
      <c r="Z324" s="542">
        <f t="shared" si="57"/>
        <v>0.8</v>
      </c>
      <c r="AA324" s="542">
        <f t="shared" si="61"/>
        <v>166.7</v>
      </c>
      <c r="AB324" s="900"/>
      <c r="AC324" s="491" t="s">
        <v>1665</v>
      </c>
      <c r="AF324" s="466"/>
      <c r="AG324" s="466"/>
      <c r="AH324" s="466"/>
    </row>
    <row r="325" spans="1:34" s="498" customFormat="1" hidden="1" x14ac:dyDescent="0.25">
      <c r="A325" s="962"/>
      <c r="B325" s="856" t="s">
        <v>1946</v>
      </c>
      <c r="C325" s="499"/>
      <c r="D325" s="903"/>
      <c r="E325" s="855" t="s">
        <v>227</v>
      </c>
      <c r="F325" s="557">
        <v>6</v>
      </c>
      <c r="G325" s="558">
        <v>0.35</v>
      </c>
      <c r="H325" s="559">
        <f>F325*G325</f>
        <v>2.1</v>
      </c>
      <c r="I325" s="857"/>
      <c r="J325" s="857"/>
      <c r="K325" s="857">
        <f>I325*J325</f>
        <v>0</v>
      </c>
      <c r="L325" s="857"/>
      <c r="M325" s="857"/>
      <c r="N325" s="857">
        <f>L325*M325</f>
        <v>0</v>
      </c>
      <c r="O325" s="857"/>
      <c r="P325" s="857"/>
      <c r="Q325" s="857"/>
      <c r="R325" s="857">
        <f t="shared" si="56"/>
        <v>0</v>
      </c>
      <c r="S325" s="857"/>
      <c r="T325" s="857"/>
      <c r="U325" s="857"/>
      <c r="V325" s="857"/>
      <c r="W325" s="857"/>
      <c r="X325" s="857"/>
      <c r="Y325" s="857"/>
      <c r="Z325" s="559">
        <f t="shared" si="57"/>
        <v>0</v>
      </c>
      <c r="AA325" s="559" t="str">
        <f t="shared" si="61"/>
        <v>-</v>
      </c>
      <c r="AB325" s="900"/>
      <c r="AC325" s="491" t="s">
        <v>1665</v>
      </c>
      <c r="AF325" s="466"/>
      <c r="AG325" s="465"/>
      <c r="AH325" s="465"/>
    </row>
    <row r="326" spans="1:34" s="498" customFormat="1" ht="38.25" hidden="1" x14ac:dyDescent="0.25">
      <c r="A326" s="962"/>
      <c r="B326" s="502" t="s">
        <v>1708</v>
      </c>
      <c r="C326" s="499"/>
      <c r="D326" s="903"/>
      <c r="E326" s="855" t="s">
        <v>227</v>
      </c>
      <c r="F326" s="557">
        <v>26</v>
      </c>
      <c r="G326" s="558">
        <v>0.1</v>
      </c>
      <c r="H326" s="559">
        <f>F326*G326</f>
        <v>2.6</v>
      </c>
      <c r="I326" s="857">
        <v>12</v>
      </c>
      <c r="J326" s="862">
        <v>0.1</v>
      </c>
      <c r="K326" s="857">
        <f>I326*J326</f>
        <v>1.2</v>
      </c>
      <c r="L326" s="857">
        <v>12</v>
      </c>
      <c r="M326" s="862">
        <v>0.1</v>
      </c>
      <c r="N326" s="857">
        <f>L326*M326</f>
        <v>1.2</v>
      </c>
      <c r="O326" s="857">
        <v>20</v>
      </c>
      <c r="P326" s="857">
        <v>0.1</v>
      </c>
      <c r="Q326" s="857">
        <f>O326*P326</f>
        <v>2</v>
      </c>
      <c r="R326" s="857">
        <f t="shared" si="56"/>
        <v>2</v>
      </c>
      <c r="S326" s="857"/>
      <c r="T326" s="857">
        <v>20</v>
      </c>
      <c r="U326" s="857">
        <v>0.1</v>
      </c>
      <c r="V326" s="857">
        <f>T326*U326</f>
        <v>2</v>
      </c>
      <c r="W326" s="857">
        <v>20</v>
      </c>
      <c r="X326" s="857">
        <v>0.1</v>
      </c>
      <c r="Y326" s="857">
        <f>W326*X326</f>
        <v>2</v>
      </c>
      <c r="Z326" s="559">
        <f t="shared" si="57"/>
        <v>0.8</v>
      </c>
      <c r="AA326" s="559">
        <f t="shared" si="61"/>
        <v>166.7</v>
      </c>
      <c r="AB326" s="827" t="s">
        <v>1947</v>
      </c>
      <c r="AC326" s="491" t="s">
        <v>1665</v>
      </c>
      <c r="AF326" s="466"/>
      <c r="AG326" s="465"/>
      <c r="AH326" s="465"/>
    </row>
    <row r="327" spans="1:34" s="498" customFormat="1" hidden="1" x14ac:dyDescent="0.25">
      <c r="A327" s="962"/>
      <c r="B327" s="856" t="s">
        <v>1369</v>
      </c>
      <c r="C327" s="499"/>
      <c r="D327" s="903"/>
      <c r="E327" s="855" t="s">
        <v>227</v>
      </c>
      <c r="F327" s="557">
        <v>6</v>
      </c>
      <c r="G327" s="558">
        <v>0.75</v>
      </c>
      <c r="H327" s="559">
        <f>F327*G327</f>
        <v>4.5</v>
      </c>
      <c r="I327" s="857"/>
      <c r="J327" s="857"/>
      <c r="K327" s="857">
        <f>I327*J327</f>
        <v>0</v>
      </c>
      <c r="L327" s="857"/>
      <c r="M327" s="857"/>
      <c r="N327" s="857">
        <f>L327*M327</f>
        <v>0</v>
      </c>
      <c r="O327" s="857"/>
      <c r="P327" s="857"/>
      <c r="Q327" s="857"/>
      <c r="R327" s="857">
        <f t="shared" si="56"/>
        <v>0</v>
      </c>
      <c r="S327" s="857"/>
      <c r="T327" s="857"/>
      <c r="U327" s="857"/>
      <c r="V327" s="857"/>
      <c r="W327" s="857"/>
      <c r="X327" s="857"/>
      <c r="Y327" s="857"/>
      <c r="Z327" s="559">
        <f t="shared" si="57"/>
        <v>0</v>
      </c>
      <c r="AA327" s="559" t="str">
        <f t="shared" si="61"/>
        <v>-</v>
      </c>
      <c r="AB327" s="1029"/>
      <c r="AC327" s="491" t="s">
        <v>1665</v>
      </c>
      <c r="AF327" s="466"/>
      <c r="AG327" s="465"/>
      <c r="AH327" s="465"/>
    </row>
    <row r="328" spans="1:34" s="498" customFormat="1" hidden="1" x14ac:dyDescent="0.25">
      <c r="A328" s="962"/>
      <c r="B328" s="856" t="s">
        <v>1948</v>
      </c>
      <c r="C328" s="499"/>
      <c r="D328" s="903"/>
      <c r="E328" s="855" t="s">
        <v>227</v>
      </c>
      <c r="F328" s="557">
        <v>1</v>
      </c>
      <c r="G328" s="558">
        <v>2</v>
      </c>
      <c r="H328" s="559">
        <f>F328*G328</f>
        <v>2</v>
      </c>
      <c r="I328" s="857"/>
      <c r="J328" s="857"/>
      <c r="K328" s="857">
        <f>I328*J328</f>
        <v>0</v>
      </c>
      <c r="L328" s="857"/>
      <c r="M328" s="857"/>
      <c r="N328" s="857">
        <f>L328*M328</f>
        <v>0</v>
      </c>
      <c r="O328" s="857"/>
      <c r="P328" s="857"/>
      <c r="Q328" s="857"/>
      <c r="R328" s="857">
        <f t="shared" si="56"/>
        <v>0</v>
      </c>
      <c r="S328" s="857"/>
      <c r="T328" s="857"/>
      <c r="U328" s="857"/>
      <c r="V328" s="857"/>
      <c r="W328" s="857"/>
      <c r="X328" s="857"/>
      <c r="Y328" s="857"/>
      <c r="Z328" s="559">
        <f t="shared" si="57"/>
        <v>0</v>
      </c>
      <c r="AA328" s="559" t="str">
        <f t="shared" si="61"/>
        <v>-</v>
      </c>
      <c r="AB328" s="1029"/>
      <c r="AC328" s="491" t="s">
        <v>1665</v>
      </c>
      <c r="AF328" s="466"/>
      <c r="AG328" s="465"/>
      <c r="AH328" s="465"/>
    </row>
    <row r="329" spans="1:34" s="492" customFormat="1" ht="14.25" hidden="1" x14ac:dyDescent="0.2">
      <c r="A329" s="1240"/>
      <c r="B329" s="507" t="s">
        <v>1226</v>
      </c>
      <c r="C329" s="508" t="s">
        <v>797</v>
      </c>
      <c r="D329" s="932"/>
      <c r="E329" s="493"/>
      <c r="F329" s="828"/>
      <c r="G329" s="829"/>
      <c r="H329" s="542">
        <f>SUM(H330:H332)</f>
        <v>17.2</v>
      </c>
      <c r="I329" s="533"/>
      <c r="J329" s="533"/>
      <c r="K329" s="533">
        <f>SUM(K330:K332)</f>
        <v>11.2</v>
      </c>
      <c r="L329" s="533"/>
      <c r="M329" s="533"/>
      <c r="N329" s="533">
        <f>SUM(N330:N332)</f>
        <v>11.2</v>
      </c>
      <c r="O329" s="533"/>
      <c r="P329" s="533"/>
      <c r="Q329" s="533">
        <f>SUM(Q330:Q332)</f>
        <v>15</v>
      </c>
      <c r="R329" s="533">
        <f t="shared" si="56"/>
        <v>15</v>
      </c>
      <c r="S329" s="533"/>
      <c r="T329" s="533"/>
      <c r="U329" s="533"/>
      <c r="V329" s="533">
        <f>SUM(V330:V332)</f>
        <v>15</v>
      </c>
      <c r="W329" s="533"/>
      <c r="X329" s="533"/>
      <c r="Y329" s="533">
        <f>SUM(Y330:Y332)</f>
        <v>15</v>
      </c>
      <c r="Z329" s="542">
        <f t="shared" si="57"/>
        <v>3.8</v>
      </c>
      <c r="AA329" s="542">
        <f t="shared" si="61"/>
        <v>133.9</v>
      </c>
      <c r="AB329" s="900"/>
      <c r="AC329" s="491" t="s">
        <v>1665</v>
      </c>
      <c r="AF329" s="466"/>
      <c r="AG329" s="466"/>
      <c r="AH329" s="466"/>
    </row>
    <row r="330" spans="1:34" s="498" customFormat="1" hidden="1" x14ac:dyDescent="0.25">
      <c r="A330" s="962"/>
      <c r="B330" s="856" t="s">
        <v>1669</v>
      </c>
      <c r="C330" s="499"/>
      <c r="D330" s="903"/>
      <c r="E330" s="855" t="s">
        <v>227</v>
      </c>
      <c r="F330" s="557">
        <v>100</v>
      </c>
      <c r="G330" s="558">
        <v>0.12</v>
      </c>
      <c r="H330" s="559">
        <f>F330*G330</f>
        <v>12</v>
      </c>
      <c r="I330" s="857">
        <v>120</v>
      </c>
      <c r="J330" s="862">
        <v>0.05</v>
      </c>
      <c r="K330" s="857">
        <f>I330*J330</f>
        <v>6</v>
      </c>
      <c r="L330" s="857">
        <v>120</v>
      </c>
      <c r="M330" s="862">
        <v>0.05</v>
      </c>
      <c r="N330" s="857">
        <f>L330*M330</f>
        <v>6</v>
      </c>
      <c r="O330" s="857"/>
      <c r="P330" s="857"/>
      <c r="Q330" s="857"/>
      <c r="R330" s="857">
        <f t="shared" si="56"/>
        <v>0</v>
      </c>
      <c r="S330" s="857"/>
      <c r="T330" s="857"/>
      <c r="U330" s="857"/>
      <c r="V330" s="857"/>
      <c r="W330" s="857"/>
      <c r="X330" s="857"/>
      <c r="Y330" s="857"/>
      <c r="Z330" s="559">
        <f t="shared" si="57"/>
        <v>-6</v>
      </c>
      <c r="AA330" s="559">
        <f t="shared" si="61"/>
        <v>0</v>
      </c>
      <c r="AB330" s="1029"/>
      <c r="AC330" s="491" t="s">
        <v>1665</v>
      </c>
      <c r="AF330" s="466"/>
      <c r="AG330" s="465"/>
      <c r="AH330" s="465"/>
    </row>
    <row r="331" spans="1:34" s="498" customFormat="1" ht="63.75" hidden="1" x14ac:dyDescent="0.25">
      <c r="A331" s="962"/>
      <c r="B331" s="1824" t="s">
        <v>1949</v>
      </c>
      <c r="C331" s="499"/>
      <c r="D331" s="903"/>
      <c r="E331" s="855" t="s">
        <v>227</v>
      </c>
      <c r="F331" s="557"/>
      <c r="G331" s="558"/>
      <c r="H331" s="559"/>
      <c r="I331" s="857"/>
      <c r="J331" s="857"/>
      <c r="K331" s="857">
        <f>I331*J331</f>
        <v>0</v>
      </c>
      <c r="L331" s="857"/>
      <c r="M331" s="857"/>
      <c r="N331" s="857">
        <f>L331*M331</f>
        <v>0</v>
      </c>
      <c r="O331" s="857">
        <v>2</v>
      </c>
      <c r="P331" s="857">
        <v>7.5</v>
      </c>
      <c r="Q331" s="857">
        <f>P331*O331</f>
        <v>15</v>
      </c>
      <c r="R331" s="857">
        <f t="shared" si="56"/>
        <v>15</v>
      </c>
      <c r="S331" s="857"/>
      <c r="T331" s="857">
        <v>2</v>
      </c>
      <c r="U331" s="857">
        <v>7.5</v>
      </c>
      <c r="V331" s="857">
        <f>U331*T331</f>
        <v>15</v>
      </c>
      <c r="W331" s="857">
        <v>2</v>
      </c>
      <c r="X331" s="857">
        <v>7.5</v>
      </c>
      <c r="Y331" s="857">
        <f>X331*W331</f>
        <v>15</v>
      </c>
      <c r="Z331" s="559">
        <f t="shared" si="57"/>
        <v>15</v>
      </c>
      <c r="AA331" s="559" t="str">
        <f t="shared" si="61"/>
        <v>-</v>
      </c>
      <c r="AB331" s="1029" t="s">
        <v>1950</v>
      </c>
      <c r="AC331" s="491" t="s">
        <v>1665</v>
      </c>
      <c r="AF331" s="466"/>
      <c r="AG331" s="465"/>
      <c r="AH331" s="465"/>
    </row>
    <row r="332" spans="1:34" s="498" customFormat="1" hidden="1" x14ac:dyDescent="0.25">
      <c r="A332" s="962"/>
      <c r="B332" s="506" t="s">
        <v>1951</v>
      </c>
      <c r="C332" s="508"/>
      <c r="D332" s="903"/>
      <c r="E332" s="493" t="s">
        <v>227</v>
      </c>
      <c r="F332" s="557">
        <v>13</v>
      </c>
      <c r="G332" s="558">
        <v>0.4</v>
      </c>
      <c r="H332" s="559">
        <f>F332*G332</f>
        <v>5.2</v>
      </c>
      <c r="I332" s="857">
        <v>13</v>
      </c>
      <c r="J332" s="857">
        <v>0.4</v>
      </c>
      <c r="K332" s="857">
        <f>I332*J332</f>
        <v>5.2</v>
      </c>
      <c r="L332" s="857">
        <v>13</v>
      </c>
      <c r="M332" s="857">
        <v>0.4</v>
      </c>
      <c r="N332" s="857">
        <f>L332*M332</f>
        <v>5.2</v>
      </c>
      <c r="O332" s="857"/>
      <c r="P332" s="857"/>
      <c r="Q332" s="857"/>
      <c r="R332" s="857">
        <f t="shared" si="56"/>
        <v>0</v>
      </c>
      <c r="S332" s="857"/>
      <c r="T332" s="857"/>
      <c r="U332" s="857"/>
      <c r="V332" s="857"/>
      <c r="W332" s="857"/>
      <c r="X332" s="857"/>
      <c r="Y332" s="857"/>
      <c r="Z332" s="559">
        <f t="shared" si="57"/>
        <v>-5.2</v>
      </c>
      <c r="AA332" s="559">
        <f t="shared" si="61"/>
        <v>0</v>
      </c>
      <c r="AB332" s="1029"/>
      <c r="AC332" s="491" t="s">
        <v>1665</v>
      </c>
      <c r="AF332" s="466"/>
      <c r="AG332" s="465"/>
      <c r="AH332" s="465"/>
    </row>
    <row r="333" spans="1:34" s="492" customFormat="1" ht="14.25" hidden="1" x14ac:dyDescent="0.2">
      <c r="A333" s="1240"/>
      <c r="B333" s="865" t="s">
        <v>1952</v>
      </c>
      <c r="C333" s="508"/>
      <c r="D333" s="1240"/>
      <c r="E333" s="861"/>
      <c r="F333" s="828"/>
      <c r="G333" s="829"/>
      <c r="H333" s="542">
        <f>SUM(H334:H335)</f>
        <v>6.8</v>
      </c>
      <c r="I333" s="533"/>
      <c r="J333" s="533"/>
      <c r="K333" s="533">
        <f>SUM(K334:K335)</f>
        <v>4</v>
      </c>
      <c r="L333" s="533"/>
      <c r="M333" s="533"/>
      <c r="N333" s="533">
        <f>SUM(N334:N335)</f>
        <v>4</v>
      </c>
      <c r="O333" s="533"/>
      <c r="P333" s="533"/>
      <c r="Q333" s="533">
        <f>SUM(Q334:Q335)</f>
        <v>7</v>
      </c>
      <c r="R333" s="533">
        <f t="shared" si="56"/>
        <v>7</v>
      </c>
      <c r="S333" s="533"/>
      <c r="T333" s="533"/>
      <c r="U333" s="533"/>
      <c r="V333" s="533">
        <f>SUM(V334:V335)</f>
        <v>7</v>
      </c>
      <c r="W333" s="533"/>
      <c r="X333" s="533"/>
      <c r="Y333" s="533">
        <f>SUM(Y334:Y335)</f>
        <v>7</v>
      </c>
      <c r="Z333" s="542">
        <f t="shared" si="57"/>
        <v>3</v>
      </c>
      <c r="AA333" s="542">
        <f t="shared" si="61"/>
        <v>175</v>
      </c>
      <c r="AB333" s="900"/>
      <c r="AC333" s="491" t="s">
        <v>1665</v>
      </c>
      <c r="AF333" s="466"/>
      <c r="AG333" s="466"/>
      <c r="AH333" s="466"/>
    </row>
    <row r="334" spans="1:34" s="498" customFormat="1" hidden="1" x14ac:dyDescent="0.25">
      <c r="A334" s="962"/>
      <c r="B334" s="856" t="s">
        <v>1953</v>
      </c>
      <c r="C334" s="508" t="s">
        <v>797</v>
      </c>
      <c r="D334" s="903"/>
      <c r="E334" s="855" t="s">
        <v>227</v>
      </c>
      <c r="F334" s="557">
        <v>35</v>
      </c>
      <c r="G334" s="558">
        <v>0.1</v>
      </c>
      <c r="H334" s="559">
        <f>F334*G334</f>
        <v>3.5</v>
      </c>
      <c r="I334" s="857">
        <v>40</v>
      </c>
      <c r="J334" s="857">
        <v>0.1</v>
      </c>
      <c r="K334" s="857">
        <f>I334*J334</f>
        <v>4</v>
      </c>
      <c r="L334" s="857">
        <v>40</v>
      </c>
      <c r="M334" s="857">
        <v>0.1</v>
      </c>
      <c r="N334" s="857">
        <f>L334*M334</f>
        <v>4</v>
      </c>
      <c r="O334" s="857">
        <v>40</v>
      </c>
      <c r="P334" s="857">
        <v>0.1</v>
      </c>
      <c r="Q334" s="857">
        <f>P334*O334</f>
        <v>4</v>
      </c>
      <c r="R334" s="857">
        <f t="shared" si="56"/>
        <v>4</v>
      </c>
      <c r="S334" s="857"/>
      <c r="T334" s="857">
        <v>40</v>
      </c>
      <c r="U334" s="857">
        <v>0.1</v>
      </c>
      <c r="V334" s="857">
        <f>U334*T334</f>
        <v>4</v>
      </c>
      <c r="W334" s="857">
        <v>40</v>
      </c>
      <c r="X334" s="857">
        <v>0.1</v>
      </c>
      <c r="Y334" s="857">
        <f>X334*W334</f>
        <v>4</v>
      </c>
      <c r="Z334" s="559">
        <f t="shared" si="57"/>
        <v>0</v>
      </c>
      <c r="AA334" s="559">
        <f t="shared" si="61"/>
        <v>100</v>
      </c>
      <c r="AB334" s="900"/>
      <c r="AC334" s="491" t="s">
        <v>1665</v>
      </c>
      <c r="AF334" s="466"/>
      <c r="AG334" s="465"/>
      <c r="AH334" s="465"/>
    </row>
    <row r="335" spans="1:34" s="498" customFormat="1" ht="38.25" x14ac:dyDescent="0.25">
      <c r="A335" s="962"/>
      <c r="B335" s="856" t="s">
        <v>1954</v>
      </c>
      <c r="C335" s="508" t="s">
        <v>796</v>
      </c>
      <c r="D335" s="903"/>
      <c r="E335" s="855" t="s">
        <v>227</v>
      </c>
      <c r="F335" s="557">
        <v>330</v>
      </c>
      <c r="G335" s="558">
        <v>0.01</v>
      </c>
      <c r="H335" s="559">
        <f>F335*G335</f>
        <v>3.3</v>
      </c>
      <c r="I335" s="857">
        <v>330</v>
      </c>
      <c r="J335" s="857">
        <v>0</v>
      </c>
      <c r="K335" s="857">
        <f>I335*J335</f>
        <v>0</v>
      </c>
      <c r="L335" s="857">
        <v>330</v>
      </c>
      <c r="M335" s="857">
        <v>0</v>
      </c>
      <c r="N335" s="857">
        <f>L335*M335</f>
        <v>0</v>
      </c>
      <c r="O335" s="857">
        <v>150</v>
      </c>
      <c r="P335" s="857">
        <v>0</v>
      </c>
      <c r="Q335" s="857">
        <v>3</v>
      </c>
      <c r="R335" s="857">
        <f t="shared" si="56"/>
        <v>3</v>
      </c>
      <c r="S335" s="857"/>
      <c r="T335" s="857">
        <v>150</v>
      </c>
      <c r="U335" s="857">
        <v>0</v>
      </c>
      <c r="V335" s="857">
        <v>3</v>
      </c>
      <c r="W335" s="857">
        <v>150</v>
      </c>
      <c r="X335" s="857">
        <v>0</v>
      </c>
      <c r="Y335" s="857">
        <v>3</v>
      </c>
      <c r="Z335" s="559">
        <f t="shared" si="57"/>
        <v>3</v>
      </c>
      <c r="AA335" s="559" t="str">
        <f t="shared" si="61"/>
        <v>-</v>
      </c>
      <c r="AB335" s="1937" t="s">
        <v>1955</v>
      </c>
      <c r="AC335" s="491" t="s">
        <v>1665</v>
      </c>
      <c r="AF335" s="466"/>
      <c r="AG335" s="465"/>
      <c r="AH335" s="465"/>
    </row>
    <row r="336" spans="1:34" s="517" customFormat="1" ht="25.5" hidden="1" x14ac:dyDescent="0.2">
      <c r="A336" s="487"/>
      <c r="B336" s="543" t="s">
        <v>1250</v>
      </c>
      <c r="C336" s="511"/>
      <c r="D336" s="487"/>
      <c r="E336" s="487"/>
      <c r="F336" s="821"/>
      <c r="G336" s="822"/>
      <c r="H336" s="823" t="e">
        <f>#REF!+H337+#REF!</f>
        <v>#REF!</v>
      </c>
      <c r="I336" s="915"/>
      <c r="J336" s="915"/>
      <c r="K336" s="823">
        <f>K337</f>
        <v>19.8</v>
      </c>
      <c r="L336" s="915"/>
      <c r="M336" s="915"/>
      <c r="N336" s="823">
        <f>N337</f>
        <v>19.8</v>
      </c>
      <c r="O336" s="915"/>
      <c r="P336" s="915"/>
      <c r="Q336" s="823">
        <f>Q337</f>
        <v>28.2</v>
      </c>
      <c r="R336" s="823">
        <f t="shared" si="56"/>
        <v>28.2</v>
      </c>
      <c r="S336" s="823"/>
      <c r="T336" s="915"/>
      <c r="U336" s="915"/>
      <c r="V336" s="823">
        <f>V337</f>
        <v>27.9</v>
      </c>
      <c r="W336" s="823"/>
      <c r="X336" s="823"/>
      <c r="Y336" s="823">
        <f>Y337</f>
        <v>27.9</v>
      </c>
      <c r="Z336" s="823">
        <f t="shared" si="57"/>
        <v>8.4</v>
      </c>
      <c r="AA336" s="823">
        <f t="shared" si="61"/>
        <v>142.4</v>
      </c>
      <c r="AB336" s="555"/>
      <c r="AC336" s="515"/>
      <c r="AF336" s="519"/>
      <c r="AG336" s="519"/>
      <c r="AH336" s="519"/>
    </row>
    <row r="337" spans="1:34" s="527" customFormat="1" ht="38.25" hidden="1" x14ac:dyDescent="0.2">
      <c r="A337" s="522"/>
      <c r="B337" s="1938" t="s">
        <v>1664</v>
      </c>
      <c r="C337" s="1939"/>
      <c r="D337" s="522" t="s">
        <v>1444</v>
      </c>
      <c r="E337" s="556"/>
      <c r="F337" s="523"/>
      <c r="G337" s="524"/>
      <c r="H337" s="526">
        <f>H338+H343+H344+H345+H349</f>
        <v>32.200000000000003</v>
      </c>
      <c r="I337" s="526"/>
      <c r="J337" s="526"/>
      <c r="K337" s="526">
        <f>K338+K343+K344+K345+K349</f>
        <v>19.8</v>
      </c>
      <c r="L337" s="526"/>
      <c r="M337" s="526"/>
      <c r="N337" s="526">
        <f>N338+N343+N344+N345+N349</f>
        <v>19.8</v>
      </c>
      <c r="O337" s="526"/>
      <c r="P337" s="526"/>
      <c r="Q337" s="526">
        <f>Q338+Q343+Q344+Q345+Q349</f>
        <v>28.2</v>
      </c>
      <c r="R337" s="526">
        <f t="shared" si="56"/>
        <v>28.2</v>
      </c>
      <c r="S337" s="526"/>
      <c r="T337" s="526"/>
      <c r="U337" s="526"/>
      <c r="V337" s="526">
        <f>V338+V343+V344+V345+V349</f>
        <v>27.9</v>
      </c>
      <c r="W337" s="526"/>
      <c r="X337" s="526"/>
      <c r="Y337" s="526">
        <f>Y338+Y343+Y344+Y345+Y349</f>
        <v>27.9</v>
      </c>
      <c r="Z337" s="526">
        <f t="shared" si="57"/>
        <v>8.4</v>
      </c>
      <c r="AA337" s="526">
        <f t="shared" si="61"/>
        <v>142.4</v>
      </c>
      <c r="AB337" s="909"/>
      <c r="AC337" s="549" t="s">
        <v>1665</v>
      </c>
      <c r="AF337" s="528"/>
      <c r="AG337" s="528"/>
      <c r="AH337" s="528"/>
    </row>
    <row r="338" spans="1:34" s="492" customFormat="1" ht="14.25" hidden="1" x14ac:dyDescent="0.2">
      <c r="A338" s="1240"/>
      <c r="B338" s="500" t="s">
        <v>1233</v>
      </c>
      <c r="C338" s="501" t="s">
        <v>1230</v>
      </c>
      <c r="D338" s="932"/>
      <c r="E338" s="842"/>
      <c r="F338" s="828"/>
      <c r="G338" s="829"/>
      <c r="H338" s="542">
        <f>SUM(H339:H342)</f>
        <v>9.9</v>
      </c>
      <c r="I338" s="533"/>
      <c r="J338" s="533"/>
      <c r="K338" s="533">
        <f>SUM(K339:K342)</f>
        <v>9.3000000000000007</v>
      </c>
      <c r="L338" s="533"/>
      <c r="M338" s="533"/>
      <c r="N338" s="533">
        <f>SUM(N339:N342)</f>
        <v>9.3000000000000007</v>
      </c>
      <c r="O338" s="533"/>
      <c r="P338" s="533"/>
      <c r="Q338" s="533">
        <f>SUM(Q339:Q342)</f>
        <v>10.3</v>
      </c>
      <c r="R338" s="533">
        <f t="shared" si="56"/>
        <v>10.3</v>
      </c>
      <c r="S338" s="533"/>
      <c r="T338" s="533"/>
      <c r="U338" s="533"/>
      <c r="V338" s="533">
        <f>SUM(V339:V342)</f>
        <v>10.3</v>
      </c>
      <c r="W338" s="533"/>
      <c r="X338" s="533"/>
      <c r="Y338" s="533">
        <f>SUM(Y339:Y342)</f>
        <v>10.3</v>
      </c>
      <c r="Z338" s="542">
        <f t="shared" si="57"/>
        <v>1</v>
      </c>
      <c r="AA338" s="542">
        <f t="shared" si="61"/>
        <v>110.8</v>
      </c>
      <c r="AB338" s="921"/>
      <c r="AC338" s="491" t="s">
        <v>1665</v>
      </c>
      <c r="AF338" s="466"/>
      <c r="AG338" s="466"/>
      <c r="AH338" s="466"/>
    </row>
    <row r="339" spans="1:34" s="498" customFormat="1" hidden="1" x14ac:dyDescent="0.25">
      <c r="A339" s="962"/>
      <c r="B339" s="502" t="s">
        <v>1519</v>
      </c>
      <c r="C339" s="503"/>
      <c r="D339" s="903"/>
      <c r="E339" s="1031" t="s">
        <v>318</v>
      </c>
      <c r="F339" s="557">
        <v>1</v>
      </c>
      <c r="G339" s="558">
        <v>3.45</v>
      </c>
      <c r="H339" s="559">
        <f>F339*G339</f>
        <v>3.5</v>
      </c>
      <c r="I339" s="857">
        <v>1</v>
      </c>
      <c r="J339" s="857">
        <v>3.5</v>
      </c>
      <c r="K339" s="857">
        <f>I339*J339</f>
        <v>3.5</v>
      </c>
      <c r="L339" s="857">
        <v>1</v>
      </c>
      <c r="M339" s="857">
        <v>3.5</v>
      </c>
      <c r="N339" s="857">
        <f>L339*M339</f>
        <v>3.5</v>
      </c>
      <c r="O339" s="857">
        <v>1</v>
      </c>
      <c r="P339" s="857">
        <v>3.5</v>
      </c>
      <c r="Q339" s="857">
        <f>P339*O339</f>
        <v>3.5</v>
      </c>
      <c r="R339" s="857">
        <f t="shared" ref="R339:R402" si="62">Q339</f>
        <v>3.5</v>
      </c>
      <c r="S339" s="857"/>
      <c r="T339" s="857">
        <v>1</v>
      </c>
      <c r="U339" s="857">
        <v>3.5</v>
      </c>
      <c r="V339" s="857">
        <f>U339*T339</f>
        <v>3.5</v>
      </c>
      <c r="W339" s="857">
        <v>1</v>
      </c>
      <c r="X339" s="857">
        <v>3.5</v>
      </c>
      <c r="Y339" s="857">
        <f>X339*W339</f>
        <v>3.5</v>
      </c>
      <c r="Z339" s="559">
        <f t="shared" si="57"/>
        <v>0</v>
      </c>
      <c r="AA339" s="559">
        <f t="shared" si="61"/>
        <v>100</v>
      </c>
      <c r="AB339" s="1924"/>
      <c r="AC339" s="491" t="s">
        <v>1665</v>
      </c>
      <c r="AF339" s="466"/>
      <c r="AG339" s="465"/>
      <c r="AH339" s="465"/>
    </row>
    <row r="340" spans="1:34" s="498" customFormat="1" ht="51.75" hidden="1" x14ac:dyDescent="0.25">
      <c r="A340" s="962"/>
      <c r="B340" s="502" t="s">
        <v>1686</v>
      </c>
      <c r="C340" s="503"/>
      <c r="D340" s="903"/>
      <c r="E340" s="1031" t="s">
        <v>318</v>
      </c>
      <c r="F340" s="557">
        <v>1</v>
      </c>
      <c r="G340" s="558">
        <v>2.2999999999999998</v>
      </c>
      <c r="H340" s="559">
        <f>F340*G340</f>
        <v>2.2999999999999998</v>
      </c>
      <c r="I340" s="857">
        <v>1</v>
      </c>
      <c r="J340" s="857">
        <v>2.2999999999999998</v>
      </c>
      <c r="K340" s="857">
        <f>I340*J340</f>
        <v>2.2999999999999998</v>
      </c>
      <c r="L340" s="857">
        <v>1</v>
      </c>
      <c r="M340" s="857">
        <v>2.2999999999999998</v>
      </c>
      <c r="N340" s="857">
        <f>L340*M340</f>
        <v>2.2999999999999998</v>
      </c>
      <c r="O340" s="857">
        <v>2</v>
      </c>
      <c r="P340" s="857">
        <v>2.2999999999999998</v>
      </c>
      <c r="Q340" s="857">
        <f>P340*O340</f>
        <v>4.5999999999999996</v>
      </c>
      <c r="R340" s="857">
        <f t="shared" si="62"/>
        <v>4.5999999999999996</v>
      </c>
      <c r="S340" s="857"/>
      <c r="T340" s="857">
        <v>2</v>
      </c>
      <c r="U340" s="857">
        <v>2.2999999999999998</v>
      </c>
      <c r="V340" s="857">
        <f>U340*T340</f>
        <v>4.5999999999999996</v>
      </c>
      <c r="W340" s="857">
        <v>2</v>
      </c>
      <c r="X340" s="857">
        <v>2.2999999999999998</v>
      </c>
      <c r="Y340" s="857">
        <f>X340*W340</f>
        <v>4.5999999999999996</v>
      </c>
      <c r="Z340" s="559">
        <f t="shared" si="57"/>
        <v>2.2999999999999998</v>
      </c>
      <c r="AA340" s="559">
        <f t="shared" si="61"/>
        <v>200</v>
      </c>
      <c r="AB340" s="1924" t="s">
        <v>1956</v>
      </c>
      <c r="AC340" s="491" t="s">
        <v>1665</v>
      </c>
      <c r="AF340" s="466"/>
      <c r="AG340" s="465"/>
      <c r="AH340" s="465"/>
    </row>
    <row r="341" spans="1:34" s="498" customFormat="1" hidden="1" x14ac:dyDescent="0.25">
      <c r="A341" s="962"/>
      <c r="B341" s="502" t="s">
        <v>1683</v>
      </c>
      <c r="C341" s="503"/>
      <c r="D341" s="903"/>
      <c r="E341" s="1031" t="s">
        <v>318</v>
      </c>
      <c r="F341" s="557">
        <v>1</v>
      </c>
      <c r="G341" s="558">
        <v>2</v>
      </c>
      <c r="H341" s="559">
        <f>F341*G341</f>
        <v>2</v>
      </c>
      <c r="I341" s="857">
        <v>1</v>
      </c>
      <c r="J341" s="857">
        <v>1.5</v>
      </c>
      <c r="K341" s="857">
        <f>I341*J341</f>
        <v>1.5</v>
      </c>
      <c r="L341" s="857">
        <v>1</v>
      </c>
      <c r="M341" s="857">
        <v>1.5</v>
      </c>
      <c r="N341" s="857">
        <f>L341*M341</f>
        <v>1.5</v>
      </c>
      <c r="O341" s="857"/>
      <c r="P341" s="857"/>
      <c r="Q341" s="857"/>
      <c r="R341" s="857">
        <f t="shared" si="62"/>
        <v>0</v>
      </c>
      <c r="S341" s="857"/>
      <c r="T341" s="857"/>
      <c r="U341" s="857"/>
      <c r="V341" s="857"/>
      <c r="W341" s="857"/>
      <c r="X341" s="857"/>
      <c r="Y341" s="857"/>
      <c r="Z341" s="559">
        <f t="shared" si="57"/>
        <v>-1.5</v>
      </c>
      <c r="AA341" s="559">
        <f t="shared" si="61"/>
        <v>0</v>
      </c>
      <c r="AB341" s="1924"/>
      <c r="AC341" s="491" t="s">
        <v>1665</v>
      </c>
      <c r="AF341" s="466"/>
      <c r="AG341" s="465"/>
      <c r="AH341" s="465"/>
    </row>
    <row r="342" spans="1:34" s="498" customFormat="1" hidden="1" x14ac:dyDescent="0.25">
      <c r="A342" s="962"/>
      <c r="B342" s="502" t="s">
        <v>1234</v>
      </c>
      <c r="C342" s="503"/>
      <c r="D342" s="903"/>
      <c r="E342" s="1031"/>
      <c r="F342" s="557"/>
      <c r="G342" s="558"/>
      <c r="H342" s="559">
        <f>SUM(H339:H341)*0.271</f>
        <v>2.1</v>
      </c>
      <c r="I342" s="857"/>
      <c r="J342" s="857"/>
      <c r="K342" s="857">
        <f>SUM(K339:K341)*0.271</f>
        <v>2</v>
      </c>
      <c r="L342" s="857"/>
      <c r="M342" s="857"/>
      <c r="N342" s="857">
        <f>SUM(N339:N341)*0.271</f>
        <v>2</v>
      </c>
      <c r="O342" s="857"/>
      <c r="P342" s="857"/>
      <c r="Q342" s="857">
        <f>SUM(Q339:Q341)*0.271</f>
        <v>2.2000000000000002</v>
      </c>
      <c r="R342" s="857">
        <f t="shared" si="62"/>
        <v>2.2000000000000002</v>
      </c>
      <c r="S342" s="857"/>
      <c r="T342" s="857"/>
      <c r="U342" s="857"/>
      <c r="V342" s="857">
        <f>SUM(V339:V341)*0.271</f>
        <v>2.2000000000000002</v>
      </c>
      <c r="W342" s="857"/>
      <c r="X342" s="857"/>
      <c r="Y342" s="857">
        <f>SUM(Y339:Y341)*0.271</f>
        <v>2.2000000000000002</v>
      </c>
      <c r="Z342" s="559">
        <f t="shared" si="57"/>
        <v>0.2</v>
      </c>
      <c r="AA342" s="559">
        <f t="shared" si="61"/>
        <v>110</v>
      </c>
      <c r="AB342" s="921"/>
      <c r="AC342" s="491" t="s">
        <v>1665</v>
      </c>
      <c r="AF342" s="466"/>
      <c r="AG342" s="465"/>
      <c r="AH342" s="465"/>
    </row>
    <row r="343" spans="1:34" s="492" customFormat="1" ht="14.25" x14ac:dyDescent="0.2">
      <c r="A343" s="1240"/>
      <c r="B343" s="500" t="s">
        <v>1927</v>
      </c>
      <c r="C343" s="501" t="s">
        <v>796</v>
      </c>
      <c r="D343" s="932"/>
      <c r="E343" s="842"/>
      <c r="F343" s="828">
        <v>30</v>
      </c>
      <c r="G343" s="829">
        <v>0.21</v>
      </c>
      <c r="H343" s="542">
        <f>F343*G343</f>
        <v>6.3</v>
      </c>
      <c r="I343" s="533">
        <v>320</v>
      </c>
      <c r="J343" s="533">
        <v>0</v>
      </c>
      <c r="K343" s="533">
        <f>I343*J343</f>
        <v>0</v>
      </c>
      <c r="L343" s="533">
        <v>320</v>
      </c>
      <c r="M343" s="533">
        <v>0</v>
      </c>
      <c r="N343" s="533">
        <f>L343*M343</f>
        <v>0</v>
      </c>
      <c r="O343" s="533">
        <v>320</v>
      </c>
      <c r="P343" s="533">
        <v>0</v>
      </c>
      <c r="Q343" s="533">
        <f>6.4-0.1</f>
        <v>6.3</v>
      </c>
      <c r="R343" s="533">
        <f>Q343</f>
        <v>6.3</v>
      </c>
      <c r="S343" s="533"/>
      <c r="T343" s="533">
        <v>320</v>
      </c>
      <c r="U343" s="533">
        <v>0</v>
      </c>
      <c r="V343" s="533">
        <v>6</v>
      </c>
      <c r="W343" s="533">
        <v>320</v>
      </c>
      <c r="X343" s="533">
        <v>0</v>
      </c>
      <c r="Y343" s="533">
        <v>6</v>
      </c>
      <c r="Z343" s="542">
        <f t="shared" si="57"/>
        <v>6.3</v>
      </c>
      <c r="AA343" s="542" t="str">
        <f t="shared" si="61"/>
        <v>-</v>
      </c>
      <c r="AB343" s="1246"/>
      <c r="AC343" s="491" t="s">
        <v>1665</v>
      </c>
      <c r="AF343" s="466"/>
      <c r="AG343" s="466"/>
      <c r="AH343" s="466"/>
    </row>
    <row r="344" spans="1:34" s="492" customFormat="1" ht="14.25" hidden="1" x14ac:dyDescent="0.2">
      <c r="A344" s="1240"/>
      <c r="B344" s="500" t="s">
        <v>1957</v>
      </c>
      <c r="C344" s="501" t="s">
        <v>797</v>
      </c>
      <c r="D344" s="932"/>
      <c r="E344" s="842"/>
      <c r="F344" s="828">
        <v>320</v>
      </c>
      <c r="G344" s="829">
        <v>0.01</v>
      </c>
      <c r="H344" s="542">
        <v>1.8</v>
      </c>
      <c r="I344" s="533">
        <v>36</v>
      </c>
      <c r="J344" s="533">
        <v>0.1</v>
      </c>
      <c r="K344" s="533">
        <f>I344*J344</f>
        <v>3.6</v>
      </c>
      <c r="L344" s="533">
        <v>36</v>
      </c>
      <c r="M344" s="533">
        <v>0.1</v>
      </c>
      <c r="N344" s="533">
        <f>L344*M344</f>
        <v>3.6</v>
      </c>
      <c r="O344" s="533">
        <v>36</v>
      </c>
      <c r="P344" s="533">
        <v>0.1</v>
      </c>
      <c r="Q344" s="533">
        <f>P344*O344</f>
        <v>3.6</v>
      </c>
      <c r="R344" s="533">
        <f t="shared" si="62"/>
        <v>3.6</v>
      </c>
      <c r="S344" s="533"/>
      <c r="T344" s="533">
        <v>36</v>
      </c>
      <c r="U344" s="533">
        <v>0.1</v>
      </c>
      <c r="V344" s="533">
        <f>U344*T344</f>
        <v>3.6</v>
      </c>
      <c r="W344" s="533">
        <v>36</v>
      </c>
      <c r="X344" s="533">
        <v>0.1</v>
      </c>
      <c r="Y344" s="533">
        <f>X344*W344</f>
        <v>3.6</v>
      </c>
      <c r="Z344" s="542">
        <f t="shared" si="57"/>
        <v>0</v>
      </c>
      <c r="AA344" s="542">
        <f t="shared" si="61"/>
        <v>100</v>
      </c>
      <c r="AB344" s="1247"/>
      <c r="AC344" s="491" t="s">
        <v>1665</v>
      </c>
      <c r="AF344" s="466"/>
      <c r="AG344" s="466"/>
      <c r="AH344" s="466"/>
    </row>
    <row r="345" spans="1:34" s="492" customFormat="1" ht="14.25" hidden="1" x14ac:dyDescent="0.2">
      <c r="A345" s="1240"/>
      <c r="B345" s="865" t="s">
        <v>1226</v>
      </c>
      <c r="C345" s="508" t="s">
        <v>797</v>
      </c>
      <c r="D345" s="932"/>
      <c r="E345" s="842"/>
      <c r="F345" s="828"/>
      <c r="G345" s="829"/>
      <c r="H345" s="542">
        <f>SUM(H346:H347)</f>
        <v>8.8000000000000007</v>
      </c>
      <c r="I345" s="533"/>
      <c r="J345" s="533"/>
      <c r="K345" s="533">
        <f>SUM(K346:K347)</f>
        <v>5.7</v>
      </c>
      <c r="L345" s="533"/>
      <c r="M345" s="533"/>
      <c r="N345" s="533">
        <f>SUM(N346:N347)</f>
        <v>5.7</v>
      </c>
      <c r="O345" s="533"/>
      <c r="P345" s="533"/>
      <c r="Q345" s="533">
        <f>SUM(Q346:Q348)</f>
        <v>6</v>
      </c>
      <c r="R345" s="533">
        <f t="shared" si="62"/>
        <v>6</v>
      </c>
      <c r="S345" s="533"/>
      <c r="T345" s="533"/>
      <c r="U345" s="533"/>
      <c r="V345" s="533">
        <f>SUM(V346:V348)</f>
        <v>6</v>
      </c>
      <c r="W345" s="533"/>
      <c r="X345" s="533"/>
      <c r="Y345" s="533">
        <f>SUM(Y346:Y348)</f>
        <v>6</v>
      </c>
      <c r="Z345" s="542">
        <f t="shared" si="57"/>
        <v>0.3</v>
      </c>
      <c r="AA345" s="542">
        <f t="shared" si="61"/>
        <v>105.3</v>
      </c>
      <c r="AB345" s="921"/>
      <c r="AC345" s="491" t="s">
        <v>1665</v>
      </c>
      <c r="AF345" s="466"/>
      <c r="AG345" s="466"/>
      <c r="AH345" s="466"/>
    </row>
    <row r="346" spans="1:34" s="498" customFormat="1" hidden="1" x14ac:dyDescent="0.25">
      <c r="A346" s="962"/>
      <c r="B346" s="856" t="s">
        <v>1921</v>
      </c>
      <c r="C346" s="499"/>
      <c r="D346" s="903"/>
      <c r="E346" s="1031" t="s">
        <v>227</v>
      </c>
      <c r="F346" s="557">
        <v>6</v>
      </c>
      <c r="G346" s="558">
        <v>1</v>
      </c>
      <c r="H346" s="559">
        <f>F346*G346</f>
        <v>6</v>
      </c>
      <c r="I346" s="857">
        <v>6</v>
      </c>
      <c r="J346" s="862">
        <v>0.5</v>
      </c>
      <c r="K346" s="857">
        <f>I346*J346</f>
        <v>3</v>
      </c>
      <c r="L346" s="857">
        <v>6</v>
      </c>
      <c r="M346" s="862">
        <v>0.5</v>
      </c>
      <c r="N346" s="857">
        <f>L346*M346</f>
        <v>3</v>
      </c>
      <c r="O346" s="857">
        <v>2</v>
      </c>
      <c r="P346" s="857">
        <v>1</v>
      </c>
      <c r="Q346" s="857">
        <f>O346*P346</f>
        <v>2</v>
      </c>
      <c r="R346" s="857">
        <f t="shared" si="62"/>
        <v>2</v>
      </c>
      <c r="S346" s="857"/>
      <c r="T346" s="857">
        <v>2</v>
      </c>
      <c r="U346" s="857">
        <v>1</v>
      </c>
      <c r="V346" s="857">
        <f>T346*U346</f>
        <v>2</v>
      </c>
      <c r="W346" s="857">
        <v>2</v>
      </c>
      <c r="X346" s="857">
        <v>1</v>
      </c>
      <c r="Y346" s="857">
        <f>W346*X346</f>
        <v>2</v>
      </c>
      <c r="Z346" s="559">
        <f t="shared" si="57"/>
        <v>-1</v>
      </c>
      <c r="AA346" s="559">
        <f t="shared" si="61"/>
        <v>66.7</v>
      </c>
      <c r="AB346" s="893"/>
      <c r="AC346" s="491" t="s">
        <v>1665</v>
      </c>
      <c r="AF346" s="466"/>
      <c r="AG346" s="465"/>
      <c r="AH346" s="465"/>
    </row>
    <row r="347" spans="1:34" s="498" customFormat="1" hidden="1" x14ac:dyDescent="0.25">
      <c r="A347" s="962"/>
      <c r="B347" s="500" t="s">
        <v>1909</v>
      </c>
      <c r="C347" s="501"/>
      <c r="D347" s="903"/>
      <c r="E347" s="1031" t="s">
        <v>1240</v>
      </c>
      <c r="F347" s="557">
        <v>14</v>
      </c>
      <c r="G347" s="558">
        <v>0.2</v>
      </c>
      <c r="H347" s="559">
        <f>F347*G347</f>
        <v>2.8</v>
      </c>
      <c r="I347" s="857">
        <v>13.5</v>
      </c>
      <c r="J347" s="857">
        <v>0.2</v>
      </c>
      <c r="K347" s="857">
        <f>I347*J347</f>
        <v>2.7</v>
      </c>
      <c r="L347" s="857">
        <v>13.5</v>
      </c>
      <c r="M347" s="857">
        <v>0.2</v>
      </c>
      <c r="N347" s="857">
        <f>L347*M347</f>
        <v>2.7</v>
      </c>
      <c r="O347" s="857"/>
      <c r="P347" s="857"/>
      <c r="Q347" s="857"/>
      <c r="R347" s="857">
        <f t="shared" si="62"/>
        <v>0</v>
      </c>
      <c r="S347" s="857"/>
      <c r="T347" s="857"/>
      <c r="U347" s="857"/>
      <c r="V347" s="857"/>
      <c r="W347" s="857"/>
      <c r="X347" s="857"/>
      <c r="Y347" s="857"/>
      <c r="Z347" s="559">
        <f t="shared" si="57"/>
        <v>-2.7</v>
      </c>
      <c r="AA347" s="559">
        <f t="shared" si="61"/>
        <v>0</v>
      </c>
      <c r="AB347" s="827"/>
      <c r="AC347" s="491" t="s">
        <v>1665</v>
      </c>
      <c r="AF347" s="466"/>
      <c r="AG347" s="465"/>
      <c r="AH347" s="465"/>
    </row>
    <row r="348" spans="1:34" s="498" customFormat="1" ht="25.5" hidden="1" x14ac:dyDescent="0.25">
      <c r="A348" s="962"/>
      <c r="B348" s="502" t="s">
        <v>1958</v>
      </c>
      <c r="C348" s="501"/>
      <c r="D348" s="903"/>
      <c r="E348" s="1031"/>
      <c r="F348" s="557"/>
      <c r="G348" s="558"/>
      <c r="H348" s="559"/>
      <c r="I348" s="857"/>
      <c r="J348" s="857"/>
      <c r="K348" s="857"/>
      <c r="L348" s="857"/>
      <c r="M348" s="857"/>
      <c r="N348" s="857"/>
      <c r="O348" s="857">
        <v>2</v>
      </c>
      <c r="P348" s="857">
        <v>2</v>
      </c>
      <c r="Q348" s="857">
        <f>P348*O348</f>
        <v>4</v>
      </c>
      <c r="R348" s="857">
        <f t="shared" si="62"/>
        <v>4</v>
      </c>
      <c r="S348" s="857"/>
      <c r="T348" s="857">
        <v>2</v>
      </c>
      <c r="U348" s="857">
        <v>2</v>
      </c>
      <c r="V348" s="857">
        <f>U348*T348</f>
        <v>4</v>
      </c>
      <c r="W348" s="857">
        <v>2</v>
      </c>
      <c r="X348" s="857">
        <v>2</v>
      </c>
      <c r="Y348" s="857">
        <f>X348*W348</f>
        <v>4</v>
      </c>
      <c r="Z348" s="559">
        <f t="shared" si="57"/>
        <v>4</v>
      </c>
      <c r="AA348" s="559" t="str">
        <f t="shared" si="61"/>
        <v>-</v>
      </c>
      <c r="AB348" s="827" t="s">
        <v>1959</v>
      </c>
      <c r="AC348" s="491" t="s">
        <v>1665</v>
      </c>
      <c r="AF348" s="466"/>
      <c r="AG348" s="465"/>
      <c r="AH348" s="465"/>
    </row>
    <row r="349" spans="1:34" s="492" customFormat="1" ht="25.5" hidden="1" x14ac:dyDescent="0.2">
      <c r="A349" s="1240"/>
      <c r="B349" s="865" t="s">
        <v>1239</v>
      </c>
      <c r="C349" s="508" t="s">
        <v>797</v>
      </c>
      <c r="D349" s="932"/>
      <c r="E349" s="842"/>
      <c r="F349" s="828"/>
      <c r="G349" s="829"/>
      <c r="H349" s="542">
        <f>SUM(H350:H351)</f>
        <v>5.4</v>
      </c>
      <c r="I349" s="533"/>
      <c r="J349" s="533"/>
      <c r="K349" s="533">
        <f>SUM(K350:K351)</f>
        <v>1.2</v>
      </c>
      <c r="L349" s="533"/>
      <c r="M349" s="533"/>
      <c r="N349" s="533">
        <f>SUM(N350:N351)</f>
        <v>1.2</v>
      </c>
      <c r="O349" s="533"/>
      <c r="P349" s="533"/>
      <c r="Q349" s="533">
        <f>SUM(Q350:Q351)</f>
        <v>2</v>
      </c>
      <c r="R349" s="533">
        <f t="shared" si="62"/>
        <v>2</v>
      </c>
      <c r="S349" s="533"/>
      <c r="T349" s="533"/>
      <c r="U349" s="533"/>
      <c r="V349" s="533">
        <f>SUM(V350:V351)</f>
        <v>2</v>
      </c>
      <c r="W349" s="533"/>
      <c r="X349" s="533"/>
      <c r="Y349" s="533">
        <f>SUM(Y350:Y351)</f>
        <v>2</v>
      </c>
      <c r="Z349" s="542">
        <f t="shared" si="57"/>
        <v>0.8</v>
      </c>
      <c r="AA349" s="542">
        <f t="shared" si="61"/>
        <v>166.7</v>
      </c>
      <c r="AB349" s="552"/>
      <c r="AC349" s="491" t="s">
        <v>1665</v>
      </c>
      <c r="AF349" s="466"/>
      <c r="AG349" s="466"/>
      <c r="AH349" s="466"/>
    </row>
    <row r="350" spans="1:34" s="498" customFormat="1" ht="39" hidden="1" x14ac:dyDescent="0.25">
      <c r="A350" s="962"/>
      <c r="B350" s="502" t="s">
        <v>1960</v>
      </c>
      <c r="C350" s="499"/>
      <c r="D350" s="903"/>
      <c r="E350" s="1031" t="s">
        <v>227</v>
      </c>
      <c r="F350" s="557">
        <v>26</v>
      </c>
      <c r="G350" s="558">
        <v>0.1</v>
      </c>
      <c r="H350" s="559">
        <f>F350*G350</f>
        <v>2.6</v>
      </c>
      <c r="I350" s="857">
        <v>12</v>
      </c>
      <c r="J350" s="862">
        <v>0.1</v>
      </c>
      <c r="K350" s="857">
        <f>I350*J350</f>
        <v>1.2</v>
      </c>
      <c r="L350" s="857">
        <v>12</v>
      </c>
      <c r="M350" s="862">
        <v>0.1</v>
      </c>
      <c r="N350" s="857">
        <f>L350*M350</f>
        <v>1.2</v>
      </c>
      <c r="O350" s="857">
        <v>20</v>
      </c>
      <c r="P350" s="857">
        <v>0.1</v>
      </c>
      <c r="Q350" s="857">
        <f>P350*O350</f>
        <v>2</v>
      </c>
      <c r="R350" s="857">
        <f t="shared" si="62"/>
        <v>2</v>
      </c>
      <c r="S350" s="857"/>
      <c r="T350" s="857">
        <v>20</v>
      </c>
      <c r="U350" s="857">
        <v>0.1</v>
      </c>
      <c r="V350" s="857">
        <f>U350*T350</f>
        <v>2</v>
      </c>
      <c r="W350" s="857">
        <v>20</v>
      </c>
      <c r="X350" s="857">
        <v>0.1</v>
      </c>
      <c r="Y350" s="857">
        <f>X350*W350</f>
        <v>2</v>
      </c>
      <c r="Z350" s="559">
        <f t="shared" si="57"/>
        <v>0.8</v>
      </c>
      <c r="AA350" s="559">
        <f t="shared" si="61"/>
        <v>166.7</v>
      </c>
      <c r="AB350" s="893" t="s">
        <v>1961</v>
      </c>
      <c r="AC350" s="491" t="s">
        <v>1665</v>
      </c>
      <c r="AF350" s="466"/>
      <c r="AG350" s="465"/>
      <c r="AH350" s="465"/>
    </row>
    <row r="351" spans="1:34" s="498" customFormat="1" hidden="1" x14ac:dyDescent="0.25">
      <c r="A351" s="962"/>
      <c r="B351" s="856" t="s">
        <v>1692</v>
      </c>
      <c r="C351" s="499"/>
      <c r="D351" s="903"/>
      <c r="E351" s="1031" t="s">
        <v>227</v>
      </c>
      <c r="F351" s="557">
        <v>8</v>
      </c>
      <c r="G351" s="558">
        <v>0.35</v>
      </c>
      <c r="H351" s="559">
        <f>F351*G351</f>
        <v>2.8</v>
      </c>
      <c r="I351" s="857"/>
      <c r="J351" s="857"/>
      <c r="K351" s="857">
        <f>I351*J351</f>
        <v>0</v>
      </c>
      <c r="L351" s="857"/>
      <c r="M351" s="857"/>
      <c r="N351" s="857">
        <f>L351*M351</f>
        <v>0</v>
      </c>
      <c r="O351" s="857"/>
      <c r="P351" s="857"/>
      <c r="Q351" s="857"/>
      <c r="R351" s="857">
        <f t="shared" si="62"/>
        <v>0</v>
      </c>
      <c r="S351" s="857"/>
      <c r="T351" s="857"/>
      <c r="U351" s="857"/>
      <c r="V351" s="857"/>
      <c r="W351" s="857"/>
      <c r="X351" s="857"/>
      <c r="Y351" s="857"/>
      <c r="Z351" s="559">
        <f t="shared" si="57"/>
        <v>0</v>
      </c>
      <c r="AA351" s="559" t="str">
        <f t="shared" si="61"/>
        <v>-</v>
      </c>
      <c r="AB351" s="1924"/>
      <c r="AC351" s="491" t="s">
        <v>1665</v>
      </c>
      <c r="AF351" s="466"/>
      <c r="AG351" s="465"/>
      <c r="AH351" s="465"/>
    </row>
    <row r="352" spans="1:34" s="517" customFormat="1" ht="14.25" hidden="1" x14ac:dyDescent="0.2">
      <c r="A352" s="487"/>
      <c r="B352" s="510" t="s">
        <v>1251</v>
      </c>
      <c r="C352" s="511"/>
      <c r="D352" s="487"/>
      <c r="E352" s="487"/>
      <c r="F352" s="821"/>
      <c r="G352" s="822"/>
      <c r="H352" s="823" t="e">
        <f>#REF!+#REF!+#REF!+H353</f>
        <v>#REF!</v>
      </c>
      <c r="I352" s="824"/>
      <c r="J352" s="824"/>
      <c r="K352" s="823">
        <f>K353</f>
        <v>120.8</v>
      </c>
      <c r="L352" s="824"/>
      <c r="M352" s="824"/>
      <c r="N352" s="823">
        <f>N353</f>
        <v>120.8</v>
      </c>
      <c r="O352" s="824"/>
      <c r="P352" s="824"/>
      <c r="Q352" s="823">
        <f>Q353</f>
        <v>210.9</v>
      </c>
      <c r="R352" s="823">
        <f t="shared" si="62"/>
        <v>210.9</v>
      </c>
      <c r="S352" s="823"/>
      <c r="T352" s="824"/>
      <c r="U352" s="824"/>
      <c r="V352" s="823">
        <f>V353</f>
        <v>201.7</v>
      </c>
      <c r="W352" s="823"/>
      <c r="X352" s="823"/>
      <c r="Y352" s="823">
        <f>Y353</f>
        <v>201.7</v>
      </c>
      <c r="Z352" s="823">
        <f t="shared" si="57"/>
        <v>90.1</v>
      </c>
      <c r="AA352" s="823">
        <f t="shared" si="61"/>
        <v>174.6</v>
      </c>
      <c r="AB352" s="555"/>
      <c r="AC352" s="515"/>
      <c r="AF352" s="519"/>
      <c r="AG352" s="519"/>
      <c r="AH352" s="519"/>
    </row>
    <row r="353" spans="1:34" s="527" customFormat="1" ht="38.25" hidden="1" x14ac:dyDescent="0.2">
      <c r="A353" s="522"/>
      <c r="B353" s="916" t="s">
        <v>1664</v>
      </c>
      <c r="C353" s="521"/>
      <c r="D353" s="522" t="s">
        <v>1444</v>
      </c>
      <c r="E353" s="556"/>
      <c r="F353" s="523"/>
      <c r="G353" s="524"/>
      <c r="H353" s="526">
        <f>H354+H375</f>
        <v>175.2</v>
      </c>
      <c r="I353" s="526"/>
      <c r="J353" s="526"/>
      <c r="K353" s="526">
        <f>K354+K375</f>
        <v>120.8</v>
      </c>
      <c r="L353" s="526"/>
      <c r="M353" s="526"/>
      <c r="N353" s="526">
        <f>N354+N375</f>
        <v>120.8</v>
      </c>
      <c r="O353" s="526"/>
      <c r="P353" s="526"/>
      <c r="Q353" s="526">
        <f>Q354+Q375</f>
        <v>210.9</v>
      </c>
      <c r="R353" s="526">
        <f t="shared" si="62"/>
        <v>210.9</v>
      </c>
      <c r="S353" s="526"/>
      <c r="T353" s="526"/>
      <c r="U353" s="526"/>
      <c r="V353" s="526">
        <f>V354+V375</f>
        <v>201.7</v>
      </c>
      <c r="W353" s="526"/>
      <c r="X353" s="526"/>
      <c r="Y353" s="526">
        <f>Y354+Y375</f>
        <v>201.7</v>
      </c>
      <c r="Z353" s="526">
        <f t="shared" si="57"/>
        <v>90.1</v>
      </c>
      <c r="AA353" s="526">
        <f t="shared" si="61"/>
        <v>174.6</v>
      </c>
      <c r="AB353" s="909"/>
      <c r="AC353" s="549" t="s">
        <v>1665</v>
      </c>
      <c r="AF353" s="528"/>
      <c r="AG353" s="528"/>
      <c r="AH353" s="528"/>
    </row>
    <row r="354" spans="1:34" s="871" customFormat="1" ht="14.25" hidden="1" x14ac:dyDescent="0.2">
      <c r="A354" s="869"/>
      <c r="B354" s="917" t="s">
        <v>1252</v>
      </c>
      <c r="C354" s="868"/>
      <c r="D354" s="1039"/>
      <c r="E354" s="870"/>
      <c r="F354" s="918"/>
      <c r="G354" s="919"/>
      <c r="H354" s="886">
        <f>H355+H361+H369+H370+H371+H374</f>
        <v>58.7</v>
      </c>
      <c r="I354" s="886"/>
      <c r="J354" s="886"/>
      <c r="K354" s="886">
        <f>K355+K361+K369+K370+K371+K374</f>
        <v>51.4</v>
      </c>
      <c r="L354" s="886"/>
      <c r="M354" s="886"/>
      <c r="N354" s="886">
        <f>N355+N361+N369+N370+N371+N374</f>
        <v>51.4</v>
      </c>
      <c r="O354" s="886"/>
      <c r="P354" s="886"/>
      <c r="Q354" s="886">
        <f>Q355+Q358+Q361+Q369+Q370+Q371+Q374</f>
        <v>83</v>
      </c>
      <c r="R354" s="886">
        <f t="shared" si="62"/>
        <v>83</v>
      </c>
      <c r="S354" s="886"/>
      <c r="T354" s="886"/>
      <c r="U354" s="886"/>
      <c r="V354" s="886">
        <f>V355+V358+V361+V369+V370+V371+V374</f>
        <v>58</v>
      </c>
      <c r="W354" s="886"/>
      <c r="X354" s="886"/>
      <c r="Y354" s="886">
        <f>Y355+Y358+Y361+Y369+Y370+Y371+Y374</f>
        <v>58</v>
      </c>
      <c r="Z354" s="886">
        <f t="shared" ref="Z354:Z395" si="63">Q354-K354</f>
        <v>31.6</v>
      </c>
      <c r="AA354" s="886">
        <f t="shared" si="61"/>
        <v>161.5</v>
      </c>
      <c r="AB354" s="1842"/>
      <c r="AC354" s="920" t="s">
        <v>1665</v>
      </c>
      <c r="AF354" s="872"/>
      <c r="AG354" s="872"/>
      <c r="AH354" s="872"/>
    </row>
    <row r="355" spans="1:34" s="492" customFormat="1" ht="25.5" hidden="1" x14ac:dyDescent="0.2">
      <c r="A355" s="1240"/>
      <c r="B355" s="500" t="s">
        <v>1239</v>
      </c>
      <c r="C355" s="501" t="s">
        <v>797</v>
      </c>
      <c r="D355" s="932"/>
      <c r="E355" s="842"/>
      <c r="F355" s="828"/>
      <c r="G355" s="829"/>
      <c r="H355" s="542">
        <f>SUM(H356:H357)</f>
        <v>4.8</v>
      </c>
      <c r="I355" s="533"/>
      <c r="J355" s="533"/>
      <c r="K355" s="533">
        <f>SUM(K356:K357)</f>
        <v>0.8</v>
      </c>
      <c r="L355" s="533"/>
      <c r="M355" s="533"/>
      <c r="N355" s="533">
        <f>SUM(N356:N357)</f>
        <v>0.8</v>
      </c>
      <c r="O355" s="533"/>
      <c r="P355" s="533"/>
      <c r="Q355" s="533">
        <f>SUM(Q356:Q357)</f>
        <v>0.8</v>
      </c>
      <c r="R355" s="533">
        <f t="shared" si="62"/>
        <v>0.8</v>
      </c>
      <c r="S355" s="533"/>
      <c r="T355" s="533"/>
      <c r="U355" s="533"/>
      <c r="V355" s="533">
        <f>SUM(V356:V357)</f>
        <v>0.8</v>
      </c>
      <c r="W355" s="533"/>
      <c r="X355" s="533"/>
      <c r="Y355" s="533">
        <f>SUM(Y356:Y357)</f>
        <v>0.8</v>
      </c>
      <c r="Z355" s="542">
        <f t="shared" si="63"/>
        <v>0</v>
      </c>
      <c r="AA355" s="542">
        <f t="shared" si="61"/>
        <v>100</v>
      </c>
      <c r="AB355" s="921"/>
      <c r="AC355" s="491" t="s">
        <v>1665</v>
      </c>
      <c r="AF355" s="466"/>
      <c r="AG355" s="466"/>
      <c r="AH355" s="466"/>
    </row>
    <row r="356" spans="1:34" s="498" customFormat="1" hidden="1" x14ac:dyDescent="0.25">
      <c r="A356" s="962"/>
      <c r="B356" s="502" t="s">
        <v>1962</v>
      </c>
      <c r="C356" s="499"/>
      <c r="D356" s="903"/>
      <c r="E356" s="1031" t="s">
        <v>227</v>
      </c>
      <c r="F356" s="557">
        <v>16</v>
      </c>
      <c r="G356" s="558">
        <v>0.1</v>
      </c>
      <c r="H356" s="559">
        <f>F356*G356</f>
        <v>1.6</v>
      </c>
      <c r="I356" s="857">
        <v>8</v>
      </c>
      <c r="J356" s="862">
        <v>0.1</v>
      </c>
      <c r="K356" s="857">
        <f>I356*J356</f>
        <v>0.8</v>
      </c>
      <c r="L356" s="857">
        <v>8</v>
      </c>
      <c r="M356" s="862">
        <v>0.1</v>
      </c>
      <c r="N356" s="857">
        <f>L356*M356</f>
        <v>0.8</v>
      </c>
      <c r="O356" s="857">
        <v>8</v>
      </c>
      <c r="P356" s="857">
        <v>0.1</v>
      </c>
      <c r="Q356" s="857">
        <f>P356*O356</f>
        <v>0.8</v>
      </c>
      <c r="R356" s="857">
        <f t="shared" si="62"/>
        <v>0.8</v>
      </c>
      <c r="S356" s="857"/>
      <c r="T356" s="857">
        <v>8</v>
      </c>
      <c r="U356" s="857">
        <v>0.1</v>
      </c>
      <c r="V356" s="857">
        <f>U356*T356</f>
        <v>0.8</v>
      </c>
      <c r="W356" s="857">
        <v>8</v>
      </c>
      <c r="X356" s="857">
        <v>0.1</v>
      </c>
      <c r="Y356" s="857">
        <f>X356*W356</f>
        <v>0.8</v>
      </c>
      <c r="Z356" s="559">
        <f t="shared" si="63"/>
        <v>0</v>
      </c>
      <c r="AA356" s="559">
        <f t="shared" si="61"/>
        <v>100</v>
      </c>
      <c r="AB356" s="893"/>
      <c r="AC356" s="491" t="s">
        <v>1665</v>
      </c>
      <c r="AF356" s="466"/>
      <c r="AG356" s="465"/>
      <c r="AH356" s="465"/>
    </row>
    <row r="357" spans="1:34" s="498" customFormat="1" hidden="1" x14ac:dyDescent="0.25">
      <c r="A357" s="962"/>
      <c r="B357" s="502" t="s">
        <v>1821</v>
      </c>
      <c r="C357" s="503"/>
      <c r="D357" s="903"/>
      <c r="E357" s="1031" t="s">
        <v>1240</v>
      </c>
      <c r="F357" s="557">
        <v>40</v>
      </c>
      <c r="G357" s="558">
        <v>0.08</v>
      </c>
      <c r="H357" s="559">
        <f>F357*G357</f>
        <v>3.2</v>
      </c>
      <c r="I357" s="857"/>
      <c r="J357" s="857"/>
      <c r="K357" s="857"/>
      <c r="L357" s="857"/>
      <c r="M357" s="857"/>
      <c r="N357" s="857"/>
      <c r="O357" s="857"/>
      <c r="P357" s="857"/>
      <c r="Q357" s="857"/>
      <c r="R357" s="857">
        <f t="shared" si="62"/>
        <v>0</v>
      </c>
      <c r="S357" s="857"/>
      <c r="T357" s="857"/>
      <c r="U357" s="857"/>
      <c r="V357" s="857"/>
      <c r="W357" s="857"/>
      <c r="X357" s="857"/>
      <c r="Y357" s="857"/>
      <c r="Z357" s="559">
        <f t="shared" si="63"/>
        <v>0</v>
      </c>
      <c r="AA357" s="559" t="str">
        <f t="shared" si="61"/>
        <v>-</v>
      </c>
      <c r="AB357" s="893"/>
      <c r="AC357" s="491" t="s">
        <v>1665</v>
      </c>
      <c r="AF357" s="466"/>
      <c r="AG357" s="465"/>
      <c r="AH357" s="465"/>
    </row>
    <row r="358" spans="1:34" s="498" customFormat="1" hidden="1" x14ac:dyDescent="0.25">
      <c r="A358" s="962"/>
      <c r="B358" s="500" t="s">
        <v>1963</v>
      </c>
      <c r="C358" s="501" t="s">
        <v>800</v>
      </c>
      <c r="D358" s="903"/>
      <c r="E358" s="1031"/>
      <c r="F358" s="557"/>
      <c r="G358" s="558"/>
      <c r="H358" s="559"/>
      <c r="I358" s="857"/>
      <c r="J358" s="857"/>
      <c r="K358" s="857"/>
      <c r="L358" s="857"/>
      <c r="M358" s="857"/>
      <c r="N358" s="857"/>
      <c r="O358" s="533"/>
      <c r="P358" s="533"/>
      <c r="Q358" s="533">
        <f>SUM(Q359:Q360)</f>
        <v>25</v>
      </c>
      <c r="R358" s="533">
        <f t="shared" si="62"/>
        <v>25</v>
      </c>
      <c r="S358" s="533"/>
      <c r="T358" s="533"/>
      <c r="U358" s="533"/>
      <c r="V358" s="533">
        <f>SUM(V359:V360)</f>
        <v>0</v>
      </c>
      <c r="W358" s="533"/>
      <c r="X358" s="533"/>
      <c r="Y358" s="533">
        <f>SUM(Y359:Y360)</f>
        <v>0</v>
      </c>
      <c r="Z358" s="559">
        <f t="shared" si="63"/>
        <v>25</v>
      </c>
      <c r="AA358" s="559" t="str">
        <f t="shared" si="61"/>
        <v>-</v>
      </c>
      <c r="AB358" s="893"/>
      <c r="AC358" s="491" t="s">
        <v>1665</v>
      </c>
      <c r="AF358" s="466"/>
      <c r="AG358" s="465"/>
      <c r="AH358" s="465"/>
    </row>
    <row r="359" spans="1:34" s="498" customFormat="1" ht="26.25" hidden="1" x14ac:dyDescent="0.25">
      <c r="A359" s="962"/>
      <c r="B359" s="502" t="s">
        <v>1964</v>
      </c>
      <c r="C359" s="501"/>
      <c r="D359" s="903"/>
      <c r="E359" s="882" t="s">
        <v>227</v>
      </c>
      <c r="F359" s="557"/>
      <c r="G359" s="558"/>
      <c r="H359" s="559"/>
      <c r="I359" s="857"/>
      <c r="J359" s="857"/>
      <c r="K359" s="857"/>
      <c r="L359" s="857"/>
      <c r="M359" s="857"/>
      <c r="N359" s="857"/>
      <c r="O359" s="857"/>
      <c r="P359" s="857"/>
      <c r="Q359" s="857"/>
      <c r="R359" s="857">
        <f t="shared" si="62"/>
        <v>0</v>
      </c>
      <c r="S359" s="857"/>
      <c r="T359" s="533"/>
      <c r="U359" s="533"/>
      <c r="V359" s="857">
        <f>U359*T359</f>
        <v>0</v>
      </c>
      <c r="W359" s="857"/>
      <c r="X359" s="857"/>
      <c r="Y359" s="857">
        <f>X359*W359</f>
        <v>0</v>
      </c>
      <c r="Z359" s="559">
        <f t="shared" si="63"/>
        <v>0</v>
      </c>
      <c r="AA359" s="559" t="str">
        <f t="shared" si="61"/>
        <v>-</v>
      </c>
      <c r="AB359" s="1940" t="s">
        <v>1965</v>
      </c>
      <c r="AC359" s="491" t="s">
        <v>1665</v>
      </c>
      <c r="AF359" s="466"/>
      <c r="AG359" s="465"/>
      <c r="AH359" s="465"/>
    </row>
    <row r="360" spans="1:34" s="498" customFormat="1" ht="26.25" hidden="1" x14ac:dyDescent="0.25">
      <c r="A360" s="962"/>
      <c r="B360" s="502" t="s">
        <v>1966</v>
      </c>
      <c r="C360" s="501"/>
      <c r="D360" s="903"/>
      <c r="E360" s="882" t="s">
        <v>227</v>
      </c>
      <c r="F360" s="557"/>
      <c r="G360" s="558"/>
      <c r="H360" s="559"/>
      <c r="I360" s="857"/>
      <c r="J360" s="857"/>
      <c r="K360" s="857"/>
      <c r="L360" s="857"/>
      <c r="M360" s="857"/>
      <c r="N360" s="857"/>
      <c r="O360" s="857">
        <v>1</v>
      </c>
      <c r="P360" s="857">
        <v>25</v>
      </c>
      <c r="Q360" s="857">
        <f>P360*O360</f>
        <v>25</v>
      </c>
      <c r="R360" s="857">
        <f t="shared" si="62"/>
        <v>25</v>
      </c>
      <c r="S360" s="857"/>
      <c r="T360" s="533"/>
      <c r="U360" s="533"/>
      <c r="V360" s="857">
        <f>U360*T360</f>
        <v>0</v>
      </c>
      <c r="W360" s="857"/>
      <c r="X360" s="857"/>
      <c r="Y360" s="857">
        <f>X360*W360</f>
        <v>0</v>
      </c>
      <c r="Z360" s="559">
        <f t="shared" si="63"/>
        <v>25</v>
      </c>
      <c r="AA360" s="559" t="str">
        <f t="shared" si="61"/>
        <v>-</v>
      </c>
      <c r="AB360" s="1940" t="s">
        <v>1967</v>
      </c>
      <c r="AC360" s="491" t="s">
        <v>1665</v>
      </c>
      <c r="AF360" s="466"/>
      <c r="AG360" s="465"/>
      <c r="AH360" s="465"/>
    </row>
    <row r="361" spans="1:34" s="492" customFormat="1" ht="14.25" hidden="1" x14ac:dyDescent="0.2">
      <c r="A361" s="1240"/>
      <c r="B361" s="500" t="s">
        <v>1233</v>
      </c>
      <c r="C361" s="501" t="s">
        <v>1230</v>
      </c>
      <c r="D361" s="932"/>
      <c r="E361" s="842"/>
      <c r="F361" s="828"/>
      <c r="G361" s="829"/>
      <c r="H361" s="542">
        <f>SUM(H362:H368)</f>
        <v>25.9</v>
      </c>
      <c r="I361" s="533"/>
      <c r="J361" s="533"/>
      <c r="K361" s="533">
        <f>SUM(K362:K368)</f>
        <v>28.7</v>
      </c>
      <c r="L361" s="533"/>
      <c r="M361" s="533"/>
      <c r="N361" s="533">
        <f>SUM(N362:N368)</f>
        <v>28.7</v>
      </c>
      <c r="O361" s="533"/>
      <c r="P361" s="533"/>
      <c r="Q361" s="533">
        <f>SUM(Q362:Q368)</f>
        <v>35.700000000000003</v>
      </c>
      <c r="R361" s="533">
        <f t="shared" si="62"/>
        <v>35.700000000000003</v>
      </c>
      <c r="S361" s="533"/>
      <c r="T361" s="533"/>
      <c r="U361" s="533"/>
      <c r="V361" s="533">
        <f>SUM(V362:V368)</f>
        <v>35.700000000000003</v>
      </c>
      <c r="W361" s="533"/>
      <c r="X361" s="533"/>
      <c r="Y361" s="533">
        <f>SUM(Y362:Y368)</f>
        <v>35.700000000000003</v>
      </c>
      <c r="Z361" s="542">
        <f t="shared" si="63"/>
        <v>7</v>
      </c>
      <c r="AA361" s="542">
        <f t="shared" si="61"/>
        <v>124.4</v>
      </c>
      <c r="AB361" s="893"/>
      <c r="AC361" s="491" t="s">
        <v>1665</v>
      </c>
      <c r="AF361" s="466"/>
      <c r="AG361" s="466"/>
      <c r="AH361" s="466"/>
    </row>
    <row r="362" spans="1:34" s="498" customFormat="1" hidden="1" x14ac:dyDescent="0.25">
      <c r="A362" s="962"/>
      <c r="B362" s="502" t="s">
        <v>1737</v>
      </c>
      <c r="C362" s="503"/>
      <c r="D362" s="903"/>
      <c r="E362" s="1031" t="s">
        <v>318</v>
      </c>
      <c r="F362" s="557">
        <v>1</v>
      </c>
      <c r="G362" s="558">
        <v>3.5</v>
      </c>
      <c r="H362" s="559">
        <f>F362*G362</f>
        <v>3.5</v>
      </c>
      <c r="I362" s="857">
        <v>1</v>
      </c>
      <c r="J362" s="857">
        <v>3.5</v>
      </c>
      <c r="K362" s="857">
        <f>I362*J362</f>
        <v>3.5</v>
      </c>
      <c r="L362" s="857">
        <v>1</v>
      </c>
      <c r="M362" s="857">
        <v>3.5</v>
      </c>
      <c r="N362" s="857">
        <f>L362*M362</f>
        <v>3.5</v>
      </c>
      <c r="O362" s="857">
        <v>1</v>
      </c>
      <c r="P362" s="857">
        <v>3.5</v>
      </c>
      <c r="Q362" s="857">
        <f>P362*O362</f>
        <v>3.5</v>
      </c>
      <c r="R362" s="857">
        <f t="shared" si="62"/>
        <v>3.5</v>
      </c>
      <c r="S362" s="857"/>
      <c r="T362" s="857">
        <v>1</v>
      </c>
      <c r="U362" s="857">
        <v>3.5</v>
      </c>
      <c r="V362" s="857">
        <f>U362*T362</f>
        <v>3.5</v>
      </c>
      <c r="W362" s="857">
        <v>1</v>
      </c>
      <c r="X362" s="857">
        <v>3.5</v>
      </c>
      <c r="Y362" s="857">
        <f>X362*W362</f>
        <v>3.5</v>
      </c>
      <c r="Z362" s="559">
        <f t="shared" si="63"/>
        <v>0</v>
      </c>
      <c r="AA362" s="559">
        <f t="shared" si="61"/>
        <v>100</v>
      </c>
      <c r="AB362" s="893"/>
      <c r="AC362" s="491" t="s">
        <v>1665</v>
      </c>
      <c r="AF362" s="466"/>
      <c r="AG362" s="465"/>
      <c r="AH362" s="465"/>
    </row>
    <row r="363" spans="1:34" s="498" customFormat="1" hidden="1" x14ac:dyDescent="0.25">
      <c r="A363" s="962"/>
      <c r="B363" s="502" t="s">
        <v>1968</v>
      </c>
      <c r="C363" s="503"/>
      <c r="D363" s="903"/>
      <c r="E363" s="1031" t="s">
        <v>318</v>
      </c>
      <c r="F363" s="557">
        <v>6</v>
      </c>
      <c r="G363" s="558">
        <v>1.8</v>
      </c>
      <c r="H363" s="559">
        <f>F363*G363</f>
        <v>10.8</v>
      </c>
      <c r="I363" s="857">
        <v>6</v>
      </c>
      <c r="J363" s="857">
        <v>1.8</v>
      </c>
      <c r="K363" s="857">
        <f>I363*J363</f>
        <v>10.8</v>
      </c>
      <c r="L363" s="857">
        <v>6</v>
      </c>
      <c r="M363" s="857">
        <v>1.8</v>
      </c>
      <c r="N363" s="857">
        <f>L363*M363</f>
        <v>10.8</v>
      </c>
      <c r="O363" s="857">
        <v>6</v>
      </c>
      <c r="P363" s="857">
        <v>1.8</v>
      </c>
      <c r="Q363" s="857">
        <f>P363*O363</f>
        <v>10.8</v>
      </c>
      <c r="R363" s="857">
        <f t="shared" si="62"/>
        <v>10.8</v>
      </c>
      <c r="S363" s="857"/>
      <c r="T363" s="857">
        <v>6</v>
      </c>
      <c r="U363" s="857">
        <v>1.8</v>
      </c>
      <c r="V363" s="857">
        <f>U363*T363</f>
        <v>10.8</v>
      </c>
      <c r="W363" s="857">
        <v>6</v>
      </c>
      <c r="X363" s="857">
        <v>1.8</v>
      </c>
      <c r="Y363" s="857">
        <f>X363*W363</f>
        <v>10.8</v>
      </c>
      <c r="Z363" s="559">
        <f t="shared" si="63"/>
        <v>0</v>
      </c>
      <c r="AA363" s="559">
        <f t="shared" si="61"/>
        <v>100</v>
      </c>
      <c r="AB363" s="893"/>
      <c r="AC363" s="491" t="s">
        <v>1665</v>
      </c>
      <c r="AF363" s="466"/>
      <c r="AG363" s="465"/>
      <c r="AH363" s="465"/>
    </row>
    <row r="364" spans="1:34" s="498" customFormat="1" hidden="1" x14ac:dyDescent="0.25">
      <c r="A364" s="962"/>
      <c r="B364" s="502" t="s">
        <v>1366</v>
      </c>
      <c r="C364" s="501"/>
      <c r="D364" s="903"/>
      <c r="E364" s="1031" t="s">
        <v>318</v>
      </c>
      <c r="F364" s="557">
        <v>4</v>
      </c>
      <c r="G364" s="558">
        <v>1.73</v>
      </c>
      <c r="H364" s="559">
        <f>F364*G364</f>
        <v>6.9</v>
      </c>
      <c r="I364" s="857">
        <v>4</v>
      </c>
      <c r="J364" s="857">
        <v>1.7</v>
      </c>
      <c r="K364" s="857">
        <f>I364*J364</f>
        <v>6.8</v>
      </c>
      <c r="L364" s="857">
        <v>4</v>
      </c>
      <c r="M364" s="857">
        <v>1.7</v>
      </c>
      <c r="N364" s="857">
        <f>L364*M364</f>
        <v>6.8</v>
      </c>
      <c r="O364" s="857">
        <v>4</v>
      </c>
      <c r="P364" s="857">
        <v>1.7</v>
      </c>
      <c r="Q364" s="857">
        <f>P364*O364</f>
        <v>6.8</v>
      </c>
      <c r="R364" s="857">
        <f t="shared" si="62"/>
        <v>6.8</v>
      </c>
      <c r="S364" s="857"/>
      <c r="T364" s="857">
        <v>4</v>
      </c>
      <c r="U364" s="857">
        <v>1.7</v>
      </c>
      <c r="V364" s="857">
        <f>U364*T364</f>
        <v>6.8</v>
      </c>
      <c r="W364" s="857">
        <v>4</v>
      </c>
      <c r="X364" s="857">
        <v>1.7</v>
      </c>
      <c r="Y364" s="857">
        <f>X364*W364</f>
        <v>6.8</v>
      </c>
      <c r="Z364" s="559">
        <f t="shared" si="63"/>
        <v>0</v>
      </c>
      <c r="AA364" s="559">
        <f t="shared" si="61"/>
        <v>100</v>
      </c>
      <c r="AB364" s="893"/>
      <c r="AC364" s="491" t="s">
        <v>1665</v>
      </c>
      <c r="AF364" s="466"/>
      <c r="AG364" s="465"/>
      <c r="AH364" s="465"/>
    </row>
    <row r="365" spans="1:34" s="498" customFormat="1" hidden="1" x14ac:dyDescent="0.25">
      <c r="A365" s="962"/>
      <c r="B365" s="502" t="s">
        <v>1825</v>
      </c>
      <c r="C365" s="501"/>
      <c r="D365" s="903"/>
      <c r="E365" s="1031"/>
      <c r="F365" s="557"/>
      <c r="G365" s="558"/>
      <c r="H365" s="559"/>
      <c r="I365" s="857">
        <v>1</v>
      </c>
      <c r="J365" s="857">
        <v>1.5</v>
      </c>
      <c r="K365" s="857">
        <f>I365*J365</f>
        <v>1.5</v>
      </c>
      <c r="L365" s="857">
        <v>1</v>
      </c>
      <c r="M365" s="857">
        <v>1.5</v>
      </c>
      <c r="N365" s="857">
        <f>L365*M365</f>
        <v>1.5</v>
      </c>
      <c r="O365" s="857"/>
      <c r="P365" s="857"/>
      <c r="Q365" s="857"/>
      <c r="R365" s="857">
        <f t="shared" si="62"/>
        <v>0</v>
      </c>
      <c r="S365" s="857"/>
      <c r="T365" s="857"/>
      <c r="U365" s="857"/>
      <c r="V365" s="857"/>
      <c r="W365" s="857"/>
      <c r="X365" s="857"/>
      <c r="Y365" s="857"/>
      <c r="Z365" s="559">
        <f t="shared" si="63"/>
        <v>-1.5</v>
      </c>
      <c r="AA365" s="559">
        <f t="shared" si="61"/>
        <v>0</v>
      </c>
      <c r="AB365" s="1924"/>
      <c r="AC365" s="491" t="s">
        <v>1665</v>
      </c>
      <c r="AF365" s="466"/>
      <c r="AG365" s="465"/>
      <c r="AH365" s="465"/>
    </row>
    <row r="366" spans="1:34" s="498" customFormat="1" hidden="1" x14ac:dyDescent="0.25">
      <c r="A366" s="962"/>
      <c r="B366" s="1885" t="s">
        <v>1969</v>
      </c>
      <c r="C366" s="826"/>
      <c r="D366" s="1926"/>
      <c r="E366" s="1930" t="s">
        <v>318</v>
      </c>
      <c r="F366" s="1929"/>
      <c r="G366" s="1929"/>
      <c r="H366" s="1929"/>
      <c r="I366" s="1929"/>
      <c r="J366" s="1929"/>
      <c r="K366" s="1929"/>
      <c r="L366" s="1929"/>
      <c r="M366" s="1941"/>
      <c r="N366" s="1929"/>
      <c r="O366" s="1929">
        <v>1</v>
      </c>
      <c r="P366" s="1929">
        <v>3.5</v>
      </c>
      <c r="Q366" s="1942">
        <f>O366*P366</f>
        <v>3.5</v>
      </c>
      <c r="R366" s="1942">
        <f t="shared" si="62"/>
        <v>3.5</v>
      </c>
      <c r="S366" s="1942"/>
      <c r="T366" s="1929">
        <v>1</v>
      </c>
      <c r="U366" s="1929">
        <v>3.5</v>
      </c>
      <c r="V366" s="1942">
        <f>T366*U366</f>
        <v>3.5</v>
      </c>
      <c r="W366" s="1929">
        <v>1</v>
      </c>
      <c r="X366" s="1929">
        <v>3.5</v>
      </c>
      <c r="Y366" s="1942">
        <f>W366*X366</f>
        <v>3.5</v>
      </c>
      <c r="Z366" s="1929">
        <f t="shared" si="63"/>
        <v>3.5</v>
      </c>
      <c r="AA366" s="1929" t="str">
        <f t="shared" si="61"/>
        <v>-</v>
      </c>
      <c r="AB366" s="3514" t="s">
        <v>1885</v>
      </c>
      <c r="AC366" s="491" t="s">
        <v>1665</v>
      </c>
      <c r="AF366" s="466"/>
      <c r="AG366" s="465"/>
      <c r="AH366" s="465"/>
    </row>
    <row r="367" spans="1:34" s="498" customFormat="1" hidden="1" x14ac:dyDescent="0.25">
      <c r="A367" s="962"/>
      <c r="B367" s="1885" t="s">
        <v>1970</v>
      </c>
      <c r="C367" s="826"/>
      <c r="D367" s="1926"/>
      <c r="E367" s="1930" t="s">
        <v>318</v>
      </c>
      <c r="F367" s="1929"/>
      <c r="G367" s="1929"/>
      <c r="H367" s="1929"/>
      <c r="I367" s="1929"/>
      <c r="J367" s="1929"/>
      <c r="K367" s="1929"/>
      <c r="L367" s="1929"/>
      <c r="M367" s="1941"/>
      <c r="N367" s="1929"/>
      <c r="O367" s="1929">
        <v>1</v>
      </c>
      <c r="P367" s="1929">
        <v>3.5</v>
      </c>
      <c r="Q367" s="1942">
        <f>O367*P367</f>
        <v>3.5</v>
      </c>
      <c r="R367" s="1942">
        <f t="shared" si="62"/>
        <v>3.5</v>
      </c>
      <c r="S367" s="1942"/>
      <c r="T367" s="1929">
        <v>1</v>
      </c>
      <c r="U367" s="1929">
        <v>3.5</v>
      </c>
      <c r="V367" s="1942">
        <f>T367*U367</f>
        <v>3.5</v>
      </c>
      <c r="W367" s="1929">
        <v>1</v>
      </c>
      <c r="X367" s="1929">
        <v>3.5</v>
      </c>
      <c r="Y367" s="1942">
        <f>W367*X367</f>
        <v>3.5</v>
      </c>
      <c r="Z367" s="1929">
        <f t="shared" si="63"/>
        <v>3.5</v>
      </c>
      <c r="AA367" s="1929" t="str">
        <f t="shared" si="61"/>
        <v>-</v>
      </c>
      <c r="AB367" s="3516"/>
      <c r="AC367" s="491" t="s">
        <v>1665</v>
      </c>
      <c r="AF367" s="466"/>
      <c r="AG367" s="465"/>
      <c r="AH367" s="465"/>
    </row>
    <row r="368" spans="1:34" s="498" customFormat="1" hidden="1" x14ac:dyDescent="0.25">
      <c r="A368" s="962"/>
      <c r="B368" s="502" t="s">
        <v>1971</v>
      </c>
      <c r="C368" s="503"/>
      <c r="D368" s="903"/>
      <c r="E368" s="1031"/>
      <c r="F368" s="557"/>
      <c r="G368" s="558"/>
      <c r="H368" s="559">
        <v>4.7</v>
      </c>
      <c r="I368" s="857"/>
      <c r="J368" s="857"/>
      <c r="K368" s="857">
        <f>(K362+K363+K364+K365)*27.1/100</f>
        <v>6.1</v>
      </c>
      <c r="L368" s="857"/>
      <c r="M368" s="857"/>
      <c r="N368" s="857">
        <f>(N362+N363+N364+N365)*27.1/100</f>
        <v>6.1</v>
      </c>
      <c r="O368" s="857"/>
      <c r="P368" s="857"/>
      <c r="Q368" s="857">
        <f>SUM(Q362:Q367)*0.271</f>
        <v>7.6</v>
      </c>
      <c r="R368" s="857">
        <f t="shared" si="62"/>
        <v>7.6</v>
      </c>
      <c r="S368" s="857"/>
      <c r="T368" s="857"/>
      <c r="U368" s="857"/>
      <c r="V368" s="857">
        <f>SUM(V362:V367)*0.271</f>
        <v>7.6</v>
      </c>
      <c r="W368" s="857"/>
      <c r="X368" s="857"/>
      <c r="Y368" s="857">
        <f>SUM(Y362:Y367)*0.271</f>
        <v>7.6</v>
      </c>
      <c r="Z368" s="559">
        <f t="shared" si="63"/>
        <v>1.5</v>
      </c>
      <c r="AA368" s="559">
        <f t="shared" si="61"/>
        <v>124.6</v>
      </c>
      <c r="AB368" s="893"/>
      <c r="AC368" s="491" t="s">
        <v>1665</v>
      </c>
      <c r="AF368" s="466"/>
      <c r="AG368" s="465"/>
      <c r="AH368" s="465"/>
    </row>
    <row r="369" spans="1:34" s="492" customFormat="1" ht="25.5" hidden="1" x14ac:dyDescent="0.2">
      <c r="A369" s="1240"/>
      <c r="B369" s="500" t="s">
        <v>1972</v>
      </c>
      <c r="C369" s="501" t="s">
        <v>800</v>
      </c>
      <c r="D369" s="932"/>
      <c r="E369" s="842" t="s">
        <v>227</v>
      </c>
      <c r="F369" s="828">
        <v>1</v>
      </c>
      <c r="G369" s="829">
        <v>3.5</v>
      </c>
      <c r="H369" s="542">
        <f>F369*G369</f>
        <v>3.5</v>
      </c>
      <c r="I369" s="533">
        <v>1</v>
      </c>
      <c r="J369" s="533">
        <v>3.5</v>
      </c>
      <c r="K369" s="533">
        <f>I369*J369</f>
        <v>3.5</v>
      </c>
      <c r="L369" s="533">
        <v>1</v>
      </c>
      <c r="M369" s="533">
        <v>3.5</v>
      </c>
      <c r="N369" s="533">
        <f>L369*M369</f>
        <v>3.5</v>
      </c>
      <c r="O369" s="533">
        <v>1</v>
      </c>
      <c r="P369" s="533">
        <v>3.5</v>
      </c>
      <c r="Q369" s="533">
        <f>O369*P369</f>
        <v>3.5</v>
      </c>
      <c r="R369" s="533">
        <f t="shared" si="62"/>
        <v>3.5</v>
      </c>
      <c r="S369" s="533"/>
      <c r="T369" s="533">
        <v>1</v>
      </c>
      <c r="U369" s="533">
        <v>3.5</v>
      </c>
      <c r="V369" s="533">
        <f>T369*U369</f>
        <v>3.5</v>
      </c>
      <c r="W369" s="533">
        <v>1</v>
      </c>
      <c r="X369" s="533">
        <v>3.5</v>
      </c>
      <c r="Y369" s="533">
        <f>W369*X369</f>
        <v>3.5</v>
      </c>
      <c r="Z369" s="542">
        <f t="shared" si="63"/>
        <v>0</v>
      </c>
      <c r="AA369" s="542">
        <f t="shared" si="61"/>
        <v>100</v>
      </c>
      <c r="AB369" s="893"/>
      <c r="AC369" s="491" t="s">
        <v>1665</v>
      </c>
      <c r="AF369" s="466"/>
      <c r="AG369" s="466"/>
      <c r="AH369" s="466"/>
    </row>
    <row r="370" spans="1:34" s="492" customFormat="1" ht="14.25" hidden="1" x14ac:dyDescent="0.2">
      <c r="A370" s="1240"/>
      <c r="B370" s="865" t="s">
        <v>1973</v>
      </c>
      <c r="C370" s="501" t="s">
        <v>797</v>
      </c>
      <c r="D370" s="932"/>
      <c r="E370" s="842" t="s">
        <v>227</v>
      </c>
      <c r="F370" s="828">
        <v>34</v>
      </c>
      <c r="G370" s="829">
        <v>0.1</v>
      </c>
      <c r="H370" s="542">
        <f>F370*G370</f>
        <v>3.4</v>
      </c>
      <c r="I370" s="533">
        <v>34</v>
      </c>
      <c r="J370" s="533">
        <v>0.1</v>
      </c>
      <c r="K370" s="533">
        <f>I370*J370</f>
        <v>3.4</v>
      </c>
      <c r="L370" s="533">
        <v>34</v>
      </c>
      <c r="M370" s="533">
        <v>0.1</v>
      </c>
      <c r="N370" s="533">
        <f>L370*M370</f>
        <v>3.4</v>
      </c>
      <c r="O370" s="533">
        <v>30</v>
      </c>
      <c r="P370" s="533">
        <v>0.1</v>
      </c>
      <c r="Q370" s="533">
        <f>O370*P370</f>
        <v>3</v>
      </c>
      <c r="R370" s="533">
        <f t="shared" si="62"/>
        <v>3</v>
      </c>
      <c r="S370" s="533"/>
      <c r="T370" s="533">
        <v>30</v>
      </c>
      <c r="U370" s="533">
        <v>0.1</v>
      </c>
      <c r="V370" s="533">
        <f>T370*U370</f>
        <v>3</v>
      </c>
      <c r="W370" s="533">
        <v>30</v>
      </c>
      <c r="X370" s="533">
        <v>0.1</v>
      </c>
      <c r="Y370" s="533">
        <f>W370*X370</f>
        <v>3</v>
      </c>
      <c r="Z370" s="542">
        <f t="shared" si="63"/>
        <v>-0.4</v>
      </c>
      <c r="AA370" s="542">
        <f t="shared" ref="AA370:AA395" si="64">IFERROR(Q370/K370*100,"-")</f>
        <v>88.2</v>
      </c>
      <c r="AB370" s="893"/>
      <c r="AC370" s="491" t="s">
        <v>1665</v>
      </c>
      <c r="AF370" s="466"/>
      <c r="AG370" s="466"/>
      <c r="AH370" s="466"/>
    </row>
    <row r="371" spans="1:34" s="492" customFormat="1" ht="14.25" hidden="1" x14ac:dyDescent="0.2">
      <c r="A371" s="1240"/>
      <c r="B371" s="865" t="s">
        <v>1226</v>
      </c>
      <c r="C371" s="508" t="s">
        <v>797</v>
      </c>
      <c r="D371" s="932"/>
      <c r="E371" s="842"/>
      <c r="F371" s="828"/>
      <c r="G371" s="829"/>
      <c r="H371" s="542">
        <f>SUM(H372:H373)</f>
        <v>13.6</v>
      </c>
      <c r="I371" s="533"/>
      <c r="J371" s="533"/>
      <c r="K371" s="533">
        <f>SUM(K372:K373)</f>
        <v>7.5</v>
      </c>
      <c r="L371" s="533"/>
      <c r="M371" s="533"/>
      <c r="N371" s="533">
        <f>SUM(N372:N373)</f>
        <v>7.5</v>
      </c>
      <c r="O371" s="533"/>
      <c r="P371" s="533"/>
      <c r="Q371" s="533">
        <f>SUM(Q372:Q373)</f>
        <v>7.5</v>
      </c>
      <c r="R371" s="533">
        <f t="shared" si="62"/>
        <v>7.5</v>
      </c>
      <c r="S371" s="533"/>
      <c r="T371" s="533"/>
      <c r="U371" s="533"/>
      <c r="V371" s="533">
        <f>SUM(V372:V373)</f>
        <v>7.5</v>
      </c>
      <c r="W371" s="533"/>
      <c r="X371" s="533"/>
      <c r="Y371" s="533">
        <f>SUM(Y372:Y373)</f>
        <v>7.5</v>
      </c>
      <c r="Z371" s="542">
        <f t="shared" si="63"/>
        <v>0</v>
      </c>
      <c r="AA371" s="542">
        <f t="shared" si="64"/>
        <v>100</v>
      </c>
      <c r="AB371" s="893"/>
      <c r="AC371" s="491" t="s">
        <v>1665</v>
      </c>
      <c r="AF371" s="466"/>
      <c r="AG371" s="466"/>
      <c r="AH371" s="466"/>
    </row>
    <row r="372" spans="1:34" s="498" customFormat="1" hidden="1" x14ac:dyDescent="0.25">
      <c r="A372" s="962"/>
      <c r="B372" s="502" t="s">
        <v>1974</v>
      </c>
      <c r="C372" s="503"/>
      <c r="D372" s="903"/>
      <c r="E372" s="1031" t="s">
        <v>227</v>
      </c>
      <c r="F372" s="557">
        <v>15</v>
      </c>
      <c r="G372" s="558">
        <v>0.6</v>
      </c>
      <c r="H372" s="559">
        <f>F372*G372</f>
        <v>9</v>
      </c>
      <c r="I372" s="857">
        <v>15</v>
      </c>
      <c r="J372" s="857">
        <v>0.3</v>
      </c>
      <c r="K372" s="857">
        <f>I372*J372</f>
        <v>4.5</v>
      </c>
      <c r="L372" s="857">
        <v>15</v>
      </c>
      <c r="M372" s="857">
        <v>0.3</v>
      </c>
      <c r="N372" s="857">
        <f>L372*M372</f>
        <v>4.5</v>
      </c>
      <c r="O372" s="857">
        <v>15</v>
      </c>
      <c r="P372" s="857">
        <v>0.3</v>
      </c>
      <c r="Q372" s="857">
        <f>O372*P372</f>
        <v>4.5</v>
      </c>
      <c r="R372" s="857">
        <f t="shared" si="62"/>
        <v>4.5</v>
      </c>
      <c r="S372" s="857"/>
      <c r="T372" s="857">
        <v>15</v>
      </c>
      <c r="U372" s="857">
        <v>0.3</v>
      </c>
      <c r="V372" s="857">
        <f>T372*U372</f>
        <v>4.5</v>
      </c>
      <c r="W372" s="857">
        <v>15</v>
      </c>
      <c r="X372" s="857">
        <v>0.3</v>
      </c>
      <c r="Y372" s="857">
        <f>W372*X372</f>
        <v>4.5</v>
      </c>
      <c r="Z372" s="559">
        <f t="shared" si="63"/>
        <v>0</v>
      </c>
      <c r="AA372" s="559">
        <f t="shared" si="64"/>
        <v>100</v>
      </c>
      <c r="AB372" s="893"/>
      <c r="AC372" s="491" t="s">
        <v>1665</v>
      </c>
      <c r="AF372" s="466"/>
      <c r="AG372" s="465"/>
      <c r="AH372" s="465"/>
    </row>
    <row r="373" spans="1:34" s="498" customFormat="1" hidden="1" x14ac:dyDescent="0.25">
      <c r="A373" s="962"/>
      <c r="B373" s="502" t="s">
        <v>1909</v>
      </c>
      <c r="C373" s="503"/>
      <c r="D373" s="903"/>
      <c r="E373" s="1031" t="s">
        <v>1240</v>
      </c>
      <c r="F373" s="557">
        <v>23</v>
      </c>
      <c r="G373" s="558">
        <v>0.2</v>
      </c>
      <c r="H373" s="559">
        <f>F373*G373</f>
        <v>4.5999999999999996</v>
      </c>
      <c r="I373" s="857">
        <v>15</v>
      </c>
      <c r="J373" s="857">
        <v>0.2</v>
      </c>
      <c r="K373" s="857">
        <f>I373*J373</f>
        <v>3</v>
      </c>
      <c r="L373" s="857">
        <v>15</v>
      </c>
      <c r="M373" s="857">
        <v>0.2</v>
      </c>
      <c r="N373" s="857">
        <f>L373*M373</f>
        <v>3</v>
      </c>
      <c r="O373" s="857">
        <v>15</v>
      </c>
      <c r="P373" s="857">
        <v>0.2</v>
      </c>
      <c r="Q373" s="857">
        <f>O373*P373</f>
        <v>3</v>
      </c>
      <c r="R373" s="857">
        <f t="shared" si="62"/>
        <v>3</v>
      </c>
      <c r="S373" s="857"/>
      <c r="T373" s="857">
        <v>15</v>
      </c>
      <c r="U373" s="857">
        <v>0.2</v>
      </c>
      <c r="V373" s="857">
        <f>T373*U373</f>
        <v>3</v>
      </c>
      <c r="W373" s="857">
        <v>15</v>
      </c>
      <c r="X373" s="857">
        <v>0.2</v>
      </c>
      <c r="Y373" s="857">
        <f>W373*X373</f>
        <v>3</v>
      </c>
      <c r="Z373" s="559">
        <f t="shared" si="63"/>
        <v>0</v>
      </c>
      <c r="AA373" s="559">
        <f t="shared" si="64"/>
        <v>100</v>
      </c>
      <c r="AB373" s="893"/>
      <c r="AC373" s="491" t="s">
        <v>1665</v>
      </c>
      <c r="AF373" s="466"/>
      <c r="AG373" s="465"/>
      <c r="AH373" s="465"/>
    </row>
    <row r="374" spans="1:34" s="492" customFormat="1" ht="14.25" hidden="1" x14ac:dyDescent="0.2">
      <c r="A374" s="1240"/>
      <c r="B374" s="500" t="s">
        <v>1227</v>
      </c>
      <c r="C374" s="501" t="s">
        <v>1237</v>
      </c>
      <c r="D374" s="932"/>
      <c r="E374" s="842" t="s">
        <v>1829</v>
      </c>
      <c r="F374" s="828">
        <v>3</v>
      </c>
      <c r="G374" s="829">
        <v>2.5</v>
      </c>
      <c r="H374" s="542">
        <f>F374*G374</f>
        <v>7.5</v>
      </c>
      <c r="I374" s="533">
        <v>3</v>
      </c>
      <c r="J374" s="533">
        <v>2.5</v>
      </c>
      <c r="K374" s="533">
        <f>I374*J374</f>
        <v>7.5</v>
      </c>
      <c r="L374" s="533">
        <v>3</v>
      </c>
      <c r="M374" s="533">
        <v>2.5</v>
      </c>
      <c r="N374" s="533">
        <f>L374*M374</f>
        <v>7.5</v>
      </c>
      <c r="O374" s="533">
        <v>3</v>
      </c>
      <c r="P374" s="533">
        <v>2.5</v>
      </c>
      <c r="Q374" s="533">
        <f>O374*P374</f>
        <v>7.5</v>
      </c>
      <c r="R374" s="533">
        <f t="shared" si="62"/>
        <v>7.5</v>
      </c>
      <c r="S374" s="533"/>
      <c r="T374" s="533">
        <v>3</v>
      </c>
      <c r="U374" s="533">
        <v>2.5</v>
      </c>
      <c r="V374" s="533">
        <f>T374*U374</f>
        <v>7.5</v>
      </c>
      <c r="W374" s="533">
        <v>3</v>
      </c>
      <c r="X374" s="533">
        <v>2.5</v>
      </c>
      <c r="Y374" s="533">
        <f>W374*X374</f>
        <v>7.5</v>
      </c>
      <c r="Z374" s="542">
        <f t="shared" si="63"/>
        <v>0</v>
      </c>
      <c r="AA374" s="542">
        <f t="shared" si="64"/>
        <v>100</v>
      </c>
      <c r="AB374" s="893"/>
      <c r="AC374" s="491" t="s">
        <v>1665</v>
      </c>
      <c r="AF374" s="466"/>
      <c r="AG374" s="466"/>
      <c r="AH374" s="466"/>
    </row>
    <row r="375" spans="1:34" s="871" customFormat="1" ht="14.25" hidden="1" x14ac:dyDescent="0.2">
      <c r="A375" s="869"/>
      <c r="B375" s="917" t="s">
        <v>1375</v>
      </c>
      <c r="C375" s="868"/>
      <c r="D375" s="869"/>
      <c r="E375" s="870"/>
      <c r="F375" s="918"/>
      <c r="G375" s="919"/>
      <c r="H375" s="886">
        <f>H380+H386+H392+H393+H394+H395</f>
        <v>116.5</v>
      </c>
      <c r="I375" s="886"/>
      <c r="J375" s="886"/>
      <c r="K375" s="886">
        <f>K380+K386+K392+K393+K394+K395</f>
        <v>69.400000000000006</v>
      </c>
      <c r="L375" s="886"/>
      <c r="M375" s="886"/>
      <c r="N375" s="886">
        <f>N380+N386+N392+N393+N394+N395</f>
        <v>69.400000000000006</v>
      </c>
      <c r="O375" s="886"/>
      <c r="P375" s="886"/>
      <c r="Q375" s="886">
        <f>Q376+Q380+Q386+Q392+Q393+Q394+Q395</f>
        <v>127.9</v>
      </c>
      <c r="R375" s="886">
        <f t="shared" si="62"/>
        <v>127.9</v>
      </c>
      <c r="S375" s="886"/>
      <c r="T375" s="886"/>
      <c r="U375" s="886"/>
      <c r="V375" s="886">
        <f>V376+V380+V386+V392+V393+V394+V395</f>
        <v>143.69999999999999</v>
      </c>
      <c r="W375" s="886"/>
      <c r="X375" s="886"/>
      <c r="Y375" s="886">
        <f>Y376+Y380+Y386+Y392+Y393+Y394+Y395</f>
        <v>143.69999999999999</v>
      </c>
      <c r="Z375" s="886">
        <f t="shared" si="63"/>
        <v>58.5</v>
      </c>
      <c r="AA375" s="886">
        <f t="shared" si="64"/>
        <v>184.3</v>
      </c>
      <c r="AB375" s="896"/>
      <c r="AC375" s="920" t="s">
        <v>1665</v>
      </c>
      <c r="AF375" s="872"/>
      <c r="AG375" s="872"/>
      <c r="AH375" s="872"/>
    </row>
    <row r="376" spans="1:34" s="492" customFormat="1" ht="14.25" hidden="1" x14ac:dyDescent="0.2">
      <c r="A376" s="1240"/>
      <c r="B376" s="500" t="s">
        <v>1233</v>
      </c>
      <c r="C376" s="501" t="s">
        <v>1230</v>
      </c>
      <c r="D376" s="1240"/>
      <c r="E376" s="842"/>
      <c r="F376" s="828"/>
      <c r="G376" s="829"/>
      <c r="H376" s="542"/>
      <c r="I376" s="542"/>
      <c r="J376" s="542"/>
      <c r="K376" s="542"/>
      <c r="L376" s="542"/>
      <c r="M376" s="542"/>
      <c r="N376" s="542"/>
      <c r="O376" s="533"/>
      <c r="P376" s="533"/>
      <c r="Q376" s="533">
        <f>SUM(Q377:Q379)</f>
        <v>6.4</v>
      </c>
      <c r="R376" s="533">
        <f t="shared" si="62"/>
        <v>6.4</v>
      </c>
      <c r="S376" s="533"/>
      <c r="T376" s="533"/>
      <c r="U376" s="533"/>
      <c r="V376" s="533">
        <f>SUM(V377:V379)</f>
        <v>12.2</v>
      </c>
      <c r="W376" s="533"/>
      <c r="X376" s="533"/>
      <c r="Y376" s="533">
        <f>SUM(Y377:Y379)</f>
        <v>12.2</v>
      </c>
      <c r="Z376" s="542">
        <f t="shared" si="63"/>
        <v>6.4</v>
      </c>
      <c r="AA376" s="542" t="str">
        <f t="shared" si="64"/>
        <v>-</v>
      </c>
      <c r="AB376" s="893"/>
      <c r="AC376" s="491" t="s">
        <v>1665</v>
      </c>
      <c r="AF376" s="466"/>
      <c r="AG376" s="466"/>
      <c r="AH376" s="466"/>
    </row>
    <row r="377" spans="1:34" s="492" customFormat="1" ht="38.25" hidden="1" x14ac:dyDescent="0.2">
      <c r="A377" s="1240"/>
      <c r="B377" s="502" t="s">
        <v>1975</v>
      </c>
      <c r="C377" s="501"/>
      <c r="D377" s="1240"/>
      <c r="E377" s="842"/>
      <c r="F377" s="828"/>
      <c r="G377" s="829"/>
      <c r="H377" s="542"/>
      <c r="I377" s="542"/>
      <c r="J377" s="542"/>
      <c r="K377" s="542"/>
      <c r="L377" s="542"/>
      <c r="M377" s="542"/>
      <c r="N377" s="542"/>
      <c r="O377" s="559">
        <v>1</v>
      </c>
      <c r="P377" s="559">
        <v>5</v>
      </c>
      <c r="Q377" s="857">
        <f>O377*P377</f>
        <v>5</v>
      </c>
      <c r="R377" s="857">
        <f t="shared" si="62"/>
        <v>5</v>
      </c>
      <c r="S377" s="857"/>
      <c r="T377" s="559">
        <v>1</v>
      </c>
      <c r="U377" s="559">
        <v>5</v>
      </c>
      <c r="V377" s="857">
        <f>T377*U377</f>
        <v>5</v>
      </c>
      <c r="W377" s="559">
        <v>1</v>
      </c>
      <c r="X377" s="559">
        <v>5</v>
      </c>
      <c r="Y377" s="857">
        <f>W377*X377</f>
        <v>5</v>
      </c>
      <c r="Z377" s="542">
        <f t="shared" si="63"/>
        <v>5</v>
      </c>
      <c r="AA377" s="542" t="str">
        <f t="shared" si="64"/>
        <v>-</v>
      </c>
      <c r="AB377" s="843" t="s">
        <v>1976</v>
      </c>
      <c r="AC377" s="491" t="s">
        <v>1665</v>
      </c>
      <c r="AF377" s="466"/>
      <c r="AG377" s="466"/>
      <c r="AH377" s="466"/>
    </row>
    <row r="378" spans="1:34" s="492" customFormat="1" ht="14.25" hidden="1" x14ac:dyDescent="0.2">
      <c r="A378" s="1240"/>
      <c r="B378" s="502" t="s">
        <v>1761</v>
      </c>
      <c r="C378" s="501"/>
      <c r="D378" s="1240"/>
      <c r="E378" s="842"/>
      <c r="F378" s="828"/>
      <c r="G378" s="829"/>
      <c r="H378" s="542"/>
      <c r="I378" s="542"/>
      <c r="J378" s="542"/>
      <c r="K378" s="542"/>
      <c r="L378" s="542"/>
      <c r="M378" s="542"/>
      <c r="N378" s="542"/>
      <c r="O378" s="559"/>
      <c r="P378" s="559"/>
      <c r="Q378" s="857"/>
      <c r="R378" s="857">
        <f t="shared" si="62"/>
        <v>0</v>
      </c>
      <c r="S378" s="857"/>
      <c r="T378" s="559">
        <v>2</v>
      </c>
      <c r="U378" s="559">
        <v>2.2999999999999998</v>
      </c>
      <c r="V378" s="857">
        <f>T378*U378</f>
        <v>4.5999999999999996</v>
      </c>
      <c r="W378" s="559">
        <v>2</v>
      </c>
      <c r="X378" s="559">
        <v>2.2999999999999998</v>
      </c>
      <c r="Y378" s="857">
        <f>W378*X378</f>
        <v>4.5999999999999996</v>
      </c>
      <c r="Z378" s="542">
        <f t="shared" si="63"/>
        <v>0</v>
      </c>
      <c r="AA378" s="542" t="str">
        <f t="shared" si="64"/>
        <v>-</v>
      </c>
      <c r="AB378" s="1887"/>
      <c r="AC378" s="491" t="s">
        <v>1665</v>
      </c>
      <c r="AF378" s="466"/>
      <c r="AG378" s="466"/>
      <c r="AH378" s="466"/>
    </row>
    <row r="379" spans="1:34" s="492" customFormat="1" ht="14.25" hidden="1" x14ac:dyDescent="0.2">
      <c r="A379" s="1240"/>
      <c r="B379" s="502" t="s">
        <v>1971</v>
      </c>
      <c r="C379" s="501"/>
      <c r="D379" s="1240"/>
      <c r="E379" s="842"/>
      <c r="F379" s="828"/>
      <c r="G379" s="829"/>
      <c r="H379" s="542"/>
      <c r="I379" s="542"/>
      <c r="J379" s="542"/>
      <c r="K379" s="542"/>
      <c r="L379" s="542"/>
      <c r="M379" s="542"/>
      <c r="N379" s="542"/>
      <c r="O379" s="857"/>
      <c r="P379" s="857"/>
      <c r="Q379" s="857">
        <f>(Q377+Q378)*27.1/100</f>
        <v>1.4</v>
      </c>
      <c r="R379" s="857">
        <f t="shared" si="62"/>
        <v>1.4</v>
      </c>
      <c r="S379" s="857"/>
      <c r="T379" s="857"/>
      <c r="U379" s="857"/>
      <c r="V379" s="857">
        <f>(V377+V378)*27.1/100</f>
        <v>2.6</v>
      </c>
      <c r="W379" s="857"/>
      <c r="X379" s="857"/>
      <c r="Y379" s="857">
        <f>(Y377+Y378)*27.1/100</f>
        <v>2.6</v>
      </c>
      <c r="Z379" s="542">
        <f t="shared" si="63"/>
        <v>1.4</v>
      </c>
      <c r="AA379" s="542" t="str">
        <f t="shared" si="64"/>
        <v>-</v>
      </c>
      <c r="AB379" s="893"/>
      <c r="AC379" s="491" t="s">
        <v>1665</v>
      </c>
      <c r="AF379" s="466"/>
      <c r="AG379" s="466"/>
      <c r="AH379" s="466"/>
    </row>
    <row r="380" spans="1:34" s="492" customFormat="1" ht="14.25" hidden="1" x14ac:dyDescent="0.2">
      <c r="A380" s="1240"/>
      <c r="B380" s="500" t="s">
        <v>1226</v>
      </c>
      <c r="C380" s="501" t="s">
        <v>797</v>
      </c>
      <c r="D380" s="932"/>
      <c r="E380" s="842"/>
      <c r="F380" s="828"/>
      <c r="G380" s="829"/>
      <c r="H380" s="542">
        <f>SUM(H381:H383)</f>
        <v>18.100000000000001</v>
      </c>
      <c r="I380" s="533"/>
      <c r="J380" s="533"/>
      <c r="K380" s="533">
        <f>SUM(K381:K384)</f>
        <v>17</v>
      </c>
      <c r="L380" s="533"/>
      <c r="M380" s="533"/>
      <c r="N380" s="533">
        <f>SUM(N381:N384)</f>
        <v>17</v>
      </c>
      <c r="O380" s="533"/>
      <c r="P380" s="533"/>
      <c r="Q380" s="533">
        <f>SUM(Q381:Q385)</f>
        <v>15</v>
      </c>
      <c r="R380" s="533">
        <f t="shared" si="62"/>
        <v>15</v>
      </c>
      <c r="S380" s="533"/>
      <c r="T380" s="533"/>
      <c r="U380" s="533"/>
      <c r="V380" s="533">
        <f>SUM(V381:V385)</f>
        <v>15</v>
      </c>
      <c r="W380" s="533"/>
      <c r="X380" s="533"/>
      <c r="Y380" s="533">
        <f>SUM(Y381:Y385)</f>
        <v>15</v>
      </c>
      <c r="Z380" s="542">
        <f t="shared" si="63"/>
        <v>-2</v>
      </c>
      <c r="AA380" s="542">
        <f t="shared" si="64"/>
        <v>88.2</v>
      </c>
      <c r="AB380" s="901"/>
      <c r="AC380" s="491" t="s">
        <v>1665</v>
      </c>
      <c r="AF380" s="466"/>
      <c r="AG380" s="466"/>
      <c r="AH380" s="466"/>
    </row>
    <row r="381" spans="1:34" s="498" customFormat="1" hidden="1" x14ac:dyDescent="0.25">
      <c r="A381" s="962"/>
      <c r="B381" s="502" t="s">
        <v>1977</v>
      </c>
      <c r="C381" s="503"/>
      <c r="D381" s="903"/>
      <c r="E381" s="842" t="s">
        <v>227</v>
      </c>
      <c r="F381" s="557">
        <v>36</v>
      </c>
      <c r="G381" s="558">
        <v>0.25</v>
      </c>
      <c r="H381" s="559">
        <f>F381*G381</f>
        <v>9</v>
      </c>
      <c r="I381" s="857">
        <v>36</v>
      </c>
      <c r="J381" s="857">
        <v>0.3</v>
      </c>
      <c r="K381" s="857">
        <f>I381*J381</f>
        <v>10.8</v>
      </c>
      <c r="L381" s="857">
        <v>36</v>
      </c>
      <c r="M381" s="857">
        <v>0.3</v>
      </c>
      <c r="N381" s="857">
        <f>L381*M381</f>
        <v>10.8</v>
      </c>
      <c r="O381" s="857"/>
      <c r="P381" s="857"/>
      <c r="Q381" s="857"/>
      <c r="R381" s="857">
        <f t="shared" si="62"/>
        <v>0</v>
      </c>
      <c r="S381" s="857"/>
      <c r="T381" s="857"/>
      <c r="U381" s="857"/>
      <c r="V381" s="857"/>
      <c r="W381" s="857"/>
      <c r="X381" s="857"/>
      <c r="Y381" s="857"/>
      <c r="Z381" s="559">
        <f t="shared" si="63"/>
        <v>-10.8</v>
      </c>
      <c r="AA381" s="559">
        <f t="shared" si="64"/>
        <v>0</v>
      </c>
      <c r="AB381" s="901"/>
      <c r="AC381" s="491" t="s">
        <v>1665</v>
      </c>
      <c r="AF381" s="466"/>
      <c r="AG381" s="465"/>
      <c r="AH381" s="465"/>
    </row>
    <row r="382" spans="1:34" s="498" customFormat="1" hidden="1" x14ac:dyDescent="0.25">
      <c r="A382" s="962"/>
      <c r="B382" s="502" t="s">
        <v>1978</v>
      </c>
      <c r="C382" s="503"/>
      <c r="D382" s="903"/>
      <c r="E382" s="842" t="s">
        <v>1240</v>
      </c>
      <c r="F382" s="557">
        <v>23</v>
      </c>
      <c r="G382" s="558">
        <v>0.2</v>
      </c>
      <c r="H382" s="559">
        <f>F382*G382</f>
        <v>4.5999999999999996</v>
      </c>
      <c r="I382" s="857">
        <v>42</v>
      </c>
      <c r="J382" s="857">
        <v>0.1</v>
      </c>
      <c r="K382" s="857">
        <f>I382*J382</f>
        <v>4.2</v>
      </c>
      <c r="L382" s="857">
        <v>42</v>
      </c>
      <c r="M382" s="857">
        <v>0.1</v>
      </c>
      <c r="N382" s="857">
        <f>L382*M382</f>
        <v>4.2</v>
      </c>
      <c r="O382" s="857"/>
      <c r="P382" s="857"/>
      <c r="Q382" s="857"/>
      <c r="R382" s="857">
        <f t="shared" si="62"/>
        <v>0</v>
      </c>
      <c r="S382" s="857"/>
      <c r="T382" s="857"/>
      <c r="U382" s="857"/>
      <c r="V382" s="857"/>
      <c r="W382" s="857"/>
      <c r="X382" s="857"/>
      <c r="Y382" s="857"/>
      <c r="Z382" s="559">
        <f t="shared" si="63"/>
        <v>-4.2</v>
      </c>
      <c r="AA382" s="559">
        <f t="shared" si="64"/>
        <v>0</v>
      </c>
      <c r="AB382" s="893"/>
      <c r="AC382" s="491" t="s">
        <v>1665</v>
      </c>
      <c r="AF382" s="466"/>
      <c r="AG382" s="465"/>
      <c r="AH382" s="465"/>
    </row>
    <row r="383" spans="1:34" s="498" customFormat="1" hidden="1" x14ac:dyDescent="0.25">
      <c r="A383" s="962"/>
      <c r="B383" s="502" t="s">
        <v>1979</v>
      </c>
      <c r="C383" s="503"/>
      <c r="D383" s="903"/>
      <c r="E383" s="842" t="s">
        <v>227</v>
      </c>
      <c r="F383" s="557">
        <v>9</v>
      </c>
      <c r="G383" s="558">
        <v>0.5</v>
      </c>
      <c r="H383" s="559">
        <f>F383*G383</f>
        <v>4.5</v>
      </c>
      <c r="I383" s="857"/>
      <c r="J383" s="857"/>
      <c r="K383" s="857"/>
      <c r="L383" s="857"/>
      <c r="M383" s="857"/>
      <c r="N383" s="857"/>
      <c r="O383" s="857"/>
      <c r="P383" s="857"/>
      <c r="Q383" s="857"/>
      <c r="R383" s="857">
        <f t="shared" si="62"/>
        <v>0</v>
      </c>
      <c r="S383" s="857"/>
      <c r="T383" s="857"/>
      <c r="U383" s="857"/>
      <c r="V383" s="857"/>
      <c r="W383" s="857"/>
      <c r="X383" s="857"/>
      <c r="Y383" s="857"/>
      <c r="Z383" s="559">
        <f t="shared" si="63"/>
        <v>0</v>
      </c>
      <c r="AA383" s="559" t="str">
        <f t="shared" si="64"/>
        <v>-</v>
      </c>
      <c r="AB383" s="1943"/>
      <c r="AC383" s="491" t="s">
        <v>1665</v>
      </c>
      <c r="AF383" s="466"/>
      <c r="AG383" s="465"/>
      <c r="AH383" s="465"/>
    </row>
    <row r="384" spans="1:34" s="498" customFormat="1" hidden="1" x14ac:dyDescent="0.25">
      <c r="A384" s="962"/>
      <c r="B384" s="502" t="s">
        <v>1833</v>
      </c>
      <c r="C384" s="503"/>
      <c r="D384" s="903"/>
      <c r="E384" s="842"/>
      <c r="F384" s="557"/>
      <c r="G384" s="558"/>
      <c r="H384" s="559"/>
      <c r="I384" s="857">
        <v>2</v>
      </c>
      <c r="J384" s="857">
        <v>1</v>
      </c>
      <c r="K384" s="857">
        <f>I384*J384</f>
        <v>2</v>
      </c>
      <c r="L384" s="857">
        <v>2</v>
      </c>
      <c r="M384" s="857">
        <v>1</v>
      </c>
      <c r="N384" s="857">
        <f>L384*M384</f>
        <v>2</v>
      </c>
      <c r="O384" s="857"/>
      <c r="P384" s="857"/>
      <c r="Q384" s="857"/>
      <c r="R384" s="857">
        <f t="shared" si="62"/>
        <v>0</v>
      </c>
      <c r="S384" s="857"/>
      <c r="T384" s="857"/>
      <c r="U384" s="857"/>
      <c r="V384" s="857"/>
      <c r="W384" s="857"/>
      <c r="X384" s="857"/>
      <c r="Y384" s="857"/>
      <c r="Z384" s="559">
        <f t="shared" si="63"/>
        <v>-2</v>
      </c>
      <c r="AA384" s="559">
        <f t="shared" si="64"/>
        <v>0</v>
      </c>
      <c r="AB384" s="1943"/>
      <c r="AC384" s="491" t="s">
        <v>1665</v>
      </c>
      <c r="AF384" s="466"/>
      <c r="AG384" s="465"/>
      <c r="AH384" s="465"/>
    </row>
    <row r="385" spans="1:34" s="498" customFormat="1" ht="83.25" hidden="1" customHeight="1" x14ac:dyDescent="0.25">
      <c r="A385" s="962"/>
      <c r="B385" s="502" t="s">
        <v>1980</v>
      </c>
      <c r="C385" s="503"/>
      <c r="D385" s="903"/>
      <c r="E385" s="842"/>
      <c r="F385" s="557"/>
      <c r="G385" s="558"/>
      <c r="H385" s="559"/>
      <c r="I385" s="857"/>
      <c r="J385" s="857"/>
      <c r="K385" s="857"/>
      <c r="L385" s="857"/>
      <c r="M385" s="857"/>
      <c r="N385" s="857"/>
      <c r="O385" s="857"/>
      <c r="P385" s="857"/>
      <c r="Q385" s="857">
        <v>15</v>
      </c>
      <c r="R385" s="857">
        <f t="shared" si="62"/>
        <v>15</v>
      </c>
      <c r="S385" s="857"/>
      <c r="T385" s="857"/>
      <c r="U385" s="857"/>
      <c r="V385" s="857">
        <v>15</v>
      </c>
      <c r="W385" s="857"/>
      <c r="X385" s="857"/>
      <c r="Y385" s="857">
        <v>15</v>
      </c>
      <c r="Z385" s="559">
        <f t="shared" si="63"/>
        <v>15</v>
      </c>
      <c r="AA385" s="559" t="str">
        <f t="shared" si="64"/>
        <v>-</v>
      </c>
      <c r="AB385" s="901" t="s">
        <v>1981</v>
      </c>
      <c r="AC385" s="491" t="s">
        <v>1665</v>
      </c>
      <c r="AF385" s="466"/>
      <c r="AG385" s="465"/>
      <c r="AH385" s="465"/>
    </row>
    <row r="386" spans="1:34" s="492" customFormat="1" ht="25.5" hidden="1" x14ac:dyDescent="0.2">
      <c r="A386" s="1240"/>
      <c r="B386" s="500" t="s">
        <v>1239</v>
      </c>
      <c r="C386" s="501" t="s">
        <v>797</v>
      </c>
      <c r="D386" s="932"/>
      <c r="E386" s="842"/>
      <c r="F386" s="828"/>
      <c r="G386" s="829"/>
      <c r="H386" s="542">
        <f>SUM(H387:H391)</f>
        <v>19.8</v>
      </c>
      <c r="I386" s="533"/>
      <c r="J386" s="533"/>
      <c r="K386" s="533">
        <f>SUM(K387:K391)</f>
        <v>2.2000000000000002</v>
      </c>
      <c r="L386" s="533"/>
      <c r="M386" s="533"/>
      <c r="N386" s="533">
        <f>SUM(N387:N391)</f>
        <v>2.2000000000000002</v>
      </c>
      <c r="O386" s="533"/>
      <c r="P386" s="533"/>
      <c r="Q386" s="533">
        <f>SUM(Q387:Q391)</f>
        <v>5.5</v>
      </c>
      <c r="R386" s="533">
        <f t="shared" si="62"/>
        <v>5.5</v>
      </c>
      <c r="S386" s="533"/>
      <c r="T386" s="533"/>
      <c r="U386" s="533"/>
      <c r="V386" s="533">
        <f>SUM(V387:V391)</f>
        <v>5.5</v>
      </c>
      <c r="W386" s="533"/>
      <c r="X386" s="533"/>
      <c r="Y386" s="533">
        <f>SUM(Y387:Y391)</f>
        <v>5.5</v>
      </c>
      <c r="Z386" s="542">
        <f t="shared" si="63"/>
        <v>3.3</v>
      </c>
      <c r="AA386" s="542">
        <f t="shared" si="64"/>
        <v>250</v>
      </c>
      <c r="AB386" s="1943"/>
      <c r="AC386" s="491" t="s">
        <v>1665</v>
      </c>
      <c r="AF386" s="466"/>
      <c r="AG386" s="466"/>
      <c r="AH386" s="466"/>
    </row>
    <row r="387" spans="1:34" s="498" customFormat="1" ht="114.75" hidden="1" x14ac:dyDescent="0.25">
      <c r="A387" s="962"/>
      <c r="B387" s="502" t="s">
        <v>1962</v>
      </c>
      <c r="C387" s="503"/>
      <c r="D387" s="903"/>
      <c r="E387" s="1031" t="s">
        <v>227</v>
      </c>
      <c r="F387" s="557">
        <v>40</v>
      </c>
      <c r="G387" s="558">
        <v>0.1</v>
      </c>
      <c r="H387" s="559">
        <f t="shared" ref="H387:H394" si="65">F387*G387</f>
        <v>4</v>
      </c>
      <c r="I387" s="857">
        <v>22</v>
      </c>
      <c r="J387" s="862">
        <v>0.1</v>
      </c>
      <c r="K387" s="857">
        <f t="shared" ref="K387:K393" si="66">I387*J387</f>
        <v>2.2000000000000002</v>
      </c>
      <c r="L387" s="857">
        <v>22</v>
      </c>
      <c r="M387" s="862">
        <v>0.1</v>
      </c>
      <c r="N387" s="857">
        <f>L387*M387</f>
        <v>2.2000000000000002</v>
      </c>
      <c r="O387" s="857">
        <v>25</v>
      </c>
      <c r="P387" s="857">
        <v>0.1</v>
      </c>
      <c r="Q387" s="857">
        <f>O387*P387</f>
        <v>2.5</v>
      </c>
      <c r="R387" s="857">
        <f t="shared" si="62"/>
        <v>2.5</v>
      </c>
      <c r="S387" s="857"/>
      <c r="T387" s="857">
        <v>25</v>
      </c>
      <c r="U387" s="857">
        <v>0.1</v>
      </c>
      <c r="V387" s="857">
        <f>T387*U387</f>
        <v>2.5</v>
      </c>
      <c r="W387" s="857">
        <v>25</v>
      </c>
      <c r="X387" s="857">
        <v>0.1</v>
      </c>
      <c r="Y387" s="857">
        <f>W387*X387</f>
        <v>2.5</v>
      </c>
      <c r="Z387" s="559">
        <f t="shared" si="63"/>
        <v>0.3</v>
      </c>
      <c r="AA387" s="559">
        <f t="shared" si="64"/>
        <v>113.6</v>
      </c>
      <c r="AB387" s="843" t="s">
        <v>1982</v>
      </c>
      <c r="AC387" s="491" t="s">
        <v>1665</v>
      </c>
      <c r="AF387" s="466"/>
      <c r="AG387" s="465"/>
      <c r="AH387" s="465"/>
    </row>
    <row r="388" spans="1:34" s="498" customFormat="1" hidden="1" x14ac:dyDescent="0.25">
      <c r="A388" s="962"/>
      <c r="B388" s="856" t="s">
        <v>1369</v>
      </c>
      <c r="C388" s="499"/>
      <c r="D388" s="903"/>
      <c r="E388" s="1031" t="s">
        <v>227</v>
      </c>
      <c r="F388" s="557">
        <v>4</v>
      </c>
      <c r="G388" s="558">
        <v>0.75</v>
      </c>
      <c r="H388" s="559">
        <f t="shared" si="65"/>
        <v>3</v>
      </c>
      <c r="I388" s="857"/>
      <c r="J388" s="857"/>
      <c r="K388" s="857"/>
      <c r="L388" s="857"/>
      <c r="M388" s="857"/>
      <c r="N388" s="857"/>
      <c r="O388" s="857"/>
      <c r="P388" s="857"/>
      <c r="Q388" s="857"/>
      <c r="R388" s="857">
        <f t="shared" si="62"/>
        <v>0</v>
      </c>
      <c r="S388" s="857"/>
      <c r="T388" s="857"/>
      <c r="U388" s="857"/>
      <c r="V388" s="857"/>
      <c r="W388" s="857"/>
      <c r="X388" s="857"/>
      <c r="Y388" s="857"/>
      <c r="Z388" s="559">
        <f t="shared" si="63"/>
        <v>0</v>
      </c>
      <c r="AA388" s="559" t="str">
        <f t="shared" si="64"/>
        <v>-</v>
      </c>
      <c r="AB388" s="893"/>
      <c r="AC388" s="491" t="s">
        <v>1665</v>
      </c>
      <c r="AF388" s="466"/>
      <c r="AG388" s="465"/>
      <c r="AH388" s="465"/>
    </row>
    <row r="389" spans="1:34" s="498" customFormat="1" ht="26.25" hidden="1" x14ac:dyDescent="0.25">
      <c r="A389" s="962"/>
      <c r="B389" s="856" t="s">
        <v>1692</v>
      </c>
      <c r="C389" s="499"/>
      <c r="D389" s="903"/>
      <c r="E389" s="1031" t="s">
        <v>227</v>
      </c>
      <c r="F389" s="557">
        <v>8</v>
      </c>
      <c r="G389" s="558">
        <v>0.35</v>
      </c>
      <c r="H389" s="559">
        <f t="shared" si="65"/>
        <v>2.8</v>
      </c>
      <c r="I389" s="857"/>
      <c r="J389" s="857"/>
      <c r="K389" s="857">
        <f t="shared" si="66"/>
        <v>0</v>
      </c>
      <c r="L389" s="857"/>
      <c r="M389" s="857"/>
      <c r="N389" s="857">
        <f>L389*M389</f>
        <v>0</v>
      </c>
      <c r="O389" s="857">
        <v>10</v>
      </c>
      <c r="P389" s="857">
        <v>0.3</v>
      </c>
      <c r="Q389" s="857">
        <f>O389*P389</f>
        <v>3</v>
      </c>
      <c r="R389" s="857">
        <f t="shared" si="62"/>
        <v>3</v>
      </c>
      <c r="S389" s="857"/>
      <c r="T389" s="857">
        <v>10</v>
      </c>
      <c r="U389" s="857">
        <v>0.3</v>
      </c>
      <c r="V389" s="857">
        <f>T389*U389</f>
        <v>3</v>
      </c>
      <c r="W389" s="857">
        <v>10</v>
      </c>
      <c r="X389" s="857">
        <v>0.3</v>
      </c>
      <c r="Y389" s="857">
        <f>W389*X389</f>
        <v>3</v>
      </c>
      <c r="Z389" s="559">
        <f t="shared" si="63"/>
        <v>3</v>
      </c>
      <c r="AA389" s="559" t="str">
        <f t="shared" si="64"/>
        <v>-</v>
      </c>
      <c r="AB389" s="893" t="s">
        <v>1983</v>
      </c>
      <c r="AC389" s="491" t="s">
        <v>1665</v>
      </c>
      <c r="AF389" s="466"/>
      <c r="AG389" s="465"/>
      <c r="AH389" s="465"/>
    </row>
    <row r="390" spans="1:34" s="498" customFormat="1" hidden="1" x14ac:dyDescent="0.25">
      <c r="A390" s="962"/>
      <c r="B390" s="856" t="s">
        <v>1673</v>
      </c>
      <c r="C390" s="499"/>
      <c r="D390" s="903"/>
      <c r="E390" s="1031" t="s">
        <v>227</v>
      </c>
      <c r="F390" s="557">
        <v>4</v>
      </c>
      <c r="G390" s="558">
        <v>1</v>
      </c>
      <c r="H390" s="559">
        <f t="shared" si="65"/>
        <v>4</v>
      </c>
      <c r="I390" s="857"/>
      <c r="J390" s="857"/>
      <c r="K390" s="857">
        <f t="shared" si="66"/>
        <v>0</v>
      </c>
      <c r="L390" s="857"/>
      <c r="M390" s="857"/>
      <c r="N390" s="857">
        <f>L390*M390</f>
        <v>0</v>
      </c>
      <c r="O390" s="857"/>
      <c r="P390" s="857"/>
      <c r="Q390" s="857"/>
      <c r="R390" s="857">
        <f t="shared" si="62"/>
        <v>0</v>
      </c>
      <c r="S390" s="857"/>
      <c r="T390" s="857"/>
      <c r="U390" s="857"/>
      <c r="V390" s="857"/>
      <c r="W390" s="857"/>
      <c r="X390" s="857"/>
      <c r="Y390" s="857"/>
      <c r="Z390" s="559">
        <f t="shared" si="63"/>
        <v>0</v>
      </c>
      <c r="AA390" s="559" t="str">
        <f t="shared" si="64"/>
        <v>-</v>
      </c>
      <c r="AB390" s="893"/>
      <c r="AC390" s="491" t="s">
        <v>1665</v>
      </c>
      <c r="AF390" s="466"/>
      <c r="AG390" s="465"/>
      <c r="AH390" s="465"/>
    </row>
    <row r="391" spans="1:34" s="498" customFormat="1" hidden="1" x14ac:dyDescent="0.25">
      <c r="A391" s="962"/>
      <c r="B391" s="856" t="s">
        <v>1673</v>
      </c>
      <c r="C391" s="499"/>
      <c r="D391" s="903"/>
      <c r="E391" s="1031" t="s">
        <v>227</v>
      </c>
      <c r="F391" s="557">
        <v>3</v>
      </c>
      <c r="G391" s="558">
        <v>2</v>
      </c>
      <c r="H391" s="559">
        <f t="shared" si="65"/>
        <v>6</v>
      </c>
      <c r="I391" s="857"/>
      <c r="J391" s="857"/>
      <c r="K391" s="857">
        <f t="shared" si="66"/>
        <v>0</v>
      </c>
      <c r="L391" s="857"/>
      <c r="M391" s="857"/>
      <c r="N391" s="857">
        <f>L391*M391</f>
        <v>0</v>
      </c>
      <c r="O391" s="857"/>
      <c r="P391" s="857"/>
      <c r="Q391" s="857"/>
      <c r="R391" s="857">
        <f t="shared" si="62"/>
        <v>0</v>
      </c>
      <c r="S391" s="857"/>
      <c r="T391" s="857"/>
      <c r="U391" s="857"/>
      <c r="V391" s="857"/>
      <c r="W391" s="857"/>
      <c r="X391" s="857"/>
      <c r="Y391" s="857"/>
      <c r="Z391" s="559">
        <f t="shared" si="63"/>
        <v>0</v>
      </c>
      <c r="AA391" s="559" t="str">
        <f t="shared" si="64"/>
        <v>-</v>
      </c>
      <c r="AB391" s="893"/>
      <c r="AC391" s="491" t="s">
        <v>1665</v>
      </c>
      <c r="AF391" s="466"/>
      <c r="AG391" s="465"/>
      <c r="AH391" s="465"/>
    </row>
    <row r="392" spans="1:34" s="492" customFormat="1" ht="76.5" x14ac:dyDescent="0.2">
      <c r="A392" s="1240"/>
      <c r="B392" s="865" t="s">
        <v>1984</v>
      </c>
      <c r="C392" s="508" t="s">
        <v>796</v>
      </c>
      <c r="D392" s="932"/>
      <c r="E392" s="842" t="s">
        <v>227</v>
      </c>
      <c r="F392" s="828">
        <v>568</v>
      </c>
      <c r="G392" s="829">
        <v>0.05</v>
      </c>
      <c r="H392" s="542">
        <f t="shared" si="65"/>
        <v>28.4</v>
      </c>
      <c r="I392" s="533">
        <v>292</v>
      </c>
      <c r="J392" s="533">
        <v>0.1</v>
      </c>
      <c r="K392" s="533">
        <f>I392*J392</f>
        <v>29.2</v>
      </c>
      <c r="L392" s="533">
        <v>292</v>
      </c>
      <c r="M392" s="533">
        <v>0.1</v>
      </c>
      <c r="N392" s="533">
        <f>L392*M392</f>
        <v>29.2</v>
      </c>
      <c r="O392" s="533">
        <v>200</v>
      </c>
      <c r="P392" s="533">
        <v>0.2</v>
      </c>
      <c r="Q392" s="533">
        <v>30</v>
      </c>
      <c r="R392" s="533">
        <f t="shared" si="62"/>
        <v>30</v>
      </c>
      <c r="S392" s="533"/>
      <c r="T392" s="533">
        <v>200</v>
      </c>
      <c r="U392" s="533">
        <v>0.2</v>
      </c>
      <c r="V392" s="533">
        <f>T392*U392</f>
        <v>40</v>
      </c>
      <c r="W392" s="533">
        <v>200</v>
      </c>
      <c r="X392" s="533">
        <v>0.2</v>
      </c>
      <c r="Y392" s="533">
        <f>W392*X392</f>
        <v>40</v>
      </c>
      <c r="Z392" s="542">
        <f t="shared" si="63"/>
        <v>0.8</v>
      </c>
      <c r="AA392" s="542">
        <f t="shared" si="64"/>
        <v>102.7</v>
      </c>
      <c r="AB392" s="893" t="s">
        <v>1985</v>
      </c>
      <c r="AC392" s="491" t="s">
        <v>1665</v>
      </c>
      <c r="AF392" s="466"/>
      <c r="AG392" s="466"/>
      <c r="AH392" s="466"/>
    </row>
    <row r="393" spans="1:34" s="492" customFormat="1" ht="14.25" hidden="1" x14ac:dyDescent="0.2">
      <c r="A393" s="1240"/>
      <c r="B393" s="865" t="s">
        <v>1986</v>
      </c>
      <c r="C393" s="508" t="s">
        <v>797</v>
      </c>
      <c r="D393" s="932"/>
      <c r="E393" s="842" t="s">
        <v>227</v>
      </c>
      <c r="F393" s="828">
        <v>150</v>
      </c>
      <c r="G393" s="829">
        <v>0.1</v>
      </c>
      <c r="H393" s="542">
        <f t="shared" si="65"/>
        <v>15</v>
      </c>
      <c r="I393" s="533">
        <v>150</v>
      </c>
      <c r="J393" s="533">
        <v>0.1</v>
      </c>
      <c r="K393" s="533">
        <f t="shared" si="66"/>
        <v>15</v>
      </c>
      <c r="L393" s="533">
        <v>150</v>
      </c>
      <c r="M393" s="533">
        <v>0.1</v>
      </c>
      <c r="N393" s="533">
        <f>L393*M393</f>
        <v>15</v>
      </c>
      <c r="O393" s="533">
        <v>150</v>
      </c>
      <c r="P393" s="533">
        <v>0.1</v>
      </c>
      <c r="Q393" s="533">
        <f>O393*P393</f>
        <v>15</v>
      </c>
      <c r="R393" s="533">
        <f t="shared" si="62"/>
        <v>15</v>
      </c>
      <c r="S393" s="533"/>
      <c r="T393" s="533">
        <v>150</v>
      </c>
      <c r="U393" s="533">
        <v>0.1</v>
      </c>
      <c r="V393" s="533">
        <f>T393*U393</f>
        <v>15</v>
      </c>
      <c r="W393" s="533">
        <v>150</v>
      </c>
      <c r="X393" s="533">
        <v>0.1</v>
      </c>
      <c r="Y393" s="533">
        <f>W393*X393</f>
        <v>15</v>
      </c>
      <c r="Z393" s="542">
        <f t="shared" si="63"/>
        <v>0</v>
      </c>
      <c r="AA393" s="542">
        <f t="shared" si="64"/>
        <v>100</v>
      </c>
      <c r="AB393" s="893"/>
      <c r="AC393" s="491" t="s">
        <v>1665</v>
      </c>
      <c r="AF393" s="466"/>
      <c r="AG393" s="466"/>
      <c r="AH393" s="466"/>
    </row>
    <row r="394" spans="1:34" s="492" customFormat="1" ht="38.25" hidden="1" x14ac:dyDescent="0.2">
      <c r="A394" s="1240"/>
      <c r="B394" s="865" t="s">
        <v>1245</v>
      </c>
      <c r="C394" s="508" t="s">
        <v>800</v>
      </c>
      <c r="D394" s="932"/>
      <c r="E394" s="842" t="s">
        <v>227</v>
      </c>
      <c r="F394" s="828">
        <v>2</v>
      </c>
      <c r="G394" s="829">
        <v>14.45</v>
      </c>
      <c r="H394" s="542">
        <f t="shared" si="65"/>
        <v>28.9</v>
      </c>
      <c r="I394" s="533">
        <v>1</v>
      </c>
      <c r="J394" s="533">
        <v>29</v>
      </c>
      <c r="K394" s="533"/>
      <c r="L394" s="533">
        <v>1</v>
      </c>
      <c r="M394" s="533">
        <v>29</v>
      </c>
      <c r="N394" s="533"/>
      <c r="O394" s="533">
        <v>2</v>
      </c>
      <c r="P394" s="533">
        <v>25</v>
      </c>
      <c r="Q394" s="533">
        <f>P394*O394</f>
        <v>50</v>
      </c>
      <c r="R394" s="533">
        <f t="shared" si="62"/>
        <v>50</v>
      </c>
      <c r="S394" s="533"/>
      <c r="T394" s="533">
        <v>2</v>
      </c>
      <c r="U394" s="533">
        <v>25</v>
      </c>
      <c r="V394" s="533">
        <f>U394*T394</f>
        <v>50</v>
      </c>
      <c r="W394" s="533">
        <v>2</v>
      </c>
      <c r="X394" s="533">
        <v>25</v>
      </c>
      <c r="Y394" s="533">
        <f>X394*W394</f>
        <v>50</v>
      </c>
      <c r="Z394" s="542">
        <f t="shared" si="63"/>
        <v>50</v>
      </c>
      <c r="AA394" s="542" t="str">
        <f t="shared" si="64"/>
        <v>-</v>
      </c>
      <c r="AB394" s="893" t="s">
        <v>1987</v>
      </c>
      <c r="AC394" s="491" t="s">
        <v>1665</v>
      </c>
      <c r="AF394" s="466"/>
      <c r="AG394" s="466"/>
      <c r="AH394" s="466"/>
    </row>
    <row r="395" spans="1:34" s="492" customFormat="1" ht="14.25" hidden="1" x14ac:dyDescent="0.2">
      <c r="A395" s="1240"/>
      <c r="B395" s="500" t="s">
        <v>1696</v>
      </c>
      <c r="C395" s="501" t="s">
        <v>797</v>
      </c>
      <c r="D395" s="932"/>
      <c r="E395" s="842" t="s">
        <v>227</v>
      </c>
      <c r="F395" s="828">
        <v>30</v>
      </c>
      <c r="G395" s="829">
        <v>0.21</v>
      </c>
      <c r="H395" s="542">
        <f>F395*G395</f>
        <v>6.3</v>
      </c>
      <c r="I395" s="533">
        <v>600</v>
      </c>
      <c r="J395" s="906">
        <v>0.01</v>
      </c>
      <c r="K395" s="533">
        <f>I395*J395</f>
        <v>6</v>
      </c>
      <c r="L395" s="533">
        <v>600</v>
      </c>
      <c r="M395" s="906">
        <v>0.01</v>
      </c>
      <c r="N395" s="533">
        <f>L395*M395</f>
        <v>6</v>
      </c>
      <c r="O395" s="533">
        <v>300</v>
      </c>
      <c r="P395" s="906">
        <v>0.02</v>
      </c>
      <c r="Q395" s="533">
        <f>O395*P395</f>
        <v>6</v>
      </c>
      <c r="R395" s="533">
        <f t="shared" si="62"/>
        <v>6</v>
      </c>
      <c r="S395" s="533"/>
      <c r="T395" s="533">
        <v>300</v>
      </c>
      <c r="U395" s="906">
        <v>0.02</v>
      </c>
      <c r="V395" s="533">
        <f>T395*U395</f>
        <v>6</v>
      </c>
      <c r="W395" s="533">
        <v>300</v>
      </c>
      <c r="X395" s="906">
        <v>0.02</v>
      </c>
      <c r="Y395" s="533">
        <f>W395*X395</f>
        <v>6</v>
      </c>
      <c r="Z395" s="542">
        <f t="shared" si="63"/>
        <v>0</v>
      </c>
      <c r="AA395" s="542">
        <f t="shared" si="64"/>
        <v>100</v>
      </c>
      <c r="AB395" s="893"/>
      <c r="AC395" s="491" t="s">
        <v>1665</v>
      </c>
      <c r="AF395" s="466"/>
      <c r="AG395" s="466"/>
      <c r="AH395" s="466"/>
    </row>
    <row r="396" spans="1:34" s="539" customFormat="1" ht="38.25" hidden="1" x14ac:dyDescent="0.25">
      <c r="A396" s="536"/>
      <c r="B396" s="1944" t="s">
        <v>1988</v>
      </c>
      <c r="C396" s="1945"/>
      <c r="D396" s="1918" t="s">
        <v>1444</v>
      </c>
      <c r="E396" s="1946"/>
      <c r="F396" s="1947"/>
      <c r="G396" s="1947"/>
      <c r="H396" s="1947"/>
      <c r="I396" s="1947"/>
      <c r="J396" s="1947"/>
      <c r="K396" s="1947"/>
      <c r="L396" s="1947"/>
      <c r="M396" s="1947"/>
      <c r="N396" s="1947"/>
      <c r="O396" s="1947"/>
      <c r="P396" s="1947"/>
      <c r="Q396" s="1948">
        <f>Q397</f>
        <v>30.5</v>
      </c>
      <c r="R396" s="1948">
        <f t="shared" si="62"/>
        <v>30.5</v>
      </c>
      <c r="S396" s="1948"/>
      <c r="T396" s="1947"/>
      <c r="U396" s="1947"/>
      <c r="V396" s="1947"/>
      <c r="W396" s="1947"/>
      <c r="X396" s="1947"/>
      <c r="Y396" s="1947"/>
      <c r="Z396" s="1947"/>
      <c r="AA396" s="1947"/>
      <c r="AB396" s="3523" t="s">
        <v>1916</v>
      </c>
      <c r="AC396" s="515" t="s">
        <v>1665</v>
      </c>
      <c r="AF396" s="519"/>
      <c r="AG396" s="540"/>
      <c r="AH396" s="540"/>
    </row>
    <row r="397" spans="1:34" s="498" customFormat="1" hidden="1" x14ac:dyDescent="0.25">
      <c r="A397" s="962"/>
      <c r="B397" s="500" t="s">
        <v>1233</v>
      </c>
      <c r="C397" s="529" t="s">
        <v>1230</v>
      </c>
      <c r="D397" s="903"/>
      <c r="E397" s="1245"/>
      <c r="F397" s="857"/>
      <c r="G397" s="857"/>
      <c r="H397" s="857"/>
      <c r="I397" s="857"/>
      <c r="J397" s="857"/>
      <c r="K397" s="857"/>
      <c r="L397" s="857"/>
      <c r="M397" s="857"/>
      <c r="N397" s="857"/>
      <c r="O397" s="857"/>
      <c r="P397" s="857"/>
      <c r="Q397" s="533">
        <f>SUM(Q398:Q403)</f>
        <v>30.5</v>
      </c>
      <c r="R397" s="533">
        <f t="shared" si="62"/>
        <v>30.5</v>
      </c>
      <c r="S397" s="533"/>
      <c r="T397" s="857"/>
      <c r="U397" s="857"/>
      <c r="V397" s="857"/>
      <c r="W397" s="857"/>
      <c r="X397" s="857"/>
      <c r="Y397" s="857"/>
      <c r="Z397" s="857"/>
      <c r="AA397" s="857"/>
      <c r="AB397" s="3524"/>
      <c r="AC397" s="491" t="s">
        <v>1665</v>
      </c>
      <c r="AF397" s="466"/>
      <c r="AG397" s="465"/>
      <c r="AH397" s="465"/>
    </row>
    <row r="398" spans="1:34" s="498" customFormat="1" hidden="1" x14ac:dyDescent="0.25">
      <c r="A398" s="962"/>
      <c r="B398" s="1885" t="s">
        <v>1933</v>
      </c>
      <c r="C398" s="553"/>
      <c r="D398" s="903"/>
      <c r="E398" s="1245" t="s">
        <v>318</v>
      </c>
      <c r="F398" s="857"/>
      <c r="G398" s="857"/>
      <c r="H398" s="857"/>
      <c r="I398" s="857"/>
      <c r="J398" s="857"/>
      <c r="K398" s="857"/>
      <c r="L398" s="857"/>
      <c r="M398" s="857"/>
      <c r="N398" s="857"/>
      <c r="O398" s="857">
        <v>1</v>
      </c>
      <c r="P398" s="857">
        <v>3.5</v>
      </c>
      <c r="Q398" s="857">
        <f>O398*P398</f>
        <v>3.5</v>
      </c>
      <c r="R398" s="857">
        <f t="shared" si="62"/>
        <v>3.5</v>
      </c>
      <c r="S398" s="857"/>
      <c r="T398" s="857"/>
      <c r="U398" s="857"/>
      <c r="V398" s="857"/>
      <c r="W398" s="857"/>
      <c r="X398" s="857"/>
      <c r="Y398" s="857"/>
      <c r="Z398" s="857"/>
      <c r="AA398" s="857"/>
      <c r="AB398" s="3524"/>
      <c r="AC398" s="491" t="s">
        <v>1665</v>
      </c>
      <c r="AF398" s="466"/>
      <c r="AG398" s="465"/>
      <c r="AH398" s="465"/>
    </row>
    <row r="399" spans="1:34" s="498" customFormat="1" hidden="1" x14ac:dyDescent="0.25">
      <c r="A399" s="962"/>
      <c r="B399" s="1885" t="s">
        <v>1404</v>
      </c>
      <c r="C399" s="553"/>
      <c r="D399" s="903"/>
      <c r="E399" s="1245" t="s">
        <v>318</v>
      </c>
      <c r="F399" s="857"/>
      <c r="G399" s="857"/>
      <c r="H399" s="857"/>
      <c r="I399" s="857"/>
      <c r="J399" s="857"/>
      <c r="K399" s="857"/>
      <c r="L399" s="857"/>
      <c r="M399" s="857"/>
      <c r="N399" s="857"/>
      <c r="O399" s="857">
        <v>2</v>
      </c>
      <c r="P399" s="857">
        <v>2.2999999999999998</v>
      </c>
      <c r="Q399" s="857">
        <f t="shared" ref="Q399:Q402" si="67">O399*P399</f>
        <v>4.5999999999999996</v>
      </c>
      <c r="R399" s="857">
        <f t="shared" si="62"/>
        <v>4.5999999999999996</v>
      </c>
      <c r="S399" s="857"/>
      <c r="T399" s="857"/>
      <c r="U399" s="857"/>
      <c r="V399" s="857"/>
      <c r="W399" s="857"/>
      <c r="X399" s="857"/>
      <c r="Y399" s="857"/>
      <c r="Z399" s="857"/>
      <c r="AA399" s="857"/>
      <c r="AB399" s="3524"/>
      <c r="AC399" s="491" t="s">
        <v>1665</v>
      </c>
      <c r="AF399" s="466"/>
      <c r="AG399" s="465"/>
      <c r="AH399" s="465"/>
    </row>
    <row r="400" spans="1:34" s="498" customFormat="1" hidden="1" x14ac:dyDescent="0.25">
      <c r="A400" s="962"/>
      <c r="B400" s="1885" t="s">
        <v>1934</v>
      </c>
      <c r="C400" s="553"/>
      <c r="D400" s="903"/>
      <c r="E400" s="1245" t="s">
        <v>318</v>
      </c>
      <c r="F400" s="857"/>
      <c r="G400" s="857"/>
      <c r="H400" s="857"/>
      <c r="I400" s="857"/>
      <c r="J400" s="857"/>
      <c r="K400" s="857"/>
      <c r="L400" s="857"/>
      <c r="M400" s="857"/>
      <c r="N400" s="857"/>
      <c r="O400" s="857">
        <v>3</v>
      </c>
      <c r="P400" s="857">
        <v>2.2999999999999998</v>
      </c>
      <c r="Q400" s="857">
        <f t="shared" si="67"/>
        <v>6.9</v>
      </c>
      <c r="R400" s="857">
        <f t="shared" si="62"/>
        <v>6.9</v>
      </c>
      <c r="S400" s="857"/>
      <c r="T400" s="857"/>
      <c r="U400" s="857"/>
      <c r="V400" s="857"/>
      <c r="W400" s="857"/>
      <c r="X400" s="857"/>
      <c r="Y400" s="857"/>
      <c r="Z400" s="857"/>
      <c r="AA400" s="857"/>
      <c r="AB400" s="3524"/>
      <c r="AC400" s="491" t="s">
        <v>1665</v>
      </c>
      <c r="AF400" s="466"/>
      <c r="AG400" s="465"/>
      <c r="AH400" s="465"/>
    </row>
    <row r="401" spans="1:34" s="498" customFormat="1" hidden="1" x14ac:dyDescent="0.25">
      <c r="A401" s="962"/>
      <c r="B401" s="1885" t="s">
        <v>1807</v>
      </c>
      <c r="C401" s="553"/>
      <c r="D401" s="903"/>
      <c r="E401" s="1245" t="s">
        <v>318</v>
      </c>
      <c r="F401" s="857"/>
      <c r="G401" s="857"/>
      <c r="H401" s="857"/>
      <c r="I401" s="857"/>
      <c r="J401" s="857"/>
      <c r="K401" s="857"/>
      <c r="L401" s="857"/>
      <c r="M401" s="857"/>
      <c r="N401" s="857"/>
      <c r="O401" s="857">
        <v>1</v>
      </c>
      <c r="P401" s="857">
        <v>4</v>
      </c>
      <c r="Q401" s="857">
        <f t="shared" si="67"/>
        <v>4</v>
      </c>
      <c r="R401" s="857">
        <f t="shared" si="62"/>
        <v>4</v>
      </c>
      <c r="S401" s="857"/>
      <c r="T401" s="857"/>
      <c r="U401" s="857"/>
      <c r="V401" s="857"/>
      <c r="W401" s="857"/>
      <c r="X401" s="857"/>
      <c r="Y401" s="857"/>
      <c r="Z401" s="857"/>
      <c r="AA401" s="857"/>
      <c r="AB401" s="3524"/>
      <c r="AC401" s="491" t="s">
        <v>1665</v>
      </c>
      <c r="AF401" s="466"/>
      <c r="AG401" s="465"/>
      <c r="AH401" s="465"/>
    </row>
    <row r="402" spans="1:34" s="498" customFormat="1" hidden="1" x14ac:dyDescent="0.25">
      <c r="A402" s="962"/>
      <c r="B402" s="1885" t="s">
        <v>1989</v>
      </c>
      <c r="C402" s="553"/>
      <c r="D402" s="903"/>
      <c r="E402" s="1245" t="s">
        <v>318</v>
      </c>
      <c r="F402" s="857"/>
      <c r="G402" s="857"/>
      <c r="H402" s="857"/>
      <c r="I402" s="857"/>
      <c r="J402" s="857"/>
      <c r="K402" s="857"/>
      <c r="L402" s="857"/>
      <c r="M402" s="857"/>
      <c r="N402" s="857"/>
      <c r="O402" s="857">
        <v>2</v>
      </c>
      <c r="P402" s="857">
        <v>2.5</v>
      </c>
      <c r="Q402" s="857">
        <f t="shared" si="67"/>
        <v>5</v>
      </c>
      <c r="R402" s="857">
        <f t="shared" si="62"/>
        <v>5</v>
      </c>
      <c r="S402" s="857"/>
      <c r="T402" s="857"/>
      <c r="U402" s="857"/>
      <c r="V402" s="857"/>
      <c r="W402" s="857"/>
      <c r="X402" s="857"/>
      <c r="Y402" s="857"/>
      <c r="Z402" s="857"/>
      <c r="AA402" s="857"/>
      <c r="AB402" s="3524"/>
      <c r="AC402" s="491" t="s">
        <v>1665</v>
      </c>
      <c r="AF402" s="466"/>
      <c r="AG402" s="465"/>
      <c r="AH402" s="465"/>
    </row>
    <row r="403" spans="1:34" s="498" customFormat="1" hidden="1" x14ac:dyDescent="0.25">
      <c r="A403" s="962"/>
      <c r="B403" s="502" t="s">
        <v>1971</v>
      </c>
      <c r="C403" s="553"/>
      <c r="D403" s="903"/>
      <c r="E403" s="1245"/>
      <c r="F403" s="857"/>
      <c r="G403" s="857"/>
      <c r="H403" s="857"/>
      <c r="I403" s="857"/>
      <c r="J403" s="857"/>
      <c r="K403" s="857"/>
      <c r="L403" s="857"/>
      <c r="M403" s="857"/>
      <c r="N403" s="857"/>
      <c r="O403" s="857"/>
      <c r="P403" s="857"/>
      <c r="Q403" s="857">
        <f>SUM(Q398:Q402)*0.271</f>
        <v>6.5</v>
      </c>
      <c r="R403" s="857">
        <f t="shared" ref="R403:R416" si="68">Q403</f>
        <v>6.5</v>
      </c>
      <c r="S403" s="857"/>
      <c r="T403" s="857"/>
      <c r="U403" s="857"/>
      <c r="V403" s="857"/>
      <c r="W403" s="857"/>
      <c r="X403" s="857"/>
      <c r="Y403" s="857"/>
      <c r="Z403" s="857"/>
      <c r="AA403" s="857"/>
      <c r="AB403" s="3525"/>
      <c r="AC403" s="491" t="s">
        <v>1665</v>
      </c>
      <c r="AF403" s="466"/>
      <c r="AG403" s="465"/>
      <c r="AH403" s="465"/>
    </row>
    <row r="404" spans="1:34" s="539" customFormat="1" ht="38.25" hidden="1" x14ac:dyDescent="0.25">
      <c r="A404" s="536"/>
      <c r="B404" s="1949" t="s">
        <v>1990</v>
      </c>
      <c r="C404" s="1945"/>
      <c r="D404" s="1918" t="s">
        <v>1444</v>
      </c>
      <c r="E404" s="1946"/>
      <c r="F404" s="1947"/>
      <c r="G404" s="1947"/>
      <c r="H404" s="1947"/>
      <c r="I404" s="1947"/>
      <c r="J404" s="1947"/>
      <c r="K404" s="1947"/>
      <c r="L404" s="1947"/>
      <c r="M404" s="1947"/>
      <c r="N404" s="1947"/>
      <c r="O404" s="1947"/>
      <c r="P404" s="1947"/>
      <c r="Q404" s="1948">
        <f>Q405</f>
        <v>27.6</v>
      </c>
      <c r="R404" s="1948">
        <f t="shared" si="68"/>
        <v>27.6</v>
      </c>
      <c r="S404" s="1948"/>
      <c r="T404" s="1947"/>
      <c r="U404" s="1947"/>
      <c r="V404" s="1947"/>
      <c r="W404" s="1947"/>
      <c r="X404" s="1947"/>
      <c r="Y404" s="1947"/>
      <c r="Z404" s="1947"/>
      <c r="AA404" s="1947"/>
      <c r="AB404" s="3523" t="s">
        <v>1916</v>
      </c>
      <c r="AC404" s="515" t="s">
        <v>1665</v>
      </c>
      <c r="AF404" s="519"/>
      <c r="AG404" s="540"/>
      <c r="AH404" s="540"/>
    </row>
    <row r="405" spans="1:34" s="498" customFormat="1" hidden="1" x14ac:dyDescent="0.25">
      <c r="A405" s="962"/>
      <c r="B405" s="500" t="s">
        <v>1233</v>
      </c>
      <c r="C405" s="529" t="s">
        <v>1230</v>
      </c>
      <c r="D405" s="903"/>
      <c r="E405" s="1245"/>
      <c r="F405" s="857"/>
      <c r="G405" s="857"/>
      <c r="H405" s="857"/>
      <c r="I405" s="857"/>
      <c r="J405" s="857"/>
      <c r="K405" s="857"/>
      <c r="L405" s="857"/>
      <c r="M405" s="857"/>
      <c r="N405" s="857"/>
      <c r="O405" s="857"/>
      <c r="P405" s="857"/>
      <c r="Q405" s="533">
        <f>SUM(Q406:Q411)</f>
        <v>27.6</v>
      </c>
      <c r="R405" s="533">
        <f t="shared" si="68"/>
        <v>27.6</v>
      </c>
      <c r="S405" s="533"/>
      <c r="T405" s="857"/>
      <c r="U405" s="857"/>
      <c r="V405" s="857"/>
      <c r="W405" s="857"/>
      <c r="X405" s="857"/>
      <c r="Y405" s="857"/>
      <c r="Z405" s="857"/>
      <c r="AA405" s="857"/>
      <c r="AB405" s="3524"/>
      <c r="AC405" s="491" t="s">
        <v>1665</v>
      </c>
      <c r="AF405" s="466"/>
      <c r="AG405" s="465"/>
      <c r="AH405" s="465"/>
    </row>
    <row r="406" spans="1:34" s="498" customFormat="1" hidden="1" x14ac:dyDescent="0.25">
      <c r="A406" s="962"/>
      <c r="B406" s="1885" t="s">
        <v>1933</v>
      </c>
      <c r="C406" s="553"/>
      <c r="D406" s="903"/>
      <c r="E406" s="1245"/>
      <c r="F406" s="857"/>
      <c r="G406" s="857"/>
      <c r="H406" s="857"/>
      <c r="I406" s="857"/>
      <c r="J406" s="857"/>
      <c r="K406" s="857"/>
      <c r="L406" s="857"/>
      <c r="M406" s="857"/>
      <c r="N406" s="857"/>
      <c r="O406" s="857">
        <v>1</v>
      </c>
      <c r="P406" s="857">
        <v>3.5</v>
      </c>
      <c r="Q406" s="857">
        <f t="shared" ref="Q406:Q410" si="69">O406*P406</f>
        <v>3.5</v>
      </c>
      <c r="R406" s="857">
        <f t="shared" si="68"/>
        <v>3.5</v>
      </c>
      <c r="S406" s="857"/>
      <c r="T406" s="857"/>
      <c r="U406" s="857"/>
      <c r="V406" s="857"/>
      <c r="W406" s="857"/>
      <c r="X406" s="857"/>
      <c r="Y406" s="857"/>
      <c r="Z406" s="857"/>
      <c r="AA406" s="857"/>
      <c r="AB406" s="3524"/>
      <c r="AC406" s="491" t="s">
        <v>1665</v>
      </c>
      <c r="AF406" s="466"/>
      <c r="AG406" s="465"/>
      <c r="AH406" s="465"/>
    </row>
    <row r="407" spans="1:34" s="498" customFormat="1" hidden="1" x14ac:dyDescent="0.25">
      <c r="A407" s="962"/>
      <c r="B407" s="1885" t="s">
        <v>1404</v>
      </c>
      <c r="C407" s="553"/>
      <c r="D407" s="903"/>
      <c r="E407" s="1245"/>
      <c r="F407" s="857"/>
      <c r="G407" s="857"/>
      <c r="H407" s="857"/>
      <c r="I407" s="857"/>
      <c r="J407" s="857"/>
      <c r="K407" s="857"/>
      <c r="L407" s="857"/>
      <c r="M407" s="857"/>
      <c r="N407" s="857"/>
      <c r="O407" s="857">
        <v>2</v>
      </c>
      <c r="P407" s="857">
        <v>2.2999999999999998</v>
      </c>
      <c r="Q407" s="857">
        <f t="shared" si="69"/>
        <v>4.5999999999999996</v>
      </c>
      <c r="R407" s="857">
        <f t="shared" si="68"/>
        <v>4.5999999999999996</v>
      </c>
      <c r="S407" s="857"/>
      <c r="T407" s="857"/>
      <c r="U407" s="857"/>
      <c r="V407" s="857"/>
      <c r="W407" s="857"/>
      <c r="X407" s="857"/>
      <c r="Y407" s="857"/>
      <c r="Z407" s="857"/>
      <c r="AA407" s="857"/>
      <c r="AB407" s="3524"/>
      <c r="AC407" s="491" t="s">
        <v>1665</v>
      </c>
      <c r="AF407" s="466"/>
      <c r="AG407" s="465"/>
      <c r="AH407" s="465"/>
    </row>
    <row r="408" spans="1:34" s="498" customFormat="1" hidden="1" x14ac:dyDescent="0.25">
      <c r="A408" s="962"/>
      <c r="B408" s="1885" t="s">
        <v>1934</v>
      </c>
      <c r="C408" s="553"/>
      <c r="D408" s="903"/>
      <c r="E408" s="1245"/>
      <c r="F408" s="857"/>
      <c r="G408" s="857"/>
      <c r="H408" s="857"/>
      <c r="I408" s="857"/>
      <c r="J408" s="857"/>
      <c r="K408" s="857"/>
      <c r="L408" s="857"/>
      <c r="M408" s="857"/>
      <c r="N408" s="857"/>
      <c r="O408" s="857">
        <v>2</v>
      </c>
      <c r="P408" s="857">
        <v>2.2999999999999998</v>
      </c>
      <c r="Q408" s="857">
        <f t="shared" si="69"/>
        <v>4.5999999999999996</v>
      </c>
      <c r="R408" s="857">
        <f t="shared" si="68"/>
        <v>4.5999999999999996</v>
      </c>
      <c r="S408" s="857"/>
      <c r="T408" s="857"/>
      <c r="U408" s="857"/>
      <c r="V408" s="857"/>
      <c r="W408" s="857"/>
      <c r="X408" s="857"/>
      <c r="Y408" s="857"/>
      <c r="Z408" s="857"/>
      <c r="AA408" s="857"/>
      <c r="AB408" s="3524"/>
      <c r="AC408" s="491" t="s">
        <v>1665</v>
      </c>
      <c r="AF408" s="466"/>
      <c r="AG408" s="465"/>
      <c r="AH408" s="465"/>
    </row>
    <row r="409" spans="1:34" s="498" customFormat="1" hidden="1" x14ac:dyDescent="0.25">
      <c r="A409" s="962"/>
      <c r="B409" s="1885" t="s">
        <v>1807</v>
      </c>
      <c r="C409" s="553"/>
      <c r="D409" s="903"/>
      <c r="E409" s="1245"/>
      <c r="F409" s="857"/>
      <c r="G409" s="857"/>
      <c r="H409" s="857"/>
      <c r="I409" s="857"/>
      <c r="J409" s="857"/>
      <c r="K409" s="857"/>
      <c r="L409" s="857"/>
      <c r="M409" s="857"/>
      <c r="N409" s="857"/>
      <c r="O409" s="857">
        <v>1</v>
      </c>
      <c r="P409" s="857">
        <v>4</v>
      </c>
      <c r="Q409" s="857">
        <f t="shared" si="69"/>
        <v>4</v>
      </c>
      <c r="R409" s="857">
        <f t="shared" si="68"/>
        <v>4</v>
      </c>
      <c r="S409" s="857"/>
      <c r="T409" s="857"/>
      <c r="U409" s="857"/>
      <c r="V409" s="857"/>
      <c r="W409" s="857"/>
      <c r="X409" s="857"/>
      <c r="Y409" s="857"/>
      <c r="Z409" s="857"/>
      <c r="AA409" s="857"/>
      <c r="AB409" s="3524"/>
      <c r="AC409" s="491" t="s">
        <v>1665</v>
      </c>
      <c r="AF409" s="466"/>
      <c r="AG409" s="465"/>
      <c r="AH409" s="465"/>
    </row>
    <row r="410" spans="1:34" s="498" customFormat="1" hidden="1" x14ac:dyDescent="0.25">
      <c r="A410" s="962"/>
      <c r="B410" s="1885" t="s">
        <v>1989</v>
      </c>
      <c r="C410" s="553"/>
      <c r="D410" s="903"/>
      <c r="E410" s="1245"/>
      <c r="F410" s="857"/>
      <c r="G410" s="857"/>
      <c r="H410" s="857"/>
      <c r="I410" s="857"/>
      <c r="J410" s="857"/>
      <c r="K410" s="857"/>
      <c r="L410" s="857"/>
      <c r="M410" s="857"/>
      <c r="N410" s="857"/>
      <c r="O410" s="857">
        <v>2</v>
      </c>
      <c r="P410" s="857">
        <v>2.5</v>
      </c>
      <c r="Q410" s="857">
        <f t="shared" si="69"/>
        <v>5</v>
      </c>
      <c r="R410" s="857">
        <f t="shared" si="68"/>
        <v>5</v>
      </c>
      <c r="S410" s="857"/>
      <c r="T410" s="857"/>
      <c r="U410" s="857"/>
      <c r="V410" s="857"/>
      <c r="W410" s="857"/>
      <c r="X410" s="857"/>
      <c r="Y410" s="857"/>
      <c r="Z410" s="857"/>
      <c r="AA410" s="857"/>
      <c r="AB410" s="3524"/>
      <c r="AC410" s="491" t="s">
        <v>1665</v>
      </c>
      <c r="AF410" s="466"/>
      <c r="AG410" s="465"/>
      <c r="AH410" s="465"/>
    </row>
    <row r="411" spans="1:34" s="498" customFormat="1" hidden="1" x14ac:dyDescent="0.25">
      <c r="A411" s="962"/>
      <c r="B411" s="1885" t="s">
        <v>1991</v>
      </c>
      <c r="C411" s="553"/>
      <c r="D411" s="903"/>
      <c r="E411" s="1245"/>
      <c r="F411" s="857"/>
      <c r="G411" s="857"/>
      <c r="H411" s="857"/>
      <c r="I411" s="857"/>
      <c r="J411" s="857"/>
      <c r="K411" s="857"/>
      <c r="L411" s="857"/>
      <c r="M411" s="857"/>
      <c r="N411" s="857"/>
      <c r="O411" s="857"/>
      <c r="P411" s="857"/>
      <c r="Q411" s="857">
        <f>SUM(Q406:Q410)*0.271</f>
        <v>5.9</v>
      </c>
      <c r="R411" s="857">
        <f t="shared" si="68"/>
        <v>5.9</v>
      </c>
      <c r="S411" s="857"/>
      <c r="T411" s="857"/>
      <c r="U411" s="857"/>
      <c r="V411" s="857"/>
      <c r="W411" s="857"/>
      <c r="X411" s="857"/>
      <c r="Y411" s="857"/>
      <c r="Z411" s="857"/>
      <c r="AA411" s="857"/>
      <c r="AB411" s="3525"/>
      <c r="AC411" s="491" t="s">
        <v>1665</v>
      </c>
      <c r="AF411" s="466"/>
      <c r="AG411" s="465"/>
      <c r="AH411" s="465"/>
    </row>
    <row r="412" spans="1:34" s="539" customFormat="1" hidden="1" x14ac:dyDescent="0.25">
      <c r="A412" s="536"/>
      <c r="B412" s="510" t="s">
        <v>1992</v>
      </c>
      <c r="C412" s="1918"/>
      <c r="D412" s="536"/>
      <c r="E412" s="536"/>
      <c r="F412" s="1950"/>
      <c r="G412" s="1951"/>
      <c r="H412" s="490" t="e">
        <f>#REF!+H413</f>
        <v>#REF!</v>
      </c>
      <c r="I412" s="1952"/>
      <c r="J412" s="1952"/>
      <c r="K412" s="490">
        <f>K413</f>
        <v>0</v>
      </c>
      <c r="L412" s="1952"/>
      <c r="M412" s="1952"/>
      <c r="N412" s="490">
        <f>N413</f>
        <v>0</v>
      </c>
      <c r="O412" s="1952"/>
      <c r="P412" s="1952"/>
      <c r="Q412" s="490">
        <f>Q413</f>
        <v>0</v>
      </c>
      <c r="R412" s="490">
        <f t="shared" si="68"/>
        <v>0</v>
      </c>
      <c r="S412" s="490"/>
      <c r="T412" s="1952"/>
      <c r="U412" s="1952"/>
      <c r="V412" s="490">
        <f>V413</f>
        <v>150</v>
      </c>
      <c r="W412" s="490"/>
      <c r="X412" s="490"/>
      <c r="Y412" s="490">
        <f>Y413</f>
        <v>150</v>
      </c>
      <c r="Z412" s="490">
        <f t="shared" ref="Z412:Z416" si="70">Q412-K412</f>
        <v>0</v>
      </c>
      <c r="AA412" s="490" t="str">
        <f t="shared" ref="AA412:AA416" si="71">IFERROR(Q412/K412*100,"-")</f>
        <v>-</v>
      </c>
      <c r="AB412" s="555"/>
      <c r="AC412" s="538"/>
      <c r="AF412" s="519"/>
      <c r="AG412" s="540"/>
      <c r="AH412" s="540"/>
    </row>
    <row r="413" spans="1:34" s="871" customFormat="1" ht="38.25" hidden="1" x14ac:dyDescent="0.2">
      <c r="A413" s="869"/>
      <c r="B413" s="922" t="s">
        <v>1993</v>
      </c>
      <c r="C413" s="923"/>
      <c r="D413" s="869" t="s">
        <v>1444</v>
      </c>
      <c r="E413" s="869"/>
      <c r="F413" s="918"/>
      <c r="G413" s="919"/>
      <c r="H413" s="886">
        <f>H414</f>
        <v>90</v>
      </c>
      <c r="I413" s="891"/>
      <c r="J413" s="891"/>
      <c r="K413" s="891">
        <f>K414</f>
        <v>0</v>
      </c>
      <c r="L413" s="891"/>
      <c r="M413" s="891"/>
      <c r="N413" s="891">
        <f>N414</f>
        <v>0</v>
      </c>
      <c r="O413" s="891"/>
      <c r="P413" s="891"/>
      <c r="Q413" s="891">
        <f>Q414</f>
        <v>0</v>
      </c>
      <c r="R413" s="891">
        <f t="shared" si="68"/>
        <v>0</v>
      </c>
      <c r="S413" s="891"/>
      <c r="T413" s="891"/>
      <c r="U413" s="891"/>
      <c r="V413" s="891">
        <f>V414</f>
        <v>150</v>
      </c>
      <c r="W413" s="891"/>
      <c r="X413" s="891"/>
      <c r="Y413" s="891">
        <f>Y414</f>
        <v>150</v>
      </c>
      <c r="Z413" s="886">
        <f t="shared" si="70"/>
        <v>0</v>
      </c>
      <c r="AA413" s="886" t="str">
        <f t="shared" si="71"/>
        <v>-</v>
      </c>
      <c r="AB413" s="1953"/>
      <c r="AC413" s="920" t="s">
        <v>1665</v>
      </c>
      <c r="AF413" s="872"/>
      <c r="AG413" s="872"/>
      <c r="AH413" s="872"/>
    </row>
    <row r="414" spans="1:34" s="492" customFormat="1" ht="14.25" hidden="1" x14ac:dyDescent="0.2">
      <c r="A414" s="1240"/>
      <c r="B414" s="866" t="s">
        <v>1245</v>
      </c>
      <c r="C414" s="529" t="s">
        <v>800</v>
      </c>
      <c r="D414" s="932"/>
      <c r="E414" s="1240"/>
      <c r="F414" s="828"/>
      <c r="G414" s="829"/>
      <c r="H414" s="542">
        <f>H415+H416</f>
        <v>90</v>
      </c>
      <c r="I414" s="533"/>
      <c r="J414" s="533"/>
      <c r="K414" s="533">
        <f>K415</f>
        <v>0</v>
      </c>
      <c r="L414" s="533"/>
      <c r="M414" s="533"/>
      <c r="N414" s="533">
        <f>N415</f>
        <v>0</v>
      </c>
      <c r="O414" s="533"/>
      <c r="P414" s="533"/>
      <c r="Q414" s="533">
        <f>Q415</f>
        <v>0</v>
      </c>
      <c r="R414" s="533">
        <f t="shared" si="68"/>
        <v>0</v>
      </c>
      <c r="S414" s="533"/>
      <c r="T414" s="533"/>
      <c r="U414" s="533"/>
      <c r="V414" s="533">
        <f>V415</f>
        <v>150</v>
      </c>
      <c r="W414" s="533"/>
      <c r="X414" s="533"/>
      <c r="Y414" s="533">
        <f>Y415</f>
        <v>150</v>
      </c>
      <c r="Z414" s="542">
        <f t="shared" si="70"/>
        <v>0</v>
      </c>
      <c r="AA414" s="542" t="str">
        <f t="shared" si="71"/>
        <v>-</v>
      </c>
      <c r="AB414" s="1893"/>
      <c r="AC414" s="491" t="s">
        <v>1665</v>
      </c>
      <c r="AF414" s="466"/>
      <c r="AG414" s="466"/>
      <c r="AH414" s="466"/>
    </row>
    <row r="415" spans="1:34" s="498" customFormat="1" ht="89.25" hidden="1" x14ac:dyDescent="0.25">
      <c r="A415" s="962"/>
      <c r="B415" s="1863" t="s">
        <v>1994</v>
      </c>
      <c r="C415" s="553"/>
      <c r="D415" s="903"/>
      <c r="E415" s="1245" t="s">
        <v>1995</v>
      </c>
      <c r="F415" s="557">
        <v>6</v>
      </c>
      <c r="G415" s="558">
        <v>12.2</v>
      </c>
      <c r="H415" s="559">
        <f>F415*G415</f>
        <v>73.2</v>
      </c>
      <c r="I415" s="857"/>
      <c r="J415" s="857"/>
      <c r="K415" s="857"/>
      <c r="L415" s="857"/>
      <c r="M415" s="857"/>
      <c r="N415" s="857"/>
      <c r="O415" s="857"/>
      <c r="P415" s="857"/>
      <c r="Q415" s="857"/>
      <c r="R415" s="857">
        <f t="shared" si="68"/>
        <v>0</v>
      </c>
      <c r="S415" s="857"/>
      <c r="T415" s="857">
        <v>10</v>
      </c>
      <c r="U415" s="857">
        <v>15</v>
      </c>
      <c r="V415" s="857">
        <f>T415*U415</f>
        <v>150</v>
      </c>
      <c r="W415" s="857">
        <v>10</v>
      </c>
      <c r="X415" s="857">
        <v>15</v>
      </c>
      <c r="Y415" s="857">
        <f>W415*X415</f>
        <v>150</v>
      </c>
      <c r="Z415" s="559">
        <f t="shared" si="70"/>
        <v>0</v>
      </c>
      <c r="AA415" s="559" t="str">
        <f t="shared" si="71"/>
        <v>-</v>
      </c>
      <c r="AB415" s="1954" t="s">
        <v>1996</v>
      </c>
      <c r="AC415" s="491" t="s">
        <v>1665</v>
      </c>
      <c r="AF415" s="466"/>
      <c r="AG415" s="465"/>
      <c r="AH415" s="465"/>
    </row>
    <row r="416" spans="1:34" s="498" customFormat="1" hidden="1" x14ac:dyDescent="0.25">
      <c r="A416" s="962"/>
      <c r="B416" s="1863" t="s">
        <v>1997</v>
      </c>
      <c r="C416" s="553"/>
      <c r="D416" s="903"/>
      <c r="E416" s="1245" t="s">
        <v>227</v>
      </c>
      <c r="F416" s="557">
        <v>14</v>
      </c>
      <c r="G416" s="558">
        <v>1.2</v>
      </c>
      <c r="H416" s="559">
        <f>F416*G416</f>
        <v>16.8</v>
      </c>
      <c r="I416" s="857"/>
      <c r="J416" s="857"/>
      <c r="K416" s="857"/>
      <c r="L416" s="857"/>
      <c r="M416" s="857"/>
      <c r="N416" s="857"/>
      <c r="O416" s="857"/>
      <c r="P416" s="857"/>
      <c r="Q416" s="857"/>
      <c r="R416" s="857">
        <f t="shared" si="68"/>
        <v>0</v>
      </c>
      <c r="S416" s="857"/>
      <c r="T416" s="857"/>
      <c r="U416" s="857"/>
      <c r="V416" s="857"/>
      <c r="W416" s="857"/>
      <c r="X416" s="857"/>
      <c r="Y416" s="857"/>
      <c r="Z416" s="559">
        <f t="shared" si="70"/>
        <v>0</v>
      </c>
      <c r="AA416" s="559" t="str">
        <f t="shared" si="71"/>
        <v>-</v>
      </c>
      <c r="AB416" s="1954"/>
      <c r="AC416" s="491" t="s">
        <v>1665</v>
      </c>
      <c r="AF416" s="466"/>
      <c r="AG416" s="465"/>
      <c r="AH416" s="465"/>
    </row>
    <row r="417" spans="1:35" s="561" customFormat="1" x14ac:dyDescent="0.25">
      <c r="A417" s="560"/>
      <c r="C417" s="562"/>
      <c r="D417" s="560"/>
      <c r="E417" s="560"/>
      <c r="F417" s="563"/>
      <c r="G417" s="564"/>
      <c r="H417" s="565"/>
      <c r="I417" s="470"/>
      <c r="J417" s="470"/>
      <c r="K417" s="470"/>
      <c r="L417" s="470"/>
      <c r="M417" s="470"/>
      <c r="N417" s="470"/>
      <c r="O417" s="470"/>
      <c r="P417" s="470"/>
      <c r="Q417" s="470"/>
      <c r="R417" s="470"/>
      <c r="S417" s="470"/>
      <c r="T417" s="470"/>
      <c r="U417" s="470"/>
      <c r="V417" s="470"/>
      <c r="W417" s="470"/>
      <c r="X417" s="470"/>
      <c r="Y417" s="470"/>
      <c r="Z417" s="566"/>
      <c r="AA417" s="566"/>
      <c r="AB417" s="470"/>
      <c r="AC417" s="567"/>
      <c r="AF417" s="568"/>
    </row>
    <row r="418" spans="1:35" s="576" customFormat="1" ht="17.25" customHeight="1" x14ac:dyDescent="0.25">
      <c r="A418" s="571"/>
      <c r="B418" s="606"/>
      <c r="C418" s="606"/>
      <c r="D418" s="571"/>
      <c r="E418" s="571"/>
      <c r="F418" s="924"/>
      <c r="G418" s="925"/>
      <c r="H418" s="571"/>
      <c r="I418" s="571"/>
      <c r="J418" s="571"/>
      <c r="K418" s="575"/>
      <c r="L418" s="571"/>
      <c r="M418" s="571"/>
      <c r="N418" s="575"/>
      <c r="O418" s="571"/>
      <c r="P418" s="571"/>
      <c r="Q418" s="575"/>
      <c r="R418" s="575"/>
      <c r="S418" s="575"/>
      <c r="T418" s="571"/>
      <c r="U418" s="571"/>
      <c r="V418" s="575"/>
      <c r="W418" s="571"/>
      <c r="X418" s="571"/>
      <c r="Y418" s="575"/>
      <c r="Z418" s="575"/>
      <c r="AA418" s="575"/>
      <c r="AC418" s="926"/>
      <c r="AD418" s="562"/>
      <c r="AE418" s="562"/>
      <c r="AF418" s="568"/>
      <c r="AG418" s="561"/>
      <c r="AH418" s="561"/>
      <c r="AI418" s="927"/>
    </row>
    <row r="419" spans="1:35" s="1959" customFormat="1" ht="14.25" x14ac:dyDescent="0.2">
      <c r="A419" s="1955"/>
      <c r="B419" s="1955"/>
      <c r="C419" s="572" t="s">
        <v>1665</v>
      </c>
      <c r="D419" s="572"/>
      <c r="E419" s="572"/>
      <c r="F419" s="573"/>
      <c r="G419" s="574"/>
      <c r="H419" s="572">
        <f>H420+H421+H422+H423+H424+H425+H426</f>
        <v>1329.4</v>
      </c>
      <c r="I419" s="572"/>
      <c r="J419" s="572"/>
      <c r="K419" s="572">
        <f>K420+K421+K422+K423+K424+K425+K426</f>
        <v>891.2</v>
      </c>
      <c r="L419" s="572"/>
      <c r="M419" s="572"/>
      <c r="N419" s="572">
        <f>N420+N421+N422+N423+N424+N425+N426</f>
        <v>891.2</v>
      </c>
      <c r="O419" s="572"/>
      <c r="P419" s="572"/>
      <c r="Q419" s="572">
        <f>Q420+Q421+Q422+Q423+Q424+Q425+Q426</f>
        <v>1423.2</v>
      </c>
      <c r="R419" s="572">
        <f t="shared" ref="R419:S419" si="72">R420+R421+R422+R423+R424+R425+R426</f>
        <v>1189.2</v>
      </c>
      <c r="S419" s="572">
        <f t="shared" si="72"/>
        <v>233.9</v>
      </c>
      <c r="T419" s="572"/>
      <c r="U419" s="572"/>
      <c r="V419" s="572">
        <f>V420+V421+V422+V423+V424+V425+V426</f>
        <v>1257.4000000000001</v>
      </c>
      <c r="W419" s="572"/>
      <c r="X419" s="572"/>
      <c r="Y419" s="572">
        <f>Y420+Y421+Y422+Y423+Y424+Y425+Y426</f>
        <v>1257.4000000000001</v>
      </c>
      <c r="Z419" s="579"/>
      <c r="AA419" s="579"/>
      <c r="AB419" s="576"/>
      <c r="AC419" s="1956"/>
      <c r="AD419" s="1957"/>
      <c r="AE419" s="1957"/>
      <c r="AF419" s="1958"/>
      <c r="AG419" s="1958"/>
      <c r="AH419" s="1958"/>
    </row>
    <row r="420" spans="1:35" s="1961" customFormat="1" x14ac:dyDescent="0.25">
      <c r="A420" s="571"/>
      <c r="B420" s="571"/>
      <c r="C420" s="578" t="s">
        <v>1237</v>
      </c>
      <c r="D420" s="578"/>
      <c r="E420" s="578"/>
      <c r="F420" s="1241"/>
      <c r="G420" s="1242"/>
      <c r="H420" s="1243">
        <f>H72+H96+H118+H180+H248+H280+H374</f>
        <v>92.5</v>
      </c>
      <c r="I420" s="1243"/>
      <c r="J420" s="1243"/>
      <c r="K420" s="1243">
        <f>K72+K96+K118+K180+K248+K280+K374</f>
        <v>91.3</v>
      </c>
      <c r="L420" s="1243"/>
      <c r="M420" s="1243"/>
      <c r="N420" s="1243">
        <f>N72+N96+N118+N180+N248+N280+N374</f>
        <v>91.3</v>
      </c>
      <c r="O420" s="1243"/>
      <c r="P420" s="1243"/>
      <c r="Q420" s="1243">
        <f>Q72+Q96+Q118+Q180+Q248+Q280+Q374</f>
        <v>85</v>
      </c>
      <c r="R420" s="1243">
        <f>R72+R96+R118+R180+R248+R280+R374</f>
        <v>77.5</v>
      </c>
      <c r="S420" s="1243">
        <f>S72+S96+S118+S180+S248+S280+S374</f>
        <v>7.5</v>
      </c>
      <c r="T420" s="1243"/>
      <c r="U420" s="1243"/>
      <c r="V420" s="1243">
        <f>V72+V96+V118+V180+V248+V280+V374</f>
        <v>85</v>
      </c>
      <c r="W420" s="1243"/>
      <c r="X420" s="1243"/>
      <c r="Y420" s="1243">
        <f>Y72+Y96+Y118+Y180+Y248+Y280+Y374</f>
        <v>85</v>
      </c>
      <c r="Z420" s="575"/>
      <c r="AA420" s="575"/>
      <c r="AB420" s="576"/>
      <c r="AC420" s="577"/>
      <c r="AD420" s="1960"/>
      <c r="AE420" s="1960"/>
      <c r="AF420" s="1958"/>
      <c r="AG420" s="560"/>
      <c r="AH420" s="560"/>
    </row>
    <row r="421" spans="1:35" s="1961" customFormat="1" x14ac:dyDescent="0.25">
      <c r="A421" s="571"/>
      <c r="B421" s="571"/>
      <c r="C421" s="578" t="s">
        <v>1230</v>
      </c>
      <c r="D421" s="578"/>
      <c r="E421" s="578"/>
      <c r="F421" s="1241"/>
      <c r="G421" s="1242"/>
      <c r="H421" s="1243">
        <f>H26+H46+H53+H76+H86+H104+H135+H148+H169+H192+H230+H266+H295+H304+H318+H338+H361+H376</f>
        <v>272.60000000000002</v>
      </c>
      <c r="I421" s="1243"/>
      <c r="J421" s="1243"/>
      <c r="K421" s="1243">
        <f>K26+K46+K53+K76+K86+K104+K135+K148+K169+K192+K230+K266+K295+K304+K318+K338+K361+K376</f>
        <v>259</v>
      </c>
      <c r="L421" s="1243"/>
      <c r="M421" s="1243"/>
      <c r="N421" s="1243">
        <f>N26+N46+N53+N76+N86+N104+N135+N148+N169+N192+N230+N266+N295+N304+N318+N338+N361+N376</f>
        <v>259</v>
      </c>
      <c r="O421" s="1243"/>
      <c r="P421" s="1243"/>
      <c r="Q421" s="1036">
        <f>Q26+Q46+Q53+Q76+Q86+Q104+Q135+Q148+Q169+Q192+Q230+Q266+Q295+Q304+Q318+Q338+Q361+Q376+Q397+Q405</f>
        <v>508.7</v>
      </c>
      <c r="R421" s="1962">
        <f>R26+R46+R53+R76+R86+R104+R135+R148+R169+R192+R230+R266+R295+R304+R318+R338+R361+R376+R397+R405</f>
        <v>460.1</v>
      </c>
      <c r="S421" s="1036">
        <f>S26+S46+S53+S76+S86+S104+S135+S148+S169+S192+S230+S266+S295+S304+S318+S338+S361+S376+S397+S405</f>
        <v>48.5</v>
      </c>
      <c r="T421" s="1243"/>
      <c r="U421" s="1243"/>
      <c r="V421" s="1243">
        <f>V26+V46+V53+V76+V86+V104+V135+V148+V169+V192+V230+V266+V295+V304+V318+V338+V361+V376</f>
        <v>396.4</v>
      </c>
      <c r="W421" s="1243"/>
      <c r="X421" s="1243"/>
      <c r="Y421" s="1243">
        <f>Y26+Y46+Y53+Y76+Y86+Y104+Y135+Y148+Y169+Y192+Y230+Y266+Y295+Y304+Y318+Y338+Y361+Y376</f>
        <v>396.4</v>
      </c>
      <c r="Z421" s="575"/>
      <c r="AA421" s="575"/>
      <c r="AB421" s="576"/>
      <c r="AC421" s="577"/>
      <c r="AD421" s="1960"/>
      <c r="AE421" s="1960"/>
      <c r="AF421" s="1958"/>
      <c r="AG421" s="560"/>
      <c r="AH421" s="560"/>
    </row>
    <row r="422" spans="1:35" s="1968" customFormat="1" x14ac:dyDescent="0.25">
      <c r="A422" s="1964"/>
      <c r="B422" s="1964"/>
      <c r="C422" s="1965" t="s">
        <v>796</v>
      </c>
      <c r="D422" s="1965"/>
      <c r="E422" s="1965"/>
      <c r="F422" s="2551"/>
      <c r="G422" s="2552"/>
      <c r="H422" s="1965">
        <f>H20+H22+H23+H24+H43+H44+H65+H95+H114+H142+H154+H166+H183+H209+H242+H279+H294+H315+H335+H343+H392</f>
        <v>201.4</v>
      </c>
      <c r="I422" s="1965"/>
      <c r="J422" s="1965"/>
      <c r="K422" s="1965">
        <f>K20+K22+K23+K24+K43+K44+K65+K95+K114+K142+K154+K166+K183+K209+K242+K279+K294+K315+K335+K343+K392</f>
        <v>176.5</v>
      </c>
      <c r="L422" s="1965"/>
      <c r="M422" s="1965"/>
      <c r="N422" s="1965">
        <f>N20+N22+N23+N24+N43+N44+N65+N95+N114+N142+N154+N166+N183+N209+N242+N279+N294+N315+N335+N343+N392</f>
        <v>176.5</v>
      </c>
      <c r="O422" s="1965"/>
      <c r="P422" s="1965"/>
      <c r="Q422" s="1965">
        <f>Q20+Q22+Q23+Q24+Q43+Q44+Q65+Q95+Q114+Q142+Q154+Q166+Q183+Q209+Q242+Q279+Q294+Q315+Q335+Q343+Q392</f>
        <v>161</v>
      </c>
      <c r="R422" s="1965">
        <f>R20+R22+R23+R24+R43+R44+R65+R95+R114+R142+R154+R166+R183+R209+R242+R279+R294+R315+R335+R343+R392</f>
        <v>131</v>
      </c>
      <c r="S422" s="1965">
        <f>S20+S22+S23+S24+S43+S44+S65+S95+S114+S142+S154+S166+S183+S209+S242+S279+S294+S315+S335+S343+S392</f>
        <v>30</v>
      </c>
      <c r="T422" s="1965"/>
      <c r="U422" s="1965"/>
      <c r="V422" s="1965">
        <f>V20+V22+V23+V24+V43+V44+V65+V95+V114+V142+V154+V166+V183+V209+V242+V279+V294+V315+V335+V343+V392</f>
        <v>138.30000000000001</v>
      </c>
      <c r="W422" s="1965"/>
      <c r="X422" s="1965"/>
      <c r="Y422" s="1965">
        <f>Y20+Y22+Y23+Y24+Y43+Y44+Y65+Y95+Y114+Y142+Y154+Y166+Y183+Y209+Y242+Y279+Y294+Y315+Y335+Y343+Y392</f>
        <v>138.30000000000001</v>
      </c>
      <c r="Z422" s="1964"/>
      <c r="AA422" s="1964"/>
      <c r="AB422" s="1966"/>
      <c r="AC422" s="1967"/>
      <c r="AF422" s="1969"/>
      <c r="AG422" s="1970"/>
      <c r="AH422" s="1970"/>
    </row>
    <row r="423" spans="1:35" s="1961" customFormat="1" x14ac:dyDescent="0.25">
      <c r="A423" s="571"/>
      <c r="B423" s="571"/>
      <c r="C423" s="578" t="s">
        <v>800</v>
      </c>
      <c r="D423" s="578"/>
      <c r="E423" s="578"/>
      <c r="F423" s="1241"/>
      <c r="G423" s="1242"/>
      <c r="H423" s="1243">
        <f>H126+H244+H358+H369+H394+H414</f>
        <v>242.9</v>
      </c>
      <c r="I423" s="1243"/>
      <c r="J423" s="1243"/>
      <c r="K423" s="1243">
        <f>K126+K244+K247+K358+K369+K394+K414</f>
        <v>3.5</v>
      </c>
      <c r="L423" s="1243"/>
      <c r="M423" s="1243"/>
      <c r="N423" s="1243">
        <f>N126+N244+N247+N358+N369+N394+N414</f>
        <v>3.5</v>
      </c>
      <c r="O423" s="1243"/>
      <c r="P423" s="1243"/>
      <c r="Q423" s="1243">
        <f>Q126+Q244+Q247+Q358+Q369+Q394+Q414</f>
        <v>172.4</v>
      </c>
      <c r="R423" s="1243">
        <f>R126+R244+R247+R358+R369+R394+R414</f>
        <v>115.7</v>
      </c>
      <c r="S423" s="1243">
        <f>S126+S244+S247+S358+S369+S394+S414</f>
        <v>56.7</v>
      </c>
      <c r="T423" s="1243"/>
      <c r="U423" s="1243"/>
      <c r="V423" s="1243">
        <f>V126+V244+V247+V358+V369+V394+V414</f>
        <v>213.5</v>
      </c>
      <c r="W423" s="1243"/>
      <c r="X423" s="1243"/>
      <c r="Y423" s="1243">
        <f>Y126+Y244+Y247+Y358+Y369+Y394+Y414</f>
        <v>213.5</v>
      </c>
      <c r="Z423" s="575"/>
      <c r="AA423" s="575"/>
      <c r="AB423" s="576"/>
      <c r="AC423" s="577"/>
      <c r="AD423" s="1960"/>
      <c r="AE423" s="1960"/>
      <c r="AF423" s="1958"/>
      <c r="AG423" s="560"/>
      <c r="AH423" s="560"/>
    </row>
    <row r="424" spans="1:35" s="1961" customFormat="1" x14ac:dyDescent="0.25">
      <c r="A424" s="571"/>
      <c r="B424" s="571"/>
      <c r="C424" s="578" t="s">
        <v>797</v>
      </c>
      <c r="D424" s="578"/>
      <c r="E424" s="578"/>
      <c r="F424" s="1241"/>
      <c r="G424" s="1242"/>
      <c r="H424" s="1243">
        <f>H12+H16+H21+H34+H38+H60+H64+H68+H81+H83+H91+H98+H115+H119+H120+H141+H144+H155+H156+H159+H163+H179+H185+H188+H201+H203+H207+H210+H215+H222+H223+H227+H249+H254+H258+H265+H287+H283+H288+H293+H309+H312+H324+H329+H334+H344+H345+H349+H355+H370+H371+H380+H386+H393+H395</f>
        <v>385</v>
      </c>
      <c r="I424" s="1243"/>
      <c r="J424" s="1243"/>
      <c r="K424" s="1243">
        <f>K12+K16+K21+K34+K38+K60+K64+K68+K81+K83+K91+K98+K115+K119+K120+K141+K144+K155+K156+K159+K163+K179+K185+K188+K201+K203+K207+K210+K215+K222+K223+K227+K249+K254+K258+K265+K287+K283+K288+K293+K309+K312+K324+K329+K334+K344+K345+K349+K355+K370+K371+K380+K386+K393+K395</f>
        <v>225.9</v>
      </c>
      <c r="L424" s="1243"/>
      <c r="M424" s="1243"/>
      <c r="N424" s="1243">
        <f>N12+N16+N21+N34+N38+N60+N64+N68+N81+N83+N91+N98+N115+N119+N120+N141+N144+N155+N156+N159+N163+N179+N185+N188+N201+N203+N207+N210+N215+N222+N223+N227+N249+N254+N258+N265+N287+N283+N288+N293+N309+N312+N324+N329+N334+N344+N345+N349+N355+N370+N371+N380+N386+N393+N395</f>
        <v>240.9</v>
      </c>
      <c r="O424" s="1243"/>
      <c r="P424" s="1243"/>
      <c r="Q424" s="1243">
        <f>Q12+Q16+Q21+Q34+Q38+Q60+Q64+Q68+Q81+Q83+Q91+Q98+Q115+Q119+Q120+Q141+Q144+Q155+Q156+Q159+Q163+Q179+Q185+Q188+Q201+Q203+Q207+Q210+Q215+Q222+Q223+Q227+Q249+Q254+Q258+Q265+Q287+Q283+Q288+Q293+Q309+Q312+Q324+Q329+Q334+Q344+Q345+Q349+Q355+Q370+Q371+Q380+Q386+Q393+Q395</f>
        <v>360.1</v>
      </c>
      <c r="R424" s="1243">
        <f>R12+R16+R21+R34+R38+R60+R64+R68+R81+R83+R91+R98+R115+R119+R120+R141+R144+R155+R156+R159+R163+R179+R185+R188+R201+R203+R207+R210+R215+R222+R223+R227+R249+R254+R258+R265+R287+R283+R288+R293+R309+R312+R324+R329+R334+R344+R345+R349+R355+R370+R371+R380+R386+R393+R395</f>
        <v>274.89999999999998</v>
      </c>
      <c r="S424" s="1243">
        <f>S12+S16+S21+S34+S38+S60+S64+S68+S81+S83+S91+S98+S115+S119+S120+S141+S144+S155+S156+S159+S163+S179+S185+S188+S201+S203+S207+S210+S215+S222+S223+S227+S249+S254+S258+S265+S287+S283+S288+S293+S309+S312+S324+S329+S334+S344+S345+S349+S355+S370+S371+S380+S386+S393+S395</f>
        <v>85.2</v>
      </c>
      <c r="T424" s="1243"/>
      <c r="U424" s="1243"/>
      <c r="V424" s="1243">
        <f>V12+V16+V21+V34+V38+V60+V64+V68+V81+V83+V91+V98+V115+V119+V120+V141+V144+V155+V156+V159+V163+V179+V185+V188+V201+V203+V207+V210+V215+V222+V223+V227+V249+V254+V258+V265+V287+V283+V288+V293+V309+V312+V324+V329+V334+V344+V345+V349+V355+V370+V371+V380+V386+V393+V395</f>
        <v>294.2</v>
      </c>
      <c r="W424" s="1243"/>
      <c r="X424" s="1243"/>
      <c r="Y424" s="1243">
        <f>Y12+Y16+Y21+Y34+Y38+Y60+Y64+Y68+Y81+Y83+Y91+Y98+Y115+Y119+Y120+Y141+Y144+Y155+Y156+Y159+Y163+Y179+Y185+Y188+Y201+Y203+Y207+Y210+Y215+Y222+Y223+Y227+Y249+Y254+Y258+Y265+Y287+Y283+Y288+Y293+Y309+Y312+Y324+Y329+Y334+Y344+Y345+Y349+Y355+Y370+Y371+Y380+Y386+Y393+Y395</f>
        <v>294.2</v>
      </c>
      <c r="Z424" s="575"/>
      <c r="AA424" s="575"/>
      <c r="AB424" s="576"/>
      <c r="AC424" s="577"/>
      <c r="AD424" s="1960"/>
      <c r="AE424" s="1960"/>
      <c r="AF424" s="1958"/>
      <c r="AG424" s="560"/>
      <c r="AH424" s="560"/>
    </row>
    <row r="425" spans="1:35" s="1961" customFormat="1" x14ac:dyDescent="0.25">
      <c r="A425" s="571"/>
      <c r="B425" s="571"/>
      <c r="C425" s="607">
        <v>981</v>
      </c>
      <c r="D425" s="578"/>
      <c r="E425" s="578"/>
      <c r="F425" s="1241"/>
      <c r="G425" s="1242"/>
      <c r="H425" s="1243">
        <f>H80+H97</f>
        <v>135</v>
      </c>
      <c r="I425" s="1243"/>
      <c r="J425" s="1243"/>
      <c r="K425" s="1243">
        <f>K80+K97</f>
        <v>135</v>
      </c>
      <c r="L425" s="1243"/>
      <c r="M425" s="1243"/>
      <c r="N425" s="1243">
        <f>N80+N97</f>
        <v>120</v>
      </c>
      <c r="O425" s="1243"/>
      <c r="P425" s="1243"/>
      <c r="Q425" s="1243">
        <f>Q80+Q97</f>
        <v>120</v>
      </c>
      <c r="R425" s="1243">
        <f>R80+R97</f>
        <v>120</v>
      </c>
      <c r="S425" s="1243">
        <f>S80+S97</f>
        <v>0</v>
      </c>
      <c r="T425" s="1243"/>
      <c r="U425" s="1243"/>
      <c r="V425" s="1243">
        <f>V80+V97</f>
        <v>120</v>
      </c>
      <c r="W425" s="1243"/>
      <c r="X425" s="1243"/>
      <c r="Y425" s="1243">
        <f>Y80+Y97</f>
        <v>120</v>
      </c>
      <c r="Z425" s="575"/>
      <c r="AA425" s="575"/>
      <c r="AB425" s="576"/>
      <c r="AC425" s="577"/>
      <c r="AD425" s="1960"/>
      <c r="AE425" s="1960"/>
      <c r="AF425" s="1958"/>
      <c r="AG425" s="560"/>
      <c r="AH425" s="560"/>
    </row>
    <row r="426" spans="1:35" s="1961" customFormat="1" x14ac:dyDescent="0.25">
      <c r="A426" s="571"/>
      <c r="B426" s="571"/>
      <c r="C426" s="607">
        <v>981</v>
      </c>
      <c r="D426" s="578"/>
      <c r="E426" s="578"/>
      <c r="F426" s="1241"/>
      <c r="G426" s="1242"/>
      <c r="H426" s="1243">
        <f>H71+H125+H208+H264</f>
        <v>0</v>
      </c>
      <c r="I426" s="1243"/>
      <c r="J426" s="1243"/>
      <c r="K426" s="1243">
        <f>K71+K125+K208+K264</f>
        <v>0</v>
      </c>
      <c r="L426" s="1243"/>
      <c r="M426" s="1243"/>
      <c r="N426" s="1243">
        <f>N71+N125+N208+N264</f>
        <v>0</v>
      </c>
      <c r="O426" s="1243"/>
      <c r="P426" s="1243"/>
      <c r="Q426" s="1243">
        <f>Q71+Q125+Q208+Q264</f>
        <v>16</v>
      </c>
      <c r="R426" s="1243">
        <f>R71+R125+R208+R264</f>
        <v>10</v>
      </c>
      <c r="S426" s="1243">
        <f>S71+S125+S208+S264</f>
        <v>6</v>
      </c>
      <c r="T426" s="1243"/>
      <c r="U426" s="1243"/>
      <c r="V426" s="1243">
        <f>V71+V125+V208+V264</f>
        <v>10</v>
      </c>
      <c r="W426" s="1243"/>
      <c r="X426" s="1243"/>
      <c r="Y426" s="1243">
        <f>Y71+Y125+Y208+Y264</f>
        <v>10</v>
      </c>
      <c r="Z426" s="575"/>
      <c r="AA426" s="575"/>
      <c r="AB426" s="576"/>
      <c r="AC426" s="577"/>
      <c r="AD426" s="1960"/>
      <c r="AE426" s="1960"/>
      <c r="AF426" s="1958"/>
      <c r="AG426" s="560"/>
      <c r="AH426" s="560"/>
    </row>
    <row r="427" spans="1:35" s="1961" customFormat="1" x14ac:dyDescent="0.25">
      <c r="A427" s="571"/>
      <c r="B427" s="571"/>
      <c r="C427" s="580" t="s">
        <v>217</v>
      </c>
      <c r="D427" s="580"/>
      <c r="E427" s="580"/>
      <c r="F427" s="581"/>
      <c r="G427" s="582"/>
      <c r="H427" s="580">
        <f>H11+H33+H52+H74+H147+H158+H182+H191+H214+H253+H282+H303+H317+H337+H353+H413</f>
        <v>1329.4</v>
      </c>
      <c r="I427" s="580"/>
      <c r="J427" s="580"/>
      <c r="K427" s="580">
        <f>K11+K33+K52+K74+K147+K158+K182+K191+K214+K253+K282+K303+K317+K337+K353+K413</f>
        <v>891.2</v>
      </c>
      <c r="L427" s="580"/>
      <c r="M427" s="580"/>
      <c r="N427" s="580">
        <f>N11+N33+N52+N74+N147+N158+N182+N191+N214+N253+N282+N303+N317+N337+N353+N413</f>
        <v>891.2</v>
      </c>
      <c r="O427" s="580"/>
      <c r="P427" s="580"/>
      <c r="Q427" s="580">
        <f>Q11+Q33+Q52+Q74+Q147+Q158+Q182+Q191+Q214+Q253+Q282+Q303+Q317+Q337+Q353+Q413+Q404+Q396</f>
        <v>1423.2</v>
      </c>
      <c r="R427" s="580">
        <f>R11+R33+R52+R74+R147+R158+R182+R191+R214+R253+R282+R303+R317+R337+R353+R413+R404+R396</f>
        <v>1189.2</v>
      </c>
      <c r="S427" s="580">
        <f>S11+S33+S52+S74+S147+S158+S182+S191+S214+S253+S282+S303+S317+S337+S353+S413+S404+S396</f>
        <v>233.9</v>
      </c>
      <c r="T427" s="580"/>
      <c r="U427" s="580"/>
      <c r="V427" s="580">
        <f>V11+V33+V52+V74+V147+V158+V182+V191+V214+V253+V282+V303+V317+V337+V353+V413</f>
        <v>1257.4000000000001</v>
      </c>
      <c r="W427" s="580"/>
      <c r="X427" s="580"/>
      <c r="Y427" s="580">
        <f>Y11+Y33+Y52+Y74+Y147+Y158+Y182+Y191+Y214+Y253+Y282+Y303+Y317+Y337+Y353+Y413</f>
        <v>1257.4000000000001</v>
      </c>
      <c r="Z427" s="575"/>
      <c r="AA427" s="575"/>
      <c r="AB427" s="576"/>
      <c r="AC427" s="577"/>
      <c r="AD427" s="1960"/>
      <c r="AE427" s="1960"/>
      <c r="AF427" s="1958"/>
      <c r="AG427" s="560"/>
      <c r="AH427" s="560"/>
    </row>
    <row r="428" spans="1:35" s="1961" customFormat="1" x14ac:dyDescent="0.25">
      <c r="A428" s="571"/>
      <c r="B428" s="571"/>
      <c r="C428" s="578"/>
      <c r="D428" s="578"/>
      <c r="E428" s="578"/>
      <c r="F428" s="1241"/>
      <c r="G428" s="1242"/>
      <c r="H428" s="1243">
        <f t="shared" ref="H428:Y428" si="73">H427-H419</f>
        <v>0</v>
      </c>
      <c r="I428" s="1243">
        <f t="shared" si="73"/>
        <v>0</v>
      </c>
      <c r="J428" s="1243">
        <f t="shared" si="73"/>
        <v>0</v>
      </c>
      <c r="K428" s="1243">
        <f t="shared" si="73"/>
        <v>0</v>
      </c>
      <c r="L428" s="1243">
        <f t="shared" si="73"/>
        <v>0</v>
      </c>
      <c r="M428" s="1243">
        <f t="shared" si="73"/>
        <v>0</v>
      </c>
      <c r="N428" s="1243">
        <f t="shared" si="73"/>
        <v>0</v>
      </c>
      <c r="O428" s="1243">
        <f t="shared" si="73"/>
        <v>0</v>
      </c>
      <c r="P428" s="1243">
        <f t="shared" si="73"/>
        <v>0</v>
      </c>
      <c r="Q428" s="1243">
        <f t="shared" si="73"/>
        <v>0</v>
      </c>
      <c r="R428" s="1243">
        <f t="shared" si="73"/>
        <v>0</v>
      </c>
      <c r="S428" s="1243">
        <f t="shared" si="73"/>
        <v>0</v>
      </c>
      <c r="T428" s="1243">
        <f t="shared" si="73"/>
        <v>0</v>
      </c>
      <c r="U428" s="1243">
        <f t="shared" si="73"/>
        <v>0</v>
      </c>
      <c r="V428" s="1243">
        <f t="shared" si="73"/>
        <v>0</v>
      </c>
      <c r="W428" s="1243">
        <f t="shared" si="73"/>
        <v>0</v>
      </c>
      <c r="X428" s="1243">
        <f t="shared" si="73"/>
        <v>0</v>
      </c>
      <c r="Y428" s="1243">
        <f t="shared" si="73"/>
        <v>0</v>
      </c>
      <c r="Z428" s="575"/>
      <c r="AA428" s="575"/>
      <c r="AB428" s="576"/>
      <c r="AC428" s="577"/>
      <c r="AD428" s="1960"/>
      <c r="AE428" s="1960"/>
      <c r="AF428" s="1958"/>
      <c r="AG428" s="560"/>
      <c r="AH428" s="560"/>
    </row>
    <row r="430" spans="1:35" x14ac:dyDescent="0.25">
      <c r="R430" s="928" t="s">
        <v>2182</v>
      </c>
      <c r="S430" s="1219">
        <v>2020</v>
      </c>
      <c r="T430" s="1219">
        <v>2021</v>
      </c>
      <c r="U430" s="1219">
        <v>2022</v>
      </c>
    </row>
    <row r="431" spans="1:35" x14ac:dyDescent="0.25">
      <c r="R431" s="2553" t="s">
        <v>802</v>
      </c>
      <c r="S431" s="929">
        <f>R422</f>
        <v>131</v>
      </c>
      <c r="T431" s="929">
        <f>V422</f>
        <v>138.30000000000001</v>
      </c>
      <c r="U431" s="929">
        <f>Y422</f>
        <v>138.30000000000001</v>
      </c>
    </row>
    <row r="432" spans="1:35" x14ac:dyDescent="0.25">
      <c r="R432" s="928" t="s">
        <v>199</v>
      </c>
      <c r="S432" s="929">
        <f>'б -т 963 Стим-е (01.01.20)'!S217</f>
        <v>202.1</v>
      </c>
      <c r="T432" s="929">
        <f>'б -т 963 Стим-е (01.01.20)'!X217</f>
        <v>202.1</v>
      </c>
      <c r="U432" s="929">
        <f>'б -т 963 Стим-е (01.01.20)'!Y217</f>
        <v>202.1</v>
      </c>
    </row>
    <row r="433" spans="18:21" x14ac:dyDescent="0.25">
      <c r="R433" s="928" t="s">
        <v>2181</v>
      </c>
      <c r="S433" s="929">
        <f>'б-т 963 Наркомания (01.01.20)'!Q48</f>
        <v>14.5</v>
      </c>
      <c r="T433" s="929">
        <f>'б-т 963 Наркомания (01.01.20)'!T48</f>
        <v>14.5</v>
      </c>
      <c r="U433" s="929">
        <f>'б-т 963 Наркомания (01.01.20)'!W48</f>
        <v>14.5</v>
      </c>
    </row>
    <row r="434" spans="18:21" x14ac:dyDescent="0.25">
      <c r="R434" s="928" t="s">
        <v>97</v>
      </c>
      <c r="S434" s="929">
        <f>SUBTOTAL(9,S431:S433)</f>
        <v>347.6</v>
      </c>
      <c r="T434" s="929">
        <f t="shared" ref="T434:U434" si="74">SUBTOTAL(9,T431:T433)</f>
        <v>354.9</v>
      </c>
      <c r="U434" s="929">
        <f t="shared" si="74"/>
        <v>354.9</v>
      </c>
    </row>
  </sheetData>
  <autoFilter ref="A8:AN416">
    <filterColumn colId="2">
      <filters>
        <filter val="963"/>
      </filters>
    </filterColumn>
  </autoFilter>
  <mergeCells count="45">
    <mergeCell ref="A3:AB3"/>
    <mergeCell ref="A5:A7"/>
    <mergeCell ref="B5:B7"/>
    <mergeCell ref="C5:C7"/>
    <mergeCell ref="D5:D7"/>
    <mergeCell ref="E5:E7"/>
    <mergeCell ref="F5:H5"/>
    <mergeCell ref="I5:K5"/>
    <mergeCell ref="L5:N5"/>
    <mergeCell ref="O5:Q5"/>
    <mergeCell ref="F6:F7"/>
    <mergeCell ref="G6:G7"/>
    <mergeCell ref="H6:H7"/>
    <mergeCell ref="I6:I7"/>
    <mergeCell ref="J6:J7"/>
    <mergeCell ref="P6:P7"/>
    <mergeCell ref="R5:S5"/>
    <mergeCell ref="T5:V5"/>
    <mergeCell ref="W5:Y5"/>
    <mergeCell ref="Z5:AA5"/>
    <mergeCell ref="AB396:AB403"/>
    <mergeCell ref="AB404:AB411"/>
    <mergeCell ref="Y6:Y7"/>
    <mergeCell ref="Z6:Z7"/>
    <mergeCell ref="AA6:AA7"/>
    <mergeCell ref="AB136:AB138"/>
    <mergeCell ref="AB142:AB143"/>
    <mergeCell ref="AB174:AB177"/>
    <mergeCell ref="AB5:AB7"/>
    <mergeCell ref="A2:AB2"/>
    <mergeCell ref="AB238:AB240"/>
    <mergeCell ref="AB273:AB277"/>
    <mergeCell ref="AB304:AB308"/>
    <mergeCell ref="AB366:AB367"/>
    <mergeCell ref="Q6:Q7"/>
    <mergeCell ref="T6:T7"/>
    <mergeCell ref="U6:U7"/>
    <mergeCell ref="V6:V7"/>
    <mergeCell ref="W6:W7"/>
    <mergeCell ref="X6:X7"/>
    <mergeCell ref="K6:K7"/>
    <mergeCell ref="L6:L7"/>
    <mergeCell ref="M6:M7"/>
    <mergeCell ref="N6:N7"/>
    <mergeCell ref="O6:O7"/>
  </mergeCells>
  <pageMargins left="0.7" right="0.7" top="0.75" bottom="0.75" header="0.3" footer="0.3"/>
  <pageSetup paperSize="9" scale="2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F54"/>
  <sheetViews>
    <sheetView showZeros="0" view="pageBreakPreview" topLeftCell="A3" zoomScale="70" zoomScaleNormal="80" zoomScaleSheetLayoutView="70" workbookViewId="0">
      <pane xSplit="4" ySplit="9" topLeftCell="E12" activePane="bottomRight" state="frozen"/>
      <selection activeCell="T17" sqref="T17"/>
      <selection pane="topRight" activeCell="T17" sqref="T17"/>
      <selection pane="bottomLeft" activeCell="T17" sqref="T17"/>
      <selection pane="bottomRight" activeCell="Y58" sqref="Y58"/>
    </sheetView>
  </sheetViews>
  <sheetFormatPr defaultColWidth="10.6640625" defaultRowHeight="15" x14ac:dyDescent="0.25"/>
  <cols>
    <col min="1" max="1" width="9.33203125" style="604" customWidth="1"/>
    <col min="2" max="2" width="66.33203125" style="592" customWidth="1"/>
    <col min="3" max="3" width="17.1640625" style="600" customWidth="1"/>
    <col min="4" max="4" width="16.83203125" style="592" customWidth="1"/>
    <col min="5" max="5" width="14.6640625" style="592" customWidth="1"/>
    <col min="6" max="8" width="16.5" style="605" hidden="1" customWidth="1"/>
    <col min="9" max="9" width="10.83203125" style="591" hidden="1" customWidth="1"/>
    <col min="10" max="10" width="17.33203125" style="591" hidden="1" customWidth="1"/>
    <col min="11" max="11" width="14.1640625" style="605" hidden="1" customWidth="1"/>
    <col min="12" max="12" width="10.83203125" style="591" hidden="1" customWidth="1"/>
    <col min="13" max="13" width="17.33203125" style="591" hidden="1" customWidth="1"/>
    <col min="14" max="14" width="14.1640625" style="605" hidden="1" customWidth="1"/>
    <col min="15" max="20" width="14.1640625" style="605" customWidth="1"/>
    <col min="21" max="21" width="11.6640625" style="591" customWidth="1"/>
    <col min="22" max="22" width="15" style="591" customWidth="1"/>
    <col min="23" max="23" width="12.5" style="591" customWidth="1"/>
    <col min="24" max="25" width="15.5" style="591" customWidth="1"/>
    <col min="26" max="26" width="44.83203125" style="591" customWidth="1"/>
    <col min="27" max="27" width="10.6640625" style="592"/>
    <col min="28" max="28" width="12.83203125" style="592" bestFit="1" customWidth="1"/>
    <col min="29" max="29" width="10.83203125" style="592" bestFit="1" customWidth="1"/>
    <col min="30" max="16384" width="10.6640625" style="592"/>
  </cols>
  <sheetData>
    <row r="1" spans="1:32" hidden="1" x14ac:dyDescent="0.25">
      <c r="A1" s="1035"/>
      <c r="B1" s="587"/>
      <c r="C1" s="587"/>
      <c r="D1" s="587"/>
      <c r="E1" s="587"/>
      <c r="F1" s="588"/>
      <c r="G1" s="588"/>
      <c r="H1" s="588"/>
      <c r="I1" s="588"/>
      <c r="J1" s="589"/>
      <c r="K1" s="588"/>
      <c r="L1" s="588"/>
      <c r="M1" s="589"/>
      <c r="N1" s="588"/>
      <c r="O1" s="588"/>
      <c r="P1" s="588"/>
      <c r="Q1" s="588"/>
      <c r="R1" s="588"/>
      <c r="S1" s="588"/>
      <c r="T1" s="588"/>
      <c r="U1" s="590"/>
      <c r="V1" s="590"/>
      <c r="W1" s="590"/>
      <c r="X1" s="590"/>
      <c r="Y1" s="590"/>
      <c r="AA1" s="591"/>
      <c r="AB1" s="591"/>
      <c r="AC1" s="591"/>
      <c r="AD1" s="591"/>
      <c r="AE1" s="591"/>
      <c r="AF1" s="591"/>
    </row>
    <row r="2" spans="1:32" ht="19.5" hidden="1" customHeight="1" x14ac:dyDescent="0.25">
      <c r="A2" s="1033"/>
      <c r="B2" s="1033"/>
      <c r="C2" s="1033"/>
      <c r="D2" s="1033"/>
      <c r="E2" s="1033"/>
      <c r="F2" s="1033"/>
      <c r="G2" s="1033"/>
      <c r="H2" s="1033"/>
      <c r="I2" s="1033"/>
      <c r="J2" s="1033"/>
      <c r="K2" s="1033"/>
      <c r="L2" s="1033"/>
      <c r="M2" s="1033"/>
      <c r="N2" s="1033"/>
      <c r="O2" s="1033"/>
      <c r="P2" s="1033"/>
      <c r="Q2" s="1033"/>
      <c r="R2" s="1033"/>
      <c r="S2" s="1033"/>
      <c r="T2" s="1033"/>
      <c r="U2" s="1033"/>
      <c r="V2" s="1033"/>
      <c r="W2" s="1033"/>
      <c r="X2" s="1033"/>
      <c r="Y2" s="1033"/>
      <c r="Z2" s="1033"/>
      <c r="AA2" s="591"/>
      <c r="AB2" s="591"/>
      <c r="AC2" s="591"/>
      <c r="AD2" s="591"/>
      <c r="AE2" s="591"/>
      <c r="AF2" s="591"/>
    </row>
    <row r="3" spans="1:32" ht="18.75" customHeight="1" x14ac:dyDescent="0.25">
      <c r="A3" s="1250"/>
      <c r="B3" s="1250"/>
      <c r="C3" s="1250"/>
      <c r="D3" s="1250"/>
      <c r="E3" s="1250"/>
      <c r="F3" s="1250"/>
      <c r="G3" s="1250"/>
      <c r="H3" s="1250"/>
      <c r="I3" s="1250"/>
      <c r="J3" s="1250"/>
      <c r="K3" s="1202"/>
      <c r="L3" s="1250"/>
      <c r="M3" s="1250"/>
      <c r="N3" s="1202"/>
      <c r="O3" s="1250"/>
      <c r="P3" s="1250"/>
      <c r="Q3" s="1250"/>
      <c r="R3" s="1250"/>
      <c r="S3" s="1250"/>
      <c r="T3" s="1250"/>
      <c r="U3" s="1250"/>
      <c r="V3" s="1250"/>
      <c r="W3" s="1250"/>
      <c r="X3" s="1250"/>
      <c r="Y3" s="1250"/>
      <c r="Z3" s="1250"/>
      <c r="AA3" s="591"/>
      <c r="AB3" s="591"/>
      <c r="AC3" s="591"/>
      <c r="AD3" s="591"/>
      <c r="AE3" s="591"/>
      <c r="AF3" s="591"/>
    </row>
    <row r="4" spans="1:32" ht="18.75" customHeight="1" x14ac:dyDescent="0.25">
      <c r="A4" s="3650" t="s">
        <v>1406</v>
      </c>
      <c r="B4" s="3650"/>
      <c r="C4" s="3650"/>
      <c r="D4" s="3650"/>
      <c r="E4" s="3650"/>
      <c r="F4" s="3650"/>
      <c r="G4" s="3650"/>
      <c r="H4" s="3650"/>
      <c r="I4" s="3650"/>
      <c r="J4" s="3650"/>
      <c r="K4" s="3650"/>
      <c r="L4" s="3650"/>
      <c r="M4" s="3650"/>
      <c r="N4" s="3650"/>
      <c r="O4" s="3650"/>
      <c r="P4" s="3650"/>
      <c r="Q4" s="3650"/>
      <c r="R4" s="3650"/>
      <c r="S4" s="3650"/>
      <c r="T4" s="3650"/>
      <c r="U4" s="3650"/>
      <c r="V4" s="3650"/>
      <c r="W4" s="3650"/>
      <c r="X4" s="3650"/>
      <c r="Y4" s="3650"/>
      <c r="Z4" s="3650"/>
      <c r="AA4" s="591"/>
      <c r="AB4" s="591"/>
      <c r="AC4" s="591"/>
      <c r="AD4" s="591"/>
      <c r="AE4" s="591"/>
      <c r="AF4" s="591"/>
    </row>
    <row r="5" spans="1:32" ht="18.75" customHeight="1" x14ac:dyDescent="0.25">
      <c r="A5" s="3650" t="s">
        <v>2024</v>
      </c>
      <c r="B5" s="3650"/>
      <c r="C5" s="3650"/>
      <c r="D5" s="3650"/>
      <c r="E5" s="3650"/>
      <c r="F5" s="3650"/>
      <c r="G5" s="3650"/>
      <c r="H5" s="3650"/>
      <c r="I5" s="3650"/>
      <c r="J5" s="3650"/>
      <c r="K5" s="3650"/>
      <c r="L5" s="3650"/>
      <c r="M5" s="3650"/>
      <c r="N5" s="3650"/>
      <c r="O5" s="3650"/>
      <c r="P5" s="3650"/>
      <c r="Q5" s="3650"/>
      <c r="R5" s="3650"/>
      <c r="S5" s="3650"/>
      <c r="T5" s="3650"/>
      <c r="U5" s="3650"/>
      <c r="V5" s="3650"/>
      <c r="W5" s="3650"/>
      <c r="X5" s="3650"/>
      <c r="Y5" s="3650"/>
      <c r="Z5" s="3650"/>
      <c r="AA5" s="591"/>
      <c r="AB5" s="591"/>
      <c r="AC5" s="591"/>
      <c r="AD5" s="591"/>
      <c r="AE5" s="591"/>
      <c r="AF5" s="591"/>
    </row>
    <row r="6" spans="1:32" x14ac:dyDescent="0.25">
      <c r="A6" s="1035"/>
      <c r="B6" s="587"/>
      <c r="C6" s="587"/>
      <c r="D6" s="587"/>
      <c r="E6" s="587"/>
      <c r="F6" s="588"/>
      <c r="G6" s="588"/>
      <c r="H6" s="588"/>
      <c r="I6" s="588"/>
      <c r="J6" s="588"/>
      <c r="K6" s="588"/>
      <c r="L6" s="588"/>
      <c r="M6" s="588"/>
      <c r="N6" s="588"/>
      <c r="O6" s="588"/>
      <c r="P6" s="588"/>
      <c r="Q6" s="588"/>
      <c r="R6" s="588"/>
      <c r="S6" s="588"/>
      <c r="T6" s="588"/>
      <c r="U6" s="590"/>
      <c r="V6" s="590"/>
      <c r="W6" s="590"/>
      <c r="X6" s="590"/>
      <c r="Y6" s="590"/>
      <c r="Z6" s="935">
        <v>43831</v>
      </c>
      <c r="AA6" s="591"/>
      <c r="AB6" s="591"/>
      <c r="AC6" s="591"/>
      <c r="AD6" s="591"/>
      <c r="AE6" s="591"/>
      <c r="AF6" s="591"/>
    </row>
    <row r="7" spans="1:32" s="591" customFormat="1" ht="48" customHeight="1" x14ac:dyDescent="0.25">
      <c r="A7" s="3652" t="s">
        <v>78</v>
      </c>
      <c r="B7" s="3652" t="s">
        <v>484</v>
      </c>
      <c r="C7" s="3652" t="s">
        <v>485</v>
      </c>
      <c r="D7" s="3652" t="s">
        <v>486</v>
      </c>
      <c r="E7" s="3652" t="s">
        <v>219</v>
      </c>
      <c r="F7" s="3653" t="s">
        <v>1393</v>
      </c>
      <c r="G7" s="3653"/>
      <c r="H7" s="3653"/>
      <c r="I7" s="3537" t="s">
        <v>487</v>
      </c>
      <c r="J7" s="3537"/>
      <c r="K7" s="3537"/>
      <c r="L7" s="3654" t="s">
        <v>488</v>
      </c>
      <c r="M7" s="3655"/>
      <c r="N7" s="3656"/>
      <c r="O7" s="3533" t="s">
        <v>204</v>
      </c>
      <c r="P7" s="3533"/>
      <c r="Q7" s="3533"/>
      <c r="R7" s="3533" t="s">
        <v>205</v>
      </c>
      <c r="S7" s="3533"/>
      <c r="T7" s="3533"/>
      <c r="U7" s="3534" t="s">
        <v>206</v>
      </c>
      <c r="V7" s="3535"/>
      <c r="W7" s="3536"/>
      <c r="X7" s="3649" t="s">
        <v>120</v>
      </c>
      <c r="Y7" s="3649"/>
      <c r="Z7" s="3651" t="s">
        <v>491</v>
      </c>
    </row>
    <row r="8" spans="1:32" s="591" customFormat="1" ht="15" customHeight="1" x14ac:dyDescent="0.25">
      <c r="A8" s="3652"/>
      <c r="B8" s="3652"/>
      <c r="C8" s="3652"/>
      <c r="D8" s="3652"/>
      <c r="E8" s="3652"/>
      <c r="F8" s="3646" t="s">
        <v>492</v>
      </c>
      <c r="G8" s="3646" t="s">
        <v>493</v>
      </c>
      <c r="H8" s="3647" t="s">
        <v>494</v>
      </c>
      <c r="I8" s="3646" t="s">
        <v>492</v>
      </c>
      <c r="J8" s="3646" t="s">
        <v>493</v>
      </c>
      <c r="K8" s="3647" t="s">
        <v>494</v>
      </c>
      <c r="L8" s="3646" t="s">
        <v>492</v>
      </c>
      <c r="M8" s="3646" t="s">
        <v>493</v>
      </c>
      <c r="N8" s="3647" t="s">
        <v>494</v>
      </c>
      <c r="O8" s="3646" t="s">
        <v>492</v>
      </c>
      <c r="P8" s="3646" t="s">
        <v>493</v>
      </c>
      <c r="Q8" s="3647" t="s">
        <v>494</v>
      </c>
      <c r="R8" s="3646" t="s">
        <v>492</v>
      </c>
      <c r="S8" s="3646" t="s">
        <v>493</v>
      </c>
      <c r="T8" s="3647" t="s">
        <v>494</v>
      </c>
      <c r="U8" s="3646" t="s">
        <v>492</v>
      </c>
      <c r="V8" s="3646" t="s">
        <v>493</v>
      </c>
      <c r="W8" s="3647" t="s">
        <v>494</v>
      </c>
      <c r="X8" s="3647" t="s">
        <v>497</v>
      </c>
      <c r="Y8" s="3648" t="s">
        <v>498</v>
      </c>
      <c r="Z8" s="3651"/>
    </row>
    <row r="9" spans="1:32" s="591" customFormat="1" ht="83.25" customHeight="1" x14ac:dyDescent="0.25">
      <c r="A9" s="3652"/>
      <c r="B9" s="3652"/>
      <c r="C9" s="3652"/>
      <c r="D9" s="3652"/>
      <c r="E9" s="3652"/>
      <c r="F9" s="3646"/>
      <c r="G9" s="3646"/>
      <c r="H9" s="3647"/>
      <c r="I9" s="3646"/>
      <c r="J9" s="3646"/>
      <c r="K9" s="3647"/>
      <c r="L9" s="3646"/>
      <c r="M9" s="3646"/>
      <c r="N9" s="3647"/>
      <c r="O9" s="3646"/>
      <c r="P9" s="3646"/>
      <c r="Q9" s="3647"/>
      <c r="R9" s="3646"/>
      <c r="S9" s="3646"/>
      <c r="T9" s="3647"/>
      <c r="U9" s="3646"/>
      <c r="V9" s="3646"/>
      <c r="W9" s="3647"/>
      <c r="X9" s="3647"/>
      <c r="Y9" s="3648"/>
      <c r="Z9" s="3651"/>
    </row>
    <row r="10" spans="1:32" x14ac:dyDescent="0.25">
      <c r="A10" s="1032">
        <v>1</v>
      </c>
      <c r="B10" s="1032">
        <v>2</v>
      </c>
      <c r="C10" s="1032">
        <v>3</v>
      </c>
      <c r="D10" s="1032">
        <v>4</v>
      </c>
      <c r="E10" s="1032">
        <v>5</v>
      </c>
      <c r="F10" s="1032">
        <v>12</v>
      </c>
      <c r="G10" s="1032">
        <v>13</v>
      </c>
      <c r="H10" s="1032">
        <v>14</v>
      </c>
      <c r="I10" s="1032">
        <v>15</v>
      </c>
      <c r="J10" s="1032">
        <v>16</v>
      </c>
      <c r="K10" s="1032">
        <v>17</v>
      </c>
      <c r="L10" s="1032">
        <v>15</v>
      </c>
      <c r="M10" s="1032">
        <v>16</v>
      </c>
      <c r="N10" s="1032">
        <v>17</v>
      </c>
      <c r="O10" s="1032">
        <v>18</v>
      </c>
      <c r="P10" s="1032">
        <v>19</v>
      </c>
      <c r="Q10" s="1032">
        <v>20</v>
      </c>
      <c r="R10" s="1032">
        <v>18</v>
      </c>
      <c r="S10" s="1032">
        <v>19</v>
      </c>
      <c r="T10" s="1032">
        <v>20</v>
      </c>
      <c r="U10" s="1032">
        <v>21</v>
      </c>
      <c r="V10" s="1032">
        <v>22</v>
      </c>
      <c r="W10" s="1032">
        <v>23</v>
      </c>
      <c r="X10" s="1032">
        <v>24</v>
      </c>
      <c r="Y10" s="1032">
        <v>25</v>
      </c>
      <c r="Z10" s="1032">
        <v>26</v>
      </c>
      <c r="AA10" s="591"/>
      <c r="AB10" s="591"/>
      <c r="AC10" s="591"/>
      <c r="AD10" s="591"/>
      <c r="AE10" s="591"/>
      <c r="AF10" s="591"/>
    </row>
    <row r="11" spans="1:32" s="1205" customFormat="1" ht="99" hidden="1" customHeight="1" x14ac:dyDescent="0.25">
      <c r="A11" s="593"/>
      <c r="B11" s="1203" t="s">
        <v>1394</v>
      </c>
      <c r="C11" s="593"/>
      <c r="D11" s="593"/>
      <c r="E11" s="593"/>
      <c r="F11" s="594"/>
      <c r="G11" s="594"/>
      <c r="H11" s="594">
        <f>H12+H29</f>
        <v>50.1</v>
      </c>
      <c r="I11" s="594"/>
      <c r="J11" s="594"/>
      <c r="K11" s="594">
        <f>K12+K29</f>
        <v>46.2</v>
      </c>
      <c r="L11" s="594"/>
      <c r="M11" s="594"/>
      <c r="N11" s="594">
        <f>N12+N29</f>
        <v>46.2</v>
      </c>
      <c r="O11" s="594"/>
      <c r="P11" s="594"/>
      <c r="Q11" s="594">
        <f>Q12+Q29</f>
        <v>45.7</v>
      </c>
      <c r="R11" s="594"/>
      <c r="S11" s="594"/>
      <c r="T11" s="594">
        <f>T12+T29</f>
        <v>45.7</v>
      </c>
      <c r="U11" s="594"/>
      <c r="V11" s="594"/>
      <c r="W11" s="594">
        <f>W12+W29</f>
        <v>45.7</v>
      </c>
      <c r="X11" s="594">
        <f>Q11-K11</f>
        <v>-0.5</v>
      </c>
      <c r="Y11" s="594">
        <f>IFERROR(Q11/K11*100,"-")</f>
        <v>98.9</v>
      </c>
      <c r="Z11" s="1204"/>
    </row>
    <row r="12" spans="1:32" s="596" customFormat="1" ht="38.25" hidden="1" x14ac:dyDescent="0.2">
      <c r="A12" s="595"/>
      <c r="B12" s="1206" t="s">
        <v>2041</v>
      </c>
      <c r="C12" s="2265"/>
      <c r="D12" s="595" t="s">
        <v>1444</v>
      </c>
      <c r="E12" s="1207"/>
      <c r="F12" s="1208"/>
      <c r="G12" s="1208"/>
      <c r="H12" s="1208">
        <f>H13+H19+H22+H25+H28</f>
        <v>29</v>
      </c>
      <c r="I12" s="1208"/>
      <c r="J12" s="1208"/>
      <c r="K12" s="1208">
        <f>K13+K19+K22+K25+K2+K26</f>
        <v>26.4</v>
      </c>
      <c r="L12" s="1208"/>
      <c r="M12" s="1208"/>
      <c r="N12" s="1208">
        <f>N13+N19+N22+N25+N2+N26</f>
        <v>26.4</v>
      </c>
      <c r="O12" s="1208"/>
      <c r="P12" s="1208"/>
      <c r="Q12" s="1208">
        <f>Q13+Q19+Q22+Q25+Q2+Q26</f>
        <v>26.3</v>
      </c>
      <c r="R12" s="1208"/>
      <c r="S12" s="1208"/>
      <c r="T12" s="1208">
        <f>T13+T19+T22+T25+T2+T26</f>
        <v>26.3</v>
      </c>
      <c r="U12" s="1208"/>
      <c r="V12" s="1208"/>
      <c r="W12" s="1208">
        <f>W13+W19+W22+W25+W2+W26</f>
        <v>26.3</v>
      </c>
      <c r="X12" s="1208">
        <f t="shared" ref="X12:X44" si="0">Q12-K12</f>
        <v>-0.1</v>
      </c>
      <c r="Y12" s="1208">
        <f t="shared" ref="Y12:Y44" si="1">IFERROR(Q12/K12*100,"-")</f>
        <v>99.6</v>
      </c>
      <c r="Z12" s="1209"/>
    </row>
    <row r="13" spans="1:32" s="492" customFormat="1" ht="13.5" hidden="1" x14ac:dyDescent="0.2">
      <c r="A13" s="1240"/>
      <c r="B13" s="550" t="s">
        <v>1395</v>
      </c>
      <c r="C13" s="530">
        <v>955</v>
      </c>
      <c r="D13" s="932"/>
      <c r="E13" s="2266"/>
      <c r="F13" s="493"/>
      <c r="G13" s="493"/>
      <c r="H13" s="493">
        <f>SUM(H14:H18)</f>
        <v>13.3</v>
      </c>
      <c r="I13" s="2267"/>
      <c r="J13" s="2267"/>
      <c r="K13" s="2268">
        <f>SUM(K14:K18)</f>
        <v>13.3</v>
      </c>
      <c r="L13" s="2267"/>
      <c r="M13" s="2267"/>
      <c r="N13" s="2268">
        <f>SUM(N14:N18)</f>
        <v>13.3</v>
      </c>
      <c r="O13" s="2267"/>
      <c r="P13" s="2267"/>
      <c r="Q13" s="2268">
        <f>SUM(Q14:Q18)</f>
        <v>13.2</v>
      </c>
      <c r="R13" s="2267"/>
      <c r="S13" s="2267"/>
      <c r="T13" s="2268">
        <f>SUM(T14:T18)</f>
        <v>13.2</v>
      </c>
      <c r="U13" s="2267"/>
      <c r="V13" s="2267"/>
      <c r="W13" s="2268">
        <f>SUM(W14:W18)</f>
        <v>13.2</v>
      </c>
      <c r="X13" s="493">
        <f t="shared" si="0"/>
        <v>-0.1</v>
      </c>
      <c r="Y13" s="493">
        <f t="shared" si="1"/>
        <v>99.2</v>
      </c>
      <c r="Z13" s="866"/>
      <c r="AA13" s="492" t="s">
        <v>1665</v>
      </c>
    </row>
    <row r="14" spans="1:32" s="498" customFormat="1" ht="12.75" hidden="1" x14ac:dyDescent="0.2">
      <c r="A14" s="962"/>
      <c r="B14" s="551" t="s">
        <v>2042</v>
      </c>
      <c r="C14" s="494"/>
      <c r="D14" s="903"/>
      <c r="E14" s="1211" t="s">
        <v>318</v>
      </c>
      <c r="F14" s="1245">
        <v>2</v>
      </c>
      <c r="G14" s="1245">
        <v>2.2999999999999998</v>
      </c>
      <c r="H14" s="1245">
        <f>F14*G14</f>
        <v>4.5999999999999996</v>
      </c>
      <c r="I14" s="1245">
        <v>2</v>
      </c>
      <c r="J14" s="1245">
        <v>2.2999999999999998</v>
      </c>
      <c r="K14" s="2269">
        <f>I14*J14</f>
        <v>4.5999999999999996</v>
      </c>
      <c r="L14" s="1245">
        <v>2</v>
      </c>
      <c r="M14" s="1245">
        <v>2.2999999999999998</v>
      </c>
      <c r="N14" s="2269">
        <f>L14*M14</f>
        <v>4.5999999999999996</v>
      </c>
      <c r="O14" s="1245">
        <v>2</v>
      </c>
      <c r="P14" s="1245">
        <v>2.2999999999999998</v>
      </c>
      <c r="Q14" s="2269">
        <f>O14*P14</f>
        <v>4.5999999999999996</v>
      </c>
      <c r="R14" s="1245">
        <v>2</v>
      </c>
      <c r="S14" s="1245">
        <v>2.2999999999999998</v>
      </c>
      <c r="T14" s="2269">
        <f>R14*S14</f>
        <v>4.5999999999999996</v>
      </c>
      <c r="U14" s="1245">
        <v>2</v>
      </c>
      <c r="V14" s="1245">
        <v>2.2999999999999998</v>
      </c>
      <c r="W14" s="2269">
        <f>U14*V14</f>
        <v>4.5999999999999996</v>
      </c>
      <c r="X14" s="1245">
        <f t="shared" si="0"/>
        <v>0</v>
      </c>
      <c r="Y14" s="1245">
        <f t="shared" si="1"/>
        <v>100</v>
      </c>
      <c r="Z14" s="867"/>
    </row>
    <row r="15" spans="1:32" s="498" customFormat="1" ht="12.75" hidden="1" x14ac:dyDescent="0.2">
      <c r="A15" s="962"/>
      <c r="B15" s="551" t="s">
        <v>1737</v>
      </c>
      <c r="C15" s="494"/>
      <c r="D15" s="903"/>
      <c r="E15" s="1211" t="s">
        <v>318</v>
      </c>
      <c r="F15" s="1245">
        <v>1</v>
      </c>
      <c r="G15" s="1245">
        <v>3.5</v>
      </c>
      <c r="H15" s="1245">
        <f>F15*G15</f>
        <v>3.5</v>
      </c>
      <c r="I15" s="1245">
        <v>1</v>
      </c>
      <c r="J15" s="1245">
        <v>3.5</v>
      </c>
      <c r="K15" s="2269">
        <f>I15*J15</f>
        <v>3.5</v>
      </c>
      <c r="L15" s="1245">
        <v>1</v>
      </c>
      <c r="M15" s="1245">
        <v>3.5</v>
      </c>
      <c r="N15" s="2269">
        <f>L15*M15</f>
        <v>3.5</v>
      </c>
      <c r="O15" s="1245">
        <v>1</v>
      </c>
      <c r="P15" s="795">
        <v>3.45</v>
      </c>
      <c r="Q15" s="2269">
        <f>O15*P15</f>
        <v>3.5</v>
      </c>
      <c r="R15" s="1245">
        <v>1</v>
      </c>
      <c r="S15" s="795">
        <v>3.45</v>
      </c>
      <c r="T15" s="2269">
        <f>R15*S15</f>
        <v>3.5</v>
      </c>
      <c r="U15" s="1245">
        <v>1</v>
      </c>
      <c r="V15" s="795">
        <v>3.45</v>
      </c>
      <c r="W15" s="2269">
        <f>U15*V15</f>
        <v>3.5</v>
      </c>
      <c r="X15" s="1245">
        <f t="shared" si="0"/>
        <v>0</v>
      </c>
      <c r="Y15" s="1245">
        <f t="shared" si="1"/>
        <v>100</v>
      </c>
      <c r="Z15" s="867"/>
    </row>
    <row r="16" spans="1:32" s="498" customFormat="1" ht="12.75" hidden="1" x14ac:dyDescent="0.2">
      <c r="A16" s="962"/>
      <c r="B16" s="551" t="s">
        <v>1968</v>
      </c>
      <c r="C16" s="494"/>
      <c r="D16" s="903"/>
      <c r="E16" s="1211" t="s">
        <v>318</v>
      </c>
      <c r="F16" s="1245">
        <v>2</v>
      </c>
      <c r="G16" s="1245">
        <v>1.2</v>
      </c>
      <c r="H16" s="1245">
        <f>F16*G16</f>
        <v>2.4</v>
      </c>
      <c r="I16" s="1245">
        <v>2</v>
      </c>
      <c r="J16" s="2270">
        <v>1.175</v>
      </c>
      <c r="K16" s="2269">
        <f>I16*J16</f>
        <v>2.4</v>
      </c>
      <c r="L16" s="1245">
        <v>2</v>
      </c>
      <c r="M16" s="2270">
        <v>1.175</v>
      </c>
      <c r="N16" s="2269">
        <f>L16*M16</f>
        <v>2.4</v>
      </c>
      <c r="O16" s="1245"/>
      <c r="P16" s="2270"/>
      <c r="Q16" s="2269"/>
      <c r="R16" s="1245"/>
      <c r="S16" s="2270"/>
      <c r="T16" s="2269"/>
      <c r="U16" s="1245"/>
      <c r="V16" s="2270"/>
      <c r="W16" s="2269"/>
      <c r="X16" s="1245">
        <f t="shared" si="0"/>
        <v>-2.4</v>
      </c>
      <c r="Y16" s="1245">
        <f t="shared" si="1"/>
        <v>0</v>
      </c>
      <c r="Z16" s="867"/>
    </row>
    <row r="17" spans="1:27" s="498" customFormat="1" ht="25.5" hidden="1" x14ac:dyDescent="0.2">
      <c r="A17" s="962"/>
      <c r="B17" s="551" t="s">
        <v>2043</v>
      </c>
      <c r="C17" s="494"/>
      <c r="D17" s="903"/>
      <c r="E17" s="1211"/>
      <c r="F17" s="1245"/>
      <c r="G17" s="1245"/>
      <c r="H17" s="1245"/>
      <c r="I17" s="1245"/>
      <c r="J17" s="2270"/>
      <c r="K17" s="2269"/>
      <c r="L17" s="1245"/>
      <c r="M17" s="2270"/>
      <c r="N17" s="2269"/>
      <c r="O17" s="1245">
        <v>1</v>
      </c>
      <c r="P17" s="795">
        <v>2.2999999999999998</v>
      </c>
      <c r="Q17" s="2269">
        <f>O17*P17</f>
        <v>2.2999999999999998</v>
      </c>
      <c r="R17" s="1245">
        <v>1</v>
      </c>
      <c r="S17" s="795">
        <v>2.2999999999999998</v>
      </c>
      <c r="T17" s="2269">
        <f>R17*S17</f>
        <v>2.2999999999999998</v>
      </c>
      <c r="U17" s="1245">
        <v>1</v>
      </c>
      <c r="V17" s="795">
        <v>2.2999999999999998</v>
      </c>
      <c r="W17" s="2269">
        <f>U17*V17</f>
        <v>2.2999999999999998</v>
      </c>
      <c r="X17" s="1245">
        <f t="shared" si="0"/>
        <v>2.2999999999999998</v>
      </c>
      <c r="Y17" s="1245" t="str">
        <f t="shared" si="1"/>
        <v>-</v>
      </c>
      <c r="Z17" s="867" t="s">
        <v>2044</v>
      </c>
    </row>
    <row r="18" spans="1:27" s="498" customFormat="1" ht="12.75" hidden="1" x14ac:dyDescent="0.2">
      <c r="A18" s="962"/>
      <c r="B18" s="1212" t="s">
        <v>1396</v>
      </c>
      <c r="C18" s="494"/>
      <c r="D18" s="903"/>
      <c r="E18" s="1211"/>
      <c r="F18" s="1245"/>
      <c r="G18" s="1245"/>
      <c r="H18" s="1245">
        <f>SUM(H14:H16)*0.271</f>
        <v>2.8</v>
      </c>
      <c r="I18" s="1245"/>
      <c r="J18" s="1245"/>
      <c r="K18" s="2271">
        <f>SUM(K14:K16)*0.271</f>
        <v>2.8</v>
      </c>
      <c r="L18" s="1245"/>
      <c r="M18" s="1245"/>
      <c r="N18" s="2271">
        <f>SUM(N14:N16)*0.271</f>
        <v>2.8</v>
      </c>
      <c r="O18" s="1245"/>
      <c r="P18" s="1245"/>
      <c r="Q18" s="1245">
        <f>SUM(Q14:Q17)*0.271</f>
        <v>2.8</v>
      </c>
      <c r="R18" s="1245"/>
      <c r="S18" s="1245"/>
      <c r="T18" s="1245">
        <f>SUM(T14:T17)*0.271</f>
        <v>2.8</v>
      </c>
      <c r="U18" s="1245"/>
      <c r="V18" s="1245"/>
      <c r="W18" s="1245">
        <f>SUM(W14:W17)*0.271</f>
        <v>2.8</v>
      </c>
      <c r="X18" s="1245">
        <f t="shared" si="0"/>
        <v>0</v>
      </c>
      <c r="Y18" s="1245">
        <f t="shared" si="1"/>
        <v>100</v>
      </c>
      <c r="Z18" s="867"/>
    </row>
    <row r="19" spans="1:27" s="492" customFormat="1" ht="25.5" hidden="1" x14ac:dyDescent="0.2">
      <c r="A19" s="1240"/>
      <c r="B19" s="2272" t="s">
        <v>2045</v>
      </c>
      <c r="C19" s="530">
        <v>981</v>
      </c>
      <c r="D19" s="932"/>
      <c r="E19" s="2266"/>
      <c r="F19" s="493"/>
      <c r="G19" s="493"/>
      <c r="H19" s="493">
        <f>H20+H21</f>
        <v>2.6</v>
      </c>
      <c r="I19" s="2267"/>
      <c r="J19" s="2267"/>
      <c r="K19" s="2268">
        <f>SUM(K20:K21)</f>
        <v>1</v>
      </c>
      <c r="L19" s="2267"/>
      <c r="M19" s="2267"/>
      <c r="N19" s="2268">
        <f>SUM(N20:N21)</f>
        <v>1</v>
      </c>
      <c r="O19" s="2268"/>
      <c r="P19" s="2268"/>
      <c r="Q19" s="2268">
        <f>SUM(Q20:Q21)</f>
        <v>1</v>
      </c>
      <c r="R19" s="2268"/>
      <c r="S19" s="2268"/>
      <c r="T19" s="2268">
        <f>SUM(T20:T21)</f>
        <v>1</v>
      </c>
      <c r="U19" s="2268"/>
      <c r="V19" s="2268"/>
      <c r="W19" s="2268">
        <f>SUM(W20:W21)</f>
        <v>1</v>
      </c>
      <c r="X19" s="493">
        <f t="shared" si="0"/>
        <v>0</v>
      </c>
      <c r="Y19" s="493">
        <f t="shared" si="1"/>
        <v>100</v>
      </c>
      <c r="Z19" s="866"/>
      <c r="AA19" s="492" t="s">
        <v>1665</v>
      </c>
    </row>
    <row r="20" spans="1:27" s="498" customFormat="1" ht="16.149999999999999" hidden="1" customHeight="1" x14ac:dyDescent="0.2">
      <c r="A20" s="962"/>
      <c r="B20" s="551" t="s">
        <v>2046</v>
      </c>
      <c r="C20" s="494"/>
      <c r="D20" s="903"/>
      <c r="E20" s="2273" t="s">
        <v>227</v>
      </c>
      <c r="F20" s="1245">
        <v>20</v>
      </c>
      <c r="G20" s="1245">
        <v>0.1</v>
      </c>
      <c r="H20" s="1245">
        <f>F20*G20</f>
        <v>2</v>
      </c>
      <c r="I20" s="1245">
        <v>10</v>
      </c>
      <c r="J20" s="795">
        <v>0.1</v>
      </c>
      <c r="K20" s="2269">
        <f>I20*J20</f>
        <v>1</v>
      </c>
      <c r="L20" s="1245">
        <v>10</v>
      </c>
      <c r="M20" s="795">
        <v>0.1</v>
      </c>
      <c r="N20" s="2269">
        <f>L20*M20</f>
        <v>1</v>
      </c>
      <c r="O20" s="1245">
        <v>10</v>
      </c>
      <c r="P20" s="795">
        <v>0.1</v>
      </c>
      <c r="Q20" s="498">
        <f>O20*P20</f>
        <v>1</v>
      </c>
      <c r="R20" s="1245">
        <v>10</v>
      </c>
      <c r="S20" s="795">
        <v>0.1</v>
      </c>
      <c r="T20" s="498">
        <f>R20*S20</f>
        <v>1</v>
      </c>
      <c r="U20" s="1245">
        <v>10</v>
      </c>
      <c r="V20" s="795">
        <v>0.1</v>
      </c>
      <c r="W20" s="498">
        <f>U20*V20</f>
        <v>1</v>
      </c>
      <c r="X20" s="1245">
        <f t="shared" si="0"/>
        <v>0</v>
      </c>
      <c r="Y20" s="1245">
        <f t="shared" si="1"/>
        <v>100</v>
      </c>
      <c r="Z20" s="2274"/>
    </row>
    <row r="21" spans="1:27" s="498" customFormat="1" ht="12.75" hidden="1" x14ac:dyDescent="0.2">
      <c r="A21" s="962"/>
      <c r="B21" s="551" t="s">
        <v>2047</v>
      </c>
      <c r="C21" s="494"/>
      <c r="D21" s="903"/>
      <c r="E21" s="2273" t="s">
        <v>227</v>
      </c>
      <c r="F21" s="1245">
        <v>2</v>
      </c>
      <c r="G21" s="1245">
        <v>0.3</v>
      </c>
      <c r="H21" s="1245">
        <f>F21*G21</f>
        <v>0.6</v>
      </c>
      <c r="I21" s="1245"/>
      <c r="J21" s="1245"/>
      <c r="K21" s="2269">
        <f>I21*J21</f>
        <v>0</v>
      </c>
      <c r="L21" s="1245"/>
      <c r="M21" s="1245"/>
      <c r="N21" s="2269">
        <f>L21*M21</f>
        <v>0</v>
      </c>
      <c r="O21" s="1245"/>
      <c r="P21" s="1245"/>
      <c r="Q21" s="2269"/>
      <c r="R21" s="1245"/>
      <c r="S21" s="1245"/>
      <c r="T21" s="2269"/>
      <c r="U21" s="1245"/>
      <c r="V21" s="1245"/>
      <c r="W21" s="2269"/>
      <c r="X21" s="1245">
        <f t="shared" si="0"/>
        <v>0</v>
      </c>
      <c r="Y21" s="1245" t="str">
        <f t="shared" si="1"/>
        <v>-</v>
      </c>
      <c r="Z21" s="867"/>
    </row>
    <row r="22" spans="1:27" s="492" customFormat="1" ht="13.5" hidden="1" x14ac:dyDescent="0.2">
      <c r="A22" s="1240"/>
      <c r="B22" s="550" t="s">
        <v>1397</v>
      </c>
      <c r="C22" s="529" t="s">
        <v>797</v>
      </c>
      <c r="D22" s="932"/>
      <c r="E22" s="2275"/>
      <c r="F22" s="493"/>
      <c r="G22" s="493"/>
      <c r="H22" s="493">
        <f>H23+H24</f>
        <v>4.7</v>
      </c>
      <c r="I22" s="2267"/>
      <c r="J22" s="2267"/>
      <c r="K22" s="2276">
        <f>SUM(K23:K24)</f>
        <v>3.7</v>
      </c>
      <c r="L22" s="2267"/>
      <c r="M22" s="2267"/>
      <c r="N22" s="2276">
        <f>SUM(N23:N24)</f>
        <v>3.7</v>
      </c>
      <c r="O22" s="2276"/>
      <c r="P22" s="2276"/>
      <c r="Q22" s="2276">
        <f>SUM(Q23:Q24)</f>
        <v>3.6</v>
      </c>
      <c r="R22" s="2276"/>
      <c r="S22" s="2276"/>
      <c r="T22" s="2276">
        <f>SUM(T23:T24)</f>
        <v>3.6</v>
      </c>
      <c r="U22" s="2276"/>
      <c r="V22" s="2276"/>
      <c r="W22" s="2276">
        <f>SUM(W23:W24)</f>
        <v>3.6</v>
      </c>
      <c r="X22" s="493">
        <f t="shared" si="0"/>
        <v>-0.1</v>
      </c>
      <c r="Y22" s="493">
        <f t="shared" si="1"/>
        <v>97.3</v>
      </c>
      <c r="Z22" s="866"/>
      <c r="AA22" s="492" t="s">
        <v>1665</v>
      </c>
    </row>
    <row r="23" spans="1:27" s="498" customFormat="1" ht="12.75" hidden="1" x14ac:dyDescent="0.2">
      <c r="A23" s="962"/>
      <c r="B23" s="551" t="s">
        <v>2048</v>
      </c>
      <c r="C23" s="494"/>
      <c r="D23" s="903"/>
      <c r="E23" s="1252" t="s">
        <v>1240</v>
      </c>
      <c r="F23" s="1245">
        <v>11</v>
      </c>
      <c r="G23" s="1245">
        <v>0.2</v>
      </c>
      <c r="H23" s="1245">
        <f t="shared" ref="H23:H28" si="2">F23*G23</f>
        <v>2.2000000000000002</v>
      </c>
      <c r="I23" s="1245">
        <v>11</v>
      </c>
      <c r="J23" s="1245">
        <v>0.2</v>
      </c>
      <c r="K23" s="2269">
        <f>I23*J23</f>
        <v>2.2000000000000002</v>
      </c>
      <c r="L23" s="1245">
        <v>11</v>
      </c>
      <c r="M23" s="1245">
        <v>0.2</v>
      </c>
      <c r="N23" s="2269">
        <f>L23*M23</f>
        <v>2.2000000000000002</v>
      </c>
      <c r="O23" s="1245"/>
      <c r="P23" s="1245"/>
      <c r="Q23" s="2269"/>
      <c r="R23" s="1245"/>
      <c r="S23" s="1245"/>
      <c r="T23" s="2269"/>
      <c r="U23" s="1245"/>
      <c r="V23" s="1245"/>
      <c r="W23" s="2269"/>
      <c r="X23" s="1245">
        <f t="shared" si="0"/>
        <v>-2.2000000000000002</v>
      </c>
      <c r="Y23" s="1245">
        <f t="shared" si="1"/>
        <v>0</v>
      </c>
      <c r="Z23" s="867"/>
    </row>
    <row r="24" spans="1:27" s="498" customFormat="1" ht="12.75" hidden="1" x14ac:dyDescent="0.2">
      <c r="A24" s="962"/>
      <c r="B24" s="551" t="s">
        <v>1846</v>
      </c>
      <c r="C24" s="494"/>
      <c r="D24" s="903"/>
      <c r="E24" s="1252" t="s">
        <v>227</v>
      </c>
      <c r="F24" s="1245">
        <v>25</v>
      </c>
      <c r="G24" s="1245">
        <v>0.1</v>
      </c>
      <c r="H24" s="1245">
        <f t="shared" si="2"/>
        <v>2.5</v>
      </c>
      <c r="I24" s="1245">
        <v>30</v>
      </c>
      <c r="J24" s="795">
        <v>0.05</v>
      </c>
      <c r="K24" s="2269">
        <f>I24*J24</f>
        <v>1.5</v>
      </c>
      <c r="L24" s="1245">
        <v>30</v>
      </c>
      <c r="M24" s="795">
        <v>0.05</v>
      </c>
      <c r="N24" s="2269">
        <f>L24*M24</f>
        <v>1.5</v>
      </c>
      <c r="O24" s="1245">
        <v>24</v>
      </c>
      <c r="P24" s="795">
        <v>0.15</v>
      </c>
      <c r="Q24" s="2269">
        <f>O24*P24</f>
        <v>3.6</v>
      </c>
      <c r="R24" s="1245">
        <v>24</v>
      </c>
      <c r="S24" s="795">
        <v>0.15</v>
      </c>
      <c r="T24" s="2269">
        <f>R24*S24</f>
        <v>3.6</v>
      </c>
      <c r="U24" s="1245">
        <v>24</v>
      </c>
      <c r="V24" s="795">
        <v>0.15</v>
      </c>
      <c r="W24" s="2269">
        <f>U24*V24</f>
        <v>3.6</v>
      </c>
      <c r="X24" s="1245">
        <f t="shared" si="0"/>
        <v>2.1</v>
      </c>
      <c r="Y24" s="1245">
        <f t="shared" si="1"/>
        <v>240</v>
      </c>
      <c r="Z24" s="867"/>
    </row>
    <row r="25" spans="1:27" s="492" customFormat="1" ht="12.75" x14ac:dyDescent="0.2">
      <c r="A25" s="1240"/>
      <c r="B25" s="550" t="s">
        <v>2049</v>
      </c>
      <c r="C25" s="530">
        <v>963</v>
      </c>
      <c r="D25" s="932"/>
      <c r="E25" s="2277"/>
      <c r="F25" s="493">
        <v>30</v>
      </c>
      <c r="G25" s="493">
        <v>0.1</v>
      </c>
      <c r="H25" s="493">
        <f t="shared" si="2"/>
        <v>3</v>
      </c>
      <c r="I25" s="493">
        <v>30</v>
      </c>
      <c r="J25" s="2278">
        <v>0.1</v>
      </c>
      <c r="K25" s="2279">
        <f>I25*J25</f>
        <v>3</v>
      </c>
      <c r="L25" s="493">
        <v>30</v>
      </c>
      <c r="M25" s="2278">
        <v>0.1</v>
      </c>
      <c r="N25" s="2279">
        <f>L25*M25</f>
        <v>3</v>
      </c>
      <c r="O25" s="493"/>
      <c r="P25" s="2278"/>
      <c r="Q25" s="2279"/>
      <c r="R25" s="493"/>
      <c r="S25" s="2278"/>
      <c r="T25" s="2279"/>
      <c r="U25" s="493"/>
      <c r="V25" s="2278"/>
      <c r="W25" s="2279"/>
      <c r="X25" s="493">
        <f t="shared" si="0"/>
        <v>-3</v>
      </c>
      <c r="Y25" s="493">
        <f t="shared" si="1"/>
        <v>0</v>
      </c>
      <c r="Z25" s="867"/>
      <c r="AA25" s="492" t="s">
        <v>1665</v>
      </c>
    </row>
    <row r="26" spans="1:27" s="492" customFormat="1" ht="12.75" x14ac:dyDescent="0.2">
      <c r="A26" s="1240"/>
      <c r="B26" s="550" t="s">
        <v>2050</v>
      </c>
      <c r="C26" s="530">
        <v>963</v>
      </c>
      <c r="D26" s="932"/>
      <c r="E26" s="2277"/>
      <c r="F26" s="493"/>
      <c r="G26" s="493"/>
      <c r="H26" s="493">
        <f>H28</f>
        <v>5.4</v>
      </c>
      <c r="I26" s="493"/>
      <c r="J26" s="2278"/>
      <c r="K26" s="2279">
        <f>SUM(K27:K28)</f>
        <v>5.4</v>
      </c>
      <c r="L26" s="493"/>
      <c r="M26" s="2278"/>
      <c r="N26" s="2279">
        <f>SUM(N27:N28)</f>
        <v>5.4</v>
      </c>
      <c r="O26" s="493"/>
      <c r="P26" s="2278"/>
      <c r="Q26" s="2279">
        <f>SUM(Q27:Q28)</f>
        <v>8.5</v>
      </c>
      <c r="R26" s="493"/>
      <c r="S26" s="2278"/>
      <c r="T26" s="2279">
        <f>SUM(T27:T28)</f>
        <v>8.5</v>
      </c>
      <c r="U26" s="493"/>
      <c r="V26" s="2278"/>
      <c r="W26" s="2279">
        <f>SUM(W27:W28)</f>
        <v>8.5</v>
      </c>
      <c r="X26" s="493">
        <f t="shared" si="0"/>
        <v>3.1</v>
      </c>
      <c r="Y26" s="493">
        <f t="shared" si="1"/>
        <v>157.4</v>
      </c>
      <c r="Z26" s="2280"/>
      <c r="AA26" s="492" t="s">
        <v>1665</v>
      </c>
    </row>
    <row r="27" spans="1:27" s="492" customFormat="1" ht="12.75" hidden="1" x14ac:dyDescent="0.2">
      <c r="A27" s="1240"/>
      <c r="B27" s="551" t="s">
        <v>2051</v>
      </c>
      <c r="C27" s="530"/>
      <c r="D27" s="932"/>
      <c r="E27" s="2277"/>
      <c r="F27" s="493"/>
      <c r="G27" s="493"/>
      <c r="H27" s="493"/>
      <c r="I27" s="1245">
        <v>10</v>
      </c>
      <c r="J27" s="2270">
        <v>0.35</v>
      </c>
      <c r="K27" s="2269">
        <f>I27*J27</f>
        <v>3.5</v>
      </c>
      <c r="L27" s="1245">
        <v>10</v>
      </c>
      <c r="M27" s="2270">
        <v>0.35</v>
      </c>
      <c r="N27" s="2269">
        <f>L27*M27</f>
        <v>3.5</v>
      </c>
      <c r="O27" s="1245">
        <v>20</v>
      </c>
      <c r="P27" s="2270">
        <v>0.35</v>
      </c>
      <c r="Q27" s="2269">
        <f>O27*P27</f>
        <v>7</v>
      </c>
      <c r="R27" s="1245">
        <v>20</v>
      </c>
      <c r="S27" s="2270">
        <v>0.35</v>
      </c>
      <c r="T27" s="2269">
        <f>R27*S27</f>
        <v>7</v>
      </c>
      <c r="U27" s="1245">
        <v>20</v>
      </c>
      <c r="V27" s="2270">
        <v>0.35</v>
      </c>
      <c r="W27" s="2269">
        <f>U27*V27</f>
        <v>7</v>
      </c>
      <c r="X27" s="493">
        <f t="shared" si="0"/>
        <v>3.5</v>
      </c>
      <c r="Y27" s="493">
        <f t="shared" si="1"/>
        <v>200</v>
      </c>
      <c r="Z27" s="2281"/>
    </row>
    <row r="28" spans="1:27" s="498" customFormat="1" ht="12.75" hidden="1" x14ac:dyDescent="0.2">
      <c r="A28" s="962"/>
      <c r="B28" s="551" t="s">
        <v>2052</v>
      </c>
      <c r="C28" s="530"/>
      <c r="D28" s="903"/>
      <c r="E28" s="2273" t="s">
        <v>227</v>
      </c>
      <c r="F28" s="1245">
        <v>54</v>
      </c>
      <c r="G28" s="1245">
        <v>0.1</v>
      </c>
      <c r="H28" s="1245">
        <f t="shared" si="2"/>
        <v>5.4</v>
      </c>
      <c r="I28" s="1245">
        <v>38</v>
      </c>
      <c r="J28" s="2270">
        <v>0.05</v>
      </c>
      <c r="K28" s="2269">
        <f>I28*J28</f>
        <v>1.9</v>
      </c>
      <c r="L28" s="1245">
        <v>38</v>
      </c>
      <c r="M28" s="2270">
        <v>0.05</v>
      </c>
      <c r="N28" s="2269">
        <f>L28*M28</f>
        <v>1.9</v>
      </c>
      <c r="O28" s="1245">
        <v>30</v>
      </c>
      <c r="P28" s="2270">
        <v>0.05</v>
      </c>
      <c r="Q28" s="2269">
        <f>O28*P28</f>
        <v>1.5</v>
      </c>
      <c r="R28" s="1245">
        <v>30</v>
      </c>
      <c r="S28" s="2270">
        <v>0.05</v>
      </c>
      <c r="T28" s="2269">
        <f>R28*S28</f>
        <v>1.5</v>
      </c>
      <c r="U28" s="1245">
        <v>30</v>
      </c>
      <c r="V28" s="2270">
        <v>0.05</v>
      </c>
      <c r="W28" s="2269">
        <f>U28*V28</f>
        <v>1.5</v>
      </c>
      <c r="X28" s="1245">
        <f t="shared" si="0"/>
        <v>-0.4</v>
      </c>
      <c r="Y28" s="1245">
        <f t="shared" si="1"/>
        <v>78.900000000000006</v>
      </c>
      <c r="Z28" s="2282"/>
    </row>
    <row r="29" spans="1:27" s="596" customFormat="1" ht="38.25" hidden="1" x14ac:dyDescent="0.2">
      <c r="A29" s="595"/>
      <c r="B29" s="1206" t="s">
        <v>2053</v>
      </c>
      <c r="C29" s="2283"/>
      <c r="D29" s="595" t="s">
        <v>1444</v>
      </c>
      <c r="E29" s="1207"/>
      <c r="F29" s="1208"/>
      <c r="G29" s="1208"/>
      <c r="H29" s="1208">
        <f>H30+H34+H37+H41+H42</f>
        <v>21.1</v>
      </c>
      <c r="I29" s="1208"/>
      <c r="J29" s="1208"/>
      <c r="K29" s="1208">
        <f>K30+K34+K37+K41+K42</f>
        <v>19.8</v>
      </c>
      <c r="L29" s="1208"/>
      <c r="M29" s="1208"/>
      <c r="N29" s="1208">
        <f>N30+N34+N37+N41+N42</f>
        <v>19.8</v>
      </c>
      <c r="O29" s="1208"/>
      <c r="P29" s="1208"/>
      <c r="Q29" s="1208">
        <f>Q30+Q34+Q37+Q41+Q42</f>
        <v>19.399999999999999</v>
      </c>
      <c r="R29" s="1208"/>
      <c r="S29" s="1208"/>
      <c r="T29" s="1208">
        <f>T30+T34+T37+T41+T42</f>
        <v>19.399999999999999</v>
      </c>
      <c r="U29" s="1208"/>
      <c r="V29" s="1208"/>
      <c r="W29" s="1208">
        <f>W30+W34+W37+W41+W42</f>
        <v>19.399999999999999</v>
      </c>
      <c r="X29" s="1208">
        <f t="shared" si="0"/>
        <v>-0.4</v>
      </c>
      <c r="Y29" s="1208">
        <f t="shared" si="1"/>
        <v>98</v>
      </c>
      <c r="Z29" s="1209"/>
    </row>
    <row r="30" spans="1:27" s="492" customFormat="1" ht="12.75" hidden="1" x14ac:dyDescent="0.2">
      <c r="A30" s="1240"/>
      <c r="B30" s="550" t="s">
        <v>1395</v>
      </c>
      <c r="C30" s="494">
        <v>955</v>
      </c>
      <c r="D30" s="932"/>
      <c r="E30" s="1210"/>
      <c r="F30" s="493"/>
      <c r="G30" s="493"/>
      <c r="H30" s="493">
        <f>H31+H32+H33</f>
        <v>7.1</v>
      </c>
      <c r="I30" s="493"/>
      <c r="J30" s="493"/>
      <c r="K30" s="2284">
        <f>K31+K32+K33</f>
        <v>7.4</v>
      </c>
      <c r="L30" s="493"/>
      <c r="M30" s="493"/>
      <c r="N30" s="2284">
        <f>N31+N32+N33</f>
        <v>7.4</v>
      </c>
      <c r="O30" s="2284"/>
      <c r="P30" s="2284"/>
      <c r="Q30" s="2284">
        <f>Q31+Q32+Q33</f>
        <v>7.4</v>
      </c>
      <c r="R30" s="2284"/>
      <c r="S30" s="2284"/>
      <c r="T30" s="2284">
        <f>T31+T32+T33</f>
        <v>7.4</v>
      </c>
      <c r="U30" s="2284"/>
      <c r="V30" s="2284"/>
      <c r="W30" s="2284">
        <f>W31+W32+W33</f>
        <v>7.4</v>
      </c>
      <c r="X30" s="493">
        <f t="shared" si="0"/>
        <v>0</v>
      </c>
      <c r="Y30" s="493">
        <f t="shared" si="1"/>
        <v>100</v>
      </c>
      <c r="Z30" s="867"/>
      <c r="AA30" s="492" t="s">
        <v>1665</v>
      </c>
    </row>
    <row r="31" spans="1:27" s="498" customFormat="1" ht="12.75" hidden="1" x14ac:dyDescent="0.2">
      <c r="A31" s="962"/>
      <c r="B31" s="551" t="s">
        <v>1836</v>
      </c>
      <c r="C31" s="494"/>
      <c r="D31" s="903"/>
      <c r="E31" s="1211" t="s">
        <v>318</v>
      </c>
      <c r="F31" s="1245">
        <v>1</v>
      </c>
      <c r="G31" s="1245">
        <v>2.2999999999999998</v>
      </c>
      <c r="H31" s="1245">
        <f>F31*G31</f>
        <v>2.2999999999999998</v>
      </c>
      <c r="I31" s="1245">
        <v>1</v>
      </c>
      <c r="J31" s="1245">
        <v>2.2999999999999998</v>
      </c>
      <c r="K31" s="2269">
        <f>I31*J31</f>
        <v>2.2999999999999998</v>
      </c>
      <c r="L31" s="1245">
        <v>1</v>
      </c>
      <c r="M31" s="1245">
        <v>2.2999999999999998</v>
      </c>
      <c r="N31" s="2269">
        <f>L31*M31</f>
        <v>2.2999999999999998</v>
      </c>
      <c r="O31" s="1245">
        <v>1</v>
      </c>
      <c r="P31" s="1245">
        <v>2.2999999999999998</v>
      </c>
      <c r="Q31" s="2269">
        <f>O31*P31</f>
        <v>2.2999999999999998</v>
      </c>
      <c r="R31" s="1245">
        <v>1</v>
      </c>
      <c r="S31" s="1245">
        <v>2.2999999999999998</v>
      </c>
      <c r="T31" s="2269">
        <f>R31*S31</f>
        <v>2.2999999999999998</v>
      </c>
      <c r="U31" s="1245">
        <v>1</v>
      </c>
      <c r="V31" s="1245">
        <v>2.2999999999999998</v>
      </c>
      <c r="W31" s="2269">
        <f>U31*V31</f>
        <v>2.2999999999999998</v>
      </c>
      <c r="X31" s="1245">
        <f t="shared" si="0"/>
        <v>0</v>
      </c>
      <c r="Y31" s="1245">
        <f t="shared" si="1"/>
        <v>100</v>
      </c>
      <c r="Z31" s="867"/>
    </row>
    <row r="32" spans="1:27" s="498" customFormat="1" ht="12.75" hidden="1" x14ac:dyDescent="0.2">
      <c r="A32" s="962"/>
      <c r="B32" s="551" t="s">
        <v>1519</v>
      </c>
      <c r="C32" s="494"/>
      <c r="D32" s="903"/>
      <c r="E32" s="1211" t="s">
        <v>318</v>
      </c>
      <c r="F32" s="1245">
        <v>1</v>
      </c>
      <c r="G32" s="1245">
        <v>3.5</v>
      </c>
      <c r="H32" s="1245">
        <f>F32*G32</f>
        <v>3.5</v>
      </c>
      <c r="I32" s="1245">
        <v>1</v>
      </c>
      <c r="J32" s="1245">
        <v>3.5</v>
      </c>
      <c r="K32" s="2269">
        <f>I32*J32</f>
        <v>3.5</v>
      </c>
      <c r="L32" s="1245">
        <v>1</v>
      </c>
      <c r="M32" s="1245">
        <v>3.5</v>
      </c>
      <c r="N32" s="2269">
        <f>L32*M32</f>
        <v>3.5</v>
      </c>
      <c r="O32" s="1245">
        <v>1</v>
      </c>
      <c r="P32" s="795">
        <v>3.45</v>
      </c>
      <c r="Q32" s="2285">
        <f>O32*P32</f>
        <v>3.45</v>
      </c>
      <c r="R32" s="1245">
        <v>1</v>
      </c>
      <c r="S32" s="1245">
        <v>3.5</v>
      </c>
      <c r="T32" s="2269">
        <f>R32*S32</f>
        <v>3.5</v>
      </c>
      <c r="U32" s="1245">
        <v>1</v>
      </c>
      <c r="V32" s="1245">
        <v>3.5</v>
      </c>
      <c r="W32" s="2269">
        <f>U32*V32</f>
        <v>3.5</v>
      </c>
      <c r="X32" s="1245">
        <f t="shared" si="0"/>
        <v>0</v>
      </c>
      <c r="Y32" s="1245">
        <f t="shared" si="1"/>
        <v>98.6</v>
      </c>
      <c r="Z32" s="867"/>
    </row>
    <row r="33" spans="1:32" s="498" customFormat="1" ht="12.75" hidden="1" x14ac:dyDescent="0.2">
      <c r="A33" s="962"/>
      <c r="B33" s="1212" t="s">
        <v>1396</v>
      </c>
      <c r="C33" s="494"/>
      <c r="D33" s="903"/>
      <c r="E33" s="1252"/>
      <c r="F33" s="1245"/>
      <c r="G33" s="1245"/>
      <c r="H33" s="1245">
        <v>1.3</v>
      </c>
      <c r="I33" s="1245"/>
      <c r="J33" s="1245"/>
      <c r="K33" s="2286">
        <f>SUM(K31:K32)*0.271</f>
        <v>1.6</v>
      </c>
      <c r="L33" s="1245"/>
      <c r="M33" s="1245"/>
      <c r="N33" s="2286">
        <f>SUM(N31:N32)*0.271</f>
        <v>1.6</v>
      </c>
      <c r="O33" s="1245"/>
      <c r="P33" s="1245"/>
      <c r="Q33" s="2286">
        <f>SUM(Q31:Q32)*0.271</f>
        <v>1.6</v>
      </c>
      <c r="R33" s="1245"/>
      <c r="S33" s="1245"/>
      <c r="T33" s="2286">
        <f>SUM(T31:T32)*0.271</f>
        <v>1.6</v>
      </c>
      <c r="U33" s="1245"/>
      <c r="V33" s="1245"/>
      <c r="W33" s="2286">
        <f>SUM(W31:W32)*0.271</f>
        <v>1.6</v>
      </c>
      <c r="X33" s="1245">
        <f t="shared" si="0"/>
        <v>0</v>
      </c>
      <c r="Y33" s="1245">
        <f t="shared" si="1"/>
        <v>100</v>
      </c>
      <c r="Z33" s="867"/>
    </row>
    <row r="34" spans="1:32" s="492" customFormat="1" ht="25.5" hidden="1" x14ac:dyDescent="0.2">
      <c r="A34" s="1240"/>
      <c r="B34" s="2272" t="s">
        <v>1842</v>
      </c>
      <c r="C34" s="530">
        <v>981</v>
      </c>
      <c r="D34" s="932"/>
      <c r="E34" s="1210"/>
      <c r="F34" s="493"/>
      <c r="G34" s="493"/>
      <c r="H34" s="493">
        <f>H35+H36</f>
        <v>3</v>
      </c>
      <c r="I34" s="493"/>
      <c r="J34" s="493"/>
      <c r="K34" s="2279">
        <f>K35+K36</f>
        <v>1</v>
      </c>
      <c r="L34" s="493"/>
      <c r="M34" s="493"/>
      <c r="N34" s="2279">
        <f>N35+N36</f>
        <v>1</v>
      </c>
      <c r="O34" s="2279"/>
      <c r="P34" s="2279"/>
      <c r="Q34" s="2279">
        <f>Q35+Q36</f>
        <v>1</v>
      </c>
      <c r="R34" s="2279"/>
      <c r="S34" s="2279"/>
      <c r="T34" s="2279">
        <f>T35+T36</f>
        <v>1</v>
      </c>
      <c r="U34" s="2279"/>
      <c r="V34" s="2279"/>
      <c r="W34" s="2279">
        <f>W35+W36</f>
        <v>1</v>
      </c>
      <c r="X34" s="493">
        <f t="shared" si="0"/>
        <v>0</v>
      </c>
      <c r="Y34" s="493">
        <f t="shared" si="1"/>
        <v>100</v>
      </c>
      <c r="Z34" s="866"/>
      <c r="AA34" s="492" t="s">
        <v>1665</v>
      </c>
    </row>
    <row r="35" spans="1:32" s="498" customFormat="1" ht="21.6" hidden="1" customHeight="1" x14ac:dyDescent="0.2">
      <c r="A35" s="962"/>
      <c r="B35" s="551" t="s">
        <v>2054</v>
      </c>
      <c r="C35" s="494"/>
      <c r="D35" s="903"/>
      <c r="E35" s="2273" t="s">
        <v>227</v>
      </c>
      <c r="F35" s="1245">
        <v>21</v>
      </c>
      <c r="G35" s="1245">
        <v>0.1</v>
      </c>
      <c r="H35" s="1245">
        <f>F35*G35</f>
        <v>2.1</v>
      </c>
      <c r="I35" s="1245">
        <v>10</v>
      </c>
      <c r="J35" s="795">
        <v>0.1</v>
      </c>
      <c r="K35" s="2269">
        <f>I35*J35</f>
        <v>1</v>
      </c>
      <c r="L35" s="1245">
        <v>10</v>
      </c>
      <c r="M35" s="795">
        <v>0.1</v>
      </c>
      <c r="N35" s="2269">
        <f>L35*M35</f>
        <v>1</v>
      </c>
      <c r="O35" s="1245">
        <v>10</v>
      </c>
      <c r="P35" s="795">
        <v>0.1</v>
      </c>
      <c r="Q35" s="2269">
        <f>O35*P35</f>
        <v>1</v>
      </c>
      <c r="R35" s="1245">
        <v>10</v>
      </c>
      <c r="S35" s="795">
        <v>0.1</v>
      </c>
      <c r="T35" s="2269">
        <f>R35*S35</f>
        <v>1</v>
      </c>
      <c r="U35" s="1245">
        <v>10</v>
      </c>
      <c r="V35" s="795">
        <v>0.1</v>
      </c>
      <c r="W35" s="2269">
        <f>U35*V35</f>
        <v>1</v>
      </c>
      <c r="X35" s="1245">
        <f t="shared" si="0"/>
        <v>0</v>
      </c>
      <c r="Y35" s="1245">
        <f t="shared" si="1"/>
        <v>100</v>
      </c>
      <c r="Z35" s="2274"/>
    </row>
    <row r="36" spans="1:32" s="498" customFormat="1" ht="12.75" hidden="1" x14ac:dyDescent="0.2">
      <c r="A36" s="962"/>
      <c r="B36" s="551" t="s">
        <v>2055</v>
      </c>
      <c r="C36" s="494"/>
      <c r="D36" s="903"/>
      <c r="E36" s="2273" t="s">
        <v>227</v>
      </c>
      <c r="F36" s="1245">
        <v>3</v>
      </c>
      <c r="G36" s="1245">
        <v>0.3</v>
      </c>
      <c r="H36" s="1245">
        <f>F36*G36</f>
        <v>0.9</v>
      </c>
      <c r="I36" s="1245"/>
      <c r="J36" s="1245"/>
      <c r="K36" s="2269">
        <f>I36*J36</f>
        <v>0</v>
      </c>
      <c r="L36" s="1245"/>
      <c r="M36" s="1245"/>
      <c r="N36" s="2269">
        <f>L36*M36</f>
        <v>0</v>
      </c>
      <c r="O36" s="1245"/>
      <c r="P36" s="1245"/>
      <c r="Q36" s="2269"/>
      <c r="R36" s="1245"/>
      <c r="S36" s="1245"/>
      <c r="T36" s="2269"/>
      <c r="U36" s="1245"/>
      <c r="V36" s="1245"/>
      <c r="W36" s="2269"/>
      <c r="X36" s="1245">
        <f t="shared" si="0"/>
        <v>0</v>
      </c>
      <c r="Y36" s="1245" t="str">
        <f t="shared" si="1"/>
        <v>-</v>
      </c>
      <c r="Z36" s="867"/>
    </row>
    <row r="37" spans="1:32" s="492" customFormat="1" ht="12.75" hidden="1" x14ac:dyDescent="0.2">
      <c r="A37" s="1240"/>
      <c r="B37" s="550" t="s">
        <v>1397</v>
      </c>
      <c r="C37" s="529" t="s">
        <v>797</v>
      </c>
      <c r="D37" s="932"/>
      <c r="E37" s="1210"/>
      <c r="F37" s="493"/>
      <c r="G37" s="493"/>
      <c r="H37" s="493">
        <f>SUM(H38:H40)</f>
        <v>5</v>
      </c>
      <c r="I37" s="493"/>
      <c r="J37" s="493"/>
      <c r="K37" s="2279">
        <f>SUM(K38:K39)</f>
        <v>5.4</v>
      </c>
      <c r="L37" s="493"/>
      <c r="M37" s="493"/>
      <c r="N37" s="2279">
        <f>SUM(N38:N39)</f>
        <v>5.4</v>
      </c>
      <c r="O37" s="2279"/>
      <c r="P37" s="2279"/>
      <c r="Q37" s="2279">
        <f>SUM(Q38:Q40)</f>
        <v>5</v>
      </c>
      <c r="R37" s="2279"/>
      <c r="S37" s="2279"/>
      <c r="T37" s="2279">
        <f>SUM(T38:T40)</f>
        <v>5</v>
      </c>
      <c r="U37" s="2279"/>
      <c r="V37" s="2279"/>
      <c r="W37" s="2279">
        <f>SUM(W38:W40)</f>
        <v>5</v>
      </c>
      <c r="X37" s="493">
        <f t="shared" si="0"/>
        <v>-0.4</v>
      </c>
      <c r="Y37" s="493">
        <f t="shared" si="1"/>
        <v>92.6</v>
      </c>
      <c r="Z37" s="866"/>
      <c r="AA37" s="492" t="s">
        <v>1665</v>
      </c>
    </row>
    <row r="38" spans="1:32" s="498" customFormat="1" ht="12.75" hidden="1" x14ac:dyDescent="0.2">
      <c r="A38" s="962"/>
      <c r="B38" s="551" t="s">
        <v>2056</v>
      </c>
      <c r="C38" s="494"/>
      <c r="D38" s="903"/>
      <c r="E38" s="1252" t="s">
        <v>1240</v>
      </c>
      <c r="F38" s="1245">
        <v>10</v>
      </c>
      <c r="G38" s="1245">
        <v>0.2</v>
      </c>
      <c r="H38" s="1245">
        <f>F38*G38</f>
        <v>2</v>
      </c>
      <c r="I38" s="1245">
        <v>12</v>
      </c>
      <c r="J38" s="1245">
        <v>0.2</v>
      </c>
      <c r="K38" s="2269">
        <f>I38*J38</f>
        <v>2.4</v>
      </c>
      <c r="L38" s="1245">
        <v>12</v>
      </c>
      <c r="M38" s="1245">
        <v>0.2</v>
      </c>
      <c r="N38" s="2269">
        <f>L38*M38</f>
        <v>2.4</v>
      </c>
      <c r="O38" s="1245"/>
      <c r="P38" s="1245"/>
      <c r="Q38" s="2269"/>
      <c r="R38" s="1245"/>
      <c r="S38" s="1245"/>
      <c r="T38" s="2269"/>
      <c r="U38" s="1245"/>
      <c r="V38" s="1245"/>
      <c r="W38" s="2269"/>
      <c r="X38" s="1245">
        <f t="shared" si="0"/>
        <v>-2.4</v>
      </c>
      <c r="Y38" s="1245">
        <f t="shared" si="1"/>
        <v>0</v>
      </c>
      <c r="Z38" s="2280"/>
    </row>
    <row r="39" spans="1:32" s="498" customFormat="1" ht="12.75" hidden="1" x14ac:dyDescent="0.2">
      <c r="A39" s="962"/>
      <c r="B39" s="551" t="s">
        <v>2057</v>
      </c>
      <c r="C39" s="494"/>
      <c r="D39" s="903"/>
      <c r="E39" s="1252" t="s">
        <v>227</v>
      </c>
      <c r="F39" s="1245"/>
      <c r="G39" s="1245"/>
      <c r="H39" s="1245">
        <f>F39*G39</f>
        <v>0</v>
      </c>
      <c r="I39" s="1245"/>
      <c r="J39" s="1245"/>
      <c r="K39" s="2269">
        <v>3</v>
      </c>
      <c r="L39" s="1245"/>
      <c r="M39" s="1245"/>
      <c r="N39" s="2269">
        <v>3</v>
      </c>
      <c r="O39" s="1245">
        <v>1</v>
      </c>
      <c r="P39" s="1245">
        <v>2</v>
      </c>
      <c r="Q39" s="2269">
        <f>O39*P39</f>
        <v>2</v>
      </c>
      <c r="R39" s="1245">
        <v>1</v>
      </c>
      <c r="S39" s="1245">
        <v>2</v>
      </c>
      <c r="T39" s="2269">
        <f>R39*S39</f>
        <v>2</v>
      </c>
      <c r="U39" s="1245">
        <v>1</v>
      </c>
      <c r="V39" s="1245">
        <v>2</v>
      </c>
      <c r="W39" s="2269">
        <f>U39*V39</f>
        <v>2</v>
      </c>
      <c r="X39" s="1245">
        <f t="shared" si="0"/>
        <v>-1</v>
      </c>
      <c r="Y39" s="1245">
        <f t="shared" si="1"/>
        <v>66.7</v>
      </c>
      <c r="Z39" s="2281"/>
    </row>
    <row r="40" spans="1:32" s="498" customFormat="1" ht="12.75" hidden="1" x14ac:dyDescent="0.2">
      <c r="A40" s="962"/>
      <c r="B40" s="551" t="s">
        <v>2058</v>
      </c>
      <c r="C40" s="494"/>
      <c r="D40" s="903"/>
      <c r="E40" s="1252" t="s">
        <v>227</v>
      </c>
      <c r="F40" s="1245">
        <v>2</v>
      </c>
      <c r="G40" s="1245">
        <v>1.5</v>
      </c>
      <c r="H40" s="1245">
        <f>F40*G40</f>
        <v>3</v>
      </c>
      <c r="I40" s="1245"/>
      <c r="J40" s="1245"/>
      <c r="K40" s="2269"/>
      <c r="L40" s="1245"/>
      <c r="M40" s="1245"/>
      <c r="N40" s="2269"/>
      <c r="O40" s="1245"/>
      <c r="P40" s="1245"/>
      <c r="Q40" s="2269">
        <v>3</v>
      </c>
      <c r="R40" s="1245"/>
      <c r="S40" s="1245"/>
      <c r="T40" s="2269">
        <v>3</v>
      </c>
      <c r="U40" s="1245"/>
      <c r="V40" s="1245"/>
      <c r="W40" s="2269">
        <v>3</v>
      </c>
      <c r="X40" s="1245">
        <f t="shared" si="0"/>
        <v>3</v>
      </c>
      <c r="Y40" s="1245" t="str">
        <f t="shared" si="1"/>
        <v>-</v>
      </c>
      <c r="Z40" s="2282"/>
    </row>
    <row r="41" spans="1:32" s="492" customFormat="1" ht="12.75" x14ac:dyDescent="0.2">
      <c r="A41" s="1240"/>
      <c r="B41" s="550" t="s">
        <v>2059</v>
      </c>
      <c r="C41" s="530">
        <v>963</v>
      </c>
      <c r="D41" s="932"/>
      <c r="E41" s="2277" t="s">
        <v>227</v>
      </c>
      <c r="F41" s="493">
        <v>10</v>
      </c>
      <c r="G41" s="493">
        <v>0.2</v>
      </c>
      <c r="H41" s="493">
        <f>F41*G41</f>
        <v>2</v>
      </c>
      <c r="I41" s="493">
        <v>10</v>
      </c>
      <c r="J41" s="493">
        <v>0.2</v>
      </c>
      <c r="K41" s="2279">
        <f>I41*J41</f>
        <v>2</v>
      </c>
      <c r="L41" s="493">
        <v>10</v>
      </c>
      <c r="M41" s="493">
        <v>0.2</v>
      </c>
      <c r="N41" s="2279">
        <f>L41*M41</f>
        <v>2</v>
      </c>
      <c r="O41" s="493"/>
      <c r="P41" s="493"/>
      <c r="Q41" s="2279"/>
      <c r="R41" s="493"/>
      <c r="S41" s="493"/>
      <c r="T41" s="2279"/>
      <c r="U41" s="493"/>
      <c r="V41" s="493"/>
      <c r="W41" s="2279"/>
      <c r="X41" s="493">
        <f t="shared" si="0"/>
        <v>-2</v>
      </c>
      <c r="Y41" s="493">
        <f t="shared" si="1"/>
        <v>0</v>
      </c>
      <c r="Z41" s="867"/>
      <c r="AA41" s="492" t="s">
        <v>1665</v>
      </c>
    </row>
    <row r="42" spans="1:32" s="492" customFormat="1" ht="12.75" x14ac:dyDescent="0.2">
      <c r="A42" s="1240"/>
      <c r="B42" s="550" t="s">
        <v>2050</v>
      </c>
      <c r="C42" s="530">
        <v>963</v>
      </c>
      <c r="D42" s="932"/>
      <c r="E42" s="1210"/>
      <c r="F42" s="493"/>
      <c r="G42" s="493"/>
      <c r="H42" s="493">
        <f>H43</f>
        <v>4</v>
      </c>
      <c r="I42" s="2278"/>
      <c r="J42" s="2278"/>
      <c r="K42" s="2279">
        <f>SUM(K43:K44)</f>
        <v>4</v>
      </c>
      <c r="L42" s="2278"/>
      <c r="M42" s="2278"/>
      <c r="N42" s="2279">
        <f>SUM(N43:N44)</f>
        <v>4</v>
      </c>
      <c r="O42" s="2279"/>
      <c r="P42" s="2279"/>
      <c r="Q42" s="2279">
        <f>SUM(Q43:Q44)</f>
        <v>6</v>
      </c>
      <c r="R42" s="2279"/>
      <c r="S42" s="2279"/>
      <c r="T42" s="2279">
        <f>SUM(T43:T44)</f>
        <v>6</v>
      </c>
      <c r="U42" s="2279"/>
      <c r="V42" s="2279"/>
      <c r="W42" s="2279">
        <f>SUM(W43:W44)</f>
        <v>6</v>
      </c>
      <c r="X42" s="493">
        <f t="shared" si="0"/>
        <v>2</v>
      </c>
      <c r="Y42" s="493">
        <f t="shared" si="1"/>
        <v>150</v>
      </c>
      <c r="Z42" s="866"/>
      <c r="AA42" s="492" t="s">
        <v>1665</v>
      </c>
    </row>
    <row r="43" spans="1:32" s="498" customFormat="1" ht="12.75" hidden="1" x14ac:dyDescent="0.2">
      <c r="A43" s="962"/>
      <c r="B43" s="551" t="s">
        <v>2051</v>
      </c>
      <c r="C43" s="494"/>
      <c r="D43" s="903"/>
      <c r="E43" s="2273" t="s">
        <v>227</v>
      </c>
      <c r="F43" s="1245">
        <v>40</v>
      </c>
      <c r="G43" s="1245">
        <v>0.1</v>
      </c>
      <c r="H43" s="1245">
        <f>F43*G43</f>
        <v>4</v>
      </c>
      <c r="I43" s="2270">
        <v>6</v>
      </c>
      <c r="J43" s="2270">
        <v>0.35</v>
      </c>
      <c r="K43" s="2269">
        <f>I43*J43</f>
        <v>2.1</v>
      </c>
      <c r="L43" s="2270">
        <v>6</v>
      </c>
      <c r="M43" s="2270">
        <v>0.35</v>
      </c>
      <c r="N43" s="2269">
        <f>L43*M43</f>
        <v>2.1</v>
      </c>
      <c r="O43" s="1245">
        <v>10</v>
      </c>
      <c r="P43" s="2270">
        <v>0.35</v>
      </c>
      <c r="Q43" s="2269">
        <f>O43*P43</f>
        <v>3.5</v>
      </c>
      <c r="R43" s="1245">
        <v>10</v>
      </c>
      <c r="S43" s="2270">
        <v>0.35</v>
      </c>
      <c r="T43" s="2269">
        <f>R43*S43</f>
        <v>3.5</v>
      </c>
      <c r="U43" s="1245">
        <v>10</v>
      </c>
      <c r="V43" s="2270">
        <v>0.35</v>
      </c>
      <c r="W43" s="2269">
        <f>U43*V43</f>
        <v>3.5</v>
      </c>
      <c r="X43" s="1245">
        <f t="shared" si="0"/>
        <v>1.4</v>
      </c>
      <c r="Y43" s="1245">
        <f t="shared" si="1"/>
        <v>166.7</v>
      </c>
      <c r="Z43" s="2280"/>
    </row>
    <row r="44" spans="1:32" s="498" customFormat="1" ht="12.75" hidden="1" x14ac:dyDescent="0.2">
      <c r="A44" s="962"/>
      <c r="B44" s="551" t="s">
        <v>2052</v>
      </c>
      <c r="C44" s="494"/>
      <c r="D44" s="903"/>
      <c r="E44" s="2273" t="s">
        <v>227</v>
      </c>
      <c r="F44" s="1245"/>
      <c r="G44" s="1245"/>
      <c r="H44" s="1245"/>
      <c r="I44" s="1245">
        <v>38</v>
      </c>
      <c r="J44" s="2270">
        <v>0.05</v>
      </c>
      <c r="K44" s="2269">
        <f>I44*J44</f>
        <v>1.9</v>
      </c>
      <c r="L44" s="1245">
        <v>38</v>
      </c>
      <c r="M44" s="2270">
        <v>0.05</v>
      </c>
      <c r="N44" s="2269">
        <f>L44*M44</f>
        <v>1.9</v>
      </c>
      <c r="O44" s="1245">
        <v>50</v>
      </c>
      <c r="P44" s="2270">
        <v>0.05</v>
      </c>
      <c r="Q44" s="2269">
        <f>O44*P44</f>
        <v>2.5</v>
      </c>
      <c r="R44" s="1245">
        <v>50</v>
      </c>
      <c r="S44" s="2270">
        <v>0.05</v>
      </c>
      <c r="T44" s="2269">
        <f>R44*S44</f>
        <v>2.5</v>
      </c>
      <c r="U44" s="1245">
        <v>50</v>
      </c>
      <c r="V44" s="2270">
        <v>0.05</v>
      </c>
      <c r="W44" s="2269">
        <f>U44*V44</f>
        <v>2.5</v>
      </c>
      <c r="X44" s="1245">
        <f t="shared" si="0"/>
        <v>0.6</v>
      </c>
      <c r="Y44" s="1245">
        <f t="shared" si="1"/>
        <v>131.6</v>
      </c>
      <c r="Z44" s="2282"/>
    </row>
    <row r="45" spans="1:32" s="597" customFormat="1" ht="12.75" x14ac:dyDescent="0.2">
      <c r="A45" s="603"/>
      <c r="B45" s="599"/>
      <c r="C45" s="599"/>
      <c r="D45" s="599"/>
      <c r="E45" s="599"/>
      <c r="F45" s="598"/>
      <c r="G45" s="598"/>
      <c r="H45" s="598"/>
      <c r="I45" s="599"/>
      <c r="J45" s="599"/>
      <c r="K45" s="598"/>
      <c r="L45" s="599"/>
      <c r="M45" s="599"/>
      <c r="N45" s="598"/>
      <c r="O45" s="598"/>
      <c r="P45" s="598"/>
      <c r="Q45" s="598"/>
      <c r="R45" s="598"/>
      <c r="S45" s="598"/>
      <c r="T45" s="598"/>
      <c r="U45" s="599"/>
      <c r="V45" s="599"/>
      <c r="W45" s="599"/>
      <c r="X45" s="599"/>
      <c r="Y45" s="599"/>
    </row>
    <row r="46" spans="1:32" s="933" customFormat="1" ht="12.75" x14ac:dyDescent="0.2">
      <c r="A46" s="601"/>
      <c r="B46" s="601"/>
      <c r="C46" s="1032" t="s">
        <v>1665</v>
      </c>
      <c r="D46" s="1032"/>
      <c r="E46" s="1032"/>
      <c r="F46" s="2287"/>
      <c r="G46" s="2287"/>
      <c r="H46" s="2287">
        <f>H47+H48+H49</f>
        <v>50.1</v>
      </c>
      <c r="I46" s="2287">
        <f t="shared" ref="I46:W46" si="3">I47+I48+I49</f>
        <v>0</v>
      </c>
      <c r="J46" s="2287">
        <f t="shared" si="3"/>
        <v>0</v>
      </c>
      <c r="K46" s="2287">
        <f t="shared" si="3"/>
        <v>46.2</v>
      </c>
      <c r="L46" s="2287">
        <f t="shared" si="3"/>
        <v>0</v>
      </c>
      <c r="M46" s="2287">
        <f t="shared" si="3"/>
        <v>0</v>
      </c>
      <c r="N46" s="2287">
        <f t="shared" si="3"/>
        <v>46.2</v>
      </c>
      <c r="O46" s="2287">
        <f t="shared" si="3"/>
        <v>0</v>
      </c>
      <c r="P46" s="2287">
        <f t="shared" si="3"/>
        <v>0</v>
      </c>
      <c r="Q46" s="2287">
        <f t="shared" si="3"/>
        <v>45.7</v>
      </c>
      <c r="R46" s="2287">
        <f t="shared" si="3"/>
        <v>0</v>
      </c>
      <c r="S46" s="2287">
        <f t="shared" si="3"/>
        <v>0</v>
      </c>
      <c r="T46" s="2287">
        <f t="shared" si="3"/>
        <v>45.7</v>
      </c>
      <c r="U46" s="2287">
        <f t="shared" si="3"/>
        <v>0</v>
      </c>
      <c r="V46" s="2287">
        <f t="shared" si="3"/>
        <v>0</v>
      </c>
      <c r="W46" s="2287">
        <f t="shared" si="3"/>
        <v>45.7</v>
      </c>
      <c r="X46" s="602"/>
      <c r="Y46" s="602"/>
      <c r="AA46" s="934"/>
      <c r="AB46" s="934"/>
      <c r="AC46" s="934"/>
      <c r="AD46" s="934"/>
      <c r="AE46" s="934"/>
      <c r="AF46" s="934"/>
    </row>
    <row r="47" spans="1:32" s="1217" customFormat="1" ht="12.75" x14ac:dyDescent="0.2">
      <c r="A47" s="1213"/>
      <c r="B47" s="1213"/>
      <c r="C47" s="2288">
        <v>955</v>
      </c>
      <c r="D47" s="1214"/>
      <c r="E47" s="1214"/>
      <c r="F47" s="1215"/>
      <c r="G47" s="1215"/>
      <c r="H47" s="1215">
        <f>H13+H30</f>
        <v>20.399999999999999</v>
      </c>
      <c r="I47" s="1215"/>
      <c r="J47" s="1215"/>
      <c r="K47" s="1215">
        <f>K13+K30</f>
        <v>20.7</v>
      </c>
      <c r="L47" s="1215"/>
      <c r="M47" s="1215"/>
      <c r="N47" s="1215">
        <f t="shared" ref="N47:W47" si="4">N13+N30</f>
        <v>20.7</v>
      </c>
      <c r="O47" s="1215">
        <f t="shared" si="4"/>
        <v>0</v>
      </c>
      <c r="P47" s="1215">
        <f t="shared" si="4"/>
        <v>0</v>
      </c>
      <c r="Q47" s="2289">
        <f t="shared" si="4"/>
        <v>20.6</v>
      </c>
      <c r="R47" s="1215">
        <f t="shared" si="4"/>
        <v>0</v>
      </c>
      <c r="S47" s="1215">
        <f t="shared" si="4"/>
        <v>0</v>
      </c>
      <c r="T47" s="1215">
        <f t="shared" si="4"/>
        <v>20.6</v>
      </c>
      <c r="U47" s="1215">
        <f t="shared" si="4"/>
        <v>0</v>
      </c>
      <c r="V47" s="1215">
        <f t="shared" si="4"/>
        <v>0</v>
      </c>
      <c r="W47" s="1215">
        <f t="shared" si="4"/>
        <v>20.6</v>
      </c>
      <c r="X47" s="1216"/>
      <c r="Y47" s="1216"/>
      <c r="AA47" s="1218"/>
      <c r="AB47" s="1218"/>
      <c r="AC47" s="1218"/>
      <c r="AD47" s="1218"/>
      <c r="AE47" s="1218"/>
      <c r="AF47" s="1218"/>
    </row>
    <row r="48" spans="1:32" s="1217" customFormat="1" ht="12.75" x14ac:dyDescent="0.2">
      <c r="A48" s="1213"/>
      <c r="B48" s="1213"/>
      <c r="C48" s="2288">
        <v>963</v>
      </c>
      <c r="D48" s="1214"/>
      <c r="E48" s="1214"/>
      <c r="F48" s="1215"/>
      <c r="G48" s="1215"/>
      <c r="H48" s="1215">
        <f>H25+H26+H41+H42</f>
        <v>14.4</v>
      </c>
      <c r="I48" s="1215"/>
      <c r="J48" s="1215"/>
      <c r="K48" s="1215">
        <f>K25+K26+K41+K42</f>
        <v>14.4</v>
      </c>
      <c r="L48" s="1215"/>
      <c r="M48" s="1215"/>
      <c r="N48" s="1215">
        <f t="shared" ref="N48:W48" si="5">N25+N26+N41+N42</f>
        <v>14.4</v>
      </c>
      <c r="O48" s="1215">
        <f t="shared" si="5"/>
        <v>0</v>
      </c>
      <c r="P48" s="1215">
        <f t="shared" si="5"/>
        <v>0</v>
      </c>
      <c r="Q48" s="1215">
        <f t="shared" si="5"/>
        <v>14.5</v>
      </c>
      <c r="R48" s="1215">
        <f t="shared" si="5"/>
        <v>0</v>
      </c>
      <c r="S48" s="1215">
        <f t="shared" si="5"/>
        <v>0</v>
      </c>
      <c r="T48" s="1215">
        <f t="shared" si="5"/>
        <v>14.5</v>
      </c>
      <c r="U48" s="1215">
        <f t="shared" si="5"/>
        <v>0</v>
      </c>
      <c r="V48" s="1215">
        <f t="shared" si="5"/>
        <v>0</v>
      </c>
      <c r="W48" s="1215">
        <f t="shared" si="5"/>
        <v>14.5</v>
      </c>
      <c r="X48" s="1216"/>
      <c r="Y48" s="1216"/>
      <c r="AA48" s="1218"/>
      <c r="AB48" s="1218"/>
      <c r="AC48" s="1218"/>
      <c r="AD48" s="1218"/>
      <c r="AE48" s="1218"/>
      <c r="AF48" s="1218"/>
    </row>
    <row r="49" spans="1:32" s="1217" customFormat="1" ht="12.75" x14ac:dyDescent="0.2">
      <c r="A49" s="1213"/>
      <c r="B49" s="1213"/>
      <c r="C49" s="2288">
        <v>981</v>
      </c>
      <c r="D49" s="1214"/>
      <c r="E49" s="1214"/>
      <c r="F49" s="1215"/>
      <c r="G49" s="1215"/>
      <c r="H49" s="1215">
        <f t="shared" ref="H49:W49" si="6">H19+H22+H34+H37</f>
        <v>15.3</v>
      </c>
      <c r="I49" s="1215">
        <f t="shared" si="6"/>
        <v>0</v>
      </c>
      <c r="J49" s="1215">
        <f t="shared" si="6"/>
        <v>0</v>
      </c>
      <c r="K49" s="1215">
        <f t="shared" si="6"/>
        <v>11.1</v>
      </c>
      <c r="L49" s="1215">
        <f t="shared" si="6"/>
        <v>0</v>
      </c>
      <c r="M49" s="1215">
        <f t="shared" si="6"/>
        <v>0</v>
      </c>
      <c r="N49" s="1215">
        <f t="shared" si="6"/>
        <v>11.1</v>
      </c>
      <c r="O49" s="1215">
        <f t="shared" si="6"/>
        <v>0</v>
      </c>
      <c r="P49" s="1215">
        <f t="shared" si="6"/>
        <v>0</v>
      </c>
      <c r="Q49" s="2289">
        <f t="shared" si="6"/>
        <v>10.6</v>
      </c>
      <c r="R49" s="1215">
        <f t="shared" si="6"/>
        <v>0</v>
      </c>
      <c r="S49" s="1215">
        <f t="shared" si="6"/>
        <v>0</v>
      </c>
      <c r="T49" s="1215">
        <f t="shared" si="6"/>
        <v>10.6</v>
      </c>
      <c r="U49" s="1215">
        <f t="shared" si="6"/>
        <v>0</v>
      </c>
      <c r="V49" s="1215">
        <f t="shared" si="6"/>
        <v>0</v>
      </c>
      <c r="W49" s="1215">
        <f t="shared" si="6"/>
        <v>10.6</v>
      </c>
      <c r="X49" s="1216"/>
      <c r="Y49" s="1216"/>
      <c r="AA49" s="1218"/>
      <c r="AB49" s="1218"/>
      <c r="AC49" s="1218"/>
      <c r="AD49" s="1218"/>
      <c r="AE49" s="1218"/>
      <c r="AF49" s="1218"/>
    </row>
    <row r="50" spans="1:32" s="591" customFormat="1" x14ac:dyDescent="0.25">
      <c r="A50" s="1035"/>
      <c r="B50" s="587"/>
      <c r="C50" s="587"/>
      <c r="D50" s="587"/>
      <c r="E50" s="587"/>
      <c r="F50" s="598"/>
      <c r="G50" s="598"/>
      <c r="H50" s="598"/>
      <c r="I50" s="599"/>
      <c r="J50" s="599"/>
      <c r="K50" s="598"/>
      <c r="L50" s="599"/>
      <c r="M50" s="599"/>
      <c r="N50" s="598"/>
      <c r="O50" s="598"/>
      <c r="P50" s="598"/>
      <c r="Q50" s="598"/>
      <c r="R50" s="598"/>
      <c r="S50" s="598"/>
      <c r="T50" s="598"/>
      <c r="U50" s="599"/>
      <c r="V50" s="599"/>
      <c r="W50" s="599"/>
      <c r="X50" s="599"/>
      <c r="Y50" s="599"/>
      <c r="AA50" s="592"/>
      <c r="AB50" s="592"/>
      <c r="AC50" s="592"/>
      <c r="AD50" s="592"/>
      <c r="AE50" s="592"/>
      <c r="AF50" s="592"/>
    </row>
    <row r="51" spans="1:32" s="591" customFormat="1" x14ac:dyDescent="0.25">
      <c r="A51" s="1035"/>
      <c r="B51" s="587"/>
      <c r="C51" s="587"/>
      <c r="D51" s="587"/>
      <c r="E51" s="587"/>
      <c r="F51" s="598"/>
      <c r="G51" s="598"/>
      <c r="H51" s="598"/>
      <c r="I51" s="599"/>
      <c r="J51" s="599"/>
      <c r="K51" s="598"/>
      <c r="L51" s="599"/>
      <c r="M51" s="599"/>
      <c r="N51" s="598"/>
      <c r="O51" s="598"/>
      <c r="P51" s="598"/>
      <c r="Q51" s="598"/>
      <c r="R51" s="598"/>
      <c r="S51" s="598"/>
      <c r="T51" s="598"/>
      <c r="U51" s="599"/>
      <c r="V51" s="599"/>
      <c r="W51" s="599"/>
      <c r="X51" s="599"/>
      <c r="Y51" s="599"/>
      <c r="AA51" s="592"/>
      <c r="AB51" s="592"/>
      <c r="AC51" s="592"/>
      <c r="AD51" s="592"/>
      <c r="AE51" s="592"/>
      <c r="AF51" s="592"/>
    </row>
    <row r="52" spans="1:32" s="591" customFormat="1" x14ac:dyDescent="0.25">
      <c r="A52" s="1035"/>
      <c r="B52" s="587"/>
      <c r="C52" s="587"/>
      <c r="D52" s="587"/>
      <c r="E52" s="587"/>
      <c r="F52" s="598"/>
      <c r="G52" s="598"/>
      <c r="H52" s="598"/>
      <c r="I52" s="599"/>
      <c r="J52" s="599"/>
      <c r="K52" s="598"/>
      <c r="L52" s="599"/>
      <c r="M52" s="599"/>
      <c r="N52" s="598"/>
      <c r="O52" s="598"/>
      <c r="P52" s="598"/>
      <c r="Q52" s="598"/>
      <c r="R52" s="598"/>
      <c r="S52" s="598"/>
      <c r="T52" s="598"/>
      <c r="U52" s="599"/>
      <c r="V52" s="599"/>
      <c r="W52" s="599"/>
      <c r="X52" s="599"/>
      <c r="Y52" s="599"/>
      <c r="AA52" s="592"/>
      <c r="AB52" s="592"/>
      <c r="AC52" s="592"/>
      <c r="AD52" s="592"/>
      <c r="AE52" s="592"/>
      <c r="AF52" s="592"/>
    </row>
    <row r="53" spans="1:32" s="591" customFormat="1" x14ac:dyDescent="0.25">
      <c r="A53" s="1035"/>
      <c r="B53" s="587"/>
      <c r="C53" s="587"/>
      <c r="D53" s="587"/>
      <c r="E53" s="587"/>
      <c r="F53" s="598"/>
      <c r="G53" s="598"/>
      <c r="H53" s="598"/>
      <c r="I53" s="599"/>
      <c r="J53" s="599"/>
      <c r="K53" s="598"/>
      <c r="L53" s="599"/>
      <c r="M53" s="599"/>
      <c r="N53" s="598"/>
      <c r="O53" s="598"/>
      <c r="P53" s="598"/>
      <c r="Q53" s="598"/>
      <c r="R53" s="598"/>
      <c r="S53" s="598"/>
      <c r="T53" s="598"/>
      <c r="U53" s="599"/>
      <c r="V53" s="599"/>
      <c r="W53" s="599"/>
      <c r="X53" s="599"/>
      <c r="Y53" s="599"/>
      <c r="AA53" s="592"/>
      <c r="AB53" s="592"/>
      <c r="AC53" s="592"/>
      <c r="AD53" s="592"/>
      <c r="AE53" s="592"/>
      <c r="AF53" s="592"/>
    </row>
    <row r="54" spans="1:32" s="591" customFormat="1" x14ac:dyDescent="0.25">
      <c r="A54" s="1035"/>
      <c r="B54" s="587"/>
      <c r="C54" s="587"/>
      <c r="D54" s="587"/>
      <c r="E54" s="587"/>
      <c r="F54" s="598"/>
      <c r="G54" s="598"/>
      <c r="H54" s="598"/>
      <c r="I54" s="599"/>
      <c r="J54" s="599"/>
      <c r="K54" s="598"/>
      <c r="L54" s="599"/>
      <c r="M54" s="599"/>
      <c r="N54" s="598"/>
      <c r="O54" s="598"/>
      <c r="P54" s="598"/>
      <c r="Q54" s="598"/>
      <c r="R54" s="598"/>
      <c r="S54" s="598"/>
      <c r="T54" s="598"/>
      <c r="U54" s="599"/>
      <c r="V54" s="599"/>
      <c r="W54" s="599"/>
      <c r="X54" s="599"/>
      <c r="Y54" s="599"/>
      <c r="AA54" s="592"/>
      <c r="AB54" s="592"/>
      <c r="AC54" s="592"/>
      <c r="AD54" s="592"/>
      <c r="AE54" s="592"/>
      <c r="AF54" s="592"/>
    </row>
  </sheetData>
  <autoFilter ref="A10:AF44">
    <filterColumn colId="2">
      <filters>
        <filter val="963"/>
      </filters>
    </filterColumn>
  </autoFilter>
  <mergeCells count="35">
    <mergeCell ref="F7:H7"/>
    <mergeCell ref="M8:M9"/>
    <mergeCell ref="N8:N9"/>
    <mergeCell ref="I7:K7"/>
    <mergeCell ref="L7:N7"/>
    <mergeCell ref="J8:J9"/>
    <mergeCell ref="A7:A9"/>
    <mergeCell ref="B7:B9"/>
    <mergeCell ref="C7:C9"/>
    <mergeCell ref="D7:D9"/>
    <mergeCell ref="E7:E9"/>
    <mergeCell ref="A4:Z4"/>
    <mergeCell ref="A5:Z5"/>
    <mergeCell ref="O8:O9"/>
    <mergeCell ref="P8:P9"/>
    <mergeCell ref="Q8:Q9"/>
    <mergeCell ref="R8:R9"/>
    <mergeCell ref="S8:S9"/>
    <mergeCell ref="T8:T9"/>
    <mergeCell ref="Z7:Z9"/>
    <mergeCell ref="F8:F9"/>
    <mergeCell ref="G8:G9"/>
    <mergeCell ref="H8:H9"/>
    <mergeCell ref="I8:I9"/>
    <mergeCell ref="K8:K9"/>
    <mergeCell ref="U7:W7"/>
    <mergeCell ref="L8:L9"/>
    <mergeCell ref="O7:Q7"/>
    <mergeCell ref="U8:U9"/>
    <mergeCell ref="R7:T7"/>
    <mergeCell ref="X8:X9"/>
    <mergeCell ref="Y8:Y9"/>
    <mergeCell ref="V8:V9"/>
    <mergeCell ref="W8:W9"/>
    <mergeCell ref="X7:Y7"/>
  </mergeCells>
  <printOptions horizontalCentered="1"/>
  <pageMargins left="0.23622047244094491" right="0.23622047244094491" top="0.47244094488188981" bottom="0.39370078740157483" header="0.31496062992125984" footer="0.31496062992125984"/>
  <pageSetup paperSize="9" scale="49" fitToHeight="0" orientation="landscape" r:id="rId1"/>
  <headerFooter>
    <oddFooter>Страница  &amp;P из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XAZ252"/>
  <sheetViews>
    <sheetView showZeros="0" view="pageBreakPreview" zoomScale="60" zoomScaleNormal="60" workbookViewId="0">
      <pane ySplit="10" topLeftCell="A11" activePane="bottomLeft" state="frozen"/>
      <selection activeCell="T17" sqref="T17"/>
      <selection pane="bottomLeft" activeCell="Z252" sqref="Z252"/>
    </sheetView>
  </sheetViews>
  <sheetFormatPr defaultColWidth="10.6640625" defaultRowHeight="15.75" x14ac:dyDescent="0.25"/>
  <cols>
    <col min="1" max="1" width="7.33203125" style="2297" customWidth="1"/>
    <col min="2" max="2" width="17.6640625" style="2530" customWidth="1"/>
    <col min="3" max="3" width="42" style="2296" customWidth="1"/>
    <col min="4" max="4" width="17" style="2527" hidden="1" customWidth="1"/>
    <col min="5" max="5" width="19.5" style="2528" hidden="1" customWidth="1"/>
    <col min="6" max="15" width="19.5" style="2527" hidden="1" customWidth="1"/>
    <col min="16" max="18" width="19.5" style="2527" customWidth="1"/>
    <col min="19" max="19" width="24.1640625" style="2527" customWidth="1"/>
    <col min="20" max="21" width="19.5" style="2527" customWidth="1"/>
    <col min="22" max="22" width="14.83203125" style="2527" customWidth="1"/>
    <col min="23" max="23" width="17.33203125" style="2527" customWidth="1"/>
    <col min="24" max="24" width="15.33203125" style="2527" customWidth="1"/>
    <col min="25" max="25" width="17" style="2527" customWidth="1"/>
    <col min="26" max="26" width="94.6640625" style="2297" customWidth="1"/>
    <col min="27" max="27" width="10.6640625" style="2296" customWidth="1"/>
    <col min="28" max="29" width="10.6640625" style="2297"/>
    <col min="30" max="30" width="13.5" style="2297" customWidth="1"/>
    <col min="31" max="34" width="10.6640625" style="2297" customWidth="1"/>
    <col min="35" max="252" width="10.6640625" style="2297"/>
    <col min="253" max="253" width="7.33203125" style="2297" customWidth="1"/>
    <col min="254" max="254" width="14.1640625" style="2297" customWidth="1"/>
    <col min="255" max="255" width="40.83203125" style="2297" customWidth="1"/>
    <col min="256" max="256" width="10.1640625" style="2297" customWidth="1"/>
    <col min="257" max="257" width="24.1640625" style="2297" customWidth="1"/>
    <col min="258" max="259" width="13.1640625" style="2297" customWidth="1"/>
    <col min="260" max="260" width="14.5" style="2297" customWidth="1"/>
    <col min="261" max="261" width="10.1640625" style="2297" customWidth="1"/>
    <col min="262" max="262" width="13.1640625" style="2297" customWidth="1"/>
    <col min="263" max="263" width="14.5" style="2297" customWidth="1"/>
    <col min="264" max="264" width="13.1640625" style="2297" customWidth="1"/>
    <col min="265" max="265" width="12.6640625" style="2297" customWidth="1"/>
    <col min="266" max="266" width="10" style="2297" bestFit="1" customWidth="1"/>
    <col min="267" max="267" width="23.1640625" style="2297" bestFit="1" customWidth="1"/>
    <col min="268" max="269" width="11.5" style="2297" bestFit="1" customWidth="1"/>
    <col min="270" max="270" width="12.33203125" style="2297" bestFit="1" customWidth="1"/>
    <col min="271" max="271" width="15.83203125" style="2297" bestFit="1" customWidth="1"/>
    <col min="272" max="272" width="13" style="2297" bestFit="1" customWidth="1"/>
    <col min="273" max="273" width="14.33203125" style="2297" bestFit="1" customWidth="1"/>
    <col min="274" max="275" width="10.6640625" style="2297" customWidth="1"/>
    <col min="276" max="276" width="17.83203125" style="2297" bestFit="1" customWidth="1"/>
    <col min="277" max="279" width="10.6640625" style="2297" customWidth="1"/>
    <col min="280" max="285" width="10.6640625" style="2297"/>
    <col min="286" max="286" width="7.33203125" style="2297" customWidth="1"/>
    <col min="287" max="290" width="10.6640625" style="2297" customWidth="1"/>
    <col min="291" max="508" width="10.6640625" style="2297"/>
    <col min="509" max="509" width="7.33203125" style="2297" customWidth="1"/>
    <col min="510" max="510" width="14.1640625" style="2297" customWidth="1"/>
    <col min="511" max="511" width="40.83203125" style="2297" customWidth="1"/>
    <col min="512" max="512" width="10.1640625" style="2297" customWidth="1"/>
    <col min="513" max="513" width="24.1640625" style="2297" customWidth="1"/>
    <col min="514" max="515" width="13.1640625" style="2297" customWidth="1"/>
    <col min="516" max="516" width="14.5" style="2297" customWidth="1"/>
    <col min="517" max="517" width="10.1640625" style="2297" customWidth="1"/>
    <col min="518" max="518" width="13.1640625" style="2297" customWidth="1"/>
    <col min="519" max="519" width="14.5" style="2297" customWidth="1"/>
    <col min="520" max="520" width="13.1640625" style="2297" customWidth="1"/>
    <col min="521" max="521" width="12.6640625" style="2297" customWidth="1"/>
    <col min="522" max="522" width="10" style="2297" bestFit="1" customWidth="1"/>
    <col min="523" max="523" width="23.1640625" style="2297" bestFit="1" customWidth="1"/>
    <col min="524" max="525" width="11.5" style="2297" bestFit="1" customWidth="1"/>
    <col min="526" max="526" width="12.33203125" style="2297" bestFit="1" customWidth="1"/>
    <col min="527" max="527" width="15.83203125" style="2297" bestFit="1" customWidth="1"/>
    <col min="528" max="528" width="13" style="2297" bestFit="1" customWidth="1"/>
    <col min="529" max="529" width="14.33203125" style="2297" bestFit="1" customWidth="1"/>
    <col min="530" max="531" width="10.6640625" style="2297" customWidth="1"/>
    <col min="532" max="532" width="17.83203125" style="2297" bestFit="1" customWidth="1"/>
    <col min="533" max="535" width="10.6640625" style="2297" customWidth="1"/>
    <col min="536" max="541" width="10.6640625" style="2297"/>
    <col min="542" max="542" width="7.33203125" style="2297" customWidth="1"/>
    <col min="543" max="546" width="10.6640625" style="2297" customWidth="1"/>
    <col min="547" max="16384" width="10.6640625" style="2297"/>
  </cols>
  <sheetData>
    <row r="1" spans="1:29" s="2290" customFormat="1" x14ac:dyDescent="0.25">
      <c r="B1" s="2291"/>
      <c r="C1" s="2292"/>
      <c r="D1" s="2293"/>
      <c r="E1" s="2294"/>
      <c r="F1" s="2293"/>
      <c r="G1" s="2293"/>
      <c r="H1" s="2293"/>
      <c r="I1" s="2295"/>
      <c r="J1" s="2293"/>
      <c r="K1" s="2295"/>
      <c r="L1" s="2295"/>
      <c r="M1" s="2295"/>
      <c r="N1" s="2293"/>
      <c r="O1" s="2295"/>
      <c r="P1" s="2295"/>
      <c r="Q1" s="2295"/>
      <c r="R1" s="2293"/>
      <c r="S1" s="2293"/>
      <c r="T1" s="2293"/>
      <c r="U1" s="2295"/>
      <c r="V1" s="2293"/>
      <c r="W1" s="2293"/>
      <c r="X1" s="2293"/>
      <c r="Y1" s="2293"/>
      <c r="AA1" s="2292"/>
    </row>
    <row r="2" spans="1:29" s="2290" customFormat="1" x14ac:dyDescent="0.25">
      <c r="A2" s="3459" t="s">
        <v>1407</v>
      </c>
      <c r="B2" s="3459"/>
      <c r="C2" s="3459"/>
      <c r="D2" s="3459"/>
      <c r="E2" s="3459"/>
      <c r="F2" s="3459"/>
      <c r="G2" s="3459"/>
      <c r="H2" s="3459"/>
      <c r="I2" s="3459"/>
      <c r="J2" s="3459"/>
      <c r="K2" s="3459"/>
      <c r="L2" s="3459"/>
      <c r="M2" s="3459"/>
      <c r="N2" s="3459"/>
      <c r="O2" s="3459"/>
      <c r="P2" s="3459"/>
      <c r="Q2" s="3459"/>
      <c r="R2" s="3459"/>
      <c r="S2" s="3459"/>
      <c r="T2" s="3459"/>
      <c r="U2" s="3459"/>
      <c r="V2" s="3459"/>
      <c r="W2" s="3459"/>
      <c r="X2" s="3459"/>
      <c r="Y2" s="3459"/>
      <c r="Z2" s="3459"/>
      <c r="AA2" s="2292"/>
    </row>
    <row r="3" spans="1:29" s="2290" customFormat="1" x14ac:dyDescent="0.25">
      <c r="A3" s="3459" t="s">
        <v>2024</v>
      </c>
      <c r="B3" s="3459"/>
      <c r="C3" s="3459"/>
      <c r="D3" s="3459"/>
      <c r="E3" s="3459"/>
      <c r="F3" s="3459"/>
      <c r="G3" s="3459"/>
      <c r="H3" s="3459"/>
      <c r="I3" s="3459"/>
      <c r="J3" s="3459"/>
      <c r="K3" s="3459"/>
      <c r="L3" s="3459"/>
      <c r="M3" s="3459"/>
      <c r="N3" s="3459"/>
      <c r="O3" s="3459"/>
      <c r="P3" s="3459"/>
      <c r="Q3" s="3459"/>
      <c r="R3" s="3459"/>
      <c r="S3" s="3459"/>
      <c r="T3" s="3459"/>
      <c r="U3" s="3459"/>
      <c r="V3" s="3459"/>
      <c r="W3" s="3459"/>
      <c r="X3" s="3459"/>
      <c r="Y3" s="3459"/>
      <c r="Z3" s="3459"/>
      <c r="AA3" s="2292"/>
    </row>
    <row r="4" spans="1:29" s="2290" customFormat="1" x14ac:dyDescent="0.25">
      <c r="B4" s="2291"/>
      <c r="C4" s="2292"/>
      <c r="D4" s="2293"/>
      <c r="E4" s="2294"/>
      <c r="F4" s="2293"/>
      <c r="G4" s="2293"/>
      <c r="H4" s="2293"/>
      <c r="I4" s="2295"/>
      <c r="J4" s="2293"/>
      <c r="K4" s="2295"/>
      <c r="L4" s="2295"/>
      <c r="M4" s="2295"/>
      <c r="N4" s="2293"/>
      <c r="O4" s="2295"/>
      <c r="P4" s="2295"/>
      <c r="Q4" s="2295"/>
      <c r="R4" s="2293"/>
      <c r="S4" s="2293"/>
      <c r="T4" s="2293"/>
      <c r="U4" s="2295"/>
      <c r="V4" s="2293"/>
      <c r="W4" s="2293"/>
      <c r="X4" s="2293"/>
      <c r="Y4" s="2293"/>
      <c r="Z4" s="2550">
        <v>43831</v>
      </c>
      <c r="AA4" s="2292"/>
    </row>
    <row r="5" spans="1:29" x14ac:dyDescent="0.25">
      <c r="A5" s="3496" t="s">
        <v>78</v>
      </c>
      <c r="B5" s="3501" t="s">
        <v>824</v>
      </c>
      <c r="C5" s="3496" t="s">
        <v>386</v>
      </c>
      <c r="D5" s="3504" t="s">
        <v>344</v>
      </c>
      <c r="E5" s="3505"/>
      <c r="F5" s="3505"/>
      <c r="G5" s="3506"/>
      <c r="H5" s="3474" t="s">
        <v>825</v>
      </c>
      <c r="I5" s="3475"/>
      <c r="J5" s="3475"/>
      <c r="K5" s="3475"/>
      <c r="L5" s="3475"/>
      <c r="M5" s="3475"/>
      <c r="N5" s="3475"/>
      <c r="O5" s="3495"/>
      <c r="P5" s="3494" t="s">
        <v>826</v>
      </c>
      <c r="Q5" s="3494"/>
      <c r="R5" s="3494"/>
      <c r="S5" s="3494"/>
      <c r="T5" s="3494"/>
      <c r="U5" s="3494"/>
      <c r="V5" s="3485" t="s">
        <v>718</v>
      </c>
      <c r="W5" s="3485"/>
      <c r="X5" s="3493" t="s">
        <v>178</v>
      </c>
      <c r="Y5" s="3493" t="s">
        <v>179</v>
      </c>
      <c r="Z5" s="3494" t="s">
        <v>827</v>
      </c>
    </row>
    <row r="6" spans="1:29" x14ac:dyDescent="0.25">
      <c r="A6" s="3496"/>
      <c r="B6" s="3502"/>
      <c r="C6" s="3496"/>
      <c r="D6" s="3507"/>
      <c r="E6" s="3508"/>
      <c r="F6" s="3508"/>
      <c r="G6" s="3509"/>
      <c r="H6" s="3474" t="s">
        <v>828</v>
      </c>
      <c r="I6" s="3475"/>
      <c r="J6" s="3475"/>
      <c r="K6" s="3495"/>
      <c r="L6" s="3474" t="s">
        <v>829</v>
      </c>
      <c r="M6" s="3475"/>
      <c r="N6" s="3475"/>
      <c r="O6" s="3495"/>
      <c r="P6" s="3494" t="s">
        <v>331</v>
      </c>
      <c r="Q6" s="3494"/>
      <c r="R6" s="3494"/>
      <c r="S6" s="3494"/>
      <c r="T6" s="3494"/>
      <c r="U6" s="3494"/>
      <c r="V6" s="3485"/>
      <c r="W6" s="3485"/>
      <c r="X6" s="3493"/>
      <c r="Y6" s="3493"/>
      <c r="Z6" s="3494"/>
    </row>
    <row r="7" spans="1:29" x14ac:dyDescent="0.25">
      <c r="A7" s="3496"/>
      <c r="B7" s="3502"/>
      <c r="C7" s="3496"/>
      <c r="D7" s="3496" t="s">
        <v>332</v>
      </c>
      <c r="E7" s="3510" t="s">
        <v>830</v>
      </c>
      <c r="F7" s="3500" t="s">
        <v>831</v>
      </c>
      <c r="G7" s="3500"/>
      <c r="H7" s="3496" t="s">
        <v>332</v>
      </c>
      <c r="I7" s="3497" t="s">
        <v>830</v>
      </c>
      <c r="J7" s="3500" t="s">
        <v>831</v>
      </c>
      <c r="K7" s="3500"/>
      <c r="L7" s="3496" t="s">
        <v>332</v>
      </c>
      <c r="M7" s="3497" t="s">
        <v>830</v>
      </c>
      <c r="N7" s="3500" t="s">
        <v>831</v>
      </c>
      <c r="O7" s="3500"/>
      <c r="P7" s="3496" t="s">
        <v>332</v>
      </c>
      <c r="Q7" s="3497" t="s">
        <v>830</v>
      </c>
      <c r="R7" s="3500" t="s">
        <v>831</v>
      </c>
      <c r="S7" s="3500"/>
      <c r="T7" s="3500"/>
      <c r="U7" s="3500"/>
      <c r="V7" s="3484" t="s">
        <v>832</v>
      </c>
      <c r="W7" s="3484" t="s">
        <v>833</v>
      </c>
      <c r="X7" s="3485" t="s">
        <v>494</v>
      </c>
      <c r="Y7" s="3485"/>
      <c r="Z7" s="3494"/>
      <c r="AC7" s="2298"/>
    </row>
    <row r="8" spans="1:29" x14ac:dyDescent="0.25">
      <c r="A8" s="3496"/>
      <c r="B8" s="3502"/>
      <c r="C8" s="3496"/>
      <c r="D8" s="3496"/>
      <c r="E8" s="3510"/>
      <c r="F8" s="1251"/>
      <c r="G8" s="1251"/>
      <c r="H8" s="3496"/>
      <c r="I8" s="3498"/>
      <c r="J8" s="1251"/>
      <c r="K8" s="1251"/>
      <c r="L8" s="3496"/>
      <c r="M8" s="3498"/>
      <c r="N8" s="1251"/>
      <c r="O8" s="1251"/>
      <c r="P8" s="3496"/>
      <c r="Q8" s="3498"/>
      <c r="R8" s="3486" t="s">
        <v>834</v>
      </c>
      <c r="S8" s="3488" t="s">
        <v>835</v>
      </c>
      <c r="T8" s="3489"/>
      <c r="U8" s="3490" t="s">
        <v>836</v>
      </c>
      <c r="V8" s="3484"/>
      <c r="W8" s="3484"/>
      <c r="X8" s="2299"/>
      <c r="Y8" s="2299"/>
      <c r="Z8" s="3494"/>
      <c r="AC8" s="2298"/>
    </row>
    <row r="9" spans="1:29" ht="75" x14ac:dyDescent="0.25">
      <c r="A9" s="3496"/>
      <c r="B9" s="3503"/>
      <c r="C9" s="3496"/>
      <c r="D9" s="3496"/>
      <c r="E9" s="3510"/>
      <c r="F9" s="2300" t="s">
        <v>837</v>
      </c>
      <c r="G9" s="2301" t="s">
        <v>836</v>
      </c>
      <c r="H9" s="3496"/>
      <c r="I9" s="3499"/>
      <c r="J9" s="2300" t="s">
        <v>837</v>
      </c>
      <c r="K9" s="2301" t="s">
        <v>836</v>
      </c>
      <c r="L9" s="3496"/>
      <c r="M9" s="3499"/>
      <c r="N9" s="2300" t="s">
        <v>837</v>
      </c>
      <c r="O9" s="2301" t="s">
        <v>836</v>
      </c>
      <c r="P9" s="3496"/>
      <c r="Q9" s="3499"/>
      <c r="R9" s="3487"/>
      <c r="S9" s="2300" t="s">
        <v>838</v>
      </c>
      <c r="T9" s="2300" t="s">
        <v>496</v>
      </c>
      <c r="U9" s="3491"/>
      <c r="V9" s="3484"/>
      <c r="W9" s="3484"/>
      <c r="X9" s="3492" t="s">
        <v>208</v>
      </c>
      <c r="Y9" s="3492"/>
      <c r="Z9" s="3494"/>
    </row>
    <row r="10" spans="1:29" s="2308" customFormat="1" ht="16.5" x14ac:dyDescent="0.25">
      <c r="A10" s="2302">
        <v>1</v>
      </c>
      <c r="B10" s="2302">
        <v>2</v>
      </c>
      <c r="C10" s="2302">
        <v>3</v>
      </c>
      <c r="D10" s="2302">
        <v>4</v>
      </c>
      <c r="E10" s="2303">
        <v>5</v>
      </c>
      <c r="F10" s="2304">
        <v>6</v>
      </c>
      <c r="G10" s="2302">
        <v>7</v>
      </c>
      <c r="H10" s="2302">
        <v>8</v>
      </c>
      <c r="I10" s="2302">
        <v>9</v>
      </c>
      <c r="J10" s="2304">
        <v>10</v>
      </c>
      <c r="K10" s="2302">
        <v>11</v>
      </c>
      <c r="L10" s="2302">
        <v>12</v>
      </c>
      <c r="M10" s="2302">
        <v>13</v>
      </c>
      <c r="N10" s="2304">
        <v>14</v>
      </c>
      <c r="O10" s="2302">
        <v>15</v>
      </c>
      <c r="P10" s="2302">
        <v>16</v>
      </c>
      <c r="Q10" s="2302">
        <v>17</v>
      </c>
      <c r="R10" s="2305">
        <v>18</v>
      </c>
      <c r="S10" s="2306" t="s">
        <v>839</v>
      </c>
      <c r="T10" s="2306" t="s">
        <v>840</v>
      </c>
      <c r="U10" s="2307">
        <v>19</v>
      </c>
      <c r="V10" s="2302">
        <v>20</v>
      </c>
      <c r="W10" s="2302">
        <v>21</v>
      </c>
      <c r="X10" s="2304">
        <v>22</v>
      </c>
      <c r="Y10" s="2304">
        <v>23</v>
      </c>
      <c r="Z10" s="2302">
        <v>24</v>
      </c>
      <c r="AA10" s="2296"/>
    </row>
    <row r="11" spans="1:29" ht="23.25" hidden="1" x14ac:dyDescent="0.25">
      <c r="A11" s="3472" t="s">
        <v>1444</v>
      </c>
      <c r="B11" s="3473"/>
      <c r="C11" s="3473"/>
      <c r="D11" s="3473"/>
      <c r="E11" s="3473"/>
      <c r="F11" s="3473"/>
      <c r="G11" s="3473"/>
      <c r="H11" s="3473"/>
      <c r="I11" s="3473"/>
      <c r="J11" s="3473"/>
      <c r="K11" s="3473"/>
      <c r="L11" s="3473"/>
      <c r="M11" s="3473"/>
      <c r="N11" s="3473"/>
      <c r="O11" s="3473"/>
      <c r="P11" s="3473"/>
      <c r="Q11" s="3473"/>
      <c r="R11" s="3473"/>
      <c r="S11" s="3473"/>
      <c r="T11" s="3473"/>
      <c r="U11" s="3473"/>
      <c r="V11" s="3473"/>
      <c r="W11" s="3473"/>
      <c r="X11" s="3473"/>
      <c r="Y11" s="3473"/>
      <c r="Z11" s="2309"/>
      <c r="AA11" s="2296" t="s">
        <v>1665</v>
      </c>
    </row>
    <row r="12" spans="1:29" hidden="1" x14ac:dyDescent="0.25">
      <c r="A12" s="3474" t="s">
        <v>841</v>
      </c>
      <c r="B12" s="3475"/>
      <c r="C12" s="3475"/>
      <c r="D12" s="3475"/>
      <c r="E12" s="3475"/>
      <c r="F12" s="3475"/>
      <c r="G12" s="3475"/>
      <c r="H12" s="3475"/>
      <c r="I12" s="3475"/>
      <c r="J12" s="3475"/>
      <c r="K12" s="3475"/>
      <c r="L12" s="3475"/>
      <c r="M12" s="3475"/>
      <c r="N12" s="3475"/>
      <c r="O12" s="3475"/>
      <c r="P12" s="3476"/>
      <c r="Q12" s="3476"/>
      <c r="R12" s="3476"/>
      <c r="S12" s="3476"/>
      <c r="T12" s="3476"/>
      <c r="U12" s="3476"/>
      <c r="V12" s="3476"/>
      <c r="W12" s="3476"/>
      <c r="X12" s="3476"/>
      <c r="Y12" s="3476"/>
      <c r="Z12" s="2310"/>
      <c r="AA12" s="2296" t="s">
        <v>1665</v>
      </c>
    </row>
    <row r="13" spans="1:29" s="2317" customFormat="1" ht="31.5" hidden="1" x14ac:dyDescent="0.2">
      <c r="A13" s="2311">
        <v>1</v>
      </c>
      <c r="B13" s="2311"/>
      <c r="C13" s="2312" t="s">
        <v>2060</v>
      </c>
      <c r="D13" s="2313"/>
      <c r="E13" s="2314"/>
      <c r="F13" s="2313">
        <f>F14+F17+F24+F26</f>
        <v>45.1</v>
      </c>
      <c r="G13" s="2313">
        <f>G14+G17+G24+G26</f>
        <v>0</v>
      </c>
      <c r="H13" s="2313"/>
      <c r="I13" s="2313"/>
      <c r="J13" s="2313">
        <f>J14+J17+J24+J26</f>
        <v>33.4</v>
      </c>
      <c r="K13" s="2313"/>
      <c r="L13" s="2313"/>
      <c r="M13" s="2313"/>
      <c r="N13" s="2313">
        <f>N14+N17+N24+N26</f>
        <v>33.4</v>
      </c>
      <c r="O13" s="2315"/>
      <c r="P13" s="2313">
        <f>P14+P17+P23+P26</f>
        <v>0</v>
      </c>
      <c r="Q13" s="2313">
        <f>Q14+Q17+Q23+Q26</f>
        <v>0</v>
      </c>
      <c r="R13" s="2313">
        <f>R14+R17+R24+R26+R30</f>
        <v>33.9</v>
      </c>
      <c r="S13" s="2313">
        <f>R13</f>
        <v>33.9</v>
      </c>
      <c r="T13" s="2313"/>
      <c r="U13" s="2313">
        <f>U14+U17+U23+U22+U25+U29</f>
        <v>0</v>
      </c>
      <c r="V13" s="2313">
        <f t="shared" ref="V13:V76" si="0">R13-J13</f>
        <v>0.5</v>
      </c>
      <c r="W13" s="2313">
        <f t="shared" ref="W13:W76" si="1">IFERROR((R13)/J13*100,0)</f>
        <v>101.5</v>
      </c>
      <c r="X13" s="2313">
        <f>R13</f>
        <v>33.9</v>
      </c>
      <c r="Y13" s="2313">
        <f>X13</f>
        <v>33.9</v>
      </c>
      <c r="Z13" s="2316"/>
      <c r="AA13" s="2296" t="s">
        <v>1665</v>
      </c>
    </row>
    <row r="14" spans="1:29" s="2326" customFormat="1" ht="31.5" hidden="1" x14ac:dyDescent="0.25">
      <c r="A14" s="2318"/>
      <c r="B14" s="2319">
        <v>955</v>
      </c>
      <c r="C14" s="2320" t="s">
        <v>1401</v>
      </c>
      <c r="D14" s="2321"/>
      <c r="E14" s="2322"/>
      <c r="F14" s="2323"/>
      <c r="G14" s="2323"/>
      <c r="H14" s="2321"/>
      <c r="I14" s="2323"/>
      <c r="J14" s="2323"/>
      <c r="K14" s="2323"/>
      <c r="L14" s="2321"/>
      <c r="M14" s="2323"/>
      <c r="N14" s="2323"/>
      <c r="O14" s="2324"/>
      <c r="P14" s="2323"/>
      <c r="Q14" s="2323"/>
      <c r="R14" s="2323"/>
      <c r="S14" s="2323">
        <f t="shared" ref="S14:S77" si="2">R14</f>
        <v>0</v>
      </c>
      <c r="T14" s="2323"/>
      <c r="U14" s="2323"/>
      <c r="V14" s="2323">
        <f t="shared" si="0"/>
        <v>0</v>
      </c>
      <c r="W14" s="2323">
        <f t="shared" si="1"/>
        <v>0</v>
      </c>
      <c r="X14" s="2323"/>
      <c r="Y14" s="2323"/>
      <c r="Z14" s="2325"/>
      <c r="AA14" s="2296" t="s">
        <v>1665</v>
      </c>
    </row>
    <row r="15" spans="1:29" s="2290" customFormat="1" hidden="1" x14ac:dyDescent="0.25">
      <c r="A15" s="2327"/>
      <c r="B15" s="2325"/>
      <c r="C15" s="2328" t="s">
        <v>1931</v>
      </c>
      <c r="D15" s="2329"/>
      <c r="E15" s="2330"/>
      <c r="F15" s="2331"/>
      <c r="G15" s="2331"/>
      <c r="H15" s="2329"/>
      <c r="I15" s="2331"/>
      <c r="J15" s="2331"/>
      <c r="K15" s="2331"/>
      <c r="L15" s="2329"/>
      <c r="M15" s="2331"/>
      <c r="N15" s="2331"/>
      <c r="O15" s="2332"/>
      <c r="P15" s="2331"/>
      <c r="Q15" s="2331"/>
      <c r="R15" s="2331"/>
      <c r="S15" s="2331">
        <f t="shared" si="2"/>
        <v>0</v>
      </c>
      <c r="T15" s="2331"/>
      <c r="U15" s="2331"/>
      <c r="V15" s="2333">
        <f t="shared" si="0"/>
        <v>0</v>
      </c>
      <c r="W15" s="2333">
        <f t="shared" si="1"/>
        <v>0</v>
      </c>
      <c r="X15" s="2331"/>
      <c r="Y15" s="2331"/>
      <c r="Z15" s="2334" t="s">
        <v>2061</v>
      </c>
      <c r="AA15" s="2296" t="s">
        <v>1665</v>
      </c>
    </row>
    <row r="16" spans="1:29" s="2290" customFormat="1" hidden="1" x14ac:dyDescent="0.25">
      <c r="A16" s="2327"/>
      <c r="B16" s="2325"/>
      <c r="C16" s="2328" t="s">
        <v>1234</v>
      </c>
      <c r="D16" s="2329"/>
      <c r="E16" s="2330"/>
      <c r="F16" s="2331"/>
      <c r="G16" s="2331"/>
      <c r="H16" s="2329"/>
      <c r="I16" s="2331"/>
      <c r="J16" s="2331"/>
      <c r="K16" s="2331"/>
      <c r="L16" s="2329"/>
      <c r="M16" s="2331"/>
      <c r="N16" s="2331"/>
      <c r="O16" s="2332"/>
      <c r="P16" s="2331"/>
      <c r="Q16" s="2331"/>
      <c r="R16" s="2331"/>
      <c r="S16" s="2331">
        <f t="shared" si="2"/>
        <v>0</v>
      </c>
      <c r="T16" s="2331"/>
      <c r="U16" s="2331"/>
      <c r="V16" s="2330">
        <f t="shared" si="0"/>
        <v>0</v>
      </c>
      <c r="W16" s="2330">
        <f t="shared" si="1"/>
        <v>0</v>
      </c>
      <c r="X16" s="2331"/>
      <c r="Y16" s="2331"/>
      <c r="Z16" s="2334"/>
      <c r="AA16" s="2296" t="s">
        <v>1665</v>
      </c>
    </row>
    <row r="17" spans="1:27" s="2326" customFormat="1" x14ac:dyDescent="0.25">
      <c r="A17" s="2318"/>
      <c r="B17" s="2319">
        <v>963</v>
      </c>
      <c r="C17" s="2320" t="s">
        <v>798</v>
      </c>
      <c r="D17" s="2321"/>
      <c r="E17" s="2322"/>
      <c r="F17" s="2323">
        <f>SUM(F19:F20)</f>
        <v>24.8</v>
      </c>
      <c r="G17" s="2323"/>
      <c r="H17" s="2321"/>
      <c r="I17" s="2323"/>
      <c r="J17" s="2323">
        <f>SUM(J19:J20)</f>
        <v>24.8</v>
      </c>
      <c r="K17" s="2323"/>
      <c r="L17" s="2321"/>
      <c r="M17" s="2323"/>
      <c r="N17" s="2323">
        <f>SUM(N19:N20)</f>
        <v>24.8</v>
      </c>
      <c r="O17" s="2324"/>
      <c r="P17" s="2323"/>
      <c r="Q17" s="2323"/>
      <c r="R17" s="2323">
        <f>SUM(R18:R22)</f>
        <v>19</v>
      </c>
      <c r="S17" s="2323">
        <f t="shared" si="2"/>
        <v>19</v>
      </c>
      <c r="T17" s="2323"/>
      <c r="U17" s="2323">
        <f>SUM(U18:U22)</f>
        <v>0</v>
      </c>
      <c r="V17" s="2323">
        <f t="shared" si="0"/>
        <v>-5.8</v>
      </c>
      <c r="W17" s="2323">
        <f t="shared" si="1"/>
        <v>76.599999999999994</v>
      </c>
      <c r="X17" s="2323">
        <v>19</v>
      </c>
      <c r="Y17" s="2323">
        <v>19</v>
      </c>
      <c r="Z17" s="2325"/>
      <c r="AA17" s="2296" t="s">
        <v>1665</v>
      </c>
    </row>
    <row r="18" spans="1:27" s="2326" customFormat="1" ht="30" hidden="1" x14ac:dyDescent="0.25">
      <c r="A18" s="2318"/>
      <c r="B18" s="2319"/>
      <c r="C18" s="2335" t="s">
        <v>2062</v>
      </c>
      <c r="D18" s="2329"/>
      <c r="E18" s="2330"/>
      <c r="F18" s="2331"/>
      <c r="G18" s="2331"/>
      <c r="H18" s="2329"/>
      <c r="I18" s="2331"/>
      <c r="J18" s="2331"/>
      <c r="K18" s="2331"/>
      <c r="L18" s="2329"/>
      <c r="M18" s="2331"/>
      <c r="N18" s="2331"/>
      <c r="O18" s="2332"/>
      <c r="P18" s="2331">
        <v>150</v>
      </c>
      <c r="Q18" s="2331">
        <v>100</v>
      </c>
      <c r="R18" s="2331">
        <f>(P18*Q18)/1000</f>
        <v>15</v>
      </c>
      <c r="S18" s="2331">
        <f t="shared" si="2"/>
        <v>15</v>
      </c>
      <c r="T18" s="2331"/>
      <c r="U18" s="2323"/>
      <c r="V18" s="2336">
        <f t="shared" si="0"/>
        <v>15</v>
      </c>
      <c r="W18" s="2336">
        <f t="shared" si="1"/>
        <v>0</v>
      </c>
      <c r="X18" s="2331">
        <v>15</v>
      </c>
      <c r="Y18" s="2331">
        <v>15</v>
      </c>
      <c r="Z18" s="2337" t="s">
        <v>2063</v>
      </c>
      <c r="AA18" s="2296" t="s">
        <v>1665</v>
      </c>
    </row>
    <row r="19" spans="1:27" s="2290" customFormat="1" ht="45" hidden="1" x14ac:dyDescent="0.25">
      <c r="A19" s="2327"/>
      <c r="B19" s="2325"/>
      <c r="C19" s="2335" t="s">
        <v>2064</v>
      </c>
      <c r="D19" s="2329">
        <v>33</v>
      </c>
      <c r="E19" s="2330">
        <v>200</v>
      </c>
      <c r="F19" s="2331">
        <f>D19*E19/1000</f>
        <v>6.6</v>
      </c>
      <c r="G19" s="2331"/>
      <c r="H19" s="2329">
        <v>33</v>
      </c>
      <c r="I19" s="2331">
        <v>200</v>
      </c>
      <c r="J19" s="2331">
        <f>H19*I19/1000</f>
        <v>6.6</v>
      </c>
      <c r="K19" s="2331"/>
      <c r="L19" s="2329">
        <v>33</v>
      </c>
      <c r="M19" s="2331">
        <v>200</v>
      </c>
      <c r="N19" s="2331">
        <f>L19*M19/1000</f>
        <v>6.6</v>
      </c>
      <c r="O19" s="2332"/>
      <c r="P19" s="2331"/>
      <c r="Q19" s="2331"/>
      <c r="R19" s="2331"/>
      <c r="S19" s="2331">
        <f t="shared" si="2"/>
        <v>0</v>
      </c>
      <c r="T19" s="2331"/>
      <c r="U19" s="2331"/>
      <c r="V19" s="2333">
        <f t="shared" si="0"/>
        <v>-6.6</v>
      </c>
      <c r="W19" s="2333">
        <f t="shared" si="1"/>
        <v>0</v>
      </c>
      <c r="X19" s="2331">
        <v>8</v>
      </c>
      <c r="Y19" s="2331">
        <v>8</v>
      </c>
      <c r="Z19" s="2337" t="s">
        <v>2065</v>
      </c>
      <c r="AA19" s="2296" t="s">
        <v>1665</v>
      </c>
    </row>
    <row r="20" spans="1:27" s="2290" customFormat="1" hidden="1" x14ac:dyDescent="0.25">
      <c r="A20" s="2327"/>
      <c r="B20" s="2325"/>
      <c r="C20" s="2335" t="s">
        <v>2066</v>
      </c>
      <c r="D20" s="2329">
        <v>91</v>
      </c>
      <c r="E20" s="2330">
        <v>200</v>
      </c>
      <c r="F20" s="2331">
        <v>18.2</v>
      </c>
      <c r="G20" s="2331"/>
      <c r="H20" s="2329">
        <v>91</v>
      </c>
      <c r="I20" s="2331">
        <v>200</v>
      </c>
      <c r="J20" s="2331">
        <v>18.2</v>
      </c>
      <c r="K20" s="2331"/>
      <c r="L20" s="2329">
        <v>91</v>
      </c>
      <c r="M20" s="2331">
        <v>200</v>
      </c>
      <c r="N20" s="2331">
        <v>18.2</v>
      </c>
      <c r="O20" s="2332"/>
      <c r="P20" s="2331">
        <v>40</v>
      </c>
      <c r="Q20" s="2331">
        <v>25</v>
      </c>
      <c r="R20" s="2331">
        <f t="shared" ref="R20:R28" si="3">P20*Q20/1000</f>
        <v>1</v>
      </c>
      <c r="S20" s="2331">
        <f t="shared" si="2"/>
        <v>1</v>
      </c>
      <c r="T20" s="2331"/>
      <c r="U20" s="2331"/>
      <c r="V20" s="2333">
        <f t="shared" si="0"/>
        <v>-17.2</v>
      </c>
      <c r="W20" s="2333">
        <f t="shared" si="1"/>
        <v>5.5</v>
      </c>
      <c r="X20" s="2331">
        <v>1</v>
      </c>
      <c r="Y20" s="2331">
        <v>1</v>
      </c>
      <c r="Z20" s="2337"/>
      <c r="AA20" s="2296" t="s">
        <v>1665</v>
      </c>
    </row>
    <row r="21" spans="1:27" s="2290" customFormat="1" ht="31.5" hidden="1" x14ac:dyDescent="0.25">
      <c r="A21" s="2327"/>
      <c r="B21" s="2319"/>
      <c r="C21" s="2338" t="s">
        <v>2067</v>
      </c>
      <c r="D21" s="2329"/>
      <c r="E21" s="2330"/>
      <c r="F21" s="2331"/>
      <c r="G21" s="2331"/>
      <c r="H21" s="2329"/>
      <c r="I21" s="2331"/>
      <c r="J21" s="2331"/>
      <c r="K21" s="2331"/>
      <c r="L21" s="2329"/>
      <c r="M21" s="2331"/>
      <c r="N21" s="2331"/>
      <c r="O21" s="2332"/>
      <c r="P21" s="2331">
        <v>0</v>
      </c>
      <c r="Q21" s="2331">
        <v>0</v>
      </c>
      <c r="R21" s="2331">
        <f t="shared" si="3"/>
        <v>0</v>
      </c>
      <c r="S21" s="2331">
        <f t="shared" si="2"/>
        <v>0</v>
      </c>
      <c r="T21" s="2331"/>
      <c r="U21" s="2331"/>
      <c r="V21" s="2333">
        <f t="shared" si="0"/>
        <v>0</v>
      </c>
      <c r="W21" s="2333">
        <f t="shared" si="1"/>
        <v>0</v>
      </c>
      <c r="X21" s="2331">
        <v>0</v>
      </c>
      <c r="Y21" s="2331">
        <v>0</v>
      </c>
      <c r="Z21" s="2337"/>
      <c r="AA21" s="2296" t="s">
        <v>1665</v>
      </c>
    </row>
    <row r="22" spans="1:27" s="2290" customFormat="1" ht="45" hidden="1" x14ac:dyDescent="0.25">
      <c r="A22" s="2327"/>
      <c r="B22" s="2325"/>
      <c r="C22" s="2338" t="s">
        <v>2068</v>
      </c>
      <c r="D22" s="2329"/>
      <c r="E22" s="2330"/>
      <c r="F22" s="2331"/>
      <c r="G22" s="2331"/>
      <c r="H22" s="2329"/>
      <c r="I22" s="2331"/>
      <c r="J22" s="2331"/>
      <c r="K22" s="2331"/>
      <c r="L22" s="2329"/>
      <c r="M22" s="2331"/>
      <c r="N22" s="2331"/>
      <c r="O22" s="2332"/>
      <c r="P22" s="2331">
        <v>150</v>
      </c>
      <c r="Q22" s="2331">
        <v>20</v>
      </c>
      <c r="R22" s="2331">
        <f t="shared" si="3"/>
        <v>3</v>
      </c>
      <c r="S22" s="2331">
        <f t="shared" si="2"/>
        <v>3</v>
      </c>
      <c r="T22" s="2331"/>
      <c r="U22" s="2331"/>
      <c r="V22" s="2333">
        <f t="shared" si="0"/>
        <v>3</v>
      </c>
      <c r="W22" s="2333">
        <f t="shared" si="1"/>
        <v>0</v>
      </c>
      <c r="X22" s="2331">
        <v>3</v>
      </c>
      <c r="Y22" s="2331">
        <v>3</v>
      </c>
      <c r="Z22" s="2337" t="s">
        <v>2069</v>
      </c>
      <c r="AA22" s="2296" t="s">
        <v>1665</v>
      </c>
    </row>
    <row r="23" spans="1:27" s="2290" customFormat="1" ht="31.5" x14ac:dyDescent="0.25">
      <c r="A23" s="2327"/>
      <c r="B23" s="2319">
        <v>963</v>
      </c>
      <c r="C23" s="2339" t="s">
        <v>1927</v>
      </c>
      <c r="D23" s="2329"/>
      <c r="E23" s="2330"/>
      <c r="F23" s="2331"/>
      <c r="G23" s="2331"/>
      <c r="H23" s="2329"/>
      <c r="I23" s="2331"/>
      <c r="J23" s="2331"/>
      <c r="K23" s="2331"/>
      <c r="L23" s="2329"/>
      <c r="M23" s="2331"/>
      <c r="N23" s="2331"/>
      <c r="O23" s="2332"/>
      <c r="P23" s="2323"/>
      <c r="Q23" s="2323"/>
      <c r="R23" s="2323"/>
      <c r="S23" s="2323">
        <f t="shared" si="2"/>
        <v>0</v>
      </c>
      <c r="T23" s="2323"/>
      <c r="U23" s="2323">
        <f>U24</f>
        <v>0</v>
      </c>
      <c r="V23" s="2323">
        <f t="shared" si="0"/>
        <v>0</v>
      </c>
      <c r="W23" s="2323">
        <f t="shared" si="1"/>
        <v>0</v>
      </c>
      <c r="X23" s="2323">
        <f>R23</f>
        <v>0</v>
      </c>
      <c r="Y23" s="2323">
        <f>X23</f>
        <v>0</v>
      </c>
      <c r="Z23" s="2337"/>
      <c r="AA23" s="2296" t="s">
        <v>1665</v>
      </c>
    </row>
    <row r="24" spans="1:27" s="2326" customFormat="1" hidden="1" x14ac:dyDescent="0.25">
      <c r="A24" s="2318"/>
      <c r="B24" s="2319">
        <v>981</v>
      </c>
      <c r="C24" s="2340" t="s">
        <v>1226</v>
      </c>
      <c r="D24" s="2321"/>
      <c r="E24" s="2322"/>
      <c r="F24" s="2323">
        <f>F25</f>
        <v>15</v>
      </c>
      <c r="G24" s="2323"/>
      <c r="H24" s="2321"/>
      <c r="I24" s="2323"/>
      <c r="J24" s="2323">
        <f>J25</f>
        <v>7.5</v>
      </c>
      <c r="K24" s="2323"/>
      <c r="L24" s="2321"/>
      <c r="M24" s="2323"/>
      <c r="N24" s="2323">
        <f>N25</f>
        <v>7.5</v>
      </c>
      <c r="O24" s="2324"/>
      <c r="P24" s="2323">
        <v>55</v>
      </c>
      <c r="Q24" s="2323">
        <v>150</v>
      </c>
      <c r="R24" s="2323">
        <f>P24*Q24/1000</f>
        <v>8.3000000000000007</v>
      </c>
      <c r="S24" s="2323">
        <f t="shared" si="2"/>
        <v>8.3000000000000007</v>
      </c>
      <c r="T24" s="2323"/>
      <c r="U24" s="2331"/>
      <c r="V24" s="2333">
        <f t="shared" si="0"/>
        <v>0.8</v>
      </c>
      <c r="W24" s="2333">
        <f t="shared" si="1"/>
        <v>110.7</v>
      </c>
      <c r="X24" s="2331">
        <f t="shared" ref="X24:X30" si="4">R24</f>
        <v>8.3000000000000007</v>
      </c>
      <c r="Y24" s="2331">
        <f t="shared" ref="Y24:Y30" si="5">X24</f>
        <v>8.3000000000000007</v>
      </c>
      <c r="Z24" s="2341" t="s">
        <v>2070</v>
      </c>
      <c r="AA24" s="2296" t="s">
        <v>1665</v>
      </c>
    </row>
    <row r="25" spans="1:27" s="2290" customFormat="1" hidden="1" x14ac:dyDescent="0.25">
      <c r="A25" s="2327"/>
      <c r="B25" s="2325"/>
      <c r="C25" s="2335" t="s">
        <v>2071</v>
      </c>
      <c r="D25" s="2329">
        <v>150</v>
      </c>
      <c r="E25" s="2330">
        <v>100</v>
      </c>
      <c r="F25" s="2331">
        <f>D25*E25/1000</f>
        <v>15</v>
      </c>
      <c r="G25" s="2331"/>
      <c r="H25" s="2329">
        <v>150</v>
      </c>
      <c r="I25" s="2331">
        <v>50</v>
      </c>
      <c r="J25" s="2331">
        <f>H25*I25/1000</f>
        <v>7.5</v>
      </c>
      <c r="K25" s="2331"/>
      <c r="L25" s="2329">
        <v>150</v>
      </c>
      <c r="M25" s="2331">
        <v>50</v>
      </c>
      <c r="N25" s="2331">
        <f>L25*M25/1000</f>
        <v>7.5</v>
      </c>
      <c r="O25" s="2332"/>
      <c r="P25" s="2342"/>
      <c r="Q25" s="2342"/>
      <c r="R25" s="2342"/>
      <c r="S25" s="2342">
        <f t="shared" si="2"/>
        <v>0</v>
      </c>
      <c r="T25" s="2342"/>
      <c r="U25" s="2323">
        <f>U26+U27+U28</f>
        <v>0</v>
      </c>
      <c r="V25" s="2323">
        <f t="shared" si="0"/>
        <v>-7.5</v>
      </c>
      <c r="W25" s="2323">
        <f t="shared" si="1"/>
        <v>0</v>
      </c>
      <c r="X25" s="2323">
        <f t="shared" si="4"/>
        <v>0</v>
      </c>
      <c r="Y25" s="2323">
        <f t="shared" si="5"/>
        <v>0</v>
      </c>
      <c r="Z25" s="2343"/>
      <c r="AA25" s="2296" t="s">
        <v>1665</v>
      </c>
    </row>
    <row r="26" spans="1:27" s="2326" customFormat="1" ht="75" hidden="1" x14ac:dyDescent="0.25">
      <c r="A26" s="2318"/>
      <c r="B26" s="2319">
        <v>981</v>
      </c>
      <c r="C26" s="2340" t="s">
        <v>2072</v>
      </c>
      <c r="D26" s="2321"/>
      <c r="E26" s="2322"/>
      <c r="F26" s="2323">
        <f>SUM(F27:F29)</f>
        <v>5.3</v>
      </c>
      <c r="G26" s="2323"/>
      <c r="H26" s="2321"/>
      <c r="I26" s="2323"/>
      <c r="J26" s="2323">
        <f>SUM(J27:J29)</f>
        <v>1.1000000000000001</v>
      </c>
      <c r="K26" s="2323"/>
      <c r="L26" s="2321"/>
      <c r="M26" s="2323"/>
      <c r="N26" s="2323">
        <f>SUM(N27:N29)</f>
        <v>1.1000000000000001</v>
      </c>
      <c r="O26" s="2324"/>
      <c r="P26" s="2323"/>
      <c r="Q26" s="2323"/>
      <c r="R26" s="2323">
        <f>R27+R28</f>
        <v>2.6</v>
      </c>
      <c r="S26" s="2323">
        <f t="shared" si="2"/>
        <v>2.6</v>
      </c>
      <c r="T26" s="2323"/>
      <c r="U26" s="2331"/>
      <c r="V26" s="2333">
        <f t="shared" si="0"/>
        <v>1.5</v>
      </c>
      <c r="W26" s="2333">
        <f t="shared" si="1"/>
        <v>236.4</v>
      </c>
      <c r="X26" s="2323">
        <f t="shared" si="4"/>
        <v>2.6</v>
      </c>
      <c r="Y26" s="2323">
        <f t="shared" si="5"/>
        <v>2.6</v>
      </c>
      <c r="Z26" s="2344" t="s">
        <v>2073</v>
      </c>
      <c r="AA26" s="2296" t="s">
        <v>1665</v>
      </c>
    </row>
    <row r="27" spans="1:27" s="2290" customFormat="1" hidden="1" x14ac:dyDescent="0.25">
      <c r="A27" s="2327"/>
      <c r="B27" s="2325"/>
      <c r="C27" s="2328" t="s">
        <v>1612</v>
      </c>
      <c r="D27" s="2329">
        <v>21</v>
      </c>
      <c r="E27" s="2330">
        <v>100</v>
      </c>
      <c r="F27" s="2331">
        <f>D27*E27/1000</f>
        <v>2.1</v>
      </c>
      <c r="G27" s="2331"/>
      <c r="H27" s="2329">
        <v>11</v>
      </c>
      <c r="I27" s="2331">
        <v>100</v>
      </c>
      <c r="J27" s="2331">
        <f>H27*I27/1000</f>
        <v>1.1000000000000001</v>
      </c>
      <c r="K27" s="2331"/>
      <c r="L27" s="2329">
        <v>11</v>
      </c>
      <c r="M27" s="2331">
        <v>100</v>
      </c>
      <c r="N27" s="2331">
        <f>L27*M27/1000</f>
        <v>1.1000000000000001</v>
      </c>
      <c r="O27" s="2332"/>
      <c r="P27" s="2331">
        <v>26</v>
      </c>
      <c r="Q27" s="2331">
        <v>100</v>
      </c>
      <c r="R27" s="2331">
        <f>P27*Q27/1000</f>
        <v>2.6</v>
      </c>
      <c r="S27" s="2331">
        <f t="shared" si="2"/>
        <v>2.6</v>
      </c>
      <c r="T27" s="2331"/>
      <c r="U27" s="2331"/>
      <c r="V27" s="2333">
        <f t="shared" si="0"/>
        <v>1.5</v>
      </c>
      <c r="W27" s="2333">
        <f t="shared" si="1"/>
        <v>236.4</v>
      </c>
      <c r="X27" s="2323">
        <f t="shared" si="4"/>
        <v>2.6</v>
      </c>
      <c r="Y27" s="2323">
        <f t="shared" si="5"/>
        <v>2.6</v>
      </c>
      <c r="Z27" s="2325"/>
      <c r="AA27" s="2296" t="s">
        <v>1665</v>
      </c>
    </row>
    <row r="28" spans="1:27" s="2290" customFormat="1" hidden="1" x14ac:dyDescent="0.25">
      <c r="A28" s="2327"/>
      <c r="B28" s="2325"/>
      <c r="C28" s="2335" t="s">
        <v>1412</v>
      </c>
      <c r="D28" s="2329">
        <v>1</v>
      </c>
      <c r="E28" s="2330">
        <v>2000</v>
      </c>
      <c r="F28" s="2331">
        <f>D28*E28/1000</f>
        <v>2</v>
      </c>
      <c r="G28" s="2331"/>
      <c r="H28" s="2329"/>
      <c r="I28" s="2331"/>
      <c r="J28" s="2331"/>
      <c r="K28" s="2331"/>
      <c r="L28" s="2329"/>
      <c r="M28" s="2331"/>
      <c r="N28" s="2331"/>
      <c r="O28" s="2332"/>
      <c r="P28" s="2331"/>
      <c r="Q28" s="2331"/>
      <c r="R28" s="2331">
        <f t="shared" si="3"/>
        <v>0</v>
      </c>
      <c r="S28" s="2331">
        <f t="shared" si="2"/>
        <v>0</v>
      </c>
      <c r="T28" s="2331"/>
      <c r="U28" s="2331"/>
      <c r="V28" s="2333">
        <f t="shared" si="0"/>
        <v>0</v>
      </c>
      <c r="W28" s="2333">
        <f t="shared" si="1"/>
        <v>0</v>
      </c>
      <c r="X28" s="2323">
        <f t="shared" si="4"/>
        <v>0</v>
      </c>
      <c r="Y28" s="2323">
        <f t="shared" si="5"/>
        <v>0</v>
      </c>
      <c r="Z28" s="2345"/>
      <c r="AA28" s="2296" t="s">
        <v>1665</v>
      </c>
    </row>
    <row r="29" spans="1:27" s="2290" customFormat="1" ht="47.25" hidden="1" x14ac:dyDescent="0.25">
      <c r="A29" s="2327"/>
      <c r="B29" s="2325"/>
      <c r="C29" s="2335" t="s">
        <v>2074</v>
      </c>
      <c r="D29" s="2329">
        <v>4</v>
      </c>
      <c r="E29" s="2330">
        <v>300</v>
      </c>
      <c r="F29" s="2331">
        <f>D29*E29/1000</f>
        <v>1.2</v>
      </c>
      <c r="G29" s="2331"/>
      <c r="H29" s="2329"/>
      <c r="I29" s="2331"/>
      <c r="J29" s="2331"/>
      <c r="K29" s="2331"/>
      <c r="L29" s="2329"/>
      <c r="M29" s="2331"/>
      <c r="N29" s="2331"/>
      <c r="O29" s="2332"/>
      <c r="P29" s="2331"/>
      <c r="Q29" s="2331"/>
      <c r="R29" s="2342"/>
      <c r="S29" s="2342">
        <f t="shared" si="2"/>
        <v>0</v>
      </c>
      <c r="T29" s="2342"/>
      <c r="U29" s="2331"/>
      <c r="V29" s="2333">
        <f t="shared" si="0"/>
        <v>0</v>
      </c>
      <c r="W29" s="2333">
        <f t="shared" si="1"/>
        <v>0</v>
      </c>
      <c r="X29" s="2323">
        <f t="shared" si="4"/>
        <v>0</v>
      </c>
      <c r="Y29" s="2323">
        <f t="shared" si="5"/>
        <v>0</v>
      </c>
      <c r="Z29" s="2346" t="s">
        <v>2075</v>
      </c>
      <c r="AA29" s="2296" t="s">
        <v>1665</v>
      </c>
    </row>
    <row r="30" spans="1:27" s="2290" customFormat="1" ht="31.5" hidden="1" x14ac:dyDescent="0.25">
      <c r="A30" s="2327"/>
      <c r="B30" s="2319">
        <v>981</v>
      </c>
      <c r="C30" s="2339" t="s">
        <v>2076</v>
      </c>
      <c r="D30" s="2329"/>
      <c r="E30" s="2330"/>
      <c r="F30" s="2331"/>
      <c r="G30" s="2331"/>
      <c r="H30" s="2329"/>
      <c r="I30" s="2331"/>
      <c r="J30" s="2331"/>
      <c r="K30" s="2331"/>
      <c r="L30" s="2329"/>
      <c r="M30" s="2331"/>
      <c r="N30" s="2331"/>
      <c r="O30" s="2332"/>
      <c r="P30" s="2331"/>
      <c r="Q30" s="2331"/>
      <c r="R30" s="2323">
        <v>4</v>
      </c>
      <c r="S30" s="2323">
        <f t="shared" si="2"/>
        <v>4</v>
      </c>
      <c r="T30" s="2323"/>
      <c r="U30" s="2331"/>
      <c r="V30" s="2333">
        <f t="shared" si="0"/>
        <v>4</v>
      </c>
      <c r="W30" s="2333">
        <f t="shared" si="1"/>
        <v>0</v>
      </c>
      <c r="X30" s="2323">
        <f t="shared" si="4"/>
        <v>4</v>
      </c>
      <c r="Y30" s="2323">
        <f t="shared" si="5"/>
        <v>4</v>
      </c>
      <c r="Z30" s="2345"/>
      <c r="AA30" s="2296" t="s">
        <v>1665</v>
      </c>
    </row>
    <row r="31" spans="1:27" s="2350" customFormat="1" ht="47.25" hidden="1" x14ac:dyDescent="0.2">
      <c r="A31" s="2311">
        <v>3</v>
      </c>
      <c r="B31" s="2347"/>
      <c r="C31" s="2312" t="s">
        <v>2077</v>
      </c>
      <c r="D31" s="2311"/>
      <c r="E31" s="2348"/>
      <c r="F31" s="2349">
        <f>F32+F38+F41+F44+F45</f>
        <v>105.6</v>
      </c>
      <c r="G31" s="2349"/>
      <c r="H31" s="2349"/>
      <c r="I31" s="2349"/>
      <c r="J31" s="2349"/>
      <c r="K31" s="2349"/>
      <c r="L31" s="2349"/>
      <c r="M31" s="2349"/>
      <c r="N31" s="2349"/>
      <c r="O31" s="2349"/>
      <c r="P31" s="2349"/>
      <c r="Q31" s="2349"/>
      <c r="R31" s="2349">
        <f>R32+R38+R41+R44+R45</f>
        <v>104.1</v>
      </c>
      <c r="S31" s="2349">
        <f t="shared" si="2"/>
        <v>104.1</v>
      </c>
      <c r="T31" s="2349"/>
      <c r="U31" s="2349"/>
      <c r="V31" s="2349">
        <f t="shared" si="0"/>
        <v>104.1</v>
      </c>
      <c r="W31" s="2349">
        <f t="shared" si="1"/>
        <v>0</v>
      </c>
      <c r="X31" s="2349">
        <f>X32+X38+X41+X44+X45</f>
        <v>66.599999999999994</v>
      </c>
      <c r="Y31" s="2349">
        <f>Y32+Y38+Y41+Y44+Y45</f>
        <v>104.1</v>
      </c>
      <c r="Z31" s="2316"/>
      <c r="AA31" s="2296" t="s">
        <v>1665</v>
      </c>
    </row>
    <row r="32" spans="1:27" s="2326" customFormat="1" ht="31.5" hidden="1" x14ac:dyDescent="0.25">
      <c r="A32" s="2318"/>
      <c r="B32" s="2319">
        <v>955</v>
      </c>
      <c r="C32" s="2320" t="s">
        <v>1401</v>
      </c>
      <c r="D32" s="2329"/>
      <c r="E32" s="2351"/>
      <c r="F32" s="2336">
        <f>SUM(F33:F37)</f>
        <v>18.600000000000001</v>
      </c>
      <c r="G32" s="2336"/>
      <c r="H32" s="2336"/>
      <c r="I32" s="2336"/>
      <c r="J32" s="2336"/>
      <c r="K32" s="2336"/>
      <c r="L32" s="2336"/>
      <c r="M32" s="2336"/>
      <c r="N32" s="2336"/>
      <c r="O32" s="2352"/>
      <c r="P32" s="2336"/>
      <c r="Q32" s="2336"/>
      <c r="R32" s="2336">
        <f>SUM(R33:R37)</f>
        <v>16</v>
      </c>
      <c r="S32" s="2336">
        <f t="shared" si="2"/>
        <v>16</v>
      </c>
      <c r="T32" s="2336"/>
      <c r="U32" s="2336"/>
      <c r="V32" s="2336">
        <f t="shared" si="0"/>
        <v>16</v>
      </c>
      <c r="W32" s="2336">
        <f t="shared" si="1"/>
        <v>0</v>
      </c>
      <c r="X32" s="2336"/>
      <c r="Y32" s="2336">
        <v>16</v>
      </c>
      <c r="Z32" s="2353"/>
      <c r="AA32" s="2296" t="s">
        <v>1665</v>
      </c>
    </row>
    <row r="33" spans="1:27" s="2290" customFormat="1" hidden="1" x14ac:dyDescent="0.25">
      <c r="A33" s="2327"/>
      <c r="B33" s="2325"/>
      <c r="C33" s="2328" t="s">
        <v>1519</v>
      </c>
      <c r="D33" s="2329">
        <v>1</v>
      </c>
      <c r="E33" s="2354">
        <v>3450</v>
      </c>
      <c r="F33" s="2333">
        <f>D33*E33/1000</f>
        <v>3.5</v>
      </c>
      <c r="G33" s="2333"/>
      <c r="H33" s="2333"/>
      <c r="I33" s="2333"/>
      <c r="J33" s="2333"/>
      <c r="K33" s="2333"/>
      <c r="L33" s="2333"/>
      <c r="M33" s="2333"/>
      <c r="N33" s="2333"/>
      <c r="O33" s="2355"/>
      <c r="P33" s="2333">
        <v>1</v>
      </c>
      <c r="Q33" s="2333">
        <v>3450</v>
      </c>
      <c r="R33" s="2333">
        <f>Q33*P33/1000</f>
        <v>3.5</v>
      </c>
      <c r="S33" s="2333">
        <f t="shared" si="2"/>
        <v>3.5</v>
      </c>
      <c r="T33" s="2333"/>
      <c r="U33" s="2333"/>
      <c r="V33" s="2333">
        <f t="shared" si="0"/>
        <v>3.5</v>
      </c>
      <c r="W33" s="2333">
        <f t="shared" si="1"/>
        <v>0</v>
      </c>
      <c r="X33" s="2333"/>
      <c r="Y33" s="2356">
        <v>3.45</v>
      </c>
      <c r="Z33" s="2353"/>
      <c r="AA33" s="2296" t="s">
        <v>1665</v>
      </c>
    </row>
    <row r="34" spans="1:27" s="2290" customFormat="1" hidden="1" x14ac:dyDescent="0.25">
      <c r="A34" s="2327"/>
      <c r="B34" s="2325"/>
      <c r="C34" s="2328" t="s">
        <v>1686</v>
      </c>
      <c r="D34" s="2329">
        <v>2</v>
      </c>
      <c r="E34" s="2354">
        <v>2300</v>
      </c>
      <c r="F34" s="2333">
        <f>D34*E34/1000</f>
        <v>4.5999999999999996</v>
      </c>
      <c r="G34" s="2333"/>
      <c r="H34" s="2333"/>
      <c r="I34" s="2333"/>
      <c r="J34" s="2333"/>
      <c r="K34" s="2333"/>
      <c r="L34" s="2333"/>
      <c r="M34" s="2333"/>
      <c r="N34" s="2333"/>
      <c r="O34" s="2355"/>
      <c r="P34" s="2333">
        <v>2</v>
      </c>
      <c r="Q34" s="2333">
        <v>2300</v>
      </c>
      <c r="R34" s="2333">
        <f>Q34*P34/1000</f>
        <v>4.5999999999999996</v>
      </c>
      <c r="S34" s="2333">
        <f t="shared" si="2"/>
        <v>4.5999999999999996</v>
      </c>
      <c r="T34" s="2333"/>
      <c r="U34" s="2333"/>
      <c r="V34" s="2333">
        <f t="shared" si="0"/>
        <v>4.5999999999999996</v>
      </c>
      <c r="W34" s="2333">
        <f t="shared" si="1"/>
        <v>0</v>
      </c>
      <c r="X34" s="2333"/>
      <c r="Y34" s="2333">
        <v>4.5999999999999996</v>
      </c>
      <c r="Z34" s="2353"/>
      <c r="AA34" s="2296" t="s">
        <v>1665</v>
      </c>
    </row>
    <row r="35" spans="1:27" s="2290" customFormat="1" ht="31.5" hidden="1" x14ac:dyDescent="0.25">
      <c r="A35" s="2327"/>
      <c r="B35" s="2325"/>
      <c r="C35" s="2328" t="s">
        <v>2078</v>
      </c>
      <c r="D35" s="2329">
        <v>1</v>
      </c>
      <c r="E35" s="2354">
        <v>2000</v>
      </c>
      <c r="F35" s="2333">
        <f>D35*E35/1000</f>
        <v>2</v>
      </c>
      <c r="G35" s="2333"/>
      <c r="H35" s="2333"/>
      <c r="I35" s="2333"/>
      <c r="J35" s="2333"/>
      <c r="K35" s="2333"/>
      <c r="L35" s="2333"/>
      <c r="M35" s="2333"/>
      <c r="N35" s="2333"/>
      <c r="O35" s="2355"/>
      <c r="P35" s="2333">
        <v>0</v>
      </c>
      <c r="Q35" s="2333">
        <v>0</v>
      </c>
      <c r="R35" s="2333">
        <f>Q35*P35/1000</f>
        <v>0</v>
      </c>
      <c r="S35" s="2333">
        <f t="shared" si="2"/>
        <v>0</v>
      </c>
      <c r="T35" s="2333"/>
      <c r="U35" s="2333"/>
      <c r="V35" s="2333">
        <f t="shared" si="0"/>
        <v>0</v>
      </c>
      <c r="W35" s="2333">
        <f t="shared" si="1"/>
        <v>0</v>
      </c>
      <c r="X35" s="2333"/>
      <c r="Y35" s="2333">
        <v>0</v>
      </c>
      <c r="Z35" s="2353"/>
      <c r="AA35" s="2296" t="s">
        <v>1665</v>
      </c>
    </row>
    <row r="36" spans="1:27" s="2290" customFormat="1" ht="63" hidden="1" x14ac:dyDescent="0.25">
      <c r="A36" s="2327"/>
      <c r="B36" s="2325"/>
      <c r="C36" s="2328" t="s">
        <v>1930</v>
      </c>
      <c r="D36" s="2329">
        <v>1</v>
      </c>
      <c r="E36" s="2354">
        <v>4500</v>
      </c>
      <c r="F36" s="2333">
        <f>D36*E36/1000</f>
        <v>4.5</v>
      </c>
      <c r="G36" s="2333"/>
      <c r="H36" s="2333"/>
      <c r="I36" s="2333"/>
      <c r="J36" s="2333"/>
      <c r="K36" s="2333"/>
      <c r="L36" s="2333"/>
      <c r="M36" s="2333"/>
      <c r="N36" s="2333"/>
      <c r="O36" s="2355"/>
      <c r="P36" s="2333">
        <v>1</v>
      </c>
      <c r="Q36" s="2333">
        <v>4500</v>
      </c>
      <c r="R36" s="2333">
        <f>Q36*P36/1000</f>
        <v>4.5</v>
      </c>
      <c r="S36" s="2333">
        <f t="shared" si="2"/>
        <v>4.5</v>
      </c>
      <c r="T36" s="2333"/>
      <c r="U36" s="2333"/>
      <c r="V36" s="2333">
        <f t="shared" si="0"/>
        <v>4.5</v>
      </c>
      <c r="W36" s="2333">
        <f t="shared" si="1"/>
        <v>0</v>
      </c>
      <c r="X36" s="2333"/>
      <c r="Y36" s="2333">
        <v>4.5</v>
      </c>
      <c r="Z36" s="2353" t="s">
        <v>2079</v>
      </c>
      <c r="AA36" s="2296" t="s">
        <v>1665</v>
      </c>
    </row>
    <row r="37" spans="1:27" s="2290" customFormat="1" hidden="1" x14ac:dyDescent="0.25">
      <c r="A37" s="2327"/>
      <c r="B37" s="2325"/>
      <c r="C37" s="2328" t="s">
        <v>1234</v>
      </c>
      <c r="D37" s="2329"/>
      <c r="E37" s="2354"/>
      <c r="F37" s="2333">
        <f>SUM(F33:F36)*0.271</f>
        <v>4</v>
      </c>
      <c r="G37" s="2333"/>
      <c r="H37" s="2333"/>
      <c r="I37" s="2333"/>
      <c r="J37" s="2333"/>
      <c r="K37" s="2333"/>
      <c r="L37" s="2333"/>
      <c r="M37" s="2333"/>
      <c r="N37" s="2333"/>
      <c r="O37" s="2355"/>
      <c r="P37" s="2333"/>
      <c r="Q37" s="2333"/>
      <c r="R37" s="2333">
        <f>(R33+R34+R35+R36)*0.271</f>
        <v>3.4</v>
      </c>
      <c r="S37" s="2333">
        <f t="shared" si="2"/>
        <v>3.4</v>
      </c>
      <c r="T37" s="2333"/>
      <c r="U37" s="2333"/>
      <c r="V37" s="2333">
        <f t="shared" si="0"/>
        <v>3.4</v>
      </c>
      <c r="W37" s="2333">
        <f t="shared" si="1"/>
        <v>0</v>
      </c>
      <c r="X37" s="2333"/>
      <c r="Y37" s="2333">
        <v>3.4</v>
      </c>
      <c r="Z37" s="2353"/>
      <c r="AA37" s="2296" t="s">
        <v>1665</v>
      </c>
    </row>
    <row r="38" spans="1:27" s="2326" customFormat="1" x14ac:dyDescent="0.25">
      <c r="A38" s="2318"/>
      <c r="B38" s="2319">
        <v>963</v>
      </c>
      <c r="C38" s="2320" t="s">
        <v>798</v>
      </c>
      <c r="D38" s="2329"/>
      <c r="E38" s="2351"/>
      <c r="F38" s="2336">
        <f>SUM(F39:F40)</f>
        <v>58</v>
      </c>
      <c r="G38" s="2336"/>
      <c r="H38" s="2336"/>
      <c r="I38" s="2336"/>
      <c r="J38" s="2336"/>
      <c r="K38" s="2336"/>
      <c r="L38" s="2336"/>
      <c r="M38" s="2336"/>
      <c r="N38" s="2336"/>
      <c r="O38" s="2352"/>
      <c r="P38" s="2336"/>
      <c r="Q38" s="2336"/>
      <c r="R38" s="2336">
        <f>SUM(R39:R40)</f>
        <v>66.599999999999994</v>
      </c>
      <c r="S38" s="2336">
        <f t="shared" si="2"/>
        <v>66.599999999999994</v>
      </c>
      <c r="T38" s="2336"/>
      <c r="U38" s="2336"/>
      <c r="V38" s="2336">
        <f t="shared" si="0"/>
        <v>66.599999999999994</v>
      </c>
      <c r="W38" s="2336">
        <f t="shared" si="1"/>
        <v>0</v>
      </c>
      <c r="X38" s="2336">
        <v>66.599999999999994</v>
      </c>
      <c r="Y38" s="2336">
        <f>SUM(Y39:Y40)</f>
        <v>66.599999999999994</v>
      </c>
      <c r="Z38" s="2353"/>
      <c r="AA38" s="2296" t="s">
        <v>1665</v>
      </c>
    </row>
    <row r="39" spans="1:27" s="2290" customFormat="1" ht="47.25" hidden="1" x14ac:dyDescent="0.25">
      <c r="A39" s="2327"/>
      <c r="B39" s="2325"/>
      <c r="C39" s="2328" t="s">
        <v>2080</v>
      </c>
      <c r="D39" s="2329">
        <v>80</v>
      </c>
      <c r="E39" s="2354">
        <v>725</v>
      </c>
      <c r="F39" s="2333">
        <v>58</v>
      </c>
      <c r="G39" s="2333"/>
      <c r="H39" s="2333"/>
      <c r="I39" s="2333"/>
      <c r="J39" s="2333"/>
      <c r="K39" s="2333"/>
      <c r="L39" s="2333"/>
      <c r="M39" s="2333"/>
      <c r="N39" s="2333"/>
      <c r="O39" s="2355"/>
      <c r="P39" s="2333">
        <v>65</v>
      </c>
      <c r="Q39" s="2333">
        <v>1000</v>
      </c>
      <c r="R39" s="2333">
        <f>Q39*P39/1000</f>
        <v>65</v>
      </c>
      <c r="S39" s="2333">
        <f t="shared" si="2"/>
        <v>65</v>
      </c>
      <c r="T39" s="2333"/>
      <c r="U39" s="2333"/>
      <c r="V39" s="2333">
        <f t="shared" si="0"/>
        <v>65</v>
      </c>
      <c r="W39" s="2333">
        <f t="shared" si="1"/>
        <v>0</v>
      </c>
      <c r="X39" s="2333"/>
      <c r="Y39" s="2333">
        <v>65</v>
      </c>
      <c r="Z39" s="2357" t="s">
        <v>2081</v>
      </c>
      <c r="AA39" s="2296" t="s">
        <v>1665</v>
      </c>
    </row>
    <row r="40" spans="1:27" s="2290" customFormat="1" ht="31.5" hidden="1" x14ac:dyDescent="0.25">
      <c r="A40" s="2327"/>
      <c r="B40" s="2325"/>
      <c r="C40" s="2358" t="s">
        <v>2067</v>
      </c>
      <c r="D40" s="2329"/>
      <c r="E40" s="2354"/>
      <c r="F40" s="2333"/>
      <c r="G40" s="2333"/>
      <c r="H40" s="2333"/>
      <c r="I40" s="2333"/>
      <c r="J40" s="2333"/>
      <c r="K40" s="2333"/>
      <c r="L40" s="2333"/>
      <c r="M40" s="2333"/>
      <c r="N40" s="2333"/>
      <c r="O40" s="2355"/>
      <c r="P40" s="2333">
        <v>65</v>
      </c>
      <c r="Q40" s="2333">
        <v>25</v>
      </c>
      <c r="R40" s="2333">
        <f>Q40*P40/1000</f>
        <v>1.6</v>
      </c>
      <c r="S40" s="2333">
        <f t="shared" si="2"/>
        <v>1.6</v>
      </c>
      <c r="T40" s="2333"/>
      <c r="U40" s="2333"/>
      <c r="V40" s="2333">
        <f t="shared" si="0"/>
        <v>1.6</v>
      </c>
      <c r="W40" s="2333">
        <f t="shared" si="1"/>
        <v>0</v>
      </c>
      <c r="X40" s="2333"/>
      <c r="Y40" s="2333">
        <v>1.6</v>
      </c>
      <c r="Z40" s="2359"/>
      <c r="AA40" s="2296" t="s">
        <v>1665</v>
      </c>
    </row>
    <row r="41" spans="1:27" s="2326" customFormat="1" hidden="1" x14ac:dyDescent="0.25">
      <c r="A41" s="2318"/>
      <c r="B41" s="2319">
        <v>981</v>
      </c>
      <c r="C41" s="2320" t="s">
        <v>1226</v>
      </c>
      <c r="D41" s="2329"/>
      <c r="E41" s="2351"/>
      <c r="F41" s="2336">
        <f>F42+F43</f>
        <v>19.2</v>
      </c>
      <c r="G41" s="2336"/>
      <c r="H41" s="2336"/>
      <c r="I41" s="2336"/>
      <c r="J41" s="2336"/>
      <c r="K41" s="2336"/>
      <c r="L41" s="2336"/>
      <c r="M41" s="2336"/>
      <c r="N41" s="2336"/>
      <c r="O41" s="2352"/>
      <c r="P41" s="2336"/>
      <c r="Q41" s="2336"/>
      <c r="R41" s="2336">
        <f>SUM(R42:R43)</f>
        <v>16.5</v>
      </c>
      <c r="S41" s="2336">
        <f t="shared" si="2"/>
        <v>16.5</v>
      </c>
      <c r="T41" s="2336"/>
      <c r="U41" s="2336"/>
      <c r="V41" s="2336">
        <f t="shared" si="0"/>
        <v>16.5</v>
      </c>
      <c r="W41" s="2336">
        <f t="shared" si="1"/>
        <v>0</v>
      </c>
      <c r="X41" s="2336"/>
      <c r="Y41" s="2336">
        <v>16.5</v>
      </c>
      <c r="Z41" s="2353"/>
      <c r="AA41" s="2296" t="s">
        <v>1665</v>
      </c>
    </row>
    <row r="42" spans="1:27" s="2290" customFormat="1" hidden="1" x14ac:dyDescent="0.25">
      <c r="A42" s="2327"/>
      <c r="B42" s="2325"/>
      <c r="C42" s="2328" t="s">
        <v>2082</v>
      </c>
      <c r="D42" s="2329">
        <v>72</v>
      </c>
      <c r="E42" s="2354">
        <v>100</v>
      </c>
      <c r="F42" s="2333">
        <f>D42*E42/1000</f>
        <v>7.2</v>
      </c>
      <c r="G42" s="2333"/>
      <c r="H42" s="2333"/>
      <c r="I42" s="2333"/>
      <c r="J42" s="2333"/>
      <c r="K42" s="2333"/>
      <c r="L42" s="2333"/>
      <c r="M42" s="2333"/>
      <c r="N42" s="2333"/>
      <c r="O42" s="2355"/>
      <c r="P42" s="2333">
        <v>70</v>
      </c>
      <c r="Q42" s="2333">
        <v>150</v>
      </c>
      <c r="R42" s="2333">
        <f>P42*Q42/1000</f>
        <v>10.5</v>
      </c>
      <c r="S42" s="2333">
        <f t="shared" si="2"/>
        <v>10.5</v>
      </c>
      <c r="T42" s="2333"/>
      <c r="U42" s="2333"/>
      <c r="V42" s="2333">
        <f t="shared" si="0"/>
        <v>10.5</v>
      </c>
      <c r="W42" s="2333">
        <f t="shared" si="1"/>
        <v>0</v>
      </c>
      <c r="X42" s="2333"/>
      <c r="Y42" s="2333">
        <v>10.5</v>
      </c>
      <c r="Z42" s="2353"/>
      <c r="AA42" s="2296" t="s">
        <v>1665</v>
      </c>
    </row>
    <row r="43" spans="1:27" s="2290" customFormat="1" hidden="1" x14ac:dyDescent="0.25">
      <c r="A43" s="2327"/>
      <c r="B43" s="2325"/>
      <c r="C43" s="2328" t="s">
        <v>2083</v>
      </c>
      <c r="D43" s="2329">
        <v>4</v>
      </c>
      <c r="E43" s="2354">
        <v>3000</v>
      </c>
      <c r="F43" s="2333">
        <f>D43*E43/1000</f>
        <v>12</v>
      </c>
      <c r="G43" s="2333"/>
      <c r="H43" s="2333"/>
      <c r="I43" s="2333"/>
      <c r="J43" s="2333"/>
      <c r="K43" s="2333"/>
      <c r="L43" s="2333"/>
      <c r="M43" s="2333"/>
      <c r="N43" s="2333"/>
      <c r="O43" s="2355"/>
      <c r="P43" s="2333">
        <v>3</v>
      </c>
      <c r="Q43" s="2333">
        <v>2000</v>
      </c>
      <c r="R43" s="2333">
        <f>P43*Q43/1000</f>
        <v>6</v>
      </c>
      <c r="S43" s="2333">
        <f t="shared" si="2"/>
        <v>6</v>
      </c>
      <c r="T43" s="2333"/>
      <c r="U43" s="2333"/>
      <c r="V43" s="2333">
        <f t="shared" si="0"/>
        <v>6</v>
      </c>
      <c r="W43" s="2333">
        <f t="shared" si="1"/>
        <v>0</v>
      </c>
      <c r="X43" s="2333"/>
      <c r="Y43" s="2333">
        <v>6</v>
      </c>
      <c r="Z43" s="2353"/>
      <c r="AA43" s="2296" t="s">
        <v>1665</v>
      </c>
    </row>
    <row r="44" spans="1:27" s="2326" customFormat="1" ht="31.5" hidden="1" x14ac:dyDescent="0.25">
      <c r="A44" s="2318"/>
      <c r="B44" s="2319">
        <v>981</v>
      </c>
      <c r="C44" s="2320" t="s">
        <v>2084</v>
      </c>
      <c r="D44" s="2321">
        <v>100</v>
      </c>
      <c r="E44" s="2351">
        <v>60</v>
      </c>
      <c r="F44" s="2336">
        <f>D44*E44/1000</f>
        <v>6</v>
      </c>
      <c r="G44" s="2336"/>
      <c r="H44" s="2336"/>
      <c r="I44" s="2336"/>
      <c r="J44" s="2336"/>
      <c r="K44" s="2336"/>
      <c r="L44" s="2336"/>
      <c r="M44" s="2336"/>
      <c r="N44" s="2336"/>
      <c r="O44" s="2352"/>
      <c r="P44" s="2336">
        <v>60</v>
      </c>
      <c r="Q44" s="2336">
        <v>50</v>
      </c>
      <c r="R44" s="2336">
        <f>P44*Q44/1000</f>
        <v>3</v>
      </c>
      <c r="S44" s="2336">
        <f t="shared" si="2"/>
        <v>3</v>
      </c>
      <c r="T44" s="2336"/>
      <c r="U44" s="2336"/>
      <c r="V44" s="2336">
        <f t="shared" si="0"/>
        <v>3</v>
      </c>
      <c r="W44" s="2336">
        <f t="shared" si="1"/>
        <v>0</v>
      </c>
      <c r="X44" s="2336"/>
      <c r="Y44" s="2336">
        <v>3</v>
      </c>
      <c r="Z44" s="2353" t="s">
        <v>2085</v>
      </c>
      <c r="AA44" s="2296" t="s">
        <v>1665</v>
      </c>
    </row>
    <row r="45" spans="1:27" s="2326" customFormat="1" ht="31.5" hidden="1" x14ac:dyDescent="0.25">
      <c r="A45" s="2318"/>
      <c r="B45" s="2319">
        <v>981</v>
      </c>
      <c r="C45" s="2320" t="s">
        <v>2072</v>
      </c>
      <c r="D45" s="2329"/>
      <c r="E45" s="2351"/>
      <c r="F45" s="2336">
        <f>F46+F47</f>
        <v>3.8</v>
      </c>
      <c r="G45" s="2336"/>
      <c r="H45" s="2336"/>
      <c r="I45" s="2336"/>
      <c r="J45" s="2336"/>
      <c r="K45" s="2336"/>
      <c r="L45" s="2336"/>
      <c r="M45" s="2336"/>
      <c r="N45" s="2336"/>
      <c r="O45" s="2352"/>
      <c r="P45" s="2336"/>
      <c r="Q45" s="2336"/>
      <c r="R45" s="2336">
        <f>SUM(R46:R47)</f>
        <v>2</v>
      </c>
      <c r="S45" s="2336">
        <f t="shared" si="2"/>
        <v>2</v>
      </c>
      <c r="T45" s="2336"/>
      <c r="U45" s="2336"/>
      <c r="V45" s="2336">
        <f t="shared" si="0"/>
        <v>2</v>
      </c>
      <c r="W45" s="2336">
        <f t="shared" si="1"/>
        <v>0</v>
      </c>
      <c r="X45" s="2336"/>
      <c r="Y45" s="2336">
        <v>2</v>
      </c>
      <c r="Z45" s="2353"/>
      <c r="AA45" s="2296" t="s">
        <v>1665</v>
      </c>
    </row>
    <row r="46" spans="1:27" s="2290" customFormat="1" ht="31.5" hidden="1" x14ac:dyDescent="0.25">
      <c r="A46" s="2327"/>
      <c r="B46" s="2325"/>
      <c r="C46" s="2328" t="s">
        <v>1612</v>
      </c>
      <c r="D46" s="2329">
        <v>20</v>
      </c>
      <c r="E46" s="2354">
        <v>100</v>
      </c>
      <c r="F46" s="2333">
        <f>D46*E46/1000</f>
        <v>2</v>
      </c>
      <c r="G46" s="2333"/>
      <c r="H46" s="2333"/>
      <c r="I46" s="2333"/>
      <c r="J46" s="2333"/>
      <c r="K46" s="2333"/>
      <c r="L46" s="2333"/>
      <c r="M46" s="2333"/>
      <c r="N46" s="2333"/>
      <c r="O46" s="2355"/>
      <c r="P46" s="2333">
        <v>20</v>
      </c>
      <c r="Q46" s="2333">
        <v>100</v>
      </c>
      <c r="R46" s="2333">
        <f>Q46*P46/1000</f>
        <v>2</v>
      </c>
      <c r="S46" s="2333">
        <f t="shared" si="2"/>
        <v>2</v>
      </c>
      <c r="T46" s="2333"/>
      <c r="U46" s="2333"/>
      <c r="V46" s="2333">
        <f t="shared" si="0"/>
        <v>2</v>
      </c>
      <c r="W46" s="2333">
        <f t="shared" si="1"/>
        <v>0</v>
      </c>
      <c r="X46" s="2333"/>
      <c r="Y46" s="2333">
        <v>2</v>
      </c>
      <c r="Z46" s="2353" t="s">
        <v>2086</v>
      </c>
      <c r="AA46" s="2296" t="s">
        <v>1665</v>
      </c>
    </row>
    <row r="47" spans="1:27" s="2290" customFormat="1" hidden="1" x14ac:dyDescent="0.25">
      <c r="A47" s="2327"/>
      <c r="B47" s="2325"/>
      <c r="C47" s="2328" t="s">
        <v>2087</v>
      </c>
      <c r="D47" s="2329">
        <v>6</v>
      </c>
      <c r="E47" s="2354">
        <v>300</v>
      </c>
      <c r="F47" s="2333">
        <f>D47*E47/1000</f>
        <v>1.8</v>
      </c>
      <c r="G47" s="2333"/>
      <c r="H47" s="2333"/>
      <c r="I47" s="2333"/>
      <c r="J47" s="2333"/>
      <c r="K47" s="2333"/>
      <c r="L47" s="2333"/>
      <c r="M47" s="2333"/>
      <c r="N47" s="2333"/>
      <c r="O47" s="2355"/>
      <c r="P47" s="2333"/>
      <c r="Q47" s="2333"/>
      <c r="R47" s="2333"/>
      <c r="S47" s="2333">
        <f t="shared" si="2"/>
        <v>0</v>
      </c>
      <c r="T47" s="2333"/>
      <c r="U47" s="2333"/>
      <c r="V47" s="2333">
        <f t="shared" si="0"/>
        <v>0</v>
      </c>
      <c r="W47" s="2333">
        <f t="shared" si="1"/>
        <v>0</v>
      </c>
      <c r="X47" s="2333"/>
      <c r="Y47" s="2333"/>
      <c r="Z47" s="2360"/>
      <c r="AA47" s="2296" t="s">
        <v>1665</v>
      </c>
    </row>
    <row r="48" spans="1:27" s="2317" customFormat="1" ht="31.5" hidden="1" x14ac:dyDescent="0.2">
      <c r="A48" s="2311">
        <v>4</v>
      </c>
      <c r="B48" s="2311"/>
      <c r="C48" s="2312" t="s">
        <v>2088</v>
      </c>
      <c r="D48" s="2349"/>
      <c r="E48" s="2348"/>
      <c r="F48" s="2349"/>
      <c r="G48" s="2349"/>
      <c r="H48" s="2311"/>
      <c r="I48" s="2313"/>
      <c r="J48" s="2313">
        <f>J49+J54+J58+J62+J67</f>
        <v>43.5</v>
      </c>
      <c r="K48" s="2313">
        <f>K49+K54+K58+K62+K67</f>
        <v>0</v>
      </c>
      <c r="L48" s="2311"/>
      <c r="M48" s="2313"/>
      <c r="N48" s="2313">
        <f>N49+N54+N58+N62+N67</f>
        <v>43.5</v>
      </c>
      <c r="O48" s="2313">
        <f>O49+O54+O58+O62+O67</f>
        <v>0</v>
      </c>
      <c r="P48" s="2311"/>
      <c r="Q48" s="2313"/>
      <c r="R48" s="2313">
        <f>R49+R54+R58+R62+R67</f>
        <v>0</v>
      </c>
      <c r="S48" s="2313">
        <f t="shared" si="2"/>
        <v>0</v>
      </c>
      <c r="T48" s="2313"/>
      <c r="U48" s="2313">
        <f>U49+U54+U58+U62+U67</f>
        <v>0</v>
      </c>
      <c r="V48" s="2349">
        <f t="shared" si="0"/>
        <v>-43.5</v>
      </c>
      <c r="W48" s="2349">
        <f t="shared" si="1"/>
        <v>0</v>
      </c>
      <c r="X48" s="2313">
        <f>X49+X54+X58+X62+X67</f>
        <v>32.200000000000003</v>
      </c>
      <c r="Y48" s="2313">
        <f>Y49+Y54+Y58+Y62+Y67</f>
        <v>0</v>
      </c>
      <c r="Z48" s="2316"/>
      <c r="AA48" s="2296" t="s">
        <v>1665</v>
      </c>
    </row>
    <row r="49" spans="1:27" s="2326" customFormat="1" ht="31.5" hidden="1" x14ac:dyDescent="0.25">
      <c r="A49" s="2318"/>
      <c r="B49" s="2319">
        <v>955</v>
      </c>
      <c r="C49" s="2320" t="s">
        <v>1401</v>
      </c>
      <c r="D49" s="2336"/>
      <c r="E49" s="2351"/>
      <c r="F49" s="2336"/>
      <c r="G49" s="2336"/>
      <c r="H49" s="2319"/>
      <c r="I49" s="2361"/>
      <c r="J49" s="2362">
        <f>SUM(J50:J53)</f>
        <v>12.8</v>
      </c>
      <c r="K49" s="2361"/>
      <c r="L49" s="2319"/>
      <c r="M49" s="2361"/>
      <c r="N49" s="2362">
        <f>SUM(N50:N53)</f>
        <v>12.8</v>
      </c>
      <c r="O49" s="2361"/>
      <c r="P49" s="2319"/>
      <c r="Q49" s="2361"/>
      <c r="R49" s="2361"/>
      <c r="S49" s="2361">
        <f t="shared" si="2"/>
        <v>0</v>
      </c>
      <c r="T49" s="2361"/>
      <c r="U49" s="2361"/>
      <c r="V49" s="2336">
        <f t="shared" si="0"/>
        <v>-12.8</v>
      </c>
      <c r="W49" s="2336">
        <f t="shared" si="1"/>
        <v>0</v>
      </c>
      <c r="X49" s="2322">
        <f>N49</f>
        <v>12.8</v>
      </c>
      <c r="Y49" s="2362"/>
      <c r="Z49" s="2363"/>
      <c r="AA49" s="2296" t="s">
        <v>1665</v>
      </c>
    </row>
    <row r="50" spans="1:27" s="2290" customFormat="1" hidden="1" x14ac:dyDescent="0.25">
      <c r="A50" s="2327"/>
      <c r="B50" s="2325"/>
      <c r="C50" s="2328" t="s">
        <v>2089</v>
      </c>
      <c r="D50" s="2333"/>
      <c r="E50" s="2354"/>
      <c r="F50" s="2333"/>
      <c r="G50" s="2333"/>
      <c r="H50" s="2325">
        <v>1</v>
      </c>
      <c r="I50" s="2364">
        <v>3450</v>
      </c>
      <c r="J50" s="2364">
        <f>H50*I50/1000</f>
        <v>3.5</v>
      </c>
      <c r="K50" s="2364"/>
      <c r="L50" s="2325">
        <v>1</v>
      </c>
      <c r="M50" s="2364">
        <v>3450</v>
      </c>
      <c r="N50" s="2364">
        <f>L50*M50/1000</f>
        <v>3.5</v>
      </c>
      <c r="O50" s="2364"/>
      <c r="P50" s="2325"/>
      <c r="Q50" s="2364"/>
      <c r="R50" s="2364"/>
      <c r="S50" s="2364">
        <f t="shared" si="2"/>
        <v>0</v>
      </c>
      <c r="T50" s="2364"/>
      <c r="U50" s="2364"/>
      <c r="V50" s="2333">
        <f t="shared" si="0"/>
        <v>-3.5</v>
      </c>
      <c r="W50" s="2333">
        <f t="shared" si="1"/>
        <v>0</v>
      </c>
      <c r="X50" s="2331">
        <f t="shared" ref="X50:X69" si="6">N50</f>
        <v>3.5</v>
      </c>
      <c r="Y50" s="2364"/>
      <c r="Z50" s="3477"/>
      <c r="AA50" s="2296" t="s">
        <v>1665</v>
      </c>
    </row>
    <row r="51" spans="1:27" s="2290" customFormat="1" ht="31.5" hidden="1" x14ac:dyDescent="0.25">
      <c r="A51" s="2327"/>
      <c r="B51" s="2325"/>
      <c r="C51" s="2328" t="s">
        <v>2078</v>
      </c>
      <c r="D51" s="2333"/>
      <c r="E51" s="2354"/>
      <c r="F51" s="2333"/>
      <c r="G51" s="2333"/>
      <c r="H51" s="2325">
        <v>1</v>
      </c>
      <c r="I51" s="2364">
        <v>2000</v>
      </c>
      <c r="J51" s="2364">
        <f>H51*I51/1000</f>
        <v>2</v>
      </c>
      <c r="K51" s="2364"/>
      <c r="L51" s="2325">
        <v>1</v>
      </c>
      <c r="M51" s="2364">
        <v>2000</v>
      </c>
      <c r="N51" s="2364">
        <f>L51*M51/1000</f>
        <v>2</v>
      </c>
      <c r="O51" s="2364"/>
      <c r="P51" s="2325"/>
      <c r="Q51" s="2364"/>
      <c r="R51" s="2364"/>
      <c r="S51" s="2364">
        <f t="shared" si="2"/>
        <v>0</v>
      </c>
      <c r="T51" s="2364"/>
      <c r="U51" s="2364"/>
      <c r="V51" s="2333">
        <f t="shared" si="0"/>
        <v>-2</v>
      </c>
      <c r="W51" s="2333">
        <f t="shared" si="1"/>
        <v>0</v>
      </c>
      <c r="X51" s="2331">
        <f t="shared" si="6"/>
        <v>2</v>
      </c>
      <c r="Y51" s="2364"/>
      <c r="Z51" s="3478"/>
      <c r="AA51" s="2296" t="s">
        <v>1665</v>
      </c>
    </row>
    <row r="52" spans="1:27" s="2290" customFormat="1" hidden="1" x14ac:dyDescent="0.25">
      <c r="A52" s="2327"/>
      <c r="B52" s="2325"/>
      <c r="C52" s="2328" t="s">
        <v>1686</v>
      </c>
      <c r="D52" s="2333"/>
      <c r="E52" s="2354"/>
      <c r="F52" s="2333"/>
      <c r="G52" s="2333"/>
      <c r="H52" s="2325">
        <v>2</v>
      </c>
      <c r="I52" s="2364">
        <v>2300</v>
      </c>
      <c r="J52" s="2364">
        <f>H52*I52/1000</f>
        <v>4.5999999999999996</v>
      </c>
      <c r="K52" s="2364"/>
      <c r="L52" s="2325">
        <v>2</v>
      </c>
      <c r="M52" s="2364">
        <v>2300</v>
      </c>
      <c r="N52" s="2364">
        <f>L52*M52/1000</f>
        <v>4.5999999999999996</v>
      </c>
      <c r="O52" s="2364"/>
      <c r="P52" s="2325"/>
      <c r="Q52" s="2364"/>
      <c r="R52" s="2364"/>
      <c r="S52" s="2364">
        <f t="shared" si="2"/>
        <v>0</v>
      </c>
      <c r="T52" s="2364"/>
      <c r="U52" s="2364"/>
      <c r="V52" s="2333">
        <f t="shared" si="0"/>
        <v>-4.5999999999999996</v>
      </c>
      <c r="W52" s="2333">
        <f t="shared" si="1"/>
        <v>0</v>
      </c>
      <c r="X52" s="2331">
        <f t="shared" si="6"/>
        <v>4.5999999999999996</v>
      </c>
      <c r="Y52" s="2364"/>
      <c r="Z52" s="3478"/>
      <c r="AA52" s="2296" t="s">
        <v>1665</v>
      </c>
    </row>
    <row r="53" spans="1:27" s="2290" customFormat="1" hidden="1" x14ac:dyDescent="0.25">
      <c r="A53" s="2327"/>
      <c r="B53" s="2325"/>
      <c r="C53" s="2328" t="s">
        <v>1234</v>
      </c>
      <c r="D53" s="2333"/>
      <c r="E53" s="2354"/>
      <c r="F53" s="2333"/>
      <c r="G53" s="2333"/>
      <c r="H53" s="2325"/>
      <c r="I53" s="2364"/>
      <c r="J53" s="2364">
        <f>SUM(J50:J52)*0.271</f>
        <v>2.7</v>
      </c>
      <c r="K53" s="2364"/>
      <c r="L53" s="2325"/>
      <c r="M53" s="2364"/>
      <c r="N53" s="2364">
        <f>SUM(N50:N52)*0.271</f>
        <v>2.7</v>
      </c>
      <c r="O53" s="2364"/>
      <c r="P53" s="2325"/>
      <c r="Q53" s="2364"/>
      <c r="R53" s="2364"/>
      <c r="S53" s="2364">
        <f t="shared" si="2"/>
        <v>0</v>
      </c>
      <c r="T53" s="2364"/>
      <c r="U53" s="2364"/>
      <c r="V53" s="2333">
        <f t="shared" si="0"/>
        <v>-2.7</v>
      </c>
      <c r="W53" s="2333">
        <f t="shared" si="1"/>
        <v>0</v>
      </c>
      <c r="X53" s="2331">
        <f t="shared" si="6"/>
        <v>2.7</v>
      </c>
      <c r="Y53" s="2364"/>
      <c r="Z53" s="3479"/>
      <c r="AA53" s="2296" t="s">
        <v>1665</v>
      </c>
    </row>
    <row r="54" spans="1:27" s="2326" customFormat="1" hidden="1" x14ac:dyDescent="0.25">
      <c r="A54" s="2318"/>
      <c r="B54" s="2319">
        <v>981</v>
      </c>
      <c r="C54" s="2320" t="s">
        <v>1226</v>
      </c>
      <c r="D54" s="2336"/>
      <c r="E54" s="2351"/>
      <c r="F54" s="2336"/>
      <c r="G54" s="2336"/>
      <c r="H54" s="2319"/>
      <c r="I54" s="2361"/>
      <c r="J54" s="2361">
        <f>SUM(J55:J57)</f>
        <v>16</v>
      </c>
      <c r="K54" s="2361"/>
      <c r="L54" s="2319"/>
      <c r="M54" s="2361"/>
      <c r="N54" s="2361">
        <f>SUM(N55:N57)</f>
        <v>16</v>
      </c>
      <c r="O54" s="2361"/>
      <c r="P54" s="2319"/>
      <c r="Q54" s="2361"/>
      <c r="R54" s="2361"/>
      <c r="S54" s="2361">
        <f t="shared" si="2"/>
        <v>0</v>
      </c>
      <c r="T54" s="2361"/>
      <c r="U54" s="2361"/>
      <c r="V54" s="2336">
        <f t="shared" si="0"/>
        <v>-16</v>
      </c>
      <c r="W54" s="2336">
        <f t="shared" si="1"/>
        <v>0</v>
      </c>
      <c r="X54" s="2323">
        <f t="shared" si="6"/>
        <v>16</v>
      </c>
      <c r="Y54" s="2361"/>
      <c r="Z54" s="2363"/>
      <c r="AA54" s="2296" t="s">
        <v>1665</v>
      </c>
    </row>
    <row r="55" spans="1:27" s="2290" customFormat="1" hidden="1" x14ac:dyDescent="0.25">
      <c r="A55" s="2327"/>
      <c r="B55" s="2325"/>
      <c r="C55" s="2328" t="s">
        <v>2090</v>
      </c>
      <c r="D55" s="2333"/>
      <c r="E55" s="2354"/>
      <c r="F55" s="2333"/>
      <c r="G55" s="2333"/>
      <c r="H55" s="2325">
        <v>50</v>
      </c>
      <c r="I55" s="2364">
        <v>50</v>
      </c>
      <c r="J55" s="2364">
        <f>H55*I55/1000</f>
        <v>2.5</v>
      </c>
      <c r="K55" s="2364"/>
      <c r="L55" s="2325">
        <v>50</v>
      </c>
      <c r="M55" s="2364">
        <v>50</v>
      </c>
      <c r="N55" s="2364">
        <f>L55*M55/1000</f>
        <v>2.5</v>
      </c>
      <c r="O55" s="2364"/>
      <c r="P55" s="2325"/>
      <c r="Q55" s="2364"/>
      <c r="R55" s="2364"/>
      <c r="S55" s="2364">
        <f t="shared" si="2"/>
        <v>0</v>
      </c>
      <c r="T55" s="2364"/>
      <c r="U55" s="2364"/>
      <c r="V55" s="2333">
        <f t="shared" si="0"/>
        <v>-2.5</v>
      </c>
      <c r="W55" s="2333">
        <f t="shared" si="1"/>
        <v>0</v>
      </c>
      <c r="X55" s="2331">
        <f t="shared" si="6"/>
        <v>2.5</v>
      </c>
      <c r="Y55" s="2364"/>
      <c r="Z55" s="3477"/>
      <c r="AA55" s="2296" t="s">
        <v>1665</v>
      </c>
    </row>
    <row r="56" spans="1:27" s="2290" customFormat="1" hidden="1" x14ac:dyDescent="0.25">
      <c r="A56" s="2327"/>
      <c r="B56" s="2325"/>
      <c r="C56" s="2328" t="s">
        <v>1371</v>
      </c>
      <c r="D56" s="2333"/>
      <c r="E56" s="2354"/>
      <c r="F56" s="2333"/>
      <c r="G56" s="2333"/>
      <c r="H56" s="2325">
        <v>300</v>
      </c>
      <c r="I56" s="2364">
        <v>20</v>
      </c>
      <c r="J56" s="2364">
        <f t="shared" ref="J56:J61" si="7">H56*I56/1000</f>
        <v>6</v>
      </c>
      <c r="K56" s="2364"/>
      <c r="L56" s="2325">
        <v>300</v>
      </c>
      <c r="M56" s="2364">
        <v>20</v>
      </c>
      <c r="N56" s="2364">
        <f>L56*M56/1000</f>
        <v>6</v>
      </c>
      <c r="O56" s="2364"/>
      <c r="P56" s="2325"/>
      <c r="Q56" s="2364"/>
      <c r="R56" s="2364"/>
      <c r="S56" s="2364">
        <f t="shared" si="2"/>
        <v>0</v>
      </c>
      <c r="T56" s="2364"/>
      <c r="U56" s="2364"/>
      <c r="V56" s="2333">
        <f t="shared" si="0"/>
        <v>-6</v>
      </c>
      <c r="W56" s="2333">
        <f t="shared" si="1"/>
        <v>0</v>
      </c>
      <c r="X56" s="2331">
        <f t="shared" si="6"/>
        <v>6</v>
      </c>
      <c r="Y56" s="2364"/>
      <c r="Z56" s="3478"/>
      <c r="AA56" s="2296" t="s">
        <v>1665</v>
      </c>
    </row>
    <row r="57" spans="1:27" s="2290" customFormat="1" hidden="1" x14ac:dyDescent="0.25">
      <c r="A57" s="2327"/>
      <c r="B57" s="2325"/>
      <c r="C57" s="2328" t="s">
        <v>2091</v>
      </c>
      <c r="D57" s="2333"/>
      <c r="E57" s="2354"/>
      <c r="F57" s="2333"/>
      <c r="G57" s="2333"/>
      <c r="H57" s="2325">
        <v>150</v>
      </c>
      <c r="I57" s="2364">
        <v>50</v>
      </c>
      <c r="J57" s="2364">
        <f t="shared" si="7"/>
        <v>7.5</v>
      </c>
      <c r="K57" s="2364"/>
      <c r="L57" s="2325">
        <v>150</v>
      </c>
      <c r="M57" s="2364">
        <v>50</v>
      </c>
      <c r="N57" s="2364">
        <f>L57*M57/1000</f>
        <v>7.5</v>
      </c>
      <c r="O57" s="2364"/>
      <c r="P57" s="2325"/>
      <c r="Q57" s="2364"/>
      <c r="R57" s="2364"/>
      <c r="S57" s="2364">
        <f t="shared" si="2"/>
        <v>0</v>
      </c>
      <c r="T57" s="2364"/>
      <c r="U57" s="2364"/>
      <c r="V57" s="2333">
        <f t="shared" si="0"/>
        <v>-7.5</v>
      </c>
      <c r="W57" s="2333">
        <f t="shared" si="1"/>
        <v>0</v>
      </c>
      <c r="X57" s="2331">
        <f t="shared" si="6"/>
        <v>7.5</v>
      </c>
      <c r="Y57" s="2364"/>
      <c r="Z57" s="3479"/>
      <c r="AA57" s="2296" t="s">
        <v>1665</v>
      </c>
    </row>
    <row r="58" spans="1:27" s="2326" customFormat="1" hidden="1" x14ac:dyDescent="0.25">
      <c r="A58" s="2318"/>
      <c r="B58" s="2319">
        <v>981</v>
      </c>
      <c r="C58" s="2320" t="s">
        <v>1374</v>
      </c>
      <c r="D58" s="2336"/>
      <c r="E58" s="2351"/>
      <c r="F58" s="2336"/>
      <c r="G58" s="2336"/>
      <c r="H58" s="2319"/>
      <c r="I58" s="2361"/>
      <c r="J58" s="2361">
        <f>SUM(J59:J61)</f>
        <v>1.9</v>
      </c>
      <c r="K58" s="2361"/>
      <c r="L58" s="2319"/>
      <c r="M58" s="2361"/>
      <c r="N58" s="2361">
        <f>SUM(N59:N61)</f>
        <v>1.9</v>
      </c>
      <c r="O58" s="2361"/>
      <c r="P58" s="2319"/>
      <c r="Q58" s="2361"/>
      <c r="R58" s="2361"/>
      <c r="S58" s="2361">
        <f t="shared" si="2"/>
        <v>0</v>
      </c>
      <c r="T58" s="2361"/>
      <c r="U58" s="2361"/>
      <c r="V58" s="2336">
        <f t="shared" si="0"/>
        <v>-1.9</v>
      </c>
      <c r="W58" s="2336">
        <f t="shared" si="1"/>
        <v>0</v>
      </c>
      <c r="X58" s="2323">
        <f t="shared" si="6"/>
        <v>1.9</v>
      </c>
      <c r="Y58" s="2361"/>
      <c r="Z58" s="3477"/>
      <c r="AA58" s="2296" t="s">
        <v>1665</v>
      </c>
    </row>
    <row r="59" spans="1:27" s="2290" customFormat="1" hidden="1" x14ac:dyDescent="0.25">
      <c r="A59" s="2327"/>
      <c r="B59" s="2325"/>
      <c r="C59" s="2328" t="s">
        <v>2092</v>
      </c>
      <c r="D59" s="2333"/>
      <c r="E59" s="2354"/>
      <c r="F59" s="2333"/>
      <c r="G59" s="2333"/>
      <c r="H59" s="2325">
        <v>50</v>
      </c>
      <c r="I59" s="2364">
        <v>25</v>
      </c>
      <c r="J59" s="2364">
        <f t="shared" si="7"/>
        <v>1.3</v>
      </c>
      <c r="K59" s="2364"/>
      <c r="L59" s="2325">
        <v>50</v>
      </c>
      <c r="M59" s="2364">
        <v>25</v>
      </c>
      <c r="N59" s="2364">
        <f>L59*M59/1000</f>
        <v>1.3</v>
      </c>
      <c r="O59" s="2364"/>
      <c r="P59" s="2325"/>
      <c r="Q59" s="2364"/>
      <c r="R59" s="2364"/>
      <c r="S59" s="2364">
        <f t="shared" si="2"/>
        <v>0</v>
      </c>
      <c r="T59" s="2364"/>
      <c r="U59" s="2364"/>
      <c r="V59" s="2333">
        <f t="shared" si="0"/>
        <v>-1.3</v>
      </c>
      <c r="W59" s="2333">
        <f t="shared" si="1"/>
        <v>0</v>
      </c>
      <c r="X59" s="2331">
        <f t="shared" si="6"/>
        <v>1.3</v>
      </c>
      <c r="Y59" s="2364"/>
      <c r="Z59" s="3478"/>
      <c r="AA59" s="2296" t="s">
        <v>1665</v>
      </c>
    </row>
    <row r="60" spans="1:27" s="2290" customFormat="1" hidden="1" x14ac:dyDescent="0.25">
      <c r="A60" s="2327"/>
      <c r="B60" s="2325"/>
      <c r="C60" s="2328" t="s">
        <v>2093</v>
      </c>
      <c r="D60" s="2333"/>
      <c r="E60" s="2354"/>
      <c r="F60" s="2333"/>
      <c r="G60" s="2333"/>
      <c r="H60" s="2325">
        <v>25</v>
      </c>
      <c r="I60" s="2364">
        <v>25</v>
      </c>
      <c r="J60" s="2364">
        <f t="shared" si="7"/>
        <v>0.6</v>
      </c>
      <c r="K60" s="2364"/>
      <c r="L60" s="2325">
        <v>25</v>
      </c>
      <c r="M60" s="2364">
        <v>25</v>
      </c>
      <c r="N60" s="2364">
        <f>L60*M60/1000</f>
        <v>0.6</v>
      </c>
      <c r="O60" s="2364"/>
      <c r="P60" s="2325"/>
      <c r="Q60" s="2364"/>
      <c r="R60" s="2364"/>
      <c r="S60" s="2364">
        <f t="shared" si="2"/>
        <v>0</v>
      </c>
      <c r="T60" s="2364"/>
      <c r="U60" s="2364"/>
      <c r="V60" s="2333">
        <f t="shared" si="0"/>
        <v>-0.6</v>
      </c>
      <c r="W60" s="2333">
        <f t="shared" si="1"/>
        <v>0</v>
      </c>
      <c r="X60" s="2331">
        <f t="shared" si="6"/>
        <v>0.6</v>
      </c>
      <c r="Y60" s="2364"/>
      <c r="Z60" s="3478"/>
      <c r="AA60" s="2296" t="s">
        <v>1665</v>
      </c>
    </row>
    <row r="61" spans="1:27" s="2290" customFormat="1" hidden="1" x14ac:dyDescent="0.25">
      <c r="A61" s="2327"/>
      <c r="B61" s="2325"/>
      <c r="C61" s="2328" t="s">
        <v>2094</v>
      </c>
      <c r="D61" s="2333"/>
      <c r="E61" s="2354"/>
      <c r="F61" s="2333"/>
      <c r="G61" s="2333"/>
      <c r="H61" s="2325"/>
      <c r="I61" s="2364"/>
      <c r="J61" s="2364">
        <f t="shared" si="7"/>
        <v>0</v>
      </c>
      <c r="K61" s="2364"/>
      <c r="L61" s="2325"/>
      <c r="M61" s="2364"/>
      <c r="N61" s="2364">
        <f>L61*M61/1000</f>
        <v>0</v>
      </c>
      <c r="O61" s="2364"/>
      <c r="P61" s="2325"/>
      <c r="Q61" s="2364"/>
      <c r="R61" s="2364"/>
      <c r="S61" s="2364">
        <f t="shared" si="2"/>
        <v>0</v>
      </c>
      <c r="T61" s="2364"/>
      <c r="U61" s="2364"/>
      <c r="V61" s="2333">
        <f t="shared" si="0"/>
        <v>0</v>
      </c>
      <c r="W61" s="2333">
        <f t="shared" si="1"/>
        <v>0</v>
      </c>
      <c r="X61" s="2331">
        <f t="shared" si="6"/>
        <v>0</v>
      </c>
      <c r="Y61" s="2364"/>
      <c r="Z61" s="3479"/>
      <c r="AA61" s="2296" t="s">
        <v>1665</v>
      </c>
    </row>
    <row r="62" spans="1:27" s="2326" customFormat="1" x14ac:dyDescent="0.25">
      <c r="A62" s="2318"/>
      <c r="B62" s="2319">
        <v>963</v>
      </c>
      <c r="C62" s="2320" t="s">
        <v>798</v>
      </c>
      <c r="D62" s="2336"/>
      <c r="E62" s="2351"/>
      <c r="F62" s="2336"/>
      <c r="G62" s="2336"/>
      <c r="H62" s="2319"/>
      <c r="I62" s="2361"/>
      <c r="J62" s="2361">
        <f>SUM(J65:J66)</f>
        <v>11.3</v>
      </c>
      <c r="K62" s="2361"/>
      <c r="L62" s="2319"/>
      <c r="M62" s="2361"/>
      <c r="N62" s="2361">
        <f>SUM(N65:N66)</f>
        <v>11.3</v>
      </c>
      <c r="O62" s="2361"/>
      <c r="P62" s="2319"/>
      <c r="Q62" s="2361"/>
      <c r="R62" s="2361"/>
      <c r="S62" s="2361">
        <f t="shared" si="2"/>
        <v>0</v>
      </c>
      <c r="T62" s="2361"/>
      <c r="U62" s="2361"/>
      <c r="V62" s="2336">
        <f t="shared" si="0"/>
        <v>-11.3</v>
      </c>
      <c r="W62" s="2336">
        <f t="shared" si="1"/>
        <v>0</v>
      </c>
      <c r="X62" s="2323"/>
      <c r="Y62" s="2361"/>
      <c r="Z62" s="2363"/>
      <c r="AA62" s="2296" t="s">
        <v>1665</v>
      </c>
    </row>
    <row r="63" spans="1:27" s="2326" customFormat="1" hidden="1" x14ac:dyDescent="0.25">
      <c r="A63" s="2318"/>
      <c r="B63" s="2319"/>
      <c r="C63" s="2328" t="s">
        <v>1371</v>
      </c>
      <c r="D63" s="2336"/>
      <c r="E63" s="2351"/>
      <c r="F63" s="2336"/>
      <c r="G63" s="2336"/>
      <c r="H63" s="2319"/>
      <c r="I63" s="2361"/>
      <c r="J63" s="2361"/>
      <c r="K63" s="2361"/>
      <c r="L63" s="2319"/>
      <c r="M63" s="2361"/>
      <c r="N63" s="2361"/>
      <c r="O63" s="2361"/>
      <c r="P63" s="2319"/>
      <c r="Q63" s="2361"/>
      <c r="R63" s="2361"/>
      <c r="S63" s="2361">
        <f t="shared" si="2"/>
        <v>0</v>
      </c>
      <c r="T63" s="2361"/>
      <c r="U63" s="2361"/>
      <c r="V63" s="2333">
        <f t="shared" si="0"/>
        <v>0</v>
      </c>
      <c r="W63" s="2333">
        <f t="shared" si="1"/>
        <v>0</v>
      </c>
      <c r="X63" s="2323">
        <f t="shared" si="6"/>
        <v>0</v>
      </c>
      <c r="Y63" s="2361"/>
      <c r="Z63" s="2365"/>
      <c r="AA63" s="2296" t="s">
        <v>1665</v>
      </c>
    </row>
    <row r="64" spans="1:27" s="2326" customFormat="1" hidden="1" x14ac:dyDescent="0.25">
      <c r="A64" s="2318"/>
      <c r="B64" s="2319"/>
      <c r="C64" s="2328" t="s">
        <v>2095</v>
      </c>
      <c r="D64" s="2336"/>
      <c r="E64" s="2351"/>
      <c r="F64" s="2336"/>
      <c r="G64" s="2336"/>
      <c r="H64" s="2319"/>
      <c r="I64" s="2361"/>
      <c r="J64" s="2361"/>
      <c r="K64" s="2361"/>
      <c r="L64" s="2319"/>
      <c r="M64" s="2361"/>
      <c r="N64" s="2361"/>
      <c r="O64" s="2361"/>
      <c r="P64" s="2319"/>
      <c r="Q64" s="2361"/>
      <c r="R64" s="2361"/>
      <c r="S64" s="2361">
        <f t="shared" si="2"/>
        <v>0</v>
      </c>
      <c r="T64" s="2361"/>
      <c r="U64" s="2361"/>
      <c r="V64" s="2333">
        <f t="shared" si="0"/>
        <v>0</v>
      </c>
      <c r="W64" s="2333">
        <f t="shared" si="1"/>
        <v>0</v>
      </c>
      <c r="X64" s="2323">
        <f t="shared" si="6"/>
        <v>0</v>
      </c>
      <c r="Y64" s="2361"/>
      <c r="Z64" s="2365"/>
      <c r="AA64" s="2296" t="s">
        <v>1665</v>
      </c>
    </row>
    <row r="65" spans="1:27" s="2326" customFormat="1" hidden="1" x14ac:dyDescent="0.25">
      <c r="A65" s="2318"/>
      <c r="B65" s="2325"/>
      <c r="C65" s="2328" t="s">
        <v>2096</v>
      </c>
      <c r="D65" s="2336"/>
      <c r="E65" s="2351"/>
      <c r="F65" s="2336"/>
      <c r="G65" s="2336"/>
      <c r="H65" s="2325">
        <v>25</v>
      </c>
      <c r="I65" s="2364">
        <v>200</v>
      </c>
      <c r="J65" s="2364">
        <f>H65*I65/1000</f>
        <v>5</v>
      </c>
      <c r="K65" s="2364"/>
      <c r="L65" s="2325">
        <v>25</v>
      </c>
      <c r="M65" s="2364">
        <v>200</v>
      </c>
      <c r="N65" s="2364">
        <f>L65*M65/1000</f>
        <v>5</v>
      </c>
      <c r="O65" s="2364"/>
      <c r="P65" s="2325"/>
      <c r="Q65" s="2364"/>
      <c r="R65" s="2364"/>
      <c r="S65" s="2364">
        <f t="shared" si="2"/>
        <v>0</v>
      </c>
      <c r="T65" s="2364"/>
      <c r="U65" s="2364"/>
      <c r="V65" s="2333">
        <f t="shared" si="0"/>
        <v>-5</v>
      </c>
      <c r="W65" s="2336">
        <f t="shared" si="1"/>
        <v>0</v>
      </c>
      <c r="X65" s="2331">
        <f t="shared" si="6"/>
        <v>5</v>
      </c>
      <c r="Y65" s="2364"/>
      <c r="Z65" s="3477"/>
      <c r="AA65" s="2296" t="s">
        <v>1665</v>
      </c>
    </row>
    <row r="66" spans="1:27" s="2290" customFormat="1" hidden="1" x14ac:dyDescent="0.25">
      <c r="A66" s="2327"/>
      <c r="B66" s="2325"/>
      <c r="C66" s="2328" t="s">
        <v>2097</v>
      </c>
      <c r="D66" s="2333"/>
      <c r="E66" s="2354"/>
      <c r="F66" s="2333"/>
      <c r="G66" s="2333"/>
      <c r="H66" s="2325">
        <v>25</v>
      </c>
      <c r="I66" s="2364">
        <v>250</v>
      </c>
      <c r="J66" s="2364">
        <f>H66*I66/1000</f>
        <v>6.3</v>
      </c>
      <c r="K66" s="2364"/>
      <c r="L66" s="2325">
        <v>25</v>
      </c>
      <c r="M66" s="2364">
        <v>250</v>
      </c>
      <c r="N66" s="2364">
        <f>L66*M66/1000</f>
        <v>6.3</v>
      </c>
      <c r="O66" s="2364"/>
      <c r="P66" s="2325"/>
      <c r="Q66" s="2364"/>
      <c r="R66" s="2364"/>
      <c r="S66" s="2364">
        <f t="shared" si="2"/>
        <v>0</v>
      </c>
      <c r="T66" s="2364"/>
      <c r="U66" s="2364"/>
      <c r="V66" s="2333">
        <f t="shared" si="0"/>
        <v>-6.3</v>
      </c>
      <c r="W66" s="2333">
        <f t="shared" si="1"/>
        <v>0</v>
      </c>
      <c r="X66" s="2331">
        <f t="shared" si="6"/>
        <v>6.3</v>
      </c>
      <c r="Y66" s="2364"/>
      <c r="Z66" s="3479"/>
      <c r="AA66" s="2296" t="s">
        <v>1665</v>
      </c>
    </row>
    <row r="67" spans="1:27" s="2290" customFormat="1" ht="31.5" hidden="1" x14ac:dyDescent="0.25">
      <c r="A67" s="2327"/>
      <c r="B67" s="2319">
        <v>981</v>
      </c>
      <c r="C67" s="2320" t="s">
        <v>2072</v>
      </c>
      <c r="D67" s="2333"/>
      <c r="E67" s="2354"/>
      <c r="F67" s="2333"/>
      <c r="G67" s="2333"/>
      <c r="H67" s="2319"/>
      <c r="I67" s="2361"/>
      <c r="J67" s="2361">
        <f>SUM(J68:J69)</f>
        <v>1.5</v>
      </c>
      <c r="K67" s="2361"/>
      <c r="L67" s="2319"/>
      <c r="M67" s="2361"/>
      <c r="N67" s="2361">
        <f>SUM(N68:N69)</f>
        <v>1.5</v>
      </c>
      <c r="O67" s="2361"/>
      <c r="P67" s="2319"/>
      <c r="Q67" s="2361"/>
      <c r="R67" s="2361"/>
      <c r="S67" s="2361">
        <f t="shared" si="2"/>
        <v>0</v>
      </c>
      <c r="T67" s="2361"/>
      <c r="U67" s="2361"/>
      <c r="V67" s="2333">
        <f t="shared" si="0"/>
        <v>-1.5</v>
      </c>
      <c r="W67" s="2333">
        <f t="shared" si="1"/>
        <v>0</v>
      </c>
      <c r="X67" s="2323">
        <f t="shared" si="6"/>
        <v>1.5</v>
      </c>
      <c r="Y67" s="2361"/>
      <c r="Z67" s="2363"/>
      <c r="AA67" s="2296" t="s">
        <v>1665</v>
      </c>
    </row>
    <row r="68" spans="1:27" s="2290" customFormat="1" ht="31.5" hidden="1" x14ac:dyDescent="0.25">
      <c r="A68" s="2327"/>
      <c r="B68" s="2319"/>
      <c r="C68" s="2328" t="s">
        <v>2098</v>
      </c>
      <c r="D68" s="2333"/>
      <c r="E68" s="2354"/>
      <c r="F68" s="2333"/>
      <c r="G68" s="2333"/>
      <c r="H68" s="2325"/>
      <c r="I68" s="2364"/>
      <c r="J68" s="2364">
        <f>H68*I68/1000</f>
        <v>0</v>
      </c>
      <c r="K68" s="2361"/>
      <c r="L68" s="2325"/>
      <c r="M68" s="2364"/>
      <c r="N68" s="2364">
        <f>L68*M68/1000</f>
        <v>0</v>
      </c>
      <c r="O68" s="2361"/>
      <c r="P68" s="2325"/>
      <c r="Q68" s="2364"/>
      <c r="R68" s="2364">
        <f>P68*Q68/1000</f>
        <v>0</v>
      </c>
      <c r="S68" s="2364">
        <f t="shared" si="2"/>
        <v>0</v>
      </c>
      <c r="T68" s="2364"/>
      <c r="U68" s="2361"/>
      <c r="V68" s="2333">
        <f t="shared" si="0"/>
        <v>0</v>
      </c>
      <c r="W68" s="2333">
        <f t="shared" si="1"/>
        <v>0</v>
      </c>
      <c r="X68" s="2331">
        <f t="shared" si="6"/>
        <v>0</v>
      </c>
      <c r="Y68" s="2361"/>
      <c r="Z68" s="2363"/>
      <c r="AA68" s="2296" t="s">
        <v>1665</v>
      </c>
    </row>
    <row r="69" spans="1:27" s="2326" customFormat="1" hidden="1" x14ac:dyDescent="0.25">
      <c r="A69" s="2318"/>
      <c r="B69" s="2325"/>
      <c r="C69" s="2328" t="s">
        <v>1962</v>
      </c>
      <c r="D69" s="2336"/>
      <c r="E69" s="2351"/>
      <c r="F69" s="2336"/>
      <c r="G69" s="2336"/>
      <c r="H69" s="2325">
        <v>15</v>
      </c>
      <c r="I69" s="2364">
        <v>100</v>
      </c>
      <c r="J69" s="2364">
        <f>H69*I69/1000</f>
        <v>1.5</v>
      </c>
      <c r="K69" s="2364"/>
      <c r="L69" s="2325">
        <v>15</v>
      </c>
      <c r="M69" s="2364">
        <v>100</v>
      </c>
      <c r="N69" s="2364">
        <f>L69*M69/1000</f>
        <v>1.5</v>
      </c>
      <c r="O69" s="2364"/>
      <c r="P69" s="2325"/>
      <c r="Q69" s="2364"/>
      <c r="R69" s="2364"/>
      <c r="S69" s="2364">
        <f t="shared" si="2"/>
        <v>0</v>
      </c>
      <c r="T69" s="2364"/>
      <c r="U69" s="2364"/>
      <c r="V69" s="2336">
        <f t="shared" si="0"/>
        <v>-1.5</v>
      </c>
      <c r="W69" s="2336">
        <f t="shared" si="1"/>
        <v>0</v>
      </c>
      <c r="X69" s="2331">
        <f t="shared" si="6"/>
        <v>1.5</v>
      </c>
      <c r="Y69" s="2364"/>
      <c r="Z69" s="2363"/>
      <c r="AA69" s="2296" t="s">
        <v>1665</v>
      </c>
    </row>
    <row r="70" spans="1:27" s="2317" customFormat="1" ht="31.5" hidden="1" x14ac:dyDescent="0.2">
      <c r="A70" s="2366">
        <v>6</v>
      </c>
      <c r="B70" s="2366"/>
      <c r="C70" s="2367" t="s">
        <v>2099</v>
      </c>
      <c r="D70" s="2349"/>
      <c r="E70" s="2348"/>
      <c r="F70" s="2368"/>
      <c r="G70" s="2349">
        <f>G75+G78</f>
        <v>6.5</v>
      </c>
      <c r="H70" s="2368"/>
      <c r="I70" s="2369"/>
      <c r="J70" s="2349">
        <v>0</v>
      </c>
      <c r="K70" s="2349">
        <f>K71+K75+K78+K80+K82</f>
        <v>27.5</v>
      </c>
      <c r="L70" s="2368"/>
      <c r="M70" s="2369"/>
      <c r="N70" s="2349">
        <v>0</v>
      </c>
      <c r="O70" s="2349">
        <f>O71+O75+O78+O80+O82</f>
        <v>27.5</v>
      </c>
      <c r="P70" s="2368"/>
      <c r="Q70" s="2369"/>
      <c r="R70" s="2349">
        <v>0</v>
      </c>
      <c r="S70" s="2349">
        <f t="shared" si="2"/>
        <v>0</v>
      </c>
      <c r="T70" s="2349"/>
      <c r="U70" s="2349">
        <f>U71+U75+U78+U80+U82</f>
        <v>23.7</v>
      </c>
      <c r="V70" s="2349">
        <f t="shared" si="0"/>
        <v>0</v>
      </c>
      <c r="W70" s="2349">
        <f t="shared" si="1"/>
        <v>0</v>
      </c>
      <c r="X70" s="2349"/>
      <c r="Y70" s="2349"/>
      <c r="Z70" s="2368"/>
      <c r="AA70" s="2296" t="s">
        <v>1665</v>
      </c>
    </row>
    <row r="71" spans="1:27" s="2326" customFormat="1" ht="31.5" hidden="1" x14ac:dyDescent="0.25">
      <c r="A71" s="2370"/>
      <c r="B71" s="2371">
        <v>955</v>
      </c>
      <c r="C71" s="2372" t="s">
        <v>1401</v>
      </c>
      <c r="D71" s="2373"/>
      <c r="E71" s="2374"/>
      <c r="F71" s="2373"/>
      <c r="G71" s="2373"/>
      <c r="H71" s="2375"/>
      <c r="I71" s="2376"/>
      <c r="J71" s="2373"/>
      <c r="K71" s="2377">
        <f>SUM(K72:K74)</f>
        <v>8.8000000000000007</v>
      </c>
      <c r="L71" s="2375"/>
      <c r="M71" s="2376"/>
      <c r="N71" s="2373"/>
      <c r="O71" s="2378">
        <f>SUM(O72:O74)</f>
        <v>8.8000000000000007</v>
      </c>
      <c r="P71" s="2375"/>
      <c r="Q71" s="2376"/>
      <c r="R71" s="2373"/>
      <c r="S71" s="2373">
        <f t="shared" si="2"/>
        <v>0</v>
      </c>
      <c r="T71" s="2373"/>
      <c r="U71" s="2377">
        <f>SUM(U72:U74)</f>
        <v>13.2</v>
      </c>
      <c r="V71" s="2379">
        <f t="shared" si="0"/>
        <v>0</v>
      </c>
      <c r="W71" s="2373">
        <f t="shared" si="1"/>
        <v>0</v>
      </c>
      <c r="X71" s="2342"/>
      <c r="Y71" s="2342"/>
      <c r="Z71" s="2375"/>
      <c r="AA71" s="2296" t="s">
        <v>1665</v>
      </c>
    </row>
    <row r="72" spans="1:27" s="2290" customFormat="1" hidden="1" x14ac:dyDescent="0.25">
      <c r="A72" s="2380"/>
      <c r="B72" s="2381"/>
      <c r="C72" s="2328" t="s">
        <v>1519</v>
      </c>
      <c r="D72" s="2342"/>
      <c r="E72" s="2382"/>
      <c r="F72" s="2342"/>
      <c r="G72" s="2342"/>
      <c r="H72" s="2383"/>
      <c r="I72" s="2333"/>
      <c r="J72" s="2342"/>
      <c r="K72" s="2384"/>
      <c r="L72" s="2383"/>
      <c r="M72" s="2333"/>
      <c r="N72" s="2342"/>
      <c r="O72" s="2385"/>
      <c r="P72" s="2383">
        <v>1</v>
      </c>
      <c r="Q72" s="2333">
        <v>3450</v>
      </c>
      <c r="R72" s="2342"/>
      <c r="S72" s="2342">
        <f t="shared" si="2"/>
        <v>0</v>
      </c>
      <c r="T72" s="2342"/>
      <c r="U72" s="2384">
        <f>P72*Q72/1000</f>
        <v>3.5</v>
      </c>
      <c r="V72" s="2386">
        <f t="shared" si="0"/>
        <v>0</v>
      </c>
      <c r="W72" s="2342">
        <f t="shared" si="1"/>
        <v>0</v>
      </c>
      <c r="X72" s="2342"/>
      <c r="Y72" s="2342"/>
      <c r="Z72" s="2387"/>
      <c r="AA72" s="2296" t="s">
        <v>1665</v>
      </c>
    </row>
    <row r="73" spans="1:27" s="2290" customFormat="1" hidden="1" x14ac:dyDescent="0.25">
      <c r="A73" s="2380"/>
      <c r="B73" s="2381"/>
      <c r="C73" s="2328" t="s">
        <v>1521</v>
      </c>
      <c r="D73" s="2342"/>
      <c r="E73" s="2382"/>
      <c r="F73" s="2342"/>
      <c r="G73" s="2342"/>
      <c r="H73" s="2388">
        <v>2</v>
      </c>
      <c r="I73" s="2333">
        <v>3450</v>
      </c>
      <c r="J73" s="2342"/>
      <c r="K73" s="2384">
        <f>H73*I73/1000</f>
        <v>6.9</v>
      </c>
      <c r="L73" s="2388">
        <v>2</v>
      </c>
      <c r="M73" s="2333">
        <v>3450</v>
      </c>
      <c r="N73" s="2342"/>
      <c r="O73" s="2385">
        <f>L73*M73/1000</f>
        <v>6.9</v>
      </c>
      <c r="P73" s="2388">
        <v>2</v>
      </c>
      <c r="Q73" s="2333">
        <v>3450</v>
      </c>
      <c r="R73" s="2342"/>
      <c r="S73" s="2342">
        <f t="shared" si="2"/>
        <v>0</v>
      </c>
      <c r="T73" s="2342"/>
      <c r="U73" s="2384">
        <f>P73*Q73/1000</f>
        <v>6.9</v>
      </c>
      <c r="V73" s="2386">
        <f t="shared" si="0"/>
        <v>0</v>
      </c>
      <c r="W73" s="2342">
        <f t="shared" si="1"/>
        <v>0</v>
      </c>
      <c r="X73" s="2342"/>
      <c r="Y73" s="2342"/>
      <c r="Z73" s="2363"/>
      <c r="AA73" s="2296" t="s">
        <v>1665</v>
      </c>
    </row>
    <row r="74" spans="1:27" s="2326" customFormat="1" hidden="1" x14ac:dyDescent="0.25">
      <c r="A74" s="2380"/>
      <c r="B74" s="2381"/>
      <c r="C74" s="2328" t="s">
        <v>1234</v>
      </c>
      <c r="D74" s="2373"/>
      <c r="E74" s="2374"/>
      <c r="F74" s="2373"/>
      <c r="G74" s="2373"/>
      <c r="H74" s="2388"/>
      <c r="I74" s="2333"/>
      <c r="J74" s="2342"/>
      <c r="K74" s="2384">
        <f>K73*0.271</f>
        <v>1.9</v>
      </c>
      <c r="L74" s="2388"/>
      <c r="M74" s="2333"/>
      <c r="N74" s="2342"/>
      <c r="O74" s="2385">
        <f>O73*0.271</f>
        <v>1.9</v>
      </c>
      <c r="P74" s="2388"/>
      <c r="Q74" s="2333"/>
      <c r="R74" s="2342"/>
      <c r="S74" s="2342">
        <f t="shared" si="2"/>
        <v>0</v>
      </c>
      <c r="T74" s="2342"/>
      <c r="U74" s="2384">
        <f>SUM(U72:U73)*0.271</f>
        <v>2.8</v>
      </c>
      <c r="V74" s="2379">
        <f t="shared" si="0"/>
        <v>0</v>
      </c>
      <c r="W74" s="2373">
        <f t="shared" si="1"/>
        <v>0</v>
      </c>
      <c r="X74" s="2342"/>
      <c r="Y74" s="2342"/>
      <c r="Z74" s="2387"/>
      <c r="AA74" s="2296" t="s">
        <v>1665</v>
      </c>
    </row>
    <row r="75" spans="1:27" s="2290" customFormat="1" ht="31.5" hidden="1" x14ac:dyDescent="0.25">
      <c r="A75" s="2370"/>
      <c r="B75" s="2371">
        <v>981</v>
      </c>
      <c r="C75" s="2372" t="s">
        <v>2072</v>
      </c>
      <c r="D75" s="2342"/>
      <c r="E75" s="2382"/>
      <c r="F75" s="2342"/>
      <c r="G75" s="2389">
        <f>G76+G77</f>
        <v>4.5</v>
      </c>
      <c r="H75" s="2390"/>
      <c r="I75" s="2336"/>
      <c r="J75" s="2373"/>
      <c r="K75" s="2377">
        <f>SUM(K76:K77)</f>
        <v>3.3</v>
      </c>
      <c r="L75" s="2390"/>
      <c r="M75" s="2336"/>
      <c r="N75" s="2373"/>
      <c r="O75" s="2378">
        <f>SUM(O76:O77)</f>
        <v>3.3</v>
      </c>
      <c r="P75" s="2390"/>
      <c r="Q75" s="2336"/>
      <c r="R75" s="2373"/>
      <c r="S75" s="2373">
        <f t="shared" si="2"/>
        <v>0</v>
      </c>
      <c r="T75" s="2373"/>
      <c r="U75" s="2377">
        <f>SUM(U76:U77)</f>
        <v>1.2</v>
      </c>
      <c r="V75" s="2386">
        <f t="shared" si="0"/>
        <v>0</v>
      </c>
      <c r="W75" s="2342">
        <f t="shared" si="1"/>
        <v>0</v>
      </c>
      <c r="X75" s="2342"/>
      <c r="Y75" s="2342"/>
      <c r="Z75" s="3461"/>
      <c r="AA75" s="2296" t="s">
        <v>1665</v>
      </c>
    </row>
    <row r="76" spans="1:27" s="2326" customFormat="1" hidden="1" x14ac:dyDescent="0.25">
      <c r="A76" s="2380"/>
      <c r="B76" s="2381"/>
      <c r="C76" s="2391" t="s">
        <v>2100</v>
      </c>
      <c r="D76" s="2387">
        <v>25</v>
      </c>
      <c r="E76" s="2392">
        <v>100</v>
      </c>
      <c r="F76" s="2387"/>
      <c r="G76" s="2387">
        <f>D76*E76/1000</f>
        <v>2.5</v>
      </c>
      <c r="H76" s="2388">
        <v>25</v>
      </c>
      <c r="I76" s="2333">
        <v>50</v>
      </c>
      <c r="J76" s="2342"/>
      <c r="K76" s="2384">
        <f>H76*I76/1000</f>
        <v>1.3</v>
      </c>
      <c r="L76" s="2388">
        <v>25</v>
      </c>
      <c r="M76" s="2333">
        <v>50</v>
      </c>
      <c r="N76" s="2342"/>
      <c r="O76" s="2385">
        <f>L76*M76/1000</f>
        <v>1.3</v>
      </c>
      <c r="P76" s="2388">
        <v>12</v>
      </c>
      <c r="Q76" s="2333">
        <v>100</v>
      </c>
      <c r="R76" s="2342"/>
      <c r="S76" s="2342">
        <f t="shared" si="2"/>
        <v>0</v>
      </c>
      <c r="T76" s="2342"/>
      <c r="U76" s="2384">
        <f>P76*Q76/1000</f>
        <v>1.2</v>
      </c>
      <c r="V76" s="2379">
        <f t="shared" si="0"/>
        <v>0</v>
      </c>
      <c r="W76" s="2373">
        <f t="shared" si="1"/>
        <v>0</v>
      </c>
      <c r="X76" s="2342"/>
      <c r="Y76" s="2342"/>
      <c r="Z76" s="3462"/>
      <c r="AA76" s="2296" t="s">
        <v>1665</v>
      </c>
    </row>
    <row r="77" spans="1:27" s="2290" customFormat="1" hidden="1" x14ac:dyDescent="0.25">
      <c r="A77" s="2380"/>
      <c r="B77" s="2381"/>
      <c r="C77" s="2391" t="s">
        <v>2101</v>
      </c>
      <c r="D77" s="2387">
        <v>2</v>
      </c>
      <c r="E77" s="2392">
        <v>1000</v>
      </c>
      <c r="F77" s="2387"/>
      <c r="G77" s="2392">
        <f>D77*E77/1000</f>
        <v>2</v>
      </c>
      <c r="H77" s="2388">
        <v>2</v>
      </c>
      <c r="I77" s="2333">
        <v>1000</v>
      </c>
      <c r="J77" s="2342"/>
      <c r="K77" s="2384">
        <f>H77*I77/1000</f>
        <v>2</v>
      </c>
      <c r="L77" s="2388">
        <v>2</v>
      </c>
      <c r="M77" s="2333">
        <v>1000</v>
      </c>
      <c r="N77" s="2342"/>
      <c r="O77" s="2385">
        <f>L77*M77/1000</f>
        <v>2</v>
      </c>
      <c r="P77" s="2388"/>
      <c r="Q77" s="2333"/>
      <c r="R77" s="2342"/>
      <c r="S77" s="2342">
        <f t="shared" si="2"/>
        <v>0</v>
      </c>
      <c r="T77" s="2342"/>
      <c r="U77" s="2384"/>
      <c r="V77" s="2386">
        <f t="shared" ref="V77:V140" si="8">R77-J77</f>
        <v>0</v>
      </c>
      <c r="W77" s="2342">
        <f t="shared" ref="W77:W140" si="9">IFERROR((R77)/J77*100,0)</f>
        <v>0</v>
      </c>
      <c r="X77" s="2342"/>
      <c r="Y77" s="2342"/>
      <c r="Z77" s="2393"/>
      <c r="AA77" s="2296" t="s">
        <v>1665</v>
      </c>
    </row>
    <row r="78" spans="1:27" s="2290" customFormat="1" ht="47.25" hidden="1" x14ac:dyDescent="0.25">
      <c r="A78" s="2380"/>
      <c r="B78" s="2371">
        <v>981</v>
      </c>
      <c r="C78" s="2372" t="s">
        <v>2102</v>
      </c>
      <c r="D78" s="2342"/>
      <c r="E78" s="2382"/>
      <c r="F78" s="2342"/>
      <c r="G78" s="2389">
        <f>G79</f>
        <v>2</v>
      </c>
      <c r="H78" s="2390"/>
      <c r="I78" s="2336"/>
      <c r="J78" s="2373"/>
      <c r="K78" s="2377">
        <f>K79</f>
        <v>5</v>
      </c>
      <c r="L78" s="2390"/>
      <c r="M78" s="2336"/>
      <c r="N78" s="2373"/>
      <c r="O78" s="2378">
        <f>O79</f>
        <v>5</v>
      </c>
      <c r="P78" s="2390"/>
      <c r="Q78" s="2336"/>
      <c r="R78" s="2373"/>
      <c r="S78" s="2373">
        <f t="shared" ref="S78:S141" si="10">R78</f>
        <v>0</v>
      </c>
      <c r="T78" s="2373"/>
      <c r="U78" s="2377"/>
      <c r="V78" s="2386">
        <f t="shared" si="8"/>
        <v>0</v>
      </c>
      <c r="W78" s="2342">
        <f t="shared" si="9"/>
        <v>0</v>
      </c>
      <c r="X78" s="2342"/>
      <c r="Y78" s="2342"/>
      <c r="Z78" s="2393"/>
      <c r="AA78" s="2296" t="s">
        <v>1665</v>
      </c>
    </row>
    <row r="79" spans="1:27" s="2326" customFormat="1" hidden="1" x14ac:dyDescent="0.25">
      <c r="A79" s="2380"/>
      <c r="B79" s="2381"/>
      <c r="C79" s="2391" t="s">
        <v>2103</v>
      </c>
      <c r="D79" s="2387">
        <v>2</v>
      </c>
      <c r="E79" s="2392">
        <v>1000</v>
      </c>
      <c r="F79" s="2387"/>
      <c r="G79" s="2392">
        <f>D79*E79/1000</f>
        <v>2</v>
      </c>
      <c r="H79" s="2388">
        <v>25</v>
      </c>
      <c r="I79" s="2333">
        <v>200</v>
      </c>
      <c r="J79" s="2342"/>
      <c r="K79" s="2384">
        <f>H79*I79/1000</f>
        <v>5</v>
      </c>
      <c r="L79" s="2388">
        <v>25</v>
      </c>
      <c r="M79" s="2333">
        <v>200</v>
      </c>
      <c r="N79" s="2342"/>
      <c r="O79" s="2385">
        <f>L79*M79/1000</f>
        <v>5</v>
      </c>
      <c r="P79" s="2388"/>
      <c r="Q79" s="2333"/>
      <c r="R79" s="2342"/>
      <c r="S79" s="2342">
        <f t="shared" si="10"/>
        <v>0</v>
      </c>
      <c r="T79" s="2342"/>
      <c r="U79" s="2384"/>
      <c r="V79" s="2379">
        <f t="shared" si="8"/>
        <v>0</v>
      </c>
      <c r="W79" s="2373">
        <f t="shared" si="9"/>
        <v>0</v>
      </c>
      <c r="X79" s="2342"/>
      <c r="Y79" s="2342"/>
      <c r="Z79" s="2393"/>
      <c r="AA79" s="2296" t="s">
        <v>1665</v>
      </c>
    </row>
    <row r="80" spans="1:27" s="2290" customFormat="1" hidden="1" x14ac:dyDescent="0.25">
      <c r="A80" s="2370"/>
      <c r="B80" s="2371">
        <v>981</v>
      </c>
      <c r="C80" s="2372" t="s">
        <v>2104</v>
      </c>
      <c r="D80" s="2342"/>
      <c r="E80" s="2382"/>
      <c r="F80" s="2342"/>
      <c r="G80" s="2342"/>
      <c r="H80" s="2390"/>
      <c r="I80" s="2336"/>
      <c r="J80" s="2373"/>
      <c r="K80" s="2377">
        <f>SUM(K81:K81)</f>
        <v>3.4</v>
      </c>
      <c r="L80" s="2390"/>
      <c r="M80" s="2336"/>
      <c r="N80" s="2373"/>
      <c r="O80" s="2378">
        <f>SUM(O81:O81)</f>
        <v>3.4</v>
      </c>
      <c r="P80" s="2390"/>
      <c r="Q80" s="2336"/>
      <c r="R80" s="2373"/>
      <c r="S80" s="2373">
        <f t="shared" si="10"/>
        <v>0</v>
      </c>
      <c r="T80" s="2373"/>
      <c r="U80" s="2377">
        <f>U81</f>
        <v>2.5</v>
      </c>
      <c r="V80" s="2386">
        <f t="shared" si="8"/>
        <v>0</v>
      </c>
      <c r="W80" s="2342">
        <f t="shared" si="9"/>
        <v>0</v>
      </c>
      <c r="X80" s="2342"/>
      <c r="Y80" s="2342"/>
      <c r="Z80" s="2375"/>
      <c r="AA80" s="2296" t="s">
        <v>1665</v>
      </c>
    </row>
    <row r="81" spans="1:27" s="2290" customFormat="1" hidden="1" x14ac:dyDescent="0.25">
      <c r="A81" s="2380"/>
      <c r="B81" s="2381"/>
      <c r="C81" s="2391" t="s">
        <v>2105</v>
      </c>
      <c r="D81" s="2394"/>
      <c r="E81" s="2395"/>
      <c r="F81" s="2394"/>
      <c r="G81" s="2394"/>
      <c r="H81" s="2388">
        <v>50</v>
      </c>
      <c r="I81" s="2333">
        <v>68</v>
      </c>
      <c r="J81" s="2342"/>
      <c r="K81" s="2384">
        <f>H81*I81/1000</f>
        <v>3.4</v>
      </c>
      <c r="L81" s="2388">
        <v>50</v>
      </c>
      <c r="M81" s="2333">
        <v>68</v>
      </c>
      <c r="N81" s="2342"/>
      <c r="O81" s="2385">
        <f>L81*M81/1000</f>
        <v>3.4</v>
      </c>
      <c r="P81" s="2388">
        <v>50</v>
      </c>
      <c r="Q81" s="2333">
        <v>50</v>
      </c>
      <c r="R81" s="2342"/>
      <c r="S81" s="2342">
        <f t="shared" si="10"/>
        <v>0</v>
      </c>
      <c r="T81" s="2342"/>
      <c r="U81" s="2384">
        <f>P81*Q81/1000</f>
        <v>2.5</v>
      </c>
      <c r="V81" s="2396">
        <f t="shared" si="8"/>
        <v>0</v>
      </c>
      <c r="W81" s="2394">
        <f t="shared" si="9"/>
        <v>0</v>
      </c>
      <c r="X81" s="2342"/>
      <c r="Y81" s="2342"/>
      <c r="Z81" s="2387"/>
      <c r="AA81" s="2296" t="s">
        <v>1665</v>
      </c>
    </row>
    <row r="82" spans="1:27" s="2398" customFormat="1" x14ac:dyDescent="0.25">
      <c r="A82" s="2370"/>
      <c r="B82" s="2371">
        <v>963</v>
      </c>
      <c r="C82" s="2372" t="s">
        <v>798</v>
      </c>
      <c r="D82" s="2389"/>
      <c r="E82" s="2397"/>
      <c r="H82" s="2399"/>
      <c r="I82" s="2336"/>
      <c r="J82" s="2373"/>
      <c r="K82" s="2377">
        <f>SUM(K83:K84)</f>
        <v>7</v>
      </c>
      <c r="L82" s="2399"/>
      <c r="M82" s="2336"/>
      <c r="N82" s="2373"/>
      <c r="O82" s="2378">
        <f>SUM(O83:O84)</f>
        <v>7</v>
      </c>
      <c r="P82" s="2399"/>
      <c r="Q82" s="2336"/>
      <c r="R82" s="2373"/>
      <c r="S82" s="2373">
        <f t="shared" si="10"/>
        <v>0</v>
      </c>
      <c r="T82" s="2373"/>
      <c r="U82" s="2377">
        <f>SUM(U83:U84)</f>
        <v>6.8</v>
      </c>
      <c r="V82" s="2396">
        <f t="shared" si="8"/>
        <v>0</v>
      </c>
      <c r="W82" s="2394">
        <f t="shared" si="9"/>
        <v>0</v>
      </c>
      <c r="X82" s="2342"/>
      <c r="Y82" s="2342"/>
      <c r="Z82" s="2375"/>
      <c r="AA82" s="2296" t="s">
        <v>1665</v>
      </c>
    </row>
    <row r="83" spans="1:27" s="2400" customFormat="1" hidden="1" x14ac:dyDescent="0.25">
      <c r="A83" s="2380"/>
      <c r="B83" s="2381"/>
      <c r="C83" s="2391" t="s">
        <v>2095</v>
      </c>
      <c r="D83" s="2373"/>
      <c r="E83" s="2374"/>
      <c r="H83" s="2383">
        <v>10</v>
      </c>
      <c r="I83" s="2333">
        <v>200</v>
      </c>
      <c r="J83" s="2342"/>
      <c r="K83" s="2384">
        <f>H83*I83/1000</f>
        <v>2</v>
      </c>
      <c r="L83" s="2383">
        <v>10</v>
      </c>
      <c r="M83" s="2333">
        <v>200</v>
      </c>
      <c r="N83" s="2342"/>
      <c r="O83" s="2385">
        <f>L83*M83/1000</f>
        <v>2</v>
      </c>
      <c r="P83" s="2383">
        <v>10</v>
      </c>
      <c r="Q83" s="2333">
        <v>180</v>
      </c>
      <c r="R83" s="2342"/>
      <c r="S83" s="2342">
        <f t="shared" si="10"/>
        <v>0</v>
      </c>
      <c r="T83" s="2342"/>
      <c r="U83" s="2384">
        <f>P83*Q83/1000</f>
        <v>1.8</v>
      </c>
      <c r="V83" s="2396">
        <f t="shared" si="8"/>
        <v>0</v>
      </c>
      <c r="W83" s="2394">
        <f t="shared" si="9"/>
        <v>0</v>
      </c>
      <c r="X83" s="2342"/>
      <c r="Y83" s="2342"/>
      <c r="Z83" s="2387"/>
      <c r="AA83" s="2296" t="s">
        <v>1665</v>
      </c>
    </row>
    <row r="84" spans="1:27" s="2345" customFormat="1" hidden="1" x14ac:dyDescent="0.25">
      <c r="A84" s="2380"/>
      <c r="B84" s="2381"/>
      <c r="C84" s="2391" t="s">
        <v>2106</v>
      </c>
      <c r="D84" s="2342"/>
      <c r="E84" s="2382"/>
      <c r="H84" s="2383">
        <v>10</v>
      </c>
      <c r="I84" s="2333">
        <v>500</v>
      </c>
      <c r="J84" s="2342"/>
      <c r="K84" s="2384">
        <f>H84*I84/1000</f>
        <v>5</v>
      </c>
      <c r="L84" s="2383">
        <v>10</v>
      </c>
      <c r="M84" s="2333">
        <v>500</v>
      </c>
      <c r="N84" s="2342"/>
      <c r="O84" s="2385">
        <f>L84*M84/1000</f>
        <v>5</v>
      </c>
      <c r="P84" s="2383">
        <v>10</v>
      </c>
      <c r="Q84" s="2333">
        <v>500</v>
      </c>
      <c r="R84" s="2342"/>
      <c r="S84" s="2342">
        <f t="shared" si="10"/>
        <v>0</v>
      </c>
      <c r="T84" s="2342"/>
      <c r="U84" s="2384">
        <f>P84*Q84/1000</f>
        <v>5</v>
      </c>
      <c r="V84" s="2396">
        <f t="shared" si="8"/>
        <v>0</v>
      </c>
      <c r="W84" s="2394">
        <f t="shared" si="9"/>
        <v>0</v>
      </c>
      <c r="X84" s="2342"/>
      <c r="Y84" s="2342"/>
      <c r="Z84" s="2387"/>
      <c r="AA84" s="2296" t="s">
        <v>1665</v>
      </c>
    </row>
    <row r="85" spans="1:27" s="2408" customFormat="1" ht="31.5" hidden="1" x14ac:dyDescent="0.25">
      <c r="A85" s="2366">
        <v>7</v>
      </c>
      <c r="B85" s="2401"/>
      <c r="C85" s="2367" t="s">
        <v>2107</v>
      </c>
      <c r="D85" s="2402"/>
      <c r="E85" s="2403"/>
      <c r="F85" s="2402">
        <f>F86+F91</f>
        <v>0</v>
      </c>
      <c r="G85" s="2404">
        <f>G86+G91</f>
        <v>0</v>
      </c>
      <c r="H85" s="2402"/>
      <c r="I85" s="2405"/>
      <c r="J85" s="2404">
        <f>J86+J91</f>
        <v>0</v>
      </c>
      <c r="K85" s="2404">
        <f>K86+K91</f>
        <v>10</v>
      </c>
      <c r="L85" s="2402"/>
      <c r="M85" s="2405"/>
      <c r="N85" s="2404">
        <f>N86+N91</f>
        <v>0</v>
      </c>
      <c r="O85" s="2406">
        <f>O86+O91</f>
        <v>10</v>
      </c>
      <c r="P85" s="2402"/>
      <c r="Q85" s="2405"/>
      <c r="R85" s="2404">
        <f>R86+R91</f>
        <v>0</v>
      </c>
      <c r="S85" s="2404">
        <f t="shared" si="10"/>
        <v>0</v>
      </c>
      <c r="T85" s="2404"/>
      <c r="U85" s="2404">
        <f>U86+U91</f>
        <v>6</v>
      </c>
      <c r="V85" s="2407">
        <f t="shared" si="8"/>
        <v>0</v>
      </c>
      <c r="W85" s="2349">
        <f t="shared" si="9"/>
        <v>0</v>
      </c>
      <c r="X85" s="2404"/>
      <c r="Y85" s="2404"/>
      <c r="Z85" s="2316"/>
      <c r="AA85" s="2296" t="s">
        <v>1665</v>
      </c>
    </row>
    <row r="86" spans="1:27" s="2290" customFormat="1" ht="31.5" hidden="1" x14ac:dyDescent="0.25">
      <c r="A86" s="2370"/>
      <c r="B86" s="2371">
        <v>981</v>
      </c>
      <c r="C86" s="2372" t="s">
        <v>2072</v>
      </c>
      <c r="D86" s="2323"/>
      <c r="E86" s="2409"/>
      <c r="F86" s="2409"/>
      <c r="G86" s="2323"/>
      <c r="H86" s="2323"/>
      <c r="I86" s="2409"/>
      <c r="J86" s="2409"/>
      <c r="K86" s="2389">
        <f>SUM(K87:K90)</f>
        <v>8.4</v>
      </c>
      <c r="L86" s="2323"/>
      <c r="M86" s="2409"/>
      <c r="N86" s="2409"/>
      <c r="O86" s="2410">
        <f>SUM(O87:O90)</f>
        <v>8.4</v>
      </c>
      <c r="P86" s="2323"/>
      <c r="Q86" s="2409"/>
      <c r="R86" s="2409"/>
      <c r="S86" s="2409">
        <f t="shared" si="10"/>
        <v>0</v>
      </c>
      <c r="T86" s="2409"/>
      <c r="U86" s="2389">
        <f>SUM(U87:U90)</f>
        <v>4.4000000000000004</v>
      </c>
      <c r="V86" s="2379">
        <f t="shared" si="8"/>
        <v>0</v>
      </c>
      <c r="W86" s="2373">
        <f t="shared" si="9"/>
        <v>0</v>
      </c>
      <c r="X86" s="2389"/>
      <c r="Y86" s="2389"/>
      <c r="Z86" s="2387"/>
      <c r="AA86" s="2296" t="s">
        <v>1665</v>
      </c>
    </row>
    <row r="87" spans="1:27" s="2290" customFormat="1" hidden="1" x14ac:dyDescent="0.25">
      <c r="A87" s="2380"/>
      <c r="B87" s="2381"/>
      <c r="C87" s="2328" t="s">
        <v>1612</v>
      </c>
      <c r="D87" s="2331"/>
      <c r="E87" s="2411"/>
      <c r="F87" s="2411"/>
      <c r="G87" s="2331"/>
      <c r="H87" s="2331">
        <v>16</v>
      </c>
      <c r="I87" s="2411">
        <v>100</v>
      </c>
      <c r="J87" s="2411"/>
      <c r="K87" s="2412">
        <f>H87*I87/1000</f>
        <v>1.6</v>
      </c>
      <c r="L87" s="2331">
        <v>16</v>
      </c>
      <c r="M87" s="2411">
        <v>100</v>
      </c>
      <c r="N87" s="2411"/>
      <c r="O87" s="2413">
        <f>L87*M87/1000</f>
        <v>1.6</v>
      </c>
      <c r="P87" s="2331">
        <v>14</v>
      </c>
      <c r="Q87" s="2411">
        <v>100</v>
      </c>
      <c r="R87" s="2411"/>
      <c r="S87" s="2411">
        <f t="shared" si="10"/>
        <v>0</v>
      </c>
      <c r="T87" s="2411"/>
      <c r="U87" s="2412">
        <f>P87*Q87/1000</f>
        <v>1.4</v>
      </c>
      <c r="V87" s="2386">
        <f t="shared" si="8"/>
        <v>0</v>
      </c>
      <c r="W87" s="2342">
        <f t="shared" si="9"/>
        <v>0</v>
      </c>
      <c r="X87" s="2412"/>
      <c r="Y87" s="2412"/>
      <c r="Z87" s="2387"/>
      <c r="AA87" s="2296" t="s">
        <v>1665</v>
      </c>
    </row>
    <row r="88" spans="1:27" s="2326" customFormat="1" hidden="1" x14ac:dyDescent="0.25">
      <c r="A88" s="2380"/>
      <c r="B88" s="2381"/>
      <c r="C88" s="2391" t="s">
        <v>1614</v>
      </c>
      <c r="D88" s="2331"/>
      <c r="E88" s="2411"/>
      <c r="F88" s="2411"/>
      <c r="G88" s="2331"/>
      <c r="H88" s="2331">
        <v>4</v>
      </c>
      <c r="I88" s="2411">
        <v>300</v>
      </c>
      <c r="J88" s="2411"/>
      <c r="K88" s="2412">
        <f>H88*I88/1000</f>
        <v>1.2</v>
      </c>
      <c r="L88" s="2331">
        <v>4</v>
      </c>
      <c r="M88" s="2411">
        <v>300</v>
      </c>
      <c r="N88" s="2411"/>
      <c r="O88" s="2413">
        <f>L88*M88/1000</f>
        <v>1.2</v>
      </c>
      <c r="P88" s="2331">
        <v>4</v>
      </c>
      <c r="Q88" s="2411">
        <v>380</v>
      </c>
      <c r="R88" s="2411"/>
      <c r="S88" s="2411">
        <f t="shared" si="10"/>
        <v>0</v>
      </c>
      <c r="T88" s="2411"/>
      <c r="U88" s="2412">
        <f>P88*Q88/1000</f>
        <v>1.5</v>
      </c>
      <c r="V88" s="2386">
        <f t="shared" si="8"/>
        <v>0</v>
      </c>
      <c r="W88" s="2342">
        <f t="shared" si="9"/>
        <v>0</v>
      </c>
      <c r="X88" s="2412"/>
      <c r="Y88" s="2412"/>
      <c r="Z88" s="2387"/>
      <c r="AA88" s="2296" t="s">
        <v>1665</v>
      </c>
    </row>
    <row r="89" spans="1:27" s="2326" customFormat="1" hidden="1" x14ac:dyDescent="0.25">
      <c r="A89" s="2380"/>
      <c r="B89" s="2381"/>
      <c r="C89" s="2391" t="s">
        <v>1615</v>
      </c>
      <c r="D89" s="2331"/>
      <c r="E89" s="2411"/>
      <c r="F89" s="2411"/>
      <c r="G89" s="2331"/>
      <c r="H89" s="2331">
        <v>4</v>
      </c>
      <c r="I89" s="2411">
        <v>300</v>
      </c>
      <c r="J89" s="2411"/>
      <c r="K89" s="2412">
        <f>H89*I89/1000</f>
        <v>1.2</v>
      </c>
      <c r="L89" s="2331">
        <v>4</v>
      </c>
      <c r="M89" s="2411">
        <v>300</v>
      </c>
      <c r="N89" s="2411"/>
      <c r="O89" s="2413">
        <f>L89*M89/1000</f>
        <v>1.2</v>
      </c>
      <c r="P89" s="2331">
        <v>4</v>
      </c>
      <c r="Q89" s="2411">
        <v>380</v>
      </c>
      <c r="R89" s="2411"/>
      <c r="S89" s="2411">
        <f t="shared" si="10"/>
        <v>0</v>
      </c>
      <c r="T89" s="2411"/>
      <c r="U89" s="2412">
        <f>P89*Q89/1000</f>
        <v>1.5</v>
      </c>
      <c r="V89" s="2386">
        <f t="shared" si="8"/>
        <v>0</v>
      </c>
      <c r="W89" s="2342">
        <f t="shared" si="9"/>
        <v>0</v>
      </c>
      <c r="X89" s="2412"/>
      <c r="Y89" s="2412"/>
      <c r="Z89" s="2387"/>
      <c r="AA89" s="2296" t="s">
        <v>1665</v>
      </c>
    </row>
    <row r="90" spans="1:27" s="2290" customFormat="1" ht="31.5" hidden="1" x14ac:dyDescent="0.25">
      <c r="A90" s="2380"/>
      <c r="B90" s="2381"/>
      <c r="C90" s="2391" t="s">
        <v>2108</v>
      </c>
      <c r="D90" s="2331"/>
      <c r="E90" s="2411"/>
      <c r="F90" s="2411"/>
      <c r="G90" s="2331"/>
      <c r="H90" s="2331">
        <v>2</v>
      </c>
      <c r="I90" s="2411">
        <v>2200</v>
      </c>
      <c r="J90" s="2411"/>
      <c r="K90" s="2412">
        <f>H90*I90/1000</f>
        <v>4.4000000000000004</v>
      </c>
      <c r="L90" s="2331">
        <v>2</v>
      </c>
      <c r="M90" s="2411">
        <v>2200</v>
      </c>
      <c r="N90" s="2411"/>
      <c r="O90" s="2413">
        <f>L90*M90/1000</f>
        <v>4.4000000000000004</v>
      </c>
      <c r="P90" s="2331"/>
      <c r="Q90" s="2411"/>
      <c r="R90" s="2411"/>
      <c r="S90" s="2411">
        <f t="shared" si="10"/>
        <v>0</v>
      </c>
      <c r="T90" s="2411"/>
      <c r="U90" s="2412">
        <f>P90*Q90/1000</f>
        <v>0</v>
      </c>
      <c r="V90" s="2386">
        <f t="shared" si="8"/>
        <v>0</v>
      </c>
      <c r="W90" s="2342">
        <f t="shared" si="9"/>
        <v>0</v>
      </c>
      <c r="X90" s="2412"/>
      <c r="Y90" s="2412"/>
      <c r="Z90" s="2387"/>
      <c r="AA90" s="2296" t="s">
        <v>1665</v>
      </c>
    </row>
    <row r="91" spans="1:27" s="2326" customFormat="1" x14ac:dyDescent="0.25">
      <c r="A91" s="2370"/>
      <c r="B91" s="2371">
        <v>963</v>
      </c>
      <c r="C91" s="2372" t="s">
        <v>798</v>
      </c>
      <c r="D91" s="2323"/>
      <c r="E91" s="2409"/>
      <c r="F91" s="2409"/>
      <c r="G91" s="2323"/>
      <c r="H91" s="2323"/>
      <c r="I91" s="2409"/>
      <c r="J91" s="2409"/>
      <c r="K91" s="2389">
        <f>K92</f>
        <v>1.6</v>
      </c>
      <c r="L91" s="2323"/>
      <c r="M91" s="2409"/>
      <c r="N91" s="2409"/>
      <c r="O91" s="2410">
        <f>O92</f>
        <v>1.6</v>
      </c>
      <c r="P91" s="2323"/>
      <c r="Q91" s="2409"/>
      <c r="R91" s="2409"/>
      <c r="S91" s="2409">
        <f t="shared" si="10"/>
        <v>0</v>
      </c>
      <c r="T91" s="2409"/>
      <c r="U91" s="2389">
        <f>U92</f>
        <v>1.6</v>
      </c>
      <c r="V91" s="2379">
        <f t="shared" si="8"/>
        <v>0</v>
      </c>
      <c r="W91" s="2373">
        <f t="shared" si="9"/>
        <v>0</v>
      </c>
      <c r="X91" s="2389"/>
      <c r="Y91" s="2389"/>
      <c r="Z91" s="2387"/>
      <c r="AA91" s="2296" t="s">
        <v>1665</v>
      </c>
    </row>
    <row r="92" spans="1:27" s="2290" customFormat="1" hidden="1" x14ac:dyDescent="0.25">
      <c r="A92" s="2380"/>
      <c r="B92" s="2381"/>
      <c r="C92" s="2391" t="s">
        <v>2095</v>
      </c>
      <c r="D92" s="2323"/>
      <c r="E92" s="2409"/>
      <c r="F92" s="2409"/>
      <c r="G92" s="2323"/>
      <c r="H92" s="2331">
        <v>16</v>
      </c>
      <c r="I92" s="2411">
        <v>100</v>
      </c>
      <c r="J92" s="2411"/>
      <c r="K92" s="2412">
        <f>H92*I92/1000</f>
        <v>1.6</v>
      </c>
      <c r="L92" s="2331">
        <v>16</v>
      </c>
      <c r="M92" s="2411">
        <v>100</v>
      </c>
      <c r="N92" s="2411"/>
      <c r="O92" s="2413">
        <f>L92*M92/1000</f>
        <v>1.6</v>
      </c>
      <c r="P92" s="2331">
        <v>20</v>
      </c>
      <c r="Q92" s="2411">
        <v>80</v>
      </c>
      <c r="R92" s="2411"/>
      <c r="S92" s="2411">
        <f t="shared" si="10"/>
        <v>0</v>
      </c>
      <c r="T92" s="2411"/>
      <c r="U92" s="2412">
        <f>P92*Q92/1000</f>
        <v>1.6</v>
      </c>
      <c r="V92" s="2386">
        <f t="shared" si="8"/>
        <v>0</v>
      </c>
      <c r="W92" s="2342">
        <f t="shared" si="9"/>
        <v>0</v>
      </c>
      <c r="X92" s="2412"/>
      <c r="Y92" s="2412"/>
      <c r="Z92" s="2387"/>
      <c r="AA92" s="2296" t="s">
        <v>1665</v>
      </c>
    </row>
    <row r="93" spans="1:27" s="2408" customFormat="1" ht="31.5" hidden="1" x14ac:dyDescent="0.25">
      <c r="A93" s="2366">
        <v>8</v>
      </c>
      <c r="B93" s="2401"/>
      <c r="C93" s="2367" t="s">
        <v>2109</v>
      </c>
      <c r="D93" s="2368"/>
      <c r="E93" s="2403"/>
      <c r="F93" s="2349">
        <f>F96+F102+F104+F109+F111+F113+F94+F106</f>
        <v>286.7</v>
      </c>
      <c r="G93" s="2349"/>
      <c r="H93" s="2349"/>
      <c r="I93" s="2349"/>
      <c r="J93" s="2349"/>
      <c r="K93" s="2349"/>
      <c r="L93" s="2349"/>
      <c r="M93" s="2349"/>
      <c r="N93" s="2349"/>
      <c r="O93" s="2414"/>
      <c r="P93" s="2349"/>
      <c r="Q93" s="2349"/>
      <c r="R93" s="2349"/>
      <c r="S93" s="2349">
        <f t="shared" si="10"/>
        <v>0</v>
      </c>
      <c r="T93" s="2349"/>
      <c r="U93" s="2349"/>
      <c r="V93" s="2407">
        <f t="shared" si="8"/>
        <v>0</v>
      </c>
      <c r="W93" s="2349">
        <f t="shared" si="9"/>
        <v>0</v>
      </c>
      <c r="X93" s="2349"/>
      <c r="Y93" s="2349"/>
      <c r="Z93" s="2368"/>
      <c r="AA93" s="2296" t="s">
        <v>1665</v>
      </c>
    </row>
    <row r="94" spans="1:27" s="2326" customFormat="1" ht="31.5" hidden="1" x14ac:dyDescent="0.25">
      <c r="A94" s="2371"/>
      <c r="B94" s="2371">
        <v>971</v>
      </c>
      <c r="C94" s="2372" t="s">
        <v>2110</v>
      </c>
      <c r="D94" s="2375"/>
      <c r="E94" s="2415"/>
      <c r="F94" s="2336">
        <f>F95</f>
        <v>190</v>
      </c>
      <c r="G94" s="2416"/>
      <c r="H94" s="2416"/>
      <c r="I94" s="2416"/>
      <c r="J94" s="2417"/>
      <c r="K94" s="2416"/>
      <c r="L94" s="2416"/>
      <c r="M94" s="2416"/>
      <c r="N94" s="2417"/>
      <c r="O94" s="2418"/>
      <c r="P94" s="2416"/>
      <c r="Q94" s="2416"/>
      <c r="R94" s="2417"/>
      <c r="S94" s="2417">
        <f t="shared" si="10"/>
        <v>0</v>
      </c>
      <c r="T94" s="2417"/>
      <c r="U94" s="2416"/>
      <c r="V94" s="2419">
        <f t="shared" si="8"/>
        <v>0</v>
      </c>
      <c r="W94" s="2416">
        <f t="shared" si="9"/>
        <v>0</v>
      </c>
      <c r="X94" s="2417"/>
      <c r="Y94" s="2416"/>
      <c r="Z94" s="2375"/>
      <c r="AA94" s="2296" t="s">
        <v>1665</v>
      </c>
    </row>
    <row r="95" spans="1:27" s="2290" customFormat="1" ht="47.25" hidden="1" x14ac:dyDescent="0.25">
      <c r="A95" s="2381"/>
      <c r="B95" s="2381"/>
      <c r="C95" s="2391" t="s">
        <v>2111</v>
      </c>
      <c r="D95" s="2387">
        <v>8</v>
      </c>
      <c r="E95" s="2420">
        <v>23750</v>
      </c>
      <c r="F95" s="2333">
        <f>D95*E95/1000</f>
        <v>190</v>
      </c>
      <c r="G95" s="2417"/>
      <c r="H95" s="2417"/>
      <c r="I95" s="2417"/>
      <c r="J95" s="2417"/>
      <c r="K95" s="2417"/>
      <c r="L95" s="2417"/>
      <c r="M95" s="2417"/>
      <c r="N95" s="2417"/>
      <c r="O95" s="2421"/>
      <c r="P95" s="2417"/>
      <c r="Q95" s="2417"/>
      <c r="R95" s="2417"/>
      <c r="S95" s="2417">
        <f t="shared" si="10"/>
        <v>0</v>
      </c>
      <c r="T95" s="2417"/>
      <c r="U95" s="2417"/>
      <c r="V95" s="2422">
        <f t="shared" si="8"/>
        <v>0</v>
      </c>
      <c r="W95" s="2417">
        <f t="shared" si="9"/>
        <v>0</v>
      </c>
      <c r="X95" s="2417"/>
      <c r="Y95" s="2417"/>
      <c r="Z95" s="2387"/>
      <c r="AA95" s="2296" t="s">
        <v>1665</v>
      </c>
    </row>
    <row r="96" spans="1:27" s="2326" customFormat="1" ht="31.5" hidden="1" x14ac:dyDescent="0.25">
      <c r="A96" s="2370"/>
      <c r="B96" s="2371">
        <v>955</v>
      </c>
      <c r="C96" s="2372" t="s">
        <v>1401</v>
      </c>
      <c r="D96" s="2390"/>
      <c r="E96" s="2351"/>
      <c r="F96" s="2336">
        <f>SUM(F97:F101)</f>
        <v>34.299999999999997</v>
      </c>
      <c r="G96" s="2336"/>
      <c r="H96" s="2336"/>
      <c r="I96" s="2336"/>
      <c r="J96" s="2336"/>
      <c r="K96" s="2336"/>
      <c r="L96" s="2336"/>
      <c r="M96" s="2336"/>
      <c r="N96" s="2336"/>
      <c r="O96" s="2352"/>
      <c r="P96" s="2336"/>
      <c r="Q96" s="2336"/>
      <c r="R96" s="2336"/>
      <c r="S96" s="2336">
        <f t="shared" si="10"/>
        <v>0</v>
      </c>
      <c r="T96" s="2336"/>
      <c r="U96" s="2336"/>
      <c r="V96" s="2419">
        <f t="shared" si="8"/>
        <v>0</v>
      </c>
      <c r="W96" s="2416">
        <f t="shared" si="9"/>
        <v>0</v>
      </c>
      <c r="X96" s="2417"/>
      <c r="Y96" s="2336"/>
      <c r="Z96" s="2423"/>
      <c r="AA96" s="2296" t="s">
        <v>1665</v>
      </c>
    </row>
    <row r="97" spans="1:27" s="2290" customFormat="1" hidden="1" x14ac:dyDescent="0.25">
      <c r="A97" s="2380"/>
      <c r="B97" s="2371"/>
      <c r="C97" s="2391" t="s">
        <v>2112</v>
      </c>
      <c r="D97" s="2388">
        <v>4</v>
      </c>
      <c r="E97" s="2354">
        <v>1725</v>
      </c>
      <c r="F97" s="2333">
        <f>D97*E97/1000</f>
        <v>6.9</v>
      </c>
      <c r="G97" s="2333"/>
      <c r="H97" s="2333"/>
      <c r="I97" s="2333"/>
      <c r="J97" s="2333"/>
      <c r="K97" s="2333"/>
      <c r="L97" s="2333"/>
      <c r="M97" s="2333"/>
      <c r="N97" s="2333"/>
      <c r="O97" s="2355"/>
      <c r="P97" s="2333"/>
      <c r="Q97" s="2333"/>
      <c r="R97" s="2333"/>
      <c r="S97" s="2333">
        <f t="shared" si="10"/>
        <v>0</v>
      </c>
      <c r="T97" s="2333"/>
      <c r="U97" s="2333"/>
      <c r="V97" s="2422">
        <f t="shared" si="8"/>
        <v>0</v>
      </c>
      <c r="W97" s="2417">
        <f t="shared" si="9"/>
        <v>0</v>
      </c>
      <c r="X97" s="2417"/>
      <c r="Y97" s="2333"/>
      <c r="Z97" s="2387"/>
      <c r="AA97" s="2296" t="s">
        <v>1665</v>
      </c>
    </row>
    <row r="98" spans="1:27" s="2290" customFormat="1" hidden="1" x14ac:dyDescent="0.25">
      <c r="A98" s="2380"/>
      <c r="B98" s="2371"/>
      <c r="C98" s="2391" t="s">
        <v>1737</v>
      </c>
      <c r="D98" s="2388">
        <v>1</v>
      </c>
      <c r="E98" s="2354">
        <v>3500</v>
      </c>
      <c r="F98" s="2333">
        <f>D98*E98/1000</f>
        <v>3.5</v>
      </c>
      <c r="G98" s="2333"/>
      <c r="H98" s="2333"/>
      <c r="I98" s="2333"/>
      <c r="J98" s="2333"/>
      <c r="K98" s="2333"/>
      <c r="L98" s="2333"/>
      <c r="M98" s="2333"/>
      <c r="N98" s="2333"/>
      <c r="O98" s="2355"/>
      <c r="P98" s="2333"/>
      <c r="Q98" s="2333"/>
      <c r="R98" s="2333"/>
      <c r="S98" s="2333">
        <f t="shared" si="10"/>
        <v>0</v>
      </c>
      <c r="T98" s="2333"/>
      <c r="U98" s="2333"/>
      <c r="V98" s="2422">
        <f t="shared" si="8"/>
        <v>0</v>
      </c>
      <c r="W98" s="2417">
        <f t="shared" si="9"/>
        <v>0</v>
      </c>
      <c r="X98" s="2417"/>
      <c r="Y98" s="2333"/>
      <c r="Z98" s="2387"/>
      <c r="AA98" s="2296" t="s">
        <v>1665</v>
      </c>
    </row>
    <row r="99" spans="1:27" s="2290" customFormat="1" hidden="1" x14ac:dyDescent="0.25">
      <c r="A99" s="2380"/>
      <c r="B99" s="2381"/>
      <c r="C99" s="2391" t="s">
        <v>2113</v>
      </c>
      <c r="D99" s="2388">
        <v>6</v>
      </c>
      <c r="E99" s="2354">
        <v>2000</v>
      </c>
      <c r="F99" s="2333">
        <f>D99*E99/1000</f>
        <v>12</v>
      </c>
      <c r="G99" s="2333"/>
      <c r="H99" s="2333"/>
      <c r="I99" s="2333"/>
      <c r="J99" s="2333"/>
      <c r="K99" s="2333"/>
      <c r="L99" s="2333"/>
      <c r="M99" s="2333"/>
      <c r="N99" s="2333"/>
      <c r="O99" s="2355"/>
      <c r="P99" s="2333"/>
      <c r="Q99" s="2333"/>
      <c r="R99" s="2333"/>
      <c r="S99" s="2333">
        <f t="shared" si="10"/>
        <v>0</v>
      </c>
      <c r="T99" s="2333"/>
      <c r="U99" s="2333"/>
      <c r="V99" s="2422">
        <f t="shared" si="8"/>
        <v>0</v>
      </c>
      <c r="W99" s="2417">
        <f t="shared" si="9"/>
        <v>0</v>
      </c>
      <c r="X99" s="2417"/>
      <c r="Y99" s="2333"/>
      <c r="Z99" s="2387"/>
      <c r="AA99" s="2296" t="s">
        <v>1665</v>
      </c>
    </row>
    <row r="100" spans="1:27" s="2290" customFormat="1" hidden="1" x14ac:dyDescent="0.25">
      <c r="A100" s="2380"/>
      <c r="B100" s="2381"/>
      <c r="C100" s="2391" t="s">
        <v>1754</v>
      </c>
      <c r="D100" s="2388">
        <v>2</v>
      </c>
      <c r="E100" s="2354">
        <v>2300</v>
      </c>
      <c r="F100" s="2333">
        <f>D100*E100/1000</f>
        <v>4.5999999999999996</v>
      </c>
      <c r="G100" s="2333"/>
      <c r="H100" s="2333"/>
      <c r="I100" s="2333"/>
      <c r="J100" s="2333"/>
      <c r="K100" s="2333"/>
      <c r="L100" s="2333"/>
      <c r="M100" s="2333"/>
      <c r="N100" s="2333"/>
      <c r="O100" s="2355"/>
      <c r="P100" s="2333"/>
      <c r="Q100" s="2333"/>
      <c r="R100" s="2333"/>
      <c r="S100" s="2333">
        <f t="shared" si="10"/>
        <v>0</v>
      </c>
      <c r="T100" s="2333"/>
      <c r="U100" s="2333"/>
      <c r="V100" s="2422">
        <f t="shared" si="8"/>
        <v>0</v>
      </c>
      <c r="W100" s="2417">
        <f t="shared" si="9"/>
        <v>0</v>
      </c>
      <c r="X100" s="2417"/>
      <c r="Y100" s="2333"/>
      <c r="Z100" s="2387"/>
      <c r="AA100" s="2296" t="s">
        <v>1665</v>
      </c>
    </row>
    <row r="101" spans="1:27" s="2290" customFormat="1" hidden="1" x14ac:dyDescent="0.25">
      <c r="A101" s="2380"/>
      <c r="B101" s="2381"/>
      <c r="C101" s="2328" t="s">
        <v>1234</v>
      </c>
      <c r="D101" s="2388"/>
      <c r="E101" s="2354"/>
      <c r="F101" s="2333">
        <f>SUM(F97:F100)*0.271</f>
        <v>7.3</v>
      </c>
      <c r="G101" s="2333"/>
      <c r="H101" s="2333"/>
      <c r="I101" s="2333"/>
      <c r="J101" s="2333"/>
      <c r="K101" s="2333"/>
      <c r="L101" s="2333"/>
      <c r="M101" s="2333"/>
      <c r="N101" s="2333"/>
      <c r="O101" s="2333"/>
      <c r="P101" s="2333"/>
      <c r="Q101" s="2333"/>
      <c r="R101" s="2333"/>
      <c r="S101" s="2333">
        <f t="shared" si="10"/>
        <v>0</v>
      </c>
      <c r="T101" s="2333"/>
      <c r="U101" s="2333"/>
      <c r="V101" s="2417">
        <f t="shared" si="8"/>
        <v>0</v>
      </c>
      <c r="W101" s="2417">
        <f t="shared" si="9"/>
        <v>0</v>
      </c>
      <c r="X101" s="2417"/>
      <c r="Y101" s="2333"/>
      <c r="Z101" s="2387"/>
      <c r="AA101" s="2296" t="s">
        <v>1665</v>
      </c>
    </row>
    <row r="102" spans="1:27" s="2326" customFormat="1" ht="31.5" hidden="1" x14ac:dyDescent="0.25">
      <c r="A102" s="2370"/>
      <c r="B102" s="2371">
        <v>981</v>
      </c>
      <c r="C102" s="2372" t="s">
        <v>2072</v>
      </c>
      <c r="D102" s="2390"/>
      <c r="E102" s="2351"/>
      <c r="F102" s="2336">
        <f>F103</f>
        <v>1.6</v>
      </c>
      <c r="G102" s="2336"/>
      <c r="H102" s="2336"/>
      <c r="I102" s="2336"/>
      <c r="J102" s="2336"/>
      <c r="K102" s="2336"/>
      <c r="L102" s="2336"/>
      <c r="M102" s="2336"/>
      <c r="N102" s="2336"/>
      <c r="O102" s="2336"/>
      <c r="P102" s="2336"/>
      <c r="Q102" s="2336"/>
      <c r="R102" s="2336"/>
      <c r="S102" s="2336">
        <f t="shared" si="10"/>
        <v>0</v>
      </c>
      <c r="T102" s="2336"/>
      <c r="U102" s="2336"/>
      <c r="V102" s="2416">
        <f t="shared" si="8"/>
        <v>0</v>
      </c>
      <c r="W102" s="2416">
        <f t="shared" si="9"/>
        <v>0</v>
      </c>
      <c r="X102" s="2417"/>
      <c r="Y102" s="2336"/>
      <c r="Z102" s="3461"/>
      <c r="AA102" s="2296" t="s">
        <v>1665</v>
      </c>
    </row>
    <row r="103" spans="1:27" s="2290" customFormat="1" hidden="1" x14ac:dyDescent="0.25">
      <c r="A103" s="2380"/>
      <c r="B103" s="2381"/>
      <c r="C103" s="2328" t="s">
        <v>1935</v>
      </c>
      <c r="D103" s="2388">
        <v>16</v>
      </c>
      <c r="E103" s="2354">
        <v>100</v>
      </c>
      <c r="F103" s="2333">
        <f>D103*E103/1000</f>
        <v>1.6</v>
      </c>
      <c r="G103" s="2333"/>
      <c r="H103" s="2333"/>
      <c r="I103" s="2333"/>
      <c r="J103" s="2333"/>
      <c r="K103" s="2333"/>
      <c r="L103" s="2333"/>
      <c r="M103" s="2333"/>
      <c r="N103" s="2333"/>
      <c r="O103" s="2333"/>
      <c r="P103" s="2333"/>
      <c r="Q103" s="2333"/>
      <c r="R103" s="2333"/>
      <c r="S103" s="2333">
        <f t="shared" si="10"/>
        <v>0</v>
      </c>
      <c r="T103" s="2333"/>
      <c r="U103" s="2333"/>
      <c r="V103" s="2417">
        <f t="shared" si="8"/>
        <v>0</v>
      </c>
      <c r="W103" s="2417">
        <f t="shared" si="9"/>
        <v>0</v>
      </c>
      <c r="X103" s="2417"/>
      <c r="Y103" s="2333"/>
      <c r="Z103" s="3462"/>
      <c r="AA103" s="2296" t="s">
        <v>1665</v>
      </c>
    </row>
    <row r="104" spans="1:27" s="2326" customFormat="1" x14ac:dyDescent="0.25">
      <c r="A104" s="2370"/>
      <c r="B104" s="2371">
        <v>963</v>
      </c>
      <c r="C104" s="2372" t="s">
        <v>798</v>
      </c>
      <c r="D104" s="2390"/>
      <c r="E104" s="2351"/>
      <c r="F104" s="2336">
        <f>SUM(F105:F105)</f>
        <v>25</v>
      </c>
      <c r="G104" s="2336"/>
      <c r="H104" s="2336"/>
      <c r="I104" s="2336"/>
      <c r="J104" s="2336"/>
      <c r="K104" s="2336"/>
      <c r="L104" s="2336"/>
      <c r="M104" s="2336"/>
      <c r="N104" s="2336"/>
      <c r="O104" s="2336"/>
      <c r="P104" s="2336"/>
      <c r="Q104" s="2336"/>
      <c r="R104" s="2336"/>
      <c r="S104" s="2336">
        <f t="shared" si="10"/>
        <v>0</v>
      </c>
      <c r="T104" s="2336"/>
      <c r="U104" s="2336"/>
      <c r="V104" s="2416">
        <f t="shared" si="8"/>
        <v>0</v>
      </c>
      <c r="W104" s="2416">
        <f t="shared" si="9"/>
        <v>0</v>
      </c>
      <c r="X104" s="2417"/>
      <c r="Y104" s="2336"/>
      <c r="Z104" s="3461"/>
      <c r="AA104" s="2296" t="s">
        <v>1665</v>
      </c>
    </row>
    <row r="105" spans="1:27" s="2290" customFormat="1" ht="31.5" hidden="1" x14ac:dyDescent="0.25">
      <c r="A105" s="2380"/>
      <c r="B105" s="2381"/>
      <c r="C105" s="2391" t="s">
        <v>2114</v>
      </c>
      <c r="D105" s="2388">
        <v>50</v>
      </c>
      <c r="E105" s="2354">
        <v>500</v>
      </c>
      <c r="F105" s="2333">
        <f>D105*E105/1000</f>
        <v>25</v>
      </c>
      <c r="G105" s="2333"/>
      <c r="H105" s="2333"/>
      <c r="I105" s="2333"/>
      <c r="J105" s="2333"/>
      <c r="K105" s="2333"/>
      <c r="L105" s="2333"/>
      <c r="M105" s="2333"/>
      <c r="N105" s="2333"/>
      <c r="O105" s="2333"/>
      <c r="P105" s="2333"/>
      <c r="Q105" s="2333"/>
      <c r="R105" s="2333"/>
      <c r="S105" s="2333">
        <f t="shared" si="10"/>
        <v>0</v>
      </c>
      <c r="T105" s="2333"/>
      <c r="U105" s="2333"/>
      <c r="V105" s="2417">
        <f t="shared" si="8"/>
        <v>0</v>
      </c>
      <c r="W105" s="2417">
        <f t="shared" si="9"/>
        <v>0</v>
      </c>
      <c r="X105" s="2417"/>
      <c r="Y105" s="2333"/>
      <c r="Z105" s="3462"/>
      <c r="AA105" s="2296" t="s">
        <v>1665</v>
      </c>
    </row>
    <row r="106" spans="1:27" s="2326" customFormat="1" ht="31.5" hidden="1" x14ac:dyDescent="0.25">
      <c r="A106" s="2370"/>
      <c r="B106" s="2371">
        <v>981</v>
      </c>
      <c r="C106" s="2372" t="s">
        <v>2115</v>
      </c>
      <c r="D106" s="2390"/>
      <c r="E106" s="2351"/>
      <c r="F106" s="2336">
        <f>F107+F108</f>
        <v>10</v>
      </c>
      <c r="G106" s="2336"/>
      <c r="H106" s="2336"/>
      <c r="I106" s="2336"/>
      <c r="J106" s="2336"/>
      <c r="K106" s="2336"/>
      <c r="L106" s="2336"/>
      <c r="M106" s="2336"/>
      <c r="N106" s="2336"/>
      <c r="O106" s="2336"/>
      <c r="P106" s="2336"/>
      <c r="Q106" s="2336"/>
      <c r="R106" s="2336"/>
      <c r="S106" s="2336">
        <f t="shared" si="10"/>
        <v>0</v>
      </c>
      <c r="T106" s="2336"/>
      <c r="U106" s="2336"/>
      <c r="V106" s="2416">
        <f t="shared" si="8"/>
        <v>0</v>
      </c>
      <c r="W106" s="2416">
        <f t="shared" si="9"/>
        <v>0</v>
      </c>
      <c r="X106" s="2416"/>
      <c r="Y106" s="2336"/>
      <c r="Z106" s="2424"/>
      <c r="AA106" s="2296" t="s">
        <v>1665</v>
      </c>
    </row>
    <row r="107" spans="1:27" s="2290" customFormat="1" hidden="1" x14ac:dyDescent="0.25">
      <c r="A107" s="2380"/>
      <c r="B107" s="2381"/>
      <c r="C107" s="2391" t="s">
        <v>2116</v>
      </c>
      <c r="D107" s="2388">
        <v>50</v>
      </c>
      <c r="E107" s="2354">
        <v>100</v>
      </c>
      <c r="F107" s="2333">
        <f>D107*E107/1000</f>
        <v>5</v>
      </c>
      <c r="G107" s="2333"/>
      <c r="H107" s="2333"/>
      <c r="I107" s="2333"/>
      <c r="J107" s="2333"/>
      <c r="K107" s="2333"/>
      <c r="L107" s="2333"/>
      <c r="M107" s="2333"/>
      <c r="N107" s="2333"/>
      <c r="O107" s="2333"/>
      <c r="P107" s="2333"/>
      <c r="Q107" s="2333"/>
      <c r="R107" s="2333"/>
      <c r="S107" s="2333">
        <f t="shared" si="10"/>
        <v>0</v>
      </c>
      <c r="T107" s="2333"/>
      <c r="U107" s="2333"/>
      <c r="V107" s="2417">
        <f t="shared" si="8"/>
        <v>0</v>
      </c>
      <c r="W107" s="2417">
        <f t="shared" si="9"/>
        <v>0</v>
      </c>
      <c r="X107" s="2417"/>
      <c r="Y107" s="2333"/>
      <c r="Z107" s="2424"/>
      <c r="AA107" s="2296" t="s">
        <v>1665</v>
      </c>
    </row>
    <row r="108" spans="1:27" s="2290" customFormat="1" hidden="1" x14ac:dyDescent="0.25">
      <c r="A108" s="2380"/>
      <c r="B108" s="2381"/>
      <c r="C108" s="2391" t="s">
        <v>2117</v>
      </c>
      <c r="D108" s="2388">
        <v>50</v>
      </c>
      <c r="E108" s="2354">
        <v>100</v>
      </c>
      <c r="F108" s="2333">
        <f>D108*E108/1000</f>
        <v>5</v>
      </c>
      <c r="G108" s="2333"/>
      <c r="H108" s="2333"/>
      <c r="I108" s="2333"/>
      <c r="J108" s="2333"/>
      <c r="K108" s="2333"/>
      <c r="L108" s="2333"/>
      <c r="M108" s="2333"/>
      <c r="N108" s="2333"/>
      <c r="O108" s="2333"/>
      <c r="P108" s="2333"/>
      <c r="Q108" s="2333"/>
      <c r="R108" s="2333"/>
      <c r="S108" s="2333">
        <f t="shared" si="10"/>
        <v>0</v>
      </c>
      <c r="T108" s="2333"/>
      <c r="U108" s="2333"/>
      <c r="V108" s="2417">
        <f t="shared" si="8"/>
        <v>0</v>
      </c>
      <c r="W108" s="2417">
        <f t="shared" si="9"/>
        <v>0</v>
      </c>
      <c r="X108" s="2417"/>
      <c r="Y108" s="2333"/>
      <c r="Z108" s="2424"/>
      <c r="AA108" s="2296" t="s">
        <v>1665</v>
      </c>
    </row>
    <row r="109" spans="1:27" s="2326" customFormat="1" hidden="1" x14ac:dyDescent="0.25">
      <c r="A109" s="2370"/>
      <c r="B109" s="2371">
        <v>981</v>
      </c>
      <c r="C109" s="2372" t="s">
        <v>1226</v>
      </c>
      <c r="D109" s="2390"/>
      <c r="E109" s="2351"/>
      <c r="F109" s="2336">
        <f>F110</f>
        <v>6</v>
      </c>
      <c r="G109" s="2336"/>
      <c r="H109" s="2336"/>
      <c r="I109" s="2336"/>
      <c r="J109" s="2336"/>
      <c r="K109" s="2336"/>
      <c r="L109" s="2336"/>
      <c r="M109" s="2336"/>
      <c r="N109" s="2336"/>
      <c r="O109" s="2336"/>
      <c r="P109" s="2336"/>
      <c r="Q109" s="2336"/>
      <c r="R109" s="2336"/>
      <c r="S109" s="2336">
        <f t="shared" si="10"/>
        <v>0</v>
      </c>
      <c r="T109" s="2336"/>
      <c r="U109" s="2336"/>
      <c r="V109" s="2416">
        <f t="shared" si="8"/>
        <v>0</v>
      </c>
      <c r="W109" s="2416">
        <f t="shared" si="9"/>
        <v>0</v>
      </c>
      <c r="X109" s="2417"/>
      <c r="Y109" s="2336"/>
      <c r="Z109" s="3461"/>
      <c r="AA109" s="2296" t="s">
        <v>1665</v>
      </c>
    </row>
    <row r="110" spans="1:27" s="2290" customFormat="1" hidden="1" x14ac:dyDescent="0.25">
      <c r="A110" s="2380"/>
      <c r="B110" s="2381"/>
      <c r="C110" s="2391" t="s">
        <v>2058</v>
      </c>
      <c r="D110" s="2388">
        <v>1</v>
      </c>
      <c r="E110" s="2354">
        <v>6000</v>
      </c>
      <c r="F110" s="2333">
        <f>D110*E110/1000</f>
        <v>6</v>
      </c>
      <c r="G110" s="2333"/>
      <c r="H110" s="2333"/>
      <c r="I110" s="2333"/>
      <c r="J110" s="2333"/>
      <c r="K110" s="2333"/>
      <c r="L110" s="2333"/>
      <c r="M110" s="2333"/>
      <c r="N110" s="2333"/>
      <c r="O110" s="2333"/>
      <c r="P110" s="2333"/>
      <c r="Q110" s="2333"/>
      <c r="R110" s="2333"/>
      <c r="S110" s="2333">
        <f t="shared" si="10"/>
        <v>0</v>
      </c>
      <c r="T110" s="2333"/>
      <c r="U110" s="2333"/>
      <c r="V110" s="2417">
        <f t="shared" si="8"/>
        <v>0</v>
      </c>
      <c r="W110" s="2417">
        <f t="shared" si="9"/>
        <v>0</v>
      </c>
      <c r="X110" s="2417"/>
      <c r="Y110" s="2333"/>
      <c r="Z110" s="3463"/>
      <c r="AA110" s="2296" t="s">
        <v>1665</v>
      </c>
    </row>
    <row r="111" spans="1:27" s="2326" customFormat="1" hidden="1" x14ac:dyDescent="0.25">
      <c r="A111" s="2370"/>
      <c r="B111" s="2371">
        <v>981</v>
      </c>
      <c r="C111" s="2372" t="s">
        <v>2104</v>
      </c>
      <c r="D111" s="2390"/>
      <c r="E111" s="2351"/>
      <c r="F111" s="2336">
        <f>F112</f>
        <v>4.8</v>
      </c>
      <c r="G111" s="2336"/>
      <c r="H111" s="2336"/>
      <c r="I111" s="2336"/>
      <c r="J111" s="2336"/>
      <c r="K111" s="2336"/>
      <c r="L111" s="2336"/>
      <c r="M111" s="2336"/>
      <c r="N111" s="2336"/>
      <c r="O111" s="2336"/>
      <c r="P111" s="2336"/>
      <c r="Q111" s="2336"/>
      <c r="R111" s="2336"/>
      <c r="S111" s="2336">
        <f t="shared" si="10"/>
        <v>0</v>
      </c>
      <c r="T111" s="2336"/>
      <c r="U111" s="2336"/>
      <c r="V111" s="2416">
        <f t="shared" si="8"/>
        <v>0</v>
      </c>
      <c r="W111" s="2416">
        <f t="shared" si="9"/>
        <v>0</v>
      </c>
      <c r="X111" s="2417"/>
      <c r="Y111" s="2336"/>
      <c r="Z111" s="3463"/>
      <c r="AA111" s="2296" t="s">
        <v>1665</v>
      </c>
    </row>
    <row r="112" spans="1:27" s="2290" customFormat="1" hidden="1" x14ac:dyDescent="0.25">
      <c r="A112" s="2380"/>
      <c r="B112" s="2381"/>
      <c r="C112" s="2391" t="s">
        <v>2105</v>
      </c>
      <c r="D112" s="2388">
        <v>80</v>
      </c>
      <c r="E112" s="2354">
        <v>60</v>
      </c>
      <c r="F112" s="2333">
        <f>D112*E112/1000</f>
        <v>4.8</v>
      </c>
      <c r="G112" s="2333"/>
      <c r="H112" s="2333"/>
      <c r="I112" s="2333"/>
      <c r="J112" s="2333"/>
      <c r="K112" s="2333"/>
      <c r="L112" s="2333"/>
      <c r="M112" s="2333"/>
      <c r="N112" s="2333"/>
      <c r="O112" s="2333"/>
      <c r="P112" s="2333"/>
      <c r="Q112" s="2333"/>
      <c r="R112" s="2333"/>
      <c r="S112" s="2333">
        <f t="shared" si="10"/>
        <v>0</v>
      </c>
      <c r="T112" s="2333"/>
      <c r="U112" s="2333"/>
      <c r="V112" s="2417">
        <f t="shared" si="8"/>
        <v>0</v>
      </c>
      <c r="W112" s="2417">
        <f t="shared" si="9"/>
        <v>0</v>
      </c>
      <c r="X112" s="2417"/>
      <c r="Y112" s="2333"/>
      <c r="Z112" s="3464"/>
      <c r="AA112" s="2296" t="s">
        <v>1665</v>
      </c>
    </row>
    <row r="113" spans="1:29" s="2326" customFormat="1" hidden="1" x14ac:dyDescent="0.25">
      <c r="A113" s="2370"/>
      <c r="B113" s="2371">
        <v>922</v>
      </c>
      <c r="C113" s="2372" t="s">
        <v>1227</v>
      </c>
      <c r="D113" s="2390">
        <v>6</v>
      </c>
      <c r="E113" s="2351">
        <v>2500</v>
      </c>
      <c r="F113" s="2336">
        <f>D113*E113/1000</f>
        <v>15</v>
      </c>
      <c r="G113" s="2336"/>
      <c r="H113" s="2336"/>
      <c r="I113" s="2336"/>
      <c r="J113" s="2336"/>
      <c r="K113" s="2336"/>
      <c r="L113" s="2336"/>
      <c r="M113" s="2336"/>
      <c r="N113" s="2336"/>
      <c r="O113" s="2336"/>
      <c r="P113" s="2336"/>
      <c r="Q113" s="2336"/>
      <c r="R113" s="2336"/>
      <c r="S113" s="2336">
        <f t="shared" si="10"/>
        <v>0</v>
      </c>
      <c r="T113" s="2336"/>
      <c r="U113" s="2336"/>
      <c r="V113" s="2416">
        <f t="shared" si="8"/>
        <v>0</v>
      </c>
      <c r="W113" s="2416">
        <f t="shared" si="9"/>
        <v>0</v>
      </c>
      <c r="X113" s="2417"/>
      <c r="Y113" s="2336"/>
      <c r="Z113" s="2387"/>
      <c r="AA113" s="2296" t="s">
        <v>1665</v>
      </c>
    </row>
    <row r="114" spans="1:29" s="2350" customFormat="1" ht="47.25" hidden="1" x14ac:dyDescent="0.2">
      <c r="A114" s="2366">
        <v>9</v>
      </c>
      <c r="B114" s="2401"/>
      <c r="C114" s="2367" t="s">
        <v>2118</v>
      </c>
      <c r="D114" s="2368"/>
      <c r="E114" s="2403"/>
      <c r="F114" s="2349">
        <f>SUM(F115:F119)</f>
        <v>301.3</v>
      </c>
      <c r="G114" s="2349">
        <f>SUM(G115:G119)</f>
        <v>0</v>
      </c>
      <c r="H114" s="2349"/>
      <c r="I114" s="2349"/>
      <c r="J114" s="2349">
        <f>SUM(J115:J119)</f>
        <v>280</v>
      </c>
      <c r="K114" s="2349">
        <f>SUM(K115:K119)</f>
        <v>271</v>
      </c>
      <c r="L114" s="2349"/>
      <c r="M114" s="2349"/>
      <c r="N114" s="2349">
        <f>SUM(N115:N119)</f>
        <v>280</v>
      </c>
      <c r="O114" s="2414">
        <f>SUM(O115:O119)</f>
        <v>271</v>
      </c>
      <c r="P114" s="2349"/>
      <c r="Q114" s="2349"/>
      <c r="R114" s="2349">
        <f>SUM(R115:R119)</f>
        <v>280</v>
      </c>
      <c r="S114" s="2349">
        <f t="shared" si="10"/>
        <v>280</v>
      </c>
      <c r="T114" s="2349"/>
      <c r="U114" s="2349">
        <f>SUM(U115:U119)</f>
        <v>271</v>
      </c>
      <c r="V114" s="2349">
        <f t="shared" si="8"/>
        <v>0</v>
      </c>
      <c r="W114" s="2349">
        <f t="shared" si="9"/>
        <v>100</v>
      </c>
      <c r="X114" s="2349">
        <f>SUM(X115:X119)</f>
        <v>300</v>
      </c>
      <c r="Y114" s="2349">
        <f>SUM(Y115:Y119)</f>
        <v>300</v>
      </c>
      <c r="Z114" s="2425"/>
      <c r="AA114" s="2296" t="s">
        <v>1665</v>
      </c>
    </row>
    <row r="115" spans="1:29" s="2290" customFormat="1" hidden="1" x14ac:dyDescent="0.25">
      <c r="A115" s="2380"/>
      <c r="B115" s="2325">
        <v>966</v>
      </c>
      <c r="C115" s="2328" t="s">
        <v>2119</v>
      </c>
      <c r="D115" s="2329">
        <v>14</v>
      </c>
      <c r="E115" s="2330">
        <v>21518</v>
      </c>
      <c r="F115" s="2333">
        <f>D115*E115/1000</f>
        <v>301.3</v>
      </c>
      <c r="G115" s="2333"/>
      <c r="H115" s="2417">
        <v>12</v>
      </c>
      <c r="I115" s="2417">
        <f>J115/H115*1000</f>
        <v>23333.3</v>
      </c>
      <c r="J115" s="2417">
        <v>280</v>
      </c>
      <c r="K115" s="2417"/>
      <c r="L115" s="2417">
        <v>12</v>
      </c>
      <c r="M115" s="2417">
        <f>N115/L115*1000</f>
        <v>23333.3</v>
      </c>
      <c r="N115" s="2417">
        <v>280</v>
      </c>
      <c r="O115" s="2421"/>
      <c r="P115" s="2417">
        <v>10</v>
      </c>
      <c r="Q115" s="2417">
        <v>28000</v>
      </c>
      <c r="R115" s="2417">
        <f>P115*Q115/1000</f>
        <v>280</v>
      </c>
      <c r="S115" s="2417">
        <f t="shared" si="10"/>
        <v>280</v>
      </c>
      <c r="T115" s="2417"/>
      <c r="U115" s="2417"/>
      <c r="V115" s="2417">
        <f t="shared" si="8"/>
        <v>0</v>
      </c>
      <c r="W115" s="2417">
        <f t="shared" si="9"/>
        <v>100</v>
      </c>
      <c r="X115" s="2417">
        <v>300</v>
      </c>
      <c r="Y115" s="2417">
        <v>300</v>
      </c>
      <c r="Z115" s="3465"/>
      <c r="AA115" s="2296" t="s">
        <v>1665</v>
      </c>
    </row>
    <row r="116" spans="1:29" s="2290" customFormat="1" ht="31.5" hidden="1" x14ac:dyDescent="0.25">
      <c r="A116" s="2380"/>
      <c r="B116" s="2325">
        <v>966</v>
      </c>
      <c r="C116" s="2328" t="s">
        <v>2120</v>
      </c>
      <c r="D116" s="2329"/>
      <c r="E116" s="2330"/>
      <c r="F116" s="2333"/>
      <c r="G116" s="2333">
        <f>D116*E116/1000</f>
        <v>0</v>
      </c>
      <c r="H116" s="2417">
        <v>12</v>
      </c>
      <c r="I116" s="2417">
        <v>14000</v>
      </c>
      <c r="J116" s="2417"/>
      <c r="K116" s="2417">
        <v>168</v>
      </c>
      <c r="L116" s="2417">
        <v>12</v>
      </c>
      <c r="M116" s="2417">
        <v>14000</v>
      </c>
      <c r="N116" s="2417"/>
      <c r="O116" s="2421">
        <v>168</v>
      </c>
      <c r="P116" s="2417">
        <v>10</v>
      </c>
      <c r="Q116" s="2417">
        <v>28000</v>
      </c>
      <c r="R116" s="2417"/>
      <c r="S116" s="2417">
        <f t="shared" si="10"/>
        <v>0</v>
      </c>
      <c r="T116" s="2417"/>
      <c r="U116" s="2417">
        <v>168</v>
      </c>
      <c r="V116" s="2417">
        <f t="shared" si="8"/>
        <v>0</v>
      </c>
      <c r="W116" s="2417">
        <f t="shared" si="9"/>
        <v>0</v>
      </c>
      <c r="X116" s="2417"/>
      <c r="Y116" s="2417"/>
      <c r="Z116" s="3466"/>
      <c r="AA116" s="2296" t="s">
        <v>1665</v>
      </c>
    </row>
    <row r="117" spans="1:29" s="2290" customFormat="1" ht="31.5" hidden="1" x14ac:dyDescent="0.25">
      <c r="A117" s="2380"/>
      <c r="B117" s="2325">
        <v>912</v>
      </c>
      <c r="C117" s="2328" t="s">
        <v>2121</v>
      </c>
      <c r="D117" s="2329"/>
      <c r="E117" s="2330"/>
      <c r="F117" s="2333"/>
      <c r="G117" s="2333">
        <f>D117*E117/1000</f>
        <v>0</v>
      </c>
      <c r="H117" s="2417">
        <v>2</v>
      </c>
      <c r="I117" s="2417">
        <v>3500</v>
      </c>
      <c r="J117" s="2417"/>
      <c r="K117" s="2417">
        <v>7</v>
      </c>
      <c r="L117" s="2417">
        <v>2</v>
      </c>
      <c r="M117" s="2417">
        <v>3500</v>
      </c>
      <c r="N117" s="2417"/>
      <c r="O117" s="2421">
        <v>7</v>
      </c>
      <c r="P117" s="2417">
        <v>2</v>
      </c>
      <c r="Q117" s="2417">
        <v>3500</v>
      </c>
      <c r="R117" s="2417"/>
      <c r="S117" s="2417">
        <f t="shared" si="10"/>
        <v>0</v>
      </c>
      <c r="T117" s="2417"/>
      <c r="U117" s="2417">
        <v>7</v>
      </c>
      <c r="V117" s="2417">
        <f t="shared" si="8"/>
        <v>0</v>
      </c>
      <c r="W117" s="2417">
        <f t="shared" si="9"/>
        <v>0</v>
      </c>
      <c r="X117" s="2417"/>
      <c r="Y117" s="2417"/>
      <c r="Z117" s="3466"/>
      <c r="AA117" s="2296" t="s">
        <v>1665</v>
      </c>
    </row>
    <row r="118" spans="1:29" s="2431" customFormat="1" ht="31.5" hidden="1" x14ac:dyDescent="0.25">
      <c r="A118" s="2426"/>
      <c r="B118" s="2427">
        <v>921</v>
      </c>
      <c r="C118" s="2428" t="s">
        <v>2122</v>
      </c>
      <c r="D118" s="2329"/>
      <c r="E118" s="2330"/>
      <c r="F118" s="2333"/>
      <c r="G118" s="2333">
        <f>D118*E118/1000</f>
        <v>0</v>
      </c>
      <c r="H118" s="2417">
        <v>2</v>
      </c>
      <c r="I118" s="2417">
        <v>34000</v>
      </c>
      <c r="J118" s="2417"/>
      <c r="K118" s="2417">
        <v>68</v>
      </c>
      <c r="L118" s="2417">
        <v>2</v>
      </c>
      <c r="M118" s="2417">
        <v>34000</v>
      </c>
      <c r="N118" s="2417"/>
      <c r="O118" s="2421">
        <v>68</v>
      </c>
      <c r="P118" s="2429">
        <v>2</v>
      </c>
      <c r="Q118" s="2429">
        <v>34000</v>
      </c>
      <c r="R118" s="2429"/>
      <c r="S118" s="2429">
        <f t="shared" si="10"/>
        <v>0</v>
      </c>
      <c r="T118" s="2429"/>
      <c r="U118" s="2429">
        <v>68</v>
      </c>
      <c r="V118" s="2429">
        <f t="shared" si="8"/>
        <v>0</v>
      </c>
      <c r="W118" s="2429">
        <f t="shared" si="9"/>
        <v>0</v>
      </c>
      <c r="X118" s="2429"/>
      <c r="Y118" s="2429"/>
      <c r="Z118" s="3467"/>
      <c r="AA118" s="2430" t="s">
        <v>1665</v>
      </c>
    </row>
    <row r="119" spans="1:29" s="2290" customFormat="1" ht="31.5" hidden="1" x14ac:dyDescent="0.25">
      <c r="A119" s="2380"/>
      <c r="B119" s="2325">
        <v>952</v>
      </c>
      <c r="C119" s="2328" t="s">
        <v>2123</v>
      </c>
      <c r="D119" s="2329"/>
      <c r="E119" s="2330"/>
      <c r="F119" s="2333"/>
      <c r="G119" s="2333">
        <f>D119*E119/1000</f>
        <v>0</v>
      </c>
      <c r="H119" s="2417">
        <v>2</v>
      </c>
      <c r="I119" s="2417">
        <v>14000</v>
      </c>
      <c r="J119" s="2417"/>
      <c r="K119" s="2417">
        <v>28</v>
      </c>
      <c r="L119" s="2417">
        <v>2</v>
      </c>
      <c r="M119" s="2417">
        <v>14000</v>
      </c>
      <c r="N119" s="2417"/>
      <c r="O119" s="2421">
        <v>28</v>
      </c>
      <c r="P119" s="2417">
        <v>2</v>
      </c>
      <c r="Q119" s="2417">
        <v>14000</v>
      </c>
      <c r="R119" s="2417"/>
      <c r="S119" s="2417">
        <f t="shared" si="10"/>
        <v>0</v>
      </c>
      <c r="T119" s="2417"/>
      <c r="U119" s="2417">
        <v>28</v>
      </c>
      <c r="V119" s="2417">
        <f t="shared" si="8"/>
        <v>0</v>
      </c>
      <c r="W119" s="2417">
        <f t="shared" si="9"/>
        <v>0</v>
      </c>
      <c r="X119" s="2417"/>
      <c r="Y119" s="2417"/>
      <c r="Z119" s="3468"/>
      <c r="AA119" s="2296" t="s">
        <v>1665</v>
      </c>
    </row>
    <row r="120" spans="1:29" s="2439" customFormat="1" ht="31.5" hidden="1" x14ac:dyDescent="0.2">
      <c r="A120" s="2432">
        <v>10</v>
      </c>
      <c r="B120" s="2433"/>
      <c r="C120" s="2434" t="s">
        <v>843</v>
      </c>
      <c r="D120" s="2435"/>
      <c r="E120" s="2436"/>
      <c r="F120" s="2435">
        <f>F121+F126+F130+F142</f>
        <v>102.1</v>
      </c>
      <c r="G120" s="2435">
        <v>0</v>
      </c>
      <c r="H120" s="2435"/>
      <c r="I120" s="2435"/>
      <c r="J120" s="2436">
        <f>J121+J126+J130+J142</f>
        <v>102.1</v>
      </c>
      <c r="K120" s="2435"/>
      <c r="L120" s="2435"/>
      <c r="M120" s="2435"/>
      <c r="N120" s="2436">
        <f>N121+N126+N130+N142</f>
        <v>102.1</v>
      </c>
      <c r="O120" s="2437"/>
      <c r="P120" s="2435"/>
      <c r="Q120" s="2435"/>
      <c r="R120" s="2435">
        <f>R121+R126+R130+R142</f>
        <v>103.1</v>
      </c>
      <c r="S120" s="2435">
        <f t="shared" si="10"/>
        <v>103.1</v>
      </c>
      <c r="T120" s="2435"/>
      <c r="U120" s="2435">
        <f t="shared" ref="U120:Y120" si="11">U121+U126+U130+U142</f>
        <v>0</v>
      </c>
      <c r="V120" s="2436">
        <f t="shared" si="8"/>
        <v>1</v>
      </c>
      <c r="W120" s="2436">
        <f t="shared" si="9"/>
        <v>100.98</v>
      </c>
      <c r="X120" s="2436">
        <f>X121+X126+X130+X142</f>
        <v>52.1</v>
      </c>
      <c r="Y120" s="2436">
        <f t="shared" si="11"/>
        <v>52.1</v>
      </c>
      <c r="Z120" s="2438"/>
      <c r="AA120" s="2296" t="s">
        <v>1665</v>
      </c>
      <c r="AC120" s="2439" t="s">
        <v>844</v>
      </c>
    </row>
    <row r="121" spans="1:29" s="2326" customFormat="1" hidden="1" x14ac:dyDescent="0.25">
      <c r="A121" s="2370"/>
      <c r="B121" s="2319">
        <v>981</v>
      </c>
      <c r="C121" s="2320" t="s">
        <v>2124</v>
      </c>
      <c r="D121" s="2361"/>
      <c r="E121" s="2397"/>
      <c r="F121" s="2389">
        <f>SUM(F122:F125)</f>
        <v>71.5</v>
      </c>
      <c r="G121" s="2416"/>
      <c r="H121" s="2416"/>
      <c r="I121" s="2416"/>
      <c r="J121" s="2389">
        <f>SUM(J122:J125)</f>
        <v>71.5</v>
      </c>
      <c r="K121" s="2416"/>
      <c r="L121" s="2416"/>
      <c r="M121" s="2416"/>
      <c r="N121" s="2389">
        <f>SUM(N122:N125)</f>
        <v>71.5</v>
      </c>
      <c r="O121" s="2418"/>
      <c r="P121" s="2416"/>
      <c r="Q121" s="2416"/>
      <c r="R121" s="2389">
        <f>SUM(R122:R125)</f>
        <v>32.1</v>
      </c>
      <c r="S121" s="2389">
        <f t="shared" si="10"/>
        <v>32.1</v>
      </c>
      <c r="T121" s="2389"/>
      <c r="U121" s="2389">
        <f t="shared" ref="U121:Y121" si="12">SUM(U122:U125)</f>
        <v>0</v>
      </c>
      <c r="V121" s="2389">
        <f t="shared" si="8"/>
        <v>-39.4</v>
      </c>
      <c r="W121" s="2389">
        <f t="shared" si="9"/>
        <v>44.9</v>
      </c>
      <c r="X121" s="2389">
        <f>SUM(X122:X125)</f>
        <v>32.1</v>
      </c>
      <c r="Y121" s="2389">
        <f t="shared" si="12"/>
        <v>32.1</v>
      </c>
      <c r="Z121" s="2440"/>
      <c r="AA121" s="2296" t="s">
        <v>1665</v>
      </c>
    </row>
    <row r="122" spans="1:29" s="2290" customFormat="1" hidden="1" x14ac:dyDescent="0.25">
      <c r="A122" s="2380"/>
      <c r="B122" s="2325"/>
      <c r="C122" s="2328" t="s">
        <v>2125</v>
      </c>
      <c r="D122" s="2364">
        <v>1500</v>
      </c>
      <c r="E122" s="2441">
        <v>15</v>
      </c>
      <c r="F122" s="2412">
        <f>D122*E122/1000</f>
        <v>22.5</v>
      </c>
      <c r="G122" s="2417"/>
      <c r="H122" s="2417">
        <v>1500</v>
      </c>
      <c r="I122" s="2417">
        <v>15</v>
      </c>
      <c r="J122" s="2417">
        <f>H122*I122/1000</f>
        <v>22.5</v>
      </c>
      <c r="K122" s="2417"/>
      <c r="L122" s="2417">
        <v>1500</v>
      </c>
      <c r="M122" s="2417">
        <v>15</v>
      </c>
      <c r="N122" s="2417">
        <f>L122*M122/1000</f>
        <v>22.5</v>
      </c>
      <c r="O122" s="2421"/>
      <c r="P122" s="2417">
        <v>800</v>
      </c>
      <c r="Q122" s="2417">
        <v>15</v>
      </c>
      <c r="R122" s="2417">
        <f>P122*Q122/1000</f>
        <v>12</v>
      </c>
      <c r="S122" s="2417">
        <f t="shared" si="10"/>
        <v>12</v>
      </c>
      <c r="T122" s="2417"/>
      <c r="U122" s="2417"/>
      <c r="V122" s="2417">
        <f t="shared" si="8"/>
        <v>-10.5</v>
      </c>
      <c r="W122" s="2417">
        <f t="shared" si="9"/>
        <v>53.3</v>
      </c>
      <c r="X122" s="2417">
        <v>12</v>
      </c>
      <c r="Y122" s="2417">
        <v>12</v>
      </c>
      <c r="Z122" s="2440"/>
      <c r="AA122" s="2296" t="s">
        <v>1665</v>
      </c>
    </row>
    <row r="123" spans="1:29" s="2290" customFormat="1" ht="31.5" hidden="1" x14ac:dyDescent="0.25">
      <c r="A123" s="2380"/>
      <c r="B123" s="2325"/>
      <c r="C123" s="2328" t="s">
        <v>2126</v>
      </c>
      <c r="D123" s="2364">
        <v>700</v>
      </c>
      <c r="E123" s="2441">
        <v>50</v>
      </c>
      <c r="F123" s="2412">
        <f>D123*E123/1000</f>
        <v>35</v>
      </c>
      <c r="G123" s="2417"/>
      <c r="H123" s="2417">
        <v>700</v>
      </c>
      <c r="I123" s="2417">
        <v>50</v>
      </c>
      <c r="J123" s="2417">
        <f>H123*I123/1000</f>
        <v>35</v>
      </c>
      <c r="K123" s="2417"/>
      <c r="L123" s="2417">
        <v>700</v>
      </c>
      <c r="M123" s="2417">
        <v>50</v>
      </c>
      <c r="N123" s="2417">
        <f>L123*M123/1000</f>
        <v>35</v>
      </c>
      <c r="O123" s="2421"/>
      <c r="P123" s="2417">
        <v>880</v>
      </c>
      <c r="Q123" s="2417">
        <v>20</v>
      </c>
      <c r="R123" s="2417">
        <f>P123*Q123/1000</f>
        <v>17.600000000000001</v>
      </c>
      <c r="S123" s="2417">
        <f t="shared" si="10"/>
        <v>17.600000000000001</v>
      </c>
      <c r="T123" s="2417"/>
      <c r="U123" s="2417"/>
      <c r="V123" s="2417">
        <f t="shared" si="8"/>
        <v>-17.399999999999999</v>
      </c>
      <c r="W123" s="2417">
        <f t="shared" si="9"/>
        <v>50.3</v>
      </c>
      <c r="X123" s="2417">
        <v>17.600000000000001</v>
      </c>
      <c r="Y123" s="2417">
        <v>17.600000000000001</v>
      </c>
      <c r="Z123" s="2442"/>
      <c r="AA123" s="2296" t="s">
        <v>1665</v>
      </c>
    </row>
    <row r="124" spans="1:29" s="2290" customFormat="1" hidden="1" x14ac:dyDescent="0.25">
      <c r="A124" s="2380"/>
      <c r="B124" s="2325"/>
      <c r="C124" s="2358" t="s">
        <v>1828</v>
      </c>
      <c r="D124" s="2364"/>
      <c r="E124" s="2441"/>
      <c r="F124" s="2412"/>
      <c r="G124" s="2417"/>
      <c r="H124" s="2417"/>
      <c r="I124" s="2417"/>
      <c r="J124" s="2417"/>
      <c r="K124" s="2417"/>
      <c r="L124" s="2417"/>
      <c r="M124" s="2417"/>
      <c r="N124" s="2417"/>
      <c r="O124" s="2421"/>
      <c r="P124" s="2417">
        <v>50</v>
      </c>
      <c r="Q124" s="2417">
        <v>50</v>
      </c>
      <c r="R124" s="2417">
        <f>P124*Q124/1000</f>
        <v>2.5</v>
      </c>
      <c r="S124" s="2417">
        <f t="shared" si="10"/>
        <v>2.5</v>
      </c>
      <c r="T124" s="2417"/>
      <c r="U124" s="2417"/>
      <c r="V124" s="2417">
        <f t="shared" si="8"/>
        <v>2.5</v>
      </c>
      <c r="W124" s="2417">
        <f t="shared" si="9"/>
        <v>0</v>
      </c>
      <c r="X124" s="2417">
        <v>2.5</v>
      </c>
      <c r="Y124" s="2417">
        <v>2.5</v>
      </c>
      <c r="Z124" s="2442" t="s">
        <v>2085</v>
      </c>
      <c r="AA124" s="2296" t="s">
        <v>1665</v>
      </c>
    </row>
    <row r="125" spans="1:29" s="2290" customFormat="1" hidden="1" x14ac:dyDescent="0.25">
      <c r="A125" s="2380"/>
      <c r="B125" s="2325"/>
      <c r="C125" s="2328" t="s">
        <v>2127</v>
      </c>
      <c r="D125" s="2364">
        <v>4</v>
      </c>
      <c r="E125" s="2441">
        <v>3500</v>
      </c>
      <c r="F125" s="2412">
        <f>D125*E125/1000</f>
        <v>14</v>
      </c>
      <c r="G125" s="2417"/>
      <c r="H125" s="2417">
        <v>4</v>
      </c>
      <c r="I125" s="2417">
        <v>3500</v>
      </c>
      <c r="J125" s="2417">
        <f>H125*I125/1000</f>
        <v>14</v>
      </c>
      <c r="K125" s="2417"/>
      <c r="L125" s="2417">
        <v>4</v>
      </c>
      <c r="M125" s="2417">
        <v>3500</v>
      </c>
      <c r="N125" s="2417">
        <f>L125*M125/1000</f>
        <v>14</v>
      </c>
      <c r="O125" s="2421"/>
      <c r="P125" s="2417"/>
      <c r="Q125" s="2417"/>
      <c r="R125" s="2417">
        <f>P125*Q125/1000</f>
        <v>0</v>
      </c>
      <c r="S125" s="2417">
        <f t="shared" si="10"/>
        <v>0</v>
      </c>
      <c r="T125" s="2417"/>
      <c r="U125" s="2417"/>
      <c r="V125" s="2417">
        <f t="shared" si="8"/>
        <v>-14</v>
      </c>
      <c r="W125" s="2417">
        <f t="shared" si="9"/>
        <v>0</v>
      </c>
      <c r="X125" s="2417"/>
      <c r="Y125" s="2417"/>
      <c r="Z125" s="2440"/>
      <c r="AA125" s="2296" t="s">
        <v>1665</v>
      </c>
    </row>
    <row r="126" spans="1:29" s="2326" customFormat="1" x14ac:dyDescent="0.25">
      <c r="A126" s="2370"/>
      <c r="B126" s="2319">
        <v>963</v>
      </c>
      <c r="C126" s="2320" t="s">
        <v>798</v>
      </c>
      <c r="D126" s="2361"/>
      <c r="E126" s="2397"/>
      <c r="F126" s="2389">
        <f>F127</f>
        <v>10</v>
      </c>
      <c r="G126" s="2416"/>
      <c r="H126" s="2416"/>
      <c r="I126" s="2416"/>
      <c r="J126" s="2389">
        <f>J127</f>
        <v>10</v>
      </c>
      <c r="K126" s="2416"/>
      <c r="L126" s="2416"/>
      <c r="M126" s="2416"/>
      <c r="N126" s="2389">
        <f>N127</f>
        <v>10</v>
      </c>
      <c r="O126" s="2418"/>
      <c r="P126" s="2416"/>
      <c r="Q126" s="2416"/>
      <c r="R126" s="2389">
        <f>SUM(R127:R129)</f>
        <v>51</v>
      </c>
      <c r="S126" s="2389"/>
      <c r="T126" s="2389"/>
      <c r="U126" s="2416"/>
      <c r="V126" s="2416">
        <f t="shared" si="8"/>
        <v>41</v>
      </c>
      <c r="W126" s="2416">
        <f t="shared" si="9"/>
        <v>510</v>
      </c>
      <c r="X126" s="2389"/>
      <c r="Y126" s="2389"/>
      <c r="Z126" s="2440"/>
      <c r="AA126" s="2296" t="s">
        <v>1665</v>
      </c>
    </row>
    <row r="127" spans="1:29" s="2290" customFormat="1" ht="31.5" hidden="1" x14ac:dyDescent="0.25">
      <c r="A127" s="2380"/>
      <c r="B127" s="2325"/>
      <c r="C127" s="2328" t="s">
        <v>2128</v>
      </c>
      <c r="D127" s="2364">
        <v>50</v>
      </c>
      <c r="E127" s="2441">
        <v>200</v>
      </c>
      <c r="F127" s="2412">
        <f>D127*E127/1000</f>
        <v>10</v>
      </c>
      <c r="G127" s="2417"/>
      <c r="H127" s="2417">
        <v>50</v>
      </c>
      <c r="I127" s="2417">
        <v>200</v>
      </c>
      <c r="J127" s="2417">
        <f>H127*I127/1000</f>
        <v>10</v>
      </c>
      <c r="K127" s="2417"/>
      <c r="L127" s="2417">
        <v>50</v>
      </c>
      <c r="M127" s="2417">
        <v>200</v>
      </c>
      <c r="N127" s="2417">
        <f>L127*M127/1000</f>
        <v>10</v>
      </c>
      <c r="O127" s="2421"/>
      <c r="P127" s="2417"/>
      <c r="Q127" s="2417"/>
      <c r="R127" s="2417"/>
      <c r="S127" s="2417">
        <f t="shared" si="10"/>
        <v>0</v>
      </c>
      <c r="T127" s="2417"/>
      <c r="U127" s="2417"/>
      <c r="V127" s="2417">
        <f t="shared" si="8"/>
        <v>-10</v>
      </c>
      <c r="W127" s="2417">
        <f t="shared" si="9"/>
        <v>0</v>
      </c>
      <c r="X127" s="2417">
        <v>10</v>
      </c>
      <c r="Y127" s="2417">
        <v>10</v>
      </c>
      <c r="Z127" s="2442"/>
      <c r="AA127" s="2296" t="s">
        <v>1665</v>
      </c>
    </row>
    <row r="128" spans="1:29" s="2290" customFormat="1" ht="31.5" hidden="1" x14ac:dyDescent="0.25">
      <c r="A128" s="2380"/>
      <c r="B128" s="2325"/>
      <c r="C128" s="2328" t="s">
        <v>1373</v>
      </c>
      <c r="D128" s="2364"/>
      <c r="E128" s="2441"/>
      <c r="F128" s="2412"/>
      <c r="G128" s="2417"/>
      <c r="H128" s="2417"/>
      <c r="I128" s="2417"/>
      <c r="J128" s="2417"/>
      <c r="K128" s="2417"/>
      <c r="L128" s="2417"/>
      <c r="M128" s="2417"/>
      <c r="N128" s="2417"/>
      <c r="O128" s="2421"/>
      <c r="P128" s="2417">
        <v>200</v>
      </c>
      <c r="Q128" s="2417">
        <v>230</v>
      </c>
      <c r="R128" s="2417">
        <f>P128*Q128/1000</f>
        <v>46</v>
      </c>
      <c r="S128" s="2417">
        <f t="shared" si="10"/>
        <v>46</v>
      </c>
      <c r="T128" s="2417"/>
      <c r="U128" s="2417"/>
      <c r="V128" s="2417">
        <f t="shared" si="8"/>
        <v>46</v>
      </c>
      <c r="W128" s="2417">
        <f t="shared" si="9"/>
        <v>0</v>
      </c>
      <c r="X128" s="2417">
        <v>40</v>
      </c>
      <c r="Y128" s="2417">
        <v>40</v>
      </c>
      <c r="Z128" s="2443" t="s">
        <v>2129</v>
      </c>
      <c r="AA128" s="2296" t="s">
        <v>1665</v>
      </c>
    </row>
    <row r="129" spans="1:27" s="2290" customFormat="1" hidden="1" x14ac:dyDescent="0.25">
      <c r="A129" s="2380"/>
      <c r="B129" s="2325"/>
      <c r="C129" s="2328" t="s">
        <v>2130</v>
      </c>
      <c r="D129" s="2364"/>
      <c r="E129" s="2441"/>
      <c r="F129" s="2412"/>
      <c r="G129" s="2417"/>
      <c r="H129" s="2417"/>
      <c r="I129" s="2417"/>
      <c r="J129" s="2417"/>
      <c r="K129" s="2417"/>
      <c r="L129" s="2417"/>
      <c r="M129" s="2417"/>
      <c r="N129" s="2417"/>
      <c r="O129" s="2421"/>
      <c r="P129" s="2417">
        <v>50</v>
      </c>
      <c r="Q129" s="2417">
        <v>0.1</v>
      </c>
      <c r="R129" s="2417">
        <f>P129*Q129</f>
        <v>5</v>
      </c>
      <c r="S129" s="2417">
        <f t="shared" si="10"/>
        <v>5</v>
      </c>
      <c r="T129" s="2417"/>
      <c r="U129" s="2417"/>
      <c r="V129" s="2417">
        <f t="shared" si="8"/>
        <v>5</v>
      </c>
      <c r="W129" s="2417">
        <f t="shared" si="9"/>
        <v>0</v>
      </c>
      <c r="X129" s="2417"/>
      <c r="Y129" s="2417"/>
      <c r="Z129" s="2443"/>
      <c r="AA129" s="2296" t="s">
        <v>1665</v>
      </c>
    </row>
    <row r="130" spans="1:27" s="2326" customFormat="1" ht="31.5" hidden="1" x14ac:dyDescent="0.25">
      <c r="A130" s="2370"/>
      <c r="B130" s="2319"/>
      <c r="C130" s="2320" t="s">
        <v>2131</v>
      </c>
      <c r="D130" s="2361"/>
      <c r="E130" s="2397"/>
      <c r="F130" s="2389">
        <f>SUM(F131:F141)</f>
        <v>10</v>
      </c>
      <c r="G130" s="2416"/>
      <c r="H130" s="2416"/>
      <c r="I130" s="2416"/>
      <c r="J130" s="2389">
        <f>SUM(J131:J141)</f>
        <v>10</v>
      </c>
      <c r="K130" s="2416"/>
      <c r="L130" s="2416"/>
      <c r="M130" s="2416"/>
      <c r="N130" s="2389">
        <f>SUM(N131:N141)</f>
        <v>10</v>
      </c>
      <c r="O130" s="2418"/>
      <c r="P130" s="2416"/>
      <c r="Q130" s="2416"/>
      <c r="R130" s="2389">
        <f>SUM(R131:R141)</f>
        <v>10</v>
      </c>
      <c r="S130" s="2389">
        <f t="shared" si="10"/>
        <v>10</v>
      </c>
      <c r="T130" s="2389"/>
      <c r="U130" s="2416"/>
      <c r="V130" s="2416">
        <f t="shared" si="8"/>
        <v>0</v>
      </c>
      <c r="W130" s="2416">
        <f t="shared" si="9"/>
        <v>100</v>
      </c>
      <c r="X130" s="2389">
        <v>10</v>
      </c>
      <c r="Y130" s="2389">
        <v>10</v>
      </c>
      <c r="Z130" s="2444"/>
      <c r="AA130" s="2296" t="s">
        <v>1665</v>
      </c>
    </row>
    <row r="131" spans="1:27" s="2290" customFormat="1" hidden="1" x14ac:dyDescent="0.25">
      <c r="A131" s="2380"/>
      <c r="B131" s="2325">
        <v>981</v>
      </c>
      <c r="C131" s="2328" t="s">
        <v>2132</v>
      </c>
      <c r="D131" s="2364">
        <v>10</v>
      </c>
      <c r="E131" s="2441">
        <v>80</v>
      </c>
      <c r="F131" s="2412">
        <f t="shared" ref="F131:F141" si="13">D131*E131/1000</f>
        <v>0.8</v>
      </c>
      <c r="G131" s="2417"/>
      <c r="H131" s="2417">
        <v>10</v>
      </c>
      <c r="I131" s="2417">
        <v>80</v>
      </c>
      <c r="J131" s="2417">
        <f t="shared" ref="J131:J154" si="14">H131*I131/1000</f>
        <v>0.8</v>
      </c>
      <c r="K131" s="2417"/>
      <c r="L131" s="2417">
        <v>10</v>
      </c>
      <c r="M131" s="2417">
        <v>80</v>
      </c>
      <c r="N131" s="2417">
        <f t="shared" ref="N131:N141" si="15">L131*M131/1000</f>
        <v>0.8</v>
      </c>
      <c r="O131" s="2421"/>
      <c r="P131" s="2417">
        <v>10</v>
      </c>
      <c r="Q131" s="2417">
        <v>80</v>
      </c>
      <c r="R131" s="2417">
        <f t="shared" ref="R131:R141" si="16">P131*Q131/1000</f>
        <v>0.8</v>
      </c>
      <c r="S131" s="2417">
        <f t="shared" si="10"/>
        <v>0.8</v>
      </c>
      <c r="T131" s="2417"/>
      <c r="U131" s="2417"/>
      <c r="V131" s="2417">
        <f t="shared" si="8"/>
        <v>0</v>
      </c>
      <c r="W131" s="2417">
        <f t="shared" si="9"/>
        <v>100</v>
      </c>
      <c r="X131" s="2417">
        <f>R131</f>
        <v>0.8</v>
      </c>
      <c r="Y131" s="2417">
        <f>X131</f>
        <v>0.8</v>
      </c>
      <c r="Z131" s="2444"/>
      <c r="AA131" s="2296" t="s">
        <v>1665</v>
      </c>
    </row>
    <row r="132" spans="1:27" s="2290" customFormat="1" hidden="1" x14ac:dyDescent="0.25">
      <c r="A132" s="2380"/>
      <c r="B132" s="2325">
        <v>981</v>
      </c>
      <c r="C132" s="2328" t="s">
        <v>2133</v>
      </c>
      <c r="D132" s="2364">
        <v>10</v>
      </c>
      <c r="E132" s="2441">
        <v>100</v>
      </c>
      <c r="F132" s="2412">
        <f t="shared" si="13"/>
        <v>1</v>
      </c>
      <c r="G132" s="2417"/>
      <c r="H132" s="2417">
        <v>10</v>
      </c>
      <c r="I132" s="2417">
        <v>100</v>
      </c>
      <c r="J132" s="2417">
        <f t="shared" si="14"/>
        <v>1</v>
      </c>
      <c r="K132" s="2417"/>
      <c r="L132" s="2417">
        <v>10</v>
      </c>
      <c r="M132" s="2417">
        <v>100</v>
      </c>
      <c r="N132" s="2417">
        <f t="shared" si="15"/>
        <v>1</v>
      </c>
      <c r="O132" s="2421"/>
      <c r="P132" s="2417">
        <v>10</v>
      </c>
      <c r="Q132" s="2417">
        <v>100</v>
      </c>
      <c r="R132" s="2417">
        <f t="shared" si="16"/>
        <v>1</v>
      </c>
      <c r="S132" s="2417">
        <f t="shared" si="10"/>
        <v>1</v>
      </c>
      <c r="T132" s="2417"/>
      <c r="U132" s="2417"/>
      <c r="V132" s="2417">
        <f t="shared" si="8"/>
        <v>0</v>
      </c>
      <c r="W132" s="2417">
        <f t="shared" si="9"/>
        <v>100</v>
      </c>
      <c r="X132" s="2417">
        <f t="shared" ref="X132:X141" si="17">R132</f>
        <v>1</v>
      </c>
      <c r="Y132" s="2417">
        <f t="shared" ref="Y132:Y141" si="18">X132</f>
        <v>1</v>
      </c>
      <c r="Z132" s="2444"/>
      <c r="AA132" s="2296" t="s">
        <v>1665</v>
      </c>
    </row>
    <row r="133" spans="1:27" s="2290" customFormat="1" hidden="1" x14ac:dyDescent="0.25">
      <c r="A133" s="2380"/>
      <c r="B133" s="2325">
        <v>981</v>
      </c>
      <c r="C133" s="2328" t="s">
        <v>2134</v>
      </c>
      <c r="D133" s="2364">
        <v>10</v>
      </c>
      <c r="E133" s="2441">
        <v>100</v>
      </c>
      <c r="F133" s="2412">
        <f t="shared" si="13"/>
        <v>1</v>
      </c>
      <c r="G133" s="2417"/>
      <c r="H133" s="2417">
        <v>10</v>
      </c>
      <c r="I133" s="2417">
        <v>100</v>
      </c>
      <c r="J133" s="2417">
        <f t="shared" si="14"/>
        <v>1</v>
      </c>
      <c r="K133" s="2417"/>
      <c r="L133" s="2417">
        <v>10</v>
      </c>
      <c r="M133" s="2417">
        <v>100</v>
      </c>
      <c r="N133" s="2417">
        <f t="shared" si="15"/>
        <v>1</v>
      </c>
      <c r="O133" s="2421"/>
      <c r="P133" s="2417">
        <v>10</v>
      </c>
      <c r="Q133" s="2417">
        <v>100</v>
      </c>
      <c r="R133" s="2417">
        <f t="shared" si="16"/>
        <v>1</v>
      </c>
      <c r="S133" s="2417">
        <f t="shared" si="10"/>
        <v>1</v>
      </c>
      <c r="T133" s="2417"/>
      <c r="U133" s="2417"/>
      <c r="V133" s="2417">
        <f t="shared" si="8"/>
        <v>0</v>
      </c>
      <c r="W133" s="2417">
        <f t="shared" si="9"/>
        <v>100</v>
      </c>
      <c r="X133" s="2417">
        <f t="shared" si="17"/>
        <v>1</v>
      </c>
      <c r="Y133" s="2417">
        <f t="shared" si="18"/>
        <v>1</v>
      </c>
      <c r="Z133" s="2444"/>
      <c r="AA133" s="2296" t="s">
        <v>1665</v>
      </c>
    </row>
    <row r="134" spans="1:27" s="2290" customFormat="1" hidden="1" x14ac:dyDescent="0.25">
      <c r="A134" s="2380"/>
      <c r="B134" s="2325">
        <v>981</v>
      </c>
      <c r="C134" s="2328" t="s">
        <v>2135</v>
      </c>
      <c r="D134" s="2364">
        <v>50</v>
      </c>
      <c r="E134" s="2441">
        <v>20</v>
      </c>
      <c r="F134" s="2412">
        <f t="shared" si="13"/>
        <v>1</v>
      </c>
      <c r="G134" s="2417"/>
      <c r="H134" s="2417">
        <v>50</v>
      </c>
      <c r="I134" s="2417">
        <v>20</v>
      </c>
      <c r="J134" s="2417">
        <f t="shared" si="14"/>
        <v>1</v>
      </c>
      <c r="K134" s="2417"/>
      <c r="L134" s="2417">
        <v>50</v>
      </c>
      <c r="M134" s="2417">
        <v>20</v>
      </c>
      <c r="N134" s="2417">
        <f t="shared" si="15"/>
        <v>1</v>
      </c>
      <c r="O134" s="2421"/>
      <c r="P134" s="2417">
        <v>50</v>
      </c>
      <c r="Q134" s="2417">
        <v>20</v>
      </c>
      <c r="R134" s="2417">
        <f t="shared" si="16"/>
        <v>1</v>
      </c>
      <c r="S134" s="2417">
        <f t="shared" si="10"/>
        <v>1</v>
      </c>
      <c r="T134" s="2417"/>
      <c r="U134" s="2417"/>
      <c r="V134" s="2417">
        <f t="shared" si="8"/>
        <v>0</v>
      </c>
      <c r="W134" s="2417">
        <f t="shared" si="9"/>
        <v>100</v>
      </c>
      <c r="X134" s="2417">
        <f t="shared" si="17"/>
        <v>1</v>
      </c>
      <c r="Y134" s="2417">
        <f t="shared" si="18"/>
        <v>1</v>
      </c>
      <c r="Z134" s="2444"/>
      <c r="AA134" s="2296" t="s">
        <v>1665</v>
      </c>
    </row>
    <row r="135" spans="1:27" s="2290" customFormat="1" hidden="1" x14ac:dyDescent="0.25">
      <c r="A135" s="2380"/>
      <c r="B135" s="2325">
        <v>981</v>
      </c>
      <c r="C135" s="2328" t="s">
        <v>2136</v>
      </c>
      <c r="D135" s="2364">
        <v>4</v>
      </c>
      <c r="E135" s="2441">
        <v>150</v>
      </c>
      <c r="F135" s="2412">
        <f t="shared" si="13"/>
        <v>0.6</v>
      </c>
      <c r="G135" s="2417"/>
      <c r="H135" s="2417">
        <v>4</v>
      </c>
      <c r="I135" s="2417">
        <v>150</v>
      </c>
      <c r="J135" s="2417">
        <f t="shared" si="14"/>
        <v>0.6</v>
      </c>
      <c r="K135" s="2417"/>
      <c r="L135" s="2417">
        <v>4</v>
      </c>
      <c r="M135" s="2417">
        <v>150</v>
      </c>
      <c r="N135" s="2417">
        <f t="shared" si="15"/>
        <v>0.6</v>
      </c>
      <c r="O135" s="2421"/>
      <c r="P135" s="2417">
        <v>4</v>
      </c>
      <c r="Q135" s="2417">
        <v>150</v>
      </c>
      <c r="R135" s="2417">
        <f t="shared" si="16"/>
        <v>0.6</v>
      </c>
      <c r="S135" s="2417">
        <f t="shared" si="10"/>
        <v>0.6</v>
      </c>
      <c r="T135" s="2417"/>
      <c r="U135" s="2417"/>
      <c r="V135" s="2417">
        <f t="shared" si="8"/>
        <v>0</v>
      </c>
      <c r="W135" s="2417">
        <f t="shared" si="9"/>
        <v>100</v>
      </c>
      <c r="X135" s="2417">
        <f t="shared" si="17"/>
        <v>0.6</v>
      </c>
      <c r="Y135" s="2417">
        <f t="shared" si="18"/>
        <v>0.6</v>
      </c>
      <c r="Z135" s="2444"/>
      <c r="AA135" s="2296" t="s">
        <v>1665</v>
      </c>
    </row>
    <row r="136" spans="1:27" s="2290" customFormat="1" hidden="1" x14ac:dyDescent="0.25">
      <c r="A136" s="2380"/>
      <c r="B136" s="2325">
        <v>981</v>
      </c>
      <c r="C136" s="2328" t="s">
        <v>2137</v>
      </c>
      <c r="D136" s="2364">
        <v>10</v>
      </c>
      <c r="E136" s="2441">
        <v>150</v>
      </c>
      <c r="F136" s="2412">
        <f t="shared" si="13"/>
        <v>1.5</v>
      </c>
      <c r="G136" s="2417"/>
      <c r="H136" s="2417">
        <v>10</v>
      </c>
      <c r="I136" s="2417">
        <v>150</v>
      </c>
      <c r="J136" s="2417">
        <f t="shared" si="14"/>
        <v>1.5</v>
      </c>
      <c r="K136" s="2417"/>
      <c r="L136" s="2417">
        <v>10</v>
      </c>
      <c r="M136" s="2417">
        <v>150</v>
      </c>
      <c r="N136" s="2417">
        <f t="shared" si="15"/>
        <v>1.5</v>
      </c>
      <c r="O136" s="2421"/>
      <c r="P136" s="2417">
        <v>10</v>
      </c>
      <c r="Q136" s="2417">
        <v>150</v>
      </c>
      <c r="R136" s="2417">
        <f t="shared" si="16"/>
        <v>1.5</v>
      </c>
      <c r="S136" s="2417">
        <f t="shared" si="10"/>
        <v>1.5</v>
      </c>
      <c r="T136" s="2417"/>
      <c r="U136" s="2417"/>
      <c r="V136" s="2417">
        <f t="shared" si="8"/>
        <v>0</v>
      </c>
      <c r="W136" s="2417">
        <f t="shared" si="9"/>
        <v>100</v>
      </c>
      <c r="X136" s="2417">
        <f t="shared" si="17"/>
        <v>1.5</v>
      </c>
      <c r="Y136" s="2417">
        <f t="shared" si="18"/>
        <v>1.5</v>
      </c>
      <c r="Z136" s="2444"/>
      <c r="AA136" s="2296" t="s">
        <v>1665</v>
      </c>
    </row>
    <row r="137" spans="1:27" s="2290" customFormat="1" hidden="1" x14ac:dyDescent="0.25">
      <c r="A137" s="2380"/>
      <c r="B137" s="2325">
        <v>985</v>
      </c>
      <c r="C137" s="2328" t="s">
        <v>2138</v>
      </c>
      <c r="D137" s="2364">
        <v>50</v>
      </c>
      <c r="E137" s="2441">
        <v>30</v>
      </c>
      <c r="F137" s="2412">
        <f t="shared" si="13"/>
        <v>1.5</v>
      </c>
      <c r="G137" s="2417"/>
      <c r="H137" s="2417">
        <v>50</v>
      </c>
      <c r="I137" s="2417">
        <v>30</v>
      </c>
      <c r="J137" s="2417">
        <f t="shared" si="14"/>
        <v>1.5</v>
      </c>
      <c r="K137" s="2417"/>
      <c r="L137" s="2417">
        <v>50</v>
      </c>
      <c r="M137" s="2417">
        <v>30</v>
      </c>
      <c r="N137" s="2417">
        <f t="shared" si="15"/>
        <v>1.5</v>
      </c>
      <c r="O137" s="2421"/>
      <c r="P137" s="2417">
        <v>50</v>
      </c>
      <c r="Q137" s="2417">
        <v>30</v>
      </c>
      <c r="R137" s="2417">
        <f t="shared" si="16"/>
        <v>1.5</v>
      </c>
      <c r="S137" s="2417">
        <f t="shared" si="10"/>
        <v>1.5</v>
      </c>
      <c r="T137" s="2417"/>
      <c r="U137" s="2417"/>
      <c r="V137" s="2417">
        <f t="shared" si="8"/>
        <v>0</v>
      </c>
      <c r="W137" s="2417">
        <f t="shared" si="9"/>
        <v>100</v>
      </c>
      <c r="X137" s="2417">
        <f t="shared" si="17"/>
        <v>1.5</v>
      </c>
      <c r="Y137" s="2417">
        <f t="shared" si="18"/>
        <v>1.5</v>
      </c>
      <c r="Z137" s="2444"/>
      <c r="AA137" s="2296" t="s">
        <v>1665</v>
      </c>
    </row>
    <row r="138" spans="1:27" s="2290" customFormat="1" hidden="1" x14ac:dyDescent="0.25">
      <c r="A138" s="2380"/>
      <c r="B138" s="2325">
        <v>981</v>
      </c>
      <c r="C138" s="2328" t="s">
        <v>2139</v>
      </c>
      <c r="D138" s="2364">
        <v>40</v>
      </c>
      <c r="E138" s="2441">
        <v>10</v>
      </c>
      <c r="F138" s="2412">
        <f t="shared" si="13"/>
        <v>0.4</v>
      </c>
      <c r="G138" s="2417"/>
      <c r="H138" s="2417">
        <v>40</v>
      </c>
      <c r="I138" s="2417">
        <v>10</v>
      </c>
      <c r="J138" s="2417">
        <f t="shared" si="14"/>
        <v>0.4</v>
      </c>
      <c r="K138" s="2417"/>
      <c r="L138" s="2417">
        <v>40</v>
      </c>
      <c r="M138" s="2417">
        <v>10</v>
      </c>
      <c r="N138" s="2417">
        <f t="shared" si="15"/>
        <v>0.4</v>
      </c>
      <c r="O138" s="2421"/>
      <c r="P138" s="2417">
        <v>40</v>
      </c>
      <c r="Q138" s="2417">
        <v>10</v>
      </c>
      <c r="R138" s="2417">
        <f t="shared" si="16"/>
        <v>0.4</v>
      </c>
      <c r="S138" s="2417">
        <f t="shared" si="10"/>
        <v>0.4</v>
      </c>
      <c r="T138" s="2417"/>
      <c r="U138" s="2417"/>
      <c r="V138" s="2417">
        <f t="shared" si="8"/>
        <v>0</v>
      </c>
      <c r="W138" s="2417">
        <f t="shared" si="9"/>
        <v>100</v>
      </c>
      <c r="X138" s="2417">
        <f t="shared" si="17"/>
        <v>0.4</v>
      </c>
      <c r="Y138" s="2417">
        <f t="shared" si="18"/>
        <v>0.4</v>
      </c>
      <c r="Z138" s="2444"/>
      <c r="AA138" s="2296" t="s">
        <v>1665</v>
      </c>
    </row>
    <row r="139" spans="1:27" s="2290" customFormat="1" hidden="1" x14ac:dyDescent="0.25">
      <c r="A139" s="2380"/>
      <c r="B139" s="2325">
        <v>981</v>
      </c>
      <c r="C139" s="2328" t="s">
        <v>2140</v>
      </c>
      <c r="D139" s="2364">
        <v>50</v>
      </c>
      <c r="E139" s="2441">
        <v>10</v>
      </c>
      <c r="F139" s="2412">
        <f t="shared" si="13"/>
        <v>0.5</v>
      </c>
      <c r="G139" s="2417"/>
      <c r="H139" s="2417">
        <v>50</v>
      </c>
      <c r="I139" s="2417">
        <v>10</v>
      </c>
      <c r="J139" s="2417">
        <f t="shared" si="14"/>
        <v>0.5</v>
      </c>
      <c r="K139" s="2417"/>
      <c r="L139" s="2417">
        <v>50</v>
      </c>
      <c r="M139" s="2417">
        <v>10</v>
      </c>
      <c r="N139" s="2417">
        <f t="shared" si="15"/>
        <v>0.5</v>
      </c>
      <c r="O139" s="2421"/>
      <c r="P139" s="2417">
        <v>50</v>
      </c>
      <c r="Q139" s="2417">
        <v>10</v>
      </c>
      <c r="R139" s="2417">
        <f t="shared" si="16"/>
        <v>0.5</v>
      </c>
      <c r="S139" s="2417">
        <f t="shared" si="10"/>
        <v>0.5</v>
      </c>
      <c r="T139" s="2417"/>
      <c r="U139" s="2417"/>
      <c r="V139" s="2417">
        <f t="shared" si="8"/>
        <v>0</v>
      </c>
      <c r="W139" s="2417">
        <f t="shared" si="9"/>
        <v>100</v>
      </c>
      <c r="X139" s="2417">
        <f t="shared" si="17"/>
        <v>0.5</v>
      </c>
      <c r="Y139" s="2417">
        <f t="shared" si="18"/>
        <v>0.5</v>
      </c>
      <c r="Z139" s="2444"/>
      <c r="AA139" s="2296" t="s">
        <v>1665</v>
      </c>
    </row>
    <row r="140" spans="1:27" s="2290" customFormat="1" hidden="1" x14ac:dyDescent="0.25">
      <c r="A140" s="2380"/>
      <c r="B140" s="2325">
        <v>981</v>
      </c>
      <c r="C140" s="2328" t="s">
        <v>2141</v>
      </c>
      <c r="D140" s="2364">
        <v>10</v>
      </c>
      <c r="E140" s="2441">
        <v>50</v>
      </c>
      <c r="F140" s="2412">
        <f t="shared" si="13"/>
        <v>0.5</v>
      </c>
      <c r="G140" s="2417"/>
      <c r="H140" s="2417">
        <v>10</v>
      </c>
      <c r="I140" s="2417">
        <v>50</v>
      </c>
      <c r="J140" s="2417">
        <f t="shared" si="14"/>
        <v>0.5</v>
      </c>
      <c r="K140" s="2417"/>
      <c r="L140" s="2417">
        <v>10</v>
      </c>
      <c r="M140" s="2417">
        <v>50</v>
      </c>
      <c r="N140" s="2417">
        <f t="shared" si="15"/>
        <v>0.5</v>
      </c>
      <c r="O140" s="2421"/>
      <c r="P140" s="2417">
        <v>10</v>
      </c>
      <c r="Q140" s="2417">
        <v>50</v>
      </c>
      <c r="R140" s="2417">
        <f t="shared" si="16"/>
        <v>0.5</v>
      </c>
      <c r="S140" s="2417">
        <f t="shared" si="10"/>
        <v>0.5</v>
      </c>
      <c r="T140" s="2417"/>
      <c r="U140" s="2417"/>
      <c r="V140" s="2417">
        <f t="shared" si="8"/>
        <v>0</v>
      </c>
      <c r="W140" s="2417">
        <f t="shared" si="9"/>
        <v>100</v>
      </c>
      <c r="X140" s="2417">
        <f t="shared" si="17"/>
        <v>0.5</v>
      </c>
      <c r="Y140" s="2417">
        <f t="shared" si="18"/>
        <v>0.5</v>
      </c>
      <c r="Z140" s="2444"/>
      <c r="AA140" s="2296" t="s">
        <v>1665</v>
      </c>
    </row>
    <row r="141" spans="1:27" s="2290" customFormat="1" hidden="1" x14ac:dyDescent="0.25">
      <c r="A141" s="2380"/>
      <c r="B141" s="2325">
        <v>981</v>
      </c>
      <c r="C141" s="2328" t="s">
        <v>2142</v>
      </c>
      <c r="D141" s="2364">
        <v>12</v>
      </c>
      <c r="E141" s="2441">
        <v>100</v>
      </c>
      <c r="F141" s="2412">
        <f t="shared" si="13"/>
        <v>1.2</v>
      </c>
      <c r="G141" s="2417"/>
      <c r="H141" s="2417">
        <v>12</v>
      </c>
      <c r="I141" s="2417">
        <v>100</v>
      </c>
      <c r="J141" s="2417">
        <f t="shared" si="14"/>
        <v>1.2</v>
      </c>
      <c r="K141" s="2417"/>
      <c r="L141" s="2417">
        <v>12</v>
      </c>
      <c r="M141" s="2417">
        <v>100</v>
      </c>
      <c r="N141" s="2417">
        <f t="shared" si="15"/>
        <v>1.2</v>
      </c>
      <c r="O141" s="2421"/>
      <c r="P141" s="2417">
        <v>12</v>
      </c>
      <c r="Q141" s="2417">
        <v>100</v>
      </c>
      <c r="R141" s="2417">
        <f t="shared" si="16"/>
        <v>1.2</v>
      </c>
      <c r="S141" s="2417">
        <f t="shared" si="10"/>
        <v>1.2</v>
      </c>
      <c r="T141" s="2417"/>
      <c r="U141" s="2417"/>
      <c r="V141" s="2417">
        <f t="shared" ref="V141:V204" si="19">R141-J141</f>
        <v>0</v>
      </c>
      <c r="W141" s="2417">
        <f t="shared" ref="W141:W204" si="20">IFERROR((R141)/J141*100,0)</f>
        <v>100</v>
      </c>
      <c r="X141" s="2417">
        <f t="shared" si="17"/>
        <v>1.2</v>
      </c>
      <c r="Y141" s="2417">
        <f t="shared" si="18"/>
        <v>1.2</v>
      </c>
      <c r="Z141" s="2444"/>
      <c r="AA141" s="2296" t="s">
        <v>1665</v>
      </c>
    </row>
    <row r="142" spans="1:27" s="2326" customFormat="1" ht="31.5" hidden="1" x14ac:dyDescent="0.25">
      <c r="A142" s="2370"/>
      <c r="B142" s="2445">
        <v>981</v>
      </c>
      <c r="C142" s="2320" t="s">
        <v>2143</v>
      </c>
      <c r="D142" s="2361"/>
      <c r="E142" s="2397"/>
      <c r="F142" s="2389">
        <f>SUM(F143:F154)</f>
        <v>10.6</v>
      </c>
      <c r="G142" s="2416"/>
      <c r="H142" s="2416"/>
      <c r="I142" s="2416"/>
      <c r="J142" s="2389">
        <f>SUM(J143:J154)</f>
        <v>10.6</v>
      </c>
      <c r="K142" s="2416"/>
      <c r="L142" s="2416"/>
      <c r="M142" s="2416"/>
      <c r="N142" s="2389">
        <f>SUM(N143:N154)</f>
        <v>10.6</v>
      </c>
      <c r="O142" s="2418"/>
      <c r="P142" s="2416"/>
      <c r="Q142" s="2416"/>
      <c r="R142" s="2389">
        <f>SUM(R143:R154)</f>
        <v>10</v>
      </c>
      <c r="S142" s="2389">
        <f t="shared" ref="S142:S205" si="21">R142</f>
        <v>10</v>
      </c>
      <c r="T142" s="2389"/>
      <c r="U142" s="2416"/>
      <c r="V142" s="2416">
        <f t="shared" si="19"/>
        <v>-0.6</v>
      </c>
      <c r="W142" s="2416">
        <f t="shared" si="20"/>
        <v>94.3</v>
      </c>
      <c r="X142" s="2389">
        <f>SUM(X143:X154)</f>
        <v>10</v>
      </c>
      <c r="Y142" s="2389">
        <f>SUM(Y143:Y154)</f>
        <v>10</v>
      </c>
      <c r="Z142" s="2444"/>
      <c r="AA142" s="2296" t="s">
        <v>1665</v>
      </c>
    </row>
    <row r="143" spans="1:27" s="2290" customFormat="1" hidden="1" x14ac:dyDescent="0.25">
      <c r="A143" s="2380"/>
      <c r="B143" s="2325"/>
      <c r="C143" s="2328" t="s">
        <v>2144</v>
      </c>
      <c r="D143" s="2364">
        <v>100</v>
      </c>
      <c r="E143" s="2441">
        <v>39</v>
      </c>
      <c r="F143" s="2412">
        <f t="shared" ref="F143:F154" si="22">D143*E143/1000</f>
        <v>3.9</v>
      </c>
      <c r="G143" s="2417"/>
      <c r="H143" s="2417">
        <v>100</v>
      </c>
      <c r="I143" s="2417">
        <v>39</v>
      </c>
      <c r="J143" s="2417">
        <f t="shared" si="14"/>
        <v>3.9</v>
      </c>
      <c r="K143" s="2417"/>
      <c r="L143" s="2417">
        <v>100</v>
      </c>
      <c r="M143" s="2417">
        <v>39</v>
      </c>
      <c r="N143" s="2417">
        <f t="shared" ref="N143:N154" si="23">L143*M143/1000</f>
        <v>3.9</v>
      </c>
      <c r="O143" s="2421"/>
      <c r="P143" s="2417">
        <v>100</v>
      </c>
      <c r="Q143" s="2417">
        <v>39</v>
      </c>
      <c r="R143" s="2417">
        <f t="shared" ref="R143:R154" si="24">P143*Q143/1000</f>
        <v>3.9</v>
      </c>
      <c r="S143" s="2417">
        <f t="shared" si="21"/>
        <v>3.9</v>
      </c>
      <c r="T143" s="2417"/>
      <c r="U143" s="2417"/>
      <c r="V143" s="2417">
        <f t="shared" si="19"/>
        <v>0</v>
      </c>
      <c r="W143" s="2417">
        <f t="shared" si="20"/>
        <v>100</v>
      </c>
      <c r="X143" s="2417">
        <f>R143</f>
        <v>3.9</v>
      </c>
      <c r="Y143" s="2417">
        <f>X143</f>
        <v>3.9</v>
      </c>
      <c r="Z143" s="2444"/>
      <c r="AA143" s="2296" t="s">
        <v>1665</v>
      </c>
    </row>
    <row r="144" spans="1:27" s="2290" customFormat="1" hidden="1" x14ac:dyDescent="0.25">
      <c r="A144" s="2380"/>
      <c r="B144" s="2325"/>
      <c r="C144" s="2328" t="s">
        <v>2134</v>
      </c>
      <c r="D144" s="2364">
        <v>10</v>
      </c>
      <c r="E144" s="2441">
        <v>100</v>
      </c>
      <c r="F144" s="2412">
        <f t="shared" si="22"/>
        <v>1</v>
      </c>
      <c r="G144" s="2417"/>
      <c r="H144" s="2417">
        <v>10</v>
      </c>
      <c r="I144" s="2417">
        <v>100</v>
      </c>
      <c r="J144" s="2417">
        <f t="shared" si="14"/>
        <v>1</v>
      </c>
      <c r="K144" s="2417"/>
      <c r="L144" s="2417">
        <v>10</v>
      </c>
      <c r="M144" s="2417">
        <v>100</v>
      </c>
      <c r="N144" s="2417">
        <f t="shared" si="23"/>
        <v>1</v>
      </c>
      <c r="O144" s="2421"/>
      <c r="P144" s="2417">
        <v>10</v>
      </c>
      <c r="Q144" s="2417">
        <v>100</v>
      </c>
      <c r="R144" s="2417">
        <f t="shared" si="24"/>
        <v>1</v>
      </c>
      <c r="S144" s="2417">
        <f t="shared" si="21"/>
        <v>1</v>
      </c>
      <c r="T144" s="2417"/>
      <c r="U144" s="2417"/>
      <c r="V144" s="2417">
        <f t="shared" si="19"/>
        <v>0</v>
      </c>
      <c r="W144" s="2417">
        <f t="shared" si="20"/>
        <v>100</v>
      </c>
      <c r="X144" s="2417">
        <f t="shared" ref="X144:X154" si="25">R144</f>
        <v>1</v>
      </c>
      <c r="Y144" s="2417">
        <f t="shared" ref="Y144:Y154" si="26">X144</f>
        <v>1</v>
      </c>
      <c r="Z144" s="2444"/>
      <c r="AA144" s="2296" t="s">
        <v>1665</v>
      </c>
    </row>
    <row r="145" spans="1:27" s="2290" customFormat="1" hidden="1" x14ac:dyDescent="0.25">
      <c r="A145" s="2380"/>
      <c r="B145" s="2325"/>
      <c r="C145" s="2328" t="s">
        <v>2145</v>
      </c>
      <c r="D145" s="2364">
        <v>15</v>
      </c>
      <c r="E145" s="2441">
        <v>56</v>
      </c>
      <c r="F145" s="2412">
        <f t="shared" si="22"/>
        <v>0.8</v>
      </c>
      <c r="G145" s="2417"/>
      <c r="H145" s="2417">
        <v>15</v>
      </c>
      <c r="I145" s="2417">
        <v>56</v>
      </c>
      <c r="J145" s="2417">
        <f t="shared" si="14"/>
        <v>0.8</v>
      </c>
      <c r="K145" s="2417"/>
      <c r="L145" s="2417">
        <v>15</v>
      </c>
      <c r="M145" s="2417">
        <v>56</v>
      </c>
      <c r="N145" s="2417">
        <f t="shared" si="23"/>
        <v>0.8</v>
      </c>
      <c r="O145" s="2421"/>
      <c r="P145" s="2417">
        <v>15</v>
      </c>
      <c r="Q145" s="2417">
        <v>56</v>
      </c>
      <c r="R145" s="2417">
        <f t="shared" si="24"/>
        <v>0.8</v>
      </c>
      <c r="S145" s="2417">
        <f t="shared" si="21"/>
        <v>0.8</v>
      </c>
      <c r="T145" s="2417"/>
      <c r="U145" s="2417"/>
      <c r="V145" s="2417">
        <f t="shared" si="19"/>
        <v>0</v>
      </c>
      <c r="W145" s="2417">
        <f t="shared" si="20"/>
        <v>100</v>
      </c>
      <c r="X145" s="2417">
        <f t="shared" si="25"/>
        <v>0.8</v>
      </c>
      <c r="Y145" s="2417">
        <f t="shared" si="26"/>
        <v>0.8</v>
      </c>
      <c r="Z145" s="2444"/>
      <c r="AA145" s="2296" t="s">
        <v>1665</v>
      </c>
    </row>
    <row r="146" spans="1:27" s="2290" customFormat="1" hidden="1" x14ac:dyDescent="0.25">
      <c r="A146" s="2380"/>
      <c r="B146" s="2325"/>
      <c r="C146" s="2328" t="s">
        <v>2133</v>
      </c>
      <c r="D146" s="2364">
        <v>10</v>
      </c>
      <c r="E146" s="2441">
        <v>70</v>
      </c>
      <c r="F146" s="2412">
        <f t="shared" si="22"/>
        <v>0.7</v>
      </c>
      <c r="G146" s="2417"/>
      <c r="H146" s="2417">
        <v>10</v>
      </c>
      <c r="I146" s="2417">
        <v>70</v>
      </c>
      <c r="J146" s="2417">
        <f t="shared" si="14"/>
        <v>0.7</v>
      </c>
      <c r="K146" s="2417"/>
      <c r="L146" s="2417">
        <v>10</v>
      </c>
      <c r="M146" s="2417">
        <v>70</v>
      </c>
      <c r="N146" s="2417">
        <f t="shared" si="23"/>
        <v>0.7</v>
      </c>
      <c r="O146" s="2421"/>
      <c r="P146" s="2417">
        <v>10</v>
      </c>
      <c r="Q146" s="2417">
        <v>70</v>
      </c>
      <c r="R146" s="2417">
        <f t="shared" si="24"/>
        <v>0.7</v>
      </c>
      <c r="S146" s="2417">
        <f t="shared" si="21"/>
        <v>0.7</v>
      </c>
      <c r="T146" s="2417"/>
      <c r="U146" s="2417"/>
      <c r="V146" s="2417">
        <f t="shared" si="19"/>
        <v>0</v>
      </c>
      <c r="W146" s="2417">
        <f t="shared" si="20"/>
        <v>100</v>
      </c>
      <c r="X146" s="2417">
        <f t="shared" si="25"/>
        <v>0.7</v>
      </c>
      <c r="Y146" s="2417">
        <f t="shared" si="26"/>
        <v>0.7</v>
      </c>
      <c r="Z146" s="2444"/>
      <c r="AA146" s="2296" t="s">
        <v>1665</v>
      </c>
    </row>
    <row r="147" spans="1:27" s="2290" customFormat="1" hidden="1" x14ac:dyDescent="0.25">
      <c r="A147" s="2380"/>
      <c r="B147" s="2325"/>
      <c r="C147" s="2328" t="s">
        <v>2146</v>
      </c>
      <c r="D147" s="2364">
        <v>100</v>
      </c>
      <c r="E147" s="2441">
        <v>25</v>
      </c>
      <c r="F147" s="2412">
        <f t="shared" si="22"/>
        <v>2.5</v>
      </c>
      <c r="G147" s="2417"/>
      <c r="H147" s="2417">
        <v>100</v>
      </c>
      <c r="I147" s="2417">
        <v>25</v>
      </c>
      <c r="J147" s="2417">
        <f t="shared" si="14"/>
        <v>2.5</v>
      </c>
      <c r="K147" s="2417"/>
      <c r="L147" s="2417">
        <v>100</v>
      </c>
      <c r="M147" s="2417">
        <v>25</v>
      </c>
      <c r="N147" s="2417">
        <f t="shared" si="23"/>
        <v>2.5</v>
      </c>
      <c r="O147" s="2421"/>
      <c r="P147" s="2417">
        <v>100</v>
      </c>
      <c r="Q147" s="2417">
        <v>25</v>
      </c>
      <c r="R147" s="2417">
        <f t="shared" si="24"/>
        <v>2.5</v>
      </c>
      <c r="S147" s="2417">
        <f t="shared" si="21"/>
        <v>2.5</v>
      </c>
      <c r="T147" s="2417"/>
      <c r="U147" s="2417"/>
      <c r="V147" s="2417">
        <f t="shared" si="19"/>
        <v>0</v>
      </c>
      <c r="W147" s="2417">
        <f t="shared" si="20"/>
        <v>100</v>
      </c>
      <c r="X147" s="2417">
        <f t="shared" si="25"/>
        <v>2.5</v>
      </c>
      <c r="Y147" s="2417">
        <f t="shared" si="26"/>
        <v>2.5</v>
      </c>
      <c r="Z147" s="2444"/>
      <c r="AA147" s="2296" t="s">
        <v>1665</v>
      </c>
    </row>
    <row r="148" spans="1:27" s="2290" customFormat="1" hidden="1" x14ac:dyDescent="0.25">
      <c r="A148" s="2380"/>
      <c r="B148" s="2325"/>
      <c r="C148" s="2328" t="s">
        <v>2147</v>
      </c>
      <c r="D148" s="2364">
        <v>10</v>
      </c>
      <c r="E148" s="2441">
        <v>30</v>
      </c>
      <c r="F148" s="2412">
        <f t="shared" si="22"/>
        <v>0.3</v>
      </c>
      <c r="G148" s="2417"/>
      <c r="H148" s="2417">
        <v>10</v>
      </c>
      <c r="I148" s="2417">
        <v>30</v>
      </c>
      <c r="J148" s="2417">
        <f t="shared" si="14"/>
        <v>0.3</v>
      </c>
      <c r="K148" s="2417"/>
      <c r="L148" s="2417">
        <v>10</v>
      </c>
      <c r="M148" s="2417">
        <v>30</v>
      </c>
      <c r="N148" s="2417">
        <f t="shared" si="23"/>
        <v>0.3</v>
      </c>
      <c r="O148" s="2421"/>
      <c r="P148" s="2417">
        <v>10</v>
      </c>
      <c r="Q148" s="2417">
        <v>30</v>
      </c>
      <c r="R148" s="2417">
        <f t="shared" si="24"/>
        <v>0.3</v>
      </c>
      <c r="S148" s="2417">
        <f t="shared" si="21"/>
        <v>0.3</v>
      </c>
      <c r="T148" s="2417"/>
      <c r="U148" s="2417"/>
      <c r="V148" s="2417">
        <f t="shared" si="19"/>
        <v>0</v>
      </c>
      <c r="W148" s="2417">
        <f t="shared" si="20"/>
        <v>100</v>
      </c>
      <c r="X148" s="2417">
        <f t="shared" si="25"/>
        <v>0.3</v>
      </c>
      <c r="Y148" s="2417">
        <f t="shared" si="26"/>
        <v>0.3</v>
      </c>
      <c r="Z148" s="2444"/>
      <c r="AA148" s="2296" t="s">
        <v>1665</v>
      </c>
    </row>
    <row r="149" spans="1:27" s="2290" customFormat="1" hidden="1" x14ac:dyDescent="0.25">
      <c r="A149" s="2380"/>
      <c r="B149" s="2325"/>
      <c r="C149" s="2328" t="s">
        <v>2148</v>
      </c>
      <c r="D149" s="2364">
        <v>10</v>
      </c>
      <c r="E149" s="2441">
        <v>20</v>
      </c>
      <c r="F149" s="2412">
        <f t="shared" si="22"/>
        <v>0.2</v>
      </c>
      <c r="G149" s="2417"/>
      <c r="H149" s="2417">
        <v>10</v>
      </c>
      <c r="I149" s="2417">
        <v>20</v>
      </c>
      <c r="J149" s="2417">
        <f t="shared" si="14"/>
        <v>0.2</v>
      </c>
      <c r="K149" s="2417"/>
      <c r="L149" s="2417">
        <v>10</v>
      </c>
      <c r="M149" s="2417">
        <v>20</v>
      </c>
      <c r="N149" s="2417">
        <f t="shared" si="23"/>
        <v>0.2</v>
      </c>
      <c r="O149" s="2421"/>
      <c r="P149" s="2417">
        <v>10</v>
      </c>
      <c r="Q149" s="2417">
        <v>20</v>
      </c>
      <c r="R149" s="2417">
        <f t="shared" si="24"/>
        <v>0.2</v>
      </c>
      <c r="S149" s="2417">
        <f t="shared" si="21"/>
        <v>0.2</v>
      </c>
      <c r="T149" s="2417"/>
      <c r="U149" s="2417"/>
      <c r="V149" s="2417">
        <f t="shared" si="19"/>
        <v>0</v>
      </c>
      <c r="W149" s="2417">
        <f t="shared" si="20"/>
        <v>100</v>
      </c>
      <c r="X149" s="2417">
        <f t="shared" si="25"/>
        <v>0.2</v>
      </c>
      <c r="Y149" s="2417">
        <f t="shared" si="26"/>
        <v>0.2</v>
      </c>
      <c r="Z149" s="2444"/>
      <c r="AA149" s="2296" t="s">
        <v>1665</v>
      </c>
    </row>
    <row r="150" spans="1:27" s="2290" customFormat="1" hidden="1" x14ac:dyDescent="0.25">
      <c r="A150" s="2380"/>
      <c r="B150" s="2325"/>
      <c r="C150" s="2328" t="s">
        <v>2149</v>
      </c>
      <c r="D150" s="2364">
        <v>3</v>
      </c>
      <c r="E150" s="2441">
        <v>60</v>
      </c>
      <c r="F150" s="2412">
        <f t="shared" si="22"/>
        <v>0.2</v>
      </c>
      <c r="G150" s="2417"/>
      <c r="H150" s="2417">
        <v>3</v>
      </c>
      <c r="I150" s="2417">
        <v>60</v>
      </c>
      <c r="J150" s="2417">
        <f t="shared" si="14"/>
        <v>0.2</v>
      </c>
      <c r="K150" s="2417"/>
      <c r="L150" s="2417">
        <v>3</v>
      </c>
      <c r="M150" s="2417">
        <v>60</v>
      </c>
      <c r="N150" s="2417">
        <f t="shared" si="23"/>
        <v>0.2</v>
      </c>
      <c r="O150" s="2421"/>
      <c r="P150" s="2417">
        <v>3</v>
      </c>
      <c r="Q150" s="2417">
        <v>60</v>
      </c>
      <c r="R150" s="2417">
        <f t="shared" si="24"/>
        <v>0.2</v>
      </c>
      <c r="S150" s="2417">
        <f t="shared" si="21"/>
        <v>0.2</v>
      </c>
      <c r="T150" s="2417"/>
      <c r="U150" s="2417"/>
      <c r="V150" s="2417">
        <f t="shared" si="19"/>
        <v>0</v>
      </c>
      <c r="W150" s="2417">
        <f t="shared" si="20"/>
        <v>100</v>
      </c>
      <c r="X150" s="2417">
        <f t="shared" si="25"/>
        <v>0.2</v>
      </c>
      <c r="Y150" s="2417">
        <f t="shared" si="26"/>
        <v>0.2</v>
      </c>
      <c r="Z150" s="2444"/>
      <c r="AA150" s="2296" t="s">
        <v>1665</v>
      </c>
    </row>
    <row r="151" spans="1:27" s="2290" customFormat="1" hidden="1" x14ac:dyDescent="0.25">
      <c r="A151" s="2380"/>
      <c r="B151" s="2325"/>
      <c r="C151" s="2328" t="s">
        <v>2150</v>
      </c>
      <c r="D151" s="2364">
        <v>5</v>
      </c>
      <c r="E151" s="2441">
        <v>15</v>
      </c>
      <c r="F151" s="2412">
        <f t="shared" si="22"/>
        <v>0.1</v>
      </c>
      <c r="G151" s="2417"/>
      <c r="H151" s="2417">
        <v>5</v>
      </c>
      <c r="I151" s="2417">
        <v>15</v>
      </c>
      <c r="J151" s="2417">
        <f t="shared" si="14"/>
        <v>0.1</v>
      </c>
      <c r="K151" s="2417"/>
      <c r="L151" s="2417">
        <v>5</v>
      </c>
      <c r="M151" s="2417">
        <v>15</v>
      </c>
      <c r="N151" s="2417">
        <f t="shared" si="23"/>
        <v>0.1</v>
      </c>
      <c r="O151" s="2421"/>
      <c r="P151" s="2417"/>
      <c r="Q151" s="2417"/>
      <c r="R151" s="2417">
        <f t="shared" si="24"/>
        <v>0</v>
      </c>
      <c r="S151" s="2417">
        <f t="shared" si="21"/>
        <v>0</v>
      </c>
      <c r="T151" s="2417"/>
      <c r="U151" s="2417"/>
      <c r="V151" s="2417">
        <f t="shared" si="19"/>
        <v>-0.1</v>
      </c>
      <c r="W151" s="2417">
        <f t="shared" si="20"/>
        <v>0</v>
      </c>
      <c r="X151" s="2417">
        <f t="shared" si="25"/>
        <v>0</v>
      </c>
      <c r="Y151" s="2417">
        <f t="shared" si="26"/>
        <v>0</v>
      </c>
      <c r="Z151" s="2444"/>
      <c r="AA151" s="2296" t="s">
        <v>1665</v>
      </c>
    </row>
    <row r="152" spans="1:27" s="2290" customFormat="1" hidden="1" x14ac:dyDescent="0.25">
      <c r="A152" s="2380"/>
      <c r="B152" s="2325"/>
      <c r="C152" s="2328" t="s">
        <v>1294</v>
      </c>
      <c r="D152" s="2364">
        <v>4</v>
      </c>
      <c r="E152" s="2441">
        <v>120</v>
      </c>
      <c r="F152" s="2412">
        <f t="shared" si="22"/>
        <v>0.5</v>
      </c>
      <c r="G152" s="2417"/>
      <c r="H152" s="2417">
        <v>4</v>
      </c>
      <c r="I152" s="2417">
        <v>120</v>
      </c>
      <c r="J152" s="2417">
        <f t="shared" si="14"/>
        <v>0.5</v>
      </c>
      <c r="K152" s="2417"/>
      <c r="L152" s="2417">
        <v>4</v>
      </c>
      <c r="M152" s="2417">
        <v>120</v>
      </c>
      <c r="N152" s="2417">
        <f t="shared" si="23"/>
        <v>0.5</v>
      </c>
      <c r="O152" s="2421"/>
      <c r="P152" s="2417"/>
      <c r="Q152" s="2417"/>
      <c r="R152" s="2417">
        <f t="shared" si="24"/>
        <v>0</v>
      </c>
      <c r="S152" s="2417">
        <f t="shared" si="21"/>
        <v>0</v>
      </c>
      <c r="T152" s="2417"/>
      <c r="U152" s="2417"/>
      <c r="V152" s="2417">
        <f t="shared" si="19"/>
        <v>-0.5</v>
      </c>
      <c r="W152" s="2417">
        <f t="shared" si="20"/>
        <v>0</v>
      </c>
      <c r="X152" s="2417">
        <f t="shared" si="25"/>
        <v>0</v>
      </c>
      <c r="Y152" s="2417">
        <f t="shared" si="26"/>
        <v>0</v>
      </c>
      <c r="Z152" s="2444"/>
      <c r="AA152" s="2296" t="s">
        <v>1665</v>
      </c>
    </row>
    <row r="153" spans="1:27" s="2290" customFormat="1" hidden="1" x14ac:dyDescent="0.25">
      <c r="A153" s="2380"/>
      <c r="B153" s="2325"/>
      <c r="C153" s="2328" t="s">
        <v>2151</v>
      </c>
      <c r="D153" s="2364">
        <v>10</v>
      </c>
      <c r="E153" s="2441">
        <v>28</v>
      </c>
      <c r="F153" s="2412">
        <f t="shared" si="22"/>
        <v>0.3</v>
      </c>
      <c r="G153" s="2417"/>
      <c r="H153" s="2417">
        <v>10</v>
      </c>
      <c r="I153" s="2417">
        <v>28</v>
      </c>
      <c r="J153" s="2417">
        <f t="shared" si="14"/>
        <v>0.3</v>
      </c>
      <c r="K153" s="2417"/>
      <c r="L153" s="2417">
        <v>10</v>
      </c>
      <c r="M153" s="2417">
        <v>28</v>
      </c>
      <c r="N153" s="2417">
        <f t="shared" si="23"/>
        <v>0.3</v>
      </c>
      <c r="O153" s="2421"/>
      <c r="P153" s="2417">
        <v>10</v>
      </c>
      <c r="Q153" s="2417">
        <v>28</v>
      </c>
      <c r="R153" s="2417">
        <f t="shared" si="24"/>
        <v>0.3</v>
      </c>
      <c r="S153" s="2417">
        <f t="shared" si="21"/>
        <v>0.3</v>
      </c>
      <c r="T153" s="2417"/>
      <c r="U153" s="2417"/>
      <c r="V153" s="2417">
        <f t="shared" si="19"/>
        <v>0</v>
      </c>
      <c r="W153" s="2417">
        <f t="shared" si="20"/>
        <v>100</v>
      </c>
      <c r="X153" s="2417">
        <f t="shared" si="25"/>
        <v>0.3</v>
      </c>
      <c r="Y153" s="2417">
        <f t="shared" si="26"/>
        <v>0.3</v>
      </c>
      <c r="Z153" s="2444"/>
      <c r="AA153" s="2296" t="s">
        <v>1665</v>
      </c>
    </row>
    <row r="154" spans="1:27" s="2290" customFormat="1" hidden="1" x14ac:dyDescent="0.25">
      <c r="A154" s="2380"/>
      <c r="B154" s="2325"/>
      <c r="C154" s="2328" t="s">
        <v>760</v>
      </c>
      <c r="D154" s="2364">
        <v>5</v>
      </c>
      <c r="E154" s="2441">
        <v>28</v>
      </c>
      <c r="F154" s="2412">
        <f t="shared" si="22"/>
        <v>0.1</v>
      </c>
      <c r="G154" s="2417"/>
      <c r="H154" s="2417">
        <v>5</v>
      </c>
      <c r="I154" s="2417">
        <v>28</v>
      </c>
      <c r="J154" s="2417">
        <f t="shared" si="14"/>
        <v>0.1</v>
      </c>
      <c r="K154" s="2417"/>
      <c r="L154" s="2417">
        <v>5</v>
      </c>
      <c r="M154" s="2417">
        <v>28</v>
      </c>
      <c r="N154" s="2417">
        <f t="shared" si="23"/>
        <v>0.1</v>
      </c>
      <c r="O154" s="2421"/>
      <c r="P154" s="2417">
        <v>5</v>
      </c>
      <c r="Q154" s="2417">
        <v>28</v>
      </c>
      <c r="R154" s="2417">
        <f t="shared" si="24"/>
        <v>0.1</v>
      </c>
      <c r="S154" s="2417">
        <f t="shared" si="21"/>
        <v>0.1</v>
      </c>
      <c r="T154" s="2417"/>
      <c r="U154" s="2417"/>
      <c r="V154" s="2417">
        <f t="shared" si="19"/>
        <v>0</v>
      </c>
      <c r="W154" s="2417">
        <f t="shared" si="20"/>
        <v>100</v>
      </c>
      <c r="X154" s="2417">
        <f t="shared" si="25"/>
        <v>0.1</v>
      </c>
      <c r="Y154" s="2417">
        <f t="shared" si="26"/>
        <v>0.1</v>
      </c>
      <c r="Z154" s="2444"/>
      <c r="AA154" s="2296" t="s">
        <v>1665</v>
      </c>
    </row>
    <row r="155" spans="1:27" s="2408" customFormat="1" hidden="1" x14ac:dyDescent="0.25">
      <c r="A155" s="2311">
        <v>11</v>
      </c>
      <c r="B155" s="2311"/>
      <c r="C155" s="2312" t="s">
        <v>2152</v>
      </c>
      <c r="D155" s="2446"/>
      <c r="E155" s="2447"/>
      <c r="F155" s="2404"/>
      <c r="G155" s="2405"/>
      <c r="H155" s="2405"/>
      <c r="I155" s="2405"/>
      <c r="J155" s="2313">
        <f>J156+J162+J165+J169</f>
        <v>70.8</v>
      </c>
      <c r="K155" s="2313">
        <f>K156+K162+K165+K169</f>
        <v>0</v>
      </c>
      <c r="L155" s="2405"/>
      <c r="M155" s="2405"/>
      <c r="N155" s="2313">
        <f>N156+N162+N165+N169</f>
        <v>70.8</v>
      </c>
      <c r="O155" s="2315">
        <f>O156+O162+O165+O169</f>
        <v>0</v>
      </c>
      <c r="P155" s="2405"/>
      <c r="Q155" s="2405"/>
      <c r="R155" s="2313">
        <f>R156+R162+R165+R169</f>
        <v>70.3</v>
      </c>
      <c r="S155" s="2313">
        <f t="shared" si="21"/>
        <v>70.3</v>
      </c>
      <c r="T155" s="2313"/>
      <c r="U155" s="2313">
        <f>U156+U162+U165+U169</f>
        <v>24.6</v>
      </c>
      <c r="V155" s="2313">
        <f t="shared" si="19"/>
        <v>-0.5</v>
      </c>
      <c r="W155" s="2313">
        <f t="shared" si="20"/>
        <v>99.3</v>
      </c>
      <c r="X155" s="2313">
        <f>X156+X162+X165+X169</f>
        <v>79.8</v>
      </c>
      <c r="Y155" s="2313">
        <f>Y156+Y162+Y165+Y169</f>
        <v>79.8</v>
      </c>
      <c r="Z155" s="2448"/>
      <c r="AA155" s="2296" t="s">
        <v>1665</v>
      </c>
    </row>
    <row r="156" spans="1:27" s="2290" customFormat="1" ht="31.5" hidden="1" x14ac:dyDescent="0.25">
      <c r="A156" s="2380"/>
      <c r="B156" s="2319">
        <v>955</v>
      </c>
      <c r="C156" s="2340" t="s">
        <v>1401</v>
      </c>
      <c r="D156" s="2364"/>
      <c r="E156" s="2441"/>
      <c r="F156" s="2389"/>
      <c r="G156" s="2417"/>
      <c r="H156" s="2361"/>
      <c r="I156" s="2361"/>
      <c r="J156" s="2361">
        <f>SUM(J157:J161)</f>
        <v>15.3</v>
      </c>
      <c r="K156" s="2361"/>
      <c r="L156" s="2361"/>
      <c r="M156" s="2361"/>
      <c r="N156" s="2361">
        <f>SUM(N157:N161)</f>
        <v>15.3</v>
      </c>
      <c r="O156" s="2449"/>
      <c r="P156" s="2361"/>
      <c r="Q156" s="2361"/>
      <c r="R156" s="2361">
        <f>SUM(R157:R161)</f>
        <v>11.8</v>
      </c>
      <c r="S156" s="2361">
        <f t="shared" si="21"/>
        <v>11.8</v>
      </c>
      <c r="T156" s="2361"/>
      <c r="U156" s="2361"/>
      <c r="V156" s="2384">
        <f t="shared" si="19"/>
        <v>-3.5</v>
      </c>
      <c r="W156" s="2384">
        <f t="shared" si="20"/>
        <v>77.099999999999994</v>
      </c>
      <c r="X156" s="2361">
        <v>11.7</v>
      </c>
      <c r="Y156" s="2361">
        <v>11.7</v>
      </c>
      <c r="Z156" s="2450"/>
      <c r="AA156" s="2296" t="s">
        <v>1665</v>
      </c>
    </row>
    <row r="157" spans="1:27" s="2290" customFormat="1" ht="47.25" hidden="1" x14ac:dyDescent="0.25">
      <c r="A157" s="2380"/>
      <c r="B157" s="2343"/>
      <c r="C157" s="2335" t="s">
        <v>2153</v>
      </c>
      <c r="D157" s="2364"/>
      <c r="E157" s="2441"/>
      <c r="F157" s="2389"/>
      <c r="G157" s="2417"/>
      <c r="H157" s="2364">
        <v>1</v>
      </c>
      <c r="I157" s="2364">
        <v>3450</v>
      </c>
      <c r="J157" s="2364">
        <f>H157*I157/1000</f>
        <v>3.5</v>
      </c>
      <c r="K157" s="2364"/>
      <c r="L157" s="2364">
        <v>1</v>
      </c>
      <c r="M157" s="2364">
        <v>3450</v>
      </c>
      <c r="N157" s="2364">
        <f>L157*M157/1000</f>
        <v>3.5</v>
      </c>
      <c r="O157" s="2451"/>
      <c r="P157" s="2364">
        <v>1</v>
      </c>
      <c r="Q157" s="2364">
        <v>3450</v>
      </c>
      <c r="R157" s="2364">
        <f>Q157*P157/1000</f>
        <v>3.5</v>
      </c>
      <c r="S157" s="2364">
        <f t="shared" si="21"/>
        <v>3.5</v>
      </c>
      <c r="T157" s="2364"/>
      <c r="U157" s="2364"/>
      <c r="V157" s="2384">
        <f t="shared" si="19"/>
        <v>0</v>
      </c>
      <c r="W157" s="2384">
        <f t="shared" si="20"/>
        <v>100</v>
      </c>
      <c r="X157" s="2364">
        <v>3.5</v>
      </c>
      <c r="Y157" s="2364">
        <v>3.5</v>
      </c>
      <c r="Z157" s="3469"/>
      <c r="AA157" s="2296" t="s">
        <v>1665</v>
      </c>
    </row>
    <row r="158" spans="1:27" s="2290" customFormat="1" ht="47.25" hidden="1" x14ac:dyDescent="0.25">
      <c r="A158" s="2380"/>
      <c r="B158" s="2319"/>
      <c r="C158" s="2335" t="s">
        <v>2154</v>
      </c>
      <c r="D158" s="2364"/>
      <c r="E158" s="2441"/>
      <c r="F158" s="2389"/>
      <c r="G158" s="2417"/>
      <c r="H158" s="2364">
        <v>1</v>
      </c>
      <c r="I158" s="2364">
        <v>2300</v>
      </c>
      <c r="J158" s="2364">
        <f>H158*I158/1000</f>
        <v>2.2999999999999998</v>
      </c>
      <c r="K158" s="2361"/>
      <c r="L158" s="2364">
        <v>1</v>
      </c>
      <c r="M158" s="2364">
        <v>2300</v>
      </c>
      <c r="N158" s="2364">
        <f>L158*M158/1000</f>
        <v>2.2999999999999998</v>
      </c>
      <c r="O158" s="2449"/>
      <c r="P158" s="2364">
        <v>1</v>
      </c>
      <c r="Q158" s="2364">
        <v>2300</v>
      </c>
      <c r="R158" s="2364">
        <f>Q158*P158/1000</f>
        <v>2.2999999999999998</v>
      </c>
      <c r="S158" s="2364">
        <f t="shared" si="21"/>
        <v>2.2999999999999998</v>
      </c>
      <c r="T158" s="2364"/>
      <c r="U158" s="2361"/>
      <c r="V158" s="2417">
        <f t="shared" si="19"/>
        <v>0</v>
      </c>
      <c r="W158" s="2417">
        <f t="shared" si="20"/>
        <v>100</v>
      </c>
      <c r="X158" s="2364">
        <v>2.2999999999999998</v>
      </c>
      <c r="Y158" s="2364">
        <v>2.2999999999999998</v>
      </c>
      <c r="Z158" s="3470"/>
      <c r="AA158" s="2296" t="s">
        <v>1665</v>
      </c>
    </row>
    <row r="159" spans="1:27" s="2290" customFormat="1" ht="47.25" hidden="1" x14ac:dyDescent="0.25">
      <c r="A159" s="2380"/>
      <c r="B159" s="2343"/>
      <c r="C159" s="2335" t="s">
        <v>2155</v>
      </c>
      <c r="D159" s="2364"/>
      <c r="E159" s="2441"/>
      <c r="F159" s="2389"/>
      <c r="G159" s="2417"/>
      <c r="H159" s="2364">
        <v>1</v>
      </c>
      <c r="I159" s="2364">
        <v>3000</v>
      </c>
      <c r="J159" s="2364">
        <f>H159*I159/1000</f>
        <v>3</v>
      </c>
      <c r="K159" s="2364"/>
      <c r="L159" s="2364">
        <v>1</v>
      </c>
      <c r="M159" s="2364">
        <v>3000</v>
      </c>
      <c r="N159" s="2364">
        <f>L159*M159/1000</f>
        <v>3</v>
      </c>
      <c r="O159" s="2451"/>
      <c r="P159" s="2364"/>
      <c r="Q159" s="2364"/>
      <c r="R159" s="2364">
        <f>Q159*P159/1000</f>
        <v>0</v>
      </c>
      <c r="S159" s="2364">
        <f t="shared" si="21"/>
        <v>0</v>
      </c>
      <c r="T159" s="2364"/>
      <c r="U159" s="2364"/>
      <c r="V159" s="2417">
        <f t="shared" si="19"/>
        <v>-3</v>
      </c>
      <c r="W159" s="2417">
        <f t="shared" si="20"/>
        <v>0</v>
      </c>
      <c r="X159" s="2364">
        <v>0</v>
      </c>
      <c r="Y159" s="2364">
        <v>0</v>
      </c>
      <c r="Z159" s="3470"/>
      <c r="AA159" s="2296" t="s">
        <v>1665</v>
      </c>
    </row>
    <row r="160" spans="1:27" s="2290" customFormat="1" ht="63" hidden="1" x14ac:dyDescent="0.25">
      <c r="A160" s="2380"/>
      <c r="B160" s="2343"/>
      <c r="C160" s="2335" t="s">
        <v>2156</v>
      </c>
      <c r="D160" s="2364"/>
      <c r="E160" s="2441"/>
      <c r="F160" s="2389"/>
      <c r="G160" s="2417"/>
      <c r="H160" s="2364">
        <v>1</v>
      </c>
      <c r="I160" s="2364">
        <v>3150</v>
      </c>
      <c r="J160" s="2364">
        <f>H160*I160/1000</f>
        <v>3.2</v>
      </c>
      <c r="K160" s="2364"/>
      <c r="L160" s="2364">
        <v>1</v>
      </c>
      <c r="M160" s="2364">
        <v>3150</v>
      </c>
      <c r="N160" s="2364">
        <f>L160*M160/1000</f>
        <v>3.2</v>
      </c>
      <c r="O160" s="2451"/>
      <c r="P160" s="2364">
        <v>1</v>
      </c>
      <c r="Q160" s="2364">
        <v>3450</v>
      </c>
      <c r="R160" s="2364">
        <f>Q160*P160/1000</f>
        <v>3.5</v>
      </c>
      <c r="S160" s="2364">
        <f t="shared" si="21"/>
        <v>3.5</v>
      </c>
      <c r="T160" s="2364"/>
      <c r="U160" s="2364"/>
      <c r="V160" s="2417">
        <f t="shared" si="19"/>
        <v>0.3</v>
      </c>
      <c r="W160" s="2417">
        <f t="shared" si="20"/>
        <v>109.4</v>
      </c>
      <c r="X160" s="2364">
        <v>3.5</v>
      </c>
      <c r="Y160" s="2364">
        <v>3.5</v>
      </c>
      <c r="Z160" s="3471"/>
      <c r="AA160" s="2296" t="s">
        <v>1665</v>
      </c>
    </row>
    <row r="161" spans="1:27" s="2290" customFormat="1" hidden="1" x14ac:dyDescent="0.25">
      <c r="A161" s="2380"/>
      <c r="B161" s="2343"/>
      <c r="C161" s="2335" t="s">
        <v>1234</v>
      </c>
      <c r="D161" s="2364"/>
      <c r="E161" s="2441"/>
      <c r="F161" s="2389"/>
      <c r="G161" s="2417"/>
      <c r="H161" s="2364"/>
      <c r="I161" s="2364"/>
      <c r="J161" s="2364">
        <f>SUM(J157:J160)*0.271</f>
        <v>3.3</v>
      </c>
      <c r="K161" s="2364"/>
      <c r="L161" s="2364"/>
      <c r="M161" s="2364"/>
      <c r="N161" s="2364">
        <f>SUM(N157:N160)*0.271</f>
        <v>3.3</v>
      </c>
      <c r="O161" s="2451"/>
      <c r="P161" s="2364"/>
      <c r="Q161" s="2364"/>
      <c r="R161" s="2364">
        <f>SUM(R157:R160)*0.271</f>
        <v>2.5</v>
      </c>
      <c r="S161" s="2364">
        <f t="shared" si="21"/>
        <v>2.5</v>
      </c>
      <c r="T161" s="2364"/>
      <c r="U161" s="2364"/>
      <c r="V161" s="2417">
        <f t="shared" si="19"/>
        <v>-0.8</v>
      </c>
      <c r="W161" s="2417">
        <f t="shared" si="20"/>
        <v>75.8</v>
      </c>
      <c r="X161" s="2364">
        <v>2.5</v>
      </c>
      <c r="Y161" s="2364">
        <v>2.5</v>
      </c>
      <c r="Z161" s="2450"/>
      <c r="AA161" s="2296" t="s">
        <v>1665</v>
      </c>
    </row>
    <row r="162" spans="1:27" s="2290" customFormat="1" hidden="1" x14ac:dyDescent="0.25">
      <c r="A162" s="2380"/>
      <c r="B162" s="2452">
        <v>981</v>
      </c>
      <c r="C162" s="2340" t="s">
        <v>1226</v>
      </c>
      <c r="D162" s="2364"/>
      <c r="E162" s="2441"/>
      <c r="F162" s="2389"/>
      <c r="G162" s="2417"/>
      <c r="H162" s="2361"/>
      <c r="I162" s="2361"/>
      <c r="J162" s="2361">
        <f>J163</f>
        <v>2</v>
      </c>
      <c r="K162" s="2361"/>
      <c r="L162" s="2361"/>
      <c r="M162" s="2361"/>
      <c r="N162" s="2361">
        <f>N163</f>
        <v>2</v>
      </c>
      <c r="O162" s="2449"/>
      <c r="P162" s="2361"/>
      <c r="Q162" s="2361"/>
      <c r="R162" s="2361">
        <f>SUM(R163:R164)</f>
        <v>2</v>
      </c>
      <c r="S162" s="2361">
        <f t="shared" si="21"/>
        <v>2</v>
      </c>
      <c r="T162" s="2361"/>
      <c r="U162" s="2361">
        <f>SUM(U163:U164)</f>
        <v>9.6</v>
      </c>
      <c r="V162" s="2416">
        <f t="shared" si="19"/>
        <v>0</v>
      </c>
      <c r="W162" s="2416">
        <f t="shared" si="20"/>
        <v>100</v>
      </c>
      <c r="X162" s="2361">
        <f>SUM(X163:X164)</f>
        <v>11.6</v>
      </c>
      <c r="Y162" s="2361">
        <f>SUM(Y163:Y164)</f>
        <v>11.6</v>
      </c>
      <c r="Z162" s="2453"/>
      <c r="AA162" s="2296" t="s">
        <v>1665</v>
      </c>
    </row>
    <row r="163" spans="1:27" s="2290" customFormat="1" hidden="1" x14ac:dyDescent="0.25">
      <c r="A163" s="2380"/>
      <c r="B163" s="2325"/>
      <c r="C163" s="2335" t="s">
        <v>1958</v>
      </c>
      <c r="D163" s="2364"/>
      <c r="E163" s="2441"/>
      <c r="F163" s="2389"/>
      <c r="G163" s="2417"/>
      <c r="H163" s="2364">
        <v>2</v>
      </c>
      <c r="I163" s="2364">
        <v>1000</v>
      </c>
      <c r="J163" s="2364">
        <f>H163*I163/1000</f>
        <v>2</v>
      </c>
      <c r="K163" s="2364"/>
      <c r="L163" s="2364">
        <v>2</v>
      </c>
      <c r="M163" s="2364">
        <v>1000</v>
      </c>
      <c r="N163" s="2364">
        <f>L163*M163/1000</f>
        <v>2</v>
      </c>
      <c r="O163" s="2451"/>
      <c r="P163" s="2364">
        <v>1</v>
      </c>
      <c r="Q163" s="2364">
        <v>2000</v>
      </c>
      <c r="R163" s="2364">
        <f>Q163*P163/1000</f>
        <v>2</v>
      </c>
      <c r="S163" s="2364">
        <f t="shared" si="21"/>
        <v>2</v>
      </c>
      <c r="T163" s="2364"/>
      <c r="U163" s="2364"/>
      <c r="V163" s="2384">
        <f t="shared" si="19"/>
        <v>0</v>
      </c>
      <c r="W163" s="2384">
        <f t="shared" si="20"/>
        <v>100</v>
      </c>
      <c r="X163" s="2364">
        <v>2</v>
      </c>
      <c r="Y163" s="2364">
        <v>2</v>
      </c>
      <c r="Z163" s="2440"/>
      <c r="AA163" s="2296" t="s">
        <v>1665</v>
      </c>
    </row>
    <row r="164" spans="1:27" s="2290" customFormat="1" ht="31.5" hidden="1" x14ac:dyDescent="0.25">
      <c r="A164" s="2380"/>
      <c r="B164" s="2325"/>
      <c r="C164" s="2338" t="s">
        <v>1616</v>
      </c>
      <c r="D164" s="2364"/>
      <c r="E164" s="2441"/>
      <c r="F164" s="2389"/>
      <c r="G164" s="2417"/>
      <c r="H164" s="2364"/>
      <c r="I164" s="2364"/>
      <c r="J164" s="2364"/>
      <c r="K164" s="2364"/>
      <c r="L164" s="2364"/>
      <c r="M164" s="2364"/>
      <c r="N164" s="2364"/>
      <c r="O164" s="2451"/>
      <c r="P164" s="2364">
        <v>1</v>
      </c>
      <c r="Q164" s="2364">
        <v>9600</v>
      </c>
      <c r="R164" s="2364"/>
      <c r="S164" s="2364">
        <f t="shared" si="21"/>
        <v>0</v>
      </c>
      <c r="T164" s="2364"/>
      <c r="U164" s="2364">
        <v>9.6</v>
      </c>
      <c r="V164" s="2384">
        <f t="shared" si="19"/>
        <v>0</v>
      </c>
      <c r="W164" s="2384">
        <f t="shared" si="20"/>
        <v>0</v>
      </c>
      <c r="X164" s="2364">
        <v>9.6</v>
      </c>
      <c r="Y164" s="2364">
        <v>9.6</v>
      </c>
      <c r="Z164" s="2440" t="s">
        <v>2157</v>
      </c>
      <c r="AA164" s="2296" t="s">
        <v>1665</v>
      </c>
    </row>
    <row r="165" spans="1:27" s="2290" customFormat="1" hidden="1" x14ac:dyDescent="0.25">
      <c r="A165" s="2380"/>
      <c r="B165" s="2452">
        <v>981</v>
      </c>
      <c r="C165" s="2340" t="s">
        <v>2158</v>
      </c>
      <c r="D165" s="2364"/>
      <c r="E165" s="2441"/>
      <c r="F165" s="2389"/>
      <c r="G165" s="2417"/>
      <c r="H165" s="2361"/>
      <c r="I165" s="2361"/>
      <c r="J165" s="2361">
        <f>SUM(J166:J168)</f>
        <v>21</v>
      </c>
      <c r="K165" s="2361"/>
      <c r="L165" s="2361"/>
      <c r="M165" s="2361"/>
      <c r="N165" s="2361">
        <f>SUM(N166:N168)</f>
        <v>20.5</v>
      </c>
      <c r="O165" s="2449"/>
      <c r="P165" s="2361"/>
      <c r="Q165" s="2361"/>
      <c r="R165" s="2361">
        <f>SUM(R166:R168)</f>
        <v>20.5</v>
      </c>
      <c r="S165" s="2361">
        <f t="shared" si="21"/>
        <v>20.5</v>
      </c>
      <c r="T165" s="2361"/>
      <c r="U165" s="2361"/>
      <c r="V165" s="2377">
        <f t="shared" si="19"/>
        <v>-0.5</v>
      </c>
      <c r="W165" s="2377">
        <f t="shared" si="20"/>
        <v>97.6</v>
      </c>
      <c r="X165" s="2361">
        <v>20.5</v>
      </c>
      <c r="Y165" s="2361">
        <v>20.5</v>
      </c>
      <c r="Z165" s="2453"/>
      <c r="AA165" s="2296" t="s">
        <v>1665</v>
      </c>
    </row>
    <row r="166" spans="1:27" s="2290" customFormat="1" hidden="1" x14ac:dyDescent="0.25">
      <c r="A166" s="2380"/>
      <c r="B166" s="2343"/>
      <c r="C166" s="2335" t="s">
        <v>2090</v>
      </c>
      <c r="D166" s="2364"/>
      <c r="E166" s="2441"/>
      <c r="F166" s="2389"/>
      <c r="G166" s="2417"/>
      <c r="H166" s="2364">
        <v>100</v>
      </c>
      <c r="I166" s="2364">
        <v>50</v>
      </c>
      <c r="J166" s="2364">
        <f t="shared" ref="J166:J172" si="27">H166*I166/1000</f>
        <v>5</v>
      </c>
      <c r="K166" s="2364"/>
      <c r="L166" s="2364">
        <v>100</v>
      </c>
      <c r="M166" s="2364">
        <v>50</v>
      </c>
      <c r="N166" s="2364">
        <f>L166*M166/1000</f>
        <v>5</v>
      </c>
      <c r="O166" s="2451"/>
      <c r="P166" s="2364">
        <v>100</v>
      </c>
      <c r="Q166" s="2364">
        <v>50</v>
      </c>
      <c r="R166" s="2364">
        <f t="shared" ref="R166:R174" si="28">Q166*P166/1000</f>
        <v>5</v>
      </c>
      <c r="S166" s="2364">
        <f t="shared" si="21"/>
        <v>5</v>
      </c>
      <c r="T166" s="2364"/>
      <c r="U166" s="2364"/>
      <c r="V166" s="2384">
        <f t="shared" si="19"/>
        <v>0</v>
      </c>
      <c r="W166" s="2384">
        <f t="shared" si="20"/>
        <v>100</v>
      </c>
      <c r="X166" s="2364">
        <v>5</v>
      </c>
      <c r="Y166" s="2364">
        <v>5</v>
      </c>
      <c r="Z166" s="2454"/>
      <c r="AA166" s="2296" t="s">
        <v>1665</v>
      </c>
    </row>
    <row r="167" spans="1:27" s="2290" customFormat="1" ht="31.5" hidden="1" x14ac:dyDescent="0.25">
      <c r="A167" s="2380"/>
      <c r="B167" s="2343"/>
      <c r="C167" s="2335" t="s">
        <v>2067</v>
      </c>
      <c r="D167" s="2364"/>
      <c r="E167" s="2441"/>
      <c r="F167" s="2389"/>
      <c r="G167" s="2417"/>
      <c r="H167" s="2364">
        <v>20</v>
      </c>
      <c r="I167" s="2364">
        <v>25</v>
      </c>
      <c r="J167" s="2364">
        <f t="shared" si="27"/>
        <v>0.5</v>
      </c>
      <c r="K167" s="2364"/>
      <c r="L167" s="2364">
        <v>20</v>
      </c>
      <c r="M167" s="2364">
        <v>25</v>
      </c>
      <c r="N167" s="2364">
        <f>L167*M167/1000-0.5</f>
        <v>0</v>
      </c>
      <c r="O167" s="2451"/>
      <c r="P167" s="2364"/>
      <c r="Q167" s="2364"/>
      <c r="R167" s="2364"/>
      <c r="S167" s="2364">
        <f t="shared" si="21"/>
        <v>0</v>
      </c>
      <c r="T167" s="2364"/>
      <c r="U167" s="2364"/>
      <c r="V167" s="2384">
        <f t="shared" si="19"/>
        <v>-0.5</v>
      </c>
      <c r="W167" s="2384">
        <f t="shared" si="20"/>
        <v>0</v>
      </c>
      <c r="X167" s="2364"/>
      <c r="Y167" s="2364"/>
      <c r="Z167" s="2454"/>
      <c r="AA167" s="2296" t="s">
        <v>1665</v>
      </c>
    </row>
    <row r="168" spans="1:27" s="2290" customFormat="1" hidden="1" x14ac:dyDescent="0.25">
      <c r="A168" s="2380"/>
      <c r="B168" s="2343"/>
      <c r="C168" s="2335" t="s">
        <v>2159</v>
      </c>
      <c r="D168" s="2364"/>
      <c r="E168" s="2441"/>
      <c r="F168" s="2389"/>
      <c r="G168" s="2417"/>
      <c r="H168" s="2364">
        <v>155</v>
      </c>
      <c r="I168" s="2364">
        <v>100</v>
      </c>
      <c r="J168" s="2364">
        <f t="shared" si="27"/>
        <v>15.5</v>
      </c>
      <c r="K168" s="2364"/>
      <c r="L168" s="2364">
        <v>155</v>
      </c>
      <c r="M168" s="2364">
        <v>100</v>
      </c>
      <c r="N168" s="2364">
        <f>L168*M168/1000</f>
        <v>15.5</v>
      </c>
      <c r="O168" s="2451"/>
      <c r="P168" s="2364">
        <v>155</v>
      </c>
      <c r="Q168" s="2364">
        <v>100</v>
      </c>
      <c r="R168" s="2364">
        <f t="shared" si="28"/>
        <v>15.5</v>
      </c>
      <c r="S168" s="2364">
        <f t="shared" si="21"/>
        <v>15.5</v>
      </c>
      <c r="T168" s="2364"/>
      <c r="U168" s="2364"/>
      <c r="V168" s="2384">
        <f t="shared" si="19"/>
        <v>0</v>
      </c>
      <c r="W168" s="2384">
        <f t="shared" si="20"/>
        <v>100</v>
      </c>
      <c r="X168" s="2364">
        <v>15.5</v>
      </c>
      <c r="Y168" s="2364">
        <v>15.5</v>
      </c>
      <c r="Z168" s="2454"/>
      <c r="AA168" s="2296" t="s">
        <v>1665</v>
      </c>
    </row>
    <row r="169" spans="1:27" s="2290" customFormat="1" x14ac:dyDescent="0.25">
      <c r="A169" s="2380"/>
      <c r="B169" s="2452">
        <v>963</v>
      </c>
      <c r="C169" s="2340" t="s">
        <v>798</v>
      </c>
      <c r="D169" s="2364"/>
      <c r="E169" s="2441"/>
      <c r="F169" s="2389"/>
      <c r="G169" s="2417"/>
      <c r="H169" s="2361"/>
      <c r="I169" s="2361"/>
      <c r="J169" s="2361">
        <f>SUM(J170:J172)</f>
        <v>32.5</v>
      </c>
      <c r="K169" s="2361"/>
      <c r="L169" s="2361"/>
      <c r="M169" s="2361"/>
      <c r="N169" s="2361">
        <f>SUM(N170:N174)</f>
        <v>33</v>
      </c>
      <c r="O169" s="2449"/>
      <c r="P169" s="2361"/>
      <c r="Q169" s="2361"/>
      <c r="R169" s="2361">
        <f>SUM(R170:R174)</f>
        <v>36</v>
      </c>
      <c r="S169" s="2361">
        <f t="shared" si="21"/>
        <v>36</v>
      </c>
      <c r="T169" s="2361"/>
      <c r="U169" s="2361">
        <f>SUM(U170:U174)</f>
        <v>15</v>
      </c>
      <c r="V169" s="2377">
        <f t="shared" si="19"/>
        <v>3.5</v>
      </c>
      <c r="W169" s="2377">
        <f t="shared" si="20"/>
        <v>110.8</v>
      </c>
      <c r="X169" s="2361">
        <v>36</v>
      </c>
      <c r="Y169" s="2361">
        <v>36</v>
      </c>
      <c r="Z169" s="2453"/>
      <c r="AA169" s="2296" t="s">
        <v>1665</v>
      </c>
    </row>
    <row r="170" spans="1:27" s="2290" customFormat="1" hidden="1" x14ac:dyDescent="0.25">
      <c r="A170" s="2380"/>
      <c r="B170" s="2343"/>
      <c r="C170" s="2335" t="s">
        <v>2160</v>
      </c>
      <c r="D170" s="2364"/>
      <c r="E170" s="2441"/>
      <c r="F170" s="2389"/>
      <c r="G170" s="2417"/>
      <c r="H170" s="2364">
        <v>10</v>
      </c>
      <c r="I170" s="2364">
        <v>200</v>
      </c>
      <c r="J170" s="2364">
        <f t="shared" si="27"/>
        <v>2</v>
      </c>
      <c r="K170" s="2364"/>
      <c r="L170" s="2364">
        <v>10</v>
      </c>
      <c r="M170" s="2364">
        <v>200</v>
      </c>
      <c r="N170" s="2364">
        <f>L170*M170/1000</f>
        <v>2</v>
      </c>
      <c r="O170" s="2451"/>
      <c r="P170" s="2364"/>
      <c r="Q170" s="2364"/>
      <c r="R170" s="2364"/>
      <c r="S170" s="2364">
        <f t="shared" si="21"/>
        <v>0</v>
      </c>
      <c r="T170" s="2364"/>
      <c r="U170" s="2364"/>
      <c r="V170" s="2384">
        <f t="shared" si="19"/>
        <v>-2</v>
      </c>
      <c r="W170" s="2384">
        <f t="shared" si="20"/>
        <v>0</v>
      </c>
      <c r="X170" s="2364">
        <v>2</v>
      </c>
      <c r="Y170" s="2364">
        <v>2</v>
      </c>
      <c r="Z170" s="2454"/>
      <c r="AA170" s="2296" t="s">
        <v>1665</v>
      </c>
    </row>
    <row r="171" spans="1:27" s="2290" customFormat="1" hidden="1" x14ac:dyDescent="0.25">
      <c r="A171" s="2380"/>
      <c r="B171" s="2343"/>
      <c r="C171" s="2335" t="s">
        <v>2161</v>
      </c>
      <c r="D171" s="2364"/>
      <c r="E171" s="2441"/>
      <c r="F171" s="2389"/>
      <c r="G171" s="2417"/>
      <c r="H171" s="2364">
        <v>10</v>
      </c>
      <c r="I171" s="2364">
        <v>50</v>
      </c>
      <c r="J171" s="2364">
        <f t="shared" si="27"/>
        <v>0.5</v>
      </c>
      <c r="K171" s="2364"/>
      <c r="L171" s="2364">
        <v>10</v>
      </c>
      <c r="M171" s="2364">
        <v>50</v>
      </c>
      <c r="N171" s="2364">
        <f>L171*M171/1000</f>
        <v>0.5</v>
      </c>
      <c r="O171" s="2451"/>
      <c r="P171" s="2364">
        <v>10</v>
      </c>
      <c r="Q171" s="2364">
        <v>50</v>
      </c>
      <c r="R171" s="2364">
        <f t="shared" si="28"/>
        <v>0.5</v>
      </c>
      <c r="S171" s="2364">
        <f t="shared" si="21"/>
        <v>0.5</v>
      </c>
      <c r="T171" s="2364"/>
      <c r="U171" s="2364"/>
      <c r="V171" s="2384">
        <f t="shared" si="19"/>
        <v>0</v>
      </c>
      <c r="W171" s="2384">
        <f t="shared" si="20"/>
        <v>100</v>
      </c>
      <c r="X171" s="2364">
        <v>0.5</v>
      </c>
      <c r="Y171" s="2364">
        <v>0.5</v>
      </c>
      <c r="Z171" s="2454"/>
      <c r="AA171" s="2296" t="s">
        <v>1665</v>
      </c>
    </row>
    <row r="172" spans="1:27" s="2290" customFormat="1" ht="63" hidden="1" x14ac:dyDescent="0.25">
      <c r="A172" s="2380"/>
      <c r="B172" s="2343"/>
      <c r="C172" s="2335" t="s">
        <v>2162</v>
      </c>
      <c r="D172" s="2333"/>
      <c r="E172" s="2354"/>
      <c r="F172" s="2333"/>
      <c r="G172" s="2333"/>
      <c r="H172" s="2364">
        <v>10</v>
      </c>
      <c r="I172" s="2364">
        <v>3000</v>
      </c>
      <c r="J172" s="2364">
        <f t="shared" si="27"/>
        <v>30</v>
      </c>
      <c r="K172" s="2364"/>
      <c r="L172" s="2364">
        <v>10</v>
      </c>
      <c r="M172" s="2364">
        <v>3000</v>
      </c>
      <c r="N172" s="2364">
        <f>L172*M172/1000</f>
        <v>30</v>
      </c>
      <c r="O172" s="2451"/>
      <c r="P172" s="2364">
        <v>15</v>
      </c>
      <c r="Q172" s="2364">
        <v>3000</v>
      </c>
      <c r="R172" s="2364">
        <v>30</v>
      </c>
      <c r="S172" s="2364">
        <f t="shared" si="21"/>
        <v>30</v>
      </c>
      <c r="T172" s="2364"/>
      <c r="U172" s="2364">
        <v>15</v>
      </c>
      <c r="V172" s="2384">
        <f t="shared" si="19"/>
        <v>0</v>
      </c>
      <c r="W172" s="2384">
        <f t="shared" si="20"/>
        <v>100</v>
      </c>
      <c r="X172" s="2364">
        <v>45</v>
      </c>
      <c r="Y172" s="2364">
        <v>45</v>
      </c>
      <c r="Z172" s="2454" t="s">
        <v>2163</v>
      </c>
      <c r="AA172" s="2296" t="s">
        <v>1665</v>
      </c>
    </row>
    <row r="173" spans="1:27" s="2290" customFormat="1" ht="31.5" hidden="1" x14ac:dyDescent="0.25">
      <c r="A173" s="2380"/>
      <c r="B173" s="2343"/>
      <c r="C173" s="2338" t="s">
        <v>2164</v>
      </c>
      <c r="D173" s="2333"/>
      <c r="E173" s="2354"/>
      <c r="F173" s="2333"/>
      <c r="G173" s="2333"/>
      <c r="H173" s="2364"/>
      <c r="I173" s="2364"/>
      <c r="J173" s="2364"/>
      <c r="K173" s="2364"/>
      <c r="L173" s="2364"/>
      <c r="M173" s="2364"/>
      <c r="N173" s="2364"/>
      <c r="O173" s="2451"/>
      <c r="P173" s="2364">
        <v>10</v>
      </c>
      <c r="Q173" s="2364">
        <v>500</v>
      </c>
      <c r="R173" s="2364">
        <f t="shared" si="28"/>
        <v>5</v>
      </c>
      <c r="S173" s="2364">
        <f t="shared" si="21"/>
        <v>5</v>
      </c>
      <c r="T173" s="2364"/>
      <c r="U173" s="2364"/>
      <c r="V173" s="2384">
        <f t="shared" si="19"/>
        <v>5</v>
      </c>
      <c r="W173" s="2384">
        <f t="shared" si="20"/>
        <v>0</v>
      </c>
      <c r="X173" s="2364">
        <v>10</v>
      </c>
      <c r="Y173" s="2364">
        <v>10</v>
      </c>
      <c r="Z173" s="2359" t="s">
        <v>2165</v>
      </c>
      <c r="AA173" s="2296" t="s">
        <v>1665</v>
      </c>
    </row>
    <row r="174" spans="1:27" s="2290" customFormat="1" ht="31.5" hidden="1" x14ac:dyDescent="0.25">
      <c r="A174" s="2380"/>
      <c r="B174" s="2343"/>
      <c r="C174" s="2338" t="s">
        <v>2067</v>
      </c>
      <c r="D174" s="2333"/>
      <c r="E174" s="2354"/>
      <c r="F174" s="2333"/>
      <c r="G174" s="2333"/>
      <c r="H174" s="2364"/>
      <c r="I174" s="2364"/>
      <c r="J174" s="2364"/>
      <c r="K174" s="2364"/>
      <c r="L174" s="2364"/>
      <c r="M174" s="2364"/>
      <c r="N174" s="2364">
        <v>0.5</v>
      </c>
      <c r="O174" s="2451"/>
      <c r="P174" s="2364">
        <v>20</v>
      </c>
      <c r="Q174" s="2364">
        <v>25</v>
      </c>
      <c r="R174" s="2364">
        <f t="shared" si="28"/>
        <v>0.5</v>
      </c>
      <c r="S174" s="2364">
        <f t="shared" si="21"/>
        <v>0.5</v>
      </c>
      <c r="T174" s="2364"/>
      <c r="U174" s="2364"/>
      <c r="V174" s="2384">
        <f t="shared" si="19"/>
        <v>0.5</v>
      </c>
      <c r="W174" s="2384">
        <f t="shared" si="20"/>
        <v>0</v>
      </c>
      <c r="X174" s="2364">
        <v>0.5</v>
      </c>
      <c r="Y174" s="2364">
        <v>0.5</v>
      </c>
      <c r="Z174" s="2359" t="s">
        <v>2166</v>
      </c>
      <c r="AA174" s="2296" t="s">
        <v>1665</v>
      </c>
    </row>
    <row r="175" spans="1:27" s="2290" customFormat="1" ht="47.25" hidden="1" x14ac:dyDescent="0.25">
      <c r="A175" s="2455"/>
      <c r="B175" s="2347">
        <v>955</v>
      </c>
      <c r="C175" s="2456" t="s">
        <v>2167</v>
      </c>
      <c r="D175" s="2457">
        <v>955</v>
      </c>
      <c r="E175" s="2458"/>
      <c r="F175" s="2458"/>
      <c r="G175" s="2459"/>
      <c r="H175" s="2460"/>
      <c r="I175" s="2405"/>
      <c r="J175" s="2405"/>
      <c r="K175" s="2459"/>
      <c r="L175" s="2460"/>
      <c r="M175" s="2405"/>
      <c r="N175" s="2405"/>
      <c r="O175" s="2461"/>
      <c r="P175" s="2405"/>
      <c r="Q175" s="2405"/>
      <c r="R175" s="2349">
        <f>SUM(R177:R182)</f>
        <v>25.7</v>
      </c>
      <c r="S175" s="2313">
        <f t="shared" si="21"/>
        <v>25.7</v>
      </c>
      <c r="T175" s="2313"/>
      <c r="U175" s="2313">
        <f>U176+U182+U185+U189</f>
        <v>0</v>
      </c>
      <c r="V175" s="2313">
        <f t="shared" si="19"/>
        <v>25.7</v>
      </c>
      <c r="W175" s="2313">
        <f t="shared" si="20"/>
        <v>0</v>
      </c>
      <c r="X175" s="2313">
        <f>SUM(X177:X182)</f>
        <v>30</v>
      </c>
      <c r="Y175" s="2315">
        <f t="shared" ref="Y175" si="29">SUM(Y177:Y182)</f>
        <v>30</v>
      </c>
      <c r="Z175" s="3460" t="s">
        <v>2168</v>
      </c>
      <c r="AA175" s="2296" t="s">
        <v>1665</v>
      </c>
    </row>
    <row r="176" spans="1:27" s="2290" customFormat="1" ht="31.5" hidden="1" x14ac:dyDescent="0.25">
      <c r="A176" s="2462"/>
      <c r="B176" s="2463"/>
      <c r="C176" s="2464" t="s">
        <v>1401</v>
      </c>
      <c r="D176" s="2465"/>
      <c r="E176" s="2466"/>
      <c r="F176" s="2466"/>
      <c r="G176" s="2467"/>
      <c r="H176" s="2468"/>
      <c r="I176" s="2469"/>
      <c r="J176" s="2469"/>
      <c r="K176" s="2467"/>
      <c r="L176" s="2468"/>
      <c r="M176" s="2469"/>
      <c r="N176" s="2469"/>
      <c r="O176" s="2470"/>
      <c r="P176" s="2469"/>
      <c r="Q176" s="2469"/>
      <c r="R176" s="2471"/>
      <c r="S176" s="2364">
        <f t="shared" si="21"/>
        <v>0</v>
      </c>
      <c r="T176" s="2364"/>
      <c r="U176" s="2364"/>
      <c r="V176" s="2384">
        <f t="shared" si="19"/>
        <v>0</v>
      </c>
      <c r="W176" s="2384">
        <f t="shared" si="20"/>
        <v>0</v>
      </c>
      <c r="X176" s="2364"/>
      <c r="Y176" s="2451"/>
      <c r="Z176" s="3460"/>
      <c r="AA176" s="2296" t="s">
        <v>1665</v>
      </c>
    </row>
    <row r="177" spans="1:27" s="2290" customFormat="1" hidden="1" x14ac:dyDescent="0.25">
      <c r="A177" s="2462"/>
      <c r="B177" s="2463"/>
      <c r="C177" s="2472" t="s">
        <v>1933</v>
      </c>
      <c r="D177" s="2465"/>
      <c r="E177" s="2466"/>
      <c r="F177" s="2466"/>
      <c r="G177" s="2467"/>
      <c r="H177" s="2468"/>
      <c r="I177" s="2469"/>
      <c r="J177" s="2469"/>
      <c r="K177" s="2467"/>
      <c r="L177" s="2468"/>
      <c r="M177" s="2469"/>
      <c r="N177" s="2469"/>
      <c r="O177" s="2470"/>
      <c r="P177" s="2469">
        <v>1</v>
      </c>
      <c r="Q177" s="2469">
        <v>3.5</v>
      </c>
      <c r="R177" s="2469">
        <f>P177*Q177</f>
        <v>3.5</v>
      </c>
      <c r="S177" s="2364">
        <f t="shared" si="21"/>
        <v>3.5</v>
      </c>
      <c r="T177" s="2364"/>
      <c r="U177" s="2364"/>
      <c r="V177" s="2384">
        <f t="shared" si="19"/>
        <v>3.5</v>
      </c>
      <c r="W177" s="2384">
        <f t="shared" si="20"/>
        <v>0</v>
      </c>
      <c r="X177" s="2364">
        <v>3.5</v>
      </c>
      <c r="Y177" s="2451">
        <v>3.5</v>
      </c>
      <c r="Z177" s="3460"/>
      <c r="AA177" s="2296" t="s">
        <v>1665</v>
      </c>
    </row>
    <row r="178" spans="1:27" s="2290" customFormat="1" hidden="1" x14ac:dyDescent="0.25">
      <c r="A178" s="2462"/>
      <c r="B178" s="2463"/>
      <c r="C178" s="2472" t="s">
        <v>1404</v>
      </c>
      <c r="D178" s="2465"/>
      <c r="E178" s="2466"/>
      <c r="F178" s="2466"/>
      <c r="G178" s="2467"/>
      <c r="H178" s="2468"/>
      <c r="I178" s="2469"/>
      <c r="J178" s="2469"/>
      <c r="K178" s="2467"/>
      <c r="L178" s="2468"/>
      <c r="M178" s="2469"/>
      <c r="N178" s="2469"/>
      <c r="O178" s="2470"/>
      <c r="P178" s="2469">
        <v>2</v>
      </c>
      <c r="Q178" s="2469">
        <v>2.2999999999999998</v>
      </c>
      <c r="R178" s="2469">
        <f t="shared" ref="R178:R181" si="30">P178*Q178</f>
        <v>4.5999999999999996</v>
      </c>
      <c r="S178" s="2364">
        <f t="shared" si="21"/>
        <v>4.5999999999999996</v>
      </c>
      <c r="T178" s="2364"/>
      <c r="U178" s="2364"/>
      <c r="V178" s="2384">
        <f t="shared" si="19"/>
        <v>4.5999999999999996</v>
      </c>
      <c r="W178" s="2384">
        <f t="shared" si="20"/>
        <v>0</v>
      </c>
      <c r="X178" s="2364">
        <v>6.9</v>
      </c>
      <c r="Y178" s="2451">
        <v>6.9</v>
      </c>
      <c r="Z178" s="3460"/>
      <c r="AA178" s="2296" t="s">
        <v>1665</v>
      </c>
    </row>
    <row r="179" spans="1:27" s="2290" customFormat="1" ht="31.5" hidden="1" x14ac:dyDescent="0.25">
      <c r="A179" s="2462"/>
      <c r="B179" s="2463"/>
      <c r="C179" s="2472" t="s">
        <v>2169</v>
      </c>
      <c r="D179" s="2465"/>
      <c r="E179" s="2466"/>
      <c r="F179" s="2466"/>
      <c r="G179" s="2467"/>
      <c r="H179" s="2468"/>
      <c r="I179" s="2469"/>
      <c r="J179" s="2469"/>
      <c r="K179" s="2467"/>
      <c r="L179" s="2468"/>
      <c r="M179" s="2469"/>
      <c r="N179" s="2469"/>
      <c r="O179" s="2470"/>
      <c r="P179" s="2469">
        <v>1</v>
      </c>
      <c r="Q179" s="2469">
        <v>4.5999999999999996</v>
      </c>
      <c r="R179" s="2469">
        <f t="shared" si="30"/>
        <v>4.5999999999999996</v>
      </c>
      <c r="S179" s="2364">
        <f t="shared" si="21"/>
        <v>4.5999999999999996</v>
      </c>
      <c r="T179" s="2364"/>
      <c r="U179" s="2364"/>
      <c r="V179" s="2384">
        <f t="shared" si="19"/>
        <v>4.5999999999999996</v>
      </c>
      <c r="W179" s="2384">
        <f t="shared" si="20"/>
        <v>0</v>
      </c>
      <c r="X179" s="2364">
        <v>4.5999999999999996</v>
      </c>
      <c r="Y179" s="2451">
        <v>4.5999999999999996</v>
      </c>
      <c r="Z179" s="3460"/>
      <c r="AA179" s="2296" t="s">
        <v>1665</v>
      </c>
    </row>
    <row r="180" spans="1:27" s="2290" customFormat="1" ht="31.5" hidden="1" x14ac:dyDescent="0.25">
      <c r="A180" s="2462"/>
      <c r="B180" s="2463"/>
      <c r="C180" s="2472" t="s">
        <v>2170</v>
      </c>
      <c r="D180" s="2465"/>
      <c r="E180" s="2466"/>
      <c r="F180" s="2466"/>
      <c r="G180" s="2467"/>
      <c r="H180" s="2468"/>
      <c r="I180" s="2469"/>
      <c r="J180" s="2469"/>
      <c r="K180" s="2467"/>
      <c r="L180" s="2468"/>
      <c r="M180" s="2469"/>
      <c r="N180" s="2469"/>
      <c r="O180" s="2470"/>
      <c r="P180" s="2469">
        <v>1</v>
      </c>
      <c r="Q180" s="2469">
        <v>3.5</v>
      </c>
      <c r="R180" s="2469">
        <f t="shared" si="30"/>
        <v>3.5</v>
      </c>
      <c r="S180" s="2364">
        <f t="shared" si="21"/>
        <v>3.5</v>
      </c>
      <c r="T180" s="2364"/>
      <c r="U180" s="2364"/>
      <c r="V180" s="2384">
        <f t="shared" si="19"/>
        <v>3.5</v>
      </c>
      <c r="W180" s="2384">
        <f t="shared" si="20"/>
        <v>0</v>
      </c>
      <c r="X180" s="2364">
        <v>4.5999999999999996</v>
      </c>
      <c r="Y180" s="2451">
        <v>4.5999999999999996</v>
      </c>
      <c r="Z180" s="3460"/>
      <c r="AA180" s="2296" t="s">
        <v>1665</v>
      </c>
    </row>
    <row r="181" spans="1:27" s="2290" customFormat="1" hidden="1" x14ac:dyDescent="0.25">
      <c r="A181" s="2462"/>
      <c r="B181" s="2463"/>
      <c r="C181" s="2472" t="s">
        <v>1807</v>
      </c>
      <c r="D181" s="2465"/>
      <c r="E181" s="2466"/>
      <c r="F181" s="2466"/>
      <c r="G181" s="2467"/>
      <c r="H181" s="2468"/>
      <c r="I181" s="2469"/>
      <c r="J181" s="2469"/>
      <c r="K181" s="2467"/>
      <c r="L181" s="2468"/>
      <c r="M181" s="2469"/>
      <c r="N181" s="2469"/>
      <c r="O181" s="2470"/>
      <c r="P181" s="2469">
        <v>1</v>
      </c>
      <c r="Q181" s="2469">
        <v>4</v>
      </c>
      <c r="R181" s="2469">
        <f t="shared" si="30"/>
        <v>4</v>
      </c>
      <c r="S181" s="2364">
        <f t="shared" si="21"/>
        <v>4</v>
      </c>
      <c r="T181" s="2364"/>
      <c r="U181" s="2364"/>
      <c r="V181" s="2384">
        <f t="shared" si="19"/>
        <v>4</v>
      </c>
      <c r="W181" s="2384">
        <f t="shared" si="20"/>
        <v>0</v>
      </c>
      <c r="X181" s="2364">
        <v>4</v>
      </c>
      <c r="Y181" s="2451">
        <v>4</v>
      </c>
      <c r="Z181" s="3460"/>
      <c r="AA181" s="2296" t="s">
        <v>1665</v>
      </c>
    </row>
    <row r="182" spans="1:27" s="2290" customFormat="1" ht="31.5" hidden="1" x14ac:dyDescent="0.25">
      <c r="A182" s="2462"/>
      <c r="B182" s="2463"/>
      <c r="C182" s="2472" t="s">
        <v>1991</v>
      </c>
      <c r="D182" s="2465"/>
      <c r="E182" s="2466"/>
      <c r="F182" s="2466"/>
      <c r="G182" s="2467"/>
      <c r="H182" s="2468"/>
      <c r="I182" s="2469"/>
      <c r="J182" s="2469"/>
      <c r="K182" s="2467"/>
      <c r="L182" s="2468"/>
      <c r="M182" s="2469"/>
      <c r="N182" s="2469"/>
      <c r="O182" s="2470"/>
      <c r="P182" s="2469"/>
      <c r="Q182" s="2469"/>
      <c r="R182" s="2473">
        <f>SUM(R177:R181)*0.271</f>
        <v>5.5</v>
      </c>
      <c r="S182" s="2364">
        <f t="shared" si="21"/>
        <v>5.5</v>
      </c>
      <c r="T182" s="2364"/>
      <c r="U182" s="2364"/>
      <c r="V182" s="2384">
        <f t="shared" si="19"/>
        <v>5.5</v>
      </c>
      <c r="W182" s="2384">
        <f t="shared" si="20"/>
        <v>0</v>
      </c>
      <c r="X182" s="2364">
        <v>6.4</v>
      </c>
      <c r="Y182" s="2451">
        <v>6.4</v>
      </c>
      <c r="Z182" s="3460"/>
      <c r="AA182" s="2296" t="s">
        <v>1665</v>
      </c>
    </row>
    <row r="183" spans="1:27" s="2290" customFormat="1" hidden="1" x14ac:dyDescent="0.25">
      <c r="A183" s="2474"/>
      <c r="B183" s="2311">
        <v>955</v>
      </c>
      <c r="C183" s="2456" t="s">
        <v>2171</v>
      </c>
      <c r="D183" s="2475">
        <v>955</v>
      </c>
      <c r="E183" s="2404"/>
      <c r="F183" s="2404"/>
      <c r="G183" s="2476"/>
      <c r="H183" s="2477"/>
      <c r="I183" s="2349"/>
      <c r="J183" s="2349"/>
      <c r="K183" s="2476"/>
      <c r="L183" s="2477"/>
      <c r="M183" s="2349"/>
      <c r="N183" s="2349"/>
      <c r="O183" s="2414"/>
      <c r="P183" s="2349"/>
      <c r="Q183" s="2349"/>
      <c r="R183" s="2478">
        <f>SUM(R185:R188)</f>
        <v>15.4</v>
      </c>
      <c r="S183" s="2313">
        <f t="shared" si="21"/>
        <v>15.4</v>
      </c>
      <c r="T183" s="2313"/>
      <c r="U183" s="2313"/>
      <c r="V183" s="2479">
        <f t="shared" si="19"/>
        <v>15.4</v>
      </c>
      <c r="W183" s="2479">
        <f t="shared" si="20"/>
        <v>0</v>
      </c>
      <c r="X183" s="2313">
        <f>SUM(X185:X188)</f>
        <v>15.4</v>
      </c>
      <c r="Y183" s="2315">
        <f>SUM(Y185:Y188)</f>
        <v>15.4</v>
      </c>
      <c r="Z183" s="3460" t="s">
        <v>2172</v>
      </c>
      <c r="AA183" s="2296" t="s">
        <v>1665</v>
      </c>
    </row>
    <row r="184" spans="1:27" s="2290" customFormat="1" ht="31.5" hidden="1" x14ac:dyDescent="0.25">
      <c r="A184" s="2462"/>
      <c r="B184" s="2463"/>
      <c r="C184" s="2464" t="s">
        <v>1401</v>
      </c>
      <c r="D184" s="2465"/>
      <c r="E184" s="2466"/>
      <c r="F184" s="2466"/>
      <c r="G184" s="2467"/>
      <c r="H184" s="2468"/>
      <c r="I184" s="2469"/>
      <c r="J184" s="2469"/>
      <c r="K184" s="2467"/>
      <c r="L184" s="2468"/>
      <c r="M184" s="2469"/>
      <c r="N184" s="2469"/>
      <c r="O184" s="2470"/>
      <c r="P184" s="2469"/>
      <c r="Q184" s="2469"/>
      <c r="R184" s="2480"/>
      <c r="S184" s="2364">
        <f t="shared" si="21"/>
        <v>0</v>
      </c>
      <c r="T184" s="2364"/>
      <c r="U184" s="2364"/>
      <c r="V184" s="2384">
        <f t="shared" si="19"/>
        <v>0</v>
      </c>
      <c r="W184" s="2384">
        <f t="shared" si="20"/>
        <v>0</v>
      </c>
      <c r="X184" s="2364"/>
      <c r="Y184" s="2451"/>
      <c r="Z184" s="3460"/>
      <c r="AA184" s="2296" t="s">
        <v>1665</v>
      </c>
    </row>
    <row r="185" spans="1:27" s="2290" customFormat="1" hidden="1" x14ac:dyDescent="0.25">
      <c r="A185" s="2462"/>
      <c r="B185" s="2463"/>
      <c r="C185" s="2472" t="s">
        <v>1933</v>
      </c>
      <c r="D185" s="2465"/>
      <c r="E185" s="2466"/>
      <c r="F185" s="2466"/>
      <c r="G185" s="2467"/>
      <c r="H185" s="2468"/>
      <c r="I185" s="2469"/>
      <c r="J185" s="2469"/>
      <c r="K185" s="2467"/>
      <c r="L185" s="2468"/>
      <c r="M185" s="2469"/>
      <c r="N185" s="2469"/>
      <c r="O185" s="2470"/>
      <c r="P185" s="2469">
        <v>1</v>
      </c>
      <c r="Q185" s="2469">
        <v>3.5</v>
      </c>
      <c r="R185" s="2469">
        <v>3.5</v>
      </c>
      <c r="S185" s="2364">
        <f t="shared" si="21"/>
        <v>3.5</v>
      </c>
      <c r="T185" s="2364"/>
      <c r="U185" s="2364"/>
      <c r="V185" s="2384">
        <f t="shared" si="19"/>
        <v>3.5</v>
      </c>
      <c r="W185" s="2384">
        <f t="shared" si="20"/>
        <v>0</v>
      </c>
      <c r="X185" s="2364">
        <v>3.5</v>
      </c>
      <c r="Y185" s="2451">
        <v>3.5</v>
      </c>
      <c r="Z185" s="3460"/>
      <c r="AA185" s="2296" t="s">
        <v>1665</v>
      </c>
    </row>
    <row r="186" spans="1:27" s="2290" customFormat="1" ht="31.5" hidden="1" x14ac:dyDescent="0.25">
      <c r="A186" s="2462"/>
      <c r="B186" s="2463"/>
      <c r="C186" s="2472" t="s">
        <v>1934</v>
      </c>
      <c r="D186" s="2465"/>
      <c r="E186" s="2466"/>
      <c r="F186" s="2466"/>
      <c r="G186" s="2467"/>
      <c r="H186" s="2468"/>
      <c r="I186" s="2469"/>
      <c r="J186" s="2469"/>
      <c r="K186" s="2467"/>
      <c r="L186" s="2468"/>
      <c r="M186" s="2469"/>
      <c r="N186" s="2469"/>
      <c r="O186" s="2470"/>
      <c r="P186" s="2469">
        <v>2</v>
      </c>
      <c r="Q186" s="2469">
        <v>2.2999999999999998</v>
      </c>
      <c r="R186" s="2469">
        <v>4.5999999999999996</v>
      </c>
      <c r="S186" s="2364">
        <f t="shared" si="21"/>
        <v>4.5999999999999996</v>
      </c>
      <c r="T186" s="2364"/>
      <c r="U186" s="2364"/>
      <c r="V186" s="2384">
        <f t="shared" si="19"/>
        <v>4.5999999999999996</v>
      </c>
      <c r="W186" s="2384">
        <f t="shared" si="20"/>
        <v>0</v>
      </c>
      <c r="X186" s="2364">
        <v>4.5999999999999996</v>
      </c>
      <c r="Y186" s="2451">
        <v>4.5999999999999996</v>
      </c>
      <c r="Z186" s="3460"/>
      <c r="AA186" s="2296" t="s">
        <v>1665</v>
      </c>
    </row>
    <row r="187" spans="1:27" s="2290" customFormat="1" hidden="1" x14ac:dyDescent="0.25">
      <c r="A187" s="2462"/>
      <c r="B187" s="2463"/>
      <c r="C187" s="2472" t="s">
        <v>1807</v>
      </c>
      <c r="D187" s="2465"/>
      <c r="E187" s="2466"/>
      <c r="F187" s="2466"/>
      <c r="G187" s="2467"/>
      <c r="H187" s="2468"/>
      <c r="I187" s="2469"/>
      <c r="J187" s="2469"/>
      <c r="K187" s="2467"/>
      <c r="L187" s="2468"/>
      <c r="M187" s="2469"/>
      <c r="N187" s="2469"/>
      <c r="O187" s="2470"/>
      <c r="P187" s="2469">
        <v>1</v>
      </c>
      <c r="Q187" s="2469">
        <v>4</v>
      </c>
      <c r="R187" s="2469">
        <v>4</v>
      </c>
      <c r="S187" s="2364">
        <f t="shared" si="21"/>
        <v>4</v>
      </c>
      <c r="T187" s="2364"/>
      <c r="U187" s="2364"/>
      <c r="V187" s="2384">
        <f t="shared" si="19"/>
        <v>4</v>
      </c>
      <c r="W187" s="2384">
        <f t="shared" si="20"/>
        <v>0</v>
      </c>
      <c r="X187" s="2364">
        <v>4</v>
      </c>
      <c r="Y187" s="2451">
        <v>4</v>
      </c>
      <c r="Z187" s="3460"/>
      <c r="AA187" s="2296" t="s">
        <v>1665</v>
      </c>
    </row>
    <row r="188" spans="1:27" s="2290" customFormat="1" ht="31.5" hidden="1" x14ac:dyDescent="0.25">
      <c r="A188" s="2462"/>
      <c r="B188" s="2463"/>
      <c r="C188" s="2472" t="s">
        <v>1991</v>
      </c>
      <c r="D188" s="2465"/>
      <c r="E188" s="2466"/>
      <c r="F188" s="2466"/>
      <c r="G188" s="2467"/>
      <c r="H188" s="2468"/>
      <c r="I188" s="2469"/>
      <c r="J188" s="2469"/>
      <c r="K188" s="2467"/>
      <c r="L188" s="2468"/>
      <c r="M188" s="2469"/>
      <c r="N188" s="2469"/>
      <c r="O188" s="2470"/>
      <c r="P188" s="2469"/>
      <c r="Q188" s="2469"/>
      <c r="R188" s="2481">
        <f>SUM(R185:R187)/100*27.1</f>
        <v>3.3</v>
      </c>
      <c r="S188" s="2364">
        <f t="shared" si="21"/>
        <v>3.3</v>
      </c>
      <c r="T188" s="2364"/>
      <c r="U188" s="2364"/>
      <c r="V188" s="2384">
        <f t="shared" si="19"/>
        <v>3.3</v>
      </c>
      <c r="W188" s="2384">
        <f t="shared" si="20"/>
        <v>0</v>
      </c>
      <c r="X188" s="2364">
        <f>SUM(X185:X187)/100*27.1</f>
        <v>3.3</v>
      </c>
      <c r="Y188" s="2451">
        <f>SUM(Y185:Y187)/100*27.1</f>
        <v>3.3</v>
      </c>
      <c r="Z188" s="3460"/>
      <c r="AA188" s="2296" t="s">
        <v>1665</v>
      </c>
    </row>
    <row r="189" spans="1:27" s="2290" customFormat="1" ht="31.5" hidden="1" x14ac:dyDescent="0.25">
      <c r="A189" s="2482"/>
      <c r="B189" s="2311">
        <v>955</v>
      </c>
      <c r="C189" s="2483" t="s">
        <v>2173</v>
      </c>
      <c r="D189" s="2475">
        <v>955</v>
      </c>
      <c r="E189" s="2404"/>
      <c r="F189" s="2404"/>
      <c r="G189" s="2476"/>
      <c r="H189" s="2477"/>
      <c r="I189" s="2349"/>
      <c r="J189" s="2349"/>
      <c r="K189" s="2476"/>
      <c r="L189" s="2477"/>
      <c r="M189" s="2349"/>
      <c r="N189" s="2349"/>
      <c r="O189" s="2414"/>
      <c r="P189" s="2349"/>
      <c r="Q189" s="2349"/>
      <c r="R189" s="2484">
        <f>SUM(R191:R195)</f>
        <v>21.2</v>
      </c>
      <c r="S189" s="2313">
        <f t="shared" si="21"/>
        <v>21.2</v>
      </c>
      <c r="T189" s="2313"/>
      <c r="U189" s="2313"/>
      <c r="V189" s="2349">
        <f t="shared" si="19"/>
        <v>21.2</v>
      </c>
      <c r="W189" s="2349">
        <f t="shared" si="20"/>
        <v>0</v>
      </c>
      <c r="X189" s="2313">
        <v>21.2</v>
      </c>
      <c r="Y189" s="2315">
        <v>21.2</v>
      </c>
      <c r="Z189" s="3460" t="s">
        <v>2174</v>
      </c>
      <c r="AA189" s="2296" t="s">
        <v>1665</v>
      </c>
    </row>
    <row r="190" spans="1:27" s="2290" customFormat="1" ht="31.5" hidden="1" x14ac:dyDescent="0.25">
      <c r="A190" s="2462"/>
      <c r="B190" s="2463"/>
      <c r="C190" s="2464" t="s">
        <v>1401</v>
      </c>
      <c r="D190" s="2465"/>
      <c r="E190" s="2466"/>
      <c r="F190" s="2466"/>
      <c r="G190" s="2467"/>
      <c r="H190" s="2468"/>
      <c r="I190" s="2469"/>
      <c r="J190" s="2469"/>
      <c r="K190" s="2467"/>
      <c r="L190" s="2468"/>
      <c r="M190" s="2469"/>
      <c r="N190" s="2469"/>
      <c r="O190" s="2470"/>
      <c r="P190" s="2469"/>
      <c r="Q190" s="2469"/>
      <c r="R190" s="2480"/>
      <c r="S190" s="2364">
        <f t="shared" si="21"/>
        <v>0</v>
      </c>
      <c r="T190" s="2364"/>
      <c r="U190" s="2364"/>
      <c r="V190" s="2384">
        <f t="shared" si="19"/>
        <v>0</v>
      </c>
      <c r="W190" s="2384">
        <f t="shared" si="20"/>
        <v>0</v>
      </c>
      <c r="X190" s="2364"/>
      <c r="Y190" s="2451"/>
      <c r="Z190" s="3460"/>
      <c r="AA190" s="2296" t="s">
        <v>1665</v>
      </c>
    </row>
    <row r="191" spans="1:27" s="2290" customFormat="1" hidden="1" x14ac:dyDescent="0.25">
      <c r="A191" s="2462"/>
      <c r="B191" s="2463"/>
      <c r="C191" s="2472" t="s">
        <v>1933</v>
      </c>
      <c r="D191" s="2465"/>
      <c r="E191" s="2466"/>
      <c r="F191" s="2466"/>
      <c r="G191" s="2467"/>
      <c r="H191" s="2468"/>
      <c r="I191" s="2469"/>
      <c r="J191" s="2469"/>
      <c r="K191" s="2467"/>
      <c r="L191" s="2468"/>
      <c r="M191" s="2469"/>
      <c r="N191" s="2469"/>
      <c r="O191" s="2470"/>
      <c r="P191" s="2469">
        <v>1</v>
      </c>
      <c r="Q191" s="2469">
        <v>3.5</v>
      </c>
      <c r="R191" s="2481">
        <v>3.5</v>
      </c>
      <c r="S191" s="2364">
        <f t="shared" si="21"/>
        <v>3.5</v>
      </c>
      <c r="T191" s="2364"/>
      <c r="U191" s="2364"/>
      <c r="V191" s="2384">
        <f t="shared" si="19"/>
        <v>3.5</v>
      </c>
      <c r="W191" s="2384">
        <f t="shared" si="20"/>
        <v>0</v>
      </c>
      <c r="X191" s="2364">
        <v>3.5</v>
      </c>
      <c r="Y191" s="2451">
        <v>3.5</v>
      </c>
      <c r="Z191" s="3460"/>
      <c r="AA191" s="2296" t="s">
        <v>1665</v>
      </c>
    </row>
    <row r="192" spans="1:27" s="2290" customFormat="1" hidden="1" x14ac:dyDescent="0.25">
      <c r="A192" s="2462"/>
      <c r="B192" s="2463"/>
      <c r="C192" s="2472" t="s">
        <v>1404</v>
      </c>
      <c r="D192" s="2465"/>
      <c r="E192" s="2466"/>
      <c r="F192" s="2466"/>
      <c r="G192" s="2467"/>
      <c r="H192" s="2468"/>
      <c r="I192" s="2469"/>
      <c r="J192" s="2469"/>
      <c r="K192" s="2467"/>
      <c r="L192" s="2468"/>
      <c r="M192" s="2469"/>
      <c r="N192" s="2469"/>
      <c r="O192" s="2470"/>
      <c r="P192" s="2469">
        <v>2</v>
      </c>
      <c r="Q192" s="2469">
        <v>2.2999999999999998</v>
      </c>
      <c r="R192" s="2481">
        <v>4.5999999999999996</v>
      </c>
      <c r="S192" s="2364">
        <f t="shared" si="21"/>
        <v>4.5999999999999996</v>
      </c>
      <c r="T192" s="2364"/>
      <c r="U192" s="2364"/>
      <c r="V192" s="2384">
        <f t="shared" si="19"/>
        <v>4.5999999999999996</v>
      </c>
      <c r="W192" s="2384">
        <f t="shared" si="20"/>
        <v>0</v>
      </c>
      <c r="X192" s="2364">
        <v>4.5999999999999996</v>
      </c>
      <c r="Y192" s="2451">
        <v>4.5999999999999996</v>
      </c>
      <c r="Z192" s="3460"/>
      <c r="AA192" s="2296" t="s">
        <v>1665</v>
      </c>
    </row>
    <row r="193" spans="1:546" s="2290" customFormat="1" ht="31.5" hidden="1" x14ac:dyDescent="0.25">
      <c r="A193" s="2462"/>
      <c r="B193" s="2463"/>
      <c r="C193" s="2472" t="s">
        <v>1934</v>
      </c>
      <c r="D193" s="2465"/>
      <c r="E193" s="2466"/>
      <c r="F193" s="2466"/>
      <c r="G193" s="2467"/>
      <c r="H193" s="2468"/>
      <c r="I193" s="2469"/>
      <c r="J193" s="2469"/>
      <c r="K193" s="2467"/>
      <c r="L193" s="2468"/>
      <c r="M193" s="2469"/>
      <c r="N193" s="2469"/>
      <c r="O193" s="2470"/>
      <c r="P193" s="2469">
        <v>2</v>
      </c>
      <c r="Q193" s="2469">
        <v>2.2999999999999998</v>
      </c>
      <c r="R193" s="2481">
        <v>4.5999999999999996</v>
      </c>
      <c r="S193" s="2364">
        <f t="shared" si="21"/>
        <v>4.5999999999999996</v>
      </c>
      <c r="T193" s="2364"/>
      <c r="U193" s="2364"/>
      <c r="V193" s="2384">
        <f t="shared" si="19"/>
        <v>4.5999999999999996</v>
      </c>
      <c r="W193" s="2384">
        <f t="shared" si="20"/>
        <v>0</v>
      </c>
      <c r="X193" s="2364">
        <v>4.5999999999999996</v>
      </c>
      <c r="Y193" s="2451">
        <v>4.5999999999999996</v>
      </c>
      <c r="Z193" s="3460"/>
      <c r="AA193" s="2296" t="s">
        <v>1665</v>
      </c>
    </row>
    <row r="194" spans="1:546" s="2290" customFormat="1" hidden="1" x14ac:dyDescent="0.25">
      <c r="A194" s="2462"/>
      <c r="B194" s="2463"/>
      <c r="C194" s="2472" t="s">
        <v>1807</v>
      </c>
      <c r="D194" s="2465"/>
      <c r="E194" s="2466"/>
      <c r="F194" s="2466"/>
      <c r="G194" s="2467"/>
      <c r="H194" s="2468"/>
      <c r="I194" s="2469"/>
      <c r="J194" s="2469"/>
      <c r="K194" s="2467"/>
      <c r="L194" s="2468"/>
      <c r="M194" s="2469"/>
      <c r="N194" s="2469"/>
      <c r="O194" s="2470"/>
      <c r="P194" s="2469">
        <v>1</v>
      </c>
      <c r="Q194" s="2469">
        <v>4</v>
      </c>
      <c r="R194" s="2481">
        <v>4</v>
      </c>
      <c r="S194" s="2364">
        <f t="shared" si="21"/>
        <v>4</v>
      </c>
      <c r="T194" s="2364"/>
      <c r="U194" s="2364"/>
      <c r="V194" s="2384">
        <f t="shared" si="19"/>
        <v>4</v>
      </c>
      <c r="W194" s="2384">
        <f t="shared" si="20"/>
        <v>0</v>
      </c>
      <c r="X194" s="2364">
        <v>4</v>
      </c>
      <c r="Y194" s="2451">
        <v>4</v>
      </c>
      <c r="Z194" s="3460"/>
      <c r="AA194" s="2296" t="s">
        <v>1665</v>
      </c>
    </row>
    <row r="195" spans="1:546" s="2290" customFormat="1" ht="31.5" hidden="1" x14ac:dyDescent="0.25">
      <c r="A195" s="2462"/>
      <c r="B195" s="2463"/>
      <c r="C195" s="2472" t="s">
        <v>1991</v>
      </c>
      <c r="D195" s="2465"/>
      <c r="E195" s="2466"/>
      <c r="F195" s="2466"/>
      <c r="G195" s="2467"/>
      <c r="H195" s="2468"/>
      <c r="I195" s="2469"/>
      <c r="J195" s="2469"/>
      <c r="K195" s="2467"/>
      <c r="L195" s="2468"/>
      <c r="M195" s="2469"/>
      <c r="N195" s="2469"/>
      <c r="O195" s="2470"/>
      <c r="P195" s="2469"/>
      <c r="Q195" s="2469"/>
      <c r="R195" s="2481">
        <f>SUM(R191:R194)/100*27.1</f>
        <v>4.5</v>
      </c>
      <c r="S195" s="2364">
        <f t="shared" si="21"/>
        <v>4.5</v>
      </c>
      <c r="T195" s="2364"/>
      <c r="U195" s="2364"/>
      <c r="V195" s="2384">
        <f t="shared" si="19"/>
        <v>4.5</v>
      </c>
      <c r="W195" s="2384">
        <f t="shared" si="20"/>
        <v>0</v>
      </c>
      <c r="X195" s="2364">
        <f>SUM(X191:X194)/100*27.1</f>
        <v>4.5</v>
      </c>
      <c r="Y195" s="2451">
        <f>SUM(Y191:Y194)/100*27.1</f>
        <v>4.5</v>
      </c>
      <c r="Z195" s="3460"/>
      <c r="AA195" s="2296" t="s">
        <v>1665</v>
      </c>
    </row>
    <row r="196" spans="1:546" s="2290" customFormat="1" ht="31.5" hidden="1" x14ac:dyDescent="0.25">
      <c r="A196" s="2482"/>
      <c r="B196" s="2311">
        <v>955</v>
      </c>
      <c r="C196" s="2485" t="s">
        <v>2175</v>
      </c>
      <c r="D196" s="2475">
        <v>955</v>
      </c>
      <c r="E196" s="2404"/>
      <c r="F196" s="2404"/>
      <c r="G196" s="2476"/>
      <c r="H196" s="2477"/>
      <c r="I196" s="2349"/>
      <c r="J196" s="2349"/>
      <c r="K196" s="2476"/>
      <c r="L196" s="2477"/>
      <c r="M196" s="2349"/>
      <c r="N196" s="2349"/>
      <c r="O196" s="2414"/>
      <c r="P196" s="2349"/>
      <c r="Q196" s="2349"/>
      <c r="R196" s="2484">
        <f>SUM(R198:R201)</f>
        <v>16.100000000000001</v>
      </c>
      <c r="S196" s="2313">
        <f t="shared" si="21"/>
        <v>16.100000000000001</v>
      </c>
      <c r="T196" s="2313"/>
      <c r="U196" s="2313"/>
      <c r="V196" s="2349">
        <f t="shared" si="19"/>
        <v>16.100000000000001</v>
      </c>
      <c r="W196" s="2349">
        <f t="shared" si="20"/>
        <v>0</v>
      </c>
      <c r="X196" s="2313">
        <v>16.100000000000001</v>
      </c>
      <c r="Y196" s="2315">
        <v>16.100000000000001</v>
      </c>
      <c r="Z196" s="3480" t="s">
        <v>2176</v>
      </c>
      <c r="AA196" s="2296" t="s">
        <v>1665</v>
      </c>
    </row>
    <row r="197" spans="1:546" s="2290" customFormat="1" ht="31.5" hidden="1" x14ac:dyDescent="0.25">
      <c r="A197" s="2462"/>
      <c r="B197" s="2463"/>
      <c r="C197" s="2464" t="s">
        <v>1401</v>
      </c>
      <c r="D197" s="2465"/>
      <c r="E197" s="2466"/>
      <c r="F197" s="2466"/>
      <c r="G197" s="2467"/>
      <c r="H197" s="2468"/>
      <c r="I197" s="2469"/>
      <c r="J197" s="2469"/>
      <c r="K197" s="2467"/>
      <c r="L197" s="2468"/>
      <c r="M197" s="2469"/>
      <c r="N197" s="2469"/>
      <c r="O197" s="2470"/>
      <c r="P197" s="2469"/>
      <c r="Q197" s="2469"/>
      <c r="R197" s="2480"/>
      <c r="S197" s="2364">
        <f t="shared" si="21"/>
        <v>0</v>
      </c>
      <c r="T197" s="2364"/>
      <c r="U197" s="2364"/>
      <c r="V197" s="2384">
        <f t="shared" si="19"/>
        <v>0</v>
      </c>
      <c r="W197" s="2384">
        <f t="shared" si="20"/>
        <v>0</v>
      </c>
      <c r="X197" s="2364"/>
      <c r="Y197" s="2451"/>
      <c r="Z197" s="3480"/>
      <c r="AA197" s="2296" t="s">
        <v>1665</v>
      </c>
    </row>
    <row r="198" spans="1:546" s="2290" customFormat="1" hidden="1" x14ac:dyDescent="0.25">
      <c r="A198" s="2462"/>
      <c r="B198" s="2463"/>
      <c r="C198" s="2472" t="s">
        <v>1933</v>
      </c>
      <c r="D198" s="2486"/>
      <c r="E198" s="2466"/>
      <c r="F198" s="2466"/>
      <c r="G198" s="2467"/>
      <c r="H198" s="2468"/>
      <c r="I198" s="2469"/>
      <c r="J198" s="2469"/>
      <c r="K198" s="2467"/>
      <c r="L198" s="2468"/>
      <c r="M198" s="2469"/>
      <c r="N198" s="2469"/>
      <c r="O198" s="2470"/>
      <c r="P198" s="2469">
        <v>1</v>
      </c>
      <c r="Q198" s="2469">
        <v>3.5</v>
      </c>
      <c r="R198" s="2481">
        <v>3.5</v>
      </c>
      <c r="S198" s="2364">
        <f t="shared" si="21"/>
        <v>3.5</v>
      </c>
      <c r="T198" s="2364"/>
      <c r="U198" s="2364"/>
      <c r="V198" s="2384">
        <f t="shared" si="19"/>
        <v>3.5</v>
      </c>
      <c r="W198" s="2384">
        <f t="shared" si="20"/>
        <v>0</v>
      </c>
      <c r="X198" s="2364">
        <v>3.5</v>
      </c>
      <c r="Y198" s="2451">
        <v>3.5</v>
      </c>
      <c r="Z198" s="3480"/>
      <c r="AA198" s="2296" t="s">
        <v>1665</v>
      </c>
    </row>
    <row r="199" spans="1:546" s="2290" customFormat="1" hidden="1" x14ac:dyDescent="0.25">
      <c r="A199" s="2462"/>
      <c r="B199" s="2463"/>
      <c r="C199" s="2472" t="s">
        <v>1404</v>
      </c>
      <c r="D199" s="2486"/>
      <c r="E199" s="2466"/>
      <c r="F199" s="2466"/>
      <c r="G199" s="2467"/>
      <c r="H199" s="2468"/>
      <c r="I199" s="2469"/>
      <c r="J199" s="2469"/>
      <c r="K199" s="2467"/>
      <c r="L199" s="2468"/>
      <c r="M199" s="2469"/>
      <c r="N199" s="2469"/>
      <c r="O199" s="2470"/>
      <c r="P199" s="2469">
        <v>2</v>
      </c>
      <c r="Q199" s="2469">
        <v>2.2999999999999998</v>
      </c>
      <c r="R199" s="2481">
        <v>4.5999999999999996</v>
      </c>
      <c r="S199" s="2364">
        <f t="shared" si="21"/>
        <v>4.5999999999999996</v>
      </c>
      <c r="T199" s="2364"/>
      <c r="U199" s="2364"/>
      <c r="V199" s="2384">
        <f t="shared" si="19"/>
        <v>4.5999999999999996</v>
      </c>
      <c r="W199" s="2384">
        <f t="shared" si="20"/>
        <v>0</v>
      </c>
      <c r="X199" s="2364">
        <v>4.5999999999999996</v>
      </c>
      <c r="Y199" s="2451">
        <v>4.5999999999999996</v>
      </c>
      <c r="Z199" s="3480"/>
      <c r="AA199" s="2296" t="s">
        <v>1665</v>
      </c>
    </row>
    <row r="200" spans="1:546" s="2290" customFormat="1" ht="31.5" hidden="1" x14ac:dyDescent="0.25">
      <c r="A200" s="2462"/>
      <c r="B200" s="2463"/>
      <c r="C200" s="2472" t="s">
        <v>1934</v>
      </c>
      <c r="D200" s="2486"/>
      <c r="E200" s="2466"/>
      <c r="F200" s="2466"/>
      <c r="G200" s="2467"/>
      <c r="H200" s="2468"/>
      <c r="I200" s="2469"/>
      <c r="J200" s="2469"/>
      <c r="K200" s="2467"/>
      <c r="L200" s="2468"/>
      <c r="M200" s="2469"/>
      <c r="N200" s="2469"/>
      <c r="O200" s="2470"/>
      <c r="P200" s="2469">
        <v>2</v>
      </c>
      <c r="Q200" s="2469">
        <v>2.2999999999999998</v>
      </c>
      <c r="R200" s="2481">
        <v>4.5999999999999996</v>
      </c>
      <c r="S200" s="2364">
        <f t="shared" si="21"/>
        <v>4.5999999999999996</v>
      </c>
      <c r="T200" s="2364"/>
      <c r="U200" s="2364"/>
      <c r="V200" s="2384">
        <f t="shared" si="19"/>
        <v>4.5999999999999996</v>
      </c>
      <c r="W200" s="2384">
        <f t="shared" si="20"/>
        <v>0</v>
      </c>
      <c r="X200" s="2364">
        <v>4.5999999999999996</v>
      </c>
      <c r="Y200" s="2451">
        <v>4.5999999999999996</v>
      </c>
      <c r="Z200" s="3480"/>
      <c r="AA200" s="2296" t="s">
        <v>1665</v>
      </c>
    </row>
    <row r="201" spans="1:546" s="2290" customFormat="1" ht="31.5" hidden="1" x14ac:dyDescent="0.25">
      <c r="A201" s="2462"/>
      <c r="B201" s="2463"/>
      <c r="C201" s="2472" t="s">
        <v>1991</v>
      </c>
      <c r="D201" s="2486"/>
      <c r="E201" s="2466"/>
      <c r="F201" s="2466"/>
      <c r="G201" s="2467"/>
      <c r="H201" s="2468"/>
      <c r="I201" s="2469"/>
      <c r="J201" s="2469"/>
      <c r="K201" s="2467"/>
      <c r="L201" s="2468"/>
      <c r="M201" s="2469"/>
      <c r="N201" s="2469"/>
      <c r="O201" s="2470"/>
      <c r="P201" s="2469"/>
      <c r="Q201" s="2469"/>
      <c r="R201" s="2481">
        <f>SUM(R197:R200)/100*27.1</f>
        <v>3.4</v>
      </c>
      <c r="S201" s="2364">
        <f t="shared" si="21"/>
        <v>3.4</v>
      </c>
      <c r="T201" s="2364"/>
      <c r="U201" s="2364"/>
      <c r="V201" s="2384">
        <f t="shared" si="19"/>
        <v>3.4</v>
      </c>
      <c r="W201" s="2384">
        <f t="shared" si="20"/>
        <v>0</v>
      </c>
      <c r="X201" s="2364">
        <v>3.4</v>
      </c>
      <c r="Y201" s="2451">
        <v>3.4</v>
      </c>
      <c r="Z201" s="3480"/>
      <c r="AA201" s="2296" t="s">
        <v>1665</v>
      </c>
    </row>
    <row r="202" spans="1:546" s="2492" customFormat="1" hidden="1" x14ac:dyDescent="0.25">
      <c r="A202" s="2487"/>
      <c r="B202" s="2487"/>
      <c r="C202" s="2488" t="s">
        <v>202</v>
      </c>
      <c r="D202" s="2489"/>
      <c r="E202" s="2490"/>
      <c r="F202" s="2489">
        <f t="shared" ref="F202:Q202" si="31">F155+F120+F114+F93+F85+F70+F48+F31+F13</f>
        <v>840.8</v>
      </c>
      <c r="G202" s="2489">
        <f t="shared" si="31"/>
        <v>6.5</v>
      </c>
      <c r="H202" s="2489">
        <f t="shared" si="31"/>
        <v>0</v>
      </c>
      <c r="I202" s="2489">
        <f t="shared" si="31"/>
        <v>0</v>
      </c>
      <c r="J202" s="2489">
        <f t="shared" si="31"/>
        <v>529.79999999999995</v>
      </c>
      <c r="K202" s="2489">
        <f t="shared" si="31"/>
        <v>308.5</v>
      </c>
      <c r="L202" s="2489">
        <f t="shared" si="31"/>
        <v>0</v>
      </c>
      <c r="M202" s="2489">
        <f t="shared" si="31"/>
        <v>0</v>
      </c>
      <c r="N202" s="2489">
        <f t="shared" si="31"/>
        <v>529.79999999999995</v>
      </c>
      <c r="O202" s="2489">
        <f t="shared" si="31"/>
        <v>308.5</v>
      </c>
      <c r="P202" s="2489">
        <f t="shared" si="31"/>
        <v>0</v>
      </c>
      <c r="Q202" s="2489">
        <f t="shared" si="31"/>
        <v>0</v>
      </c>
      <c r="R202" s="2489">
        <f>R155+R120+R114+R93+R85+R70+R48+R31+R13+R175+R183+R189+R196</f>
        <v>669.8</v>
      </c>
      <c r="S202" s="2489">
        <f t="shared" si="21"/>
        <v>669.8</v>
      </c>
      <c r="T202" s="2489"/>
      <c r="U202" s="2489">
        <f>U155+U120+U114+U93+U85+U70+U48+U31+U13+U175+U183+U189+U196</f>
        <v>325.3</v>
      </c>
      <c r="V202" s="2489">
        <f t="shared" si="19"/>
        <v>140</v>
      </c>
      <c r="W202" s="2489">
        <f t="shared" si="20"/>
        <v>126.4</v>
      </c>
      <c r="X202" s="2489">
        <f t="shared" ref="X202:Y202" si="32">X155+X120+X114+X93+X85+X70+X48+X31+X13+X175+X183+X189+X196</f>
        <v>647.29999999999995</v>
      </c>
      <c r="Y202" s="2489">
        <f t="shared" si="32"/>
        <v>652.6</v>
      </c>
      <c r="Z202" s="2491"/>
      <c r="AA202" s="2296" t="s">
        <v>1665</v>
      </c>
      <c r="AC202" s="2493">
        <f>R202-N202</f>
        <v>140</v>
      </c>
    </row>
    <row r="203" spans="1:546" s="2345" customFormat="1" ht="78.75" hidden="1" x14ac:dyDescent="0.25">
      <c r="A203" s="2311"/>
      <c r="B203" s="2311"/>
      <c r="C203" s="2312" t="s">
        <v>2177</v>
      </c>
      <c r="D203" s="2311"/>
      <c r="E203" s="2403"/>
      <c r="F203" s="2494"/>
      <c r="G203" s="2495"/>
      <c r="H203" s="2495"/>
      <c r="I203" s="2495"/>
      <c r="J203" s="2313"/>
      <c r="K203" s="2495"/>
      <c r="L203" s="2495"/>
      <c r="M203" s="2495"/>
      <c r="N203" s="2313"/>
      <c r="O203" s="2495"/>
      <c r="P203" s="2495"/>
      <c r="Q203" s="2495"/>
      <c r="R203" s="2313">
        <f>R204</f>
        <v>80.5</v>
      </c>
      <c r="S203" s="2313">
        <f t="shared" si="21"/>
        <v>80.5</v>
      </c>
      <c r="T203" s="2313"/>
      <c r="U203" s="2495"/>
      <c r="V203" s="2496">
        <f t="shared" si="19"/>
        <v>80.5</v>
      </c>
      <c r="W203" s="2496">
        <f t="shared" si="20"/>
        <v>0</v>
      </c>
      <c r="X203" s="2313">
        <f>R203</f>
        <v>80.5</v>
      </c>
      <c r="Y203" s="2313">
        <f>X203</f>
        <v>80.5</v>
      </c>
      <c r="Z203" s="2319"/>
      <c r="AA203" s="2292" t="s">
        <v>1653</v>
      </c>
    </row>
    <row r="204" spans="1:546" s="2326" customFormat="1" ht="31.5" x14ac:dyDescent="0.25">
      <c r="A204" s="2319"/>
      <c r="B204" s="2319">
        <v>963</v>
      </c>
      <c r="C204" s="2320" t="s">
        <v>1444</v>
      </c>
      <c r="D204" s="2373"/>
      <c r="E204" s="2374"/>
      <c r="F204" s="2323"/>
      <c r="G204" s="2323"/>
      <c r="H204" s="2323"/>
      <c r="I204" s="2323"/>
      <c r="J204" s="2323"/>
      <c r="K204" s="2323"/>
      <c r="L204" s="2323"/>
      <c r="M204" s="2323"/>
      <c r="N204" s="2323"/>
      <c r="O204" s="2323"/>
      <c r="P204" s="2323"/>
      <c r="Q204" s="2323"/>
      <c r="R204" s="2323">
        <f>R206+R205</f>
        <v>80.5</v>
      </c>
      <c r="S204" s="2323">
        <f t="shared" si="21"/>
        <v>80.5</v>
      </c>
      <c r="T204" s="2323"/>
      <c r="U204" s="2323"/>
      <c r="V204" s="2323">
        <f t="shared" si="19"/>
        <v>80.5</v>
      </c>
      <c r="W204" s="2323">
        <f t="shared" si="20"/>
        <v>0</v>
      </c>
      <c r="X204" s="2323">
        <f t="shared" ref="X204:X206" si="33">R204</f>
        <v>80.5</v>
      </c>
      <c r="Y204" s="2323">
        <f t="shared" ref="Y204:Y206" si="34">X204</f>
        <v>80.5</v>
      </c>
      <c r="Z204" s="2319"/>
      <c r="AA204" s="2497" t="s">
        <v>1665</v>
      </c>
    </row>
    <row r="205" spans="1:546" s="2290" customFormat="1" hidden="1" x14ac:dyDescent="0.25">
      <c r="A205" s="2325"/>
      <c r="B205" s="2325"/>
      <c r="C205" s="2328" t="s">
        <v>1229</v>
      </c>
      <c r="D205" s="2342"/>
      <c r="E205" s="2382"/>
      <c r="F205" s="2331"/>
      <c r="G205" s="2331"/>
      <c r="H205" s="2331"/>
      <c r="I205" s="2331"/>
      <c r="J205" s="2331"/>
      <c r="K205" s="2331"/>
      <c r="L205" s="2331"/>
      <c r="M205" s="2331"/>
      <c r="N205" s="2331"/>
      <c r="O205" s="2331"/>
      <c r="P205" s="2331">
        <v>100</v>
      </c>
      <c r="Q205" s="2331">
        <f>R205/P205*1000</f>
        <v>200</v>
      </c>
      <c r="R205" s="2331">
        <v>20</v>
      </c>
      <c r="S205" s="2331">
        <f t="shared" si="21"/>
        <v>20</v>
      </c>
      <c r="T205" s="2331"/>
      <c r="U205" s="2331"/>
      <c r="V205" s="2331">
        <f t="shared" ref="V205:V206" si="35">R205-J205</f>
        <v>20</v>
      </c>
      <c r="W205" s="2331">
        <f t="shared" ref="W205:W207" si="36">IFERROR((R205)/J205*100,0)</f>
        <v>0</v>
      </c>
      <c r="X205" s="2331">
        <f t="shared" si="33"/>
        <v>20</v>
      </c>
      <c r="Y205" s="2331">
        <f t="shared" si="34"/>
        <v>20</v>
      </c>
      <c r="Z205" s="2325"/>
      <c r="AA205" s="2292"/>
    </row>
    <row r="206" spans="1:546" s="2290" customFormat="1" hidden="1" x14ac:dyDescent="0.25">
      <c r="A206" s="2325"/>
      <c r="B206" s="2325"/>
      <c r="C206" s="2328" t="s">
        <v>2095</v>
      </c>
      <c r="D206" s="2342"/>
      <c r="E206" s="2382"/>
      <c r="F206" s="2331"/>
      <c r="G206" s="2331"/>
      <c r="H206" s="2331"/>
      <c r="I206" s="2331"/>
      <c r="J206" s="2331"/>
      <c r="K206" s="2331"/>
      <c r="L206" s="2331"/>
      <c r="M206" s="2331"/>
      <c r="N206" s="2331"/>
      <c r="O206" s="2331"/>
      <c r="P206" s="2331"/>
      <c r="Q206" s="2331"/>
      <c r="R206" s="2331">
        <v>60.5</v>
      </c>
      <c r="S206" s="2331">
        <f t="shared" ref="S206" si="37">R206</f>
        <v>60.5</v>
      </c>
      <c r="T206" s="2331"/>
      <c r="U206" s="2331"/>
      <c r="V206" s="2331">
        <f t="shared" si="35"/>
        <v>60.5</v>
      </c>
      <c r="W206" s="2331">
        <f t="shared" si="36"/>
        <v>0</v>
      </c>
      <c r="X206" s="2331">
        <f t="shared" si="33"/>
        <v>60.5</v>
      </c>
      <c r="Y206" s="2331">
        <f t="shared" si="34"/>
        <v>60.5</v>
      </c>
      <c r="Z206" s="2325"/>
      <c r="AA206" s="2292"/>
    </row>
    <row r="207" spans="1:546" s="2505" customFormat="1" ht="18.75" hidden="1" x14ac:dyDescent="0.3">
      <c r="A207" s="2498"/>
      <c r="B207" s="2499"/>
      <c r="C207" s="2500" t="s">
        <v>2178</v>
      </c>
      <c r="D207" s="2501"/>
      <c r="E207" s="2502"/>
      <c r="F207" s="2502" t="e">
        <f>#REF!+#REF!+#REF!+F202+#REF!+#REF!+#REF!+#REF!+#REF!+#REF!+#REF!+#REF!+#REF!</f>
        <v>#REF!</v>
      </c>
      <c r="G207" s="2502" t="e">
        <f>#REF!+#REF!+#REF!+G202+#REF!+#REF!+#REF!+#REF!+#REF!+#REF!+#REF!+#REF!+#REF!</f>
        <v>#REF!</v>
      </c>
      <c r="H207" s="2502" t="e">
        <f>#REF!+#REF!+#REF!+H202+#REF!+#REF!+#REF!+#REF!+#REF!+#REF!+#REF!+#REF!+#REF!</f>
        <v>#REF!</v>
      </c>
      <c r="I207" s="2502" t="e">
        <f>#REF!+#REF!+#REF!+I202+#REF!+#REF!+#REF!+#REF!+#REF!+#REF!+#REF!+#REF!+#REF!</f>
        <v>#REF!</v>
      </c>
      <c r="J207" s="2502" t="e">
        <f>#REF!+#REF!+#REF!+J202+#REF!+#REF!+#REF!+#REF!+#REF!+#REF!+#REF!+#REF!+#REF!</f>
        <v>#REF!</v>
      </c>
      <c r="K207" s="2502" t="e">
        <f>#REF!+#REF!+#REF!+K202+#REF!+#REF!+#REF!+#REF!+#REF!+#REF!+#REF!+#REF!+#REF!</f>
        <v>#REF!</v>
      </c>
      <c r="L207" s="2502" t="e">
        <f>#REF!+#REF!+#REF!+L202+#REF!+#REF!+#REF!+#REF!+#REF!+#REF!+#REF!+#REF!+#REF!</f>
        <v>#REF!</v>
      </c>
      <c r="M207" s="2502" t="e">
        <f>#REF!+#REF!+#REF!+M202+#REF!+#REF!+#REF!+#REF!+#REF!+#REF!+#REF!+#REF!+#REF!</f>
        <v>#REF!</v>
      </c>
      <c r="N207" s="2502" t="e">
        <f>#REF!+#REF!+#REF!+N202+#REF!+#REF!+#REF!+#REF!+#REF!+#REF!+#REF!+#REF!+#REF!</f>
        <v>#REF!</v>
      </c>
      <c r="O207" s="2502" t="e">
        <f>#REF!+#REF!+#REF!+O202+#REF!+#REF!+#REF!+#REF!+#REF!+#REF!+#REF!+#REF!+#REF!</f>
        <v>#REF!</v>
      </c>
      <c r="P207" s="2502"/>
      <c r="Q207" s="2502"/>
      <c r="R207" s="2501">
        <f>R202+R203</f>
        <v>750.3</v>
      </c>
      <c r="S207" s="2501">
        <f t="shared" ref="S207:U207" si="38">S202+S203</f>
        <v>750.3</v>
      </c>
      <c r="T207" s="2501">
        <f t="shared" si="38"/>
        <v>0</v>
      </c>
      <c r="U207" s="2501">
        <f t="shared" si="38"/>
        <v>325.3</v>
      </c>
      <c r="V207" s="2502"/>
      <c r="W207" s="2502">
        <f t="shared" si="36"/>
        <v>0</v>
      </c>
      <c r="X207" s="2502">
        <f t="shared" ref="X207:Y207" si="39">X202+X203</f>
        <v>727.8</v>
      </c>
      <c r="Y207" s="2502">
        <f t="shared" si="39"/>
        <v>733.1</v>
      </c>
      <c r="Z207" s="2503"/>
      <c r="AA207" s="2504"/>
      <c r="AE207" s="2506"/>
      <c r="AF207" s="2507"/>
      <c r="AG207" s="2507"/>
      <c r="AH207" s="2507"/>
      <c r="JN207" s="2507"/>
      <c r="JO207" s="2507"/>
      <c r="JQ207" s="2507"/>
      <c r="JR207" s="2507"/>
      <c r="JS207" s="2507"/>
      <c r="KA207" s="2507"/>
      <c r="KB207" s="2507"/>
      <c r="KC207" s="2507"/>
      <c r="KD207" s="2507"/>
      <c r="TJ207" s="2507"/>
      <c r="TK207" s="2507"/>
      <c r="TM207" s="2507"/>
      <c r="TN207" s="2507"/>
      <c r="TO207" s="2507"/>
      <c r="TW207" s="2507"/>
      <c r="TX207" s="2507"/>
      <c r="TY207" s="2507"/>
      <c r="TZ207" s="2507"/>
    </row>
    <row r="208" spans="1:546" s="2508" customFormat="1" ht="18.75" x14ac:dyDescent="0.3">
      <c r="B208" s="2509"/>
      <c r="C208" s="2510"/>
      <c r="D208" s="2511"/>
      <c r="E208" s="2512"/>
      <c r="F208" s="2513"/>
      <c r="G208" s="2511"/>
      <c r="H208" s="2511"/>
      <c r="I208" s="2511"/>
      <c r="J208" s="2513"/>
      <c r="K208" s="2511"/>
      <c r="L208" s="2511"/>
      <c r="M208" s="2511"/>
      <c r="N208" s="2513"/>
      <c r="O208" s="2511"/>
      <c r="P208" s="2511"/>
      <c r="Q208" s="2511"/>
      <c r="R208" s="2513"/>
      <c r="S208" s="2513"/>
      <c r="T208" s="2513"/>
      <c r="U208" s="2511"/>
      <c r="V208" s="2511"/>
      <c r="W208" s="2511"/>
      <c r="X208" s="2513"/>
      <c r="Y208" s="2513"/>
      <c r="AA208" s="2510"/>
    </row>
    <row r="209" spans="1:16276" s="2514" customFormat="1" ht="18.75" x14ac:dyDescent="0.3">
      <c r="B209" s="2515"/>
      <c r="C209" s="2516"/>
      <c r="D209" s="2517"/>
      <c r="E209" s="2518"/>
      <c r="F209" s="3481">
        <v>2018</v>
      </c>
      <c r="G209" s="3481"/>
      <c r="H209" s="2517"/>
      <c r="I209" s="2517"/>
      <c r="J209" s="3481" t="s">
        <v>845</v>
      </c>
      <c r="K209" s="3481"/>
      <c r="L209" s="2517"/>
      <c r="M209" s="2517"/>
      <c r="N209" s="3482" t="s">
        <v>846</v>
      </c>
      <c r="O209" s="3482"/>
      <c r="P209" s="2517"/>
      <c r="Q209" s="2517"/>
      <c r="R209" s="3483">
        <v>2020</v>
      </c>
      <c r="S209" s="3483"/>
      <c r="T209" s="3483"/>
      <c r="U209" s="3483"/>
      <c r="V209" s="2517"/>
      <c r="W209" s="2517"/>
      <c r="X209" s="2519">
        <v>2021</v>
      </c>
      <c r="Y209" s="2519">
        <v>2022</v>
      </c>
      <c r="AA209" s="2520"/>
    </row>
    <row r="210" spans="1:16276" s="2290" customFormat="1" x14ac:dyDescent="0.25">
      <c r="B210" s="2398">
        <v>1</v>
      </c>
      <c r="C210" s="2521">
        <v>1</v>
      </c>
      <c r="D210" s="2342">
        <v>1</v>
      </c>
      <c r="E210" s="2382">
        <v>1</v>
      </c>
      <c r="F210" s="2417" t="s">
        <v>345</v>
      </c>
      <c r="G210" s="2417" t="s">
        <v>847</v>
      </c>
      <c r="H210" s="2342">
        <v>1</v>
      </c>
      <c r="I210" s="2342">
        <v>1</v>
      </c>
      <c r="J210" s="2417" t="s">
        <v>345</v>
      </c>
      <c r="K210" s="2417" t="s">
        <v>847</v>
      </c>
      <c r="L210" s="2342">
        <v>1</v>
      </c>
      <c r="M210" s="2342">
        <v>1</v>
      </c>
      <c r="N210" s="2417" t="s">
        <v>345</v>
      </c>
      <c r="O210" s="2417" t="s">
        <v>847</v>
      </c>
      <c r="P210" s="2342">
        <v>1</v>
      </c>
      <c r="Q210" s="2342">
        <v>1</v>
      </c>
      <c r="R210" s="2417" t="s">
        <v>345</v>
      </c>
      <c r="S210" s="2417"/>
      <c r="T210" s="2417"/>
      <c r="U210" s="2417" t="s">
        <v>847</v>
      </c>
      <c r="V210" s="2342">
        <v>1</v>
      </c>
      <c r="W210" s="2342">
        <v>1</v>
      </c>
      <c r="X210" s="2417">
        <v>1</v>
      </c>
      <c r="Y210" s="2417">
        <v>1</v>
      </c>
      <c r="AA210" s="2292"/>
    </row>
    <row r="211" spans="1:16276" x14ac:dyDescent="0.25">
      <c r="A211" s="2522"/>
      <c r="B211" s="2523"/>
      <c r="C211" s="2523" t="s">
        <v>2179</v>
      </c>
      <c r="D211" s="2349"/>
      <c r="E211" s="2348"/>
      <c r="F211" s="2349">
        <f>F212+F213+F214+F215+F216+F217+F218+F219+F220+F221</f>
        <v>840.8</v>
      </c>
      <c r="G211" s="2349">
        <f t="shared" ref="G211:Y211" si="40">G212+G213+G214+G215+G216+G217+G218+G219+G220+G221</f>
        <v>6.5</v>
      </c>
      <c r="H211" s="2349">
        <f t="shared" si="40"/>
        <v>0</v>
      </c>
      <c r="I211" s="2349">
        <f t="shared" si="40"/>
        <v>0</v>
      </c>
      <c r="J211" s="2349">
        <f t="shared" si="40"/>
        <v>529.79999999999995</v>
      </c>
      <c r="K211" s="2349">
        <f t="shared" si="40"/>
        <v>308.5</v>
      </c>
      <c r="L211" s="2349">
        <f t="shared" si="40"/>
        <v>0</v>
      </c>
      <c r="M211" s="2349">
        <f t="shared" si="40"/>
        <v>0</v>
      </c>
      <c r="N211" s="2349">
        <f t="shared" si="40"/>
        <v>529.79999999999995</v>
      </c>
      <c r="O211" s="2349">
        <f t="shared" si="40"/>
        <v>308.5</v>
      </c>
      <c r="P211" s="2349">
        <f t="shared" si="40"/>
        <v>0</v>
      </c>
      <c r="Q211" s="2349">
        <f t="shared" si="40"/>
        <v>0</v>
      </c>
      <c r="R211" s="2349">
        <f t="shared" si="40"/>
        <v>750.3</v>
      </c>
      <c r="S211" s="2349">
        <f t="shared" si="40"/>
        <v>699.3</v>
      </c>
      <c r="T211" s="2349">
        <f t="shared" si="40"/>
        <v>0</v>
      </c>
      <c r="U211" s="2349">
        <f t="shared" si="40"/>
        <v>325.3</v>
      </c>
      <c r="V211" s="2349">
        <f t="shared" si="40"/>
        <v>142.1</v>
      </c>
      <c r="W211" s="2349">
        <f t="shared" si="40"/>
        <v>2658.4</v>
      </c>
      <c r="X211" s="2349">
        <f t="shared" si="40"/>
        <v>722.8</v>
      </c>
      <c r="Y211" s="2349">
        <f t="shared" si="40"/>
        <v>728.1</v>
      </c>
      <c r="Z211" s="2522"/>
      <c r="AA211" s="2524"/>
      <c r="AB211" s="2522"/>
      <c r="AC211" s="2522"/>
      <c r="AD211" s="2522"/>
      <c r="AE211" s="2522"/>
      <c r="AF211" s="2522"/>
      <c r="AG211" s="2522"/>
      <c r="AH211" s="2522"/>
      <c r="AI211" s="2522"/>
      <c r="AJ211" s="2522"/>
      <c r="AK211" s="2522"/>
      <c r="AL211" s="2522"/>
      <c r="AM211" s="2522"/>
      <c r="AN211" s="2522"/>
      <c r="AO211" s="2522"/>
      <c r="AP211" s="2522"/>
      <c r="AQ211" s="2522"/>
      <c r="AR211" s="2522"/>
      <c r="AS211" s="2522"/>
      <c r="AT211" s="2522"/>
      <c r="AU211" s="2522"/>
      <c r="AV211" s="2522"/>
      <c r="AW211" s="2522"/>
      <c r="AX211" s="2522"/>
      <c r="AY211" s="2522"/>
      <c r="AZ211" s="2522"/>
      <c r="BA211" s="2522"/>
      <c r="BB211" s="2522"/>
      <c r="BC211" s="2522"/>
      <c r="BD211" s="2522"/>
      <c r="BE211" s="2522"/>
      <c r="BF211" s="2522"/>
      <c r="BG211" s="2522"/>
      <c r="BH211" s="2522"/>
      <c r="BI211" s="2522"/>
      <c r="BJ211" s="2522"/>
      <c r="BK211" s="2522"/>
      <c r="BL211" s="2522"/>
      <c r="BM211" s="2522"/>
      <c r="BN211" s="2522"/>
      <c r="BO211" s="2522"/>
      <c r="BP211" s="2522"/>
      <c r="BQ211" s="2522"/>
      <c r="BR211" s="2522"/>
      <c r="BS211" s="2522"/>
      <c r="BT211" s="2522"/>
      <c r="BU211" s="2522"/>
      <c r="BV211" s="2522"/>
      <c r="BW211" s="2522"/>
      <c r="BX211" s="2522"/>
      <c r="BY211" s="2522"/>
      <c r="BZ211" s="2522"/>
      <c r="CA211" s="2522"/>
      <c r="CB211" s="2522"/>
      <c r="CC211" s="2522"/>
      <c r="CD211" s="2522"/>
      <c r="CE211" s="2522"/>
      <c r="CF211" s="2522"/>
      <c r="CG211" s="2522"/>
      <c r="CH211" s="2522"/>
      <c r="CI211" s="2522"/>
      <c r="CJ211" s="2522"/>
      <c r="CK211" s="2522"/>
      <c r="CL211" s="2522"/>
      <c r="CM211" s="2522"/>
      <c r="CN211" s="2522"/>
      <c r="CO211" s="2522"/>
      <c r="CP211" s="2522"/>
      <c r="CQ211" s="2522"/>
      <c r="CR211" s="2522"/>
      <c r="CS211" s="2522"/>
      <c r="CT211" s="2522"/>
      <c r="CU211" s="2522"/>
      <c r="CV211" s="2522"/>
      <c r="CW211" s="2522"/>
      <c r="CX211" s="2522"/>
      <c r="CY211" s="2522"/>
      <c r="CZ211" s="2522"/>
      <c r="DA211" s="2522"/>
      <c r="DB211" s="2522"/>
      <c r="DC211" s="2522"/>
      <c r="DD211" s="2522"/>
      <c r="DE211" s="2522"/>
      <c r="DF211" s="2522"/>
      <c r="DG211" s="2522"/>
      <c r="DH211" s="2522"/>
      <c r="DI211" s="2522"/>
      <c r="DJ211" s="2522"/>
      <c r="DK211" s="2522"/>
      <c r="DL211" s="2522"/>
      <c r="DM211" s="2522"/>
      <c r="DN211" s="2522"/>
      <c r="DO211" s="2522"/>
      <c r="DP211" s="2522"/>
      <c r="DQ211" s="2522"/>
      <c r="DR211" s="2522"/>
      <c r="DS211" s="2522"/>
      <c r="DT211" s="2522"/>
      <c r="DU211" s="2522"/>
      <c r="DV211" s="2522"/>
      <c r="DW211" s="2522"/>
      <c r="DX211" s="2522"/>
      <c r="DY211" s="2522"/>
      <c r="DZ211" s="2522"/>
      <c r="EA211" s="2522"/>
      <c r="EB211" s="2522"/>
      <c r="EC211" s="2522"/>
      <c r="ED211" s="2522"/>
      <c r="EE211" s="2522"/>
      <c r="EF211" s="2522"/>
      <c r="EG211" s="2522"/>
      <c r="EH211" s="2522"/>
      <c r="EI211" s="2522"/>
      <c r="EJ211" s="2522"/>
      <c r="EK211" s="2522"/>
      <c r="EL211" s="2522"/>
      <c r="EM211" s="2522"/>
      <c r="EN211" s="2522"/>
      <c r="EO211" s="2522"/>
      <c r="EP211" s="2522"/>
      <c r="EQ211" s="2522"/>
      <c r="ER211" s="2522"/>
      <c r="ES211" s="2522"/>
      <c r="ET211" s="2522"/>
      <c r="EU211" s="2522"/>
      <c r="EV211" s="2522"/>
      <c r="EW211" s="2522"/>
      <c r="EX211" s="2522"/>
      <c r="EY211" s="2522"/>
      <c r="EZ211" s="2522"/>
      <c r="FA211" s="2522"/>
      <c r="FB211" s="2522"/>
      <c r="FC211" s="2522"/>
      <c r="FD211" s="2522"/>
      <c r="FE211" s="2522"/>
      <c r="FF211" s="2522"/>
      <c r="FG211" s="2522"/>
      <c r="FH211" s="2522"/>
      <c r="FI211" s="2522"/>
      <c r="FJ211" s="2522"/>
      <c r="FK211" s="2522"/>
      <c r="FL211" s="2522"/>
      <c r="FM211" s="2522"/>
      <c r="FN211" s="2522"/>
      <c r="FO211" s="2522"/>
      <c r="FP211" s="2522"/>
      <c r="FQ211" s="2522"/>
      <c r="FR211" s="2522"/>
      <c r="FS211" s="2522"/>
      <c r="FT211" s="2522"/>
      <c r="FU211" s="2522"/>
      <c r="FV211" s="2522"/>
      <c r="FW211" s="2522"/>
      <c r="FX211" s="2522"/>
      <c r="FY211" s="2522"/>
      <c r="FZ211" s="2522"/>
      <c r="GA211" s="2522"/>
      <c r="GB211" s="2522"/>
      <c r="GC211" s="2522"/>
      <c r="GD211" s="2522"/>
      <c r="GE211" s="2522"/>
      <c r="GF211" s="2522"/>
      <c r="GG211" s="2522"/>
      <c r="GH211" s="2522"/>
      <c r="GI211" s="2522"/>
      <c r="GJ211" s="2522"/>
      <c r="GK211" s="2522"/>
      <c r="GL211" s="2522"/>
      <c r="GM211" s="2522"/>
      <c r="GN211" s="2522"/>
      <c r="GO211" s="2522"/>
      <c r="GP211" s="2522"/>
      <c r="GQ211" s="2522"/>
      <c r="GR211" s="2522"/>
      <c r="GS211" s="2522"/>
      <c r="GT211" s="2522"/>
      <c r="GU211" s="2522"/>
      <c r="GV211" s="2522"/>
      <c r="GW211" s="2522"/>
      <c r="GX211" s="2522"/>
      <c r="GY211" s="2522"/>
      <c r="GZ211" s="2522"/>
      <c r="HA211" s="2522"/>
      <c r="HB211" s="2522"/>
      <c r="HC211" s="2522"/>
      <c r="HD211" s="2522"/>
      <c r="HE211" s="2522"/>
      <c r="HF211" s="2522"/>
      <c r="HG211" s="2522"/>
      <c r="HH211" s="2522"/>
      <c r="HI211" s="2522"/>
      <c r="HJ211" s="2522"/>
      <c r="HK211" s="2522"/>
      <c r="HL211" s="2522"/>
      <c r="HM211" s="2522"/>
      <c r="HN211" s="2522"/>
      <c r="HO211" s="2522"/>
      <c r="HP211" s="2522"/>
      <c r="HQ211" s="2522"/>
      <c r="HR211" s="2522"/>
      <c r="HS211" s="2522"/>
      <c r="HT211" s="2522"/>
      <c r="HU211" s="2522"/>
      <c r="HV211" s="2522"/>
      <c r="HW211" s="2522"/>
      <c r="HX211" s="2522"/>
      <c r="HY211" s="2522"/>
      <c r="HZ211" s="2522"/>
      <c r="IA211" s="2522"/>
      <c r="IB211" s="2522"/>
      <c r="IC211" s="2522"/>
      <c r="ID211" s="2522"/>
      <c r="IE211" s="2522"/>
      <c r="IF211" s="2522"/>
      <c r="IG211" s="2522"/>
      <c r="IH211" s="2522"/>
      <c r="II211" s="2522"/>
      <c r="IJ211" s="2522"/>
      <c r="IK211" s="2522"/>
      <c r="IL211" s="2522"/>
      <c r="IM211" s="2522"/>
      <c r="IN211" s="2522"/>
      <c r="IO211" s="2522"/>
      <c r="IP211" s="2522"/>
      <c r="IQ211" s="2522"/>
      <c r="IR211" s="2522"/>
      <c r="IS211" s="2522"/>
      <c r="IT211" s="2522"/>
      <c r="IU211" s="2522"/>
      <c r="IV211" s="2522"/>
      <c r="IW211" s="2522"/>
      <c r="IX211" s="2522"/>
      <c r="IY211" s="2522"/>
      <c r="IZ211" s="2522"/>
      <c r="JA211" s="2522"/>
      <c r="JB211" s="2522"/>
      <c r="JC211" s="2522"/>
      <c r="JD211" s="2522"/>
      <c r="JE211" s="2522"/>
      <c r="JF211" s="2522"/>
      <c r="JG211" s="2522"/>
      <c r="JH211" s="2522"/>
      <c r="JI211" s="2522"/>
      <c r="JJ211" s="2522"/>
      <c r="JK211" s="2522"/>
      <c r="JL211" s="2522"/>
      <c r="JM211" s="2522"/>
      <c r="JN211" s="2522"/>
      <c r="JO211" s="2522"/>
      <c r="JP211" s="2522"/>
      <c r="JQ211" s="2522"/>
      <c r="JR211" s="2522"/>
      <c r="JS211" s="2522"/>
      <c r="JT211" s="2522"/>
      <c r="JU211" s="2522"/>
      <c r="JV211" s="2522"/>
      <c r="JW211" s="2522"/>
      <c r="JX211" s="2522"/>
      <c r="JY211" s="2522"/>
      <c r="JZ211" s="2522"/>
      <c r="KA211" s="2522"/>
      <c r="KB211" s="2522"/>
      <c r="KC211" s="2522"/>
      <c r="KD211" s="2522"/>
      <c r="KE211" s="2522"/>
      <c r="KF211" s="2522"/>
      <c r="KG211" s="2522"/>
      <c r="KH211" s="2522"/>
      <c r="KI211" s="2522"/>
      <c r="KJ211" s="2522"/>
      <c r="KK211" s="2522"/>
      <c r="KL211" s="2522"/>
      <c r="KM211" s="2522"/>
      <c r="KN211" s="2522"/>
      <c r="KO211" s="2522"/>
      <c r="KP211" s="2522"/>
      <c r="KQ211" s="2522"/>
      <c r="KR211" s="2522"/>
      <c r="KS211" s="2522"/>
      <c r="KT211" s="2522"/>
      <c r="KU211" s="2522"/>
      <c r="KV211" s="2522"/>
      <c r="KW211" s="2522"/>
      <c r="KX211" s="2522"/>
      <c r="KY211" s="2522"/>
      <c r="KZ211" s="2522"/>
      <c r="LA211" s="2522"/>
      <c r="LB211" s="2522"/>
      <c r="LC211" s="2522"/>
      <c r="LD211" s="2522"/>
      <c r="LE211" s="2522"/>
      <c r="LF211" s="2522"/>
      <c r="LG211" s="2522"/>
      <c r="LH211" s="2522"/>
      <c r="LI211" s="2522"/>
      <c r="LJ211" s="2522"/>
      <c r="LK211" s="2522"/>
      <c r="LL211" s="2522"/>
      <c r="LM211" s="2522"/>
      <c r="LN211" s="2522"/>
      <c r="LO211" s="2522"/>
      <c r="LP211" s="2522"/>
      <c r="LQ211" s="2522"/>
      <c r="LR211" s="2522"/>
      <c r="LS211" s="2522"/>
      <c r="LT211" s="2522"/>
      <c r="LU211" s="2522"/>
      <c r="LV211" s="2522"/>
      <c r="LW211" s="2522"/>
      <c r="LX211" s="2522"/>
      <c r="LY211" s="2522"/>
      <c r="LZ211" s="2522"/>
      <c r="MA211" s="2522"/>
      <c r="MB211" s="2522"/>
      <c r="MC211" s="2522"/>
      <c r="MD211" s="2522"/>
      <c r="ME211" s="2522"/>
      <c r="MF211" s="2522"/>
      <c r="MG211" s="2522"/>
      <c r="MH211" s="2522"/>
      <c r="MI211" s="2522"/>
      <c r="MJ211" s="2522"/>
      <c r="MK211" s="2522"/>
      <c r="ML211" s="2522"/>
      <c r="MM211" s="2522"/>
      <c r="MN211" s="2522"/>
      <c r="MO211" s="2522"/>
      <c r="MP211" s="2522"/>
      <c r="MQ211" s="2522"/>
      <c r="MR211" s="2522"/>
      <c r="MS211" s="2522"/>
      <c r="MT211" s="2522"/>
      <c r="MU211" s="2522"/>
      <c r="MV211" s="2522"/>
      <c r="MW211" s="2522"/>
      <c r="MX211" s="2522"/>
      <c r="MY211" s="2522"/>
      <c r="MZ211" s="2522"/>
      <c r="NA211" s="2522"/>
      <c r="NB211" s="2522"/>
      <c r="NC211" s="2522"/>
      <c r="ND211" s="2522"/>
      <c r="NE211" s="2522"/>
      <c r="NF211" s="2522"/>
      <c r="NG211" s="2522"/>
      <c r="NH211" s="2522"/>
      <c r="NI211" s="2522"/>
      <c r="NJ211" s="2522"/>
      <c r="NK211" s="2522"/>
      <c r="NL211" s="2522"/>
      <c r="NM211" s="2522"/>
      <c r="NN211" s="2522"/>
      <c r="NO211" s="2522"/>
      <c r="NP211" s="2522"/>
      <c r="NQ211" s="2522"/>
      <c r="NR211" s="2522"/>
      <c r="NS211" s="2522"/>
      <c r="NT211" s="2522"/>
      <c r="NU211" s="2522"/>
      <c r="NV211" s="2522"/>
      <c r="NW211" s="2522"/>
      <c r="NX211" s="2522"/>
      <c r="NY211" s="2522"/>
      <c r="NZ211" s="2522"/>
      <c r="OA211" s="2522"/>
      <c r="OB211" s="2522"/>
      <c r="OC211" s="2522"/>
      <c r="OD211" s="2522"/>
      <c r="OE211" s="2522"/>
      <c r="OF211" s="2522"/>
      <c r="OG211" s="2522"/>
      <c r="OH211" s="2522"/>
      <c r="OI211" s="2522"/>
      <c r="OJ211" s="2522"/>
      <c r="OK211" s="2522"/>
      <c r="OL211" s="2522"/>
      <c r="OM211" s="2522"/>
      <c r="ON211" s="2522"/>
      <c r="OO211" s="2522"/>
      <c r="OP211" s="2522"/>
      <c r="OQ211" s="2522"/>
      <c r="OR211" s="2522"/>
      <c r="OS211" s="2522"/>
      <c r="OT211" s="2522"/>
      <c r="OU211" s="2522"/>
      <c r="OV211" s="2522"/>
      <c r="OW211" s="2522"/>
      <c r="OX211" s="2522"/>
      <c r="OY211" s="2522"/>
      <c r="OZ211" s="2522"/>
      <c r="PA211" s="2522"/>
      <c r="PB211" s="2522"/>
      <c r="PC211" s="2522"/>
      <c r="PD211" s="2522"/>
      <c r="PE211" s="2522"/>
      <c r="PF211" s="2522"/>
      <c r="PG211" s="2522"/>
      <c r="PH211" s="2522"/>
      <c r="PI211" s="2522"/>
      <c r="PJ211" s="2522"/>
      <c r="PK211" s="2522"/>
      <c r="PL211" s="2522"/>
      <c r="PM211" s="2522"/>
      <c r="PN211" s="2522"/>
      <c r="PO211" s="2522"/>
      <c r="PP211" s="2522"/>
      <c r="PQ211" s="2522"/>
      <c r="PR211" s="2522"/>
      <c r="PS211" s="2522"/>
      <c r="PT211" s="2522"/>
      <c r="PU211" s="2522"/>
      <c r="PV211" s="2522"/>
      <c r="PW211" s="2522"/>
      <c r="PX211" s="2522"/>
      <c r="PY211" s="2522"/>
      <c r="PZ211" s="2522"/>
      <c r="QA211" s="2522"/>
      <c r="QB211" s="2522"/>
      <c r="QC211" s="2522"/>
      <c r="QD211" s="2522"/>
      <c r="QE211" s="2522"/>
      <c r="QF211" s="2522"/>
      <c r="QG211" s="2522"/>
      <c r="QH211" s="2522"/>
      <c r="QI211" s="2522"/>
      <c r="QJ211" s="2522"/>
      <c r="QK211" s="2522"/>
      <c r="QL211" s="2522"/>
      <c r="QM211" s="2522"/>
      <c r="QN211" s="2522"/>
      <c r="QO211" s="2522"/>
      <c r="QP211" s="2522"/>
      <c r="QQ211" s="2522"/>
      <c r="QR211" s="2522"/>
      <c r="QS211" s="2522"/>
      <c r="QT211" s="2522"/>
      <c r="QU211" s="2522"/>
      <c r="QV211" s="2522"/>
      <c r="QW211" s="2522"/>
      <c r="QX211" s="2522"/>
      <c r="QY211" s="2522"/>
      <c r="QZ211" s="2522"/>
      <c r="RA211" s="2522"/>
      <c r="RB211" s="2522"/>
      <c r="RC211" s="2522"/>
      <c r="RD211" s="2522"/>
      <c r="RE211" s="2522"/>
      <c r="RF211" s="2522"/>
      <c r="RG211" s="2522"/>
      <c r="RH211" s="2522"/>
      <c r="RI211" s="2522"/>
      <c r="RJ211" s="2522"/>
      <c r="RK211" s="2522"/>
      <c r="RL211" s="2522"/>
      <c r="RM211" s="2522"/>
      <c r="RN211" s="2522"/>
      <c r="RO211" s="2522"/>
      <c r="RP211" s="2522"/>
      <c r="RQ211" s="2522"/>
      <c r="RR211" s="2522"/>
      <c r="RS211" s="2522"/>
      <c r="RT211" s="2522"/>
      <c r="RU211" s="2522"/>
      <c r="RV211" s="2522"/>
      <c r="RW211" s="2522"/>
      <c r="RX211" s="2522"/>
      <c r="RY211" s="2522"/>
      <c r="RZ211" s="2522"/>
      <c r="SA211" s="2522"/>
      <c r="SB211" s="2522"/>
      <c r="SC211" s="2522"/>
      <c r="SD211" s="2522"/>
      <c r="SE211" s="2522"/>
      <c r="SF211" s="2522"/>
      <c r="SG211" s="2522"/>
      <c r="SH211" s="2522"/>
      <c r="SI211" s="2522"/>
      <c r="SJ211" s="2522"/>
      <c r="SK211" s="2522"/>
      <c r="SL211" s="2522"/>
      <c r="SM211" s="2522"/>
      <c r="SN211" s="2522"/>
      <c r="SO211" s="2522"/>
      <c r="SP211" s="2522"/>
      <c r="SQ211" s="2522"/>
      <c r="SR211" s="2522"/>
      <c r="SS211" s="2522"/>
      <c r="ST211" s="2522"/>
      <c r="SU211" s="2522"/>
      <c r="SV211" s="2522"/>
      <c r="SW211" s="2522"/>
      <c r="SX211" s="2522"/>
      <c r="SY211" s="2522"/>
      <c r="SZ211" s="2522"/>
      <c r="TA211" s="2522"/>
      <c r="TB211" s="2522"/>
      <c r="TC211" s="2522"/>
      <c r="TD211" s="2522"/>
      <c r="TE211" s="2522"/>
      <c r="TF211" s="2522"/>
      <c r="TG211" s="2522"/>
      <c r="TH211" s="2522"/>
      <c r="TI211" s="2522"/>
      <c r="TJ211" s="2522"/>
      <c r="TK211" s="2522"/>
      <c r="TL211" s="2522"/>
      <c r="TM211" s="2522"/>
      <c r="TN211" s="2522"/>
      <c r="TO211" s="2522"/>
      <c r="TP211" s="2522"/>
      <c r="TQ211" s="2522"/>
      <c r="TR211" s="2522"/>
      <c r="TS211" s="2522"/>
      <c r="TT211" s="2522"/>
      <c r="TU211" s="2522"/>
      <c r="TV211" s="2522"/>
      <c r="TW211" s="2522"/>
      <c r="TX211" s="2522"/>
      <c r="TY211" s="2522"/>
      <c r="TZ211" s="2522"/>
      <c r="UA211" s="2522"/>
      <c r="UB211" s="2522"/>
      <c r="UC211" s="2522"/>
      <c r="UD211" s="2522"/>
      <c r="UE211" s="2522"/>
      <c r="UF211" s="2522"/>
      <c r="UG211" s="2522"/>
      <c r="UH211" s="2522"/>
      <c r="UI211" s="2522"/>
      <c r="UJ211" s="2522"/>
      <c r="UK211" s="2522"/>
      <c r="UL211" s="2522"/>
      <c r="UM211" s="2522"/>
      <c r="UN211" s="2522"/>
      <c r="UO211" s="2522"/>
      <c r="UP211" s="2522"/>
      <c r="UQ211" s="2522"/>
      <c r="UR211" s="2522"/>
      <c r="US211" s="2522"/>
      <c r="UT211" s="2522"/>
      <c r="UU211" s="2522"/>
      <c r="UV211" s="2522"/>
      <c r="UW211" s="2522"/>
      <c r="UX211" s="2522"/>
      <c r="UY211" s="2522"/>
      <c r="UZ211" s="2522"/>
      <c r="VA211" s="2522"/>
      <c r="VB211" s="2522"/>
      <c r="VC211" s="2522"/>
      <c r="VD211" s="2522"/>
      <c r="VE211" s="2522"/>
      <c r="VF211" s="2522"/>
      <c r="VG211" s="2522"/>
      <c r="VH211" s="2522"/>
      <c r="VI211" s="2522"/>
      <c r="VJ211" s="2522"/>
      <c r="VK211" s="2522"/>
      <c r="VL211" s="2522"/>
      <c r="VM211" s="2522"/>
      <c r="VN211" s="2522"/>
      <c r="VO211" s="2522"/>
      <c r="VP211" s="2522"/>
      <c r="VQ211" s="2522"/>
      <c r="VR211" s="2522"/>
      <c r="VS211" s="2522"/>
      <c r="VT211" s="2522"/>
      <c r="VU211" s="2522"/>
      <c r="VV211" s="2522"/>
      <c r="VW211" s="2522"/>
      <c r="VX211" s="2522"/>
      <c r="VY211" s="2522"/>
      <c r="VZ211" s="2522"/>
      <c r="WA211" s="2522"/>
      <c r="WB211" s="2522"/>
      <c r="WC211" s="2522"/>
      <c r="WD211" s="2522"/>
      <c r="WE211" s="2522"/>
      <c r="WF211" s="2522"/>
      <c r="WG211" s="2522"/>
      <c r="WH211" s="2522"/>
      <c r="WI211" s="2522"/>
      <c r="WJ211" s="2522"/>
      <c r="WK211" s="2522"/>
      <c r="WL211" s="2522"/>
      <c r="WM211" s="2522"/>
      <c r="WN211" s="2522"/>
      <c r="WO211" s="2522"/>
      <c r="WP211" s="2522"/>
      <c r="WQ211" s="2522"/>
      <c r="WR211" s="2522"/>
      <c r="WS211" s="2522"/>
      <c r="WT211" s="2522"/>
      <c r="WU211" s="2522"/>
      <c r="WV211" s="2522"/>
      <c r="WW211" s="2522"/>
      <c r="WX211" s="2522"/>
      <c r="WY211" s="2522"/>
      <c r="WZ211" s="2522"/>
      <c r="XA211" s="2522"/>
      <c r="XB211" s="2522"/>
      <c r="XC211" s="2522"/>
      <c r="XD211" s="2522"/>
      <c r="XE211" s="2522"/>
      <c r="XF211" s="2522"/>
      <c r="XG211" s="2522"/>
      <c r="XH211" s="2522"/>
      <c r="XI211" s="2522"/>
      <c r="XJ211" s="2522"/>
      <c r="XK211" s="2522"/>
      <c r="XL211" s="2522"/>
      <c r="XM211" s="2522"/>
      <c r="XN211" s="2522"/>
      <c r="XO211" s="2522"/>
      <c r="XP211" s="2522"/>
      <c r="XQ211" s="2522"/>
      <c r="XR211" s="2522"/>
      <c r="XS211" s="2522"/>
      <c r="XT211" s="2522"/>
      <c r="XU211" s="2522"/>
      <c r="XV211" s="2522"/>
      <c r="XW211" s="2522"/>
      <c r="XX211" s="2522"/>
      <c r="XY211" s="2522"/>
      <c r="XZ211" s="2522"/>
      <c r="YA211" s="2522"/>
      <c r="YB211" s="2522"/>
      <c r="YC211" s="2522"/>
      <c r="YD211" s="2522"/>
      <c r="YE211" s="2522"/>
      <c r="YF211" s="2522"/>
      <c r="YG211" s="2522"/>
      <c r="YH211" s="2522"/>
      <c r="YI211" s="2522"/>
      <c r="YJ211" s="2522"/>
      <c r="YK211" s="2522"/>
      <c r="YL211" s="2522"/>
      <c r="YM211" s="2522"/>
      <c r="YN211" s="2522"/>
      <c r="YO211" s="2522"/>
      <c r="YP211" s="2522"/>
      <c r="YQ211" s="2522"/>
      <c r="YR211" s="2522"/>
      <c r="YS211" s="2522"/>
      <c r="YT211" s="2522"/>
      <c r="YU211" s="2522"/>
      <c r="YV211" s="2522"/>
      <c r="YW211" s="2522"/>
      <c r="YX211" s="2522"/>
      <c r="YY211" s="2522"/>
      <c r="YZ211" s="2522"/>
      <c r="ZA211" s="2522"/>
      <c r="ZB211" s="2522"/>
      <c r="ZC211" s="2522"/>
      <c r="ZD211" s="2522"/>
      <c r="ZE211" s="2522"/>
      <c r="ZF211" s="2522"/>
      <c r="ZG211" s="2522"/>
      <c r="ZH211" s="2522"/>
      <c r="ZI211" s="2522"/>
      <c r="ZJ211" s="2522"/>
      <c r="ZK211" s="2522"/>
      <c r="ZL211" s="2522"/>
      <c r="ZM211" s="2522"/>
      <c r="ZN211" s="2522"/>
      <c r="ZO211" s="2522"/>
      <c r="ZP211" s="2522"/>
      <c r="ZQ211" s="2522"/>
      <c r="ZR211" s="2522"/>
      <c r="ZS211" s="2522"/>
      <c r="ZT211" s="2522"/>
      <c r="ZU211" s="2522"/>
      <c r="ZV211" s="2522"/>
      <c r="ZW211" s="2522"/>
      <c r="ZX211" s="2522"/>
      <c r="ZY211" s="2522"/>
      <c r="ZZ211" s="2522"/>
      <c r="AAA211" s="2522"/>
      <c r="AAB211" s="2522"/>
      <c r="AAC211" s="2522"/>
      <c r="AAD211" s="2522"/>
      <c r="AAE211" s="2522"/>
      <c r="AAF211" s="2522"/>
      <c r="AAG211" s="2522"/>
      <c r="AAH211" s="2522"/>
      <c r="AAI211" s="2522"/>
      <c r="AAJ211" s="2522"/>
      <c r="AAK211" s="2522"/>
      <c r="AAL211" s="2522"/>
      <c r="AAM211" s="2522"/>
      <c r="AAN211" s="2522"/>
      <c r="AAO211" s="2522"/>
      <c r="AAP211" s="2522"/>
      <c r="AAQ211" s="2522"/>
      <c r="AAR211" s="2522"/>
      <c r="AAS211" s="2522"/>
      <c r="AAT211" s="2522"/>
      <c r="AAU211" s="2522"/>
      <c r="AAV211" s="2522"/>
      <c r="AAW211" s="2522"/>
      <c r="AAX211" s="2522"/>
      <c r="AAY211" s="2522"/>
      <c r="AAZ211" s="2522"/>
      <c r="ABA211" s="2522"/>
      <c r="ABB211" s="2522"/>
      <c r="ABC211" s="2522"/>
      <c r="ABD211" s="2522"/>
      <c r="ABE211" s="2522"/>
      <c r="ABF211" s="2522"/>
      <c r="ABG211" s="2522"/>
      <c r="ABH211" s="2522"/>
      <c r="ABI211" s="2522"/>
      <c r="ABJ211" s="2522"/>
      <c r="ABK211" s="2522"/>
      <c r="ABL211" s="2522"/>
      <c r="ABM211" s="2522"/>
      <c r="ABN211" s="2522"/>
      <c r="ABO211" s="2522"/>
      <c r="ABP211" s="2522"/>
      <c r="ABQ211" s="2522"/>
      <c r="ABR211" s="2522"/>
      <c r="ABS211" s="2522"/>
      <c r="ABT211" s="2522"/>
      <c r="ABU211" s="2522"/>
      <c r="ABV211" s="2522"/>
      <c r="ABW211" s="2522"/>
      <c r="ABX211" s="2522"/>
      <c r="ABY211" s="2522"/>
      <c r="ABZ211" s="2522"/>
      <c r="ACA211" s="2522"/>
      <c r="ACB211" s="2522"/>
      <c r="ACC211" s="2522"/>
      <c r="ACD211" s="2522"/>
      <c r="ACE211" s="2522"/>
      <c r="ACF211" s="2522"/>
      <c r="ACG211" s="2522"/>
      <c r="ACH211" s="2522"/>
      <c r="ACI211" s="2522"/>
      <c r="ACJ211" s="2522"/>
      <c r="ACK211" s="2522"/>
      <c r="ACL211" s="2522"/>
      <c r="ACM211" s="2522"/>
      <c r="ACN211" s="2522"/>
      <c r="ACO211" s="2522"/>
      <c r="ACP211" s="2522"/>
      <c r="ACQ211" s="2522"/>
      <c r="ACR211" s="2522"/>
      <c r="ACS211" s="2522"/>
      <c r="ACT211" s="2522"/>
      <c r="ACU211" s="2522"/>
      <c r="ACV211" s="2522"/>
      <c r="ACW211" s="2522"/>
      <c r="ACX211" s="2522"/>
      <c r="ACY211" s="2522"/>
      <c r="ACZ211" s="2522"/>
      <c r="ADA211" s="2522"/>
      <c r="ADB211" s="2522"/>
      <c r="ADC211" s="2522"/>
      <c r="ADD211" s="2522"/>
      <c r="ADE211" s="2522"/>
      <c r="ADF211" s="2522"/>
      <c r="ADG211" s="2522"/>
      <c r="ADH211" s="2522"/>
      <c r="ADI211" s="2522"/>
      <c r="ADJ211" s="2522"/>
      <c r="ADK211" s="2522"/>
      <c r="ADL211" s="2522"/>
      <c r="ADM211" s="2522"/>
      <c r="ADN211" s="2522"/>
      <c r="ADO211" s="2522"/>
      <c r="ADP211" s="2522"/>
      <c r="ADQ211" s="2522"/>
      <c r="ADR211" s="2522"/>
      <c r="ADS211" s="2522"/>
      <c r="ADT211" s="2522"/>
      <c r="ADU211" s="2522"/>
      <c r="ADV211" s="2522"/>
      <c r="ADW211" s="2522"/>
      <c r="ADX211" s="2522"/>
      <c r="ADY211" s="2522"/>
      <c r="ADZ211" s="2522"/>
      <c r="AEA211" s="2522"/>
      <c r="AEB211" s="2522"/>
      <c r="AEC211" s="2522"/>
      <c r="AED211" s="2522"/>
      <c r="AEE211" s="2522"/>
      <c r="AEF211" s="2522"/>
      <c r="AEG211" s="2522"/>
      <c r="AEH211" s="2522"/>
      <c r="AEI211" s="2522"/>
      <c r="AEJ211" s="2522"/>
      <c r="AEK211" s="2522"/>
      <c r="AEL211" s="2522"/>
      <c r="AEM211" s="2522"/>
      <c r="AEN211" s="2522"/>
      <c r="AEO211" s="2522"/>
      <c r="AEP211" s="2522"/>
      <c r="AEQ211" s="2522"/>
      <c r="AER211" s="2522"/>
      <c r="AES211" s="2522"/>
      <c r="AET211" s="2522"/>
      <c r="AEU211" s="2522"/>
      <c r="AEV211" s="2522"/>
      <c r="AEW211" s="2522"/>
      <c r="AEX211" s="2522"/>
      <c r="AEY211" s="2522"/>
      <c r="AEZ211" s="2522"/>
      <c r="AFA211" s="2522"/>
      <c r="AFB211" s="2522"/>
      <c r="AFC211" s="2522"/>
      <c r="AFD211" s="2522"/>
      <c r="AFE211" s="2522"/>
      <c r="AFF211" s="2522"/>
      <c r="AFG211" s="2522"/>
      <c r="AFH211" s="2522"/>
      <c r="AFI211" s="2522"/>
      <c r="AFJ211" s="2522"/>
      <c r="AFK211" s="2522"/>
      <c r="AFL211" s="2522"/>
      <c r="AFM211" s="2522"/>
      <c r="AFN211" s="2522"/>
      <c r="AFO211" s="2522"/>
      <c r="AFP211" s="2522"/>
      <c r="AFQ211" s="2522"/>
      <c r="AFR211" s="2522"/>
      <c r="AFS211" s="2522"/>
      <c r="AFT211" s="2522"/>
      <c r="AFU211" s="2522"/>
      <c r="AFV211" s="2522"/>
      <c r="AFW211" s="2522"/>
      <c r="AFX211" s="2522"/>
      <c r="AFY211" s="2522"/>
      <c r="AFZ211" s="2522"/>
      <c r="AGA211" s="2522"/>
      <c r="AGB211" s="2522"/>
      <c r="AGC211" s="2522"/>
      <c r="AGD211" s="2522"/>
      <c r="AGE211" s="2522"/>
      <c r="AGF211" s="2522"/>
      <c r="AGG211" s="2522"/>
      <c r="AGH211" s="2522"/>
      <c r="AGI211" s="2522"/>
      <c r="AGJ211" s="2522"/>
      <c r="AGK211" s="2522"/>
      <c r="AGL211" s="2522"/>
      <c r="AGM211" s="2522"/>
      <c r="AGN211" s="2522"/>
      <c r="AGO211" s="2522"/>
      <c r="AGP211" s="2522"/>
      <c r="AGQ211" s="2522"/>
      <c r="AGR211" s="2522"/>
      <c r="AGS211" s="2522"/>
      <c r="AGT211" s="2522"/>
      <c r="AGU211" s="2522"/>
      <c r="AGV211" s="2522"/>
      <c r="AGW211" s="2522"/>
      <c r="AGX211" s="2522"/>
      <c r="AGY211" s="2522"/>
      <c r="AGZ211" s="2522"/>
      <c r="AHA211" s="2522"/>
      <c r="AHB211" s="2522"/>
      <c r="AHC211" s="2522"/>
      <c r="AHD211" s="2522"/>
      <c r="AHE211" s="2522"/>
      <c r="AHF211" s="2522"/>
      <c r="AHG211" s="2522"/>
      <c r="AHH211" s="2522"/>
      <c r="AHI211" s="2522"/>
      <c r="AHJ211" s="2522"/>
      <c r="AHK211" s="2522"/>
      <c r="AHL211" s="2522"/>
      <c r="AHM211" s="2522"/>
      <c r="AHN211" s="2522"/>
      <c r="AHO211" s="2522"/>
      <c r="AHP211" s="2522"/>
      <c r="AHQ211" s="2522"/>
      <c r="AHR211" s="2522"/>
      <c r="AHS211" s="2522"/>
      <c r="AHT211" s="2522"/>
      <c r="AHU211" s="2522"/>
      <c r="AHV211" s="2522"/>
      <c r="AHW211" s="2522"/>
      <c r="AHX211" s="2522"/>
      <c r="AHY211" s="2522"/>
      <c r="AHZ211" s="2522"/>
      <c r="AIA211" s="2522"/>
      <c r="AIB211" s="2522"/>
      <c r="AIC211" s="2522"/>
      <c r="AID211" s="2522"/>
      <c r="AIE211" s="2522"/>
      <c r="AIF211" s="2522"/>
      <c r="AIG211" s="2522"/>
      <c r="AIH211" s="2522"/>
      <c r="AII211" s="2522"/>
      <c r="AIJ211" s="2522"/>
      <c r="AIK211" s="2522"/>
      <c r="AIL211" s="2522"/>
      <c r="AIM211" s="2522"/>
      <c r="AIN211" s="2522"/>
      <c r="AIO211" s="2522"/>
      <c r="AIP211" s="2522"/>
      <c r="AIQ211" s="2522"/>
      <c r="AIR211" s="2522"/>
      <c r="AIS211" s="2522"/>
      <c r="AIT211" s="2522"/>
      <c r="AIU211" s="2522"/>
      <c r="AIV211" s="2522"/>
      <c r="AIW211" s="2522"/>
      <c r="AIX211" s="2522"/>
      <c r="AIY211" s="2522"/>
      <c r="AIZ211" s="2522"/>
      <c r="AJA211" s="2522"/>
      <c r="AJB211" s="2522"/>
      <c r="AJC211" s="2522"/>
      <c r="AJD211" s="2522"/>
      <c r="AJE211" s="2522"/>
      <c r="AJF211" s="2522"/>
      <c r="AJG211" s="2522"/>
      <c r="AJH211" s="2522"/>
      <c r="AJI211" s="2522"/>
      <c r="AJJ211" s="2522"/>
      <c r="AJK211" s="2522"/>
      <c r="AJL211" s="2522"/>
      <c r="AJM211" s="2522"/>
      <c r="AJN211" s="2522"/>
      <c r="AJO211" s="2522"/>
      <c r="AJP211" s="2522"/>
      <c r="AJQ211" s="2522"/>
      <c r="AJR211" s="2522"/>
      <c r="AJS211" s="2522"/>
      <c r="AJT211" s="2522"/>
      <c r="AJU211" s="2522"/>
      <c r="AJV211" s="2522"/>
      <c r="AJW211" s="2522"/>
      <c r="AJX211" s="2522"/>
      <c r="AJY211" s="2522"/>
      <c r="AJZ211" s="2522"/>
      <c r="AKA211" s="2522"/>
      <c r="AKB211" s="2522"/>
      <c r="AKC211" s="2522"/>
      <c r="AKD211" s="2522"/>
      <c r="AKE211" s="2522"/>
      <c r="AKF211" s="2522"/>
      <c r="AKG211" s="2522"/>
      <c r="AKH211" s="2522"/>
      <c r="AKI211" s="2522"/>
      <c r="AKJ211" s="2522"/>
      <c r="AKK211" s="2522"/>
      <c r="AKL211" s="2522"/>
      <c r="AKM211" s="2522"/>
      <c r="AKN211" s="2522"/>
      <c r="AKO211" s="2522"/>
      <c r="AKP211" s="2522"/>
      <c r="AKQ211" s="2522"/>
      <c r="AKR211" s="2522"/>
      <c r="AKS211" s="2522"/>
      <c r="AKT211" s="2522"/>
      <c r="AKU211" s="2522"/>
      <c r="AKV211" s="2522"/>
      <c r="AKW211" s="2522"/>
      <c r="AKX211" s="2522"/>
      <c r="AKY211" s="2522"/>
      <c r="AKZ211" s="2522"/>
      <c r="ALA211" s="2522"/>
      <c r="ALB211" s="2522"/>
      <c r="ALC211" s="2522"/>
      <c r="ALD211" s="2522"/>
      <c r="ALE211" s="2522"/>
      <c r="ALF211" s="2522"/>
      <c r="ALG211" s="2522"/>
      <c r="ALH211" s="2522"/>
      <c r="ALI211" s="2522"/>
      <c r="ALJ211" s="2522"/>
      <c r="ALK211" s="2522"/>
      <c r="ALL211" s="2522"/>
      <c r="ALM211" s="2522"/>
      <c r="ALN211" s="2522"/>
      <c r="ALO211" s="2522"/>
      <c r="ALP211" s="2522"/>
      <c r="ALQ211" s="2522"/>
      <c r="ALR211" s="2522"/>
      <c r="ALS211" s="2522"/>
      <c r="ALT211" s="2522"/>
      <c r="ALU211" s="2522"/>
      <c r="ALV211" s="2522"/>
      <c r="ALW211" s="2522"/>
      <c r="ALX211" s="2522"/>
      <c r="ALY211" s="2522"/>
      <c r="ALZ211" s="2522"/>
      <c r="AMA211" s="2522"/>
      <c r="AMB211" s="2522"/>
      <c r="AMC211" s="2522"/>
      <c r="AMD211" s="2522"/>
      <c r="AME211" s="2522"/>
      <c r="AMF211" s="2522"/>
      <c r="AMG211" s="2522"/>
      <c r="AMH211" s="2522"/>
      <c r="AMI211" s="2522"/>
      <c r="AMJ211" s="2522"/>
      <c r="AMK211" s="2522"/>
      <c r="AML211" s="2522"/>
      <c r="AMM211" s="2522"/>
      <c r="AMN211" s="2522"/>
      <c r="AMO211" s="2522"/>
      <c r="AMP211" s="2522"/>
      <c r="AMQ211" s="2522"/>
      <c r="AMR211" s="2522"/>
      <c r="AMS211" s="2522"/>
      <c r="AMT211" s="2522"/>
      <c r="AMU211" s="2522"/>
      <c r="AMV211" s="2522"/>
      <c r="AMW211" s="2522"/>
      <c r="AMX211" s="2522"/>
      <c r="AMY211" s="2522"/>
      <c r="AMZ211" s="2522"/>
      <c r="ANA211" s="2522"/>
      <c r="ANB211" s="2522"/>
      <c r="ANC211" s="2522"/>
      <c r="AND211" s="2522"/>
      <c r="ANE211" s="2522"/>
      <c r="ANF211" s="2522"/>
      <c r="ANG211" s="2522"/>
      <c r="ANH211" s="2522"/>
      <c r="ANI211" s="2522"/>
      <c r="ANJ211" s="2522"/>
      <c r="ANK211" s="2522"/>
      <c r="ANL211" s="2522"/>
      <c r="ANM211" s="2522"/>
      <c r="ANN211" s="2522"/>
      <c r="ANO211" s="2522"/>
      <c r="ANP211" s="2522"/>
      <c r="ANQ211" s="2522"/>
      <c r="ANR211" s="2522"/>
      <c r="ANS211" s="2522"/>
      <c r="ANT211" s="2522"/>
      <c r="ANU211" s="2522"/>
      <c r="ANV211" s="2522"/>
      <c r="ANW211" s="2522"/>
      <c r="ANX211" s="2522"/>
      <c r="ANY211" s="2522"/>
      <c r="ANZ211" s="2522"/>
      <c r="AOA211" s="2522"/>
      <c r="AOB211" s="2522"/>
      <c r="AOC211" s="2522"/>
      <c r="AOD211" s="2522"/>
      <c r="AOE211" s="2522"/>
      <c r="AOF211" s="2522"/>
      <c r="AOG211" s="2522"/>
      <c r="AOH211" s="2522"/>
      <c r="AOI211" s="2522"/>
      <c r="AOJ211" s="2522"/>
      <c r="AOK211" s="2522"/>
      <c r="AOL211" s="2522"/>
      <c r="AOM211" s="2522"/>
      <c r="AON211" s="2522"/>
      <c r="AOO211" s="2522"/>
      <c r="AOP211" s="2522"/>
      <c r="AOQ211" s="2522"/>
      <c r="AOR211" s="2522"/>
      <c r="AOS211" s="2522"/>
      <c r="AOT211" s="2522"/>
      <c r="AOU211" s="2522"/>
      <c r="AOV211" s="2522"/>
      <c r="AOW211" s="2522"/>
      <c r="AOX211" s="2522"/>
      <c r="AOY211" s="2522"/>
      <c r="AOZ211" s="2522"/>
      <c r="APA211" s="2522"/>
      <c r="APB211" s="2522"/>
      <c r="APC211" s="2522"/>
      <c r="APD211" s="2522"/>
      <c r="APE211" s="2522"/>
      <c r="APF211" s="2522"/>
      <c r="APG211" s="2522"/>
      <c r="APH211" s="2522"/>
      <c r="API211" s="2522"/>
      <c r="APJ211" s="2522"/>
      <c r="APK211" s="2522"/>
      <c r="APL211" s="2522"/>
      <c r="APM211" s="2522"/>
      <c r="APN211" s="2522"/>
      <c r="APO211" s="2522"/>
      <c r="APP211" s="2522"/>
      <c r="APQ211" s="2522"/>
      <c r="APR211" s="2522"/>
      <c r="APS211" s="2522"/>
      <c r="APT211" s="2522"/>
      <c r="APU211" s="2522"/>
      <c r="APV211" s="2522"/>
      <c r="APW211" s="2522"/>
      <c r="APX211" s="2522"/>
      <c r="APY211" s="2522"/>
      <c r="APZ211" s="2522"/>
      <c r="AQA211" s="2522"/>
      <c r="AQB211" s="2522"/>
      <c r="AQC211" s="2522"/>
      <c r="AQD211" s="2522"/>
      <c r="AQE211" s="2522"/>
      <c r="AQF211" s="2522"/>
      <c r="AQG211" s="2522"/>
      <c r="AQH211" s="2522"/>
      <c r="AQI211" s="2522"/>
      <c r="AQJ211" s="2522"/>
      <c r="AQK211" s="2522"/>
      <c r="AQL211" s="2522"/>
      <c r="AQM211" s="2522"/>
      <c r="AQN211" s="2522"/>
      <c r="AQO211" s="2522"/>
      <c r="AQP211" s="2522"/>
      <c r="AQQ211" s="2522"/>
      <c r="AQR211" s="2522"/>
      <c r="AQS211" s="2522"/>
      <c r="AQT211" s="2522"/>
      <c r="AQU211" s="2522"/>
      <c r="AQV211" s="2522"/>
      <c r="AQW211" s="2522"/>
      <c r="AQX211" s="2522"/>
      <c r="AQY211" s="2522"/>
      <c r="AQZ211" s="2522"/>
      <c r="ARA211" s="2522"/>
      <c r="ARB211" s="2522"/>
      <c r="ARC211" s="2522"/>
      <c r="ARD211" s="2522"/>
      <c r="ARE211" s="2522"/>
      <c r="ARF211" s="2522"/>
      <c r="ARG211" s="2522"/>
      <c r="ARH211" s="2522"/>
      <c r="ARI211" s="2522"/>
      <c r="ARJ211" s="2522"/>
      <c r="ARK211" s="2522"/>
      <c r="ARL211" s="2522"/>
      <c r="ARM211" s="2522"/>
      <c r="ARN211" s="2522"/>
      <c r="ARO211" s="2522"/>
      <c r="ARP211" s="2522"/>
      <c r="ARQ211" s="2522"/>
      <c r="ARR211" s="2522"/>
      <c r="ARS211" s="2522"/>
      <c r="ART211" s="2522"/>
      <c r="ARU211" s="2522"/>
      <c r="ARV211" s="2522"/>
      <c r="ARW211" s="2522"/>
      <c r="ARX211" s="2522"/>
      <c r="ARY211" s="2522"/>
      <c r="ARZ211" s="2522"/>
      <c r="ASA211" s="2522"/>
      <c r="ASB211" s="2522"/>
      <c r="ASC211" s="2522"/>
      <c r="ASD211" s="2522"/>
      <c r="ASE211" s="2522"/>
      <c r="ASF211" s="2522"/>
      <c r="ASG211" s="2522"/>
      <c r="ASH211" s="2522"/>
      <c r="ASI211" s="2522"/>
      <c r="ASJ211" s="2522"/>
      <c r="ASK211" s="2522"/>
      <c r="ASL211" s="2522"/>
      <c r="ASM211" s="2522"/>
      <c r="ASN211" s="2522"/>
      <c r="ASO211" s="2522"/>
      <c r="ASP211" s="2522"/>
      <c r="ASQ211" s="2522"/>
      <c r="ASR211" s="2522"/>
      <c r="ASS211" s="2522"/>
      <c r="AST211" s="2522"/>
      <c r="ASU211" s="2522"/>
      <c r="ASV211" s="2522"/>
      <c r="ASW211" s="2522"/>
      <c r="ASX211" s="2522"/>
      <c r="ASY211" s="2522"/>
      <c r="ASZ211" s="2522"/>
      <c r="ATA211" s="2522"/>
      <c r="ATB211" s="2522"/>
      <c r="ATC211" s="2522"/>
      <c r="ATD211" s="2522"/>
      <c r="ATE211" s="2522"/>
      <c r="ATF211" s="2522"/>
      <c r="ATG211" s="2522"/>
      <c r="ATH211" s="2522"/>
      <c r="ATI211" s="2522"/>
      <c r="ATJ211" s="2522"/>
      <c r="ATK211" s="2522"/>
      <c r="ATL211" s="2522"/>
      <c r="ATM211" s="2522"/>
      <c r="ATN211" s="2522"/>
      <c r="ATO211" s="2522"/>
      <c r="ATP211" s="2522"/>
      <c r="ATQ211" s="2522"/>
      <c r="ATR211" s="2522"/>
      <c r="ATS211" s="2522"/>
      <c r="ATT211" s="2522"/>
      <c r="ATU211" s="2522"/>
      <c r="ATV211" s="2522"/>
      <c r="ATW211" s="2522"/>
      <c r="ATX211" s="2522"/>
      <c r="ATY211" s="2522"/>
      <c r="ATZ211" s="2522"/>
      <c r="AUA211" s="2522"/>
      <c r="AUB211" s="2522"/>
      <c r="AUC211" s="2522"/>
      <c r="AUD211" s="2522"/>
      <c r="AUE211" s="2522"/>
      <c r="AUF211" s="2522"/>
      <c r="AUG211" s="2522"/>
      <c r="AUH211" s="2522"/>
      <c r="AUI211" s="2522"/>
      <c r="AUJ211" s="2522"/>
      <c r="AUK211" s="2522"/>
      <c r="AUL211" s="2522"/>
      <c r="AUM211" s="2522"/>
      <c r="AUN211" s="2522"/>
      <c r="AUO211" s="2522"/>
      <c r="AUP211" s="2522"/>
      <c r="AUQ211" s="2522"/>
      <c r="AUR211" s="2522"/>
      <c r="AUS211" s="2522"/>
      <c r="AUT211" s="2522"/>
      <c r="AUU211" s="2522"/>
      <c r="AUV211" s="2522"/>
      <c r="AUW211" s="2522"/>
      <c r="AUX211" s="2522"/>
      <c r="AUY211" s="2522"/>
      <c r="AUZ211" s="2522"/>
      <c r="AVA211" s="2522"/>
      <c r="AVB211" s="2522"/>
      <c r="AVC211" s="2522"/>
      <c r="AVD211" s="2522"/>
      <c r="AVE211" s="2522"/>
      <c r="AVF211" s="2522"/>
      <c r="AVG211" s="2522"/>
      <c r="AVH211" s="2522"/>
      <c r="AVI211" s="2522"/>
      <c r="AVJ211" s="2522"/>
      <c r="AVK211" s="2522"/>
      <c r="AVL211" s="2522"/>
      <c r="AVM211" s="2522"/>
      <c r="AVN211" s="2522"/>
      <c r="AVO211" s="2522"/>
      <c r="AVP211" s="2522"/>
      <c r="AVQ211" s="2522"/>
      <c r="AVR211" s="2522"/>
      <c r="AVS211" s="2522"/>
      <c r="AVT211" s="2522"/>
      <c r="AVU211" s="2522"/>
      <c r="AVV211" s="2522"/>
      <c r="AVW211" s="2522"/>
      <c r="AVX211" s="2522"/>
      <c r="AVY211" s="2522"/>
      <c r="AVZ211" s="2522"/>
      <c r="AWA211" s="2522"/>
      <c r="AWB211" s="2522"/>
      <c r="AWC211" s="2522"/>
      <c r="AWD211" s="2522"/>
      <c r="AWE211" s="2522"/>
      <c r="AWF211" s="2522"/>
      <c r="AWG211" s="2522"/>
      <c r="AWH211" s="2522"/>
      <c r="AWI211" s="2522"/>
      <c r="AWJ211" s="2522"/>
      <c r="AWK211" s="2522"/>
      <c r="AWL211" s="2522"/>
      <c r="AWM211" s="2522"/>
      <c r="AWN211" s="2522"/>
      <c r="AWO211" s="2522"/>
      <c r="AWP211" s="2522"/>
      <c r="AWQ211" s="2522"/>
      <c r="AWR211" s="2522"/>
      <c r="AWS211" s="2522"/>
      <c r="AWT211" s="2522"/>
      <c r="AWU211" s="2522"/>
      <c r="AWV211" s="2522"/>
      <c r="AWW211" s="2522"/>
      <c r="AWX211" s="2522"/>
      <c r="AWY211" s="2522"/>
      <c r="AWZ211" s="2522"/>
      <c r="AXA211" s="2522"/>
      <c r="AXB211" s="2522"/>
      <c r="AXC211" s="2522"/>
      <c r="AXD211" s="2522"/>
      <c r="AXE211" s="2522"/>
      <c r="AXF211" s="2522"/>
      <c r="AXG211" s="2522"/>
      <c r="AXH211" s="2522"/>
      <c r="AXI211" s="2522"/>
      <c r="AXJ211" s="2522"/>
      <c r="AXK211" s="2522"/>
      <c r="AXL211" s="2522"/>
      <c r="AXM211" s="2522"/>
      <c r="AXN211" s="2522"/>
      <c r="AXO211" s="2522"/>
      <c r="AXP211" s="2522"/>
      <c r="AXQ211" s="2522"/>
      <c r="AXR211" s="2522"/>
      <c r="AXS211" s="2522"/>
      <c r="AXT211" s="2522"/>
      <c r="AXU211" s="2522"/>
      <c r="AXV211" s="2522"/>
      <c r="AXW211" s="2522"/>
      <c r="AXX211" s="2522"/>
      <c r="AXY211" s="2522"/>
      <c r="AXZ211" s="2522"/>
      <c r="AYA211" s="2522"/>
      <c r="AYB211" s="2522"/>
      <c r="AYC211" s="2522"/>
      <c r="AYD211" s="2522"/>
      <c r="AYE211" s="2522"/>
      <c r="AYF211" s="2522"/>
      <c r="AYG211" s="2522"/>
      <c r="AYH211" s="2522"/>
      <c r="AYI211" s="2522"/>
      <c r="AYJ211" s="2522"/>
      <c r="AYK211" s="2522"/>
      <c r="AYL211" s="2522"/>
      <c r="AYM211" s="2522"/>
      <c r="AYN211" s="2522"/>
      <c r="AYO211" s="2522"/>
      <c r="AYP211" s="2522"/>
      <c r="AYQ211" s="2522"/>
      <c r="AYR211" s="2522"/>
      <c r="AYS211" s="2522"/>
      <c r="AYT211" s="2522"/>
      <c r="AYU211" s="2522"/>
      <c r="AYV211" s="2522"/>
      <c r="AYW211" s="2522"/>
      <c r="AYX211" s="2522"/>
      <c r="AYY211" s="2522"/>
      <c r="AYZ211" s="2522"/>
      <c r="AZA211" s="2522"/>
      <c r="AZB211" s="2522"/>
      <c r="AZC211" s="2522"/>
      <c r="AZD211" s="2522"/>
      <c r="AZE211" s="2522"/>
      <c r="AZF211" s="2522"/>
      <c r="AZG211" s="2522"/>
      <c r="AZH211" s="2522"/>
      <c r="AZI211" s="2522"/>
      <c r="AZJ211" s="2522"/>
      <c r="AZK211" s="2522"/>
      <c r="AZL211" s="2522"/>
      <c r="AZM211" s="2522"/>
      <c r="AZN211" s="2522"/>
      <c r="AZO211" s="2522"/>
      <c r="AZP211" s="2522"/>
      <c r="AZQ211" s="2522"/>
      <c r="AZR211" s="2522"/>
      <c r="AZS211" s="2522"/>
      <c r="AZT211" s="2522"/>
      <c r="AZU211" s="2522"/>
      <c r="AZV211" s="2522"/>
      <c r="AZW211" s="2522"/>
      <c r="AZX211" s="2522"/>
      <c r="AZY211" s="2522"/>
      <c r="AZZ211" s="2522"/>
      <c r="BAA211" s="2522"/>
      <c r="BAB211" s="2522"/>
      <c r="BAC211" s="2522"/>
      <c r="BAD211" s="2522"/>
      <c r="BAE211" s="2522"/>
      <c r="BAF211" s="2522"/>
      <c r="BAG211" s="2522"/>
      <c r="BAH211" s="2522"/>
      <c r="BAI211" s="2522"/>
      <c r="BAJ211" s="2522"/>
      <c r="BAK211" s="2522"/>
      <c r="BAL211" s="2522"/>
      <c r="BAM211" s="2522"/>
      <c r="BAN211" s="2522"/>
      <c r="BAO211" s="2522"/>
      <c r="BAP211" s="2522"/>
      <c r="BAQ211" s="2522"/>
      <c r="BAR211" s="2522"/>
      <c r="BAS211" s="2522"/>
      <c r="BAT211" s="2522"/>
      <c r="BAU211" s="2522"/>
      <c r="BAV211" s="2522"/>
      <c r="BAW211" s="2522"/>
      <c r="BAX211" s="2522"/>
      <c r="BAY211" s="2522"/>
      <c r="BAZ211" s="2522"/>
      <c r="BBA211" s="2522"/>
      <c r="BBB211" s="2522"/>
      <c r="BBC211" s="2522"/>
      <c r="BBD211" s="2522"/>
      <c r="BBE211" s="2522"/>
      <c r="BBF211" s="2522"/>
      <c r="BBG211" s="2522"/>
      <c r="BBH211" s="2522"/>
      <c r="BBI211" s="2522"/>
      <c r="BBJ211" s="2522"/>
      <c r="BBK211" s="2522"/>
      <c r="BBL211" s="2522"/>
      <c r="BBM211" s="2522"/>
      <c r="BBN211" s="2522"/>
      <c r="BBO211" s="2522"/>
      <c r="BBP211" s="2522"/>
      <c r="BBQ211" s="2522"/>
      <c r="BBR211" s="2522"/>
      <c r="BBS211" s="2522"/>
      <c r="BBT211" s="2522"/>
      <c r="BBU211" s="2522"/>
      <c r="BBV211" s="2522"/>
      <c r="BBW211" s="2522"/>
      <c r="BBX211" s="2522"/>
      <c r="BBY211" s="2522"/>
      <c r="BBZ211" s="2522"/>
      <c r="BCA211" s="2522"/>
      <c r="BCB211" s="2522"/>
      <c r="BCC211" s="2522"/>
      <c r="BCD211" s="2522"/>
      <c r="BCE211" s="2522"/>
      <c r="BCF211" s="2522"/>
      <c r="BCG211" s="2522"/>
      <c r="BCH211" s="2522"/>
      <c r="BCI211" s="2522"/>
      <c r="BCJ211" s="2522"/>
      <c r="BCK211" s="2522"/>
      <c r="BCL211" s="2522"/>
      <c r="BCM211" s="2522"/>
      <c r="BCN211" s="2522"/>
      <c r="BCO211" s="2522"/>
      <c r="BCP211" s="2522"/>
      <c r="BCQ211" s="2522"/>
      <c r="BCR211" s="2522"/>
      <c r="BCS211" s="2522"/>
      <c r="BCT211" s="2522"/>
      <c r="BCU211" s="2522"/>
      <c r="BCV211" s="2522"/>
      <c r="BCW211" s="2522"/>
      <c r="BCX211" s="2522"/>
      <c r="BCY211" s="2522"/>
      <c r="BCZ211" s="2522"/>
      <c r="BDA211" s="2522"/>
      <c r="BDB211" s="2522"/>
      <c r="BDC211" s="2522"/>
      <c r="BDD211" s="2522"/>
      <c r="BDE211" s="2522"/>
      <c r="BDF211" s="2522"/>
      <c r="BDG211" s="2522"/>
      <c r="BDH211" s="2522"/>
      <c r="BDI211" s="2522"/>
      <c r="BDJ211" s="2522"/>
      <c r="BDK211" s="2522"/>
      <c r="BDL211" s="2522"/>
      <c r="BDM211" s="2522"/>
      <c r="BDN211" s="2522"/>
      <c r="BDO211" s="2522"/>
      <c r="BDP211" s="2522"/>
      <c r="BDQ211" s="2522"/>
      <c r="BDR211" s="2522"/>
      <c r="BDS211" s="2522"/>
      <c r="BDT211" s="2522"/>
      <c r="BDU211" s="2522"/>
      <c r="BDV211" s="2522"/>
      <c r="BDW211" s="2522"/>
      <c r="BDX211" s="2522"/>
      <c r="BDY211" s="2522"/>
      <c r="BDZ211" s="2522"/>
      <c r="BEA211" s="2522"/>
      <c r="BEB211" s="2522"/>
      <c r="BEC211" s="2522"/>
      <c r="BED211" s="2522"/>
      <c r="BEE211" s="2522"/>
      <c r="BEF211" s="2522"/>
      <c r="BEG211" s="2522"/>
      <c r="BEH211" s="2522"/>
      <c r="BEI211" s="2522"/>
      <c r="BEJ211" s="2522"/>
      <c r="BEK211" s="2522"/>
      <c r="BEL211" s="2522"/>
      <c r="BEM211" s="2522"/>
      <c r="BEN211" s="2522"/>
      <c r="BEO211" s="2522"/>
      <c r="BEP211" s="2522"/>
      <c r="BEQ211" s="2522"/>
      <c r="BER211" s="2522"/>
      <c r="BES211" s="2522"/>
      <c r="BET211" s="2522"/>
      <c r="BEU211" s="2522"/>
      <c r="BEV211" s="2522"/>
      <c r="BEW211" s="2522"/>
      <c r="BEX211" s="2522"/>
      <c r="BEY211" s="2522"/>
      <c r="BEZ211" s="2522"/>
      <c r="BFA211" s="2522"/>
      <c r="BFB211" s="2522"/>
      <c r="BFC211" s="2522"/>
      <c r="BFD211" s="2522"/>
      <c r="BFE211" s="2522"/>
      <c r="BFF211" s="2522"/>
      <c r="BFG211" s="2522"/>
      <c r="BFH211" s="2522"/>
      <c r="BFI211" s="2522"/>
      <c r="BFJ211" s="2522"/>
      <c r="BFK211" s="2522"/>
      <c r="BFL211" s="2522"/>
      <c r="BFM211" s="2522"/>
      <c r="BFN211" s="2522"/>
      <c r="BFO211" s="2522"/>
      <c r="BFP211" s="2522"/>
      <c r="BFQ211" s="2522"/>
      <c r="BFR211" s="2522"/>
      <c r="BFS211" s="2522"/>
      <c r="BFT211" s="2522"/>
      <c r="BFU211" s="2522"/>
      <c r="BFV211" s="2522"/>
      <c r="BFW211" s="2522"/>
      <c r="BFX211" s="2522"/>
      <c r="BFY211" s="2522"/>
      <c r="BFZ211" s="2522"/>
      <c r="BGA211" s="2522"/>
      <c r="BGB211" s="2522"/>
      <c r="BGC211" s="2522"/>
      <c r="BGD211" s="2522"/>
      <c r="BGE211" s="2522"/>
      <c r="BGF211" s="2522"/>
      <c r="BGG211" s="2522"/>
      <c r="BGH211" s="2522"/>
      <c r="BGI211" s="2522"/>
      <c r="BGJ211" s="2522"/>
      <c r="BGK211" s="2522"/>
      <c r="BGL211" s="2522"/>
      <c r="BGM211" s="2522"/>
      <c r="BGN211" s="2522"/>
      <c r="BGO211" s="2522"/>
      <c r="BGP211" s="2522"/>
      <c r="BGQ211" s="2522"/>
      <c r="BGR211" s="2522"/>
      <c r="BGS211" s="2522"/>
      <c r="BGT211" s="2522"/>
      <c r="BGU211" s="2522"/>
      <c r="BGV211" s="2522"/>
      <c r="BGW211" s="2522"/>
      <c r="BGX211" s="2522"/>
      <c r="BGY211" s="2522"/>
      <c r="BGZ211" s="2522"/>
      <c r="BHA211" s="2522"/>
      <c r="BHB211" s="2522"/>
      <c r="BHC211" s="2522"/>
      <c r="BHD211" s="2522"/>
      <c r="BHE211" s="2522"/>
      <c r="BHF211" s="2522"/>
      <c r="BHG211" s="2522"/>
      <c r="BHH211" s="2522"/>
      <c r="BHI211" s="2522"/>
      <c r="BHJ211" s="2522"/>
      <c r="BHK211" s="2522"/>
      <c r="BHL211" s="2522"/>
      <c r="BHM211" s="2522"/>
      <c r="BHN211" s="2522"/>
      <c r="BHO211" s="2522"/>
      <c r="BHP211" s="2522"/>
      <c r="BHQ211" s="2522"/>
      <c r="BHR211" s="2522"/>
      <c r="BHS211" s="2522"/>
      <c r="BHT211" s="2522"/>
      <c r="BHU211" s="2522"/>
      <c r="BHV211" s="2522"/>
      <c r="BHW211" s="2522"/>
      <c r="BHX211" s="2522"/>
      <c r="BHY211" s="2522"/>
      <c r="BHZ211" s="2522"/>
      <c r="BIA211" s="2522"/>
      <c r="BIB211" s="2522"/>
      <c r="BIC211" s="2522"/>
      <c r="BID211" s="2522"/>
      <c r="BIE211" s="2522"/>
      <c r="BIF211" s="2522"/>
      <c r="BIG211" s="2522"/>
      <c r="BIH211" s="2522"/>
      <c r="BII211" s="2522"/>
      <c r="BIJ211" s="2522"/>
      <c r="BIK211" s="2522"/>
      <c r="BIL211" s="2522"/>
      <c r="BIM211" s="2522"/>
      <c r="BIN211" s="2522"/>
      <c r="BIO211" s="2522"/>
      <c r="BIP211" s="2522"/>
      <c r="BIQ211" s="2522"/>
      <c r="BIR211" s="2522"/>
      <c r="BIS211" s="2522"/>
      <c r="BIT211" s="2522"/>
      <c r="BIU211" s="2522"/>
      <c r="BIV211" s="2522"/>
      <c r="BIW211" s="2522"/>
      <c r="BIX211" s="2522"/>
      <c r="BIY211" s="2522"/>
      <c r="BIZ211" s="2522"/>
      <c r="BJA211" s="2522"/>
      <c r="BJB211" s="2522"/>
      <c r="BJC211" s="2522"/>
      <c r="BJD211" s="2522"/>
      <c r="BJE211" s="2522"/>
      <c r="BJF211" s="2522"/>
      <c r="BJG211" s="2522"/>
      <c r="BJH211" s="2522"/>
      <c r="BJI211" s="2522"/>
      <c r="BJJ211" s="2522"/>
      <c r="BJK211" s="2522"/>
      <c r="BJL211" s="2522"/>
      <c r="BJM211" s="2522"/>
      <c r="BJN211" s="2522"/>
      <c r="BJO211" s="2522"/>
      <c r="BJP211" s="2522"/>
      <c r="BJQ211" s="2522"/>
      <c r="BJR211" s="2522"/>
      <c r="BJS211" s="2522"/>
      <c r="BJT211" s="2522"/>
      <c r="BJU211" s="2522"/>
      <c r="BJV211" s="2522"/>
      <c r="BJW211" s="2522"/>
      <c r="BJX211" s="2522"/>
      <c r="BJY211" s="2522"/>
      <c r="BJZ211" s="2522"/>
      <c r="BKA211" s="2522"/>
      <c r="BKB211" s="2522"/>
      <c r="BKC211" s="2522"/>
      <c r="BKD211" s="2522"/>
      <c r="BKE211" s="2522"/>
      <c r="BKF211" s="2522"/>
      <c r="BKG211" s="2522"/>
      <c r="BKH211" s="2522"/>
      <c r="BKI211" s="2522"/>
      <c r="BKJ211" s="2522"/>
      <c r="BKK211" s="2522"/>
      <c r="BKL211" s="2522"/>
      <c r="BKM211" s="2522"/>
      <c r="BKN211" s="2522"/>
      <c r="BKO211" s="2522"/>
      <c r="BKP211" s="2522"/>
      <c r="BKQ211" s="2522"/>
      <c r="BKR211" s="2522"/>
      <c r="BKS211" s="2522"/>
      <c r="BKT211" s="2522"/>
      <c r="BKU211" s="2522"/>
      <c r="BKV211" s="2522"/>
      <c r="BKW211" s="2522"/>
      <c r="BKX211" s="2522"/>
      <c r="BKY211" s="2522"/>
      <c r="BKZ211" s="2522"/>
      <c r="BLA211" s="2522"/>
      <c r="BLB211" s="2522"/>
      <c r="BLC211" s="2522"/>
      <c r="BLD211" s="2522"/>
      <c r="BLE211" s="2522"/>
      <c r="BLF211" s="2522"/>
      <c r="BLG211" s="2522"/>
      <c r="BLH211" s="2522"/>
      <c r="BLI211" s="2522"/>
      <c r="BLJ211" s="2522"/>
      <c r="BLK211" s="2522"/>
      <c r="BLL211" s="2522"/>
      <c r="BLM211" s="2522"/>
      <c r="BLN211" s="2522"/>
      <c r="BLO211" s="2522"/>
      <c r="BLP211" s="2522"/>
      <c r="BLQ211" s="2522"/>
      <c r="BLR211" s="2522"/>
      <c r="BLS211" s="2522"/>
      <c r="BLT211" s="2522"/>
      <c r="BLU211" s="2522"/>
      <c r="BLV211" s="2522"/>
      <c r="BLW211" s="2522"/>
      <c r="BLX211" s="2522"/>
      <c r="BLY211" s="2522"/>
      <c r="BLZ211" s="2522"/>
      <c r="BMA211" s="2522"/>
      <c r="BMB211" s="2522"/>
      <c r="BMC211" s="2522"/>
      <c r="BMD211" s="2522"/>
      <c r="BME211" s="2522"/>
      <c r="BMF211" s="2522"/>
      <c r="BMG211" s="2522"/>
      <c r="BMH211" s="2522"/>
      <c r="BMI211" s="2522"/>
      <c r="BMJ211" s="2522"/>
      <c r="BMK211" s="2522"/>
      <c r="BML211" s="2522"/>
      <c r="BMM211" s="2522"/>
      <c r="BMN211" s="2522"/>
      <c r="BMO211" s="2522"/>
      <c r="BMP211" s="2522"/>
      <c r="BMQ211" s="2522"/>
      <c r="BMR211" s="2522"/>
      <c r="BMS211" s="2522"/>
      <c r="BMT211" s="2522"/>
      <c r="BMU211" s="2522"/>
      <c r="BMV211" s="2522"/>
      <c r="BMW211" s="2522"/>
      <c r="BMX211" s="2522"/>
      <c r="BMY211" s="2522"/>
      <c r="BMZ211" s="2522"/>
      <c r="BNA211" s="2522"/>
      <c r="BNB211" s="2522"/>
      <c r="BNC211" s="2522"/>
      <c r="BND211" s="2522"/>
      <c r="BNE211" s="2522"/>
      <c r="BNF211" s="2522"/>
      <c r="BNG211" s="2522"/>
      <c r="BNH211" s="2522"/>
      <c r="BNI211" s="2522"/>
      <c r="BNJ211" s="2522"/>
      <c r="BNK211" s="2522"/>
      <c r="BNL211" s="2522"/>
      <c r="BNM211" s="2522"/>
      <c r="BNN211" s="2522"/>
      <c r="BNO211" s="2522"/>
      <c r="BNP211" s="2522"/>
      <c r="BNQ211" s="2522"/>
      <c r="BNR211" s="2522"/>
      <c r="BNS211" s="2522"/>
      <c r="BNT211" s="2522"/>
      <c r="BNU211" s="2522"/>
      <c r="BNV211" s="2522"/>
      <c r="BNW211" s="2522"/>
      <c r="BNX211" s="2522"/>
      <c r="BNY211" s="2522"/>
      <c r="BNZ211" s="2522"/>
      <c r="BOA211" s="2522"/>
      <c r="BOB211" s="2522"/>
      <c r="BOC211" s="2522"/>
      <c r="BOD211" s="2522"/>
      <c r="BOE211" s="2522"/>
      <c r="BOF211" s="2522"/>
      <c r="BOG211" s="2522"/>
      <c r="BOH211" s="2522"/>
      <c r="BOI211" s="2522"/>
      <c r="BOJ211" s="2522"/>
      <c r="BOK211" s="2522"/>
      <c r="BOL211" s="2522"/>
      <c r="BOM211" s="2522"/>
      <c r="BON211" s="2522"/>
      <c r="BOO211" s="2522"/>
      <c r="BOP211" s="2522"/>
      <c r="BOQ211" s="2522"/>
      <c r="BOR211" s="2522"/>
      <c r="BOS211" s="2522"/>
      <c r="BOT211" s="2522"/>
      <c r="BOU211" s="2522"/>
      <c r="BOV211" s="2522"/>
      <c r="BOW211" s="2522"/>
      <c r="BOX211" s="2522"/>
      <c r="BOY211" s="2522"/>
      <c r="BOZ211" s="2522"/>
      <c r="BPA211" s="2522"/>
      <c r="BPB211" s="2522"/>
      <c r="BPC211" s="2522"/>
      <c r="BPD211" s="2522"/>
      <c r="BPE211" s="2522"/>
      <c r="BPF211" s="2522"/>
      <c r="BPG211" s="2522"/>
      <c r="BPH211" s="2522"/>
      <c r="BPI211" s="2522"/>
      <c r="BPJ211" s="2522"/>
      <c r="BPK211" s="2522"/>
      <c r="BPL211" s="2522"/>
      <c r="BPM211" s="2522"/>
      <c r="BPN211" s="2522"/>
      <c r="BPO211" s="2522"/>
      <c r="BPP211" s="2522"/>
      <c r="BPQ211" s="2522"/>
      <c r="BPR211" s="2522"/>
      <c r="BPS211" s="2522"/>
      <c r="BPT211" s="2522"/>
      <c r="BPU211" s="2522"/>
      <c r="BPV211" s="2522"/>
      <c r="BPW211" s="2522"/>
      <c r="BPX211" s="2522"/>
      <c r="BPY211" s="2522"/>
      <c r="BPZ211" s="2522"/>
      <c r="BQA211" s="2522"/>
      <c r="BQB211" s="2522"/>
      <c r="BQC211" s="2522"/>
      <c r="BQD211" s="2522"/>
      <c r="BQE211" s="2522"/>
      <c r="BQF211" s="2522"/>
      <c r="BQG211" s="2522"/>
      <c r="BQH211" s="2522"/>
      <c r="BQI211" s="2522"/>
      <c r="BQJ211" s="2522"/>
      <c r="BQK211" s="2522"/>
      <c r="BQL211" s="2522"/>
      <c r="BQM211" s="2522"/>
      <c r="BQN211" s="2522"/>
      <c r="BQO211" s="2522"/>
      <c r="BQP211" s="2522"/>
      <c r="BQQ211" s="2522"/>
      <c r="BQR211" s="2522"/>
      <c r="BQS211" s="2522"/>
      <c r="BQT211" s="2522"/>
      <c r="BQU211" s="2522"/>
      <c r="BQV211" s="2522"/>
      <c r="BQW211" s="2522"/>
      <c r="BQX211" s="2522"/>
      <c r="BQY211" s="2522"/>
      <c r="BQZ211" s="2522"/>
      <c r="BRA211" s="2522"/>
      <c r="BRB211" s="2522"/>
      <c r="BRC211" s="2522"/>
      <c r="BRD211" s="2522"/>
      <c r="BRE211" s="2522"/>
      <c r="BRF211" s="2522"/>
      <c r="BRG211" s="2522"/>
      <c r="BRH211" s="2522"/>
      <c r="BRI211" s="2522"/>
      <c r="BRJ211" s="2522"/>
      <c r="BRK211" s="2522"/>
      <c r="BRL211" s="2522"/>
      <c r="BRM211" s="2522"/>
      <c r="BRN211" s="2522"/>
      <c r="BRO211" s="2522"/>
      <c r="BRP211" s="2522"/>
      <c r="BRQ211" s="2522"/>
      <c r="BRR211" s="2522"/>
      <c r="BRS211" s="2522"/>
      <c r="BRT211" s="2522"/>
      <c r="BRU211" s="2522"/>
      <c r="BRV211" s="2522"/>
      <c r="BRW211" s="2522"/>
      <c r="BRX211" s="2522"/>
      <c r="BRY211" s="2522"/>
      <c r="BRZ211" s="2522"/>
      <c r="BSA211" s="2522"/>
      <c r="BSB211" s="2522"/>
      <c r="BSC211" s="2522"/>
      <c r="BSD211" s="2522"/>
      <c r="BSE211" s="2522"/>
      <c r="BSF211" s="2522"/>
      <c r="BSG211" s="2522"/>
      <c r="BSH211" s="2522"/>
      <c r="BSI211" s="2522"/>
      <c r="BSJ211" s="2522"/>
      <c r="BSK211" s="2522"/>
      <c r="BSL211" s="2522"/>
      <c r="BSM211" s="2522"/>
      <c r="BSN211" s="2522"/>
      <c r="BSO211" s="2522"/>
      <c r="BSP211" s="2522"/>
      <c r="BSQ211" s="2522"/>
      <c r="BSR211" s="2522"/>
      <c r="BSS211" s="2522"/>
      <c r="BST211" s="2522"/>
      <c r="BSU211" s="2522"/>
      <c r="BSV211" s="2522"/>
      <c r="BSW211" s="2522"/>
      <c r="BSX211" s="2522"/>
      <c r="BSY211" s="2522"/>
      <c r="BSZ211" s="2522"/>
      <c r="BTA211" s="2522"/>
      <c r="BTB211" s="2522"/>
      <c r="BTC211" s="2522"/>
      <c r="BTD211" s="2522"/>
      <c r="BTE211" s="2522"/>
      <c r="BTF211" s="2522"/>
      <c r="BTG211" s="2522"/>
      <c r="BTH211" s="2522"/>
      <c r="BTI211" s="2522"/>
      <c r="BTJ211" s="2522"/>
      <c r="BTK211" s="2522"/>
      <c r="BTL211" s="2522"/>
      <c r="BTM211" s="2522"/>
      <c r="BTN211" s="2522"/>
      <c r="BTO211" s="2522"/>
      <c r="BTP211" s="2522"/>
      <c r="BTQ211" s="2522"/>
      <c r="BTR211" s="2522"/>
      <c r="BTS211" s="2522"/>
      <c r="BTT211" s="2522"/>
      <c r="BTU211" s="2522"/>
      <c r="BTV211" s="2522"/>
      <c r="BTW211" s="2522"/>
      <c r="BTX211" s="2522"/>
      <c r="BTY211" s="2522"/>
      <c r="BTZ211" s="2522"/>
      <c r="BUA211" s="2522"/>
      <c r="BUB211" s="2522"/>
      <c r="BUC211" s="2522"/>
      <c r="BUD211" s="2522"/>
      <c r="BUE211" s="2522"/>
      <c r="BUF211" s="2522"/>
      <c r="BUG211" s="2522"/>
      <c r="BUH211" s="2522"/>
      <c r="BUI211" s="2522"/>
      <c r="BUJ211" s="2522"/>
      <c r="BUK211" s="2522"/>
      <c r="BUL211" s="2522"/>
      <c r="BUM211" s="2522"/>
      <c r="BUN211" s="2522"/>
      <c r="BUO211" s="2522"/>
      <c r="BUP211" s="2522"/>
      <c r="BUQ211" s="2522"/>
      <c r="BUR211" s="2522"/>
      <c r="BUS211" s="2522"/>
      <c r="BUT211" s="2522"/>
      <c r="BUU211" s="2522"/>
      <c r="BUV211" s="2522"/>
      <c r="BUW211" s="2522"/>
      <c r="BUX211" s="2522"/>
      <c r="BUY211" s="2522"/>
      <c r="BUZ211" s="2522"/>
      <c r="BVA211" s="2522"/>
      <c r="BVB211" s="2522"/>
      <c r="BVC211" s="2522"/>
      <c r="BVD211" s="2522"/>
      <c r="BVE211" s="2522"/>
      <c r="BVF211" s="2522"/>
      <c r="BVG211" s="2522"/>
      <c r="BVH211" s="2522"/>
      <c r="BVI211" s="2522"/>
      <c r="BVJ211" s="2522"/>
      <c r="BVK211" s="2522"/>
      <c r="BVL211" s="2522"/>
      <c r="BVM211" s="2522"/>
      <c r="BVN211" s="2522"/>
      <c r="BVO211" s="2522"/>
      <c r="BVP211" s="2522"/>
      <c r="BVQ211" s="2522"/>
      <c r="BVR211" s="2522"/>
      <c r="BVS211" s="2522"/>
      <c r="BVT211" s="2522"/>
      <c r="BVU211" s="2522"/>
      <c r="BVV211" s="2522"/>
      <c r="BVW211" s="2522"/>
      <c r="BVX211" s="2522"/>
      <c r="BVY211" s="2522"/>
      <c r="BVZ211" s="2522"/>
      <c r="BWA211" s="2522"/>
      <c r="BWB211" s="2522"/>
      <c r="BWC211" s="2522"/>
      <c r="BWD211" s="2522"/>
      <c r="BWE211" s="2522"/>
      <c r="BWF211" s="2522"/>
      <c r="BWG211" s="2522"/>
      <c r="BWH211" s="2522"/>
      <c r="BWI211" s="2522"/>
      <c r="BWJ211" s="2522"/>
      <c r="BWK211" s="2522"/>
      <c r="BWL211" s="2522"/>
      <c r="BWM211" s="2522"/>
      <c r="BWN211" s="2522"/>
      <c r="BWO211" s="2522"/>
      <c r="BWP211" s="2522"/>
      <c r="BWQ211" s="2522"/>
      <c r="BWR211" s="2522"/>
      <c r="BWS211" s="2522"/>
      <c r="BWT211" s="2522"/>
      <c r="BWU211" s="2522"/>
      <c r="BWV211" s="2522"/>
      <c r="BWW211" s="2522"/>
      <c r="BWX211" s="2522"/>
      <c r="BWY211" s="2522"/>
      <c r="BWZ211" s="2522"/>
      <c r="BXA211" s="2522"/>
      <c r="BXB211" s="2522"/>
      <c r="BXC211" s="2522"/>
      <c r="BXD211" s="2522"/>
      <c r="BXE211" s="2522"/>
      <c r="BXF211" s="2522"/>
      <c r="BXG211" s="2522"/>
      <c r="BXH211" s="2522"/>
      <c r="BXI211" s="2522"/>
      <c r="BXJ211" s="2522"/>
      <c r="BXK211" s="2522"/>
      <c r="BXL211" s="2522"/>
      <c r="BXM211" s="2522"/>
      <c r="BXN211" s="2522"/>
      <c r="BXO211" s="2522"/>
      <c r="BXP211" s="2522"/>
      <c r="BXQ211" s="2522"/>
      <c r="BXR211" s="2522"/>
      <c r="BXS211" s="2522"/>
      <c r="BXT211" s="2522"/>
      <c r="BXU211" s="2522"/>
      <c r="BXV211" s="2522"/>
      <c r="BXW211" s="2522"/>
      <c r="BXX211" s="2522"/>
      <c r="BXY211" s="2522"/>
      <c r="BXZ211" s="2522"/>
      <c r="BYA211" s="2522"/>
      <c r="BYB211" s="2522"/>
      <c r="BYC211" s="2522"/>
      <c r="BYD211" s="2522"/>
      <c r="BYE211" s="2522"/>
      <c r="BYF211" s="2522"/>
      <c r="BYG211" s="2522"/>
      <c r="BYH211" s="2522"/>
      <c r="BYI211" s="2522"/>
      <c r="BYJ211" s="2522"/>
      <c r="BYK211" s="2522"/>
      <c r="BYL211" s="2522"/>
      <c r="BYM211" s="2522"/>
      <c r="BYN211" s="2522"/>
      <c r="BYO211" s="2522"/>
      <c r="BYP211" s="2522"/>
      <c r="BYQ211" s="2522"/>
      <c r="BYR211" s="2522"/>
      <c r="BYS211" s="2522"/>
      <c r="BYT211" s="2522"/>
      <c r="BYU211" s="2522"/>
      <c r="BYV211" s="2522"/>
      <c r="BYW211" s="2522"/>
      <c r="BYX211" s="2522"/>
      <c r="BYY211" s="2522"/>
      <c r="BYZ211" s="2522"/>
      <c r="BZA211" s="2522"/>
      <c r="BZB211" s="2522"/>
      <c r="BZC211" s="2522"/>
      <c r="BZD211" s="2522"/>
      <c r="BZE211" s="2522"/>
      <c r="BZF211" s="2522"/>
      <c r="BZG211" s="2522"/>
      <c r="BZH211" s="2522"/>
      <c r="BZI211" s="2522"/>
      <c r="BZJ211" s="2522"/>
      <c r="BZK211" s="2522"/>
      <c r="BZL211" s="2522"/>
      <c r="BZM211" s="2522"/>
      <c r="BZN211" s="2522"/>
      <c r="BZO211" s="2522"/>
      <c r="BZP211" s="2522"/>
      <c r="BZQ211" s="2522"/>
      <c r="BZR211" s="2522"/>
      <c r="BZS211" s="2522"/>
      <c r="BZT211" s="2522"/>
      <c r="BZU211" s="2522"/>
      <c r="BZV211" s="2522"/>
      <c r="BZW211" s="2522"/>
      <c r="BZX211" s="2522"/>
      <c r="BZY211" s="2522"/>
      <c r="BZZ211" s="2522"/>
      <c r="CAA211" s="2522"/>
      <c r="CAB211" s="2522"/>
      <c r="CAC211" s="2522"/>
      <c r="CAD211" s="2522"/>
      <c r="CAE211" s="2522"/>
      <c r="CAF211" s="2522"/>
      <c r="CAG211" s="2522"/>
      <c r="CAH211" s="2522"/>
      <c r="CAI211" s="2522"/>
      <c r="CAJ211" s="2522"/>
      <c r="CAK211" s="2522"/>
      <c r="CAL211" s="2522"/>
      <c r="CAM211" s="2522"/>
      <c r="CAN211" s="2522"/>
      <c r="CAO211" s="2522"/>
      <c r="CAP211" s="2522"/>
      <c r="CAQ211" s="2522"/>
      <c r="CAR211" s="2522"/>
      <c r="CAS211" s="2522"/>
      <c r="CAT211" s="2522"/>
      <c r="CAU211" s="2522"/>
      <c r="CAV211" s="2522"/>
      <c r="CAW211" s="2522"/>
      <c r="CAX211" s="2522"/>
      <c r="CAY211" s="2522"/>
      <c r="CAZ211" s="2522"/>
      <c r="CBA211" s="2522"/>
      <c r="CBB211" s="2522"/>
      <c r="CBC211" s="2522"/>
      <c r="CBD211" s="2522"/>
      <c r="CBE211" s="2522"/>
      <c r="CBF211" s="2522"/>
      <c r="CBG211" s="2522"/>
      <c r="CBH211" s="2522"/>
      <c r="CBI211" s="2522"/>
      <c r="CBJ211" s="2522"/>
      <c r="CBK211" s="2522"/>
      <c r="CBL211" s="2522"/>
      <c r="CBM211" s="2522"/>
      <c r="CBN211" s="2522"/>
      <c r="CBO211" s="2522"/>
      <c r="CBP211" s="2522"/>
      <c r="CBQ211" s="2522"/>
      <c r="CBR211" s="2522"/>
      <c r="CBS211" s="2522"/>
      <c r="CBT211" s="2522"/>
      <c r="CBU211" s="2522"/>
      <c r="CBV211" s="2522"/>
      <c r="CBW211" s="2522"/>
      <c r="CBX211" s="2522"/>
      <c r="CBY211" s="2522"/>
      <c r="CBZ211" s="2522"/>
      <c r="CCA211" s="2522"/>
      <c r="CCB211" s="2522"/>
      <c r="CCC211" s="2522"/>
      <c r="CCD211" s="2522"/>
      <c r="CCE211" s="2522"/>
      <c r="CCF211" s="2522"/>
      <c r="CCG211" s="2522"/>
      <c r="CCH211" s="2522"/>
      <c r="CCI211" s="2522"/>
      <c r="CCJ211" s="2522"/>
      <c r="CCK211" s="2522"/>
      <c r="CCL211" s="2522"/>
      <c r="CCM211" s="2522"/>
      <c r="CCN211" s="2522"/>
      <c r="CCO211" s="2522"/>
      <c r="CCP211" s="2522"/>
      <c r="CCQ211" s="2522"/>
      <c r="CCR211" s="2522"/>
      <c r="CCS211" s="2522"/>
      <c r="CCT211" s="2522"/>
      <c r="CCU211" s="2522"/>
      <c r="CCV211" s="2522"/>
      <c r="CCW211" s="2522"/>
      <c r="CCX211" s="2522"/>
      <c r="CCY211" s="2522"/>
      <c r="CCZ211" s="2522"/>
      <c r="CDA211" s="2522"/>
      <c r="CDB211" s="2522"/>
      <c r="CDC211" s="2522"/>
      <c r="CDD211" s="2522"/>
      <c r="CDE211" s="2522"/>
      <c r="CDF211" s="2522"/>
      <c r="CDG211" s="2522"/>
      <c r="CDH211" s="2522"/>
      <c r="CDI211" s="2522"/>
      <c r="CDJ211" s="2522"/>
      <c r="CDK211" s="2522"/>
      <c r="CDL211" s="2522"/>
      <c r="CDM211" s="2522"/>
      <c r="CDN211" s="2522"/>
      <c r="CDO211" s="2522"/>
      <c r="CDP211" s="2522"/>
      <c r="CDQ211" s="2522"/>
      <c r="CDR211" s="2522"/>
      <c r="CDS211" s="2522"/>
      <c r="CDT211" s="2522"/>
      <c r="CDU211" s="2522"/>
      <c r="CDV211" s="2522"/>
      <c r="CDW211" s="2522"/>
      <c r="CDX211" s="2522"/>
      <c r="CDY211" s="2522"/>
      <c r="CDZ211" s="2522"/>
      <c r="CEA211" s="2522"/>
      <c r="CEB211" s="2522"/>
      <c r="CEC211" s="2522"/>
      <c r="CED211" s="2522"/>
      <c r="CEE211" s="2522"/>
      <c r="CEF211" s="2522"/>
      <c r="CEG211" s="2522"/>
      <c r="CEH211" s="2522"/>
      <c r="CEI211" s="2522"/>
      <c r="CEJ211" s="2522"/>
      <c r="CEK211" s="2522"/>
      <c r="CEL211" s="2522"/>
      <c r="CEM211" s="2522"/>
      <c r="CEN211" s="2522"/>
      <c r="CEO211" s="2522"/>
      <c r="CEP211" s="2522"/>
      <c r="CEQ211" s="2522"/>
      <c r="CER211" s="2522"/>
      <c r="CES211" s="2522"/>
      <c r="CET211" s="2522"/>
      <c r="CEU211" s="2522"/>
      <c r="CEV211" s="2522"/>
      <c r="CEW211" s="2522"/>
      <c r="CEX211" s="2522"/>
      <c r="CEY211" s="2522"/>
      <c r="CEZ211" s="2522"/>
      <c r="CFA211" s="2522"/>
      <c r="CFB211" s="2522"/>
      <c r="CFC211" s="2522"/>
      <c r="CFD211" s="2522"/>
      <c r="CFE211" s="2522"/>
      <c r="CFF211" s="2522"/>
      <c r="CFG211" s="2522"/>
      <c r="CFH211" s="2522"/>
      <c r="CFI211" s="2522"/>
      <c r="CFJ211" s="2522"/>
      <c r="CFK211" s="2522"/>
      <c r="CFL211" s="2522"/>
      <c r="CFM211" s="2522"/>
      <c r="CFN211" s="2522"/>
      <c r="CFO211" s="2522"/>
      <c r="CFP211" s="2522"/>
      <c r="CFQ211" s="2522"/>
      <c r="CFR211" s="2522"/>
      <c r="CFS211" s="2522"/>
      <c r="CFT211" s="2522"/>
      <c r="CFU211" s="2522"/>
      <c r="CFV211" s="2522"/>
      <c r="CFW211" s="2522"/>
      <c r="CFX211" s="2522"/>
      <c r="CFY211" s="2522"/>
      <c r="CFZ211" s="2522"/>
      <c r="CGA211" s="2522"/>
      <c r="CGB211" s="2522"/>
      <c r="CGC211" s="2522"/>
      <c r="CGD211" s="2522"/>
      <c r="CGE211" s="2522"/>
      <c r="CGF211" s="2522"/>
      <c r="CGG211" s="2522"/>
      <c r="CGH211" s="2522"/>
      <c r="CGI211" s="2522"/>
      <c r="CGJ211" s="2522"/>
      <c r="CGK211" s="2522"/>
      <c r="CGL211" s="2522"/>
      <c r="CGM211" s="2522"/>
      <c r="CGN211" s="2522"/>
      <c r="CGO211" s="2522"/>
      <c r="CGP211" s="2522"/>
      <c r="CGQ211" s="2522"/>
      <c r="CGR211" s="2522"/>
      <c r="CGS211" s="2522"/>
      <c r="CGT211" s="2522"/>
      <c r="CGU211" s="2522"/>
      <c r="CGV211" s="2522"/>
      <c r="CGW211" s="2522"/>
      <c r="CGX211" s="2522"/>
      <c r="CGY211" s="2522"/>
      <c r="CGZ211" s="2522"/>
      <c r="CHA211" s="2522"/>
      <c r="CHB211" s="2522"/>
      <c r="CHC211" s="2522"/>
      <c r="CHD211" s="2522"/>
      <c r="CHE211" s="2522"/>
      <c r="CHF211" s="2522"/>
      <c r="CHG211" s="2522"/>
      <c r="CHH211" s="2522"/>
      <c r="CHI211" s="2522"/>
      <c r="CHJ211" s="2522"/>
      <c r="CHK211" s="2522"/>
      <c r="CHL211" s="2522"/>
      <c r="CHM211" s="2522"/>
      <c r="CHN211" s="2522"/>
      <c r="CHO211" s="2522"/>
      <c r="CHP211" s="2522"/>
      <c r="CHQ211" s="2522"/>
      <c r="CHR211" s="2522"/>
      <c r="CHS211" s="2522"/>
      <c r="CHT211" s="2522"/>
      <c r="CHU211" s="2522"/>
      <c r="CHV211" s="2522"/>
      <c r="CHW211" s="2522"/>
      <c r="CHX211" s="2522"/>
      <c r="CHY211" s="2522"/>
      <c r="CHZ211" s="2522"/>
      <c r="CIA211" s="2522"/>
      <c r="CIB211" s="2522"/>
      <c r="CIC211" s="2522"/>
      <c r="CID211" s="2522"/>
      <c r="CIE211" s="2522"/>
      <c r="CIF211" s="2522"/>
      <c r="CIG211" s="2522"/>
      <c r="CIH211" s="2522"/>
      <c r="CII211" s="2522"/>
      <c r="CIJ211" s="2522"/>
      <c r="CIK211" s="2522"/>
      <c r="CIL211" s="2522"/>
      <c r="CIM211" s="2522"/>
      <c r="CIN211" s="2522"/>
      <c r="CIO211" s="2522"/>
      <c r="CIP211" s="2522"/>
      <c r="CIQ211" s="2522"/>
      <c r="CIR211" s="2522"/>
      <c r="CIS211" s="2522"/>
      <c r="CIT211" s="2522"/>
      <c r="CIU211" s="2522"/>
      <c r="CIV211" s="2522"/>
      <c r="CIW211" s="2522"/>
      <c r="CIX211" s="2522"/>
      <c r="CIY211" s="2522"/>
      <c r="CIZ211" s="2522"/>
      <c r="CJA211" s="2522"/>
      <c r="CJB211" s="2522"/>
      <c r="CJC211" s="2522"/>
      <c r="CJD211" s="2522"/>
      <c r="CJE211" s="2522"/>
      <c r="CJF211" s="2522"/>
      <c r="CJG211" s="2522"/>
      <c r="CJH211" s="2522"/>
      <c r="CJI211" s="2522"/>
      <c r="CJJ211" s="2522"/>
      <c r="CJK211" s="2522"/>
      <c r="CJL211" s="2522"/>
      <c r="CJM211" s="2522"/>
      <c r="CJN211" s="2522"/>
      <c r="CJO211" s="2522"/>
      <c r="CJP211" s="2522"/>
      <c r="CJQ211" s="2522"/>
      <c r="CJR211" s="2522"/>
      <c r="CJS211" s="2522"/>
      <c r="CJT211" s="2522"/>
      <c r="CJU211" s="2522"/>
      <c r="CJV211" s="2522"/>
      <c r="CJW211" s="2522"/>
      <c r="CJX211" s="2522"/>
      <c r="CJY211" s="2522"/>
      <c r="CJZ211" s="2522"/>
      <c r="CKA211" s="2522"/>
      <c r="CKB211" s="2522"/>
      <c r="CKC211" s="2522"/>
      <c r="CKD211" s="2522"/>
      <c r="CKE211" s="2522"/>
      <c r="CKF211" s="2522"/>
      <c r="CKG211" s="2522"/>
      <c r="CKH211" s="2522"/>
      <c r="CKI211" s="2522"/>
      <c r="CKJ211" s="2522"/>
      <c r="CKK211" s="2522"/>
      <c r="CKL211" s="2522"/>
      <c r="CKM211" s="2522"/>
      <c r="CKN211" s="2522"/>
      <c r="CKO211" s="2522"/>
      <c r="CKP211" s="2522"/>
      <c r="CKQ211" s="2522"/>
      <c r="CKR211" s="2522"/>
      <c r="CKS211" s="2522"/>
      <c r="CKT211" s="2522"/>
      <c r="CKU211" s="2522"/>
      <c r="CKV211" s="2522"/>
      <c r="CKW211" s="2522"/>
      <c r="CKX211" s="2522"/>
      <c r="CKY211" s="2522"/>
      <c r="CKZ211" s="2522"/>
      <c r="CLA211" s="2522"/>
      <c r="CLB211" s="2522"/>
      <c r="CLC211" s="2522"/>
      <c r="CLD211" s="2522"/>
      <c r="CLE211" s="2522"/>
      <c r="CLF211" s="2522"/>
      <c r="CLG211" s="2522"/>
      <c r="CLH211" s="2522"/>
      <c r="CLI211" s="2522"/>
      <c r="CLJ211" s="2522"/>
      <c r="CLK211" s="2522"/>
      <c r="CLL211" s="2522"/>
      <c r="CLM211" s="2522"/>
      <c r="CLN211" s="2522"/>
      <c r="CLO211" s="2522"/>
      <c r="CLP211" s="2522"/>
      <c r="CLQ211" s="2522"/>
      <c r="CLR211" s="2522"/>
      <c r="CLS211" s="2522"/>
      <c r="CLT211" s="2522"/>
      <c r="CLU211" s="2522"/>
      <c r="CLV211" s="2522"/>
      <c r="CLW211" s="2522"/>
      <c r="CLX211" s="2522"/>
      <c r="CLY211" s="2522"/>
      <c r="CLZ211" s="2522"/>
      <c r="CMA211" s="2522"/>
      <c r="CMB211" s="2522"/>
      <c r="CMC211" s="2522"/>
      <c r="CMD211" s="2522"/>
      <c r="CME211" s="2522"/>
      <c r="CMF211" s="2522"/>
      <c r="CMG211" s="2522"/>
      <c r="CMH211" s="2522"/>
      <c r="CMI211" s="2522"/>
      <c r="CMJ211" s="2522"/>
      <c r="CMK211" s="2522"/>
      <c r="CML211" s="2522"/>
      <c r="CMM211" s="2522"/>
      <c r="CMN211" s="2522"/>
      <c r="CMO211" s="2522"/>
      <c r="CMP211" s="2522"/>
      <c r="CMQ211" s="2522"/>
      <c r="CMR211" s="2522"/>
      <c r="CMS211" s="2522"/>
      <c r="CMT211" s="2522"/>
      <c r="CMU211" s="2522"/>
      <c r="CMV211" s="2522"/>
      <c r="CMW211" s="2522"/>
      <c r="CMX211" s="2522"/>
      <c r="CMY211" s="2522"/>
      <c r="CMZ211" s="2522"/>
      <c r="CNA211" s="2522"/>
      <c r="CNB211" s="2522"/>
      <c r="CNC211" s="2522"/>
      <c r="CND211" s="2522"/>
      <c r="CNE211" s="2522"/>
      <c r="CNF211" s="2522"/>
      <c r="CNG211" s="2522"/>
      <c r="CNH211" s="2522"/>
      <c r="CNI211" s="2522"/>
      <c r="CNJ211" s="2522"/>
      <c r="CNK211" s="2522"/>
      <c r="CNL211" s="2522"/>
      <c r="CNM211" s="2522"/>
      <c r="CNN211" s="2522"/>
      <c r="CNO211" s="2522"/>
      <c r="CNP211" s="2522"/>
      <c r="CNQ211" s="2522"/>
      <c r="CNR211" s="2522"/>
      <c r="CNS211" s="2522"/>
      <c r="CNT211" s="2522"/>
      <c r="CNU211" s="2522"/>
      <c r="CNV211" s="2522"/>
      <c r="CNW211" s="2522"/>
      <c r="CNX211" s="2522"/>
      <c r="CNY211" s="2522"/>
      <c r="CNZ211" s="2522"/>
      <c r="COA211" s="2522"/>
      <c r="COB211" s="2522"/>
      <c r="COC211" s="2522"/>
      <c r="COD211" s="2522"/>
      <c r="COE211" s="2522"/>
      <c r="COF211" s="2522"/>
      <c r="COG211" s="2522"/>
      <c r="COH211" s="2522"/>
      <c r="COI211" s="2522"/>
      <c r="COJ211" s="2522"/>
      <c r="COK211" s="2522"/>
      <c r="COL211" s="2522"/>
      <c r="COM211" s="2522"/>
      <c r="CON211" s="2522"/>
      <c r="COO211" s="2522"/>
      <c r="COP211" s="2522"/>
      <c r="COQ211" s="2522"/>
      <c r="COR211" s="2522"/>
      <c r="COS211" s="2522"/>
      <c r="COT211" s="2522"/>
      <c r="COU211" s="2522"/>
      <c r="COV211" s="2522"/>
      <c r="COW211" s="2522"/>
      <c r="COX211" s="2522"/>
      <c r="COY211" s="2522"/>
      <c r="COZ211" s="2522"/>
      <c r="CPA211" s="2522"/>
      <c r="CPB211" s="2522"/>
      <c r="CPC211" s="2522"/>
      <c r="CPD211" s="2522"/>
      <c r="CPE211" s="2522"/>
      <c r="CPF211" s="2522"/>
      <c r="CPG211" s="2522"/>
      <c r="CPH211" s="2522"/>
      <c r="CPI211" s="2522"/>
      <c r="CPJ211" s="2522"/>
      <c r="CPK211" s="2522"/>
      <c r="CPL211" s="2522"/>
      <c r="CPM211" s="2522"/>
      <c r="CPN211" s="2522"/>
      <c r="CPO211" s="2522"/>
      <c r="CPP211" s="2522"/>
      <c r="CPQ211" s="2522"/>
      <c r="CPR211" s="2522"/>
      <c r="CPS211" s="2522"/>
      <c r="CPT211" s="2522"/>
      <c r="CPU211" s="2522"/>
      <c r="CPV211" s="2522"/>
      <c r="CPW211" s="2522"/>
      <c r="CPX211" s="2522"/>
      <c r="CPY211" s="2522"/>
      <c r="CPZ211" s="2522"/>
      <c r="CQA211" s="2522"/>
      <c r="CQB211" s="2522"/>
      <c r="CQC211" s="2522"/>
      <c r="CQD211" s="2522"/>
      <c r="CQE211" s="2522"/>
      <c r="CQF211" s="2522"/>
      <c r="CQG211" s="2522"/>
      <c r="CQH211" s="2522"/>
      <c r="CQI211" s="2522"/>
      <c r="CQJ211" s="2522"/>
      <c r="CQK211" s="2522"/>
      <c r="CQL211" s="2522"/>
      <c r="CQM211" s="2522"/>
      <c r="CQN211" s="2522"/>
      <c r="CQO211" s="2522"/>
      <c r="CQP211" s="2522"/>
      <c r="CQQ211" s="2522"/>
      <c r="CQR211" s="2522"/>
      <c r="CQS211" s="2522"/>
      <c r="CQT211" s="2522"/>
      <c r="CQU211" s="2522"/>
      <c r="CQV211" s="2522"/>
      <c r="CQW211" s="2522"/>
      <c r="CQX211" s="2522"/>
      <c r="CQY211" s="2522"/>
      <c r="CQZ211" s="2522"/>
      <c r="CRA211" s="2522"/>
      <c r="CRB211" s="2522"/>
      <c r="CRC211" s="2522"/>
      <c r="CRD211" s="2522"/>
      <c r="CRE211" s="2522"/>
      <c r="CRF211" s="2522"/>
      <c r="CRG211" s="2522"/>
      <c r="CRH211" s="2522"/>
      <c r="CRI211" s="2522"/>
      <c r="CRJ211" s="2522"/>
      <c r="CRK211" s="2522"/>
      <c r="CRL211" s="2522"/>
      <c r="CRM211" s="2522"/>
      <c r="CRN211" s="2522"/>
      <c r="CRO211" s="2522"/>
      <c r="CRP211" s="2522"/>
      <c r="CRQ211" s="2522"/>
      <c r="CRR211" s="2522"/>
      <c r="CRS211" s="2522"/>
      <c r="CRT211" s="2522"/>
      <c r="CRU211" s="2522"/>
      <c r="CRV211" s="2522"/>
      <c r="CRW211" s="2522"/>
      <c r="CRX211" s="2522"/>
      <c r="CRY211" s="2522"/>
      <c r="CRZ211" s="2522"/>
      <c r="CSA211" s="2522"/>
      <c r="CSB211" s="2522"/>
      <c r="CSC211" s="2522"/>
      <c r="CSD211" s="2522"/>
      <c r="CSE211" s="2522"/>
      <c r="CSF211" s="2522"/>
      <c r="CSG211" s="2522"/>
      <c r="CSH211" s="2522"/>
      <c r="CSI211" s="2522"/>
      <c r="CSJ211" s="2522"/>
      <c r="CSK211" s="2522"/>
      <c r="CSL211" s="2522"/>
      <c r="CSM211" s="2522"/>
      <c r="CSN211" s="2522"/>
      <c r="CSO211" s="2522"/>
      <c r="CSP211" s="2522"/>
      <c r="CSQ211" s="2522"/>
      <c r="CSR211" s="2522"/>
      <c r="CSS211" s="2522"/>
      <c r="CST211" s="2522"/>
      <c r="CSU211" s="2522"/>
      <c r="CSV211" s="2522"/>
      <c r="CSW211" s="2522"/>
      <c r="CSX211" s="2522"/>
      <c r="CSY211" s="2522"/>
      <c r="CSZ211" s="2522"/>
      <c r="CTA211" s="2522"/>
      <c r="CTB211" s="2522"/>
      <c r="CTC211" s="2522"/>
      <c r="CTD211" s="2522"/>
      <c r="CTE211" s="2522"/>
      <c r="CTF211" s="2522"/>
      <c r="CTG211" s="2522"/>
      <c r="CTH211" s="2522"/>
      <c r="CTI211" s="2522"/>
      <c r="CTJ211" s="2522"/>
      <c r="CTK211" s="2522"/>
      <c r="CTL211" s="2522"/>
      <c r="CTM211" s="2522"/>
      <c r="CTN211" s="2522"/>
      <c r="CTO211" s="2522"/>
      <c r="CTP211" s="2522"/>
      <c r="CTQ211" s="2522"/>
      <c r="CTR211" s="2522"/>
      <c r="CTS211" s="2522"/>
      <c r="CTT211" s="2522"/>
      <c r="CTU211" s="2522"/>
      <c r="CTV211" s="2522"/>
      <c r="CTW211" s="2522"/>
      <c r="CTX211" s="2522"/>
      <c r="CTY211" s="2522"/>
      <c r="CTZ211" s="2522"/>
      <c r="CUA211" s="2522"/>
      <c r="CUB211" s="2522"/>
      <c r="CUC211" s="2522"/>
      <c r="CUD211" s="2522"/>
      <c r="CUE211" s="2522"/>
      <c r="CUF211" s="2522"/>
      <c r="CUG211" s="2522"/>
      <c r="CUH211" s="2522"/>
      <c r="CUI211" s="2522"/>
      <c r="CUJ211" s="2522"/>
      <c r="CUK211" s="2522"/>
      <c r="CUL211" s="2522"/>
      <c r="CUM211" s="2522"/>
      <c r="CUN211" s="2522"/>
      <c r="CUO211" s="2522"/>
      <c r="CUP211" s="2522"/>
      <c r="CUQ211" s="2522"/>
      <c r="CUR211" s="2522"/>
      <c r="CUS211" s="2522"/>
      <c r="CUT211" s="2522"/>
      <c r="CUU211" s="2522"/>
      <c r="CUV211" s="2522"/>
      <c r="CUW211" s="2522"/>
      <c r="CUX211" s="2522"/>
      <c r="CUY211" s="2522"/>
      <c r="CUZ211" s="2522"/>
      <c r="CVA211" s="2522"/>
      <c r="CVB211" s="2522"/>
      <c r="CVC211" s="2522"/>
      <c r="CVD211" s="2522"/>
      <c r="CVE211" s="2522"/>
      <c r="CVF211" s="2522"/>
      <c r="CVG211" s="2522"/>
      <c r="CVH211" s="2522"/>
      <c r="CVI211" s="2522"/>
      <c r="CVJ211" s="2522"/>
      <c r="CVK211" s="2522"/>
      <c r="CVL211" s="2522"/>
      <c r="CVM211" s="2522"/>
      <c r="CVN211" s="2522"/>
      <c r="CVO211" s="2522"/>
      <c r="CVP211" s="2522"/>
      <c r="CVQ211" s="2522"/>
      <c r="CVR211" s="2522"/>
      <c r="CVS211" s="2522"/>
      <c r="CVT211" s="2522"/>
      <c r="CVU211" s="2522"/>
      <c r="CVV211" s="2522"/>
      <c r="CVW211" s="2522"/>
      <c r="CVX211" s="2522"/>
      <c r="CVY211" s="2522"/>
      <c r="CVZ211" s="2522"/>
      <c r="CWA211" s="2522"/>
      <c r="CWB211" s="2522"/>
      <c r="CWC211" s="2522"/>
      <c r="CWD211" s="2522"/>
      <c r="CWE211" s="2522"/>
      <c r="CWF211" s="2522"/>
      <c r="CWG211" s="2522"/>
      <c r="CWH211" s="2522"/>
      <c r="CWI211" s="2522"/>
      <c r="CWJ211" s="2522"/>
      <c r="CWK211" s="2522"/>
      <c r="CWL211" s="2522"/>
      <c r="CWM211" s="2522"/>
      <c r="CWN211" s="2522"/>
      <c r="CWO211" s="2522"/>
      <c r="CWP211" s="2522"/>
      <c r="CWQ211" s="2522"/>
      <c r="CWR211" s="2522"/>
      <c r="CWS211" s="2522"/>
      <c r="CWT211" s="2522"/>
      <c r="CWU211" s="2522"/>
      <c r="CWV211" s="2522"/>
      <c r="CWW211" s="2522"/>
      <c r="CWX211" s="2522"/>
      <c r="CWY211" s="2522"/>
      <c r="CWZ211" s="2522"/>
      <c r="CXA211" s="2522"/>
      <c r="CXB211" s="2522"/>
      <c r="CXC211" s="2522"/>
      <c r="CXD211" s="2522"/>
      <c r="CXE211" s="2522"/>
      <c r="CXF211" s="2522"/>
      <c r="CXG211" s="2522"/>
      <c r="CXH211" s="2522"/>
      <c r="CXI211" s="2522"/>
      <c r="CXJ211" s="2522"/>
      <c r="CXK211" s="2522"/>
      <c r="CXL211" s="2522"/>
      <c r="CXM211" s="2522"/>
      <c r="CXN211" s="2522"/>
      <c r="CXO211" s="2522"/>
      <c r="CXP211" s="2522"/>
      <c r="CXQ211" s="2522"/>
      <c r="CXR211" s="2522"/>
      <c r="CXS211" s="2522"/>
      <c r="CXT211" s="2522"/>
      <c r="CXU211" s="2522"/>
      <c r="CXV211" s="2522"/>
      <c r="CXW211" s="2522"/>
      <c r="CXX211" s="2522"/>
      <c r="CXY211" s="2522"/>
      <c r="CXZ211" s="2522"/>
      <c r="CYA211" s="2522"/>
      <c r="CYB211" s="2522"/>
      <c r="CYC211" s="2522"/>
      <c r="CYD211" s="2522"/>
      <c r="CYE211" s="2522"/>
      <c r="CYF211" s="2522"/>
      <c r="CYG211" s="2522"/>
      <c r="CYH211" s="2522"/>
      <c r="CYI211" s="2522"/>
      <c r="CYJ211" s="2522"/>
      <c r="CYK211" s="2522"/>
      <c r="CYL211" s="2522"/>
      <c r="CYM211" s="2522"/>
      <c r="CYN211" s="2522"/>
      <c r="CYO211" s="2522"/>
      <c r="CYP211" s="2522"/>
      <c r="CYQ211" s="2522"/>
      <c r="CYR211" s="2522"/>
      <c r="CYS211" s="2522"/>
      <c r="CYT211" s="2522"/>
      <c r="CYU211" s="2522"/>
      <c r="CYV211" s="2522"/>
      <c r="CYW211" s="2522"/>
      <c r="CYX211" s="2522"/>
      <c r="CYY211" s="2522"/>
      <c r="CYZ211" s="2522"/>
      <c r="CZA211" s="2522"/>
      <c r="CZB211" s="2522"/>
      <c r="CZC211" s="2522"/>
      <c r="CZD211" s="2522"/>
      <c r="CZE211" s="2522"/>
      <c r="CZF211" s="2522"/>
      <c r="CZG211" s="2522"/>
      <c r="CZH211" s="2522"/>
      <c r="CZI211" s="2522"/>
      <c r="CZJ211" s="2522"/>
      <c r="CZK211" s="2522"/>
      <c r="CZL211" s="2522"/>
      <c r="CZM211" s="2522"/>
      <c r="CZN211" s="2522"/>
      <c r="CZO211" s="2522"/>
      <c r="CZP211" s="2522"/>
      <c r="CZQ211" s="2522"/>
      <c r="CZR211" s="2522"/>
      <c r="CZS211" s="2522"/>
      <c r="CZT211" s="2522"/>
      <c r="CZU211" s="2522"/>
      <c r="CZV211" s="2522"/>
      <c r="CZW211" s="2522"/>
      <c r="CZX211" s="2522"/>
      <c r="CZY211" s="2522"/>
      <c r="CZZ211" s="2522"/>
      <c r="DAA211" s="2522"/>
      <c r="DAB211" s="2522"/>
      <c r="DAC211" s="2522"/>
      <c r="DAD211" s="2522"/>
      <c r="DAE211" s="2522"/>
      <c r="DAF211" s="2522"/>
      <c r="DAG211" s="2522"/>
      <c r="DAH211" s="2522"/>
      <c r="DAI211" s="2522"/>
      <c r="DAJ211" s="2522"/>
      <c r="DAK211" s="2522"/>
      <c r="DAL211" s="2522"/>
      <c r="DAM211" s="2522"/>
      <c r="DAN211" s="2522"/>
      <c r="DAO211" s="2522"/>
      <c r="DAP211" s="2522"/>
      <c r="DAQ211" s="2522"/>
      <c r="DAR211" s="2522"/>
      <c r="DAS211" s="2522"/>
      <c r="DAT211" s="2522"/>
      <c r="DAU211" s="2522"/>
      <c r="DAV211" s="2522"/>
      <c r="DAW211" s="2522"/>
      <c r="DAX211" s="2522"/>
      <c r="DAY211" s="2522"/>
      <c r="DAZ211" s="2522"/>
      <c r="DBA211" s="2522"/>
      <c r="DBB211" s="2522"/>
      <c r="DBC211" s="2522"/>
      <c r="DBD211" s="2522"/>
      <c r="DBE211" s="2522"/>
      <c r="DBF211" s="2522"/>
      <c r="DBG211" s="2522"/>
      <c r="DBH211" s="2522"/>
      <c r="DBI211" s="2522"/>
      <c r="DBJ211" s="2522"/>
      <c r="DBK211" s="2522"/>
      <c r="DBL211" s="2522"/>
      <c r="DBM211" s="2522"/>
      <c r="DBN211" s="2522"/>
      <c r="DBO211" s="2522"/>
      <c r="DBP211" s="2522"/>
      <c r="DBQ211" s="2522"/>
      <c r="DBR211" s="2522"/>
      <c r="DBS211" s="2522"/>
      <c r="DBT211" s="2522"/>
      <c r="DBU211" s="2522"/>
      <c r="DBV211" s="2522"/>
      <c r="DBW211" s="2522"/>
      <c r="DBX211" s="2522"/>
      <c r="DBY211" s="2522"/>
      <c r="DBZ211" s="2522"/>
      <c r="DCA211" s="2522"/>
      <c r="DCB211" s="2522"/>
      <c r="DCC211" s="2522"/>
      <c r="DCD211" s="2522"/>
      <c r="DCE211" s="2522"/>
      <c r="DCF211" s="2522"/>
      <c r="DCG211" s="2522"/>
      <c r="DCH211" s="2522"/>
      <c r="DCI211" s="2522"/>
      <c r="DCJ211" s="2522"/>
      <c r="DCK211" s="2522"/>
      <c r="DCL211" s="2522"/>
      <c r="DCM211" s="2522"/>
      <c r="DCN211" s="2522"/>
      <c r="DCO211" s="2522"/>
      <c r="DCP211" s="2522"/>
      <c r="DCQ211" s="2522"/>
      <c r="DCR211" s="2522"/>
      <c r="DCS211" s="2522"/>
      <c r="DCT211" s="2522"/>
      <c r="DCU211" s="2522"/>
      <c r="DCV211" s="2522"/>
      <c r="DCW211" s="2522"/>
      <c r="DCX211" s="2522"/>
      <c r="DCY211" s="2522"/>
      <c r="DCZ211" s="2522"/>
      <c r="DDA211" s="2522"/>
      <c r="DDB211" s="2522"/>
      <c r="DDC211" s="2522"/>
      <c r="DDD211" s="2522"/>
      <c r="DDE211" s="2522"/>
      <c r="DDF211" s="2522"/>
      <c r="DDG211" s="2522"/>
      <c r="DDH211" s="2522"/>
      <c r="DDI211" s="2522"/>
      <c r="DDJ211" s="2522"/>
      <c r="DDK211" s="2522"/>
      <c r="DDL211" s="2522"/>
      <c r="DDM211" s="2522"/>
      <c r="DDN211" s="2522"/>
      <c r="DDO211" s="2522"/>
      <c r="DDP211" s="2522"/>
      <c r="DDQ211" s="2522"/>
      <c r="DDR211" s="2522"/>
      <c r="DDS211" s="2522"/>
      <c r="DDT211" s="2522"/>
      <c r="DDU211" s="2522"/>
      <c r="DDV211" s="2522"/>
      <c r="DDW211" s="2522"/>
      <c r="DDX211" s="2522"/>
      <c r="DDY211" s="2522"/>
      <c r="DDZ211" s="2522"/>
      <c r="DEA211" s="2522"/>
      <c r="DEB211" s="2522"/>
      <c r="DEC211" s="2522"/>
      <c r="DED211" s="2522"/>
      <c r="DEE211" s="2522"/>
      <c r="DEF211" s="2522"/>
      <c r="DEG211" s="2522"/>
      <c r="DEH211" s="2522"/>
      <c r="DEI211" s="2522"/>
      <c r="DEJ211" s="2522"/>
      <c r="DEK211" s="2522"/>
      <c r="DEL211" s="2522"/>
      <c r="DEM211" s="2522"/>
      <c r="DEN211" s="2522"/>
      <c r="DEO211" s="2522"/>
      <c r="DEP211" s="2522"/>
      <c r="DEQ211" s="2522"/>
      <c r="DER211" s="2522"/>
      <c r="DES211" s="2522"/>
      <c r="DET211" s="2522"/>
      <c r="DEU211" s="2522"/>
      <c r="DEV211" s="2522"/>
      <c r="DEW211" s="2522"/>
      <c r="DEX211" s="2522"/>
      <c r="DEY211" s="2522"/>
      <c r="DEZ211" s="2522"/>
      <c r="DFA211" s="2522"/>
      <c r="DFB211" s="2522"/>
      <c r="DFC211" s="2522"/>
      <c r="DFD211" s="2522"/>
      <c r="DFE211" s="2522"/>
      <c r="DFF211" s="2522"/>
      <c r="DFG211" s="2522"/>
      <c r="DFH211" s="2522"/>
      <c r="DFI211" s="2522"/>
      <c r="DFJ211" s="2522"/>
      <c r="DFK211" s="2522"/>
      <c r="DFL211" s="2522"/>
      <c r="DFM211" s="2522"/>
      <c r="DFN211" s="2522"/>
      <c r="DFO211" s="2522"/>
      <c r="DFP211" s="2522"/>
      <c r="DFQ211" s="2522"/>
      <c r="DFR211" s="2522"/>
      <c r="DFS211" s="2522"/>
      <c r="DFT211" s="2522"/>
      <c r="DFU211" s="2522"/>
      <c r="DFV211" s="2522"/>
      <c r="DFW211" s="2522"/>
      <c r="DFX211" s="2522"/>
      <c r="DFY211" s="2522"/>
      <c r="DFZ211" s="2522"/>
      <c r="DGA211" s="2522"/>
      <c r="DGB211" s="2522"/>
      <c r="DGC211" s="2522"/>
      <c r="DGD211" s="2522"/>
      <c r="DGE211" s="2522"/>
      <c r="DGF211" s="2522"/>
      <c r="DGG211" s="2522"/>
      <c r="DGH211" s="2522"/>
      <c r="DGI211" s="2522"/>
      <c r="DGJ211" s="2522"/>
      <c r="DGK211" s="2522"/>
      <c r="DGL211" s="2522"/>
      <c r="DGM211" s="2522"/>
      <c r="DGN211" s="2522"/>
      <c r="DGO211" s="2522"/>
      <c r="DGP211" s="2522"/>
      <c r="DGQ211" s="2522"/>
      <c r="DGR211" s="2522"/>
      <c r="DGS211" s="2522"/>
      <c r="DGT211" s="2522"/>
      <c r="DGU211" s="2522"/>
      <c r="DGV211" s="2522"/>
      <c r="DGW211" s="2522"/>
      <c r="DGX211" s="2522"/>
      <c r="DGY211" s="2522"/>
      <c r="DGZ211" s="2522"/>
      <c r="DHA211" s="2522"/>
      <c r="DHB211" s="2522"/>
      <c r="DHC211" s="2522"/>
      <c r="DHD211" s="2522"/>
      <c r="DHE211" s="2522"/>
      <c r="DHF211" s="2522"/>
      <c r="DHG211" s="2522"/>
      <c r="DHH211" s="2522"/>
      <c r="DHI211" s="2522"/>
      <c r="DHJ211" s="2522"/>
      <c r="DHK211" s="2522"/>
      <c r="DHL211" s="2522"/>
      <c r="DHM211" s="2522"/>
      <c r="DHN211" s="2522"/>
      <c r="DHO211" s="2522"/>
      <c r="DHP211" s="2522"/>
      <c r="DHQ211" s="2522"/>
      <c r="DHR211" s="2522"/>
      <c r="DHS211" s="2522"/>
      <c r="DHT211" s="2522"/>
      <c r="DHU211" s="2522"/>
      <c r="DHV211" s="2522"/>
      <c r="DHW211" s="2522"/>
      <c r="DHX211" s="2522"/>
      <c r="DHY211" s="2522"/>
      <c r="DHZ211" s="2522"/>
      <c r="DIA211" s="2522"/>
      <c r="DIB211" s="2522"/>
      <c r="DIC211" s="2522"/>
      <c r="DID211" s="2522"/>
      <c r="DIE211" s="2522"/>
      <c r="DIF211" s="2522"/>
      <c r="DIG211" s="2522"/>
      <c r="DIH211" s="2522"/>
      <c r="DII211" s="2522"/>
      <c r="DIJ211" s="2522"/>
      <c r="DIK211" s="2522"/>
      <c r="DIL211" s="2522"/>
      <c r="DIM211" s="2522"/>
      <c r="DIN211" s="2522"/>
      <c r="DIO211" s="2522"/>
      <c r="DIP211" s="2522"/>
      <c r="DIQ211" s="2522"/>
      <c r="DIR211" s="2522"/>
      <c r="DIS211" s="2522"/>
      <c r="DIT211" s="2522"/>
      <c r="DIU211" s="2522"/>
      <c r="DIV211" s="2522"/>
      <c r="DIW211" s="2522"/>
      <c r="DIX211" s="2522"/>
      <c r="DIY211" s="2522"/>
      <c r="DIZ211" s="2522"/>
      <c r="DJA211" s="2522"/>
      <c r="DJB211" s="2522"/>
      <c r="DJC211" s="2522"/>
      <c r="DJD211" s="2522"/>
      <c r="DJE211" s="2522"/>
      <c r="DJF211" s="2522"/>
      <c r="DJG211" s="2522"/>
      <c r="DJH211" s="2522"/>
      <c r="DJI211" s="2522"/>
      <c r="DJJ211" s="2522"/>
      <c r="DJK211" s="2522"/>
      <c r="DJL211" s="2522"/>
      <c r="DJM211" s="2522"/>
      <c r="DJN211" s="2522"/>
      <c r="DJO211" s="2522"/>
      <c r="DJP211" s="2522"/>
      <c r="DJQ211" s="2522"/>
      <c r="DJR211" s="2522"/>
      <c r="DJS211" s="2522"/>
      <c r="DJT211" s="2522"/>
      <c r="DJU211" s="2522"/>
      <c r="DJV211" s="2522"/>
      <c r="DJW211" s="2522"/>
      <c r="DJX211" s="2522"/>
      <c r="DJY211" s="2522"/>
      <c r="DJZ211" s="2522"/>
      <c r="DKA211" s="2522"/>
      <c r="DKB211" s="2522"/>
      <c r="DKC211" s="2522"/>
      <c r="DKD211" s="2522"/>
      <c r="DKE211" s="2522"/>
      <c r="DKF211" s="2522"/>
      <c r="DKG211" s="2522"/>
      <c r="DKH211" s="2522"/>
      <c r="DKI211" s="2522"/>
      <c r="DKJ211" s="2522"/>
      <c r="DKK211" s="2522"/>
      <c r="DKL211" s="2522"/>
      <c r="DKM211" s="2522"/>
      <c r="DKN211" s="2522"/>
      <c r="DKO211" s="2522"/>
      <c r="DKP211" s="2522"/>
      <c r="DKQ211" s="2522"/>
      <c r="DKR211" s="2522"/>
      <c r="DKS211" s="2522"/>
      <c r="DKT211" s="2522"/>
      <c r="DKU211" s="2522"/>
      <c r="DKV211" s="2522"/>
      <c r="DKW211" s="2522"/>
      <c r="DKX211" s="2522"/>
      <c r="DKY211" s="2522"/>
      <c r="DKZ211" s="2522"/>
      <c r="DLA211" s="2522"/>
      <c r="DLB211" s="2522"/>
      <c r="DLC211" s="2522"/>
      <c r="DLD211" s="2522"/>
      <c r="DLE211" s="2522"/>
      <c r="DLF211" s="2522"/>
      <c r="DLG211" s="2522"/>
      <c r="DLH211" s="2522"/>
      <c r="DLI211" s="2522"/>
      <c r="DLJ211" s="2522"/>
      <c r="DLK211" s="2522"/>
      <c r="DLL211" s="2522"/>
      <c r="DLM211" s="2522"/>
      <c r="DLN211" s="2522"/>
      <c r="DLO211" s="2522"/>
      <c r="DLP211" s="2522"/>
      <c r="DLQ211" s="2522"/>
      <c r="DLR211" s="2522"/>
      <c r="DLS211" s="2522"/>
      <c r="DLT211" s="2522"/>
      <c r="DLU211" s="2522"/>
      <c r="DLV211" s="2522"/>
      <c r="DLW211" s="2522"/>
      <c r="DLX211" s="2522"/>
      <c r="DLY211" s="2522"/>
      <c r="DLZ211" s="2522"/>
      <c r="DMA211" s="2522"/>
      <c r="DMB211" s="2522"/>
      <c r="DMC211" s="2522"/>
      <c r="DMD211" s="2522"/>
      <c r="DME211" s="2522"/>
      <c r="DMF211" s="2522"/>
      <c r="DMG211" s="2522"/>
      <c r="DMH211" s="2522"/>
      <c r="DMI211" s="2522"/>
      <c r="DMJ211" s="2522"/>
      <c r="DMK211" s="2522"/>
      <c r="DML211" s="2522"/>
      <c r="DMM211" s="2522"/>
      <c r="DMN211" s="2522"/>
      <c r="DMO211" s="2522"/>
      <c r="DMP211" s="2522"/>
      <c r="DMQ211" s="2522"/>
      <c r="DMR211" s="2522"/>
      <c r="DMS211" s="2522"/>
      <c r="DMT211" s="2522"/>
      <c r="DMU211" s="2522"/>
      <c r="DMV211" s="2522"/>
      <c r="DMW211" s="2522"/>
      <c r="DMX211" s="2522"/>
      <c r="DMY211" s="2522"/>
      <c r="DMZ211" s="2522"/>
      <c r="DNA211" s="2522"/>
      <c r="DNB211" s="2522"/>
      <c r="DNC211" s="2522"/>
      <c r="DND211" s="2522"/>
      <c r="DNE211" s="2522"/>
      <c r="DNF211" s="2522"/>
      <c r="DNG211" s="2522"/>
      <c r="DNH211" s="2522"/>
      <c r="DNI211" s="2522"/>
      <c r="DNJ211" s="2522"/>
      <c r="DNK211" s="2522"/>
      <c r="DNL211" s="2522"/>
      <c r="DNM211" s="2522"/>
      <c r="DNN211" s="2522"/>
      <c r="DNO211" s="2522"/>
      <c r="DNP211" s="2522"/>
      <c r="DNQ211" s="2522"/>
      <c r="DNR211" s="2522"/>
      <c r="DNS211" s="2522"/>
      <c r="DNT211" s="2522"/>
      <c r="DNU211" s="2522"/>
      <c r="DNV211" s="2522"/>
      <c r="DNW211" s="2522"/>
      <c r="DNX211" s="2522"/>
      <c r="DNY211" s="2522"/>
      <c r="DNZ211" s="2522"/>
      <c r="DOA211" s="2522"/>
      <c r="DOB211" s="2522"/>
      <c r="DOC211" s="2522"/>
      <c r="DOD211" s="2522"/>
      <c r="DOE211" s="2522"/>
      <c r="DOF211" s="2522"/>
      <c r="DOG211" s="2522"/>
      <c r="DOH211" s="2522"/>
      <c r="DOI211" s="2522"/>
      <c r="DOJ211" s="2522"/>
      <c r="DOK211" s="2522"/>
      <c r="DOL211" s="2522"/>
      <c r="DOM211" s="2522"/>
      <c r="DON211" s="2522"/>
      <c r="DOO211" s="2522"/>
      <c r="DOP211" s="2522"/>
      <c r="DOQ211" s="2522"/>
      <c r="DOR211" s="2522"/>
      <c r="DOS211" s="2522"/>
      <c r="DOT211" s="2522"/>
      <c r="DOU211" s="2522"/>
      <c r="DOV211" s="2522"/>
      <c r="DOW211" s="2522"/>
      <c r="DOX211" s="2522"/>
      <c r="DOY211" s="2522"/>
      <c r="DOZ211" s="2522"/>
      <c r="DPA211" s="2522"/>
      <c r="DPB211" s="2522"/>
      <c r="DPC211" s="2522"/>
      <c r="DPD211" s="2522"/>
      <c r="DPE211" s="2522"/>
      <c r="DPF211" s="2522"/>
      <c r="DPG211" s="2522"/>
      <c r="DPH211" s="2522"/>
      <c r="DPI211" s="2522"/>
      <c r="DPJ211" s="2522"/>
      <c r="DPK211" s="2522"/>
      <c r="DPL211" s="2522"/>
      <c r="DPM211" s="2522"/>
      <c r="DPN211" s="2522"/>
      <c r="DPO211" s="2522"/>
      <c r="DPP211" s="2522"/>
      <c r="DPQ211" s="2522"/>
      <c r="DPR211" s="2522"/>
      <c r="DPS211" s="2522"/>
      <c r="DPT211" s="2522"/>
      <c r="DPU211" s="2522"/>
      <c r="DPV211" s="2522"/>
      <c r="DPW211" s="2522"/>
      <c r="DPX211" s="2522"/>
      <c r="DPY211" s="2522"/>
      <c r="DPZ211" s="2522"/>
      <c r="DQA211" s="2522"/>
      <c r="DQB211" s="2522"/>
      <c r="DQC211" s="2522"/>
      <c r="DQD211" s="2522"/>
      <c r="DQE211" s="2522"/>
      <c r="DQF211" s="2522"/>
      <c r="DQG211" s="2522"/>
      <c r="DQH211" s="2522"/>
      <c r="DQI211" s="2522"/>
      <c r="DQJ211" s="2522"/>
      <c r="DQK211" s="2522"/>
      <c r="DQL211" s="2522"/>
      <c r="DQM211" s="2522"/>
      <c r="DQN211" s="2522"/>
      <c r="DQO211" s="2522"/>
      <c r="DQP211" s="2522"/>
      <c r="DQQ211" s="2522"/>
      <c r="DQR211" s="2522"/>
      <c r="DQS211" s="2522"/>
      <c r="DQT211" s="2522"/>
      <c r="DQU211" s="2522"/>
      <c r="DQV211" s="2522"/>
      <c r="DQW211" s="2522"/>
      <c r="DQX211" s="2522"/>
      <c r="DQY211" s="2522"/>
      <c r="DQZ211" s="2522"/>
      <c r="DRA211" s="2522"/>
      <c r="DRB211" s="2522"/>
      <c r="DRC211" s="2522"/>
      <c r="DRD211" s="2522"/>
      <c r="DRE211" s="2522"/>
      <c r="DRF211" s="2522"/>
      <c r="DRG211" s="2522"/>
      <c r="DRH211" s="2522"/>
      <c r="DRI211" s="2522"/>
      <c r="DRJ211" s="2522"/>
      <c r="DRK211" s="2522"/>
      <c r="DRL211" s="2522"/>
      <c r="DRM211" s="2522"/>
      <c r="DRN211" s="2522"/>
      <c r="DRO211" s="2522"/>
      <c r="DRP211" s="2522"/>
      <c r="DRQ211" s="2522"/>
      <c r="DRR211" s="2522"/>
      <c r="DRS211" s="2522"/>
      <c r="DRT211" s="2522"/>
      <c r="DRU211" s="2522"/>
      <c r="DRV211" s="2522"/>
      <c r="DRW211" s="2522"/>
      <c r="DRX211" s="2522"/>
      <c r="DRY211" s="2522"/>
      <c r="DRZ211" s="2522"/>
      <c r="DSA211" s="2522"/>
      <c r="DSB211" s="2522"/>
      <c r="DSC211" s="2522"/>
      <c r="DSD211" s="2522"/>
      <c r="DSE211" s="2522"/>
      <c r="DSF211" s="2522"/>
      <c r="DSG211" s="2522"/>
      <c r="DSH211" s="2522"/>
      <c r="DSI211" s="2522"/>
      <c r="DSJ211" s="2522"/>
      <c r="DSK211" s="2522"/>
      <c r="DSL211" s="2522"/>
      <c r="DSM211" s="2522"/>
      <c r="DSN211" s="2522"/>
      <c r="DSO211" s="2522"/>
      <c r="DSP211" s="2522"/>
      <c r="DSQ211" s="2522"/>
      <c r="DSR211" s="2522"/>
      <c r="DSS211" s="2522"/>
      <c r="DST211" s="2522"/>
      <c r="DSU211" s="2522"/>
      <c r="DSV211" s="2522"/>
      <c r="DSW211" s="2522"/>
      <c r="DSX211" s="2522"/>
      <c r="DSY211" s="2522"/>
      <c r="DSZ211" s="2522"/>
      <c r="DTA211" s="2522"/>
      <c r="DTB211" s="2522"/>
      <c r="DTC211" s="2522"/>
      <c r="DTD211" s="2522"/>
      <c r="DTE211" s="2522"/>
      <c r="DTF211" s="2522"/>
      <c r="DTG211" s="2522"/>
      <c r="DTH211" s="2522"/>
      <c r="DTI211" s="2522"/>
      <c r="DTJ211" s="2522"/>
      <c r="DTK211" s="2522"/>
      <c r="DTL211" s="2522"/>
      <c r="DTM211" s="2522"/>
      <c r="DTN211" s="2522"/>
      <c r="DTO211" s="2522"/>
      <c r="DTP211" s="2522"/>
      <c r="DTQ211" s="2522"/>
      <c r="DTR211" s="2522"/>
      <c r="DTS211" s="2522"/>
      <c r="DTT211" s="2522"/>
      <c r="DTU211" s="2522"/>
      <c r="DTV211" s="2522"/>
      <c r="DTW211" s="2522"/>
      <c r="DTX211" s="2522"/>
      <c r="DTY211" s="2522"/>
      <c r="DTZ211" s="2522"/>
      <c r="DUA211" s="2522"/>
      <c r="DUB211" s="2522"/>
      <c r="DUC211" s="2522"/>
      <c r="DUD211" s="2522"/>
      <c r="DUE211" s="2522"/>
      <c r="DUF211" s="2522"/>
      <c r="DUG211" s="2522"/>
      <c r="DUH211" s="2522"/>
      <c r="DUI211" s="2522"/>
      <c r="DUJ211" s="2522"/>
      <c r="DUK211" s="2522"/>
      <c r="DUL211" s="2522"/>
      <c r="DUM211" s="2522"/>
      <c r="DUN211" s="2522"/>
      <c r="DUO211" s="2522"/>
      <c r="DUP211" s="2522"/>
      <c r="DUQ211" s="2522"/>
      <c r="DUR211" s="2522"/>
      <c r="DUS211" s="2522"/>
      <c r="DUT211" s="2522"/>
      <c r="DUU211" s="2522"/>
      <c r="DUV211" s="2522"/>
      <c r="DUW211" s="2522"/>
      <c r="DUX211" s="2522"/>
      <c r="DUY211" s="2522"/>
      <c r="DUZ211" s="2522"/>
      <c r="DVA211" s="2522"/>
      <c r="DVB211" s="2522"/>
      <c r="DVC211" s="2522"/>
      <c r="DVD211" s="2522"/>
      <c r="DVE211" s="2522"/>
      <c r="DVF211" s="2522"/>
      <c r="DVG211" s="2522"/>
      <c r="DVH211" s="2522"/>
      <c r="DVI211" s="2522"/>
      <c r="DVJ211" s="2522"/>
      <c r="DVK211" s="2522"/>
      <c r="DVL211" s="2522"/>
      <c r="DVM211" s="2522"/>
      <c r="DVN211" s="2522"/>
      <c r="DVO211" s="2522"/>
      <c r="DVP211" s="2522"/>
      <c r="DVQ211" s="2522"/>
      <c r="DVR211" s="2522"/>
      <c r="DVS211" s="2522"/>
      <c r="DVT211" s="2522"/>
      <c r="DVU211" s="2522"/>
      <c r="DVV211" s="2522"/>
      <c r="DVW211" s="2522"/>
      <c r="DVX211" s="2522"/>
      <c r="DVY211" s="2522"/>
      <c r="DVZ211" s="2522"/>
      <c r="DWA211" s="2522"/>
      <c r="DWB211" s="2522"/>
      <c r="DWC211" s="2522"/>
      <c r="DWD211" s="2522"/>
      <c r="DWE211" s="2522"/>
      <c r="DWF211" s="2522"/>
      <c r="DWG211" s="2522"/>
      <c r="DWH211" s="2522"/>
      <c r="DWI211" s="2522"/>
      <c r="DWJ211" s="2522"/>
      <c r="DWK211" s="2522"/>
      <c r="DWL211" s="2522"/>
      <c r="DWM211" s="2522"/>
      <c r="DWN211" s="2522"/>
      <c r="DWO211" s="2522"/>
      <c r="DWP211" s="2522"/>
      <c r="DWQ211" s="2522"/>
      <c r="DWR211" s="2522"/>
      <c r="DWS211" s="2522"/>
      <c r="DWT211" s="2522"/>
      <c r="DWU211" s="2522"/>
      <c r="DWV211" s="2522"/>
      <c r="DWW211" s="2522"/>
      <c r="DWX211" s="2522"/>
      <c r="DWY211" s="2522"/>
      <c r="DWZ211" s="2522"/>
      <c r="DXA211" s="2522"/>
      <c r="DXB211" s="2522"/>
      <c r="DXC211" s="2522"/>
      <c r="DXD211" s="2522"/>
      <c r="DXE211" s="2522"/>
      <c r="DXF211" s="2522"/>
      <c r="DXG211" s="2522"/>
      <c r="DXH211" s="2522"/>
      <c r="DXI211" s="2522"/>
      <c r="DXJ211" s="2522"/>
      <c r="DXK211" s="2522"/>
      <c r="DXL211" s="2522"/>
      <c r="DXM211" s="2522"/>
      <c r="DXN211" s="2522"/>
      <c r="DXO211" s="2522"/>
      <c r="DXP211" s="2522"/>
      <c r="DXQ211" s="2522"/>
      <c r="DXR211" s="2522"/>
      <c r="DXS211" s="2522"/>
      <c r="DXT211" s="2522"/>
      <c r="DXU211" s="2522"/>
      <c r="DXV211" s="2522"/>
      <c r="DXW211" s="2522"/>
      <c r="DXX211" s="2522"/>
      <c r="DXY211" s="2522"/>
      <c r="DXZ211" s="2522"/>
      <c r="DYA211" s="2522"/>
      <c r="DYB211" s="2522"/>
      <c r="DYC211" s="2522"/>
      <c r="DYD211" s="2522"/>
      <c r="DYE211" s="2522"/>
      <c r="DYF211" s="2522"/>
      <c r="DYG211" s="2522"/>
      <c r="DYH211" s="2522"/>
      <c r="DYI211" s="2522"/>
      <c r="DYJ211" s="2522"/>
      <c r="DYK211" s="2522"/>
      <c r="DYL211" s="2522"/>
      <c r="DYM211" s="2522"/>
      <c r="DYN211" s="2522"/>
      <c r="DYO211" s="2522"/>
      <c r="DYP211" s="2522"/>
      <c r="DYQ211" s="2522"/>
      <c r="DYR211" s="2522"/>
      <c r="DYS211" s="2522"/>
      <c r="DYT211" s="2522"/>
      <c r="DYU211" s="2522"/>
      <c r="DYV211" s="2522"/>
      <c r="DYW211" s="2522"/>
      <c r="DYX211" s="2522"/>
      <c r="DYY211" s="2522"/>
      <c r="DYZ211" s="2522"/>
      <c r="DZA211" s="2522"/>
      <c r="DZB211" s="2522"/>
      <c r="DZC211" s="2522"/>
      <c r="DZD211" s="2522"/>
      <c r="DZE211" s="2522"/>
      <c r="DZF211" s="2522"/>
      <c r="DZG211" s="2522"/>
      <c r="DZH211" s="2522"/>
      <c r="DZI211" s="2522"/>
      <c r="DZJ211" s="2522"/>
      <c r="DZK211" s="2522"/>
      <c r="DZL211" s="2522"/>
      <c r="DZM211" s="2522"/>
      <c r="DZN211" s="2522"/>
      <c r="DZO211" s="2522"/>
      <c r="DZP211" s="2522"/>
      <c r="DZQ211" s="2522"/>
      <c r="DZR211" s="2522"/>
      <c r="DZS211" s="2522"/>
      <c r="DZT211" s="2522"/>
      <c r="DZU211" s="2522"/>
      <c r="DZV211" s="2522"/>
      <c r="DZW211" s="2522"/>
      <c r="DZX211" s="2522"/>
      <c r="DZY211" s="2522"/>
      <c r="DZZ211" s="2522"/>
      <c r="EAA211" s="2522"/>
      <c r="EAB211" s="2522"/>
      <c r="EAC211" s="2522"/>
      <c r="EAD211" s="2522"/>
      <c r="EAE211" s="2522"/>
      <c r="EAF211" s="2522"/>
      <c r="EAG211" s="2522"/>
      <c r="EAH211" s="2522"/>
      <c r="EAI211" s="2522"/>
      <c r="EAJ211" s="2522"/>
      <c r="EAK211" s="2522"/>
      <c r="EAL211" s="2522"/>
      <c r="EAM211" s="2522"/>
      <c r="EAN211" s="2522"/>
      <c r="EAO211" s="2522"/>
      <c r="EAP211" s="2522"/>
      <c r="EAQ211" s="2522"/>
      <c r="EAR211" s="2522"/>
      <c r="EAS211" s="2522"/>
      <c r="EAT211" s="2522"/>
      <c r="EAU211" s="2522"/>
      <c r="EAV211" s="2522"/>
      <c r="EAW211" s="2522"/>
      <c r="EAX211" s="2522"/>
      <c r="EAY211" s="2522"/>
      <c r="EAZ211" s="2522"/>
      <c r="EBA211" s="2522"/>
      <c r="EBB211" s="2522"/>
      <c r="EBC211" s="2522"/>
      <c r="EBD211" s="2522"/>
      <c r="EBE211" s="2522"/>
      <c r="EBF211" s="2522"/>
      <c r="EBG211" s="2522"/>
      <c r="EBH211" s="2522"/>
      <c r="EBI211" s="2522"/>
      <c r="EBJ211" s="2522"/>
      <c r="EBK211" s="2522"/>
      <c r="EBL211" s="2522"/>
      <c r="EBM211" s="2522"/>
      <c r="EBN211" s="2522"/>
      <c r="EBO211" s="2522"/>
      <c r="EBP211" s="2522"/>
      <c r="EBQ211" s="2522"/>
      <c r="EBR211" s="2522"/>
      <c r="EBS211" s="2522"/>
      <c r="EBT211" s="2522"/>
      <c r="EBU211" s="2522"/>
      <c r="EBV211" s="2522"/>
      <c r="EBW211" s="2522"/>
      <c r="EBX211" s="2522"/>
      <c r="EBY211" s="2522"/>
      <c r="EBZ211" s="2522"/>
      <c r="ECA211" s="2522"/>
      <c r="ECB211" s="2522"/>
      <c r="ECC211" s="2522"/>
      <c r="ECD211" s="2522"/>
      <c r="ECE211" s="2522"/>
      <c r="ECF211" s="2522"/>
      <c r="ECG211" s="2522"/>
      <c r="ECH211" s="2522"/>
      <c r="ECI211" s="2522"/>
      <c r="ECJ211" s="2522"/>
      <c r="ECK211" s="2522"/>
      <c r="ECL211" s="2522"/>
      <c r="ECM211" s="2522"/>
      <c r="ECN211" s="2522"/>
      <c r="ECO211" s="2522"/>
      <c r="ECP211" s="2522"/>
      <c r="ECQ211" s="2522"/>
      <c r="ECR211" s="2522"/>
      <c r="ECS211" s="2522"/>
      <c r="ECT211" s="2522"/>
      <c r="ECU211" s="2522"/>
      <c r="ECV211" s="2522"/>
      <c r="ECW211" s="2522"/>
      <c r="ECX211" s="2522"/>
      <c r="ECY211" s="2522"/>
      <c r="ECZ211" s="2522"/>
      <c r="EDA211" s="2522"/>
      <c r="EDB211" s="2522"/>
      <c r="EDC211" s="2522"/>
      <c r="EDD211" s="2522"/>
      <c r="EDE211" s="2522"/>
      <c r="EDF211" s="2522"/>
      <c r="EDG211" s="2522"/>
      <c r="EDH211" s="2522"/>
      <c r="EDI211" s="2522"/>
      <c r="EDJ211" s="2522"/>
      <c r="EDK211" s="2522"/>
      <c r="EDL211" s="2522"/>
      <c r="EDM211" s="2522"/>
      <c r="EDN211" s="2522"/>
      <c r="EDO211" s="2522"/>
      <c r="EDP211" s="2522"/>
      <c r="EDQ211" s="2522"/>
      <c r="EDR211" s="2522"/>
      <c r="EDS211" s="2522"/>
      <c r="EDT211" s="2522"/>
      <c r="EDU211" s="2522"/>
      <c r="EDV211" s="2522"/>
      <c r="EDW211" s="2522"/>
      <c r="EDX211" s="2522"/>
      <c r="EDY211" s="2522"/>
      <c r="EDZ211" s="2522"/>
      <c r="EEA211" s="2522"/>
      <c r="EEB211" s="2522"/>
      <c r="EEC211" s="2522"/>
      <c r="EED211" s="2522"/>
      <c r="EEE211" s="2522"/>
      <c r="EEF211" s="2522"/>
      <c r="EEG211" s="2522"/>
      <c r="EEH211" s="2522"/>
      <c r="EEI211" s="2522"/>
      <c r="EEJ211" s="2522"/>
      <c r="EEK211" s="2522"/>
      <c r="EEL211" s="2522"/>
      <c r="EEM211" s="2522"/>
      <c r="EEN211" s="2522"/>
      <c r="EEO211" s="2522"/>
      <c r="EEP211" s="2522"/>
      <c r="EEQ211" s="2522"/>
      <c r="EER211" s="2522"/>
      <c r="EES211" s="2522"/>
      <c r="EET211" s="2522"/>
      <c r="EEU211" s="2522"/>
      <c r="EEV211" s="2522"/>
      <c r="EEW211" s="2522"/>
      <c r="EEX211" s="2522"/>
      <c r="EEY211" s="2522"/>
      <c r="EEZ211" s="2522"/>
      <c r="EFA211" s="2522"/>
      <c r="EFB211" s="2522"/>
      <c r="EFC211" s="2522"/>
      <c r="EFD211" s="2522"/>
      <c r="EFE211" s="2522"/>
      <c r="EFF211" s="2522"/>
      <c r="EFG211" s="2522"/>
      <c r="EFH211" s="2522"/>
      <c r="EFI211" s="2522"/>
      <c r="EFJ211" s="2522"/>
      <c r="EFK211" s="2522"/>
      <c r="EFL211" s="2522"/>
      <c r="EFM211" s="2522"/>
      <c r="EFN211" s="2522"/>
      <c r="EFO211" s="2522"/>
      <c r="EFP211" s="2522"/>
      <c r="EFQ211" s="2522"/>
      <c r="EFR211" s="2522"/>
      <c r="EFS211" s="2522"/>
      <c r="EFT211" s="2522"/>
      <c r="EFU211" s="2522"/>
      <c r="EFV211" s="2522"/>
      <c r="EFW211" s="2522"/>
      <c r="EFX211" s="2522"/>
      <c r="EFY211" s="2522"/>
      <c r="EFZ211" s="2522"/>
      <c r="EGA211" s="2522"/>
      <c r="EGB211" s="2522"/>
      <c r="EGC211" s="2522"/>
      <c r="EGD211" s="2522"/>
      <c r="EGE211" s="2522"/>
      <c r="EGF211" s="2522"/>
      <c r="EGG211" s="2522"/>
      <c r="EGH211" s="2522"/>
      <c r="EGI211" s="2522"/>
      <c r="EGJ211" s="2522"/>
      <c r="EGK211" s="2522"/>
      <c r="EGL211" s="2522"/>
      <c r="EGM211" s="2522"/>
      <c r="EGN211" s="2522"/>
      <c r="EGO211" s="2522"/>
      <c r="EGP211" s="2522"/>
      <c r="EGQ211" s="2522"/>
      <c r="EGR211" s="2522"/>
      <c r="EGS211" s="2522"/>
      <c r="EGT211" s="2522"/>
      <c r="EGU211" s="2522"/>
      <c r="EGV211" s="2522"/>
      <c r="EGW211" s="2522"/>
      <c r="EGX211" s="2522"/>
      <c r="EGY211" s="2522"/>
      <c r="EGZ211" s="2522"/>
      <c r="EHA211" s="2522"/>
      <c r="EHB211" s="2522"/>
      <c r="EHC211" s="2522"/>
      <c r="EHD211" s="2522"/>
      <c r="EHE211" s="2522"/>
      <c r="EHF211" s="2522"/>
      <c r="EHG211" s="2522"/>
      <c r="EHH211" s="2522"/>
      <c r="EHI211" s="2522"/>
      <c r="EHJ211" s="2522"/>
      <c r="EHK211" s="2522"/>
      <c r="EHL211" s="2522"/>
      <c r="EHM211" s="2522"/>
      <c r="EHN211" s="2522"/>
      <c r="EHO211" s="2522"/>
      <c r="EHP211" s="2522"/>
      <c r="EHQ211" s="2522"/>
      <c r="EHR211" s="2522"/>
      <c r="EHS211" s="2522"/>
      <c r="EHT211" s="2522"/>
      <c r="EHU211" s="2522"/>
      <c r="EHV211" s="2522"/>
      <c r="EHW211" s="2522"/>
      <c r="EHX211" s="2522"/>
      <c r="EHY211" s="2522"/>
      <c r="EHZ211" s="2522"/>
      <c r="EIA211" s="2522"/>
      <c r="EIB211" s="2522"/>
      <c r="EIC211" s="2522"/>
      <c r="EID211" s="2522"/>
      <c r="EIE211" s="2522"/>
      <c r="EIF211" s="2522"/>
      <c r="EIG211" s="2522"/>
      <c r="EIH211" s="2522"/>
      <c r="EII211" s="2522"/>
      <c r="EIJ211" s="2522"/>
      <c r="EIK211" s="2522"/>
      <c r="EIL211" s="2522"/>
      <c r="EIM211" s="2522"/>
      <c r="EIN211" s="2522"/>
      <c r="EIO211" s="2522"/>
      <c r="EIP211" s="2522"/>
      <c r="EIQ211" s="2522"/>
      <c r="EIR211" s="2522"/>
      <c r="EIS211" s="2522"/>
      <c r="EIT211" s="2522"/>
      <c r="EIU211" s="2522"/>
      <c r="EIV211" s="2522"/>
      <c r="EIW211" s="2522"/>
      <c r="EIX211" s="2522"/>
      <c r="EIY211" s="2522"/>
      <c r="EIZ211" s="2522"/>
      <c r="EJA211" s="2522"/>
      <c r="EJB211" s="2522"/>
      <c r="EJC211" s="2522"/>
      <c r="EJD211" s="2522"/>
      <c r="EJE211" s="2522"/>
      <c r="EJF211" s="2522"/>
      <c r="EJG211" s="2522"/>
      <c r="EJH211" s="2522"/>
      <c r="EJI211" s="2522"/>
      <c r="EJJ211" s="2522"/>
      <c r="EJK211" s="2522"/>
      <c r="EJL211" s="2522"/>
      <c r="EJM211" s="2522"/>
      <c r="EJN211" s="2522"/>
      <c r="EJO211" s="2522"/>
      <c r="EJP211" s="2522"/>
      <c r="EJQ211" s="2522"/>
      <c r="EJR211" s="2522"/>
      <c r="EJS211" s="2522"/>
      <c r="EJT211" s="2522"/>
      <c r="EJU211" s="2522"/>
      <c r="EJV211" s="2522"/>
      <c r="EJW211" s="2522"/>
      <c r="EJX211" s="2522"/>
      <c r="EJY211" s="2522"/>
      <c r="EJZ211" s="2522"/>
      <c r="EKA211" s="2522"/>
      <c r="EKB211" s="2522"/>
      <c r="EKC211" s="2522"/>
      <c r="EKD211" s="2522"/>
      <c r="EKE211" s="2522"/>
      <c r="EKF211" s="2522"/>
      <c r="EKG211" s="2522"/>
      <c r="EKH211" s="2522"/>
      <c r="EKI211" s="2522"/>
      <c r="EKJ211" s="2522"/>
      <c r="EKK211" s="2522"/>
      <c r="EKL211" s="2522"/>
      <c r="EKM211" s="2522"/>
      <c r="EKN211" s="2522"/>
      <c r="EKO211" s="2522"/>
      <c r="EKP211" s="2522"/>
      <c r="EKQ211" s="2522"/>
      <c r="EKR211" s="2522"/>
      <c r="EKS211" s="2522"/>
      <c r="EKT211" s="2522"/>
      <c r="EKU211" s="2522"/>
      <c r="EKV211" s="2522"/>
      <c r="EKW211" s="2522"/>
      <c r="EKX211" s="2522"/>
      <c r="EKY211" s="2522"/>
      <c r="EKZ211" s="2522"/>
      <c r="ELA211" s="2522"/>
      <c r="ELB211" s="2522"/>
      <c r="ELC211" s="2522"/>
      <c r="ELD211" s="2522"/>
      <c r="ELE211" s="2522"/>
      <c r="ELF211" s="2522"/>
      <c r="ELG211" s="2522"/>
      <c r="ELH211" s="2522"/>
      <c r="ELI211" s="2522"/>
      <c r="ELJ211" s="2522"/>
      <c r="ELK211" s="2522"/>
      <c r="ELL211" s="2522"/>
      <c r="ELM211" s="2522"/>
      <c r="ELN211" s="2522"/>
      <c r="ELO211" s="2522"/>
      <c r="ELP211" s="2522"/>
      <c r="ELQ211" s="2522"/>
      <c r="ELR211" s="2522"/>
      <c r="ELS211" s="2522"/>
      <c r="ELT211" s="2522"/>
      <c r="ELU211" s="2522"/>
      <c r="ELV211" s="2522"/>
      <c r="ELW211" s="2522"/>
      <c r="ELX211" s="2522"/>
      <c r="ELY211" s="2522"/>
      <c r="ELZ211" s="2522"/>
      <c r="EMA211" s="2522"/>
      <c r="EMB211" s="2522"/>
      <c r="EMC211" s="2522"/>
      <c r="EMD211" s="2522"/>
      <c r="EME211" s="2522"/>
      <c r="EMF211" s="2522"/>
      <c r="EMG211" s="2522"/>
      <c r="EMH211" s="2522"/>
      <c r="EMI211" s="2522"/>
      <c r="EMJ211" s="2522"/>
      <c r="EMK211" s="2522"/>
      <c r="EML211" s="2522"/>
      <c r="EMM211" s="2522"/>
      <c r="EMN211" s="2522"/>
      <c r="EMO211" s="2522"/>
      <c r="EMP211" s="2522"/>
      <c r="EMQ211" s="2522"/>
      <c r="EMR211" s="2522"/>
      <c r="EMS211" s="2522"/>
      <c r="EMT211" s="2522"/>
      <c r="EMU211" s="2522"/>
      <c r="EMV211" s="2522"/>
      <c r="EMW211" s="2522"/>
      <c r="EMX211" s="2522"/>
      <c r="EMY211" s="2522"/>
      <c r="EMZ211" s="2522"/>
      <c r="ENA211" s="2522"/>
      <c r="ENB211" s="2522"/>
      <c r="ENC211" s="2522"/>
      <c r="END211" s="2522"/>
      <c r="ENE211" s="2522"/>
      <c r="ENF211" s="2522"/>
      <c r="ENG211" s="2522"/>
      <c r="ENH211" s="2522"/>
      <c r="ENI211" s="2522"/>
      <c r="ENJ211" s="2522"/>
      <c r="ENK211" s="2522"/>
      <c r="ENL211" s="2522"/>
      <c r="ENM211" s="2522"/>
      <c r="ENN211" s="2522"/>
      <c r="ENO211" s="2522"/>
      <c r="ENP211" s="2522"/>
      <c r="ENQ211" s="2522"/>
      <c r="ENR211" s="2522"/>
      <c r="ENS211" s="2522"/>
      <c r="ENT211" s="2522"/>
      <c r="ENU211" s="2522"/>
      <c r="ENV211" s="2522"/>
      <c r="ENW211" s="2522"/>
      <c r="ENX211" s="2522"/>
      <c r="ENY211" s="2522"/>
      <c r="ENZ211" s="2522"/>
      <c r="EOA211" s="2522"/>
      <c r="EOB211" s="2522"/>
      <c r="EOC211" s="2522"/>
      <c r="EOD211" s="2522"/>
      <c r="EOE211" s="2522"/>
      <c r="EOF211" s="2522"/>
      <c r="EOG211" s="2522"/>
      <c r="EOH211" s="2522"/>
      <c r="EOI211" s="2522"/>
      <c r="EOJ211" s="2522"/>
      <c r="EOK211" s="2522"/>
      <c r="EOL211" s="2522"/>
      <c r="EOM211" s="2522"/>
      <c r="EON211" s="2522"/>
      <c r="EOO211" s="2522"/>
      <c r="EOP211" s="2522"/>
      <c r="EOQ211" s="2522"/>
      <c r="EOR211" s="2522"/>
      <c r="EOS211" s="2522"/>
      <c r="EOT211" s="2522"/>
      <c r="EOU211" s="2522"/>
      <c r="EOV211" s="2522"/>
      <c r="EOW211" s="2522"/>
      <c r="EOX211" s="2522"/>
      <c r="EOY211" s="2522"/>
      <c r="EOZ211" s="2522"/>
      <c r="EPA211" s="2522"/>
      <c r="EPB211" s="2522"/>
      <c r="EPC211" s="2522"/>
      <c r="EPD211" s="2522"/>
      <c r="EPE211" s="2522"/>
      <c r="EPF211" s="2522"/>
      <c r="EPG211" s="2522"/>
      <c r="EPH211" s="2522"/>
      <c r="EPI211" s="2522"/>
      <c r="EPJ211" s="2522"/>
      <c r="EPK211" s="2522"/>
      <c r="EPL211" s="2522"/>
      <c r="EPM211" s="2522"/>
      <c r="EPN211" s="2522"/>
      <c r="EPO211" s="2522"/>
      <c r="EPP211" s="2522"/>
      <c r="EPQ211" s="2522"/>
      <c r="EPR211" s="2522"/>
      <c r="EPS211" s="2522"/>
      <c r="EPT211" s="2522"/>
      <c r="EPU211" s="2522"/>
      <c r="EPV211" s="2522"/>
      <c r="EPW211" s="2522"/>
      <c r="EPX211" s="2522"/>
      <c r="EPY211" s="2522"/>
      <c r="EPZ211" s="2522"/>
      <c r="EQA211" s="2522"/>
      <c r="EQB211" s="2522"/>
      <c r="EQC211" s="2522"/>
      <c r="EQD211" s="2522"/>
      <c r="EQE211" s="2522"/>
      <c r="EQF211" s="2522"/>
      <c r="EQG211" s="2522"/>
      <c r="EQH211" s="2522"/>
      <c r="EQI211" s="2522"/>
      <c r="EQJ211" s="2522"/>
      <c r="EQK211" s="2522"/>
      <c r="EQL211" s="2522"/>
      <c r="EQM211" s="2522"/>
      <c r="EQN211" s="2522"/>
      <c r="EQO211" s="2522"/>
      <c r="EQP211" s="2522"/>
      <c r="EQQ211" s="2522"/>
      <c r="EQR211" s="2522"/>
      <c r="EQS211" s="2522"/>
      <c r="EQT211" s="2522"/>
      <c r="EQU211" s="2522"/>
      <c r="EQV211" s="2522"/>
      <c r="EQW211" s="2522"/>
      <c r="EQX211" s="2522"/>
      <c r="EQY211" s="2522"/>
      <c r="EQZ211" s="2522"/>
      <c r="ERA211" s="2522"/>
      <c r="ERB211" s="2522"/>
      <c r="ERC211" s="2522"/>
      <c r="ERD211" s="2522"/>
      <c r="ERE211" s="2522"/>
      <c r="ERF211" s="2522"/>
      <c r="ERG211" s="2522"/>
      <c r="ERH211" s="2522"/>
      <c r="ERI211" s="2522"/>
      <c r="ERJ211" s="2522"/>
      <c r="ERK211" s="2522"/>
      <c r="ERL211" s="2522"/>
      <c r="ERM211" s="2522"/>
      <c r="ERN211" s="2522"/>
      <c r="ERO211" s="2522"/>
      <c r="ERP211" s="2522"/>
      <c r="ERQ211" s="2522"/>
      <c r="ERR211" s="2522"/>
      <c r="ERS211" s="2522"/>
      <c r="ERT211" s="2522"/>
      <c r="ERU211" s="2522"/>
      <c r="ERV211" s="2522"/>
      <c r="ERW211" s="2522"/>
      <c r="ERX211" s="2522"/>
      <c r="ERY211" s="2522"/>
      <c r="ERZ211" s="2522"/>
      <c r="ESA211" s="2522"/>
      <c r="ESB211" s="2522"/>
      <c r="ESC211" s="2522"/>
      <c r="ESD211" s="2522"/>
      <c r="ESE211" s="2522"/>
      <c r="ESF211" s="2522"/>
      <c r="ESG211" s="2522"/>
      <c r="ESH211" s="2522"/>
      <c r="ESI211" s="2522"/>
      <c r="ESJ211" s="2522"/>
      <c r="ESK211" s="2522"/>
      <c r="ESL211" s="2522"/>
      <c r="ESM211" s="2522"/>
      <c r="ESN211" s="2522"/>
      <c r="ESO211" s="2522"/>
      <c r="ESP211" s="2522"/>
      <c r="ESQ211" s="2522"/>
      <c r="ESR211" s="2522"/>
      <c r="ESS211" s="2522"/>
      <c r="EST211" s="2522"/>
      <c r="ESU211" s="2522"/>
      <c r="ESV211" s="2522"/>
      <c r="ESW211" s="2522"/>
      <c r="ESX211" s="2522"/>
      <c r="ESY211" s="2522"/>
      <c r="ESZ211" s="2522"/>
      <c r="ETA211" s="2522"/>
      <c r="ETB211" s="2522"/>
      <c r="ETC211" s="2522"/>
      <c r="ETD211" s="2522"/>
      <c r="ETE211" s="2522"/>
      <c r="ETF211" s="2522"/>
      <c r="ETG211" s="2522"/>
      <c r="ETH211" s="2522"/>
      <c r="ETI211" s="2522"/>
      <c r="ETJ211" s="2522"/>
      <c r="ETK211" s="2522"/>
      <c r="ETL211" s="2522"/>
      <c r="ETM211" s="2522"/>
      <c r="ETN211" s="2522"/>
      <c r="ETO211" s="2522"/>
      <c r="ETP211" s="2522"/>
      <c r="ETQ211" s="2522"/>
      <c r="ETR211" s="2522"/>
      <c r="ETS211" s="2522"/>
      <c r="ETT211" s="2522"/>
      <c r="ETU211" s="2522"/>
      <c r="ETV211" s="2522"/>
      <c r="ETW211" s="2522"/>
      <c r="ETX211" s="2522"/>
      <c r="ETY211" s="2522"/>
      <c r="ETZ211" s="2522"/>
      <c r="EUA211" s="2522"/>
      <c r="EUB211" s="2522"/>
      <c r="EUC211" s="2522"/>
      <c r="EUD211" s="2522"/>
      <c r="EUE211" s="2522"/>
      <c r="EUF211" s="2522"/>
      <c r="EUG211" s="2522"/>
      <c r="EUH211" s="2522"/>
      <c r="EUI211" s="2522"/>
      <c r="EUJ211" s="2522"/>
      <c r="EUK211" s="2522"/>
      <c r="EUL211" s="2522"/>
      <c r="EUM211" s="2522"/>
      <c r="EUN211" s="2522"/>
      <c r="EUO211" s="2522"/>
      <c r="EUP211" s="2522"/>
      <c r="EUQ211" s="2522"/>
      <c r="EUR211" s="2522"/>
      <c r="EUS211" s="2522"/>
      <c r="EUT211" s="2522"/>
      <c r="EUU211" s="2522"/>
      <c r="EUV211" s="2522"/>
      <c r="EUW211" s="2522"/>
      <c r="EUX211" s="2522"/>
      <c r="EUY211" s="2522"/>
      <c r="EUZ211" s="2522"/>
      <c r="EVA211" s="2522"/>
      <c r="EVB211" s="2522"/>
      <c r="EVC211" s="2522"/>
      <c r="EVD211" s="2522"/>
      <c r="EVE211" s="2522"/>
      <c r="EVF211" s="2522"/>
      <c r="EVG211" s="2522"/>
      <c r="EVH211" s="2522"/>
      <c r="EVI211" s="2522"/>
      <c r="EVJ211" s="2522"/>
      <c r="EVK211" s="2522"/>
      <c r="EVL211" s="2522"/>
      <c r="EVM211" s="2522"/>
      <c r="EVN211" s="2522"/>
      <c r="EVO211" s="2522"/>
      <c r="EVP211" s="2522"/>
      <c r="EVQ211" s="2522"/>
      <c r="EVR211" s="2522"/>
      <c r="EVS211" s="2522"/>
      <c r="EVT211" s="2522"/>
      <c r="EVU211" s="2522"/>
      <c r="EVV211" s="2522"/>
      <c r="EVW211" s="2522"/>
      <c r="EVX211" s="2522"/>
      <c r="EVY211" s="2522"/>
      <c r="EVZ211" s="2522"/>
      <c r="EWA211" s="2522"/>
      <c r="EWB211" s="2522"/>
      <c r="EWC211" s="2522"/>
      <c r="EWD211" s="2522"/>
      <c r="EWE211" s="2522"/>
      <c r="EWF211" s="2522"/>
      <c r="EWG211" s="2522"/>
      <c r="EWH211" s="2522"/>
      <c r="EWI211" s="2522"/>
      <c r="EWJ211" s="2522"/>
      <c r="EWK211" s="2522"/>
      <c r="EWL211" s="2522"/>
      <c r="EWM211" s="2522"/>
      <c r="EWN211" s="2522"/>
      <c r="EWO211" s="2522"/>
      <c r="EWP211" s="2522"/>
      <c r="EWQ211" s="2522"/>
      <c r="EWR211" s="2522"/>
      <c r="EWS211" s="2522"/>
      <c r="EWT211" s="2522"/>
      <c r="EWU211" s="2522"/>
      <c r="EWV211" s="2522"/>
      <c r="EWW211" s="2522"/>
      <c r="EWX211" s="2522"/>
      <c r="EWY211" s="2522"/>
      <c r="EWZ211" s="2522"/>
      <c r="EXA211" s="2522"/>
      <c r="EXB211" s="2522"/>
      <c r="EXC211" s="2522"/>
      <c r="EXD211" s="2522"/>
      <c r="EXE211" s="2522"/>
      <c r="EXF211" s="2522"/>
      <c r="EXG211" s="2522"/>
      <c r="EXH211" s="2522"/>
      <c r="EXI211" s="2522"/>
      <c r="EXJ211" s="2522"/>
      <c r="EXK211" s="2522"/>
      <c r="EXL211" s="2522"/>
      <c r="EXM211" s="2522"/>
      <c r="EXN211" s="2522"/>
      <c r="EXO211" s="2522"/>
      <c r="EXP211" s="2522"/>
      <c r="EXQ211" s="2522"/>
      <c r="EXR211" s="2522"/>
      <c r="EXS211" s="2522"/>
      <c r="EXT211" s="2522"/>
      <c r="EXU211" s="2522"/>
      <c r="EXV211" s="2522"/>
      <c r="EXW211" s="2522"/>
      <c r="EXX211" s="2522"/>
      <c r="EXY211" s="2522"/>
      <c r="EXZ211" s="2522"/>
      <c r="EYA211" s="2522"/>
      <c r="EYB211" s="2522"/>
      <c r="EYC211" s="2522"/>
      <c r="EYD211" s="2522"/>
      <c r="EYE211" s="2522"/>
      <c r="EYF211" s="2522"/>
      <c r="EYG211" s="2522"/>
      <c r="EYH211" s="2522"/>
      <c r="EYI211" s="2522"/>
      <c r="EYJ211" s="2522"/>
      <c r="EYK211" s="2522"/>
      <c r="EYL211" s="2522"/>
      <c r="EYM211" s="2522"/>
      <c r="EYN211" s="2522"/>
      <c r="EYO211" s="2522"/>
      <c r="EYP211" s="2522"/>
      <c r="EYQ211" s="2522"/>
      <c r="EYR211" s="2522"/>
      <c r="EYS211" s="2522"/>
      <c r="EYT211" s="2522"/>
      <c r="EYU211" s="2522"/>
      <c r="EYV211" s="2522"/>
      <c r="EYW211" s="2522"/>
      <c r="EYX211" s="2522"/>
      <c r="EYY211" s="2522"/>
      <c r="EYZ211" s="2522"/>
      <c r="EZA211" s="2522"/>
      <c r="EZB211" s="2522"/>
      <c r="EZC211" s="2522"/>
      <c r="EZD211" s="2522"/>
      <c r="EZE211" s="2522"/>
      <c r="EZF211" s="2522"/>
      <c r="EZG211" s="2522"/>
      <c r="EZH211" s="2522"/>
      <c r="EZI211" s="2522"/>
      <c r="EZJ211" s="2522"/>
      <c r="EZK211" s="2522"/>
      <c r="EZL211" s="2522"/>
      <c r="EZM211" s="2522"/>
      <c r="EZN211" s="2522"/>
      <c r="EZO211" s="2522"/>
      <c r="EZP211" s="2522"/>
      <c r="EZQ211" s="2522"/>
      <c r="EZR211" s="2522"/>
      <c r="EZS211" s="2522"/>
      <c r="EZT211" s="2522"/>
      <c r="EZU211" s="2522"/>
      <c r="EZV211" s="2522"/>
      <c r="EZW211" s="2522"/>
      <c r="EZX211" s="2522"/>
      <c r="EZY211" s="2522"/>
      <c r="EZZ211" s="2522"/>
      <c r="FAA211" s="2522"/>
      <c r="FAB211" s="2522"/>
      <c r="FAC211" s="2522"/>
      <c r="FAD211" s="2522"/>
      <c r="FAE211" s="2522"/>
      <c r="FAF211" s="2522"/>
      <c r="FAG211" s="2522"/>
      <c r="FAH211" s="2522"/>
      <c r="FAI211" s="2522"/>
      <c r="FAJ211" s="2522"/>
      <c r="FAK211" s="2522"/>
      <c r="FAL211" s="2522"/>
      <c r="FAM211" s="2522"/>
      <c r="FAN211" s="2522"/>
      <c r="FAO211" s="2522"/>
      <c r="FAP211" s="2522"/>
      <c r="FAQ211" s="2522"/>
      <c r="FAR211" s="2522"/>
      <c r="FAS211" s="2522"/>
      <c r="FAT211" s="2522"/>
      <c r="FAU211" s="2522"/>
      <c r="FAV211" s="2522"/>
      <c r="FAW211" s="2522"/>
      <c r="FAX211" s="2522"/>
      <c r="FAY211" s="2522"/>
      <c r="FAZ211" s="2522"/>
      <c r="FBA211" s="2522"/>
      <c r="FBB211" s="2522"/>
      <c r="FBC211" s="2522"/>
      <c r="FBD211" s="2522"/>
      <c r="FBE211" s="2522"/>
      <c r="FBF211" s="2522"/>
      <c r="FBG211" s="2522"/>
      <c r="FBH211" s="2522"/>
      <c r="FBI211" s="2522"/>
      <c r="FBJ211" s="2522"/>
      <c r="FBK211" s="2522"/>
      <c r="FBL211" s="2522"/>
      <c r="FBM211" s="2522"/>
      <c r="FBN211" s="2522"/>
      <c r="FBO211" s="2522"/>
      <c r="FBP211" s="2522"/>
      <c r="FBQ211" s="2522"/>
      <c r="FBR211" s="2522"/>
      <c r="FBS211" s="2522"/>
      <c r="FBT211" s="2522"/>
      <c r="FBU211" s="2522"/>
      <c r="FBV211" s="2522"/>
      <c r="FBW211" s="2522"/>
      <c r="FBX211" s="2522"/>
      <c r="FBY211" s="2522"/>
      <c r="FBZ211" s="2522"/>
      <c r="FCA211" s="2522"/>
      <c r="FCB211" s="2522"/>
      <c r="FCC211" s="2522"/>
      <c r="FCD211" s="2522"/>
      <c r="FCE211" s="2522"/>
      <c r="FCF211" s="2522"/>
      <c r="FCG211" s="2522"/>
      <c r="FCH211" s="2522"/>
      <c r="FCI211" s="2522"/>
      <c r="FCJ211" s="2522"/>
      <c r="FCK211" s="2522"/>
      <c r="FCL211" s="2522"/>
      <c r="FCM211" s="2522"/>
      <c r="FCN211" s="2522"/>
      <c r="FCO211" s="2522"/>
      <c r="FCP211" s="2522"/>
      <c r="FCQ211" s="2522"/>
      <c r="FCR211" s="2522"/>
      <c r="FCS211" s="2522"/>
      <c r="FCT211" s="2522"/>
      <c r="FCU211" s="2522"/>
      <c r="FCV211" s="2522"/>
      <c r="FCW211" s="2522"/>
      <c r="FCX211" s="2522"/>
      <c r="FCY211" s="2522"/>
      <c r="FCZ211" s="2522"/>
      <c r="FDA211" s="2522"/>
      <c r="FDB211" s="2522"/>
      <c r="FDC211" s="2522"/>
      <c r="FDD211" s="2522"/>
      <c r="FDE211" s="2522"/>
      <c r="FDF211" s="2522"/>
      <c r="FDG211" s="2522"/>
      <c r="FDH211" s="2522"/>
      <c r="FDI211" s="2522"/>
      <c r="FDJ211" s="2522"/>
      <c r="FDK211" s="2522"/>
      <c r="FDL211" s="2522"/>
      <c r="FDM211" s="2522"/>
      <c r="FDN211" s="2522"/>
      <c r="FDO211" s="2522"/>
      <c r="FDP211" s="2522"/>
      <c r="FDQ211" s="2522"/>
      <c r="FDR211" s="2522"/>
      <c r="FDS211" s="2522"/>
      <c r="FDT211" s="2522"/>
      <c r="FDU211" s="2522"/>
      <c r="FDV211" s="2522"/>
      <c r="FDW211" s="2522"/>
      <c r="FDX211" s="2522"/>
      <c r="FDY211" s="2522"/>
      <c r="FDZ211" s="2522"/>
      <c r="FEA211" s="2522"/>
      <c r="FEB211" s="2522"/>
      <c r="FEC211" s="2522"/>
      <c r="FED211" s="2522"/>
      <c r="FEE211" s="2522"/>
      <c r="FEF211" s="2522"/>
      <c r="FEG211" s="2522"/>
      <c r="FEH211" s="2522"/>
      <c r="FEI211" s="2522"/>
      <c r="FEJ211" s="2522"/>
      <c r="FEK211" s="2522"/>
      <c r="FEL211" s="2522"/>
      <c r="FEM211" s="2522"/>
      <c r="FEN211" s="2522"/>
      <c r="FEO211" s="2522"/>
      <c r="FEP211" s="2522"/>
      <c r="FEQ211" s="2522"/>
      <c r="FER211" s="2522"/>
      <c r="FES211" s="2522"/>
      <c r="FET211" s="2522"/>
      <c r="FEU211" s="2522"/>
      <c r="FEV211" s="2522"/>
      <c r="FEW211" s="2522"/>
      <c r="FEX211" s="2522"/>
      <c r="FEY211" s="2522"/>
      <c r="FEZ211" s="2522"/>
      <c r="FFA211" s="2522"/>
      <c r="FFB211" s="2522"/>
      <c r="FFC211" s="2522"/>
      <c r="FFD211" s="2522"/>
      <c r="FFE211" s="2522"/>
      <c r="FFF211" s="2522"/>
      <c r="FFG211" s="2522"/>
      <c r="FFH211" s="2522"/>
      <c r="FFI211" s="2522"/>
      <c r="FFJ211" s="2522"/>
      <c r="FFK211" s="2522"/>
      <c r="FFL211" s="2522"/>
      <c r="FFM211" s="2522"/>
      <c r="FFN211" s="2522"/>
      <c r="FFO211" s="2522"/>
      <c r="FFP211" s="2522"/>
      <c r="FFQ211" s="2522"/>
      <c r="FFR211" s="2522"/>
      <c r="FFS211" s="2522"/>
      <c r="FFT211" s="2522"/>
      <c r="FFU211" s="2522"/>
      <c r="FFV211" s="2522"/>
      <c r="FFW211" s="2522"/>
      <c r="FFX211" s="2522"/>
      <c r="FFY211" s="2522"/>
      <c r="FFZ211" s="2522"/>
      <c r="FGA211" s="2522"/>
      <c r="FGB211" s="2522"/>
      <c r="FGC211" s="2522"/>
      <c r="FGD211" s="2522"/>
      <c r="FGE211" s="2522"/>
      <c r="FGF211" s="2522"/>
      <c r="FGG211" s="2522"/>
      <c r="FGH211" s="2522"/>
      <c r="FGI211" s="2522"/>
      <c r="FGJ211" s="2522"/>
      <c r="FGK211" s="2522"/>
      <c r="FGL211" s="2522"/>
      <c r="FGM211" s="2522"/>
      <c r="FGN211" s="2522"/>
      <c r="FGO211" s="2522"/>
      <c r="FGP211" s="2522"/>
      <c r="FGQ211" s="2522"/>
      <c r="FGR211" s="2522"/>
      <c r="FGS211" s="2522"/>
      <c r="FGT211" s="2522"/>
      <c r="FGU211" s="2522"/>
      <c r="FGV211" s="2522"/>
      <c r="FGW211" s="2522"/>
      <c r="FGX211" s="2522"/>
      <c r="FGY211" s="2522"/>
      <c r="FGZ211" s="2522"/>
      <c r="FHA211" s="2522"/>
      <c r="FHB211" s="2522"/>
      <c r="FHC211" s="2522"/>
      <c r="FHD211" s="2522"/>
      <c r="FHE211" s="2522"/>
      <c r="FHF211" s="2522"/>
      <c r="FHG211" s="2522"/>
      <c r="FHH211" s="2522"/>
      <c r="FHI211" s="2522"/>
      <c r="FHJ211" s="2522"/>
      <c r="FHK211" s="2522"/>
      <c r="FHL211" s="2522"/>
      <c r="FHM211" s="2522"/>
      <c r="FHN211" s="2522"/>
      <c r="FHO211" s="2522"/>
      <c r="FHP211" s="2522"/>
      <c r="FHQ211" s="2522"/>
      <c r="FHR211" s="2522"/>
      <c r="FHS211" s="2522"/>
      <c r="FHT211" s="2522"/>
      <c r="FHU211" s="2522"/>
      <c r="FHV211" s="2522"/>
      <c r="FHW211" s="2522"/>
      <c r="FHX211" s="2522"/>
      <c r="FHY211" s="2522"/>
      <c r="FHZ211" s="2522"/>
      <c r="FIA211" s="2522"/>
      <c r="FIB211" s="2522"/>
      <c r="FIC211" s="2522"/>
      <c r="FID211" s="2522"/>
      <c r="FIE211" s="2522"/>
      <c r="FIF211" s="2522"/>
      <c r="FIG211" s="2522"/>
      <c r="FIH211" s="2522"/>
      <c r="FII211" s="2522"/>
      <c r="FIJ211" s="2522"/>
      <c r="FIK211" s="2522"/>
      <c r="FIL211" s="2522"/>
      <c r="FIM211" s="2522"/>
      <c r="FIN211" s="2522"/>
      <c r="FIO211" s="2522"/>
      <c r="FIP211" s="2522"/>
      <c r="FIQ211" s="2522"/>
      <c r="FIR211" s="2522"/>
      <c r="FIS211" s="2522"/>
      <c r="FIT211" s="2522"/>
      <c r="FIU211" s="2522"/>
      <c r="FIV211" s="2522"/>
      <c r="FIW211" s="2522"/>
      <c r="FIX211" s="2522"/>
      <c r="FIY211" s="2522"/>
      <c r="FIZ211" s="2522"/>
      <c r="FJA211" s="2522"/>
      <c r="FJB211" s="2522"/>
      <c r="FJC211" s="2522"/>
      <c r="FJD211" s="2522"/>
      <c r="FJE211" s="2522"/>
      <c r="FJF211" s="2522"/>
      <c r="FJG211" s="2522"/>
      <c r="FJH211" s="2522"/>
      <c r="FJI211" s="2522"/>
      <c r="FJJ211" s="2522"/>
      <c r="FJK211" s="2522"/>
      <c r="FJL211" s="2522"/>
      <c r="FJM211" s="2522"/>
      <c r="FJN211" s="2522"/>
      <c r="FJO211" s="2522"/>
      <c r="FJP211" s="2522"/>
      <c r="FJQ211" s="2522"/>
      <c r="FJR211" s="2522"/>
      <c r="FJS211" s="2522"/>
      <c r="FJT211" s="2522"/>
      <c r="FJU211" s="2522"/>
      <c r="FJV211" s="2522"/>
      <c r="FJW211" s="2522"/>
      <c r="FJX211" s="2522"/>
      <c r="FJY211" s="2522"/>
      <c r="FJZ211" s="2522"/>
      <c r="FKA211" s="2522"/>
      <c r="FKB211" s="2522"/>
      <c r="FKC211" s="2522"/>
      <c r="FKD211" s="2522"/>
      <c r="FKE211" s="2522"/>
      <c r="FKF211" s="2522"/>
      <c r="FKG211" s="2522"/>
      <c r="FKH211" s="2522"/>
      <c r="FKI211" s="2522"/>
      <c r="FKJ211" s="2522"/>
      <c r="FKK211" s="2522"/>
      <c r="FKL211" s="2522"/>
      <c r="FKM211" s="2522"/>
      <c r="FKN211" s="2522"/>
      <c r="FKO211" s="2522"/>
      <c r="FKP211" s="2522"/>
      <c r="FKQ211" s="2522"/>
      <c r="FKR211" s="2522"/>
      <c r="FKS211" s="2522"/>
      <c r="FKT211" s="2522"/>
      <c r="FKU211" s="2522"/>
      <c r="FKV211" s="2522"/>
      <c r="FKW211" s="2522"/>
      <c r="FKX211" s="2522"/>
      <c r="FKY211" s="2522"/>
      <c r="FKZ211" s="2522"/>
      <c r="FLA211" s="2522"/>
      <c r="FLB211" s="2522"/>
      <c r="FLC211" s="2522"/>
      <c r="FLD211" s="2522"/>
      <c r="FLE211" s="2522"/>
      <c r="FLF211" s="2522"/>
      <c r="FLG211" s="2522"/>
      <c r="FLH211" s="2522"/>
      <c r="FLI211" s="2522"/>
      <c r="FLJ211" s="2522"/>
      <c r="FLK211" s="2522"/>
      <c r="FLL211" s="2522"/>
      <c r="FLM211" s="2522"/>
      <c r="FLN211" s="2522"/>
      <c r="FLO211" s="2522"/>
      <c r="FLP211" s="2522"/>
      <c r="FLQ211" s="2522"/>
      <c r="FLR211" s="2522"/>
      <c r="FLS211" s="2522"/>
      <c r="FLT211" s="2522"/>
      <c r="FLU211" s="2522"/>
      <c r="FLV211" s="2522"/>
      <c r="FLW211" s="2522"/>
      <c r="FLX211" s="2522"/>
      <c r="FLY211" s="2522"/>
      <c r="FLZ211" s="2522"/>
      <c r="FMA211" s="2522"/>
      <c r="FMB211" s="2522"/>
      <c r="FMC211" s="2522"/>
      <c r="FMD211" s="2522"/>
      <c r="FME211" s="2522"/>
      <c r="FMF211" s="2522"/>
      <c r="FMG211" s="2522"/>
      <c r="FMH211" s="2522"/>
      <c r="FMI211" s="2522"/>
      <c r="FMJ211" s="2522"/>
      <c r="FMK211" s="2522"/>
      <c r="FML211" s="2522"/>
      <c r="FMM211" s="2522"/>
      <c r="FMN211" s="2522"/>
      <c r="FMO211" s="2522"/>
      <c r="FMP211" s="2522"/>
      <c r="FMQ211" s="2522"/>
      <c r="FMR211" s="2522"/>
      <c r="FMS211" s="2522"/>
      <c r="FMT211" s="2522"/>
      <c r="FMU211" s="2522"/>
      <c r="FMV211" s="2522"/>
      <c r="FMW211" s="2522"/>
      <c r="FMX211" s="2522"/>
      <c r="FMY211" s="2522"/>
      <c r="FMZ211" s="2522"/>
      <c r="FNA211" s="2522"/>
      <c r="FNB211" s="2522"/>
      <c r="FNC211" s="2522"/>
      <c r="FND211" s="2522"/>
      <c r="FNE211" s="2522"/>
      <c r="FNF211" s="2522"/>
      <c r="FNG211" s="2522"/>
      <c r="FNH211" s="2522"/>
      <c r="FNI211" s="2522"/>
      <c r="FNJ211" s="2522"/>
      <c r="FNK211" s="2522"/>
      <c r="FNL211" s="2522"/>
      <c r="FNM211" s="2522"/>
      <c r="FNN211" s="2522"/>
      <c r="FNO211" s="2522"/>
      <c r="FNP211" s="2522"/>
      <c r="FNQ211" s="2522"/>
      <c r="FNR211" s="2522"/>
      <c r="FNS211" s="2522"/>
      <c r="FNT211" s="2522"/>
      <c r="FNU211" s="2522"/>
      <c r="FNV211" s="2522"/>
      <c r="FNW211" s="2522"/>
      <c r="FNX211" s="2522"/>
      <c r="FNY211" s="2522"/>
      <c r="FNZ211" s="2522"/>
      <c r="FOA211" s="2522"/>
      <c r="FOB211" s="2522"/>
      <c r="FOC211" s="2522"/>
      <c r="FOD211" s="2522"/>
      <c r="FOE211" s="2522"/>
      <c r="FOF211" s="2522"/>
      <c r="FOG211" s="2522"/>
      <c r="FOH211" s="2522"/>
      <c r="FOI211" s="2522"/>
      <c r="FOJ211" s="2522"/>
      <c r="FOK211" s="2522"/>
      <c r="FOL211" s="2522"/>
      <c r="FOM211" s="2522"/>
      <c r="FON211" s="2522"/>
      <c r="FOO211" s="2522"/>
      <c r="FOP211" s="2522"/>
      <c r="FOQ211" s="2522"/>
      <c r="FOR211" s="2522"/>
      <c r="FOS211" s="2522"/>
      <c r="FOT211" s="2522"/>
      <c r="FOU211" s="2522"/>
      <c r="FOV211" s="2522"/>
      <c r="FOW211" s="2522"/>
      <c r="FOX211" s="2522"/>
      <c r="FOY211" s="2522"/>
      <c r="FOZ211" s="2522"/>
      <c r="FPA211" s="2522"/>
      <c r="FPB211" s="2522"/>
      <c r="FPC211" s="2522"/>
      <c r="FPD211" s="2522"/>
      <c r="FPE211" s="2522"/>
      <c r="FPF211" s="2522"/>
      <c r="FPG211" s="2522"/>
      <c r="FPH211" s="2522"/>
      <c r="FPI211" s="2522"/>
      <c r="FPJ211" s="2522"/>
      <c r="FPK211" s="2522"/>
      <c r="FPL211" s="2522"/>
      <c r="FPM211" s="2522"/>
      <c r="FPN211" s="2522"/>
      <c r="FPO211" s="2522"/>
      <c r="FPP211" s="2522"/>
      <c r="FPQ211" s="2522"/>
      <c r="FPR211" s="2522"/>
      <c r="FPS211" s="2522"/>
      <c r="FPT211" s="2522"/>
      <c r="FPU211" s="2522"/>
      <c r="FPV211" s="2522"/>
      <c r="FPW211" s="2522"/>
      <c r="FPX211" s="2522"/>
      <c r="FPY211" s="2522"/>
      <c r="FPZ211" s="2522"/>
      <c r="FQA211" s="2522"/>
      <c r="FQB211" s="2522"/>
      <c r="FQC211" s="2522"/>
      <c r="FQD211" s="2522"/>
      <c r="FQE211" s="2522"/>
      <c r="FQF211" s="2522"/>
      <c r="FQG211" s="2522"/>
      <c r="FQH211" s="2522"/>
      <c r="FQI211" s="2522"/>
      <c r="FQJ211" s="2522"/>
      <c r="FQK211" s="2522"/>
      <c r="FQL211" s="2522"/>
      <c r="FQM211" s="2522"/>
      <c r="FQN211" s="2522"/>
      <c r="FQO211" s="2522"/>
      <c r="FQP211" s="2522"/>
      <c r="FQQ211" s="2522"/>
      <c r="FQR211" s="2522"/>
      <c r="FQS211" s="2522"/>
      <c r="FQT211" s="2522"/>
      <c r="FQU211" s="2522"/>
      <c r="FQV211" s="2522"/>
      <c r="FQW211" s="2522"/>
      <c r="FQX211" s="2522"/>
      <c r="FQY211" s="2522"/>
      <c r="FQZ211" s="2522"/>
      <c r="FRA211" s="2522"/>
      <c r="FRB211" s="2522"/>
      <c r="FRC211" s="2522"/>
      <c r="FRD211" s="2522"/>
      <c r="FRE211" s="2522"/>
      <c r="FRF211" s="2522"/>
      <c r="FRG211" s="2522"/>
      <c r="FRH211" s="2522"/>
      <c r="FRI211" s="2522"/>
      <c r="FRJ211" s="2522"/>
      <c r="FRK211" s="2522"/>
      <c r="FRL211" s="2522"/>
      <c r="FRM211" s="2522"/>
      <c r="FRN211" s="2522"/>
      <c r="FRO211" s="2522"/>
      <c r="FRP211" s="2522"/>
      <c r="FRQ211" s="2522"/>
      <c r="FRR211" s="2522"/>
      <c r="FRS211" s="2522"/>
      <c r="FRT211" s="2522"/>
      <c r="FRU211" s="2522"/>
      <c r="FRV211" s="2522"/>
      <c r="FRW211" s="2522"/>
      <c r="FRX211" s="2522"/>
      <c r="FRY211" s="2522"/>
      <c r="FRZ211" s="2522"/>
      <c r="FSA211" s="2522"/>
      <c r="FSB211" s="2522"/>
      <c r="FSC211" s="2522"/>
      <c r="FSD211" s="2522"/>
      <c r="FSE211" s="2522"/>
      <c r="FSF211" s="2522"/>
      <c r="FSG211" s="2522"/>
      <c r="FSH211" s="2522"/>
      <c r="FSI211" s="2522"/>
      <c r="FSJ211" s="2522"/>
      <c r="FSK211" s="2522"/>
      <c r="FSL211" s="2522"/>
      <c r="FSM211" s="2522"/>
      <c r="FSN211" s="2522"/>
      <c r="FSO211" s="2522"/>
      <c r="FSP211" s="2522"/>
      <c r="FSQ211" s="2522"/>
      <c r="FSR211" s="2522"/>
      <c r="FSS211" s="2522"/>
      <c r="FST211" s="2522"/>
      <c r="FSU211" s="2522"/>
      <c r="FSV211" s="2522"/>
      <c r="FSW211" s="2522"/>
      <c r="FSX211" s="2522"/>
      <c r="FSY211" s="2522"/>
      <c r="FSZ211" s="2522"/>
      <c r="FTA211" s="2522"/>
      <c r="FTB211" s="2522"/>
      <c r="FTC211" s="2522"/>
      <c r="FTD211" s="2522"/>
      <c r="FTE211" s="2522"/>
      <c r="FTF211" s="2522"/>
      <c r="FTG211" s="2522"/>
      <c r="FTH211" s="2522"/>
      <c r="FTI211" s="2522"/>
      <c r="FTJ211" s="2522"/>
      <c r="FTK211" s="2522"/>
      <c r="FTL211" s="2522"/>
      <c r="FTM211" s="2522"/>
      <c r="FTN211" s="2522"/>
      <c r="FTO211" s="2522"/>
      <c r="FTP211" s="2522"/>
      <c r="FTQ211" s="2522"/>
      <c r="FTR211" s="2522"/>
      <c r="FTS211" s="2522"/>
      <c r="FTT211" s="2522"/>
      <c r="FTU211" s="2522"/>
      <c r="FTV211" s="2522"/>
      <c r="FTW211" s="2522"/>
      <c r="FTX211" s="2522"/>
      <c r="FTY211" s="2522"/>
      <c r="FTZ211" s="2522"/>
      <c r="FUA211" s="2522"/>
      <c r="FUB211" s="2522"/>
      <c r="FUC211" s="2522"/>
      <c r="FUD211" s="2522"/>
      <c r="FUE211" s="2522"/>
      <c r="FUF211" s="2522"/>
      <c r="FUG211" s="2522"/>
      <c r="FUH211" s="2522"/>
      <c r="FUI211" s="2522"/>
      <c r="FUJ211" s="2522"/>
      <c r="FUK211" s="2522"/>
      <c r="FUL211" s="2522"/>
      <c r="FUM211" s="2522"/>
      <c r="FUN211" s="2522"/>
      <c r="FUO211" s="2522"/>
      <c r="FUP211" s="2522"/>
      <c r="FUQ211" s="2522"/>
      <c r="FUR211" s="2522"/>
      <c r="FUS211" s="2522"/>
      <c r="FUT211" s="2522"/>
      <c r="FUU211" s="2522"/>
      <c r="FUV211" s="2522"/>
      <c r="FUW211" s="2522"/>
      <c r="FUX211" s="2522"/>
      <c r="FUY211" s="2522"/>
      <c r="FUZ211" s="2522"/>
      <c r="FVA211" s="2522"/>
      <c r="FVB211" s="2522"/>
      <c r="FVC211" s="2522"/>
      <c r="FVD211" s="2522"/>
      <c r="FVE211" s="2522"/>
      <c r="FVF211" s="2522"/>
      <c r="FVG211" s="2522"/>
      <c r="FVH211" s="2522"/>
      <c r="FVI211" s="2522"/>
      <c r="FVJ211" s="2522"/>
      <c r="FVK211" s="2522"/>
      <c r="FVL211" s="2522"/>
      <c r="FVM211" s="2522"/>
      <c r="FVN211" s="2522"/>
      <c r="FVO211" s="2522"/>
      <c r="FVP211" s="2522"/>
      <c r="FVQ211" s="2522"/>
      <c r="FVR211" s="2522"/>
      <c r="FVS211" s="2522"/>
      <c r="FVT211" s="2522"/>
      <c r="FVU211" s="2522"/>
      <c r="FVV211" s="2522"/>
      <c r="FVW211" s="2522"/>
      <c r="FVX211" s="2522"/>
      <c r="FVY211" s="2522"/>
      <c r="FVZ211" s="2522"/>
      <c r="FWA211" s="2522"/>
      <c r="FWB211" s="2522"/>
      <c r="FWC211" s="2522"/>
      <c r="FWD211" s="2522"/>
      <c r="FWE211" s="2522"/>
      <c r="FWF211" s="2522"/>
      <c r="FWG211" s="2522"/>
      <c r="FWH211" s="2522"/>
      <c r="FWI211" s="2522"/>
      <c r="FWJ211" s="2522"/>
      <c r="FWK211" s="2522"/>
      <c r="FWL211" s="2522"/>
      <c r="FWM211" s="2522"/>
      <c r="FWN211" s="2522"/>
      <c r="FWO211" s="2522"/>
      <c r="FWP211" s="2522"/>
      <c r="FWQ211" s="2522"/>
      <c r="FWR211" s="2522"/>
      <c r="FWS211" s="2522"/>
      <c r="FWT211" s="2522"/>
      <c r="FWU211" s="2522"/>
      <c r="FWV211" s="2522"/>
      <c r="FWW211" s="2522"/>
      <c r="FWX211" s="2522"/>
      <c r="FWY211" s="2522"/>
      <c r="FWZ211" s="2522"/>
      <c r="FXA211" s="2522"/>
      <c r="FXB211" s="2522"/>
      <c r="FXC211" s="2522"/>
      <c r="FXD211" s="2522"/>
      <c r="FXE211" s="2522"/>
      <c r="FXF211" s="2522"/>
      <c r="FXG211" s="2522"/>
      <c r="FXH211" s="2522"/>
      <c r="FXI211" s="2522"/>
      <c r="FXJ211" s="2522"/>
      <c r="FXK211" s="2522"/>
      <c r="FXL211" s="2522"/>
      <c r="FXM211" s="2522"/>
      <c r="FXN211" s="2522"/>
      <c r="FXO211" s="2522"/>
      <c r="FXP211" s="2522"/>
      <c r="FXQ211" s="2522"/>
      <c r="FXR211" s="2522"/>
      <c r="FXS211" s="2522"/>
      <c r="FXT211" s="2522"/>
      <c r="FXU211" s="2522"/>
      <c r="FXV211" s="2522"/>
      <c r="FXW211" s="2522"/>
      <c r="FXX211" s="2522"/>
      <c r="FXY211" s="2522"/>
      <c r="FXZ211" s="2522"/>
      <c r="FYA211" s="2522"/>
      <c r="FYB211" s="2522"/>
      <c r="FYC211" s="2522"/>
      <c r="FYD211" s="2522"/>
      <c r="FYE211" s="2522"/>
      <c r="FYF211" s="2522"/>
      <c r="FYG211" s="2522"/>
      <c r="FYH211" s="2522"/>
      <c r="FYI211" s="2522"/>
      <c r="FYJ211" s="2522"/>
      <c r="FYK211" s="2522"/>
      <c r="FYL211" s="2522"/>
      <c r="FYM211" s="2522"/>
      <c r="FYN211" s="2522"/>
      <c r="FYO211" s="2522"/>
      <c r="FYP211" s="2522"/>
      <c r="FYQ211" s="2522"/>
      <c r="FYR211" s="2522"/>
      <c r="FYS211" s="2522"/>
      <c r="FYT211" s="2522"/>
      <c r="FYU211" s="2522"/>
      <c r="FYV211" s="2522"/>
      <c r="FYW211" s="2522"/>
      <c r="FYX211" s="2522"/>
      <c r="FYY211" s="2522"/>
      <c r="FYZ211" s="2522"/>
      <c r="FZA211" s="2522"/>
      <c r="FZB211" s="2522"/>
      <c r="FZC211" s="2522"/>
      <c r="FZD211" s="2522"/>
      <c r="FZE211" s="2522"/>
      <c r="FZF211" s="2522"/>
      <c r="FZG211" s="2522"/>
      <c r="FZH211" s="2522"/>
      <c r="FZI211" s="2522"/>
      <c r="FZJ211" s="2522"/>
      <c r="FZK211" s="2522"/>
      <c r="FZL211" s="2522"/>
      <c r="FZM211" s="2522"/>
      <c r="FZN211" s="2522"/>
      <c r="FZO211" s="2522"/>
      <c r="FZP211" s="2522"/>
      <c r="FZQ211" s="2522"/>
      <c r="FZR211" s="2522"/>
      <c r="FZS211" s="2522"/>
      <c r="FZT211" s="2522"/>
      <c r="FZU211" s="2522"/>
      <c r="FZV211" s="2522"/>
      <c r="FZW211" s="2522"/>
      <c r="FZX211" s="2522"/>
      <c r="FZY211" s="2522"/>
      <c r="FZZ211" s="2522"/>
      <c r="GAA211" s="2522"/>
      <c r="GAB211" s="2522"/>
      <c r="GAC211" s="2522"/>
      <c r="GAD211" s="2522"/>
      <c r="GAE211" s="2522"/>
      <c r="GAF211" s="2522"/>
      <c r="GAG211" s="2522"/>
      <c r="GAH211" s="2522"/>
      <c r="GAI211" s="2522"/>
      <c r="GAJ211" s="2522"/>
      <c r="GAK211" s="2522"/>
      <c r="GAL211" s="2522"/>
      <c r="GAM211" s="2522"/>
      <c r="GAN211" s="2522"/>
      <c r="GAO211" s="2522"/>
      <c r="GAP211" s="2522"/>
      <c r="GAQ211" s="2522"/>
      <c r="GAR211" s="2522"/>
      <c r="GAS211" s="2522"/>
      <c r="GAT211" s="2522"/>
      <c r="GAU211" s="2522"/>
      <c r="GAV211" s="2522"/>
      <c r="GAW211" s="2522"/>
      <c r="GAX211" s="2522"/>
      <c r="GAY211" s="2522"/>
      <c r="GAZ211" s="2522"/>
      <c r="GBA211" s="2522"/>
      <c r="GBB211" s="2522"/>
      <c r="GBC211" s="2522"/>
      <c r="GBD211" s="2522"/>
      <c r="GBE211" s="2522"/>
      <c r="GBF211" s="2522"/>
      <c r="GBG211" s="2522"/>
      <c r="GBH211" s="2522"/>
      <c r="GBI211" s="2522"/>
      <c r="GBJ211" s="2522"/>
      <c r="GBK211" s="2522"/>
      <c r="GBL211" s="2522"/>
      <c r="GBM211" s="2522"/>
      <c r="GBN211" s="2522"/>
      <c r="GBO211" s="2522"/>
      <c r="GBP211" s="2522"/>
      <c r="GBQ211" s="2522"/>
      <c r="GBR211" s="2522"/>
      <c r="GBS211" s="2522"/>
      <c r="GBT211" s="2522"/>
      <c r="GBU211" s="2522"/>
      <c r="GBV211" s="2522"/>
      <c r="GBW211" s="2522"/>
      <c r="GBX211" s="2522"/>
      <c r="GBY211" s="2522"/>
      <c r="GBZ211" s="2522"/>
      <c r="GCA211" s="2522"/>
      <c r="GCB211" s="2522"/>
      <c r="GCC211" s="2522"/>
      <c r="GCD211" s="2522"/>
      <c r="GCE211" s="2522"/>
      <c r="GCF211" s="2522"/>
      <c r="GCG211" s="2522"/>
      <c r="GCH211" s="2522"/>
      <c r="GCI211" s="2522"/>
      <c r="GCJ211" s="2522"/>
      <c r="GCK211" s="2522"/>
      <c r="GCL211" s="2522"/>
      <c r="GCM211" s="2522"/>
      <c r="GCN211" s="2522"/>
      <c r="GCO211" s="2522"/>
      <c r="GCP211" s="2522"/>
      <c r="GCQ211" s="2522"/>
      <c r="GCR211" s="2522"/>
      <c r="GCS211" s="2522"/>
      <c r="GCT211" s="2522"/>
      <c r="GCU211" s="2522"/>
      <c r="GCV211" s="2522"/>
      <c r="GCW211" s="2522"/>
      <c r="GCX211" s="2522"/>
      <c r="GCY211" s="2522"/>
      <c r="GCZ211" s="2522"/>
      <c r="GDA211" s="2522"/>
      <c r="GDB211" s="2522"/>
      <c r="GDC211" s="2522"/>
      <c r="GDD211" s="2522"/>
      <c r="GDE211" s="2522"/>
      <c r="GDF211" s="2522"/>
      <c r="GDG211" s="2522"/>
      <c r="GDH211" s="2522"/>
      <c r="GDI211" s="2522"/>
      <c r="GDJ211" s="2522"/>
      <c r="GDK211" s="2522"/>
      <c r="GDL211" s="2522"/>
      <c r="GDM211" s="2522"/>
      <c r="GDN211" s="2522"/>
      <c r="GDO211" s="2522"/>
      <c r="GDP211" s="2522"/>
      <c r="GDQ211" s="2522"/>
      <c r="GDR211" s="2522"/>
      <c r="GDS211" s="2522"/>
      <c r="GDT211" s="2522"/>
      <c r="GDU211" s="2522"/>
      <c r="GDV211" s="2522"/>
      <c r="GDW211" s="2522"/>
      <c r="GDX211" s="2522"/>
      <c r="GDY211" s="2522"/>
      <c r="GDZ211" s="2522"/>
      <c r="GEA211" s="2522"/>
      <c r="GEB211" s="2522"/>
      <c r="GEC211" s="2522"/>
      <c r="GED211" s="2522"/>
      <c r="GEE211" s="2522"/>
      <c r="GEF211" s="2522"/>
      <c r="GEG211" s="2522"/>
      <c r="GEH211" s="2522"/>
      <c r="GEI211" s="2522"/>
      <c r="GEJ211" s="2522"/>
      <c r="GEK211" s="2522"/>
      <c r="GEL211" s="2522"/>
      <c r="GEM211" s="2522"/>
      <c r="GEN211" s="2522"/>
      <c r="GEO211" s="2522"/>
      <c r="GEP211" s="2522"/>
      <c r="GEQ211" s="2522"/>
      <c r="GER211" s="2522"/>
      <c r="GES211" s="2522"/>
      <c r="GET211" s="2522"/>
      <c r="GEU211" s="2522"/>
      <c r="GEV211" s="2522"/>
      <c r="GEW211" s="2522"/>
      <c r="GEX211" s="2522"/>
      <c r="GEY211" s="2522"/>
      <c r="GEZ211" s="2522"/>
      <c r="GFA211" s="2522"/>
      <c r="GFB211" s="2522"/>
      <c r="GFC211" s="2522"/>
      <c r="GFD211" s="2522"/>
      <c r="GFE211" s="2522"/>
      <c r="GFF211" s="2522"/>
      <c r="GFG211" s="2522"/>
      <c r="GFH211" s="2522"/>
      <c r="GFI211" s="2522"/>
      <c r="GFJ211" s="2522"/>
      <c r="GFK211" s="2522"/>
      <c r="GFL211" s="2522"/>
      <c r="GFM211" s="2522"/>
      <c r="GFN211" s="2522"/>
      <c r="GFO211" s="2522"/>
      <c r="GFP211" s="2522"/>
      <c r="GFQ211" s="2522"/>
      <c r="GFR211" s="2522"/>
      <c r="GFS211" s="2522"/>
      <c r="GFT211" s="2522"/>
      <c r="GFU211" s="2522"/>
      <c r="GFV211" s="2522"/>
      <c r="GFW211" s="2522"/>
      <c r="GFX211" s="2522"/>
      <c r="GFY211" s="2522"/>
      <c r="GFZ211" s="2522"/>
      <c r="GGA211" s="2522"/>
      <c r="GGB211" s="2522"/>
      <c r="GGC211" s="2522"/>
      <c r="GGD211" s="2522"/>
      <c r="GGE211" s="2522"/>
      <c r="GGF211" s="2522"/>
      <c r="GGG211" s="2522"/>
      <c r="GGH211" s="2522"/>
      <c r="GGI211" s="2522"/>
      <c r="GGJ211" s="2522"/>
      <c r="GGK211" s="2522"/>
      <c r="GGL211" s="2522"/>
      <c r="GGM211" s="2522"/>
      <c r="GGN211" s="2522"/>
      <c r="GGO211" s="2522"/>
      <c r="GGP211" s="2522"/>
      <c r="GGQ211" s="2522"/>
      <c r="GGR211" s="2522"/>
      <c r="GGS211" s="2522"/>
      <c r="GGT211" s="2522"/>
      <c r="GGU211" s="2522"/>
      <c r="GGV211" s="2522"/>
      <c r="GGW211" s="2522"/>
      <c r="GGX211" s="2522"/>
      <c r="GGY211" s="2522"/>
      <c r="GGZ211" s="2522"/>
      <c r="GHA211" s="2522"/>
      <c r="GHB211" s="2522"/>
      <c r="GHC211" s="2522"/>
      <c r="GHD211" s="2522"/>
      <c r="GHE211" s="2522"/>
      <c r="GHF211" s="2522"/>
      <c r="GHG211" s="2522"/>
      <c r="GHH211" s="2522"/>
      <c r="GHI211" s="2522"/>
      <c r="GHJ211" s="2522"/>
      <c r="GHK211" s="2522"/>
      <c r="GHL211" s="2522"/>
      <c r="GHM211" s="2522"/>
      <c r="GHN211" s="2522"/>
      <c r="GHO211" s="2522"/>
      <c r="GHP211" s="2522"/>
      <c r="GHQ211" s="2522"/>
      <c r="GHR211" s="2522"/>
      <c r="GHS211" s="2522"/>
      <c r="GHT211" s="2522"/>
      <c r="GHU211" s="2522"/>
      <c r="GHV211" s="2522"/>
      <c r="GHW211" s="2522"/>
      <c r="GHX211" s="2522"/>
      <c r="GHY211" s="2522"/>
      <c r="GHZ211" s="2522"/>
      <c r="GIA211" s="2522"/>
      <c r="GIB211" s="2522"/>
      <c r="GIC211" s="2522"/>
      <c r="GID211" s="2522"/>
      <c r="GIE211" s="2522"/>
      <c r="GIF211" s="2522"/>
      <c r="GIG211" s="2522"/>
      <c r="GIH211" s="2522"/>
      <c r="GII211" s="2522"/>
      <c r="GIJ211" s="2522"/>
      <c r="GIK211" s="2522"/>
      <c r="GIL211" s="2522"/>
      <c r="GIM211" s="2522"/>
      <c r="GIN211" s="2522"/>
      <c r="GIO211" s="2522"/>
      <c r="GIP211" s="2522"/>
      <c r="GIQ211" s="2522"/>
      <c r="GIR211" s="2522"/>
      <c r="GIS211" s="2522"/>
      <c r="GIT211" s="2522"/>
      <c r="GIU211" s="2522"/>
      <c r="GIV211" s="2522"/>
      <c r="GIW211" s="2522"/>
      <c r="GIX211" s="2522"/>
      <c r="GIY211" s="2522"/>
      <c r="GIZ211" s="2522"/>
      <c r="GJA211" s="2522"/>
      <c r="GJB211" s="2522"/>
      <c r="GJC211" s="2522"/>
      <c r="GJD211" s="2522"/>
      <c r="GJE211" s="2522"/>
      <c r="GJF211" s="2522"/>
      <c r="GJG211" s="2522"/>
      <c r="GJH211" s="2522"/>
      <c r="GJI211" s="2522"/>
      <c r="GJJ211" s="2522"/>
      <c r="GJK211" s="2522"/>
      <c r="GJL211" s="2522"/>
      <c r="GJM211" s="2522"/>
      <c r="GJN211" s="2522"/>
      <c r="GJO211" s="2522"/>
      <c r="GJP211" s="2522"/>
      <c r="GJQ211" s="2522"/>
      <c r="GJR211" s="2522"/>
      <c r="GJS211" s="2522"/>
      <c r="GJT211" s="2522"/>
      <c r="GJU211" s="2522"/>
      <c r="GJV211" s="2522"/>
      <c r="GJW211" s="2522"/>
      <c r="GJX211" s="2522"/>
      <c r="GJY211" s="2522"/>
      <c r="GJZ211" s="2522"/>
      <c r="GKA211" s="2522"/>
      <c r="GKB211" s="2522"/>
      <c r="GKC211" s="2522"/>
      <c r="GKD211" s="2522"/>
      <c r="GKE211" s="2522"/>
      <c r="GKF211" s="2522"/>
      <c r="GKG211" s="2522"/>
      <c r="GKH211" s="2522"/>
      <c r="GKI211" s="2522"/>
      <c r="GKJ211" s="2522"/>
      <c r="GKK211" s="2522"/>
      <c r="GKL211" s="2522"/>
      <c r="GKM211" s="2522"/>
      <c r="GKN211" s="2522"/>
      <c r="GKO211" s="2522"/>
      <c r="GKP211" s="2522"/>
      <c r="GKQ211" s="2522"/>
      <c r="GKR211" s="2522"/>
      <c r="GKS211" s="2522"/>
      <c r="GKT211" s="2522"/>
      <c r="GKU211" s="2522"/>
      <c r="GKV211" s="2522"/>
      <c r="GKW211" s="2522"/>
      <c r="GKX211" s="2522"/>
      <c r="GKY211" s="2522"/>
      <c r="GKZ211" s="2522"/>
      <c r="GLA211" s="2522"/>
      <c r="GLB211" s="2522"/>
      <c r="GLC211" s="2522"/>
      <c r="GLD211" s="2522"/>
      <c r="GLE211" s="2522"/>
      <c r="GLF211" s="2522"/>
      <c r="GLG211" s="2522"/>
      <c r="GLH211" s="2522"/>
      <c r="GLI211" s="2522"/>
      <c r="GLJ211" s="2522"/>
      <c r="GLK211" s="2522"/>
      <c r="GLL211" s="2522"/>
      <c r="GLM211" s="2522"/>
      <c r="GLN211" s="2522"/>
      <c r="GLO211" s="2522"/>
      <c r="GLP211" s="2522"/>
      <c r="GLQ211" s="2522"/>
      <c r="GLR211" s="2522"/>
      <c r="GLS211" s="2522"/>
      <c r="GLT211" s="2522"/>
      <c r="GLU211" s="2522"/>
      <c r="GLV211" s="2522"/>
      <c r="GLW211" s="2522"/>
      <c r="GLX211" s="2522"/>
      <c r="GLY211" s="2522"/>
      <c r="GLZ211" s="2522"/>
      <c r="GMA211" s="2522"/>
      <c r="GMB211" s="2522"/>
      <c r="GMC211" s="2522"/>
      <c r="GMD211" s="2522"/>
      <c r="GME211" s="2522"/>
      <c r="GMF211" s="2522"/>
      <c r="GMG211" s="2522"/>
      <c r="GMH211" s="2522"/>
      <c r="GMI211" s="2522"/>
      <c r="GMJ211" s="2522"/>
      <c r="GMK211" s="2522"/>
      <c r="GML211" s="2522"/>
      <c r="GMM211" s="2522"/>
      <c r="GMN211" s="2522"/>
      <c r="GMO211" s="2522"/>
      <c r="GMP211" s="2522"/>
      <c r="GMQ211" s="2522"/>
      <c r="GMR211" s="2522"/>
      <c r="GMS211" s="2522"/>
      <c r="GMT211" s="2522"/>
      <c r="GMU211" s="2522"/>
      <c r="GMV211" s="2522"/>
      <c r="GMW211" s="2522"/>
      <c r="GMX211" s="2522"/>
      <c r="GMY211" s="2522"/>
      <c r="GMZ211" s="2522"/>
      <c r="GNA211" s="2522"/>
      <c r="GNB211" s="2522"/>
      <c r="GNC211" s="2522"/>
      <c r="GND211" s="2522"/>
      <c r="GNE211" s="2522"/>
      <c r="GNF211" s="2522"/>
      <c r="GNG211" s="2522"/>
      <c r="GNH211" s="2522"/>
      <c r="GNI211" s="2522"/>
      <c r="GNJ211" s="2522"/>
      <c r="GNK211" s="2522"/>
      <c r="GNL211" s="2522"/>
      <c r="GNM211" s="2522"/>
      <c r="GNN211" s="2522"/>
      <c r="GNO211" s="2522"/>
      <c r="GNP211" s="2522"/>
      <c r="GNQ211" s="2522"/>
      <c r="GNR211" s="2522"/>
      <c r="GNS211" s="2522"/>
      <c r="GNT211" s="2522"/>
      <c r="GNU211" s="2522"/>
      <c r="GNV211" s="2522"/>
      <c r="GNW211" s="2522"/>
      <c r="GNX211" s="2522"/>
      <c r="GNY211" s="2522"/>
      <c r="GNZ211" s="2522"/>
      <c r="GOA211" s="2522"/>
      <c r="GOB211" s="2522"/>
      <c r="GOC211" s="2522"/>
      <c r="GOD211" s="2522"/>
      <c r="GOE211" s="2522"/>
      <c r="GOF211" s="2522"/>
      <c r="GOG211" s="2522"/>
      <c r="GOH211" s="2522"/>
      <c r="GOI211" s="2522"/>
      <c r="GOJ211" s="2522"/>
      <c r="GOK211" s="2522"/>
      <c r="GOL211" s="2522"/>
      <c r="GOM211" s="2522"/>
      <c r="GON211" s="2522"/>
      <c r="GOO211" s="2522"/>
      <c r="GOP211" s="2522"/>
      <c r="GOQ211" s="2522"/>
      <c r="GOR211" s="2522"/>
      <c r="GOS211" s="2522"/>
      <c r="GOT211" s="2522"/>
      <c r="GOU211" s="2522"/>
      <c r="GOV211" s="2522"/>
      <c r="GOW211" s="2522"/>
      <c r="GOX211" s="2522"/>
      <c r="GOY211" s="2522"/>
      <c r="GOZ211" s="2522"/>
      <c r="GPA211" s="2522"/>
      <c r="GPB211" s="2522"/>
      <c r="GPC211" s="2522"/>
      <c r="GPD211" s="2522"/>
      <c r="GPE211" s="2522"/>
      <c r="GPF211" s="2522"/>
      <c r="GPG211" s="2522"/>
      <c r="GPH211" s="2522"/>
      <c r="GPI211" s="2522"/>
      <c r="GPJ211" s="2522"/>
      <c r="GPK211" s="2522"/>
      <c r="GPL211" s="2522"/>
      <c r="GPM211" s="2522"/>
      <c r="GPN211" s="2522"/>
      <c r="GPO211" s="2522"/>
      <c r="GPP211" s="2522"/>
      <c r="GPQ211" s="2522"/>
      <c r="GPR211" s="2522"/>
      <c r="GPS211" s="2522"/>
      <c r="GPT211" s="2522"/>
      <c r="GPU211" s="2522"/>
      <c r="GPV211" s="2522"/>
      <c r="GPW211" s="2522"/>
      <c r="GPX211" s="2522"/>
      <c r="GPY211" s="2522"/>
      <c r="GPZ211" s="2522"/>
      <c r="GQA211" s="2522"/>
      <c r="GQB211" s="2522"/>
      <c r="GQC211" s="2522"/>
      <c r="GQD211" s="2522"/>
      <c r="GQE211" s="2522"/>
      <c r="GQF211" s="2522"/>
      <c r="GQG211" s="2522"/>
      <c r="GQH211" s="2522"/>
      <c r="GQI211" s="2522"/>
      <c r="GQJ211" s="2522"/>
      <c r="GQK211" s="2522"/>
      <c r="GQL211" s="2522"/>
      <c r="GQM211" s="2522"/>
      <c r="GQN211" s="2522"/>
      <c r="GQO211" s="2522"/>
      <c r="GQP211" s="2522"/>
      <c r="GQQ211" s="2522"/>
      <c r="GQR211" s="2522"/>
      <c r="GQS211" s="2522"/>
      <c r="GQT211" s="2522"/>
      <c r="GQU211" s="2522"/>
      <c r="GQV211" s="2522"/>
      <c r="GQW211" s="2522"/>
      <c r="GQX211" s="2522"/>
      <c r="GQY211" s="2522"/>
      <c r="GQZ211" s="2522"/>
      <c r="GRA211" s="2522"/>
      <c r="GRB211" s="2522"/>
      <c r="GRC211" s="2522"/>
      <c r="GRD211" s="2522"/>
      <c r="GRE211" s="2522"/>
      <c r="GRF211" s="2522"/>
      <c r="GRG211" s="2522"/>
      <c r="GRH211" s="2522"/>
      <c r="GRI211" s="2522"/>
      <c r="GRJ211" s="2522"/>
      <c r="GRK211" s="2522"/>
      <c r="GRL211" s="2522"/>
      <c r="GRM211" s="2522"/>
      <c r="GRN211" s="2522"/>
      <c r="GRO211" s="2522"/>
      <c r="GRP211" s="2522"/>
      <c r="GRQ211" s="2522"/>
      <c r="GRR211" s="2522"/>
      <c r="GRS211" s="2522"/>
      <c r="GRT211" s="2522"/>
      <c r="GRU211" s="2522"/>
      <c r="GRV211" s="2522"/>
      <c r="GRW211" s="2522"/>
      <c r="GRX211" s="2522"/>
      <c r="GRY211" s="2522"/>
      <c r="GRZ211" s="2522"/>
      <c r="GSA211" s="2522"/>
      <c r="GSB211" s="2522"/>
      <c r="GSC211" s="2522"/>
      <c r="GSD211" s="2522"/>
      <c r="GSE211" s="2522"/>
      <c r="GSF211" s="2522"/>
      <c r="GSG211" s="2522"/>
      <c r="GSH211" s="2522"/>
      <c r="GSI211" s="2522"/>
      <c r="GSJ211" s="2522"/>
      <c r="GSK211" s="2522"/>
      <c r="GSL211" s="2522"/>
      <c r="GSM211" s="2522"/>
      <c r="GSN211" s="2522"/>
      <c r="GSO211" s="2522"/>
      <c r="GSP211" s="2522"/>
      <c r="GSQ211" s="2522"/>
      <c r="GSR211" s="2522"/>
      <c r="GSS211" s="2522"/>
      <c r="GST211" s="2522"/>
      <c r="GSU211" s="2522"/>
      <c r="GSV211" s="2522"/>
      <c r="GSW211" s="2522"/>
      <c r="GSX211" s="2522"/>
      <c r="GSY211" s="2522"/>
      <c r="GSZ211" s="2522"/>
      <c r="GTA211" s="2522"/>
      <c r="GTB211" s="2522"/>
      <c r="GTC211" s="2522"/>
      <c r="GTD211" s="2522"/>
      <c r="GTE211" s="2522"/>
      <c r="GTF211" s="2522"/>
      <c r="GTG211" s="2522"/>
      <c r="GTH211" s="2522"/>
      <c r="GTI211" s="2522"/>
      <c r="GTJ211" s="2522"/>
      <c r="GTK211" s="2522"/>
      <c r="GTL211" s="2522"/>
      <c r="GTM211" s="2522"/>
      <c r="GTN211" s="2522"/>
      <c r="GTO211" s="2522"/>
      <c r="GTP211" s="2522"/>
      <c r="GTQ211" s="2522"/>
      <c r="GTR211" s="2522"/>
      <c r="GTS211" s="2522"/>
      <c r="GTT211" s="2522"/>
      <c r="GTU211" s="2522"/>
      <c r="GTV211" s="2522"/>
      <c r="GTW211" s="2522"/>
      <c r="GTX211" s="2522"/>
      <c r="GTY211" s="2522"/>
      <c r="GTZ211" s="2522"/>
      <c r="GUA211" s="2522"/>
      <c r="GUB211" s="2522"/>
      <c r="GUC211" s="2522"/>
      <c r="GUD211" s="2522"/>
      <c r="GUE211" s="2522"/>
      <c r="GUF211" s="2522"/>
      <c r="GUG211" s="2522"/>
      <c r="GUH211" s="2522"/>
      <c r="GUI211" s="2522"/>
      <c r="GUJ211" s="2522"/>
      <c r="GUK211" s="2522"/>
      <c r="GUL211" s="2522"/>
      <c r="GUM211" s="2522"/>
      <c r="GUN211" s="2522"/>
      <c r="GUO211" s="2522"/>
      <c r="GUP211" s="2522"/>
      <c r="GUQ211" s="2522"/>
      <c r="GUR211" s="2522"/>
      <c r="GUS211" s="2522"/>
      <c r="GUT211" s="2522"/>
      <c r="GUU211" s="2522"/>
      <c r="GUV211" s="2522"/>
      <c r="GUW211" s="2522"/>
      <c r="GUX211" s="2522"/>
      <c r="GUY211" s="2522"/>
      <c r="GUZ211" s="2522"/>
      <c r="GVA211" s="2522"/>
      <c r="GVB211" s="2522"/>
      <c r="GVC211" s="2522"/>
      <c r="GVD211" s="2522"/>
      <c r="GVE211" s="2522"/>
      <c r="GVF211" s="2522"/>
      <c r="GVG211" s="2522"/>
      <c r="GVH211" s="2522"/>
      <c r="GVI211" s="2522"/>
      <c r="GVJ211" s="2522"/>
      <c r="GVK211" s="2522"/>
      <c r="GVL211" s="2522"/>
      <c r="GVM211" s="2522"/>
      <c r="GVN211" s="2522"/>
      <c r="GVO211" s="2522"/>
      <c r="GVP211" s="2522"/>
      <c r="GVQ211" s="2522"/>
      <c r="GVR211" s="2522"/>
      <c r="GVS211" s="2522"/>
      <c r="GVT211" s="2522"/>
      <c r="GVU211" s="2522"/>
      <c r="GVV211" s="2522"/>
      <c r="GVW211" s="2522"/>
      <c r="GVX211" s="2522"/>
      <c r="GVY211" s="2522"/>
      <c r="GVZ211" s="2522"/>
      <c r="GWA211" s="2522"/>
      <c r="GWB211" s="2522"/>
      <c r="GWC211" s="2522"/>
      <c r="GWD211" s="2522"/>
      <c r="GWE211" s="2522"/>
      <c r="GWF211" s="2522"/>
      <c r="GWG211" s="2522"/>
      <c r="GWH211" s="2522"/>
      <c r="GWI211" s="2522"/>
      <c r="GWJ211" s="2522"/>
      <c r="GWK211" s="2522"/>
      <c r="GWL211" s="2522"/>
      <c r="GWM211" s="2522"/>
      <c r="GWN211" s="2522"/>
      <c r="GWO211" s="2522"/>
      <c r="GWP211" s="2522"/>
      <c r="GWQ211" s="2522"/>
      <c r="GWR211" s="2522"/>
      <c r="GWS211" s="2522"/>
      <c r="GWT211" s="2522"/>
      <c r="GWU211" s="2522"/>
      <c r="GWV211" s="2522"/>
      <c r="GWW211" s="2522"/>
      <c r="GWX211" s="2522"/>
      <c r="GWY211" s="2522"/>
      <c r="GWZ211" s="2522"/>
      <c r="GXA211" s="2522"/>
      <c r="GXB211" s="2522"/>
      <c r="GXC211" s="2522"/>
      <c r="GXD211" s="2522"/>
      <c r="GXE211" s="2522"/>
      <c r="GXF211" s="2522"/>
      <c r="GXG211" s="2522"/>
      <c r="GXH211" s="2522"/>
      <c r="GXI211" s="2522"/>
      <c r="GXJ211" s="2522"/>
      <c r="GXK211" s="2522"/>
      <c r="GXL211" s="2522"/>
      <c r="GXM211" s="2522"/>
      <c r="GXN211" s="2522"/>
      <c r="GXO211" s="2522"/>
      <c r="GXP211" s="2522"/>
      <c r="GXQ211" s="2522"/>
      <c r="GXR211" s="2522"/>
      <c r="GXS211" s="2522"/>
      <c r="GXT211" s="2522"/>
      <c r="GXU211" s="2522"/>
      <c r="GXV211" s="2522"/>
      <c r="GXW211" s="2522"/>
      <c r="GXX211" s="2522"/>
      <c r="GXY211" s="2522"/>
      <c r="GXZ211" s="2522"/>
      <c r="GYA211" s="2522"/>
      <c r="GYB211" s="2522"/>
      <c r="GYC211" s="2522"/>
      <c r="GYD211" s="2522"/>
      <c r="GYE211" s="2522"/>
      <c r="GYF211" s="2522"/>
      <c r="GYG211" s="2522"/>
      <c r="GYH211" s="2522"/>
      <c r="GYI211" s="2522"/>
      <c r="GYJ211" s="2522"/>
      <c r="GYK211" s="2522"/>
      <c r="GYL211" s="2522"/>
      <c r="GYM211" s="2522"/>
      <c r="GYN211" s="2522"/>
      <c r="GYO211" s="2522"/>
      <c r="GYP211" s="2522"/>
      <c r="GYQ211" s="2522"/>
      <c r="GYR211" s="2522"/>
      <c r="GYS211" s="2522"/>
      <c r="GYT211" s="2522"/>
      <c r="GYU211" s="2522"/>
      <c r="GYV211" s="2522"/>
      <c r="GYW211" s="2522"/>
      <c r="GYX211" s="2522"/>
      <c r="GYY211" s="2522"/>
      <c r="GYZ211" s="2522"/>
      <c r="GZA211" s="2522"/>
      <c r="GZB211" s="2522"/>
      <c r="GZC211" s="2522"/>
      <c r="GZD211" s="2522"/>
      <c r="GZE211" s="2522"/>
      <c r="GZF211" s="2522"/>
      <c r="GZG211" s="2522"/>
      <c r="GZH211" s="2522"/>
      <c r="GZI211" s="2522"/>
      <c r="GZJ211" s="2522"/>
      <c r="GZK211" s="2522"/>
      <c r="GZL211" s="2522"/>
      <c r="GZM211" s="2522"/>
      <c r="GZN211" s="2522"/>
      <c r="GZO211" s="2522"/>
      <c r="GZP211" s="2522"/>
      <c r="GZQ211" s="2522"/>
      <c r="GZR211" s="2522"/>
      <c r="GZS211" s="2522"/>
      <c r="GZT211" s="2522"/>
      <c r="GZU211" s="2522"/>
      <c r="GZV211" s="2522"/>
      <c r="GZW211" s="2522"/>
      <c r="GZX211" s="2522"/>
      <c r="GZY211" s="2522"/>
      <c r="GZZ211" s="2522"/>
      <c r="HAA211" s="2522"/>
      <c r="HAB211" s="2522"/>
      <c r="HAC211" s="2522"/>
      <c r="HAD211" s="2522"/>
      <c r="HAE211" s="2522"/>
      <c r="HAF211" s="2522"/>
      <c r="HAG211" s="2522"/>
      <c r="HAH211" s="2522"/>
      <c r="HAI211" s="2522"/>
      <c r="HAJ211" s="2522"/>
      <c r="HAK211" s="2522"/>
      <c r="HAL211" s="2522"/>
      <c r="HAM211" s="2522"/>
      <c r="HAN211" s="2522"/>
      <c r="HAO211" s="2522"/>
      <c r="HAP211" s="2522"/>
      <c r="HAQ211" s="2522"/>
      <c r="HAR211" s="2522"/>
      <c r="HAS211" s="2522"/>
      <c r="HAT211" s="2522"/>
      <c r="HAU211" s="2522"/>
      <c r="HAV211" s="2522"/>
      <c r="HAW211" s="2522"/>
      <c r="HAX211" s="2522"/>
      <c r="HAY211" s="2522"/>
      <c r="HAZ211" s="2522"/>
      <c r="HBA211" s="2522"/>
      <c r="HBB211" s="2522"/>
      <c r="HBC211" s="2522"/>
      <c r="HBD211" s="2522"/>
      <c r="HBE211" s="2522"/>
      <c r="HBF211" s="2522"/>
      <c r="HBG211" s="2522"/>
      <c r="HBH211" s="2522"/>
      <c r="HBI211" s="2522"/>
      <c r="HBJ211" s="2522"/>
      <c r="HBK211" s="2522"/>
      <c r="HBL211" s="2522"/>
      <c r="HBM211" s="2522"/>
      <c r="HBN211" s="2522"/>
      <c r="HBO211" s="2522"/>
      <c r="HBP211" s="2522"/>
      <c r="HBQ211" s="2522"/>
      <c r="HBR211" s="2522"/>
      <c r="HBS211" s="2522"/>
      <c r="HBT211" s="2522"/>
      <c r="HBU211" s="2522"/>
      <c r="HBV211" s="2522"/>
      <c r="HBW211" s="2522"/>
      <c r="HBX211" s="2522"/>
      <c r="HBY211" s="2522"/>
      <c r="HBZ211" s="2522"/>
      <c r="HCA211" s="2522"/>
      <c r="HCB211" s="2522"/>
      <c r="HCC211" s="2522"/>
      <c r="HCD211" s="2522"/>
      <c r="HCE211" s="2522"/>
      <c r="HCF211" s="2522"/>
      <c r="HCG211" s="2522"/>
      <c r="HCH211" s="2522"/>
      <c r="HCI211" s="2522"/>
      <c r="HCJ211" s="2522"/>
      <c r="HCK211" s="2522"/>
      <c r="HCL211" s="2522"/>
      <c r="HCM211" s="2522"/>
      <c r="HCN211" s="2522"/>
      <c r="HCO211" s="2522"/>
      <c r="HCP211" s="2522"/>
      <c r="HCQ211" s="2522"/>
      <c r="HCR211" s="2522"/>
      <c r="HCS211" s="2522"/>
      <c r="HCT211" s="2522"/>
      <c r="HCU211" s="2522"/>
      <c r="HCV211" s="2522"/>
      <c r="HCW211" s="2522"/>
      <c r="HCX211" s="2522"/>
      <c r="HCY211" s="2522"/>
      <c r="HCZ211" s="2522"/>
      <c r="HDA211" s="2522"/>
      <c r="HDB211" s="2522"/>
      <c r="HDC211" s="2522"/>
      <c r="HDD211" s="2522"/>
      <c r="HDE211" s="2522"/>
      <c r="HDF211" s="2522"/>
      <c r="HDG211" s="2522"/>
      <c r="HDH211" s="2522"/>
      <c r="HDI211" s="2522"/>
      <c r="HDJ211" s="2522"/>
      <c r="HDK211" s="2522"/>
      <c r="HDL211" s="2522"/>
      <c r="HDM211" s="2522"/>
      <c r="HDN211" s="2522"/>
      <c r="HDO211" s="2522"/>
      <c r="HDP211" s="2522"/>
      <c r="HDQ211" s="2522"/>
      <c r="HDR211" s="2522"/>
      <c r="HDS211" s="2522"/>
      <c r="HDT211" s="2522"/>
      <c r="HDU211" s="2522"/>
      <c r="HDV211" s="2522"/>
      <c r="HDW211" s="2522"/>
      <c r="HDX211" s="2522"/>
      <c r="HDY211" s="2522"/>
      <c r="HDZ211" s="2522"/>
      <c r="HEA211" s="2522"/>
      <c r="HEB211" s="2522"/>
      <c r="HEC211" s="2522"/>
      <c r="HED211" s="2522"/>
      <c r="HEE211" s="2522"/>
      <c r="HEF211" s="2522"/>
      <c r="HEG211" s="2522"/>
      <c r="HEH211" s="2522"/>
      <c r="HEI211" s="2522"/>
      <c r="HEJ211" s="2522"/>
      <c r="HEK211" s="2522"/>
      <c r="HEL211" s="2522"/>
      <c r="HEM211" s="2522"/>
      <c r="HEN211" s="2522"/>
      <c r="HEO211" s="2522"/>
      <c r="HEP211" s="2522"/>
      <c r="HEQ211" s="2522"/>
      <c r="HER211" s="2522"/>
      <c r="HES211" s="2522"/>
      <c r="HET211" s="2522"/>
      <c r="HEU211" s="2522"/>
      <c r="HEV211" s="2522"/>
      <c r="HEW211" s="2522"/>
      <c r="HEX211" s="2522"/>
      <c r="HEY211" s="2522"/>
      <c r="HEZ211" s="2522"/>
      <c r="HFA211" s="2522"/>
      <c r="HFB211" s="2522"/>
      <c r="HFC211" s="2522"/>
      <c r="HFD211" s="2522"/>
      <c r="HFE211" s="2522"/>
      <c r="HFF211" s="2522"/>
      <c r="HFG211" s="2522"/>
      <c r="HFH211" s="2522"/>
      <c r="HFI211" s="2522"/>
      <c r="HFJ211" s="2522"/>
      <c r="HFK211" s="2522"/>
      <c r="HFL211" s="2522"/>
      <c r="HFM211" s="2522"/>
      <c r="HFN211" s="2522"/>
      <c r="HFO211" s="2522"/>
      <c r="HFP211" s="2522"/>
      <c r="HFQ211" s="2522"/>
      <c r="HFR211" s="2522"/>
      <c r="HFS211" s="2522"/>
      <c r="HFT211" s="2522"/>
      <c r="HFU211" s="2522"/>
      <c r="HFV211" s="2522"/>
      <c r="HFW211" s="2522"/>
      <c r="HFX211" s="2522"/>
      <c r="HFY211" s="2522"/>
      <c r="HFZ211" s="2522"/>
      <c r="HGA211" s="2522"/>
      <c r="HGB211" s="2522"/>
      <c r="HGC211" s="2522"/>
      <c r="HGD211" s="2522"/>
      <c r="HGE211" s="2522"/>
      <c r="HGF211" s="2522"/>
      <c r="HGG211" s="2522"/>
      <c r="HGH211" s="2522"/>
      <c r="HGI211" s="2522"/>
      <c r="HGJ211" s="2522"/>
      <c r="HGK211" s="2522"/>
      <c r="HGL211" s="2522"/>
      <c r="HGM211" s="2522"/>
      <c r="HGN211" s="2522"/>
      <c r="HGO211" s="2522"/>
      <c r="HGP211" s="2522"/>
      <c r="HGQ211" s="2522"/>
      <c r="HGR211" s="2522"/>
      <c r="HGS211" s="2522"/>
      <c r="HGT211" s="2522"/>
      <c r="HGU211" s="2522"/>
      <c r="HGV211" s="2522"/>
      <c r="HGW211" s="2522"/>
      <c r="HGX211" s="2522"/>
      <c r="HGY211" s="2522"/>
      <c r="HGZ211" s="2522"/>
      <c r="HHA211" s="2522"/>
      <c r="HHB211" s="2522"/>
      <c r="HHC211" s="2522"/>
      <c r="HHD211" s="2522"/>
      <c r="HHE211" s="2522"/>
      <c r="HHF211" s="2522"/>
      <c r="HHG211" s="2522"/>
      <c r="HHH211" s="2522"/>
      <c r="HHI211" s="2522"/>
      <c r="HHJ211" s="2522"/>
      <c r="HHK211" s="2522"/>
      <c r="HHL211" s="2522"/>
      <c r="HHM211" s="2522"/>
      <c r="HHN211" s="2522"/>
      <c r="HHO211" s="2522"/>
      <c r="HHP211" s="2522"/>
      <c r="HHQ211" s="2522"/>
      <c r="HHR211" s="2522"/>
      <c r="HHS211" s="2522"/>
      <c r="HHT211" s="2522"/>
      <c r="HHU211" s="2522"/>
      <c r="HHV211" s="2522"/>
      <c r="HHW211" s="2522"/>
      <c r="HHX211" s="2522"/>
      <c r="HHY211" s="2522"/>
      <c r="HHZ211" s="2522"/>
      <c r="HIA211" s="2522"/>
      <c r="HIB211" s="2522"/>
      <c r="HIC211" s="2522"/>
      <c r="HID211" s="2522"/>
      <c r="HIE211" s="2522"/>
      <c r="HIF211" s="2522"/>
      <c r="HIG211" s="2522"/>
      <c r="HIH211" s="2522"/>
      <c r="HII211" s="2522"/>
      <c r="HIJ211" s="2522"/>
      <c r="HIK211" s="2522"/>
      <c r="HIL211" s="2522"/>
      <c r="HIM211" s="2522"/>
      <c r="HIN211" s="2522"/>
      <c r="HIO211" s="2522"/>
      <c r="HIP211" s="2522"/>
      <c r="HIQ211" s="2522"/>
      <c r="HIR211" s="2522"/>
      <c r="HIS211" s="2522"/>
      <c r="HIT211" s="2522"/>
      <c r="HIU211" s="2522"/>
      <c r="HIV211" s="2522"/>
      <c r="HIW211" s="2522"/>
      <c r="HIX211" s="2522"/>
      <c r="HIY211" s="2522"/>
      <c r="HIZ211" s="2522"/>
      <c r="HJA211" s="2522"/>
      <c r="HJB211" s="2522"/>
      <c r="HJC211" s="2522"/>
      <c r="HJD211" s="2522"/>
      <c r="HJE211" s="2522"/>
      <c r="HJF211" s="2522"/>
      <c r="HJG211" s="2522"/>
      <c r="HJH211" s="2522"/>
      <c r="HJI211" s="2522"/>
      <c r="HJJ211" s="2522"/>
      <c r="HJK211" s="2522"/>
      <c r="HJL211" s="2522"/>
      <c r="HJM211" s="2522"/>
      <c r="HJN211" s="2522"/>
      <c r="HJO211" s="2522"/>
      <c r="HJP211" s="2522"/>
      <c r="HJQ211" s="2522"/>
      <c r="HJR211" s="2522"/>
      <c r="HJS211" s="2522"/>
      <c r="HJT211" s="2522"/>
      <c r="HJU211" s="2522"/>
      <c r="HJV211" s="2522"/>
      <c r="HJW211" s="2522"/>
      <c r="HJX211" s="2522"/>
      <c r="HJY211" s="2522"/>
      <c r="HJZ211" s="2522"/>
      <c r="HKA211" s="2522"/>
      <c r="HKB211" s="2522"/>
      <c r="HKC211" s="2522"/>
      <c r="HKD211" s="2522"/>
      <c r="HKE211" s="2522"/>
      <c r="HKF211" s="2522"/>
      <c r="HKG211" s="2522"/>
      <c r="HKH211" s="2522"/>
      <c r="HKI211" s="2522"/>
      <c r="HKJ211" s="2522"/>
      <c r="HKK211" s="2522"/>
      <c r="HKL211" s="2522"/>
      <c r="HKM211" s="2522"/>
      <c r="HKN211" s="2522"/>
      <c r="HKO211" s="2522"/>
      <c r="HKP211" s="2522"/>
      <c r="HKQ211" s="2522"/>
      <c r="HKR211" s="2522"/>
      <c r="HKS211" s="2522"/>
      <c r="HKT211" s="2522"/>
      <c r="HKU211" s="2522"/>
      <c r="HKV211" s="2522"/>
      <c r="HKW211" s="2522"/>
      <c r="HKX211" s="2522"/>
      <c r="HKY211" s="2522"/>
      <c r="HKZ211" s="2522"/>
      <c r="HLA211" s="2522"/>
      <c r="HLB211" s="2522"/>
      <c r="HLC211" s="2522"/>
      <c r="HLD211" s="2522"/>
      <c r="HLE211" s="2522"/>
      <c r="HLF211" s="2522"/>
      <c r="HLG211" s="2522"/>
      <c r="HLH211" s="2522"/>
      <c r="HLI211" s="2522"/>
      <c r="HLJ211" s="2522"/>
      <c r="HLK211" s="2522"/>
      <c r="HLL211" s="2522"/>
      <c r="HLM211" s="2522"/>
      <c r="HLN211" s="2522"/>
      <c r="HLO211" s="2522"/>
      <c r="HLP211" s="2522"/>
      <c r="HLQ211" s="2522"/>
      <c r="HLR211" s="2522"/>
      <c r="HLS211" s="2522"/>
      <c r="HLT211" s="2522"/>
      <c r="HLU211" s="2522"/>
      <c r="HLV211" s="2522"/>
      <c r="HLW211" s="2522"/>
      <c r="HLX211" s="2522"/>
      <c r="HLY211" s="2522"/>
      <c r="HLZ211" s="2522"/>
      <c r="HMA211" s="2522"/>
      <c r="HMB211" s="2522"/>
      <c r="HMC211" s="2522"/>
      <c r="HMD211" s="2522"/>
      <c r="HME211" s="2522"/>
      <c r="HMF211" s="2522"/>
      <c r="HMG211" s="2522"/>
      <c r="HMH211" s="2522"/>
      <c r="HMI211" s="2522"/>
      <c r="HMJ211" s="2522"/>
      <c r="HMK211" s="2522"/>
      <c r="HML211" s="2522"/>
      <c r="HMM211" s="2522"/>
      <c r="HMN211" s="2522"/>
      <c r="HMO211" s="2522"/>
      <c r="HMP211" s="2522"/>
      <c r="HMQ211" s="2522"/>
      <c r="HMR211" s="2522"/>
      <c r="HMS211" s="2522"/>
      <c r="HMT211" s="2522"/>
      <c r="HMU211" s="2522"/>
      <c r="HMV211" s="2522"/>
      <c r="HMW211" s="2522"/>
      <c r="HMX211" s="2522"/>
      <c r="HMY211" s="2522"/>
      <c r="HMZ211" s="2522"/>
      <c r="HNA211" s="2522"/>
      <c r="HNB211" s="2522"/>
      <c r="HNC211" s="2522"/>
      <c r="HND211" s="2522"/>
      <c r="HNE211" s="2522"/>
      <c r="HNF211" s="2522"/>
      <c r="HNG211" s="2522"/>
      <c r="HNH211" s="2522"/>
      <c r="HNI211" s="2522"/>
      <c r="HNJ211" s="2522"/>
      <c r="HNK211" s="2522"/>
      <c r="HNL211" s="2522"/>
      <c r="HNM211" s="2522"/>
      <c r="HNN211" s="2522"/>
      <c r="HNO211" s="2522"/>
      <c r="HNP211" s="2522"/>
      <c r="HNQ211" s="2522"/>
      <c r="HNR211" s="2522"/>
      <c r="HNS211" s="2522"/>
      <c r="HNT211" s="2522"/>
      <c r="HNU211" s="2522"/>
      <c r="HNV211" s="2522"/>
      <c r="HNW211" s="2522"/>
      <c r="HNX211" s="2522"/>
      <c r="HNY211" s="2522"/>
      <c r="HNZ211" s="2522"/>
      <c r="HOA211" s="2522"/>
      <c r="HOB211" s="2522"/>
      <c r="HOC211" s="2522"/>
      <c r="HOD211" s="2522"/>
      <c r="HOE211" s="2522"/>
      <c r="HOF211" s="2522"/>
      <c r="HOG211" s="2522"/>
      <c r="HOH211" s="2522"/>
      <c r="HOI211" s="2522"/>
      <c r="HOJ211" s="2522"/>
      <c r="HOK211" s="2522"/>
      <c r="HOL211" s="2522"/>
      <c r="HOM211" s="2522"/>
      <c r="HON211" s="2522"/>
      <c r="HOO211" s="2522"/>
      <c r="HOP211" s="2522"/>
      <c r="HOQ211" s="2522"/>
      <c r="HOR211" s="2522"/>
      <c r="HOS211" s="2522"/>
      <c r="HOT211" s="2522"/>
      <c r="HOU211" s="2522"/>
      <c r="HOV211" s="2522"/>
      <c r="HOW211" s="2522"/>
      <c r="HOX211" s="2522"/>
      <c r="HOY211" s="2522"/>
      <c r="HOZ211" s="2522"/>
      <c r="HPA211" s="2522"/>
      <c r="HPB211" s="2522"/>
      <c r="HPC211" s="2522"/>
      <c r="HPD211" s="2522"/>
      <c r="HPE211" s="2522"/>
      <c r="HPF211" s="2522"/>
      <c r="HPG211" s="2522"/>
      <c r="HPH211" s="2522"/>
      <c r="HPI211" s="2522"/>
      <c r="HPJ211" s="2522"/>
      <c r="HPK211" s="2522"/>
      <c r="HPL211" s="2522"/>
      <c r="HPM211" s="2522"/>
      <c r="HPN211" s="2522"/>
      <c r="HPO211" s="2522"/>
      <c r="HPP211" s="2522"/>
      <c r="HPQ211" s="2522"/>
      <c r="HPR211" s="2522"/>
      <c r="HPS211" s="2522"/>
      <c r="HPT211" s="2522"/>
      <c r="HPU211" s="2522"/>
      <c r="HPV211" s="2522"/>
      <c r="HPW211" s="2522"/>
      <c r="HPX211" s="2522"/>
      <c r="HPY211" s="2522"/>
      <c r="HPZ211" s="2522"/>
      <c r="HQA211" s="2522"/>
      <c r="HQB211" s="2522"/>
      <c r="HQC211" s="2522"/>
      <c r="HQD211" s="2522"/>
      <c r="HQE211" s="2522"/>
      <c r="HQF211" s="2522"/>
      <c r="HQG211" s="2522"/>
      <c r="HQH211" s="2522"/>
      <c r="HQI211" s="2522"/>
      <c r="HQJ211" s="2522"/>
      <c r="HQK211" s="2522"/>
      <c r="HQL211" s="2522"/>
      <c r="HQM211" s="2522"/>
      <c r="HQN211" s="2522"/>
      <c r="HQO211" s="2522"/>
      <c r="HQP211" s="2522"/>
      <c r="HQQ211" s="2522"/>
      <c r="HQR211" s="2522"/>
      <c r="HQS211" s="2522"/>
      <c r="HQT211" s="2522"/>
      <c r="HQU211" s="2522"/>
      <c r="HQV211" s="2522"/>
      <c r="HQW211" s="2522"/>
      <c r="HQX211" s="2522"/>
      <c r="HQY211" s="2522"/>
      <c r="HQZ211" s="2522"/>
      <c r="HRA211" s="2522"/>
      <c r="HRB211" s="2522"/>
      <c r="HRC211" s="2522"/>
      <c r="HRD211" s="2522"/>
      <c r="HRE211" s="2522"/>
      <c r="HRF211" s="2522"/>
      <c r="HRG211" s="2522"/>
      <c r="HRH211" s="2522"/>
      <c r="HRI211" s="2522"/>
      <c r="HRJ211" s="2522"/>
      <c r="HRK211" s="2522"/>
      <c r="HRL211" s="2522"/>
      <c r="HRM211" s="2522"/>
      <c r="HRN211" s="2522"/>
      <c r="HRO211" s="2522"/>
      <c r="HRP211" s="2522"/>
      <c r="HRQ211" s="2522"/>
      <c r="HRR211" s="2522"/>
      <c r="HRS211" s="2522"/>
      <c r="HRT211" s="2522"/>
      <c r="HRU211" s="2522"/>
      <c r="HRV211" s="2522"/>
      <c r="HRW211" s="2522"/>
      <c r="HRX211" s="2522"/>
      <c r="HRY211" s="2522"/>
      <c r="HRZ211" s="2522"/>
      <c r="HSA211" s="2522"/>
      <c r="HSB211" s="2522"/>
      <c r="HSC211" s="2522"/>
      <c r="HSD211" s="2522"/>
      <c r="HSE211" s="2522"/>
      <c r="HSF211" s="2522"/>
      <c r="HSG211" s="2522"/>
      <c r="HSH211" s="2522"/>
      <c r="HSI211" s="2522"/>
      <c r="HSJ211" s="2522"/>
      <c r="HSK211" s="2522"/>
      <c r="HSL211" s="2522"/>
      <c r="HSM211" s="2522"/>
      <c r="HSN211" s="2522"/>
      <c r="HSO211" s="2522"/>
      <c r="HSP211" s="2522"/>
      <c r="HSQ211" s="2522"/>
      <c r="HSR211" s="2522"/>
      <c r="HSS211" s="2522"/>
      <c r="HST211" s="2522"/>
      <c r="HSU211" s="2522"/>
      <c r="HSV211" s="2522"/>
      <c r="HSW211" s="2522"/>
      <c r="HSX211" s="2522"/>
      <c r="HSY211" s="2522"/>
      <c r="HSZ211" s="2522"/>
      <c r="HTA211" s="2522"/>
      <c r="HTB211" s="2522"/>
      <c r="HTC211" s="2522"/>
      <c r="HTD211" s="2522"/>
      <c r="HTE211" s="2522"/>
      <c r="HTF211" s="2522"/>
      <c r="HTG211" s="2522"/>
      <c r="HTH211" s="2522"/>
      <c r="HTI211" s="2522"/>
      <c r="HTJ211" s="2522"/>
      <c r="HTK211" s="2522"/>
      <c r="HTL211" s="2522"/>
      <c r="HTM211" s="2522"/>
      <c r="HTN211" s="2522"/>
      <c r="HTO211" s="2522"/>
      <c r="HTP211" s="2522"/>
      <c r="HTQ211" s="2522"/>
      <c r="HTR211" s="2522"/>
      <c r="HTS211" s="2522"/>
      <c r="HTT211" s="2522"/>
      <c r="HTU211" s="2522"/>
      <c r="HTV211" s="2522"/>
      <c r="HTW211" s="2522"/>
      <c r="HTX211" s="2522"/>
      <c r="HTY211" s="2522"/>
      <c r="HTZ211" s="2522"/>
      <c r="HUA211" s="2522"/>
      <c r="HUB211" s="2522"/>
      <c r="HUC211" s="2522"/>
      <c r="HUD211" s="2522"/>
      <c r="HUE211" s="2522"/>
      <c r="HUF211" s="2522"/>
      <c r="HUG211" s="2522"/>
      <c r="HUH211" s="2522"/>
      <c r="HUI211" s="2522"/>
      <c r="HUJ211" s="2522"/>
      <c r="HUK211" s="2522"/>
      <c r="HUL211" s="2522"/>
      <c r="HUM211" s="2522"/>
      <c r="HUN211" s="2522"/>
      <c r="HUO211" s="2522"/>
      <c r="HUP211" s="2522"/>
      <c r="HUQ211" s="2522"/>
      <c r="HUR211" s="2522"/>
      <c r="HUS211" s="2522"/>
      <c r="HUT211" s="2522"/>
      <c r="HUU211" s="2522"/>
      <c r="HUV211" s="2522"/>
      <c r="HUW211" s="2522"/>
      <c r="HUX211" s="2522"/>
      <c r="HUY211" s="2522"/>
      <c r="HUZ211" s="2522"/>
      <c r="HVA211" s="2522"/>
      <c r="HVB211" s="2522"/>
      <c r="HVC211" s="2522"/>
      <c r="HVD211" s="2522"/>
      <c r="HVE211" s="2522"/>
      <c r="HVF211" s="2522"/>
      <c r="HVG211" s="2522"/>
      <c r="HVH211" s="2522"/>
      <c r="HVI211" s="2522"/>
      <c r="HVJ211" s="2522"/>
      <c r="HVK211" s="2522"/>
      <c r="HVL211" s="2522"/>
      <c r="HVM211" s="2522"/>
      <c r="HVN211" s="2522"/>
      <c r="HVO211" s="2522"/>
      <c r="HVP211" s="2522"/>
      <c r="HVQ211" s="2522"/>
      <c r="HVR211" s="2522"/>
      <c r="HVS211" s="2522"/>
      <c r="HVT211" s="2522"/>
      <c r="HVU211" s="2522"/>
      <c r="HVV211" s="2522"/>
      <c r="HVW211" s="2522"/>
      <c r="HVX211" s="2522"/>
      <c r="HVY211" s="2522"/>
      <c r="HVZ211" s="2522"/>
      <c r="HWA211" s="2522"/>
      <c r="HWB211" s="2522"/>
      <c r="HWC211" s="2522"/>
      <c r="HWD211" s="2522"/>
      <c r="HWE211" s="2522"/>
      <c r="HWF211" s="2522"/>
      <c r="HWG211" s="2522"/>
      <c r="HWH211" s="2522"/>
      <c r="HWI211" s="2522"/>
      <c r="HWJ211" s="2522"/>
      <c r="HWK211" s="2522"/>
      <c r="HWL211" s="2522"/>
      <c r="HWM211" s="2522"/>
      <c r="HWN211" s="2522"/>
      <c r="HWO211" s="2522"/>
      <c r="HWP211" s="2522"/>
      <c r="HWQ211" s="2522"/>
      <c r="HWR211" s="2522"/>
      <c r="HWS211" s="2522"/>
      <c r="HWT211" s="2522"/>
      <c r="HWU211" s="2522"/>
      <c r="HWV211" s="2522"/>
      <c r="HWW211" s="2522"/>
      <c r="HWX211" s="2522"/>
      <c r="HWY211" s="2522"/>
      <c r="HWZ211" s="2522"/>
      <c r="HXA211" s="2522"/>
      <c r="HXB211" s="2522"/>
      <c r="HXC211" s="2522"/>
      <c r="HXD211" s="2522"/>
      <c r="HXE211" s="2522"/>
      <c r="HXF211" s="2522"/>
      <c r="HXG211" s="2522"/>
      <c r="HXH211" s="2522"/>
      <c r="HXI211" s="2522"/>
      <c r="HXJ211" s="2522"/>
      <c r="HXK211" s="2522"/>
      <c r="HXL211" s="2522"/>
      <c r="HXM211" s="2522"/>
      <c r="HXN211" s="2522"/>
      <c r="HXO211" s="2522"/>
      <c r="HXP211" s="2522"/>
      <c r="HXQ211" s="2522"/>
      <c r="HXR211" s="2522"/>
      <c r="HXS211" s="2522"/>
      <c r="HXT211" s="2522"/>
      <c r="HXU211" s="2522"/>
      <c r="HXV211" s="2522"/>
      <c r="HXW211" s="2522"/>
      <c r="HXX211" s="2522"/>
      <c r="HXY211" s="2522"/>
      <c r="HXZ211" s="2522"/>
      <c r="HYA211" s="2522"/>
      <c r="HYB211" s="2522"/>
      <c r="HYC211" s="2522"/>
      <c r="HYD211" s="2522"/>
      <c r="HYE211" s="2522"/>
      <c r="HYF211" s="2522"/>
      <c r="HYG211" s="2522"/>
      <c r="HYH211" s="2522"/>
      <c r="HYI211" s="2522"/>
      <c r="HYJ211" s="2522"/>
      <c r="HYK211" s="2522"/>
      <c r="HYL211" s="2522"/>
      <c r="HYM211" s="2522"/>
      <c r="HYN211" s="2522"/>
      <c r="HYO211" s="2522"/>
      <c r="HYP211" s="2522"/>
      <c r="HYQ211" s="2522"/>
      <c r="HYR211" s="2522"/>
      <c r="HYS211" s="2522"/>
      <c r="HYT211" s="2522"/>
      <c r="HYU211" s="2522"/>
      <c r="HYV211" s="2522"/>
      <c r="HYW211" s="2522"/>
      <c r="HYX211" s="2522"/>
      <c r="HYY211" s="2522"/>
      <c r="HYZ211" s="2522"/>
      <c r="HZA211" s="2522"/>
      <c r="HZB211" s="2522"/>
      <c r="HZC211" s="2522"/>
      <c r="HZD211" s="2522"/>
      <c r="HZE211" s="2522"/>
      <c r="HZF211" s="2522"/>
      <c r="HZG211" s="2522"/>
      <c r="HZH211" s="2522"/>
      <c r="HZI211" s="2522"/>
      <c r="HZJ211" s="2522"/>
      <c r="HZK211" s="2522"/>
      <c r="HZL211" s="2522"/>
      <c r="HZM211" s="2522"/>
      <c r="HZN211" s="2522"/>
      <c r="HZO211" s="2522"/>
      <c r="HZP211" s="2522"/>
      <c r="HZQ211" s="2522"/>
      <c r="HZR211" s="2522"/>
      <c r="HZS211" s="2522"/>
      <c r="HZT211" s="2522"/>
      <c r="HZU211" s="2522"/>
      <c r="HZV211" s="2522"/>
      <c r="HZW211" s="2522"/>
      <c r="HZX211" s="2522"/>
      <c r="HZY211" s="2522"/>
      <c r="HZZ211" s="2522"/>
      <c r="IAA211" s="2522"/>
      <c r="IAB211" s="2522"/>
      <c r="IAC211" s="2522"/>
      <c r="IAD211" s="2522"/>
      <c r="IAE211" s="2522"/>
      <c r="IAF211" s="2522"/>
      <c r="IAG211" s="2522"/>
      <c r="IAH211" s="2522"/>
      <c r="IAI211" s="2522"/>
      <c r="IAJ211" s="2522"/>
      <c r="IAK211" s="2522"/>
      <c r="IAL211" s="2522"/>
      <c r="IAM211" s="2522"/>
      <c r="IAN211" s="2522"/>
      <c r="IAO211" s="2522"/>
      <c r="IAP211" s="2522"/>
      <c r="IAQ211" s="2522"/>
      <c r="IAR211" s="2522"/>
      <c r="IAS211" s="2522"/>
      <c r="IAT211" s="2522"/>
      <c r="IAU211" s="2522"/>
      <c r="IAV211" s="2522"/>
      <c r="IAW211" s="2522"/>
      <c r="IAX211" s="2522"/>
      <c r="IAY211" s="2522"/>
      <c r="IAZ211" s="2522"/>
      <c r="IBA211" s="2522"/>
      <c r="IBB211" s="2522"/>
      <c r="IBC211" s="2522"/>
      <c r="IBD211" s="2522"/>
      <c r="IBE211" s="2522"/>
      <c r="IBF211" s="2522"/>
      <c r="IBG211" s="2522"/>
      <c r="IBH211" s="2522"/>
      <c r="IBI211" s="2522"/>
      <c r="IBJ211" s="2522"/>
      <c r="IBK211" s="2522"/>
      <c r="IBL211" s="2522"/>
      <c r="IBM211" s="2522"/>
      <c r="IBN211" s="2522"/>
      <c r="IBO211" s="2522"/>
      <c r="IBP211" s="2522"/>
      <c r="IBQ211" s="2522"/>
      <c r="IBR211" s="2522"/>
      <c r="IBS211" s="2522"/>
      <c r="IBT211" s="2522"/>
      <c r="IBU211" s="2522"/>
      <c r="IBV211" s="2522"/>
      <c r="IBW211" s="2522"/>
      <c r="IBX211" s="2522"/>
      <c r="IBY211" s="2522"/>
      <c r="IBZ211" s="2522"/>
      <c r="ICA211" s="2522"/>
      <c r="ICB211" s="2522"/>
      <c r="ICC211" s="2522"/>
      <c r="ICD211" s="2522"/>
      <c r="ICE211" s="2522"/>
      <c r="ICF211" s="2522"/>
      <c r="ICG211" s="2522"/>
      <c r="ICH211" s="2522"/>
      <c r="ICI211" s="2522"/>
      <c r="ICJ211" s="2522"/>
      <c r="ICK211" s="2522"/>
      <c r="ICL211" s="2522"/>
      <c r="ICM211" s="2522"/>
      <c r="ICN211" s="2522"/>
      <c r="ICO211" s="2522"/>
      <c r="ICP211" s="2522"/>
      <c r="ICQ211" s="2522"/>
      <c r="ICR211" s="2522"/>
      <c r="ICS211" s="2522"/>
      <c r="ICT211" s="2522"/>
      <c r="ICU211" s="2522"/>
      <c r="ICV211" s="2522"/>
      <c r="ICW211" s="2522"/>
      <c r="ICX211" s="2522"/>
      <c r="ICY211" s="2522"/>
      <c r="ICZ211" s="2522"/>
      <c r="IDA211" s="2522"/>
      <c r="IDB211" s="2522"/>
      <c r="IDC211" s="2522"/>
      <c r="IDD211" s="2522"/>
      <c r="IDE211" s="2522"/>
      <c r="IDF211" s="2522"/>
      <c r="IDG211" s="2522"/>
      <c r="IDH211" s="2522"/>
      <c r="IDI211" s="2522"/>
      <c r="IDJ211" s="2522"/>
      <c r="IDK211" s="2522"/>
      <c r="IDL211" s="2522"/>
      <c r="IDM211" s="2522"/>
      <c r="IDN211" s="2522"/>
      <c r="IDO211" s="2522"/>
      <c r="IDP211" s="2522"/>
      <c r="IDQ211" s="2522"/>
      <c r="IDR211" s="2522"/>
      <c r="IDS211" s="2522"/>
      <c r="IDT211" s="2522"/>
      <c r="IDU211" s="2522"/>
      <c r="IDV211" s="2522"/>
      <c r="IDW211" s="2522"/>
      <c r="IDX211" s="2522"/>
      <c r="IDY211" s="2522"/>
      <c r="IDZ211" s="2522"/>
      <c r="IEA211" s="2522"/>
      <c r="IEB211" s="2522"/>
      <c r="IEC211" s="2522"/>
      <c r="IED211" s="2522"/>
      <c r="IEE211" s="2522"/>
      <c r="IEF211" s="2522"/>
      <c r="IEG211" s="2522"/>
      <c r="IEH211" s="2522"/>
      <c r="IEI211" s="2522"/>
      <c r="IEJ211" s="2522"/>
      <c r="IEK211" s="2522"/>
      <c r="IEL211" s="2522"/>
      <c r="IEM211" s="2522"/>
      <c r="IEN211" s="2522"/>
      <c r="IEO211" s="2522"/>
      <c r="IEP211" s="2522"/>
      <c r="IEQ211" s="2522"/>
      <c r="IER211" s="2522"/>
      <c r="IES211" s="2522"/>
      <c r="IET211" s="2522"/>
      <c r="IEU211" s="2522"/>
      <c r="IEV211" s="2522"/>
      <c r="IEW211" s="2522"/>
      <c r="IEX211" s="2522"/>
      <c r="IEY211" s="2522"/>
      <c r="IEZ211" s="2522"/>
      <c r="IFA211" s="2522"/>
      <c r="IFB211" s="2522"/>
      <c r="IFC211" s="2522"/>
      <c r="IFD211" s="2522"/>
      <c r="IFE211" s="2522"/>
      <c r="IFF211" s="2522"/>
      <c r="IFG211" s="2522"/>
      <c r="IFH211" s="2522"/>
      <c r="IFI211" s="2522"/>
      <c r="IFJ211" s="2522"/>
      <c r="IFK211" s="2522"/>
      <c r="IFL211" s="2522"/>
      <c r="IFM211" s="2522"/>
      <c r="IFN211" s="2522"/>
      <c r="IFO211" s="2522"/>
      <c r="IFP211" s="2522"/>
      <c r="IFQ211" s="2522"/>
      <c r="IFR211" s="2522"/>
      <c r="IFS211" s="2522"/>
      <c r="IFT211" s="2522"/>
      <c r="IFU211" s="2522"/>
      <c r="IFV211" s="2522"/>
      <c r="IFW211" s="2522"/>
      <c r="IFX211" s="2522"/>
      <c r="IFY211" s="2522"/>
      <c r="IFZ211" s="2522"/>
      <c r="IGA211" s="2522"/>
      <c r="IGB211" s="2522"/>
      <c r="IGC211" s="2522"/>
      <c r="IGD211" s="2522"/>
      <c r="IGE211" s="2522"/>
      <c r="IGF211" s="2522"/>
      <c r="IGG211" s="2522"/>
      <c r="IGH211" s="2522"/>
      <c r="IGI211" s="2522"/>
      <c r="IGJ211" s="2522"/>
      <c r="IGK211" s="2522"/>
      <c r="IGL211" s="2522"/>
      <c r="IGM211" s="2522"/>
      <c r="IGN211" s="2522"/>
      <c r="IGO211" s="2522"/>
      <c r="IGP211" s="2522"/>
      <c r="IGQ211" s="2522"/>
      <c r="IGR211" s="2522"/>
      <c r="IGS211" s="2522"/>
      <c r="IGT211" s="2522"/>
      <c r="IGU211" s="2522"/>
      <c r="IGV211" s="2522"/>
      <c r="IGW211" s="2522"/>
      <c r="IGX211" s="2522"/>
      <c r="IGY211" s="2522"/>
      <c r="IGZ211" s="2522"/>
      <c r="IHA211" s="2522"/>
      <c r="IHB211" s="2522"/>
      <c r="IHC211" s="2522"/>
      <c r="IHD211" s="2522"/>
      <c r="IHE211" s="2522"/>
      <c r="IHF211" s="2522"/>
      <c r="IHG211" s="2522"/>
      <c r="IHH211" s="2522"/>
      <c r="IHI211" s="2522"/>
      <c r="IHJ211" s="2522"/>
      <c r="IHK211" s="2522"/>
      <c r="IHL211" s="2522"/>
      <c r="IHM211" s="2522"/>
      <c r="IHN211" s="2522"/>
      <c r="IHO211" s="2522"/>
      <c r="IHP211" s="2522"/>
      <c r="IHQ211" s="2522"/>
      <c r="IHR211" s="2522"/>
      <c r="IHS211" s="2522"/>
      <c r="IHT211" s="2522"/>
      <c r="IHU211" s="2522"/>
      <c r="IHV211" s="2522"/>
      <c r="IHW211" s="2522"/>
      <c r="IHX211" s="2522"/>
      <c r="IHY211" s="2522"/>
      <c r="IHZ211" s="2522"/>
      <c r="IIA211" s="2522"/>
      <c r="IIB211" s="2522"/>
      <c r="IIC211" s="2522"/>
      <c r="IID211" s="2522"/>
      <c r="IIE211" s="2522"/>
      <c r="IIF211" s="2522"/>
      <c r="IIG211" s="2522"/>
      <c r="IIH211" s="2522"/>
      <c r="III211" s="2522"/>
      <c r="IIJ211" s="2522"/>
      <c r="IIK211" s="2522"/>
      <c r="IIL211" s="2522"/>
      <c r="IIM211" s="2522"/>
      <c r="IIN211" s="2522"/>
      <c r="IIO211" s="2522"/>
      <c r="IIP211" s="2522"/>
      <c r="IIQ211" s="2522"/>
      <c r="IIR211" s="2522"/>
      <c r="IIS211" s="2522"/>
      <c r="IIT211" s="2522"/>
      <c r="IIU211" s="2522"/>
      <c r="IIV211" s="2522"/>
      <c r="IIW211" s="2522"/>
      <c r="IIX211" s="2522"/>
      <c r="IIY211" s="2522"/>
      <c r="IIZ211" s="2522"/>
      <c r="IJA211" s="2522"/>
      <c r="IJB211" s="2522"/>
      <c r="IJC211" s="2522"/>
      <c r="IJD211" s="2522"/>
      <c r="IJE211" s="2522"/>
      <c r="IJF211" s="2522"/>
      <c r="IJG211" s="2522"/>
      <c r="IJH211" s="2522"/>
      <c r="IJI211" s="2522"/>
      <c r="IJJ211" s="2522"/>
      <c r="IJK211" s="2522"/>
      <c r="IJL211" s="2522"/>
      <c r="IJM211" s="2522"/>
      <c r="IJN211" s="2522"/>
      <c r="IJO211" s="2522"/>
      <c r="IJP211" s="2522"/>
      <c r="IJQ211" s="2522"/>
      <c r="IJR211" s="2522"/>
      <c r="IJS211" s="2522"/>
      <c r="IJT211" s="2522"/>
      <c r="IJU211" s="2522"/>
      <c r="IJV211" s="2522"/>
      <c r="IJW211" s="2522"/>
      <c r="IJX211" s="2522"/>
      <c r="IJY211" s="2522"/>
      <c r="IJZ211" s="2522"/>
      <c r="IKA211" s="2522"/>
      <c r="IKB211" s="2522"/>
      <c r="IKC211" s="2522"/>
      <c r="IKD211" s="2522"/>
      <c r="IKE211" s="2522"/>
      <c r="IKF211" s="2522"/>
      <c r="IKG211" s="2522"/>
      <c r="IKH211" s="2522"/>
      <c r="IKI211" s="2522"/>
      <c r="IKJ211" s="2522"/>
      <c r="IKK211" s="2522"/>
      <c r="IKL211" s="2522"/>
      <c r="IKM211" s="2522"/>
      <c r="IKN211" s="2522"/>
      <c r="IKO211" s="2522"/>
      <c r="IKP211" s="2522"/>
      <c r="IKQ211" s="2522"/>
      <c r="IKR211" s="2522"/>
      <c r="IKS211" s="2522"/>
      <c r="IKT211" s="2522"/>
      <c r="IKU211" s="2522"/>
      <c r="IKV211" s="2522"/>
      <c r="IKW211" s="2522"/>
      <c r="IKX211" s="2522"/>
      <c r="IKY211" s="2522"/>
      <c r="IKZ211" s="2522"/>
      <c r="ILA211" s="2522"/>
      <c r="ILB211" s="2522"/>
      <c r="ILC211" s="2522"/>
      <c r="ILD211" s="2522"/>
      <c r="ILE211" s="2522"/>
      <c r="ILF211" s="2522"/>
      <c r="ILG211" s="2522"/>
      <c r="ILH211" s="2522"/>
      <c r="ILI211" s="2522"/>
      <c r="ILJ211" s="2522"/>
      <c r="ILK211" s="2522"/>
      <c r="ILL211" s="2522"/>
      <c r="ILM211" s="2522"/>
      <c r="ILN211" s="2522"/>
      <c r="ILO211" s="2522"/>
      <c r="ILP211" s="2522"/>
      <c r="ILQ211" s="2522"/>
      <c r="ILR211" s="2522"/>
      <c r="ILS211" s="2522"/>
      <c r="ILT211" s="2522"/>
      <c r="ILU211" s="2522"/>
      <c r="ILV211" s="2522"/>
      <c r="ILW211" s="2522"/>
      <c r="ILX211" s="2522"/>
      <c r="ILY211" s="2522"/>
      <c r="ILZ211" s="2522"/>
      <c r="IMA211" s="2522"/>
      <c r="IMB211" s="2522"/>
      <c r="IMC211" s="2522"/>
      <c r="IMD211" s="2522"/>
      <c r="IME211" s="2522"/>
      <c r="IMF211" s="2522"/>
      <c r="IMG211" s="2522"/>
      <c r="IMH211" s="2522"/>
      <c r="IMI211" s="2522"/>
      <c r="IMJ211" s="2522"/>
      <c r="IMK211" s="2522"/>
      <c r="IML211" s="2522"/>
      <c r="IMM211" s="2522"/>
      <c r="IMN211" s="2522"/>
      <c r="IMO211" s="2522"/>
      <c r="IMP211" s="2522"/>
      <c r="IMQ211" s="2522"/>
      <c r="IMR211" s="2522"/>
      <c r="IMS211" s="2522"/>
      <c r="IMT211" s="2522"/>
      <c r="IMU211" s="2522"/>
      <c r="IMV211" s="2522"/>
      <c r="IMW211" s="2522"/>
      <c r="IMX211" s="2522"/>
      <c r="IMY211" s="2522"/>
      <c r="IMZ211" s="2522"/>
      <c r="INA211" s="2522"/>
      <c r="INB211" s="2522"/>
      <c r="INC211" s="2522"/>
      <c r="IND211" s="2522"/>
      <c r="INE211" s="2522"/>
      <c r="INF211" s="2522"/>
      <c r="ING211" s="2522"/>
      <c r="INH211" s="2522"/>
      <c r="INI211" s="2522"/>
      <c r="INJ211" s="2522"/>
      <c r="INK211" s="2522"/>
      <c r="INL211" s="2522"/>
      <c r="INM211" s="2522"/>
      <c r="INN211" s="2522"/>
      <c r="INO211" s="2522"/>
      <c r="INP211" s="2522"/>
      <c r="INQ211" s="2522"/>
      <c r="INR211" s="2522"/>
      <c r="INS211" s="2522"/>
      <c r="INT211" s="2522"/>
      <c r="INU211" s="2522"/>
      <c r="INV211" s="2522"/>
      <c r="INW211" s="2522"/>
      <c r="INX211" s="2522"/>
      <c r="INY211" s="2522"/>
      <c r="INZ211" s="2522"/>
      <c r="IOA211" s="2522"/>
      <c r="IOB211" s="2522"/>
      <c r="IOC211" s="2522"/>
      <c r="IOD211" s="2522"/>
      <c r="IOE211" s="2522"/>
      <c r="IOF211" s="2522"/>
      <c r="IOG211" s="2522"/>
      <c r="IOH211" s="2522"/>
      <c r="IOI211" s="2522"/>
      <c r="IOJ211" s="2522"/>
      <c r="IOK211" s="2522"/>
      <c r="IOL211" s="2522"/>
      <c r="IOM211" s="2522"/>
      <c r="ION211" s="2522"/>
      <c r="IOO211" s="2522"/>
      <c r="IOP211" s="2522"/>
      <c r="IOQ211" s="2522"/>
      <c r="IOR211" s="2522"/>
      <c r="IOS211" s="2522"/>
      <c r="IOT211" s="2522"/>
      <c r="IOU211" s="2522"/>
      <c r="IOV211" s="2522"/>
      <c r="IOW211" s="2522"/>
      <c r="IOX211" s="2522"/>
      <c r="IOY211" s="2522"/>
      <c r="IOZ211" s="2522"/>
      <c r="IPA211" s="2522"/>
      <c r="IPB211" s="2522"/>
      <c r="IPC211" s="2522"/>
      <c r="IPD211" s="2522"/>
      <c r="IPE211" s="2522"/>
      <c r="IPF211" s="2522"/>
      <c r="IPG211" s="2522"/>
      <c r="IPH211" s="2522"/>
      <c r="IPI211" s="2522"/>
      <c r="IPJ211" s="2522"/>
      <c r="IPK211" s="2522"/>
      <c r="IPL211" s="2522"/>
      <c r="IPM211" s="2522"/>
      <c r="IPN211" s="2522"/>
      <c r="IPO211" s="2522"/>
      <c r="IPP211" s="2522"/>
      <c r="IPQ211" s="2522"/>
      <c r="IPR211" s="2522"/>
      <c r="IPS211" s="2522"/>
      <c r="IPT211" s="2522"/>
      <c r="IPU211" s="2522"/>
      <c r="IPV211" s="2522"/>
      <c r="IPW211" s="2522"/>
      <c r="IPX211" s="2522"/>
      <c r="IPY211" s="2522"/>
      <c r="IPZ211" s="2522"/>
      <c r="IQA211" s="2522"/>
      <c r="IQB211" s="2522"/>
      <c r="IQC211" s="2522"/>
      <c r="IQD211" s="2522"/>
      <c r="IQE211" s="2522"/>
      <c r="IQF211" s="2522"/>
      <c r="IQG211" s="2522"/>
      <c r="IQH211" s="2522"/>
      <c r="IQI211" s="2522"/>
      <c r="IQJ211" s="2522"/>
      <c r="IQK211" s="2522"/>
      <c r="IQL211" s="2522"/>
      <c r="IQM211" s="2522"/>
      <c r="IQN211" s="2522"/>
      <c r="IQO211" s="2522"/>
      <c r="IQP211" s="2522"/>
      <c r="IQQ211" s="2522"/>
      <c r="IQR211" s="2522"/>
      <c r="IQS211" s="2522"/>
      <c r="IQT211" s="2522"/>
      <c r="IQU211" s="2522"/>
      <c r="IQV211" s="2522"/>
      <c r="IQW211" s="2522"/>
      <c r="IQX211" s="2522"/>
      <c r="IQY211" s="2522"/>
      <c r="IQZ211" s="2522"/>
      <c r="IRA211" s="2522"/>
      <c r="IRB211" s="2522"/>
      <c r="IRC211" s="2522"/>
      <c r="IRD211" s="2522"/>
      <c r="IRE211" s="2522"/>
      <c r="IRF211" s="2522"/>
      <c r="IRG211" s="2522"/>
      <c r="IRH211" s="2522"/>
      <c r="IRI211" s="2522"/>
      <c r="IRJ211" s="2522"/>
      <c r="IRK211" s="2522"/>
      <c r="IRL211" s="2522"/>
      <c r="IRM211" s="2522"/>
      <c r="IRN211" s="2522"/>
      <c r="IRO211" s="2522"/>
      <c r="IRP211" s="2522"/>
      <c r="IRQ211" s="2522"/>
      <c r="IRR211" s="2522"/>
      <c r="IRS211" s="2522"/>
      <c r="IRT211" s="2522"/>
      <c r="IRU211" s="2522"/>
      <c r="IRV211" s="2522"/>
      <c r="IRW211" s="2522"/>
      <c r="IRX211" s="2522"/>
      <c r="IRY211" s="2522"/>
      <c r="IRZ211" s="2522"/>
      <c r="ISA211" s="2522"/>
      <c r="ISB211" s="2522"/>
      <c r="ISC211" s="2522"/>
      <c r="ISD211" s="2522"/>
      <c r="ISE211" s="2522"/>
      <c r="ISF211" s="2522"/>
      <c r="ISG211" s="2522"/>
      <c r="ISH211" s="2522"/>
      <c r="ISI211" s="2522"/>
      <c r="ISJ211" s="2522"/>
      <c r="ISK211" s="2522"/>
      <c r="ISL211" s="2522"/>
      <c r="ISM211" s="2522"/>
      <c r="ISN211" s="2522"/>
      <c r="ISO211" s="2522"/>
      <c r="ISP211" s="2522"/>
      <c r="ISQ211" s="2522"/>
      <c r="ISR211" s="2522"/>
      <c r="ISS211" s="2522"/>
      <c r="IST211" s="2522"/>
      <c r="ISU211" s="2522"/>
      <c r="ISV211" s="2522"/>
      <c r="ISW211" s="2522"/>
      <c r="ISX211" s="2522"/>
      <c r="ISY211" s="2522"/>
      <c r="ISZ211" s="2522"/>
      <c r="ITA211" s="2522"/>
      <c r="ITB211" s="2522"/>
      <c r="ITC211" s="2522"/>
      <c r="ITD211" s="2522"/>
      <c r="ITE211" s="2522"/>
      <c r="ITF211" s="2522"/>
      <c r="ITG211" s="2522"/>
      <c r="ITH211" s="2522"/>
      <c r="ITI211" s="2522"/>
      <c r="ITJ211" s="2522"/>
      <c r="ITK211" s="2522"/>
      <c r="ITL211" s="2522"/>
      <c r="ITM211" s="2522"/>
      <c r="ITN211" s="2522"/>
      <c r="ITO211" s="2522"/>
      <c r="ITP211" s="2522"/>
      <c r="ITQ211" s="2522"/>
      <c r="ITR211" s="2522"/>
      <c r="ITS211" s="2522"/>
      <c r="ITT211" s="2522"/>
      <c r="ITU211" s="2522"/>
      <c r="ITV211" s="2522"/>
      <c r="ITW211" s="2522"/>
      <c r="ITX211" s="2522"/>
      <c r="ITY211" s="2522"/>
      <c r="ITZ211" s="2522"/>
      <c r="IUA211" s="2522"/>
      <c r="IUB211" s="2522"/>
      <c r="IUC211" s="2522"/>
      <c r="IUD211" s="2522"/>
      <c r="IUE211" s="2522"/>
      <c r="IUF211" s="2522"/>
      <c r="IUG211" s="2522"/>
      <c r="IUH211" s="2522"/>
      <c r="IUI211" s="2522"/>
      <c r="IUJ211" s="2522"/>
      <c r="IUK211" s="2522"/>
      <c r="IUL211" s="2522"/>
      <c r="IUM211" s="2522"/>
      <c r="IUN211" s="2522"/>
      <c r="IUO211" s="2522"/>
      <c r="IUP211" s="2522"/>
      <c r="IUQ211" s="2522"/>
      <c r="IUR211" s="2522"/>
      <c r="IUS211" s="2522"/>
      <c r="IUT211" s="2522"/>
      <c r="IUU211" s="2522"/>
      <c r="IUV211" s="2522"/>
      <c r="IUW211" s="2522"/>
      <c r="IUX211" s="2522"/>
      <c r="IUY211" s="2522"/>
      <c r="IUZ211" s="2522"/>
      <c r="IVA211" s="2522"/>
      <c r="IVB211" s="2522"/>
      <c r="IVC211" s="2522"/>
      <c r="IVD211" s="2522"/>
      <c r="IVE211" s="2522"/>
      <c r="IVF211" s="2522"/>
      <c r="IVG211" s="2522"/>
      <c r="IVH211" s="2522"/>
      <c r="IVI211" s="2522"/>
      <c r="IVJ211" s="2522"/>
      <c r="IVK211" s="2522"/>
      <c r="IVL211" s="2522"/>
      <c r="IVM211" s="2522"/>
      <c r="IVN211" s="2522"/>
      <c r="IVO211" s="2522"/>
      <c r="IVP211" s="2522"/>
      <c r="IVQ211" s="2522"/>
      <c r="IVR211" s="2522"/>
      <c r="IVS211" s="2522"/>
      <c r="IVT211" s="2522"/>
      <c r="IVU211" s="2522"/>
      <c r="IVV211" s="2522"/>
      <c r="IVW211" s="2522"/>
      <c r="IVX211" s="2522"/>
      <c r="IVY211" s="2522"/>
      <c r="IVZ211" s="2522"/>
      <c r="IWA211" s="2522"/>
      <c r="IWB211" s="2522"/>
      <c r="IWC211" s="2522"/>
      <c r="IWD211" s="2522"/>
      <c r="IWE211" s="2522"/>
      <c r="IWF211" s="2522"/>
      <c r="IWG211" s="2522"/>
      <c r="IWH211" s="2522"/>
      <c r="IWI211" s="2522"/>
      <c r="IWJ211" s="2522"/>
      <c r="IWK211" s="2522"/>
      <c r="IWL211" s="2522"/>
      <c r="IWM211" s="2522"/>
      <c r="IWN211" s="2522"/>
      <c r="IWO211" s="2522"/>
      <c r="IWP211" s="2522"/>
      <c r="IWQ211" s="2522"/>
      <c r="IWR211" s="2522"/>
      <c r="IWS211" s="2522"/>
      <c r="IWT211" s="2522"/>
      <c r="IWU211" s="2522"/>
      <c r="IWV211" s="2522"/>
      <c r="IWW211" s="2522"/>
      <c r="IWX211" s="2522"/>
      <c r="IWY211" s="2522"/>
      <c r="IWZ211" s="2522"/>
      <c r="IXA211" s="2522"/>
      <c r="IXB211" s="2522"/>
      <c r="IXC211" s="2522"/>
      <c r="IXD211" s="2522"/>
      <c r="IXE211" s="2522"/>
      <c r="IXF211" s="2522"/>
      <c r="IXG211" s="2522"/>
      <c r="IXH211" s="2522"/>
      <c r="IXI211" s="2522"/>
      <c r="IXJ211" s="2522"/>
      <c r="IXK211" s="2522"/>
      <c r="IXL211" s="2522"/>
      <c r="IXM211" s="2522"/>
      <c r="IXN211" s="2522"/>
      <c r="IXO211" s="2522"/>
      <c r="IXP211" s="2522"/>
      <c r="IXQ211" s="2522"/>
      <c r="IXR211" s="2522"/>
      <c r="IXS211" s="2522"/>
      <c r="IXT211" s="2522"/>
      <c r="IXU211" s="2522"/>
      <c r="IXV211" s="2522"/>
      <c r="IXW211" s="2522"/>
      <c r="IXX211" s="2522"/>
      <c r="IXY211" s="2522"/>
      <c r="IXZ211" s="2522"/>
      <c r="IYA211" s="2522"/>
      <c r="IYB211" s="2522"/>
      <c r="IYC211" s="2522"/>
      <c r="IYD211" s="2522"/>
      <c r="IYE211" s="2522"/>
      <c r="IYF211" s="2522"/>
      <c r="IYG211" s="2522"/>
      <c r="IYH211" s="2522"/>
      <c r="IYI211" s="2522"/>
      <c r="IYJ211" s="2522"/>
      <c r="IYK211" s="2522"/>
      <c r="IYL211" s="2522"/>
      <c r="IYM211" s="2522"/>
      <c r="IYN211" s="2522"/>
      <c r="IYO211" s="2522"/>
      <c r="IYP211" s="2522"/>
      <c r="IYQ211" s="2522"/>
      <c r="IYR211" s="2522"/>
      <c r="IYS211" s="2522"/>
      <c r="IYT211" s="2522"/>
      <c r="IYU211" s="2522"/>
      <c r="IYV211" s="2522"/>
      <c r="IYW211" s="2522"/>
      <c r="IYX211" s="2522"/>
      <c r="IYY211" s="2522"/>
      <c r="IYZ211" s="2522"/>
      <c r="IZA211" s="2522"/>
      <c r="IZB211" s="2522"/>
      <c r="IZC211" s="2522"/>
      <c r="IZD211" s="2522"/>
      <c r="IZE211" s="2522"/>
      <c r="IZF211" s="2522"/>
      <c r="IZG211" s="2522"/>
      <c r="IZH211" s="2522"/>
      <c r="IZI211" s="2522"/>
      <c r="IZJ211" s="2522"/>
      <c r="IZK211" s="2522"/>
      <c r="IZL211" s="2522"/>
      <c r="IZM211" s="2522"/>
      <c r="IZN211" s="2522"/>
      <c r="IZO211" s="2522"/>
      <c r="IZP211" s="2522"/>
      <c r="IZQ211" s="2522"/>
      <c r="IZR211" s="2522"/>
      <c r="IZS211" s="2522"/>
      <c r="IZT211" s="2522"/>
      <c r="IZU211" s="2522"/>
      <c r="IZV211" s="2522"/>
      <c r="IZW211" s="2522"/>
      <c r="IZX211" s="2522"/>
      <c r="IZY211" s="2522"/>
      <c r="IZZ211" s="2522"/>
      <c r="JAA211" s="2522"/>
      <c r="JAB211" s="2522"/>
      <c r="JAC211" s="2522"/>
      <c r="JAD211" s="2522"/>
      <c r="JAE211" s="2522"/>
      <c r="JAF211" s="2522"/>
      <c r="JAG211" s="2522"/>
      <c r="JAH211" s="2522"/>
      <c r="JAI211" s="2522"/>
      <c r="JAJ211" s="2522"/>
      <c r="JAK211" s="2522"/>
      <c r="JAL211" s="2522"/>
      <c r="JAM211" s="2522"/>
      <c r="JAN211" s="2522"/>
      <c r="JAO211" s="2522"/>
      <c r="JAP211" s="2522"/>
      <c r="JAQ211" s="2522"/>
      <c r="JAR211" s="2522"/>
      <c r="JAS211" s="2522"/>
      <c r="JAT211" s="2522"/>
      <c r="JAU211" s="2522"/>
      <c r="JAV211" s="2522"/>
      <c r="JAW211" s="2522"/>
      <c r="JAX211" s="2522"/>
      <c r="JAY211" s="2522"/>
      <c r="JAZ211" s="2522"/>
      <c r="JBA211" s="2522"/>
      <c r="JBB211" s="2522"/>
      <c r="JBC211" s="2522"/>
      <c r="JBD211" s="2522"/>
      <c r="JBE211" s="2522"/>
      <c r="JBF211" s="2522"/>
      <c r="JBG211" s="2522"/>
      <c r="JBH211" s="2522"/>
      <c r="JBI211" s="2522"/>
      <c r="JBJ211" s="2522"/>
      <c r="JBK211" s="2522"/>
      <c r="JBL211" s="2522"/>
      <c r="JBM211" s="2522"/>
      <c r="JBN211" s="2522"/>
      <c r="JBO211" s="2522"/>
      <c r="JBP211" s="2522"/>
      <c r="JBQ211" s="2522"/>
      <c r="JBR211" s="2522"/>
      <c r="JBS211" s="2522"/>
      <c r="JBT211" s="2522"/>
      <c r="JBU211" s="2522"/>
      <c r="JBV211" s="2522"/>
      <c r="JBW211" s="2522"/>
      <c r="JBX211" s="2522"/>
      <c r="JBY211" s="2522"/>
      <c r="JBZ211" s="2522"/>
      <c r="JCA211" s="2522"/>
      <c r="JCB211" s="2522"/>
      <c r="JCC211" s="2522"/>
      <c r="JCD211" s="2522"/>
      <c r="JCE211" s="2522"/>
      <c r="JCF211" s="2522"/>
      <c r="JCG211" s="2522"/>
      <c r="JCH211" s="2522"/>
      <c r="JCI211" s="2522"/>
      <c r="JCJ211" s="2522"/>
      <c r="JCK211" s="2522"/>
      <c r="JCL211" s="2522"/>
      <c r="JCM211" s="2522"/>
      <c r="JCN211" s="2522"/>
      <c r="JCO211" s="2522"/>
      <c r="JCP211" s="2522"/>
      <c r="JCQ211" s="2522"/>
      <c r="JCR211" s="2522"/>
      <c r="JCS211" s="2522"/>
      <c r="JCT211" s="2522"/>
      <c r="JCU211" s="2522"/>
      <c r="JCV211" s="2522"/>
      <c r="JCW211" s="2522"/>
      <c r="JCX211" s="2522"/>
      <c r="JCY211" s="2522"/>
      <c r="JCZ211" s="2522"/>
      <c r="JDA211" s="2522"/>
      <c r="JDB211" s="2522"/>
      <c r="JDC211" s="2522"/>
      <c r="JDD211" s="2522"/>
      <c r="JDE211" s="2522"/>
      <c r="JDF211" s="2522"/>
      <c r="JDG211" s="2522"/>
      <c r="JDH211" s="2522"/>
      <c r="JDI211" s="2522"/>
      <c r="JDJ211" s="2522"/>
      <c r="JDK211" s="2522"/>
      <c r="JDL211" s="2522"/>
      <c r="JDM211" s="2522"/>
      <c r="JDN211" s="2522"/>
      <c r="JDO211" s="2522"/>
      <c r="JDP211" s="2522"/>
      <c r="JDQ211" s="2522"/>
      <c r="JDR211" s="2522"/>
      <c r="JDS211" s="2522"/>
      <c r="JDT211" s="2522"/>
      <c r="JDU211" s="2522"/>
      <c r="JDV211" s="2522"/>
      <c r="JDW211" s="2522"/>
      <c r="JDX211" s="2522"/>
      <c r="JDY211" s="2522"/>
      <c r="JDZ211" s="2522"/>
      <c r="JEA211" s="2522"/>
      <c r="JEB211" s="2522"/>
      <c r="JEC211" s="2522"/>
      <c r="JED211" s="2522"/>
      <c r="JEE211" s="2522"/>
      <c r="JEF211" s="2522"/>
      <c r="JEG211" s="2522"/>
      <c r="JEH211" s="2522"/>
      <c r="JEI211" s="2522"/>
      <c r="JEJ211" s="2522"/>
      <c r="JEK211" s="2522"/>
      <c r="JEL211" s="2522"/>
      <c r="JEM211" s="2522"/>
      <c r="JEN211" s="2522"/>
      <c r="JEO211" s="2522"/>
      <c r="JEP211" s="2522"/>
      <c r="JEQ211" s="2522"/>
      <c r="JER211" s="2522"/>
      <c r="JES211" s="2522"/>
      <c r="JET211" s="2522"/>
      <c r="JEU211" s="2522"/>
      <c r="JEV211" s="2522"/>
      <c r="JEW211" s="2522"/>
      <c r="JEX211" s="2522"/>
      <c r="JEY211" s="2522"/>
      <c r="JEZ211" s="2522"/>
      <c r="JFA211" s="2522"/>
      <c r="JFB211" s="2522"/>
      <c r="JFC211" s="2522"/>
      <c r="JFD211" s="2522"/>
      <c r="JFE211" s="2522"/>
      <c r="JFF211" s="2522"/>
      <c r="JFG211" s="2522"/>
      <c r="JFH211" s="2522"/>
      <c r="JFI211" s="2522"/>
      <c r="JFJ211" s="2522"/>
      <c r="JFK211" s="2522"/>
      <c r="JFL211" s="2522"/>
      <c r="JFM211" s="2522"/>
      <c r="JFN211" s="2522"/>
      <c r="JFO211" s="2522"/>
      <c r="JFP211" s="2522"/>
      <c r="JFQ211" s="2522"/>
      <c r="JFR211" s="2522"/>
      <c r="JFS211" s="2522"/>
      <c r="JFT211" s="2522"/>
      <c r="JFU211" s="2522"/>
      <c r="JFV211" s="2522"/>
      <c r="JFW211" s="2522"/>
      <c r="JFX211" s="2522"/>
      <c r="JFY211" s="2522"/>
      <c r="JFZ211" s="2522"/>
      <c r="JGA211" s="2522"/>
      <c r="JGB211" s="2522"/>
      <c r="JGC211" s="2522"/>
      <c r="JGD211" s="2522"/>
      <c r="JGE211" s="2522"/>
      <c r="JGF211" s="2522"/>
      <c r="JGG211" s="2522"/>
      <c r="JGH211" s="2522"/>
      <c r="JGI211" s="2522"/>
      <c r="JGJ211" s="2522"/>
      <c r="JGK211" s="2522"/>
      <c r="JGL211" s="2522"/>
      <c r="JGM211" s="2522"/>
      <c r="JGN211" s="2522"/>
      <c r="JGO211" s="2522"/>
      <c r="JGP211" s="2522"/>
      <c r="JGQ211" s="2522"/>
      <c r="JGR211" s="2522"/>
      <c r="JGS211" s="2522"/>
      <c r="JGT211" s="2522"/>
      <c r="JGU211" s="2522"/>
      <c r="JGV211" s="2522"/>
      <c r="JGW211" s="2522"/>
      <c r="JGX211" s="2522"/>
      <c r="JGY211" s="2522"/>
      <c r="JGZ211" s="2522"/>
      <c r="JHA211" s="2522"/>
      <c r="JHB211" s="2522"/>
      <c r="JHC211" s="2522"/>
      <c r="JHD211" s="2522"/>
      <c r="JHE211" s="2522"/>
      <c r="JHF211" s="2522"/>
      <c r="JHG211" s="2522"/>
      <c r="JHH211" s="2522"/>
      <c r="JHI211" s="2522"/>
      <c r="JHJ211" s="2522"/>
      <c r="JHK211" s="2522"/>
      <c r="JHL211" s="2522"/>
      <c r="JHM211" s="2522"/>
      <c r="JHN211" s="2522"/>
      <c r="JHO211" s="2522"/>
      <c r="JHP211" s="2522"/>
      <c r="JHQ211" s="2522"/>
      <c r="JHR211" s="2522"/>
      <c r="JHS211" s="2522"/>
      <c r="JHT211" s="2522"/>
      <c r="JHU211" s="2522"/>
      <c r="JHV211" s="2522"/>
      <c r="JHW211" s="2522"/>
      <c r="JHX211" s="2522"/>
      <c r="JHY211" s="2522"/>
      <c r="JHZ211" s="2522"/>
      <c r="JIA211" s="2522"/>
      <c r="JIB211" s="2522"/>
      <c r="JIC211" s="2522"/>
      <c r="JID211" s="2522"/>
      <c r="JIE211" s="2522"/>
      <c r="JIF211" s="2522"/>
      <c r="JIG211" s="2522"/>
      <c r="JIH211" s="2522"/>
      <c r="JII211" s="2522"/>
      <c r="JIJ211" s="2522"/>
      <c r="JIK211" s="2522"/>
      <c r="JIL211" s="2522"/>
      <c r="JIM211" s="2522"/>
      <c r="JIN211" s="2522"/>
      <c r="JIO211" s="2522"/>
      <c r="JIP211" s="2522"/>
      <c r="JIQ211" s="2522"/>
      <c r="JIR211" s="2522"/>
      <c r="JIS211" s="2522"/>
      <c r="JIT211" s="2522"/>
      <c r="JIU211" s="2522"/>
      <c r="JIV211" s="2522"/>
      <c r="JIW211" s="2522"/>
      <c r="JIX211" s="2522"/>
      <c r="JIY211" s="2522"/>
      <c r="JIZ211" s="2522"/>
      <c r="JJA211" s="2522"/>
      <c r="JJB211" s="2522"/>
      <c r="JJC211" s="2522"/>
      <c r="JJD211" s="2522"/>
      <c r="JJE211" s="2522"/>
      <c r="JJF211" s="2522"/>
      <c r="JJG211" s="2522"/>
      <c r="JJH211" s="2522"/>
      <c r="JJI211" s="2522"/>
      <c r="JJJ211" s="2522"/>
      <c r="JJK211" s="2522"/>
      <c r="JJL211" s="2522"/>
      <c r="JJM211" s="2522"/>
      <c r="JJN211" s="2522"/>
      <c r="JJO211" s="2522"/>
      <c r="JJP211" s="2522"/>
      <c r="JJQ211" s="2522"/>
      <c r="JJR211" s="2522"/>
      <c r="JJS211" s="2522"/>
      <c r="JJT211" s="2522"/>
      <c r="JJU211" s="2522"/>
      <c r="JJV211" s="2522"/>
      <c r="JJW211" s="2522"/>
      <c r="JJX211" s="2522"/>
      <c r="JJY211" s="2522"/>
      <c r="JJZ211" s="2522"/>
      <c r="JKA211" s="2522"/>
      <c r="JKB211" s="2522"/>
      <c r="JKC211" s="2522"/>
      <c r="JKD211" s="2522"/>
      <c r="JKE211" s="2522"/>
      <c r="JKF211" s="2522"/>
      <c r="JKG211" s="2522"/>
      <c r="JKH211" s="2522"/>
      <c r="JKI211" s="2522"/>
      <c r="JKJ211" s="2522"/>
      <c r="JKK211" s="2522"/>
      <c r="JKL211" s="2522"/>
      <c r="JKM211" s="2522"/>
      <c r="JKN211" s="2522"/>
      <c r="JKO211" s="2522"/>
      <c r="JKP211" s="2522"/>
      <c r="JKQ211" s="2522"/>
      <c r="JKR211" s="2522"/>
      <c r="JKS211" s="2522"/>
      <c r="JKT211" s="2522"/>
      <c r="JKU211" s="2522"/>
      <c r="JKV211" s="2522"/>
      <c r="JKW211" s="2522"/>
      <c r="JKX211" s="2522"/>
      <c r="JKY211" s="2522"/>
      <c r="JKZ211" s="2522"/>
      <c r="JLA211" s="2522"/>
      <c r="JLB211" s="2522"/>
      <c r="JLC211" s="2522"/>
      <c r="JLD211" s="2522"/>
      <c r="JLE211" s="2522"/>
      <c r="JLF211" s="2522"/>
      <c r="JLG211" s="2522"/>
      <c r="JLH211" s="2522"/>
      <c r="JLI211" s="2522"/>
      <c r="JLJ211" s="2522"/>
      <c r="JLK211" s="2522"/>
      <c r="JLL211" s="2522"/>
      <c r="JLM211" s="2522"/>
      <c r="JLN211" s="2522"/>
      <c r="JLO211" s="2522"/>
      <c r="JLP211" s="2522"/>
      <c r="JLQ211" s="2522"/>
      <c r="JLR211" s="2522"/>
      <c r="JLS211" s="2522"/>
      <c r="JLT211" s="2522"/>
      <c r="JLU211" s="2522"/>
      <c r="JLV211" s="2522"/>
      <c r="JLW211" s="2522"/>
      <c r="JLX211" s="2522"/>
      <c r="JLY211" s="2522"/>
      <c r="JLZ211" s="2522"/>
      <c r="JMA211" s="2522"/>
      <c r="JMB211" s="2522"/>
      <c r="JMC211" s="2522"/>
      <c r="JMD211" s="2522"/>
      <c r="JME211" s="2522"/>
      <c r="JMF211" s="2522"/>
      <c r="JMG211" s="2522"/>
      <c r="JMH211" s="2522"/>
      <c r="JMI211" s="2522"/>
      <c r="JMJ211" s="2522"/>
      <c r="JMK211" s="2522"/>
      <c r="JML211" s="2522"/>
      <c r="JMM211" s="2522"/>
      <c r="JMN211" s="2522"/>
      <c r="JMO211" s="2522"/>
      <c r="JMP211" s="2522"/>
      <c r="JMQ211" s="2522"/>
      <c r="JMR211" s="2522"/>
      <c r="JMS211" s="2522"/>
      <c r="JMT211" s="2522"/>
      <c r="JMU211" s="2522"/>
      <c r="JMV211" s="2522"/>
      <c r="JMW211" s="2522"/>
      <c r="JMX211" s="2522"/>
      <c r="JMY211" s="2522"/>
      <c r="JMZ211" s="2522"/>
      <c r="JNA211" s="2522"/>
      <c r="JNB211" s="2522"/>
      <c r="JNC211" s="2522"/>
      <c r="JND211" s="2522"/>
      <c r="JNE211" s="2522"/>
      <c r="JNF211" s="2522"/>
      <c r="JNG211" s="2522"/>
      <c r="JNH211" s="2522"/>
      <c r="JNI211" s="2522"/>
      <c r="JNJ211" s="2522"/>
      <c r="JNK211" s="2522"/>
      <c r="JNL211" s="2522"/>
      <c r="JNM211" s="2522"/>
      <c r="JNN211" s="2522"/>
      <c r="JNO211" s="2522"/>
      <c r="JNP211" s="2522"/>
      <c r="JNQ211" s="2522"/>
      <c r="JNR211" s="2522"/>
      <c r="JNS211" s="2522"/>
      <c r="JNT211" s="2522"/>
      <c r="JNU211" s="2522"/>
      <c r="JNV211" s="2522"/>
      <c r="JNW211" s="2522"/>
      <c r="JNX211" s="2522"/>
      <c r="JNY211" s="2522"/>
      <c r="JNZ211" s="2522"/>
      <c r="JOA211" s="2522"/>
      <c r="JOB211" s="2522"/>
      <c r="JOC211" s="2522"/>
      <c r="JOD211" s="2522"/>
      <c r="JOE211" s="2522"/>
      <c r="JOF211" s="2522"/>
      <c r="JOG211" s="2522"/>
      <c r="JOH211" s="2522"/>
      <c r="JOI211" s="2522"/>
      <c r="JOJ211" s="2522"/>
      <c r="JOK211" s="2522"/>
      <c r="JOL211" s="2522"/>
      <c r="JOM211" s="2522"/>
      <c r="JON211" s="2522"/>
      <c r="JOO211" s="2522"/>
      <c r="JOP211" s="2522"/>
      <c r="JOQ211" s="2522"/>
      <c r="JOR211" s="2522"/>
      <c r="JOS211" s="2522"/>
      <c r="JOT211" s="2522"/>
      <c r="JOU211" s="2522"/>
      <c r="JOV211" s="2522"/>
      <c r="JOW211" s="2522"/>
      <c r="JOX211" s="2522"/>
      <c r="JOY211" s="2522"/>
      <c r="JOZ211" s="2522"/>
      <c r="JPA211" s="2522"/>
      <c r="JPB211" s="2522"/>
      <c r="JPC211" s="2522"/>
      <c r="JPD211" s="2522"/>
      <c r="JPE211" s="2522"/>
      <c r="JPF211" s="2522"/>
      <c r="JPG211" s="2522"/>
      <c r="JPH211" s="2522"/>
      <c r="JPI211" s="2522"/>
      <c r="JPJ211" s="2522"/>
      <c r="JPK211" s="2522"/>
      <c r="JPL211" s="2522"/>
      <c r="JPM211" s="2522"/>
      <c r="JPN211" s="2522"/>
      <c r="JPO211" s="2522"/>
      <c r="JPP211" s="2522"/>
      <c r="JPQ211" s="2522"/>
      <c r="JPR211" s="2522"/>
      <c r="JPS211" s="2522"/>
      <c r="JPT211" s="2522"/>
      <c r="JPU211" s="2522"/>
      <c r="JPV211" s="2522"/>
      <c r="JPW211" s="2522"/>
      <c r="JPX211" s="2522"/>
      <c r="JPY211" s="2522"/>
      <c r="JPZ211" s="2522"/>
      <c r="JQA211" s="2522"/>
      <c r="JQB211" s="2522"/>
      <c r="JQC211" s="2522"/>
      <c r="JQD211" s="2522"/>
      <c r="JQE211" s="2522"/>
      <c r="JQF211" s="2522"/>
      <c r="JQG211" s="2522"/>
      <c r="JQH211" s="2522"/>
      <c r="JQI211" s="2522"/>
      <c r="JQJ211" s="2522"/>
      <c r="JQK211" s="2522"/>
      <c r="JQL211" s="2522"/>
      <c r="JQM211" s="2522"/>
      <c r="JQN211" s="2522"/>
      <c r="JQO211" s="2522"/>
      <c r="JQP211" s="2522"/>
      <c r="JQQ211" s="2522"/>
      <c r="JQR211" s="2522"/>
      <c r="JQS211" s="2522"/>
      <c r="JQT211" s="2522"/>
      <c r="JQU211" s="2522"/>
      <c r="JQV211" s="2522"/>
      <c r="JQW211" s="2522"/>
      <c r="JQX211" s="2522"/>
      <c r="JQY211" s="2522"/>
      <c r="JQZ211" s="2522"/>
      <c r="JRA211" s="2522"/>
      <c r="JRB211" s="2522"/>
      <c r="JRC211" s="2522"/>
      <c r="JRD211" s="2522"/>
      <c r="JRE211" s="2522"/>
      <c r="JRF211" s="2522"/>
      <c r="JRG211" s="2522"/>
      <c r="JRH211" s="2522"/>
      <c r="JRI211" s="2522"/>
      <c r="JRJ211" s="2522"/>
      <c r="JRK211" s="2522"/>
      <c r="JRL211" s="2522"/>
      <c r="JRM211" s="2522"/>
      <c r="JRN211" s="2522"/>
      <c r="JRO211" s="2522"/>
      <c r="JRP211" s="2522"/>
      <c r="JRQ211" s="2522"/>
      <c r="JRR211" s="2522"/>
      <c r="JRS211" s="2522"/>
      <c r="JRT211" s="2522"/>
      <c r="JRU211" s="2522"/>
      <c r="JRV211" s="2522"/>
      <c r="JRW211" s="2522"/>
      <c r="JRX211" s="2522"/>
      <c r="JRY211" s="2522"/>
      <c r="JRZ211" s="2522"/>
      <c r="JSA211" s="2522"/>
      <c r="JSB211" s="2522"/>
      <c r="JSC211" s="2522"/>
      <c r="JSD211" s="2522"/>
      <c r="JSE211" s="2522"/>
      <c r="JSF211" s="2522"/>
      <c r="JSG211" s="2522"/>
      <c r="JSH211" s="2522"/>
      <c r="JSI211" s="2522"/>
      <c r="JSJ211" s="2522"/>
      <c r="JSK211" s="2522"/>
      <c r="JSL211" s="2522"/>
      <c r="JSM211" s="2522"/>
      <c r="JSN211" s="2522"/>
      <c r="JSO211" s="2522"/>
      <c r="JSP211" s="2522"/>
      <c r="JSQ211" s="2522"/>
      <c r="JSR211" s="2522"/>
      <c r="JSS211" s="2522"/>
      <c r="JST211" s="2522"/>
      <c r="JSU211" s="2522"/>
      <c r="JSV211" s="2522"/>
      <c r="JSW211" s="2522"/>
      <c r="JSX211" s="2522"/>
      <c r="JSY211" s="2522"/>
      <c r="JSZ211" s="2522"/>
      <c r="JTA211" s="2522"/>
      <c r="JTB211" s="2522"/>
      <c r="JTC211" s="2522"/>
      <c r="JTD211" s="2522"/>
      <c r="JTE211" s="2522"/>
      <c r="JTF211" s="2522"/>
      <c r="JTG211" s="2522"/>
      <c r="JTH211" s="2522"/>
      <c r="JTI211" s="2522"/>
      <c r="JTJ211" s="2522"/>
      <c r="JTK211" s="2522"/>
      <c r="JTL211" s="2522"/>
      <c r="JTM211" s="2522"/>
      <c r="JTN211" s="2522"/>
      <c r="JTO211" s="2522"/>
      <c r="JTP211" s="2522"/>
      <c r="JTQ211" s="2522"/>
      <c r="JTR211" s="2522"/>
      <c r="JTS211" s="2522"/>
      <c r="JTT211" s="2522"/>
      <c r="JTU211" s="2522"/>
      <c r="JTV211" s="2522"/>
      <c r="JTW211" s="2522"/>
      <c r="JTX211" s="2522"/>
      <c r="JTY211" s="2522"/>
      <c r="JTZ211" s="2522"/>
      <c r="JUA211" s="2522"/>
      <c r="JUB211" s="2522"/>
      <c r="JUC211" s="2522"/>
      <c r="JUD211" s="2522"/>
      <c r="JUE211" s="2522"/>
      <c r="JUF211" s="2522"/>
      <c r="JUG211" s="2522"/>
      <c r="JUH211" s="2522"/>
      <c r="JUI211" s="2522"/>
      <c r="JUJ211" s="2522"/>
      <c r="JUK211" s="2522"/>
      <c r="JUL211" s="2522"/>
      <c r="JUM211" s="2522"/>
      <c r="JUN211" s="2522"/>
      <c r="JUO211" s="2522"/>
      <c r="JUP211" s="2522"/>
      <c r="JUQ211" s="2522"/>
      <c r="JUR211" s="2522"/>
      <c r="JUS211" s="2522"/>
      <c r="JUT211" s="2522"/>
      <c r="JUU211" s="2522"/>
      <c r="JUV211" s="2522"/>
      <c r="JUW211" s="2522"/>
      <c r="JUX211" s="2522"/>
      <c r="JUY211" s="2522"/>
      <c r="JUZ211" s="2522"/>
      <c r="JVA211" s="2522"/>
      <c r="JVB211" s="2522"/>
      <c r="JVC211" s="2522"/>
      <c r="JVD211" s="2522"/>
      <c r="JVE211" s="2522"/>
      <c r="JVF211" s="2522"/>
      <c r="JVG211" s="2522"/>
      <c r="JVH211" s="2522"/>
      <c r="JVI211" s="2522"/>
      <c r="JVJ211" s="2522"/>
      <c r="JVK211" s="2522"/>
      <c r="JVL211" s="2522"/>
      <c r="JVM211" s="2522"/>
      <c r="JVN211" s="2522"/>
      <c r="JVO211" s="2522"/>
      <c r="JVP211" s="2522"/>
      <c r="JVQ211" s="2522"/>
      <c r="JVR211" s="2522"/>
      <c r="JVS211" s="2522"/>
      <c r="JVT211" s="2522"/>
      <c r="JVU211" s="2522"/>
      <c r="JVV211" s="2522"/>
      <c r="JVW211" s="2522"/>
      <c r="JVX211" s="2522"/>
      <c r="JVY211" s="2522"/>
      <c r="JVZ211" s="2522"/>
      <c r="JWA211" s="2522"/>
      <c r="JWB211" s="2522"/>
      <c r="JWC211" s="2522"/>
      <c r="JWD211" s="2522"/>
      <c r="JWE211" s="2522"/>
      <c r="JWF211" s="2522"/>
      <c r="JWG211" s="2522"/>
      <c r="JWH211" s="2522"/>
      <c r="JWI211" s="2522"/>
      <c r="JWJ211" s="2522"/>
      <c r="JWK211" s="2522"/>
      <c r="JWL211" s="2522"/>
      <c r="JWM211" s="2522"/>
      <c r="JWN211" s="2522"/>
      <c r="JWO211" s="2522"/>
      <c r="JWP211" s="2522"/>
      <c r="JWQ211" s="2522"/>
      <c r="JWR211" s="2522"/>
      <c r="JWS211" s="2522"/>
      <c r="JWT211" s="2522"/>
      <c r="JWU211" s="2522"/>
      <c r="JWV211" s="2522"/>
      <c r="JWW211" s="2522"/>
      <c r="JWX211" s="2522"/>
      <c r="JWY211" s="2522"/>
      <c r="JWZ211" s="2522"/>
      <c r="JXA211" s="2522"/>
      <c r="JXB211" s="2522"/>
      <c r="JXC211" s="2522"/>
      <c r="JXD211" s="2522"/>
      <c r="JXE211" s="2522"/>
      <c r="JXF211" s="2522"/>
      <c r="JXG211" s="2522"/>
      <c r="JXH211" s="2522"/>
      <c r="JXI211" s="2522"/>
      <c r="JXJ211" s="2522"/>
      <c r="JXK211" s="2522"/>
      <c r="JXL211" s="2522"/>
      <c r="JXM211" s="2522"/>
      <c r="JXN211" s="2522"/>
      <c r="JXO211" s="2522"/>
      <c r="JXP211" s="2522"/>
      <c r="JXQ211" s="2522"/>
      <c r="JXR211" s="2522"/>
      <c r="JXS211" s="2522"/>
      <c r="JXT211" s="2522"/>
      <c r="JXU211" s="2522"/>
      <c r="JXV211" s="2522"/>
      <c r="JXW211" s="2522"/>
      <c r="JXX211" s="2522"/>
      <c r="JXY211" s="2522"/>
      <c r="JXZ211" s="2522"/>
      <c r="JYA211" s="2522"/>
      <c r="JYB211" s="2522"/>
      <c r="JYC211" s="2522"/>
      <c r="JYD211" s="2522"/>
      <c r="JYE211" s="2522"/>
      <c r="JYF211" s="2522"/>
      <c r="JYG211" s="2522"/>
      <c r="JYH211" s="2522"/>
      <c r="JYI211" s="2522"/>
      <c r="JYJ211" s="2522"/>
      <c r="JYK211" s="2522"/>
      <c r="JYL211" s="2522"/>
      <c r="JYM211" s="2522"/>
      <c r="JYN211" s="2522"/>
      <c r="JYO211" s="2522"/>
      <c r="JYP211" s="2522"/>
      <c r="JYQ211" s="2522"/>
      <c r="JYR211" s="2522"/>
      <c r="JYS211" s="2522"/>
      <c r="JYT211" s="2522"/>
      <c r="JYU211" s="2522"/>
      <c r="JYV211" s="2522"/>
      <c r="JYW211" s="2522"/>
      <c r="JYX211" s="2522"/>
      <c r="JYY211" s="2522"/>
      <c r="JYZ211" s="2522"/>
      <c r="JZA211" s="2522"/>
      <c r="JZB211" s="2522"/>
      <c r="JZC211" s="2522"/>
      <c r="JZD211" s="2522"/>
      <c r="JZE211" s="2522"/>
      <c r="JZF211" s="2522"/>
      <c r="JZG211" s="2522"/>
      <c r="JZH211" s="2522"/>
      <c r="JZI211" s="2522"/>
      <c r="JZJ211" s="2522"/>
      <c r="JZK211" s="2522"/>
      <c r="JZL211" s="2522"/>
      <c r="JZM211" s="2522"/>
      <c r="JZN211" s="2522"/>
      <c r="JZO211" s="2522"/>
      <c r="JZP211" s="2522"/>
      <c r="JZQ211" s="2522"/>
      <c r="JZR211" s="2522"/>
      <c r="JZS211" s="2522"/>
      <c r="JZT211" s="2522"/>
      <c r="JZU211" s="2522"/>
      <c r="JZV211" s="2522"/>
      <c r="JZW211" s="2522"/>
      <c r="JZX211" s="2522"/>
      <c r="JZY211" s="2522"/>
      <c r="JZZ211" s="2522"/>
      <c r="KAA211" s="2522"/>
      <c r="KAB211" s="2522"/>
      <c r="KAC211" s="2522"/>
      <c r="KAD211" s="2522"/>
      <c r="KAE211" s="2522"/>
      <c r="KAF211" s="2522"/>
      <c r="KAG211" s="2522"/>
      <c r="KAH211" s="2522"/>
      <c r="KAI211" s="2522"/>
      <c r="KAJ211" s="2522"/>
      <c r="KAK211" s="2522"/>
      <c r="KAL211" s="2522"/>
      <c r="KAM211" s="2522"/>
      <c r="KAN211" s="2522"/>
      <c r="KAO211" s="2522"/>
      <c r="KAP211" s="2522"/>
      <c r="KAQ211" s="2522"/>
      <c r="KAR211" s="2522"/>
      <c r="KAS211" s="2522"/>
      <c r="KAT211" s="2522"/>
      <c r="KAU211" s="2522"/>
      <c r="KAV211" s="2522"/>
      <c r="KAW211" s="2522"/>
      <c r="KAX211" s="2522"/>
      <c r="KAY211" s="2522"/>
      <c r="KAZ211" s="2522"/>
      <c r="KBA211" s="2522"/>
      <c r="KBB211" s="2522"/>
      <c r="KBC211" s="2522"/>
      <c r="KBD211" s="2522"/>
      <c r="KBE211" s="2522"/>
      <c r="KBF211" s="2522"/>
      <c r="KBG211" s="2522"/>
      <c r="KBH211" s="2522"/>
      <c r="KBI211" s="2522"/>
      <c r="KBJ211" s="2522"/>
      <c r="KBK211" s="2522"/>
      <c r="KBL211" s="2522"/>
      <c r="KBM211" s="2522"/>
      <c r="KBN211" s="2522"/>
      <c r="KBO211" s="2522"/>
      <c r="KBP211" s="2522"/>
      <c r="KBQ211" s="2522"/>
      <c r="KBR211" s="2522"/>
      <c r="KBS211" s="2522"/>
      <c r="KBT211" s="2522"/>
      <c r="KBU211" s="2522"/>
      <c r="KBV211" s="2522"/>
      <c r="KBW211" s="2522"/>
      <c r="KBX211" s="2522"/>
      <c r="KBY211" s="2522"/>
      <c r="KBZ211" s="2522"/>
      <c r="KCA211" s="2522"/>
      <c r="KCB211" s="2522"/>
      <c r="KCC211" s="2522"/>
      <c r="KCD211" s="2522"/>
      <c r="KCE211" s="2522"/>
      <c r="KCF211" s="2522"/>
      <c r="KCG211" s="2522"/>
      <c r="KCH211" s="2522"/>
      <c r="KCI211" s="2522"/>
      <c r="KCJ211" s="2522"/>
      <c r="KCK211" s="2522"/>
      <c r="KCL211" s="2522"/>
      <c r="KCM211" s="2522"/>
      <c r="KCN211" s="2522"/>
      <c r="KCO211" s="2522"/>
      <c r="KCP211" s="2522"/>
      <c r="KCQ211" s="2522"/>
      <c r="KCR211" s="2522"/>
      <c r="KCS211" s="2522"/>
      <c r="KCT211" s="2522"/>
      <c r="KCU211" s="2522"/>
      <c r="KCV211" s="2522"/>
      <c r="KCW211" s="2522"/>
      <c r="KCX211" s="2522"/>
      <c r="KCY211" s="2522"/>
      <c r="KCZ211" s="2522"/>
      <c r="KDA211" s="2522"/>
      <c r="KDB211" s="2522"/>
      <c r="KDC211" s="2522"/>
      <c r="KDD211" s="2522"/>
      <c r="KDE211" s="2522"/>
      <c r="KDF211" s="2522"/>
      <c r="KDG211" s="2522"/>
      <c r="KDH211" s="2522"/>
      <c r="KDI211" s="2522"/>
      <c r="KDJ211" s="2522"/>
      <c r="KDK211" s="2522"/>
      <c r="KDL211" s="2522"/>
      <c r="KDM211" s="2522"/>
      <c r="KDN211" s="2522"/>
      <c r="KDO211" s="2522"/>
      <c r="KDP211" s="2522"/>
      <c r="KDQ211" s="2522"/>
      <c r="KDR211" s="2522"/>
      <c r="KDS211" s="2522"/>
      <c r="KDT211" s="2522"/>
      <c r="KDU211" s="2522"/>
      <c r="KDV211" s="2522"/>
      <c r="KDW211" s="2522"/>
      <c r="KDX211" s="2522"/>
      <c r="KDY211" s="2522"/>
      <c r="KDZ211" s="2522"/>
      <c r="KEA211" s="2522"/>
      <c r="KEB211" s="2522"/>
      <c r="KEC211" s="2522"/>
      <c r="KED211" s="2522"/>
      <c r="KEE211" s="2522"/>
      <c r="KEF211" s="2522"/>
      <c r="KEG211" s="2522"/>
      <c r="KEH211" s="2522"/>
      <c r="KEI211" s="2522"/>
      <c r="KEJ211" s="2522"/>
      <c r="KEK211" s="2522"/>
      <c r="KEL211" s="2522"/>
      <c r="KEM211" s="2522"/>
      <c r="KEN211" s="2522"/>
      <c r="KEO211" s="2522"/>
      <c r="KEP211" s="2522"/>
      <c r="KEQ211" s="2522"/>
      <c r="KER211" s="2522"/>
      <c r="KES211" s="2522"/>
      <c r="KET211" s="2522"/>
      <c r="KEU211" s="2522"/>
      <c r="KEV211" s="2522"/>
      <c r="KEW211" s="2522"/>
      <c r="KEX211" s="2522"/>
      <c r="KEY211" s="2522"/>
      <c r="KEZ211" s="2522"/>
      <c r="KFA211" s="2522"/>
      <c r="KFB211" s="2522"/>
      <c r="KFC211" s="2522"/>
      <c r="KFD211" s="2522"/>
      <c r="KFE211" s="2522"/>
      <c r="KFF211" s="2522"/>
      <c r="KFG211" s="2522"/>
      <c r="KFH211" s="2522"/>
      <c r="KFI211" s="2522"/>
      <c r="KFJ211" s="2522"/>
      <c r="KFK211" s="2522"/>
      <c r="KFL211" s="2522"/>
      <c r="KFM211" s="2522"/>
      <c r="KFN211" s="2522"/>
      <c r="KFO211" s="2522"/>
      <c r="KFP211" s="2522"/>
      <c r="KFQ211" s="2522"/>
      <c r="KFR211" s="2522"/>
      <c r="KFS211" s="2522"/>
      <c r="KFT211" s="2522"/>
      <c r="KFU211" s="2522"/>
      <c r="KFV211" s="2522"/>
      <c r="KFW211" s="2522"/>
      <c r="KFX211" s="2522"/>
      <c r="KFY211" s="2522"/>
      <c r="KFZ211" s="2522"/>
      <c r="KGA211" s="2522"/>
      <c r="KGB211" s="2522"/>
      <c r="KGC211" s="2522"/>
      <c r="KGD211" s="2522"/>
      <c r="KGE211" s="2522"/>
      <c r="KGF211" s="2522"/>
      <c r="KGG211" s="2522"/>
      <c r="KGH211" s="2522"/>
      <c r="KGI211" s="2522"/>
      <c r="KGJ211" s="2522"/>
      <c r="KGK211" s="2522"/>
      <c r="KGL211" s="2522"/>
      <c r="KGM211" s="2522"/>
      <c r="KGN211" s="2522"/>
      <c r="KGO211" s="2522"/>
      <c r="KGP211" s="2522"/>
      <c r="KGQ211" s="2522"/>
      <c r="KGR211" s="2522"/>
      <c r="KGS211" s="2522"/>
      <c r="KGT211" s="2522"/>
      <c r="KGU211" s="2522"/>
      <c r="KGV211" s="2522"/>
      <c r="KGW211" s="2522"/>
      <c r="KGX211" s="2522"/>
      <c r="KGY211" s="2522"/>
      <c r="KGZ211" s="2522"/>
      <c r="KHA211" s="2522"/>
      <c r="KHB211" s="2522"/>
      <c r="KHC211" s="2522"/>
      <c r="KHD211" s="2522"/>
      <c r="KHE211" s="2522"/>
      <c r="KHF211" s="2522"/>
      <c r="KHG211" s="2522"/>
      <c r="KHH211" s="2522"/>
      <c r="KHI211" s="2522"/>
      <c r="KHJ211" s="2522"/>
      <c r="KHK211" s="2522"/>
      <c r="KHL211" s="2522"/>
      <c r="KHM211" s="2522"/>
      <c r="KHN211" s="2522"/>
      <c r="KHO211" s="2522"/>
      <c r="KHP211" s="2522"/>
      <c r="KHQ211" s="2522"/>
      <c r="KHR211" s="2522"/>
      <c r="KHS211" s="2522"/>
      <c r="KHT211" s="2522"/>
      <c r="KHU211" s="2522"/>
      <c r="KHV211" s="2522"/>
      <c r="KHW211" s="2522"/>
      <c r="KHX211" s="2522"/>
      <c r="KHY211" s="2522"/>
      <c r="KHZ211" s="2522"/>
      <c r="KIA211" s="2522"/>
      <c r="KIB211" s="2522"/>
      <c r="KIC211" s="2522"/>
      <c r="KID211" s="2522"/>
      <c r="KIE211" s="2522"/>
      <c r="KIF211" s="2522"/>
      <c r="KIG211" s="2522"/>
      <c r="KIH211" s="2522"/>
      <c r="KII211" s="2522"/>
      <c r="KIJ211" s="2522"/>
      <c r="KIK211" s="2522"/>
      <c r="KIL211" s="2522"/>
      <c r="KIM211" s="2522"/>
      <c r="KIN211" s="2522"/>
      <c r="KIO211" s="2522"/>
      <c r="KIP211" s="2522"/>
      <c r="KIQ211" s="2522"/>
      <c r="KIR211" s="2522"/>
      <c r="KIS211" s="2522"/>
      <c r="KIT211" s="2522"/>
      <c r="KIU211" s="2522"/>
      <c r="KIV211" s="2522"/>
      <c r="KIW211" s="2522"/>
      <c r="KIX211" s="2522"/>
      <c r="KIY211" s="2522"/>
      <c r="KIZ211" s="2522"/>
      <c r="KJA211" s="2522"/>
      <c r="KJB211" s="2522"/>
      <c r="KJC211" s="2522"/>
      <c r="KJD211" s="2522"/>
      <c r="KJE211" s="2522"/>
      <c r="KJF211" s="2522"/>
      <c r="KJG211" s="2522"/>
      <c r="KJH211" s="2522"/>
      <c r="KJI211" s="2522"/>
      <c r="KJJ211" s="2522"/>
      <c r="KJK211" s="2522"/>
      <c r="KJL211" s="2522"/>
      <c r="KJM211" s="2522"/>
      <c r="KJN211" s="2522"/>
      <c r="KJO211" s="2522"/>
      <c r="KJP211" s="2522"/>
      <c r="KJQ211" s="2522"/>
      <c r="KJR211" s="2522"/>
      <c r="KJS211" s="2522"/>
      <c r="KJT211" s="2522"/>
      <c r="KJU211" s="2522"/>
      <c r="KJV211" s="2522"/>
      <c r="KJW211" s="2522"/>
      <c r="KJX211" s="2522"/>
      <c r="KJY211" s="2522"/>
      <c r="KJZ211" s="2522"/>
      <c r="KKA211" s="2522"/>
      <c r="KKB211" s="2522"/>
      <c r="KKC211" s="2522"/>
      <c r="KKD211" s="2522"/>
      <c r="KKE211" s="2522"/>
      <c r="KKF211" s="2522"/>
      <c r="KKG211" s="2522"/>
      <c r="KKH211" s="2522"/>
      <c r="KKI211" s="2522"/>
      <c r="KKJ211" s="2522"/>
      <c r="KKK211" s="2522"/>
      <c r="KKL211" s="2522"/>
      <c r="KKM211" s="2522"/>
      <c r="KKN211" s="2522"/>
      <c r="KKO211" s="2522"/>
      <c r="KKP211" s="2522"/>
      <c r="KKQ211" s="2522"/>
      <c r="KKR211" s="2522"/>
      <c r="KKS211" s="2522"/>
      <c r="KKT211" s="2522"/>
      <c r="KKU211" s="2522"/>
      <c r="KKV211" s="2522"/>
      <c r="KKW211" s="2522"/>
      <c r="KKX211" s="2522"/>
      <c r="KKY211" s="2522"/>
      <c r="KKZ211" s="2522"/>
      <c r="KLA211" s="2522"/>
      <c r="KLB211" s="2522"/>
      <c r="KLC211" s="2522"/>
      <c r="KLD211" s="2522"/>
      <c r="KLE211" s="2522"/>
      <c r="KLF211" s="2522"/>
      <c r="KLG211" s="2522"/>
      <c r="KLH211" s="2522"/>
      <c r="KLI211" s="2522"/>
      <c r="KLJ211" s="2522"/>
      <c r="KLK211" s="2522"/>
      <c r="KLL211" s="2522"/>
      <c r="KLM211" s="2522"/>
      <c r="KLN211" s="2522"/>
      <c r="KLO211" s="2522"/>
      <c r="KLP211" s="2522"/>
      <c r="KLQ211" s="2522"/>
      <c r="KLR211" s="2522"/>
      <c r="KLS211" s="2522"/>
      <c r="KLT211" s="2522"/>
      <c r="KLU211" s="2522"/>
      <c r="KLV211" s="2522"/>
      <c r="KLW211" s="2522"/>
      <c r="KLX211" s="2522"/>
      <c r="KLY211" s="2522"/>
      <c r="KLZ211" s="2522"/>
      <c r="KMA211" s="2522"/>
      <c r="KMB211" s="2522"/>
      <c r="KMC211" s="2522"/>
      <c r="KMD211" s="2522"/>
      <c r="KME211" s="2522"/>
      <c r="KMF211" s="2522"/>
      <c r="KMG211" s="2522"/>
      <c r="KMH211" s="2522"/>
      <c r="KMI211" s="2522"/>
      <c r="KMJ211" s="2522"/>
      <c r="KMK211" s="2522"/>
      <c r="KML211" s="2522"/>
      <c r="KMM211" s="2522"/>
      <c r="KMN211" s="2522"/>
      <c r="KMO211" s="2522"/>
      <c r="KMP211" s="2522"/>
      <c r="KMQ211" s="2522"/>
      <c r="KMR211" s="2522"/>
      <c r="KMS211" s="2522"/>
      <c r="KMT211" s="2522"/>
      <c r="KMU211" s="2522"/>
      <c r="KMV211" s="2522"/>
      <c r="KMW211" s="2522"/>
      <c r="KMX211" s="2522"/>
      <c r="KMY211" s="2522"/>
      <c r="KMZ211" s="2522"/>
      <c r="KNA211" s="2522"/>
      <c r="KNB211" s="2522"/>
      <c r="KNC211" s="2522"/>
      <c r="KND211" s="2522"/>
      <c r="KNE211" s="2522"/>
      <c r="KNF211" s="2522"/>
      <c r="KNG211" s="2522"/>
      <c r="KNH211" s="2522"/>
      <c r="KNI211" s="2522"/>
      <c r="KNJ211" s="2522"/>
      <c r="KNK211" s="2522"/>
      <c r="KNL211" s="2522"/>
      <c r="KNM211" s="2522"/>
      <c r="KNN211" s="2522"/>
      <c r="KNO211" s="2522"/>
      <c r="KNP211" s="2522"/>
      <c r="KNQ211" s="2522"/>
      <c r="KNR211" s="2522"/>
      <c r="KNS211" s="2522"/>
      <c r="KNT211" s="2522"/>
      <c r="KNU211" s="2522"/>
      <c r="KNV211" s="2522"/>
      <c r="KNW211" s="2522"/>
      <c r="KNX211" s="2522"/>
      <c r="KNY211" s="2522"/>
      <c r="KNZ211" s="2522"/>
      <c r="KOA211" s="2522"/>
      <c r="KOB211" s="2522"/>
      <c r="KOC211" s="2522"/>
      <c r="KOD211" s="2522"/>
      <c r="KOE211" s="2522"/>
      <c r="KOF211" s="2522"/>
      <c r="KOG211" s="2522"/>
      <c r="KOH211" s="2522"/>
      <c r="KOI211" s="2522"/>
      <c r="KOJ211" s="2522"/>
      <c r="KOK211" s="2522"/>
      <c r="KOL211" s="2522"/>
      <c r="KOM211" s="2522"/>
      <c r="KON211" s="2522"/>
      <c r="KOO211" s="2522"/>
      <c r="KOP211" s="2522"/>
      <c r="KOQ211" s="2522"/>
      <c r="KOR211" s="2522"/>
      <c r="KOS211" s="2522"/>
      <c r="KOT211" s="2522"/>
      <c r="KOU211" s="2522"/>
      <c r="KOV211" s="2522"/>
      <c r="KOW211" s="2522"/>
      <c r="KOX211" s="2522"/>
      <c r="KOY211" s="2522"/>
      <c r="KOZ211" s="2522"/>
      <c r="KPA211" s="2522"/>
      <c r="KPB211" s="2522"/>
      <c r="KPC211" s="2522"/>
      <c r="KPD211" s="2522"/>
      <c r="KPE211" s="2522"/>
      <c r="KPF211" s="2522"/>
      <c r="KPG211" s="2522"/>
      <c r="KPH211" s="2522"/>
      <c r="KPI211" s="2522"/>
      <c r="KPJ211" s="2522"/>
      <c r="KPK211" s="2522"/>
      <c r="KPL211" s="2522"/>
      <c r="KPM211" s="2522"/>
      <c r="KPN211" s="2522"/>
      <c r="KPO211" s="2522"/>
      <c r="KPP211" s="2522"/>
      <c r="KPQ211" s="2522"/>
      <c r="KPR211" s="2522"/>
      <c r="KPS211" s="2522"/>
      <c r="KPT211" s="2522"/>
      <c r="KPU211" s="2522"/>
      <c r="KPV211" s="2522"/>
      <c r="KPW211" s="2522"/>
      <c r="KPX211" s="2522"/>
      <c r="KPY211" s="2522"/>
      <c r="KPZ211" s="2522"/>
      <c r="KQA211" s="2522"/>
      <c r="KQB211" s="2522"/>
      <c r="KQC211" s="2522"/>
      <c r="KQD211" s="2522"/>
      <c r="KQE211" s="2522"/>
      <c r="KQF211" s="2522"/>
      <c r="KQG211" s="2522"/>
      <c r="KQH211" s="2522"/>
      <c r="KQI211" s="2522"/>
      <c r="KQJ211" s="2522"/>
      <c r="KQK211" s="2522"/>
      <c r="KQL211" s="2522"/>
      <c r="KQM211" s="2522"/>
      <c r="KQN211" s="2522"/>
      <c r="KQO211" s="2522"/>
      <c r="KQP211" s="2522"/>
      <c r="KQQ211" s="2522"/>
      <c r="KQR211" s="2522"/>
      <c r="KQS211" s="2522"/>
      <c r="KQT211" s="2522"/>
      <c r="KQU211" s="2522"/>
      <c r="KQV211" s="2522"/>
      <c r="KQW211" s="2522"/>
      <c r="KQX211" s="2522"/>
      <c r="KQY211" s="2522"/>
      <c r="KQZ211" s="2522"/>
      <c r="KRA211" s="2522"/>
      <c r="KRB211" s="2522"/>
      <c r="KRC211" s="2522"/>
      <c r="KRD211" s="2522"/>
      <c r="KRE211" s="2522"/>
      <c r="KRF211" s="2522"/>
      <c r="KRG211" s="2522"/>
      <c r="KRH211" s="2522"/>
      <c r="KRI211" s="2522"/>
      <c r="KRJ211" s="2522"/>
      <c r="KRK211" s="2522"/>
      <c r="KRL211" s="2522"/>
      <c r="KRM211" s="2522"/>
      <c r="KRN211" s="2522"/>
      <c r="KRO211" s="2522"/>
      <c r="KRP211" s="2522"/>
      <c r="KRQ211" s="2522"/>
      <c r="KRR211" s="2522"/>
      <c r="KRS211" s="2522"/>
      <c r="KRT211" s="2522"/>
      <c r="KRU211" s="2522"/>
      <c r="KRV211" s="2522"/>
      <c r="KRW211" s="2522"/>
      <c r="KRX211" s="2522"/>
      <c r="KRY211" s="2522"/>
      <c r="KRZ211" s="2522"/>
      <c r="KSA211" s="2522"/>
      <c r="KSB211" s="2522"/>
      <c r="KSC211" s="2522"/>
      <c r="KSD211" s="2522"/>
      <c r="KSE211" s="2522"/>
      <c r="KSF211" s="2522"/>
      <c r="KSG211" s="2522"/>
      <c r="KSH211" s="2522"/>
      <c r="KSI211" s="2522"/>
      <c r="KSJ211" s="2522"/>
      <c r="KSK211" s="2522"/>
      <c r="KSL211" s="2522"/>
      <c r="KSM211" s="2522"/>
      <c r="KSN211" s="2522"/>
      <c r="KSO211" s="2522"/>
      <c r="KSP211" s="2522"/>
      <c r="KSQ211" s="2522"/>
      <c r="KSR211" s="2522"/>
      <c r="KSS211" s="2522"/>
      <c r="KST211" s="2522"/>
      <c r="KSU211" s="2522"/>
      <c r="KSV211" s="2522"/>
      <c r="KSW211" s="2522"/>
      <c r="KSX211" s="2522"/>
      <c r="KSY211" s="2522"/>
      <c r="KSZ211" s="2522"/>
      <c r="KTA211" s="2522"/>
      <c r="KTB211" s="2522"/>
      <c r="KTC211" s="2522"/>
      <c r="KTD211" s="2522"/>
      <c r="KTE211" s="2522"/>
      <c r="KTF211" s="2522"/>
      <c r="KTG211" s="2522"/>
      <c r="KTH211" s="2522"/>
      <c r="KTI211" s="2522"/>
      <c r="KTJ211" s="2522"/>
      <c r="KTK211" s="2522"/>
      <c r="KTL211" s="2522"/>
      <c r="KTM211" s="2522"/>
      <c r="KTN211" s="2522"/>
      <c r="KTO211" s="2522"/>
      <c r="KTP211" s="2522"/>
      <c r="KTQ211" s="2522"/>
      <c r="KTR211" s="2522"/>
      <c r="KTS211" s="2522"/>
      <c r="KTT211" s="2522"/>
      <c r="KTU211" s="2522"/>
      <c r="KTV211" s="2522"/>
      <c r="KTW211" s="2522"/>
      <c r="KTX211" s="2522"/>
      <c r="KTY211" s="2522"/>
      <c r="KTZ211" s="2522"/>
      <c r="KUA211" s="2522"/>
      <c r="KUB211" s="2522"/>
      <c r="KUC211" s="2522"/>
      <c r="KUD211" s="2522"/>
      <c r="KUE211" s="2522"/>
      <c r="KUF211" s="2522"/>
      <c r="KUG211" s="2522"/>
      <c r="KUH211" s="2522"/>
      <c r="KUI211" s="2522"/>
      <c r="KUJ211" s="2522"/>
      <c r="KUK211" s="2522"/>
      <c r="KUL211" s="2522"/>
      <c r="KUM211" s="2522"/>
      <c r="KUN211" s="2522"/>
      <c r="KUO211" s="2522"/>
      <c r="KUP211" s="2522"/>
      <c r="KUQ211" s="2522"/>
      <c r="KUR211" s="2522"/>
      <c r="KUS211" s="2522"/>
      <c r="KUT211" s="2522"/>
      <c r="KUU211" s="2522"/>
      <c r="KUV211" s="2522"/>
      <c r="KUW211" s="2522"/>
      <c r="KUX211" s="2522"/>
      <c r="KUY211" s="2522"/>
      <c r="KUZ211" s="2522"/>
      <c r="KVA211" s="2522"/>
      <c r="KVB211" s="2522"/>
      <c r="KVC211" s="2522"/>
      <c r="KVD211" s="2522"/>
      <c r="KVE211" s="2522"/>
      <c r="KVF211" s="2522"/>
      <c r="KVG211" s="2522"/>
      <c r="KVH211" s="2522"/>
      <c r="KVI211" s="2522"/>
      <c r="KVJ211" s="2522"/>
      <c r="KVK211" s="2522"/>
      <c r="KVL211" s="2522"/>
      <c r="KVM211" s="2522"/>
      <c r="KVN211" s="2522"/>
      <c r="KVO211" s="2522"/>
      <c r="KVP211" s="2522"/>
      <c r="KVQ211" s="2522"/>
      <c r="KVR211" s="2522"/>
      <c r="KVS211" s="2522"/>
      <c r="KVT211" s="2522"/>
      <c r="KVU211" s="2522"/>
      <c r="KVV211" s="2522"/>
      <c r="KVW211" s="2522"/>
      <c r="KVX211" s="2522"/>
      <c r="KVY211" s="2522"/>
      <c r="KVZ211" s="2522"/>
      <c r="KWA211" s="2522"/>
      <c r="KWB211" s="2522"/>
      <c r="KWC211" s="2522"/>
      <c r="KWD211" s="2522"/>
      <c r="KWE211" s="2522"/>
      <c r="KWF211" s="2522"/>
      <c r="KWG211" s="2522"/>
      <c r="KWH211" s="2522"/>
      <c r="KWI211" s="2522"/>
      <c r="KWJ211" s="2522"/>
      <c r="KWK211" s="2522"/>
      <c r="KWL211" s="2522"/>
      <c r="KWM211" s="2522"/>
      <c r="KWN211" s="2522"/>
      <c r="KWO211" s="2522"/>
      <c r="KWP211" s="2522"/>
      <c r="KWQ211" s="2522"/>
      <c r="KWR211" s="2522"/>
      <c r="KWS211" s="2522"/>
      <c r="KWT211" s="2522"/>
      <c r="KWU211" s="2522"/>
      <c r="KWV211" s="2522"/>
      <c r="KWW211" s="2522"/>
      <c r="KWX211" s="2522"/>
      <c r="KWY211" s="2522"/>
      <c r="KWZ211" s="2522"/>
      <c r="KXA211" s="2522"/>
      <c r="KXB211" s="2522"/>
      <c r="KXC211" s="2522"/>
      <c r="KXD211" s="2522"/>
      <c r="KXE211" s="2522"/>
      <c r="KXF211" s="2522"/>
      <c r="KXG211" s="2522"/>
      <c r="KXH211" s="2522"/>
      <c r="KXI211" s="2522"/>
      <c r="KXJ211" s="2522"/>
      <c r="KXK211" s="2522"/>
      <c r="KXL211" s="2522"/>
      <c r="KXM211" s="2522"/>
      <c r="KXN211" s="2522"/>
      <c r="KXO211" s="2522"/>
      <c r="KXP211" s="2522"/>
      <c r="KXQ211" s="2522"/>
      <c r="KXR211" s="2522"/>
      <c r="KXS211" s="2522"/>
      <c r="KXT211" s="2522"/>
      <c r="KXU211" s="2522"/>
      <c r="KXV211" s="2522"/>
      <c r="KXW211" s="2522"/>
      <c r="KXX211" s="2522"/>
      <c r="KXY211" s="2522"/>
      <c r="KXZ211" s="2522"/>
      <c r="KYA211" s="2522"/>
      <c r="KYB211" s="2522"/>
      <c r="KYC211" s="2522"/>
      <c r="KYD211" s="2522"/>
      <c r="KYE211" s="2522"/>
      <c r="KYF211" s="2522"/>
      <c r="KYG211" s="2522"/>
      <c r="KYH211" s="2522"/>
      <c r="KYI211" s="2522"/>
      <c r="KYJ211" s="2522"/>
      <c r="KYK211" s="2522"/>
      <c r="KYL211" s="2522"/>
      <c r="KYM211" s="2522"/>
      <c r="KYN211" s="2522"/>
      <c r="KYO211" s="2522"/>
      <c r="KYP211" s="2522"/>
      <c r="KYQ211" s="2522"/>
      <c r="KYR211" s="2522"/>
      <c r="KYS211" s="2522"/>
      <c r="KYT211" s="2522"/>
      <c r="KYU211" s="2522"/>
      <c r="KYV211" s="2522"/>
      <c r="KYW211" s="2522"/>
      <c r="KYX211" s="2522"/>
      <c r="KYY211" s="2522"/>
      <c r="KYZ211" s="2522"/>
      <c r="KZA211" s="2522"/>
      <c r="KZB211" s="2522"/>
      <c r="KZC211" s="2522"/>
      <c r="KZD211" s="2522"/>
      <c r="KZE211" s="2522"/>
      <c r="KZF211" s="2522"/>
      <c r="KZG211" s="2522"/>
      <c r="KZH211" s="2522"/>
      <c r="KZI211" s="2522"/>
      <c r="KZJ211" s="2522"/>
      <c r="KZK211" s="2522"/>
      <c r="KZL211" s="2522"/>
      <c r="KZM211" s="2522"/>
      <c r="KZN211" s="2522"/>
      <c r="KZO211" s="2522"/>
      <c r="KZP211" s="2522"/>
      <c r="KZQ211" s="2522"/>
      <c r="KZR211" s="2522"/>
      <c r="KZS211" s="2522"/>
      <c r="KZT211" s="2522"/>
      <c r="KZU211" s="2522"/>
      <c r="KZV211" s="2522"/>
      <c r="KZW211" s="2522"/>
      <c r="KZX211" s="2522"/>
      <c r="KZY211" s="2522"/>
      <c r="KZZ211" s="2522"/>
      <c r="LAA211" s="2522"/>
      <c r="LAB211" s="2522"/>
      <c r="LAC211" s="2522"/>
      <c r="LAD211" s="2522"/>
      <c r="LAE211" s="2522"/>
      <c r="LAF211" s="2522"/>
      <c r="LAG211" s="2522"/>
      <c r="LAH211" s="2522"/>
      <c r="LAI211" s="2522"/>
      <c r="LAJ211" s="2522"/>
      <c r="LAK211" s="2522"/>
      <c r="LAL211" s="2522"/>
      <c r="LAM211" s="2522"/>
      <c r="LAN211" s="2522"/>
      <c r="LAO211" s="2522"/>
      <c r="LAP211" s="2522"/>
      <c r="LAQ211" s="2522"/>
      <c r="LAR211" s="2522"/>
      <c r="LAS211" s="2522"/>
      <c r="LAT211" s="2522"/>
      <c r="LAU211" s="2522"/>
      <c r="LAV211" s="2522"/>
      <c r="LAW211" s="2522"/>
      <c r="LAX211" s="2522"/>
      <c r="LAY211" s="2522"/>
      <c r="LAZ211" s="2522"/>
      <c r="LBA211" s="2522"/>
      <c r="LBB211" s="2522"/>
      <c r="LBC211" s="2522"/>
      <c r="LBD211" s="2522"/>
      <c r="LBE211" s="2522"/>
      <c r="LBF211" s="2522"/>
      <c r="LBG211" s="2522"/>
      <c r="LBH211" s="2522"/>
      <c r="LBI211" s="2522"/>
      <c r="LBJ211" s="2522"/>
      <c r="LBK211" s="2522"/>
      <c r="LBL211" s="2522"/>
      <c r="LBM211" s="2522"/>
      <c r="LBN211" s="2522"/>
      <c r="LBO211" s="2522"/>
      <c r="LBP211" s="2522"/>
      <c r="LBQ211" s="2522"/>
      <c r="LBR211" s="2522"/>
      <c r="LBS211" s="2522"/>
      <c r="LBT211" s="2522"/>
      <c r="LBU211" s="2522"/>
      <c r="LBV211" s="2522"/>
      <c r="LBW211" s="2522"/>
      <c r="LBX211" s="2522"/>
      <c r="LBY211" s="2522"/>
      <c r="LBZ211" s="2522"/>
      <c r="LCA211" s="2522"/>
      <c r="LCB211" s="2522"/>
      <c r="LCC211" s="2522"/>
      <c r="LCD211" s="2522"/>
      <c r="LCE211" s="2522"/>
      <c r="LCF211" s="2522"/>
      <c r="LCG211" s="2522"/>
      <c r="LCH211" s="2522"/>
      <c r="LCI211" s="2522"/>
      <c r="LCJ211" s="2522"/>
      <c r="LCK211" s="2522"/>
      <c r="LCL211" s="2522"/>
      <c r="LCM211" s="2522"/>
      <c r="LCN211" s="2522"/>
      <c r="LCO211" s="2522"/>
      <c r="LCP211" s="2522"/>
      <c r="LCQ211" s="2522"/>
      <c r="LCR211" s="2522"/>
      <c r="LCS211" s="2522"/>
      <c r="LCT211" s="2522"/>
      <c r="LCU211" s="2522"/>
      <c r="LCV211" s="2522"/>
      <c r="LCW211" s="2522"/>
      <c r="LCX211" s="2522"/>
      <c r="LCY211" s="2522"/>
      <c r="LCZ211" s="2522"/>
      <c r="LDA211" s="2522"/>
      <c r="LDB211" s="2522"/>
      <c r="LDC211" s="2522"/>
      <c r="LDD211" s="2522"/>
      <c r="LDE211" s="2522"/>
      <c r="LDF211" s="2522"/>
      <c r="LDG211" s="2522"/>
      <c r="LDH211" s="2522"/>
      <c r="LDI211" s="2522"/>
      <c r="LDJ211" s="2522"/>
      <c r="LDK211" s="2522"/>
      <c r="LDL211" s="2522"/>
      <c r="LDM211" s="2522"/>
      <c r="LDN211" s="2522"/>
      <c r="LDO211" s="2522"/>
      <c r="LDP211" s="2522"/>
      <c r="LDQ211" s="2522"/>
      <c r="LDR211" s="2522"/>
      <c r="LDS211" s="2522"/>
      <c r="LDT211" s="2522"/>
      <c r="LDU211" s="2522"/>
      <c r="LDV211" s="2522"/>
      <c r="LDW211" s="2522"/>
      <c r="LDX211" s="2522"/>
      <c r="LDY211" s="2522"/>
      <c r="LDZ211" s="2522"/>
      <c r="LEA211" s="2522"/>
      <c r="LEB211" s="2522"/>
      <c r="LEC211" s="2522"/>
      <c r="LED211" s="2522"/>
      <c r="LEE211" s="2522"/>
      <c r="LEF211" s="2522"/>
      <c r="LEG211" s="2522"/>
      <c r="LEH211" s="2522"/>
      <c r="LEI211" s="2522"/>
      <c r="LEJ211" s="2522"/>
      <c r="LEK211" s="2522"/>
      <c r="LEL211" s="2522"/>
      <c r="LEM211" s="2522"/>
      <c r="LEN211" s="2522"/>
      <c r="LEO211" s="2522"/>
      <c r="LEP211" s="2522"/>
      <c r="LEQ211" s="2522"/>
      <c r="LER211" s="2522"/>
      <c r="LES211" s="2522"/>
      <c r="LET211" s="2522"/>
      <c r="LEU211" s="2522"/>
      <c r="LEV211" s="2522"/>
      <c r="LEW211" s="2522"/>
      <c r="LEX211" s="2522"/>
      <c r="LEY211" s="2522"/>
      <c r="LEZ211" s="2522"/>
      <c r="LFA211" s="2522"/>
      <c r="LFB211" s="2522"/>
      <c r="LFC211" s="2522"/>
      <c r="LFD211" s="2522"/>
      <c r="LFE211" s="2522"/>
      <c r="LFF211" s="2522"/>
      <c r="LFG211" s="2522"/>
      <c r="LFH211" s="2522"/>
      <c r="LFI211" s="2522"/>
      <c r="LFJ211" s="2522"/>
      <c r="LFK211" s="2522"/>
      <c r="LFL211" s="2522"/>
      <c r="LFM211" s="2522"/>
      <c r="LFN211" s="2522"/>
      <c r="LFO211" s="2522"/>
      <c r="LFP211" s="2522"/>
      <c r="LFQ211" s="2522"/>
      <c r="LFR211" s="2522"/>
      <c r="LFS211" s="2522"/>
      <c r="LFT211" s="2522"/>
      <c r="LFU211" s="2522"/>
      <c r="LFV211" s="2522"/>
      <c r="LFW211" s="2522"/>
      <c r="LFX211" s="2522"/>
      <c r="LFY211" s="2522"/>
      <c r="LFZ211" s="2522"/>
      <c r="LGA211" s="2522"/>
      <c r="LGB211" s="2522"/>
      <c r="LGC211" s="2522"/>
      <c r="LGD211" s="2522"/>
      <c r="LGE211" s="2522"/>
      <c r="LGF211" s="2522"/>
      <c r="LGG211" s="2522"/>
      <c r="LGH211" s="2522"/>
      <c r="LGI211" s="2522"/>
      <c r="LGJ211" s="2522"/>
      <c r="LGK211" s="2522"/>
      <c r="LGL211" s="2522"/>
      <c r="LGM211" s="2522"/>
      <c r="LGN211" s="2522"/>
      <c r="LGO211" s="2522"/>
      <c r="LGP211" s="2522"/>
      <c r="LGQ211" s="2522"/>
      <c r="LGR211" s="2522"/>
      <c r="LGS211" s="2522"/>
      <c r="LGT211" s="2522"/>
      <c r="LGU211" s="2522"/>
      <c r="LGV211" s="2522"/>
      <c r="LGW211" s="2522"/>
      <c r="LGX211" s="2522"/>
      <c r="LGY211" s="2522"/>
      <c r="LGZ211" s="2522"/>
      <c r="LHA211" s="2522"/>
      <c r="LHB211" s="2522"/>
      <c r="LHC211" s="2522"/>
      <c r="LHD211" s="2522"/>
      <c r="LHE211" s="2522"/>
      <c r="LHF211" s="2522"/>
      <c r="LHG211" s="2522"/>
      <c r="LHH211" s="2522"/>
      <c r="LHI211" s="2522"/>
      <c r="LHJ211" s="2522"/>
      <c r="LHK211" s="2522"/>
      <c r="LHL211" s="2522"/>
      <c r="LHM211" s="2522"/>
      <c r="LHN211" s="2522"/>
      <c r="LHO211" s="2522"/>
      <c r="LHP211" s="2522"/>
      <c r="LHQ211" s="2522"/>
      <c r="LHR211" s="2522"/>
      <c r="LHS211" s="2522"/>
      <c r="LHT211" s="2522"/>
      <c r="LHU211" s="2522"/>
      <c r="LHV211" s="2522"/>
      <c r="LHW211" s="2522"/>
      <c r="LHX211" s="2522"/>
      <c r="LHY211" s="2522"/>
      <c r="LHZ211" s="2522"/>
      <c r="LIA211" s="2522"/>
      <c r="LIB211" s="2522"/>
      <c r="LIC211" s="2522"/>
      <c r="LID211" s="2522"/>
      <c r="LIE211" s="2522"/>
      <c r="LIF211" s="2522"/>
      <c r="LIG211" s="2522"/>
      <c r="LIH211" s="2522"/>
      <c r="LII211" s="2522"/>
      <c r="LIJ211" s="2522"/>
      <c r="LIK211" s="2522"/>
      <c r="LIL211" s="2522"/>
      <c r="LIM211" s="2522"/>
      <c r="LIN211" s="2522"/>
      <c r="LIO211" s="2522"/>
      <c r="LIP211" s="2522"/>
      <c r="LIQ211" s="2522"/>
      <c r="LIR211" s="2522"/>
      <c r="LIS211" s="2522"/>
      <c r="LIT211" s="2522"/>
      <c r="LIU211" s="2522"/>
      <c r="LIV211" s="2522"/>
      <c r="LIW211" s="2522"/>
      <c r="LIX211" s="2522"/>
      <c r="LIY211" s="2522"/>
      <c r="LIZ211" s="2522"/>
      <c r="LJA211" s="2522"/>
      <c r="LJB211" s="2522"/>
      <c r="LJC211" s="2522"/>
      <c r="LJD211" s="2522"/>
      <c r="LJE211" s="2522"/>
      <c r="LJF211" s="2522"/>
      <c r="LJG211" s="2522"/>
      <c r="LJH211" s="2522"/>
      <c r="LJI211" s="2522"/>
      <c r="LJJ211" s="2522"/>
      <c r="LJK211" s="2522"/>
      <c r="LJL211" s="2522"/>
      <c r="LJM211" s="2522"/>
      <c r="LJN211" s="2522"/>
      <c r="LJO211" s="2522"/>
      <c r="LJP211" s="2522"/>
      <c r="LJQ211" s="2522"/>
      <c r="LJR211" s="2522"/>
      <c r="LJS211" s="2522"/>
      <c r="LJT211" s="2522"/>
      <c r="LJU211" s="2522"/>
      <c r="LJV211" s="2522"/>
      <c r="LJW211" s="2522"/>
      <c r="LJX211" s="2522"/>
      <c r="LJY211" s="2522"/>
      <c r="LJZ211" s="2522"/>
      <c r="LKA211" s="2522"/>
      <c r="LKB211" s="2522"/>
      <c r="LKC211" s="2522"/>
      <c r="LKD211" s="2522"/>
      <c r="LKE211" s="2522"/>
      <c r="LKF211" s="2522"/>
      <c r="LKG211" s="2522"/>
      <c r="LKH211" s="2522"/>
      <c r="LKI211" s="2522"/>
      <c r="LKJ211" s="2522"/>
      <c r="LKK211" s="2522"/>
      <c r="LKL211" s="2522"/>
      <c r="LKM211" s="2522"/>
      <c r="LKN211" s="2522"/>
      <c r="LKO211" s="2522"/>
      <c r="LKP211" s="2522"/>
      <c r="LKQ211" s="2522"/>
      <c r="LKR211" s="2522"/>
      <c r="LKS211" s="2522"/>
      <c r="LKT211" s="2522"/>
      <c r="LKU211" s="2522"/>
      <c r="LKV211" s="2522"/>
      <c r="LKW211" s="2522"/>
      <c r="LKX211" s="2522"/>
      <c r="LKY211" s="2522"/>
      <c r="LKZ211" s="2522"/>
      <c r="LLA211" s="2522"/>
      <c r="LLB211" s="2522"/>
      <c r="LLC211" s="2522"/>
      <c r="LLD211" s="2522"/>
      <c r="LLE211" s="2522"/>
      <c r="LLF211" s="2522"/>
      <c r="LLG211" s="2522"/>
      <c r="LLH211" s="2522"/>
      <c r="LLI211" s="2522"/>
      <c r="LLJ211" s="2522"/>
      <c r="LLK211" s="2522"/>
      <c r="LLL211" s="2522"/>
      <c r="LLM211" s="2522"/>
      <c r="LLN211" s="2522"/>
      <c r="LLO211" s="2522"/>
      <c r="LLP211" s="2522"/>
      <c r="LLQ211" s="2522"/>
      <c r="LLR211" s="2522"/>
      <c r="LLS211" s="2522"/>
      <c r="LLT211" s="2522"/>
      <c r="LLU211" s="2522"/>
      <c r="LLV211" s="2522"/>
      <c r="LLW211" s="2522"/>
      <c r="LLX211" s="2522"/>
      <c r="LLY211" s="2522"/>
      <c r="LLZ211" s="2522"/>
      <c r="LMA211" s="2522"/>
      <c r="LMB211" s="2522"/>
      <c r="LMC211" s="2522"/>
      <c r="LMD211" s="2522"/>
      <c r="LME211" s="2522"/>
      <c r="LMF211" s="2522"/>
      <c r="LMG211" s="2522"/>
      <c r="LMH211" s="2522"/>
      <c r="LMI211" s="2522"/>
      <c r="LMJ211" s="2522"/>
      <c r="LMK211" s="2522"/>
      <c r="LML211" s="2522"/>
      <c r="LMM211" s="2522"/>
      <c r="LMN211" s="2522"/>
      <c r="LMO211" s="2522"/>
      <c r="LMP211" s="2522"/>
      <c r="LMQ211" s="2522"/>
      <c r="LMR211" s="2522"/>
      <c r="LMS211" s="2522"/>
      <c r="LMT211" s="2522"/>
      <c r="LMU211" s="2522"/>
      <c r="LMV211" s="2522"/>
      <c r="LMW211" s="2522"/>
      <c r="LMX211" s="2522"/>
      <c r="LMY211" s="2522"/>
      <c r="LMZ211" s="2522"/>
      <c r="LNA211" s="2522"/>
      <c r="LNB211" s="2522"/>
      <c r="LNC211" s="2522"/>
      <c r="LND211" s="2522"/>
      <c r="LNE211" s="2522"/>
      <c r="LNF211" s="2522"/>
      <c r="LNG211" s="2522"/>
      <c r="LNH211" s="2522"/>
      <c r="LNI211" s="2522"/>
      <c r="LNJ211" s="2522"/>
      <c r="LNK211" s="2522"/>
      <c r="LNL211" s="2522"/>
      <c r="LNM211" s="2522"/>
      <c r="LNN211" s="2522"/>
      <c r="LNO211" s="2522"/>
      <c r="LNP211" s="2522"/>
      <c r="LNQ211" s="2522"/>
      <c r="LNR211" s="2522"/>
      <c r="LNS211" s="2522"/>
      <c r="LNT211" s="2522"/>
      <c r="LNU211" s="2522"/>
      <c r="LNV211" s="2522"/>
      <c r="LNW211" s="2522"/>
      <c r="LNX211" s="2522"/>
      <c r="LNY211" s="2522"/>
      <c r="LNZ211" s="2522"/>
      <c r="LOA211" s="2522"/>
      <c r="LOB211" s="2522"/>
      <c r="LOC211" s="2522"/>
      <c r="LOD211" s="2522"/>
      <c r="LOE211" s="2522"/>
      <c r="LOF211" s="2522"/>
      <c r="LOG211" s="2522"/>
      <c r="LOH211" s="2522"/>
      <c r="LOI211" s="2522"/>
      <c r="LOJ211" s="2522"/>
      <c r="LOK211" s="2522"/>
      <c r="LOL211" s="2522"/>
      <c r="LOM211" s="2522"/>
      <c r="LON211" s="2522"/>
      <c r="LOO211" s="2522"/>
      <c r="LOP211" s="2522"/>
      <c r="LOQ211" s="2522"/>
      <c r="LOR211" s="2522"/>
      <c r="LOS211" s="2522"/>
      <c r="LOT211" s="2522"/>
      <c r="LOU211" s="2522"/>
      <c r="LOV211" s="2522"/>
      <c r="LOW211" s="2522"/>
      <c r="LOX211" s="2522"/>
      <c r="LOY211" s="2522"/>
      <c r="LOZ211" s="2522"/>
      <c r="LPA211" s="2522"/>
      <c r="LPB211" s="2522"/>
      <c r="LPC211" s="2522"/>
      <c r="LPD211" s="2522"/>
      <c r="LPE211" s="2522"/>
      <c r="LPF211" s="2522"/>
      <c r="LPG211" s="2522"/>
      <c r="LPH211" s="2522"/>
      <c r="LPI211" s="2522"/>
      <c r="LPJ211" s="2522"/>
      <c r="LPK211" s="2522"/>
      <c r="LPL211" s="2522"/>
      <c r="LPM211" s="2522"/>
      <c r="LPN211" s="2522"/>
      <c r="LPO211" s="2522"/>
      <c r="LPP211" s="2522"/>
      <c r="LPQ211" s="2522"/>
      <c r="LPR211" s="2522"/>
      <c r="LPS211" s="2522"/>
      <c r="LPT211" s="2522"/>
      <c r="LPU211" s="2522"/>
      <c r="LPV211" s="2522"/>
      <c r="LPW211" s="2522"/>
      <c r="LPX211" s="2522"/>
      <c r="LPY211" s="2522"/>
      <c r="LPZ211" s="2522"/>
      <c r="LQA211" s="2522"/>
      <c r="LQB211" s="2522"/>
      <c r="LQC211" s="2522"/>
      <c r="LQD211" s="2522"/>
      <c r="LQE211" s="2522"/>
      <c r="LQF211" s="2522"/>
      <c r="LQG211" s="2522"/>
      <c r="LQH211" s="2522"/>
      <c r="LQI211" s="2522"/>
      <c r="LQJ211" s="2522"/>
      <c r="LQK211" s="2522"/>
      <c r="LQL211" s="2522"/>
      <c r="LQM211" s="2522"/>
      <c r="LQN211" s="2522"/>
      <c r="LQO211" s="2522"/>
      <c r="LQP211" s="2522"/>
      <c r="LQQ211" s="2522"/>
      <c r="LQR211" s="2522"/>
      <c r="LQS211" s="2522"/>
      <c r="LQT211" s="2522"/>
      <c r="LQU211" s="2522"/>
      <c r="LQV211" s="2522"/>
      <c r="LQW211" s="2522"/>
      <c r="LQX211" s="2522"/>
      <c r="LQY211" s="2522"/>
      <c r="LQZ211" s="2522"/>
      <c r="LRA211" s="2522"/>
      <c r="LRB211" s="2522"/>
      <c r="LRC211" s="2522"/>
      <c r="LRD211" s="2522"/>
      <c r="LRE211" s="2522"/>
      <c r="LRF211" s="2522"/>
      <c r="LRG211" s="2522"/>
      <c r="LRH211" s="2522"/>
      <c r="LRI211" s="2522"/>
      <c r="LRJ211" s="2522"/>
      <c r="LRK211" s="2522"/>
      <c r="LRL211" s="2522"/>
      <c r="LRM211" s="2522"/>
      <c r="LRN211" s="2522"/>
      <c r="LRO211" s="2522"/>
      <c r="LRP211" s="2522"/>
      <c r="LRQ211" s="2522"/>
      <c r="LRR211" s="2522"/>
      <c r="LRS211" s="2522"/>
      <c r="LRT211" s="2522"/>
      <c r="LRU211" s="2522"/>
      <c r="LRV211" s="2522"/>
      <c r="LRW211" s="2522"/>
      <c r="LRX211" s="2522"/>
      <c r="LRY211" s="2522"/>
      <c r="LRZ211" s="2522"/>
      <c r="LSA211" s="2522"/>
      <c r="LSB211" s="2522"/>
      <c r="LSC211" s="2522"/>
      <c r="LSD211" s="2522"/>
      <c r="LSE211" s="2522"/>
      <c r="LSF211" s="2522"/>
      <c r="LSG211" s="2522"/>
      <c r="LSH211" s="2522"/>
      <c r="LSI211" s="2522"/>
      <c r="LSJ211" s="2522"/>
      <c r="LSK211" s="2522"/>
      <c r="LSL211" s="2522"/>
      <c r="LSM211" s="2522"/>
      <c r="LSN211" s="2522"/>
      <c r="LSO211" s="2522"/>
      <c r="LSP211" s="2522"/>
      <c r="LSQ211" s="2522"/>
      <c r="LSR211" s="2522"/>
      <c r="LSS211" s="2522"/>
      <c r="LST211" s="2522"/>
      <c r="LSU211" s="2522"/>
      <c r="LSV211" s="2522"/>
      <c r="LSW211" s="2522"/>
      <c r="LSX211" s="2522"/>
      <c r="LSY211" s="2522"/>
      <c r="LSZ211" s="2522"/>
      <c r="LTA211" s="2522"/>
      <c r="LTB211" s="2522"/>
      <c r="LTC211" s="2522"/>
      <c r="LTD211" s="2522"/>
      <c r="LTE211" s="2522"/>
      <c r="LTF211" s="2522"/>
      <c r="LTG211" s="2522"/>
      <c r="LTH211" s="2522"/>
      <c r="LTI211" s="2522"/>
      <c r="LTJ211" s="2522"/>
      <c r="LTK211" s="2522"/>
      <c r="LTL211" s="2522"/>
      <c r="LTM211" s="2522"/>
      <c r="LTN211" s="2522"/>
      <c r="LTO211" s="2522"/>
      <c r="LTP211" s="2522"/>
      <c r="LTQ211" s="2522"/>
      <c r="LTR211" s="2522"/>
      <c r="LTS211" s="2522"/>
      <c r="LTT211" s="2522"/>
      <c r="LTU211" s="2522"/>
      <c r="LTV211" s="2522"/>
      <c r="LTW211" s="2522"/>
      <c r="LTX211" s="2522"/>
      <c r="LTY211" s="2522"/>
      <c r="LTZ211" s="2522"/>
      <c r="LUA211" s="2522"/>
      <c r="LUB211" s="2522"/>
      <c r="LUC211" s="2522"/>
      <c r="LUD211" s="2522"/>
      <c r="LUE211" s="2522"/>
      <c r="LUF211" s="2522"/>
      <c r="LUG211" s="2522"/>
      <c r="LUH211" s="2522"/>
      <c r="LUI211" s="2522"/>
      <c r="LUJ211" s="2522"/>
      <c r="LUK211" s="2522"/>
      <c r="LUL211" s="2522"/>
      <c r="LUM211" s="2522"/>
      <c r="LUN211" s="2522"/>
      <c r="LUO211" s="2522"/>
      <c r="LUP211" s="2522"/>
      <c r="LUQ211" s="2522"/>
      <c r="LUR211" s="2522"/>
      <c r="LUS211" s="2522"/>
      <c r="LUT211" s="2522"/>
      <c r="LUU211" s="2522"/>
      <c r="LUV211" s="2522"/>
      <c r="LUW211" s="2522"/>
      <c r="LUX211" s="2522"/>
      <c r="LUY211" s="2522"/>
      <c r="LUZ211" s="2522"/>
      <c r="LVA211" s="2522"/>
      <c r="LVB211" s="2522"/>
      <c r="LVC211" s="2522"/>
      <c r="LVD211" s="2522"/>
      <c r="LVE211" s="2522"/>
      <c r="LVF211" s="2522"/>
      <c r="LVG211" s="2522"/>
      <c r="LVH211" s="2522"/>
      <c r="LVI211" s="2522"/>
      <c r="LVJ211" s="2522"/>
      <c r="LVK211" s="2522"/>
      <c r="LVL211" s="2522"/>
      <c r="LVM211" s="2522"/>
      <c r="LVN211" s="2522"/>
      <c r="LVO211" s="2522"/>
      <c r="LVP211" s="2522"/>
      <c r="LVQ211" s="2522"/>
      <c r="LVR211" s="2522"/>
      <c r="LVS211" s="2522"/>
      <c r="LVT211" s="2522"/>
      <c r="LVU211" s="2522"/>
      <c r="LVV211" s="2522"/>
      <c r="LVW211" s="2522"/>
      <c r="LVX211" s="2522"/>
      <c r="LVY211" s="2522"/>
      <c r="LVZ211" s="2522"/>
      <c r="LWA211" s="2522"/>
      <c r="LWB211" s="2522"/>
      <c r="LWC211" s="2522"/>
      <c r="LWD211" s="2522"/>
      <c r="LWE211" s="2522"/>
      <c r="LWF211" s="2522"/>
      <c r="LWG211" s="2522"/>
      <c r="LWH211" s="2522"/>
      <c r="LWI211" s="2522"/>
      <c r="LWJ211" s="2522"/>
      <c r="LWK211" s="2522"/>
      <c r="LWL211" s="2522"/>
      <c r="LWM211" s="2522"/>
      <c r="LWN211" s="2522"/>
      <c r="LWO211" s="2522"/>
      <c r="LWP211" s="2522"/>
      <c r="LWQ211" s="2522"/>
      <c r="LWR211" s="2522"/>
      <c r="LWS211" s="2522"/>
      <c r="LWT211" s="2522"/>
      <c r="LWU211" s="2522"/>
      <c r="LWV211" s="2522"/>
      <c r="LWW211" s="2522"/>
      <c r="LWX211" s="2522"/>
      <c r="LWY211" s="2522"/>
      <c r="LWZ211" s="2522"/>
      <c r="LXA211" s="2522"/>
      <c r="LXB211" s="2522"/>
      <c r="LXC211" s="2522"/>
      <c r="LXD211" s="2522"/>
      <c r="LXE211" s="2522"/>
      <c r="LXF211" s="2522"/>
      <c r="LXG211" s="2522"/>
      <c r="LXH211" s="2522"/>
      <c r="LXI211" s="2522"/>
      <c r="LXJ211" s="2522"/>
      <c r="LXK211" s="2522"/>
      <c r="LXL211" s="2522"/>
      <c r="LXM211" s="2522"/>
      <c r="LXN211" s="2522"/>
      <c r="LXO211" s="2522"/>
      <c r="LXP211" s="2522"/>
      <c r="LXQ211" s="2522"/>
      <c r="LXR211" s="2522"/>
      <c r="LXS211" s="2522"/>
      <c r="LXT211" s="2522"/>
      <c r="LXU211" s="2522"/>
      <c r="LXV211" s="2522"/>
      <c r="LXW211" s="2522"/>
      <c r="LXX211" s="2522"/>
      <c r="LXY211" s="2522"/>
      <c r="LXZ211" s="2522"/>
      <c r="LYA211" s="2522"/>
      <c r="LYB211" s="2522"/>
      <c r="LYC211" s="2522"/>
      <c r="LYD211" s="2522"/>
      <c r="LYE211" s="2522"/>
      <c r="LYF211" s="2522"/>
      <c r="LYG211" s="2522"/>
      <c r="LYH211" s="2522"/>
      <c r="LYI211" s="2522"/>
      <c r="LYJ211" s="2522"/>
      <c r="LYK211" s="2522"/>
      <c r="LYL211" s="2522"/>
      <c r="LYM211" s="2522"/>
      <c r="LYN211" s="2522"/>
      <c r="LYO211" s="2522"/>
      <c r="LYP211" s="2522"/>
      <c r="LYQ211" s="2522"/>
      <c r="LYR211" s="2522"/>
      <c r="LYS211" s="2522"/>
      <c r="LYT211" s="2522"/>
      <c r="LYU211" s="2522"/>
      <c r="LYV211" s="2522"/>
      <c r="LYW211" s="2522"/>
      <c r="LYX211" s="2522"/>
      <c r="LYY211" s="2522"/>
      <c r="LYZ211" s="2522"/>
      <c r="LZA211" s="2522"/>
      <c r="LZB211" s="2522"/>
      <c r="LZC211" s="2522"/>
      <c r="LZD211" s="2522"/>
      <c r="LZE211" s="2522"/>
      <c r="LZF211" s="2522"/>
      <c r="LZG211" s="2522"/>
      <c r="LZH211" s="2522"/>
      <c r="LZI211" s="2522"/>
      <c r="LZJ211" s="2522"/>
      <c r="LZK211" s="2522"/>
      <c r="LZL211" s="2522"/>
      <c r="LZM211" s="2522"/>
      <c r="LZN211" s="2522"/>
      <c r="LZO211" s="2522"/>
      <c r="LZP211" s="2522"/>
      <c r="LZQ211" s="2522"/>
      <c r="LZR211" s="2522"/>
      <c r="LZS211" s="2522"/>
      <c r="LZT211" s="2522"/>
      <c r="LZU211" s="2522"/>
      <c r="LZV211" s="2522"/>
      <c r="LZW211" s="2522"/>
      <c r="LZX211" s="2522"/>
      <c r="LZY211" s="2522"/>
      <c r="LZZ211" s="2522"/>
      <c r="MAA211" s="2522"/>
      <c r="MAB211" s="2522"/>
      <c r="MAC211" s="2522"/>
      <c r="MAD211" s="2522"/>
      <c r="MAE211" s="2522"/>
      <c r="MAF211" s="2522"/>
      <c r="MAG211" s="2522"/>
      <c r="MAH211" s="2522"/>
      <c r="MAI211" s="2522"/>
      <c r="MAJ211" s="2522"/>
      <c r="MAK211" s="2522"/>
      <c r="MAL211" s="2522"/>
      <c r="MAM211" s="2522"/>
      <c r="MAN211" s="2522"/>
      <c r="MAO211" s="2522"/>
      <c r="MAP211" s="2522"/>
      <c r="MAQ211" s="2522"/>
      <c r="MAR211" s="2522"/>
      <c r="MAS211" s="2522"/>
      <c r="MAT211" s="2522"/>
      <c r="MAU211" s="2522"/>
      <c r="MAV211" s="2522"/>
      <c r="MAW211" s="2522"/>
      <c r="MAX211" s="2522"/>
      <c r="MAY211" s="2522"/>
      <c r="MAZ211" s="2522"/>
      <c r="MBA211" s="2522"/>
      <c r="MBB211" s="2522"/>
      <c r="MBC211" s="2522"/>
      <c r="MBD211" s="2522"/>
      <c r="MBE211" s="2522"/>
      <c r="MBF211" s="2522"/>
      <c r="MBG211" s="2522"/>
      <c r="MBH211" s="2522"/>
      <c r="MBI211" s="2522"/>
      <c r="MBJ211" s="2522"/>
      <c r="MBK211" s="2522"/>
      <c r="MBL211" s="2522"/>
      <c r="MBM211" s="2522"/>
      <c r="MBN211" s="2522"/>
      <c r="MBO211" s="2522"/>
      <c r="MBP211" s="2522"/>
      <c r="MBQ211" s="2522"/>
      <c r="MBR211" s="2522"/>
      <c r="MBS211" s="2522"/>
      <c r="MBT211" s="2522"/>
      <c r="MBU211" s="2522"/>
      <c r="MBV211" s="2522"/>
      <c r="MBW211" s="2522"/>
      <c r="MBX211" s="2522"/>
      <c r="MBY211" s="2522"/>
      <c r="MBZ211" s="2522"/>
      <c r="MCA211" s="2522"/>
      <c r="MCB211" s="2522"/>
      <c r="MCC211" s="2522"/>
      <c r="MCD211" s="2522"/>
      <c r="MCE211" s="2522"/>
      <c r="MCF211" s="2522"/>
      <c r="MCG211" s="2522"/>
      <c r="MCH211" s="2522"/>
      <c r="MCI211" s="2522"/>
      <c r="MCJ211" s="2522"/>
      <c r="MCK211" s="2522"/>
      <c r="MCL211" s="2522"/>
      <c r="MCM211" s="2522"/>
      <c r="MCN211" s="2522"/>
      <c r="MCO211" s="2522"/>
      <c r="MCP211" s="2522"/>
      <c r="MCQ211" s="2522"/>
      <c r="MCR211" s="2522"/>
      <c r="MCS211" s="2522"/>
      <c r="MCT211" s="2522"/>
      <c r="MCU211" s="2522"/>
      <c r="MCV211" s="2522"/>
      <c r="MCW211" s="2522"/>
      <c r="MCX211" s="2522"/>
      <c r="MCY211" s="2522"/>
      <c r="MCZ211" s="2522"/>
      <c r="MDA211" s="2522"/>
      <c r="MDB211" s="2522"/>
      <c r="MDC211" s="2522"/>
      <c r="MDD211" s="2522"/>
      <c r="MDE211" s="2522"/>
      <c r="MDF211" s="2522"/>
      <c r="MDG211" s="2522"/>
      <c r="MDH211" s="2522"/>
      <c r="MDI211" s="2522"/>
      <c r="MDJ211" s="2522"/>
      <c r="MDK211" s="2522"/>
      <c r="MDL211" s="2522"/>
      <c r="MDM211" s="2522"/>
      <c r="MDN211" s="2522"/>
      <c r="MDO211" s="2522"/>
      <c r="MDP211" s="2522"/>
      <c r="MDQ211" s="2522"/>
      <c r="MDR211" s="2522"/>
      <c r="MDS211" s="2522"/>
      <c r="MDT211" s="2522"/>
      <c r="MDU211" s="2522"/>
      <c r="MDV211" s="2522"/>
      <c r="MDW211" s="2522"/>
      <c r="MDX211" s="2522"/>
      <c r="MDY211" s="2522"/>
      <c r="MDZ211" s="2522"/>
      <c r="MEA211" s="2522"/>
      <c r="MEB211" s="2522"/>
      <c r="MEC211" s="2522"/>
      <c r="MED211" s="2522"/>
      <c r="MEE211" s="2522"/>
      <c r="MEF211" s="2522"/>
      <c r="MEG211" s="2522"/>
      <c r="MEH211" s="2522"/>
      <c r="MEI211" s="2522"/>
      <c r="MEJ211" s="2522"/>
      <c r="MEK211" s="2522"/>
      <c r="MEL211" s="2522"/>
      <c r="MEM211" s="2522"/>
      <c r="MEN211" s="2522"/>
      <c r="MEO211" s="2522"/>
      <c r="MEP211" s="2522"/>
      <c r="MEQ211" s="2522"/>
      <c r="MER211" s="2522"/>
      <c r="MES211" s="2522"/>
      <c r="MET211" s="2522"/>
      <c r="MEU211" s="2522"/>
      <c r="MEV211" s="2522"/>
      <c r="MEW211" s="2522"/>
      <c r="MEX211" s="2522"/>
      <c r="MEY211" s="2522"/>
      <c r="MEZ211" s="2522"/>
      <c r="MFA211" s="2522"/>
      <c r="MFB211" s="2522"/>
      <c r="MFC211" s="2522"/>
      <c r="MFD211" s="2522"/>
      <c r="MFE211" s="2522"/>
      <c r="MFF211" s="2522"/>
      <c r="MFG211" s="2522"/>
      <c r="MFH211" s="2522"/>
      <c r="MFI211" s="2522"/>
      <c r="MFJ211" s="2522"/>
      <c r="MFK211" s="2522"/>
      <c r="MFL211" s="2522"/>
      <c r="MFM211" s="2522"/>
      <c r="MFN211" s="2522"/>
      <c r="MFO211" s="2522"/>
      <c r="MFP211" s="2522"/>
      <c r="MFQ211" s="2522"/>
      <c r="MFR211" s="2522"/>
      <c r="MFS211" s="2522"/>
      <c r="MFT211" s="2522"/>
      <c r="MFU211" s="2522"/>
      <c r="MFV211" s="2522"/>
      <c r="MFW211" s="2522"/>
      <c r="MFX211" s="2522"/>
      <c r="MFY211" s="2522"/>
      <c r="MFZ211" s="2522"/>
      <c r="MGA211" s="2522"/>
      <c r="MGB211" s="2522"/>
      <c r="MGC211" s="2522"/>
      <c r="MGD211" s="2522"/>
      <c r="MGE211" s="2522"/>
      <c r="MGF211" s="2522"/>
      <c r="MGG211" s="2522"/>
      <c r="MGH211" s="2522"/>
      <c r="MGI211" s="2522"/>
      <c r="MGJ211" s="2522"/>
      <c r="MGK211" s="2522"/>
      <c r="MGL211" s="2522"/>
      <c r="MGM211" s="2522"/>
      <c r="MGN211" s="2522"/>
      <c r="MGO211" s="2522"/>
      <c r="MGP211" s="2522"/>
      <c r="MGQ211" s="2522"/>
      <c r="MGR211" s="2522"/>
      <c r="MGS211" s="2522"/>
      <c r="MGT211" s="2522"/>
      <c r="MGU211" s="2522"/>
      <c r="MGV211" s="2522"/>
      <c r="MGW211" s="2522"/>
      <c r="MGX211" s="2522"/>
      <c r="MGY211" s="2522"/>
      <c r="MGZ211" s="2522"/>
      <c r="MHA211" s="2522"/>
      <c r="MHB211" s="2522"/>
      <c r="MHC211" s="2522"/>
      <c r="MHD211" s="2522"/>
      <c r="MHE211" s="2522"/>
      <c r="MHF211" s="2522"/>
      <c r="MHG211" s="2522"/>
      <c r="MHH211" s="2522"/>
      <c r="MHI211" s="2522"/>
      <c r="MHJ211" s="2522"/>
      <c r="MHK211" s="2522"/>
      <c r="MHL211" s="2522"/>
      <c r="MHM211" s="2522"/>
      <c r="MHN211" s="2522"/>
      <c r="MHO211" s="2522"/>
      <c r="MHP211" s="2522"/>
      <c r="MHQ211" s="2522"/>
      <c r="MHR211" s="2522"/>
      <c r="MHS211" s="2522"/>
      <c r="MHT211" s="2522"/>
      <c r="MHU211" s="2522"/>
      <c r="MHV211" s="2522"/>
      <c r="MHW211" s="2522"/>
      <c r="MHX211" s="2522"/>
      <c r="MHY211" s="2522"/>
      <c r="MHZ211" s="2522"/>
      <c r="MIA211" s="2522"/>
      <c r="MIB211" s="2522"/>
      <c r="MIC211" s="2522"/>
      <c r="MID211" s="2522"/>
      <c r="MIE211" s="2522"/>
      <c r="MIF211" s="2522"/>
      <c r="MIG211" s="2522"/>
      <c r="MIH211" s="2522"/>
      <c r="MII211" s="2522"/>
      <c r="MIJ211" s="2522"/>
      <c r="MIK211" s="2522"/>
      <c r="MIL211" s="2522"/>
      <c r="MIM211" s="2522"/>
      <c r="MIN211" s="2522"/>
      <c r="MIO211" s="2522"/>
      <c r="MIP211" s="2522"/>
      <c r="MIQ211" s="2522"/>
      <c r="MIR211" s="2522"/>
      <c r="MIS211" s="2522"/>
      <c r="MIT211" s="2522"/>
      <c r="MIU211" s="2522"/>
      <c r="MIV211" s="2522"/>
      <c r="MIW211" s="2522"/>
      <c r="MIX211" s="2522"/>
      <c r="MIY211" s="2522"/>
      <c r="MIZ211" s="2522"/>
      <c r="MJA211" s="2522"/>
      <c r="MJB211" s="2522"/>
      <c r="MJC211" s="2522"/>
      <c r="MJD211" s="2522"/>
      <c r="MJE211" s="2522"/>
      <c r="MJF211" s="2522"/>
      <c r="MJG211" s="2522"/>
      <c r="MJH211" s="2522"/>
      <c r="MJI211" s="2522"/>
      <c r="MJJ211" s="2522"/>
      <c r="MJK211" s="2522"/>
      <c r="MJL211" s="2522"/>
      <c r="MJM211" s="2522"/>
      <c r="MJN211" s="2522"/>
      <c r="MJO211" s="2522"/>
      <c r="MJP211" s="2522"/>
      <c r="MJQ211" s="2522"/>
      <c r="MJR211" s="2522"/>
      <c r="MJS211" s="2522"/>
      <c r="MJT211" s="2522"/>
      <c r="MJU211" s="2522"/>
      <c r="MJV211" s="2522"/>
      <c r="MJW211" s="2522"/>
      <c r="MJX211" s="2522"/>
      <c r="MJY211" s="2522"/>
      <c r="MJZ211" s="2522"/>
      <c r="MKA211" s="2522"/>
      <c r="MKB211" s="2522"/>
      <c r="MKC211" s="2522"/>
      <c r="MKD211" s="2522"/>
      <c r="MKE211" s="2522"/>
      <c r="MKF211" s="2522"/>
      <c r="MKG211" s="2522"/>
      <c r="MKH211" s="2522"/>
      <c r="MKI211" s="2522"/>
      <c r="MKJ211" s="2522"/>
      <c r="MKK211" s="2522"/>
      <c r="MKL211" s="2522"/>
      <c r="MKM211" s="2522"/>
      <c r="MKN211" s="2522"/>
      <c r="MKO211" s="2522"/>
      <c r="MKP211" s="2522"/>
      <c r="MKQ211" s="2522"/>
      <c r="MKR211" s="2522"/>
      <c r="MKS211" s="2522"/>
      <c r="MKT211" s="2522"/>
      <c r="MKU211" s="2522"/>
      <c r="MKV211" s="2522"/>
      <c r="MKW211" s="2522"/>
      <c r="MKX211" s="2522"/>
      <c r="MKY211" s="2522"/>
      <c r="MKZ211" s="2522"/>
      <c r="MLA211" s="2522"/>
      <c r="MLB211" s="2522"/>
      <c r="MLC211" s="2522"/>
      <c r="MLD211" s="2522"/>
      <c r="MLE211" s="2522"/>
      <c r="MLF211" s="2522"/>
      <c r="MLG211" s="2522"/>
      <c r="MLH211" s="2522"/>
      <c r="MLI211" s="2522"/>
      <c r="MLJ211" s="2522"/>
      <c r="MLK211" s="2522"/>
      <c r="MLL211" s="2522"/>
      <c r="MLM211" s="2522"/>
      <c r="MLN211" s="2522"/>
      <c r="MLO211" s="2522"/>
      <c r="MLP211" s="2522"/>
      <c r="MLQ211" s="2522"/>
      <c r="MLR211" s="2522"/>
      <c r="MLS211" s="2522"/>
      <c r="MLT211" s="2522"/>
      <c r="MLU211" s="2522"/>
      <c r="MLV211" s="2522"/>
      <c r="MLW211" s="2522"/>
      <c r="MLX211" s="2522"/>
      <c r="MLY211" s="2522"/>
      <c r="MLZ211" s="2522"/>
      <c r="MMA211" s="2522"/>
      <c r="MMB211" s="2522"/>
      <c r="MMC211" s="2522"/>
      <c r="MMD211" s="2522"/>
      <c r="MME211" s="2522"/>
      <c r="MMF211" s="2522"/>
      <c r="MMG211" s="2522"/>
      <c r="MMH211" s="2522"/>
      <c r="MMI211" s="2522"/>
      <c r="MMJ211" s="2522"/>
      <c r="MMK211" s="2522"/>
      <c r="MML211" s="2522"/>
      <c r="MMM211" s="2522"/>
      <c r="MMN211" s="2522"/>
      <c r="MMO211" s="2522"/>
      <c r="MMP211" s="2522"/>
      <c r="MMQ211" s="2522"/>
      <c r="MMR211" s="2522"/>
      <c r="MMS211" s="2522"/>
      <c r="MMT211" s="2522"/>
      <c r="MMU211" s="2522"/>
      <c r="MMV211" s="2522"/>
      <c r="MMW211" s="2522"/>
      <c r="MMX211" s="2522"/>
      <c r="MMY211" s="2522"/>
      <c r="MMZ211" s="2522"/>
      <c r="MNA211" s="2522"/>
      <c r="MNB211" s="2522"/>
      <c r="MNC211" s="2522"/>
      <c r="MND211" s="2522"/>
      <c r="MNE211" s="2522"/>
      <c r="MNF211" s="2522"/>
      <c r="MNG211" s="2522"/>
      <c r="MNH211" s="2522"/>
      <c r="MNI211" s="2522"/>
      <c r="MNJ211" s="2522"/>
      <c r="MNK211" s="2522"/>
      <c r="MNL211" s="2522"/>
      <c r="MNM211" s="2522"/>
      <c r="MNN211" s="2522"/>
      <c r="MNO211" s="2522"/>
      <c r="MNP211" s="2522"/>
      <c r="MNQ211" s="2522"/>
      <c r="MNR211" s="2522"/>
      <c r="MNS211" s="2522"/>
      <c r="MNT211" s="2522"/>
      <c r="MNU211" s="2522"/>
      <c r="MNV211" s="2522"/>
      <c r="MNW211" s="2522"/>
      <c r="MNX211" s="2522"/>
      <c r="MNY211" s="2522"/>
      <c r="MNZ211" s="2522"/>
      <c r="MOA211" s="2522"/>
      <c r="MOB211" s="2522"/>
      <c r="MOC211" s="2522"/>
      <c r="MOD211" s="2522"/>
      <c r="MOE211" s="2522"/>
      <c r="MOF211" s="2522"/>
      <c r="MOG211" s="2522"/>
      <c r="MOH211" s="2522"/>
      <c r="MOI211" s="2522"/>
      <c r="MOJ211" s="2522"/>
      <c r="MOK211" s="2522"/>
      <c r="MOL211" s="2522"/>
      <c r="MOM211" s="2522"/>
      <c r="MON211" s="2522"/>
      <c r="MOO211" s="2522"/>
      <c r="MOP211" s="2522"/>
      <c r="MOQ211" s="2522"/>
      <c r="MOR211" s="2522"/>
      <c r="MOS211" s="2522"/>
      <c r="MOT211" s="2522"/>
      <c r="MOU211" s="2522"/>
      <c r="MOV211" s="2522"/>
      <c r="MOW211" s="2522"/>
      <c r="MOX211" s="2522"/>
      <c r="MOY211" s="2522"/>
      <c r="MOZ211" s="2522"/>
      <c r="MPA211" s="2522"/>
      <c r="MPB211" s="2522"/>
      <c r="MPC211" s="2522"/>
      <c r="MPD211" s="2522"/>
      <c r="MPE211" s="2522"/>
      <c r="MPF211" s="2522"/>
      <c r="MPG211" s="2522"/>
      <c r="MPH211" s="2522"/>
      <c r="MPI211" s="2522"/>
      <c r="MPJ211" s="2522"/>
      <c r="MPK211" s="2522"/>
      <c r="MPL211" s="2522"/>
      <c r="MPM211" s="2522"/>
      <c r="MPN211" s="2522"/>
      <c r="MPO211" s="2522"/>
      <c r="MPP211" s="2522"/>
      <c r="MPQ211" s="2522"/>
      <c r="MPR211" s="2522"/>
      <c r="MPS211" s="2522"/>
      <c r="MPT211" s="2522"/>
      <c r="MPU211" s="2522"/>
      <c r="MPV211" s="2522"/>
      <c r="MPW211" s="2522"/>
      <c r="MPX211" s="2522"/>
      <c r="MPY211" s="2522"/>
      <c r="MPZ211" s="2522"/>
      <c r="MQA211" s="2522"/>
      <c r="MQB211" s="2522"/>
      <c r="MQC211" s="2522"/>
      <c r="MQD211" s="2522"/>
      <c r="MQE211" s="2522"/>
      <c r="MQF211" s="2522"/>
      <c r="MQG211" s="2522"/>
      <c r="MQH211" s="2522"/>
      <c r="MQI211" s="2522"/>
      <c r="MQJ211" s="2522"/>
      <c r="MQK211" s="2522"/>
      <c r="MQL211" s="2522"/>
      <c r="MQM211" s="2522"/>
      <c r="MQN211" s="2522"/>
      <c r="MQO211" s="2522"/>
      <c r="MQP211" s="2522"/>
      <c r="MQQ211" s="2522"/>
      <c r="MQR211" s="2522"/>
      <c r="MQS211" s="2522"/>
      <c r="MQT211" s="2522"/>
      <c r="MQU211" s="2522"/>
      <c r="MQV211" s="2522"/>
      <c r="MQW211" s="2522"/>
      <c r="MQX211" s="2522"/>
      <c r="MQY211" s="2522"/>
      <c r="MQZ211" s="2522"/>
      <c r="MRA211" s="2522"/>
      <c r="MRB211" s="2522"/>
      <c r="MRC211" s="2522"/>
      <c r="MRD211" s="2522"/>
      <c r="MRE211" s="2522"/>
      <c r="MRF211" s="2522"/>
      <c r="MRG211" s="2522"/>
      <c r="MRH211" s="2522"/>
      <c r="MRI211" s="2522"/>
      <c r="MRJ211" s="2522"/>
      <c r="MRK211" s="2522"/>
      <c r="MRL211" s="2522"/>
      <c r="MRM211" s="2522"/>
      <c r="MRN211" s="2522"/>
      <c r="MRO211" s="2522"/>
      <c r="MRP211" s="2522"/>
      <c r="MRQ211" s="2522"/>
      <c r="MRR211" s="2522"/>
      <c r="MRS211" s="2522"/>
      <c r="MRT211" s="2522"/>
      <c r="MRU211" s="2522"/>
      <c r="MRV211" s="2522"/>
      <c r="MRW211" s="2522"/>
      <c r="MRX211" s="2522"/>
      <c r="MRY211" s="2522"/>
      <c r="MRZ211" s="2522"/>
      <c r="MSA211" s="2522"/>
      <c r="MSB211" s="2522"/>
      <c r="MSC211" s="2522"/>
      <c r="MSD211" s="2522"/>
      <c r="MSE211" s="2522"/>
      <c r="MSF211" s="2522"/>
      <c r="MSG211" s="2522"/>
      <c r="MSH211" s="2522"/>
      <c r="MSI211" s="2522"/>
      <c r="MSJ211" s="2522"/>
      <c r="MSK211" s="2522"/>
      <c r="MSL211" s="2522"/>
      <c r="MSM211" s="2522"/>
      <c r="MSN211" s="2522"/>
      <c r="MSO211" s="2522"/>
      <c r="MSP211" s="2522"/>
      <c r="MSQ211" s="2522"/>
      <c r="MSR211" s="2522"/>
      <c r="MSS211" s="2522"/>
      <c r="MST211" s="2522"/>
      <c r="MSU211" s="2522"/>
      <c r="MSV211" s="2522"/>
      <c r="MSW211" s="2522"/>
      <c r="MSX211" s="2522"/>
      <c r="MSY211" s="2522"/>
      <c r="MSZ211" s="2522"/>
      <c r="MTA211" s="2522"/>
      <c r="MTB211" s="2522"/>
      <c r="MTC211" s="2522"/>
      <c r="MTD211" s="2522"/>
      <c r="MTE211" s="2522"/>
      <c r="MTF211" s="2522"/>
      <c r="MTG211" s="2522"/>
      <c r="MTH211" s="2522"/>
      <c r="MTI211" s="2522"/>
      <c r="MTJ211" s="2522"/>
      <c r="MTK211" s="2522"/>
      <c r="MTL211" s="2522"/>
      <c r="MTM211" s="2522"/>
      <c r="MTN211" s="2522"/>
      <c r="MTO211" s="2522"/>
      <c r="MTP211" s="2522"/>
      <c r="MTQ211" s="2522"/>
      <c r="MTR211" s="2522"/>
      <c r="MTS211" s="2522"/>
      <c r="MTT211" s="2522"/>
      <c r="MTU211" s="2522"/>
      <c r="MTV211" s="2522"/>
      <c r="MTW211" s="2522"/>
      <c r="MTX211" s="2522"/>
      <c r="MTY211" s="2522"/>
      <c r="MTZ211" s="2522"/>
      <c r="MUA211" s="2522"/>
      <c r="MUB211" s="2522"/>
      <c r="MUC211" s="2522"/>
      <c r="MUD211" s="2522"/>
      <c r="MUE211" s="2522"/>
      <c r="MUF211" s="2522"/>
      <c r="MUG211" s="2522"/>
      <c r="MUH211" s="2522"/>
      <c r="MUI211" s="2522"/>
      <c r="MUJ211" s="2522"/>
      <c r="MUK211" s="2522"/>
      <c r="MUL211" s="2522"/>
      <c r="MUM211" s="2522"/>
      <c r="MUN211" s="2522"/>
      <c r="MUO211" s="2522"/>
      <c r="MUP211" s="2522"/>
      <c r="MUQ211" s="2522"/>
      <c r="MUR211" s="2522"/>
      <c r="MUS211" s="2522"/>
      <c r="MUT211" s="2522"/>
      <c r="MUU211" s="2522"/>
      <c r="MUV211" s="2522"/>
      <c r="MUW211" s="2522"/>
      <c r="MUX211" s="2522"/>
      <c r="MUY211" s="2522"/>
      <c r="MUZ211" s="2522"/>
      <c r="MVA211" s="2522"/>
      <c r="MVB211" s="2522"/>
      <c r="MVC211" s="2522"/>
      <c r="MVD211" s="2522"/>
      <c r="MVE211" s="2522"/>
      <c r="MVF211" s="2522"/>
      <c r="MVG211" s="2522"/>
      <c r="MVH211" s="2522"/>
      <c r="MVI211" s="2522"/>
      <c r="MVJ211" s="2522"/>
      <c r="MVK211" s="2522"/>
      <c r="MVL211" s="2522"/>
      <c r="MVM211" s="2522"/>
      <c r="MVN211" s="2522"/>
      <c r="MVO211" s="2522"/>
      <c r="MVP211" s="2522"/>
      <c r="MVQ211" s="2522"/>
      <c r="MVR211" s="2522"/>
      <c r="MVS211" s="2522"/>
      <c r="MVT211" s="2522"/>
      <c r="MVU211" s="2522"/>
      <c r="MVV211" s="2522"/>
      <c r="MVW211" s="2522"/>
      <c r="MVX211" s="2522"/>
      <c r="MVY211" s="2522"/>
      <c r="MVZ211" s="2522"/>
      <c r="MWA211" s="2522"/>
      <c r="MWB211" s="2522"/>
      <c r="MWC211" s="2522"/>
      <c r="MWD211" s="2522"/>
      <c r="MWE211" s="2522"/>
      <c r="MWF211" s="2522"/>
      <c r="MWG211" s="2522"/>
      <c r="MWH211" s="2522"/>
      <c r="MWI211" s="2522"/>
      <c r="MWJ211" s="2522"/>
      <c r="MWK211" s="2522"/>
      <c r="MWL211" s="2522"/>
      <c r="MWM211" s="2522"/>
      <c r="MWN211" s="2522"/>
      <c r="MWO211" s="2522"/>
      <c r="MWP211" s="2522"/>
      <c r="MWQ211" s="2522"/>
      <c r="MWR211" s="2522"/>
      <c r="MWS211" s="2522"/>
      <c r="MWT211" s="2522"/>
      <c r="MWU211" s="2522"/>
      <c r="MWV211" s="2522"/>
      <c r="MWW211" s="2522"/>
      <c r="MWX211" s="2522"/>
      <c r="MWY211" s="2522"/>
      <c r="MWZ211" s="2522"/>
      <c r="MXA211" s="2522"/>
      <c r="MXB211" s="2522"/>
      <c r="MXC211" s="2522"/>
      <c r="MXD211" s="2522"/>
      <c r="MXE211" s="2522"/>
      <c r="MXF211" s="2522"/>
      <c r="MXG211" s="2522"/>
      <c r="MXH211" s="2522"/>
      <c r="MXI211" s="2522"/>
      <c r="MXJ211" s="2522"/>
      <c r="MXK211" s="2522"/>
      <c r="MXL211" s="2522"/>
      <c r="MXM211" s="2522"/>
      <c r="MXN211" s="2522"/>
      <c r="MXO211" s="2522"/>
      <c r="MXP211" s="2522"/>
      <c r="MXQ211" s="2522"/>
      <c r="MXR211" s="2522"/>
      <c r="MXS211" s="2522"/>
      <c r="MXT211" s="2522"/>
      <c r="MXU211" s="2522"/>
      <c r="MXV211" s="2522"/>
      <c r="MXW211" s="2522"/>
      <c r="MXX211" s="2522"/>
      <c r="MXY211" s="2522"/>
      <c r="MXZ211" s="2522"/>
      <c r="MYA211" s="2522"/>
      <c r="MYB211" s="2522"/>
      <c r="MYC211" s="2522"/>
      <c r="MYD211" s="2522"/>
      <c r="MYE211" s="2522"/>
      <c r="MYF211" s="2522"/>
      <c r="MYG211" s="2522"/>
      <c r="MYH211" s="2522"/>
      <c r="MYI211" s="2522"/>
      <c r="MYJ211" s="2522"/>
      <c r="MYK211" s="2522"/>
      <c r="MYL211" s="2522"/>
      <c r="MYM211" s="2522"/>
      <c r="MYN211" s="2522"/>
      <c r="MYO211" s="2522"/>
      <c r="MYP211" s="2522"/>
      <c r="MYQ211" s="2522"/>
      <c r="MYR211" s="2522"/>
      <c r="MYS211" s="2522"/>
      <c r="MYT211" s="2522"/>
      <c r="MYU211" s="2522"/>
      <c r="MYV211" s="2522"/>
      <c r="MYW211" s="2522"/>
      <c r="MYX211" s="2522"/>
      <c r="MYY211" s="2522"/>
      <c r="MYZ211" s="2522"/>
      <c r="MZA211" s="2522"/>
      <c r="MZB211" s="2522"/>
      <c r="MZC211" s="2522"/>
      <c r="MZD211" s="2522"/>
      <c r="MZE211" s="2522"/>
      <c r="MZF211" s="2522"/>
      <c r="MZG211" s="2522"/>
      <c r="MZH211" s="2522"/>
      <c r="MZI211" s="2522"/>
      <c r="MZJ211" s="2522"/>
      <c r="MZK211" s="2522"/>
      <c r="MZL211" s="2522"/>
      <c r="MZM211" s="2522"/>
      <c r="MZN211" s="2522"/>
      <c r="MZO211" s="2522"/>
      <c r="MZP211" s="2522"/>
      <c r="MZQ211" s="2522"/>
      <c r="MZR211" s="2522"/>
      <c r="MZS211" s="2522"/>
      <c r="MZT211" s="2522"/>
      <c r="MZU211" s="2522"/>
      <c r="MZV211" s="2522"/>
      <c r="MZW211" s="2522"/>
      <c r="MZX211" s="2522"/>
      <c r="MZY211" s="2522"/>
      <c r="MZZ211" s="2522"/>
      <c r="NAA211" s="2522"/>
      <c r="NAB211" s="2522"/>
      <c r="NAC211" s="2522"/>
      <c r="NAD211" s="2522"/>
      <c r="NAE211" s="2522"/>
      <c r="NAF211" s="2522"/>
      <c r="NAG211" s="2522"/>
      <c r="NAH211" s="2522"/>
      <c r="NAI211" s="2522"/>
      <c r="NAJ211" s="2522"/>
      <c r="NAK211" s="2522"/>
      <c r="NAL211" s="2522"/>
      <c r="NAM211" s="2522"/>
      <c r="NAN211" s="2522"/>
      <c r="NAO211" s="2522"/>
      <c r="NAP211" s="2522"/>
      <c r="NAQ211" s="2522"/>
      <c r="NAR211" s="2522"/>
      <c r="NAS211" s="2522"/>
      <c r="NAT211" s="2522"/>
      <c r="NAU211" s="2522"/>
      <c r="NAV211" s="2522"/>
      <c r="NAW211" s="2522"/>
      <c r="NAX211" s="2522"/>
      <c r="NAY211" s="2522"/>
      <c r="NAZ211" s="2522"/>
      <c r="NBA211" s="2522"/>
      <c r="NBB211" s="2522"/>
      <c r="NBC211" s="2522"/>
      <c r="NBD211" s="2522"/>
      <c r="NBE211" s="2522"/>
      <c r="NBF211" s="2522"/>
      <c r="NBG211" s="2522"/>
      <c r="NBH211" s="2522"/>
      <c r="NBI211" s="2522"/>
      <c r="NBJ211" s="2522"/>
      <c r="NBK211" s="2522"/>
      <c r="NBL211" s="2522"/>
      <c r="NBM211" s="2522"/>
      <c r="NBN211" s="2522"/>
      <c r="NBO211" s="2522"/>
      <c r="NBP211" s="2522"/>
      <c r="NBQ211" s="2522"/>
      <c r="NBR211" s="2522"/>
      <c r="NBS211" s="2522"/>
      <c r="NBT211" s="2522"/>
      <c r="NBU211" s="2522"/>
      <c r="NBV211" s="2522"/>
      <c r="NBW211" s="2522"/>
      <c r="NBX211" s="2522"/>
      <c r="NBY211" s="2522"/>
      <c r="NBZ211" s="2522"/>
      <c r="NCA211" s="2522"/>
      <c r="NCB211" s="2522"/>
      <c r="NCC211" s="2522"/>
      <c r="NCD211" s="2522"/>
      <c r="NCE211" s="2522"/>
      <c r="NCF211" s="2522"/>
      <c r="NCG211" s="2522"/>
      <c r="NCH211" s="2522"/>
      <c r="NCI211" s="2522"/>
      <c r="NCJ211" s="2522"/>
      <c r="NCK211" s="2522"/>
      <c r="NCL211" s="2522"/>
      <c r="NCM211" s="2522"/>
      <c r="NCN211" s="2522"/>
      <c r="NCO211" s="2522"/>
      <c r="NCP211" s="2522"/>
      <c r="NCQ211" s="2522"/>
      <c r="NCR211" s="2522"/>
      <c r="NCS211" s="2522"/>
      <c r="NCT211" s="2522"/>
      <c r="NCU211" s="2522"/>
      <c r="NCV211" s="2522"/>
      <c r="NCW211" s="2522"/>
      <c r="NCX211" s="2522"/>
      <c r="NCY211" s="2522"/>
      <c r="NCZ211" s="2522"/>
      <c r="NDA211" s="2522"/>
      <c r="NDB211" s="2522"/>
      <c r="NDC211" s="2522"/>
      <c r="NDD211" s="2522"/>
      <c r="NDE211" s="2522"/>
      <c r="NDF211" s="2522"/>
      <c r="NDG211" s="2522"/>
      <c r="NDH211" s="2522"/>
      <c r="NDI211" s="2522"/>
      <c r="NDJ211" s="2522"/>
      <c r="NDK211" s="2522"/>
      <c r="NDL211" s="2522"/>
      <c r="NDM211" s="2522"/>
      <c r="NDN211" s="2522"/>
      <c r="NDO211" s="2522"/>
      <c r="NDP211" s="2522"/>
      <c r="NDQ211" s="2522"/>
      <c r="NDR211" s="2522"/>
      <c r="NDS211" s="2522"/>
      <c r="NDT211" s="2522"/>
      <c r="NDU211" s="2522"/>
      <c r="NDV211" s="2522"/>
      <c r="NDW211" s="2522"/>
      <c r="NDX211" s="2522"/>
      <c r="NDY211" s="2522"/>
      <c r="NDZ211" s="2522"/>
      <c r="NEA211" s="2522"/>
      <c r="NEB211" s="2522"/>
      <c r="NEC211" s="2522"/>
      <c r="NED211" s="2522"/>
      <c r="NEE211" s="2522"/>
      <c r="NEF211" s="2522"/>
      <c r="NEG211" s="2522"/>
      <c r="NEH211" s="2522"/>
      <c r="NEI211" s="2522"/>
      <c r="NEJ211" s="2522"/>
      <c r="NEK211" s="2522"/>
      <c r="NEL211" s="2522"/>
      <c r="NEM211" s="2522"/>
      <c r="NEN211" s="2522"/>
      <c r="NEO211" s="2522"/>
      <c r="NEP211" s="2522"/>
      <c r="NEQ211" s="2522"/>
      <c r="NER211" s="2522"/>
      <c r="NES211" s="2522"/>
      <c r="NET211" s="2522"/>
      <c r="NEU211" s="2522"/>
      <c r="NEV211" s="2522"/>
      <c r="NEW211" s="2522"/>
      <c r="NEX211" s="2522"/>
      <c r="NEY211" s="2522"/>
      <c r="NEZ211" s="2522"/>
      <c r="NFA211" s="2522"/>
      <c r="NFB211" s="2522"/>
      <c r="NFC211" s="2522"/>
      <c r="NFD211" s="2522"/>
      <c r="NFE211" s="2522"/>
      <c r="NFF211" s="2522"/>
      <c r="NFG211" s="2522"/>
      <c r="NFH211" s="2522"/>
      <c r="NFI211" s="2522"/>
      <c r="NFJ211" s="2522"/>
      <c r="NFK211" s="2522"/>
      <c r="NFL211" s="2522"/>
      <c r="NFM211" s="2522"/>
      <c r="NFN211" s="2522"/>
      <c r="NFO211" s="2522"/>
      <c r="NFP211" s="2522"/>
      <c r="NFQ211" s="2522"/>
      <c r="NFR211" s="2522"/>
      <c r="NFS211" s="2522"/>
      <c r="NFT211" s="2522"/>
      <c r="NFU211" s="2522"/>
      <c r="NFV211" s="2522"/>
      <c r="NFW211" s="2522"/>
      <c r="NFX211" s="2522"/>
      <c r="NFY211" s="2522"/>
      <c r="NFZ211" s="2522"/>
      <c r="NGA211" s="2522"/>
      <c r="NGB211" s="2522"/>
      <c r="NGC211" s="2522"/>
      <c r="NGD211" s="2522"/>
      <c r="NGE211" s="2522"/>
      <c r="NGF211" s="2522"/>
      <c r="NGG211" s="2522"/>
      <c r="NGH211" s="2522"/>
      <c r="NGI211" s="2522"/>
      <c r="NGJ211" s="2522"/>
      <c r="NGK211" s="2522"/>
      <c r="NGL211" s="2522"/>
      <c r="NGM211" s="2522"/>
      <c r="NGN211" s="2522"/>
      <c r="NGO211" s="2522"/>
      <c r="NGP211" s="2522"/>
      <c r="NGQ211" s="2522"/>
      <c r="NGR211" s="2522"/>
      <c r="NGS211" s="2522"/>
      <c r="NGT211" s="2522"/>
      <c r="NGU211" s="2522"/>
      <c r="NGV211" s="2522"/>
      <c r="NGW211" s="2522"/>
      <c r="NGX211" s="2522"/>
      <c r="NGY211" s="2522"/>
      <c r="NGZ211" s="2522"/>
      <c r="NHA211" s="2522"/>
      <c r="NHB211" s="2522"/>
      <c r="NHC211" s="2522"/>
      <c r="NHD211" s="2522"/>
      <c r="NHE211" s="2522"/>
      <c r="NHF211" s="2522"/>
      <c r="NHG211" s="2522"/>
      <c r="NHH211" s="2522"/>
      <c r="NHI211" s="2522"/>
      <c r="NHJ211" s="2522"/>
      <c r="NHK211" s="2522"/>
      <c r="NHL211" s="2522"/>
      <c r="NHM211" s="2522"/>
      <c r="NHN211" s="2522"/>
      <c r="NHO211" s="2522"/>
      <c r="NHP211" s="2522"/>
      <c r="NHQ211" s="2522"/>
      <c r="NHR211" s="2522"/>
      <c r="NHS211" s="2522"/>
      <c r="NHT211" s="2522"/>
      <c r="NHU211" s="2522"/>
      <c r="NHV211" s="2522"/>
      <c r="NHW211" s="2522"/>
      <c r="NHX211" s="2522"/>
      <c r="NHY211" s="2522"/>
      <c r="NHZ211" s="2522"/>
      <c r="NIA211" s="2522"/>
      <c r="NIB211" s="2522"/>
      <c r="NIC211" s="2522"/>
      <c r="NID211" s="2522"/>
      <c r="NIE211" s="2522"/>
      <c r="NIF211" s="2522"/>
      <c r="NIG211" s="2522"/>
      <c r="NIH211" s="2522"/>
      <c r="NII211" s="2522"/>
      <c r="NIJ211" s="2522"/>
      <c r="NIK211" s="2522"/>
      <c r="NIL211" s="2522"/>
      <c r="NIM211" s="2522"/>
      <c r="NIN211" s="2522"/>
      <c r="NIO211" s="2522"/>
      <c r="NIP211" s="2522"/>
      <c r="NIQ211" s="2522"/>
      <c r="NIR211" s="2522"/>
      <c r="NIS211" s="2522"/>
      <c r="NIT211" s="2522"/>
      <c r="NIU211" s="2522"/>
      <c r="NIV211" s="2522"/>
      <c r="NIW211" s="2522"/>
      <c r="NIX211" s="2522"/>
      <c r="NIY211" s="2522"/>
      <c r="NIZ211" s="2522"/>
      <c r="NJA211" s="2522"/>
      <c r="NJB211" s="2522"/>
      <c r="NJC211" s="2522"/>
      <c r="NJD211" s="2522"/>
      <c r="NJE211" s="2522"/>
      <c r="NJF211" s="2522"/>
      <c r="NJG211" s="2522"/>
      <c r="NJH211" s="2522"/>
      <c r="NJI211" s="2522"/>
      <c r="NJJ211" s="2522"/>
      <c r="NJK211" s="2522"/>
      <c r="NJL211" s="2522"/>
      <c r="NJM211" s="2522"/>
      <c r="NJN211" s="2522"/>
      <c r="NJO211" s="2522"/>
      <c r="NJP211" s="2522"/>
      <c r="NJQ211" s="2522"/>
      <c r="NJR211" s="2522"/>
      <c r="NJS211" s="2522"/>
      <c r="NJT211" s="2522"/>
      <c r="NJU211" s="2522"/>
      <c r="NJV211" s="2522"/>
      <c r="NJW211" s="2522"/>
      <c r="NJX211" s="2522"/>
      <c r="NJY211" s="2522"/>
      <c r="NJZ211" s="2522"/>
      <c r="NKA211" s="2522"/>
      <c r="NKB211" s="2522"/>
      <c r="NKC211" s="2522"/>
      <c r="NKD211" s="2522"/>
      <c r="NKE211" s="2522"/>
      <c r="NKF211" s="2522"/>
      <c r="NKG211" s="2522"/>
      <c r="NKH211" s="2522"/>
      <c r="NKI211" s="2522"/>
      <c r="NKJ211" s="2522"/>
      <c r="NKK211" s="2522"/>
      <c r="NKL211" s="2522"/>
      <c r="NKM211" s="2522"/>
      <c r="NKN211" s="2522"/>
      <c r="NKO211" s="2522"/>
      <c r="NKP211" s="2522"/>
      <c r="NKQ211" s="2522"/>
      <c r="NKR211" s="2522"/>
      <c r="NKS211" s="2522"/>
      <c r="NKT211" s="2522"/>
      <c r="NKU211" s="2522"/>
      <c r="NKV211" s="2522"/>
      <c r="NKW211" s="2522"/>
      <c r="NKX211" s="2522"/>
      <c r="NKY211" s="2522"/>
      <c r="NKZ211" s="2522"/>
      <c r="NLA211" s="2522"/>
      <c r="NLB211" s="2522"/>
      <c r="NLC211" s="2522"/>
      <c r="NLD211" s="2522"/>
      <c r="NLE211" s="2522"/>
      <c r="NLF211" s="2522"/>
      <c r="NLG211" s="2522"/>
      <c r="NLH211" s="2522"/>
      <c r="NLI211" s="2522"/>
      <c r="NLJ211" s="2522"/>
      <c r="NLK211" s="2522"/>
      <c r="NLL211" s="2522"/>
      <c r="NLM211" s="2522"/>
      <c r="NLN211" s="2522"/>
      <c r="NLO211" s="2522"/>
      <c r="NLP211" s="2522"/>
      <c r="NLQ211" s="2522"/>
      <c r="NLR211" s="2522"/>
      <c r="NLS211" s="2522"/>
      <c r="NLT211" s="2522"/>
      <c r="NLU211" s="2522"/>
      <c r="NLV211" s="2522"/>
      <c r="NLW211" s="2522"/>
      <c r="NLX211" s="2522"/>
      <c r="NLY211" s="2522"/>
      <c r="NLZ211" s="2522"/>
      <c r="NMA211" s="2522"/>
      <c r="NMB211" s="2522"/>
      <c r="NMC211" s="2522"/>
      <c r="NMD211" s="2522"/>
      <c r="NME211" s="2522"/>
      <c r="NMF211" s="2522"/>
      <c r="NMG211" s="2522"/>
      <c r="NMH211" s="2522"/>
      <c r="NMI211" s="2522"/>
      <c r="NMJ211" s="2522"/>
      <c r="NMK211" s="2522"/>
      <c r="NML211" s="2522"/>
      <c r="NMM211" s="2522"/>
      <c r="NMN211" s="2522"/>
      <c r="NMO211" s="2522"/>
      <c r="NMP211" s="2522"/>
      <c r="NMQ211" s="2522"/>
      <c r="NMR211" s="2522"/>
      <c r="NMS211" s="2522"/>
      <c r="NMT211" s="2522"/>
      <c r="NMU211" s="2522"/>
      <c r="NMV211" s="2522"/>
      <c r="NMW211" s="2522"/>
      <c r="NMX211" s="2522"/>
      <c r="NMY211" s="2522"/>
      <c r="NMZ211" s="2522"/>
      <c r="NNA211" s="2522"/>
      <c r="NNB211" s="2522"/>
      <c r="NNC211" s="2522"/>
      <c r="NND211" s="2522"/>
      <c r="NNE211" s="2522"/>
      <c r="NNF211" s="2522"/>
      <c r="NNG211" s="2522"/>
      <c r="NNH211" s="2522"/>
      <c r="NNI211" s="2522"/>
      <c r="NNJ211" s="2522"/>
      <c r="NNK211" s="2522"/>
      <c r="NNL211" s="2522"/>
      <c r="NNM211" s="2522"/>
      <c r="NNN211" s="2522"/>
      <c r="NNO211" s="2522"/>
      <c r="NNP211" s="2522"/>
      <c r="NNQ211" s="2522"/>
      <c r="NNR211" s="2522"/>
      <c r="NNS211" s="2522"/>
      <c r="NNT211" s="2522"/>
      <c r="NNU211" s="2522"/>
      <c r="NNV211" s="2522"/>
      <c r="NNW211" s="2522"/>
      <c r="NNX211" s="2522"/>
      <c r="NNY211" s="2522"/>
      <c r="NNZ211" s="2522"/>
      <c r="NOA211" s="2522"/>
      <c r="NOB211" s="2522"/>
      <c r="NOC211" s="2522"/>
      <c r="NOD211" s="2522"/>
      <c r="NOE211" s="2522"/>
      <c r="NOF211" s="2522"/>
      <c r="NOG211" s="2522"/>
      <c r="NOH211" s="2522"/>
      <c r="NOI211" s="2522"/>
      <c r="NOJ211" s="2522"/>
      <c r="NOK211" s="2522"/>
      <c r="NOL211" s="2522"/>
      <c r="NOM211" s="2522"/>
      <c r="NON211" s="2522"/>
      <c r="NOO211" s="2522"/>
      <c r="NOP211" s="2522"/>
      <c r="NOQ211" s="2522"/>
      <c r="NOR211" s="2522"/>
      <c r="NOS211" s="2522"/>
      <c r="NOT211" s="2522"/>
      <c r="NOU211" s="2522"/>
      <c r="NOV211" s="2522"/>
      <c r="NOW211" s="2522"/>
      <c r="NOX211" s="2522"/>
      <c r="NOY211" s="2522"/>
      <c r="NOZ211" s="2522"/>
      <c r="NPA211" s="2522"/>
      <c r="NPB211" s="2522"/>
      <c r="NPC211" s="2522"/>
      <c r="NPD211" s="2522"/>
      <c r="NPE211" s="2522"/>
      <c r="NPF211" s="2522"/>
      <c r="NPG211" s="2522"/>
      <c r="NPH211" s="2522"/>
      <c r="NPI211" s="2522"/>
      <c r="NPJ211" s="2522"/>
      <c r="NPK211" s="2522"/>
      <c r="NPL211" s="2522"/>
      <c r="NPM211" s="2522"/>
      <c r="NPN211" s="2522"/>
      <c r="NPO211" s="2522"/>
      <c r="NPP211" s="2522"/>
      <c r="NPQ211" s="2522"/>
      <c r="NPR211" s="2522"/>
      <c r="NPS211" s="2522"/>
      <c r="NPT211" s="2522"/>
      <c r="NPU211" s="2522"/>
      <c r="NPV211" s="2522"/>
      <c r="NPW211" s="2522"/>
      <c r="NPX211" s="2522"/>
      <c r="NPY211" s="2522"/>
      <c r="NPZ211" s="2522"/>
      <c r="NQA211" s="2522"/>
      <c r="NQB211" s="2522"/>
      <c r="NQC211" s="2522"/>
      <c r="NQD211" s="2522"/>
      <c r="NQE211" s="2522"/>
      <c r="NQF211" s="2522"/>
      <c r="NQG211" s="2522"/>
      <c r="NQH211" s="2522"/>
      <c r="NQI211" s="2522"/>
      <c r="NQJ211" s="2522"/>
      <c r="NQK211" s="2522"/>
      <c r="NQL211" s="2522"/>
      <c r="NQM211" s="2522"/>
      <c r="NQN211" s="2522"/>
      <c r="NQO211" s="2522"/>
      <c r="NQP211" s="2522"/>
      <c r="NQQ211" s="2522"/>
      <c r="NQR211" s="2522"/>
      <c r="NQS211" s="2522"/>
      <c r="NQT211" s="2522"/>
      <c r="NQU211" s="2522"/>
      <c r="NQV211" s="2522"/>
      <c r="NQW211" s="2522"/>
      <c r="NQX211" s="2522"/>
      <c r="NQY211" s="2522"/>
      <c r="NQZ211" s="2522"/>
      <c r="NRA211" s="2522"/>
      <c r="NRB211" s="2522"/>
      <c r="NRC211" s="2522"/>
      <c r="NRD211" s="2522"/>
      <c r="NRE211" s="2522"/>
      <c r="NRF211" s="2522"/>
      <c r="NRG211" s="2522"/>
      <c r="NRH211" s="2522"/>
      <c r="NRI211" s="2522"/>
      <c r="NRJ211" s="2522"/>
      <c r="NRK211" s="2522"/>
      <c r="NRL211" s="2522"/>
      <c r="NRM211" s="2522"/>
      <c r="NRN211" s="2522"/>
      <c r="NRO211" s="2522"/>
      <c r="NRP211" s="2522"/>
      <c r="NRQ211" s="2522"/>
      <c r="NRR211" s="2522"/>
      <c r="NRS211" s="2522"/>
      <c r="NRT211" s="2522"/>
      <c r="NRU211" s="2522"/>
      <c r="NRV211" s="2522"/>
      <c r="NRW211" s="2522"/>
      <c r="NRX211" s="2522"/>
      <c r="NRY211" s="2522"/>
      <c r="NRZ211" s="2522"/>
      <c r="NSA211" s="2522"/>
      <c r="NSB211" s="2522"/>
      <c r="NSC211" s="2522"/>
      <c r="NSD211" s="2522"/>
      <c r="NSE211" s="2522"/>
      <c r="NSF211" s="2522"/>
      <c r="NSG211" s="2522"/>
      <c r="NSH211" s="2522"/>
      <c r="NSI211" s="2522"/>
      <c r="NSJ211" s="2522"/>
      <c r="NSK211" s="2522"/>
      <c r="NSL211" s="2522"/>
      <c r="NSM211" s="2522"/>
      <c r="NSN211" s="2522"/>
      <c r="NSO211" s="2522"/>
      <c r="NSP211" s="2522"/>
      <c r="NSQ211" s="2522"/>
      <c r="NSR211" s="2522"/>
      <c r="NSS211" s="2522"/>
      <c r="NST211" s="2522"/>
      <c r="NSU211" s="2522"/>
      <c r="NSV211" s="2522"/>
      <c r="NSW211" s="2522"/>
      <c r="NSX211" s="2522"/>
      <c r="NSY211" s="2522"/>
      <c r="NSZ211" s="2522"/>
      <c r="NTA211" s="2522"/>
      <c r="NTB211" s="2522"/>
      <c r="NTC211" s="2522"/>
      <c r="NTD211" s="2522"/>
      <c r="NTE211" s="2522"/>
      <c r="NTF211" s="2522"/>
      <c r="NTG211" s="2522"/>
      <c r="NTH211" s="2522"/>
      <c r="NTI211" s="2522"/>
      <c r="NTJ211" s="2522"/>
      <c r="NTK211" s="2522"/>
      <c r="NTL211" s="2522"/>
      <c r="NTM211" s="2522"/>
      <c r="NTN211" s="2522"/>
      <c r="NTO211" s="2522"/>
      <c r="NTP211" s="2522"/>
      <c r="NTQ211" s="2522"/>
      <c r="NTR211" s="2522"/>
      <c r="NTS211" s="2522"/>
      <c r="NTT211" s="2522"/>
      <c r="NTU211" s="2522"/>
      <c r="NTV211" s="2522"/>
      <c r="NTW211" s="2522"/>
      <c r="NTX211" s="2522"/>
      <c r="NTY211" s="2522"/>
      <c r="NTZ211" s="2522"/>
      <c r="NUA211" s="2522"/>
      <c r="NUB211" s="2522"/>
      <c r="NUC211" s="2522"/>
      <c r="NUD211" s="2522"/>
      <c r="NUE211" s="2522"/>
      <c r="NUF211" s="2522"/>
      <c r="NUG211" s="2522"/>
      <c r="NUH211" s="2522"/>
      <c r="NUI211" s="2522"/>
      <c r="NUJ211" s="2522"/>
      <c r="NUK211" s="2522"/>
      <c r="NUL211" s="2522"/>
      <c r="NUM211" s="2522"/>
      <c r="NUN211" s="2522"/>
      <c r="NUO211" s="2522"/>
      <c r="NUP211" s="2522"/>
      <c r="NUQ211" s="2522"/>
      <c r="NUR211" s="2522"/>
      <c r="NUS211" s="2522"/>
      <c r="NUT211" s="2522"/>
      <c r="NUU211" s="2522"/>
      <c r="NUV211" s="2522"/>
      <c r="NUW211" s="2522"/>
      <c r="NUX211" s="2522"/>
      <c r="NUY211" s="2522"/>
      <c r="NUZ211" s="2522"/>
      <c r="NVA211" s="2522"/>
      <c r="NVB211" s="2522"/>
      <c r="NVC211" s="2522"/>
      <c r="NVD211" s="2522"/>
      <c r="NVE211" s="2522"/>
      <c r="NVF211" s="2522"/>
      <c r="NVG211" s="2522"/>
      <c r="NVH211" s="2522"/>
      <c r="NVI211" s="2522"/>
      <c r="NVJ211" s="2522"/>
      <c r="NVK211" s="2522"/>
      <c r="NVL211" s="2522"/>
      <c r="NVM211" s="2522"/>
      <c r="NVN211" s="2522"/>
      <c r="NVO211" s="2522"/>
      <c r="NVP211" s="2522"/>
      <c r="NVQ211" s="2522"/>
      <c r="NVR211" s="2522"/>
      <c r="NVS211" s="2522"/>
      <c r="NVT211" s="2522"/>
      <c r="NVU211" s="2522"/>
      <c r="NVV211" s="2522"/>
      <c r="NVW211" s="2522"/>
      <c r="NVX211" s="2522"/>
      <c r="NVY211" s="2522"/>
      <c r="NVZ211" s="2522"/>
      <c r="NWA211" s="2522"/>
      <c r="NWB211" s="2522"/>
      <c r="NWC211" s="2522"/>
      <c r="NWD211" s="2522"/>
      <c r="NWE211" s="2522"/>
      <c r="NWF211" s="2522"/>
      <c r="NWG211" s="2522"/>
      <c r="NWH211" s="2522"/>
      <c r="NWI211" s="2522"/>
      <c r="NWJ211" s="2522"/>
      <c r="NWK211" s="2522"/>
      <c r="NWL211" s="2522"/>
      <c r="NWM211" s="2522"/>
      <c r="NWN211" s="2522"/>
      <c r="NWO211" s="2522"/>
      <c r="NWP211" s="2522"/>
      <c r="NWQ211" s="2522"/>
      <c r="NWR211" s="2522"/>
      <c r="NWS211" s="2522"/>
      <c r="NWT211" s="2522"/>
      <c r="NWU211" s="2522"/>
      <c r="NWV211" s="2522"/>
      <c r="NWW211" s="2522"/>
      <c r="NWX211" s="2522"/>
      <c r="NWY211" s="2522"/>
      <c r="NWZ211" s="2522"/>
      <c r="NXA211" s="2522"/>
      <c r="NXB211" s="2522"/>
      <c r="NXC211" s="2522"/>
      <c r="NXD211" s="2522"/>
      <c r="NXE211" s="2522"/>
      <c r="NXF211" s="2522"/>
      <c r="NXG211" s="2522"/>
      <c r="NXH211" s="2522"/>
      <c r="NXI211" s="2522"/>
      <c r="NXJ211" s="2522"/>
      <c r="NXK211" s="2522"/>
      <c r="NXL211" s="2522"/>
      <c r="NXM211" s="2522"/>
      <c r="NXN211" s="2522"/>
      <c r="NXO211" s="2522"/>
      <c r="NXP211" s="2522"/>
      <c r="NXQ211" s="2522"/>
      <c r="NXR211" s="2522"/>
      <c r="NXS211" s="2522"/>
      <c r="NXT211" s="2522"/>
      <c r="NXU211" s="2522"/>
      <c r="NXV211" s="2522"/>
      <c r="NXW211" s="2522"/>
      <c r="NXX211" s="2522"/>
      <c r="NXY211" s="2522"/>
      <c r="NXZ211" s="2522"/>
      <c r="NYA211" s="2522"/>
      <c r="NYB211" s="2522"/>
      <c r="NYC211" s="2522"/>
      <c r="NYD211" s="2522"/>
      <c r="NYE211" s="2522"/>
      <c r="NYF211" s="2522"/>
      <c r="NYG211" s="2522"/>
      <c r="NYH211" s="2522"/>
      <c r="NYI211" s="2522"/>
      <c r="NYJ211" s="2522"/>
      <c r="NYK211" s="2522"/>
      <c r="NYL211" s="2522"/>
      <c r="NYM211" s="2522"/>
      <c r="NYN211" s="2522"/>
      <c r="NYO211" s="2522"/>
      <c r="NYP211" s="2522"/>
      <c r="NYQ211" s="2522"/>
      <c r="NYR211" s="2522"/>
      <c r="NYS211" s="2522"/>
      <c r="NYT211" s="2522"/>
      <c r="NYU211" s="2522"/>
      <c r="NYV211" s="2522"/>
      <c r="NYW211" s="2522"/>
      <c r="NYX211" s="2522"/>
      <c r="NYY211" s="2522"/>
      <c r="NYZ211" s="2522"/>
      <c r="NZA211" s="2522"/>
      <c r="NZB211" s="2522"/>
      <c r="NZC211" s="2522"/>
      <c r="NZD211" s="2522"/>
      <c r="NZE211" s="2522"/>
      <c r="NZF211" s="2522"/>
      <c r="NZG211" s="2522"/>
      <c r="NZH211" s="2522"/>
      <c r="NZI211" s="2522"/>
      <c r="NZJ211" s="2522"/>
      <c r="NZK211" s="2522"/>
      <c r="NZL211" s="2522"/>
      <c r="NZM211" s="2522"/>
      <c r="NZN211" s="2522"/>
      <c r="NZO211" s="2522"/>
      <c r="NZP211" s="2522"/>
      <c r="NZQ211" s="2522"/>
      <c r="NZR211" s="2522"/>
      <c r="NZS211" s="2522"/>
      <c r="NZT211" s="2522"/>
      <c r="NZU211" s="2522"/>
      <c r="NZV211" s="2522"/>
      <c r="NZW211" s="2522"/>
      <c r="NZX211" s="2522"/>
      <c r="NZY211" s="2522"/>
      <c r="NZZ211" s="2522"/>
      <c r="OAA211" s="2522"/>
      <c r="OAB211" s="2522"/>
      <c r="OAC211" s="2522"/>
      <c r="OAD211" s="2522"/>
      <c r="OAE211" s="2522"/>
      <c r="OAF211" s="2522"/>
      <c r="OAG211" s="2522"/>
      <c r="OAH211" s="2522"/>
      <c r="OAI211" s="2522"/>
      <c r="OAJ211" s="2522"/>
      <c r="OAK211" s="2522"/>
      <c r="OAL211" s="2522"/>
      <c r="OAM211" s="2522"/>
      <c r="OAN211" s="2522"/>
      <c r="OAO211" s="2522"/>
      <c r="OAP211" s="2522"/>
      <c r="OAQ211" s="2522"/>
      <c r="OAR211" s="2522"/>
      <c r="OAS211" s="2522"/>
      <c r="OAT211" s="2522"/>
      <c r="OAU211" s="2522"/>
      <c r="OAV211" s="2522"/>
      <c r="OAW211" s="2522"/>
      <c r="OAX211" s="2522"/>
      <c r="OAY211" s="2522"/>
      <c r="OAZ211" s="2522"/>
      <c r="OBA211" s="2522"/>
      <c r="OBB211" s="2522"/>
      <c r="OBC211" s="2522"/>
      <c r="OBD211" s="2522"/>
      <c r="OBE211" s="2522"/>
      <c r="OBF211" s="2522"/>
      <c r="OBG211" s="2522"/>
      <c r="OBH211" s="2522"/>
      <c r="OBI211" s="2522"/>
      <c r="OBJ211" s="2522"/>
      <c r="OBK211" s="2522"/>
      <c r="OBL211" s="2522"/>
      <c r="OBM211" s="2522"/>
      <c r="OBN211" s="2522"/>
      <c r="OBO211" s="2522"/>
      <c r="OBP211" s="2522"/>
      <c r="OBQ211" s="2522"/>
      <c r="OBR211" s="2522"/>
      <c r="OBS211" s="2522"/>
      <c r="OBT211" s="2522"/>
      <c r="OBU211" s="2522"/>
      <c r="OBV211" s="2522"/>
      <c r="OBW211" s="2522"/>
      <c r="OBX211" s="2522"/>
      <c r="OBY211" s="2522"/>
      <c r="OBZ211" s="2522"/>
      <c r="OCA211" s="2522"/>
      <c r="OCB211" s="2522"/>
      <c r="OCC211" s="2522"/>
      <c r="OCD211" s="2522"/>
      <c r="OCE211" s="2522"/>
      <c r="OCF211" s="2522"/>
      <c r="OCG211" s="2522"/>
      <c r="OCH211" s="2522"/>
      <c r="OCI211" s="2522"/>
      <c r="OCJ211" s="2522"/>
      <c r="OCK211" s="2522"/>
      <c r="OCL211" s="2522"/>
      <c r="OCM211" s="2522"/>
      <c r="OCN211" s="2522"/>
      <c r="OCO211" s="2522"/>
      <c r="OCP211" s="2522"/>
      <c r="OCQ211" s="2522"/>
      <c r="OCR211" s="2522"/>
      <c r="OCS211" s="2522"/>
      <c r="OCT211" s="2522"/>
      <c r="OCU211" s="2522"/>
      <c r="OCV211" s="2522"/>
      <c r="OCW211" s="2522"/>
      <c r="OCX211" s="2522"/>
      <c r="OCY211" s="2522"/>
      <c r="OCZ211" s="2522"/>
      <c r="ODA211" s="2522"/>
      <c r="ODB211" s="2522"/>
      <c r="ODC211" s="2522"/>
      <c r="ODD211" s="2522"/>
      <c r="ODE211" s="2522"/>
      <c r="ODF211" s="2522"/>
      <c r="ODG211" s="2522"/>
      <c r="ODH211" s="2522"/>
      <c r="ODI211" s="2522"/>
      <c r="ODJ211" s="2522"/>
      <c r="ODK211" s="2522"/>
      <c r="ODL211" s="2522"/>
      <c r="ODM211" s="2522"/>
      <c r="ODN211" s="2522"/>
      <c r="ODO211" s="2522"/>
      <c r="ODP211" s="2522"/>
      <c r="ODQ211" s="2522"/>
      <c r="ODR211" s="2522"/>
      <c r="ODS211" s="2522"/>
      <c r="ODT211" s="2522"/>
      <c r="ODU211" s="2522"/>
      <c r="ODV211" s="2522"/>
      <c r="ODW211" s="2522"/>
      <c r="ODX211" s="2522"/>
      <c r="ODY211" s="2522"/>
      <c r="ODZ211" s="2522"/>
      <c r="OEA211" s="2522"/>
      <c r="OEB211" s="2522"/>
      <c r="OEC211" s="2522"/>
      <c r="OED211" s="2522"/>
      <c r="OEE211" s="2522"/>
      <c r="OEF211" s="2522"/>
      <c r="OEG211" s="2522"/>
      <c r="OEH211" s="2522"/>
      <c r="OEI211" s="2522"/>
      <c r="OEJ211" s="2522"/>
      <c r="OEK211" s="2522"/>
      <c r="OEL211" s="2522"/>
      <c r="OEM211" s="2522"/>
      <c r="OEN211" s="2522"/>
      <c r="OEO211" s="2522"/>
      <c r="OEP211" s="2522"/>
      <c r="OEQ211" s="2522"/>
      <c r="OER211" s="2522"/>
      <c r="OES211" s="2522"/>
      <c r="OET211" s="2522"/>
      <c r="OEU211" s="2522"/>
      <c r="OEV211" s="2522"/>
      <c r="OEW211" s="2522"/>
      <c r="OEX211" s="2522"/>
      <c r="OEY211" s="2522"/>
      <c r="OEZ211" s="2522"/>
      <c r="OFA211" s="2522"/>
      <c r="OFB211" s="2522"/>
      <c r="OFC211" s="2522"/>
      <c r="OFD211" s="2522"/>
      <c r="OFE211" s="2522"/>
      <c r="OFF211" s="2522"/>
      <c r="OFG211" s="2522"/>
      <c r="OFH211" s="2522"/>
      <c r="OFI211" s="2522"/>
      <c r="OFJ211" s="2522"/>
      <c r="OFK211" s="2522"/>
      <c r="OFL211" s="2522"/>
      <c r="OFM211" s="2522"/>
      <c r="OFN211" s="2522"/>
      <c r="OFO211" s="2522"/>
      <c r="OFP211" s="2522"/>
      <c r="OFQ211" s="2522"/>
      <c r="OFR211" s="2522"/>
      <c r="OFS211" s="2522"/>
      <c r="OFT211" s="2522"/>
      <c r="OFU211" s="2522"/>
      <c r="OFV211" s="2522"/>
      <c r="OFW211" s="2522"/>
      <c r="OFX211" s="2522"/>
      <c r="OFY211" s="2522"/>
      <c r="OFZ211" s="2522"/>
      <c r="OGA211" s="2522"/>
      <c r="OGB211" s="2522"/>
      <c r="OGC211" s="2522"/>
      <c r="OGD211" s="2522"/>
      <c r="OGE211" s="2522"/>
      <c r="OGF211" s="2522"/>
      <c r="OGG211" s="2522"/>
      <c r="OGH211" s="2522"/>
      <c r="OGI211" s="2522"/>
      <c r="OGJ211" s="2522"/>
      <c r="OGK211" s="2522"/>
      <c r="OGL211" s="2522"/>
      <c r="OGM211" s="2522"/>
      <c r="OGN211" s="2522"/>
      <c r="OGO211" s="2522"/>
      <c r="OGP211" s="2522"/>
      <c r="OGQ211" s="2522"/>
      <c r="OGR211" s="2522"/>
      <c r="OGS211" s="2522"/>
      <c r="OGT211" s="2522"/>
      <c r="OGU211" s="2522"/>
      <c r="OGV211" s="2522"/>
      <c r="OGW211" s="2522"/>
      <c r="OGX211" s="2522"/>
      <c r="OGY211" s="2522"/>
      <c r="OGZ211" s="2522"/>
      <c r="OHA211" s="2522"/>
      <c r="OHB211" s="2522"/>
      <c r="OHC211" s="2522"/>
      <c r="OHD211" s="2522"/>
      <c r="OHE211" s="2522"/>
      <c r="OHF211" s="2522"/>
      <c r="OHG211" s="2522"/>
      <c r="OHH211" s="2522"/>
      <c r="OHI211" s="2522"/>
      <c r="OHJ211" s="2522"/>
      <c r="OHK211" s="2522"/>
      <c r="OHL211" s="2522"/>
      <c r="OHM211" s="2522"/>
      <c r="OHN211" s="2522"/>
      <c r="OHO211" s="2522"/>
      <c r="OHP211" s="2522"/>
      <c r="OHQ211" s="2522"/>
      <c r="OHR211" s="2522"/>
      <c r="OHS211" s="2522"/>
      <c r="OHT211" s="2522"/>
      <c r="OHU211" s="2522"/>
      <c r="OHV211" s="2522"/>
      <c r="OHW211" s="2522"/>
      <c r="OHX211" s="2522"/>
      <c r="OHY211" s="2522"/>
      <c r="OHZ211" s="2522"/>
      <c r="OIA211" s="2522"/>
      <c r="OIB211" s="2522"/>
      <c r="OIC211" s="2522"/>
      <c r="OID211" s="2522"/>
      <c r="OIE211" s="2522"/>
      <c r="OIF211" s="2522"/>
      <c r="OIG211" s="2522"/>
      <c r="OIH211" s="2522"/>
      <c r="OII211" s="2522"/>
      <c r="OIJ211" s="2522"/>
      <c r="OIK211" s="2522"/>
      <c r="OIL211" s="2522"/>
      <c r="OIM211" s="2522"/>
      <c r="OIN211" s="2522"/>
      <c r="OIO211" s="2522"/>
      <c r="OIP211" s="2522"/>
      <c r="OIQ211" s="2522"/>
      <c r="OIR211" s="2522"/>
      <c r="OIS211" s="2522"/>
      <c r="OIT211" s="2522"/>
      <c r="OIU211" s="2522"/>
      <c r="OIV211" s="2522"/>
      <c r="OIW211" s="2522"/>
      <c r="OIX211" s="2522"/>
      <c r="OIY211" s="2522"/>
      <c r="OIZ211" s="2522"/>
      <c r="OJA211" s="2522"/>
      <c r="OJB211" s="2522"/>
      <c r="OJC211" s="2522"/>
      <c r="OJD211" s="2522"/>
      <c r="OJE211" s="2522"/>
      <c r="OJF211" s="2522"/>
      <c r="OJG211" s="2522"/>
      <c r="OJH211" s="2522"/>
      <c r="OJI211" s="2522"/>
      <c r="OJJ211" s="2522"/>
      <c r="OJK211" s="2522"/>
      <c r="OJL211" s="2522"/>
      <c r="OJM211" s="2522"/>
      <c r="OJN211" s="2522"/>
      <c r="OJO211" s="2522"/>
      <c r="OJP211" s="2522"/>
      <c r="OJQ211" s="2522"/>
      <c r="OJR211" s="2522"/>
      <c r="OJS211" s="2522"/>
      <c r="OJT211" s="2522"/>
      <c r="OJU211" s="2522"/>
      <c r="OJV211" s="2522"/>
      <c r="OJW211" s="2522"/>
      <c r="OJX211" s="2522"/>
      <c r="OJY211" s="2522"/>
      <c r="OJZ211" s="2522"/>
      <c r="OKA211" s="2522"/>
      <c r="OKB211" s="2522"/>
      <c r="OKC211" s="2522"/>
      <c r="OKD211" s="2522"/>
      <c r="OKE211" s="2522"/>
      <c r="OKF211" s="2522"/>
      <c r="OKG211" s="2522"/>
      <c r="OKH211" s="2522"/>
      <c r="OKI211" s="2522"/>
      <c r="OKJ211" s="2522"/>
      <c r="OKK211" s="2522"/>
      <c r="OKL211" s="2522"/>
      <c r="OKM211" s="2522"/>
      <c r="OKN211" s="2522"/>
      <c r="OKO211" s="2522"/>
      <c r="OKP211" s="2522"/>
      <c r="OKQ211" s="2522"/>
      <c r="OKR211" s="2522"/>
      <c r="OKS211" s="2522"/>
      <c r="OKT211" s="2522"/>
      <c r="OKU211" s="2522"/>
      <c r="OKV211" s="2522"/>
      <c r="OKW211" s="2522"/>
      <c r="OKX211" s="2522"/>
      <c r="OKY211" s="2522"/>
      <c r="OKZ211" s="2522"/>
      <c r="OLA211" s="2522"/>
      <c r="OLB211" s="2522"/>
      <c r="OLC211" s="2522"/>
      <c r="OLD211" s="2522"/>
      <c r="OLE211" s="2522"/>
      <c r="OLF211" s="2522"/>
      <c r="OLG211" s="2522"/>
      <c r="OLH211" s="2522"/>
      <c r="OLI211" s="2522"/>
      <c r="OLJ211" s="2522"/>
      <c r="OLK211" s="2522"/>
      <c r="OLL211" s="2522"/>
      <c r="OLM211" s="2522"/>
      <c r="OLN211" s="2522"/>
      <c r="OLO211" s="2522"/>
      <c r="OLP211" s="2522"/>
      <c r="OLQ211" s="2522"/>
      <c r="OLR211" s="2522"/>
      <c r="OLS211" s="2522"/>
      <c r="OLT211" s="2522"/>
      <c r="OLU211" s="2522"/>
      <c r="OLV211" s="2522"/>
      <c r="OLW211" s="2522"/>
      <c r="OLX211" s="2522"/>
      <c r="OLY211" s="2522"/>
      <c r="OLZ211" s="2522"/>
      <c r="OMA211" s="2522"/>
      <c r="OMB211" s="2522"/>
      <c r="OMC211" s="2522"/>
      <c r="OMD211" s="2522"/>
      <c r="OME211" s="2522"/>
      <c r="OMF211" s="2522"/>
      <c r="OMG211" s="2522"/>
      <c r="OMH211" s="2522"/>
      <c r="OMI211" s="2522"/>
      <c r="OMJ211" s="2522"/>
      <c r="OMK211" s="2522"/>
      <c r="OML211" s="2522"/>
      <c r="OMM211" s="2522"/>
      <c r="OMN211" s="2522"/>
      <c r="OMO211" s="2522"/>
      <c r="OMP211" s="2522"/>
      <c r="OMQ211" s="2522"/>
      <c r="OMR211" s="2522"/>
      <c r="OMS211" s="2522"/>
      <c r="OMT211" s="2522"/>
      <c r="OMU211" s="2522"/>
      <c r="OMV211" s="2522"/>
      <c r="OMW211" s="2522"/>
      <c r="OMX211" s="2522"/>
      <c r="OMY211" s="2522"/>
      <c r="OMZ211" s="2522"/>
      <c r="ONA211" s="2522"/>
      <c r="ONB211" s="2522"/>
      <c r="ONC211" s="2522"/>
      <c r="OND211" s="2522"/>
      <c r="ONE211" s="2522"/>
      <c r="ONF211" s="2522"/>
      <c r="ONG211" s="2522"/>
      <c r="ONH211" s="2522"/>
      <c r="ONI211" s="2522"/>
      <c r="ONJ211" s="2522"/>
      <c r="ONK211" s="2522"/>
      <c r="ONL211" s="2522"/>
      <c r="ONM211" s="2522"/>
      <c r="ONN211" s="2522"/>
      <c r="ONO211" s="2522"/>
      <c r="ONP211" s="2522"/>
      <c r="ONQ211" s="2522"/>
      <c r="ONR211" s="2522"/>
      <c r="ONS211" s="2522"/>
      <c r="ONT211" s="2522"/>
      <c r="ONU211" s="2522"/>
      <c r="ONV211" s="2522"/>
      <c r="ONW211" s="2522"/>
      <c r="ONX211" s="2522"/>
      <c r="ONY211" s="2522"/>
      <c r="ONZ211" s="2522"/>
      <c r="OOA211" s="2522"/>
      <c r="OOB211" s="2522"/>
      <c r="OOC211" s="2522"/>
      <c r="OOD211" s="2522"/>
      <c r="OOE211" s="2522"/>
      <c r="OOF211" s="2522"/>
      <c r="OOG211" s="2522"/>
      <c r="OOH211" s="2522"/>
      <c r="OOI211" s="2522"/>
      <c r="OOJ211" s="2522"/>
      <c r="OOK211" s="2522"/>
      <c r="OOL211" s="2522"/>
      <c r="OOM211" s="2522"/>
      <c r="OON211" s="2522"/>
      <c r="OOO211" s="2522"/>
      <c r="OOP211" s="2522"/>
      <c r="OOQ211" s="2522"/>
      <c r="OOR211" s="2522"/>
      <c r="OOS211" s="2522"/>
      <c r="OOT211" s="2522"/>
      <c r="OOU211" s="2522"/>
      <c r="OOV211" s="2522"/>
      <c r="OOW211" s="2522"/>
      <c r="OOX211" s="2522"/>
      <c r="OOY211" s="2522"/>
      <c r="OOZ211" s="2522"/>
      <c r="OPA211" s="2522"/>
      <c r="OPB211" s="2522"/>
      <c r="OPC211" s="2522"/>
      <c r="OPD211" s="2522"/>
      <c r="OPE211" s="2522"/>
      <c r="OPF211" s="2522"/>
      <c r="OPG211" s="2522"/>
      <c r="OPH211" s="2522"/>
      <c r="OPI211" s="2522"/>
      <c r="OPJ211" s="2522"/>
      <c r="OPK211" s="2522"/>
      <c r="OPL211" s="2522"/>
      <c r="OPM211" s="2522"/>
      <c r="OPN211" s="2522"/>
      <c r="OPO211" s="2522"/>
      <c r="OPP211" s="2522"/>
      <c r="OPQ211" s="2522"/>
      <c r="OPR211" s="2522"/>
      <c r="OPS211" s="2522"/>
      <c r="OPT211" s="2522"/>
      <c r="OPU211" s="2522"/>
      <c r="OPV211" s="2522"/>
      <c r="OPW211" s="2522"/>
      <c r="OPX211" s="2522"/>
      <c r="OPY211" s="2522"/>
      <c r="OPZ211" s="2522"/>
      <c r="OQA211" s="2522"/>
      <c r="OQB211" s="2522"/>
      <c r="OQC211" s="2522"/>
      <c r="OQD211" s="2522"/>
      <c r="OQE211" s="2522"/>
      <c r="OQF211" s="2522"/>
      <c r="OQG211" s="2522"/>
      <c r="OQH211" s="2522"/>
      <c r="OQI211" s="2522"/>
      <c r="OQJ211" s="2522"/>
      <c r="OQK211" s="2522"/>
      <c r="OQL211" s="2522"/>
      <c r="OQM211" s="2522"/>
      <c r="OQN211" s="2522"/>
      <c r="OQO211" s="2522"/>
      <c r="OQP211" s="2522"/>
      <c r="OQQ211" s="2522"/>
      <c r="OQR211" s="2522"/>
      <c r="OQS211" s="2522"/>
      <c r="OQT211" s="2522"/>
      <c r="OQU211" s="2522"/>
      <c r="OQV211" s="2522"/>
      <c r="OQW211" s="2522"/>
      <c r="OQX211" s="2522"/>
      <c r="OQY211" s="2522"/>
      <c r="OQZ211" s="2522"/>
      <c r="ORA211" s="2522"/>
      <c r="ORB211" s="2522"/>
      <c r="ORC211" s="2522"/>
      <c r="ORD211" s="2522"/>
      <c r="ORE211" s="2522"/>
      <c r="ORF211" s="2522"/>
      <c r="ORG211" s="2522"/>
      <c r="ORH211" s="2522"/>
      <c r="ORI211" s="2522"/>
      <c r="ORJ211" s="2522"/>
      <c r="ORK211" s="2522"/>
      <c r="ORL211" s="2522"/>
      <c r="ORM211" s="2522"/>
      <c r="ORN211" s="2522"/>
      <c r="ORO211" s="2522"/>
      <c r="ORP211" s="2522"/>
      <c r="ORQ211" s="2522"/>
      <c r="ORR211" s="2522"/>
      <c r="ORS211" s="2522"/>
      <c r="ORT211" s="2522"/>
      <c r="ORU211" s="2522"/>
      <c r="ORV211" s="2522"/>
      <c r="ORW211" s="2522"/>
      <c r="ORX211" s="2522"/>
      <c r="ORY211" s="2522"/>
      <c r="ORZ211" s="2522"/>
      <c r="OSA211" s="2522"/>
      <c r="OSB211" s="2522"/>
      <c r="OSC211" s="2522"/>
      <c r="OSD211" s="2522"/>
      <c r="OSE211" s="2522"/>
      <c r="OSF211" s="2522"/>
      <c r="OSG211" s="2522"/>
      <c r="OSH211" s="2522"/>
      <c r="OSI211" s="2522"/>
      <c r="OSJ211" s="2522"/>
      <c r="OSK211" s="2522"/>
      <c r="OSL211" s="2522"/>
      <c r="OSM211" s="2522"/>
      <c r="OSN211" s="2522"/>
      <c r="OSO211" s="2522"/>
      <c r="OSP211" s="2522"/>
      <c r="OSQ211" s="2522"/>
      <c r="OSR211" s="2522"/>
      <c r="OSS211" s="2522"/>
      <c r="OST211" s="2522"/>
      <c r="OSU211" s="2522"/>
      <c r="OSV211" s="2522"/>
      <c r="OSW211" s="2522"/>
      <c r="OSX211" s="2522"/>
      <c r="OSY211" s="2522"/>
      <c r="OSZ211" s="2522"/>
      <c r="OTA211" s="2522"/>
      <c r="OTB211" s="2522"/>
      <c r="OTC211" s="2522"/>
      <c r="OTD211" s="2522"/>
      <c r="OTE211" s="2522"/>
      <c r="OTF211" s="2522"/>
      <c r="OTG211" s="2522"/>
      <c r="OTH211" s="2522"/>
      <c r="OTI211" s="2522"/>
      <c r="OTJ211" s="2522"/>
      <c r="OTK211" s="2522"/>
      <c r="OTL211" s="2522"/>
      <c r="OTM211" s="2522"/>
      <c r="OTN211" s="2522"/>
      <c r="OTO211" s="2522"/>
      <c r="OTP211" s="2522"/>
      <c r="OTQ211" s="2522"/>
      <c r="OTR211" s="2522"/>
      <c r="OTS211" s="2522"/>
      <c r="OTT211" s="2522"/>
      <c r="OTU211" s="2522"/>
      <c r="OTV211" s="2522"/>
      <c r="OTW211" s="2522"/>
      <c r="OTX211" s="2522"/>
      <c r="OTY211" s="2522"/>
      <c r="OTZ211" s="2522"/>
      <c r="OUA211" s="2522"/>
      <c r="OUB211" s="2522"/>
      <c r="OUC211" s="2522"/>
      <c r="OUD211" s="2522"/>
      <c r="OUE211" s="2522"/>
      <c r="OUF211" s="2522"/>
      <c r="OUG211" s="2522"/>
      <c r="OUH211" s="2522"/>
      <c r="OUI211" s="2522"/>
      <c r="OUJ211" s="2522"/>
      <c r="OUK211" s="2522"/>
      <c r="OUL211" s="2522"/>
      <c r="OUM211" s="2522"/>
      <c r="OUN211" s="2522"/>
      <c r="OUO211" s="2522"/>
      <c r="OUP211" s="2522"/>
      <c r="OUQ211" s="2522"/>
      <c r="OUR211" s="2522"/>
      <c r="OUS211" s="2522"/>
      <c r="OUT211" s="2522"/>
      <c r="OUU211" s="2522"/>
      <c r="OUV211" s="2522"/>
      <c r="OUW211" s="2522"/>
      <c r="OUX211" s="2522"/>
      <c r="OUY211" s="2522"/>
      <c r="OUZ211" s="2522"/>
      <c r="OVA211" s="2522"/>
      <c r="OVB211" s="2522"/>
      <c r="OVC211" s="2522"/>
      <c r="OVD211" s="2522"/>
      <c r="OVE211" s="2522"/>
      <c r="OVF211" s="2522"/>
      <c r="OVG211" s="2522"/>
      <c r="OVH211" s="2522"/>
      <c r="OVI211" s="2522"/>
      <c r="OVJ211" s="2522"/>
      <c r="OVK211" s="2522"/>
      <c r="OVL211" s="2522"/>
      <c r="OVM211" s="2522"/>
      <c r="OVN211" s="2522"/>
      <c r="OVO211" s="2522"/>
      <c r="OVP211" s="2522"/>
      <c r="OVQ211" s="2522"/>
      <c r="OVR211" s="2522"/>
      <c r="OVS211" s="2522"/>
      <c r="OVT211" s="2522"/>
      <c r="OVU211" s="2522"/>
      <c r="OVV211" s="2522"/>
      <c r="OVW211" s="2522"/>
      <c r="OVX211" s="2522"/>
      <c r="OVY211" s="2522"/>
      <c r="OVZ211" s="2522"/>
      <c r="OWA211" s="2522"/>
      <c r="OWB211" s="2522"/>
      <c r="OWC211" s="2522"/>
      <c r="OWD211" s="2522"/>
      <c r="OWE211" s="2522"/>
      <c r="OWF211" s="2522"/>
      <c r="OWG211" s="2522"/>
      <c r="OWH211" s="2522"/>
      <c r="OWI211" s="2522"/>
      <c r="OWJ211" s="2522"/>
      <c r="OWK211" s="2522"/>
      <c r="OWL211" s="2522"/>
      <c r="OWM211" s="2522"/>
      <c r="OWN211" s="2522"/>
      <c r="OWO211" s="2522"/>
      <c r="OWP211" s="2522"/>
      <c r="OWQ211" s="2522"/>
      <c r="OWR211" s="2522"/>
      <c r="OWS211" s="2522"/>
      <c r="OWT211" s="2522"/>
      <c r="OWU211" s="2522"/>
      <c r="OWV211" s="2522"/>
      <c r="OWW211" s="2522"/>
      <c r="OWX211" s="2522"/>
      <c r="OWY211" s="2522"/>
      <c r="OWZ211" s="2522"/>
      <c r="OXA211" s="2522"/>
      <c r="OXB211" s="2522"/>
      <c r="OXC211" s="2522"/>
      <c r="OXD211" s="2522"/>
      <c r="OXE211" s="2522"/>
      <c r="OXF211" s="2522"/>
      <c r="OXG211" s="2522"/>
      <c r="OXH211" s="2522"/>
      <c r="OXI211" s="2522"/>
      <c r="OXJ211" s="2522"/>
      <c r="OXK211" s="2522"/>
      <c r="OXL211" s="2522"/>
      <c r="OXM211" s="2522"/>
      <c r="OXN211" s="2522"/>
      <c r="OXO211" s="2522"/>
      <c r="OXP211" s="2522"/>
      <c r="OXQ211" s="2522"/>
      <c r="OXR211" s="2522"/>
      <c r="OXS211" s="2522"/>
      <c r="OXT211" s="2522"/>
      <c r="OXU211" s="2522"/>
      <c r="OXV211" s="2522"/>
      <c r="OXW211" s="2522"/>
      <c r="OXX211" s="2522"/>
      <c r="OXY211" s="2522"/>
      <c r="OXZ211" s="2522"/>
      <c r="OYA211" s="2522"/>
      <c r="OYB211" s="2522"/>
      <c r="OYC211" s="2522"/>
      <c r="OYD211" s="2522"/>
      <c r="OYE211" s="2522"/>
      <c r="OYF211" s="2522"/>
      <c r="OYG211" s="2522"/>
      <c r="OYH211" s="2522"/>
      <c r="OYI211" s="2522"/>
      <c r="OYJ211" s="2522"/>
      <c r="OYK211" s="2522"/>
      <c r="OYL211" s="2522"/>
      <c r="OYM211" s="2522"/>
      <c r="OYN211" s="2522"/>
      <c r="OYO211" s="2522"/>
      <c r="OYP211" s="2522"/>
      <c r="OYQ211" s="2522"/>
      <c r="OYR211" s="2522"/>
      <c r="OYS211" s="2522"/>
      <c r="OYT211" s="2522"/>
      <c r="OYU211" s="2522"/>
      <c r="OYV211" s="2522"/>
      <c r="OYW211" s="2522"/>
      <c r="OYX211" s="2522"/>
      <c r="OYY211" s="2522"/>
      <c r="OYZ211" s="2522"/>
      <c r="OZA211" s="2522"/>
      <c r="OZB211" s="2522"/>
      <c r="OZC211" s="2522"/>
      <c r="OZD211" s="2522"/>
      <c r="OZE211" s="2522"/>
      <c r="OZF211" s="2522"/>
      <c r="OZG211" s="2522"/>
      <c r="OZH211" s="2522"/>
      <c r="OZI211" s="2522"/>
      <c r="OZJ211" s="2522"/>
      <c r="OZK211" s="2522"/>
      <c r="OZL211" s="2522"/>
      <c r="OZM211" s="2522"/>
      <c r="OZN211" s="2522"/>
      <c r="OZO211" s="2522"/>
      <c r="OZP211" s="2522"/>
      <c r="OZQ211" s="2522"/>
      <c r="OZR211" s="2522"/>
      <c r="OZS211" s="2522"/>
      <c r="OZT211" s="2522"/>
      <c r="OZU211" s="2522"/>
      <c r="OZV211" s="2522"/>
      <c r="OZW211" s="2522"/>
      <c r="OZX211" s="2522"/>
      <c r="OZY211" s="2522"/>
      <c r="OZZ211" s="2522"/>
      <c r="PAA211" s="2522"/>
      <c r="PAB211" s="2522"/>
      <c r="PAC211" s="2522"/>
      <c r="PAD211" s="2522"/>
      <c r="PAE211" s="2522"/>
      <c r="PAF211" s="2522"/>
      <c r="PAG211" s="2522"/>
      <c r="PAH211" s="2522"/>
      <c r="PAI211" s="2522"/>
      <c r="PAJ211" s="2522"/>
      <c r="PAK211" s="2522"/>
      <c r="PAL211" s="2522"/>
      <c r="PAM211" s="2522"/>
      <c r="PAN211" s="2522"/>
      <c r="PAO211" s="2522"/>
      <c r="PAP211" s="2522"/>
      <c r="PAQ211" s="2522"/>
      <c r="PAR211" s="2522"/>
      <c r="PAS211" s="2522"/>
      <c r="PAT211" s="2522"/>
      <c r="PAU211" s="2522"/>
      <c r="PAV211" s="2522"/>
      <c r="PAW211" s="2522"/>
      <c r="PAX211" s="2522"/>
      <c r="PAY211" s="2522"/>
      <c r="PAZ211" s="2522"/>
      <c r="PBA211" s="2522"/>
      <c r="PBB211" s="2522"/>
      <c r="PBC211" s="2522"/>
      <c r="PBD211" s="2522"/>
      <c r="PBE211" s="2522"/>
      <c r="PBF211" s="2522"/>
      <c r="PBG211" s="2522"/>
      <c r="PBH211" s="2522"/>
      <c r="PBI211" s="2522"/>
      <c r="PBJ211" s="2522"/>
      <c r="PBK211" s="2522"/>
      <c r="PBL211" s="2522"/>
      <c r="PBM211" s="2522"/>
      <c r="PBN211" s="2522"/>
      <c r="PBO211" s="2522"/>
      <c r="PBP211" s="2522"/>
      <c r="PBQ211" s="2522"/>
      <c r="PBR211" s="2522"/>
      <c r="PBS211" s="2522"/>
      <c r="PBT211" s="2522"/>
      <c r="PBU211" s="2522"/>
      <c r="PBV211" s="2522"/>
      <c r="PBW211" s="2522"/>
      <c r="PBX211" s="2522"/>
      <c r="PBY211" s="2522"/>
      <c r="PBZ211" s="2522"/>
      <c r="PCA211" s="2522"/>
      <c r="PCB211" s="2522"/>
      <c r="PCC211" s="2522"/>
      <c r="PCD211" s="2522"/>
      <c r="PCE211" s="2522"/>
      <c r="PCF211" s="2522"/>
      <c r="PCG211" s="2522"/>
      <c r="PCH211" s="2522"/>
      <c r="PCI211" s="2522"/>
      <c r="PCJ211" s="2522"/>
      <c r="PCK211" s="2522"/>
      <c r="PCL211" s="2522"/>
      <c r="PCM211" s="2522"/>
      <c r="PCN211" s="2522"/>
      <c r="PCO211" s="2522"/>
      <c r="PCP211" s="2522"/>
      <c r="PCQ211" s="2522"/>
      <c r="PCR211" s="2522"/>
      <c r="PCS211" s="2522"/>
      <c r="PCT211" s="2522"/>
      <c r="PCU211" s="2522"/>
      <c r="PCV211" s="2522"/>
      <c r="PCW211" s="2522"/>
      <c r="PCX211" s="2522"/>
      <c r="PCY211" s="2522"/>
      <c r="PCZ211" s="2522"/>
      <c r="PDA211" s="2522"/>
      <c r="PDB211" s="2522"/>
      <c r="PDC211" s="2522"/>
      <c r="PDD211" s="2522"/>
      <c r="PDE211" s="2522"/>
      <c r="PDF211" s="2522"/>
      <c r="PDG211" s="2522"/>
      <c r="PDH211" s="2522"/>
      <c r="PDI211" s="2522"/>
      <c r="PDJ211" s="2522"/>
      <c r="PDK211" s="2522"/>
      <c r="PDL211" s="2522"/>
      <c r="PDM211" s="2522"/>
      <c r="PDN211" s="2522"/>
      <c r="PDO211" s="2522"/>
      <c r="PDP211" s="2522"/>
      <c r="PDQ211" s="2522"/>
      <c r="PDR211" s="2522"/>
      <c r="PDS211" s="2522"/>
      <c r="PDT211" s="2522"/>
      <c r="PDU211" s="2522"/>
      <c r="PDV211" s="2522"/>
      <c r="PDW211" s="2522"/>
      <c r="PDX211" s="2522"/>
      <c r="PDY211" s="2522"/>
      <c r="PDZ211" s="2522"/>
      <c r="PEA211" s="2522"/>
      <c r="PEB211" s="2522"/>
      <c r="PEC211" s="2522"/>
      <c r="PED211" s="2522"/>
      <c r="PEE211" s="2522"/>
      <c r="PEF211" s="2522"/>
      <c r="PEG211" s="2522"/>
      <c r="PEH211" s="2522"/>
      <c r="PEI211" s="2522"/>
      <c r="PEJ211" s="2522"/>
      <c r="PEK211" s="2522"/>
      <c r="PEL211" s="2522"/>
      <c r="PEM211" s="2522"/>
      <c r="PEN211" s="2522"/>
      <c r="PEO211" s="2522"/>
      <c r="PEP211" s="2522"/>
      <c r="PEQ211" s="2522"/>
      <c r="PER211" s="2522"/>
      <c r="PES211" s="2522"/>
      <c r="PET211" s="2522"/>
      <c r="PEU211" s="2522"/>
      <c r="PEV211" s="2522"/>
      <c r="PEW211" s="2522"/>
      <c r="PEX211" s="2522"/>
      <c r="PEY211" s="2522"/>
      <c r="PEZ211" s="2522"/>
      <c r="PFA211" s="2522"/>
      <c r="PFB211" s="2522"/>
      <c r="PFC211" s="2522"/>
      <c r="PFD211" s="2522"/>
      <c r="PFE211" s="2522"/>
      <c r="PFF211" s="2522"/>
      <c r="PFG211" s="2522"/>
      <c r="PFH211" s="2522"/>
      <c r="PFI211" s="2522"/>
      <c r="PFJ211" s="2522"/>
      <c r="PFK211" s="2522"/>
      <c r="PFL211" s="2522"/>
      <c r="PFM211" s="2522"/>
      <c r="PFN211" s="2522"/>
      <c r="PFO211" s="2522"/>
      <c r="PFP211" s="2522"/>
      <c r="PFQ211" s="2522"/>
      <c r="PFR211" s="2522"/>
      <c r="PFS211" s="2522"/>
      <c r="PFT211" s="2522"/>
      <c r="PFU211" s="2522"/>
      <c r="PFV211" s="2522"/>
      <c r="PFW211" s="2522"/>
      <c r="PFX211" s="2522"/>
      <c r="PFY211" s="2522"/>
      <c r="PFZ211" s="2522"/>
      <c r="PGA211" s="2522"/>
      <c r="PGB211" s="2522"/>
      <c r="PGC211" s="2522"/>
      <c r="PGD211" s="2522"/>
      <c r="PGE211" s="2522"/>
      <c r="PGF211" s="2522"/>
      <c r="PGG211" s="2522"/>
      <c r="PGH211" s="2522"/>
      <c r="PGI211" s="2522"/>
      <c r="PGJ211" s="2522"/>
      <c r="PGK211" s="2522"/>
      <c r="PGL211" s="2522"/>
      <c r="PGM211" s="2522"/>
      <c r="PGN211" s="2522"/>
      <c r="PGO211" s="2522"/>
      <c r="PGP211" s="2522"/>
      <c r="PGQ211" s="2522"/>
      <c r="PGR211" s="2522"/>
      <c r="PGS211" s="2522"/>
      <c r="PGT211" s="2522"/>
      <c r="PGU211" s="2522"/>
      <c r="PGV211" s="2522"/>
      <c r="PGW211" s="2522"/>
      <c r="PGX211" s="2522"/>
      <c r="PGY211" s="2522"/>
      <c r="PGZ211" s="2522"/>
      <c r="PHA211" s="2522"/>
      <c r="PHB211" s="2522"/>
      <c r="PHC211" s="2522"/>
      <c r="PHD211" s="2522"/>
      <c r="PHE211" s="2522"/>
      <c r="PHF211" s="2522"/>
      <c r="PHG211" s="2522"/>
      <c r="PHH211" s="2522"/>
      <c r="PHI211" s="2522"/>
      <c r="PHJ211" s="2522"/>
      <c r="PHK211" s="2522"/>
      <c r="PHL211" s="2522"/>
      <c r="PHM211" s="2522"/>
      <c r="PHN211" s="2522"/>
      <c r="PHO211" s="2522"/>
      <c r="PHP211" s="2522"/>
      <c r="PHQ211" s="2522"/>
      <c r="PHR211" s="2522"/>
      <c r="PHS211" s="2522"/>
      <c r="PHT211" s="2522"/>
      <c r="PHU211" s="2522"/>
      <c r="PHV211" s="2522"/>
      <c r="PHW211" s="2522"/>
      <c r="PHX211" s="2522"/>
      <c r="PHY211" s="2522"/>
      <c r="PHZ211" s="2522"/>
      <c r="PIA211" s="2522"/>
      <c r="PIB211" s="2522"/>
      <c r="PIC211" s="2522"/>
      <c r="PID211" s="2522"/>
      <c r="PIE211" s="2522"/>
      <c r="PIF211" s="2522"/>
      <c r="PIG211" s="2522"/>
      <c r="PIH211" s="2522"/>
      <c r="PII211" s="2522"/>
      <c r="PIJ211" s="2522"/>
      <c r="PIK211" s="2522"/>
      <c r="PIL211" s="2522"/>
      <c r="PIM211" s="2522"/>
      <c r="PIN211" s="2522"/>
      <c r="PIO211" s="2522"/>
      <c r="PIP211" s="2522"/>
      <c r="PIQ211" s="2522"/>
      <c r="PIR211" s="2522"/>
      <c r="PIS211" s="2522"/>
      <c r="PIT211" s="2522"/>
      <c r="PIU211" s="2522"/>
      <c r="PIV211" s="2522"/>
      <c r="PIW211" s="2522"/>
      <c r="PIX211" s="2522"/>
      <c r="PIY211" s="2522"/>
      <c r="PIZ211" s="2522"/>
      <c r="PJA211" s="2522"/>
      <c r="PJB211" s="2522"/>
      <c r="PJC211" s="2522"/>
      <c r="PJD211" s="2522"/>
      <c r="PJE211" s="2522"/>
      <c r="PJF211" s="2522"/>
      <c r="PJG211" s="2522"/>
      <c r="PJH211" s="2522"/>
      <c r="PJI211" s="2522"/>
      <c r="PJJ211" s="2522"/>
      <c r="PJK211" s="2522"/>
      <c r="PJL211" s="2522"/>
      <c r="PJM211" s="2522"/>
      <c r="PJN211" s="2522"/>
      <c r="PJO211" s="2522"/>
      <c r="PJP211" s="2522"/>
      <c r="PJQ211" s="2522"/>
      <c r="PJR211" s="2522"/>
      <c r="PJS211" s="2522"/>
      <c r="PJT211" s="2522"/>
      <c r="PJU211" s="2522"/>
      <c r="PJV211" s="2522"/>
      <c r="PJW211" s="2522"/>
      <c r="PJX211" s="2522"/>
      <c r="PJY211" s="2522"/>
      <c r="PJZ211" s="2522"/>
      <c r="PKA211" s="2522"/>
      <c r="PKB211" s="2522"/>
      <c r="PKC211" s="2522"/>
      <c r="PKD211" s="2522"/>
      <c r="PKE211" s="2522"/>
      <c r="PKF211" s="2522"/>
      <c r="PKG211" s="2522"/>
      <c r="PKH211" s="2522"/>
      <c r="PKI211" s="2522"/>
      <c r="PKJ211" s="2522"/>
      <c r="PKK211" s="2522"/>
      <c r="PKL211" s="2522"/>
      <c r="PKM211" s="2522"/>
      <c r="PKN211" s="2522"/>
      <c r="PKO211" s="2522"/>
      <c r="PKP211" s="2522"/>
      <c r="PKQ211" s="2522"/>
      <c r="PKR211" s="2522"/>
      <c r="PKS211" s="2522"/>
      <c r="PKT211" s="2522"/>
      <c r="PKU211" s="2522"/>
      <c r="PKV211" s="2522"/>
      <c r="PKW211" s="2522"/>
      <c r="PKX211" s="2522"/>
      <c r="PKY211" s="2522"/>
      <c r="PKZ211" s="2522"/>
      <c r="PLA211" s="2522"/>
      <c r="PLB211" s="2522"/>
      <c r="PLC211" s="2522"/>
      <c r="PLD211" s="2522"/>
      <c r="PLE211" s="2522"/>
      <c r="PLF211" s="2522"/>
      <c r="PLG211" s="2522"/>
      <c r="PLH211" s="2522"/>
      <c r="PLI211" s="2522"/>
      <c r="PLJ211" s="2522"/>
      <c r="PLK211" s="2522"/>
      <c r="PLL211" s="2522"/>
      <c r="PLM211" s="2522"/>
      <c r="PLN211" s="2522"/>
      <c r="PLO211" s="2522"/>
      <c r="PLP211" s="2522"/>
      <c r="PLQ211" s="2522"/>
      <c r="PLR211" s="2522"/>
      <c r="PLS211" s="2522"/>
      <c r="PLT211" s="2522"/>
      <c r="PLU211" s="2522"/>
      <c r="PLV211" s="2522"/>
      <c r="PLW211" s="2522"/>
      <c r="PLX211" s="2522"/>
      <c r="PLY211" s="2522"/>
      <c r="PLZ211" s="2522"/>
      <c r="PMA211" s="2522"/>
      <c r="PMB211" s="2522"/>
      <c r="PMC211" s="2522"/>
      <c r="PMD211" s="2522"/>
      <c r="PME211" s="2522"/>
      <c r="PMF211" s="2522"/>
      <c r="PMG211" s="2522"/>
      <c r="PMH211" s="2522"/>
      <c r="PMI211" s="2522"/>
      <c r="PMJ211" s="2522"/>
      <c r="PMK211" s="2522"/>
      <c r="PML211" s="2522"/>
      <c r="PMM211" s="2522"/>
      <c r="PMN211" s="2522"/>
      <c r="PMO211" s="2522"/>
      <c r="PMP211" s="2522"/>
      <c r="PMQ211" s="2522"/>
      <c r="PMR211" s="2522"/>
      <c r="PMS211" s="2522"/>
      <c r="PMT211" s="2522"/>
      <c r="PMU211" s="2522"/>
      <c r="PMV211" s="2522"/>
      <c r="PMW211" s="2522"/>
      <c r="PMX211" s="2522"/>
      <c r="PMY211" s="2522"/>
      <c r="PMZ211" s="2522"/>
      <c r="PNA211" s="2522"/>
      <c r="PNB211" s="2522"/>
      <c r="PNC211" s="2522"/>
      <c r="PND211" s="2522"/>
      <c r="PNE211" s="2522"/>
      <c r="PNF211" s="2522"/>
      <c r="PNG211" s="2522"/>
      <c r="PNH211" s="2522"/>
      <c r="PNI211" s="2522"/>
      <c r="PNJ211" s="2522"/>
      <c r="PNK211" s="2522"/>
      <c r="PNL211" s="2522"/>
      <c r="PNM211" s="2522"/>
      <c r="PNN211" s="2522"/>
      <c r="PNO211" s="2522"/>
      <c r="PNP211" s="2522"/>
      <c r="PNQ211" s="2522"/>
      <c r="PNR211" s="2522"/>
      <c r="PNS211" s="2522"/>
      <c r="PNT211" s="2522"/>
      <c r="PNU211" s="2522"/>
      <c r="PNV211" s="2522"/>
      <c r="PNW211" s="2522"/>
      <c r="PNX211" s="2522"/>
      <c r="PNY211" s="2522"/>
      <c r="PNZ211" s="2522"/>
      <c r="POA211" s="2522"/>
      <c r="POB211" s="2522"/>
      <c r="POC211" s="2522"/>
      <c r="POD211" s="2522"/>
      <c r="POE211" s="2522"/>
      <c r="POF211" s="2522"/>
      <c r="POG211" s="2522"/>
      <c r="POH211" s="2522"/>
      <c r="POI211" s="2522"/>
      <c r="POJ211" s="2522"/>
      <c r="POK211" s="2522"/>
      <c r="POL211" s="2522"/>
      <c r="POM211" s="2522"/>
      <c r="PON211" s="2522"/>
      <c r="POO211" s="2522"/>
      <c r="POP211" s="2522"/>
      <c r="POQ211" s="2522"/>
      <c r="POR211" s="2522"/>
      <c r="POS211" s="2522"/>
      <c r="POT211" s="2522"/>
      <c r="POU211" s="2522"/>
      <c r="POV211" s="2522"/>
      <c r="POW211" s="2522"/>
      <c r="POX211" s="2522"/>
      <c r="POY211" s="2522"/>
      <c r="POZ211" s="2522"/>
      <c r="PPA211" s="2522"/>
      <c r="PPB211" s="2522"/>
      <c r="PPC211" s="2522"/>
      <c r="PPD211" s="2522"/>
      <c r="PPE211" s="2522"/>
      <c r="PPF211" s="2522"/>
      <c r="PPG211" s="2522"/>
      <c r="PPH211" s="2522"/>
      <c r="PPI211" s="2522"/>
      <c r="PPJ211" s="2522"/>
      <c r="PPK211" s="2522"/>
      <c r="PPL211" s="2522"/>
      <c r="PPM211" s="2522"/>
      <c r="PPN211" s="2522"/>
      <c r="PPO211" s="2522"/>
      <c r="PPP211" s="2522"/>
      <c r="PPQ211" s="2522"/>
      <c r="PPR211" s="2522"/>
      <c r="PPS211" s="2522"/>
      <c r="PPT211" s="2522"/>
      <c r="PPU211" s="2522"/>
      <c r="PPV211" s="2522"/>
      <c r="PPW211" s="2522"/>
      <c r="PPX211" s="2522"/>
      <c r="PPY211" s="2522"/>
      <c r="PPZ211" s="2522"/>
      <c r="PQA211" s="2522"/>
      <c r="PQB211" s="2522"/>
      <c r="PQC211" s="2522"/>
      <c r="PQD211" s="2522"/>
      <c r="PQE211" s="2522"/>
      <c r="PQF211" s="2522"/>
      <c r="PQG211" s="2522"/>
      <c r="PQH211" s="2522"/>
      <c r="PQI211" s="2522"/>
      <c r="PQJ211" s="2522"/>
      <c r="PQK211" s="2522"/>
      <c r="PQL211" s="2522"/>
      <c r="PQM211" s="2522"/>
      <c r="PQN211" s="2522"/>
      <c r="PQO211" s="2522"/>
      <c r="PQP211" s="2522"/>
      <c r="PQQ211" s="2522"/>
      <c r="PQR211" s="2522"/>
      <c r="PQS211" s="2522"/>
      <c r="PQT211" s="2522"/>
      <c r="PQU211" s="2522"/>
      <c r="PQV211" s="2522"/>
      <c r="PQW211" s="2522"/>
      <c r="PQX211" s="2522"/>
      <c r="PQY211" s="2522"/>
      <c r="PQZ211" s="2522"/>
      <c r="PRA211" s="2522"/>
      <c r="PRB211" s="2522"/>
      <c r="PRC211" s="2522"/>
      <c r="PRD211" s="2522"/>
      <c r="PRE211" s="2522"/>
      <c r="PRF211" s="2522"/>
      <c r="PRG211" s="2522"/>
      <c r="PRH211" s="2522"/>
      <c r="PRI211" s="2522"/>
      <c r="PRJ211" s="2522"/>
      <c r="PRK211" s="2522"/>
      <c r="PRL211" s="2522"/>
      <c r="PRM211" s="2522"/>
      <c r="PRN211" s="2522"/>
      <c r="PRO211" s="2522"/>
      <c r="PRP211" s="2522"/>
      <c r="PRQ211" s="2522"/>
      <c r="PRR211" s="2522"/>
      <c r="PRS211" s="2522"/>
      <c r="PRT211" s="2522"/>
      <c r="PRU211" s="2522"/>
      <c r="PRV211" s="2522"/>
      <c r="PRW211" s="2522"/>
      <c r="PRX211" s="2522"/>
      <c r="PRY211" s="2522"/>
      <c r="PRZ211" s="2522"/>
      <c r="PSA211" s="2522"/>
      <c r="PSB211" s="2522"/>
      <c r="PSC211" s="2522"/>
      <c r="PSD211" s="2522"/>
      <c r="PSE211" s="2522"/>
      <c r="PSF211" s="2522"/>
      <c r="PSG211" s="2522"/>
      <c r="PSH211" s="2522"/>
      <c r="PSI211" s="2522"/>
      <c r="PSJ211" s="2522"/>
      <c r="PSK211" s="2522"/>
      <c r="PSL211" s="2522"/>
      <c r="PSM211" s="2522"/>
      <c r="PSN211" s="2522"/>
      <c r="PSO211" s="2522"/>
      <c r="PSP211" s="2522"/>
      <c r="PSQ211" s="2522"/>
      <c r="PSR211" s="2522"/>
      <c r="PSS211" s="2522"/>
      <c r="PST211" s="2522"/>
      <c r="PSU211" s="2522"/>
      <c r="PSV211" s="2522"/>
      <c r="PSW211" s="2522"/>
      <c r="PSX211" s="2522"/>
      <c r="PSY211" s="2522"/>
      <c r="PSZ211" s="2522"/>
      <c r="PTA211" s="2522"/>
      <c r="PTB211" s="2522"/>
      <c r="PTC211" s="2522"/>
      <c r="PTD211" s="2522"/>
      <c r="PTE211" s="2522"/>
      <c r="PTF211" s="2522"/>
      <c r="PTG211" s="2522"/>
      <c r="PTH211" s="2522"/>
      <c r="PTI211" s="2522"/>
      <c r="PTJ211" s="2522"/>
      <c r="PTK211" s="2522"/>
      <c r="PTL211" s="2522"/>
      <c r="PTM211" s="2522"/>
      <c r="PTN211" s="2522"/>
      <c r="PTO211" s="2522"/>
      <c r="PTP211" s="2522"/>
      <c r="PTQ211" s="2522"/>
      <c r="PTR211" s="2522"/>
      <c r="PTS211" s="2522"/>
      <c r="PTT211" s="2522"/>
      <c r="PTU211" s="2522"/>
      <c r="PTV211" s="2522"/>
      <c r="PTW211" s="2522"/>
      <c r="PTX211" s="2522"/>
      <c r="PTY211" s="2522"/>
      <c r="PTZ211" s="2522"/>
      <c r="PUA211" s="2522"/>
      <c r="PUB211" s="2522"/>
      <c r="PUC211" s="2522"/>
      <c r="PUD211" s="2522"/>
      <c r="PUE211" s="2522"/>
      <c r="PUF211" s="2522"/>
      <c r="PUG211" s="2522"/>
      <c r="PUH211" s="2522"/>
      <c r="PUI211" s="2522"/>
      <c r="PUJ211" s="2522"/>
      <c r="PUK211" s="2522"/>
      <c r="PUL211" s="2522"/>
      <c r="PUM211" s="2522"/>
      <c r="PUN211" s="2522"/>
      <c r="PUO211" s="2522"/>
      <c r="PUP211" s="2522"/>
      <c r="PUQ211" s="2522"/>
      <c r="PUR211" s="2522"/>
      <c r="PUS211" s="2522"/>
      <c r="PUT211" s="2522"/>
      <c r="PUU211" s="2522"/>
      <c r="PUV211" s="2522"/>
      <c r="PUW211" s="2522"/>
      <c r="PUX211" s="2522"/>
      <c r="PUY211" s="2522"/>
      <c r="PUZ211" s="2522"/>
      <c r="PVA211" s="2522"/>
      <c r="PVB211" s="2522"/>
      <c r="PVC211" s="2522"/>
      <c r="PVD211" s="2522"/>
      <c r="PVE211" s="2522"/>
      <c r="PVF211" s="2522"/>
      <c r="PVG211" s="2522"/>
      <c r="PVH211" s="2522"/>
      <c r="PVI211" s="2522"/>
      <c r="PVJ211" s="2522"/>
      <c r="PVK211" s="2522"/>
      <c r="PVL211" s="2522"/>
      <c r="PVM211" s="2522"/>
      <c r="PVN211" s="2522"/>
      <c r="PVO211" s="2522"/>
      <c r="PVP211" s="2522"/>
      <c r="PVQ211" s="2522"/>
      <c r="PVR211" s="2522"/>
      <c r="PVS211" s="2522"/>
      <c r="PVT211" s="2522"/>
      <c r="PVU211" s="2522"/>
      <c r="PVV211" s="2522"/>
      <c r="PVW211" s="2522"/>
      <c r="PVX211" s="2522"/>
      <c r="PVY211" s="2522"/>
      <c r="PVZ211" s="2522"/>
      <c r="PWA211" s="2522"/>
      <c r="PWB211" s="2522"/>
      <c r="PWC211" s="2522"/>
      <c r="PWD211" s="2522"/>
      <c r="PWE211" s="2522"/>
      <c r="PWF211" s="2522"/>
      <c r="PWG211" s="2522"/>
      <c r="PWH211" s="2522"/>
      <c r="PWI211" s="2522"/>
      <c r="PWJ211" s="2522"/>
      <c r="PWK211" s="2522"/>
      <c r="PWL211" s="2522"/>
      <c r="PWM211" s="2522"/>
      <c r="PWN211" s="2522"/>
      <c r="PWO211" s="2522"/>
      <c r="PWP211" s="2522"/>
      <c r="PWQ211" s="2522"/>
      <c r="PWR211" s="2522"/>
      <c r="PWS211" s="2522"/>
      <c r="PWT211" s="2522"/>
      <c r="PWU211" s="2522"/>
      <c r="PWV211" s="2522"/>
      <c r="PWW211" s="2522"/>
      <c r="PWX211" s="2522"/>
      <c r="PWY211" s="2522"/>
      <c r="PWZ211" s="2522"/>
      <c r="PXA211" s="2522"/>
      <c r="PXB211" s="2522"/>
      <c r="PXC211" s="2522"/>
      <c r="PXD211" s="2522"/>
      <c r="PXE211" s="2522"/>
      <c r="PXF211" s="2522"/>
      <c r="PXG211" s="2522"/>
      <c r="PXH211" s="2522"/>
      <c r="PXI211" s="2522"/>
      <c r="PXJ211" s="2522"/>
      <c r="PXK211" s="2522"/>
      <c r="PXL211" s="2522"/>
      <c r="PXM211" s="2522"/>
      <c r="PXN211" s="2522"/>
      <c r="PXO211" s="2522"/>
      <c r="PXP211" s="2522"/>
      <c r="PXQ211" s="2522"/>
      <c r="PXR211" s="2522"/>
      <c r="PXS211" s="2522"/>
      <c r="PXT211" s="2522"/>
      <c r="PXU211" s="2522"/>
      <c r="PXV211" s="2522"/>
      <c r="PXW211" s="2522"/>
      <c r="PXX211" s="2522"/>
      <c r="PXY211" s="2522"/>
      <c r="PXZ211" s="2522"/>
      <c r="PYA211" s="2522"/>
      <c r="PYB211" s="2522"/>
      <c r="PYC211" s="2522"/>
      <c r="PYD211" s="2522"/>
      <c r="PYE211" s="2522"/>
      <c r="PYF211" s="2522"/>
      <c r="PYG211" s="2522"/>
      <c r="PYH211" s="2522"/>
      <c r="PYI211" s="2522"/>
      <c r="PYJ211" s="2522"/>
      <c r="PYK211" s="2522"/>
      <c r="PYL211" s="2522"/>
      <c r="PYM211" s="2522"/>
      <c r="PYN211" s="2522"/>
      <c r="PYO211" s="2522"/>
      <c r="PYP211" s="2522"/>
      <c r="PYQ211" s="2522"/>
      <c r="PYR211" s="2522"/>
      <c r="PYS211" s="2522"/>
      <c r="PYT211" s="2522"/>
      <c r="PYU211" s="2522"/>
      <c r="PYV211" s="2522"/>
      <c r="PYW211" s="2522"/>
      <c r="PYX211" s="2522"/>
      <c r="PYY211" s="2522"/>
      <c r="PYZ211" s="2522"/>
      <c r="PZA211" s="2522"/>
      <c r="PZB211" s="2522"/>
      <c r="PZC211" s="2522"/>
      <c r="PZD211" s="2522"/>
      <c r="PZE211" s="2522"/>
      <c r="PZF211" s="2522"/>
      <c r="PZG211" s="2522"/>
      <c r="PZH211" s="2522"/>
      <c r="PZI211" s="2522"/>
      <c r="PZJ211" s="2522"/>
      <c r="PZK211" s="2522"/>
      <c r="PZL211" s="2522"/>
      <c r="PZM211" s="2522"/>
      <c r="PZN211" s="2522"/>
      <c r="PZO211" s="2522"/>
      <c r="PZP211" s="2522"/>
      <c r="PZQ211" s="2522"/>
      <c r="PZR211" s="2522"/>
      <c r="PZS211" s="2522"/>
      <c r="PZT211" s="2522"/>
      <c r="PZU211" s="2522"/>
      <c r="PZV211" s="2522"/>
      <c r="PZW211" s="2522"/>
      <c r="PZX211" s="2522"/>
      <c r="PZY211" s="2522"/>
      <c r="PZZ211" s="2522"/>
      <c r="QAA211" s="2522"/>
      <c r="QAB211" s="2522"/>
      <c r="QAC211" s="2522"/>
      <c r="QAD211" s="2522"/>
      <c r="QAE211" s="2522"/>
      <c r="QAF211" s="2522"/>
      <c r="QAG211" s="2522"/>
      <c r="QAH211" s="2522"/>
      <c r="QAI211" s="2522"/>
      <c r="QAJ211" s="2522"/>
      <c r="QAK211" s="2522"/>
      <c r="QAL211" s="2522"/>
      <c r="QAM211" s="2522"/>
      <c r="QAN211" s="2522"/>
      <c r="QAO211" s="2522"/>
      <c r="QAP211" s="2522"/>
      <c r="QAQ211" s="2522"/>
      <c r="QAR211" s="2522"/>
      <c r="QAS211" s="2522"/>
      <c r="QAT211" s="2522"/>
      <c r="QAU211" s="2522"/>
      <c r="QAV211" s="2522"/>
      <c r="QAW211" s="2522"/>
      <c r="QAX211" s="2522"/>
      <c r="QAY211" s="2522"/>
      <c r="QAZ211" s="2522"/>
      <c r="QBA211" s="2522"/>
      <c r="QBB211" s="2522"/>
      <c r="QBC211" s="2522"/>
      <c r="QBD211" s="2522"/>
      <c r="QBE211" s="2522"/>
      <c r="QBF211" s="2522"/>
      <c r="QBG211" s="2522"/>
      <c r="QBH211" s="2522"/>
      <c r="QBI211" s="2522"/>
      <c r="QBJ211" s="2522"/>
      <c r="QBK211" s="2522"/>
      <c r="QBL211" s="2522"/>
      <c r="QBM211" s="2522"/>
      <c r="QBN211" s="2522"/>
      <c r="QBO211" s="2522"/>
      <c r="QBP211" s="2522"/>
      <c r="QBQ211" s="2522"/>
      <c r="QBR211" s="2522"/>
      <c r="QBS211" s="2522"/>
      <c r="QBT211" s="2522"/>
      <c r="QBU211" s="2522"/>
      <c r="QBV211" s="2522"/>
      <c r="QBW211" s="2522"/>
      <c r="QBX211" s="2522"/>
      <c r="QBY211" s="2522"/>
      <c r="QBZ211" s="2522"/>
      <c r="QCA211" s="2522"/>
      <c r="QCB211" s="2522"/>
      <c r="QCC211" s="2522"/>
      <c r="QCD211" s="2522"/>
      <c r="QCE211" s="2522"/>
      <c r="QCF211" s="2522"/>
      <c r="QCG211" s="2522"/>
      <c r="QCH211" s="2522"/>
      <c r="QCI211" s="2522"/>
      <c r="QCJ211" s="2522"/>
      <c r="QCK211" s="2522"/>
      <c r="QCL211" s="2522"/>
      <c r="QCM211" s="2522"/>
      <c r="QCN211" s="2522"/>
      <c r="QCO211" s="2522"/>
      <c r="QCP211" s="2522"/>
      <c r="QCQ211" s="2522"/>
      <c r="QCR211" s="2522"/>
      <c r="QCS211" s="2522"/>
      <c r="QCT211" s="2522"/>
      <c r="QCU211" s="2522"/>
      <c r="QCV211" s="2522"/>
      <c r="QCW211" s="2522"/>
      <c r="QCX211" s="2522"/>
      <c r="QCY211" s="2522"/>
      <c r="QCZ211" s="2522"/>
      <c r="QDA211" s="2522"/>
      <c r="QDB211" s="2522"/>
      <c r="QDC211" s="2522"/>
      <c r="QDD211" s="2522"/>
      <c r="QDE211" s="2522"/>
      <c r="QDF211" s="2522"/>
      <c r="QDG211" s="2522"/>
      <c r="QDH211" s="2522"/>
      <c r="QDI211" s="2522"/>
      <c r="QDJ211" s="2522"/>
      <c r="QDK211" s="2522"/>
      <c r="QDL211" s="2522"/>
      <c r="QDM211" s="2522"/>
      <c r="QDN211" s="2522"/>
      <c r="QDO211" s="2522"/>
      <c r="QDP211" s="2522"/>
      <c r="QDQ211" s="2522"/>
      <c r="QDR211" s="2522"/>
      <c r="QDS211" s="2522"/>
      <c r="QDT211" s="2522"/>
      <c r="QDU211" s="2522"/>
      <c r="QDV211" s="2522"/>
      <c r="QDW211" s="2522"/>
      <c r="QDX211" s="2522"/>
      <c r="QDY211" s="2522"/>
      <c r="QDZ211" s="2522"/>
      <c r="QEA211" s="2522"/>
      <c r="QEB211" s="2522"/>
      <c r="QEC211" s="2522"/>
      <c r="QED211" s="2522"/>
      <c r="QEE211" s="2522"/>
      <c r="QEF211" s="2522"/>
      <c r="QEG211" s="2522"/>
      <c r="QEH211" s="2522"/>
      <c r="QEI211" s="2522"/>
      <c r="QEJ211" s="2522"/>
      <c r="QEK211" s="2522"/>
      <c r="QEL211" s="2522"/>
      <c r="QEM211" s="2522"/>
      <c r="QEN211" s="2522"/>
      <c r="QEO211" s="2522"/>
      <c r="QEP211" s="2522"/>
      <c r="QEQ211" s="2522"/>
      <c r="QER211" s="2522"/>
      <c r="QES211" s="2522"/>
      <c r="QET211" s="2522"/>
      <c r="QEU211" s="2522"/>
      <c r="QEV211" s="2522"/>
      <c r="QEW211" s="2522"/>
      <c r="QEX211" s="2522"/>
      <c r="QEY211" s="2522"/>
      <c r="QEZ211" s="2522"/>
      <c r="QFA211" s="2522"/>
      <c r="QFB211" s="2522"/>
      <c r="QFC211" s="2522"/>
      <c r="QFD211" s="2522"/>
      <c r="QFE211" s="2522"/>
      <c r="QFF211" s="2522"/>
      <c r="QFG211" s="2522"/>
      <c r="QFH211" s="2522"/>
      <c r="QFI211" s="2522"/>
      <c r="QFJ211" s="2522"/>
      <c r="QFK211" s="2522"/>
      <c r="QFL211" s="2522"/>
      <c r="QFM211" s="2522"/>
      <c r="QFN211" s="2522"/>
      <c r="QFO211" s="2522"/>
      <c r="QFP211" s="2522"/>
      <c r="QFQ211" s="2522"/>
      <c r="QFR211" s="2522"/>
      <c r="QFS211" s="2522"/>
      <c r="QFT211" s="2522"/>
      <c r="QFU211" s="2522"/>
      <c r="QFV211" s="2522"/>
      <c r="QFW211" s="2522"/>
      <c r="QFX211" s="2522"/>
      <c r="QFY211" s="2522"/>
      <c r="QFZ211" s="2522"/>
      <c r="QGA211" s="2522"/>
      <c r="QGB211" s="2522"/>
      <c r="QGC211" s="2522"/>
      <c r="QGD211" s="2522"/>
      <c r="QGE211" s="2522"/>
      <c r="QGF211" s="2522"/>
      <c r="QGG211" s="2522"/>
      <c r="QGH211" s="2522"/>
      <c r="QGI211" s="2522"/>
      <c r="QGJ211" s="2522"/>
      <c r="QGK211" s="2522"/>
      <c r="QGL211" s="2522"/>
      <c r="QGM211" s="2522"/>
      <c r="QGN211" s="2522"/>
      <c r="QGO211" s="2522"/>
      <c r="QGP211" s="2522"/>
      <c r="QGQ211" s="2522"/>
      <c r="QGR211" s="2522"/>
      <c r="QGS211" s="2522"/>
      <c r="QGT211" s="2522"/>
      <c r="QGU211" s="2522"/>
      <c r="QGV211" s="2522"/>
      <c r="QGW211" s="2522"/>
      <c r="QGX211" s="2522"/>
      <c r="QGY211" s="2522"/>
      <c r="QGZ211" s="2522"/>
      <c r="QHA211" s="2522"/>
      <c r="QHB211" s="2522"/>
      <c r="QHC211" s="2522"/>
      <c r="QHD211" s="2522"/>
      <c r="QHE211" s="2522"/>
      <c r="QHF211" s="2522"/>
      <c r="QHG211" s="2522"/>
      <c r="QHH211" s="2522"/>
      <c r="QHI211" s="2522"/>
      <c r="QHJ211" s="2522"/>
      <c r="QHK211" s="2522"/>
      <c r="QHL211" s="2522"/>
      <c r="QHM211" s="2522"/>
      <c r="QHN211" s="2522"/>
      <c r="QHO211" s="2522"/>
      <c r="QHP211" s="2522"/>
      <c r="QHQ211" s="2522"/>
      <c r="QHR211" s="2522"/>
      <c r="QHS211" s="2522"/>
      <c r="QHT211" s="2522"/>
      <c r="QHU211" s="2522"/>
      <c r="QHV211" s="2522"/>
      <c r="QHW211" s="2522"/>
      <c r="QHX211" s="2522"/>
      <c r="QHY211" s="2522"/>
      <c r="QHZ211" s="2522"/>
      <c r="QIA211" s="2522"/>
      <c r="QIB211" s="2522"/>
      <c r="QIC211" s="2522"/>
      <c r="QID211" s="2522"/>
      <c r="QIE211" s="2522"/>
      <c r="QIF211" s="2522"/>
      <c r="QIG211" s="2522"/>
      <c r="QIH211" s="2522"/>
      <c r="QII211" s="2522"/>
      <c r="QIJ211" s="2522"/>
      <c r="QIK211" s="2522"/>
      <c r="QIL211" s="2522"/>
      <c r="QIM211" s="2522"/>
      <c r="QIN211" s="2522"/>
      <c r="QIO211" s="2522"/>
      <c r="QIP211" s="2522"/>
      <c r="QIQ211" s="2522"/>
      <c r="QIR211" s="2522"/>
      <c r="QIS211" s="2522"/>
      <c r="QIT211" s="2522"/>
      <c r="QIU211" s="2522"/>
      <c r="QIV211" s="2522"/>
      <c r="QIW211" s="2522"/>
      <c r="QIX211" s="2522"/>
      <c r="QIY211" s="2522"/>
      <c r="QIZ211" s="2522"/>
      <c r="QJA211" s="2522"/>
      <c r="QJB211" s="2522"/>
      <c r="QJC211" s="2522"/>
      <c r="QJD211" s="2522"/>
      <c r="QJE211" s="2522"/>
      <c r="QJF211" s="2522"/>
      <c r="QJG211" s="2522"/>
      <c r="QJH211" s="2522"/>
      <c r="QJI211" s="2522"/>
      <c r="QJJ211" s="2522"/>
      <c r="QJK211" s="2522"/>
      <c r="QJL211" s="2522"/>
      <c r="QJM211" s="2522"/>
      <c r="QJN211" s="2522"/>
      <c r="QJO211" s="2522"/>
      <c r="QJP211" s="2522"/>
      <c r="QJQ211" s="2522"/>
      <c r="QJR211" s="2522"/>
      <c r="QJS211" s="2522"/>
      <c r="QJT211" s="2522"/>
      <c r="QJU211" s="2522"/>
      <c r="QJV211" s="2522"/>
      <c r="QJW211" s="2522"/>
      <c r="QJX211" s="2522"/>
      <c r="QJY211" s="2522"/>
      <c r="QJZ211" s="2522"/>
      <c r="QKA211" s="2522"/>
      <c r="QKB211" s="2522"/>
      <c r="QKC211" s="2522"/>
      <c r="QKD211" s="2522"/>
      <c r="QKE211" s="2522"/>
      <c r="QKF211" s="2522"/>
      <c r="QKG211" s="2522"/>
      <c r="QKH211" s="2522"/>
      <c r="QKI211" s="2522"/>
      <c r="QKJ211" s="2522"/>
      <c r="QKK211" s="2522"/>
      <c r="QKL211" s="2522"/>
      <c r="QKM211" s="2522"/>
      <c r="QKN211" s="2522"/>
      <c r="QKO211" s="2522"/>
      <c r="QKP211" s="2522"/>
      <c r="QKQ211" s="2522"/>
      <c r="QKR211" s="2522"/>
      <c r="QKS211" s="2522"/>
      <c r="QKT211" s="2522"/>
      <c r="QKU211" s="2522"/>
      <c r="QKV211" s="2522"/>
      <c r="QKW211" s="2522"/>
      <c r="QKX211" s="2522"/>
      <c r="QKY211" s="2522"/>
      <c r="QKZ211" s="2522"/>
      <c r="QLA211" s="2522"/>
      <c r="QLB211" s="2522"/>
      <c r="QLC211" s="2522"/>
      <c r="QLD211" s="2522"/>
      <c r="QLE211" s="2522"/>
      <c r="QLF211" s="2522"/>
      <c r="QLG211" s="2522"/>
      <c r="QLH211" s="2522"/>
      <c r="QLI211" s="2522"/>
      <c r="QLJ211" s="2522"/>
      <c r="QLK211" s="2522"/>
      <c r="QLL211" s="2522"/>
      <c r="QLM211" s="2522"/>
      <c r="QLN211" s="2522"/>
      <c r="QLO211" s="2522"/>
      <c r="QLP211" s="2522"/>
      <c r="QLQ211" s="2522"/>
      <c r="QLR211" s="2522"/>
      <c r="QLS211" s="2522"/>
      <c r="QLT211" s="2522"/>
      <c r="QLU211" s="2522"/>
      <c r="QLV211" s="2522"/>
      <c r="QLW211" s="2522"/>
      <c r="QLX211" s="2522"/>
      <c r="QLY211" s="2522"/>
      <c r="QLZ211" s="2522"/>
      <c r="QMA211" s="2522"/>
      <c r="QMB211" s="2522"/>
      <c r="QMC211" s="2522"/>
      <c r="QMD211" s="2522"/>
      <c r="QME211" s="2522"/>
      <c r="QMF211" s="2522"/>
      <c r="QMG211" s="2522"/>
      <c r="QMH211" s="2522"/>
      <c r="QMI211" s="2522"/>
      <c r="QMJ211" s="2522"/>
      <c r="QMK211" s="2522"/>
      <c r="QML211" s="2522"/>
      <c r="QMM211" s="2522"/>
      <c r="QMN211" s="2522"/>
      <c r="QMO211" s="2522"/>
      <c r="QMP211" s="2522"/>
      <c r="QMQ211" s="2522"/>
      <c r="QMR211" s="2522"/>
      <c r="QMS211" s="2522"/>
      <c r="QMT211" s="2522"/>
      <c r="QMU211" s="2522"/>
      <c r="QMV211" s="2522"/>
      <c r="QMW211" s="2522"/>
      <c r="QMX211" s="2522"/>
      <c r="QMY211" s="2522"/>
      <c r="QMZ211" s="2522"/>
      <c r="QNA211" s="2522"/>
      <c r="QNB211" s="2522"/>
      <c r="QNC211" s="2522"/>
      <c r="QND211" s="2522"/>
      <c r="QNE211" s="2522"/>
      <c r="QNF211" s="2522"/>
      <c r="QNG211" s="2522"/>
      <c r="QNH211" s="2522"/>
      <c r="QNI211" s="2522"/>
      <c r="QNJ211" s="2522"/>
      <c r="QNK211" s="2522"/>
      <c r="QNL211" s="2522"/>
      <c r="QNM211" s="2522"/>
      <c r="QNN211" s="2522"/>
      <c r="QNO211" s="2522"/>
      <c r="QNP211" s="2522"/>
      <c r="QNQ211" s="2522"/>
      <c r="QNR211" s="2522"/>
      <c r="QNS211" s="2522"/>
      <c r="QNT211" s="2522"/>
      <c r="QNU211" s="2522"/>
      <c r="QNV211" s="2522"/>
      <c r="QNW211" s="2522"/>
      <c r="QNX211" s="2522"/>
      <c r="QNY211" s="2522"/>
      <c r="QNZ211" s="2522"/>
      <c r="QOA211" s="2522"/>
      <c r="QOB211" s="2522"/>
      <c r="QOC211" s="2522"/>
      <c r="QOD211" s="2522"/>
      <c r="QOE211" s="2522"/>
      <c r="QOF211" s="2522"/>
      <c r="QOG211" s="2522"/>
      <c r="QOH211" s="2522"/>
      <c r="QOI211" s="2522"/>
      <c r="QOJ211" s="2522"/>
      <c r="QOK211" s="2522"/>
      <c r="QOL211" s="2522"/>
      <c r="QOM211" s="2522"/>
      <c r="QON211" s="2522"/>
      <c r="QOO211" s="2522"/>
      <c r="QOP211" s="2522"/>
      <c r="QOQ211" s="2522"/>
      <c r="QOR211" s="2522"/>
      <c r="QOS211" s="2522"/>
      <c r="QOT211" s="2522"/>
      <c r="QOU211" s="2522"/>
      <c r="QOV211" s="2522"/>
      <c r="QOW211" s="2522"/>
      <c r="QOX211" s="2522"/>
      <c r="QOY211" s="2522"/>
      <c r="QOZ211" s="2522"/>
      <c r="QPA211" s="2522"/>
      <c r="QPB211" s="2522"/>
      <c r="QPC211" s="2522"/>
      <c r="QPD211" s="2522"/>
      <c r="QPE211" s="2522"/>
      <c r="QPF211" s="2522"/>
      <c r="QPG211" s="2522"/>
      <c r="QPH211" s="2522"/>
      <c r="QPI211" s="2522"/>
      <c r="QPJ211" s="2522"/>
      <c r="QPK211" s="2522"/>
      <c r="QPL211" s="2522"/>
      <c r="QPM211" s="2522"/>
      <c r="QPN211" s="2522"/>
      <c r="QPO211" s="2522"/>
      <c r="QPP211" s="2522"/>
      <c r="QPQ211" s="2522"/>
      <c r="QPR211" s="2522"/>
      <c r="QPS211" s="2522"/>
      <c r="QPT211" s="2522"/>
      <c r="QPU211" s="2522"/>
      <c r="QPV211" s="2522"/>
      <c r="QPW211" s="2522"/>
      <c r="QPX211" s="2522"/>
      <c r="QPY211" s="2522"/>
      <c r="QPZ211" s="2522"/>
      <c r="QQA211" s="2522"/>
      <c r="QQB211" s="2522"/>
      <c r="QQC211" s="2522"/>
      <c r="QQD211" s="2522"/>
      <c r="QQE211" s="2522"/>
      <c r="QQF211" s="2522"/>
      <c r="QQG211" s="2522"/>
      <c r="QQH211" s="2522"/>
      <c r="QQI211" s="2522"/>
      <c r="QQJ211" s="2522"/>
      <c r="QQK211" s="2522"/>
      <c r="QQL211" s="2522"/>
      <c r="QQM211" s="2522"/>
      <c r="QQN211" s="2522"/>
      <c r="QQO211" s="2522"/>
      <c r="QQP211" s="2522"/>
      <c r="QQQ211" s="2522"/>
      <c r="QQR211" s="2522"/>
      <c r="QQS211" s="2522"/>
      <c r="QQT211" s="2522"/>
      <c r="QQU211" s="2522"/>
      <c r="QQV211" s="2522"/>
      <c r="QQW211" s="2522"/>
      <c r="QQX211" s="2522"/>
      <c r="QQY211" s="2522"/>
      <c r="QQZ211" s="2522"/>
      <c r="QRA211" s="2522"/>
      <c r="QRB211" s="2522"/>
      <c r="QRC211" s="2522"/>
      <c r="QRD211" s="2522"/>
      <c r="QRE211" s="2522"/>
      <c r="QRF211" s="2522"/>
      <c r="QRG211" s="2522"/>
      <c r="QRH211" s="2522"/>
      <c r="QRI211" s="2522"/>
      <c r="QRJ211" s="2522"/>
      <c r="QRK211" s="2522"/>
      <c r="QRL211" s="2522"/>
      <c r="QRM211" s="2522"/>
      <c r="QRN211" s="2522"/>
      <c r="QRO211" s="2522"/>
      <c r="QRP211" s="2522"/>
      <c r="QRQ211" s="2522"/>
      <c r="QRR211" s="2522"/>
      <c r="QRS211" s="2522"/>
      <c r="QRT211" s="2522"/>
      <c r="QRU211" s="2522"/>
      <c r="QRV211" s="2522"/>
      <c r="QRW211" s="2522"/>
      <c r="QRX211" s="2522"/>
      <c r="QRY211" s="2522"/>
      <c r="QRZ211" s="2522"/>
      <c r="QSA211" s="2522"/>
      <c r="QSB211" s="2522"/>
      <c r="QSC211" s="2522"/>
      <c r="QSD211" s="2522"/>
      <c r="QSE211" s="2522"/>
      <c r="QSF211" s="2522"/>
      <c r="QSG211" s="2522"/>
      <c r="QSH211" s="2522"/>
      <c r="QSI211" s="2522"/>
      <c r="QSJ211" s="2522"/>
      <c r="QSK211" s="2522"/>
      <c r="QSL211" s="2522"/>
      <c r="QSM211" s="2522"/>
      <c r="QSN211" s="2522"/>
      <c r="QSO211" s="2522"/>
      <c r="QSP211" s="2522"/>
      <c r="QSQ211" s="2522"/>
      <c r="QSR211" s="2522"/>
      <c r="QSS211" s="2522"/>
      <c r="QST211" s="2522"/>
      <c r="QSU211" s="2522"/>
      <c r="QSV211" s="2522"/>
      <c r="QSW211" s="2522"/>
      <c r="QSX211" s="2522"/>
      <c r="QSY211" s="2522"/>
      <c r="QSZ211" s="2522"/>
      <c r="QTA211" s="2522"/>
      <c r="QTB211" s="2522"/>
      <c r="QTC211" s="2522"/>
      <c r="QTD211" s="2522"/>
      <c r="QTE211" s="2522"/>
      <c r="QTF211" s="2522"/>
      <c r="QTG211" s="2522"/>
      <c r="QTH211" s="2522"/>
      <c r="QTI211" s="2522"/>
      <c r="QTJ211" s="2522"/>
      <c r="QTK211" s="2522"/>
      <c r="QTL211" s="2522"/>
      <c r="QTM211" s="2522"/>
      <c r="QTN211" s="2522"/>
      <c r="QTO211" s="2522"/>
      <c r="QTP211" s="2522"/>
      <c r="QTQ211" s="2522"/>
      <c r="QTR211" s="2522"/>
      <c r="QTS211" s="2522"/>
      <c r="QTT211" s="2522"/>
      <c r="QTU211" s="2522"/>
      <c r="QTV211" s="2522"/>
      <c r="QTW211" s="2522"/>
      <c r="QTX211" s="2522"/>
      <c r="QTY211" s="2522"/>
      <c r="QTZ211" s="2522"/>
      <c r="QUA211" s="2522"/>
      <c r="QUB211" s="2522"/>
      <c r="QUC211" s="2522"/>
      <c r="QUD211" s="2522"/>
      <c r="QUE211" s="2522"/>
      <c r="QUF211" s="2522"/>
      <c r="QUG211" s="2522"/>
      <c r="QUH211" s="2522"/>
      <c r="QUI211" s="2522"/>
      <c r="QUJ211" s="2522"/>
      <c r="QUK211" s="2522"/>
      <c r="QUL211" s="2522"/>
      <c r="QUM211" s="2522"/>
      <c r="QUN211" s="2522"/>
      <c r="QUO211" s="2522"/>
      <c r="QUP211" s="2522"/>
      <c r="QUQ211" s="2522"/>
      <c r="QUR211" s="2522"/>
      <c r="QUS211" s="2522"/>
      <c r="QUT211" s="2522"/>
      <c r="QUU211" s="2522"/>
      <c r="QUV211" s="2522"/>
      <c r="QUW211" s="2522"/>
      <c r="QUX211" s="2522"/>
      <c r="QUY211" s="2522"/>
      <c r="QUZ211" s="2522"/>
      <c r="QVA211" s="2522"/>
      <c r="QVB211" s="2522"/>
      <c r="QVC211" s="2522"/>
      <c r="QVD211" s="2522"/>
      <c r="QVE211" s="2522"/>
      <c r="QVF211" s="2522"/>
      <c r="QVG211" s="2522"/>
      <c r="QVH211" s="2522"/>
      <c r="QVI211" s="2522"/>
      <c r="QVJ211" s="2522"/>
      <c r="QVK211" s="2522"/>
      <c r="QVL211" s="2522"/>
      <c r="QVM211" s="2522"/>
      <c r="QVN211" s="2522"/>
      <c r="QVO211" s="2522"/>
      <c r="QVP211" s="2522"/>
      <c r="QVQ211" s="2522"/>
      <c r="QVR211" s="2522"/>
      <c r="QVS211" s="2522"/>
      <c r="QVT211" s="2522"/>
      <c r="QVU211" s="2522"/>
      <c r="QVV211" s="2522"/>
      <c r="QVW211" s="2522"/>
      <c r="QVX211" s="2522"/>
      <c r="QVY211" s="2522"/>
      <c r="QVZ211" s="2522"/>
      <c r="QWA211" s="2522"/>
      <c r="QWB211" s="2522"/>
      <c r="QWC211" s="2522"/>
      <c r="QWD211" s="2522"/>
      <c r="QWE211" s="2522"/>
      <c r="QWF211" s="2522"/>
      <c r="QWG211" s="2522"/>
      <c r="QWH211" s="2522"/>
      <c r="QWI211" s="2522"/>
      <c r="QWJ211" s="2522"/>
      <c r="QWK211" s="2522"/>
      <c r="QWL211" s="2522"/>
      <c r="QWM211" s="2522"/>
      <c r="QWN211" s="2522"/>
      <c r="QWO211" s="2522"/>
      <c r="QWP211" s="2522"/>
      <c r="QWQ211" s="2522"/>
      <c r="QWR211" s="2522"/>
      <c r="QWS211" s="2522"/>
      <c r="QWT211" s="2522"/>
      <c r="QWU211" s="2522"/>
      <c r="QWV211" s="2522"/>
      <c r="QWW211" s="2522"/>
      <c r="QWX211" s="2522"/>
      <c r="QWY211" s="2522"/>
      <c r="QWZ211" s="2522"/>
      <c r="QXA211" s="2522"/>
      <c r="QXB211" s="2522"/>
      <c r="QXC211" s="2522"/>
      <c r="QXD211" s="2522"/>
      <c r="QXE211" s="2522"/>
      <c r="QXF211" s="2522"/>
      <c r="QXG211" s="2522"/>
      <c r="QXH211" s="2522"/>
      <c r="QXI211" s="2522"/>
      <c r="QXJ211" s="2522"/>
      <c r="QXK211" s="2522"/>
      <c r="QXL211" s="2522"/>
      <c r="QXM211" s="2522"/>
      <c r="QXN211" s="2522"/>
      <c r="QXO211" s="2522"/>
      <c r="QXP211" s="2522"/>
      <c r="QXQ211" s="2522"/>
      <c r="QXR211" s="2522"/>
      <c r="QXS211" s="2522"/>
      <c r="QXT211" s="2522"/>
      <c r="QXU211" s="2522"/>
      <c r="QXV211" s="2522"/>
      <c r="QXW211" s="2522"/>
      <c r="QXX211" s="2522"/>
      <c r="QXY211" s="2522"/>
      <c r="QXZ211" s="2522"/>
      <c r="QYA211" s="2522"/>
      <c r="QYB211" s="2522"/>
      <c r="QYC211" s="2522"/>
      <c r="QYD211" s="2522"/>
      <c r="QYE211" s="2522"/>
      <c r="QYF211" s="2522"/>
      <c r="QYG211" s="2522"/>
      <c r="QYH211" s="2522"/>
      <c r="QYI211" s="2522"/>
      <c r="QYJ211" s="2522"/>
      <c r="QYK211" s="2522"/>
      <c r="QYL211" s="2522"/>
      <c r="QYM211" s="2522"/>
      <c r="QYN211" s="2522"/>
      <c r="QYO211" s="2522"/>
      <c r="QYP211" s="2522"/>
      <c r="QYQ211" s="2522"/>
      <c r="QYR211" s="2522"/>
      <c r="QYS211" s="2522"/>
      <c r="QYT211" s="2522"/>
      <c r="QYU211" s="2522"/>
      <c r="QYV211" s="2522"/>
      <c r="QYW211" s="2522"/>
      <c r="QYX211" s="2522"/>
      <c r="QYY211" s="2522"/>
      <c r="QYZ211" s="2522"/>
      <c r="QZA211" s="2522"/>
      <c r="QZB211" s="2522"/>
      <c r="QZC211" s="2522"/>
      <c r="QZD211" s="2522"/>
      <c r="QZE211" s="2522"/>
      <c r="QZF211" s="2522"/>
      <c r="QZG211" s="2522"/>
      <c r="QZH211" s="2522"/>
      <c r="QZI211" s="2522"/>
      <c r="QZJ211" s="2522"/>
      <c r="QZK211" s="2522"/>
      <c r="QZL211" s="2522"/>
      <c r="QZM211" s="2522"/>
      <c r="QZN211" s="2522"/>
      <c r="QZO211" s="2522"/>
      <c r="QZP211" s="2522"/>
      <c r="QZQ211" s="2522"/>
      <c r="QZR211" s="2522"/>
      <c r="QZS211" s="2522"/>
      <c r="QZT211" s="2522"/>
      <c r="QZU211" s="2522"/>
      <c r="QZV211" s="2522"/>
      <c r="QZW211" s="2522"/>
      <c r="QZX211" s="2522"/>
      <c r="QZY211" s="2522"/>
      <c r="QZZ211" s="2522"/>
      <c r="RAA211" s="2522"/>
      <c r="RAB211" s="2522"/>
      <c r="RAC211" s="2522"/>
      <c r="RAD211" s="2522"/>
      <c r="RAE211" s="2522"/>
      <c r="RAF211" s="2522"/>
      <c r="RAG211" s="2522"/>
      <c r="RAH211" s="2522"/>
      <c r="RAI211" s="2522"/>
      <c r="RAJ211" s="2522"/>
      <c r="RAK211" s="2522"/>
      <c r="RAL211" s="2522"/>
      <c r="RAM211" s="2522"/>
      <c r="RAN211" s="2522"/>
      <c r="RAO211" s="2522"/>
      <c r="RAP211" s="2522"/>
      <c r="RAQ211" s="2522"/>
      <c r="RAR211" s="2522"/>
      <c r="RAS211" s="2522"/>
      <c r="RAT211" s="2522"/>
      <c r="RAU211" s="2522"/>
      <c r="RAV211" s="2522"/>
      <c r="RAW211" s="2522"/>
      <c r="RAX211" s="2522"/>
      <c r="RAY211" s="2522"/>
      <c r="RAZ211" s="2522"/>
      <c r="RBA211" s="2522"/>
      <c r="RBB211" s="2522"/>
      <c r="RBC211" s="2522"/>
      <c r="RBD211" s="2522"/>
      <c r="RBE211" s="2522"/>
      <c r="RBF211" s="2522"/>
      <c r="RBG211" s="2522"/>
      <c r="RBH211" s="2522"/>
      <c r="RBI211" s="2522"/>
      <c r="RBJ211" s="2522"/>
      <c r="RBK211" s="2522"/>
      <c r="RBL211" s="2522"/>
      <c r="RBM211" s="2522"/>
      <c r="RBN211" s="2522"/>
      <c r="RBO211" s="2522"/>
      <c r="RBP211" s="2522"/>
      <c r="RBQ211" s="2522"/>
      <c r="RBR211" s="2522"/>
      <c r="RBS211" s="2522"/>
      <c r="RBT211" s="2522"/>
      <c r="RBU211" s="2522"/>
      <c r="RBV211" s="2522"/>
      <c r="RBW211" s="2522"/>
      <c r="RBX211" s="2522"/>
      <c r="RBY211" s="2522"/>
      <c r="RBZ211" s="2522"/>
      <c r="RCA211" s="2522"/>
      <c r="RCB211" s="2522"/>
      <c r="RCC211" s="2522"/>
      <c r="RCD211" s="2522"/>
      <c r="RCE211" s="2522"/>
      <c r="RCF211" s="2522"/>
      <c r="RCG211" s="2522"/>
      <c r="RCH211" s="2522"/>
      <c r="RCI211" s="2522"/>
      <c r="RCJ211" s="2522"/>
      <c r="RCK211" s="2522"/>
      <c r="RCL211" s="2522"/>
      <c r="RCM211" s="2522"/>
      <c r="RCN211" s="2522"/>
      <c r="RCO211" s="2522"/>
      <c r="RCP211" s="2522"/>
      <c r="RCQ211" s="2522"/>
      <c r="RCR211" s="2522"/>
      <c r="RCS211" s="2522"/>
      <c r="RCT211" s="2522"/>
      <c r="RCU211" s="2522"/>
      <c r="RCV211" s="2522"/>
      <c r="RCW211" s="2522"/>
      <c r="RCX211" s="2522"/>
      <c r="RCY211" s="2522"/>
      <c r="RCZ211" s="2522"/>
      <c r="RDA211" s="2522"/>
      <c r="RDB211" s="2522"/>
      <c r="RDC211" s="2522"/>
      <c r="RDD211" s="2522"/>
      <c r="RDE211" s="2522"/>
      <c r="RDF211" s="2522"/>
      <c r="RDG211" s="2522"/>
      <c r="RDH211" s="2522"/>
      <c r="RDI211" s="2522"/>
      <c r="RDJ211" s="2522"/>
      <c r="RDK211" s="2522"/>
      <c r="RDL211" s="2522"/>
      <c r="RDM211" s="2522"/>
      <c r="RDN211" s="2522"/>
      <c r="RDO211" s="2522"/>
      <c r="RDP211" s="2522"/>
      <c r="RDQ211" s="2522"/>
      <c r="RDR211" s="2522"/>
      <c r="RDS211" s="2522"/>
      <c r="RDT211" s="2522"/>
      <c r="RDU211" s="2522"/>
      <c r="RDV211" s="2522"/>
      <c r="RDW211" s="2522"/>
      <c r="RDX211" s="2522"/>
      <c r="RDY211" s="2522"/>
      <c r="RDZ211" s="2522"/>
      <c r="REA211" s="2522"/>
      <c r="REB211" s="2522"/>
      <c r="REC211" s="2522"/>
      <c r="RED211" s="2522"/>
      <c r="REE211" s="2522"/>
      <c r="REF211" s="2522"/>
      <c r="REG211" s="2522"/>
      <c r="REH211" s="2522"/>
      <c r="REI211" s="2522"/>
      <c r="REJ211" s="2522"/>
      <c r="REK211" s="2522"/>
      <c r="REL211" s="2522"/>
      <c r="REM211" s="2522"/>
      <c r="REN211" s="2522"/>
      <c r="REO211" s="2522"/>
      <c r="REP211" s="2522"/>
      <c r="REQ211" s="2522"/>
      <c r="RER211" s="2522"/>
      <c r="RES211" s="2522"/>
      <c r="RET211" s="2522"/>
      <c r="REU211" s="2522"/>
      <c r="REV211" s="2522"/>
      <c r="REW211" s="2522"/>
      <c r="REX211" s="2522"/>
      <c r="REY211" s="2522"/>
      <c r="REZ211" s="2522"/>
      <c r="RFA211" s="2522"/>
      <c r="RFB211" s="2522"/>
      <c r="RFC211" s="2522"/>
      <c r="RFD211" s="2522"/>
      <c r="RFE211" s="2522"/>
      <c r="RFF211" s="2522"/>
      <c r="RFG211" s="2522"/>
      <c r="RFH211" s="2522"/>
      <c r="RFI211" s="2522"/>
      <c r="RFJ211" s="2522"/>
      <c r="RFK211" s="2522"/>
      <c r="RFL211" s="2522"/>
      <c r="RFM211" s="2522"/>
      <c r="RFN211" s="2522"/>
      <c r="RFO211" s="2522"/>
      <c r="RFP211" s="2522"/>
      <c r="RFQ211" s="2522"/>
      <c r="RFR211" s="2522"/>
      <c r="RFS211" s="2522"/>
      <c r="RFT211" s="2522"/>
      <c r="RFU211" s="2522"/>
      <c r="RFV211" s="2522"/>
      <c r="RFW211" s="2522"/>
      <c r="RFX211" s="2522"/>
      <c r="RFY211" s="2522"/>
      <c r="RFZ211" s="2522"/>
      <c r="RGA211" s="2522"/>
      <c r="RGB211" s="2522"/>
      <c r="RGC211" s="2522"/>
      <c r="RGD211" s="2522"/>
      <c r="RGE211" s="2522"/>
      <c r="RGF211" s="2522"/>
      <c r="RGG211" s="2522"/>
      <c r="RGH211" s="2522"/>
      <c r="RGI211" s="2522"/>
      <c r="RGJ211" s="2522"/>
      <c r="RGK211" s="2522"/>
      <c r="RGL211" s="2522"/>
      <c r="RGM211" s="2522"/>
      <c r="RGN211" s="2522"/>
      <c r="RGO211" s="2522"/>
      <c r="RGP211" s="2522"/>
      <c r="RGQ211" s="2522"/>
      <c r="RGR211" s="2522"/>
      <c r="RGS211" s="2522"/>
      <c r="RGT211" s="2522"/>
      <c r="RGU211" s="2522"/>
      <c r="RGV211" s="2522"/>
      <c r="RGW211" s="2522"/>
      <c r="RGX211" s="2522"/>
      <c r="RGY211" s="2522"/>
      <c r="RGZ211" s="2522"/>
      <c r="RHA211" s="2522"/>
      <c r="RHB211" s="2522"/>
      <c r="RHC211" s="2522"/>
      <c r="RHD211" s="2522"/>
      <c r="RHE211" s="2522"/>
      <c r="RHF211" s="2522"/>
      <c r="RHG211" s="2522"/>
      <c r="RHH211" s="2522"/>
      <c r="RHI211" s="2522"/>
      <c r="RHJ211" s="2522"/>
      <c r="RHK211" s="2522"/>
      <c r="RHL211" s="2522"/>
      <c r="RHM211" s="2522"/>
      <c r="RHN211" s="2522"/>
      <c r="RHO211" s="2522"/>
      <c r="RHP211" s="2522"/>
      <c r="RHQ211" s="2522"/>
      <c r="RHR211" s="2522"/>
      <c r="RHS211" s="2522"/>
      <c r="RHT211" s="2522"/>
      <c r="RHU211" s="2522"/>
      <c r="RHV211" s="2522"/>
      <c r="RHW211" s="2522"/>
      <c r="RHX211" s="2522"/>
      <c r="RHY211" s="2522"/>
      <c r="RHZ211" s="2522"/>
      <c r="RIA211" s="2522"/>
      <c r="RIB211" s="2522"/>
      <c r="RIC211" s="2522"/>
      <c r="RID211" s="2522"/>
      <c r="RIE211" s="2522"/>
      <c r="RIF211" s="2522"/>
      <c r="RIG211" s="2522"/>
      <c r="RIH211" s="2522"/>
      <c r="RII211" s="2522"/>
      <c r="RIJ211" s="2522"/>
      <c r="RIK211" s="2522"/>
      <c r="RIL211" s="2522"/>
      <c r="RIM211" s="2522"/>
      <c r="RIN211" s="2522"/>
      <c r="RIO211" s="2522"/>
      <c r="RIP211" s="2522"/>
      <c r="RIQ211" s="2522"/>
      <c r="RIR211" s="2522"/>
      <c r="RIS211" s="2522"/>
      <c r="RIT211" s="2522"/>
      <c r="RIU211" s="2522"/>
      <c r="RIV211" s="2522"/>
      <c r="RIW211" s="2522"/>
      <c r="RIX211" s="2522"/>
      <c r="RIY211" s="2522"/>
      <c r="RIZ211" s="2522"/>
      <c r="RJA211" s="2522"/>
      <c r="RJB211" s="2522"/>
      <c r="RJC211" s="2522"/>
      <c r="RJD211" s="2522"/>
      <c r="RJE211" s="2522"/>
      <c r="RJF211" s="2522"/>
      <c r="RJG211" s="2522"/>
      <c r="RJH211" s="2522"/>
      <c r="RJI211" s="2522"/>
      <c r="RJJ211" s="2522"/>
      <c r="RJK211" s="2522"/>
      <c r="RJL211" s="2522"/>
      <c r="RJM211" s="2522"/>
      <c r="RJN211" s="2522"/>
      <c r="RJO211" s="2522"/>
      <c r="RJP211" s="2522"/>
      <c r="RJQ211" s="2522"/>
      <c r="RJR211" s="2522"/>
      <c r="RJS211" s="2522"/>
      <c r="RJT211" s="2522"/>
      <c r="RJU211" s="2522"/>
      <c r="RJV211" s="2522"/>
      <c r="RJW211" s="2522"/>
      <c r="RJX211" s="2522"/>
      <c r="RJY211" s="2522"/>
      <c r="RJZ211" s="2522"/>
      <c r="RKA211" s="2522"/>
      <c r="RKB211" s="2522"/>
      <c r="RKC211" s="2522"/>
      <c r="RKD211" s="2522"/>
      <c r="RKE211" s="2522"/>
      <c r="RKF211" s="2522"/>
      <c r="RKG211" s="2522"/>
      <c r="RKH211" s="2522"/>
      <c r="RKI211" s="2522"/>
      <c r="RKJ211" s="2522"/>
      <c r="RKK211" s="2522"/>
      <c r="RKL211" s="2522"/>
      <c r="RKM211" s="2522"/>
      <c r="RKN211" s="2522"/>
      <c r="RKO211" s="2522"/>
      <c r="RKP211" s="2522"/>
      <c r="RKQ211" s="2522"/>
      <c r="RKR211" s="2522"/>
      <c r="RKS211" s="2522"/>
      <c r="RKT211" s="2522"/>
      <c r="RKU211" s="2522"/>
      <c r="RKV211" s="2522"/>
      <c r="RKW211" s="2522"/>
      <c r="RKX211" s="2522"/>
      <c r="RKY211" s="2522"/>
      <c r="RKZ211" s="2522"/>
      <c r="RLA211" s="2522"/>
      <c r="RLB211" s="2522"/>
      <c r="RLC211" s="2522"/>
      <c r="RLD211" s="2522"/>
      <c r="RLE211" s="2522"/>
      <c r="RLF211" s="2522"/>
      <c r="RLG211" s="2522"/>
      <c r="RLH211" s="2522"/>
      <c r="RLI211" s="2522"/>
      <c r="RLJ211" s="2522"/>
      <c r="RLK211" s="2522"/>
      <c r="RLL211" s="2522"/>
      <c r="RLM211" s="2522"/>
      <c r="RLN211" s="2522"/>
      <c r="RLO211" s="2522"/>
      <c r="RLP211" s="2522"/>
      <c r="RLQ211" s="2522"/>
      <c r="RLR211" s="2522"/>
      <c r="RLS211" s="2522"/>
      <c r="RLT211" s="2522"/>
      <c r="RLU211" s="2522"/>
      <c r="RLV211" s="2522"/>
      <c r="RLW211" s="2522"/>
      <c r="RLX211" s="2522"/>
      <c r="RLY211" s="2522"/>
      <c r="RLZ211" s="2522"/>
      <c r="RMA211" s="2522"/>
      <c r="RMB211" s="2522"/>
      <c r="RMC211" s="2522"/>
      <c r="RMD211" s="2522"/>
      <c r="RME211" s="2522"/>
      <c r="RMF211" s="2522"/>
      <c r="RMG211" s="2522"/>
      <c r="RMH211" s="2522"/>
      <c r="RMI211" s="2522"/>
      <c r="RMJ211" s="2522"/>
      <c r="RMK211" s="2522"/>
      <c r="RML211" s="2522"/>
      <c r="RMM211" s="2522"/>
      <c r="RMN211" s="2522"/>
      <c r="RMO211" s="2522"/>
      <c r="RMP211" s="2522"/>
      <c r="RMQ211" s="2522"/>
      <c r="RMR211" s="2522"/>
      <c r="RMS211" s="2522"/>
      <c r="RMT211" s="2522"/>
      <c r="RMU211" s="2522"/>
      <c r="RMV211" s="2522"/>
      <c r="RMW211" s="2522"/>
      <c r="RMX211" s="2522"/>
      <c r="RMY211" s="2522"/>
      <c r="RMZ211" s="2522"/>
      <c r="RNA211" s="2522"/>
      <c r="RNB211" s="2522"/>
      <c r="RNC211" s="2522"/>
      <c r="RND211" s="2522"/>
      <c r="RNE211" s="2522"/>
      <c r="RNF211" s="2522"/>
      <c r="RNG211" s="2522"/>
      <c r="RNH211" s="2522"/>
      <c r="RNI211" s="2522"/>
      <c r="RNJ211" s="2522"/>
      <c r="RNK211" s="2522"/>
      <c r="RNL211" s="2522"/>
      <c r="RNM211" s="2522"/>
      <c r="RNN211" s="2522"/>
      <c r="RNO211" s="2522"/>
      <c r="RNP211" s="2522"/>
      <c r="RNQ211" s="2522"/>
      <c r="RNR211" s="2522"/>
      <c r="RNS211" s="2522"/>
      <c r="RNT211" s="2522"/>
      <c r="RNU211" s="2522"/>
      <c r="RNV211" s="2522"/>
      <c r="RNW211" s="2522"/>
      <c r="RNX211" s="2522"/>
      <c r="RNY211" s="2522"/>
      <c r="RNZ211" s="2522"/>
      <c r="ROA211" s="2522"/>
      <c r="ROB211" s="2522"/>
      <c r="ROC211" s="2522"/>
      <c r="ROD211" s="2522"/>
      <c r="ROE211" s="2522"/>
      <c r="ROF211" s="2522"/>
      <c r="ROG211" s="2522"/>
      <c r="ROH211" s="2522"/>
      <c r="ROI211" s="2522"/>
      <c r="ROJ211" s="2522"/>
      <c r="ROK211" s="2522"/>
      <c r="ROL211" s="2522"/>
      <c r="ROM211" s="2522"/>
      <c r="RON211" s="2522"/>
      <c r="ROO211" s="2522"/>
      <c r="ROP211" s="2522"/>
      <c r="ROQ211" s="2522"/>
      <c r="ROR211" s="2522"/>
      <c r="ROS211" s="2522"/>
      <c r="ROT211" s="2522"/>
      <c r="ROU211" s="2522"/>
      <c r="ROV211" s="2522"/>
      <c r="ROW211" s="2522"/>
      <c r="ROX211" s="2522"/>
      <c r="ROY211" s="2522"/>
      <c r="ROZ211" s="2522"/>
      <c r="RPA211" s="2522"/>
      <c r="RPB211" s="2522"/>
      <c r="RPC211" s="2522"/>
      <c r="RPD211" s="2522"/>
      <c r="RPE211" s="2522"/>
      <c r="RPF211" s="2522"/>
      <c r="RPG211" s="2522"/>
      <c r="RPH211" s="2522"/>
      <c r="RPI211" s="2522"/>
      <c r="RPJ211" s="2522"/>
      <c r="RPK211" s="2522"/>
      <c r="RPL211" s="2522"/>
      <c r="RPM211" s="2522"/>
      <c r="RPN211" s="2522"/>
      <c r="RPO211" s="2522"/>
      <c r="RPP211" s="2522"/>
      <c r="RPQ211" s="2522"/>
      <c r="RPR211" s="2522"/>
      <c r="RPS211" s="2522"/>
      <c r="RPT211" s="2522"/>
      <c r="RPU211" s="2522"/>
      <c r="RPV211" s="2522"/>
      <c r="RPW211" s="2522"/>
      <c r="RPX211" s="2522"/>
      <c r="RPY211" s="2522"/>
      <c r="RPZ211" s="2522"/>
      <c r="RQA211" s="2522"/>
      <c r="RQB211" s="2522"/>
      <c r="RQC211" s="2522"/>
      <c r="RQD211" s="2522"/>
      <c r="RQE211" s="2522"/>
      <c r="RQF211" s="2522"/>
      <c r="RQG211" s="2522"/>
      <c r="RQH211" s="2522"/>
      <c r="RQI211" s="2522"/>
      <c r="RQJ211" s="2522"/>
      <c r="RQK211" s="2522"/>
      <c r="RQL211" s="2522"/>
      <c r="RQM211" s="2522"/>
      <c r="RQN211" s="2522"/>
      <c r="RQO211" s="2522"/>
      <c r="RQP211" s="2522"/>
      <c r="RQQ211" s="2522"/>
      <c r="RQR211" s="2522"/>
      <c r="RQS211" s="2522"/>
      <c r="RQT211" s="2522"/>
      <c r="RQU211" s="2522"/>
      <c r="RQV211" s="2522"/>
      <c r="RQW211" s="2522"/>
      <c r="RQX211" s="2522"/>
      <c r="RQY211" s="2522"/>
      <c r="RQZ211" s="2522"/>
      <c r="RRA211" s="2522"/>
      <c r="RRB211" s="2522"/>
      <c r="RRC211" s="2522"/>
      <c r="RRD211" s="2522"/>
      <c r="RRE211" s="2522"/>
      <c r="RRF211" s="2522"/>
      <c r="RRG211" s="2522"/>
      <c r="RRH211" s="2522"/>
      <c r="RRI211" s="2522"/>
      <c r="RRJ211" s="2522"/>
      <c r="RRK211" s="2522"/>
      <c r="RRL211" s="2522"/>
      <c r="RRM211" s="2522"/>
      <c r="RRN211" s="2522"/>
      <c r="RRO211" s="2522"/>
      <c r="RRP211" s="2522"/>
      <c r="RRQ211" s="2522"/>
      <c r="RRR211" s="2522"/>
      <c r="RRS211" s="2522"/>
      <c r="RRT211" s="2522"/>
      <c r="RRU211" s="2522"/>
      <c r="RRV211" s="2522"/>
      <c r="RRW211" s="2522"/>
      <c r="RRX211" s="2522"/>
      <c r="RRY211" s="2522"/>
      <c r="RRZ211" s="2522"/>
      <c r="RSA211" s="2522"/>
      <c r="RSB211" s="2522"/>
      <c r="RSC211" s="2522"/>
      <c r="RSD211" s="2522"/>
      <c r="RSE211" s="2522"/>
      <c r="RSF211" s="2522"/>
      <c r="RSG211" s="2522"/>
      <c r="RSH211" s="2522"/>
      <c r="RSI211" s="2522"/>
      <c r="RSJ211" s="2522"/>
      <c r="RSK211" s="2522"/>
      <c r="RSL211" s="2522"/>
      <c r="RSM211" s="2522"/>
      <c r="RSN211" s="2522"/>
      <c r="RSO211" s="2522"/>
      <c r="RSP211" s="2522"/>
      <c r="RSQ211" s="2522"/>
      <c r="RSR211" s="2522"/>
      <c r="RSS211" s="2522"/>
      <c r="RST211" s="2522"/>
      <c r="RSU211" s="2522"/>
      <c r="RSV211" s="2522"/>
      <c r="RSW211" s="2522"/>
      <c r="RSX211" s="2522"/>
      <c r="RSY211" s="2522"/>
      <c r="RSZ211" s="2522"/>
      <c r="RTA211" s="2522"/>
      <c r="RTB211" s="2522"/>
      <c r="RTC211" s="2522"/>
      <c r="RTD211" s="2522"/>
      <c r="RTE211" s="2522"/>
      <c r="RTF211" s="2522"/>
      <c r="RTG211" s="2522"/>
      <c r="RTH211" s="2522"/>
      <c r="RTI211" s="2522"/>
      <c r="RTJ211" s="2522"/>
      <c r="RTK211" s="2522"/>
      <c r="RTL211" s="2522"/>
      <c r="RTM211" s="2522"/>
      <c r="RTN211" s="2522"/>
      <c r="RTO211" s="2522"/>
      <c r="RTP211" s="2522"/>
      <c r="RTQ211" s="2522"/>
      <c r="RTR211" s="2522"/>
      <c r="RTS211" s="2522"/>
      <c r="RTT211" s="2522"/>
      <c r="RTU211" s="2522"/>
      <c r="RTV211" s="2522"/>
      <c r="RTW211" s="2522"/>
      <c r="RTX211" s="2522"/>
      <c r="RTY211" s="2522"/>
      <c r="RTZ211" s="2522"/>
      <c r="RUA211" s="2522"/>
      <c r="RUB211" s="2522"/>
      <c r="RUC211" s="2522"/>
      <c r="RUD211" s="2522"/>
      <c r="RUE211" s="2522"/>
      <c r="RUF211" s="2522"/>
      <c r="RUG211" s="2522"/>
      <c r="RUH211" s="2522"/>
      <c r="RUI211" s="2522"/>
      <c r="RUJ211" s="2522"/>
      <c r="RUK211" s="2522"/>
      <c r="RUL211" s="2522"/>
      <c r="RUM211" s="2522"/>
      <c r="RUN211" s="2522"/>
      <c r="RUO211" s="2522"/>
      <c r="RUP211" s="2522"/>
      <c r="RUQ211" s="2522"/>
      <c r="RUR211" s="2522"/>
      <c r="RUS211" s="2522"/>
      <c r="RUT211" s="2522"/>
      <c r="RUU211" s="2522"/>
      <c r="RUV211" s="2522"/>
      <c r="RUW211" s="2522"/>
      <c r="RUX211" s="2522"/>
      <c r="RUY211" s="2522"/>
      <c r="RUZ211" s="2522"/>
      <c r="RVA211" s="2522"/>
      <c r="RVB211" s="2522"/>
      <c r="RVC211" s="2522"/>
      <c r="RVD211" s="2522"/>
      <c r="RVE211" s="2522"/>
      <c r="RVF211" s="2522"/>
      <c r="RVG211" s="2522"/>
      <c r="RVH211" s="2522"/>
      <c r="RVI211" s="2522"/>
      <c r="RVJ211" s="2522"/>
      <c r="RVK211" s="2522"/>
      <c r="RVL211" s="2522"/>
      <c r="RVM211" s="2522"/>
      <c r="RVN211" s="2522"/>
      <c r="RVO211" s="2522"/>
      <c r="RVP211" s="2522"/>
      <c r="RVQ211" s="2522"/>
      <c r="RVR211" s="2522"/>
      <c r="RVS211" s="2522"/>
      <c r="RVT211" s="2522"/>
      <c r="RVU211" s="2522"/>
      <c r="RVV211" s="2522"/>
      <c r="RVW211" s="2522"/>
      <c r="RVX211" s="2522"/>
      <c r="RVY211" s="2522"/>
      <c r="RVZ211" s="2522"/>
      <c r="RWA211" s="2522"/>
      <c r="RWB211" s="2522"/>
      <c r="RWC211" s="2522"/>
      <c r="RWD211" s="2522"/>
      <c r="RWE211" s="2522"/>
      <c r="RWF211" s="2522"/>
      <c r="RWG211" s="2522"/>
      <c r="RWH211" s="2522"/>
      <c r="RWI211" s="2522"/>
      <c r="RWJ211" s="2522"/>
      <c r="RWK211" s="2522"/>
      <c r="RWL211" s="2522"/>
      <c r="RWM211" s="2522"/>
      <c r="RWN211" s="2522"/>
      <c r="RWO211" s="2522"/>
      <c r="RWP211" s="2522"/>
      <c r="RWQ211" s="2522"/>
      <c r="RWR211" s="2522"/>
      <c r="RWS211" s="2522"/>
      <c r="RWT211" s="2522"/>
      <c r="RWU211" s="2522"/>
      <c r="RWV211" s="2522"/>
      <c r="RWW211" s="2522"/>
      <c r="RWX211" s="2522"/>
      <c r="RWY211" s="2522"/>
      <c r="RWZ211" s="2522"/>
      <c r="RXA211" s="2522"/>
      <c r="RXB211" s="2522"/>
      <c r="RXC211" s="2522"/>
      <c r="RXD211" s="2522"/>
      <c r="RXE211" s="2522"/>
      <c r="RXF211" s="2522"/>
      <c r="RXG211" s="2522"/>
      <c r="RXH211" s="2522"/>
      <c r="RXI211" s="2522"/>
      <c r="RXJ211" s="2522"/>
      <c r="RXK211" s="2522"/>
      <c r="RXL211" s="2522"/>
      <c r="RXM211" s="2522"/>
      <c r="RXN211" s="2522"/>
      <c r="RXO211" s="2522"/>
      <c r="RXP211" s="2522"/>
      <c r="RXQ211" s="2522"/>
      <c r="RXR211" s="2522"/>
      <c r="RXS211" s="2522"/>
      <c r="RXT211" s="2522"/>
      <c r="RXU211" s="2522"/>
      <c r="RXV211" s="2522"/>
      <c r="RXW211" s="2522"/>
      <c r="RXX211" s="2522"/>
      <c r="RXY211" s="2522"/>
      <c r="RXZ211" s="2522"/>
      <c r="RYA211" s="2522"/>
      <c r="RYB211" s="2522"/>
      <c r="RYC211" s="2522"/>
      <c r="RYD211" s="2522"/>
      <c r="RYE211" s="2522"/>
      <c r="RYF211" s="2522"/>
      <c r="RYG211" s="2522"/>
      <c r="RYH211" s="2522"/>
      <c r="RYI211" s="2522"/>
      <c r="RYJ211" s="2522"/>
      <c r="RYK211" s="2522"/>
      <c r="RYL211" s="2522"/>
      <c r="RYM211" s="2522"/>
      <c r="RYN211" s="2522"/>
      <c r="RYO211" s="2522"/>
      <c r="RYP211" s="2522"/>
      <c r="RYQ211" s="2522"/>
      <c r="RYR211" s="2522"/>
      <c r="RYS211" s="2522"/>
      <c r="RYT211" s="2522"/>
      <c r="RYU211" s="2522"/>
      <c r="RYV211" s="2522"/>
      <c r="RYW211" s="2522"/>
      <c r="RYX211" s="2522"/>
      <c r="RYY211" s="2522"/>
      <c r="RYZ211" s="2522"/>
      <c r="RZA211" s="2522"/>
      <c r="RZB211" s="2522"/>
      <c r="RZC211" s="2522"/>
      <c r="RZD211" s="2522"/>
      <c r="RZE211" s="2522"/>
      <c r="RZF211" s="2522"/>
      <c r="RZG211" s="2522"/>
      <c r="RZH211" s="2522"/>
      <c r="RZI211" s="2522"/>
      <c r="RZJ211" s="2522"/>
      <c r="RZK211" s="2522"/>
      <c r="RZL211" s="2522"/>
      <c r="RZM211" s="2522"/>
      <c r="RZN211" s="2522"/>
      <c r="RZO211" s="2522"/>
      <c r="RZP211" s="2522"/>
      <c r="RZQ211" s="2522"/>
      <c r="RZR211" s="2522"/>
      <c r="RZS211" s="2522"/>
      <c r="RZT211" s="2522"/>
      <c r="RZU211" s="2522"/>
      <c r="RZV211" s="2522"/>
      <c r="RZW211" s="2522"/>
      <c r="RZX211" s="2522"/>
      <c r="RZY211" s="2522"/>
      <c r="RZZ211" s="2522"/>
      <c r="SAA211" s="2522"/>
      <c r="SAB211" s="2522"/>
      <c r="SAC211" s="2522"/>
      <c r="SAD211" s="2522"/>
      <c r="SAE211" s="2522"/>
      <c r="SAF211" s="2522"/>
      <c r="SAG211" s="2522"/>
      <c r="SAH211" s="2522"/>
      <c r="SAI211" s="2522"/>
      <c r="SAJ211" s="2522"/>
      <c r="SAK211" s="2522"/>
      <c r="SAL211" s="2522"/>
      <c r="SAM211" s="2522"/>
      <c r="SAN211" s="2522"/>
      <c r="SAO211" s="2522"/>
      <c r="SAP211" s="2522"/>
      <c r="SAQ211" s="2522"/>
      <c r="SAR211" s="2522"/>
      <c r="SAS211" s="2522"/>
      <c r="SAT211" s="2522"/>
      <c r="SAU211" s="2522"/>
      <c r="SAV211" s="2522"/>
      <c r="SAW211" s="2522"/>
      <c r="SAX211" s="2522"/>
      <c r="SAY211" s="2522"/>
      <c r="SAZ211" s="2522"/>
      <c r="SBA211" s="2522"/>
      <c r="SBB211" s="2522"/>
      <c r="SBC211" s="2522"/>
      <c r="SBD211" s="2522"/>
      <c r="SBE211" s="2522"/>
      <c r="SBF211" s="2522"/>
      <c r="SBG211" s="2522"/>
      <c r="SBH211" s="2522"/>
      <c r="SBI211" s="2522"/>
      <c r="SBJ211" s="2522"/>
      <c r="SBK211" s="2522"/>
      <c r="SBL211" s="2522"/>
      <c r="SBM211" s="2522"/>
      <c r="SBN211" s="2522"/>
      <c r="SBO211" s="2522"/>
      <c r="SBP211" s="2522"/>
      <c r="SBQ211" s="2522"/>
      <c r="SBR211" s="2522"/>
      <c r="SBS211" s="2522"/>
      <c r="SBT211" s="2522"/>
      <c r="SBU211" s="2522"/>
      <c r="SBV211" s="2522"/>
      <c r="SBW211" s="2522"/>
      <c r="SBX211" s="2522"/>
      <c r="SBY211" s="2522"/>
      <c r="SBZ211" s="2522"/>
      <c r="SCA211" s="2522"/>
      <c r="SCB211" s="2522"/>
      <c r="SCC211" s="2522"/>
      <c r="SCD211" s="2522"/>
      <c r="SCE211" s="2522"/>
      <c r="SCF211" s="2522"/>
      <c r="SCG211" s="2522"/>
      <c r="SCH211" s="2522"/>
      <c r="SCI211" s="2522"/>
      <c r="SCJ211" s="2522"/>
      <c r="SCK211" s="2522"/>
      <c r="SCL211" s="2522"/>
      <c r="SCM211" s="2522"/>
      <c r="SCN211" s="2522"/>
      <c r="SCO211" s="2522"/>
      <c r="SCP211" s="2522"/>
      <c r="SCQ211" s="2522"/>
      <c r="SCR211" s="2522"/>
      <c r="SCS211" s="2522"/>
      <c r="SCT211" s="2522"/>
      <c r="SCU211" s="2522"/>
      <c r="SCV211" s="2522"/>
      <c r="SCW211" s="2522"/>
      <c r="SCX211" s="2522"/>
      <c r="SCY211" s="2522"/>
      <c r="SCZ211" s="2522"/>
      <c r="SDA211" s="2522"/>
      <c r="SDB211" s="2522"/>
      <c r="SDC211" s="2522"/>
      <c r="SDD211" s="2522"/>
      <c r="SDE211" s="2522"/>
      <c r="SDF211" s="2522"/>
      <c r="SDG211" s="2522"/>
      <c r="SDH211" s="2522"/>
      <c r="SDI211" s="2522"/>
      <c r="SDJ211" s="2522"/>
      <c r="SDK211" s="2522"/>
      <c r="SDL211" s="2522"/>
      <c r="SDM211" s="2522"/>
      <c r="SDN211" s="2522"/>
      <c r="SDO211" s="2522"/>
      <c r="SDP211" s="2522"/>
      <c r="SDQ211" s="2522"/>
      <c r="SDR211" s="2522"/>
      <c r="SDS211" s="2522"/>
      <c r="SDT211" s="2522"/>
      <c r="SDU211" s="2522"/>
      <c r="SDV211" s="2522"/>
      <c r="SDW211" s="2522"/>
      <c r="SDX211" s="2522"/>
      <c r="SDY211" s="2522"/>
      <c r="SDZ211" s="2522"/>
      <c r="SEA211" s="2522"/>
      <c r="SEB211" s="2522"/>
      <c r="SEC211" s="2522"/>
      <c r="SED211" s="2522"/>
      <c r="SEE211" s="2522"/>
      <c r="SEF211" s="2522"/>
      <c r="SEG211" s="2522"/>
      <c r="SEH211" s="2522"/>
      <c r="SEI211" s="2522"/>
      <c r="SEJ211" s="2522"/>
      <c r="SEK211" s="2522"/>
      <c r="SEL211" s="2522"/>
      <c r="SEM211" s="2522"/>
      <c r="SEN211" s="2522"/>
      <c r="SEO211" s="2522"/>
      <c r="SEP211" s="2522"/>
      <c r="SEQ211" s="2522"/>
      <c r="SER211" s="2522"/>
      <c r="SES211" s="2522"/>
      <c r="SET211" s="2522"/>
      <c r="SEU211" s="2522"/>
      <c r="SEV211" s="2522"/>
      <c r="SEW211" s="2522"/>
      <c r="SEX211" s="2522"/>
      <c r="SEY211" s="2522"/>
      <c r="SEZ211" s="2522"/>
      <c r="SFA211" s="2522"/>
      <c r="SFB211" s="2522"/>
      <c r="SFC211" s="2522"/>
      <c r="SFD211" s="2522"/>
      <c r="SFE211" s="2522"/>
      <c r="SFF211" s="2522"/>
      <c r="SFG211" s="2522"/>
      <c r="SFH211" s="2522"/>
      <c r="SFI211" s="2522"/>
      <c r="SFJ211" s="2522"/>
      <c r="SFK211" s="2522"/>
      <c r="SFL211" s="2522"/>
      <c r="SFM211" s="2522"/>
      <c r="SFN211" s="2522"/>
      <c r="SFO211" s="2522"/>
      <c r="SFP211" s="2522"/>
      <c r="SFQ211" s="2522"/>
      <c r="SFR211" s="2522"/>
      <c r="SFS211" s="2522"/>
      <c r="SFT211" s="2522"/>
      <c r="SFU211" s="2522"/>
      <c r="SFV211" s="2522"/>
      <c r="SFW211" s="2522"/>
      <c r="SFX211" s="2522"/>
      <c r="SFY211" s="2522"/>
      <c r="SFZ211" s="2522"/>
      <c r="SGA211" s="2522"/>
      <c r="SGB211" s="2522"/>
      <c r="SGC211" s="2522"/>
      <c r="SGD211" s="2522"/>
      <c r="SGE211" s="2522"/>
      <c r="SGF211" s="2522"/>
      <c r="SGG211" s="2522"/>
      <c r="SGH211" s="2522"/>
      <c r="SGI211" s="2522"/>
      <c r="SGJ211" s="2522"/>
      <c r="SGK211" s="2522"/>
      <c r="SGL211" s="2522"/>
      <c r="SGM211" s="2522"/>
      <c r="SGN211" s="2522"/>
      <c r="SGO211" s="2522"/>
      <c r="SGP211" s="2522"/>
      <c r="SGQ211" s="2522"/>
      <c r="SGR211" s="2522"/>
      <c r="SGS211" s="2522"/>
      <c r="SGT211" s="2522"/>
      <c r="SGU211" s="2522"/>
      <c r="SGV211" s="2522"/>
      <c r="SGW211" s="2522"/>
      <c r="SGX211" s="2522"/>
      <c r="SGY211" s="2522"/>
      <c r="SGZ211" s="2522"/>
      <c r="SHA211" s="2522"/>
      <c r="SHB211" s="2522"/>
      <c r="SHC211" s="2522"/>
      <c r="SHD211" s="2522"/>
      <c r="SHE211" s="2522"/>
      <c r="SHF211" s="2522"/>
      <c r="SHG211" s="2522"/>
      <c r="SHH211" s="2522"/>
      <c r="SHI211" s="2522"/>
      <c r="SHJ211" s="2522"/>
      <c r="SHK211" s="2522"/>
      <c r="SHL211" s="2522"/>
      <c r="SHM211" s="2522"/>
      <c r="SHN211" s="2522"/>
      <c r="SHO211" s="2522"/>
      <c r="SHP211" s="2522"/>
      <c r="SHQ211" s="2522"/>
      <c r="SHR211" s="2522"/>
      <c r="SHS211" s="2522"/>
      <c r="SHT211" s="2522"/>
      <c r="SHU211" s="2522"/>
      <c r="SHV211" s="2522"/>
      <c r="SHW211" s="2522"/>
      <c r="SHX211" s="2522"/>
      <c r="SHY211" s="2522"/>
      <c r="SHZ211" s="2522"/>
      <c r="SIA211" s="2522"/>
      <c r="SIB211" s="2522"/>
      <c r="SIC211" s="2522"/>
      <c r="SID211" s="2522"/>
      <c r="SIE211" s="2522"/>
      <c r="SIF211" s="2522"/>
      <c r="SIG211" s="2522"/>
      <c r="SIH211" s="2522"/>
      <c r="SII211" s="2522"/>
      <c r="SIJ211" s="2522"/>
      <c r="SIK211" s="2522"/>
      <c r="SIL211" s="2522"/>
      <c r="SIM211" s="2522"/>
      <c r="SIN211" s="2522"/>
      <c r="SIO211" s="2522"/>
      <c r="SIP211" s="2522"/>
      <c r="SIQ211" s="2522"/>
      <c r="SIR211" s="2522"/>
      <c r="SIS211" s="2522"/>
      <c r="SIT211" s="2522"/>
      <c r="SIU211" s="2522"/>
      <c r="SIV211" s="2522"/>
      <c r="SIW211" s="2522"/>
      <c r="SIX211" s="2522"/>
      <c r="SIY211" s="2522"/>
      <c r="SIZ211" s="2522"/>
      <c r="SJA211" s="2522"/>
      <c r="SJB211" s="2522"/>
      <c r="SJC211" s="2522"/>
      <c r="SJD211" s="2522"/>
      <c r="SJE211" s="2522"/>
      <c r="SJF211" s="2522"/>
      <c r="SJG211" s="2522"/>
      <c r="SJH211" s="2522"/>
      <c r="SJI211" s="2522"/>
      <c r="SJJ211" s="2522"/>
      <c r="SJK211" s="2522"/>
      <c r="SJL211" s="2522"/>
      <c r="SJM211" s="2522"/>
      <c r="SJN211" s="2522"/>
      <c r="SJO211" s="2522"/>
      <c r="SJP211" s="2522"/>
      <c r="SJQ211" s="2522"/>
      <c r="SJR211" s="2522"/>
      <c r="SJS211" s="2522"/>
      <c r="SJT211" s="2522"/>
      <c r="SJU211" s="2522"/>
      <c r="SJV211" s="2522"/>
      <c r="SJW211" s="2522"/>
      <c r="SJX211" s="2522"/>
      <c r="SJY211" s="2522"/>
      <c r="SJZ211" s="2522"/>
      <c r="SKA211" s="2522"/>
      <c r="SKB211" s="2522"/>
      <c r="SKC211" s="2522"/>
      <c r="SKD211" s="2522"/>
      <c r="SKE211" s="2522"/>
      <c r="SKF211" s="2522"/>
      <c r="SKG211" s="2522"/>
      <c r="SKH211" s="2522"/>
      <c r="SKI211" s="2522"/>
      <c r="SKJ211" s="2522"/>
      <c r="SKK211" s="2522"/>
      <c r="SKL211" s="2522"/>
      <c r="SKM211" s="2522"/>
      <c r="SKN211" s="2522"/>
      <c r="SKO211" s="2522"/>
      <c r="SKP211" s="2522"/>
      <c r="SKQ211" s="2522"/>
      <c r="SKR211" s="2522"/>
      <c r="SKS211" s="2522"/>
      <c r="SKT211" s="2522"/>
      <c r="SKU211" s="2522"/>
      <c r="SKV211" s="2522"/>
      <c r="SKW211" s="2522"/>
      <c r="SKX211" s="2522"/>
      <c r="SKY211" s="2522"/>
      <c r="SKZ211" s="2522"/>
      <c r="SLA211" s="2522"/>
      <c r="SLB211" s="2522"/>
      <c r="SLC211" s="2522"/>
      <c r="SLD211" s="2522"/>
      <c r="SLE211" s="2522"/>
      <c r="SLF211" s="2522"/>
      <c r="SLG211" s="2522"/>
      <c r="SLH211" s="2522"/>
      <c r="SLI211" s="2522"/>
      <c r="SLJ211" s="2522"/>
      <c r="SLK211" s="2522"/>
      <c r="SLL211" s="2522"/>
      <c r="SLM211" s="2522"/>
      <c r="SLN211" s="2522"/>
      <c r="SLO211" s="2522"/>
      <c r="SLP211" s="2522"/>
      <c r="SLQ211" s="2522"/>
      <c r="SLR211" s="2522"/>
      <c r="SLS211" s="2522"/>
      <c r="SLT211" s="2522"/>
      <c r="SLU211" s="2522"/>
      <c r="SLV211" s="2522"/>
      <c r="SLW211" s="2522"/>
      <c r="SLX211" s="2522"/>
      <c r="SLY211" s="2522"/>
      <c r="SLZ211" s="2522"/>
      <c r="SMA211" s="2522"/>
      <c r="SMB211" s="2522"/>
      <c r="SMC211" s="2522"/>
      <c r="SMD211" s="2522"/>
      <c r="SME211" s="2522"/>
      <c r="SMF211" s="2522"/>
      <c r="SMG211" s="2522"/>
      <c r="SMH211" s="2522"/>
      <c r="SMI211" s="2522"/>
      <c r="SMJ211" s="2522"/>
      <c r="SMK211" s="2522"/>
      <c r="SML211" s="2522"/>
      <c r="SMM211" s="2522"/>
      <c r="SMN211" s="2522"/>
      <c r="SMO211" s="2522"/>
      <c r="SMP211" s="2522"/>
      <c r="SMQ211" s="2522"/>
      <c r="SMR211" s="2522"/>
      <c r="SMS211" s="2522"/>
      <c r="SMT211" s="2522"/>
      <c r="SMU211" s="2522"/>
      <c r="SMV211" s="2522"/>
      <c r="SMW211" s="2522"/>
      <c r="SMX211" s="2522"/>
      <c r="SMY211" s="2522"/>
      <c r="SMZ211" s="2522"/>
      <c r="SNA211" s="2522"/>
      <c r="SNB211" s="2522"/>
      <c r="SNC211" s="2522"/>
      <c r="SND211" s="2522"/>
      <c r="SNE211" s="2522"/>
      <c r="SNF211" s="2522"/>
      <c r="SNG211" s="2522"/>
      <c r="SNH211" s="2522"/>
      <c r="SNI211" s="2522"/>
      <c r="SNJ211" s="2522"/>
      <c r="SNK211" s="2522"/>
      <c r="SNL211" s="2522"/>
      <c r="SNM211" s="2522"/>
      <c r="SNN211" s="2522"/>
      <c r="SNO211" s="2522"/>
      <c r="SNP211" s="2522"/>
      <c r="SNQ211" s="2522"/>
      <c r="SNR211" s="2522"/>
      <c r="SNS211" s="2522"/>
      <c r="SNT211" s="2522"/>
      <c r="SNU211" s="2522"/>
      <c r="SNV211" s="2522"/>
      <c r="SNW211" s="2522"/>
      <c r="SNX211" s="2522"/>
      <c r="SNY211" s="2522"/>
      <c r="SNZ211" s="2522"/>
      <c r="SOA211" s="2522"/>
      <c r="SOB211" s="2522"/>
      <c r="SOC211" s="2522"/>
      <c r="SOD211" s="2522"/>
      <c r="SOE211" s="2522"/>
      <c r="SOF211" s="2522"/>
      <c r="SOG211" s="2522"/>
      <c r="SOH211" s="2522"/>
      <c r="SOI211" s="2522"/>
      <c r="SOJ211" s="2522"/>
      <c r="SOK211" s="2522"/>
      <c r="SOL211" s="2522"/>
      <c r="SOM211" s="2522"/>
      <c r="SON211" s="2522"/>
      <c r="SOO211" s="2522"/>
      <c r="SOP211" s="2522"/>
      <c r="SOQ211" s="2522"/>
      <c r="SOR211" s="2522"/>
      <c r="SOS211" s="2522"/>
      <c r="SOT211" s="2522"/>
      <c r="SOU211" s="2522"/>
      <c r="SOV211" s="2522"/>
      <c r="SOW211" s="2522"/>
      <c r="SOX211" s="2522"/>
      <c r="SOY211" s="2522"/>
      <c r="SOZ211" s="2522"/>
      <c r="SPA211" s="2522"/>
      <c r="SPB211" s="2522"/>
      <c r="SPC211" s="2522"/>
      <c r="SPD211" s="2522"/>
      <c r="SPE211" s="2522"/>
      <c r="SPF211" s="2522"/>
      <c r="SPG211" s="2522"/>
      <c r="SPH211" s="2522"/>
      <c r="SPI211" s="2522"/>
      <c r="SPJ211" s="2522"/>
      <c r="SPK211" s="2522"/>
      <c r="SPL211" s="2522"/>
      <c r="SPM211" s="2522"/>
      <c r="SPN211" s="2522"/>
      <c r="SPO211" s="2522"/>
      <c r="SPP211" s="2522"/>
      <c r="SPQ211" s="2522"/>
      <c r="SPR211" s="2522"/>
      <c r="SPS211" s="2522"/>
      <c r="SPT211" s="2522"/>
      <c r="SPU211" s="2522"/>
      <c r="SPV211" s="2522"/>
      <c r="SPW211" s="2522"/>
      <c r="SPX211" s="2522"/>
      <c r="SPY211" s="2522"/>
      <c r="SPZ211" s="2522"/>
      <c r="SQA211" s="2522"/>
      <c r="SQB211" s="2522"/>
      <c r="SQC211" s="2522"/>
      <c r="SQD211" s="2522"/>
      <c r="SQE211" s="2522"/>
      <c r="SQF211" s="2522"/>
      <c r="SQG211" s="2522"/>
      <c r="SQH211" s="2522"/>
      <c r="SQI211" s="2522"/>
      <c r="SQJ211" s="2522"/>
      <c r="SQK211" s="2522"/>
      <c r="SQL211" s="2522"/>
      <c r="SQM211" s="2522"/>
      <c r="SQN211" s="2522"/>
      <c r="SQO211" s="2522"/>
      <c r="SQP211" s="2522"/>
      <c r="SQQ211" s="2522"/>
      <c r="SQR211" s="2522"/>
      <c r="SQS211" s="2522"/>
      <c r="SQT211" s="2522"/>
      <c r="SQU211" s="2522"/>
      <c r="SQV211" s="2522"/>
      <c r="SQW211" s="2522"/>
      <c r="SQX211" s="2522"/>
      <c r="SQY211" s="2522"/>
      <c r="SQZ211" s="2522"/>
      <c r="SRA211" s="2522"/>
      <c r="SRB211" s="2522"/>
      <c r="SRC211" s="2522"/>
      <c r="SRD211" s="2522"/>
      <c r="SRE211" s="2522"/>
      <c r="SRF211" s="2522"/>
      <c r="SRG211" s="2522"/>
      <c r="SRH211" s="2522"/>
      <c r="SRI211" s="2522"/>
      <c r="SRJ211" s="2522"/>
      <c r="SRK211" s="2522"/>
      <c r="SRL211" s="2522"/>
      <c r="SRM211" s="2522"/>
      <c r="SRN211" s="2522"/>
      <c r="SRO211" s="2522"/>
      <c r="SRP211" s="2522"/>
      <c r="SRQ211" s="2522"/>
      <c r="SRR211" s="2522"/>
      <c r="SRS211" s="2522"/>
      <c r="SRT211" s="2522"/>
      <c r="SRU211" s="2522"/>
      <c r="SRV211" s="2522"/>
      <c r="SRW211" s="2522"/>
      <c r="SRX211" s="2522"/>
      <c r="SRY211" s="2522"/>
      <c r="SRZ211" s="2522"/>
      <c r="SSA211" s="2522"/>
      <c r="SSB211" s="2522"/>
      <c r="SSC211" s="2522"/>
      <c r="SSD211" s="2522"/>
      <c r="SSE211" s="2522"/>
      <c r="SSF211" s="2522"/>
      <c r="SSG211" s="2522"/>
      <c r="SSH211" s="2522"/>
      <c r="SSI211" s="2522"/>
      <c r="SSJ211" s="2522"/>
      <c r="SSK211" s="2522"/>
      <c r="SSL211" s="2522"/>
      <c r="SSM211" s="2522"/>
      <c r="SSN211" s="2522"/>
      <c r="SSO211" s="2522"/>
      <c r="SSP211" s="2522"/>
      <c r="SSQ211" s="2522"/>
      <c r="SSR211" s="2522"/>
      <c r="SSS211" s="2522"/>
      <c r="SST211" s="2522"/>
      <c r="SSU211" s="2522"/>
      <c r="SSV211" s="2522"/>
      <c r="SSW211" s="2522"/>
      <c r="SSX211" s="2522"/>
      <c r="SSY211" s="2522"/>
      <c r="SSZ211" s="2522"/>
      <c r="STA211" s="2522"/>
      <c r="STB211" s="2522"/>
      <c r="STC211" s="2522"/>
      <c r="STD211" s="2522"/>
      <c r="STE211" s="2522"/>
      <c r="STF211" s="2522"/>
      <c r="STG211" s="2522"/>
      <c r="STH211" s="2522"/>
      <c r="STI211" s="2522"/>
      <c r="STJ211" s="2522"/>
      <c r="STK211" s="2522"/>
      <c r="STL211" s="2522"/>
      <c r="STM211" s="2522"/>
      <c r="STN211" s="2522"/>
      <c r="STO211" s="2522"/>
      <c r="STP211" s="2522"/>
      <c r="STQ211" s="2522"/>
      <c r="STR211" s="2522"/>
      <c r="STS211" s="2522"/>
      <c r="STT211" s="2522"/>
      <c r="STU211" s="2522"/>
      <c r="STV211" s="2522"/>
      <c r="STW211" s="2522"/>
      <c r="STX211" s="2522"/>
      <c r="STY211" s="2522"/>
      <c r="STZ211" s="2522"/>
      <c r="SUA211" s="2522"/>
      <c r="SUB211" s="2522"/>
      <c r="SUC211" s="2522"/>
      <c r="SUD211" s="2522"/>
      <c r="SUE211" s="2522"/>
      <c r="SUF211" s="2522"/>
      <c r="SUG211" s="2522"/>
      <c r="SUH211" s="2522"/>
      <c r="SUI211" s="2522"/>
      <c r="SUJ211" s="2522"/>
      <c r="SUK211" s="2522"/>
      <c r="SUL211" s="2522"/>
      <c r="SUM211" s="2522"/>
      <c r="SUN211" s="2522"/>
      <c r="SUO211" s="2522"/>
      <c r="SUP211" s="2522"/>
      <c r="SUQ211" s="2522"/>
      <c r="SUR211" s="2522"/>
      <c r="SUS211" s="2522"/>
      <c r="SUT211" s="2522"/>
      <c r="SUU211" s="2522"/>
      <c r="SUV211" s="2522"/>
      <c r="SUW211" s="2522"/>
      <c r="SUX211" s="2522"/>
      <c r="SUY211" s="2522"/>
      <c r="SUZ211" s="2522"/>
      <c r="SVA211" s="2522"/>
      <c r="SVB211" s="2522"/>
      <c r="SVC211" s="2522"/>
      <c r="SVD211" s="2522"/>
      <c r="SVE211" s="2522"/>
      <c r="SVF211" s="2522"/>
      <c r="SVG211" s="2522"/>
      <c r="SVH211" s="2522"/>
      <c r="SVI211" s="2522"/>
      <c r="SVJ211" s="2522"/>
      <c r="SVK211" s="2522"/>
      <c r="SVL211" s="2522"/>
      <c r="SVM211" s="2522"/>
      <c r="SVN211" s="2522"/>
      <c r="SVO211" s="2522"/>
      <c r="SVP211" s="2522"/>
      <c r="SVQ211" s="2522"/>
      <c r="SVR211" s="2522"/>
      <c r="SVS211" s="2522"/>
      <c r="SVT211" s="2522"/>
      <c r="SVU211" s="2522"/>
      <c r="SVV211" s="2522"/>
      <c r="SVW211" s="2522"/>
      <c r="SVX211" s="2522"/>
      <c r="SVY211" s="2522"/>
      <c r="SVZ211" s="2522"/>
      <c r="SWA211" s="2522"/>
      <c r="SWB211" s="2522"/>
      <c r="SWC211" s="2522"/>
      <c r="SWD211" s="2522"/>
      <c r="SWE211" s="2522"/>
      <c r="SWF211" s="2522"/>
      <c r="SWG211" s="2522"/>
      <c r="SWH211" s="2522"/>
      <c r="SWI211" s="2522"/>
      <c r="SWJ211" s="2522"/>
      <c r="SWK211" s="2522"/>
      <c r="SWL211" s="2522"/>
      <c r="SWM211" s="2522"/>
      <c r="SWN211" s="2522"/>
      <c r="SWO211" s="2522"/>
      <c r="SWP211" s="2522"/>
      <c r="SWQ211" s="2522"/>
      <c r="SWR211" s="2522"/>
      <c r="SWS211" s="2522"/>
      <c r="SWT211" s="2522"/>
      <c r="SWU211" s="2522"/>
      <c r="SWV211" s="2522"/>
      <c r="SWW211" s="2522"/>
      <c r="SWX211" s="2522"/>
      <c r="SWY211" s="2522"/>
      <c r="SWZ211" s="2522"/>
      <c r="SXA211" s="2522"/>
      <c r="SXB211" s="2522"/>
      <c r="SXC211" s="2522"/>
      <c r="SXD211" s="2522"/>
      <c r="SXE211" s="2522"/>
      <c r="SXF211" s="2522"/>
      <c r="SXG211" s="2522"/>
      <c r="SXH211" s="2522"/>
      <c r="SXI211" s="2522"/>
      <c r="SXJ211" s="2522"/>
      <c r="SXK211" s="2522"/>
      <c r="SXL211" s="2522"/>
      <c r="SXM211" s="2522"/>
      <c r="SXN211" s="2522"/>
      <c r="SXO211" s="2522"/>
      <c r="SXP211" s="2522"/>
      <c r="SXQ211" s="2522"/>
      <c r="SXR211" s="2522"/>
      <c r="SXS211" s="2522"/>
      <c r="SXT211" s="2522"/>
      <c r="SXU211" s="2522"/>
      <c r="SXV211" s="2522"/>
      <c r="SXW211" s="2522"/>
      <c r="SXX211" s="2522"/>
      <c r="SXY211" s="2522"/>
      <c r="SXZ211" s="2522"/>
      <c r="SYA211" s="2522"/>
      <c r="SYB211" s="2522"/>
      <c r="SYC211" s="2522"/>
      <c r="SYD211" s="2522"/>
      <c r="SYE211" s="2522"/>
      <c r="SYF211" s="2522"/>
      <c r="SYG211" s="2522"/>
      <c r="SYH211" s="2522"/>
      <c r="SYI211" s="2522"/>
      <c r="SYJ211" s="2522"/>
      <c r="SYK211" s="2522"/>
      <c r="SYL211" s="2522"/>
      <c r="SYM211" s="2522"/>
      <c r="SYN211" s="2522"/>
      <c r="SYO211" s="2522"/>
      <c r="SYP211" s="2522"/>
      <c r="SYQ211" s="2522"/>
      <c r="SYR211" s="2522"/>
      <c r="SYS211" s="2522"/>
      <c r="SYT211" s="2522"/>
      <c r="SYU211" s="2522"/>
      <c r="SYV211" s="2522"/>
      <c r="SYW211" s="2522"/>
      <c r="SYX211" s="2522"/>
      <c r="SYY211" s="2522"/>
      <c r="SYZ211" s="2522"/>
      <c r="SZA211" s="2522"/>
      <c r="SZB211" s="2522"/>
      <c r="SZC211" s="2522"/>
      <c r="SZD211" s="2522"/>
      <c r="SZE211" s="2522"/>
      <c r="SZF211" s="2522"/>
      <c r="SZG211" s="2522"/>
      <c r="SZH211" s="2522"/>
      <c r="SZI211" s="2522"/>
      <c r="SZJ211" s="2522"/>
      <c r="SZK211" s="2522"/>
      <c r="SZL211" s="2522"/>
      <c r="SZM211" s="2522"/>
      <c r="SZN211" s="2522"/>
      <c r="SZO211" s="2522"/>
      <c r="SZP211" s="2522"/>
      <c r="SZQ211" s="2522"/>
      <c r="SZR211" s="2522"/>
      <c r="SZS211" s="2522"/>
      <c r="SZT211" s="2522"/>
      <c r="SZU211" s="2522"/>
      <c r="SZV211" s="2522"/>
      <c r="SZW211" s="2522"/>
      <c r="SZX211" s="2522"/>
      <c r="SZY211" s="2522"/>
      <c r="SZZ211" s="2522"/>
      <c r="TAA211" s="2522"/>
      <c r="TAB211" s="2522"/>
      <c r="TAC211" s="2522"/>
      <c r="TAD211" s="2522"/>
      <c r="TAE211" s="2522"/>
      <c r="TAF211" s="2522"/>
      <c r="TAG211" s="2522"/>
      <c r="TAH211" s="2522"/>
      <c r="TAI211" s="2522"/>
      <c r="TAJ211" s="2522"/>
      <c r="TAK211" s="2522"/>
      <c r="TAL211" s="2522"/>
      <c r="TAM211" s="2522"/>
      <c r="TAN211" s="2522"/>
      <c r="TAO211" s="2522"/>
      <c r="TAP211" s="2522"/>
      <c r="TAQ211" s="2522"/>
      <c r="TAR211" s="2522"/>
      <c r="TAS211" s="2522"/>
      <c r="TAT211" s="2522"/>
      <c r="TAU211" s="2522"/>
      <c r="TAV211" s="2522"/>
      <c r="TAW211" s="2522"/>
      <c r="TAX211" s="2522"/>
      <c r="TAY211" s="2522"/>
      <c r="TAZ211" s="2522"/>
      <c r="TBA211" s="2522"/>
      <c r="TBB211" s="2522"/>
      <c r="TBC211" s="2522"/>
      <c r="TBD211" s="2522"/>
      <c r="TBE211" s="2522"/>
      <c r="TBF211" s="2522"/>
      <c r="TBG211" s="2522"/>
      <c r="TBH211" s="2522"/>
      <c r="TBI211" s="2522"/>
      <c r="TBJ211" s="2522"/>
      <c r="TBK211" s="2522"/>
      <c r="TBL211" s="2522"/>
      <c r="TBM211" s="2522"/>
      <c r="TBN211" s="2522"/>
      <c r="TBO211" s="2522"/>
      <c r="TBP211" s="2522"/>
      <c r="TBQ211" s="2522"/>
      <c r="TBR211" s="2522"/>
      <c r="TBS211" s="2522"/>
      <c r="TBT211" s="2522"/>
      <c r="TBU211" s="2522"/>
      <c r="TBV211" s="2522"/>
      <c r="TBW211" s="2522"/>
      <c r="TBX211" s="2522"/>
      <c r="TBY211" s="2522"/>
      <c r="TBZ211" s="2522"/>
      <c r="TCA211" s="2522"/>
      <c r="TCB211" s="2522"/>
      <c r="TCC211" s="2522"/>
      <c r="TCD211" s="2522"/>
      <c r="TCE211" s="2522"/>
      <c r="TCF211" s="2522"/>
      <c r="TCG211" s="2522"/>
      <c r="TCH211" s="2522"/>
      <c r="TCI211" s="2522"/>
      <c r="TCJ211" s="2522"/>
      <c r="TCK211" s="2522"/>
      <c r="TCL211" s="2522"/>
      <c r="TCM211" s="2522"/>
      <c r="TCN211" s="2522"/>
      <c r="TCO211" s="2522"/>
      <c r="TCP211" s="2522"/>
      <c r="TCQ211" s="2522"/>
      <c r="TCR211" s="2522"/>
      <c r="TCS211" s="2522"/>
      <c r="TCT211" s="2522"/>
      <c r="TCU211" s="2522"/>
      <c r="TCV211" s="2522"/>
      <c r="TCW211" s="2522"/>
      <c r="TCX211" s="2522"/>
      <c r="TCY211" s="2522"/>
      <c r="TCZ211" s="2522"/>
      <c r="TDA211" s="2522"/>
      <c r="TDB211" s="2522"/>
      <c r="TDC211" s="2522"/>
      <c r="TDD211" s="2522"/>
      <c r="TDE211" s="2522"/>
      <c r="TDF211" s="2522"/>
      <c r="TDG211" s="2522"/>
      <c r="TDH211" s="2522"/>
      <c r="TDI211" s="2522"/>
      <c r="TDJ211" s="2522"/>
      <c r="TDK211" s="2522"/>
      <c r="TDL211" s="2522"/>
      <c r="TDM211" s="2522"/>
      <c r="TDN211" s="2522"/>
      <c r="TDO211" s="2522"/>
      <c r="TDP211" s="2522"/>
      <c r="TDQ211" s="2522"/>
      <c r="TDR211" s="2522"/>
      <c r="TDS211" s="2522"/>
      <c r="TDT211" s="2522"/>
      <c r="TDU211" s="2522"/>
      <c r="TDV211" s="2522"/>
      <c r="TDW211" s="2522"/>
      <c r="TDX211" s="2522"/>
      <c r="TDY211" s="2522"/>
      <c r="TDZ211" s="2522"/>
      <c r="TEA211" s="2522"/>
      <c r="TEB211" s="2522"/>
      <c r="TEC211" s="2522"/>
      <c r="TED211" s="2522"/>
      <c r="TEE211" s="2522"/>
      <c r="TEF211" s="2522"/>
      <c r="TEG211" s="2522"/>
      <c r="TEH211" s="2522"/>
      <c r="TEI211" s="2522"/>
      <c r="TEJ211" s="2522"/>
      <c r="TEK211" s="2522"/>
      <c r="TEL211" s="2522"/>
      <c r="TEM211" s="2522"/>
      <c r="TEN211" s="2522"/>
      <c r="TEO211" s="2522"/>
      <c r="TEP211" s="2522"/>
      <c r="TEQ211" s="2522"/>
      <c r="TER211" s="2522"/>
      <c r="TES211" s="2522"/>
      <c r="TET211" s="2522"/>
      <c r="TEU211" s="2522"/>
      <c r="TEV211" s="2522"/>
      <c r="TEW211" s="2522"/>
      <c r="TEX211" s="2522"/>
      <c r="TEY211" s="2522"/>
      <c r="TEZ211" s="2522"/>
      <c r="TFA211" s="2522"/>
      <c r="TFB211" s="2522"/>
      <c r="TFC211" s="2522"/>
      <c r="TFD211" s="2522"/>
      <c r="TFE211" s="2522"/>
      <c r="TFF211" s="2522"/>
      <c r="TFG211" s="2522"/>
      <c r="TFH211" s="2522"/>
      <c r="TFI211" s="2522"/>
      <c r="TFJ211" s="2522"/>
      <c r="TFK211" s="2522"/>
      <c r="TFL211" s="2522"/>
      <c r="TFM211" s="2522"/>
      <c r="TFN211" s="2522"/>
      <c r="TFO211" s="2522"/>
      <c r="TFP211" s="2522"/>
      <c r="TFQ211" s="2522"/>
      <c r="TFR211" s="2522"/>
      <c r="TFS211" s="2522"/>
      <c r="TFT211" s="2522"/>
      <c r="TFU211" s="2522"/>
      <c r="TFV211" s="2522"/>
      <c r="TFW211" s="2522"/>
      <c r="TFX211" s="2522"/>
      <c r="TFY211" s="2522"/>
      <c r="TFZ211" s="2522"/>
      <c r="TGA211" s="2522"/>
      <c r="TGB211" s="2522"/>
      <c r="TGC211" s="2522"/>
      <c r="TGD211" s="2522"/>
      <c r="TGE211" s="2522"/>
      <c r="TGF211" s="2522"/>
      <c r="TGG211" s="2522"/>
      <c r="TGH211" s="2522"/>
      <c r="TGI211" s="2522"/>
      <c r="TGJ211" s="2522"/>
      <c r="TGK211" s="2522"/>
      <c r="TGL211" s="2522"/>
      <c r="TGM211" s="2522"/>
      <c r="TGN211" s="2522"/>
      <c r="TGO211" s="2522"/>
      <c r="TGP211" s="2522"/>
      <c r="TGQ211" s="2522"/>
      <c r="TGR211" s="2522"/>
      <c r="TGS211" s="2522"/>
      <c r="TGT211" s="2522"/>
      <c r="TGU211" s="2522"/>
      <c r="TGV211" s="2522"/>
      <c r="TGW211" s="2522"/>
      <c r="TGX211" s="2522"/>
      <c r="TGY211" s="2522"/>
      <c r="TGZ211" s="2522"/>
      <c r="THA211" s="2522"/>
      <c r="THB211" s="2522"/>
      <c r="THC211" s="2522"/>
      <c r="THD211" s="2522"/>
      <c r="THE211" s="2522"/>
      <c r="THF211" s="2522"/>
      <c r="THG211" s="2522"/>
      <c r="THH211" s="2522"/>
      <c r="THI211" s="2522"/>
      <c r="THJ211" s="2522"/>
      <c r="THK211" s="2522"/>
      <c r="THL211" s="2522"/>
      <c r="THM211" s="2522"/>
      <c r="THN211" s="2522"/>
      <c r="THO211" s="2522"/>
      <c r="THP211" s="2522"/>
      <c r="THQ211" s="2522"/>
      <c r="THR211" s="2522"/>
      <c r="THS211" s="2522"/>
      <c r="THT211" s="2522"/>
      <c r="THU211" s="2522"/>
      <c r="THV211" s="2522"/>
      <c r="THW211" s="2522"/>
      <c r="THX211" s="2522"/>
      <c r="THY211" s="2522"/>
      <c r="THZ211" s="2522"/>
      <c r="TIA211" s="2522"/>
      <c r="TIB211" s="2522"/>
      <c r="TIC211" s="2522"/>
      <c r="TID211" s="2522"/>
      <c r="TIE211" s="2522"/>
      <c r="TIF211" s="2522"/>
      <c r="TIG211" s="2522"/>
      <c r="TIH211" s="2522"/>
      <c r="TII211" s="2522"/>
      <c r="TIJ211" s="2522"/>
      <c r="TIK211" s="2522"/>
      <c r="TIL211" s="2522"/>
      <c r="TIM211" s="2522"/>
      <c r="TIN211" s="2522"/>
      <c r="TIO211" s="2522"/>
      <c r="TIP211" s="2522"/>
      <c r="TIQ211" s="2522"/>
      <c r="TIR211" s="2522"/>
      <c r="TIS211" s="2522"/>
      <c r="TIT211" s="2522"/>
      <c r="TIU211" s="2522"/>
      <c r="TIV211" s="2522"/>
      <c r="TIW211" s="2522"/>
      <c r="TIX211" s="2522"/>
      <c r="TIY211" s="2522"/>
      <c r="TIZ211" s="2522"/>
      <c r="TJA211" s="2522"/>
      <c r="TJB211" s="2522"/>
      <c r="TJC211" s="2522"/>
      <c r="TJD211" s="2522"/>
      <c r="TJE211" s="2522"/>
      <c r="TJF211" s="2522"/>
      <c r="TJG211" s="2522"/>
      <c r="TJH211" s="2522"/>
      <c r="TJI211" s="2522"/>
      <c r="TJJ211" s="2522"/>
      <c r="TJK211" s="2522"/>
      <c r="TJL211" s="2522"/>
      <c r="TJM211" s="2522"/>
      <c r="TJN211" s="2522"/>
      <c r="TJO211" s="2522"/>
      <c r="TJP211" s="2522"/>
      <c r="TJQ211" s="2522"/>
      <c r="TJR211" s="2522"/>
      <c r="TJS211" s="2522"/>
      <c r="TJT211" s="2522"/>
      <c r="TJU211" s="2522"/>
      <c r="TJV211" s="2522"/>
      <c r="TJW211" s="2522"/>
      <c r="TJX211" s="2522"/>
      <c r="TJY211" s="2522"/>
      <c r="TJZ211" s="2522"/>
      <c r="TKA211" s="2522"/>
      <c r="TKB211" s="2522"/>
      <c r="TKC211" s="2522"/>
      <c r="TKD211" s="2522"/>
      <c r="TKE211" s="2522"/>
      <c r="TKF211" s="2522"/>
      <c r="TKG211" s="2522"/>
      <c r="TKH211" s="2522"/>
      <c r="TKI211" s="2522"/>
      <c r="TKJ211" s="2522"/>
      <c r="TKK211" s="2522"/>
      <c r="TKL211" s="2522"/>
      <c r="TKM211" s="2522"/>
      <c r="TKN211" s="2522"/>
      <c r="TKO211" s="2522"/>
      <c r="TKP211" s="2522"/>
      <c r="TKQ211" s="2522"/>
      <c r="TKR211" s="2522"/>
      <c r="TKS211" s="2522"/>
      <c r="TKT211" s="2522"/>
      <c r="TKU211" s="2522"/>
      <c r="TKV211" s="2522"/>
      <c r="TKW211" s="2522"/>
      <c r="TKX211" s="2522"/>
      <c r="TKY211" s="2522"/>
      <c r="TKZ211" s="2522"/>
      <c r="TLA211" s="2522"/>
      <c r="TLB211" s="2522"/>
      <c r="TLC211" s="2522"/>
      <c r="TLD211" s="2522"/>
      <c r="TLE211" s="2522"/>
      <c r="TLF211" s="2522"/>
      <c r="TLG211" s="2522"/>
      <c r="TLH211" s="2522"/>
      <c r="TLI211" s="2522"/>
      <c r="TLJ211" s="2522"/>
      <c r="TLK211" s="2522"/>
      <c r="TLL211" s="2522"/>
      <c r="TLM211" s="2522"/>
      <c r="TLN211" s="2522"/>
      <c r="TLO211" s="2522"/>
      <c r="TLP211" s="2522"/>
      <c r="TLQ211" s="2522"/>
      <c r="TLR211" s="2522"/>
      <c r="TLS211" s="2522"/>
      <c r="TLT211" s="2522"/>
      <c r="TLU211" s="2522"/>
      <c r="TLV211" s="2522"/>
      <c r="TLW211" s="2522"/>
      <c r="TLX211" s="2522"/>
      <c r="TLY211" s="2522"/>
      <c r="TLZ211" s="2522"/>
      <c r="TMA211" s="2522"/>
      <c r="TMB211" s="2522"/>
      <c r="TMC211" s="2522"/>
      <c r="TMD211" s="2522"/>
      <c r="TME211" s="2522"/>
      <c r="TMF211" s="2522"/>
      <c r="TMG211" s="2522"/>
      <c r="TMH211" s="2522"/>
      <c r="TMI211" s="2522"/>
      <c r="TMJ211" s="2522"/>
      <c r="TMK211" s="2522"/>
      <c r="TML211" s="2522"/>
      <c r="TMM211" s="2522"/>
      <c r="TMN211" s="2522"/>
      <c r="TMO211" s="2522"/>
      <c r="TMP211" s="2522"/>
      <c r="TMQ211" s="2522"/>
      <c r="TMR211" s="2522"/>
      <c r="TMS211" s="2522"/>
      <c r="TMT211" s="2522"/>
      <c r="TMU211" s="2522"/>
      <c r="TMV211" s="2522"/>
      <c r="TMW211" s="2522"/>
      <c r="TMX211" s="2522"/>
      <c r="TMY211" s="2522"/>
      <c r="TMZ211" s="2522"/>
      <c r="TNA211" s="2522"/>
      <c r="TNB211" s="2522"/>
      <c r="TNC211" s="2522"/>
      <c r="TND211" s="2522"/>
      <c r="TNE211" s="2522"/>
      <c r="TNF211" s="2522"/>
      <c r="TNG211" s="2522"/>
      <c r="TNH211" s="2522"/>
      <c r="TNI211" s="2522"/>
      <c r="TNJ211" s="2522"/>
      <c r="TNK211" s="2522"/>
      <c r="TNL211" s="2522"/>
      <c r="TNM211" s="2522"/>
      <c r="TNN211" s="2522"/>
      <c r="TNO211" s="2522"/>
      <c r="TNP211" s="2522"/>
      <c r="TNQ211" s="2522"/>
      <c r="TNR211" s="2522"/>
      <c r="TNS211" s="2522"/>
      <c r="TNT211" s="2522"/>
      <c r="TNU211" s="2522"/>
      <c r="TNV211" s="2522"/>
      <c r="TNW211" s="2522"/>
      <c r="TNX211" s="2522"/>
      <c r="TNY211" s="2522"/>
      <c r="TNZ211" s="2522"/>
      <c r="TOA211" s="2522"/>
      <c r="TOB211" s="2522"/>
      <c r="TOC211" s="2522"/>
      <c r="TOD211" s="2522"/>
      <c r="TOE211" s="2522"/>
      <c r="TOF211" s="2522"/>
      <c r="TOG211" s="2522"/>
      <c r="TOH211" s="2522"/>
      <c r="TOI211" s="2522"/>
      <c r="TOJ211" s="2522"/>
      <c r="TOK211" s="2522"/>
      <c r="TOL211" s="2522"/>
      <c r="TOM211" s="2522"/>
      <c r="TON211" s="2522"/>
      <c r="TOO211" s="2522"/>
      <c r="TOP211" s="2522"/>
      <c r="TOQ211" s="2522"/>
      <c r="TOR211" s="2522"/>
      <c r="TOS211" s="2522"/>
      <c r="TOT211" s="2522"/>
      <c r="TOU211" s="2522"/>
      <c r="TOV211" s="2522"/>
      <c r="TOW211" s="2522"/>
      <c r="TOX211" s="2522"/>
      <c r="TOY211" s="2522"/>
      <c r="TOZ211" s="2522"/>
      <c r="TPA211" s="2522"/>
      <c r="TPB211" s="2522"/>
      <c r="TPC211" s="2522"/>
      <c r="TPD211" s="2522"/>
      <c r="TPE211" s="2522"/>
      <c r="TPF211" s="2522"/>
      <c r="TPG211" s="2522"/>
      <c r="TPH211" s="2522"/>
      <c r="TPI211" s="2522"/>
      <c r="TPJ211" s="2522"/>
      <c r="TPK211" s="2522"/>
      <c r="TPL211" s="2522"/>
      <c r="TPM211" s="2522"/>
      <c r="TPN211" s="2522"/>
      <c r="TPO211" s="2522"/>
      <c r="TPP211" s="2522"/>
      <c r="TPQ211" s="2522"/>
      <c r="TPR211" s="2522"/>
      <c r="TPS211" s="2522"/>
      <c r="TPT211" s="2522"/>
      <c r="TPU211" s="2522"/>
      <c r="TPV211" s="2522"/>
      <c r="TPW211" s="2522"/>
      <c r="TPX211" s="2522"/>
      <c r="TPY211" s="2522"/>
      <c r="TPZ211" s="2522"/>
      <c r="TQA211" s="2522"/>
      <c r="TQB211" s="2522"/>
      <c r="TQC211" s="2522"/>
      <c r="TQD211" s="2522"/>
      <c r="TQE211" s="2522"/>
      <c r="TQF211" s="2522"/>
      <c r="TQG211" s="2522"/>
      <c r="TQH211" s="2522"/>
      <c r="TQI211" s="2522"/>
      <c r="TQJ211" s="2522"/>
      <c r="TQK211" s="2522"/>
      <c r="TQL211" s="2522"/>
      <c r="TQM211" s="2522"/>
      <c r="TQN211" s="2522"/>
      <c r="TQO211" s="2522"/>
      <c r="TQP211" s="2522"/>
      <c r="TQQ211" s="2522"/>
      <c r="TQR211" s="2522"/>
      <c r="TQS211" s="2522"/>
      <c r="TQT211" s="2522"/>
      <c r="TQU211" s="2522"/>
      <c r="TQV211" s="2522"/>
      <c r="TQW211" s="2522"/>
      <c r="TQX211" s="2522"/>
      <c r="TQY211" s="2522"/>
      <c r="TQZ211" s="2522"/>
      <c r="TRA211" s="2522"/>
      <c r="TRB211" s="2522"/>
      <c r="TRC211" s="2522"/>
      <c r="TRD211" s="2522"/>
      <c r="TRE211" s="2522"/>
      <c r="TRF211" s="2522"/>
      <c r="TRG211" s="2522"/>
      <c r="TRH211" s="2522"/>
      <c r="TRI211" s="2522"/>
      <c r="TRJ211" s="2522"/>
      <c r="TRK211" s="2522"/>
      <c r="TRL211" s="2522"/>
      <c r="TRM211" s="2522"/>
      <c r="TRN211" s="2522"/>
      <c r="TRO211" s="2522"/>
      <c r="TRP211" s="2522"/>
      <c r="TRQ211" s="2522"/>
      <c r="TRR211" s="2522"/>
      <c r="TRS211" s="2522"/>
      <c r="TRT211" s="2522"/>
      <c r="TRU211" s="2522"/>
      <c r="TRV211" s="2522"/>
      <c r="TRW211" s="2522"/>
      <c r="TRX211" s="2522"/>
      <c r="TRY211" s="2522"/>
      <c r="TRZ211" s="2522"/>
      <c r="TSA211" s="2522"/>
      <c r="TSB211" s="2522"/>
      <c r="TSC211" s="2522"/>
      <c r="TSD211" s="2522"/>
      <c r="TSE211" s="2522"/>
      <c r="TSF211" s="2522"/>
      <c r="TSG211" s="2522"/>
      <c r="TSH211" s="2522"/>
      <c r="TSI211" s="2522"/>
      <c r="TSJ211" s="2522"/>
      <c r="TSK211" s="2522"/>
      <c r="TSL211" s="2522"/>
      <c r="TSM211" s="2522"/>
      <c r="TSN211" s="2522"/>
      <c r="TSO211" s="2522"/>
      <c r="TSP211" s="2522"/>
      <c r="TSQ211" s="2522"/>
      <c r="TSR211" s="2522"/>
      <c r="TSS211" s="2522"/>
      <c r="TST211" s="2522"/>
      <c r="TSU211" s="2522"/>
      <c r="TSV211" s="2522"/>
      <c r="TSW211" s="2522"/>
      <c r="TSX211" s="2522"/>
      <c r="TSY211" s="2522"/>
      <c r="TSZ211" s="2522"/>
      <c r="TTA211" s="2522"/>
      <c r="TTB211" s="2522"/>
      <c r="TTC211" s="2522"/>
      <c r="TTD211" s="2522"/>
      <c r="TTE211" s="2522"/>
      <c r="TTF211" s="2522"/>
      <c r="TTG211" s="2522"/>
      <c r="TTH211" s="2522"/>
      <c r="TTI211" s="2522"/>
      <c r="TTJ211" s="2522"/>
      <c r="TTK211" s="2522"/>
      <c r="TTL211" s="2522"/>
      <c r="TTM211" s="2522"/>
      <c r="TTN211" s="2522"/>
      <c r="TTO211" s="2522"/>
      <c r="TTP211" s="2522"/>
      <c r="TTQ211" s="2522"/>
      <c r="TTR211" s="2522"/>
      <c r="TTS211" s="2522"/>
      <c r="TTT211" s="2522"/>
      <c r="TTU211" s="2522"/>
      <c r="TTV211" s="2522"/>
      <c r="TTW211" s="2522"/>
      <c r="TTX211" s="2522"/>
      <c r="TTY211" s="2522"/>
      <c r="TTZ211" s="2522"/>
      <c r="TUA211" s="2522"/>
      <c r="TUB211" s="2522"/>
      <c r="TUC211" s="2522"/>
      <c r="TUD211" s="2522"/>
      <c r="TUE211" s="2522"/>
      <c r="TUF211" s="2522"/>
      <c r="TUG211" s="2522"/>
      <c r="TUH211" s="2522"/>
      <c r="TUI211" s="2522"/>
      <c r="TUJ211" s="2522"/>
      <c r="TUK211" s="2522"/>
      <c r="TUL211" s="2522"/>
      <c r="TUM211" s="2522"/>
      <c r="TUN211" s="2522"/>
      <c r="TUO211" s="2522"/>
      <c r="TUP211" s="2522"/>
      <c r="TUQ211" s="2522"/>
      <c r="TUR211" s="2522"/>
      <c r="TUS211" s="2522"/>
      <c r="TUT211" s="2522"/>
      <c r="TUU211" s="2522"/>
      <c r="TUV211" s="2522"/>
      <c r="TUW211" s="2522"/>
      <c r="TUX211" s="2522"/>
      <c r="TUY211" s="2522"/>
      <c r="TUZ211" s="2522"/>
      <c r="TVA211" s="2522"/>
      <c r="TVB211" s="2522"/>
      <c r="TVC211" s="2522"/>
      <c r="TVD211" s="2522"/>
      <c r="TVE211" s="2522"/>
      <c r="TVF211" s="2522"/>
      <c r="TVG211" s="2522"/>
      <c r="TVH211" s="2522"/>
      <c r="TVI211" s="2522"/>
      <c r="TVJ211" s="2522"/>
      <c r="TVK211" s="2522"/>
      <c r="TVL211" s="2522"/>
      <c r="TVM211" s="2522"/>
      <c r="TVN211" s="2522"/>
      <c r="TVO211" s="2522"/>
      <c r="TVP211" s="2522"/>
      <c r="TVQ211" s="2522"/>
      <c r="TVR211" s="2522"/>
      <c r="TVS211" s="2522"/>
      <c r="TVT211" s="2522"/>
      <c r="TVU211" s="2522"/>
      <c r="TVV211" s="2522"/>
      <c r="TVW211" s="2522"/>
      <c r="TVX211" s="2522"/>
      <c r="TVY211" s="2522"/>
      <c r="TVZ211" s="2522"/>
      <c r="TWA211" s="2522"/>
      <c r="TWB211" s="2522"/>
      <c r="TWC211" s="2522"/>
      <c r="TWD211" s="2522"/>
      <c r="TWE211" s="2522"/>
      <c r="TWF211" s="2522"/>
      <c r="TWG211" s="2522"/>
      <c r="TWH211" s="2522"/>
      <c r="TWI211" s="2522"/>
      <c r="TWJ211" s="2522"/>
      <c r="TWK211" s="2522"/>
      <c r="TWL211" s="2522"/>
      <c r="TWM211" s="2522"/>
      <c r="TWN211" s="2522"/>
      <c r="TWO211" s="2522"/>
      <c r="TWP211" s="2522"/>
      <c r="TWQ211" s="2522"/>
      <c r="TWR211" s="2522"/>
      <c r="TWS211" s="2522"/>
      <c r="TWT211" s="2522"/>
      <c r="TWU211" s="2522"/>
      <c r="TWV211" s="2522"/>
      <c r="TWW211" s="2522"/>
      <c r="TWX211" s="2522"/>
      <c r="TWY211" s="2522"/>
      <c r="TWZ211" s="2522"/>
      <c r="TXA211" s="2522"/>
      <c r="TXB211" s="2522"/>
      <c r="TXC211" s="2522"/>
      <c r="TXD211" s="2522"/>
      <c r="TXE211" s="2522"/>
      <c r="TXF211" s="2522"/>
      <c r="TXG211" s="2522"/>
      <c r="TXH211" s="2522"/>
      <c r="TXI211" s="2522"/>
      <c r="TXJ211" s="2522"/>
      <c r="TXK211" s="2522"/>
      <c r="TXL211" s="2522"/>
      <c r="TXM211" s="2522"/>
      <c r="TXN211" s="2522"/>
      <c r="TXO211" s="2522"/>
      <c r="TXP211" s="2522"/>
      <c r="TXQ211" s="2522"/>
      <c r="TXR211" s="2522"/>
      <c r="TXS211" s="2522"/>
      <c r="TXT211" s="2522"/>
      <c r="TXU211" s="2522"/>
      <c r="TXV211" s="2522"/>
      <c r="TXW211" s="2522"/>
      <c r="TXX211" s="2522"/>
      <c r="TXY211" s="2522"/>
      <c r="TXZ211" s="2522"/>
      <c r="TYA211" s="2522"/>
      <c r="TYB211" s="2522"/>
      <c r="TYC211" s="2522"/>
      <c r="TYD211" s="2522"/>
      <c r="TYE211" s="2522"/>
      <c r="TYF211" s="2522"/>
      <c r="TYG211" s="2522"/>
      <c r="TYH211" s="2522"/>
      <c r="TYI211" s="2522"/>
      <c r="TYJ211" s="2522"/>
      <c r="TYK211" s="2522"/>
      <c r="TYL211" s="2522"/>
      <c r="TYM211" s="2522"/>
      <c r="TYN211" s="2522"/>
      <c r="TYO211" s="2522"/>
      <c r="TYP211" s="2522"/>
      <c r="TYQ211" s="2522"/>
      <c r="TYR211" s="2522"/>
      <c r="TYS211" s="2522"/>
      <c r="TYT211" s="2522"/>
      <c r="TYU211" s="2522"/>
      <c r="TYV211" s="2522"/>
      <c r="TYW211" s="2522"/>
      <c r="TYX211" s="2522"/>
      <c r="TYY211" s="2522"/>
      <c r="TYZ211" s="2522"/>
      <c r="TZA211" s="2522"/>
      <c r="TZB211" s="2522"/>
      <c r="TZC211" s="2522"/>
      <c r="TZD211" s="2522"/>
      <c r="TZE211" s="2522"/>
      <c r="TZF211" s="2522"/>
      <c r="TZG211" s="2522"/>
      <c r="TZH211" s="2522"/>
      <c r="TZI211" s="2522"/>
      <c r="TZJ211" s="2522"/>
      <c r="TZK211" s="2522"/>
      <c r="TZL211" s="2522"/>
      <c r="TZM211" s="2522"/>
      <c r="TZN211" s="2522"/>
      <c r="TZO211" s="2522"/>
      <c r="TZP211" s="2522"/>
      <c r="TZQ211" s="2522"/>
      <c r="TZR211" s="2522"/>
      <c r="TZS211" s="2522"/>
      <c r="TZT211" s="2522"/>
      <c r="TZU211" s="2522"/>
      <c r="TZV211" s="2522"/>
      <c r="TZW211" s="2522"/>
      <c r="TZX211" s="2522"/>
      <c r="TZY211" s="2522"/>
      <c r="TZZ211" s="2522"/>
      <c r="UAA211" s="2522"/>
      <c r="UAB211" s="2522"/>
      <c r="UAC211" s="2522"/>
      <c r="UAD211" s="2522"/>
      <c r="UAE211" s="2522"/>
      <c r="UAF211" s="2522"/>
      <c r="UAG211" s="2522"/>
      <c r="UAH211" s="2522"/>
      <c r="UAI211" s="2522"/>
      <c r="UAJ211" s="2522"/>
      <c r="UAK211" s="2522"/>
      <c r="UAL211" s="2522"/>
      <c r="UAM211" s="2522"/>
      <c r="UAN211" s="2522"/>
      <c r="UAO211" s="2522"/>
      <c r="UAP211" s="2522"/>
      <c r="UAQ211" s="2522"/>
      <c r="UAR211" s="2522"/>
      <c r="UAS211" s="2522"/>
      <c r="UAT211" s="2522"/>
      <c r="UAU211" s="2522"/>
      <c r="UAV211" s="2522"/>
      <c r="UAW211" s="2522"/>
      <c r="UAX211" s="2522"/>
      <c r="UAY211" s="2522"/>
      <c r="UAZ211" s="2522"/>
      <c r="UBA211" s="2522"/>
      <c r="UBB211" s="2522"/>
      <c r="UBC211" s="2522"/>
      <c r="UBD211" s="2522"/>
      <c r="UBE211" s="2522"/>
      <c r="UBF211" s="2522"/>
      <c r="UBG211" s="2522"/>
      <c r="UBH211" s="2522"/>
      <c r="UBI211" s="2522"/>
      <c r="UBJ211" s="2522"/>
      <c r="UBK211" s="2522"/>
      <c r="UBL211" s="2522"/>
      <c r="UBM211" s="2522"/>
      <c r="UBN211" s="2522"/>
      <c r="UBO211" s="2522"/>
      <c r="UBP211" s="2522"/>
      <c r="UBQ211" s="2522"/>
      <c r="UBR211" s="2522"/>
      <c r="UBS211" s="2522"/>
      <c r="UBT211" s="2522"/>
      <c r="UBU211" s="2522"/>
      <c r="UBV211" s="2522"/>
      <c r="UBW211" s="2522"/>
      <c r="UBX211" s="2522"/>
      <c r="UBY211" s="2522"/>
      <c r="UBZ211" s="2522"/>
      <c r="UCA211" s="2522"/>
      <c r="UCB211" s="2522"/>
      <c r="UCC211" s="2522"/>
      <c r="UCD211" s="2522"/>
      <c r="UCE211" s="2522"/>
      <c r="UCF211" s="2522"/>
      <c r="UCG211" s="2522"/>
      <c r="UCH211" s="2522"/>
      <c r="UCI211" s="2522"/>
      <c r="UCJ211" s="2522"/>
      <c r="UCK211" s="2522"/>
      <c r="UCL211" s="2522"/>
      <c r="UCM211" s="2522"/>
      <c r="UCN211" s="2522"/>
      <c r="UCO211" s="2522"/>
      <c r="UCP211" s="2522"/>
      <c r="UCQ211" s="2522"/>
      <c r="UCR211" s="2522"/>
      <c r="UCS211" s="2522"/>
      <c r="UCT211" s="2522"/>
      <c r="UCU211" s="2522"/>
      <c r="UCV211" s="2522"/>
      <c r="UCW211" s="2522"/>
      <c r="UCX211" s="2522"/>
      <c r="UCY211" s="2522"/>
      <c r="UCZ211" s="2522"/>
      <c r="UDA211" s="2522"/>
      <c r="UDB211" s="2522"/>
      <c r="UDC211" s="2522"/>
      <c r="UDD211" s="2522"/>
      <c r="UDE211" s="2522"/>
      <c r="UDF211" s="2522"/>
      <c r="UDG211" s="2522"/>
      <c r="UDH211" s="2522"/>
      <c r="UDI211" s="2522"/>
      <c r="UDJ211" s="2522"/>
      <c r="UDK211" s="2522"/>
      <c r="UDL211" s="2522"/>
      <c r="UDM211" s="2522"/>
      <c r="UDN211" s="2522"/>
      <c r="UDO211" s="2522"/>
      <c r="UDP211" s="2522"/>
      <c r="UDQ211" s="2522"/>
      <c r="UDR211" s="2522"/>
      <c r="UDS211" s="2522"/>
      <c r="UDT211" s="2522"/>
      <c r="UDU211" s="2522"/>
      <c r="UDV211" s="2522"/>
      <c r="UDW211" s="2522"/>
      <c r="UDX211" s="2522"/>
      <c r="UDY211" s="2522"/>
      <c r="UDZ211" s="2522"/>
      <c r="UEA211" s="2522"/>
      <c r="UEB211" s="2522"/>
      <c r="UEC211" s="2522"/>
      <c r="UED211" s="2522"/>
      <c r="UEE211" s="2522"/>
      <c r="UEF211" s="2522"/>
      <c r="UEG211" s="2522"/>
      <c r="UEH211" s="2522"/>
      <c r="UEI211" s="2522"/>
      <c r="UEJ211" s="2522"/>
      <c r="UEK211" s="2522"/>
      <c r="UEL211" s="2522"/>
      <c r="UEM211" s="2522"/>
      <c r="UEN211" s="2522"/>
      <c r="UEO211" s="2522"/>
      <c r="UEP211" s="2522"/>
      <c r="UEQ211" s="2522"/>
      <c r="UER211" s="2522"/>
      <c r="UES211" s="2522"/>
      <c r="UET211" s="2522"/>
      <c r="UEU211" s="2522"/>
      <c r="UEV211" s="2522"/>
      <c r="UEW211" s="2522"/>
      <c r="UEX211" s="2522"/>
      <c r="UEY211" s="2522"/>
      <c r="UEZ211" s="2522"/>
      <c r="UFA211" s="2522"/>
      <c r="UFB211" s="2522"/>
      <c r="UFC211" s="2522"/>
      <c r="UFD211" s="2522"/>
      <c r="UFE211" s="2522"/>
      <c r="UFF211" s="2522"/>
      <c r="UFG211" s="2522"/>
      <c r="UFH211" s="2522"/>
      <c r="UFI211" s="2522"/>
      <c r="UFJ211" s="2522"/>
      <c r="UFK211" s="2522"/>
      <c r="UFL211" s="2522"/>
      <c r="UFM211" s="2522"/>
      <c r="UFN211" s="2522"/>
      <c r="UFO211" s="2522"/>
      <c r="UFP211" s="2522"/>
      <c r="UFQ211" s="2522"/>
      <c r="UFR211" s="2522"/>
      <c r="UFS211" s="2522"/>
      <c r="UFT211" s="2522"/>
      <c r="UFU211" s="2522"/>
      <c r="UFV211" s="2522"/>
      <c r="UFW211" s="2522"/>
      <c r="UFX211" s="2522"/>
      <c r="UFY211" s="2522"/>
      <c r="UFZ211" s="2522"/>
      <c r="UGA211" s="2522"/>
      <c r="UGB211" s="2522"/>
      <c r="UGC211" s="2522"/>
      <c r="UGD211" s="2522"/>
      <c r="UGE211" s="2522"/>
      <c r="UGF211" s="2522"/>
      <c r="UGG211" s="2522"/>
      <c r="UGH211" s="2522"/>
      <c r="UGI211" s="2522"/>
      <c r="UGJ211" s="2522"/>
      <c r="UGK211" s="2522"/>
      <c r="UGL211" s="2522"/>
      <c r="UGM211" s="2522"/>
      <c r="UGN211" s="2522"/>
      <c r="UGO211" s="2522"/>
      <c r="UGP211" s="2522"/>
      <c r="UGQ211" s="2522"/>
      <c r="UGR211" s="2522"/>
      <c r="UGS211" s="2522"/>
      <c r="UGT211" s="2522"/>
      <c r="UGU211" s="2522"/>
      <c r="UGV211" s="2522"/>
      <c r="UGW211" s="2522"/>
      <c r="UGX211" s="2522"/>
      <c r="UGY211" s="2522"/>
      <c r="UGZ211" s="2522"/>
      <c r="UHA211" s="2522"/>
      <c r="UHB211" s="2522"/>
      <c r="UHC211" s="2522"/>
      <c r="UHD211" s="2522"/>
      <c r="UHE211" s="2522"/>
      <c r="UHF211" s="2522"/>
      <c r="UHG211" s="2522"/>
      <c r="UHH211" s="2522"/>
      <c r="UHI211" s="2522"/>
      <c r="UHJ211" s="2522"/>
      <c r="UHK211" s="2522"/>
      <c r="UHL211" s="2522"/>
      <c r="UHM211" s="2522"/>
      <c r="UHN211" s="2522"/>
      <c r="UHO211" s="2522"/>
      <c r="UHP211" s="2522"/>
      <c r="UHQ211" s="2522"/>
      <c r="UHR211" s="2522"/>
      <c r="UHS211" s="2522"/>
      <c r="UHT211" s="2522"/>
      <c r="UHU211" s="2522"/>
      <c r="UHV211" s="2522"/>
      <c r="UHW211" s="2522"/>
      <c r="UHX211" s="2522"/>
      <c r="UHY211" s="2522"/>
      <c r="UHZ211" s="2522"/>
      <c r="UIA211" s="2522"/>
      <c r="UIB211" s="2522"/>
      <c r="UIC211" s="2522"/>
      <c r="UID211" s="2522"/>
      <c r="UIE211" s="2522"/>
      <c r="UIF211" s="2522"/>
      <c r="UIG211" s="2522"/>
      <c r="UIH211" s="2522"/>
      <c r="UII211" s="2522"/>
      <c r="UIJ211" s="2522"/>
      <c r="UIK211" s="2522"/>
      <c r="UIL211" s="2522"/>
      <c r="UIM211" s="2522"/>
      <c r="UIN211" s="2522"/>
      <c r="UIO211" s="2522"/>
      <c r="UIP211" s="2522"/>
      <c r="UIQ211" s="2522"/>
      <c r="UIR211" s="2522"/>
      <c r="UIS211" s="2522"/>
      <c r="UIT211" s="2522"/>
      <c r="UIU211" s="2522"/>
      <c r="UIV211" s="2522"/>
      <c r="UIW211" s="2522"/>
      <c r="UIX211" s="2522"/>
      <c r="UIY211" s="2522"/>
      <c r="UIZ211" s="2522"/>
      <c r="UJA211" s="2522"/>
      <c r="UJB211" s="2522"/>
      <c r="UJC211" s="2522"/>
      <c r="UJD211" s="2522"/>
      <c r="UJE211" s="2522"/>
      <c r="UJF211" s="2522"/>
      <c r="UJG211" s="2522"/>
      <c r="UJH211" s="2522"/>
      <c r="UJI211" s="2522"/>
      <c r="UJJ211" s="2522"/>
      <c r="UJK211" s="2522"/>
      <c r="UJL211" s="2522"/>
      <c r="UJM211" s="2522"/>
      <c r="UJN211" s="2522"/>
      <c r="UJO211" s="2522"/>
      <c r="UJP211" s="2522"/>
      <c r="UJQ211" s="2522"/>
      <c r="UJR211" s="2522"/>
      <c r="UJS211" s="2522"/>
      <c r="UJT211" s="2522"/>
      <c r="UJU211" s="2522"/>
      <c r="UJV211" s="2522"/>
      <c r="UJW211" s="2522"/>
      <c r="UJX211" s="2522"/>
      <c r="UJY211" s="2522"/>
      <c r="UJZ211" s="2522"/>
      <c r="UKA211" s="2522"/>
      <c r="UKB211" s="2522"/>
      <c r="UKC211" s="2522"/>
      <c r="UKD211" s="2522"/>
      <c r="UKE211" s="2522"/>
      <c r="UKF211" s="2522"/>
      <c r="UKG211" s="2522"/>
      <c r="UKH211" s="2522"/>
      <c r="UKI211" s="2522"/>
      <c r="UKJ211" s="2522"/>
      <c r="UKK211" s="2522"/>
      <c r="UKL211" s="2522"/>
      <c r="UKM211" s="2522"/>
      <c r="UKN211" s="2522"/>
      <c r="UKO211" s="2522"/>
      <c r="UKP211" s="2522"/>
      <c r="UKQ211" s="2522"/>
      <c r="UKR211" s="2522"/>
      <c r="UKS211" s="2522"/>
      <c r="UKT211" s="2522"/>
      <c r="UKU211" s="2522"/>
      <c r="UKV211" s="2522"/>
      <c r="UKW211" s="2522"/>
      <c r="UKX211" s="2522"/>
      <c r="UKY211" s="2522"/>
      <c r="UKZ211" s="2522"/>
      <c r="ULA211" s="2522"/>
      <c r="ULB211" s="2522"/>
      <c r="ULC211" s="2522"/>
      <c r="ULD211" s="2522"/>
      <c r="ULE211" s="2522"/>
      <c r="ULF211" s="2522"/>
      <c r="ULG211" s="2522"/>
      <c r="ULH211" s="2522"/>
      <c r="ULI211" s="2522"/>
      <c r="ULJ211" s="2522"/>
      <c r="ULK211" s="2522"/>
      <c r="ULL211" s="2522"/>
      <c r="ULM211" s="2522"/>
      <c r="ULN211" s="2522"/>
      <c r="ULO211" s="2522"/>
      <c r="ULP211" s="2522"/>
      <c r="ULQ211" s="2522"/>
      <c r="ULR211" s="2522"/>
      <c r="ULS211" s="2522"/>
      <c r="ULT211" s="2522"/>
      <c r="ULU211" s="2522"/>
      <c r="ULV211" s="2522"/>
      <c r="ULW211" s="2522"/>
      <c r="ULX211" s="2522"/>
      <c r="ULY211" s="2522"/>
      <c r="ULZ211" s="2522"/>
      <c r="UMA211" s="2522"/>
      <c r="UMB211" s="2522"/>
      <c r="UMC211" s="2522"/>
      <c r="UMD211" s="2522"/>
      <c r="UME211" s="2522"/>
      <c r="UMF211" s="2522"/>
      <c r="UMG211" s="2522"/>
      <c r="UMH211" s="2522"/>
      <c r="UMI211" s="2522"/>
      <c r="UMJ211" s="2522"/>
      <c r="UMK211" s="2522"/>
      <c r="UML211" s="2522"/>
      <c r="UMM211" s="2522"/>
      <c r="UMN211" s="2522"/>
      <c r="UMO211" s="2522"/>
      <c r="UMP211" s="2522"/>
      <c r="UMQ211" s="2522"/>
      <c r="UMR211" s="2522"/>
      <c r="UMS211" s="2522"/>
      <c r="UMT211" s="2522"/>
      <c r="UMU211" s="2522"/>
      <c r="UMV211" s="2522"/>
      <c r="UMW211" s="2522"/>
      <c r="UMX211" s="2522"/>
      <c r="UMY211" s="2522"/>
      <c r="UMZ211" s="2522"/>
      <c r="UNA211" s="2522"/>
      <c r="UNB211" s="2522"/>
      <c r="UNC211" s="2522"/>
      <c r="UND211" s="2522"/>
      <c r="UNE211" s="2522"/>
      <c r="UNF211" s="2522"/>
      <c r="UNG211" s="2522"/>
      <c r="UNH211" s="2522"/>
      <c r="UNI211" s="2522"/>
      <c r="UNJ211" s="2522"/>
      <c r="UNK211" s="2522"/>
      <c r="UNL211" s="2522"/>
      <c r="UNM211" s="2522"/>
      <c r="UNN211" s="2522"/>
      <c r="UNO211" s="2522"/>
      <c r="UNP211" s="2522"/>
      <c r="UNQ211" s="2522"/>
      <c r="UNR211" s="2522"/>
      <c r="UNS211" s="2522"/>
      <c r="UNT211" s="2522"/>
      <c r="UNU211" s="2522"/>
      <c r="UNV211" s="2522"/>
      <c r="UNW211" s="2522"/>
      <c r="UNX211" s="2522"/>
      <c r="UNY211" s="2522"/>
      <c r="UNZ211" s="2522"/>
      <c r="UOA211" s="2522"/>
      <c r="UOB211" s="2522"/>
      <c r="UOC211" s="2522"/>
      <c r="UOD211" s="2522"/>
      <c r="UOE211" s="2522"/>
      <c r="UOF211" s="2522"/>
      <c r="UOG211" s="2522"/>
      <c r="UOH211" s="2522"/>
      <c r="UOI211" s="2522"/>
      <c r="UOJ211" s="2522"/>
      <c r="UOK211" s="2522"/>
      <c r="UOL211" s="2522"/>
      <c r="UOM211" s="2522"/>
      <c r="UON211" s="2522"/>
      <c r="UOO211" s="2522"/>
      <c r="UOP211" s="2522"/>
      <c r="UOQ211" s="2522"/>
      <c r="UOR211" s="2522"/>
      <c r="UOS211" s="2522"/>
      <c r="UOT211" s="2522"/>
      <c r="UOU211" s="2522"/>
      <c r="UOV211" s="2522"/>
      <c r="UOW211" s="2522"/>
      <c r="UOX211" s="2522"/>
      <c r="UOY211" s="2522"/>
      <c r="UOZ211" s="2522"/>
      <c r="UPA211" s="2522"/>
      <c r="UPB211" s="2522"/>
      <c r="UPC211" s="2522"/>
      <c r="UPD211" s="2522"/>
      <c r="UPE211" s="2522"/>
      <c r="UPF211" s="2522"/>
      <c r="UPG211" s="2522"/>
      <c r="UPH211" s="2522"/>
      <c r="UPI211" s="2522"/>
      <c r="UPJ211" s="2522"/>
      <c r="UPK211" s="2522"/>
      <c r="UPL211" s="2522"/>
      <c r="UPM211" s="2522"/>
      <c r="UPN211" s="2522"/>
      <c r="UPO211" s="2522"/>
      <c r="UPP211" s="2522"/>
      <c r="UPQ211" s="2522"/>
      <c r="UPR211" s="2522"/>
      <c r="UPS211" s="2522"/>
      <c r="UPT211" s="2522"/>
      <c r="UPU211" s="2522"/>
      <c r="UPV211" s="2522"/>
      <c r="UPW211" s="2522"/>
      <c r="UPX211" s="2522"/>
      <c r="UPY211" s="2522"/>
      <c r="UPZ211" s="2522"/>
      <c r="UQA211" s="2522"/>
      <c r="UQB211" s="2522"/>
      <c r="UQC211" s="2522"/>
      <c r="UQD211" s="2522"/>
      <c r="UQE211" s="2522"/>
      <c r="UQF211" s="2522"/>
      <c r="UQG211" s="2522"/>
      <c r="UQH211" s="2522"/>
      <c r="UQI211" s="2522"/>
      <c r="UQJ211" s="2522"/>
      <c r="UQK211" s="2522"/>
      <c r="UQL211" s="2522"/>
      <c r="UQM211" s="2522"/>
      <c r="UQN211" s="2522"/>
      <c r="UQO211" s="2522"/>
      <c r="UQP211" s="2522"/>
      <c r="UQQ211" s="2522"/>
      <c r="UQR211" s="2522"/>
      <c r="UQS211" s="2522"/>
      <c r="UQT211" s="2522"/>
      <c r="UQU211" s="2522"/>
      <c r="UQV211" s="2522"/>
      <c r="UQW211" s="2522"/>
      <c r="UQX211" s="2522"/>
      <c r="UQY211" s="2522"/>
      <c r="UQZ211" s="2522"/>
      <c r="URA211" s="2522"/>
      <c r="URB211" s="2522"/>
      <c r="URC211" s="2522"/>
      <c r="URD211" s="2522"/>
      <c r="URE211" s="2522"/>
      <c r="URF211" s="2522"/>
      <c r="URG211" s="2522"/>
      <c r="URH211" s="2522"/>
      <c r="URI211" s="2522"/>
      <c r="URJ211" s="2522"/>
      <c r="URK211" s="2522"/>
      <c r="URL211" s="2522"/>
      <c r="URM211" s="2522"/>
      <c r="URN211" s="2522"/>
      <c r="URO211" s="2522"/>
      <c r="URP211" s="2522"/>
      <c r="URQ211" s="2522"/>
      <c r="URR211" s="2522"/>
      <c r="URS211" s="2522"/>
      <c r="URT211" s="2522"/>
      <c r="URU211" s="2522"/>
      <c r="URV211" s="2522"/>
      <c r="URW211" s="2522"/>
      <c r="URX211" s="2522"/>
      <c r="URY211" s="2522"/>
      <c r="URZ211" s="2522"/>
      <c r="USA211" s="2522"/>
      <c r="USB211" s="2522"/>
      <c r="USC211" s="2522"/>
      <c r="USD211" s="2522"/>
      <c r="USE211" s="2522"/>
      <c r="USF211" s="2522"/>
      <c r="USG211" s="2522"/>
      <c r="USH211" s="2522"/>
      <c r="USI211" s="2522"/>
      <c r="USJ211" s="2522"/>
      <c r="USK211" s="2522"/>
      <c r="USL211" s="2522"/>
      <c r="USM211" s="2522"/>
      <c r="USN211" s="2522"/>
      <c r="USO211" s="2522"/>
      <c r="USP211" s="2522"/>
      <c r="USQ211" s="2522"/>
      <c r="USR211" s="2522"/>
      <c r="USS211" s="2522"/>
      <c r="UST211" s="2522"/>
      <c r="USU211" s="2522"/>
      <c r="USV211" s="2522"/>
      <c r="USW211" s="2522"/>
      <c r="USX211" s="2522"/>
      <c r="USY211" s="2522"/>
      <c r="USZ211" s="2522"/>
      <c r="UTA211" s="2522"/>
      <c r="UTB211" s="2522"/>
      <c r="UTC211" s="2522"/>
      <c r="UTD211" s="2522"/>
      <c r="UTE211" s="2522"/>
      <c r="UTF211" s="2522"/>
      <c r="UTG211" s="2522"/>
      <c r="UTH211" s="2522"/>
      <c r="UTI211" s="2522"/>
      <c r="UTJ211" s="2522"/>
      <c r="UTK211" s="2522"/>
      <c r="UTL211" s="2522"/>
      <c r="UTM211" s="2522"/>
      <c r="UTN211" s="2522"/>
      <c r="UTO211" s="2522"/>
      <c r="UTP211" s="2522"/>
      <c r="UTQ211" s="2522"/>
      <c r="UTR211" s="2522"/>
      <c r="UTS211" s="2522"/>
      <c r="UTT211" s="2522"/>
      <c r="UTU211" s="2522"/>
      <c r="UTV211" s="2522"/>
      <c r="UTW211" s="2522"/>
      <c r="UTX211" s="2522"/>
      <c r="UTY211" s="2522"/>
      <c r="UTZ211" s="2522"/>
      <c r="UUA211" s="2522"/>
      <c r="UUB211" s="2522"/>
      <c r="UUC211" s="2522"/>
      <c r="UUD211" s="2522"/>
      <c r="UUE211" s="2522"/>
      <c r="UUF211" s="2522"/>
      <c r="UUG211" s="2522"/>
      <c r="UUH211" s="2522"/>
      <c r="UUI211" s="2522"/>
      <c r="UUJ211" s="2522"/>
      <c r="UUK211" s="2522"/>
      <c r="UUL211" s="2522"/>
      <c r="UUM211" s="2522"/>
      <c r="UUN211" s="2522"/>
      <c r="UUO211" s="2522"/>
      <c r="UUP211" s="2522"/>
      <c r="UUQ211" s="2522"/>
      <c r="UUR211" s="2522"/>
      <c r="UUS211" s="2522"/>
      <c r="UUT211" s="2522"/>
      <c r="UUU211" s="2522"/>
      <c r="UUV211" s="2522"/>
      <c r="UUW211" s="2522"/>
      <c r="UUX211" s="2522"/>
      <c r="UUY211" s="2522"/>
      <c r="UUZ211" s="2522"/>
      <c r="UVA211" s="2522"/>
      <c r="UVB211" s="2522"/>
      <c r="UVC211" s="2522"/>
      <c r="UVD211" s="2522"/>
      <c r="UVE211" s="2522"/>
      <c r="UVF211" s="2522"/>
      <c r="UVG211" s="2522"/>
      <c r="UVH211" s="2522"/>
      <c r="UVI211" s="2522"/>
      <c r="UVJ211" s="2522"/>
      <c r="UVK211" s="2522"/>
      <c r="UVL211" s="2522"/>
      <c r="UVM211" s="2522"/>
      <c r="UVN211" s="2522"/>
      <c r="UVO211" s="2522"/>
      <c r="UVP211" s="2522"/>
      <c r="UVQ211" s="2522"/>
      <c r="UVR211" s="2522"/>
      <c r="UVS211" s="2522"/>
      <c r="UVT211" s="2522"/>
      <c r="UVU211" s="2522"/>
      <c r="UVV211" s="2522"/>
      <c r="UVW211" s="2522"/>
      <c r="UVX211" s="2522"/>
      <c r="UVY211" s="2522"/>
      <c r="UVZ211" s="2522"/>
      <c r="UWA211" s="2522"/>
      <c r="UWB211" s="2522"/>
      <c r="UWC211" s="2522"/>
      <c r="UWD211" s="2522"/>
      <c r="UWE211" s="2522"/>
      <c r="UWF211" s="2522"/>
      <c r="UWG211" s="2522"/>
      <c r="UWH211" s="2522"/>
      <c r="UWI211" s="2522"/>
      <c r="UWJ211" s="2522"/>
      <c r="UWK211" s="2522"/>
      <c r="UWL211" s="2522"/>
      <c r="UWM211" s="2522"/>
      <c r="UWN211" s="2522"/>
      <c r="UWO211" s="2522"/>
      <c r="UWP211" s="2522"/>
      <c r="UWQ211" s="2522"/>
      <c r="UWR211" s="2522"/>
      <c r="UWS211" s="2522"/>
      <c r="UWT211" s="2522"/>
      <c r="UWU211" s="2522"/>
      <c r="UWV211" s="2522"/>
      <c r="UWW211" s="2522"/>
      <c r="UWX211" s="2522"/>
      <c r="UWY211" s="2522"/>
      <c r="UWZ211" s="2522"/>
      <c r="UXA211" s="2522"/>
      <c r="UXB211" s="2522"/>
      <c r="UXC211" s="2522"/>
      <c r="UXD211" s="2522"/>
      <c r="UXE211" s="2522"/>
      <c r="UXF211" s="2522"/>
      <c r="UXG211" s="2522"/>
      <c r="UXH211" s="2522"/>
      <c r="UXI211" s="2522"/>
      <c r="UXJ211" s="2522"/>
      <c r="UXK211" s="2522"/>
      <c r="UXL211" s="2522"/>
      <c r="UXM211" s="2522"/>
      <c r="UXN211" s="2522"/>
      <c r="UXO211" s="2522"/>
      <c r="UXP211" s="2522"/>
      <c r="UXQ211" s="2522"/>
      <c r="UXR211" s="2522"/>
      <c r="UXS211" s="2522"/>
      <c r="UXT211" s="2522"/>
      <c r="UXU211" s="2522"/>
      <c r="UXV211" s="2522"/>
      <c r="UXW211" s="2522"/>
      <c r="UXX211" s="2522"/>
      <c r="UXY211" s="2522"/>
      <c r="UXZ211" s="2522"/>
      <c r="UYA211" s="2522"/>
      <c r="UYB211" s="2522"/>
      <c r="UYC211" s="2522"/>
      <c r="UYD211" s="2522"/>
      <c r="UYE211" s="2522"/>
      <c r="UYF211" s="2522"/>
      <c r="UYG211" s="2522"/>
      <c r="UYH211" s="2522"/>
      <c r="UYI211" s="2522"/>
      <c r="UYJ211" s="2522"/>
      <c r="UYK211" s="2522"/>
      <c r="UYL211" s="2522"/>
      <c r="UYM211" s="2522"/>
      <c r="UYN211" s="2522"/>
      <c r="UYO211" s="2522"/>
      <c r="UYP211" s="2522"/>
      <c r="UYQ211" s="2522"/>
      <c r="UYR211" s="2522"/>
      <c r="UYS211" s="2522"/>
      <c r="UYT211" s="2522"/>
      <c r="UYU211" s="2522"/>
      <c r="UYV211" s="2522"/>
      <c r="UYW211" s="2522"/>
      <c r="UYX211" s="2522"/>
      <c r="UYY211" s="2522"/>
      <c r="UYZ211" s="2522"/>
      <c r="UZA211" s="2522"/>
      <c r="UZB211" s="2522"/>
      <c r="UZC211" s="2522"/>
      <c r="UZD211" s="2522"/>
      <c r="UZE211" s="2522"/>
      <c r="UZF211" s="2522"/>
      <c r="UZG211" s="2522"/>
      <c r="UZH211" s="2522"/>
      <c r="UZI211" s="2522"/>
      <c r="UZJ211" s="2522"/>
      <c r="UZK211" s="2522"/>
      <c r="UZL211" s="2522"/>
      <c r="UZM211" s="2522"/>
      <c r="UZN211" s="2522"/>
      <c r="UZO211" s="2522"/>
      <c r="UZP211" s="2522"/>
      <c r="UZQ211" s="2522"/>
      <c r="UZR211" s="2522"/>
      <c r="UZS211" s="2522"/>
      <c r="UZT211" s="2522"/>
      <c r="UZU211" s="2522"/>
      <c r="UZV211" s="2522"/>
      <c r="UZW211" s="2522"/>
      <c r="UZX211" s="2522"/>
      <c r="UZY211" s="2522"/>
      <c r="UZZ211" s="2522"/>
      <c r="VAA211" s="2522"/>
      <c r="VAB211" s="2522"/>
      <c r="VAC211" s="2522"/>
      <c r="VAD211" s="2522"/>
      <c r="VAE211" s="2522"/>
      <c r="VAF211" s="2522"/>
      <c r="VAG211" s="2522"/>
      <c r="VAH211" s="2522"/>
      <c r="VAI211" s="2522"/>
      <c r="VAJ211" s="2522"/>
      <c r="VAK211" s="2522"/>
      <c r="VAL211" s="2522"/>
      <c r="VAM211" s="2522"/>
      <c r="VAN211" s="2522"/>
      <c r="VAO211" s="2522"/>
      <c r="VAP211" s="2522"/>
      <c r="VAQ211" s="2522"/>
      <c r="VAR211" s="2522"/>
      <c r="VAS211" s="2522"/>
      <c r="VAT211" s="2522"/>
      <c r="VAU211" s="2522"/>
      <c r="VAV211" s="2522"/>
      <c r="VAW211" s="2522"/>
      <c r="VAX211" s="2522"/>
      <c r="VAY211" s="2522"/>
      <c r="VAZ211" s="2522"/>
      <c r="VBA211" s="2522"/>
      <c r="VBB211" s="2522"/>
      <c r="VBC211" s="2522"/>
      <c r="VBD211" s="2522"/>
      <c r="VBE211" s="2522"/>
      <c r="VBF211" s="2522"/>
      <c r="VBG211" s="2522"/>
      <c r="VBH211" s="2522"/>
      <c r="VBI211" s="2522"/>
      <c r="VBJ211" s="2522"/>
      <c r="VBK211" s="2522"/>
      <c r="VBL211" s="2522"/>
      <c r="VBM211" s="2522"/>
      <c r="VBN211" s="2522"/>
      <c r="VBO211" s="2522"/>
      <c r="VBP211" s="2522"/>
      <c r="VBQ211" s="2522"/>
      <c r="VBR211" s="2522"/>
      <c r="VBS211" s="2522"/>
      <c r="VBT211" s="2522"/>
      <c r="VBU211" s="2522"/>
      <c r="VBV211" s="2522"/>
      <c r="VBW211" s="2522"/>
      <c r="VBX211" s="2522"/>
      <c r="VBY211" s="2522"/>
      <c r="VBZ211" s="2522"/>
      <c r="VCA211" s="2522"/>
      <c r="VCB211" s="2522"/>
      <c r="VCC211" s="2522"/>
      <c r="VCD211" s="2522"/>
      <c r="VCE211" s="2522"/>
      <c r="VCF211" s="2522"/>
      <c r="VCG211" s="2522"/>
      <c r="VCH211" s="2522"/>
      <c r="VCI211" s="2522"/>
      <c r="VCJ211" s="2522"/>
      <c r="VCK211" s="2522"/>
      <c r="VCL211" s="2522"/>
      <c r="VCM211" s="2522"/>
      <c r="VCN211" s="2522"/>
      <c r="VCO211" s="2522"/>
      <c r="VCP211" s="2522"/>
      <c r="VCQ211" s="2522"/>
      <c r="VCR211" s="2522"/>
      <c r="VCS211" s="2522"/>
      <c r="VCT211" s="2522"/>
      <c r="VCU211" s="2522"/>
      <c r="VCV211" s="2522"/>
      <c r="VCW211" s="2522"/>
      <c r="VCX211" s="2522"/>
      <c r="VCY211" s="2522"/>
      <c r="VCZ211" s="2522"/>
      <c r="VDA211" s="2522"/>
      <c r="VDB211" s="2522"/>
      <c r="VDC211" s="2522"/>
      <c r="VDD211" s="2522"/>
      <c r="VDE211" s="2522"/>
      <c r="VDF211" s="2522"/>
      <c r="VDG211" s="2522"/>
      <c r="VDH211" s="2522"/>
      <c r="VDI211" s="2522"/>
      <c r="VDJ211" s="2522"/>
      <c r="VDK211" s="2522"/>
      <c r="VDL211" s="2522"/>
      <c r="VDM211" s="2522"/>
      <c r="VDN211" s="2522"/>
      <c r="VDO211" s="2522"/>
      <c r="VDP211" s="2522"/>
      <c r="VDQ211" s="2522"/>
      <c r="VDR211" s="2522"/>
      <c r="VDS211" s="2522"/>
      <c r="VDT211" s="2522"/>
      <c r="VDU211" s="2522"/>
      <c r="VDV211" s="2522"/>
      <c r="VDW211" s="2522"/>
      <c r="VDX211" s="2522"/>
      <c r="VDY211" s="2522"/>
      <c r="VDZ211" s="2522"/>
      <c r="VEA211" s="2522"/>
      <c r="VEB211" s="2522"/>
      <c r="VEC211" s="2522"/>
      <c r="VED211" s="2522"/>
      <c r="VEE211" s="2522"/>
      <c r="VEF211" s="2522"/>
      <c r="VEG211" s="2522"/>
      <c r="VEH211" s="2522"/>
      <c r="VEI211" s="2522"/>
      <c r="VEJ211" s="2522"/>
      <c r="VEK211" s="2522"/>
      <c r="VEL211" s="2522"/>
      <c r="VEM211" s="2522"/>
      <c r="VEN211" s="2522"/>
      <c r="VEO211" s="2522"/>
      <c r="VEP211" s="2522"/>
      <c r="VEQ211" s="2522"/>
      <c r="VER211" s="2522"/>
      <c r="VES211" s="2522"/>
      <c r="VET211" s="2522"/>
      <c r="VEU211" s="2522"/>
      <c r="VEV211" s="2522"/>
      <c r="VEW211" s="2522"/>
      <c r="VEX211" s="2522"/>
      <c r="VEY211" s="2522"/>
      <c r="VEZ211" s="2522"/>
      <c r="VFA211" s="2522"/>
      <c r="VFB211" s="2522"/>
      <c r="VFC211" s="2522"/>
      <c r="VFD211" s="2522"/>
      <c r="VFE211" s="2522"/>
      <c r="VFF211" s="2522"/>
      <c r="VFG211" s="2522"/>
      <c r="VFH211" s="2522"/>
      <c r="VFI211" s="2522"/>
      <c r="VFJ211" s="2522"/>
      <c r="VFK211" s="2522"/>
      <c r="VFL211" s="2522"/>
      <c r="VFM211" s="2522"/>
      <c r="VFN211" s="2522"/>
      <c r="VFO211" s="2522"/>
      <c r="VFP211" s="2522"/>
      <c r="VFQ211" s="2522"/>
      <c r="VFR211" s="2522"/>
      <c r="VFS211" s="2522"/>
      <c r="VFT211" s="2522"/>
      <c r="VFU211" s="2522"/>
      <c r="VFV211" s="2522"/>
      <c r="VFW211" s="2522"/>
      <c r="VFX211" s="2522"/>
      <c r="VFY211" s="2522"/>
      <c r="VFZ211" s="2522"/>
      <c r="VGA211" s="2522"/>
      <c r="VGB211" s="2522"/>
      <c r="VGC211" s="2522"/>
      <c r="VGD211" s="2522"/>
      <c r="VGE211" s="2522"/>
      <c r="VGF211" s="2522"/>
      <c r="VGG211" s="2522"/>
      <c r="VGH211" s="2522"/>
      <c r="VGI211" s="2522"/>
      <c r="VGJ211" s="2522"/>
      <c r="VGK211" s="2522"/>
      <c r="VGL211" s="2522"/>
      <c r="VGM211" s="2522"/>
      <c r="VGN211" s="2522"/>
      <c r="VGO211" s="2522"/>
      <c r="VGP211" s="2522"/>
      <c r="VGQ211" s="2522"/>
      <c r="VGR211" s="2522"/>
      <c r="VGS211" s="2522"/>
      <c r="VGT211" s="2522"/>
      <c r="VGU211" s="2522"/>
      <c r="VGV211" s="2522"/>
      <c r="VGW211" s="2522"/>
      <c r="VGX211" s="2522"/>
      <c r="VGY211" s="2522"/>
      <c r="VGZ211" s="2522"/>
      <c r="VHA211" s="2522"/>
      <c r="VHB211" s="2522"/>
      <c r="VHC211" s="2522"/>
      <c r="VHD211" s="2522"/>
      <c r="VHE211" s="2522"/>
      <c r="VHF211" s="2522"/>
      <c r="VHG211" s="2522"/>
      <c r="VHH211" s="2522"/>
      <c r="VHI211" s="2522"/>
      <c r="VHJ211" s="2522"/>
      <c r="VHK211" s="2522"/>
      <c r="VHL211" s="2522"/>
      <c r="VHM211" s="2522"/>
      <c r="VHN211" s="2522"/>
      <c r="VHO211" s="2522"/>
      <c r="VHP211" s="2522"/>
      <c r="VHQ211" s="2522"/>
      <c r="VHR211" s="2522"/>
      <c r="VHS211" s="2522"/>
      <c r="VHT211" s="2522"/>
      <c r="VHU211" s="2522"/>
      <c r="VHV211" s="2522"/>
      <c r="VHW211" s="2522"/>
      <c r="VHX211" s="2522"/>
      <c r="VHY211" s="2522"/>
      <c r="VHZ211" s="2522"/>
      <c r="VIA211" s="2522"/>
      <c r="VIB211" s="2522"/>
      <c r="VIC211" s="2522"/>
      <c r="VID211" s="2522"/>
      <c r="VIE211" s="2522"/>
      <c r="VIF211" s="2522"/>
      <c r="VIG211" s="2522"/>
      <c r="VIH211" s="2522"/>
      <c r="VII211" s="2522"/>
      <c r="VIJ211" s="2522"/>
      <c r="VIK211" s="2522"/>
      <c r="VIL211" s="2522"/>
      <c r="VIM211" s="2522"/>
      <c r="VIN211" s="2522"/>
      <c r="VIO211" s="2522"/>
      <c r="VIP211" s="2522"/>
      <c r="VIQ211" s="2522"/>
      <c r="VIR211" s="2522"/>
      <c r="VIS211" s="2522"/>
      <c r="VIT211" s="2522"/>
      <c r="VIU211" s="2522"/>
      <c r="VIV211" s="2522"/>
      <c r="VIW211" s="2522"/>
      <c r="VIX211" s="2522"/>
      <c r="VIY211" s="2522"/>
      <c r="VIZ211" s="2522"/>
      <c r="VJA211" s="2522"/>
      <c r="VJB211" s="2522"/>
      <c r="VJC211" s="2522"/>
      <c r="VJD211" s="2522"/>
      <c r="VJE211" s="2522"/>
      <c r="VJF211" s="2522"/>
      <c r="VJG211" s="2522"/>
      <c r="VJH211" s="2522"/>
      <c r="VJI211" s="2522"/>
      <c r="VJJ211" s="2522"/>
      <c r="VJK211" s="2522"/>
      <c r="VJL211" s="2522"/>
      <c r="VJM211" s="2522"/>
      <c r="VJN211" s="2522"/>
      <c r="VJO211" s="2522"/>
      <c r="VJP211" s="2522"/>
      <c r="VJQ211" s="2522"/>
      <c r="VJR211" s="2522"/>
      <c r="VJS211" s="2522"/>
      <c r="VJT211" s="2522"/>
      <c r="VJU211" s="2522"/>
      <c r="VJV211" s="2522"/>
      <c r="VJW211" s="2522"/>
      <c r="VJX211" s="2522"/>
      <c r="VJY211" s="2522"/>
      <c r="VJZ211" s="2522"/>
      <c r="VKA211" s="2522"/>
      <c r="VKB211" s="2522"/>
      <c r="VKC211" s="2522"/>
      <c r="VKD211" s="2522"/>
      <c r="VKE211" s="2522"/>
      <c r="VKF211" s="2522"/>
      <c r="VKG211" s="2522"/>
      <c r="VKH211" s="2522"/>
      <c r="VKI211" s="2522"/>
      <c r="VKJ211" s="2522"/>
      <c r="VKK211" s="2522"/>
      <c r="VKL211" s="2522"/>
      <c r="VKM211" s="2522"/>
      <c r="VKN211" s="2522"/>
      <c r="VKO211" s="2522"/>
      <c r="VKP211" s="2522"/>
      <c r="VKQ211" s="2522"/>
      <c r="VKR211" s="2522"/>
      <c r="VKS211" s="2522"/>
      <c r="VKT211" s="2522"/>
      <c r="VKU211" s="2522"/>
      <c r="VKV211" s="2522"/>
      <c r="VKW211" s="2522"/>
      <c r="VKX211" s="2522"/>
      <c r="VKY211" s="2522"/>
      <c r="VKZ211" s="2522"/>
      <c r="VLA211" s="2522"/>
      <c r="VLB211" s="2522"/>
      <c r="VLC211" s="2522"/>
      <c r="VLD211" s="2522"/>
      <c r="VLE211" s="2522"/>
      <c r="VLF211" s="2522"/>
      <c r="VLG211" s="2522"/>
      <c r="VLH211" s="2522"/>
      <c r="VLI211" s="2522"/>
      <c r="VLJ211" s="2522"/>
      <c r="VLK211" s="2522"/>
      <c r="VLL211" s="2522"/>
      <c r="VLM211" s="2522"/>
      <c r="VLN211" s="2522"/>
      <c r="VLO211" s="2522"/>
      <c r="VLP211" s="2522"/>
      <c r="VLQ211" s="2522"/>
      <c r="VLR211" s="2522"/>
      <c r="VLS211" s="2522"/>
      <c r="VLT211" s="2522"/>
      <c r="VLU211" s="2522"/>
      <c r="VLV211" s="2522"/>
      <c r="VLW211" s="2522"/>
      <c r="VLX211" s="2522"/>
      <c r="VLY211" s="2522"/>
      <c r="VLZ211" s="2522"/>
      <c r="VMA211" s="2522"/>
      <c r="VMB211" s="2522"/>
      <c r="VMC211" s="2522"/>
      <c r="VMD211" s="2522"/>
      <c r="VME211" s="2522"/>
      <c r="VMF211" s="2522"/>
      <c r="VMG211" s="2522"/>
      <c r="VMH211" s="2522"/>
      <c r="VMI211" s="2522"/>
      <c r="VMJ211" s="2522"/>
      <c r="VMK211" s="2522"/>
      <c r="VML211" s="2522"/>
      <c r="VMM211" s="2522"/>
      <c r="VMN211" s="2522"/>
      <c r="VMO211" s="2522"/>
      <c r="VMP211" s="2522"/>
      <c r="VMQ211" s="2522"/>
      <c r="VMR211" s="2522"/>
      <c r="VMS211" s="2522"/>
      <c r="VMT211" s="2522"/>
      <c r="VMU211" s="2522"/>
      <c r="VMV211" s="2522"/>
      <c r="VMW211" s="2522"/>
      <c r="VMX211" s="2522"/>
      <c r="VMY211" s="2522"/>
      <c r="VMZ211" s="2522"/>
      <c r="VNA211" s="2522"/>
      <c r="VNB211" s="2522"/>
      <c r="VNC211" s="2522"/>
      <c r="VND211" s="2522"/>
      <c r="VNE211" s="2522"/>
      <c r="VNF211" s="2522"/>
      <c r="VNG211" s="2522"/>
      <c r="VNH211" s="2522"/>
      <c r="VNI211" s="2522"/>
      <c r="VNJ211" s="2522"/>
      <c r="VNK211" s="2522"/>
      <c r="VNL211" s="2522"/>
      <c r="VNM211" s="2522"/>
      <c r="VNN211" s="2522"/>
      <c r="VNO211" s="2522"/>
      <c r="VNP211" s="2522"/>
      <c r="VNQ211" s="2522"/>
      <c r="VNR211" s="2522"/>
      <c r="VNS211" s="2522"/>
      <c r="VNT211" s="2522"/>
      <c r="VNU211" s="2522"/>
      <c r="VNV211" s="2522"/>
      <c r="VNW211" s="2522"/>
      <c r="VNX211" s="2522"/>
      <c r="VNY211" s="2522"/>
      <c r="VNZ211" s="2522"/>
      <c r="VOA211" s="2522"/>
      <c r="VOB211" s="2522"/>
      <c r="VOC211" s="2522"/>
      <c r="VOD211" s="2522"/>
      <c r="VOE211" s="2522"/>
      <c r="VOF211" s="2522"/>
      <c r="VOG211" s="2522"/>
      <c r="VOH211" s="2522"/>
      <c r="VOI211" s="2522"/>
      <c r="VOJ211" s="2522"/>
      <c r="VOK211" s="2522"/>
      <c r="VOL211" s="2522"/>
      <c r="VOM211" s="2522"/>
      <c r="VON211" s="2522"/>
      <c r="VOO211" s="2522"/>
      <c r="VOP211" s="2522"/>
      <c r="VOQ211" s="2522"/>
      <c r="VOR211" s="2522"/>
      <c r="VOS211" s="2522"/>
      <c r="VOT211" s="2522"/>
      <c r="VOU211" s="2522"/>
      <c r="VOV211" s="2522"/>
      <c r="VOW211" s="2522"/>
      <c r="VOX211" s="2522"/>
      <c r="VOY211" s="2522"/>
      <c r="VOZ211" s="2522"/>
      <c r="VPA211" s="2522"/>
      <c r="VPB211" s="2522"/>
      <c r="VPC211" s="2522"/>
      <c r="VPD211" s="2522"/>
      <c r="VPE211" s="2522"/>
      <c r="VPF211" s="2522"/>
      <c r="VPG211" s="2522"/>
      <c r="VPH211" s="2522"/>
      <c r="VPI211" s="2522"/>
      <c r="VPJ211" s="2522"/>
      <c r="VPK211" s="2522"/>
      <c r="VPL211" s="2522"/>
      <c r="VPM211" s="2522"/>
      <c r="VPN211" s="2522"/>
      <c r="VPO211" s="2522"/>
      <c r="VPP211" s="2522"/>
      <c r="VPQ211" s="2522"/>
      <c r="VPR211" s="2522"/>
      <c r="VPS211" s="2522"/>
      <c r="VPT211" s="2522"/>
      <c r="VPU211" s="2522"/>
      <c r="VPV211" s="2522"/>
      <c r="VPW211" s="2522"/>
      <c r="VPX211" s="2522"/>
      <c r="VPY211" s="2522"/>
      <c r="VPZ211" s="2522"/>
      <c r="VQA211" s="2522"/>
      <c r="VQB211" s="2522"/>
      <c r="VQC211" s="2522"/>
      <c r="VQD211" s="2522"/>
      <c r="VQE211" s="2522"/>
      <c r="VQF211" s="2522"/>
      <c r="VQG211" s="2522"/>
      <c r="VQH211" s="2522"/>
      <c r="VQI211" s="2522"/>
      <c r="VQJ211" s="2522"/>
      <c r="VQK211" s="2522"/>
      <c r="VQL211" s="2522"/>
      <c r="VQM211" s="2522"/>
      <c r="VQN211" s="2522"/>
      <c r="VQO211" s="2522"/>
      <c r="VQP211" s="2522"/>
      <c r="VQQ211" s="2522"/>
      <c r="VQR211" s="2522"/>
      <c r="VQS211" s="2522"/>
      <c r="VQT211" s="2522"/>
      <c r="VQU211" s="2522"/>
      <c r="VQV211" s="2522"/>
      <c r="VQW211" s="2522"/>
      <c r="VQX211" s="2522"/>
      <c r="VQY211" s="2522"/>
      <c r="VQZ211" s="2522"/>
      <c r="VRA211" s="2522"/>
      <c r="VRB211" s="2522"/>
      <c r="VRC211" s="2522"/>
      <c r="VRD211" s="2522"/>
      <c r="VRE211" s="2522"/>
      <c r="VRF211" s="2522"/>
      <c r="VRG211" s="2522"/>
      <c r="VRH211" s="2522"/>
      <c r="VRI211" s="2522"/>
      <c r="VRJ211" s="2522"/>
      <c r="VRK211" s="2522"/>
      <c r="VRL211" s="2522"/>
      <c r="VRM211" s="2522"/>
      <c r="VRN211" s="2522"/>
      <c r="VRO211" s="2522"/>
      <c r="VRP211" s="2522"/>
      <c r="VRQ211" s="2522"/>
      <c r="VRR211" s="2522"/>
      <c r="VRS211" s="2522"/>
      <c r="VRT211" s="2522"/>
      <c r="VRU211" s="2522"/>
      <c r="VRV211" s="2522"/>
      <c r="VRW211" s="2522"/>
      <c r="VRX211" s="2522"/>
      <c r="VRY211" s="2522"/>
      <c r="VRZ211" s="2522"/>
      <c r="VSA211" s="2522"/>
      <c r="VSB211" s="2522"/>
      <c r="VSC211" s="2522"/>
      <c r="VSD211" s="2522"/>
      <c r="VSE211" s="2522"/>
      <c r="VSF211" s="2522"/>
      <c r="VSG211" s="2522"/>
      <c r="VSH211" s="2522"/>
      <c r="VSI211" s="2522"/>
      <c r="VSJ211" s="2522"/>
      <c r="VSK211" s="2522"/>
      <c r="VSL211" s="2522"/>
      <c r="VSM211" s="2522"/>
      <c r="VSN211" s="2522"/>
      <c r="VSO211" s="2522"/>
      <c r="VSP211" s="2522"/>
      <c r="VSQ211" s="2522"/>
      <c r="VSR211" s="2522"/>
      <c r="VSS211" s="2522"/>
      <c r="VST211" s="2522"/>
      <c r="VSU211" s="2522"/>
      <c r="VSV211" s="2522"/>
      <c r="VSW211" s="2522"/>
      <c r="VSX211" s="2522"/>
      <c r="VSY211" s="2522"/>
      <c r="VSZ211" s="2522"/>
      <c r="VTA211" s="2522"/>
      <c r="VTB211" s="2522"/>
      <c r="VTC211" s="2522"/>
      <c r="VTD211" s="2522"/>
      <c r="VTE211" s="2522"/>
      <c r="VTF211" s="2522"/>
      <c r="VTG211" s="2522"/>
      <c r="VTH211" s="2522"/>
      <c r="VTI211" s="2522"/>
      <c r="VTJ211" s="2522"/>
      <c r="VTK211" s="2522"/>
      <c r="VTL211" s="2522"/>
      <c r="VTM211" s="2522"/>
      <c r="VTN211" s="2522"/>
      <c r="VTO211" s="2522"/>
      <c r="VTP211" s="2522"/>
      <c r="VTQ211" s="2522"/>
      <c r="VTR211" s="2522"/>
      <c r="VTS211" s="2522"/>
      <c r="VTT211" s="2522"/>
      <c r="VTU211" s="2522"/>
      <c r="VTV211" s="2522"/>
      <c r="VTW211" s="2522"/>
      <c r="VTX211" s="2522"/>
      <c r="VTY211" s="2522"/>
      <c r="VTZ211" s="2522"/>
      <c r="VUA211" s="2522"/>
      <c r="VUB211" s="2522"/>
      <c r="VUC211" s="2522"/>
      <c r="VUD211" s="2522"/>
      <c r="VUE211" s="2522"/>
      <c r="VUF211" s="2522"/>
      <c r="VUG211" s="2522"/>
      <c r="VUH211" s="2522"/>
      <c r="VUI211" s="2522"/>
      <c r="VUJ211" s="2522"/>
      <c r="VUK211" s="2522"/>
      <c r="VUL211" s="2522"/>
      <c r="VUM211" s="2522"/>
      <c r="VUN211" s="2522"/>
      <c r="VUO211" s="2522"/>
      <c r="VUP211" s="2522"/>
      <c r="VUQ211" s="2522"/>
      <c r="VUR211" s="2522"/>
      <c r="VUS211" s="2522"/>
      <c r="VUT211" s="2522"/>
      <c r="VUU211" s="2522"/>
      <c r="VUV211" s="2522"/>
      <c r="VUW211" s="2522"/>
      <c r="VUX211" s="2522"/>
      <c r="VUY211" s="2522"/>
      <c r="VUZ211" s="2522"/>
      <c r="VVA211" s="2522"/>
      <c r="VVB211" s="2522"/>
      <c r="VVC211" s="2522"/>
      <c r="VVD211" s="2522"/>
      <c r="VVE211" s="2522"/>
      <c r="VVF211" s="2522"/>
      <c r="VVG211" s="2522"/>
      <c r="VVH211" s="2522"/>
      <c r="VVI211" s="2522"/>
      <c r="VVJ211" s="2522"/>
      <c r="VVK211" s="2522"/>
      <c r="VVL211" s="2522"/>
      <c r="VVM211" s="2522"/>
      <c r="VVN211" s="2522"/>
      <c r="VVO211" s="2522"/>
      <c r="VVP211" s="2522"/>
      <c r="VVQ211" s="2522"/>
      <c r="VVR211" s="2522"/>
      <c r="VVS211" s="2522"/>
      <c r="VVT211" s="2522"/>
      <c r="VVU211" s="2522"/>
      <c r="VVV211" s="2522"/>
      <c r="VVW211" s="2522"/>
      <c r="VVX211" s="2522"/>
      <c r="VVY211" s="2522"/>
      <c r="VVZ211" s="2522"/>
      <c r="VWA211" s="2522"/>
      <c r="VWB211" s="2522"/>
      <c r="VWC211" s="2522"/>
      <c r="VWD211" s="2522"/>
      <c r="VWE211" s="2522"/>
      <c r="VWF211" s="2522"/>
      <c r="VWG211" s="2522"/>
      <c r="VWH211" s="2522"/>
      <c r="VWI211" s="2522"/>
      <c r="VWJ211" s="2522"/>
      <c r="VWK211" s="2522"/>
      <c r="VWL211" s="2522"/>
      <c r="VWM211" s="2522"/>
      <c r="VWN211" s="2522"/>
      <c r="VWO211" s="2522"/>
      <c r="VWP211" s="2522"/>
      <c r="VWQ211" s="2522"/>
      <c r="VWR211" s="2522"/>
      <c r="VWS211" s="2522"/>
      <c r="VWT211" s="2522"/>
      <c r="VWU211" s="2522"/>
      <c r="VWV211" s="2522"/>
      <c r="VWW211" s="2522"/>
      <c r="VWX211" s="2522"/>
      <c r="VWY211" s="2522"/>
      <c r="VWZ211" s="2522"/>
      <c r="VXA211" s="2522"/>
      <c r="VXB211" s="2522"/>
      <c r="VXC211" s="2522"/>
      <c r="VXD211" s="2522"/>
      <c r="VXE211" s="2522"/>
      <c r="VXF211" s="2522"/>
      <c r="VXG211" s="2522"/>
      <c r="VXH211" s="2522"/>
      <c r="VXI211" s="2522"/>
      <c r="VXJ211" s="2522"/>
      <c r="VXK211" s="2522"/>
      <c r="VXL211" s="2522"/>
      <c r="VXM211" s="2522"/>
      <c r="VXN211" s="2522"/>
      <c r="VXO211" s="2522"/>
      <c r="VXP211" s="2522"/>
      <c r="VXQ211" s="2522"/>
      <c r="VXR211" s="2522"/>
      <c r="VXS211" s="2522"/>
      <c r="VXT211" s="2522"/>
      <c r="VXU211" s="2522"/>
      <c r="VXV211" s="2522"/>
      <c r="VXW211" s="2522"/>
      <c r="VXX211" s="2522"/>
      <c r="VXY211" s="2522"/>
      <c r="VXZ211" s="2522"/>
      <c r="VYA211" s="2522"/>
      <c r="VYB211" s="2522"/>
      <c r="VYC211" s="2522"/>
      <c r="VYD211" s="2522"/>
      <c r="VYE211" s="2522"/>
      <c r="VYF211" s="2522"/>
      <c r="VYG211" s="2522"/>
      <c r="VYH211" s="2522"/>
      <c r="VYI211" s="2522"/>
      <c r="VYJ211" s="2522"/>
      <c r="VYK211" s="2522"/>
      <c r="VYL211" s="2522"/>
      <c r="VYM211" s="2522"/>
      <c r="VYN211" s="2522"/>
      <c r="VYO211" s="2522"/>
      <c r="VYP211" s="2522"/>
      <c r="VYQ211" s="2522"/>
      <c r="VYR211" s="2522"/>
      <c r="VYS211" s="2522"/>
      <c r="VYT211" s="2522"/>
      <c r="VYU211" s="2522"/>
      <c r="VYV211" s="2522"/>
      <c r="VYW211" s="2522"/>
      <c r="VYX211" s="2522"/>
      <c r="VYY211" s="2522"/>
      <c r="VYZ211" s="2522"/>
      <c r="VZA211" s="2522"/>
      <c r="VZB211" s="2522"/>
      <c r="VZC211" s="2522"/>
      <c r="VZD211" s="2522"/>
      <c r="VZE211" s="2522"/>
      <c r="VZF211" s="2522"/>
      <c r="VZG211" s="2522"/>
      <c r="VZH211" s="2522"/>
      <c r="VZI211" s="2522"/>
      <c r="VZJ211" s="2522"/>
      <c r="VZK211" s="2522"/>
      <c r="VZL211" s="2522"/>
      <c r="VZM211" s="2522"/>
      <c r="VZN211" s="2522"/>
      <c r="VZO211" s="2522"/>
      <c r="VZP211" s="2522"/>
      <c r="VZQ211" s="2522"/>
      <c r="VZR211" s="2522"/>
      <c r="VZS211" s="2522"/>
      <c r="VZT211" s="2522"/>
      <c r="VZU211" s="2522"/>
      <c r="VZV211" s="2522"/>
      <c r="VZW211" s="2522"/>
      <c r="VZX211" s="2522"/>
      <c r="VZY211" s="2522"/>
      <c r="VZZ211" s="2522"/>
      <c r="WAA211" s="2522"/>
      <c r="WAB211" s="2522"/>
      <c r="WAC211" s="2522"/>
      <c r="WAD211" s="2522"/>
      <c r="WAE211" s="2522"/>
      <c r="WAF211" s="2522"/>
      <c r="WAG211" s="2522"/>
      <c r="WAH211" s="2522"/>
      <c r="WAI211" s="2522"/>
      <c r="WAJ211" s="2522"/>
      <c r="WAK211" s="2522"/>
      <c r="WAL211" s="2522"/>
      <c r="WAM211" s="2522"/>
      <c r="WAN211" s="2522"/>
      <c r="WAO211" s="2522"/>
      <c r="WAP211" s="2522"/>
      <c r="WAQ211" s="2522"/>
      <c r="WAR211" s="2522"/>
      <c r="WAS211" s="2522"/>
      <c r="WAT211" s="2522"/>
      <c r="WAU211" s="2522"/>
      <c r="WAV211" s="2522"/>
      <c r="WAW211" s="2522"/>
      <c r="WAX211" s="2522"/>
      <c r="WAY211" s="2522"/>
      <c r="WAZ211" s="2522"/>
      <c r="WBA211" s="2522"/>
      <c r="WBB211" s="2522"/>
      <c r="WBC211" s="2522"/>
      <c r="WBD211" s="2522"/>
      <c r="WBE211" s="2522"/>
      <c r="WBF211" s="2522"/>
      <c r="WBG211" s="2522"/>
      <c r="WBH211" s="2522"/>
      <c r="WBI211" s="2522"/>
      <c r="WBJ211" s="2522"/>
      <c r="WBK211" s="2522"/>
      <c r="WBL211" s="2522"/>
      <c r="WBM211" s="2522"/>
      <c r="WBN211" s="2522"/>
      <c r="WBO211" s="2522"/>
      <c r="WBP211" s="2522"/>
      <c r="WBQ211" s="2522"/>
      <c r="WBR211" s="2522"/>
      <c r="WBS211" s="2522"/>
      <c r="WBT211" s="2522"/>
      <c r="WBU211" s="2522"/>
      <c r="WBV211" s="2522"/>
      <c r="WBW211" s="2522"/>
      <c r="WBX211" s="2522"/>
      <c r="WBY211" s="2522"/>
      <c r="WBZ211" s="2522"/>
      <c r="WCA211" s="2522"/>
      <c r="WCB211" s="2522"/>
      <c r="WCC211" s="2522"/>
      <c r="WCD211" s="2522"/>
      <c r="WCE211" s="2522"/>
      <c r="WCF211" s="2522"/>
      <c r="WCG211" s="2522"/>
      <c r="WCH211" s="2522"/>
      <c r="WCI211" s="2522"/>
      <c r="WCJ211" s="2522"/>
      <c r="WCK211" s="2522"/>
      <c r="WCL211" s="2522"/>
      <c r="WCM211" s="2522"/>
      <c r="WCN211" s="2522"/>
      <c r="WCO211" s="2522"/>
      <c r="WCP211" s="2522"/>
      <c r="WCQ211" s="2522"/>
      <c r="WCR211" s="2522"/>
      <c r="WCS211" s="2522"/>
      <c r="WCT211" s="2522"/>
      <c r="WCU211" s="2522"/>
      <c r="WCV211" s="2522"/>
      <c r="WCW211" s="2522"/>
      <c r="WCX211" s="2522"/>
      <c r="WCY211" s="2522"/>
      <c r="WCZ211" s="2522"/>
      <c r="WDA211" s="2522"/>
      <c r="WDB211" s="2522"/>
      <c r="WDC211" s="2522"/>
      <c r="WDD211" s="2522"/>
      <c r="WDE211" s="2522"/>
      <c r="WDF211" s="2522"/>
      <c r="WDG211" s="2522"/>
      <c r="WDH211" s="2522"/>
      <c r="WDI211" s="2522"/>
      <c r="WDJ211" s="2522"/>
      <c r="WDK211" s="2522"/>
      <c r="WDL211" s="2522"/>
      <c r="WDM211" s="2522"/>
      <c r="WDN211" s="2522"/>
      <c r="WDO211" s="2522"/>
      <c r="WDP211" s="2522"/>
      <c r="WDQ211" s="2522"/>
      <c r="WDR211" s="2522"/>
      <c r="WDS211" s="2522"/>
      <c r="WDT211" s="2522"/>
      <c r="WDU211" s="2522"/>
      <c r="WDV211" s="2522"/>
      <c r="WDW211" s="2522"/>
      <c r="WDX211" s="2522"/>
      <c r="WDY211" s="2522"/>
      <c r="WDZ211" s="2522"/>
      <c r="WEA211" s="2522"/>
      <c r="WEB211" s="2522"/>
      <c r="WEC211" s="2522"/>
      <c r="WED211" s="2522"/>
      <c r="WEE211" s="2522"/>
      <c r="WEF211" s="2522"/>
      <c r="WEG211" s="2522"/>
      <c r="WEH211" s="2522"/>
      <c r="WEI211" s="2522"/>
      <c r="WEJ211" s="2522"/>
      <c r="WEK211" s="2522"/>
      <c r="WEL211" s="2522"/>
      <c r="WEM211" s="2522"/>
      <c r="WEN211" s="2522"/>
      <c r="WEO211" s="2522"/>
      <c r="WEP211" s="2522"/>
      <c r="WEQ211" s="2522"/>
      <c r="WER211" s="2522"/>
      <c r="WES211" s="2522"/>
      <c r="WET211" s="2522"/>
      <c r="WEU211" s="2522"/>
      <c r="WEV211" s="2522"/>
      <c r="WEW211" s="2522"/>
      <c r="WEX211" s="2522"/>
      <c r="WEY211" s="2522"/>
      <c r="WEZ211" s="2522"/>
      <c r="WFA211" s="2522"/>
      <c r="WFB211" s="2522"/>
      <c r="WFC211" s="2522"/>
      <c r="WFD211" s="2522"/>
      <c r="WFE211" s="2522"/>
      <c r="WFF211" s="2522"/>
      <c r="WFG211" s="2522"/>
      <c r="WFH211" s="2522"/>
      <c r="WFI211" s="2522"/>
      <c r="WFJ211" s="2522"/>
      <c r="WFK211" s="2522"/>
      <c r="WFL211" s="2522"/>
      <c r="WFM211" s="2522"/>
      <c r="WFN211" s="2522"/>
      <c r="WFO211" s="2522"/>
      <c r="WFP211" s="2522"/>
      <c r="WFQ211" s="2522"/>
      <c r="WFR211" s="2522"/>
      <c r="WFS211" s="2522"/>
      <c r="WFT211" s="2522"/>
      <c r="WFU211" s="2522"/>
      <c r="WFV211" s="2522"/>
      <c r="WFW211" s="2522"/>
      <c r="WFX211" s="2522"/>
      <c r="WFY211" s="2522"/>
      <c r="WFZ211" s="2522"/>
      <c r="WGA211" s="2522"/>
      <c r="WGB211" s="2522"/>
      <c r="WGC211" s="2522"/>
      <c r="WGD211" s="2522"/>
      <c r="WGE211" s="2522"/>
      <c r="WGF211" s="2522"/>
      <c r="WGG211" s="2522"/>
      <c r="WGH211" s="2522"/>
      <c r="WGI211" s="2522"/>
      <c r="WGJ211" s="2522"/>
      <c r="WGK211" s="2522"/>
      <c r="WGL211" s="2522"/>
      <c r="WGM211" s="2522"/>
      <c r="WGN211" s="2522"/>
      <c r="WGO211" s="2522"/>
      <c r="WGP211" s="2522"/>
      <c r="WGQ211" s="2522"/>
      <c r="WGR211" s="2522"/>
      <c r="WGS211" s="2522"/>
      <c r="WGT211" s="2522"/>
      <c r="WGU211" s="2522"/>
      <c r="WGV211" s="2522"/>
      <c r="WGW211" s="2522"/>
      <c r="WGX211" s="2522"/>
      <c r="WGY211" s="2522"/>
      <c r="WGZ211" s="2522"/>
      <c r="WHA211" s="2522"/>
      <c r="WHB211" s="2522"/>
      <c r="WHC211" s="2522"/>
      <c r="WHD211" s="2522"/>
      <c r="WHE211" s="2522"/>
      <c r="WHF211" s="2522"/>
      <c r="WHG211" s="2522"/>
      <c r="WHH211" s="2522"/>
      <c r="WHI211" s="2522"/>
      <c r="WHJ211" s="2522"/>
      <c r="WHK211" s="2522"/>
      <c r="WHL211" s="2522"/>
      <c r="WHM211" s="2522"/>
      <c r="WHN211" s="2522"/>
      <c r="WHO211" s="2522"/>
      <c r="WHP211" s="2522"/>
      <c r="WHQ211" s="2522"/>
      <c r="WHR211" s="2522"/>
      <c r="WHS211" s="2522"/>
      <c r="WHT211" s="2522"/>
      <c r="WHU211" s="2522"/>
      <c r="WHV211" s="2522"/>
      <c r="WHW211" s="2522"/>
      <c r="WHX211" s="2522"/>
      <c r="WHY211" s="2522"/>
      <c r="WHZ211" s="2522"/>
      <c r="WIA211" s="2522"/>
      <c r="WIB211" s="2522"/>
      <c r="WIC211" s="2522"/>
      <c r="WID211" s="2522"/>
      <c r="WIE211" s="2522"/>
      <c r="WIF211" s="2522"/>
      <c r="WIG211" s="2522"/>
      <c r="WIH211" s="2522"/>
      <c r="WII211" s="2522"/>
      <c r="WIJ211" s="2522"/>
      <c r="WIK211" s="2522"/>
      <c r="WIL211" s="2522"/>
      <c r="WIM211" s="2522"/>
      <c r="WIN211" s="2522"/>
      <c r="WIO211" s="2522"/>
      <c r="WIP211" s="2522"/>
      <c r="WIQ211" s="2522"/>
      <c r="WIR211" s="2522"/>
      <c r="WIS211" s="2522"/>
      <c r="WIT211" s="2522"/>
      <c r="WIU211" s="2522"/>
      <c r="WIV211" s="2522"/>
      <c r="WIW211" s="2522"/>
      <c r="WIX211" s="2522"/>
      <c r="WIY211" s="2522"/>
      <c r="WIZ211" s="2522"/>
      <c r="WJA211" s="2522"/>
      <c r="WJB211" s="2522"/>
      <c r="WJC211" s="2522"/>
      <c r="WJD211" s="2522"/>
      <c r="WJE211" s="2522"/>
      <c r="WJF211" s="2522"/>
      <c r="WJG211" s="2522"/>
      <c r="WJH211" s="2522"/>
      <c r="WJI211" s="2522"/>
      <c r="WJJ211" s="2522"/>
      <c r="WJK211" s="2522"/>
      <c r="WJL211" s="2522"/>
      <c r="WJM211" s="2522"/>
      <c r="WJN211" s="2522"/>
      <c r="WJO211" s="2522"/>
      <c r="WJP211" s="2522"/>
      <c r="WJQ211" s="2522"/>
      <c r="WJR211" s="2522"/>
      <c r="WJS211" s="2522"/>
      <c r="WJT211" s="2522"/>
      <c r="WJU211" s="2522"/>
      <c r="WJV211" s="2522"/>
      <c r="WJW211" s="2522"/>
      <c r="WJX211" s="2522"/>
      <c r="WJY211" s="2522"/>
      <c r="WJZ211" s="2522"/>
      <c r="WKA211" s="2522"/>
      <c r="WKB211" s="2522"/>
      <c r="WKC211" s="2522"/>
      <c r="WKD211" s="2522"/>
      <c r="WKE211" s="2522"/>
      <c r="WKF211" s="2522"/>
      <c r="WKG211" s="2522"/>
      <c r="WKH211" s="2522"/>
      <c r="WKI211" s="2522"/>
      <c r="WKJ211" s="2522"/>
      <c r="WKK211" s="2522"/>
      <c r="WKL211" s="2522"/>
      <c r="WKM211" s="2522"/>
      <c r="WKN211" s="2522"/>
      <c r="WKO211" s="2522"/>
      <c r="WKP211" s="2522"/>
      <c r="WKQ211" s="2522"/>
      <c r="WKR211" s="2522"/>
      <c r="WKS211" s="2522"/>
      <c r="WKT211" s="2522"/>
      <c r="WKU211" s="2522"/>
      <c r="WKV211" s="2522"/>
      <c r="WKW211" s="2522"/>
      <c r="WKX211" s="2522"/>
      <c r="WKY211" s="2522"/>
      <c r="WKZ211" s="2522"/>
      <c r="WLA211" s="2522"/>
      <c r="WLB211" s="2522"/>
      <c r="WLC211" s="2522"/>
      <c r="WLD211" s="2522"/>
      <c r="WLE211" s="2522"/>
      <c r="WLF211" s="2522"/>
      <c r="WLG211" s="2522"/>
      <c r="WLH211" s="2522"/>
      <c r="WLI211" s="2522"/>
      <c r="WLJ211" s="2522"/>
      <c r="WLK211" s="2522"/>
      <c r="WLL211" s="2522"/>
      <c r="WLM211" s="2522"/>
      <c r="WLN211" s="2522"/>
      <c r="WLO211" s="2522"/>
      <c r="WLP211" s="2522"/>
      <c r="WLQ211" s="2522"/>
      <c r="WLR211" s="2522"/>
      <c r="WLS211" s="2522"/>
      <c r="WLT211" s="2522"/>
      <c r="WLU211" s="2522"/>
      <c r="WLV211" s="2522"/>
      <c r="WLW211" s="2522"/>
      <c r="WLX211" s="2522"/>
      <c r="WLY211" s="2522"/>
      <c r="WLZ211" s="2522"/>
      <c r="WMA211" s="2522"/>
      <c r="WMB211" s="2522"/>
      <c r="WMC211" s="2522"/>
      <c r="WMD211" s="2522"/>
      <c r="WME211" s="2522"/>
      <c r="WMF211" s="2522"/>
      <c r="WMG211" s="2522"/>
      <c r="WMH211" s="2522"/>
      <c r="WMI211" s="2522"/>
      <c r="WMJ211" s="2522"/>
      <c r="WMK211" s="2522"/>
      <c r="WML211" s="2522"/>
      <c r="WMM211" s="2522"/>
      <c r="WMN211" s="2522"/>
      <c r="WMO211" s="2522"/>
      <c r="WMP211" s="2522"/>
      <c r="WMQ211" s="2522"/>
      <c r="WMR211" s="2522"/>
      <c r="WMS211" s="2522"/>
      <c r="WMT211" s="2522"/>
      <c r="WMU211" s="2522"/>
      <c r="WMV211" s="2522"/>
      <c r="WMW211" s="2522"/>
      <c r="WMX211" s="2522"/>
      <c r="WMY211" s="2522"/>
      <c r="WMZ211" s="2522"/>
      <c r="WNA211" s="2522"/>
      <c r="WNB211" s="2522"/>
      <c r="WNC211" s="2522"/>
      <c r="WND211" s="2522"/>
      <c r="WNE211" s="2522"/>
      <c r="WNF211" s="2522"/>
      <c r="WNG211" s="2522"/>
      <c r="WNH211" s="2522"/>
      <c r="WNI211" s="2522"/>
      <c r="WNJ211" s="2522"/>
      <c r="WNK211" s="2522"/>
      <c r="WNL211" s="2522"/>
      <c r="WNM211" s="2522"/>
      <c r="WNN211" s="2522"/>
      <c r="WNO211" s="2522"/>
      <c r="WNP211" s="2522"/>
      <c r="WNQ211" s="2522"/>
      <c r="WNR211" s="2522"/>
      <c r="WNS211" s="2522"/>
      <c r="WNT211" s="2522"/>
      <c r="WNU211" s="2522"/>
      <c r="WNV211" s="2522"/>
      <c r="WNW211" s="2522"/>
      <c r="WNX211" s="2522"/>
      <c r="WNY211" s="2522"/>
      <c r="WNZ211" s="2522"/>
      <c r="WOA211" s="2522"/>
      <c r="WOB211" s="2522"/>
      <c r="WOC211" s="2522"/>
      <c r="WOD211" s="2522"/>
      <c r="WOE211" s="2522"/>
      <c r="WOF211" s="2522"/>
      <c r="WOG211" s="2522"/>
      <c r="WOH211" s="2522"/>
      <c r="WOI211" s="2522"/>
      <c r="WOJ211" s="2522"/>
      <c r="WOK211" s="2522"/>
      <c r="WOL211" s="2522"/>
      <c r="WOM211" s="2522"/>
      <c r="WON211" s="2522"/>
      <c r="WOO211" s="2522"/>
      <c r="WOP211" s="2522"/>
      <c r="WOQ211" s="2522"/>
      <c r="WOR211" s="2522"/>
      <c r="WOS211" s="2522"/>
      <c r="WOT211" s="2522"/>
      <c r="WOU211" s="2522"/>
      <c r="WOV211" s="2522"/>
      <c r="WOW211" s="2522"/>
      <c r="WOX211" s="2522"/>
      <c r="WOY211" s="2522"/>
      <c r="WOZ211" s="2522"/>
      <c r="WPA211" s="2522"/>
      <c r="WPB211" s="2522"/>
      <c r="WPC211" s="2522"/>
      <c r="WPD211" s="2522"/>
      <c r="WPE211" s="2522"/>
      <c r="WPF211" s="2522"/>
      <c r="WPG211" s="2522"/>
      <c r="WPH211" s="2522"/>
      <c r="WPI211" s="2522"/>
      <c r="WPJ211" s="2522"/>
      <c r="WPK211" s="2522"/>
      <c r="WPL211" s="2522"/>
      <c r="WPM211" s="2522"/>
      <c r="WPN211" s="2522"/>
      <c r="WPO211" s="2522"/>
      <c r="WPP211" s="2522"/>
      <c r="WPQ211" s="2522"/>
      <c r="WPR211" s="2522"/>
      <c r="WPS211" s="2522"/>
      <c r="WPT211" s="2522"/>
      <c r="WPU211" s="2522"/>
      <c r="WPV211" s="2522"/>
      <c r="WPW211" s="2522"/>
      <c r="WPX211" s="2522"/>
      <c r="WPY211" s="2522"/>
      <c r="WPZ211" s="2522"/>
      <c r="WQA211" s="2522"/>
      <c r="WQB211" s="2522"/>
      <c r="WQC211" s="2522"/>
      <c r="WQD211" s="2522"/>
      <c r="WQE211" s="2522"/>
      <c r="WQF211" s="2522"/>
      <c r="WQG211" s="2522"/>
      <c r="WQH211" s="2522"/>
      <c r="WQI211" s="2522"/>
      <c r="WQJ211" s="2522"/>
      <c r="WQK211" s="2522"/>
      <c r="WQL211" s="2522"/>
      <c r="WQM211" s="2522"/>
      <c r="WQN211" s="2522"/>
      <c r="WQO211" s="2522"/>
      <c r="WQP211" s="2522"/>
      <c r="WQQ211" s="2522"/>
      <c r="WQR211" s="2522"/>
      <c r="WQS211" s="2522"/>
      <c r="WQT211" s="2522"/>
      <c r="WQU211" s="2522"/>
      <c r="WQV211" s="2522"/>
      <c r="WQW211" s="2522"/>
      <c r="WQX211" s="2522"/>
      <c r="WQY211" s="2522"/>
      <c r="WQZ211" s="2522"/>
      <c r="WRA211" s="2522"/>
      <c r="WRB211" s="2522"/>
      <c r="WRC211" s="2522"/>
      <c r="WRD211" s="2522"/>
      <c r="WRE211" s="2522"/>
      <c r="WRF211" s="2522"/>
      <c r="WRG211" s="2522"/>
      <c r="WRH211" s="2522"/>
      <c r="WRI211" s="2522"/>
      <c r="WRJ211" s="2522"/>
      <c r="WRK211" s="2522"/>
      <c r="WRL211" s="2522"/>
      <c r="WRM211" s="2522"/>
      <c r="WRN211" s="2522"/>
      <c r="WRO211" s="2522"/>
      <c r="WRP211" s="2522"/>
      <c r="WRQ211" s="2522"/>
      <c r="WRR211" s="2522"/>
      <c r="WRS211" s="2522"/>
      <c r="WRT211" s="2522"/>
      <c r="WRU211" s="2522"/>
      <c r="WRV211" s="2522"/>
      <c r="WRW211" s="2522"/>
      <c r="WRX211" s="2522"/>
      <c r="WRY211" s="2522"/>
      <c r="WRZ211" s="2522"/>
      <c r="WSA211" s="2522"/>
      <c r="WSB211" s="2522"/>
      <c r="WSC211" s="2522"/>
      <c r="WSD211" s="2522"/>
      <c r="WSE211" s="2522"/>
      <c r="WSF211" s="2522"/>
      <c r="WSG211" s="2522"/>
      <c r="WSH211" s="2522"/>
      <c r="WSI211" s="2522"/>
      <c r="WSJ211" s="2522"/>
      <c r="WSK211" s="2522"/>
      <c r="WSL211" s="2522"/>
      <c r="WSM211" s="2522"/>
      <c r="WSN211" s="2522"/>
      <c r="WSO211" s="2522"/>
      <c r="WSP211" s="2522"/>
      <c r="WSQ211" s="2522"/>
      <c r="WSR211" s="2522"/>
      <c r="WSS211" s="2522"/>
      <c r="WST211" s="2522"/>
      <c r="WSU211" s="2522"/>
      <c r="WSV211" s="2522"/>
      <c r="WSW211" s="2522"/>
      <c r="WSX211" s="2522"/>
      <c r="WSY211" s="2522"/>
      <c r="WSZ211" s="2522"/>
      <c r="WTA211" s="2522"/>
      <c r="WTB211" s="2522"/>
      <c r="WTC211" s="2522"/>
      <c r="WTD211" s="2522"/>
      <c r="WTE211" s="2522"/>
      <c r="WTF211" s="2522"/>
      <c r="WTG211" s="2522"/>
      <c r="WTH211" s="2522"/>
      <c r="WTI211" s="2522"/>
      <c r="WTJ211" s="2522"/>
      <c r="WTK211" s="2522"/>
      <c r="WTL211" s="2522"/>
      <c r="WTM211" s="2522"/>
      <c r="WTN211" s="2522"/>
      <c r="WTO211" s="2522"/>
      <c r="WTP211" s="2522"/>
      <c r="WTQ211" s="2522"/>
      <c r="WTR211" s="2522"/>
      <c r="WTS211" s="2522"/>
      <c r="WTT211" s="2522"/>
      <c r="WTU211" s="2522"/>
      <c r="WTV211" s="2522"/>
      <c r="WTW211" s="2522"/>
      <c r="WTX211" s="2522"/>
      <c r="WTY211" s="2522"/>
      <c r="WTZ211" s="2522"/>
      <c r="WUA211" s="2522"/>
      <c r="WUB211" s="2522"/>
      <c r="WUC211" s="2522"/>
      <c r="WUD211" s="2522"/>
      <c r="WUE211" s="2522"/>
      <c r="WUF211" s="2522"/>
      <c r="WUG211" s="2522"/>
      <c r="WUH211" s="2522"/>
      <c r="WUI211" s="2522"/>
      <c r="WUJ211" s="2522"/>
      <c r="WUK211" s="2522"/>
      <c r="WUL211" s="2522"/>
      <c r="WUM211" s="2522"/>
      <c r="WUN211" s="2522"/>
      <c r="WUO211" s="2522"/>
      <c r="WUP211" s="2522"/>
      <c r="WUQ211" s="2522"/>
      <c r="WUR211" s="2522"/>
      <c r="WUS211" s="2522"/>
      <c r="WUT211" s="2522"/>
      <c r="WUU211" s="2522"/>
      <c r="WUV211" s="2522"/>
      <c r="WUW211" s="2522"/>
      <c r="WUX211" s="2522"/>
      <c r="WUY211" s="2522"/>
      <c r="WUZ211" s="2522"/>
      <c r="WVA211" s="2522"/>
      <c r="WVB211" s="2522"/>
      <c r="WVC211" s="2522"/>
      <c r="WVD211" s="2522"/>
      <c r="WVE211" s="2522"/>
      <c r="WVF211" s="2522"/>
      <c r="WVG211" s="2522"/>
      <c r="WVH211" s="2522"/>
      <c r="WVI211" s="2522"/>
      <c r="WVJ211" s="2522"/>
      <c r="WVK211" s="2522"/>
      <c r="WVL211" s="2522"/>
      <c r="WVM211" s="2522"/>
      <c r="WVN211" s="2522"/>
      <c r="WVO211" s="2522"/>
      <c r="WVP211" s="2522"/>
      <c r="WVQ211" s="2522"/>
      <c r="WVR211" s="2522"/>
      <c r="WVS211" s="2522"/>
      <c r="WVT211" s="2522"/>
      <c r="WVU211" s="2522"/>
      <c r="WVV211" s="2522"/>
      <c r="WVW211" s="2522"/>
      <c r="WVX211" s="2522"/>
      <c r="WVY211" s="2522"/>
      <c r="WVZ211" s="2522"/>
      <c r="WWA211" s="2522"/>
      <c r="WWB211" s="2522"/>
      <c r="WWC211" s="2522"/>
      <c r="WWD211" s="2522"/>
      <c r="WWE211" s="2522"/>
      <c r="WWF211" s="2522"/>
      <c r="WWG211" s="2522"/>
      <c r="WWH211" s="2522"/>
      <c r="WWI211" s="2522"/>
      <c r="WWJ211" s="2522"/>
      <c r="WWK211" s="2522"/>
      <c r="WWL211" s="2522"/>
      <c r="WWM211" s="2522"/>
      <c r="WWN211" s="2522"/>
      <c r="WWO211" s="2522"/>
      <c r="WWP211" s="2522"/>
      <c r="WWQ211" s="2522"/>
      <c r="WWR211" s="2522"/>
      <c r="WWS211" s="2522"/>
      <c r="WWT211" s="2522"/>
      <c r="WWU211" s="2522"/>
      <c r="WWV211" s="2522"/>
      <c r="WWW211" s="2522"/>
      <c r="WWX211" s="2522"/>
      <c r="WWY211" s="2522"/>
      <c r="WWZ211" s="2522"/>
      <c r="WXA211" s="2522"/>
      <c r="WXB211" s="2522"/>
      <c r="WXC211" s="2522"/>
      <c r="WXD211" s="2522"/>
      <c r="WXE211" s="2522"/>
      <c r="WXF211" s="2522"/>
      <c r="WXG211" s="2522"/>
      <c r="WXH211" s="2522"/>
      <c r="WXI211" s="2522"/>
      <c r="WXJ211" s="2522"/>
      <c r="WXK211" s="2522"/>
      <c r="WXL211" s="2522"/>
      <c r="WXM211" s="2522"/>
      <c r="WXN211" s="2522"/>
      <c r="WXO211" s="2522"/>
      <c r="WXP211" s="2522"/>
      <c r="WXQ211" s="2522"/>
      <c r="WXR211" s="2522"/>
      <c r="WXS211" s="2522"/>
      <c r="WXT211" s="2522"/>
      <c r="WXU211" s="2522"/>
      <c r="WXV211" s="2522"/>
      <c r="WXW211" s="2522"/>
      <c r="WXX211" s="2522"/>
      <c r="WXY211" s="2522"/>
      <c r="WXZ211" s="2522"/>
      <c r="WYA211" s="2522"/>
      <c r="WYB211" s="2522"/>
      <c r="WYC211" s="2522"/>
      <c r="WYD211" s="2522"/>
      <c r="WYE211" s="2522"/>
      <c r="WYF211" s="2522"/>
      <c r="WYG211" s="2522"/>
      <c r="WYH211" s="2522"/>
      <c r="WYI211" s="2522"/>
      <c r="WYJ211" s="2522"/>
      <c r="WYK211" s="2522"/>
      <c r="WYL211" s="2522"/>
      <c r="WYM211" s="2522"/>
      <c r="WYN211" s="2522"/>
      <c r="WYO211" s="2522"/>
      <c r="WYP211" s="2522"/>
      <c r="WYQ211" s="2522"/>
      <c r="WYR211" s="2522"/>
      <c r="WYS211" s="2522"/>
      <c r="WYT211" s="2522"/>
      <c r="WYU211" s="2522"/>
      <c r="WYV211" s="2522"/>
      <c r="WYW211" s="2522"/>
      <c r="WYX211" s="2522"/>
      <c r="WYY211" s="2522"/>
      <c r="WYZ211" s="2522"/>
      <c r="WZA211" s="2522"/>
      <c r="WZB211" s="2522"/>
      <c r="WZC211" s="2522"/>
      <c r="WZD211" s="2522"/>
      <c r="WZE211" s="2522"/>
      <c r="WZF211" s="2522"/>
      <c r="WZG211" s="2522"/>
      <c r="WZH211" s="2522"/>
      <c r="WZI211" s="2522"/>
      <c r="WZJ211" s="2522"/>
      <c r="WZK211" s="2522"/>
      <c r="WZL211" s="2522"/>
      <c r="WZM211" s="2522"/>
      <c r="WZN211" s="2522"/>
      <c r="WZO211" s="2522"/>
      <c r="WZP211" s="2522"/>
      <c r="WZQ211" s="2522"/>
      <c r="WZR211" s="2522"/>
      <c r="WZS211" s="2522"/>
      <c r="WZT211" s="2522"/>
      <c r="WZU211" s="2522"/>
      <c r="WZV211" s="2522"/>
      <c r="WZW211" s="2522"/>
      <c r="WZX211" s="2522"/>
      <c r="WZY211" s="2522"/>
      <c r="WZZ211" s="2522"/>
      <c r="XAA211" s="2522"/>
      <c r="XAB211" s="2522"/>
      <c r="XAC211" s="2522"/>
      <c r="XAD211" s="2522"/>
      <c r="XAE211" s="2522"/>
      <c r="XAF211" s="2522"/>
      <c r="XAG211" s="2522"/>
      <c r="XAH211" s="2522"/>
      <c r="XAI211" s="2522"/>
      <c r="XAJ211" s="2522"/>
      <c r="XAK211" s="2522"/>
      <c r="XAL211" s="2522"/>
      <c r="XAM211" s="2522"/>
      <c r="XAN211" s="2522"/>
      <c r="XAO211" s="2522"/>
      <c r="XAP211" s="2522"/>
      <c r="XAQ211" s="2522"/>
      <c r="XAR211" s="2522"/>
      <c r="XAS211" s="2522"/>
      <c r="XAT211" s="2522"/>
      <c r="XAU211" s="2522"/>
      <c r="XAV211" s="2522"/>
      <c r="XAW211" s="2522"/>
      <c r="XAX211" s="2522"/>
      <c r="XAY211" s="2522"/>
      <c r="XAZ211" s="2522"/>
    </row>
    <row r="212" spans="1:16276" s="2290" customFormat="1" x14ac:dyDescent="0.25">
      <c r="B212" s="2398">
        <v>912</v>
      </c>
      <c r="C212" s="2521"/>
      <c r="D212" s="2384"/>
      <c r="E212" s="2525"/>
      <c r="F212" s="2417">
        <f>F117</f>
        <v>0</v>
      </c>
      <c r="G212" s="2417">
        <f>G117</f>
        <v>0</v>
      </c>
      <c r="H212" s="2417"/>
      <c r="I212" s="2417"/>
      <c r="J212" s="2417">
        <f>J117</f>
        <v>0</v>
      </c>
      <c r="K212" s="2417">
        <f>K117</f>
        <v>7</v>
      </c>
      <c r="L212" s="2417"/>
      <c r="M212" s="2417"/>
      <c r="N212" s="2417">
        <f>N117</f>
        <v>0</v>
      </c>
      <c r="O212" s="2417">
        <f>O117</f>
        <v>7</v>
      </c>
      <c r="P212" s="2417"/>
      <c r="Q212" s="2417"/>
      <c r="R212" s="2417">
        <f t="shared" ref="R212:Y213" si="41">R117</f>
        <v>0</v>
      </c>
      <c r="S212" s="2417">
        <f t="shared" si="41"/>
        <v>0</v>
      </c>
      <c r="T212" s="2417">
        <f t="shared" si="41"/>
        <v>0</v>
      </c>
      <c r="U212" s="2417">
        <f t="shared" si="41"/>
        <v>7</v>
      </c>
      <c r="V212" s="2417">
        <f t="shared" si="41"/>
        <v>0</v>
      </c>
      <c r="W212" s="2417">
        <f t="shared" si="41"/>
        <v>0</v>
      </c>
      <c r="X212" s="2417">
        <f t="shared" si="41"/>
        <v>0</v>
      </c>
      <c r="Y212" s="2417">
        <f t="shared" si="41"/>
        <v>0</v>
      </c>
      <c r="AA212" s="2292"/>
    </row>
    <row r="213" spans="1:16276" s="2290" customFormat="1" x14ac:dyDescent="0.25">
      <c r="B213" s="2398">
        <v>921</v>
      </c>
      <c r="C213" s="2521"/>
      <c r="D213" s="2384"/>
      <c r="E213" s="2525"/>
      <c r="F213" s="2417">
        <f>F118</f>
        <v>0</v>
      </c>
      <c r="G213" s="2417">
        <f>G118</f>
        <v>0</v>
      </c>
      <c r="H213" s="2417"/>
      <c r="I213" s="2417"/>
      <c r="J213" s="2417">
        <f>J118</f>
        <v>0</v>
      </c>
      <c r="K213" s="2417">
        <f>K118</f>
        <v>68</v>
      </c>
      <c r="L213" s="2417"/>
      <c r="M213" s="2417"/>
      <c r="N213" s="2417">
        <f>N118</f>
        <v>0</v>
      </c>
      <c r="O213" s="2417">
        <f>O118</f>
        <v>68</v>
      </c>
      <c r="P213" s="2417"/>
      <c r="Q213" s="2417"/>
      <c r="R213" s="2417">
        <f t="shared" si="41"/>
        <v>0</v>
      </c>
      <c r="S213" s="2417">
        <f t="shared" si="41"/>
        <v>0</v>
      </c>
      <c r="T213" s="2417">
        <f t="shared" si="41"/>
        <v>0</v>
      </c>
      <c r="U213" s="2417">
        <f t="shared" si="41"/>
        <v>68</v>
      </c>
      <c r="V213" s="2417">
        <f t="shared" si="41"/>
        <v>0</v>
      </c>
      <c r="W213" s="2417">
        <f t="shared" si="41"/>
        <v>0</v>
      </c>
      <c r="X213" s="2417">
        <f t="shared" si="41"/>
        <v>0</v>
      </c>
      <c r="Y213" s="2417">
        <f t="shared" si="41"/>
        <v>0</v>
      </c>
      <c r="AA213" s="2292"/>
    </row>
    <row r="214" spans="1:16276" s="2290" customFormat="1" x14ac:dyDescent="0.25">
      <c r="B214" s="2398">
        <v>922</v>
      </c>
      <c r="C214" s="2521"/>
      <c r="D214" s="2384"/>
      <c r="E214" s="2525"/>
      <c r="F214" s="2417">
        <f>F113</f>
        <v>15</v>
      </c>
      <c r="G214" s="2417">
        <f>G113</f>
        <v>0</v>
      </c>
      <c r="H214" s="2417"/>
      <c r="I214" s="2417"/>
      <c r="J214" s="2417">
        <f>J113</f>
        <v>0</v>
      </c>
      <c r="K214" s="2417">
        <f>K113</f>
        <v>0</v>
      </c>
      <c r="L214" s="2417"/>
      <c r="M214" s="2417"/>
      <c r="N214" s="2417">
        <f>N113</f>
        <v>0</v>
      </c>
      <c r="O214" s="2417">
        <f>O113</f>
        <v>0</v>
      </c>
      <c r="P214" s="2417"/>
      <c r="Q214" s="2417"/>
      <c r="R214" s="2417">
        <f t="shared" ref="R214:Y214" si="42">R113</f>
        <v>0</v>
      </c>
      <c r="S214" s="2417">
        <f t="shared" si="42"/>
        <v>0</v>
      </c>
      <c r="T214" s="2417">
        <f t="shared" si="42"/>
        <v>0</v>
      </c>
      <c r="U214" s="2417">
        <f t="shared" si="42"/>
        <v>0</v>
      </c>
      <c r="V214" s="2417">
        <f t="shared" si="42"/>
        <v>0</v>
      </c>
      <c r="W214" s="2417">
        <f t="shared" si="42"/>
        <v>0</v>
      </c>
      <c r="X214" s="2417">
        <f t="shared" si="42"/>
        <v>0</v>
      </c>
      <c r="Y214" s="2417">
        <f t="shared" si="42"/>
        <v>0</v>
      </c>
      <c r="AA214" s="2292"/>
    </row>
    <row r="215" spans="1:16276" s="2290" customFormat="1" x14ac:dyDescent="0.25">
      <c r="B215" s="2398">
        <v>952</v>
      </c>
      <c r="C215" s="2521"/>
      <c r="D215" s="2384"/>
      <c r="E215" s="2525"/>
      <c r="F215" s="2417">
        <f>F119</f>
        <v>0</v>
      </c>
      <c r="G215" s="2417">
        <f>G119</f>
        <v>0</v>
      </c>
      <c r="H215" s="2417"/>
      <c r="I215" s="2417"/>
      <c r="J215" s="2417">
        <f>J119</f>
        <v>0</v>
      </c>
      <c r="K215" s="2417">
        <f>K119</f>
        <v>28</v>
      </c>
      <c r="L215" s="2417"/>
      <c r="M215" s="2417"/>
      <c r="N215" s="2417">
        <f>N119</f>
        <v>0</v>
      </c>
      <c r="O215" s="2417">
        <f>O119</f>
        <v>28</v>
      </c>
      <c r="P215" s="2417"/>
      <c r="Q215" s="2417"/>
      <c r="R215" s="2417">
        <f t="shared" ref="R215:Y215" si="43">R119</f>
        <v>0</v>
      </c>
      <c r="S215" s="2417">
        <f t="shared" si="43"/>
        <v>0</v>
      </c>
      <c r="T215" s="2417">
        <f t="shared" si="43"/>
        <v>0</v>
      </c>
      <c r="U215" s="2417">
        <f t="shared" si="43"/>
        <v>28</v>
      </c>
      <c r="V215" s="2417">
        <f t="shared" si="43"/>
        <v>0</v>
      </c>
      <c r="W215" s="2417">
        <f t="shared" si="43"/>
        <v>0</v>
      </c>
      <c r="X215" s="2417">
        <f t="shared" si="43"/>
        <v>0</v>
      </c>
      <c r="Y215" s="2417">
        <f t="shared" si="43"/>
        <v>0</v>
      </c>
      <c r="AA215" s="2292"/>
    </row>
    <row r="216" spans="1:16276" s="2290" customFormat="1" x14ac:dyDescent="0.25">
      <c r="B216" s="2398">
        <v>955</v>
      </c>
      <c r="C216" s="2521"/>
      <c r="D216" s="2384"/>
      <c r="E216" s="2525"/>
      <c r="F216" s="2417">
        <f>F14+F32+F71+F49+F96+F156</f>
        <v>52.9</v>
      </c>
      <c r="G216" s="2417">
        <f>G14+G32+G71+G49+G96+G156</f>
        <v>0</v>
      </c>
      <c r="H216" s="2417"/>
      <c r="I216" s="2417"/>
      <c r="J216" s="2417">
        <f>J14+J32+J71+J49+J96+J156</f>
        <v>28.1</v>
      </c>
      <c r="K216" s="2417">
        <f>K14+K32+K71+K49+K96+K156</f>
        <v>8.8000000000000007</v>
      </c>
      <c r="L216" s="2417"/>
      <c r="M216" s="2417"/>
      <c r="N216" s="2417">
        <f>N14+N32+N71+N49+N96+N156</f>
        <v>28.1</v>
      </c>
      <c r="O216" s="2417">
        <f>O14+O32+O71+O49+O96+O156</f>
        <v>8.8000000000000007</v>
      </c>
      <c r="P216" s="2417"/>
      <c r="Q216" s="2417"/>
      <c r="R216" s="2417">
        <f>R14+R32+R71+R49+R96+R156+R175+R183+R189+R196</f>
        <v>106.2</v>
      </c>
      <c r="S216" s="2526">
        <f>S14+S32+S71+S49+S96+S156+S175+S183+S189+S196</f>
        <v>106.2</v>
      </c>
      <c r="T216" s="2417">
        <f>T14+T32+T71+T49+T96+T156+T175+T183+T189+T196</f>
        <v>0</v>
      </c>
      <c r="U216" s="2417">
        <f>U14+U32+U71+U49+U96+U156</f>
        <v>13.2</v>
      </c>
      <c r="V216" s="2417">
        <f>V14+V32+V71+V49+V96+V156</f>
        <v>-0.3</v>
      </c>
      <c r="W216" s="2417">
        <f>W14+W32+W71+W49+W96+W156</f>
        <v>77.099999999999994</v>
      </c>
      <c r="X216" s="2417">
        <f>X14+X32+X71+X49+X96+X156+X175+X183+X189+X196</f>
        <v>107.2</v>
      </c>
      <c r="Y216" s="2417">
        <f>Y14+Y32+Y71+Y49+Y96+Y156+Y175+Y183+Y189+Y196</f>
        <v>110.4</v>
      </c>
      <c r="AA216" s="2292"/>
      <c r="AB216" s="2527"/>
    </row>
    <row r="217" spans="1:16276" s="2554" customFormat="1" x14ac:dyDescent="0.25">
      <c r="B217" s="2555">
        <v>963</v>
      </c>
      <c r="C217" s="2556"/>
      <c r="D217" s="2384"/>
      <c r="E217" s="2525"/>
      <c r="F217" s="2417">
        <f>F17+F21+F23+F38+F62+F82+F91+F104+F126+F169</f>
        <v>117.8</v>
      </c>
      <c r="G217" s="2417">
        <f>G17+G21+G23+G38+G62+G82+G91+G104+G126+G169</f>
        <v>0</v>
      </c>
      <c r="H217" s="2417"/>
      <c r="I217" s="2417"/>
      <c r="J217" s="2417">
        <f>J17+J21+J23+J38+J62+J82+J91+J104+J126+J169</f>
        <v>78.599999999999994</v>
      </c>
      <c r="K217" s="2417">
        <f>K17+K21+K23+K38+K62+K82+K91+K104+K126+K169</f>
        <v>8.6</v>
      </c>
      <c r="L217" s="2417"/>
      <c r="M217" s="2417"/>
      <c r="N217" s="2417">
        <f>N17+N21+N23+N38+N62+N82+N91+N104+N126+N169</f>
        <v>79.099999999999994</v>
      </c>
      <c r="O217" s="2417">
        <f>O17+O21+O23+O38+O62+O82+O91+O104+O126+O169</f>
        <v>8.6</v>
      </c>
      <c r="P217" s="2557"/>
      <c r="Q217" s="2557"/>
      <c r="R217" s="2557">
        <f t="shared" ref="R217:Y217" si="44">R17+R21+R23+R38+R62+R82+R91+R104+R126+R169+R204</f>
        <v>253.1</v>
      </c>
      <c r="S217" s="2557">
        <f t="shared" si="44"/>
        <v>202.1</v>
      </c>
      <c r="T217" s="2557">
        <f t="shared" si="44"/>
        <v>0</v>
      </c>
      <c r="U217" s="2557">
        <f t="shared" si="44"/>
        <v>23.4</v>
      </c>
      <c r="V217" s="2557">
        <f t="shared" si="44"/>
        <v>174.5</v>
      </c>
      <c r="W217" s="2557">
        <f t="shared" si="44"/>
        <v>697.4</v>
      </c>
      <c r="X217" s="2557">
        <f t="shared" si="44"/>
        <v>202.1</v>
      </c>
      <c r="Y217" s="2557">
        <f t="shared" si="44"/>
        <v>202.1</v>
      </c>
      <c r="AA217" s="2558"/>
    </row>
    <row r="218" spans="1:16276" s="2290" customFormat="1" x14ac:dyDescent="0.25">
      <c r="B218" s="2398">
        <v>966</v>
      </c>
      <c r="C218" s="2521"/>
      <c r="D218" s="2384"/>
      <c r="E218" s="2525"/>
      <c r="F218" s="2417">
        <f>F115+F116</f>
        <v>301.3</v>
      </c>
      <c r="G218" s="2417">
        <f>G115+G116</f>
        <v>0</v>
      </c>
      <c r="H218" s="2417"/>
      <c r="I218" s="2417"/>
      <c r="J218" s="2417">
        <f>J115+J116</f>
        <v>280</v>
      </c>
      <c r="K218" s="2417">
        <f>K115+K116</f>
        <v>168</v>
      </c>
      <c r="L218" s="2417"/>
      <c r="M218" s="2417"/>
      <c r="N218" s="2417">
        <f>N115+N116</f>
        <v>280</v>
      </c>
      <c r="O218" s="2417">
        <f>O115+O116</f>
        <v>168</v>
      </c>
      <c r="P218" s="2417"/>
      <c r="Q218" s="2417"/>
      <c r="R218" s="2417">
        <f t="shared" ref="R218:Y218" si="45">R115+R116</f>
        <v>280</v>
      </c>
      <c r="S218" s="2417">
        <f t="shared" si="45"/>
        <v>280</v>
      </c>
      <c r="T218" s="2417">
        <f t="shared" si="45"/>
        <v>0</v>
      </c>
      <c r="U218" s="2417">
        <f t="shared" si="45"/>
        <v>168</v>
      </c>
      <c r="V218" s="2417">
        <f t="shared" si="45"/>
        <v>0</v>
      </c>
      <c r="W218" s="2417">
        <f t="shared" si="45"/>
        <v>100</v>
      </c>
      <c r="X218" s="2417">
        <f t="shared" si="45"/>
        <v>300</v>
      </c>
      <c r="Y218" s="2417">
        <f t="shared" si="45"/>
        <v>300</v>
      </c>
      <c r="AA218" s="2292"/>
    </row>
    <row r="219" spans="1:16276" s="2290" customFormat="1" x14ac:dyDescent="0.25">
      <c r="B219" s="2398">
        <v>971</v>
      </c>
      <c r="C219" s="2521"/>
      <c r="D219" s="2384"/>
      <c r="E219" s="2525"/>
      <c r="F219" s="2417">
        <f>F94</f>
        <v>190</v>
      </c>
      <c r="G219" s="2417"/>
      <c r="H219" s="2384"/>
      <c r="I219" s="2384"/>
      <c r="J219" s="2384"/>
      <c r="K219" s="2384"/>
      <c r="L219" s="2384"/>
      <c r="M219" s="2384"/>
      <c r="N219" s="2384"/>
      <c r="O219" s="2384"/>
      <c r="P219" s="2384"/>
      <c r="Q219" s="2384"/>
      <c r="R219" s="2384"/>
      <c r="S219" s="2384"/>
      <c r="T219" s="2384"/>
      <c r="U219" s="2384"/>
      <c r="V219" s="2384"/>
      <c r="W219" s="2384"/>
      <c r="X219" s="2384"/>
      <c r="Y219" s="2384"/>
      <c r="AA219" s="2292"/>
      <c r="AB219" s="2527"/>
    </row>
    <row r="220" spans="1:16276" s="2290" customFormat="1" x14ac:dyDescent="0.25">
      <c r="B220" s="2398">
        <v>981</v>
      </c>
      <c r="C220" s="2521"/>
      <c r="D220" s="2384"/>
      <c r="E220" s="2525"/>
      <c r="F220" s="2417">
        <f>F24+F26+F30+F41+F44+F45+F54+F58+F67+F75+F78+F80+F86+F102+F106+F109+F121+F111+F131+F132+F133+F134+F135+F136+F138+F139+F140+F141+F142+F162+F165</f>
        <v>162.30000000000001</v>
      </c>
      <c r="G220" s="2417">
        <f>G24+G26+G30+G41+G44+G45+G54+G58+G67+G75+G78+G80+G86+G102+G106+G109+G121+G111+G131+G132+G133+G134+G135+G136+G138+G139+G140+G141+G142+G162+G165</f>
        <v>6.5</v>
      </c>
      <c r="H220" s="2417"/>
      <c r="I220" s="2417"/>
      <c r="J220" s="2417">
        <f>J24+J26+J30+J41+J44+J45+J54+J58+J67+J75+J78+J80+J86+J102+J106+J109+J121+J111+J131+J132+J133+J134+J135+J136+J138+J139+J140+J141+J142+J162+J165</f>
        <v>141.6</v>
      </c>
      <c r="K220" s="2417">
        <f>K24+K26+K30+K41+K44+K45+K54+K58+K67+K75+K78+K80+K86+K102+K106+K109+K121+K111+K131+K132+K133+K134+K135+K136+K138+K139+K140+K141+K142+K162+K165</f>
        <v>20.100000000000001</v>
      </c>
      <c r="L220" s="2417"/>
      <c r="M220" s="2417"/>
      <c r="N220" s="2417">
        <f>N24+N26+N30+N41+N44+N45+N54+N58+N67+N75+N78+N80+N86+N102+N106+N109+N121+N111+N131+N132+N133+N134+N135+N136+N138+N139+N140+N141+N142+N162+N165</f>
        <v>141.1</v>
      </c>
      <c r="O220" s="2417">
        <f>O24+O26+O30+O41+O44+O45+O54+O58+O67+O75+O78+O80+O86+O102+O106+O109+O121+O111+O131+O132+O133+O134+O135+O136+O138+O139+O140+O141+O142+O162+O165</f>
        <v>20.100000000000001</v>
      </c>
      <c r="P220" s="2417"/>
      <c r="Q220" s="2417"/>
      <c r="R220" s="2417">
        <f>R24+R26+R30+R41+R44+R45+R54+R58+R67+R75+R78+R80+R86+R102+R106+R111+R109+R121+R131+R132+R133+R134+R135+R136+R138+R139+R140+R141+R142+R162+R165</f>
        <v>109.5</v>
      </c>
      <c r="S220" s="2417">
        <f>S24+S26+S30+S41+S44+S45+S54+S58+S67+S75+S78+S80+S86+S102+S106+S111+S109+S121+S131+S132+S133+S134+S135+S136+S138+S139+S140+S141+S142+S162+S165</f>
        <v>109.5</v>
      </c>
      <c r="T220" s="2417">
        <f>T24+T26+T30+T41+T44+T45+T54+T58+T67+T75+T78+T80+T86+T102+T106+T111+T109+T121+T131+T132+T133+T134+T135+T136+T138+T139+T140+T141+T142+T162+T165</f>
        <v>0</v>
      </c>
      <c r="U220" s="2417">
        <f>U24+U26+U30+U41+U44+U45+U54+U58+U67+U75+U78+U80+U86+U102+U106+U109+U121+U111+U131+U132+U133+U134+U135+U136+U138+U139+U140+U141+U142+U162+U165</f>
        <v>17.7</v>
      </c>
      <c r="V220" s="2417">
        <f>V24+V26+V30+V41+V44+V45+V54+V58+V67+V75+V78+V80+V86+V102+V106+V109+V121+V111+V131+V132+V133+V134+V135+V136+V138+V139+V140+V141+V142+V162+V165</f>
        <v>-32.1</v>
      </c>
      <c r="W220" s="2417">
        <f>W24+W26+W30+W41+W44+W45+W54+W58+W67+W75+W78+W80+W86+W102+W106+W109+W121+W111+W131+W132+W133+W134+W135+W136+W138+W139+W140+W141+W142+W162+W165</f>
        <v>1683.9</v>
      </c>
      <c r="X220" s="2417">
        <f>X24+X26+X30+X41+X44+X45+X54+X58+X67+X75+X78+X80+X86+X102+X106+X109+X121+X111+X131+X132+X133+X134+X135+X136+X138+X139+X140+X141+X142+X162+X165-5</f>
        <v>112</v>
      </c>
      <c r="Y220" s="2417">
        <f>Y24+Y26+Y30+Y41+Y44+Y45+Y54+Y58+Y67+Y75+Y78+Y80+Y86+Y102+Y106+Y109+Y121+Y111+Y131+Y132+Y133+Y134+Y135+Y136+Y138+Y139+Y140+Y141+Y142+Y162+Y165-5</f>
        <v>114.1</v>
      </c>
      <c r="AA220" s="2292"/>
    </row>
    <row r="221" spans="1:16276" s="2290" customFormat="1" x14ac:dyDescent="0.25">
      <c r="B221" s="2398">
        <v>985</v>
      </c>
      <c r="C221" s="2521"/>
      <c r="D221" s="2384"/>
      <c r="E221" s="2525"/>
      <c r="F221" s="2417">
        <f>F137</f>
        <v>1.5</v>
      </c>
      <c r="G221" s="2417">
        <f>G137</f>
        <v>0</v>
      </c>
      <c r="H221" s="2417"/>
      <c r="I221" s="2417"/>
      <c r="J221" s="2417">
        <f>J137</f>
        <v>1.5</v>
      </c>
      <c r="K221" s="2417">
        <f>K137</f>
        <v>0</v>
      </c>
      <c r="L221" s="2417"/>
      <c r="M221" s="2417"/>
      <c r="N221" s="2417">
        <f>N137</f>
        <v>1.5</v>
      </c>
      <c r="O221" s="2417">
        <f>O137</f>
        <v>0</v>
      </c>
      <c r="P221" s="2417"/>
      <c r="Q221" s="2417"/>
      <c r="R221" s="2417">
        <f t="shared" ref="R221:Y221" si="46">R137</f>
        <v>1.5</v>
      </c>
      <c r="S221" s="2417">
        <f t="shared" si="46"/>
        <v>1.5</v>
      </c>
      <c r="T221" s="2417">
        <f t="shared" si="46"/>
        <v>0</v>
      </c>
      <c r="U221" s="2417">
        <f t="shared" si="46"/>
        <v>0</v>
      </c>
      <c r="V221" s="2417">
        <f t="shared" si="46"/>
        <v>0</v>
      </c>
      <c r="W221" s="2417">
        <f t="shared" si="46"/>
        <v>100</v>
      </c>
      <c r="X221" s="2417">
        <f t="shared" si="46"/>
        <v>1.5</v>
      </c>
      <c r="Y221" s="2417">
        <f t="shared" si="46"/>
        <v>1.5</v>
      </c>
      <c r="AA221" s="2292"/>
    </row>
    <row r="222" spans="1:16276" s="2290" customFormat="1" hidden="1" x14ac:dyDescent="0.25">
      <c r="B222" s="2398">
        <v>912</v>
      </c>
      <c r="C222" s="2521"/>
      <c r="D222" s="2342"/>
      <c r="E222" s="2382"/>
      <c r="F222" s="2333" t="e">
        <f>F212+#REF!+#REF!</f>
        <v>#REF!</v>
      </c>
      <c r="G222" s="2333" t="e">
        <f>G212+#REF!+#REF!</f>
        <v>#REF!</v>
      </c>
      <c r="H222" s="2333" t="e">
        <f>H212+#REF!+#REF!</f>
        <v>#REF!</v>
      </c>
      <c r="I222" s="2333" t="e">
        <f>I212+#REF!+#REF!</f>
        <v>#REF!</v>
      </c>
      <c r="J222" s="2333" t="e">
        <f>J212+#REF!+#REF!</f>
        <v>#REF!</v>
      </c>
      <c r="K222" s="2333" t="e">
        <f>K212+#REF!+#REF!</f>
        <v>#REF!</v>
      </c>
      <c r="L222" s="2333" t="e">
        <f>L212+#REF!+#REF!</f>
        <v>#REF!</v>
      </c>
      <c r="M222" s="2333" t="e">
        <f>M212+#REF!+#REF!</f>
        <v>#REF!</v>
      </c>
      <c r="N222" s="2333" t="e">
        <f>N212+#REF!+#REF!</f>
        <v>#REF!</v>
      </c>
      <c r="O222" s="2333" t="e">
        <f>O212+#REF!+#REF!</f>
        <v>#REF!</v>
      </c>
      <c r="P222" s="2333" t="e">
        <f>P212+#REF!+#REF!</f>
        <v>#REF!</v>
      </c>
      <c r="Q222" s="2333" t="e">
        <f>Q212+#REF!+#REF!</f>
        <v>#REF!</v>
      </c>
      <c r="R222" s="2333" t="e">
        <f>R212+#REF!+#REF!</f>
        <v>#REF!</v>
      </c>
      <c r="S222" s="2333"/>
      <c r="T222" s="2333"/>
      <c r="U222" s="2333" t="e">
        <f>U212+#REF!+#REF!</f>
        <v>#REF!</v>
      </c>
      <c r="V222" s="2333" t="e">
        <f>V212+#REF!+#REF!</f>
        <v>#REF!</v>
      </c>
      <c r="W222" s="2333" t="e">
        <f>W212+#REF!+#REF!</f>
        <v>#REF!</v>
      </c>
      <c r="X222" s="2333" t="e">
        <f>X212+#REF!+#REF!</f>
        <v>#REF!</v>
      </c>
      <c r="Y222" s="2333" t="e">
        <f>Y212+#REF!+#REF!</f>
        <v>#REF!</v>
      </c>
      <c r="AA222" s="2292"/>
    </row>
    <row r="223" spans="1:16276" s="2290" customFormat="1" hidden="1" x14ac:dyDescent="0.25">
      <c r="B223" s="2398">
        <v>921</v>
      </c>
      <c r="C223" s="2521"/>
      <c r="D223" s="2342"/>
      <c r="E223" s="2382"/>
      <c r="F223" s="2333" t="e">
        <f>#REF!+F213+#REF!+#REF!</f>
        <v>#REF!</v>
      </c>
      <c r="G223" s="2333" t="e">
        <f>#REF!+G213+#REF!+#REF!</f>
        <v>#REF!</v>
      </c>
      <c r="H223" s="2333" t="e">
        <f>#REF!+H213+#REF!+#REF!</f>
        <v>#REF!</v>
      </c>
      <c r="I223" s="2333" t="e">
        <f>#REF!+I213+#REF!+#REF!</f>
        <v>#REF!</v>
      </c>
      <c r="J223" s="2333" t="e">
        <f>#REF!+J213+#REF!+#REF!</f>
        <v>#REF!</v>
      </c>
      <c r="K223" s="2333" t="e">
        <f>#REF!+K213+#REF!+#REF!</f>
        <v>#REF!</v>
      </c>
      <c r="L223" s="2333" t="e">
        <f>#REF!+L213+#REF!+#REF!</f>
        <v>#REF!</v>
      </c>
      <c r="M223" s="2333" t="e">
        <f>#REF!+M213+#REF!+#REF!</f>
        <v>#REF!</v>
      </c>
      <c r="N223" s="2333" t="e">
        <f>#REF!+N213+#REF!+#REF!</f>
        <v>#REF!</v>
      </c>
      <c r="O223" s="2333" t="e">
        <f>#REF!+O213+#REF!+#REF!</f>
        <v>#REF!</v>
      </c>
      <c r="P223" s="2333" t="e">
        <f>#REF!+P213+#REF!+#REF!</f>
        <v>#REF!</v>
      </c>
      <c r="Q223" s="2333" t="e">
        <f>#REF!+Q213+#REF!+#REF!</f>
        <v>#REF!</v>
      </c>
      <c r="R223" s="2333" t="e">
        <f>#REF!+R213+#REF!+#REF!</f>
        <v>#REF!</v>
      </c>
      <c r="S223" s="2333"/>
      <c r="T223" s="2333"/>
      <c r="U223" s="2333" t="e">
        <f>#REF!+U213+#REF!+#REF!</f>
        <v>#REF!</v>
      </c>
      <c r="V223" s="2333" t="e">
        <f>#REF!+V213+#REF!+#REF!</f>
        <v>#REF!</v>
      </c>
      <c r="W223" s="2333" t="e">
        <f>#REF!+W213+#REF!+#REF!</f>
        <v>#REF!</v>
      </c>
      <c r="X223" s="2333" t="e">
        <f>#REF!+X213+#REF!+#REF!</f>
        <v>#REF!</v>
      </c>
      <c r="Y223" s="2333" t="e">
        <f>#REF!+Y213+#REF!+#REF!</f>
        <v>#REF!</v>
      </c>
      <c r="AA223" s="2292"/>
    </row>
    <row r="224" spans="1:16276" s="2290" customFormat="1" hidden="1" x14ac:dyDescent="0.25">
      <c r="B224" s="2398">
        <v>922</v>
      </c>
      <c r="C224" s="2521"/>
      <c r="D224" s="2342"/>
      <c r="E224" s="2382"/>
      <c r="F224" s="2333" t="e">
        <f>F214+#REF!+#REF!+#REF!</f>
        <v>#REF!</v>
      </c>
      <c r="G224" s="2333" t="e">
        <f>G214+#REF!+#REF!+#REF!</f>
        <v>#REF!</v>
      </c>
      <c r="H224" s="2333" t="e">
        <f>H214+#REF!+#REF!+#REF!</f>
        <v>#REF!</v>
      </c>
      <c r="I224" s="2333" t="e">
        <f>I214+#REF!+#REF!+#REF!</f>
        <v>#REF!</v>
      </c>
      <c r="J224" s="2333" t="e">
        <f>J214+#REF!+#REF!+#REF!</f>
        <v>#REF!</v>
      </c>
      <c r="K224" s="2333" t="e">
        <f>K214+#REF!+#REF!+#REF!</f>
        <v>#REF!</v>
      </c>
      <c r="L224" s="2333" t="e">
        <f>L214+#REF!+#REF!+#REF!</f>
        <v>#REF!</v>
      </c>
      <c r="M224" s="2333" t="e">
        <f>M214+#REF!+#REF!+#REF!</f>
        <v>#REF!</v>
      </c>
      <c r="N224" s="2333" t="e">
        <f>N214+#REF!+#REF!+#REF!</f>
        <v>#REF!</v>
      </c>
      <c r="O224" s="2333" t="e">
        <f>O214+#REF!+#REF!+#REF!</f>
        <v>#REF!</v>
      </c>
      <c r="P224" s="2333" t="e">
        <f>P214+#REF!+#REF!+#REF!</f>
        <v>#REF!</v>
      </c>
      <c r="Q224" s="2333" t="e">
        <f>Q214+#REF!+#REF!+#REF!</f>
        <v>#REF!</v>
      </c>
      <c r="R224" s="2333" t="e">
        <f>R214+#REF!+#REF!+#REF!</f>
        <v>#REF!</v>
      </c>
      <c r="S224" s="2333"/>
      <c r="T224" s="2333"/>
      <c r="U224" s="2333" t="e">
        <f>U214+#REF!+#REF!+#REF!</f>
        <v>#REF!</v>
      </c>
      <c r="V224" s="2333" t="e">
        <f>V214+#REF!+#REF!+#REF!</f>
        <v>#REF!</v>
      </c>
      <c r="W224" s="2333" t="e">
        <f>W214+#REF!+#REF!+#REF!</f>
        <v>#REF!</v>
      </c>
      <c r="X224" s="2333" t="e">
        <f>X214+#REF!+#REF!+#REF!</f>
        <v>#REF!</v>
      </c>
      <c r="Y224" s="2333" t="e">
        <f>Y214+#REF!+#REF!+#REF!</f>
        <v>#REF!</v>
      </c>
      <c r="AA224" s="2292"/>
    </row>
    <row r="225" spans="2:27" s="2290" customFormat="1" hidden="1" x14ac:dyDescent="0.25">
      <c r="B225" s="2398">
        <v>925</v>
      </c>
      <c r="C225" s="2521"/>
      <c r="D225" s="2342"/>
      <c r="E225" s="2382"/>
      <c r="F225" s="2333" t="e">
        <f>#REF!</f>
        <v>#REF!</v>
      </c>
      <c r="G225" s="2333" t="e">
        <f>#REF!</f>
        <v>#REF!</v>
      </c>
      <c r="H225" s="2333" t="e">
        <f>#REF!</f>
        <v>#REF!</v>
      </c>
      <c r="I225" s="2333" t="e">
        <f>#REF!</f>
        <v>#REF!</v>
      </c>
      <c r="J225" s="2333" t="e">
        <f>#REF!</f>
        <v>#REF!</v>
      </c>
      <c r="K225" s="2333" t="e">
        <f>#REF!</f>
        <v>#REF!</v>
      </c>
      <c r="L225" s="2333" t="e">
        <f>#REF!</f>
        <v>#REF!</v>
      </c>
      <c r="M225" s="2333" t="e">
        <f>#REF!</f>
        <v>#REF!</v>
      </c>
      <c r="N225" s="2333" t="e">
        <f>#REF!</f>
        <v>#REF!</v>
      </c>
      <c r="O225" s="2333" t="e">
        <f>#REF!</f>
        <v>#REF!</v>
      </c>
      <c r="P225" s="2333" t="e">
        <f>#REF!</f>
        <v>#REF!</v>
      </c>
      <c r="Q225" s="2333" t="e">
        <f>#REF!</f>
        <v>#REF!</v>
      </c>
      <c r="R225" s="2333" t="e">
        <f>#REF!</f>
        <v>#REF!</v>
      </c>
      <c r="S225" s="2333"/>
      <c r="T225" s="2333"/>
      <c r="U225" s="2333" t="e">
        <f>#REF!</f>
        <v>#REF!</v>
      </c>
      <c r="V225" s="2333" t="e">
        <f>#REF!</f>
        <v>#REF!</v>
      </c>
      <c r="W225" s="2333" t="e">
        <f>#REF!</f>
        <v>#REF!</v>
      </c>
      <c r="X225" s="2333" t="e">
        <f>#REF!</f>
        <v>#REF!</v>
      </c>
      <c r="Y225" s="2333" t="e">
        <f>#REF!</f>
        <v>#REF!</v>
      </c>
      <c r="AA225" s="2292"/>
    </row>
    <row r="226" spans="2:27" s="2290" customFormat="1" hidden="1" x14ac:dyDescent="0.25">
      <c r="B226" s="2398">
        <v>926</v>
      </c>
      <c r="C226" s="2521"/>
      <c r="D226" s="2342"/>
      <c r="E226" s="2382"/>
      <c r="F226" s="2333" t="e">
        <f>#REF!</f>
        <v>#REF!</v>
      </c>
      <c r="G226" s="2333" t="e">
        <f>#REF!</f>
        <v>#REF!</v>
      </c>
      <c r="H226" s="2333" t="e">
        <f>#REF!</f>
        <v>#REF!</v>
      </c>
      <c r="I226" s="2333" t="e">
        <f>#REF!</f>
        <v>#REF!</v>
      </c>
      <c r="J226" s="2333" t="e">
        <f>#REF!</f>
        <v>#REF!</v>
      </c>
      <c r="K226" s="2333" t="e">
        <f>#REF!</f>
        <v>#REF!</v>
      </c>
      <c r="L226" s="2333" t="e">
        <f>#REF!</f>
        <v>#REF!</v>
      </c>
      <c r="M226" s="2333" t="e">
        <f>#REF!</f>
        <v>#REF!</v>
      </c>
      <c r="N226" s="2333" t="e">
        <f>#REF!</f>
        <v>#REF!</v>
      </c>
      <c r="O226" s="2333" t="e">
        <f>#REF!</f>
        <v>#REF!</v>
      </c>
      <c r="P226" s="2333" t="e">
        <f>#REF!</f>
        <v>#REF!</v>
      </c>
      <c r="Q226" s="2333" t="e">
        <f>#REF!</f>
        <v>#REF!</v>
      </c>
      <c r="R226" s="2333" t="e">
        <f>#REF!</f>
        <v>#REF!</v>
      </c>
      <c r="S226" s="2333"/>
      <c r="T226" s="2333"/>
      <c r="U226" s="2333" t="e">
        <f>#REF!</f>
        <v>#REF!</v>
      </c>
      <c r="V226" s="2333" t="e">
        <f>#REF!</f>
        <v>#REF!</v>
      </c>
      <c r="W226" s="2333" t="e">
        <f>#REF!</f>
        <v>#REF!</v>
      </c>
      <c r="X226" s="2333" t="e">
        <f>#REF!</f>
        <v>#REF!</v>
      </c>
      <c r="Y226" s="2333" t="e">
        <f>#REF!</f>
        <v>#REF!</v>
      </c>
      <c r="AA226" s="2292"/>
    </row>
    <row r="227" spans="2:27" s="2290" customFormat="1" hidden="1" x14ac:dyDescent="0.25">
      <c r="B227" s="2398">
        <v>951</v>
      </c>
      <c r="C227" s="2521"/>
      <c r="D227" s="2342"/>
      <c r="E227" s="2382"/>
      <c r="F227" s="2333" t="e">
        <f>#REF!</f>
        <v>#REF!</v>
      </c>
      <c r="G227" s="2333" t="e">
        <f>#REF!</f>
        <v>#REF!</v>
      </c>
      <c r="H227" s="2333" t="e">
        <f>#REF!</f>
        <v>#REF!</v>
      </c>
      <c r="I227" s="2333" t="e">
        <f>#REF!</f>
        <v>#REF!</v>
      </c>
      <c r="J227" s="2333" t="e">
        <f>#REF!</f>
        <v>#REF!</v>
      </c>
      <c r="K227" s="2333" t="e">
        <f>#REF!</f>
        <v>#REF!</v>
      </c>
      <c r="L227" s="2333" t="e">
        <f>#REF!</f>
        <v>#REF!</v>
      </c>
      <c r="M227" s="2333" t="e">
        <f>#REF!</f>
        <v>#REF!</v>
      </c>
      <c r="N227" s="2333" t="e">
        <f>#REF!</f>
        <v>#REF!</v>
      </c>
      <c r="O227" s="2333" t="e">
        <f>#REF!</f>
        <v>#REF!</v>
      </c>
      <c r="P227" s="2333" t="e">
        <f>#REF!</f>
        <v>#REF!</v>
      </c>
      <c r="Q227" s="2333" t="e">
        <f>#REF!</f>
        <v>#REF!</v>
      </c>
      <c r="R227" s="2333" t="e">
        <f>#REF!</f>
        <v>#REF!</v>
      </c>
      <c r="S227" s="2333"/>
      <c r="T227" s="2333"/>
      <c r="U227" s="2333" t="e">
        <f>#REF!</f>
        <v>#REF!</v>
      </c>
      <c r="V227" s="2333" t="e">
        <f>#REF!</f>
        <v>#REF!</v>
      </c>
      <c r="W227" s="2333" t="e">
        <f>#REF!</f>
        <v>#REF!</v>
      </c>
      <c r="X227" s="2333" t="e">
        <f>#REF!</f>
        <v>#REF!</v>
      </c>
      <c r="Y227" s="2333" t="e">
        <f>#REF!</f>
        <v>#REF!</v>
      </c>
      <c r="AA227" s="2292"/>
    </row>
    <row r="228" spans="2:27" s="2290" customFormat="1" hidden="1" x14ac:dyDescent="0.25">
      <c r="B228" s="2398">
        <v>952</v>
      </c>
      <c r="C228" s="2521"/>
      <c r="D228" s="2342"/>
      <c r="E228" s="2382"/>
      <c r="F228" s="2333" t="e">
        <f>F215+#REF!+#REF!</f>
        <v>#REF!</v>
      </c>
      <c r="G228" s="2333" t="e">
        <f>G215+#REF!+#REF!</f>
        <v>#REF!</v>
      </c>
      <c r="H228" s="2333" t="e">
        <f>H215+#REF!+#REF!</f>
        <v>#REF!</v>
      </c>
      <c r="I228" s="2333" t="e">
        <f>I215+#REF!+#REF!</f>
        <v>#REF!</v>
      </c>
      <c r="J228" s="2333" t="e">
        <f>J215+#REF!+#REF!</f>
        <v>#REF!</v>
      </c>
      <c r="K228" s="2333" t="e">
        <f>K215+#REF!+#REF!</f>
        <v>#REF!</v>
      </c>
      <c r="L228" s="2333" t="e">
        <f>L215+#REF!+#REF!</f>
        <v>#REF!</v>
      </c>
      <c r="M228" s="2333" t="e">
        <f>M215+#REF!+#REF!</f>
        <v>#REF!</v>
      </c>
      <c r="N228" s="2333" t="e">
        <f>N215+#REF!+#REF!</f>
        <v>#REF!</v>
      </c>
      <c r="O228" s="2333" t="e">
        <f>O215+#REF!+#REF!</f>
        <v>#REF!</v>
      </c>
      <c r="P228" s="2333" t="e">
        <f>P215+#REF!+#REF!</f>
        <v>#REF!</v>
      </c>
      <c r="Q228" s="2333" t="e">
        <f>Q215+#REF!+#REF!</f>
        <v>#REF!</v>
      </c>
      <c r="R228" s="2333" t="e">
        <f>R215+#REF!+#REF!</f>
        <v>#REF!</v>
      </c>
      <c r="S228" s="2333"/>
      <c r="T228" s="2333"/>
      <c r="U228" s="2333" t="e">
        <f>U215+#REF!+#REF!</f>
        <v>#REF!</v>
      </c>
      <c r="V228" s="2333" t="e">
        <f>V215+#REF!+#REF!</f>
        <v>#REF!</v>
      </c>
      <c r="W228" s="2333" t="e">
        <f>W215+#REF!+#REF!</f>
        <v>#REF!</v>
      </c>
      <c r="X228" s="2333" t="e">
        <f>X215+#REF!+#REF!</f>
        <v>#REF!</v>
      </c>
      <c r="Y228" s="2333" t="e">
        <f>Y215+#REF!+#REF!</f>
        <v>#REF!</v>
      </c>
      <c r="AA228" s="2292"/>
    </row>
    <row r="229" spans="2:27" s="2290" customFormat="1" hidden="1" x14ac:dyDescent="0.25">
      <c r="B229" s="2398">
        <v>953</v>
      </c>
      <c r="C229" s="2521"/>
      <c r="D229" s="2342"/>
      <c r="E229" s="2382"/>
      <c r="F229" s="2333" t="e">
        <f>#REF!+#REF!</f>
        <v>#REF!</v>
      </c>
      <c r="G229" s="2333" t="e">
        <f>#REF!+#REF!</f>
        <v>#REF!</v>
      </c>
      <c r="H229" s="2333" t="e">
        <f>#REF!+#REF!</f>
        <v>#REF!</v>
      </c>
      <c r="I229" s="2333" t="e">
        <f>#REF!+#REF!</f>
        <v>#REF!</v>
      </c>
      <c r="J229" s="2333" t="e">
        <f>#REF!+#REF!</f>
        <v>#REF!</v>
      </c>
      <c r="K229" s="2333" t="e">
        <f>#REF!+#REF!</f>
        <v>#REF!</v>
      </c>
      <c r="L229" s="2333" t="e">
        <f>#REF!+#REF!</f>
        <v>#REF!</v>
      </c>
      <c r="M229" s="2333" t="e">
        <f>#REF!+#REF!</f>
        <v>#REF!</v>
      </c>
      <c r="N229" s="2333" t="e">
        <f>#REF!+#REF!</f>
        <v>#REF!</v>
      </c>
      <c r="O229" s="2333" t="e">
        <f>#REF!+#REF!</f>
        <v>#REF!</v>
      </c>
      <c r="P229" s="2333" t="e">
        <f>#REF!+#REF!</f>
        <v>#REF!</v>
      </c>
      <c r="Q229" s="2333" t="e">
        <f>#REF!+#REF!</f>
        <v>#REF!</v>
      </c>
      <c r="R229" s="2333" t="e">
        <f>#REF!+#REF!</f>
        <v>#REF!</v>
      </c>
      <c r="S229" s="2333"/>
      <c r="T229" s="2333"/>
      <c r="U229" s="2333" t="e">
        <f>#REF!+#REF!</f>
        <v>#REF!</v>
      </c>
      <c r="V229" s="2333" t="e">
        <f>#REF!+#REF!</f>
        <v>#REF!</v>
      </c>
      <c r="W229" s="2333" t="e">
        <f>#REF!+#REF!</f>
        <v>#REF!</v>
      </c>
      <c r="X229" s="2333" t="e">
        <f>#REF!+#REF!</f>
        <v>#REF!</v>
      </c>
      <c r="Y229" s="2333" t="e">
        <f>#REF!+#REF!</f>
        <v>#REF!</v>
      </c>
      <c r="AA229" s="2292"/>
    </row>
    <row r="230" spans="2:27" s="2290" customFormat="1" hidden="1" x14ac:dyDescent="0.25">
      <c r="B230" s="2398">
        <v>954</v>
      </c>
      <c r="C230" s="2521"/>
      <c r="D230" s="2342"/>
      <c r="E230" s="2382"/>
      <c r="F230" s="2333" t="e">
        <f>#REF!+#REF!+#REF!+#REF!+#REF!+#REF!+#REF!</f>
        <v>#REF!</v>
      </c>
      <c r="G230" s="2333" t="e">
        <f>#REF!+#REF!+#REF!+#REF!+#REF!+#REF!+#REF!</f>
        <v>#REF!</v>
      </c>
      <c r="H230" s="2333" t="e">
        <f>#REF!+#REF!+#REF!+#REF!+#REF!+#REF!+#REF!</f>
        <v>#REF!</v>
      </c>
      <c r="I230" s="2333" t="e">
        <f>#REF!+#REF!+#REF!+#REF!+#REF!+#REF!+#REF!</f>
        <v>#REF!</v>
      </c>
      <c r="J230" s="2333" t="e">
        <f>#REF!+#REF!+#REF!+#REF!+#REF!+#REF!+#REF!</f>
        <v>#REF!</v>
      </c>
      <c r="K230" s="2333" t="e">
        <f>#REF!+#REF!+#REF!+#REF!+#REF!+#REF!+#REF!</f>
        <v>#REF!</v>
      </c>
      <c r="L230" s="2333" t="e">
        <f>#REF!+#REF!+#REF!+#REF!+#REF!+#REF!+#REF!</f>
        <v>#REF!</v>
      </c>
      <c r="M230" s="2333" t="e">
        <f>#REF!+#REF!+#REF!+#REF!+#REF!+#REF!+#REF!</f>
        <v>#REF!</v>
      </c>
      <c r="N230" s="2333" t="e">
        <f>#REF!+#REF!+#REF!+#REF!+#REF!+#REF!+#REF!</f>
        <v>#REF!</v>
      </c>
      <c r="O230" s="2333" t="e">
        <f>#REF!+#REF!+#REF!+#REF!+#REF!+#REF!+#REF!</f>
        <v>#REF!</v>
      </c>
      <c r="P230" s="2333" t="e">
        <f>#REF!+#REF!+#REF!+#REF!+#REF!+#REF!+#REF!</f>
        <v>#REF!</v>
      </c>
      <c r="Q230" s="2333" t="e">
        <f>#REF!+#REF!+#REF!+#REF!+#REF!+#REF!+#REF!</f>
        <v>#REF!</v>
      </c>
      <c r="R230" s="2333" t="e">
        <f>#REF!+#REF!+#REF!+#REF!+#REF!+#REF!+#REF!+#REF!</f>
        <v>#REF!</v>
      </c>
      <c r="S230" s="2333"/>
      <c r="T230" s="2333"/>
      <c r="U230" s="2333" t="e">
        <f>#REF!+#REF!+#REF!+#REF!+#REF!+#REF!+#REF!</f>
        <v>#REF!</v>
      </c>
      <c r="V230" s="2333" t="e">
        <f>#REF!+#REF!+#REF!+#REF!+#REF!+#REF!+#REF!</f>
        <v>#REF!</v>
      </c>
      <c r="W230" s="2333" t="e">
        <f>#REF!+#REF!+#REF!+#REF!+#REF!+#REF!+#REF!</f>
        <v>#REF!</v>
      </c>
      <c r="X230" s="2333" t="e">
        <f>#REF!+#REF!+#REF!+#REF!+#REF!+#REF!+#REF!+#REF!</f>
        <v>#REF!</v>
      </c>
      <c r="Y230" s="2333" t="e">
        <f>#REF!+#REF!+#REF!+#REF!+#REF!+#REF!+#REF!+#REF!</f>
        <v>#REF!</v>
      </c>
      <c r="AA230" s="2292"/>
    </row>
    <row r="231" spans="2:27" s="2290" customFormat="1" hidden="1" x14ac:dyDescent="0.25">
      <c r="B231" s="2398">
        <v>955</v>
      </c>
      <c r="C231" s="2521"/>
      <c r="D231" s="2342"/>
      <c r="E231" s="2382"/>
      <c r="F231" s="2333" t="e">
        <f>#REF!+F216+#REF!+#REF!+#REF!+#REF!+#REF!</f>
        <v>#REF!</v>
      </c>
      <c r="G231" s="2333" t="e">
        <f>#REF!+G216+#REF!+#REF!+#REF!+#REF!+#REF!</f>
        <v>#REF!</v>
      </c>
      <c r="H231" s="2333" t="e">
        <f>#REF!+H216+#REF!+#REF!+#REF!+#REF!+#REF!</f>
        <v>#REF!</v>
      </c>
      <c r="I231" s="2333" t="e">
        <f>#REF!+I216+#REF!+#REF!+#REF!+#REF!+#REF!</f>
        <v>#REF!</v>
      </c>
      <c r="J231" s="2333" t="e">
        <f>#REF!+J216+#REF!+#REF!+#REF!+#REF!+#REF!</f>
        <v>#REF!</v>
      </c>
      <c r="K231" s="2333" t="e">
        <f>#REF!+K216+#REF!+#REF!+#REF!+#REF!+#REF!</f>
        <v>#REF!</v>
      </c>
      <c r="L231" s="2333" t="e">
        <f>#REF!+L216+#REF!+#REF!+#REF!+#REF!+#REF!</f>
        <v>#REF!</v>
      </c>
      <c r="M231" s="2333" t="e">
        <f>#REF!+M216+#REF!+#REF!+#REF!+#REF!+#REF!</f>
        <v>#REF!</v>
      </c>
      <c r="N231" s="2333" t="e">
        <f>#REF!+N216+#REF!+#REF!+#REF!+#REF!+#REF!</f>
        <v>#REF!</v>
      </c>
      <c r="O231" s="2333" t="e">
        <f>#REF!+O216+#REF!+#REF!+#REF!+#REF!+#REF!</f>
        <v>#REF!</v>
      </c>
      <c r="P231" s="2333" t="e">
        <f>#REF!+P216+#REF!+#REF!+#REF!+#REF!+#REF!</f>
        <v>#REF!</v>
      </c>
      <c r="Q231" s="2333" t="e">
        <f>#REF!+Q216+#REF!+#REF!+#REF!+#REF!+#REF!</f>
        <v>#REF!</v>
      </c>
      <c r="R231" s="2333" t="e">
        <f>#REF!+R216+#REF!+#REF!+#REF!+#REF!+#REF!</f>
        <v>#REF!</v>
      </c>
      <c r="S231" s="2333"/>
      <c r="T231" s="2333"/>
      <c r="U231" s="2333" t="e">
        <f>#REF!+U216+#REF!+#REF!+#REF!+#REF!+#REF!</f>
        <v>#REF!</v>
      </c>
      <c r="V231" s="2333" t="e">
        <f>#REF!+V216+#REF!+#REF!+#REF!+#REF!+#REF!</f>
        <v>#REF!</v>
      </c>
      <c r="W231" s="2333" t="e">
        <f>#REF!+W216+#REF!+#REF!+#REF!+#REF!+#REF!</f>
        <v>#REF!</v>
      </c>
      <c r="X231" s="2333" t="e">
        <f>X216+#REF!+#REF!+#REF!+#REF!+#REF!</f>
        <v>#REF!</v>
      </c>
      <c r="Y231" s="2333" t="e">
        <f>Y216+#REF!+#REF!+#REF!+#REF!+#REF!</f>
        <v>#REF!</v>
      </c>
      <c r="AA231" s="2292"/>
    </row>
    <row r="232" spans="2:27" s="2290" customFormat="1" hidden="1" x14ac:dyDescent="0.25">
      <c r="B232" s="2398">
        <v>958</v>
      </c>
      <c r="C232" s="2521"/>
      <c r="D232" s="2342"/>
      <c r="E232" s="2382"/>
      <c r="F232" s="2333" t="e">
        <f>#REF!</f>
        <v>#REF!</v>
      </c>
      <c r="G232" s="2333" t="e">
        <f>#REF!</f>
        <v>#REF!</v>
      </c>
      <c r="H232" s="2333" t="e">
        <f>#REF!</f>
        <v>#REF!</v>
      </c>
      <c r="I232" s="2333" t="e">
        <f>#REF!</f>
        <v>#REF!</v>
      </c>
      <c r="J232" s="2333" t="e">
        <f>#REF!</f>
        <v>#REF!</v>
      </c>
      <c r="K232" s="2333" t="e">
        <f>#REF!</f>
        <v>#REF!</v>
      </c>
      <c r="L232" s="2333" t="e">
        <f>#REF!</f>
        <v>#REF!</v>
      </c>
      <c r="M232" s="2333" t="e">
        <f>#REF!</f>
        <v>#REF!</v>
      </c>
      <c r="N232" s="2333" t="e">
        <f>#REF!</f>
        <v>#REF!</v>
      </c>
      <c r="O232" s="2333" t="e">
        <f>#REF!</f>
        <v>#REF!</v>
      </c>
      <c r="P232" s="2333" t="e">
        <f>#REF!</f>
        <v>#REF!</v>
      </c>
      <c r="Q232" s="2333" t="e">
        <f>#REF!</f>
        <v>#REF!</v>
      </c>
      <c r="R232" s="2333" t="e">
        <f>#REF!</f>
        <v>#REF!</v>
      </c>
      <c r="S232" s="2333"/>
      <c r="T232" s="2333"/>
      <c r="U232" s="2333" t="e">
        <f>#REF!</f>
        <v>#REF!</v>
      </c>
      <c r="V232" s="2333" t="e">
        <f>#REF!</f>
        <v>#REF!</v>
      </c>
      <c r="W232" s="2333" t="e">
        <f>#REF!</f>
        <v>#REF!</v>
      </c>
      <c r="X232" s="2333" t="e">
        <f>#REF!</f>
        <v>#REF!</v>
      </c>
      <c r="Y232" s="2333" t="e">
        <f>#REF!</f>
        <v>#REF!</v>
      </c>
      <c r="AA232" s="2292"/>
    </row>
    <row r="233" spans="2:27" s="2290" customFormat="1" hidden="1" x14ac:dyDescent="0.25">
      <c r="B233" s="2398">
        <v>963</v>
      </c>
      <c r="C233" s="2521"/>
      <c r="D233" s="2342"/>
      <c r="E233" s="2382"/>
      <c r="F233" s="2333" t="e">
        <f>#REF!+#REF!+#REF!+#REF!+#REF!+#REF!+#REF!+F217+#REF!+#REF!+#REF!+#REF!+#REF!</f>
        <v>#REF!</v>
      </c>
      <c r="G233" s="2333" t="e">
        <f>#REF!+#REF!+#REF!+#REF!+#REF!+#REF!+#REF!+G217+#REF!+#REF!+#REF!+#REF!+#REF!</f>
        <v>#REF!</v>
      </c>
      <c r="H233" s="2333" t="e">
        <f>#REF!+#REF!+#REF!+#REF!+#REF!+#REF!+#REF!+H217+#REF!+#REF!+#REF!+#REF!+#REF!</f>
        <v>#REF!</v>
      </c>
      <c r="I233" s="2333" t="e">
        <f>#REF!+#REF!+#REF!+#REF!+#REF!+#REF!+#REF!+I217+#REF!+#REF!+#REF!+#REF!+#REF!</f>
        <v>#REF!</v>
      </c>
      <c r="J233" s="2333" t="e">
        <f>#REF!+#REF!+#REF!+#REF!+#REF!+#REF!+#REF!+J217+#REF!+#REF!+#REF!+#REF!+#REF!</f>
        <v>#REF!</v>
      </c>
      <c r="K233" s="2333" t="e">
        <f>#REF!+#REF!+#REF!+#REF!+#REF!+#REF!+#REF!+K217+#REF!+#REF!+#REF!+#REF!+#REF!</f>
        <v>#REF!</v>
      </c>
      <c r="L233" s="2333" t="e">
        <f>#REF!+#REF!+#REF!+#REF!+#REF!+#REF!+#REF!+L217+#REF!+#REF!+#REF!+#REF!+#REF!</f>
        <v>#REF!</v>
      </c>
      <c r="M233" s="2333" t="e">
        <f>#REF!+#REF!+#REF!+#REF!+#REF!+#REF!+#REF!+M217+#REF!+#REF!+#REF!+#REF!+#REF!</f>
        <v>#REF!</v>
      </c>
      <c r="N233" s="2333" t="e">
        <f>#REF!+#REF!+#REF!+#REF!+#REF!+#REF!+#REF!+N217+#REF!+#REF!+#REF!+#REF!+#REF!</f>
        <v>#REF!</v>
      </c>
      <c r="O233" s="2333" t="e">
        <f>#REF!+#REF!+#REF!+#REF!+#REF!+#REF!+#REF!+O217+#REF!+#REF!+#REF!+#REF!+#REF!</f>
        <v>#REF!</v>
      </c>
      <c r="P233" s="2333" t="e">
        <f>#REF!+#REF!+#REF!+#REF!+#REF!+#REF!+#REF!+P217+#REF!+#REF!+#REF!+#REF!+#REF!</f>
        <v>#REF!</v>
      </c>
      <c r="Q233" s="2333" t="e">
        <f>#REF!+#REF!+#REF!+#REF!+#REF!+#REF!+#REF!+Q217+#REF!+#REF!+#REF!+#REF!+#REF!</f>
        <v>#REF!</v>
      </c>
      <c r="R233" s="2333" t="e">
        <f>#REF!+#REF!+#REF!+#REF!+#REF!+#REF!+#REF!+R217+#REF!+#REF!+#REF!+#REF!+#REF!</f>
        <v>#REF!</v>
      </c>
      <c r="S233" s="2333"/>
      <c r="T233" s="2333"/>
      <c r="U233" s="2333" t="e">
        <f>#REF!+#REF!+#REF!+#REF!+#REF!+#REF!+#REF!+U217+#REF!+#REF!+#REF!+#REF!+#REF!</f>
        <v>#REF!</v>
      </c>
      <c r="V233" s="2333" t="e">
        <f>#REF!+#REF!+#REF!+#REF!+#REF!+#REF!+#REF!+V217+#REF!+#REF!+#REF!+#REF!+#REF!</f>
        <v>#REF!</v>
      </c>
      <c r="W233" s="2333" t="e">
        <f>#REF!+#REF!+#REF!+#REF!+#REF!+#REF!+#REF!+W217+#REF!+#REF!+#REF!+#REF!+#REF!</f>
        <v>#REF!</v>
      </c>
      <c r="X233" s="2333" t="e">
        <f>#REF!+#REF!+#REF!+#REF!+#REF!+#REF!+#REF!+X217+#REF!+#REF!+#REF!+#REF!+#REF!</f>
        <v>#REF!</v>
      </c>
      <c r="Y233" s="2333" t="e">
        <f>#REF!+#REF!+#REF!+#REF!+#REF!+#REF!+#REF!+Y217+#REF!+#REF!+#REF!+#REF!+#REF!</f>
        <v>#REF!</v>
      </c>
      <c r="AA233" s="2292"/>
    </row>
    <row r="234" spans="2:27" s="2290" customFormat="1" hidden="1" x14ac:dyDescent="0.25">
      <c r="B234" s="2398">
        <v>966</v>
      </c>
      <c r="C234" s="2521"/>
      <c r="D234" s="2342"/>
      <c r="E234" s="2382"/>
      <c r="F234" s="2333" t="e">
        <f>#REF!+#REF!+#REF!+F218+#REF!+#REF!+#REF!</f>
        <v>#REF!</v>
      </c>
      <c r="G234" s="2333" t="e">
        <f>#REF!+#REF!+#REF!+G218+#REF!+#REF!+#REF!</f>
        <v>#REF!</v>
      </c>
      <c r="H234" s="2333" t="e">
        <f>#REF!+#REF!+#REF!+H218+#REF!+#REF!+#REF!</f>
        <v>#REF!</v>
      </c>
      <c r="I234" s="2333" t="e">
        <f>#REF!+#REF!+#REF!+I218+#REF!+#REF!+#REF!</f>
        <v>#REF!</v>
      </c>
      <c r="J234" s="2333" t="e">
        <f>#REF!+#REF!+#REF!+J218+#REF!+#REF!+#REF!</f>
        <v>#REF!</v>
      </c>
      <c r="K234" s="2333" t="e">
        <f>#REF!+#REF!+#REF!+K218+#REF!+#REF!+#REF!</f>
        <v>#REF!</v>
      </c>
      <c r="L234" s="2333" t="e">
        <f>#REF!+#REF!+#REF!+L218+#REF!+#REF!+#REF!</f>
        <v>#REF!</v>
      </c>
      <c r="M234" s="2333" t="e">
        <f>#REF!+#REF!+#REF!+M218+#REF!+#REF!+#REF!</f>
        <v>#REF!</v>
      </c>
      <c r="N234" s="2333" t="e">
        <f>#REF!+#REF!+#REF!+N218+#REF!+#REF!+#REF!</f>
        <v>#REF!</v>
      </c>
      <c r="O234" s="2333" t="e">
        <f>#REF!+#REF!+#REF!+O218+#REF!+#REF!+#REF!</f>
        <v>#REF!</v>
      </c>
      <c r="P234" s="2333" t="e">
        <f>#REF!+#REF!+#REF!+P218+#REF!+#REF!+#REF!</f>
        <v>#REF!</v>
      </c>
      <c r="Q234" s="2333" t="e">
        <f>#REF!+#REF!+#REF!+Q218+#REF!+#REF!+#REF!</f>
        <v>#REF!</v>
      </c>
      <c r="R234" s="2333" t="e">
        <f>#REF!+#REF!+#REF!+R218+#REF!+#REF!+#REF!</f>
        <v>#REF!</v>
      </c>
      <c r="S234" s="2333"/>
      <c r="T234" s="2333"/>
      <c r="U234" s="2333" t="e">
        <f>#REF!+#REF!+#REF!+U218+#REF!+#REF!+#REF!</f>
        <v>#REF!</v>
      </c>
      <c r="V234" s="2333" t="e">
        <f>#REF!+#REF!+#REF!+V218+#REF!+#REF!+#REF!</f>
        <v>#REF!</v>
      </c>
      <c r="W234" s="2333" t="e">
        <f>#REF!+#REF!+#REF!+W218+#REF!+#REF!+#REF!</f>
        <v>#REF!</v>
      </c>
      <c r="X234" s="2333" t="e">
        <f>#REF!+#REF!+#REF!+X218+#REF!+#REF!+#REF!</f>
        <v>#REF!</v>
      </c>
      <c r="Y234" s="2333" t="e">
        <f>#REF!+#REF!+#REF!+Y218+#REF!+#REF!+#REF!</f>
        <v>#REF!</v>
      </c>
      <c r="AA234" s="2292"/>
    </row>
    <row r="235" spans="2:27" s="2290" customFormat="1" hidden="1" x14ac:dyDescent="0.25">
      <c r="B235" s="2398">
        <v>971</v>
      </c>
      <c r="C235" s="2521"/>
      <c r="D235" s="2342"/>
      <c r="E235" s="2382"/>
      <c r="F235" s="2333" t="e">
        <f>F219+#REF!+#REF!+#REF!+#REF!+#REF!</f>
        <v>#REF!</v>
      </c>
      <c r="G235" s="2333" t="e">
        <f>G219+#REF!+#REF!+#REF!+#REF!+#REF!</f>
        <v>#REF!</v>
      </c>
      <c r="H235" s="2333" t="e">
        <f>H219+#REF!+#REF!+#REF!+#REF!+#REF!</f>
        <v>#REF!</v>
      </c>
      <c r="I235" s="2333" t="e">
        <f>I219+#REF!+#REF!+#REF!+#REF!+#REF!</f>
        <v>#REF!</v>
      </c>
      <c r="J235" s="2333" t="e">
        <f>J219+#REF!+#REF!+#REF!+#REF!+#REF!</f>
        <v>#REF!</v>
      </c>
      <c r="K235" s="2333" t="e">
        <f>K219+#REF!+#REF!+#REF!+#REF!+#REF!</f>
        <v>#REF!</v>
      </c>
      <c r="L235" s="2333" t="e">
        <f>L219+#REF!+#REF!+#REF!+#REF!+#REF!</f>
        <v>#REF!</v>
      </c>
      <c r="M235" s="2333" t="e">
        <f>M219+#REF!+#REF!+#REF!+#REF!+#REF!</f>
        <v>#REF!</v>
      </c>
      <c r="N235" s="2333" t="e">
        <f>N219+#REF!+#REF!+#REF!+#REF!+#REF!</f>
        <v>#REF!</v>
      </c>
      <c r="O235" s="2333" t="e">
        <f>O219+#REF!+#REF!+#REF!+#REF!+#REF!</f>
        <v>#REF!</v>
      </c>
      <c r="P235" s="2333" t="e">
        <f>P219+#REF!+#REF!+#REF!+#REF!+#REF!</f>
        <v>#REF!</v>
      </c>
      <c r="Q235" s="2333" t="e">
        <f>Q219+#REF!+#REF!+#REF!+#REF!+#REF!</f>
        <v>#REF!</v>
      </c>
      <c r="R235" s="2333" t="e">
        <f>R219+#REF!+#REF!+#REF!+#REF!+#REF!</f>
        <v>#REF!</v>
      </c>
      <c r="S235" s="2333"/>
      <c r="T235" s="2333"/>
      <c r="U235" s="2333" t="e">
        <f>U219+#REF!+#REF!+#REF!+#REF!+#REF!</f>
        <v>#REF!</v>
      </c>
      <c r="V235" s="2333" t="e">
        <f>V219+#REF!+#REF!+#REF!+#REF!+#REF!</f>
        <v>#REF!</v>
      </c>
      <c r="W235" s="2333" t="e">
        <f>W219+#REF!+#REF!+#REF!+#REF!+#REF!</f>
        <v>#REF!</v>
      </c>
      <c r="X235" s="2333" t="e">
        <f>X219+#REF!+#REF!+#REF!+#REF!+#REF!</f>
        <v>#REF!</v>
      </c>
      <c r="Y235" s="2333" t="e">
        <f>Y219+#REF!+#REF!+#REF!+#REF!+#REF!</f>
        <v>#REF!</v>
      </c>
      <c r="AA235" s="2292"/>
    </row>
    <row r="236" spans="2:27" s="2290" customFormat="1" hidden="1" x14ac:dyDescent="0.25">
      <c r="B236" s="2398">
        <v>981</v>
      </c>
      <c r="C236" s="2521"/>
      <c r="D236" s="2342"/>
      <c r="E236" s="2382"/>
      <c r="F236" s="2333" t="e">
        <f>#REF!+#REF!+#REF!+#REF!+#REF!+F220+#REF!+#REF!+#REF!+#REF!+#REF!</f>
        <v>#REF!</v>
      </c>
      <c r="G236" s="2333" t="e">
        <f>#REF!+#REF!+#REF!+#REF!+#REF!+G220+#REF!+#REF!+#REF!+#REF!+#REF!</f>
        <v>#REF!</v>
      </c>
      <c r="H236" s="2333" t="e">
        <f>#REF!+#REF!+#REF!+#REF!+#REF!+H220+#REF!+#REF!+#REF!+#REF!+#REF!</f>
        <v>#REF!</v>
      </c>
      <c r="I236" s="2333" t="e">
        <f>#REF!+#REF!+#REF!+#REF!+#REF!+I220+#REF!+#REF!+#REF!+#REF!+#REF!</f>
        <v>#REF!</v>
      </c>
      <c r="J236" s="2333" t="e">
        <f>#REF!+#REF!+#REF!+#REF!+#REF!+J220+#REF!+#REF!+#REF!+#REF!+#REF!</f>
        <v>#REF!</v>
      </c>
      <c r="K236" s="2333" t="e">
        <f>#REF!+#REF!+#REF!+#REF!+#REF!+K220+#REF!+#REF!+#REF!+#REF!+#REF!</f>
        <v>#REF!</v>
      </c>
      <c r="L236" s="2333" t="e">
        <f>#REF!+#REF!+#REF!+#REF!+#REF!+L220+#REF!+#REF!+#REF!+#REF!+#REF!</f>
        <v>#REF!</v>
      </c>
      <c r="M236" s="2333" t="e">
        <f>#REF!+#REF!+#REF!+#REF!+#REF!+M220+#REF!+#REF!+#REF!+#REF!+#REF!</f>
        <v>#REF!</v>
      </c>
      <c r="N236" s="2333" t="e">
        <f>#REF!+#REF!+#REF!+#REF!+#REF!+N220+#REF!+#REF!+#REF!+#REF!+#REF!</f>
        <v>#REF!</v>
      </c>
      <c r="O236" s="2333" t="e">
        <f>#REF!+#REF!+#REF!+#REF!+#REF!+O220+#REF!+#REF!+#REF!+#REF!+#REF!</f>
        <v>#REF!</v>
      </c>
      <c r="P236" s="2333" t="e">
        <f>#REF!+#REF!+#REF!+#REF!+#REF!+P220+#REF!+#REF!+#REF!+#REF!+#REF!</f>
        <v>#REF!</v>
      </c>
      <c r="Q236" s="2333" t="e">
        <f>#REF!+#REF!+#REF!+#REF!+#REF!+Q220+#REF!+#REF!+#REF!+#REF!+#REF!</f>
        <v>#REF!</v>
      </c>
      <c r="R236" s="2333" t="e">
        <f>#REF!+#REF!+#REF!+#REF!+#REF!+R220+#REF!+#REF!+#REF!+#REF!+#REF!</f>
        <v>#REF!</v>
      </c>
      <c r="S236" s="2333"/>
      <c r="T236" s="2333"/>
      <c r="U236" s="2333" t="e">
        <f>#REF!+#REF!+#REF!+#REF!+#REF!+U220+#REF!+#REF!+#REF!+#REF!+#REF!</f>
        <v>#REF!</v>
      </c>
      <c r="V236" s="2333" t="e">
        <f>#REF!+#REF!+#REF!+#REF!+#REF!+V220+#REF!+#REF!+#REF!+#REF!+#REF!</f>
        <v>#REF!</v>
      </c>
      <c r="W236" s="2333" t="e">
        <f>#REF!+#REF!+#REF!+#REF!+#REF!+W220+#REF!+#REF!+#REF!+#REF!+#REF!</f>
        <v>#REF!</v>
      </c>
      <c r="X236" s="2333" t="e">
        <f>#REF!+#REF!+#REF!+#REF!+#REF!+X220+#REF!+#REF!+#REF!+#REF!+#REF!</f>
        <v>#REF!</v>
      </c>
      <c r="Y236" s="2333" t="e">
        <f>#REF!+#REF!+#REF!+#REF!+#REF!+Y220+#REF!+#REF!+#REF!+#REF!+#REF!</f>
        <v>#REF!</v>
      </c>
      <c r="AA236" s="2292"/>
    </row>
    <row r="237" spans="2:27" s="2290" customFormat="1" hidden="1" x14ac:dyDescent="0.25">
      <c r="B237" s="2398">
        <v>982</v>
      </c>
      <c r="C237" s="2521"/>
      <c r="D237" s="2342"/>
      <c r="E237" s="2382"/>
      <c r="F237" s="2333" t="e">
        <f>#REF!</f>
        <v>#REF!</v>
      </c>
      <c r="G237" s="2333" t="e">
        <f>#REF!</f>
        <v>#REF!</v>
      </c>
      <c r="H237" s="2333" t="e">
        <f>#REF!</f>
        <v>#REF!</v>
      </c>
      <c r="I237" s="2333" t="e">
        <f>#REF!</f>
        <v>#REF!</v>
      </c>
      <c r="J237" s="2333" t="e">
        <f>#REF!</f>
        <v>#REF!</v>
      </c>
      <c r="K237" s="2333" t="e">
        <f>#REF!</f>
        <v>#REF!</v>
      </c>
      <c r="L237" s="2333" t="e">
        <f>#REF!</f>
        <v>#REF!</v>
      </c>
      <c r="M237" s="2333" t="e">
        <f>#REF!</f>
        <v>#REF!</v>
      </c>
      <c r="N237" s="2333" t="e">
        <f>#REF!</f>
        <v>#REF!</v>
      </c>
      <c r="O237" s="2333" t="e">
        <f>#REF!</f>
        <v>#REF!</v>
      </c>
      <c r="P237" s="2333" t="e">
        <f>#REF!</f>
        <v>#REF!</v>
      </c>
      <c r="Q237" s="2333" t="e">
        <f>#REF!</f>
        <v>#REF!</v>
      </c>
      <c r="R237" s="2333" t="e">
        <f>#REF!</f>
        <v>#REF!</v>
      </c>
      <c r="S237" s="2333"/>
      <c r="T237" s="2333"/>
      <c r="U237" s="2333" t="e">
        <f>#REF!</f>
        <v>#REF!</v>
      </c>
      <c r="V237" s="2333" t="e">
        <f>#REF!</f>
        <v>#REF!</v>
      </c>
      <c r="W237" s="2333" t="e">
        <f>#REF!</f>
        <v>#REF!</v>
      </c>
      <c r="X237" s="2333" t="e">
        <f>#REF!</f>
        <v>#REF!</v>
      </c>
      <c r="Y237" s="2333" t="e">
        <f>#REF!</f>
        <v>#REF!</v>
      </c>
      <c r="AA237" s="2292"/>
    </row>
    <row r="238" spans="2:27" s="2290" customFormat="1" hidden="1" x14ac:dyDescent="0.25">
      <c r="B238" s="2398">
        <v>983</v>
      </c>
      <c r="C238" s="2521"/>
      <c r="D238" s="2342"/>
      <c r="E238" s="2382"/>
      <c r="F238" s="2333" t="e">
        <f>#REF!+#REF!</f>
        <v>#REF!</v>
      </c>
      <c r="G238" s="2333" t="e">
        <f>#REF!+#REF!</f>
        <v>#REF!</v>
      </c>
      <c r="H238" s="2333" t="e">
        <f>#REF!+#REF!</f>
        <v>#REF!</v>
      </c>
      <c r="I238" s="2333" t="e">
        <f>#REF!+#REF!</f>
        <v>#REF!</v>
      </c>
      <c r="J238" s="2333" t="e">
        <f>#REF!+#REF!</f>
        <v>#REF!</v>
      </c>
      <c r="K238" s="2333" t="e">
        <f>#REF!+#REF!</f>
        <v>#REF!</v>
      </c>
      <c r="L238" s="2333" t="e">
        <f>#REF!+#REF!</f>
        <v>#REF!</v>
      </c>
      <c r="M238" s="2333" t="e">
        <f>#REF!+#REF!</f>
        <v>#REF!</v>
      </c>
      <c r="N238" s="2333" t="e">
        <f>#REF!+#REF!</f>
        <v>#REF!</v>
      </c>
      <c r="O238" s="2333" t="e">
        <f>#REF!+#REF!</f>
        <v>#REF!</v>
      </c>
      <c r="P238" s="2333" t="e">
        <f>#REF!+#REF!</f>
        <v>#REF!</v>
      </c>
      <c r="Q238" s="2333" t="e">
        <f>#REF!+#REF!</f>
        <v>#REF!</v>
      </c>
      <c r="R238" s="2333" t="e">
        <f>#REF!+#REF!</f>
        <v>#REF!</v>
      </c>
      <c r="S238" s="2333"/>
      <c r="T238" s="2333"/>
      <c r="U238" s="2333" t="e">
        <f>#REF!+#REF!</f>
        <v>#REF!</v>
      </c>
      <c r="V238" s="2333" t="e">
        <f>#REF!+#REF!</f>
        <v>#REF!</v>
      </c>
      <c r="W238" s="2333" t="e">
        <f>#REF!+#REF!</f>
        <v>#REF!</v>
      </c>
      <c r="X238" s="2333" t="e">
        <f>#REF!+#REF!</f>
        <v>#REF!</v>
      </c>
      <c r="Y238" s="2333" t="e">
        <f>#REF!+#REF!</f>
        <v>#REF!</v>
      </c>
      <c r="AA238" s="2292"/>
    </row>
    <row r="239" spans="2:27" s="2290" customFormat="1" hidden="1" x14ac:dyDescent="0.25">
      <c r="B239" s="2398">
        <v>985</v>
      </c>
      <c r="C239" s="2521"/>
      <c r="D239" s="2342"/>
      <c r="E239" s="2382"/>
      <c r="F239" s="2333" t="e">
        <f>F221+#REF!+#REF!+#REF!</f>
        <v>#REF!</v>
      </c>
      <c r="G239" s="2333" t="e">
        <f>G221+#REF!+#REF!+#REF!</f>
        <v>#REF!</v>
      </c>
      <c r="H239" s="2333" t="e">
        <f>H221+#REF!+#REF!+#REF!</f>
        <v>#REF!</v>
      </c>
      <c r="I239" s="2333" t="e">
        <f>I221+#REF!+#REF!+#REF!</f>
        <v>#REF!</v>
      </c>
      <c r="J239" s="2333" t="e">
        <f>J221+#REF!+#REF!+#REF!</f>
        <v>#REF!</v>
      </c>
      <c r="K239" s="2333" t="e">
        <f>K221+#REF!+#REF!+#REF!</f>
        <v>#REF!</v>
      </c>
      <c r="L239" s="2333" t="e">
        <f>L221+#REF!+#REF!+#REF!</f>
        <v>#REF!</v>
      </c>
      <c r="M239" s="2333" t="e">
        <f>M221+#REF!+#REF!+#REF!</f>
        <v>#REF!</v>
      </c>
      <c r="N239" s="2333" t="e">
        <f>N221+#REF!+#REF!+#REF!</f>
        <v>#REF!</v>
      </c>
      <c r="O239" s="2333" t="e">
        <f>O221+#REF!+#REF!+#REF!</f>
        <v>#REF!</v>
      </c>
      <c r="P239" s="2333" t="e">
        <f>P221+#REF!+#REF!+#REF!</f>
        <v>#REF!</v>
      </c>
      <c r="Q239" s="2333" t="e">
        <f>Q221+#REF!+#REF!+#REF!</f>
        <v>#REF!</v>
      </c>
      <c r="R239" s="2333" t="e">
        <f>R221+#REF!+#REF!+#REF!</f>
        <v>#REF!</v>
      </c>
      <c r="S239" s="2333"/>
      <c r="T239" s="2333"/>
      <c r="U239" s="2333" t="e">
        <f>U221+#REF!+#REF!+#REF!</f>
        <v>#REF!</v>
      </c>
      <c r="V239" s="2333" t="e">
        <f>V221+#REF!+#REF!+#REF!</f>
        <v>#REF!</v>
      </c>
      <c r="W239" s="2333" t="e">
        <f>W221+#REF!+#REF!+#REF!</f>
        <v>#REF!</v>
      </c>
      <c r="X239" s="2333" t="e">
        <f>X221+#REF!+#REF!+#REF!</f>
        <v>#REF!</v>
      </c>
      <c r="Y239" s="2333" t="e">
        <f>Y221+#REF!+#REF!+#REF!</f>
        <v>#REF!</v>
      </c>
      <c r="AA239" s="2292"/>
    </row>
    <row r="240" spans="2:27" s="2290" customFormat="1" hidden="1" x14ac:dyDescent="0.25">
      <c r="B240" s="2398">
        <v>986</v>
      </c>
      <c r="C240" s="2521"/>
      <c r="D240" s="2342"/>
      <c r="E240" s="2382"/>
      <c r="F240" s="2333" t="e">
        <f>#REF!</f>
        <v>#REF!</v>
      </c>
      <c r="G240" s="2333" t="e">
        <f>#REF!</f>
        <v>#REF!</v>
      </c>
      <c r="H240" s="2333" t="e">
        <f>#REF!</f>
        <v>#REF!</v>
      </c>
      <c r="I240" s="2333" t="e">
        <f>#REF!</f>
        <v>#REF!</v>
      </c>
      <c r="J240" s="2333" t="e">
        <f>#REF!</f>
        <v>#REF!</v>
      </c>
      <c r="K240" s="2333" t="e">
        <f>#REF!</f>
        <v>#REF!</v>
      </c>
      <c r="L240" s="2333" t="e">
        <f>#REF!</f>
        <v>#REF!</v>
      </c>
      <c r="M240" s="2333" t="e">
        <f>#REF!</f>
        <v>#REF!</v>
      </c>
      <c r="N240" s="2333" t="e">
        <f>#REF!</f>
        <v>#REF!</v>
      </c>
      <c r="O240" s="2333" t="e">
        <f>#REF!</f>
        <v>#REF!</v>
      </c>
      <c r="P240" s="2333" t="e">
        <f>#REF!</f>
        <v>#REF!</v>
      </c>
      <c r="Q240" s="2333" t="e">
        <f>#REF!</f>
        <v>#REF!</v>
      </c>
      <c r="R240" s="2333" t="e">
        <f>#REF!</f>
        <v>#REF!</v>
      </c>
      <c r="S240" s="2333"/>
      <c r="T240" s="2333"/>
      <c r="U240" s="2333" t="e">
        <f>#REF!</f>
        <v>#REF!</v>
      </c>
      <c r="V240" s="2333" t="e">
        <f>#REF!</f>
        <v>#REF!</v>
      </c>
      <c r="W240" s="2333" t="e">
        <f>#REF!</f>
        <v>#REF!</v>
      </c>
      <c r="X240" s="2333" t="e">
        <f>#REF!</f>
        <v>#REF!</v>
      </c>
      <c r="Y240" s="2333" t="e">
        <f>#REF!</f>
        <v>#REF!</v>
      </c>
      <c r="AA240" s="2292"/>
    </row>
    <row r="241" spans="2:27" s="2290" customFormat="1" hidden="1" x14ac:dyDescent="0.25">
      <c r="B241" s="2291"/>
      <c r="C241" s="2292"/>
      <c r="D241" s="2527"/>
      <c r="E241" s="2528"/>
      <c r="F241" s="2529" t="e">
        <f>SUM(F222:F240)</f>
        <v>#REF!</v>
      </c>
      <c r="G241" s="2529" t="e">
        <f t="shared" ref="G241:Y241" si="47">SUM(G222:G240)</f>
        <v>#REF!</v>
      </c>
      <c r="H241" s="2529" t="e">
        <f t="shared" si="47"/>
        <v>#REF!</v>
      </c>
      <c r="I241" s="2529" t="e">
        <f t="shared" si="47"/>
        <v>#REF!</v>
      </c>
      <c r="J241" s="2529" t="e">
        <f t="shared" si="47"/>
        <v>#REF!</v>
      </c>
      <c r="K241" s="2529" t="e">
        <f t="shared" si="47"/>
        <v>#REF!</v>
      </c>
      <c r="L241" s="2529" t="e">
        <f t="shared" si="47"/>
        <v>#REF!</v>
      </c>
      <c r="M241" s="2529" t="e">
        <f t="shared" si="47"/>
        <v>#REF!</v>
      </c>
      <c r="N241" s="2529" t="e">
        <f t="shared" si="47"/>
        <v>#REF!</v>
      </c>
      <c r="O241" s="2529" t="e">
        <f t="shared" si="47"/>
        <v>#REF!</v>
      </c>
      <c r="P241" s="2529" t="e">
        <f t="shared" si="47"/>
        <v>#REF!</v>
      </c>
      <c r="Q241" s="2529" t="e">
        <f t="shared" si="47"/>
        <v>#REF!</v>
      </c>
      <c r="R241" s="2529" t="e">
        <f>SUM(R222:R240)</f>
        <v>#REF!</v>
      </c>
      <c r="S241" s="2529"/>
      <c r="T241" s="2529"/>
      <c r="U241" s="2529" t="e">
        <f t="shared" si="47"/>
        <v>#REF!</v>
      </c>
      <c r="V241" s="2529" t="e">
        <f t="shared" si="47"/>
        <v>#REF!</v>
      </c>
      <c r="W241" s="2529" t="e">
        <f t="shared" si="47"/>
        <v>#REF!</v>
      </c>
      <c r="X241" s="2529" t="e">
        <f t="shared" si="47"/>
        <v>#REF!</v>
      </c>
      <c r="Y241" s="2529" t="e">
        <f t="shared" si="47"/>
        <v>#REF!</v>
      </c>
      <c r="AA241" s="2292"/>
    </row>
    <row r="242" spans="2:27" s="2290" customFormat="1" hidden="1" x14ac:dyDescent="0.25">
      <c r="B242" s="2291"/>
      <c r="C242" s="2292"/>
      <c r="D242" s="2527"/>
      <c r="E242" s="2528"/>
      <c r="F242" s="2529" t="e">
        <f>#REF!-F241</f>
        <v>#REF!</v>
      </c>
      <c r="G242" s="2529" t="e">
        <f>#REF!-G241</f>
        <v>#REF!</v>
      </c>
      <c r="H242" s="2529" t="e">
        <f>#REF!-H241</f>
        <v>#REF!</v>
      </c>
      <c r="I242" s="2529" t="e">
        <f>#REF!-I241</f>
        <v>#REF!</v>
      </c>
      <c r="J242" s="2529" t="e">
        <f>#REF!-J241</f>
        <v>#REF!</v>
      </c>
      <c r="K242" s="2529" t="e">
        <f>#REF!-K241</f>
        <v>#REF!</v>
      </c>
      <c r="L242" s="2529" t="e">
        <f>#REF!-L241</f>
        <v>#REF!</v>
      </c>
      <c r="M242" s="2529" t="e">
        <f>#REF!-M241</f>
        <v>#REF!</v>
      </c>
      <c r="N242" s="2529" t="e">
        <f>#REF!-N241</f>
        <v>#REF!</v>
      </c>
      <c r="O242" s="2529" t="e">
        <f>#REF!-O241</f>
        <v>#REF!</v>
      </c>
      <c r="P242" s="2529" t="e">
        <f>#REF!-P241</f>
        <v>#REF!</v>
      </c>
      <c r="Q242" s="2529" t="e">
        <f>#REF!-Q241</f>
        <v>#REF!</v>
      </c>
      <c r="R242" s="2529" t="e">
        <f>#REF!-R241</f>
        <v>#REF!</v>
      </c>
      <c r="S242" s="2529"/>
      <c r="T242" s="2529"/>
      <c r="U242" s="2529" t="e">
        <f>#REF!-U241</f>
        <v>#REF!</v>
      </c>
      <c r="V242" s="2529" t="e">
        <f>#REF!-V241</f>
        <v>#REF!</v>
      </c>
      <c r="W242" s="2529" t="e">
        <f>#REF!-W241</f>
        <v>#REF!</v>
      </c>
      <c r="X242" s="2529" t="e">
        <f>#REF!-X241</f>
        <v>#REF!</v>
      </c>
      <c r="Y242" s="2529" t="e">
        <f>#REF!-Y241</f>
        <v>#REF!</v>
      </c>
      <c r="AA242" s="2292"/>
    </row>
    <row r="243" spans="2:27" s="2290" customFormat="1" hidden="1" x14ac:dyDescent="0.25">
      <c r="B243" s="2291"/>
      <c r="C243" s="2292"/>
      <c r="D243" s="2527"/>
      <c r="E243" s="2528"/>
      <c r="F243" s="2527" t="e">
        <f>F242</f>
        <v>#REF!</v>
      </c>
      <c r="G243" s="2527"/>
      <c r="H243" s="2527"/>
      <c r="I243" s="2527"/>
      <c r="J243" s="2527"/>
      <c r="K243" s="2527"/>
      <c r="L243" s="2527"/>
      <c r="M243" s="2527"/>
      <c r="N243" s="2527"/>
      <c r="O243" s="2527"/>
      <c r="P243" s="2527"/>
      <c r="Q243" s="2527"/>
      <c r="R243" s="2527"/>
      <c r="S243" s="2527"/>
      <c r="T243" s="2527"/>
      <c r="U243" s="2527"/>
      <c r="V243" s="2527"/>
      <c r="W243" s="2527"/>
      <c r="X243" s="2527"/>
      <c r="Y243" s="2527"/>
      <c r="Z243" s="2527" t="e">
        <f>#REF!-Z242</f>
        <v>#REF!</v>
      </c>
      <c r="AA243" s="2292"/>
    </row>
    <row r="244" spans="2:27" x14ac:dyDescent="0.25">
      <c r="D244" s="2531"/>
      <c r="E244" s="2531"/>
      <c r="F244" s="2531"/>
      <c r="G244" s="2531"/>
      <c r="H244" s="2531"/>
      <c r="I244" s="2531"/>
      <c r="J244" s="2531"/>
      <c r="K244" s="2531"/>
      <c r="L244" s="2531"/>
      <c r="M244" s="2531"/>
      <c r="N244" s="2531"/>
      <c r="O244" s="2531"/>
      <c r="P244" s="2531"/>
      <c r="Q244" s="2531"/>
      <c r="R244" s="2531"/>
      <c r="S244" s="2531"/>
      <c r="T244" s="2531"/>
      <c r="U244" s="2531"/>
      <c r="V244" s="2531"/>
      <c r="W244" s="2531"/>
      <c r="X244" s="2531"/>
      <c r="Y244" s="2531"/>
      <c r="Z244" s="2531"/>
    </row>
    <row r="245" spans="2:27" x14ac:dyDescent="0.25">
      <c r="D245" s="2531"/>
      <c r="E245" s="2531"/>
      <c r="F245" s="2531"/>
      <c r="G245" s="2531"/>
      <c r="H245" s="2531"/>
      <c r="I245" s="2531"/>
      <c r="J245" s="2531"/>
      <c r="K245" s="2531"/>
      <c r="L245" s="2531"/>
      <c r="M245" s="2531"/>
      <c r="N245" s="2531"/>
      <c r="O245" s="2531"/>
      <c r="P245" s="2531"/>
      <c r="Q245" s="2531"/>
      <c r="R245" s="2531"/>
      <c r="S245" s="2531"/>
      <c r="T245" s="2531"/>
      <c r="U245" s="2531"/>
      <c r="V245" s="2531"/>
      <c r="W245" s="2531"/>
      <c r="X245" s="2531"/>
      <c r="Y245" s="2531"/>
      <c r="Z245" s="2531"/>
    </row>
    <row r="252" spans="2:27" x14ac:dyDescent="0.25">
      <c r="T252" s="2532">
        <f>S220-50.6</f>
        <v>58.9</v>
      </c>
    </row>
  </sheetData>
  <autoFilter ref="A10:XEJ207">
    <filterColumn colId="1">
      <filters>
        <filter val="963"/>
      </filters>
    </filterColumn>
  </autoFilter>
  <mergeCells count="54">
    <mergeCell ref="A5:A9"/>
    <mergeCell ref="B5:B9"/>
    <mergeCell ref="C5:C9"/>
    <mergeCell ref="D5:G6"/>
    <mergeCell ref="H5:O5"/>
    <mergeCell ref="D7:D9"/>
    <mergeCell ref="E7:E9"/>
    <mergeCell ref="F7:G7"/>
    <mergeCell ref="L7:L9"/>
    <mergeCell ref="V5:W6"/>
    <mergeCell ref="X5:X6"/>
    <mergeCell ref="Y5:Y6"/>
    <mergeCell ref="Z5:Z9"/>
    <mergeCell ref="H6:K6"/>
    <mergeCell ref="L6:O6"/>
    <mergeCell ref="P6:U6"/>
    <mergeCell ref="H7:H9"/>
    <mergeCell ref="I7:I9"/>
    <mergeCell ref="J7:K7"/>
    <mergeCell ref="P5:U5"/>
    <mergeCell ref="M7:M9"/>
    <mergeCell ref="N7:O7"/>
    <mergeCell ref="P7:P9"/>
    <mergeCell ref="Q7:Q9"/>
    <mergeCell ref="R7:U7"/>
    <mergeCell ref="Z65:Z66"/>
    <mergeCell ref="W7:W9"/>
    <mergeCell ref="X7:Y7"/>
    <mergeCell ref="R8:R9"/>
    <mergeCell ref="S8:T8"/>
    <mergeCell ref="U8:U9"/>
    <mergeCell ref="X9:Y9"/>
    <mergeCell ref="V7:V9"/>
    <mergeCell ref="Z196:Z201"/>
    <mergeCell ref="F209:G209"/>
    <mergeCell ref="J209:K209"/>
    <mergeCell ref="N209:O209"/>
    <mergeCell ref="R209:U209"/>
    <mergeCell ref="A2:Z2"/>
    <mergeCell ref="A3:Z3"/>
    <mergeCell ref="Z175:Z182"/>
    <mergeCell ref="Z183:Z188"/>
    <mergeCell ref="Z189:Z195"/>
    <mergeCell ref="Z75:Z76"/>
    <mergeCell ref="Z102:Z103"/>
    <mergeCell ref="Z104:Z105"/>
    <mergeCell ref="Z109:Z112"/>
    <mergeCell ref="Z115:Z119"/>
    <mergeCell ref="Z157:Z160"/>
    <mergeCell ref="A11:Y11"/>
    <mergeCell ref="A12:Y12"/>
    <mergeCell ref="Z50:Z53"/>
    <mergeCell ref="Z55:Z57"/>
    <mergeCell ref="Z58:Z61"/>
  </mergeCells>
  <pageMargins left="0.70866141732283472" right="0.70866141732283472" top="0.74803149606299213" bottom="0.74803149606299213" header="0.31496062992125984" footer="0.31496062992125984"/>
  <pageSetup paperSize="9" scale="42" orientation="landscape" r:id="rId1"/>
  <rowBreaks count="2" manualBreakCount="2">
    <brk id="25" min="10" max="25" man="1"/>
    <brk id="128" min="10" max="2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N428"/>
  <sheetViews>
    <sheetView view="pageBreakPreview" zoomScale="70" zoomScaleNormal="70" zoomScaleSheetLayoutView="70" workbookViewId="0">
      <pane xSplit="4" ySplit="9" topLeftCell="E10" activePane="bottomRight" state="frozen"/>
      <selection activeCell="T17" sqref="T17"/>
      <selection pane="topRight" activeCell="T17" sqref="T17"/>
      <selection pane="bottomLeft" activeCell="T17" sqref="T17"/>
      <selection pane="bottomRight" activeCell="Q438" sqref="Q438"/>
    </sheetView>
  </sheetViews>
  <sheetFormatPr defaultColWidth="10.6640625" defaultRowHeight="15" x14ac:dyDescent="0.25"/>
  <cols>
    <col min="1" max="1" width="9.33203125" style="585" customWidth="1"/>
    <col min="2" max="2" width="66.33203125" style="467" customWidth="1"/>
    <col min="3" max="3" width="20.1640625" style="586" customWidth="1"/>
    <col min="4" max="5" width="16.1640625" style="585" customWidth="1"/>
    <col min="6" max="6" width="16.5" style="563" hidden="1" customWidth="1"/>
    <col min="7" max="7" width="16.5" style="564" hidden="1" customWidth="1"/>
    <col min="8" max="8" width="16.5" style="565" hidden="1" customWidth="1"/>
    <col min="9" max="9" width="10.83203125" style="470" hidden="1" customWidth="1"/>
    <col min="10" max="10" width="17.33203125" style="470" hidden="1" customWidth="1"/>
    <col min="11" max="11" width="14.83203125" style="470" hidden="1" customWidth="1"/>
    <col min="12" max="12" width="25.1640625" style="470" hidden="1" customWidth="1"/>
    <col min="13" max="13" width="17.33203125" style="470" hidden="1" customWidth="1"/>
    <col min="14" max="14" width="14.83203125" style="470" hidden="1" customWidth="1"/>
    <col min="15" max="17" width="14.83203125" style="470" customWidth="1"/>
    <col min="18" max="18" width="18.33203125" style="470" customWidth="1"/>
    <col min="19" max="25" width="14.83203125" style="470" customWidth="1"/>
    <col min="26" max="27" width="14.83203125" style="566" customWidth="1"/>
    <col min="28" max="28" width="42.1640625" style="465" customWidth="1"/>
    <col min="29" max="29" width="14.83203125" style="583" customWidth="1"/>
    <col min="30" max="30" width="12.83203125" style="467" customWidth="1"/>
    <col min="31" max="31" width="10.83203125" style="467" bestFit="1" customWidth="1"/>
    <col min="32" max="32" width="18.5" style="584" customWidth="1"/>
    <col min="33" max="33" width="13.5" style="467" customWidth="1"/>
    <col min="34" max="16384" width="10.6640625" style="467"/>
  </cols>
  <sheetData>
    <row r="1" spans="1:40" x14ac:dyDescent="0.25">
      <c r="A1" s="1034"/>
      <c r="B1" s="374"/>
      <c r="C1" s="374"/>
      <c r="D1" s="1034"/>
      <c r="E1" s="1034"/>
      <c r="F1" s="375"/>
      <c r="G1" s="376"/>
      <c r="H1" s="377"/>
      <c r="I1" s="378"/>
      <c r="J1" s="378"/>
      <c r="K1" s="463"/>
      <c r="L1" s="378"/>
      <c r="M1" s="378"/>
      <c r="N1" s="463"/>
      <c r="O1" s="378"/>
      <c r="P1" s="378"/>
      <c r="Q1" s="463"/>
      <c r="R1" s="463"/>
      <c r="S1" s="463"/>
      <c r="T1" s="378"/>
      <c r="U1" s="378"/>
      <c r="V1" s="463"/>
      <c r="W1" s="378"/>
      <c r="X1" s="378"/>
      <c r="Y1" s="463"/>
      <c r="Z1" s="377"/>
      <c r="AA1" s="377"/>
      <c r="AB1" s="379"/>
      <c r="AC1" s="464"/>
      <c r="AD1" s="465"/>
      <c r="AE1" s="465"/>
      <c r="AF1" s="466"/>
      <c r="AG1" s="465"/>
      <c r="AH1" s="465"/>
    </row>
    <row r="2" spans="1:40" ht="24.75" customHeight="1" x14ac:dyDescent="0.25">
      <c r="A2" s="3513" t="s">
        <v>2184</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464"/>
      <c r="AD2" s="465"/>
      <c r="AE2" s="465"/>
      <c r="AF2" s="466"/>
      <c r="AG2" s="465"/>
      <c r="AH2" s="465"/>
    </row>
    <row r="3" spans="1:40" ht="18.75" x14ac:dyDescent="0.25">
      <c r="A3" s="3538" t="s">
        <v>2024</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464"/>
      <c r="AD3" s="465"/>
      <c r="AE3" s="465"/>
      <c r="AF3" s="466"/>
      <c r="AG3" s="465"/>
      <c r="AH3" s="465"/>
    </row>
    <row r="4" spans="1:40" ht="15.75" x14ac:dyDescent="0.25">
      <c r="A4" s="1034"/>
      <c r="B4" s="374"/>
      <c r="C4" s="374"/>
      <c r="D4" s="1034"/>
      <c r="E4" s="1034"/>
      <c r="F4" s="375"/>
      <c r="G4" s="376"/>
      <c r="H4" s="377"/>
      <c r="I4" s="378"/>
      <c r="J4" s="378"/>
      <c r="K4" s="463"/>
      <c r="L4" s="378"/>
      <c r="M4" s="378"/>
      <c r="N4" s="463"/>
      <c r="O4" s="378"/>
      <c r="P4" s="378"/>
      <c r="Q4" s="463"/>
      <c r="R4" s="463"/>
      <c r="S4" s="463"/>
      <c r="T4" s="378"/>
      <c r="U4" s="378"/>
      <c r="V4" s="463"/>
      <c r="W4" s="378"/>
      <c r="X4" s="378"/>
      <c r="Y4" s="463"/>
      <c r="Z4" s="377"/>
      <c r="AA4" s="377"/>
      <c r="AB4" s="683">
        <v>43831</v>
      </c>
      <c r="AC4" s="464"/>
      <c r="AD4" s="465"/>
      <c r="AE4" s="465"/>
      <c r="AF4" s="466"/>
      <c r="AG4" s="465"/>
      <c r="AH4" s="465"/>
    </row>
    <row r="5" spans="1:40" ht="63.75" customHeight="1" x14ac:dyDescent="0.25">
      <c r="A5" s="3539" t="s">
        <v>78</v>
      </c>
      <c r="B5" s="3539" t="s">
        <v>484</v>
      </c>
      <c r="C5" s="3540" t="s">
        <v>485</v>
      </c>
      <c r="D5" s="3539" t="s">
        <v>486</v>
      </c>
      <c r="E5" s="3539" t="s">
        <v>219</v>
      </c>
      <c r="F5" s="3533" t="s">
        <v>344</v>
      </c>
      <c r="G5" s="3533"/>
      <c r="H5" s="3533"/>
      <c r="I5" s="3533" t="s">
        <v>487</v>
      </c>
      <c r="J5" s="3533"/>
      <c r="K5" s="3533"/>
      <c r="L5" s="3541" t="s">
        <v>488</v>
      </c>
      <c r="M5" s="3542"/>
      <c r="N5" s="3543"/>
      <c r="O5" s="3533" t="s">
        <v>489</v>
      </c>
      <c r="P5" s="3533"/>
      <c r="Q5" s="3533"/>
      <c r="R5" s="3531" t="s">
        <v>490</v>
      </c>
      <c r="S5" s="3532"/>
      <c r="T5" s="3533" t="s">
        <v>205</v>
      </c>
      <c r="U5" s="3533"/>
      <c r="V5" s="3533"/>
      <c r="W5" s="3534" t="s">
        <v>206</v>
      </c>
      <c r="X5" s="3535"/>
      <c r="Y5" s="3536"/>
      <c r="Z5" s="3537" t="s">
        <v>120</v>
      </c>
      <c r="AA5" s="3537"/>
      <c r="AB5" s="3530" t="s">
        <v>491</v>
      </c>
      <c r="AC5" s="464"/>
      <c r="AD5" s="465"/>
      <c r="AE5" s="465"/>
      <c r="AF5" s="466"/>
      <c r="AG5" s="465"/>
      <c r="AH5" s="465"/>
    </row>
    <row r="6" spans="1:40" s="465" customFormat="1" ht="62.25" customHeight="1" x14ac:dyDescent="0.25">
      <c r="A6" s="3539"/>
      <c r="B6" s="3539"/>
      <c r="C6" s="3540"/>
      <c r="D6" s="3539"/>
      <c r="E6" s="3539"/>
      <c r="F6" s="3544" t="s">
        <v>492</v>
      </c>
      <c r="G6" s="3545" t="s">
        <v>493</v>
      </c>
      <c r="H6" s="3520" t="s">
        <v>494</v>
      </c>
      <c r="I6" s="3520" t="s">
        <v>492</v>
      </c>
      <c r="J6" s="3520" t="s">
        <v>493</v>
      </c>
      <c r="K6" s="3520" t="s">
        <v>494</v>
      </c>
      <c r="L6" s="3521" t="s">
        <v>492</v>
      </c>
      <c r="M6" s="3521" t="s">
        <v>493</v>
      </c>
      <c r="N6" s="3521" t="s">
        <v>494</v>
      </c>
      <c r="O6" s="3520" t="s">
        <v>492</v>
      </c>
      <c r="P6" s="3520" t="s">
        <v>493</v>
      </c>
      <c r="Q6" s="3520" t="s">
        <v>494</v>
      </c>
      <c r="R6" s="468" t="s">
        <v>495</v>
      </c>
      <c r="S6" s="1243" t="s">
        <v>496</v>
      </c>
      <c r="T6" s="3520" t="s">
        <v>492</v>
      </c>
      <c r="U6" s="3520" t="s">
        <v>493</v>
      </c>
      <c r="V6" s="3520" t="s">
        <v>494</v>
      </c>
      <c r="W6" s="3521" t="s">
        <v>492</v>
      </c>
      <c r="X6" s="3521" t="s">
        <v>493</v>
      </c>
      <c r="Y6" s="3521" t="s">
        <v>494</v>
      </c>
      <c r="Z6" s="3520" t="s">
        <v>497</v>
      </c>
      <c r="AA6" s="3526" t="s">
        <v>498</v>
      </c>
      <c r="AB6" s="3530"/>
      <c r="AC6" s="469">
        <f>Z9+[16]РМС!X9+[16]СПЖ!X9+[16]ОД!X9+[16]Наркомания!X9+[16]Молодежь!X9+[16]Стимулирование!V1392</f>
        <v>1717.5</v>
      </c>
      <c r="AD6" s="470">
        <f>S9+[16]Стимулирование!T873+1750</f>
        <v>2183.6999999999998</v>
      </c>
      <c r="AF6" s="466"/>
    </row>
    <row r="7" spans="1:40" s="465" customFormat="1" ht="59.25" hidden="1" customHeight="1" x14ac:dyDescent="0.25">
      <c r="A7" s="3539"/>
      <c r="B7" s="3539"/>
      <c r="C7" s="3540"/>
      <c r="D7" s="3539"/>
      <c r="E7" s="3539"/>
      <c r="F7" s="3544"/>
      <c r="G7" s="3545"/>
      <c r="H7" s="3520"/>
      <c r="I7" s="3520"/>
      <c r="J7" s="3520"/>
      <c r="K7" s="3520"/>
      <c r="L7" s="3522"/>
      <c r="M7" s="3522"/>
      <c r="N7" s="3522"/>
      <c r="O7" s="3520"/>
      <c r="P7" s="3520"/>
      <c r="Q7" s="3520"/>
      <c r="R7" s="1243"/>
      <c r="S7" s="1243"/>
      <c r="T7" s="3520"/>
      <c r="U7" s="3520"/>
      <c r="V7" s="3520"/>
      <c r="W7" s="3522"/>
      <c r="X7" s="3522"/>
      <c r="Y7" s="3522"/>
      <c r="Z7" s="3520"/>
      <c r="AA7" s="3526"/>
      <c r="AB7" s="3530"/>
      <c r="AC7" s="464"/>
      <c r="AD7" s="470"/>
      <c r="AE7" s="470"/>
      <c r="AF7" s="466"/>
    </row>
    <row r="8" spans="1:40" s="465" customFormat="1" x14ac:dyDescent="0.25">
      <c r="A8" s="1240">
        <v>1</v>
      </c>
      <c r="B8" s="1240">
        <v>2</v>
      </c>
      <c r="C8" s="1240">
        <v>3</v>
      </c>
      <c r="D8" s="1240">
        <v>4</v>
      </c>
      <c r="E8" s="1240">
        <v>5</v>
      </c>
      <c r="F8" s="471">
        <v>6</v>
      </c>
      <c r="G8" s="471">
        <v>7</v>
      </c>
      <c r="H8" s="1240">
        <v>8</v>
      </c>
      <c r="I8" s="1240">
        <v>9</v>
      </c>
      <c r="J8" s="1240">
        <v>10</v>
      </c>
      <c r="K8" s="1240">
        <v>11</v>
      </c>
      <c r="L8" s="1240">
        <v>12</v>
      </c>
      <c r="M8" s="1240">
        <v>13</v>
      </c>
      <c r="N8" s="1240">
        <v>14</v>
      </c>
      <c r="O8" s="472">
        <v>15</v>
      </c>
      <c r="P8" s="472">
        <v>16</v>
      </c>
      <c r="Q8" s="472">
        <v>17</v>
      </c>
      <c r="R8" s="473" t="s">
        <v>499</v>
      </c>
      <c r="S8" s="473" t="s">
        <v>500</v>
      </c>
      <c r="T8" s="472">
        <v>18</v>
      </c>
      <c r="U8" s="472">
        <v>19</v>
      </c>
      <c r="V8" s="472">
        <v>20</v>
      </c>
      <c r="W8" s="472">
        <v>21</v>
      </c>
      <c r="X8" s="472">
        <v>22</v>
      </c>
      <c r="Y8" s="472">
        <v>23</v>
      </c>
      <c r="Z8" s="1240">
        <v>24</v>
      </c>
      <c r="AA8" s="1240">
        <v>25</v>
      </c>
      <c r="AB8" s="1240">
        <v>26</v>
      </c>
      <c r="AC8" s="464"/>
      <c r="AF8" s="466"/>
    </row>
    <row r="9" spans="1:40" s="486" customFormat="1" ht="26.25" hidden="1" customHeight="1" x14ac:dyDescent="0.25">
      <c r="A9" s="474"/>
      <c r="B9" s="475" t="s">
        <v>501</v>
      </c>
      <c r="C9" s="476"/>
      <c r="D9" s="477"/>
      <c r="E9" s="474"/>
      <c r="F9" s="478"/>
      <c r="G9" s="479"/>
      <c r="H9" s="480" t="e">
        <f>#REF!+H10+H32+#REF!+#REF!+#REF!+#REF!+H51+H73+#REF!+H146+#REF!+H157+#REF!+#REF!+H181+H190+H213+H252+#REF!+#REF!+#REF!+H281+H302+#REF!+H316+#REF!+#REF!+H336+#REF!+#REF!+H352+#REF!+#REF!+#REF!+#REF!+#REF!+#REF!+#REF!+#REF!+#REF!+#REF!+#REF!+H412</f>
        <v>#REF!</v>
      </c>
      <c r="I9" s="480"/>
      <c r="J9" s="480"/>
      <c r="K9" s="480">
        <f>K10+K32+K51+K73+K146+K157+K181+K190+K213+K252+K281+K302+K316+K336+K352+K412</f>
        <v>891.2</v>
      </c>
      <c r="L9" s="480"/>
      <c r="M9" s="480"/>
      <c r="N9" s="480">
        <f>N10+N32+N51+N73+N146+N157+N181+N190+N213+N252+N281+N302+N316+N336+N352+N412</f>
        <v>891.2</v>
      </c>
      <c r="O9" s="480"/>
      <c r="P9" s="480"/>
      <c r="Q9" s="480">
        <f>Q10+Q32+Q51+Q73+Q146+Q157+Q181+Q190+Q213+Q252+Q281+Q302+Q316+Q336+Q352+Q412</f>
        <v>1365.1</v>
      </c>
      <c r="R9" s="480">
        <f>R10+R32+R51+R73+R146+R157+R181+R190+R213+R252+R281+R302+R316+R336+R352+R412</f>
        <v>1131.0999999999999</v>
      </c>
      <c r="S9" s="480">
        <f>S10+S32+S51+S73+S146+S157+S181+S190+S213+S252+S281+S302+S316+S336+S352+S412</f>
        <v>233.9</v>
      </c>
      <c r="T9" s="480"/>
      <c r="U9" s="480"/>
      <c r="V9" s="480">
        <f>V10+V32+V51+V73+V146+V157+V181+V190+V213+V252+V281+V302+V316+V336+V352+V412</f>
        <v>1043.9000000000001</v>
      </c>
      <c r="W9" s="480"/>
      <c r="X9" s="480"/>
      <c r="Y9" s="480">
        <f>Y10+Y32+Y51+Y73+Y146+Y157+Y181+Y190+Y213+Y252+Y281+Y302+Y316+Y336+Y352+Y412</f>
        <v>1043.9000000000001</v>
      </c>
      <c r="Z9" s="480">
        <f t="shared" ref="Z9:Z72" si="0">Q9-K9</f>
        <v>473.9</v>
      </c>
      <c r="AA9" s="480">
        <f t="shared" ref="AA9:AA72" si="1">IFERROR(Q9/K9*100,"-")</f>
        <v>153.19999999999999</v>
      </c>
      <c r="AB9" s="481"/>
      <c r="AC9" s="482"/>
      <c r="AD9" s="483"/>
      <c r="AE9" s="483"/>
      <c r="AF9" s="484"/>
      <c r="AG9" s="485"/>
      <c r="AH9" s="484"/>
      <c r="AI9" s="483"/>
      <c r="AJ9" s="483"/>
      <c r="AL9" s="483"/>
      <c r="AM9" s="483"/>
      <c r="AN9" s="483"/>
    </row>
    <row r="10" spans="1:40" s="492" customFormat="1" ht="14.25" hidden="1" x14ac:dyDescent="0.2">
      <c r="A10" s="487"/>
      <c r="B10" s="831" t="s">
        <v>1231</v>
      </c>
      <c r="C10" s="490"/>
      <c r="D10" s="487"/>
      <c r="E10" s="487"/>
      <c r="F10" s="832"/>
      <c r="G10" s="833"/>
      <c r="H10" s="513" t="e">
        <f>#REF!+H11+#REF!</f>
        <v>#REF!</v>
      </c>
      <c r="I10" s="513"/>
      <c r="J10" s="513"/>
      <c r="K10" s="513">
        <f>K11</f>
        <v>34.200000000000003</v>
      </c>
      <c r="L10" s="513"/>
      <c r="M10" s="513"/>
      <c r="N10" s="513">
        <f>N11</f>
        <v>34.200000000000003</v>
      </c>
      <c r="O10" s="513"/>
      <c r="P10" s="513"/>
      <c r="Q10" s="513">
        <f>Q11</f>
        <v>37</v>
      </c>
      <c r="R10" s="513">
        <f>Q10</f>
        <v>37</v>
      </c>
      <c r="S10" s="513"/>
      <c r="T10" s="513"/>
      <c r="U10" s="513"/>
      <c r="V10" s="513">
        <f>V11</f>
        <v>31.1</v>
      </c>
      <c r="W10" s="513"/>
      <c r="X10" s="513"/>
      <c r="Y10" s="513">
        <f>Y11</f>
        <v>31.1</v>
      </c>
      <c r="Z10" s="513">
        <f t="shared" si="0"/>
        <v>2.8</v>
      </c>
      <c r="AA10" s="513">
        <f t="shared" si="1"/>
        <v>108.2</v>
      </c>
      <c r="AB10" s="834"/>
      <c r="AC10" s="491"/>
      <c r="AD10" s="835"/>
      <c r="AE10" s="835"/>
      <c r="AF10" s="836"/>
      <c r="AG10" s="466"/>
      <c r="AH10" s="466"/>
    </row>
    <row r="11" spans="1:40" s="492" customFormat="1" ht="38.25" hidden="1" x14ac:dyDescent="0.2">
      <c r="A11" s="522"/>
      <c r="B11" s="825" t="s">
        <v>1664</v>
      </c>
      <c r="C11" s="837"/>
      <c r="D11" s="522" t="s">
        <v>1444</v>
      </c>
      <c r="E11" s="838"/>
      <c r="F11" s="839"/>
      <c r="G11" s="840"/>
      <c r="H11" s="841">
        <f>H12+H16+H20+H21+H22+H23+H24+H26</f>
        <v>58.3</v>
      </c>
      <c r="I11" s="841"/>
      <c r="J11" s="841"/>
      <c r="K11" s="841">
        <f>K12+K16+K20+K21+K22+K23+K24+K26</f>
        <v>34.200000000000003</v>
      </c>
      <c r="L11" s="841"/>
      <c r="M11" s="841"/>
      <c r="N11" s="841">
        <f>N12+N16+N20+N21+N22+N23+N24+N26</f>
        <v>34.200000000000003</v>
      </c>
      <c r="O11" s="841"/>
      <c r="P11" s="841"/>
      <c r="Q11" s="841">
        <f>Q12+Q16+Q20+Q21+Q24+Q26</f>
        <v>37</v>
      </c>
      <c r="R11" s="841">
        <f t="shared" ref="R11:R72" si="2">Q11</f>
        <v>37</v>
      </c>
      <c r="S11" s="841"/>
      <c r="T11" s="841"/>
      <c r="U11" s="841"/>
      <c r="V11" s="841">
        <f>V12+V16+V20+V21+V24+V26</f>
        <v>31.1</v>
      </c>
      <c r="W11" s="841"/>
      <c r="X11" s="841"/>
      <c r="Y11" s="841">
        <f>Y12+Y16+Y20+Y21+Y24+Y26</f>
        <v>31.1</v>
      </c>
      <c r="Z11" s="841">
        <f t="shared" si="0"/>
        <v>2.8</v>
      </c>
      <c r="AA11" s="841">
        <f t="shared" si="1"/>
        <v>108.2</v>
      </c>
      <c r="AB11" s="849"/>
      <c r="AC11" s="491" t="s">
        <v>1665</v>
      </c>
      <c r="AF11" s="466"/>
      <c r="AG11" s="466"/>
      <c r="AH11" s="466"/>
    </row>
    <row r="12" spans="1:40" s="492" customFormat="1" ht="14.25" hidden="1" x14ac:dyDescent="0.2">
      <c r="A12" s="1240"/>
      <c r="B12" s="500" t="s">
        <v>1228</v>
      </c>
      <c r="C12" s="501" t="s">
        <v>797</v>
      </c>
      <c r="D12" s="1240"/>
      <c r="E12" s="842"/>
      <c r="F12" s="530"/>
      <c r="G12" s="531"/>
      <c r="H12" s="542">
        <f>SUM(H13:H15)</f>
        <v>7.8</v>
      </c>
      <c r="I12" s="532"/>
      <c r="J12" s="532"/>
      <c r="K12" s="533">
        <f>SUM(K13:K15)</f>
        <v>4</v>
      </c>
      <c r="L12" s="532"/>
      <c r="M12" s="532"/>
      <c r="N12" s="533">
        <f>SUM(N13:N15)</f>
        <v>4</v>
      </c>
      <c r="O12" s="532"/>
      <c r="P12" s="532"/>
      <c r="Q12" s="533">
        <f>SUM(Q13:Q15)</f>
        <v>4</v>
      </c>
      <c r="R12" s="533">
        <f t="shared" si="2"/>
        <v>4</v>
      </c>
      <c r="S12" s="533"/>
      <c r="T12" s="532"/>
      <c r="U12" s="532"/>
      <c r="V12" s="533">
        <f>SUM(V13:V15)</f>
        <v>4</v>
      </c>
      <c r="W12" s="532"/>
      <c r="X12" s="532"/>
      <c r="Y12" s="533">
        <f>SUM(Y13:Y15)</f>
        <v>4</v>
      </c>
      <c r="Z12" s="542">
        <f t="shared" si="0"/>
        <v>0</v>
      </c>
      <c r="AA12" s="542">
        <f t="shared" si="1"/>
        <v>100</v>
      </c>
      <c r="AB12" s="1030"/>
      <c r="AC12" s="1822" t="s">
        <v>1665</v>
      </c>
      <c r="AF12" s="466"/>
      <c r="AG12" s="466"/>
      <c r="AH12" s="466"/>
    </row>
    <row r="13" spans="1:40" s="498" customFormat="1" hidden="1" x14ac:dyDescent="0.25">
      <c r="A13" s="962"/>
      <c r="B13" s="856" t="s">
        <v>1666</v>
      </c>
      <c r="C13" s="499"/>
      <c r="D13" s="962"/>
      <c r="E13" s="1031" t="s">
        <v>227</v>
      </c>
      <c r="F13" s="494">
        <v>1</v>
      </c>
      <c r="G13" s="495">
        <v>3</v>
      </c>
      <c r="H13" s="559">
        <f>F13*G13</f>
        <v>3</v>
      </c>
      <c r="I13" s="496"/>
      <c r="J13" s="496"/>
      <c r="K13" s="857">
        <v>0</v>
      </c>
      <c r="L13" s="496"/>
      <c r="M13" s="496"/>
      <c r="N13" s="857">
        <v>0</v>
      </c>
      <c r="O13" s="496"/>
      <c r="P13" s="496"/>
      <c r="Q13" s="857"/>
      <c r="R13" s="857">
        <f t="shared" si="2"/>
        <v>0</v>
      </c>
      <c r="S13" s="857"/>
      <c r="T13" s="496"/>
      <c r="U13" s="496"/>
      <c r="V13" s="857"/>
      <c r="W13" s="496"/>
      <c r="X13" s="496"/>
      <c r="Y13" s="857"/>
      <c r="Z13" s="559">
        <f t="shared" si="0"/>
        <v>0</v>
      </c>
      <c r="AA13" s="559" t="str">
        <f t="shared" si="1"/>
        <v>-</v>
      </c>
      <c r="AB13" s="900"/>
      <c r="AC13" s="1823" t="s">
        <v>1665</v>
      </c>
      <c r="AF13" s="466"/>
      <c r="AG13" s="465"/>
      <c r="AH13" s="465"/>
    </row>
    <row r="14" spans="1:40" s="498" customFormat="1" ht="63.75" hidden="1" x14ac:dyDescent="0.25">
      <c r="A14" s="962"/>
      <c r="B14" s="1824" t="s">
        <v>1667</v>
      </c>
      <c r="C14" s="499"/>
      <c r="D14" s="962"/>
      <c r="E14" s="1031"/>
      <c r="F14" s="494"/>
      <c r="G14" s="495"/>
      <c r="H14" s="559"/>
      <c r="I14" s="496">
        <v>2</v>
      </c>
      <c r="J14" s="496">
        <v>1</v>
      </c>
      <c r="K14" s="857">
        <f>I14*J14</f>
        <v>2</v>
      </c>
      <c r="L14" s="496">
        <v>2</v>
      </c>
      <c r="M14" s="496">
        <v>1</v>
      </c>
      <c r="N14" s="857">
        <f>L14*M14</f>
        <v>2</v>
      </c>
      <c r="O14" s="496">
        <v>2</v>
      </c>
      <c r="P14" s="496">
        <v>2</v>
      </c>
      <c r="Q14" s="857">
        <f>O14*P14</f>
        <v>4</v>
      </c>
      <c r="R14" s="857">
        <f t="shared" si="2"/>
        <v>4</v>
      </c>
      <c r="S14" s="857"/>
      <c r="T14" s="496">
        <v>2</v>
      </c>
      <c r="U14" s="496">
        <v>2</v>
      </c>
      <c r="V14" s="857">
        <f>T14*U14</f>
        <v>4</v>
      </c>
      <c r="W14" s="496">
        <v>2</v>
      </c>
      <c r="X14" s="496">
        <v>2</v>
      </c>
      <c r="Y14" s="857">
        <f>W14*X14</f>
        <v>4</v>
      </c>
      <c r="Z14" s="559">
        <f t="shared" si="0"/>
        <v>2</v>
      </c>
      <c r="AA14" s="559">
        <f t="shared" si="1"/>
        <v>200</v>
      </c>
      <c r="AB14" s="900" t="s">
        <v>1668</v>
      </c>
      <c r="AC14" s="1823" t="s">
        <v>1665</v>
      </c>
      <c r="AF14" s="466"/>
      <c r="AG14" s="465"/>
      <c r="AH14" s="465"/>
    </row>
    <row r="15" spans="1:40" s="498" customFormat="1" hidden="1" x14ac:dyDescent="0.25">
      <c r="A15" s="962"/>
      <c r="B15" s="856" t="s">
        <v>1669</v>
      </c>
      <c r="C15" s="499"/>
      <c r="D15" s="962"/>
      <c r="E15" s="1031" t="s">
        <v>310</v>
      </c>
      <c r="F15" s="494">
        <v>40</v>
      </c>
      <c r="G15" s="495">
        <v>0.12</v>
      </c>
      <c r="H15" s="559">
        <f>F15*G15</f>
        <v>4.8</v>
      </c>
      <c r="I15" s="496">
        <v>40</v>
      </c>
      <c r="J15" s="883">
        <v>0.05</v>
      </c>
      <c r="K15" s="857">
        <f>I15*J15</f>
        <v>2</v>
      </c>
      <c r="L15" s="496">
        <v>40</v>
      </c>
      <c r="M15" s="883">
        <v>0.05</v>
      </c>
      <c r="N15" s="857">
        <f>L15*M15</f>
        <v>2</v>
      </c>
      <c r="O15" s="496"/>
      <c r="P15" s="496"/>
      <c r="Q15" s="857"/>
      <c r="R15" s="857">
        <f t="shared" si="2"/>
        <v>0</v>
      </c>
      <c r="S15" s="857"/>
      <c r="T15" s="496"/>
      <c r="U15" s="496"/>
      <c r="V15" s="857"/>
      <c r="W15" s="496"/>
      <c r="X15" s="496"/>
      <c r="Y15" s="857"/>
      <c r="Z15" s="559">
        <f t="shared" si="0"/>
        <v>-2</v>
      </c>
      <c r="AA15" s="559">
        <f t="shared" si="1"/>
        <v>0</v>
      </c>
      <c r="AB15" s="900"/>
      <c r="AC15" s="1823" t="s">
        <v>1665</v>
      </c>
      <c r="AF15" s="466"/>
      <c r="AG15" s="465"/>
      <c r="AH15" s="465"/>
    </row>
    <row r="16" spans="1:40" s="492" customFormat="1" ht="25.5" hidden="1" x14ac:dyDescent="0.2">
      <c r="A16" s="1240"/>
      <c r="B16" s="865" t="s">
        <v>1670</v>
      </c>
      <c r="C16" s="508" t="s">
        <v>797</v>
      </c>
      <c r="D16" s="1240"/>
      <c r="E16" s="842" t="s">
        <v>310</v>
      </c>
      <c r="F16" s="530"/>
      <c r="G16" s="531"/>
      <c r="H16" s="542">
        <f>SUM(H17:H19)</f>
        <v>6.6</v>
      </c>
      <c r="I16" s="532"/>
      <c r="J16" s="532"/>
      <c r="K16" s="533">
        <f>SUM(K17:K19)</f>
        <v>1.4</v>
      </c>
      <c r="L16" s="532"/>
      <c r="M16" s="532"/>
      <c r="N16" s="533">
        <f>SUM(N17:N19)</f>
        <v>1.4</v>
      </c>
      <c r="O16" s="532"/>
      <c r="P16" s="532"/>
      <c r="Q16" s="533">
        <f>SUM(Q17:Q19)</f>
        <v>1.4</v>
      </c>
      <c r="R16" s="533">
        <f t="shared" si="2"/>
        <v>1.4</v>
      </c>
      <c r="S16" s="533"/>
      <c r="T16" s="532"/>
      <c r="U16" s="532"/>
      <c r="V16" s="533">
        <f>SUM(V17:V19)</f>
        <v>1.4</v>
      </c>
      <c r="W16" s="532"/>
      <c r="X16" s="532"/>
      <c r="Y16" s="533">
        <f>SUM(Y17:Y19)</f>
        <v>1.4</v>
      </c>
      <c r="Z16" s="542">
        <f t="shared" si="0"/>
        <v>0</v>
      </c>
      <c r="AA16" s="542">
        <f t="shared" si="1"/>
        <v>100</v>
      </c>
      <c r="AB16" s="900"/>
      <c r="AC16" s="1823" t="s">
        <v>1665</v>
      </c>
      <c r="AF16" s="466"/>
      <c r="AG16" s="466"/>
      <c r="AH16" s="466"/>
    </row>
    <row r="17" spans="1:34" s="498" customFormat="1" ht="63.75" hidden="1" x14ac:dyDescent="0.25">
      <c r="A17" s="962"/>
      <c r="B17" s="502" t="s">
        <v>1671</v>
      </c>
      <c r="C17" s="499"/>
      <c r="D17" s="962"/>
      <c r="E17" s="1031" t="s">
        <v>227</v>
      </c>
      <c r="F17" s="494">
        <v>28</v>
      </c>
      <c r="G17" s="495">
        <v>0.1</v>
      </c>
      <c r="H17" s="559">
        <f t="shared" ref="H17:H24" si="3">F17*G17</f>
        <v>2.8</v>
      </c>
      <c r="I17" s="496">
        <v>14</v>
      </c>
      <c r="J17" s="883">
        <v>0.1</v>
      </c>
      <c r="K17" s="857">
        <f>I17*J17</f>
        <v>1.4</v>
      </c>
      <c r="L17" s="496">
        <v>14</v>
      </c>
      <c r="M17" s="883">
        <v>0.1</v>
      </c>
      <c r="N17" s="857">
        <f>L17*M17</f>
        <v>1.4</v>
      </c>
      <c r="O17" s="496">
        <v>14</v>
      </c>
      <c r="P17" s="496">
        <v>0.1</v>
      </c>
      <c r="Q17" s="857">
        <f>O17*P17</f>
        <v>1.4</v>
      </c>
      <c r="R17" s="857">
        <f t="shared" si="2"/>
        <v>1.4</v>
      </c>
      <c r="S17" s="857"/>
      <c r="T17" s="496">
        <f>O17</f>
        <v>14</v>
      </c>
      <c r="U17" s="496">
        <v>0.1</v>
      </c>
      <c r="V17" s="857">
        <f>T17*U17</f>
        <v>1.4</v>
      </c>
      <c r="W17" s="496">
        <f>T17</f>
        <v>14</v>
      </c>
      <c r="X17" s="496">
        <v>0.1</v>
      </c>
      <c r="Y17" s="857">
        <f>W17*X17</f>
        <v>1.4</v>
      </c>
      <c r="Z17" s="559">
        <f t="shared" si="0"/>
        <v>0</v>
      </c>
      <c r="AA17" s="559">
        <f t="shared" si="1"/>
        <v>100</v>
      </c>
      <c r="AB17" s="900" t="s">
        <v>1672</v>
      </c>
      <c r="AC17" s="1823" t="s">
        <v>1665</v>
      </c>
      <c r="AF17" s="466"/>
      <c r="AG17" s="465"/>
      <c r="AH17" s="465"/>
    </row>
    <row r="18" spans="1:34" s="498" customFormat="1" hidden="1" x14ac:dyDescent="0.25">
      <c r="A18" s="962"/>
      <c r="B18" s="502" t="s">
        <v>1673</v>
      </c>
      <c r="C18" s="503"/>
      <c r="D18" s="962"/>
      <c r="E18" s="1031" t="s">
        <v>227</v>
      </c>
      <c r="F18" s="494" t="s">
        <v>1087</v>
      </c>
      <c r="G18" s="495">
        <v>2</v>
      </c>
      <c r="H18" s="559">
        <f t="shared" si="3"/>
        <v>2</v>
      </c>
      <c r="I18" s="496"/>
      <c r="J18" s="496"/>
      <c r="K18" s="857">
        <f>I18*J18</f>
        <v>0</v>
      </c>
      <c r="L18" s="496"/>
      <c r="M18" s="496"/>
      <c r="N18" s="857">
        <f>L18*M18</f>
        <v>0</v>
      </c>
      <c r="O18" s="496"/>
      <c r="P18" s="496"/>
      <c r="Q18" s="857"/>
      <c r="R18" s="857">
        <f t="shared" si="2"/>
        <v>0</v>
      </c>
      <c r="S18" s="857"/>
      <c r="T18" s="496"/>
      <c r="U18" s="496"/>
      <c r="V18" s="857"/>
      <c r="W18" s="496"/>
      <c r="X18" s="496"/>
      <c r="Y18" s="857"/>
      <c r="Z18" s="559">
        <f t="shared" si="0"/>
        <v>0</v>
      </c>
      <c r="AA18" s="559" t="str">
        <f t="shared" si="1"/>
        <v>-</v>
      </c>
      <c r="AB18" s="900"/>
      <c r="AC18" s="1822" t="s">
        <v>1665</v>
      </c>
      <c r="AF18" s="466"/>
      <c r="AG18" s="465"/>
      <c r="AH18" s="465"/>
    </row>
    <row r="19" spans="1:34" s="498" customFormat="1" ht="76.5" hidden="1" x14ac:dyDescent="0.25">
      <c r="A19" s="962"/>
      <c r="B19" s="856" t="s">
        <v>1674</v>
      </c>
      <c r="C19" s="499"/>
      <c r="D19" s="962"/>
      <c r="E19" s="1031" t="s">
        <v>227</v>
      </c>
      <c r="F19" s="494" t="s">
        <v>1092</v>
      </c>
      <c r="G19" s="495" t="s">
        <v>1675</v>
      </c>
      <c r="H19" s="559">
        <f t="shared" si="3"/>
        <v>1.8</v>
      </c>
      <c r="I19" s="496"/>
      <c r="J19" s="496"/>
      <c r="K19" s="857">
        <f>I19*J19</f>
        <v>0</v>
      </c>
      <c r="L19" s="496"/>
      <c r="M19" s="496"/>
      <c r="N19" s="857">
        <f>L19*M19</f>
        <v>0</v>
      </c>
      <c r="O19" s="496"/>
      <c r="P19" s="496"/>
      <c r="Q19" s="857"/>
      <c r="R19" s="857">
        <f t="shared" si="2"/>
        <v>0</v>
      </c>
      <c r="S19" s="857"/>
      <c r="T19" s="496"/>
      <c r="U19" s="496"/>
      <c r="V19" s="857"/>
      <c r="W19" s="496"/>
      <c r="X19" s="496"/>
      <c r="Y19" s="857"/>
      <c r="Z19" s="559">
        <f t="shared" si="0"/>
        <v>0</v>
      </c>
      <c r="AA19" s="559" t="str">
        <f t="shared" si="1"/>
        <v>-</v>
      </c>
      <c r="AB19" s="900" t="s">
        <v>1676</v>
      </c>
      <c r="AC19" s="1823" t="s">
        <v>1665</v>
      </c>
      <c r="AF19" s="466"/>
      <c r="AG19" s="465"/>
      <c r="AH19" s="465"/>
    </row>
    <row r="20" spans="1:34" s="492" customFormat="1" ht="14.25" hidden="1" x14ac:dyDescent="0.2">
      <c r="A20" s="1240"/>
      <c r="B20" s="865" t="s">
        <v>1677</v>
      </c>
      <c r="C20" s="508" t="s">
        <v>796</v>
      </c>
      <c r="D20" s="1240"/>
      <c r="E20" s="842" t="s">
        <v>227</v>
      </c>
      <c r="F20" s="863">
        <v>330</v>
      </c>
      <c r="G20" s="864">
        <v>0.02</v>
      </c>
      <c r="H20" s="542">
        <f t="shared" si="3"/>
        <v>6.6</v>
      </c>
      <c r="I20" s="1825">
        <v>330</v>
      </c>
      <c r="J20" s="1825">
        <v>0</v>
      </c>
      <c r="K20" s="533">
        <f>I20*J20</f>
        <v>0</v>
      </c>
      <c r="L20" s="1825">
        <v>330</v>
      </c>
      <c r="M20" s="1825">
        <v>0</v>
      </c>
      <c r="N20" s="533">
        <f>L20*M20</f>
        <v>0</v>
      </c>
      <c r="O20" s="1825">
        <v>330</v>
      </c>
      <c r="P20" s="1825">
        <v>0</v>
      </c>
      <c r="Q20" s="533">
        <v>6.6</v>
      </c>
      <c r="R20" s="533">
        <f t="shared" si="2"/>
        <v>6.6</v>
      </c>
      <c r="S20" s="533"/>
      <c r="T20" s="1825">
        <v>330</v>
      </c>
      <c r="U20" s="1825">
        <v>0</v>
      </c>
      <c r="V20" s="533">
        <f>T20*U20</f>
        <v>0</v>
      </c>
      <c r="W20" s="1825">
        <v>330</v>
      </c>
      <c r="X20" s="1825">
        <v>0</v>
      </c>
      <c r="Y20" s="533">
        <f>W20*X20</f>
        <v>0</v>
      </c>
      <c r="Z20" s="542">
        <f t="shared" si="0"/>
        <v>6.6</v>
      </c>
      <c r="AA20" s="542" t="str">
        <f t="shared" si="1"/>
        <v>-</v>
      </c>
      <c r="AB20" s="900"/>
      <c r="AC20" s="1823" t="s">
        <v>1665</v>
      </c>
      <c r="AF20" s="466"/>
      <c r="AG20" s="466"/>
      <c r="AH20" s="466"/>
    </row>
    <row r="21" spans="1:34" s="492" customFormat="1" ht="14.25" hidden="1" x14ac:dyDescent="0.2">
      <c r="A21" s="1240"/>
      <c r="B21" s="865" t="s">
        <v>1678</v>
      </c>
      <c r="C21" s="508" t="s">
        <v>797</v>
      </c>
      <c r="D21" s="1240"/>
      <c r="E21" s="842" t="s">
        <v>227</v>
      </c>
      <c r="F21" s="863">
        <v>30</v>
      </c>
      <c r="G21" s="864">
        <v>0.06</v>
      </c>
      <c r="H21" s="1826">
        <f t="shared" si="3"/>
        <v>1.8</v>
      </c>
      <c r="I21" s="1825">
        <v>30</v>
      </c>
      <c r="J21" s="1825">
        <v>0.1</v>
      </c>
      <c r="K21" s="1825">
        <f>I21*J21</f>
        <v>3</v>
      </c>
      <c r="L21" s="1825">
        <v>30</v>
      </c>
      <c r="M21" s="1825">
        <v>0.1</v>
      </c>
      <c r="N21" s="1825">
        <f>L21*M21</f>
        <v>3</v>
      </c>
      <c r="O21" s="1825">
        <v>30</v>
      </c>
      <c r="P21" s="1825">
        <v>0.1</v>
      </c>
      <c r="Q21" s="533">
        <f>O21*P21</f>
        <v>3</v>
      </c>
      <c r="R21" s="533">
        <f t="shared" si="2"/>
        <v>3</v>
      </c>
      <c r="S21" s="533"/>
      <c r="T21" s="1825">
        <v>30</v>
      </c>
      <c r="U21" s="1825">
        <v>0.1</v>
      </c>
      <c r="V21" s="533">
        <f>T21*U21</f>
        <v>3</v>
      </c>
      <c r="W21" s="1825">
        <v>30</v>
      </c>
      <c r="X21" s="1825">
        <v>0.1</v>
      </c>
      <c r="Y21" s="533">
        <f>W21*X21</f>
        <v>3</v>
      </c>
      <c r="Z21" s="1826">
        <f t="shared" si="0"/>
        <v>0</v>
      </c>
      <c r="AA21" s="1826">
        <f t="shared" si="1"/>
        <v>100</v>
      </c>
      <c r="AB21" s="900"/>
      <c r="AC21" s="1823" t="s">
        <v>1665</v>
      </c>
      <c r="AF21" s="466"/>
      <c r="AG21" s="466"/>
      <c r="AH21" s="466"/>
    </row>
    <row r="22" spans="1:34" s="492" customFormat="1" ht="14.25" hidden="1" x14ac:dyDescent="0.2">
      <c r="A22" s="1240"/>
      <c r="B22" s="865" t="s">
        <v>1679</v>
      </c>
      <c r="C22" s="508" t="s">
        <v>796</v>
      </c>
      <c r="D22" s="1240"/>
      <c r="E22" s="842" t="s">
        <v>227</v>
      </c>
      <c r="F22" s="557">
        <v>2</v>
      </c>
      <c r="G22" s="558">
        <v>0.6</v>
      </c>
      <c r="H22" s="542">
        <f t="shared" si="3"/>
        <v>1.2</v>
      </c>
      <c r="I22" s="533"/>
      <c r="J22" s="533"/>
      <c r="K22" s="533"/>
      <c r="L22" s="533"/>
      <c r="M22" s="533"/>
      <c r="N22" s="533"/>
      <c r="O22" s="533"/>
      <c r="P22" s="533"/>
      <c r="Q22" s="533"/>
      <c r="R22" s="533">
        <f t="shared" si="2"/>
        <v>0</v>
      </c>
      <c r="S22" s="533"/>
      <c r="T22" s="533"/>
      <c r="U22" s="533"/>
      <c r="V22" s="533"/>
      <c r="W22" s="533"/>
      <c r="X22" s="533"/>
      <c r="Y22" s="533"/>
      <c r="Z22" s="542">
        <f t="shared" si="0"/>
        <v>0</v>
      </c>
      <c r="AA22" s="542" t="str">
        <f t="shared" si="1"/>
        <v>-</v>
      </c>
      <c r="AB22" s="900"/>
      <c r="AC22" s="1823" t="s">
        <v>1665</v>
      </c>
      <c r="AF22" s="466"/>
      <c r="AG22" s="466"/>
      <c r="AH22" s="466"/>
    </row>
    <row r="23" spans="1:34" s="492" customFormat="1" ht="14.25" hidden="1" x14ac:dyDescent="0.2">
      <c r="A23" s="1240"/>
      <c r="B23" s="500" t="s">
        <v>1680</v>
      </c>
      <c r="C23" s="501" t="s">
        <v>796</v>
      </c>
      <c r="D23" s="1240"/>
      <c r="E23" s="842" t="s">
        <v>227</v>
      </c>
      <c r="F23" s="863">
        <v>80</v>
      </c>
      <c r="G23" s="864">
        <v>0.06</v>
      </c>
      <c r="H23" s="1826">
        <f t="shared" si="3"/>
        <v>4.8</v>
      </c>
      <c r="I23" s="1825">
        <v>37</v>
      </c>
      <c r="J23" s="1825">
        <v>0.1</v>
      </c>
      <c r="K23" s="1825">
        <f>I23*J23</f>
        <v>3.7</v>
      </c>
      <c r="L23" s="1825">
        <v>37</v>
      </c>
      <c r="M23" s="1825">
        <v>0.1</v>
      </c>
      <c r="N23" s="1825">
        <f>L23*M23</f>
        <v>3.7</v>
      </c>
      <c r="O23" s="1825"/>
      <c r="P23" s="1825"/>
      <c r="Q23" s="1825"/>
      <c r="R23" s="1825">
        <f t="shared" si="2"/>
        <v>0</v>
      </c>
      <c r="S23" s="1825"/>
      <c r="T23" s="1825"/>
      <c r="U23" s="1825"/>
      <c r="V23" s="1825"/>
      <c r="W23" s="1825"/>
      <c r="X23" s="1825"/>
      <c r="Y23" s="1825"/>
      <c r="Z23" s="1826">
        <f t="shared" si="0"/>
        <v>-3.7</v>
      </c>
      <c r="AA23" s="1826">
        <f t="shared" si="1"/>
        <v>0</v>
      </c>
      <c r="AB23" s="900"/>
      <c r="AC23" s="1822" t="s">
        <v>1665</v>
      </c>
      <c r="AF23" s="466"/>
      <c r="AG23" s="466"/>
      <c r="AH23" s="466"/>
    </row>
    <row r="24" spans="1:34" s="492" customFormat="1" ht="14.25" hidden="1" x14ac:dyDescent="0.2">
      <c r="A24" s="1240"/>
      <c r="B24" s="500" t="s">
        <v>1681</v>
      </c>
      <c r="C24" s="501" t="s">
        <v>796</v>
      </c>
      <c r="D24" s="1240"/>
      <c r="E24" s="842"/>
      <c r="F24" s="863">
        <v>167</v>
      </c>
      <c r="G24" s="864">
        <v>0.1</v>
      </c>
      <c r="H24" s="1826">
        <f t="shared" si="3"/>
        <v>16.7</v>
      </c>
      <c r="I24" s="1825">
        <v>37</v>
      </c>
      <c r="J24" s="1827">
        <v>0.25</v>
      </c>
      <c r="K24" s="1825">
        <f>I24*J24</f>
        <v>9.3000000000000007</v>
      </c>
      <c r="L24" s="1825">
        <v>37</v>
      </c>
      <c r="M24" s="1827">
        <v>0.25</v>
      </c>
      <c r="N24" s="1825">
        <f>L24*M24</f>
        <v>9.3000000000000007</v>
      </c>
      <c r="O24" s="1825"/>
      <c r="P24" s="1825"/>
      <c r="Q24" s="1825">
        <v>5.3</v>
      </c>
      <c r="R24" s="1825">
        <f t="shared" si="2"/>
        <v>5.3</v>
      </c>
      <c r="S24" s="1825"/>
      <c r="T24" s="1825"/>
      <c r="U24" s="1825"/>
      <c r="V24" s="1825">
        <f>SUM(V25:V25)</f>
        <v>6</v>
      </c>
      <c r="W24" s="1825"/>
      <c r="X24" s="1825"/>
      <c r="Y24" s="1825">
        <f>SUM(Y25:Y25)</f>
        <v>6</v>
      </c>
      <c r="Z24" s="1826">
        <f t="shared" si="0"/>
        <v>-4</v>
      </c>
      <c r="AA24" s="1826">
        <f t="shared" si="1"/>
        <v>57</v>
      </c>
      <c r="AB24" s="1029"/>
      <c r="AC24" s="1822" t="s">
        <v>1665</v>
      </c>
      <c r="AF24" s="466"/>
      <c r="AG24" s="466"/>
      <c r="AH24" s="466"/>
    </row>
    <row r="25" spans="1:34" s="492" customFormat="1" ht="14.25" hidden="1" x14ac:dyDescent="0.2">
      <c r="A25" s="1240"/>
      <c r="B25" s="500" t="s">
        <v>1682</v>
      </c>
      <c r="C25" s="501"/>
      <c r="D25" s="1240"/>
      <c r="E25" s="842"/>
      <c r="F25" s="863"/>
      <c r="G25" s="864"/>
      <c r="H25" s="1826"/>
      <c r="I25" s="1825"/>
      <c r="J25" s="1827"/>
      <c r="K25" s="1825"/>
      <c r="L25" s="1825"/>
      <c r="M25" s="1827"/>
      <c r="N25" s="1825"/>
      <c r="O25" s="682">
        <v>15</v>
      </c>
      <c r="P25" s="682">
        <v>0.4</v>
      </c>
      <c r="Q25" s="857">
        <f>O25*P25</f>
        <v>6</v>
      </c>
      <c r="R25" s="857">
        <f t="shared" si="2"/>
        <v>6</v>
      </c>
      <c r="S25" s="857"/>
      <c r="T25" s="682">
        <v>15</v>
      </c>
      <c r="U25" s="682">
        <v>0.4</v>
      </c>
      <c r="V25" s="857">
        <f>T25*U25</f>
        <v>6</v>
      </c>
      <c r="W25" s="682">
        <v>15</v>
      </c>
      <c r="X25" s="682">
        <v>0.4</v>
      </c>
      <c r="Y25" s="857">
        <f>W25*X25</f>
        <v>6</v>
      </c>
      <c r="Z25" s="1826">
        <f t="shared" si="0"/>
        <v>6</v>
      </c>
      <c r="AA25" s="1826" t="str">
        <f t="shared" si="1"/>
        <v>-</v>
      </c>
      <c r="AB25" s="1828"/>
      <c r="AC25" s="1822" t="s">
        <v>1665</v>
      </c>
      <c r="AF25" s="466"/>
      <c r="AG25" s="466"/>
      <c r="AH25" s="466"/>
    </row>
    <row r="26" spans="1:34" s="492" customFormat="1" ht="14.25" hidden="1" x14ac:dyDescent="0.2">
      <c r="A26" s="1240"/>
      <c r="B26" s="500" t="s">
        <v>1233</v>
      </c>
      <c r="C26" s="501" t="s">
        <v>1230</v>
      </c>
      <c r="D26" s="1240"/>
      <c r="E26" s="842" t="s">
        <v>318</v>
      </c>
      <c r="F26" s="1829"/>
      <c r="G26" s="1830"/>
      <c r="H26" s="542">
        <f>SUM(H27:H31)</f>
        <v>12.8</v>
      </c>
      <c r="I26" s="1831"/>
      <c r="J26" s="1831"/>
      <c r="K26" s="533">
        <f>SUM(K27:K31)</f>
        <v>12.8</v>
      </c>
      <c r="L26" s="1831"/>
      <c r="M26" s="1831"/>
      <c r="N26" s="533">
        <f>SUM(N27:N31)</f>
        <v>12.8</v>
      </c>
      <c r="O26" s="1831"/>
      <c r="P26" s="1831"/>
      <c r="Q26" s="533">
        <f>SUM(Q27:Q31)</f>
        <v>16.7</v>
      </c>
      <c r="R26" s="533">
        <f t="shared" si="2"/>
        <v>16.7</v>
      </c>
      <c r="S26" s="533"/>
      <c r="T26" s="1831"/>
      <c r="U26" s="1831"/>
      <c r="V26" s="533">
        <f>SUM(V27:V31)</f>
        <v>16.7</v>
      </c>
      <c r="W26" s="1831"/>
      <c r="X26" s="1831"/>
      <c r="Y26" s="533">
        <f>SUM(Y27:Y31)</f>
        <v>16.7</v>
      </c>
      <c r="Z26" s="542">
        <f t="shared" si="0"/>
        <v>3.9</v>
      </c>
      <c r="AA26" s="542">
        <f t="shared" si="1"/>
        <v>130.5</v>
      </c>
      <c r="AB26" s="899"/>
      <c r="AC26" s="1822" t="s">
        <v>1665</v>
      </c>
      <c r="AF26" s="466"/>
      <c r="AG26" s="466"/>
      <c r="AH26" s="466"/>
    </row>
    <row r="27" spans="1:34" s="498" customFormat="1" hidden="1" x14ac:dyDescent="0.25">
      <c r="A27" s="962"/>
      <c r="B27" s="502" t="s">
        <v>1519</v>
      </c>
      <c r="C27" s="503"/>
      <c r="D27" s="962"/>
      <c r="E27" s="1031" t="s">
        <v>318</v>
      </c>
      <c r="F27" s="494">
        <v>1</v>
      </c>
      <c r="G27" s="495">
        <v>3.45</v>
      </c>
      <c r="H27" s="559">
        <f>F27*G27</f>
        <v>3.5</v>
      </c>
      <c r="I27" s="496">
        <v>1</v>
      </c>
      <c r="J27" s="496">
        <v>3.5</v>
      </c>
      <c r="K27" s="857">
        <f>I27*J27</f>
        <v>3.5</v>
      </c>
      <c r="L27" s="496">
        <v>1</v>
      </c>
      <c r="M27" s="496">
        <v>3.5</v>
      </c>
      <c r="N27" s="857">
        <f>L27*M27</f>
        <v>3.5</v>
      </c>
      <c r="O27" s="496">
        <v>1</v>
      </c>
      <c r="P27" s="496">
        <v>3.5</v>
      </c>
      <c r="Q27" s="857">
        <f>O27*P27</f>
        <v>3.5</v>
      </c>
      <c r="R27" s="857">
        <f t="shared" si="2"/>
        <v>3.5</v>
      </c>
      <c r="S27" s="857"/>
      <c r="T27" s="496">
        <v>1</v>
      </c>
      <c r="U27" s="496">
        <v>3.5</v>
      </c>
      <c r="V27" s="857">
        <f>T27*U27</f>
        <v>3.5</v>
      </c>
      <c r="W27" s="496">
        <v>1</v>
      </c>
      <c r="X27" s="496">
        <v>3.5</v>
      </c>
      <c r="Y27" s="857">
        <f>W27*X27</f>
        <v>3.5</v>
      </c>
      <c r="Z27" s="559">
        <f t="shared" si="0"/>
        <v>0</v>
      </c>
      <c r="AA27" s="559">
        <f t="shared" si="1"/>
        <v>100</v>
      </c>
      <c r="AB27" s="1029"/>
      <c r="AC27" s="1822" t="s">
        <v>1665</v>
      </c>
      <c r="AF27" s="466"/>
      <c r="AG27" s="465"/>
      <c r="AH27" s="465"/>
    </row>
    <row r="28" spans="1:34" s="498" customFormat="1" hidden="1" x14ac:dyDescent="0.25">
      <c r="A28" s="962"/>
      <c r="B28" s="1038" t="s">
        <v>1683</v>
      </c>
      <c r="C28" s="1832"/>
      <c r="D28" s="962"/>
      <c r="E28" s="842"/>
      <c r="F28" s="863">
        <v>1</v>
      </c>
      <c r="G28" s="864">
        <v>2</v>
      </c>
      <c r="H28" s="559">
        <f>F28*G28</f>
        <v>2</v>
      </c>
      <c r="I28" s="682">
        <v>1</v>
      </c>
      <c r="J28" s="682">
        <v>2</v>
      </c>
      <c r="K28" s="857">
        <f>I28*J28</f>
        <v>2</v>
      </c>
      <c r="L28" s="682">
        <v>1</v>
      </c>
      <c r="M28" s="682">
        <v>2</v>
      </c>
      <c r="N28" s="857">
        <f>L28*M28</f>
        <v>2</v>
      </c>
      <c r="O28" s="682"/>
      <c r="P28" s="682"/>
      <c r="Q28" s="857"/>
      <c r="R28" s="857">
        <f t="shared" si="2"/>
        <v>0</v>
      </c>
      <c r="S28" s="857"/>
      <c r="T28" s="682"/>
      <c r="U28" s="682"/>
      <c r="V28" s="857"/>
      <c r="W28" s="682"/>
      <c r="X28" s="682"/>
      <c r="Y28" s="857"/>
      <c r="Z28" s="559">
        <f t="shared" si="0"/>
        <v>-2</v>
      </c>
      <c r="AA28" s="559">
        <f t="shared" si="1"/>
        <v>0</v>
      </c>
      <c r="AB28" s="1029"/>
      <c r="AC28" s="1822" t="s">
        <v>1665</v>
      </c>
      <c r="AF28" s="466"/>
      <c r="AG28" s="465"/>
      <c r="AH28" s="465"/>
    </row>
    <row r="29" spans="1:34" s="498" customFormat="1" ht="76.5" hidden="1" x14ac:dyDescent="0.25">
      <c r="A29" s="962"/>
      <c r="B29" s="1038" t="s">
        <v>1684</v>
      </c>
      <c r="C29" s="1832"/>
      <c r="D29" s="962"/>
      <c r="E29" s="842"/>
      <c r="F29" s="863"/>
      <c r="G29" s="864"/>
      <c r="H29" s="559"/>
      <c r="I29" s="682"/>
      <c r="J29" s="682"/>
      <c r="K29" s="857"/>
      <c r="L29" s="682"/>
      <c r="M29" s="682"/>
      <c r="N29" s="857"/>
      <c r="O29" s="682">
        <v>2</v>
      </c>
      <c r="P29" s="682">
        <v>2.5</v>
      </c>
      <c r="Q29" s="857">
        <f>O29*P29</f>
        <v>5</v>
      </c>
      <c r="R29" s="857">
        <f t="shared" si="2"/>
        <v>5</v>
      </c>
      <c r="S29" s="857"/>
      <c r="T29" s="682">
        <v>2</v>
      </c>
      <c r="U29" s="682">
        <v>2.5</v>
      </c>
      <c r="V29" s="857">
        <f>T29*U29</f>
        <v>5</v>
      </c>
      <c r="W29" s="682">
        <v>2</v>
      </c>
      <c r="X29" s="682">
        <v>2.5</v>
      </c>
      <c r="Y29" s="857">
        <f>W29*X29</f>
        <v>5</v>
      </c>
      <c r="Z29" s="559">
        <f t="shared" si="0"/>
        <v>5</v>
      </c>
      <c r="AA29" s="559" t="str">
        <f t="shared" si="1"/>
        <v>-</v>
      </c>
      <c r="AB29" s="843" t="s">
        <v>1685</v>
      </c>
      <c r="AC29" s="1822" t="s">
        <v>1665</v>
      </c>
      <c r="AF29" s="466"/>
      <c r="AG29" s="465"/>
      <c r="AH29" s="465"/>
    </row>
    <row r="30" spans="1:34" s="498" customFormat="1" hidden="1" x14ac:dyDescent="0.25">
      <c r="A30" s="962"/>
      <c r="B30" s="1038" t="s">
        <v>1686</v>
      </c>
      <c r="C30" s="1832"/>
      <c r="D30" s="962"/>
      <c r="E30" s="842"/>
      <c r="F30" s="863">
        <v>2</v>
      </c>
      <c r="G30" s="864">
        <v>2.2999999999999998</v>
      </c>
      <c r="H30" s="559">
        <f>F30*G30</f>
        <v>4.5999999999999996</v>
      </c>
      <c r="I30" s="682">
        <v>2</v>
      </c>
      <c r="J30" s="682">
        <v>2.2999999999999998</v>
      </c>
      <c r="K30" s="857">
        <f>I30*J30</f>
        <v>4.5999999999999996</v>
      </c>
      <c r="L30" s="682">
        <v>2</v>
      </c>
      <c r="M30" s="682">
        <v>2.2999999999999998</v>
      </c>
      <c r="N30" s="857">
        <f>L30*M30</f>
        <v>4.5999999999999996</v>
      </c>
      <c r="O30" s="682">
        <v>2</v>
      </c>
      <c r="P30" s="682">
        <v>2.2999999999999998</v>
      </c>
      <c r="Q30" s="857">
        <f>O30*P30</f>
        <v>4.5999999999999996</v>
      </c>
      <c r="R30" s="857">
        <f t="shared" si="2"/>
        <v>4.5999999999999996</v>
      </c>
      <c r="S30" s="857"/>
      <c r="T30" s="682">
        <v>2</v>
      </c>
      <c r="U30" s="682">
        <v>2.2999999999999998</v>
      </c>
      <c r="V30" s="857">
        <f>T30*U30</f>
        <v>4.5999999999999996</v>
      </c>
      <c r="W30" s="682">
        <v>2</v>
      </c>
      <c r="X30" s="682">
        <v>2.2999999999999998</v>
      </c>
      <c r="Y30" s="857">
        <f>W30*X30</f>
        <v>4.5999999999999996</v>
      </c>
      <c r="Z30" s="559">
        <f t="shared" si="0"/>
        <v>0</v>
      </c>
      <c r="AA30" s="559">
        <f t="shared" si="1"/>
        <v>100</v>
      </c>
      <c r="AB30" s="1029"/>
      <c r="AC30" s="1037" t="s">
        <v>1665</v>
      </c>
      <c r="AF30" s="466"/>
      <c r="AG30" s="465"/>
      <c r="AH30" s="465"/>
    </row>
    <row r="31" spans="1:34" s="498" customFormat="1" hidden="1" x14ac:dyDescent="0.25">
      <c r="A31" s="962"/>
      <c r="B31" s="1038" t="s">
        <v>1234</v>
      </c>
      <c r="C31" s="1832"/>
      <c r="D31" s="962"/>
      <c r="E31" s="842"/>
      <c r="F31" s="494"/>
      <c r="G31" s="495"/>
      <c r="H31" s="1245">
        <f>SUM(H27:H30)*0.271</f>
        <v>2.7</v>
      </c>
      <c r="I31" s="496"/>
      <c r="J31" s="496"/>
      <c r="K31" s="496">
        <f>SUM(K27:K30)*0.271</f>
        <v>2.7</v>
      </c>
      <c r="L31" s="496"/>
      <c r="M31" s="496"/>
      <c r="N31" s="496">
        <f>SUM(N27:N30)*0.271</f>
        <v>2.7</v>
      </c>
      <c r="O31" s="496"/>
      <c r="P31" s="496"/>
      <c r="Q31" s="496">
        <f>SUM(Q27:Q30)*0.271</f>
        <v>3.6</v>
      </c>
      <c r="R31" s="496">
        <f t="shared" si="2"/>
        <v>3.6</v>
      </c>
      <c r="S31" s="496"/>
      <c r="T31" s="496"/>
      <c r="U31" s="496"/>
      <c r="V31" s="496">
        <f>SUM(V27:V30)*0.271</f>
        <v>3.6</v>
      </c>
      <c r="W31" s="496"/>
      <c r="X31" s="496"/>
      <c r="Y31" s="496">
        <f>SUM(Y27:Y30)*0.271</f>
        <v>3.6</v>
      </c>
      <c r="Z31" s="1245">
        <f t="shared" si="0"/>
        <v>0.9</v>
      </c>
      <c r="AA31" s="1245">
        <f t="shared" si="1"/>
        <v>133.30000000000001</v>
      </c>
      <c r="AB31" s="1029"/>
      <c r="AC31" s="1037" t="s">
        <v>1665</v>
      </c>
      <c r="AF31" s="466"/>
      <c r="AG31" s="465"/>
      <c r="AH31" s="465"/>
    </row>
    <row r="32" spans="1:34" s="492" customFormat="1" ht="14.25" hidden="1" x14ac:dyDescent="0.2">
      <c r="A32" s="487"/>
      <c r="B32" s="844" t="s">
        <v>1232</v>
      </c>
      <c r="C32" s="845"/>
      <c r="D32" s="846"/>
      <c r="E32" s="487"/>
      <c r="F32" s="488"/>
      <c r="G32" s="489"/>
      <c r="H32" s="490" t="e">
        <f>#REF!+H33+#REF!</f>
        <v>#REF!</v>
      </c>
      <c r="I32" s="847"/>
      <c r="J32" s="847"/>
      <c r="K32" s="490">
        <f>K33</f>
        <v>61.8</v>
      </c>
      <c r="L32" s="847"/>
      <c r="M32" s="847"/>
      <c r="N32" s="490">
        <f>N33</f>
        <v>61.8</v>
      </c>
      <c r="O32" s="490"/>
      <c r="P32" s="490"/>
      <c r="Q32" s="490">
        <f>Q33</f>
        <v>32.5</v>
      </c>
      <c r="R32" s="490">
        <f t="shared" si="2"/>
        <v>32.5</v>
      </c>
      <c r="S32" s="490"/>
      <c r="T32" s="847"/>
      <c r="U32" s="847"/>
      <c r="V32" s="490">
        <f>V33</f>
        <v>26.3</v>
      </c>
      <c r="W32" s="490"/>
      <c r="X32" s="490"/>
      <c r="Y32" s="490">
        <f>Y33</f>
        <v>26.3</v>
      </c>
      <c r="Z32" s="490">
        <f t="shared" si="0"/>
        <v>-29.3</v>
      </c>
      <c r="AA32" s="490">
        <f t="shared" si="1"/>
        <v>52.6</v>
      </c>
      <c r="AB32" s="848"/>
      <c r="AC32" s="491"/>
      <c r="AF32" s="466"/>
      <c r="AG32" s="466"/>
      <c r="AH32" s="466"/>
    </row>
    <row r="33" spans="1:34" s="492" customFormat="1" ht="38.25" hidden="1" x14ac:dyDescent="0.2">
      <c r="A33" s="522"/>
      <c r="B33" s="825" t="s">
        <v>1664</v>
      </c>
      <c r="C33" s="837"/>
      <c r="D33" s="522" t="s">
        <v>1444</v>
      </c>
      <c r="E33" s="838"/>
      <c r="F33" s="839"/>
      <c r="G33" s="840"/>
      <c r="H33" s="841">
        <f>H34+H38+H43+H44+H46</f>
        <v>76.099999999999994</v>
      </c>
      <c r="I33" s="841"/>
      <c r="J33" s="841"/>
      <c r="K33" s="841">
        <f>K34+K38+K43+K44+K46</f>
        <v>61.8</v>
      </c>
      <c r="L33" s="841"/>
      <c r="M33" s="841"/>
      <c r="N33" s="841">
        <f>N34+N38+N43+N44+N46</f>
        <v>61.8</v>
      </c>
      <c r="O33" s="841"/>
      <c r="P33" s="841"/>
      <c r="Q33" s="841">
        <f>Q34+Q38+Q43+Q44+Q46</f>
        <v>32.5</v>
      </c>
      <c r="R33" s="841">
        <f t="shared" si="2"/>
        <v>32.5</v>
      </c>
      <c r="S33" s="841"/>
      <c r="T33" s="841"/>
      <c r="U33" s="841"/>
      <c r="V33" s="841">
        <f>V34+V38+V43+V44+V46</f>
        <v>26.3</v>
      </c>
      <c r="W33" s="841"/>
      <c r="X33" s="841"/>
      <c r="Y33" s="841">
        <f>Y34+Y38+Y43+Y44+Y46</f>
        <v>26.3</v>
      </c>
      <c r="Z33" s="841">
        <f t="shared" si="0"/>
        <v>-29.3</v>
      </c>
      <c r="AA33" s="841">
        <f t="shared" si="1"/>
        <v>52.6</v>
      </c>
      <c r="AB33" s="1833"/>
      <c r="AC33" s="491" t="s">
        <v>1665</v>
      </c>
      <c r="AF33" s="466"/>
      <c r="AG33" s="466"/>
      <c r="AH33" s="466"/>
    </row>
    <row r="34" spans="1:34" s="492" customFormat="1" ht="14.25" hidden="1" x14ac:dyDescent="0.2">
      <c r="A34" s="1240"/>
      <c r="B34" s="500" t="s">
        <v>1226</v>
      </c>
      <c r="C34" s="501" t="s">
        <v>797</v>
      </c>
      <c r="D34" s="1240"/>
      <c r="E34" s="842"/>
      <c r="F34" s="530"/>
      <c r="G34" s="531"/>
      <c r="H34" s="493">
        <f>SUM(H35:H37)</f>
        <v>16</v>
      </c>
      <c r="I34" s="532"/>
      <c r="J34" s="532"/>
      <c r="K34" s="532">
        <f>SUM(K35:K37)</f>
        <v>7.9</v>
      </c>
      <c r="L34" s="532"/>
      <c r="M34" s="532"/>
      <c r="N34" s="532">
        <v>7.9</v>
      </c>
      <c r="O34" s="532"/>
      <c r="P34" s="532"/>
      <c r="Q34" s="532">
        <f>SUM(Q35:Q37)</f>
        <v>14</v>
      </c>
      <c r="R34" s="532">
        <f t="shared" si="2"/>
        <v>14</v>
      </c>
      <c r="S34" s="532"/>
      <c r="T34" s="532"/>
      <c r="U34" s="532"/>
      <c r="V34" s="532">
        <f>SUM(V35:V37)</f>
        <v>14</v>
      </c>
      <c r="W34" s="532"/>
      <c r="X34" s="532"/>
      <c r="Y34" s="532">
        <f>SUM(Y35:Y37)</f>
        <v>14</v>
      </c>
      <c r="Z34" s="493">
        <f t="shared" si="0"/>
        <v>6.1</v>
      </c>
      <c r="AA34" s="493">
        <f t="shared" si="1"/>
        <v>177.2</v>
      </c>
      <c r="AB34" s="901"/>
      <c r="AC34" s="1822" t="s">
        <v>1665</v>
      </c>
      <c r="AF34" s="466"/>
      <c r="AG34" s="466"/>
      <c r="AH34" s="466"/>
    </row>
    <row r="35" spans="1:34" s="498" customFormat="1" ht="38.25" hidden="1" x14ac:dyDescent="0.25">
      <c r="A35" s="962"/>
      <c r="B35" s="856" t="s">
        <v>1669</v>
      </c>
      <c r="C35" s="499"/>
      <c r="D35" s="962"/>
      <c r="E35" s="1031" t="s">
        <v>227</v>
      </c>
      <c r="F35" s="1834">
        <v>100</v>
      </c>
      <c r="G35" s="495">
        <v>0.12</v>
      </c>
      <c r="H35" s="559">
        <f>F35*G35</f>
        <v>12</v>
      </c>
      <c r="I35" s="1835">
        <v>100</v>
      </c>
      <c r="J35" s="883">
        <v>0.05</v>
      </c>
      <c r="K35" s="857">
        <f>I35*J35</f>
        <v>5</v>
      </c>
      <c r="L35" s="1835">
        <v>100</v>
      </c>
      <c r="M35" s="883">
        <v>0.05</v>
      </c>
      <c r="N35" s="857">
        <v>5</v>
      </c>
      <c r="O35" s="1835">
        <v>50</v>
      </c>
      <c r="P35" s="496">
        <v>0.2</v>
      </c>
      <c r="Q35" s="857">
        <f>O35*P35</f>
        <v>10</v>
      </c>
      <c r="R35" s="857">
        <f t="shared" si="2"/>
        <v>10</v>
      </c>
      <c r="S35" s="857"/>
      <c r="T35" s="1835">
        <v>50</v>
      </c>
      <c r="U35" s="496">
        <v>0.2</v>
      </c>
      <c r="V35" s="857">
        <f>T35*U35</f>
        <v>10</v>
      </c>
      <c r="W35" s="1835">
        <v>50</v>
      </c>
      <c r="X35" s="496">
        <v>0.2</v>
      </c>
      <c r="Y35" s="857">
        <f>W35*X35</f>
        <v>10</v>
      </c>
      <c r="Z35" s="559">
        <f t="shared" si="0"/>
        <v>5</v>
      </c>
      <c r="AA35" s="559">
        <f t="shared" si="1"/>
        <v>200</v>
      </c>
      <c r="AB35" s="901" t="s">
        <v>1687</v>
      </c>
      <c r="AC35" s="1823" t="s">
        <v>1665</v>
      </c>
      <c r="AF35" s="466"/>
      <c r="AG35" s="465"/>
      <c r="AH35" s="465"/>
    </row>
    <row r="36" spans="1:34" s="498" customFormat="1" hidden="1" x14ac:dyDescent="0.25">
      <c r="A36" s="962"/>
      <c r="B36" s="856" t="s">
        <v>1688</v>
      </c>
      <c r="C36" s="499"/>
      <c r="D36" s="962"/>
      <c r="E36" s="1031" t="s">
        <v>227</v>
      </c>
      <c r="F36" s="1834">
        <v>10</v>
      </c>
      <c r="G36" s="495">
        <v>0.1</v>
      </c>
      <c r="H36" s="559">
        <f>F36*G36</f>
        <v>1</v>
      </c>
      <c r="I36" s="1835">
        <v>17</v>
      </c>
      <c r="J36" s="883">
        <v>0.05</v>
      </c>
      <c r="K36" s="857">
        <f>I36*J36</f>
        <v>0.9</v>
      </c>
      <c r="L36" s="1835">
        <v>17</v>
      </c>
      <c r="M36" s="883">
        <v>0.05</v>
      </c>
      <c r="N36" s="857">
        <v>0.9</v>
      </c>
      <c r="O36" s="1835"/>
      <c r="P36" s="496"/>
      <c r="Q36" s="857"/>
      <c r="R36" s="857">
        <f t="shared" si="2"/>
        <v>0</v>
      </c>
      <c r="S36" s="857"/>
      <c r="T36" s="1835"/>
      <c r="U36" s="496"/>
      <c r="V36" s="857"/>
      <c r="W36" s="1835"/>
      <c r="X36" s="496"/>
      <c r="Y36" s="857"/>
      <c r="Z36" s="559">
        <f t="shared" si="0"/>
        <v>-0.9</v>
      </c>
      <c r="AA36" s="559">
        <f t="shared" si="1"/>
        <v>0</v>
      </c>
      <c r="AB36" s="901"/>
      <c r="AC36" s="1823" t="s">
        <v>1665</v>
      </c>
      <c r="AF36" s="466"/>
      <c r="AG36" s="465"/>
      <c r="AH36" s="465"/>
    </row>
    <row r="37" spans="1:34" s="498" customFormat="1" ht="38.25" hidden="1" x14ac:dyDescent="0.25">
      <c r="A37" s="962"/>
      <c r="B37" s="502" t="s">
        <v>1689</v>
      </c>
      <c r="C37" s="503"/>
      <c r="D37" s="962"/>
      <c r="E37" s="1031" t="s">
        <v>227</v>
      </c>
      <c r="F37" s="1834">
        <v>1</v>
      </c>
      <c r="G37" s="495">
        <v>3</v>
      </c>
      <c r="H37" s="559">
        <f>F37*G37</f>
        <v>3</v>
      </c>
      <c r="I37" s="1835">
        <v>2</v>
      </c>
      <c r="J37" s="496">
        <v>1</v>
      </c>
      <c r="K37" s="857">
        <f>I37*J37</f>
        <v>2</v>
      </c>
      <c r="L37" s="1835">
        <v>2</v>
      </c>
      <c r="M37" s="496">
        <v>1</v>
      </c>
      <c r="N37" s="857">
        <v>2</v>
      </c>
      <c r="O37" s="1835">
        <v>2</v>
      </c>
      <c r="P37" s="496">
        <v>2</v>
      </c>
      <c r="Q37" s="857">
        <f>O37*P37</f>
        <v>4</v>
      </c>
      <c r="R37" s="857">
        <f t="shared" si="2"/>
        <v>4</v>
      </c>
      <c r="S37" s="857"/>
      <c r="T37" s="1835">
        <v>2</v>
      </c>
      <c r="U37" s="496">
        <v>2</v>
      </c>
      <c r="V37" s="857">
        <f>T37*U37</f>
        <v>4</v>
      </c>
      <c r="W37" s="1835">
        <v>2</v>
      </c>
      <c r="X37" s="496">
        <v>2</v>
      </c>
      <c r="Y37" s="857">
        <f>W37*X37</f>
        <v>4</v>
      </c>
      <c r="Z37" s="559">
        <f t="shared" si="0"/>
        <v>2</v>
      </c>
      <c r="AA37" s="559">
        <f t="shared" si="1"/>
        <v>200</v>
      </c>
      <c r="AB37" s="901" t="s">
        <v>1690</v>
      </c>
      <c r="AC37" s="1822" t="s">
        <v>1665</v>
      </c>
      <c r="AF37" s="466"/>
      <c r="AG37" s="465"/>
      <c r="AH37" s="465"/>
    </row>
    <row r="38" spans="1:34" s="492" customFormat="1" ht="25.5" hidden="1" x14ac:dyDescent="0.2">
      <c r="A38" s="1240"/>
      <c r="B38" s="500" t="s">
        <v>1691</v>
      </c>
      <c r="C38" s="501" t="s">
        <v>797</v>
      </c>
      <c r="D38" s="1240"/>
      <c r="E38" s="842"/>
      <c r="F38" s="530"/>
      <c r="G38" s="531"/>
      <c r="H38" s="493">
        <f>SUM(H39:H42)</f>
        <v>7.5</v>
      </c>
      <c r="I38" s="532"/>
      <c r="J38" s="532"/>
      <c r="K38" s="532">
        <f>SUM(K39:K42)</f>
        <v>0.9</v>
      </c>
      <c r="L38" s="532"/>
      <c r="M38" s="532"/>
      <c r="N38" s="532">
        <v>0.9</v>
      </c>
      <c r="O38" s="532"/>
      <c r="P38" s="532"/>
      <c r="Q38" s="532">
        <f>SUM(Q39:Q41)</f>
        <v>2</v>
      </c>
      <c r="R38" s="532">
        <f t="shared" si="2"/>
        <v>2</v>
      </c>
      <c r="S38" s="532"/>
      <c r="T38" s="532"/>
      <c r="U38" s="532"/>
      <c r="V38" s="532">
        <f>SUM(V39:V41)</f>
        <v>2</v>
      </c>
      <c r="W38" s="532"/>
      <c r="X38" s="532"/>
      <c r="Y38" s="532">
        <f>SUM(Y39:Y41)</f>
        <v>2</v>
      </c>
      <c r="Z38" s="493">
        <f t="shared" si="0"/>
        <v>1.1000000000000001</v>
      </c>
      <c r="AA38" s="493">
        <f t="shared" si="1"/>
        <v>222.2</v>
      </c>
      <c r="AB38" s="901"/>
      <c r="AC38" s="1822" t="s">
        <v>1665</v>
      </c>
      <c r="AF38" s="466"/>
      <c r="AG38" s="466"/>
      <c r="AH38" s="466"/>
    </row>
    <row r="39" spans="1:34" s="498" customFormat="1" hidden="1" x14ac:dyDescent="0.25">
      <c r="A39" s="962"/>
      <c r="B39" s="856" t="s">
        <v>1692</v>
      </c>
      <c r="C39" s="499"/>
      <c r="D39" s="962"/>
      <c r="E39" s="1031" t="s">
        <v>227</v>
      </c>
      <c r="F39" s="1834">
        <v>4</v>
      </c>
      <c r="G39" s="495">
        <v>0.3</v>
      </c>
      <c r="H39" s="559">
        <f>F39*G39</f>
        <v>1.2</v>
      </c>
      <c r="I39" s="1835"/>
      <c r="J39" s="496"/>
      <c r="K39" s="857"/>
      <c r="L39" s="1835"/>
      <c r="M39" s="496"/>
      <c r="N39" s="857"/>
      <c r="O39" s="1835"/>
      <c r="P39" s="496"/>
      <c r="Q39" s="857"/>
      <c r="R39" s="857">
        <f t="shared" si="2"/>
        <v>0</v>
      </c>
      <c r="S39" s="857"/>
      <c r="T39" s="1835"/>
      <c r="U39" s="496"/>
      <c r="V39" s="857"/>
      <c r="W39" s="1835"/>
      <c r="X39" s="496"/>
      <c r="Y39" s="857"/>
      <c r="Z39" s="559">
        <f t="shared" si="0"/>
        <v>0</v>
      </c>
      <c r="AA39" s="559" t="str">
        <f t="shared" si="1"/>
        <v>-</v>
      </c>
      <c r="AB39" s="901"/>
      <c r="AC39" s="1823" t="s">
        <v>1665</v>
      </c>
      <c r="AF39" s="466"/>
      <c r="AG39" s="465"/>
      <c r="AH39" s="465"/>
    </row>
    <row r="40" spans="1:34" s="498" customFormat="1" ht="63.75" hidden="1" x14ac:dyDescent="0.25">
      <c r="A40" s="962"/>
      <c r="B40" s="502" t="s">
        <v>1693</v>
      </c>
      <c r="C40" s="499"/>
      <c r="D40" s="962"/>
      <c r="E40" s="1031" t="s">
        <v>227</v>
      </c>
      <c r="F40" s="494">
        <v>18</v>
      </c>
      <c r="G40" s="495">
        <v>0.1</v>
      </c>
      <c r="H40" s="559">
        <f>F40*G40</f>
        <v>1.8</v>
      </c>
      <c r="I40" s="496">
        <v>9</v>
      </c>
      <c r="J40" s="883">
        <v>0.1</v>
      </c>
      <c r="K40" s="857">
        <f>I40*J40</f>
        <v>0.9</v>
      </c>
      <c r="L40" s="496">
        <v>9</v>
      </c>
      <c r="M40" s="883">
        <v>0.1</v>
      </c>
      <c r="N40" s="857">
        <v>0.9</v>
      </c>
      <c r="O40" s="496">
        <v>20</v>
      </c>
      <c r="P40" s="496">
        <v>0.1</v>
      </c>
      <c r="Q40" s="857">
        <f>O40*P40</f>
        <v>2</v>
      </c>
      <c r="R40" s="857">
        <f t="shared" si="2"/>
        <v>2</v>
      </c>
      <c r="S40" s="857"/>
      <c r="T40" s="496">
        <v>20</v>
      </c>
      <c r="U40" s="496">
        <v>0.1</v>
      </c>
      <c r="V40" s="857">
        <f>T40*U40</f>
        <v>2</v>
      </c>
      <c r="W40" s="496">
        <v>20</v>
      </c>
      <c r="X40" s="496">
        <v>0.1</v>
      </c>
      <c r="Y40" s="857">
        <f>W40*X40</f>
        <v>2</v>
      </c>
      <c r="Z40" s="559">
        <f t="shared" si="0"/>
        <v>1.1000000000000001</v>
      </c>
      <c r="AA40" s="559">
        <f t="shared" si="1"/>
        <v>222.2</v>
      </c>
      <c r="AB40" s="900" t="s">
        <v>1694</v>
      </c>
      <c r="AC40" s="1823" t="s">
        <v>1665</v>
      </c>
      <c r="AF40" s="466"/>
      <c r="AG40" s="465"/>
      <c r="AH40" s="465"/>
    </row>
    <row r="41" spans="1:34" s="498" customFormat="1" hidden="1" x14ac:dyDescent="0.25">
      <c r="A41" s="962"/>
      <c r="B41" s="856" t="s">
        <v>1695</v>
      </c>
      <c r="C41" s="499"/>
      <c r="D41" s="962"/>
      <c r="E41" s="1031" t="s">
        <v>227</v>
      </c>
      <c r="F41" s="494">
        <v>1</v>
      </c>
      <c r="G41" s="495">
        <v>2</v>
      </c>
      <c r="H41" s="559">
        <f>F41*G41</f>
        <v>2</v>
      </c>
      <c r="I41" s="496"/>
      <c r="J41" s="496"/>
      <c r="K41" s="857"/>
      <c r="L41" s="496"/>
      <c r="M41" s="496"/>
      <c r="N41" s="857"/>
      <c r="O41" s="496"/>
      <c r="P41" s="496"/>
      <c r="Q41" s="857"/>
      <c r="R41" s="857">
        <f t="shared" si="2"/>
        <v>0</v>
      </c>
      <c r="S41" s="857"/>
      <c r="T41" s="496"/>
      <c r="U41" s="496"/>
      <c r="V41" s="857"/>
      <c r="W41" s="496"/>
      <c r="X41" s="496"/>
      <c r="Y41" s="857"/>
      <c r="Z41" s="559">
        <f t="shared" si="0"/>
        <v>0</v>
      </c>
      <c r="AA41" s="559" t="str">
        <f t="shared" si="1"/>
        <v>-</v>
      </c>
      <c r="AB41" s="1246"/>
      <c r="AC41" s="1823" t="s">
        <v>1665</v>
      </c>
      <c r="AF41" s="466"/>
      <c r="AG41" s="465"/>
      <c r="AH41" s="465"/>
    </row>
    <row r="42" spans="1:34" s="498" customFormat="1" hidden="1" x14ac:dyDescent="0.25">
      <c r="A42" s="962"/>
      <c r="B42" s="856" t="s">
        <v>1695</v>
      </c>
      <c r="C42" s="499"/>
      <c r="D42" s="962"/>
      <c r="E42" s="1031" t="s">
        <v>227</v>
      </c>
      <c r="F42" s="494">
        <v>1</v>
      </c>
      <c r="G42" s="495">
        <v>2.5</v>
      </c>
      <c r="H42" s="559">
        <f>F42*G42</f>
        <v>2.5</v>
      </c>
      <c r="I42" s="496"/>
      <c r="J42" s="496"/>
      <c r="K42" s="857"/>
      <c r="L42" s="496"/>
      <c r="M42" s="496"/>
      <c r="N42" s="857"/>
      <c r="O42" s="496"/>
      <c r="P42" s="496"/>
      <c r="Q42" s="857"/>
      <c r="R42" s="857">
        <f t="shared" si="2"/>
        <v>0</v>
      </c>
      <c r="S42" s="857"/>
      <c r="T42" s="496"/>
      <c r="U42" s="496"/>
      <c r="V42" s="857"/>
      <c r="W42" s="496"/>
      <c r="X42" s="496"/>
      <c r="Y42" s="857"/>
      <c r="Z42" s="559">
        <f t="shared" si="0"/>
        <v>0</v>
      </c>
      <c r="AA42" s="559" t="str">
        <f t="shared" si="1"/>
        <v>-</v>
      </c>
      <c r="AB42" s="827"/>
      <c r="AC42" s="1823" t="s">
        <v>1665</v>
      </c>
      <c r="AF42" s="466"/>
      <c r="AG42" s="465"/>
      <c r="AH42" s="465"/>
    </row>
    <row r="43" spans="1:34" s="492" customFormat="1" ht="14.25" hidden="1" x14ac:dyDescent="0.2">
      <c r="A43" s="1240"/>
      <c r="B43" s="500" t="s">
        <v>1696</v>
      </c>
      <c r="C43" s="501" t="s">
        <v>796</v>
      </c>
      <c r="D43" s="1240"/>
      <c r="E43" s="842"/>
      <c r="F43" s="530">
        <v>310</v>
      </c>
      <c r="G43" s="531">
        <v>0.02</v>
      </c>
      <c r="H43" s="493">
        <f>F43*G43</f>
        <v>6.2</v>
      </c>
      <c r="I43" s="532">
        <v>310</v>
      </c>
      <c r="J43" s="1836">
        <v>0.02</v>
      </c>
      <c r="K43" s="532">
        <f>I43*J43</f>
        <v>6.2</v>
      </c>
      <c r="L43" s="532">
        <v>310</v>
      </c>
      <c r="M43" s="1836">
        <v>0.02</v>
      </c>
      <c r="N43" s="532">
        <v>6.2</v>
      </c>
      <c r="O43" s="532">
        <v>310</v>
      </c>
      <c r="P43" s="532">
        <v>0</v>
      </c>
      <c r="Q43" s="532">
        <v>6.2</v>
      </c>
      <c r="R43" s="532">
        <f t="shared" si="2"/>
        <v>6.2</v>
      </c>
      <c r="S43" s="532"/>
      <c r="T43" s="532">
        <v>310</v>
      </c>
      <c r="U43" s="532">
        <v>0</v>
      </c>
      <c r="V43" s="532">
        <f>T43*U43</f>
        <v>0</v>
      </c>
      <c r="W43" s="532">
        <v>310</v>
      </c>
      <c r="X43" s="532">
        <v>0</v>
      </c>
      <c r="Y43" s="532">
        <f>W43*X43</f>
        <v>0</v>
      </c>
      <c r="Z43" s="493">
        <f t="shared" si="0"/>
        <v>0</v>
      </c>
      <c r="AA43" s="493">
        <f t="shared" si="1"/>
        <v>100</v>
      </c>
      <c r="AB43" s="901"/>
      <c r="AC43" s="1822" t="s">
        <v>1665</v>
      </c>
      <c r="AF43" s="466"/>
      <c r="AG43" s="466"/>
      <c r="AH43" s="466"/>
    </row>
    <row r="44" spans="1:34" s="492" customFormat="1" ht="14.25" hidden="1" x14ac:dyDescent="0.2">
      <c r="A44" s="1240"/>
      <c r="B44" s="865" t="s">
        <v>803</v>
      </c>
      <c r="C44" s="508" t="s">
        <v>796</v>
      </c>
      <c r="D44" s="1240"/>
      <c r="E44" s="842" t="s">
        <v>227</v>
      </c>
      <c r="F44" s="530"/>
      <c r="G44" s="531"/>
      <c r="H44" s="542">
        <f>H45</f>
        <v>33.6</v>
      </c>
      <c r="I44" s="532"/>
      <c r="J44" s="532"/>
      <c r="K44" s="533">
        <f>K45</f>
        <v>34</v>
      </c>
      <c r="L44" s="532"/>
      <c r="M44" s="532"/>
      <c r="N44" s="533">
        <v>34</v>
      </c>
      <c r="O44" s="532"/>
      <c r="P44" s="532"/>
      <c r="Q44" s="533"/>
      <c r="R44" s="533">
        <f t="shared" si="2"/>
        <v>0</v>
      </c>
      <c r="S44" s="533"/>
      <c r="T44" s="532"/>
      <c r="U44" s="532"/>
      <c r="V44" s="533"/>
      <c r="W44" s="532"/>
      <c r="X44" s="532"/>
      <c r="Y44" s="533"/>
      <c r="Z44" s="542">
        <f t="shared" si="0"/>
        <v>-34</v>
      </c>
      <c r="AA44" s="542">
        <f t="shared" si="1"/>
        <v>0</v>
      </c>
      <c r="AB44" s="901"/>
      <c r="AC44" s="1823" t="s">
        <v>1665</v>
      </c>
      <c r="AF44" s="466"/>
      <c r="AG44" s="466"/>
      <c r="AH44" s="466"/>
    </row>
    <row r="45" spans="1:34" s="498" customFormat="1" hidden="1" x14ac:dyDescent="0.25">
      <c r="A45" s="962"/>
      <c r="B45" s="502" t="s">
        <v>1697</v>
      </c>
      <c r="C45" s="503"/>
      <c r="D45" s="962"/>
      <c r="E45" s="842"/>
      <c r="F45" s="494">
        <v>168</v>
      </c>
      <c r="G45" s="495">
        <v>0.2</v>
      </c>
      <c r="H45" s="1245">
        <f>F45*G45</f>
        <v>33.6</v>
      </c>
      <c r="I45" s="496">
        <v>170</v>
      </c>
      <c r="J45" s="496">
        <v>0.2</v>
      </c>
      <c r="K45" s="496">
        <f>I45*J45</f>
        <v>34</v>
      </c>
      <c r="L45" s="496">
        <v>170</v>
      </c>
      <c r="M45" s="496">
        <v>0.2</v>
      </c>
      <c r="N45" s="496">
        <v>34</v>
      </c>
      <c r="O45" s="496"/>
      <c r="P45" s="496"/>
      <c r="Q45" s="496"/>
      <c r="R45" s="496">
        <f t="shared" si="2"/>
        <v>0</v>
      </c>
      <c r="S45" s="496"/>
      <c r="T45" s="496"/>
      <c r="U45" s="496"/>
      <c r="V45" s="496"/>
      <c r="W45" s="496"/>
      <c r="X45" s="496"/>
      <c r="Y45" s="496"/>
      <c r="Z45" s="1245">
        <f t="shared" si="0"/>
        <v>-34</v>
      </c>
      <c r="AA45" s="1245">
        <f t="shared" si="1"/>
        <v>0</v>
      </c>
      <c r="AB45" s="901"/>
      <c r="AC45" s="1822" t="s">
        <v>1665</v>
      </c>
      <c r="AF45" s="466"/>
      <c r="AG45" s="465"/>
      <c r="AH45" s="465"/>
    </row>
    <row r="46" spans="1:34" s="492" customFormat="1" ht="14.25" hidden="1" x14ac:dyDescent="0.2">
      <c r="A46" s="1240"/>
      <c r="B46" s="500" t="s">
        <v>1233</v>
      </c>
      <c r="C46" s="501" t="s">
        <v>1230</v>
      </c>
      <c r="D46" s="1240"/>
      <c r="E46" s="842" t="s">
        <v>227</v>
      </c>
      <c r="F46" s="530"/>
      <c r="G46" s="531"/>
      <c r="H46" s="542">
        <f>SUM(H47:H50)</f>
        <v>12.8</v>
      </c>
      <c r="I46" s="532"/>
      <c r="J46" s="532"/>
      <c r="K46" s="533">
        <f>SUM(K47:K50)</f>
        <v>12.8</v>
      </c>
      <c r="L46" s="532"/>
      <c r="M46" s="532"/>
      <c r="N46" s="533">
        <v>12.8</v>
      </c>
      <c r="O46" s="532"/>
      <c r="P46" s="532"/>
      <c r="Q46" s="533">
        <f>SUM(Q47:Q50)</f>
        <v>10.3</v>
      </c>
      <c r="R46" s="533">
        <f t="shared" si="2"/>
        <v>10.3</v>
      </c>
      <c r="S46" s="533"/>
      <c r="T46" s="532"/>
      <c r="U46" s="532"/>
      <c r="V46" s="533">
        <f>SUM(V47:V50)</f>
        <v>10.3</v>
      </c>
      <c r="W46" s="532"/>
      <c r="X46" s="532"/>
      <c r="Y46" s="533">
        <f>SUM(Y47:Y50)</f>
        <v>10.3</v>
      </c>
      <c r="Z46" s="542">
        <f t="shared" si="0"/>
        <v>-2.5</v>
      </c>
      <c r="AA46" s="542">
        <f t="shared" si="1"/>
        <v>80.5</v>
      </c>
      <c r="AB46" s="901"/>
      <c r="AC46" s="1822" t="s">
        <v>1665</v>
      </c>
      <c r="AF46" s="466"/>
      <c r="AG46" s="466"/>
      <c r="AH46" s="466"/>
    </row>
    <row r="47" spans="1:34" s="498" customFormat="1" hidden="1" x14ac:dyDescent="0.25">
      <c r="A47" s="962"/>
      <c r="B47" s="502" t="s">
        <v>1698</v>
      </c>
      <c r="C47" s="503"/>
      <c r="D47" s="962"/>
      <c r="E47" s="1031" t="s">
        <v>227</v>
      </c>
      <c r="F47" s="494">
        <v>1</v>
      </c>
      <c r="G47" s="495">
        <v>3.45</v>
      </c>
      <c r="H47" s="559">
        <f>F47*G47</f>
        <v>3.5</v>
      </c>
      <c r="I47" s="496">
        <v>1</v>
      </c>
      <c r="J47" s="496">
        <v>3.5</v>
      </c>
      <c r="K47" s="857">
        <f>I47*J47</f>
        <v>3.5</v>
      </c>
      <c r="L47" s="496">
        <v>1</v>
      </c>
      <c r="M47" s="496">
        <v>3.5</v>
      </c>
      <c r="N47" s="857">
        <v>3.5</v>
      </c>
      <c r="O47" s="496">
        <v>1</v>
      </c>
      <c r="P47" s="496">
        <v>3.5</v>
      </c>
      <c r="Q47" s="857">
        <f>O47*P47</f>
        <v>3.5</v>
      </c>
      <c r="R47" s="857">
        <f t="shared" si="2"/>
        <v>3.5</v>
      </c>
      <c r="S47" s="857"/>
      <c r="T47" s="496">
        <v>1</v>
      </c>
      <c r="U47" s="496">
        <v>3.5</v>
      </c>
      <c r="V47" s="857">
        <f>T47*U47</f>
        <v>3.5</v>
      </c>
      <c r="W47" s="496">
        <v>1</v>
      </c>
      <c r="X47" s="496">
        <v>3.5</v>
      </c>
      <c r="Y47" s="857">
        <f>W47*X47</f>
        <v>3.5</v>
      </c>
      <c r="Z47" s="559">
        <f t="shared" si="0"/>
        <v>0</v>
      </c>
      <c r="AA47" s="559">
        <f t="shared" si="1"/>
        <v>100</v>
      </c>
      <c r="AB47" s="901"/>
      <c r="AC47" s="1822" t="s">
        <v>1665</v>
      </c>
      <c r="AF47" s="466"/>
      <c r="AG47" s="465"/>
      <c r="AH47" s="465"/>
    </row>
    <row r="48" spans="1:34" s="498" customFormat="1" hidden="1" x14ac:dyDescent="0.25">
      <c r="A48" s="962"/>
      <c r="B48" s="502" t="s">
        <v>1699</v>
      </c>
      <c r="C48" s="503"/>
      <c r="D48" s="962"/>
      <c r="E48" s="1031"/>
      <c r="F48" s="494">
        <v>1</v>
      </c>
      <c r="G48" s="495">
        <v>2</v>
      </c>
      <c r="H48" s="559">
        <f>F48*G48</f>
        <v>2</v>
      </c>
      <c r="I48" s="496">
        <v>1</v>
      </c>
      <c r="J48" s="496">
        <v>2</v>
      </c>
      <c r="K48" s="857">
        <f>I48*J48</f>
        <v>2</v>
      </c>
      <c r="L48" s="496">
        <v>1</v>
      </c>
      <c r="M48" s="496">
        <v>2</v>
      </c>
      <c r="N48" s="857">
        <v>2</v>
      </c>
      <c r="O48" s="496"/>
      <c r="P48" s="496"/>
      <c r="Q48" s="857"/>
      <c r="R48" s="857">
        <f t="shared" si="2"/>
        <v>0</v>
      </c>
      <c r="S48" s="857"/>
      <c r="T48" s="496"/>
      <c r="U48" s="496"/>
      <c r="V48" s="857"/>
      <c r="W48" s="496"/>
      <c r="X48" s="496"/>
      <c r="Y48" s="857"/>
      <c r="Z48" s="559">
        <f t="shared" si="0"/>
        <v>-2</v>
      </c>
      <c r="AA48" s="559">
        <f t="shared" si="1"/>
        <v>0</v>
      </c>
      <c r="AB48" s="901"/>
      <c r="AC48" s="1822" t="s">
        <v>1665</v>
      </c>
      <c r="AF48" s="466"/>
      <c r="AG48" s="465"/>
      <c r="AH48" s="465"/>
    </row>
    <row r="49" spans="1:34" s="498" customFormat="1" hidden="1" x14ac:dyDescent="0.25">
      <c r="A49" s="962"/>
      <c r="B49" s="502" t="s">
        <v>1686</v>
      </c>
      <c r="C49" s="503"/>
      <c r="D49" s="962"/>
      <c r="E49" s="1031"/>
      <c r="F49" s="494">
        <v>2</v>
      </c>
      <c r="G49" s="495">
        <v>2.2999999999999998</v>
      </c>
      <c r="H49" s="559">
        <f>F49*G49</f>
        <v>4.5999999999999996</v>
      </c>
      <c r="I49" s="496">
        <v>2</v>
      </c>
      <c r="J49" s="496">
        <v>2.2999999999999998</v>
      </c>
      <c r="K49" s="857">
        <f>I49*J49</f>
        <v>4.5999999999999996</v>
      </c>
      <c r="L49" s="496">
        <v>2</v>
      </c>
      <c r="M49" s="496">
        <v>2.2999999999999998</v>
      </c>
      <c r="N49" s="857">
        <v>4.5999999999999996</v>
      </c>
      <c r="O49" s="496">
        <v>2</v>
      </c>
      <c r="P49" s="496">
        <v>2.2999999999999998</v>
      </c>
      <c r="Q49" s="857">
        <f>O49*P49</f>
        <v>4.5999999999999996</v>
      </c>
      <c r="R49" s="857">
        <f t="shared" si="2"/>
        <v>4.5999999999999996</v>
      </c>
      <c r="S49" s="857"/>
      <c r="T49" s="496">
        <v>2</v>
      </c>
      <c r="U49" s="496">
        <v>2.2999999999999998</v>
      </c>
      <c r="V49" s="857">
        <f>T49*U49</f>
        <v>4.5999999999999996</v>
      </c>
      <c r="W49" s="496">
        <v>2</v>
      </c>
      <c r="X49" s="496">
        <v>2.2999999999999998</v>
      </c>
      <c r="Y49" s="857">
        <f>W49*X49</f>
        <v>4.5999999999999996</v>
      </c>
      <c r="Z49" s="559">
        <f t="shared" si="0"/>
        <v>0</v>
      </c>
      <c r="AA49" s="559">
        <f t="shared" si="1"/>
        <v>100</v>
      </c>
      <c r="AB49" s="901"/>
      <c r="AC49" s="1822" t="s">
        <v>1665</v>
      </c>
      <c r="AF49" s="466"/>
      <c r="AG49" s="465"/>
      <c r="AH49" s="465"/>
    </row>
    <row r="50" spans="1:34" s="498" customFormat="1" hidden="1" x14ac:dyDescent="0.25">
      <c r="A50" s="962"/>
      <c r="B50" s="502" t="s">
        <v>1234</v>
      </c>
      <c r="C50" s="503"/>
      <c r="D50" s="962"/>
      <c r="E50" s="1031"/>
      <c r="F50" s="557"/>
      <c r="G50" s="558"/>
      <c r="H50" s="559">
        <f>SUM(H47:H49)*0.271</f>
        <v>2.7</v>
      </c>
      <c r="I50" s="857"/>
      <c r="J50" s="857"/>
      <c r="K50" s="857">
        <f>SUM(K47:K49)*0.271</f>
        <v>2.7</v>
      </c>
      <c r="L50" s="857"/>
      <c r="M50" s="857"/>
      <c r="N50" s="857">
        <v>2.7</v>
      </c>
      <c r="O50" s="857"/>
      <c r="P50" s="857"/>
      <c r="Q50" s="857">
        <f>SUM(Q47:Q49)*0.271</f>
        <v>2.2000000000000002</v>
      </c>
      <c r="R50" s="857">
        <f t="shared" si="2"/>
        <v>2.2000000000000002</v>
      </c>
      <c r="S50" s="857"/>
      <c r="T50" s="857"/>
      <c r="U50" s="857"/>
      <c r="V50" s="857">
        <f>SUM(V47:V49)*0.271</f>
        <v>2.2000000000000002</v>
      </c>
      <c r="W50" s="857"/>
      <c r="X50" s="857"/>
      <c r="Y50" s="857">
        <f>SUM(Y47:Y49)*0.271</f>
        <v>2.2000000000000002</v>
      </c>
      <c r="Z50" s="559">
        <f t="shared" si="0"/>
        <v>-0.5</v>
      </c>
      <c r="AA50" s="559">
        <f t="shared" si="1"/>
        <v>81.5</v>
      </c>
      <c r="AB50" s="1837"/>
      <c r="AC50" s="1822" t="s">
        <v>1665</v>
      </c>
      <c r="AF50" s="466"/>
      <c r="AG50" s="465"/>
      <c r="AH50" s="465"/>
    </row>
    <row r="51" spans="1:34" s="492" customFormat="1" ht="14.25" hidden="1" x14ac:dyDescent="0.2">
      <c r="A51" s="487"/>
      <c r="B51" s="543" t="s">
        <v>1236</v>
      </c>
      <c r="C51" s="511"/>
      <c r="D51" s="487"/>
      <c r="E51" s="487"/>
      <c r="F51" s="488"/>
      <c r="G51" s="489"/>
      <c r="H51" s="490" t="e">
        <f>#REF!+H52+#REF!+#REF!</f>
        <v>#REF!</v>
      </c>
      <c r="I51" s="847"/>
      <c r="J51" s="847"/>
      <c r="K51" s="490">
        <f>K52</f>
        <v>49.7</v>
      </c>
      <c r="L51" s="847"/>
      <c r="M51" s="847"/>
      <c r="N51" s="490">
        <f>N52</f>
        <v>49.7</v>
      </c>
      <c r="O51" s="847"/>
      <c r="P51" s="847"/>
      <c r="Q51" s="490">
        <f>Q52</f>
        <v>60</v>
      </c>
      <c r="R51" s="490">
        <f t="shared" si="2"/>
        <v>60</v>
      </c>
      <c r="S51" s="490"/>
      <c r="T51" s="847"/>
      <c r="U51" s="847"/>
      <c r="V51" s="490">
        <f>V52</f>
        <v>60</v>
      </c>
      <c r="W51" s="490"/>
      <c r="X51" s="490"/>
      <c r="Y51" s="490">
        <f>Y52</f>
        <v>60</v>
      </c>
      <c r="Z51" s="490">
        <f t="shared" si="0"/>
        <v>10.3</v>
      </c>
      <c r="AA51" s="490">
        <f t="shared" si="1"/>
        <v>120.7</v>
      </c>
      <c r="AB51" s="555"/>
      <c r="AC51" s="491"/>
      <c r="AF51" s="466"/>
      <c r="AG51" s="466"/>
      <c r="AH51" s="466"/>
    </row>
    <row r="52" spans="1:34" s="492" customFormat="1" ht="38.25" hidden="1" x14ac:dyDescent="0.2">
      <c r="A52" s="522"/>
      <c r="B52" s="858" t="s">
        <v>1700</v>
      </c>
      <c r="C52" s="859"/>
      <c r="D52" s="522" t="s">
        <v>1444</v>
      </c>
      <c r="E52" s="860"/>
      <c r="F52" s="523"/>
      <c r="G52" s="524"/>
      <c r="H52" s="526">
        <f>H53+H60+H65+H68+H72</f>
        <v>66.900000000000006</v>
      </c>
      <c r="I52" s="526"/>
      <c r="J52" s="526"/>
      <c r="K52" s="526">
        <f>K53+K60+K65+K68+K72</f>
        <v>49.7</v>
      </c>
      <c r="L52" s="526"/>
      <c r="M52" s="526"/>
      <c r="N52" s="526">
        <f>N53+N60+N65+N68+N72</f>
        <v>49.7</v>
      </c>
      <c r="O52" s="526"/>
      <c r="P52" s="526"/>
      <c r="Q52" s="526">
        <f>Q53+Q60+Q64+Q65+Q68+Q72+Q71</f>
        <v>60</v>
      </c>
      <c r="R52" s="526">
        <f t="shared" si="2"/>
        <v>60</v>
      </c>
      <c r="S52" s="526"/>
      <c r="T52" s="526"/>
      <c r="U52" s="526"/>
      <c r="V52" s="526">
        <f>V53+V60+V64+V65+V68+V72+V71</f>
        <v>60</v>
      </c>
      <c r="W52" s="526"/>
      <c r="X52" s="526"/>
      <c r="Y52" s="526">
        <f>Y53+Y60+Y64+Y65+Y68+Y72+Y71</f>
        <v>60</v>
      </c>
      <c r="Z52" s="526">
        <f t="shared" si="0"/>
        <v>10.3</v>
      </c>
      <c r="AA52" s="526">
        <f t="shared" si="1"/>
        <v>120.7</v>
      </c>
      <c r="AB52" s="849" t="s">
        <v>1701</v>
      </c>
      <c r="AC52" s="491" t="s">
        <v>1665</v>
      </c>
      <c r="AF52" s="466"/>
      <c r="AG52" s="466"/>
      <c r="AH52" s="466"/>
    </row>
    <row r="53" spans="1:34" s="492" customFormat="1" ht="14.25" hidden="1" x14ac:dyDescent="0.2">
      <c r="A53" s="1240"/>
      <c r="B53" s="507" t="s">
        <v>1242</v>
      </c>
      <c r="C53" s="508" t="s">
        <v>1230</v>
      </c>
      <c r="D53" s="932"/>
      <c r="E53" s="861"/>
      <c r="F53" s="828"/>
      <c r="G53" s="829"/>
      <c r="H53" s="542">
        <f>SUM(H54:H59)</f>
        <v>28.2</v>
      </c>
      <c r="I53" s="533"/>
      <c r="J53" s="533"/>
      <c r="K53" s="533">
        <f>SUM(K54:K59)</f>
        <v>24.8</v>
      </c>
      <c r="L53" s="533"/>
      <c r="M53" s="533"/>
      <c r="N53" s="533">
        <f>SUM(N54:N59)</f>
        <v>24.8</v>
      </c>
      <c r="O53" s="533"/>
      <c r="P53" s="533"/>
      <c r="Q53" s="533">
        <f>SUM(Q54:Q59)</f>
        <v>22</v>
      </c>
      <c r="R53" s="533">
        <f t="shared" si="2"/>
        <v>22</v>
      </c>
      <c r="S53" s="533"/>
      <c r="T53" s="533"/>
      <c r="U53" s="533"/>
      <c r="V53" s="533">
        <f>SUM(V54:V59)</f>
        <v>22</v>
      </c>
      <c r="W53" s="533"/>
      <c r="X53" s="533"/>
      <c r="Y53" s="533">
        <f>SUM(Y54:Y59)</f>
        <v>22</v>
      </c>
      <c r="Z53" s="542">
        <f t="shared" si="0"/>
        <v>-2.8</v>
      </c>
      <c r="AA53" s="542">
        <f t="shared" si="1"/>
        <v>88.7</v>
      </c>
      <c r="AB53" s="1030"/>
      <c r="AC53" s="1823" t="s">
        <v>1665</v>
      </c>
      <c r="AF53" s="466"/>
      <c r="AG53" s="466"/>
      <c r="AH53" s="466"/>
    </row>
    <row r="54" spans="1:34" s="498" customFormat="1" hidden="1" x14ac:dyDescent="0.25">
      <c r="A54" s="962"/>
      <c r="B54" s="856" t="s">
        <v>1702</v>
      </c>
      <c r="C54" s="499"/>
      <c r="D54" s="903"/>
      <c r="E54" s="855" t="s">
        <v>318</v>
      </c>
      <c r="F54" s="557">
        <v>1</v>
      </c>
      <c r="G54" s="558">
        <v>3.45</v>
      </c>
      <c r="H54" s="559">
        <f>F54*G54</f>
        <v>3.5</v>
      </c>
      <c r="I54" s="857">
        <v>1</v>
      </c>
      <c r="J54" s="857">
        <v>3.5</v>
      </c>
      <c r="K54" s="857">
        <f>I54*J54</f>
        <v>3.5</v>
      </c>
      <c r="L54" s="857">
        <v>1</v>
      </c>
      <c r="M54" s="857">
        <v>3.5</v>
      </c>
      <c r="N54" s="857">
        <f>L54*M54</f>
        <v>3.5</v>
      </c>
      <c r="O54" s="857">
        <v>1</v>
      </c>
      <c r="P54" s="857">
        <v>3.5</v>
      </c>
      <c r="Q54" s="857">
        <f>O54*P54</f>
        <v>3.5</v>
      </c>
      <c r="R54" s="857">
        <f t="shared" si="2"/>
        <v>3.5</v>
      </c>
      <c r="S54" s="857"/>
      <c r="T54" s="857">
        <v>1</v>
      </c>
      <c r="U54" s="857">
        <v>3.5</v>
      </c>
      <c r="V54" s="857">
        <f>T54*U54</f>
        <v>3.5</v>
      </c>
      <c r="W54" s="857">
        <v>1</v>
      </c>
      <c r="X54" s="857">
        <v>3.5</v>
      </c>
      <c r="Y54" s="857">
        <f>W54*X54</f>
        <v>3.5</v>
      </c>
      <c r="Z54" s="559">
        <f t="shared" si="0"/>
        <v>0</v>
      </c>
      <c r="AA54" s="559">
        <f t="shared" si="1"/>
        <v>100</v>
      </c>
      <c r="AB54" s="1029"/>
      <c r="AC54" s="1823" t="s">
        <v>1665</v>
      </c>
      <c r="AF54" s="466"/>
      <c r="AG54" s="465"/>
      <c r="AH54" s="465"/>
    </row>
    <row r="55" spans="1:34" s="498" customFormat="1" ht="38.25" hidden="1" x14ac:dyDescent="0.25">
      <c r="A55" s="962"/>
      <c r="B55" s="856" t="s">
        <v>1365</v>
      </c>
      <c r="C55" s="499"/>
      <c r="D55" s="903"/>
      <c r="E55" s="855" t="s">
        <v>318</v>
      </c>
      <c r="F55" s="557">
        <v>1</v>
      </c>
      <c r="G55" s="558">
        <v>2.2999999999999998</v>
      </c>
      <c r="H55" s="559">
        <f>F55*G55</f>
        <v>2.2999999999999998</v>
      </c>
      <c r="I55" s="857">
        <v>1</v>
      </c>
      <c r="J55" s="857">
        <v>2.2999999999999998</v>
      </c>
      <c r="K55" s="857">
        <f>I55*J55</f>
        <v>2.2999999999999998</v>
      </c>
      <c r="L55" s="857">
        <v>1</v>
      </c>
      <c r="M55" s="857">
        <v>2.2999999999999998</v>
      </c>
      <c r="N55" s="857">
        <f>L55*M55</f>
        <v>2.2999999999999998</v>
      </c>
      <c r="O55" s="857">
        <v>2</v>
      </c>
      <c r="P55" s="857">
        <v>2.2999999999999998</v>
      </c>
      <c r="Q55" s="857">
        <f>O55*P55</f>
        <v>4.5999999999999996</v>
      </c>
      <c r="R55" s="857">
        <f t="shared" si="2"/>
        <v>4.5999999999999996</v>
      </c>
      <c r="S55" s="857"/>
      <c r="T55" s="857">
        <v>2</v>
      </c>
      <c r="U55" s="857">
        <v>2.2999999999999998</v>
      </c>
      <c r="V55" s="857">
        <f>T55*U55</f>
        <v>4.5999999999999996</v>
      </c>
      <c r="W55" s="857">
        <v>2</v>
      </c>
      <c r="X55" s="857">
        <v>2.2999999999999998</v>
      </c>
      <c r="Y55" s="857">
        <f>W55*X55</f>
        <v>4.5999999999999996</v>
      </c>
      <c r="Z55" s="559">
        <f t="shared" si="0"/>
        <v>2.2999999999999998</v>
      </c>
      <c r="AA55" s="559">
        <f t="shared" si="1"/>
        <v>200</v>
      </c>
      <c r="AB55" s="1029" t="s">
        <v>1703</v>
      </c>
      <c r="AC55" s="1823" t="s">
        <v>1665</v>
      </c>
      <c r="AF55" s="466"/>
      <c r="AG55" s="465"/>
      <c r="AH55" s="465"/>
    </row>
    <row r="56" spans="1:34" s="498" customFormat="1" hidden="1" x14ac:dyDescent="0.25">
      <c r="A56" s="962"/>
      <c r="B56" s="856" t="s">
        <v>1704</v>
      </c>
      <c r="C56" s="499"/>
      <c r="D56" s="962"/>
      <c r="E56" s="1245" t="s">
        <v>318</v>
      </c>
      <c r="F56" s="557">
        <v>1</v>
      </c>
      <c r="G56" s="558">
        <v>5.2</v>
      </c>
      <c r="H56" s="559">
        <f>F56*G56</f>
        <v>5.2</v>
      </c>
      <c r="I56" s="857">
        <v>1</v>
      </c>
      <c r="J56" s="857">
        <v>2.5</v>
      </c>
      <c r="K56" s="857">
        <f>I56*J56</f>
        <v>2.5</v>
      </c>
      <c r="L56" s="857">
        <v>1</v>
      </c>
      <c r="M56" s="857">
        <v>2.5</v>
      </c>
      <c r="N56" s="857">
        <f>L56*M56</f>
        <v>2.5</v>
      </c>
      <c r="O56" s="857"/>
      <c r="P56" s="857"/>
      <c r="Q56" s="857"/>
      <c r="R56" s="857">
        <f t="shared" si="2"/>
        <v>0</v>
      </c>
      <c r="S56" s="857"/>
      <c r="T56" s="857"/>
      <c r="U56" s="857"/>
      <c r="V56" s="857"/>
      <c r="W56" s="857"/>
      <c r="X56" s="857"/>
      <c r="Y56" s="857"/>
      <c r="Z56" s="559">
        <f t="shared" si="0"/>
        <v>-2.5</v>
      </c>
      <c r="AA56" s="559">
        <f t="shared" si="1"/>
        <v>0</v>
      </c>
      <c r="AB56" s="843"/>
      <c r="AC56" s="1823" t="s">
        <v>1665</v>
      </c>
      <c r="AF56" s="466"/>
      <c r="AG56" s="465"/>
      <c r="AH56" s="465"/>
    </row>
    <row r="57" spans="1:34" s="498" customFormat="1" hidden="1" x14ac:dyDescent="0.25">
      <c r="A57" s="962"/>
      <c r="B57" s="506" t="s">
        <v>1366</v>
      </c>
      <c r="C57" s="499"/>
      <c r="D57" s="903"/>
      <c r="E57" s="1245" t="s">
        <v>318</v>
      </c>
      <c r="F57" s="557">
        <v>4</v>
      </c>
      <c r="G57" s="558">
        <v>2.2999999999999998</v>
      </c>
      <c r="H57" s="559">
        <f>F57*G57</f>
        <v>9.1999999999999993</v>
      </c>
      <c r="I57" s="857">
        <v>4</v>
      </c>
      <c r="J57" s="857">
        <v>2.2999999999999998</v>
      </c>
      <c r="K57" s="857">
        <f>I57*J57</f>
        <v>9.1999999999999993</v>
      </c>
      <c r="L57" s="857">
        <v>4</v>
      </c>
      <c r="M57" s="857">
        <v>2.2999999999999998</v>
      </c>
      <c r="N57" s="857">
        <f>L57*M57</f>
        <v>9.1999999999999993</v>
      </c>
      <c r="O57" s="857"/>
      <c r="P57" s="857"/>
      <c r="Q57" s="857"/>
      <c r="R57" s="857">
        <f t="shared" si="2"/>
        <v>0</v>
      </c>
      <c r="S57" s="857"/>
      <c r="T57" s="857"/>
      <c r="U57" s="857"/>
      <c r="V57" s="857"/>
      <c r="W57" s="857"/>
      <c r="X57" s="857"/>
      <c r="Y57" s="857"/>
      <c r="Z57" s="559">
        <f t="shared" si="0"/>
        <v>-9.1999999999999993</v>
      </c>
      <c r="AA57" s="559">
        <f t="shared" si="1"/>
        <v>0</v>
      </c>
      <c r="AB57" s="1838"/>
      <c r="AC57" s="1823" t="s">
        <v>1665</v>
      </c>
      <c r="AF57" s="466"/>
      <c r="AG57" s="465"/>
      <c r="AH57" s="465"/>
    </row>
    <row r="58" spans="1:34" s="498" customFormat="1" ht="51" hidden="1" x14ac:dyDescent="0.25">
      <c r="A58" s="962"/>
      <c r="B58" s="506" t="s">
        <v>1705</v>
      </c>
      <c r="C58" s="499"/>
      <c r="D58" s="903"/>
      <c r="E58" s="1245" t="s">
        <v>318</v>
      </c>
      <c r="F58" s="557">
        <v>1</v>
      </c>
      <c r="G58" s="558">
        <v>2</v>
      </c>
      <c r="H58" s="559">
        <f>F58*G58</f>
        <v>2</v>
      </c>
      <c r="I58" s="857">
        <v>1</v>
      </c>
      <c r="J58" s="857">
        <v>2</v>
      </c>
      <c r="K58" s="857">
        <f>I58*J58</f>
        <v>2</v>
      </c>
      <c r="L58" s="857">
        <v>1</v>
      </c>
      <c r="M58" s="857">
        <v>2</v>
      </c>
      <c r="N58" s="857">
        <f>L58*M58</f>
        <v>2</v>
      </c>
      <c r="O58" s="857">
        <v>4</v>
      </c>
      <c r="P58" s="857">
        <v>2.2999999999999998</v>
      </c>
      <c r="Q58" s="857">
        <f>O58*P58</f>
        <v>9.1999999999999993</v>
      </c>
      <c r="R58" s="857">
        <f t="shared" si="2"/>
        <v>9.1999999999999993</v>
      </c>
      <c r="S58" s="857"/>
      <c r="T58" s="857">
        <v>4</v>
      </c>
      <c r="U58" s="857">
        <v>2.2999999999999998</v>
      </c>
      <c r="V58" s="857">
        <f>T58*U58</f>
        <v>9.1999999999999993</v>
      </c>
      <c r="W58" s="857">
        <v>4</v>
      </c>
      <c r="X58" s="857">
        <v>2.2999999999999998</v>
      </c>
      <c r="Y58" s="857">
        <f>W58*X58</f>
        <v>9.1999999999999993</v>
      </c>
      <c r="Z58" s="559">
        <f t="shared" si="0"/>
        <v>7.2</v>
      </c>
      <c r="AA58" s="559">
        <f t="shared" si="1"/>
        <v>460</v>
      </c>
      <c r="AB58" s="1838" t="s">
        <v>1706</v>
      </c>
      <c r="AC58" s="1823" t="s">
        <v>1665</v>
      </c>
      <c r="AF58" s="466"/>
      <c r="AG58" s="465"/>
      <c r="AH58" s="465"/>
    </row>
    <row r="59" spans="1:34" s="498" customFormat="1" hidden="1" x14ac:dyDescent="0.25">
      <c r="A59" s="962"/>
      <c r="B59" s="856" t="s">
        <v>842</v>
      </c>
      <c r="C59" s="499"/>
      <c r="D59" s="903"/>
      <c r="E59" s="855"/>
      <c r="F59" s="557"/>
      <c r="G59" s="558"/>
      <c r="H59" s="559">
        <f>SUM(H54:H58)*0.271</f>
        <v>6</v>
      </c>
      <c r="I59" s="857"/>
      <c r="J59" s="857"/>
      <c r="K59" s="857">
        <f>SUM(K54:K58)*0.271</f>
        <v>5.3</v>
      </c>
      <c r="L59" s="857"/>
      <c r="M59" s="857"/>
      <c r="N59" s="857">
        <f>SUM(N54:N58)*0.271</f>
        <v>5.3</v>
      </c>
      <c r="O59" s="857"/>
      <c r="P59" s="857"/>
      <c r="Q59" s="857">
        <f>SUM(Q54:Q58)*0.271</f>
        <v>4.7</v>
      </c>
      <c r="R59" s="857">
        <f t="shared" si="2"/>
        <v>4.7</v>
      </c>
      <c r="S59" s="857"/>
      <c r="T59" s="857"/>
      <c r="U59" s="857"/>
      <c r="V59" s="857">
        <f>SUM(V54:V58)*0.271</f>
        <v>4.7</v>
      </c>
      <c r="W59" s="857"/>
      <c r="X59" s="857"/>
      <c r="Y59" s="857">
        <f>SUM(Y54:Y58)*0.271</f>
        <v>4.7</v>
      </c>
      <c r="Z59" s="559">
        <f t="shared" si="0"/>
        <v>-0.6</v>
      </c>
      <c r="AA59" s="559">
        <f t="shared" si="1"/>
        <v>88.7</v>
      </c>
      <c r="AB59" s="1838"/>
      <c r="AC59" s="1823" t="s">
        <v>1665</v>
      </c>
      <c r="AF59" s="466"/>
      <c r="AG59" s="465"/>
      <c r="AH59" s="465"/>
    </row>
    <row r="60" spans="1:34" s="492" customFormat="1" ht="14.25" hidden="1" x14ac:dyDescent="0.2">
      <c r="A60" s="1240"/>
      <c r="B60" s="865" t="s">
        <v>1707</v>
      </c>
      <c r="C60" s="508" t="s">
        <v>797</v>
      </c>
      <c r="D60" s="932"/>
      <c r="E60" s="861"/>
      <c r="F60" s="828"/>
      <c r="G60" s="829"/>
      <c r="H60" s="542">
        <f>SUM(H61:H63)</f>
        <v>9.1999999999999993</v>
      </c>
      <c r="I60" s="533"/>
      <c r="J60" s="533"/>
      <c r="K60" s="533">
        <f>SUM(K61:K63)</f>
        <v>4.5999999999999996</v>
      </c>
      <c r="L60" s="533"/>
      <c r="M60" s="533"/>
      <c r="N60" s="533">
        <f>SUM(N61:N63)</f>
        <v>4.5999999999999996</v>
      </c>
      <c r="O60" s="533"/>
      <c r="P60" s="533"/>
      <c r="Q60" s="533">
        <f>SUM(Q61:Q63)</f>
        <v>10</v>
      </c>
      <c r="R60" s="533">
        <f t="shared" si="2"/>
        <v>10</v>
      </c>
      <c r="S60" s="533"/>
      <c r="T60" s="533"/>
      <c r="U60" s="533"/>
      <c r="V60" s="533">
        <f>SUM(V61:V63)</f>
        <v>10</v>
      </c>
      <c r="W60" s="533"/>
      <c r="X60" s="533"/>
      <c r="Y60" s="533">
        <f>SUM(Y61:Y63)</f>
        <v>10</v>
      </c>
      <c r="Z60" s="542">
        <f t="shared" si="0"/>
        <v>5.4</v>
      </c>
      <c r="AA60" s="542">
        <f t="shared" si="1"/>
        <v>217.4</v>
      </c>
      <c r="AB60" s="1838"/>
      <c r="AC60" s="1823" t="s">
        <v>1665</v>
      </c>
      <c r="AF60" s="466"/>
      <c r="AG60" s="466"/>
      <c r="AH60" s="466"/>
    </row>
    <row r="61" spans="1:34" s="498" customFormat="1" ht="63.75" hidden="1" x14ac:dyDescent="0.25">
      <c r="A61" s="962"/>
      <c r="B61" s="502" t="s">
        <v>1708</v>
      </c>
      <c r="C61" s="499"/>
      <c r="D61" s="903"/>
      <c r="E61" s="855" t="s">
        <v>227</v>
      </c>
      <c r="F61" s="557">
        <v>20</v>
      </c>
      <c r="G61" s="558">
        <v>0.1</v>
      </c>
      <c r="H61" s="559">
        <f>F61*G61</f>
        <v>2</v>
      </c>
      <c r="I61" s="857">
        <v>10</v>
      </c>
      <c r="J61" s="862">
        <v>0.1</v>
      </c>
      <c r="K61" s="857">
        <f>I61*J61</f>
        <v>1</v>
      </c>
      <c r="L61" s="857">
        <v>10</v>
      </c>
      <c r="M61" s="862">
        <v>0.1</v>
      </c>
      <c r="N61" s="857">
        <f>L61*M61</f>
        <v>1</v>
      </c>
      <c r="O61" s="857">
        <v>20</v>
      </c>
      <c r="P61" s="857">
        <v>0.1</v>
      </c>
      <c r="Q61" s="857">
        <f>O61*P61</f>
        <v>2</v>
      </c>
      <c r="R61" s="857">
        <f t="shared" si="2"/>
        <v>2</v>
      </c>
      <c r="S61" s="857"/>
      <c r="T61" s="857">
        <v>20</v>
      </c>
      <c r="U61" s="857">
        <v>0.1</v>
      </c>
      <c r="V61" s="857">
        <f>T61*U61</f>
        <v>2</v>
      </c>
      <c r="W61" s="857">
        <v>20</v>
      </c>
      <c r="X61" s="857">
        <v>0.1</v>
      </c>
      <c r="Y61" s="857">
        <f>W61*X61</f>
        <v>2</v>
      </c>
      <c r="Z61" s="559">
        <f t="shared" si="0"/>
        <v>1</v>
      </c>
      <c r="AA61" s="559">
        <f t="shared" si="1"/>
        <v>200</v>
      </c>
      <c r="AB61" s="900" t="s">
        <v>1694</v>
      </c>
      <c r="AC61" s="1823" t="s">
        <v>1665</v>
      </c>
      <c r="AF61" s="466"/>
      <c r="AG61" s="465"/>
      <c r="AH61" s="465"/>
    </row>
    <row r="62" spans="1:34" s="498" customFormat="1" hidden="1" x14ac:dyDescent="0.25">
      <c r="A62" s="962"/>
      <c r="B62" s="856" t="s">
        <v>1669</v>
      </c>
      <c r="C62" s="499"/>
      <c r="D62" s="962"/>
      <c r="E62" s="855" t="s">
        <v>1240</v>
      </c>
      <c r="F62" s="557">
        <v>30</v>
      </c>
      <c r="G62" s="558">
        <v>0.1</v>
      </c>
      <c r="H62" s="559">
        <f>F62*G62</f>
        <v>3</v>
      </c>
      <c r="I62" s="857">
        <v>30</v>
      </c>
      <c r="J62" s="862">
        <v>0.05</v>
      </c>
      <c r="K62" s="857">
        <f>I62*J62</f>
        <v>1.5</v>
      </c>
      <c r="L62" s="857">
        <v>30</v>
      </c>
      <c r="M62" s="862">
        <v>0.05</v>
      </c>
      <c r="N62" s="857">
        <f>L62*M62</f>
        <v>1.5</v>
      </c>
      <c r="O62" s="857">
        <v>40</v>
      </c>
      <c r="P62" s="857">
        <v>0.2</v>
      </c>
      <c r="Q62" s="857">
        <f>O62*P62</f>
        <v>8</v>
      </c>
      <c r="R62" s="857">
        <f t="shared" si="2"/>
        <v>8</v>
      </c>
      <c r="S62" s="857"/>
      <c r="T62" s="857">
        <v>40</v>
      </c>
      <c r="U62" s="857">
        <v>0.2</v>
      </c>
      <c r="V62" s="857">
        <f>T62*U62</f>
        <v>8</v>
      </c>
      <c r="W62" s="857">
        <v>40</v>
      </c>
      <c r="X62" s="857">
        <v>0.2</v>
      </c>
      <c r="Y62" s="857">
        <f>W62*X62</f>
        <v>8</v>
      </c>
      <c r="Z62" s="559">
        <f t="shared" si="0"/>
        <v>6.5</v>
      </c>
      <c r="AA62" s="559">
        <f t="shared" si="1"/>
        <v>533.29999999999995</v>
      </c>
      <c r="AB62" s="1838" t="s">
        <v>1709</v>
      </c>
      <c r="AC62" s="1823" t="s">
        <v>1665</v>
      </c>
      <c r="AF62" s="466"/>
      <c r="AG62" s="465"/>
      <c r="AH62" s="465"/>
    </row>
    <row r="63" spans="1:34" s="498" customFormat="1" hidden="1" x14ac:dyDescent="0.25">
      <c r="A63" s="962"/>
      <c r="B63" s="856" t="s">
        <v>1710</v>
      </c>
      <c r="C63" s="499"/>
      <c r="D63" s="903"/>
      <c r="E63" s="855"/>
      <c r="F63" s="557">
        <v>42</v>
      </c>
      <c r="G63" s="558">
        <v>0.1</v>
      </c>
      <c r="H63" s="559">
        <f>F63*G63</f>
        <v>4.2</v>
      </c>
      <c r="I63" s="857">
        <v>42</v>
      </c>
      <c r="J63" s="862">
        <v>0.05</v>
      </c>
      <c r="K63" s="857">
        <f>I63*J63</f>
        <v>2.1</v>
      </c>
      <c r="L63" s="857">
        <v>42</v>
      </c>
      <c r="M63" s="862">
        <v>0.05</v>
      </c>
      <c r="N63" s="857">
        <f>L63*M63</f>
        <v>2.1</v>
      </c>
      <c r="O63" s="857"/>
      <c r="P63" s="857"/>
      <c r="Q63" s="857"/>
      <c r="R63" s="857">
        <f t="shared" si="2"/>
        <v>0</v>
      </c>
      <c r="S63" s="857"/>
      <c r="T63" s="857"/>
      <c r="U63" s="857"/>
      <c r="V63" s="857"/>
      <c r="W63" s="857"/>
      <c r="X63" s="857"/>
      <c r="Y63" s="857"/>
      <c r="Z63" s="559">
        <f t="shared" si="0"/>
        <v>-2.1</v>
      </c>
      <c r="AA63" s="559">
        <f t="shared" si="1"/>
        <v>0</v>
      </c>
      <c r="AB63" s="1838"/>
      <c r="AC63" s="1823" t="s">
        <v>1665</v>
      </c>
      <c r="AF63" s="466"/>
      <c r="AG63" s="465"/>
      <c r="AH63" s="465"/>
    </row>
    <row r="64" spans="1:34" s="498" customFormat="1" ht="63.75" hidden="1" x14ac:dyDescent="0.25">
      <c r="A64" s="962"/>
      <c r="B64" s="865" t="s">
        <v>1711</v>
      </c>
      <c r="C64" s="508" t="s">
        <v>797</v>
      </c>
      <c r="D64" s="497"/>
      <c r="E64" s="497"/>
      <c r="F64" s="497"/>
      <c r="G64" s="497"/>
      <c r="H64" s="497"/>
      <c r="I64" s="497"/>
      <c r="J64" s="497"/>
      <c r="K64" s="497"/>
      <c r="L64" s="497"/>
      <c r="M64" s="497"/>
      <c r="N64" s="497"/>
      <c r="O64" s="857"/>
      <c r="P64" s="857"/>
      <c r="Q64" s="533">
        <v>12</v>
      </c>
      <c r="R64" s="533">
        <f t="shared" si="2"/>
        <v>12</v>
      </c>
      <c r="S64" s="533"/>
      <c r="T64" s="857"/>
      <c r="U64" s="857"/>
      <c r="V64" s="533">
        <v>12</v>
      </c>
      <c r="W64" s="857"/>
      <c r="X64" s="857"/>
      <c r="Y64" s="533">
        <v>12</v>
      </c>
      <c r="Z64" s="559">
        <f t="shared" si="0"/>
        <v>12</v>
      </c>
      <c r="AA64" s="559" t="str">
        <f t="shared" si="1"/>
        <v>-</v>
      </c>
      <c r="AB64" s="1838" t="s">
        <v>1712</v>
      </c>
      <c r="AC64" s="1823" t="s">
        <v>1665</v>
      </c>
      <c r="AF64" s="466"/>
      <c r="AG64" s="465"/>
      <c r="AH64" s="465"/>
    </row>
    <row r="65" spans="1:34" s="492" customFormat="1" ht="14.25" hidden="1" x14ac:dyDescent="0.2">
      <c r="A65" s="1240"/>
      <c r="B65" s="865" t="s">
        <v>1713</v>
      </c>
      <c r="C65" s="508" t="s">
        <v>796</v>
      </c>
      <c r="D65" s="932"/>
      <c r="E65" s="861"/>
      <c r="F65" s="828"/>
      <c r="G65" s="829"/>
      <c r="H65" s="542">
        <f>SUM(H66:H67)</f>
        <v>15.7</v>
      </c>
      <c r="I65" s="533"/>
      <c r="J65" s="533"/>
      <c r="K65" s="533">
        <f>SUM(K66:K67)</f>
        <v>7.8</v>
      </c>
      <c r="L65" s="533"/>
      <c r="M65" s="533"/>
      <c r="N65" s="533">
        <f>SUM(N66:N67)</f>
        <v>7.8</v>
      </c>
      <c r="O65" s="533"/>
      <c r="P65" s="533"/>
      <c r="Q65" s="533"/>
      <c r="R65" s="533">
        <f t="shared" si="2"/>
        <v>0</v>
      </c>
      <c r="S65" s="533"/>
      <c r="T65" s="533"/>
      <c r="U65" s="533"/>
      <c r="V65" s="533"/>
      <c r="W65" s="533"/>
      <c r="X65" s="533"/>
      <c r="Y65" s="533"/>
      <c r="Z65" s="542">
        <f t="shared" si="0"/>
        <v>-7.8</v>
      </c>
      <c r="AA65" s="542">
        <f t="shared" si="1"/>
        <v>0</v>
      </c>
      <c r="AB65" s="1838"/>
      <c r="AC65" s="1823" t="s">
        <v>1665</v>
      </c>
      <c r="AF65" s="466"/>
      <c r="AG65" s="466"/>
      <c r="AH65" s="466"/>
    </row>
    <row r="66" spans="1:34" s="498" customFormat="1" hidden="1" x14ac:dyDescent="0.25">
      <c r="A66" s="962"/>
      <c r="B66" s="856" t="s">
        <v>1714</v>
      </c>
      <c r="C66" s="499"/>
      <c r="D66" s="903"/>
      <c r="E66" s="1245" t="s">
        <v>227</v>
      </c>
      <c r="F66" s="557">
        <v>27</v>
      </c>
      <c r="G66" s="558">
        <v>0.1</v>
      </c>
      <c r="H66" s="559">
        <f>F66*G66</f>
        <v>2.7</v>
      </c>
      <c r="I66" s="857">
        <v>26</v>
      </c>
      <c r="J66" s="862">
        <v>0.05</v>
      </c>
      <c r="K66" s="857">
        <f>I66*J66</f>
        <v>1.3</v>
      </c>
      <c r="L66" s="857">
        <v>26</v>
      </c>
      <c r="M66" s="862">
        <v>0.05</v>
      </c>
      <c r="N66" s="857">
        <f>L66*M66</f>
        <v>1.3</v>
      </c>
      <c r="O66" s="857"/>
      <c r="P66" s="857"/>
      <c r="Q66" s="857"/>
      <c r="R66" s="857">
        <f t="shared" si="2"/>
        <v>0</v>
      </c>
      <c r="S66" s="857"/>
      <c r="T66" s="857"/>
      <c r="U66" s="857"/>
      <c r="V66" s="857"/>
      <c r="W66" s="857"/>
      <c r="X66" s="857"/>
      <c r="Y66" s="857"/>
      <c r="Z66" s="559">
        <f t="shared" si="0"/>
        <v>-1.3</v>
      </c>
      <c r="AA66" s="559">
        <f t="shared" si="1"/>
        <v>0</v>
      </c>
      <c r="AB66" s="1838"/>
      <c r="AC66" s="1823" t="s">
        <v>1665</v>
      </c>
      <c r="AF66" s="466"/>
      <c r="AG66" s="465"/>
      <c r="AH66" s="465"/>
    </row>
    <row r="67" spans="1:34" s="498" customFormat="1" hidden="1" x14ac:dyDescent="0.25">
      <c r="A67" s="962"/>
      <c r="B67" s="856" t="s">
        <v>1715</v>
      </c>
      <c r="C67" s="499"/>
      <c r="D67" s="903"/>
      <c r="E67" s="1245" t="s">
        <v>227</v>
      </c>
      <c r="F67" s="557">
        <v>26</v>
      </c>
      <c r="G67" s="558">
        <v>0.5</v>
      </c>
      <c r="H67" s="559">
        <f>F67*G67</f>
        <v>13</v>
      </c>
      <c r="I67" s="857">
        <v>26</v>
      </c>
      <c r="J67" s="862">
        <v>0.25</v>
      </c>
      <c r="K67" s="857">
        <f>I67*J67</f>
        <v>6.5</v>
      </c>
      <c r="L67" s="857">
        <v>26</v>
      </c>
      <c r="M67" s="862">
        <v>0.25</v>
      </c>
      <c r="N67" s="857">
        <f>L67*M67</f>
        <v>6.5</v>
      </c>
      <c r="O67" s="857"/>
      <c r="P67" s="857"/>
      <c r="Q67" s="857"/>
      <c r="R67" s="857">
        <f t="shared" si="2"/>
        <v>0</v>
      </c>
      <c r="S67" s="857"/>
      <c r="T67" s="857"/>
      <c r="U67" s="857"/>
      <c r="V67" s="857"/>
      <c r="W67" s="857"/>
      <c r="X67" s="857"/>
      <c r="Y67" s="857"/>
      <c r="Z67" s="559">
        <f t="shared" si="0"/>
        <v>-6.5</v>
      </c>
      <c r="AA67" s="559">
        <f t="shared" si="1"/>
        <v>0</v>
      </c>
      <c r="AB67" s="1838"/>
      <c r="AC67" s="1823" t="s">
        <v>1665</v>
      </c>
      <c r="AF67" s="466"/>
      <c r="AG67" s="465"/>
      <c r="AH67" s="465"/>
    </row>
    <row r="68" spans="1:34" s="498" customFormat="1" hidden="1" x14ac:dyDescent="0.25">
      <c r="A68" s="962"/>
      <c r="B68" s="865" t="s">
        <v>1716</v>
      </c>
      <c r="C68" s="508" t="s">
        <v>797</v>
      </c>
      <c r="D68" s="932"/>
      <c r="E68" s="861"/>
      <c r="F68" s="828"/>
      <c r="G68" s="829"/>
      <c r="H68" s="542">
        <f>SUM(H69:H69)</f>
        <v>6.3</v>
      </c>
      <c r="I68" s="533"/>
      <c r="J68" s="533"/>
      <c r="K68" s="533">
        <f>SUM(K69:K69)</f>
        <v>6.2</v>
      </c>
      <c r="L68" s="533"/>
      <c r="M68" s="533"/>
      <c r="N68" s="533">
        <f>SUM(N69:N69)</f>
        <v>6.2</v>
      </c>
      <c r="O68" s="533"/>
      <c r="P68" s="533"/>
      <c r="Q68" s="533">
        <f>SUM(Q69:Q70)</f>
        <v>8</v>
      </c>
      <c r="R68" s="533">
        <f t="shared" si="2"/>
        <v>8</v>
      </c>
      <c r="S68" s="533"/>
      <c r="T68" s="533"/>
      <c r="U68" s="533"/>
      <c r="V68" s="533">
        <f>SUM(V69:V70)</f>
        <v>8</v>
      </c>
      <c r="W68" s="533"/>
      <c r="X68" s="533"/>
      <c r="Y68" s="533">
        <f>SUM(Y69:Y70)</f>
        <v>8</v>
      </c>
      <c r="Z68" s="542">
        <f t="shared" si="0"/>
        <v>1.8</v>
      </c>
      <c r="AA68" s="542">
        <f t="shared" si="1"/>
        <v>129</v>
      </c>
      <c r="AB68" s="1838"/>
      <c r="AC68" s="1823" t="s">
        <v>1665</v>
      </c>
      <c r="AF68" s="466"/>
      <c r="AG68" s="465"/>
      <c r="AH68" s="465"/>
    </row>
    <row r="69" spans="1:34" s="492" customFormat="1" ht="25.5" hidden="1" x14ac:dyDescent="0.2">
      <c r="A69" s="1240"/>
      <c r="B69" s="856" t="s">
        <v>1717</v>
      </c>
      <c r="C69" s="499"/>
      <c r="D69" s="903"/>
      <c r="E69" s="855" t="s">
        <v>227</v>
      </c>
      <c r="F69" s="557">
        <v>210</v>
      </c>
      <c r="G69" s="558">
        <v>0.03</v>
      </c>
      <c r="H69" s="559">
        <f>F69*G69</f>
        <v>6.3</v>
      </c>
      <c r="I69" s="857">
        <v>62</v>
      </c>
      <c r="J69" s="857">
        <v>0.1</v>
      </c>
      <c r="K69" s="857">
        <f>I69*J69</f>
        <v>6.2</v>
      </c>
      <c r="L69" s="857">
        <v>62</v>
      </c>
      <c r="M69" s="857">
        <v>0.1</v>
      </c>
      <c r="N69" s="857">
        <f>L69*M69</f>
        <v>6.2</v>
      </c>
      <c r="O69" s="857">
        <v>50</v>
      </c>
      <c r="P69" s="857">
        <v>0.1</v>
      </c>
      <c r="Q69" s="857">
        <f>O69*P69</f>
        <v>5</v>
      </c>
      <c r="R69" s="857">
        <f t="shared" si="2"/>
        <v>5</v>
      </c>
      <c r="S69" s="857"/>
      <c r="T69" s="857">
        <v>50</v>
      </c>
      <c r="U69" s="857">
        <v>0.1</v>
      </c>
      <c r="V69" s="857">
        <f>T69*U69</f>
        <v>5</v>
      </c>
      <c r="W69" s="857">
        <v>50</v>
      </c>
      <c r="X69" s="857">
        <v>0.1</v>
      </c>
      <c r="Y69" s="857">
        <f>W69*X69</f>
        <v>5</v>
      </c>
      <c r="Z69" s="559">
        <f t="shared" si="0"/>
        <v>-1.2</v>
      </c>
      <c r="AA69" s="559">
        <f t="shared" si="1"/>
        <v>80.599999999999994</v>
      </c>
      <c r="AB69" s="1839" t="s">
        <v>1718</v>
      </c>
      <c r="AC69" s="1823" t="s">
        <v>1665</v>
      </c>
      <c r="AF69" s="466"/>
      <c r="AG69" s="466"/>
      <c r="AH69" s="466"/>
    </row>
    <row r="70" spans="1:34" s="498" customFormat="1" ht="51" hidden="1" x14ac:dyDescent="0.25">
      <c r="A70" s="962"/>
      <c r="B70" s="1840" t="s">
        <v>1719</v>
      </c>
      <c r="C70" s="499"/>
      <c r="D70" s="903"/>
      <c r="E70" s="855"/>
      <c r="F70" s="557"/>
      <c r="G70" s="558"/>
      <c r="H70" s="559"/>
      <c r="I70" s="857"/>
      <c r="J70" s="857"/>
      <c r="K70" s="857"/>
      <c r="L70" s="857"/>
      <c r="M70" s="857"/>
      <c r="N70" s="857"/>
      <c r="O70" s="857">
        <v>150</v>
      </c>
      <c r="P70" s="862">
        <v>0.02</v>
      </c>
      <c r="Q70" s="857">
        <f>O70*P70</f>
        <v>3</v>
      </c>
      <c r="R70" s="857">
        <f t="shared" si="2"/>
        <v>3</v>
      </c>
      <c r="S70" s="857"/>
      <c r="T70" s="857">
        <v>150</v>
      </c>
      <c r="U70" s="862">
        <v>0.02</v>
      </c>
      <c r="V70" s="857">
        <f>T70*U70</f>
        <v>3</v>
      </c>
      <c r="W70" s="857">
        <v>150</v>
      </c>
      <c r="X70" s="862">
        <v>0.02</v>
      </c>
      <c r="Y70" s="857">
        <f>W70*X70</f>
        <v>3</v>
      </c>
      <c r="Z70" s="559">
        <f t="shared" si="0"/>
        <v>3</v>
      </c>
      <c r="AA70" s="559" t="str">
        <f t="shared" si="1"/>
        <v>-</v>
      </c>
      <c r="AB70" s="1839" t="s">
        <v>1720</v>
      </c>
      <c r="AC70" s="1823" t="s">
        <v>1665</v>
      </c>
      <c r="AF70" s="466"/>
      <c r="AG70" s="465"/>
      <c r="AH70" s="465"/>
    </row>
    <row r="71" spans="1:34" s="498" customFormat="1" ht="63.75" hidden="1" x14ac:dyDescent="0.25">
      <c r="A71" s="962"/>
      <c r="B71" s="1841" t="s">
        <v>1721</v>
      </c>
      <c r="C71" s="508" t="s">
        <v>797</v>
      </c>
      <c r="D71" s="497"/>
      <c r="E71" s="497"/>
      <c r="F71" s="497"/>
      <c r="G71" s="497"/>
      <c r="H71" s="497"/>
      <c r="I71" s="497"/>
      <c r="J71" s="497"/>
      <c r="K71" s="497"/>
      <c r="L71" s="497"/>
      <c r="M71" s="497"/>
      <c r="N71" s="497"/>
      <c r="O71" s="857">
        <v>20</v>
      </c>
      <c r="P71" s="857">
        <v>0.4</v>
      </c>
      <c r="Q71" s="533">
        <f>O71*P71</f>
        <v>8</v>
      </c>
      <c r="R71" s="533">
        <f t="shared" si="2"/>
        <v>8</v>
      </c>
      <c r="S71" s="533"/>
      <c r="T71" s="857">
        <v>20</v>
      </c>
      <c r="U71" s="857">
        <v>0.4</v>
      </c>
      <c r="V71" s="533">
        <f>T71*U71</f>
        <v>8</v>
      </c>
      <c r="W71" s="857">
        <v>20</v>
      </c>
      <c r="X71" s="857">
        <v>0.4</v>
      </c>
      <c r="Y71" s="533">
        <f>W71*X71</f>
        <v>8</v>
      </c>
      <c r="Z71" s="559">
        <f t="shared" si="0"/>
        <v>8</v>
      </c>
      <c r="AA71" s="559" t="str">
        <f t="shared" si="1"/>
        <v>-</v>
      </c>
      <c r="AB71" s="1839" t="s">
        <v>1722</v>
      </c>
      <c r="AC71" s="1823" t="s">
        <v>1665</v>
      </c>
      <c r="AF71" s="466"/>
      <c r="AG71" s="465"/>
      <c r="AH71" s="465"/>
    </row>
    <row r="72" spans="1:34" s="492" customFormat="1" ht="14.25" hidden="1" x14ac:dyDescent="0.2">
      <c r="A72" s="1240"/>
      <c r="B72" s="865" t="s">
        <v>1723</v>
      </c>
      <c r="C72" s="508" t="s">
        <v>1237</v>
      </c>
      <c r="D72" s="932"/>
      <c r="E72" s="861"/>
      <c r="F72" s="828">
        <v>3</v>
      </c>
      <c r="G72" s="829">
        <v>2.5</v>
      </c>
      <c r="H72" s="542">
        <f>F72*G72</f>
        <v>7.5</v>
      </c>
      <c r="I72" s="533">
        <v>2.5</v>
      </c>
      <c r="J72" s="533">
        <v>2.5</v>
      </c>
      <c r="K72" s="533">
        <f>I72*J72</f>
        <v>6.3</v>
      </c>
      <c r="L72" s="533">
        <v>2.5</v>
      </c>
      <c r="M72" s="533">
        <v>2.5</v>
      </c>
      <c r="N72" s="533">
        <f>L72*M72</f>
        <v>6.3</v>
      </c>
      <c r="O72" s="533"/>
      <c r="P72" s="533"/>
      <c r="Q72" s="533"/>
      <c r="R72" s="533">
        <f t="shared" si="2"/>
        <v>0</v>
      </c>
      <c r="S72" s="533"/>
      <c r="T72" s="533"/>
      <c r="U72" s="533"/>
      <c r="V72" s="533"/>
      <c r="W72" s="533"/>
      <c r="X72" s="533"/>
      <c r="Y72" s="533"/>
      <c r="Z72" s="542">
        <f t="shared" si="0"/>
        <v>-6.3</v>
      </c>
      <c r="AA72" s="542">
        <f t="shared" si="1"/>
        <v>0</v>
      </c>
      <c r="AB72" s="1838"/>
      <c r="AC72" s="1823" t="s">
        <v>1665</v>
      </c>
      <c r="AF72" s="466"/>
      <c r="AG72" s="466"/>
      <c r="AH72" s="466"/>
    </row>
    <row r="73" spans="1:34" s="517" customFormat="1" ht="14.25" hidden="1" x14ac:dyDescent="0.2">
      <c r="A73" s="487"/>
      <c r="B73" s="510" t="s">
        <v>773</v>
      </c>
      <c r="C73" s="511"/>
      <c r="D73" s="487"/>
      <c r="E73" s="512"/>
      <c r="F73" s="488"/>
      <c r="G73" s="489"/>
      <c r="H73" s="513" t="e">
        <f>#REF!+H3+#REF!+H51622+H74+#REF!+#REF!+#REF!+#REF!</f>
        <v>#REF!</v>
      </c>
      <c r="I73" s="490"/>
      <c r="J73" s="490"/>
      <c r="K73" s="513">
        <f>K74</f>
        <v>229.7</v>
      </c>
      <c r="L73" s="490"/>
      <c r="M73" s="490"/>
      <c r="N73" s="513">
        <f>N74</f>
        <v>229.7</v>
      </c>
      <c r="O73" s="490"/>
      <c r="P73" s="490"/>
      <c r="Q73" s="513">
        <f>Q74</f>
        <v>463.1</v>
      </c>
      <c r="R73" s="513">
        <f t="shared" ref="R73:S73" si="4">R74</f>
        <v>229.1</v>
      </c>
      <c r="S73" s="513">
        <f t="shared" si="4"/>
        <v>233.9</v>
      </c>
      <c r="T73" s="513"/>
      <c r="U73" s="513"/>
      <c r="V73" s="513">
        <f>V74</f>
        <v>255.2</v>
      </c>
      <c r="W73" s="513"/>
      <c r="X73" s="513"/>
      <c r="Y73" s="513">
        <f>Y74</f>
        <v>255.2</v>
      </c>
      <c r="Z73" s="513">
        <f t="shared" ref="Z73:Z136" si="5">Q73-K73</f>
        <v>233.4</v>
      </c>
      <c r="AA73" s="513">
        <f t="shared" ref="AA73:AA136" si="6">IFERROR(Q73/K73*100,"-")</f>
        <v>201.6</v>
      </c>
      <c r="AB73" s="514"/>
      <c r="AC73" s="515"/>
      <c r="AD73" s="516">
        <f>Z73+[16]Стимулирование!R873+-211+225</f>
        <v>447.2</v>
      </c>
      <c r="AF73" s="518"/>
      <c r="AG73" s="519"/>
      <c r="AH73" s="519"/>
    </row>
    <row r="74" spans="1:34" s="527" customFormat="1" ht="38.25" hidden="1" x14ac:dyDescent="0.2">
      <c r="A74" s="522"/>
      <c r="B74" s="892" t="s">
        <v>1664</v>
      </c>
      <c r="C74" s="521"/>
      <c r="D74" s="522" t="s">
        <v>1444</v>
      </c>
      <c r="E74" s="522"/>
      <c r="F74" s="851"/>
      <c r="G74" s="852"/>
      <c r="H74" s="853">
        <f>H75+H85+H103+H134</f>
        <v>259.10000000000002</v>
      </c>
      <c r="I74" s="853"/>
      <c r="J74" s="853"/>
      <c r="K74" s="853">
        <f>K75+K85+K103+K134</f>
        <v>229.7</v>
      </c>
      <c r="L74" s="853"/>
      <c r="M74" s="853"/>
      <c r="N74" s="853">
        <f>N75+N85+N103+N134</f>
        <v>229.7</v>
      </c>
      <c r="O74" s="853"/>
      <c r="P74" s="853"/>
      <c r="Q74" s="853">
        <f>Q75+Q85+Q103+Q134</f>
        <v>463.1</v>
      </c>
      <c r="R74" s="853">
        <f t="shared" ref="R74:S74" si="7">R75+R85+R103+R134</f>
        <v>229.1</v>
      </c>
      <c r="S74" s="853">
        <f t="shared" si="7"/>
        <v>233.9</v>
      </c>
      <c r="T74" s="853"/>
      <c r="U74" s="853"/>
      <c r="V74" s="853">
        <f>V75+V85+V103+V134</f>
        <v>255.2</v>
      </c>
      <c r="W74" s="853"/>
      <c r="X74" s="853"/>
      <c r="Y74" s="853">
        <f>Y75+Y85+Y103+Y134</f>
        <v>255.2</v>
      </c>
      <c r="Z74" s="525">
        <f t="shared" si="5"/>
        <v>233.4</v>
      </c>
      <c r="AA74" s="853">
        <f t="shared" si="6"/>
        <v>201.6</v>
      </c>
      <c r="AB74" s="909"/>
      <c r="AC74" s="549" t="s">
        <v>1665</v>
      </c>
      <c r="AF74" s="528"/>
      <c r="AG74" s="528"/>
      <c r="AH74" s="528"/>
    </row>
    <row r="75" spans="1:34" s="871" customFormat="1" ht="14.25" hidden="1" x14ac:dyDescent="0.2">
      <c r="A75" s="869"/>
      <c r="B75" s="875" t="s">
        <v>1724</v>
      </c>
      <c r="C75" s="868"/>
      <c r="D75" s="869"/>
      <c r="E75" s="869"/>
      <c r="F75" s="879"/>
      <c r="G75" s="880"/>
      <c r="H75" s="681">
        <f>H80+H81+H83</f>
        <v>37</v>
      </c>
      <c r="I75" s="681"/>
      <c r="J75" s="681"/>
      <c r="K75" s="681">
        <f>K80+K81+K83</f>
        <v>33.5</v>
      </c>
      <c r="L75" s="681"/>
      <c r="M75" s="681"/>
      <c r="N75" s="681">
        <f>N80+N81+N83</f>
        <v>18.5</v>
      </c>
      <c r="O75" s="681"/>
      <c r="P75" s="681"/>
      <c r="Q75" s="681">
        <f>Q76+Q80+Q81+Q83</f>
        <v>32.299999999999997</v>
      </c>
      <c r="R75" s="681">
        <f t="shared" ref="R75:S75" si="8">R76+R80+R81+R83</f>
        <v>32.299999999999997</v>
      </c>
      <c r="S75" s="681">
        <f t="shared" si="8"/>
        <v>0</v>
      </c>
      <c r="T75" s="681"/>
      <c r="U75" s="681"/>
      <c r="V75" s="681">
        <f>V76+V80+V81+V83</f>
        <v>27.8</v>
      </c>
      <c r="W75" s="681"/>
      <c r="X75" s="681"/>
      <c r="Y75" s="681">
        <f>Y76+Y80+Y81+Y83</f>
        <v>27.8</v>
      </c>
      <c r="Z75" s="681">
        <f t="shared" si="5"/>
        <v>-1.2</v>
      </c>
      <c r="AA75" s="681">
        <f t="shared" si="6"/>
        <v>96.4</v>
      </c>
      <c r="AB75" s="1842"/>
      <c r="AC75" s="549" t="s">
        <v>1665</v>
      </c>
      <c r="AF75" s="872"/>
      <c r="AG75" s="872"/>
      <c r="AH75" s="872"/>
    </row>
    <row r="76" spans="1:34" s="492" customFormat="1" ht="14.25" hidden="1" x14ac:dyDescent="0.2">
      <c r="A76" s="1240"/>
      <c r="B76" s="876" t="s">
        <v>1233</v>
      </c>
      <c r="C76" s="501" t="s">
        <v>1230</v>
      </c>
      <c r="D76" s="1240"/>
      <c r="E76" s="1240"/>
      <c r="F76" s="530"/>
      <c r="G76" s="531"/>
      <c r="H76" s="493"/>
      <c r="I76" s="493"/>
      <c r="J76" s="493"/>
      <c r="K76" s="493"/>
      <c r="L76" s="493"/>
      <c r="M76" s="493"/>
      <c r="N76" s="493"/>
      <c r="O76" s="493"/>
      <c r="P76" s="493"/>
      <c r="Q76" s="532">
        <f>SUM(Q77:Q79)</f>
        <v>10.3</v>
      </c>
      <c r="R76" s="532">
        <f>Q76</f>
        <v>10.3</v>
      </c>
      <c r="S76" s="532"/>
      <c r="T76" s="493"/>
      <c r="U76" s="493"/>
      <c r="V76" s="532">
        <f>SUM(V77:V79)</f>
        <v>5.8</v>
      </c>
      <c r="W76" s="493"/>
      <c r="X76" s="493"/>
      <c r="Y76" s="532">
        <f>SUM(Y77:Y79)</f>
        <v>5.8</v>
      </c>
      <c r="Z76" s="493">
        <f t="shared" si="5"/>
        <v>10.3</v>
      </c>
      <c r="AA76" s="493" t="str">
        <f t="shared" si="6"/>
        <v>-</v>
      </c>
      <c r="AB76" s="921"/>
      <c r="AC76" s="549" t="s">
        <v>1665</v>
      </c>
      <c r="AF76" s="466"/>
      <c r="AG76" s="466"/>
      <c r="AH76" s="466"/>
    </row>
    <row r="77" spans="1:34" s="492" customFormat="1" ht="63.75" hidden="1" x14ac:dyDescent="0.2">
      <c r="A77" s="1240"/>
      <c r="B77" s="881" t="s">
        <v>1725</v>
      </c>
      <c r="C77" s="501"/>
      <c r="D77" s="1240"/>
      <c r="E77" s="873" t="s">
        <v>318</v>
      </c>
      <c r="F77" s="530"/>
      <c r="G77" s="531"/>
      <c r="H77" s="493"/>
      <c r="I77" s="493"/>
      <c r="J77" s="493"/>
      <c r="K77" s="493"/>
      <c r="L77" s="493"/>
      <c r="M77" s="493"/>
      <c r="N77" s="493"/>
      <c r="O77" s="496">
        <v>2</v>
      </c>
      <c r="P77" s="496">
        <v>2.2999999999999998</v>
      </c>
      <c r="Q77" s="496">
        <f>O77*P77</f>
        <v>4.5999999999999996</v>
      </c>
      <c r="R77" s="496">
        <f t="shared" ref="R77:R84" si="9">Q77</f>
        <v>4.5999999999999996</v>
      </c>
      <c r="S77" s="496"/>
      <c r="T77" s="496">
        <v>2</v>
      </c>
      <c r="U77" s="496">
        <v>2.2999999999999998</v>
      </c>
      <c r="V77" s="496">
        <f>T77*U77</f>
        <v>4.5999999999999996</v>
      </c>
      <c r="W77" s="496">
        <v>2</v>
      </c>
      <c r="X77" s="496">
        <v>2.2999999999999998</v>
      </c>
      <c r="Y77" s="496">
        <f>W77*X77</f>
        <v>4.5999999999999996</v>
      </c>
      <c r="Z77" s="493">
        <f t="shared" si="5"/>
        <v>4.5999999999999996</v>
      </c>
      <c r="AA77" s="493" t="str">
        <f t="shared" si="6"/>
        <v>-</v>
      </c>
      <c r="AB77" s="893" t="s">
        <v>1726</v>
      </c>
      <c r="AC77" s="491" t="s">
        <v>1665</v>
      </c>
      <c r="AF77" s="466"/>
      <c r="AG77" s="466"/>
      <c r="AH77" s="466"/>
    </row>
    <row r="78" spans="1:34" s="492" customFormat="1" ht="51" hidden="1" x14ac:dyDescent="0.2">
      <c r="A78" s="1240"/>
      <c r="B78" s="881" t="s">
        <v>1727</v>
      </c>
      <c r="C78" s="501"/>
      <c r="D78" s="1240"/>
      <c r="E78" s="962" t="s">
        <v>227</v>
      </c>
      <c r="F78" s="530"/>
      <c r="G78" s="531"/>
      <c r="H78" s="493"/>
      <c r="I78" s="493"/>
      <c r="J78" s="493"/>
      <c r="K78" s="493"/>
      <c r="L78" s="493"/>
      <c r="M78" s="493"/>
      <c r="N78" s="493"/>
      <c r="O78" s="496">
        <v>1</v>
      </c>
      <c r="P78" s="496">
        <v>3.5</v>
      </c>
      <c r="Q78" s="496">
        <f>O78*P78</f>
        <v>3.5</v>
      </c>
      <c r="R78" s="496">
        <f t="shared" si="9"/>
        <v>3.5</v>
      </c>
      <c r="S78" s="496"/>
      <c r="T78" s="496"/>
      <c r="U78" s="496"/>
      <c r="V78" s="496"/>
      <c r="W78" s="496"/>
      <c r="X78" s="496"/>
      <c r="Y78" s="496"/>
      <c r="Z78" s="493">
        <f t="shared" si="5"/>
        <v>3.5</v>
      </c>
      <c r="AA78" s="493" t="str">
        <f t="shared" si="6"/>
        <v>-</v>
      </c>
      <c r="AB78" s="893" t="s">
        <v>1728</v>
      </c>
      <c r="AC78" s="491" t="s">
        <v>1665</v>
      </c>
      <c r="AF78" s="466"/>
      <c r="AG78" s="466"/>
      <c r="AH78" s="466"/>
    </row>
    <row r="79" spans="1:34" s="492" customFormat="1" ht="14.25" hidden="1" x14ac:dyDescent="0.2">
      <c r="A79" s="1240"/>
      <c r="B79" s="881" t="s">
        <v>1729</v>
      </c>
      <c r="C79" s="501"/>
      <c r="D79" s="1240"/>
      <c r="E79" s="1240"/>
      <c r="F79" s="530"/>
      <c r="G79" s="531"/>
      <c r="H79" s="493"/>
      <c r="I79" s="493"/>
      <c r="J79" s="493"/>
      <c r="K79" s="493"/>
      <c r="L79" s="493"/>
      <c r="M79" s="493"/>
      <c r="N79" s="493"/>
      <c r="O79" s="496"/>
      <c r="P79" s="496"/>
      <c r="Q79" s="496">
        <f>SUM(Q77:Q78)*0.271</f>
        <v>2.2000000000000002</v>
      </c>
      <c r="R79" s="496">
        <f t="shared" si="9"/>
        <v>2.2000000000000002</v>
      </c>
      <c r="S79" s="496"/>
      <c r="T79" s="496"/>
      <c r="U79" s="496"/>
      <c r="V79" s="496">
        <f>SUM(V77)*0.271</f>
        <v>1.2</v>
      </c>
      <c r="W79" s="496"/>
      <c r="X79" s="496"/>
      <c r="Y79" s="496">
        <f>SUM(Y77)*0.271</f>
        <v>1.2</v>
      </c>
      <c r="Z79" s="493">
        <f t="shared" si="5"/>
        <v>2.2000000000000002</v>
      </c>
      <c r="AA79" s="493" t="str">
        <f t="shared" si="6"/>
        <v>-</v>
      </c>
      <c r="AB79" s="921"/>
      <c r="AC79" s="491" t="s">
        <v>1665</v>
      </c>
      <c r="AF79" s="466"/>
      <c r="AG79" s="466"/>
      <c r="AH79" s="466"/>
    </row>
    <row r="80" spans="1:34" s="492" customFormat="1" ht="14.25" hidden="1" x14ac:dyDescent="0.2">
      <c r="A80" s="1240"/>
      <c r="B80" s="876" t="s">
        <v>1730</v>
      </c>
      <c r="C80" s="501" t="s">
        <v>797</v>
      </c>
      <c r="D80" s="1240"/>
      <c r="E80" s="1240" t="s">
        <v>318</v>
      </c>
      <c r="F80" s="530">
        <v>15</v>
      </c>
      <c r="G80" s="531">
        <v>2</v>
      </c>
      <c r="H80" s="493">
        <f>F80*G80</f>
        <v>30</v>
      </c>
      <c r="I80" s="532">
        <v>15</v>
      </c>
      <c r="J80" s="532">
        <v>2</v>
      </c>
      <c r="K80" s="532">
        <f>I80*J80</f>
        <v>30</v>
      </c>
      <c r="L80" s="532">
        <v>15</v>
      </c>
      <c r="M80" s="532">
        <v>2</v>
      </c>
      <c r="N80" s="532">
        <f>L80*M80-30+15</f>
        <v>15</v>
      </c>
      <c r="O80" s="532">
        <v>15</v>
      </c>
      <c r="P80" s="532">
        <v>2</v>
      </c>
      <c r="Q80" s="532">
        <f>O80*P80-30+15</f>
        <v>15</v>
      </c>
      <c r="R80" s="532">
        <f t="shared" si="9"/>
        <v>15</v>
      </c>
      <c r="S80" s="532"/>
      <c r="T80" s="532">
        <v>15</v>
      </c>
      <c r="U80" s="532">
        <v>2</v>
      </c>
      <c r="V80" s="532">
        <f>T80*U80-30+15</f>
        <v>15</v>
      </c>
      <c r="W80" s="532">
        <v>15</v>
      </c>
      <c r="X80" s="532">
        <v>2</v>
      </c>
      <c r="Y80" s="532">
        <f>W80*X80-30+15</f>
        <v>15</v>
      </c>
      <c r="Z80" s="493">
        <f t="shared" si="5"/>
        <v>-15</v>
      </c>
      <c r="AA80" s="493">
        <f t="shared" si="6"/>
        <v>50</v>
      </c>
      <c r="AB80" s="893"/>
      <c r="AC80" s="491" t="s">
        <v>1665</v>
      </c>
      <c r="AF80" s="466"/>
      <c r="AG80" s="466"/>
      <c r="AH80" s="466"/>
    </row>
    <row r="81" spans="1:34" s="492" customFormat="1" ht="25.5" hidden="1" x14ac:dyDescent="0.2">
      <c r="A81" s="1240"/>
      <c r="B81" s="876" t="s">
        <v>1731</v>
      </c>
      <c r="C81" s="501" t="s">
        <v>797</v>
      </c>
      <c r="D81" s="1240"/>
      <c r="E81" s="1240"/>
      <c r="F81" s="530"/>
      <c r="G81" s="531"/>
      <c r="H81" s="493">
        <f>H82</f>
        <v>5.8</v>
      </c>
      <c r="I81" s="532"/>
      <c r="J81" s="532"/>
      <c r="K81" s="532">
        <f>K82</f>
        <v>2.9</v>
      </c>
      <c r="L81" s="532"/>
      <c r="M81" s="532"/>
      <c r="N81" s="532">
        <f>N82</f>
        <v>2.9</v>
      </c>
      <c r="O81" s="532"/>
      <c r="P81" s="532"/>
      <c r="Q81" s="532">
        <f>Q82</f>
        <v>6</v>
      </c>
      <c r="R81" s="532">
        <f t="shared" si="9"/>
        <v>6</v>
      </c>
      <c r="S81" s="532"/>
      <c r="T81" s="532"/>
      <c r="U81" s="532"/>
      <c r="V81" s="532">
        <f>V82</f>
        <v>6</v>
      </c>
      <c r="W81" s="532"/>
      <c r="X81" s="532"/>
      <c r="Y81" s="532">
        <f>Y82</f>
        <v>6</v>
      </c>
      <c r="Z81" s="493">
        <f t="shared" si="5"/>
        <v>3.1</v>
      </c>
      <c r="AA81" s="493">
        <f t="shared" si="6"/>
        <v>206.9</v>
      </c>
      <c r="AB81" s="893"/>
      <c r="AC81" s="491" t="s">
        <v>1665</v>
      </c>
      <c r="AF81" s="466"/>
      <c r="AG81" s="466"/>
      <c r="AH81" s="466"/>
    </row>
    <row r="82" spans="1:34" s="498" customFormat="1" ht="51" hidden="1" x14ac:dyDescent="0.25">
      <c r="A82" s="962"/>
      <c r="B82" s="881" t="s">
        <v>1669</v>
      </c>
      <c r="C82" s="503"/>
      <c r="D82" s="962"/>
      <c r="E82" s="962" t="s">
        <v>227</v>
      </c>
      <c r="F82" s="494">
        <v>58</v>
      </c>
      <c r="G82" s="495">
        <v>0.1</v>
      </c>
      <c r="H82" s="1245">
        <f>F82*G82</f>
        <v>5.8</v>
      </c>
      <c r="I82" s="496">
        <v>58</v>
      </c>
      <c r="J82" s="862">
        <v>0.05</v>
      </c>
      <c r="K82" s="496">
        <f>I82*J82</f>
        <v>2.9</v>
      </c>
      <c r="L82" s="496">
        <v>58</v>
      </c>
      <c r="M82" s="862">
        <v>0.05</v>
      </c>
      <c r="N82" s="496">
        <f>L82*M82</f>
        <v>2.9</v>
      </c>
      <c r="O82" s="496">
        <v>30</v>
      </c>
      <c r="P82" s="857">
        <v>0.2</v>
      </c>
      <c r="Q82" s="496">
        <f>O82*P82</f>
        <v>6</v>
      </c>
      <c r="R82" s="496">
        <f t="shared" si="9"/>
        <v>6</v>
      </c>
      <c r="S82" s="496"/>
      <c r="T82" s="496">
        <v>30</v>
      </c>
      <c r="U82" s="857">
        <v>0.2</v>
      </c>
      <c r="V82" s="496">
        <f>T82*U82</f>
        <v>6</v>
      </c>
      <c r="W82" s="496">
        <v>30</v>
      </c>
      <c r="X82" s="857">
        <v>0.2</v>
      </c>
      <c r="Y82" s="496">
        <f>W82*X82</f>
        <v>6</v>
      </c>
      <c r="Z82" s="1245">
        <f t="shared" si="5"/>
        <v>3.1</v>
      </c>
      <c r="AA82" s="1245">
        <f t="shared" si="6"/>
        <v>206.9</v>
      </c>
      <c r="AB82" s="901" t="s">
        <v>1732</v>
      </c>
      <c r="AC82" s="491" t="s">
        <v>1665</v>
      </c>
      <c r="AF82" s="466"/>
      <c r="AG82" s="465"/>
      <c r="AH82" s="465"/>
    </row>
    <row r="83" spans="1:34" s="492" customFormat="1" ht="14.25" hidden="1" x14ac:dyDescent="0.2">
      <c r="A83" s="1240"/>
      <c r="B83" s="876" t="s">
        <v>1733</v>
      </c>
      <c r="C83" s="501" t="s">
        <v>797</v>
      </c>
      <c r="D83" s="1240"/>
      <c r="E83" s="1240"/>
      <c r="F83" s="530"/>
      <c r="G83" s="531"/>
      <c r="H83" s="493">
        <f>H84</f>
        <v>1.2</v>
      </c>
      <c r="I83" s="532"/>
      <c r="J83" s="532"/>
      <c r="K83" s="532">
        <f>K84</f>
        <v>0.6</v>
      </c>
      <c r="L83" s="532"/>
      <c r="M83" s="532"/>
      <c r="N83" s="532">
        <f>N84</f>
        <v>0.6</v>
      </c>
      <c r="O83" s="532"/>
      <c r="P83" s="532"/>
      <c r="Q83" s="532">
        <f>Q84</f>
        <v>1</v>
      </c>
      <c r="R83" s="532">
        <f t="shared" si="9"/>
        <v>1</v>
      </c>
      <c r="S83" s="532"/>
      <c r="T83" s="532"/>
      <c r="U83" s="532"/>
      <c r="V83" s="532">
        <f>V84</f>
        <v>1</v>
      </c>
      <c r="W83" s="532"/>
      <c r="X83" s="532"/>
      <c r="Y83" s="532">
        <f>Y84</f>
        <v>1</v>
      </c>
      <c r="Z83" s="493">
        <f t="shared" si="5"/>
        <v>0.4</v>
      </c>
      <c r="AA83" s="493">
        <f t="shared" si="6"/>
        <v>166.7</v>
      </c>
      <c r="AB83" s="893"/>
      <c r="AC83" s="491" t="s">
        <v>1665</v>
      </c>
      <c r="AF83" s="466"/>
      <c r="AG83" s="466"/>
      <c r="AH83" s="466"/>
    </row>
    <row r="84" spans="1:34" s="498" customFormat="1" ht="26.25" hidden="1" x14ac:dyDescent="0.25">
      <c r="A84" s="962"/>
      <c r="B84" s="502" t="s">
        <v>1734</v>
      </c>
      <c r="C84" s="503"/>
      <c r="D84" s="962"/>
      <c r="E84" s="962" t="s">
        <v>227</v>
      </c>
      <c r="F84" s="494">
        <v>12</v>
      </c>
      <c r="G84" s="495">
        <v>0.1</v>
      </c>
      <c r="H84" s="1245">
        <f>F84*G84</f>
        <v>1.2</v>
      </c>
      <c r="I84" s="496">
        <v>6</v>
      </c>
      <c r="J84" s="862">
        <v>0.1</v>
      </c>
      <c r="K84" s="496">
        <f>I84*J84</f>
        <v>0.6</v>
      </c>
      <c r="L84" s="496">
        <v>6</v>
      </c>
      <c r="M84" s="862">
        <v>0.1</v>
      </c>
      <c r="N84" s="496">
        <f>L84*M84</f>
        <v>0.6</v>
      </c>
      <c r="O84" s="496">
        <v>10</v>
      </c>
      <c r="P84" s="857">
        <v>0.1</v>
      </c>
      <c r="Q84" s="496">
        <f>O84*P84</f>
        <v>1</v>
      </c>
      <c r="R84" s="496">
        <f t="shared" si="9"/>
        <v>1</v>
      </c>
      <c r="S84" s="496"/>
      <c r="T84" s="496">
        <v>10</v>
      </c>
      <c r="U84" s="857">
        <v>0.1</v>
      </c>
      <c r="V84" s="496">
        <f>T84*U84</f>
        <v>1</v>
      </c>
      <c r="W84" s="496">
        <v>10</v>
      </c>
      <c r="X84" s="857">
        <v>0.1</v>
      </c>
      <c r="Y84" s="496">
        <f>W84*X84</f>
        <v>1</v>
      </c>
      <c r="Z84" s="1245">
        <f t="shared" si="5"/>
        <v>0.4</v>
      </c>
      <c r="AA84" s="1245">
        <f t="shared" si="6"/>
        <v>166.7</v>
      </c>
      <c r="AB84" s="893" t="s">
        <v>1735</v>
      </c>
      <c r="AC84" s="491" t="s">
        <v>1665</v>
      </c>
      <c r="AF84" s="466"/>
      <c r="AG84" s="465"/>
      <c r="AH84" s="465"/>
    </row>
    <row r="85" spans="1:34" s="871" customFormat="1" ht="25.5" hidden="1" x14ac:dyDescent="0.2">
      <c r="A85" s="869"/>
      <c r="B85" s="875" t="s">
        <v>1736</v>
      </c>
      <c r="C85" s="868"/>
      <c r="D85" s="869"/>
      <c r="E85" s="869"/>
      <c r="F85" s="879"/>
      <c r="G85" s="880"/>
      <c r="H85" s="681">
        <f>H86+H91+H96+H95+H97+H98</f>
        <v>162.19999999999999</v>
      </c>
      <c r="I85" s="681"/>
      <c r="J85" s="1843"/>
      <c r="K85" s="681">
        <f>K86+K91+K96+K95+K97+K98</f>
        <v>138.5</v>
      </c>
      <c r="L85" s="681"/>
      <c r="M85" s="1843"/>
      <c r="N85" s="681">
        <f>N86+N91+N96+N95+N97+N98</f>
        <v>153.5</v>
      </c>
      <c r="O85" s="681"/>
      <c r="P85" s="681"/>
      <c r="Q85" s="681">
        <f>Q86+Q91+Q96+Q95+Q97+Q98</f>
        <v>187.1</v>
      </c>
      <c r="R85" s="681">
        <f>R86+R91+R96+R95+R97+R98</f>
        <v>141.5</v>
      </c>
      <c r="S85" s="681">
        <f>S86+S91+S96+S95+S97+S98</f>
        <v>45.6</v>
      </c>
      <c r="T85" s="681"/>
      <c r="U85" s="681"/>
      <c r="V85" s="681">
        <f>V86+V91+V96+V95+V97+V98</f>
        <v>146.30000000000001</v>
      </c>
      <c r="W85" s="681"/>
      <c r="X85" s="681"/>
      <c r="Y85" s="681">
        <f>Y86+Y91+Y96+Y95+Y97+Y98</f>
        <v>146.30000000000001</v>
      </c>
      <c r="Z85" s="681">
        <f t="shared" si="5"/>
        <v>48.6</v>
      </c>
      <c r="AA85" s="681">
        <f t="shared" si="6"/>
        <v>135.1</v>
      </c>
      <c r="AB85" s="1842"/>
      <c r="AC85" s="491" t="s">
        <v>1665</v>
      </c>
      <c r="AF85" s="872"/>
      <c r="AG85" s="872"/>
      <c r="AH85" s="872"/>
    </row>
    <row r="86" spans="1:34" s="492" customFormat="1" ht="14.25" hidden="1" x14ac:dyDescent="0.2">
      <c r="A86" s="1240"/>
      <c r="B86" s="876" t="s">
        <v>1233</v>
      </c>
      <c r="C86" s="501" t="s">
        <v>1230</v>
      </c>
      <c r="D86" s="1240"/>
      <c r="E86" s="1240"/>
      <c r="F86" s="530"/>
      <c r="G86" s="531"/>
      <c r="H86" s="542">
        <f>SUM(H87:H90)</f>
        <v>10.3</v>
      </c>
      <c r="I86" s="532"/>
      <c r="J86" s="532"/>
      <c r="K86" s="533">
        <f>SUM(K87:K90)</f>
        <v>10.3</v>
      </c>
      <c r="L86" s="532"/>
      <c r="M86" s="532"/>
      <c r="N86" s="533">
        <f>SUM(N87:N90)</f>
        <v>10.3</v>
      </c>
      <c r="O86" s="532"/>
      <c r="P86" s="532"/>
      <c r="Q86" s="533">
        <f>SUM(Q87:Q90)</f>
        <v>17.7</v>
      </c>
      <c r="R86" s="533">
        <f t="shared" ref="R86:S86" si="10">SUM(R87:R90)</f>
        <v>17.7</v>
      </c>
      <c r="S86" s="533">
        <f t="shared" si="10"/>
        <v>0</v>
      </c>
      <c r="T86" s="532"/>
      <c r="U86" s="532"/>
      <c r="V86" s="533">
        <f>SUM(V87:V90)</f>
        <v>16.100000000000001</v>
      </c>
      <c r="W86" s="532"/>
      <c r="X86" s="532"/>
      <c r="Y86" s="533">
        <f>SUM(Y87:Y90)</f>
        <v>16.100000000000001</v>
      </c>
      <c r="Z86" s="542">
        <f t="shared" si="5"/>
        <v>7.4</v>
      </c>
      <c r="AA86" s="542">
        <f t="shared" si="6"/>
        <v>171.8</v>
      </c>
      <c r="AB86" s="893"/>
      <c r="AC86" s="491" t="s">
        <v>1665</v>
      </c>
      <c r="AF86" s="466"/>
      <c r="AG86" s="466"/>
      <c r="AH86" s="466"/>
    </row>
    <row r="87" spans="1:34" s="498" customFormat="1" hidden="1" x14ac:dyDescent="0.25">
      <c r="A87" s="962"/>
      <c r="B87" s="881" t="s">
        <v>1737</v>
      </c>
      <c r="C87" s="503"/>
      <c r="D87" s="962"/>
      <c r="E87" s="962" t="s">
        <v>318</v>
      </c>
      <c r="F87" s="494">
        <v>1</v>
      </c>
      <c r="G87" s="495">
        <v>3.5</v>
      </c>
      <c r="H87" s="559">
        <f>F87*G87</f>
        <v>3.5</v>
      </c>
      <c r="I87" s="496">
        <v>1</v>
      </c>
      <c r="J87" s="496">
        <v>3.5</v>
      </c>
      <c r="K87" s="857">
        <f>I87*J87</f>
        <v>3.5</v>
      </c>
      <c r="L87" s="496">
        <v>1</v>
      </c>
      <c r="M87" s="496">
        <v>3.5</v>
      </c>
      <c r="N87" s="857">
        <f>L87*M87</f>
        <v>3.5</v>
      </c>
      <c r="O87" s="496">
        <v>1</v>
      </c>
      <c r="P87" s="496">
        <v>3.5</v>
      </c>
      <c r="Q87" s="857">
        <f>O87*P87</f>
        <v>3.5</v>
      </c>
      <c r="R87" s="857">
        <f>Q87</f>
        <v>3.5</v>
      </c>
      <c r="S87" s="857"/>
      <c r="T87" s="496">
        <v>1</v>
      </c>
      <c r="U87" s="496">
        <v>3.5</v>
      </c>
      <c r="V87" s="857">
        <f>T87*U87</f>
        <v>3.5</v>
      </c>
      <c r="W87" s="496">
        <v>1</v>
      </c>
      <c r="X87" s="496">
        <v>3.5</v>
      </c>
      <c r="Y87" s="857">
        <f>W87*X87</f>
        <v>3.5</v>
      </c>
      <c r="Z87" s="559">
        <f t="shared" si="5"/>
        <v>0</v>
      </c>
      <c r="AA87" s="559">
        <f t="shared" si="6"/>
        <v>100</v>
      </c>
      <c r="AB87" s="893"/>
      <c r="AC87" s="491" t="s">
        <v>1665</v>
      </c>
      <c r="AF87" s="466"/>
      <c r="AG87" s="465"/>
      <c r="AH87" s="465"/>
    </row>
    <row r="88" spans="1:34" s="498" customFormat="1" ht="51.75" hidden="1" x14ac:dyDescent="0.25">
      <c r="A88" s="962"/>
      <c r="B88" s="881" t="s">
        <v>1738</v>
      </c>
      <c r="C88" s="503"/>
      <c r="D88" s="962"/>
      <c r="E88" s="962" t="s">
        <v>318</v>
      </c>
      <c r="F88" s="494"/>
      <c r="G88" s="495"/>
      <c r="H88" s="559"/>
      <c r="I88" s="496"/>
      <c r="J88" s="496"/>
      <c r="K88" s="857"/>
      <c r="L88" s="496"/>
      <c r="M88" s="496"/>
      <c r="N88" s="857"/>
      <c r="O88" s="496">
        <v>1</v>
      </c>
      <c r="P88" s="496">
        <v>5.8</v>
      </c>
      <c r="Q88" s="857">
        <f>O88*P88</f>
        <v>5.8</v>
      </c>
      <c r="R88" s="857">
        <f>Q88</f>
        <v>5.8</v>
      </c>
      <c r="S88" s="857"/>
      <c r="T88" s="496">
        <v>1</v>
      </c>
      <c r="U88" s="496">
        <v>4.5999999999999996</v>
      </c>
      <c r="V88" s="857">
        <f>T88*U88</f>
        <v>4.5999999999999996</v>
      </c>
      <c r="W88" s="496">
        <v>1</v>
      </c>
      <c r="X88" s="496">
        <v>4.5999999999999996</v>
      </c>
      <c r="Y88" s="857">
        <f>W88*X88</f>
        <v>4.5999999999999996</v>
      </c>
      <c r="Z88" s="559">
        <f t="shared" si="5"/>
        <v>5.8</v>
      </c>
      <c r="AA88" s="559" t="str">
        <f t="shared" si="6"/>
        <v>-</v>
      </c>
      <c r="AB88" s="893" t="s">
        <v>1739</v>
      </c>
      <c r="AC88" s="491" t="s">
        <v>1665</v>
      </c>
      <c r="AF88" s="466"/>
      <c r="AG88" s="465"/>
      <c r="AH88" s="465"/>
    </row>
    <row r="89" spans="1:34" s="498" customFormat="1" hidden="1" x14ac:dyDescent="0.25">
      <c r="A89" s="962"/>
      <c r="B89" s="881" t="s">
        <v>1740</v>
      </c>
      <c r="C89" s="503"/>
      <c r="D89" s="962"/>
      <c r="E89" s="962" t="s">
        <v>318</v>
      </c>
      <c r="F89" s="494">
        <v>2</v>
      </c>
      <c r="G89" s="495">
        <v>2.2999999999999998</v>
      </c>
      <c r="H89" s="559">
        <f>F89*G89</f>
        <v>4.5999999999999996</v>
      </c>
      <c r="I89" s="496">
        <v>2</v>
      </c>
      <c r="J89" s="496">
        <v>2.2999999999999998</v>
      </c>
      <c r="K89" s="857">
        <f>I89*J89</f>
        <v>4.5999999999999996</v>
      </c>
      <c r="L89" s="496">
        <v>2</v>
      </c>
      <c r="M89" s="496">
        <v>2.2999999999999998</v>
      </c>
      <c r="N89" s="857">
        <f>L89*M89</f>
        <v>4.5999999999999996</v>
      </c>
      <c r="O89" s="496">
        <v>2</v>
      </c>
      <c r="P89" s="496">
        <v>2.2999999999999998</v>
      </c>
      <c r="Q89" s="857">
        <f>O89*P89</f>
        <v>4.5999999999999996</v>
      </c>
      <c r="R89" s="857">
        <f>Q89</f>
        <v>4.5999999999999996</v>
      </c>
      <c r="S89" s="857"/>
      <c r="T89" s="496">
        <v>2</v>
      </c>
      <c r="U89" s="496">
        <v>2.2999999999999998</v>
      </c>
      <c r="V89" s="857">
        <f>T89*U89</f>
        <v>4.5999999999999996</v>
      </c>
      <c r="W89" s="496">
        <v>2</v>
      </c>
      <c r="X89" s="496">
        <v>2.2999999999999998</v>
      </c>
      <c r="Y89" s="857">
        <f>W89*X89</f>
        <v>4.5999999999999996</v>
      </c>
      <c r="Z89" s="559">
        <f t="shared" si="5"/>
        <v>0</v>
      </c>
      <c r="AA89" s="559">
        <f t="shared" si="6"/>
        <v>100</v>
      </c>
      <c r="AB89" s="893"/>
      <c r="AC89" s="491" t="s">
        <v>1665</v>
      </c>
      <c r="AF89" s="466"/>
      <c r="AG89" s="465"/>
      <c r="AH89" s="465"/>
    </row>
    <row r="90" spans="1:34" s="498" customFormat="1" hidden="1" x14ac:dyDescent="0.25">
      <c r="A90" s="962"/>
      <c r="B90" s="881" t="s">
        <v>1729</v>
      </c>
      <c r="C90" s="503"/>
      <c r="D90" s="962"/>
      <c r="E90" s="962"/>
      <c r="F90" s="494"/>
      <c r="G90" s="495"/>
      <c r="H90" s="1245">
        <f>SUM(H87:H89)*0.271</f>
        <v>2.2000000000000002</v>
      </c>
      <c r="I90" s="496"/>
      <c r="J90" s="496"/>
      <c r="K90" s="496">
        <f>SUM(K87:K89)*0.271</f>
        <v>2.2000000000000002</v>
      </c>
      <c r="L90" s="496"/>
      <c r="M90" s="496"/>
      <c r="N90" s="496">
        <f>SUM(N87:N89)*0.271</f>
        <v>2.2000000000000002</v>
      </c>
      <c r="O90" s="496"/>
      <c r="P90" s="496"/>
      <c r="Q90" s="496">
        <f>SUM(Q87:Q89)*0.271</f>
        <v>3.8</v>
      </c>
      <c r="R90" s="496">
        <f t="shared" ref="R90:S90" si="11">SUM(R87:R89)*0.271</f>
        <v>3.8</v>
      </c>
      <c r="S90" s="496">
        <f t="shared" si="11"/>
        <v>0</v>
      </c>
      <c r="T90" s="496"/>
      <c r="U90" s="496"/>
      <c r="V90" s="496">
        <f>SUM(V87:V89)*0.271</f>
        <v>3.4</v>
      </c>
      <c r="W90" s="496"/>
      <c r="X90" s="496"/>
      <c r="Y90" s="496">
        <f>SUM(Y87:Y89)*0.271</f>
        <v>3.4</v>
      </c>
      <c r="Z90" s="1245">
        <f t="shared" si="5"/>
        <v>1.6</v>
      </c>
      <c r="AA90" s="1245">
        <f t="shared" si="6"/>
        <v>172.7</v>
      </c>
      <c r="AB90" s="921"/>
      <c r="AC90" s="491" t="s">
        <v>1665</v>
      </c>
      <c r="AF90" s="466"/>
      <c r="AG90" s="465"/>
      <c r="AH90" s="465"/>
    </row>
    <row r="91" spans="1:34" s="492" customFormat="1" ht="14.25" hidden="1" x14ac:dyDescent="0.2">
      <c r="A91" s="1240"/>
      <c r="B91" s="876" t="s">
        <v>1741</v>
      </c>
      <c r="C91" s="501" t="s">
        <v>797</v>
      </c>
      <c r="D91" s="1240"/>
      <c r="E91" s="1240"/>
      <c r="F91" s="530"/>
      <c r="G91" s="531"/>
      <c r="H91" s="542">
        <f>SUM(H92:H94)</f>
        <v>4.4000000000000004</v>
      </c>
      <c r="I91" s="532"/>
      <c r="J91" s="532"/>
      <c r="K91" s="533">
        <f>SUM(K92:K94)</f>
        <v>1.2</v>
      </c>
      <c r="L91" s="532"/>
      <c r="M91" s="532"/>
      <c r="N91" s="533">
        <f>SUM(N92:N94)</f>
        <v>1.2</v>
      </c>
      <c r="O91" s="532"/>
      <c r="P91" s="532"/>
      <c r="Q91" s="533">
        <f>SUM(Q92:Q94)</f>
        <v>22.2</v>
      </c>
      <c r="R91" s="533">
        <f>SUM(R92:R94)</f>
        <v>0</v>
      </c>
      <c r="S91" s="533">
        <f>SUM(S92:S94)</f>
        <v>22.2</v>
      </c>
      <c r="T91" s="532"/>
      <c r="U91" s="532"/>
      <c r="V91" s="533">
        <f>SUM(V92:V94)</f>
        <v>4.2</v>
      </c>
      <c r="W91" s="532"/>
      <c r="X91" s="532"/>
      <c r="Y91" s="533">
        <f>SUM(Y92:Y94)</f>
        <v>4.2</v>
      </c>
      <c r="Z91" s="542">
        <f t="shared" si="5"/>
        <v>21</v>
      </c>
      <c r="AA91" s="542">
        <f t="shared" si="6"/>
        <v>1850</v>
      </c>
      <c r="AB91" s="921"/>
      <c r="AC91" s="491" t="s">
        <v>1665</v>
      </c>
      <c r="AF91" s="466"/>
      <c r="AG91" s="466"/>
      <c r="AH91" s="466"/>
    </row>
    <row r="92" spans="1:34" s="498" customFormat="1" hidden="1" x14ac:dyDescent="0.25">
      <c r="A92" s="962"/>
      <c r="B92" s="502" t="s">
        <v>1742</v>
      </c>
      <c r="C92" s="499"/>
      <c r="D92" s="962"/>
      <c r="E92" s="962" t="s">
        <v>227</v>
      </c>
      <c r="F92" s="494">
        <v>26</v>
      </c>
      <c r="G92" s="495">
        <v>0.1</v>
      </c>
      <c r="H92" s="559">
        <f>F92*G92</f>
        <v>2.6</v>
      </c>
      <c r="I92" s="496">
        <v>12</v>
      </c>
      <c r="J92" s="862">
        <v>0.1</v>
      </c>
      <c r="K92" s="857">
        <f>I92*J92</f>
        <v>1.2</v>
      </c>
      <c r="L92" s="496">
        <v>12</v>
      </c>
      <c r="M92" s="862">
        <v>0.1</v>
      </c>
      <c r="N92" s="857">
        <f>L92*M92</f>
        <v>1.2</v>
      </c>
      <c r="O92" s="496">
        <v>10</v>
      </c>
      <c r="P92" s="857">
        <v>0.1</v>
      </c>
      <c r="Q92" s="857">
        <f>O92*P92</f>
        <v>1</v>
      </c>
      <c r="R92" s="857"/>
      <c r="S92" s="857">
        <v>1</v>
      </c>
      <c r="T92" s="496">
        <v>10</v>
      </c>
      <c r="U92" s="857">
        <v>0.1</v>
      </c>
      <c r="V92" s="857">
        <f t="shared" ref="V92:V97" si="12">T92*U92</f>
        <v>1</v>
      </c>
      <c r="W92" s="496">
        <v>10</v>
      </c>
      <c r="X92" s="857">
        <v>0.1</v>
      </c>
      <c r="Y92" s="857">
        <f t="shared" ref="Y92:Y97" si="13">W92*X92</f>
        <v>1</v>
      </c>
      <c r="Z92" s="559">
        <f t="shared" si="5"/>
        <v>-0.2</v>
      </c>
      <c r="AA92" s="559">
        <f t="shared" si="6"/>
        <v>83.3</v>
      </c>
      <c r="AB92" s="893"/>
      <c r="AC92" s="491" t="s">
        <v>1665</v>
      </c>
      <c r="AF92" s="466"/>
      <c r="AG92" s="465"/>
      <c r="AH92" s="465"/>
    </row>
    <row r="93" spans="1:34" s="498" customFormat="1" ht="39" hidden="1" x14ac:dyDescent="0.25">
      <c r="A93" s="962"/>
      <c r="B93" s="502" t="s">
        <v>1743</v>
      </c>
      <c r="C93" s="499"/>
      <c r="D93" s="962"/>
      <c r="E93" s="962" t="s">
        <v>1238</v>
      </c>
      <c r="F93" s="494"/>
      <c r="G93" s="495"/>
      <c r="H93" s="559"/>
      <c r="I93" s="496"/>
      <c r="J93" s="862"/>
      <c r="K93" s="857"/>
      <c r="L93" s="496"/>
      <c r="M93" s="862"/>
      <c r="N93" s="857"/>
      <c r="O93" s="496">
        <v>20</v>
      </c>
      <c r="P93" s="857">
        <v>0.9</v>
      </c>
      <c r="Q93" s="857">
        <f>O93*P93</f>
        <v>18</v>
      </c>
      <c r="R93" s="857"/>
      <c r="S93" s="857">
        <f>Q93-R93</f>
        <v>18</v>
      </c>
      <c r="T93" s="496"/>
      <c r="U93" s="857"/>
      <c r="V93" s="857">
        <f t="shared" si="12"/>
        <v>0</v>
      </c>
      <c r="W93" s="496"/>
      <c r="X93" s="857"/>
      <c r="Y93" s="857">
        <f t="shared" si="13"/>
        <v>0</v>
      </c>
      <c r="Z93" s="559">
        <f t="shared" si="5"/>
        <v>18</v>
      </c>
      <c r="AA93" s="559" t="str">
        <f t="shared" si="6"/>
        <v>-</v>
      </c>
      <c r="AB93" s="1844" t="s">
        <v>1744</v>
      </c>
      <c r="AC93" s="491" t="s">
        <v>1665</v>
      </c>
      <c r="AF93" s="466"/>
      <c r="AG93" s="465"/>
      <c r="AH93" s="465"/>
    </row>
    <row r="94" spans="1:34" s="498" customFormat="1" hidden="1" x14ac:dyDescent="0.25">
      <c r="A94" s="962"/>
      <c r="B94" s="878" t="s">
        <v>1692</v>
      </c>
      <c r="C94" s="499"/>
      <c r="D94" s="962"/>
      <c r="E94" s="962" t="s">
        <v>227</v>
      </c>
      <c r="F94" s="494">
        <v>6</v>
      </c>
      <c r="G94" s="495">
        <v>0.3</v>
      </c>
      <c r="H94" s="559">
        <f>F94*G94</f>
        <v>1.8</v>
      </c>
      <c r="I94" s="496"/>
      <c r="J94" s="496"/>
      <c r="K94" s="857">
        <f>I94*J94</f>
        <v>0</v>
      </c>
      <c r="L94" s="496"/>
      <c r="M94" s="496"/>
      <c r="N94" s="857">
        <f>L94*M94</f>
        <v>0</v>
      </c>
      <c r="O94" s="496">
        <v>8</v>
      </c>
      <c r="P94" s="496">
        <v>0.4</v>
      </c>
      <c r="Q94" s="857">
        <f>O94*P94</f>
        <v>3.2</v>
      </c>
      <c r="R94" s="857"/>
      <c r="S94" s="857">
        <f>Q94</f>
        <v>3.2</v>
      </c>
      <c r="T94" s="496">
        <v>8</v>
      </c>
      <c r="U94" s="496">
        <v>0.4</v>
      </c>
      <c r="V94" s="857">
        <f t="shared" si="12"/>
        <v>3.2</v>
      </c>
      <c r="W94" s="496">
        <v>8</v>
      </c>
      <c r="X94" s="496">
        <v>0.4</v>
      </c>
      <c r="Y94" s="857">
        <f t="shared" si="13"/>
        <v>3.2</v>
      </c>
      <c r="Z94" s="559">
        <f t="shared" si="5"/>
        <v>3.2</v>
      </c>
      <c r="AA94" s="559" t="str">
        <f t="shared" si="6"/>
        <v>-</v>
      </c>
      <c r="AB94" s="1845"/>
      <c r="AC94" s="491" t="s">
        <v>1665</v>
      </c>
      <c r="AF94" s="466"/>
      <c r="AG94" s="465"/>
      <c r="AH94" s="465"/>
    </row>
    <row r="95" spans="1:34" s="492" customFormat="1" ht="38.25" hidden="1" x14ac:dyDescent="0.2">
      <c r="A95" s="1240"/>
      <c r="B95" s="877" t="s">
        <v>1745</v>
      </c>
      <c r="C95" s="508" t="s">
        <v>796</v>
      </c>
      <c r="D95" s="1240"/>
      <c r="E95" s="1240" t="s">
        <v>1235</v>
      </c>
      <c r="F95" s="530">
        <v>12</v>
      </c>
      <c r="G95" s="1846">
        <v>0.5</v>
      </c>
      <c r="H95" s="542">
        <f>F95*G95</f>
        <v>6</v>
      </c>
      <c r="I95" s="532">
        <v>15</v>
      </c>
      <c r="J95" s="1847">
        <v>0.4</v>
      </c>
      <c r="K95" s="533">
        <f>I95*J95</f>
        <v>6</v>
      </c>
      <c r="L95" s="532">
        <v>15</v>
      </c>
      <c r="M95" s="1847">
        <v>0.4</v>
      </c>
      <c r="N95" s="533">
        <f>L95*M95</f>
        <v>6</v>
      </c>
      <c r="O95" s="532"/>
      <c r="P95" s="1847"/>
      <c r="Q95" s="533"/>
      <c r="R95" s="533"/>
      <c r="S95" s="533"/>
      <c r="T95" s="532"/>
      <c r="U95" s="1847"/>
      <c r="V95" s="533"/>
      <c r="W95" s="532"/>
      <c r="X95" s="1847"/>
      <c r="Y95" s="533"/>
      <c r="Z95" s="542">
        <f t="shared" si="5"/>
        <v>-6</v>
      </c>
      <c r="AA95" s="542">
        <f t="shared" si="6"/>
        <v>0</v>
      </c>
      <c r="AB95" s="893" t="s">
        <v>1746</v>
      </c>
      <c r="AC95" s="491" t="s">
        <v>1665</v>
      </c>
      <c r="AF95" s="466"/>
      <c r="AG95" s="466"/>
      <c r="AH95" s="466"/>
    </row>
    <row r="96" spans="1:34" s="492" customFormat="1" ht="14.25" hidden="1" x14ac:dyDescent="0.2">
      <c r="A96" s="1240"/>
      <c r="B96" s="876" t="s">
        <v>1246</v>
      </c>
      <c r="C96" s="501" t="s">
        <v>1237</v>
      </c>
      <c r="D96" s="1240"/>
      <c r="E96" s="1240" t="s">
        <v>664</v>
      </c>
      <c r="F96" s="1848">
        <v>2</v>
      </c>
      <c r="G96" s="1830">
        <v>2.5</v>
      </c>
      <c r="H96" s="542">
        <f>F96*G96</f>
        <v>5</v>
      </c>
      <c r="I96" s="1849">
        <v>2</v>
      </c>
      <c r="J96" s="1831">
        <v>2.5</v>
      </c>
      <c r="K96" s="533">
        <f>I96*J96</f>
        <v>5</v>
      </c>
      <c r="L96" s="1849">
        <v>2</v>
      </c>
      <c r="M96" s="1831">
        <v>2.5</v>
      </c>
      <c r="N96" s="533">
        <f>L96*M96</f>
        <v>5</v>
      </c>
      <c r="O96" s="1849">
        <v>2</v>
      </c>
      <c r="P96" s="1831">
        <v>2.5</v>
      </c>
      <c r="Q96" s="533">
        <f>O96*P96</f>
        <v>5</v>
      </c>
      <c r="R96" s="533">
        <f>Q96</f>
        <v>5</v>
      </c>
      <c r="S96" s="533"/>
      <c r="T96" s="1849">
        <v>2</v>
      </c>
      <c r="U96" s="1831">
        <v>2.5</v>
      </c>
      <c r="V96" s="533">
        <f t="shared" si="12"/>
        <v>5</v>
      </c>
      <c r="W96" s="1849">
        <v>2</v>
      </c>
      <c r="X96" s="1831">
        <v>2.5</v>
      </c>
      <c r="Y96" s="533">
        <f t="shared" si="13"/>
        <v>5</v>
      </c>
      <c r="Z96" s="542">
        <f t="shared" si="5"/>
        <v>0</v>
      </c>
      <c r="AA96" s="542">
        <f t="shared" si="6"/>
        <v>100</v>
      </c>
      <c r="AB96" s="893"/>
      <c r="AC96" s="491" t="s">
        <v>1665</v>
      </c>
      <c r="AF96" s="466"/>
      <c r="AG96" s="466"/>
      <c r="AH96" s="466"/>
    </row>
    <row r="97" spans="1:34" s="492" customFormat="1" ht="14.25" hidden="1" x14ac:dyDescent="0.2">
      <c r="A97" s="1240"/>
      <c r="B97" s="876" t="s">
        <v>1367</v>
      </c>
      <c r="C97" s="501" t="s">
        <v>797</v>
      </c>
      <c r="D97" s="1240"/>
      <c r="E97" s="1240" t="s">
        <v>227</v>
      </c>
      <c r="F97" s="1848">
        <v>3</v>
      </c>
      <c r="G97" s="1830">
        <v>35</v>
      </c>
      <c r="H97" s="542">
        <f>F97*G97</f>
        <v>105</v>
      </c>
      <c r="I97" s="1849">
        <v>3</v>
      </c>
      <c r="J97" s="1831">
        <v>35</v>
      </c>
      <c r="K97" s="533">
        <f>I97*J97</f>
        <v>105</v>
      </c>
      <c r="L97" s="1849">
        <v>3</v>
      </c>
      <c r="M97" s="1831">
        <v>35</v>
      </c>
      <c r="N97" s="533">
        <f>L97*M97</f>
        <v>105</v>
      </c>
      <c r="O97" s="1849">
        <v>3</v>
      </c>
      <c r="P97" s="1831">
        <v>35</v>
      </c>
      <c r="Q97" s="533">
        <f>O97*P97</f>
        <v>105</v>
      </c>
      <c r="R97" s="533">
        <f>Q97</f>
        <v>105</v>
      </c>
      <c r="S97" s="533"/>
      <c r="T97" s="1849">
        <v>3</v>
      </c>
      <c r="U97" s="1831">
        <v>35</v>
      </c>
      <c r="V97" s="533">
        <f t="shared" si="12"/>
        <v>105</v>
      </c>
      <c r="W97" s="1849">
        <v>3</v>
      </c>
      <c r="X97" s="1831">
        <v>35</v>
      </c>
      <c r="Y97" s="533">
        <f t="shared" si="13"/>
        <v>105</v>
      </c>
      <c r="Z97" s="542">
        <f t="shared" si="5"/>
        <v>0</v>
      </c>
      <c r="AA97" s="542">
        <f t="shared" si="6"/>
        <v>100</v>
      </c>
      <c r="AB97" s="893"/>
      <c r="AC97" s="491" t="s">
        <v>1665</v>
      </c>
      <c r="AF97" s="466"/>
      <c r="AG97" s="466"/>
      <c r="AH97" s="466"/>
    </row>
    <row r="98" spans="1:34" s="492" customFormat="1" ht="25.5" hidden="1" x14ac:dyDescent="0.2">
      <c r="A98" s="1240"/>
      <c r="B98" s="877" t="s">
        <v>1747</v>
      </c>
      <c r="C98" s="508" t="s">
        <v>797</v>
      </c>
      <c r="D98" s="1240"/>
      <c r="E98" s="1240"/>
      <c r="F98" s="1848"/>
      <c r="G98" s="1830"/>
      <c r="H98" s="493">
        <f>H99+H102</f>
        <v>31.5</v>
      </c>
      <c r="I98" s="1849"/>
      <c r="J98" s="1831"/>
      <c r="K98" s="532">
        <f>K99+K102</f>
        <v>11</v>
      </c>
      <c r="L98" s="1849"/>
      <c r="M98" s="1831"/>
      <c r="N98" s="532">
        <f>N99+N102</f>
        <v>26</v>
      </c>
      <c r="O98" s="1849"/>
      <c r="P98" s="1831"/>
      <c r="Q98" s="532">
        <f>SUM(Q99:Q102)</f>
        <v>37.200000000000003</v>
      </c>
      <c r="R98" s="532">
        <f t="shared" ref="R98:S98" si="14">SUM(R99:R102)</f>
        <v>13.8</v>
      </c>
      <c r="S98" s="532">
        <f t="shared" si="14"/>
        <v>23.4</v>
      </c>
      <c r="T98" s="1849"/>
      <c r="U98" s="1831"/>
      <c r="V98" s="532">
        <f>SUM(V99:V102)</f>
        <v>16</v>
      </c>
      <c r="W98" s="1849"/>
      <c r="X98" s="1831"/>
      <c r="Y98" s="532">
        <f>SUM(Y99:Y102)</f>
        <v>16</v>
      </c>
      <c r="Z98" s="493">
        <f t="shared" si="5"/>
        <v>26.2</v>
      </c>
      <c r="AA98" s="493">
        <f t="shared" si="6"/>
        <v>338.2</v>
      </c>
      <c r="AB98" s="921"/>
      <c r="AC98" s="491" t="s">
        <v>1665</v>
      </c>
      <c r="AF98" s="466"/>
      <c r="AG98" s="466"/>
      <c r="AH98" s="466"/>
    </row>
    <row r="99" spans="1:34" s="498" customFormat="1" hidden="1" x14ac:dyDescent="0.25">
      <c r="A99" s="962"/>
      <c r="B99" s="1850" t="s">
        <v>1748</v>
      </c>
      <c r="C99" s="499"/>
      <c r="D99" s="962"/>
      <c r="E99" s="962" t="s">
        <v>227</v>
      </c>
      <c r="F99" s="494">
        <v>210</v>
      </c>
      <c r="G99" s="495">
        <v>0.12</v>
      </c>
      <c r="H99" s="1851">
        <f>F99*G99</f>
        <v>25.2</v>
      </c>
      <c r="I99" s="496">
        <v>220</v>
      </c>
      <c r="J99" s="883">
        <v>0.05</v>
      </c>
      <c r="K99" s="1852">
        <f>I99*J99</f>
        <v>11</v>
      </c>
      <c r="L99" s="496">
        <v>220</v>
      </c>
      <c r="M99" s="883">
        <v>0.05</v>
      </c>
      <c r="N99" s="1852">
        <f>L99*M99</f>
        <v>11</v>
      </c>
      <c r="O99" s="496"/>
      <c r="P99" s="496"/>
      <c r="Q99" s="1852"/>
      <c r="R99" s="1852"/>
      <c r="S99" s="1852"/>
      <c r="T99" s="496"/>
      <c r="U99" s="496"/>
      <c r="V99" s="1852"/>
      <c r="W99" s="496"/>
      <c r="X99" s="496"/>
      <c r="Y99" s="1852"/>
      <c r="Z99" s="1851">
        <f t="shared" si="5"/>
        <v>-11</v>
      </c>
      <c r="AA99" s="1851">
        <f t="shared" si="6"/>
        <v>0</v>
      </c>
      <c r="AB99" s="893"/>
      <c r="AC99" s="491" t="s">
        <v>1665</v>
      </c>
      <c r="AF99" s="466"/>
      <c r="AG99" s="465"/>
      <c r="AH99" s="465"/>
    </row>
    <row r="100" spans="1:34" s="498" customFormat="1" ht="25.5" hidden="1" x14ac:dyDescent="0.25">
      <c r="A100" s="962"/>
      <c r="B100" s="1850" t="s">
        <v>1689</v>
      </c>
      <c r="C100" s="499"/>
      <c r="D100" s="962"/>
      <c r="E100" s="541" t="s">
        <v>1238</v>
      </c>
      <c r="F100" s="494"/>
      <c r="G100" s="495"/>
      <c r="H100" s="1851"/>
      <c r="I100" s="496"/>
      <c r="J100" s="883"/>
      <c r="K100" s="1852"/>
      <c r="L100" s="496"/>
      <c r="M100" s="883"/>
      <c r="N100" s="1852"/>
      <c r="O100" s="496">
        <v>4</v>
      </c>
      <c r="P100" s="496">
        <v>2</v>
      </c>
      <c r="Q100" s="1852">
        <f>O100*P100</f>
        <v>8</v>
      </c>
      <c r="R100" s="1852"/>
      <c r="S100" s="1852">
        <f>Q100</f>
        <v>8</v>
      </c>
      <c r="T100" s="496">
        <v>4</v>
      </c>
      <c r="U100" s="496">
        <v>2</v>
      </c>
      <c r="V100" s="1852"/>
      <c r="W100" s="496">
        <v>4</v>
      </c>
      <c r="X100" s="496">
        <v>2</v>
      </c>
      <c r="Y100" s="1852"/>
      <c r="Z100" s="1851">
        <f t="shared" si="5"/>
        <v>8</v>
      </c>
      <c r="AA100" s="1851" t="str">
        <f t="shared" si="6"/>
        <v>-</v>
      </c>
      <c r="AB100" s="1853" t="s">
        <v>1749</v>
      </c>
      <c r="AC100" s="491" t="s">
        <v>1665</v>
      </c>
      <c r="AF100" s="466"/>
      <c r="AG100" s="465"/>
      <c r="AH100" s="465"/>
    </row>
    <row r="101" spans="1:34" s="498" customFormat="1" hidden="1" x14ac:dyDescent="0.25">
      <c r="A101" s="962"/>
      <c r="B101" s="1850" t="s">
        <v>1750</v>
      </c>
      <c r="C101" s="499"/>
      <c r="D101" s="962"/>
      <c r="E101" s="541" t="s">
        <v>1238</v>
      </c>
      <c r="F101" s="494"/>
      <c r="G101" s="495"/>
      <c r="H101" s="1851"/>
      <c r="I101" s="496"/>
      <c r="J101" s="883"/>
      <c r="K101" s="1852"/>
      <c r="L101" s="496"/>
      <c r="M101" s="883"/>
      <c r="N101" s="1852"/>
      <c r="O101" s="496">
        <v>6</v>
      </c>
      <c r="P101" s="496">
        <v>2.2000000000000002</v>
      </c>
      <c r="Q101" s="1852">
        <f>O101*P101</f>
        <v>13.2</v>
      </c>
      <c r="R101" s="1852"/>
      <c r="S101" s="1852">
        <f>Q101</f>
        <v>13.2</v>
      </c>
      <c r="T101" s="496"/>
      <c r="U101" s="496"/>
      <c r="V101" s="1852"/>
      <c r="W101" s="496"/>
      <c r="X101" s="496"/>
      <c r="Y101" s="1852"/>
      <c r="Z101" s="1851">
        <f t="shared" si="5"/>
        <v>13.2</v>
      </c>
      <c r="AA101" s="1851" t="str">
        <f t="shared" si="6"/>
        <v>-</v>
      </c>
      <c r="AB101" s="1854"/>
      <c r="AC101" s="491" t="s">
        <v>1665</v>
      </c>
      <c r="AF101" s="466"/>
      <c r="AG101" s="465"/>
      <c r="AH101" s="465"/>
    </row>
    <row r="102" spans="1:34" s="498" customFormat="1" ht="64.5" hidden="1" x14ac:dyDescent="0.25">
      <c r="A102" s="962"/>
      <c r="B102" s="1855" t="s">
        <v>1751</v>
      </c>
      <c r="C102" s="499"/>
      <c r="D102" s="962"/>
      <c r="E102" s="962" t="s">
        <v>1240</v>
      </c>
      <c r="F102" s="494">
        <v>1</v>
      </c>
      <c r="G102" s="495">
        <v>6.3</v>
      </c>
      <c r="H102" s="1851">
        <f>F102*G102</f>
        <v>6.3</v>
      </c>
      <c r="I102" s="496"/>
      <c r="J102" s="496"/>
      <c r="K102" s="1852">
        <f>I102*J102</f>
        <v>0</v>
      </c>
      <c r="L102" s="496"/>
      <c r="M102" s="496"/>
      <c r="N102" s="1852">
        <v>15</v>
      </c>
      <c r="O102" s="496">
        <v>2</v>
      </c>
      <c r="P102" s="496">
        <v>8</v>
      </c>
      <c r="Q102" s="1852">
        <f>O102*P102</f>
        <v>16</v>
      </c>
      <c r="R102" s="1852">
        <f>11+2.8</f>
        <v>13.8</v>
      </c>
      <c r="S102" s="1852">
        <f>Q102-R102</f>
        <v>2.2000000000000002</v>
      </c>
      <c r="T102" s="496">
        <v>2</v>
      </c>
      <c r="U102" s="496">
        <v>8</v>
      </c>
      <c r="V102" s="1852">
        <f>T102*U102</f>
        <v>16</v>
      </c>
      <c r="W102" s="496">
        <v>2</v>
      </c>
      <c r="X102" s="496">
        <v>8</v>
      </c>
      <c r="Y102" s="1852">
        <f>W102*X102</f>
        <v>16</v>
      </c>
      <c r="Z102" s="1851">
        <f t="shared" si="5"/>
        <v>16</v>
      </c>
      <c r="AA102" s="1851" t="str">
        <f t="shared" si="6"/>
        <v>-</v>
      </c>
      <c r="AB102" s="893" t="s">
        <v>1752</v>
      </c>
      <c r="AC102" s="491" t="s">
        <v>1665</v>
      </c>
      <c r="AF102" s="466"/>
      <c r="AG102" s="465"/>
      <c r="AH102" s="465"/>
    </row>
    <row r="103" spans="1:34" s="871" customFormat="1" ht="14.25" hidden="1" x14ac:dyDescent="0.2">
      <c r="A103" s="869"/>
      <c r="B103" s="1856" t="s">
        <v>1753</v>
      </c>
      <c r="C103" s="1857"/>
      <c r="D103" s="869"/>
      <c r="E103" s="869"/>
      <c r="F103" s="1858"/>
      <c r="G103" s="1859"/>
      <c r="H103" s="681">
        <f>H104+H114+H115+H118+H119+H120</f>
        <v>59.9</v>
      </c>
      <c r="I103" s="1860"/>
      <c r="J103" s="888"/>
      <c r="K103" s="681">
        <f>K104+K114+K115+K118+K119+K120</f>
        <v>57.7</v>
      </c>
      <c r="L103" s="1860"/>
      <c r="M103" s="888"/>
      <c r="N103" s="681">
        <f>N104+N114+N115+N118+N119+N120</f>
        <v>57.7</v>
      </c>
      <c r="O103" s="1860"/>
      <c r="P103" s="888"/>
      <c r="Q103" s="681">
        <f>Q104+Q114+Q115+Q118+Q119+Q120+Q126+Q125</f>
        <v>168.6</v>
      </c>
      <c r="R103" s="681">
        <f t="shared" ref="R103" si="15">R104+R114+R115+R118+R119+R120+R126+R125</f>
        <v>55.3</v>
      </c>
      <c r="S103" s="681">
        <f>S104+S114+S115+S118+S119+S120+S126+S125</f>
        <v>113.2</v>
      </c>
      <c r="T103" s="1860"/>
      <c r="U103" s="888"/>
      <c r="V103" s="681">
        <f>V104+V114+V115+V118+V119+V120+V126</f>
        <v>81.099999999999994</v>
      </c>
      <c r="W103" s="1860"/>
      <c r="X103" s="888"/>
      <c r="Y103" s="681">
        <f>Y104+Y114+Y115+Y118+Y119+Y120+Y126</f>
        <v>81.099999999999994</v>
      </c>
      <c r="Z103" s="681">
        <f t="shared" si="5"/>
        <v>110.9</v>
      </c>
      <c r="AA103" s="681">
        <f t="shared" si="6"/>
        <v>292.2</v>
      </c>
      <c r="AB103" s="896"/>
      <c r="AC103" s="920" t="s">
        <v>1665</v>
      </c>
      <c r="AF103" s="872"/>
      <c r="AG103" s="872"/>
      <c r="AH103" s="872"/>
    </row>
    <row r="104" spans="1:34" s="492" customFormat="1" ht="14.25" hidden="1" x14ac:dyDescent="0.2">
      <c r="A104" s="1240"/>
      <c r="B104" s="1861" t="s">
        <v>1233</v>
      </c>
      <c r="C104" s="508" t="s">
        <v>1230</v>
      </c>
      <c r="D104" s="1240"/>
      <c r="E104" s="1240"/>
      <c r="F104" s="530"/>
      <c r="G104" s="531"/>
      <c r="H104" s="542">
        <f>SUM(H105:H113)</f>
        <v>26.1</v>
      </c>
      <c r="I104" s="532"/>
      <c r="J104" s="532"/>
      <c r="K104" s="533">
        <f>SUM(K105:K113)</f>
        <v>25.8</v>
      </c>
      <c r="L104" s="532"/>
      <c r="M104" s="532"/>
      <c r="N104" s="533">
        <f>SUM(N105:N113)</f>
        <v>25.8</v>
      </c>
      <c r="O104" s="532"/>
      <c r="P104" s="532"/>
      <c r="Q104" s="533">
        <f>SUM(Q105:Q113)</f>
        <v>47.7</v>
      </c>
      <c r="R104" s="533">
        <f>SUM(R105:R113)</f>
        <v>37.200000000000003</v>
      </c>
      <c r="S104" s="533">
        <f t="shared" ref="S104" si="16">SUM(S105:S113)</f>
        <v>10.4</v>
      </c>
      <c r="T104" s="532"/>
      <c r="U104" s="532"/>
      <c r="V104" s="533">
        <f>SUM(V105:V113)</f>
        <v>43.1</v>
      </c>
      <c r="W104" s="532"/>
      <c r="X104" s="532"/>
      <c r="Y104" s="533">
        <f>SUM(Y105:Y113)</f>
        <v>43.1</v>
      </c>
      <c r="Z104" s="542">
        <f t="shared" si="5"/>
        <v>21.9</v>
      </c>
      <c r="AA104" s="542">
        <f t="shared" si="6"/>
        <v>184.9</v>
      </c>
      <c r="AB104" s="893"/>
      <c r="AC104" s="491" t="s">
        <v>1665</v>
      </c>
      <c r="AF104" s="466"/>
      <c r="AG104" s="466"/>
      <c r="AH104" s="466"/>
    </row>
    <row r="105" spans="1:34" s="498" customFormat="1" hidden="1" x14ac:dyDescent="0.25">
      <c r="A105" s="962"/>
      <c r="B105" s="1862" t="s">
        <v>1737</v>
      </c>
      <c r="C105" s="499"/>
      <c r="D105" s="962"/>
      <c r="E105" s="962" t="s">
        <v>318</v>
      </c>
      <c r="F105" s="494">
        <v>1</v>
      </c>
      <c r="G105" s="495">
        <v>3.5</v>
      </c>
      <c r="H105" s="559">
        <f>F105*G105</f>
        <v>3.5</v>
      </c>
      <c r="I105" s="496">
        <v>1</v>
      </c>
      <c r="J105" s="496">
        <v>3.5</v>
      </c>
      <c r="K105" s="857">
        <f>I105*J105</f>
        <v>3.5</v>
      </c>
      <c r="L105" s="496">
        <v>1</v>
      </c>
      <c r="M105" s="496">
        <v>3.5</v>
      </c>
      <c r="N105" s="857">
        <f>L105*M105</f>
        <v>3.5</v>
      </c>
      <c r="O105" s="496">
        <v>1</v>
      </c>
      <c r="P105" s="496">
        <v>3.5</v>
      </c>
      <c r="Q105" s="857">
        <f t="shared" ref="Q105:Q111" si="17">O105*P105</f>
        <v>3.5</v>
      </c>
      <c r="R105" s="857">
        <f>K105</f>
        <v>3.5</v>
      </c>
      <c r="S105" s="857">
        <f>Q105-R105</f>
        <v>0</v>
      </c>
      <c r="T105" s="496">
        <v>1</v>
      </c>
      <c r="U105" s="496">
        <v>3.5</v>
      </c>
      <c r="V105" s="857">
        <f>T105*U105</f>
        <v>3.5</v>
      </c>
      <c r="W105" s="496">
        <v>1</v>
      </c>
      <c r="X105" s="496">
        <v>3.5</v>
      </c>
      <c r="Y105" s="857">
        <f>W105*X105</f>
        <v>3.5</v>
      </c>
      <c r="Z105" s="559">
        <f t="shared" si="5"/>
        <v>0</v>
      </c>
      <c r="AA105" s="559">
        <f t="shared" si="6"/>
        <v>100</v>
      </c>
      <c r="AB105" s="893"/>
      <c r="AC105" s="491" t="s">
        <v>1665</v>
      </c>
      <c r="AF105" s="466"/>
      <c r="AG105" s="465"/>
      <c r="AH105" s="465"/>
    </row>
    <row r="106" spans="1:34" s="498" customFormat="1" hidden="1" x14ac:dyDescent="0.25">
      <c r="A106" s="962"/>
      <c r="B106" s="1862" t="s">
        <v>1754</v>
      </c>
      <c r="C106" s="499"/>
      <c r="D106" s="962"/>
      <c r="E106" s="962" t="s">
        <v>318</v>
      </c>
      <c r="F106" s="494">
        <v>2</v>
      </c>
      <c r="G106" s="495">
        <v>2.2999999999999998</v>
      </c>
      <c r="H106" s="559">
        <f>F106*G106</f>
        <v>4.5999999999999996</v>
      </c>
      <c r="I106" s="496">
        <v>2</v>
      </c>
      <c r="J106" s="496">
        <v>2.2999999999999998</v>
      </c>
      <c r="K106" s="857">
        <f t="shared" ref="K106:K112" si="18">I106*J106</f>
        <v>4.5999999999999996</v>
      </c>
      <c r="L106" s="496">
        <v>2</v>
      </c>
      <c r="M106" s="496">
        <v>2.2999999999999998</v>
      </c>
      <c r="N106" s="857">
        <f t="shared" ref="N106:N112" si="19">L106*M106</f>
        <v>4.5999999999999996</v>
      </c>
      <c r="O106" s="496">
        <v>2</v>
      </c>
      <c r="P106" s="496">
        <v>2.2999999999999998</v>
      </c>
      <c r="Q106" s="857">
        <f t="shared" si="17"/>
        <v>4.5999999999999996</v>
      </c>
      <c r="R106" s="857">
        <f t="shared" ref="R106:R107" si="20">K106</f>
        <v>4.5999999999999996</v>
      </c>
      <c r="S106" s="857">
        <f t="shared" ref="S106:S112" si="21">Q106-R106</f>
        <v>0</v>
      </c>
      <c r="T106" s="496">
        <v>2</v>
      </c>
      <c r="U106" s="496">
        <v>2.2999999999999998</v>
      </c>
      <c r="V106" s="857">
        <f>T106*U106</f>
        <v>4.5999999999999996</v>
      </c>
      <c r="W106" s="496">
        <v>2</v>
      </c>
      <c r="X106" s="496">
        <v>2.2999999999999998</v>
      </c>
      <c r="Y106" s="857">
        <f>W106*X106</f>
        <v>4.5999999999999996</v>
      </c>
      <c r="Z106" s="559">
        <f t="shared" si="5"/>
        <v>0</v>
      </c>
      <c r="AA106" s="559">
        <f t="shared" si="6"/>
        <v>100</v>
      </c>
      <c r="AB106" s="893"/>
      <c r="AC106" s="491" t="s">
        <v>1665</v>
      </c>
      <c r="AF106" s="466"/>
      <c r="AG106" s="465"/>
      <c r="AH106" s="465"/>
    </row>
    <row r="107" spans="1:34" s="498" customFormat="1" ht="127.5" hidden="1" x14ac:dyDescent="0.25">
      <c r="A107" s="962"/>
      <c r="B107" s="1855" t="s">
        <v>1755</v>
      </c>
      <c r="C107" s="499"/>
      <c r="D107" s="962"/>
      <c r="E107" s="962" t="s">
        <v>318</v>
      </c>
      <c r="F107" s="494">
        <v>6</v>
      </c>
      <c r="G107" s="495">
        <v>1.73</v>
      </c>
      <c r="H107" s="559">
        <f>F107*G107</f>
        <v>10.4</v>
      </c>
      <c r="I107" s="496">
        <v>6</v>
      </c>
      <c r="J107" s="496">
        <v>1.7</v>
      </c>
      <c r="K107" s="857">
        <f t="shared" si="18"/>
        <v>10.199999999999999</v>
      </c>
      <c r="L107" s="496">
        <v>6</v>
      </c>
      <c r="M107" s="496">
        <v>1.7</v>
      </c>
      <c r="N107" s="857">
        <f t="shared" si="19"/>
        <v>10.199999999999999</v>
      </c>
      <c r="O107" s="496">
        <v>6</v>
      </c>
      <c r="P107" s="496">
        <v>2.2999999999999998</v>
      </c>
      <c r="Q107" s="857">
        <f t="shared" si="17"/>
        <v>13.8</v>
      </c>
      <c r="R107" s="857">
        <f t="shared" si="20"/>
        <v>10.199999999999999</v>
      </c>
      <c r="S107" s="857">
        <f t="shared" si="21"/>
        <v>3.6</v>
      </c>
      <c r="T107" s="496">
        <v>6</v>
      </c>
      <c r="U107" s="496">
        <v>1.7</v>
      </c>
      <c r="V107" s="857">
        <f>T107*U107</f>
        <v>10.199999999999999</v>
      </c>
      <c r="W107" s="496">
        <v>6</v>
      </c>
      <c r="X107" s="496">
        <v>1.7</v>
      </c>
      <c r="Y107" s="857">
        <f>W107*X107</f>
        <v>10.199999999999999</v>
      </c>
      <c r="Z107" s="559">
        <f t="shared" si="5"/>
        <v>3.6</v>
      </c>
      <c r="AA107" s="559">
        <f t="shared" si="6"/>
        <v>135.30000000000001</v>
      </c>
      <c r="AB107" s="1863" t="s">
        <v>1756</v>
      </c>
      <c r="AC107" s="491" t="s">
        <v>1665</v>
      </c>
      <c r="AF107" s="466"/>
      <c r="AG107" s="465"/>
      <c r="AH107" s="465"/>
    </row>
    <row r="108" spans="1:34" s="498" customFormat="1" ht="39.75" hidden="1" customHeight="1" x14ac:dyDescent="0.25">
      <c r="A108" s="962"/>
      <c r="B108" s="1855" t="s">
        <v>1757</v>
      </c>
      <c r="C108" s="499"/>
      <c r="D108" s="962"/>
      <c r="E108" s="541" t="s">
        <v>318</v>
      </c>
      <c r="F108" s="494"/>
      <c r="G108" s="495"/>
      <c r="H108" s="559"/>
      <c r="I108" s="496"/>
      <c r="J108" s="496"/>
      <c r="K108" s="857"/>
      <c r="L108" s="496"/>
      <c r="M108" s="496"/>
      <c r="N108" s="857"/>
      <c r="O108" s="496">
        <v>1</v>
      </c>
      <c r="P108" s="496">
        <v>3.5</v>
      </c>
      <c r="Q108" s="857">
        <f t="shared" si="17"/>
        <v>3.5</v>
      </c>
      <c r="R108" s="857">
        <f>Q108</f>
        <v>3.5</v>
      </c>
      <c r="S108" s="857"/>
      <c r="T108" s="496">
        <v>1</v>
      </c>
      <c r="U108" s="496">
        <v>3.5</v>
      </c>
      <c r="V108" s="857">
        <f t="shared" ref="V108:V109" si="22">T108*U108</f>
        <v>3.5</v>
      </c>
      <c r="W108" s="496">
        <v>1</v>
      </c>
      <c r="X108" s="496">
        <v>3.5</v>
      </c>
      <c r="Y108" s="857">
        <f t="shared" ref="Y108:Y109" si="23">W108*X108</f>
        <v>3.5</v>
      </c>
      <c r="Z108" s="559">
        <f t="shared" si="5"/>
        <v>3.5</v>
      </c>
      <c r="AA108" s="559" t="str">
        <f t="shared" si="6"/>
        <v>-</v>
      </c>
      <c r="AB108" s="1863" t="s">
        <v>1758</v>
      </c>
      <c r="AC108" s="491" t="s">
        <v>1665</v>
      </c>
      <c r="AF108" s="466"/>
      <c r="AG108" s="465"/>
      <c r="AH108" s="465"/>
    </row>
    <row r="109" spans="1:34" s="498" customFormat="1" ht="34.5" hidden="1" customHeight="1" x14ac:dyDescent="0.25">
      <c r="A109" s="962"/>
      <c r="B109" s="1855" t="s">
        <v>1759</v>
      </c>
      <c r="C109" s="499"/>
      <c r="D109" s="962"/>
      <c r="E109" s="541" t="s">
        <v>318</v>
      </c>
      <c r="F109" s="494"/>
      <c r="G109" s="495"/>
      <c r="H109" s="559"/>
      <c r="I109" s="496"/>
      <c r="J109" s="496"/>
      <c r="K109" s="857"/>
      <c r="L109" s="496"/>
      <c r="M109" s="496"/>
      <c r="N109" s="857"/>
      <c r="O109" s="496">
        <v>1</v>
      </c>
      <c r="P109" s="496">
        <v>3.5</v>
      </c>
      <c r="Q109" s="857">
        <f t="shared" si="17"/>
        <v>3.5</v>
      </c>
      <c r="R109" s="857">
        <f>Q109</f>
        <v>3.5</v>
      </c>
      <c r="S109" s="857"/>
      <c r="T109" s="496">
        <v>1</v>
      </c>
      <c r="U109" s="496">
        <v>3.5</v>
      </c>
      <c r="V109" s="857">
        <f t="shared" si="22"/>
        <v>3.5</v>
      </c>
      <c r="W109" s="496">
        <v>1</v>
      </c>
      <c r="X109" s="496">
        <v>3.5</v>
      </c>
      <c r="Y109" s="857">
        <f t="shared" si="23"/>
        <v>3.5</v>
      </c>
      <c r="Z109" s="559">
        <f t="shared" si="5"/>
        <v>3.5</v>
      </c>
      <c r="AA109" s="559" t="str">
        <f t="shared" si="6"/>
        <v>-</v>
      </c>
      <c r="AB109" s="1863" t="s">
        <v>1760</v>
      </c>
      <c r="AC109" s="491" t="s">
        <v>1665</v>
      </c>
      <c r="AF109" s="466"/>
      <c r="AG109" s="465"/>
      <c r="AH109" s="465"/>
    </row>
    <row r="110" spans="1:34" s="498" customFormat="1" ht="25.5" hidden="1" x14ac:dyDescent="0.25">
      <c r="A110" s="962"/>
      <c r="B110" s="1855" t="s">
        <v>1761</v>
      </c>
      <c r="C110" s="499"/>
      <c r="D110" s="962"/>
      <c r="E110" s="541" t="s">
        <v>1762</v>
      </c>
      <c r="F110" s="494"/>
      <c r="G110" s="495"/>
      <c r="H110" s="559"/>
      <c r="I110" s="496"/>
      <c r="J110" s="496"/>
      <c r="K110" s="857"/>
      <c r="L110" s="496"/>
      <c r="M110" s="496"/>
      <c r="N110" s="857"/>
      <c r="O110" s="496">
        <v>2</v>
      </c>
      <c r="P110" s="496">
        <v>2.2999999999999998</v>
      </c>
      <c r="Q110" s="857">
        <f t="shared" si="17"/>
        <v>4.5999999999999996</v>
      </c>
      <c r="R110" s="857"/>
      <c r="S110" s="857">
        <f>Q110</f>
        <v>4.5999999999999996</v>
      </c>
      <c r="T110" s="496">
        <v>2</v>
      </c>
      <c r="U110" s="496">
        <v>2.2999999999999998</v>
      </c>
      <c r="V110" s="857">
        <f>T110*U110</f>
        <v>4.5999999999999996</v>
      </c>
      <c r="W110" s="496">
        <v>2</v>
      </c>
      <c r="X110" s="496">
        <v>2.2999999999999998</v>
      </c>
      <c r="Y110" s="857">
        <f>W110*X110</f>
        <v>4.5999999999999996</v>
      </c>
      <c r="Z110" s="559">
        <f t="shared" si="5"/>
        <v>4.5999999999999996</v>
      </c>
      <c r="AA110" s="559" t="str">
        <f t="shared" si="6"/>
        <v>-</v>
      </c>
      <c r="AB110" s="1863" t="s">
        <v>1763</v>
      </c>
      <c r="AC110" s="491" t="s">
        <v>1665</v>
      </c>
      <c r="AF110" s="466"/>
      <c r="AG110" s="465"/>
      <c r="AH110" s="465"/>
    </row>
    <row r="111" spans="1:34" s="498" customFormat="1" ht="77.25" hidden="1" x14ac:dyDescent="0.25">
      <c r="A111" s="962"/>
      <c r="B111" s="551" t="s">
        <v>1764</v>
      </c>
      <c r="C111" s="499"/>
      <c r="D111" s="962"/>
      <c r="E111" s="541" t="s">
        <v>318</v>
      </c>
      <c r="F111" s="494"/>
      <c r="G111" s="495"/>
      <c r="H111" s="559"/>
      <c r="I111" s="496"/>
      <c r="J111" s="496"/>
      <c r="K111" s="857"/>
      <c r="L111" s="496"/>
      <c r="M111" s="496"/>
      <c r="N111" s="857"/>
      <c r="O111" s="1864">
        <v>1</v>
      </c>
      <c r="P111" s="1864">
        <v>4</v>
      </c>
      <c r="Q111" s="857">
        <f t="shared" si="17"/>
        <v>4</v>
      </c>
      <c r="R111" s="857">
        <f>Q111</f>
        <v>4</v>
      </c>
      <c r="S111" s="857"/>
      <c r="T111" s="1864">
        <v>1</v>
      </c>
      <c r="U111" s="1864">
        <v>4</v>
      </c>
      <c r="V111" s="1865">
        <f>U111*T111</f>
        <v>4</v>
      </c>
      <c r="W111" s="1864">
        <v>1</v>
      </c>
      <c r="X111" s="1864">
        <v>4</v>
      </c>
      <c r="Y111" s="1865">
        <f>X111*W111</f>
        <v>4</v>
      </c>
      <c r="Z111" s="559">
        <f t="shared" si="5"/>
        <v>4</v>
      </c>
      <c r="AA111" s="559" t="str">
        <f t="shared" si="6"/>
        <v>-</v>
      </c>
      <c r="AB111" s="893" t="s">
        <v>1765</v>
      </c>
      <c r="AC111" s="491" t="s">
        <v>1665</v>
      </c>
      <c r="AF111" s="466"/>
      <c r="AG111" s="465"/>
      <c r="AH111" s="465"/>
    </row>
    <row r="112" spans="1:34" s="498" customFormat="1" hidden="1" x14ac:dyDescent="0.25">
      <c r="A112" s="962"/>
      <c r="B112" s="881" t="s">
        <v>1766</v>
      </c>
      <c r="C112" s="503"/>
      <c r="D112" s="962"/>
      <c r="E112" s="962" t="s">
        <v>318</v>
      </c>
      <c r="F112" s="494">
        <v>1</v>
      </c>
      <c r="G112" s="495">
        <v>2</v>
      </c>
      <c r="H112" s="559">
        <f>F112*G112</f>
        <v>2</v>
      </c>
      <c r="I112" s="496">
        <v>1</v>
      </c>
      <c r="J112" s="496">
        <v>2</v>
      </c>
      <c r="K112" s="857">
        <f t="shared" si="18"/>
        <v>2</v>
      </c>
      <c r="L112" s="496">
        <v>1</v>
      </c>
      <c r="M112" s="496">
        <v>2</v>
      </c>
      <c r="N112" s="857">
        <f t="shared" si="19"/>
        <v>2</v>
      </c>
      <c r="O112" s="496"/>
      <c r="P112" s="496"/>
      <c r="Q112" s="857"/>
      <c r="R112" s="857"/>
      <c r="S112" s="857">
        <f t="shared" si="21"/>
        <v>0</v>
      </c>
      <c r="T112" s="496"/>
      <c r="U112" s="496"/>
      <c r="V112" s="857">
        <f>T112*U112</f>
        <v>0</v>
      </c>
      <c r="W112" s="496"/>
      <c r="X112" s="496"/>
      <c r="Y112" s="857">
        <f>W112*X112</f>
        <v>0</v>
      </c>
      <c r="Z112" s="559">
        <f t="shared" si="5"/>
        <v>-2</v>
      </c>
      <c r="AA112" s="559">
        <f t="shared" si="6"/>
        <v>0</v>
      </c>
      <c r="AB112" s="893"/>
      <c r="AC112" s="491" t="s">
        <v>1665</v>
      </c>
      <c r="AF112" s="466"/>
      <c r="AG112" s="465"/>
      <c r="AH112" s="465"/>
    </row>
    <row r="113" spans="1:34" s="498" customFormat="1" hidden="1" x14ac:dyDescent="0.25">
      <c r="A113" s="962"/>
      <c r="B113" s="881" t="s">
        <v>1729</v>
      </c>
      <c r="C113" s="503"/>
      <c r="D113" s="962"/>
      <c r="E113" s="962"/>
      <c r="F113" s="494"/>
      <c r="G113" s="495"/>
      <c r="H113" s="559">
        <f>SUM(H105:H112)*0.271</f>
        <v>5.6</v>
      </c>
      <c r="I113" s="496"/>
      <c r="J113" s="496"/>
      <c r="K113" s="857">
        <f>SUM(K105:K112)*0.271</f>
        <v>5.5</v>
      </c>
      <c r="L113" s="496"/>
      <c r="M113" s="496"/>
      <c r="N113" s="857">
        <f>SUM(N105:N112)*0.271</f>
        <v>5.5</v>
      </c>
      <c r="O113" s="496"/>
      <c r="P113" s="496"/>
      <c r="Q113" s="857">
        <f>SUM(Q105:Q112)*0.271</f>
        <v>10.199999999999999</v>
      </c>
      <c r="R113" s="857">
        <f t="shared" ref="R113:S113" si="24">SUM(R105:R112)*0.271</f>
        <v>7.9</v>
      </c>
      <c r="S113" s="857">
        <f t="shared" si="24"/>
        <v>2.2000000000000002</v>
      </c>
      <c r="T113" s="496"/>
      <c r="U113" s="496"/>
      <c r="V113" s="857">
        <f>SUM(V105:V112)*0.271</f>
        <v>9.1999999999999993</v>
      </c>
      <c r="W113" s="496"/>
      <c r="X113" s="496"/>
      <c r="Y113" s="857">
        <f>SUM(Y105:Y112)*0.271</f>
        <v>9.1999999999999993</v>
      </c>
      <c r="Z113" s="559">
        <f t="shared" si="5"/>
        <v>4.7</v>
      </c>
      <c r="AA113" s="559">
        <f t="shared" si="6"/>
        <v>185.5</v>
      </c>
      <c r="AB113" s="551"/>
      <c r="AC113" s="491" t="s">
        <v>1665</v>
      </c>
      <c r="AF113" s="466"/>
      <c r="AG113" s="465"/>
      <c r="AH113" s="465"/>
    </row>
    <row r="114" spans="1:34" s="492" customFormat="1" ht="14.25" hidden="1" x14ac:dyDescent="0.2">
      <c r="A114" s="1240"/>
      <c r="B114" s="876" t="s">
        <v>1767</v>
      </c>
      <c r="C114" s="501" t="s">
        <v>796</v>
      </c>
      <c r="D114" s="1240"/>
      <c r="E114" s="1240" t="s">
        <v>227</v>
      </c>
      <c r="F114" s="530">
        <v>50</v>
      </c>
      <c r="G114" s="531">
        <v>0.05</v>
      </c>
      <c r="H114" s="542">
        <f>F114*G114</f>
        <v>2.5</v>
      </c>
      <c r="I114" s="532">
        <v>50</v>
      </c>
      <c r="J114" s="532">
        <v>0.1</v>
      </c>
      <c r="K114" s="533">
        <f>I114*J114</f>
        <v>5</v>
      </c>
      <c r="L114" s="532">
        <v>50</v>
      </c>
      <c r="M114" s="532">
        <v>0.1</v>
      </c>
      <c r="N114" s="533">
        <f>L114*M114</f>
        <v>5</v>
      </c>
      <c r="O114" s="532">
        <v>25</v>
      </c>
      <c r="P114" s="532">
        <v>0.1</v>
      </c>
      <c r="Q114" s="533">
        <v>1.3</v>
      </c>
      <c r="R114" s="533">
        <f>Q114</f>
        <v>1.3</v>
      </c>
      <c r="S114" s="533"/>
      <c r="T114" s="532">
        <v>25</v>
      </c>
      <c r="U114" s="532">
        <v>0.1</v>
      </c>
      <c r="V114" s="533">
        <f>T114*U114</f>
        <v>2.5</v>
      </c>
      <c r="W114" s="532">
        <v>25</v>
      </c>
      <c r="X114" s="532">
        <v>0.1</v>
      </c>
      <c r="Y114" s="533">
        <f>W114*X114</f>
        <v>2.5</v>
      </c>
      <c r="Z114" s="542">
        <f t="shared" si="5"/>
        <v>-3.7</v>
      </c>
      <c r="AA114" s="542">
        <f t="shared" si="6"/>
        <v>26</v>
      </c>
      <c r="AB114" s="893"/>
      <c r="AC114" s="491" t="s">
        <v>1665</v>
      </c>
      <c r="AF114" s="466"/>
      <c r="AG114" s="466"/>
      <c r="AH114" s="466"/>
    </row>
    <row r="115" spans="1:34" s="492" customFormat="1" ht="14.25" hidden="1" x14ac:dyDescent="0.2">
      <c r="A115" s="1240"/>
      <c r="B115" s="876" t="s">
        <v>1768</v>
      </c>
      <c r="C115" s="501" t="s">
        <v>797</v>
      </c>
      <c r="D115" s="1240"/>
      <c r="E115" s="1240"/>
      <c r="F115" s="530"/>
      <c r="G115" s="531"/>
      <c r="H115" s="493">
        <f>H116+H117</f>
        <v>7.8</v>
      </c>
      <c r="I115" s="532"/>
      <c r="J115" s="532"/>
      <c r="K115" s="532">
        <f>K116+K117</f>
        <v>1</v>
      </c>
      <c r="L115" s="532"/>
      <c r="M115" s="532"/>
      <c r="N115" s="532">
        <f>N116+N117</f>
        <v>1</v>
      </c>
      <c r="O115" s="532"/>
      <c r="P115" s="532"/>
      <c r="Q115" s="532">
        <f>SUM(Q116:Q117)</f>
        <v>22</v>
      </c>
      <c r="R115" s="532">
        <f t="shared" ref="R115:S115" si="25">SUM(R116:R117)</f>
        <v>5.4</v>
      </c>
      <c r="S115" s="532">
        <f t="shared" si="25"/>
        <v>16.600000000000001</v>
      </c>
      <c r="T115" s="532"/>
      <c r="U115" s="532"/>
      <c r="V115" s="532">
        <f>SUM(V116:V117)</f>
        <v>22</v>
      </c>
      <c r="W115" s="532"/>
      <c r="X115" s="532"/>
      <c r="Y115" s="532">
        <f>SUM(Y116:Y117)</f>
        <v>22</v>
      </c>
      <c r="Z115" s="493">
        <f t="shared" si="5"/>
        <v>21</v>
      </c>
      <c r="AA115" s="493">
        <f t="shared" si="6"/>
        <v>2200</v>
      </c>
      <c r="AB115" s="893"/>
      <c r="AC115" s="491" t="s">
        <v>1665</v>
      </c>
      <c r="AF115" s="466"/>
      <c r="AG115" s="466"/>
      <c r="AH115" s="466"/>
    </row>
    <row r="116" spans="1:34" s="498" customFormat="1" ht="51.75" hidden="1" x14ac:dyDescent="0.25">
      <c r="A116" s="962"/>
      <c r="B116" s="502" t="s">
        <v>1769</v>
      </c>
      <c r="C116" s="503"/>
      <c r="D116" s="962"/>
      <c r="E116" s="962" t="s">
        <v>227</v>
      </c>
      <c r="F116" s="494">
        <v>20</v>
      </c>
      <c r="G116" s="495">
        <v>0.1</v>
      </c>
      <c r="H116" s="1245">
        <f>F116*G116</f>
        <v>2</v>
      </c>
      <c r="I116" s="496">
        <v>10</v>
      </c>
      <c r="J116" s="883">
        <v>0.1</v>
      </c>
      <c r="K116" s="496">
        <f>I116*J116</f>
        <v>1</v>
      </c>
      <c r="L116" s="496">
        <v>10</v>
      </c>
      <c r="M116" s="883">
        <v>0.1</v>
      </c>
      <c r="N116" s="496">
        <f>L116*M116</f>
        <v>1</v>
      </c>
      <c r="O116" s="496">
        <v>20</v>
      </c>
      <c r="P116" s="496">
        <v>0.1</v>
      </c>
      <c r="Q116" s="496">
        <f>O116*P116</f>
        <v>2</v>
      </c>
      <c r="R116" s="496"/>
      <c r="S116" s="496">
        <f>Q116</f>
        <v>2</v>
      </c>
      <c r="T116" s="496">
        <v>20</v>
      </c>
      <c r="U116" s="496">
        <v>0.1</v>
      </c>
      <c r="V116" s="496">
        <f>T116*U116</f>
        <v>2</v>
      </c>
      <c r="W116" s="496">
        <v>20</v>
      </c>
      <c r="X116" s="496">
        <v>0.1</v>
      </c>
      <c r="Y116" s="496">
        <f>W116*X116</f>
        <v>2</v>
      </c>
      <c r="Z116" s="1245">
        <f t="shared" si="5"/>
        <v>1</v>
      </c>
      <c r="AA116" s="1245">
        <f t="shared" si="6"/>
        <v>200</v>
      </c>
      <c r="AB116" s="893" t="s">
        <v>1770</v>
      </c>
      <c r="AC116" s="491" t="s">
        <v>1665</v>
      </c>
      <c r="AF116" s="466"/>
      <c r="AG116" s="465"/>
      <c r="AH116" s="465"/>
    </row>
    <row r="117" spans="1:34" s="498" customFormat="1" ht="26.25" hidden="1" x14ac:dyDescent="0.25">
      <c r="A117" s="962"/>
      <c r="B117" s="881" t="s">
        <v>1771</v>
      </c>
      <c r="C117" s="503"/>
      <c r="D117" s="962"/>
      <c r="E117" s="962" t="s">
        <v>227</v>
      </c>
      <c r="F117" s="494">
        <v>58</v>
      </c>
      <c r="G117" s="495">
        <v>0.1</v>
      </c>
      <c r="H117" s="559">
        <f>F117*G117</f>
        <v>5.8</v>
      </c>
      <c r="I117" s="496"/>
      <c r="J117" s="496"/>
      <c r="K117" s="496">
        <f>I117*J117</f>
        <v>0</v>
      </c>
      <c r="L117" s="496"/>
      <c r="M117" s="496"/>
      <c r="N117" s="496">
        <f>L117*M117</f>
        <v>0</v>
      </c>
      <c r="O117" s="496">
        <v>100</v>
      </c>
      <c r="P117" s="496">
        <v>0.2</v>
      </c>
      <c r="Q117" s="496">
        <f>O117*P117</f>
        <v>20</v>
      </c>
      <c r="R117" s="496">
        <v>5.4</v>
      </c>
      <c r="S117" s="496">
        <f>Q117-R117</f>
        <v>14.6</v>
      </c>
      <c r="T117" s="496">
        <v>100</v>
      </c>
      <c r="U117" s="496">
        <v>0.2</v>
      </c>
      <c r="V117" s="496">
        <f>T117*U117</f>
        <v>20</v>
      </c>
      <c r="W117" s="496">
        <v>100</v>
      </c>
      <c r="X117" s="496">
        <v>0.2</v>
      </c>
      <c r="Y117" s="496">
        <f>W117*X117</f>
        <v>20</v>
      </c>
      <c r="Z117" s="559">
        <f t="shared" si="5"/>
        <v>20</v>
      </c>
      <c r="AA117" s="559" t="str">
        <f t="shared" si="6"/>
        <v>-</v>
      </c>
      <c r="AB117" s="893" t="s">
        <v>1772</v>
      </c>
      <c r="AC117" s="491" t="s">
        <v>1665</v>
      </c>
      <c r="AF117" s="466"/>
      <c r="AG117" s="465"/>
      <c r="AH117" s="465"/>
    </row>
    <row r="118" spans="1:34" s="492" customFormat="1" ht="14.25" hidden="1" x14ac:dyDescent="0.2">
      <c r="A118" s="1240"/>
      <c r="B118" s="876" t="s">
        <v>1246</v>
      </c>
      <c r="C118" s="501" t="s">
        <v>1237</v>
      </c>
      <c r="D118" s="1240"/>
      <c r="E118" s="1240" t="s">
        <v>664</v>
      </c>
      <c r="F118" s="530">
        <v>3</v>
      </c>
      <c r="G118" s="531">
        <v>2.5</v>
      </c>
      <c r="H118" s="542">
        <f>F118*G118</f>
        <v>7.5</v>
      </c>
      <c r="I118" s="532">
        <v>3</v>
      </c>
      <c r="J118" s="532">
        <v>2.5</v>
      </c>
      <c r="K118" s="533">
        <f>I118*J118</f>
        <v>7.5</v>
      </c>
      <c r="L118" s="532">
        <v>3</v>
      </c>
      <c r="M118" s="532">
        <v>2.5</v>
      </c>
      <c r="N118" s="533">
        <f>L118*M118</f>
        <v>7.5</v>
      </c>
      <c r="O118" s="532">
        <v>3</v>
      </c>
      <c r="P118" s="532">
        <v>2.5</v>
      </c>
      <c r="Q118" s="533">
        <f>O118*P118</f>
        <v>7.5</v>
      </c>
      <c r="R118" s="533"/>
      <c r="S118" s="533">
        <f>Q118</f>
        <v>7.5</v>
      </c>
      <c r="T118" s="532">
        <v>3</v>
      </c>
      <c r="U118" s="532">
        <v>2.5</v>
      </c>
      <c r="V118" s="533">
        <f>T118*U118</f>
        <v>7.5</v>
      </c>
      <c r="W118" s="532">
        <v>3</v>
      </c>
      <c r="X118" s="532">
        <v>2.5</v>
      </c>
      <c r="Y118" s="533">
        <f>W118*X118</f>
        <v>7.5</v>
      </c>
      <c r="Z118" s="542">
        <f t="shared" si="5"/>
        <v>0</v>
      </c>
      <c r="AA118" s="542">
        <f t="shared" si="6"/>
        <v>100</v>
      </c>
      <c r="AB118" s="893"/>
      <c r="AC118" s="491" t="s">
        <v>1665</v>
      </c>
      <c r="AF118" s="466"/>
      <c r="AG118" s="466"/>
      <c r="AH118" s="466"/>
    </row>
    <row r="119" spans="1:34" s="492" customFormat="1" ht="14.25" hidden="1" x14ac:dyDescent="0.2">
      <c r="A119" s="1240"/>
      <c r="B119" s="876" t="s">
        <v>1773</v>
      </c>
      <c r="C119" s="501" t="s">
        <v>797</v>
      </c>
      <c r="D119" s="1240"/>
      <c r="E119" s="1240" t="s">
        <v>227</v>
      </c>
      <c r="F119" s="1829">
        <v>100</v>
      </c>
      <c r="G119" s="1830">
        <v>0.06</v>
      </c>
      <c r="H119" s="542">
        <f>F119*G119</f>
        <v>6</v>
      </c>
      <c r="I119" s="1831">
        <v>60</v>
      </c>
      <c r="J119" s="1831">
        <v>0.1</v>
      </c>
      <c r="K119" s="533">
        <f>I119*J119</f>
        <v>6</v>
      </c>
      <c r="L119" s="1831">
        <v>60</v>
      </c>
      <c r="M119" s="1831">
        <v>0.1</v>
      </c>
      <c r="N119" s="533">
        <f>L119*M119</f>
        <v>6</v>
      </c>
      <c r="O119" s="1831">
        <v>60</v>
      </c>
      <c r="P119" s="1831">
        <v>0.1</v>
      </c>
      <c r="Q119" s="533">
        <f>O119*P119</f>
        <v>6</v>
      </c>
      <c r="R119" s="533"/>
      <c r="S119" s="533">
        <f>Q119</f>
        <v>6</v>
      </c>
      <c r="T119" s="1831">
        <v>60</v>
      </c>
      <c r="U119" s="1831">
        <v>0.1</v>
      </c>
      <c r="V119" s="533">
        <f>T119*U119</f>
        <v>6</v>
      </c>
      <c r="W119" s="1831">
        <v>60</v>
      </c>
      <c r="X119" s="1831">
        <v>0.1</v>
      </c>
      <c r="Y119" s="533">
        <f>W119*X119</f>
        <v>6</v>
      </c>
      <c r="Z119" s="542">
        <f t="shared" si="5"/>
        <v>0</v>
      </c>
      <c r="AA119" s="542">
        <f t="shared" si="6"/>
        <v>100</v>
      </c>
      <c r="AB119" s="893"/>
      <c r="AC119" s="491" t="s">
        <v>1665</v>
      </c>
      <c r="AF119" s="466"/>
      <c r="AG119" s="466"/>
      <c r="AH119" s="466"/>
    </row>
    <row r="120" spans="1:34" s="492" customFormat="1" ht="14.25" hidden="1" x14ac:dyDescent="0.2">
      <c r="A120" s="1240"/>
      <c r="B120" s="876" t="s">
        <v>1368</v>
      </c>
      <c r="C120" s="501" t="s">
        <v>797</v>
      </c>
      <c r="D120" s="1240"/>
      <c r="E120" s="1240"/>
      <c r="F120" s="1829"/>
      <c r="G120" s="1830"/>
      <c r="H120" s="493">
        <f>SUM(H121:H124)</f>
        <v>10</v>
      </c>
      <c r="I120" s="1831"/>
      <c r="J120" s="1831"/>
      <c r="K120" s="532">
        <f>SUM(K121:K124)</f>
        <v>12.4</v>
      </c>
      <c r="L120" s="1831"/>
      <c r="M120" s="1831"/>
      <c r="N120" s="532">
        <f>SUM(N121:N124)</f>
        <v>12.4</v>
      </c>
      <c r="O120" s="1831"/>
      <c r="P120" s="1831"/>
      <c r="Q120" s="532">
        <f>SUM(Q121:Q124)</f>
        <v>21.4</v>
      </c>
      <c r="R120" s="532">
        <f t="shared" ref="R120:S120" si="26">SUM(R121:R124)</f>
        <v>11.4</v>
      </c>
      <c r="S120" s="532">
        <f t="shared" si="26"/>
        <v>10</v>
      </c>
      <c r="T120" s="1831"/>
      <c r="U120" s="1831"/>
      <c r="V120" s="532">
        <f>SUM(V121:V124)</f>
        <v>0</v>
      </c>
      <c r="W120" s="1831"/>
      <c r="X120" s="1831"/>
      <c r="Y120" s="532">
        <f>SUM(Y121:Y124)</f>
        <v>0</v>
      </c>
      <c r="Z120" s="493">
        <f t="shared" si="5"/>
        <v>9</v>
      </c>
      <c r="AA120" s="493">
        <f t="shared" si="6"/>
        <v>172.6</v>
      </c>
      <c r="AB120" s="893"/>
      <c r="AC120" s="491" t="s">
        <v>1665</v>
      </c>
      <c r="AF120" s="466"/>
      <c r="AG120" s="466"/>
      <c r="AH120" s="466"/>
    </row>
    <row r="121" spans="1:34" s="498" customFormat="1" hidden="1" x14ac:dyDescent="0.25">
      <c r="A121" s="962"/>
      <c r="B121" s="878" t="s">
        <v>1774</v>
      </c>
      <c r="C121" s="499"/>
      <c r="D121" s="962"/>
      <c r="E121" s="541" t="s">
        <v>227</v>
      </c>
      <c r="F121" s="494">
        <v>100</v>
      </c>
      <c r="G121" s="495">
        <v>0.02</v>
      </c>
      <c r="H121" s="1245">
        <f>F121*G121</f>
        <v>2</v>
      </c>
      <c r="I121" s="496">
        <v>10</v>
      </c>
      <c r="J121" s="496">
        <v>0.1</v>
      </c>
      <c r="K121" s="496">
        <f>I121*J121</f>
        <v>1</v>
      </c>
      <c r="L121" s="496">
        <v>10</v>
      </c>
      <c r="M121" s="496">
        <v>0.1</v>
      </c>
      <c r="N121" s="496">
        <f>L121*M121</f>
        <v>1</v>
      </c>
      <c r="O121" s="496"/>
      <c r="P121" s="496"/>
      <c r="Q121" s="496"/>
      <c r="R121" s="496"/>
      <c r="S121" s="496"/>
      <c r="T121" s="496"/>
      <c r="U121" s="496"/>
      <c r="V121" s="496">
        <f>T121*U121</f>
        <v>0</v>
      </c>
      <c r="W121" s="496"/>
      <c r="X121" s="496"/>
      <c r="Y121" s="496">
        <f>W121*X121</f>
        <v>0</v>
      </c>
      <c r="Z121" s="1245">
        <f t="shared" si="5"/>
        <v>-1</v>
      </c>
      <c r="AA121" s="1245">
        <f t="shared" si="6"/>
        <v>0</v>
      </c>
      <c r="AB121" s="893"/>
      <c r="AC121" s="491" t="s">
        <v>1665</v>
      </c>
      <c r="AF121" s="466"/>
      <c r="AG121" s="465"/>
      <c r="AH121" s="465"/>
    </row>
    <row r="122" spans="1:34" s="498" customFormat="1" ht="25.5" hidden="1" x14ac:dyDescent="0.25">
      <c r="A122" s="962"/>
      <c r="B122" s="878" t="s">
        <v>1775</v>
      </c>
      <c r="C122" s="499"/>
      <c r="D122" s="962"/>
      <c r="E122" s="541" t="s">
        <v>227</v>
      </c>
      <c r="F122" s="494"/>
      <c r="G122" s="495"/>
      <c r="H122" s="1245"/>
      <c r="I122" s="496">
        <v>3</v>
      </c>
      <c r="J122" s="496">
        <v>3.8</v>
      </c>
      <c r="K122" s="496">
        <f>I122*J122</f>
        <v>11.4</v>
      </c>
      <c r="L122" s="496">
        <v>3</v>
      </c>
      <c r="M122" s="496">
        <v>3.8</v>
      </c>
      <c r="N122" s="496">
        <f>L122*M122</f>
        <v>11.4</v>
      </c>
      <c r="O122" s="496">
        <v>3</v>
      </c>
      <c r="P122" s="496">
        <v>3.8</v>
      </c>
      <c r="Q122" s="496">
        <f>O122*P122</f>
        <v>11.4</v>
      </c>
      <c r="R122" s="496">
        <f>Q122</f>
        <v>11.4</v>
      </c>
      <c r="S122" s="496"/>
      <c r="T122" s="496"/>
      <c r="U122" s="496"/>
      <c r="V122" s="496"/>
      <c r="W122" s="496"/>
      <c r="X122" s="496"/>
      <c r="Y122" s="496"/>
      <c r="Z122" s="1245">
        <f t="shared" si="5"/>
        <v>0</v>
      </c>
      <c r="AA122" s="1245">
        <f t="shared" si="6"/>
        <v>100</v>
      </c>
      <c r="AB122" s="1031" t="s">
        <v>1776</v>
      </c>
      <c r="AC122" s="491" t="s">
        <v>1665</v>
      </c>
      <c r="AF122" s="466"/>
      <c r="AG122" s="465"/>
      <c r="AH122" s="465"/>
    </row>
    <row r="123" spans="1:34" s="498" customFormat="1" hidden="1" x14ac:dyDescent="0.25">
      <c r="A123" s="962"/>
      <c r="B123" s="878" t="s">
        <v>1777</v>
      </c>
      <c r="C123" s="499"/>
      <c r="D123" s="962"/>
      <c r="E123" s="541" t="s">
        <v>227</v>
      </c>
      <c r="F123" s="494"/>
      <c r="G123" s="495"/>
      <c r="H123" s="1245"/>
      <c r="I123" s="496"/>
      <c r="J123" s="496"/>
      <c r="K123" s="496"/>
      <c r="L123" s="496"/>
      <c r="M123" s="496"/>
      <c r="N123" s="496"/>
      <c r="O123" s="496">
        <v>10</v>
      </c>
      <c r="P123" s="496">
        <v>0.5</v>
      </c>
      <c r="Q123" s="496">
        <f>O123*P123</f>
        <v>5</v>
      </c>
      <c r="R123" s="496"/>
      <c r="S123" s="496">
        <f>Q123</f>
        <v>5</v>
      </c>
      <c r="T123" s="496"/>
      <c r="U123" s="496"/>
      <c r="V123" s="496"/>
      <c r="W123" s="496"/>
      <c r="X123" s="496"/>
      <c r="Y123" s="496"/>
      <c r="Z123" s="1245">
        <f t="shared" si="5"/>
        <v>5</v>
      </c>
      <c r="AA123" s="1245" t="str">
        <f t="shared" si="6"/>
        <v>-</v>
      </c>
      <c r="AB123" s="1031"/>
      <c r="AC123" s="491" t="s">
        <v>1665</v>
      </c>
      <c r="AF123" s="466"/>
      <c r="AG123" s="465"/>
      <c r="AH123" s="465"/>
    </row>
    <row r="124" spans="1:34" s="498" customFormat="1" hidden="1" x14ac:dyDescent="0.25">
      <c r="A124" s="962"/>
      <c r="B124" s="878" t="s">
        <v>1778</v>
      </c>
      <c r="C124" s="499"/>
      <c r="D124" s="962"/>
      <c r="E124" s="962" t="s">
        <v>227</v>
      </c>
      <c r="F124" s="494">
        <v>1</v>
      </c>
      <c r="G124" s="495">
        <v>8</v>
      </c>
      <c r="H124" s="1245">
        <v>8</v>
      </c>
      <c r="I124" s="496"/>
      <c r="J124" s="496"/>
      <c r="K124" s="496">
        <v>0</v>
      </c>
      <c r="L124" s="496"/>
      <c r="M124" s="496"/>
      <c r="N124" s="496">
        <v>0</v>
      </c>
      <c r="O124" s="496">
        <v>2</v>
      </c>
      <c r="P124" s="496">
        <v>2.5</v>
      </c>
      <c r="Q124" s="496">
        <f>O124*P124</f>
        <v>5</v>
      </c>
      <c r="R124" s="496"/>
      <c r="S124" s="496">
        <f>Q124-R124</f>
        <v>5</v>
      </c>
      <c r="T124" s="496"/>
      <c r="U124" s="496"/>
      <c r="V124" s="496">
        <f>T124*U124</f>
        <v>0</v>
      </c>
      <c r="W124" s="496"/>
      <c r="X124" s="496"/>
      <c r="Y124" s="496">
        <f>W124*X124</f>
        <v>0</v>
      </c>
      <c r="Z124" s="1245">
        <f t="shared" si="5"/>
        <v>5</v>
      </c>
      <c r="AA124" s="1245" t="str">
        <f t="shared" si="6"/>
        <v>-</v>
      </c>
      <c r="AB124" s="893"/>
      <c r="AC124" s="491" t="s">
        <v>1665</v>
      </c>
      <c r="AF124" s="466"/>
      <c r="AG124" s="465"/>
      <c r="AH124" s="465"/>
    </row>
    <row r="125" spans="1:34" s="498" customFormat="1" ht="51.75" hidden="1" x14ac:dyDescent="0.25">
      <c r="A125" s="962"/>
      <c r="B125" s="877" t="s">
        <v>1779</v>
      </c>
      <c r="C125" s="508" t="s">
        <v>797</v>
      </c>
      <c r="D125" s="962"/>
      <c r="E125" s="962"/>
      <c r="F125" s="494"/>
      <c r="G125" s="495"/>
      <c r="H125" s="1245"/>
      <c r="I125" s="496"/>
      <c r="J125" s="496"/>
      <c r="K125" s="496"/>
      <c r="L125" s="496"/>
      <c r="M125" s="496"/>
      <c r="N125" s="496"/>
      <c r="O125" s="496"/>
      <c r="P125" s="496"/>
      <c r="Q125" s="532">
        <v>6</v>
      </c>
      <c r="R125" s="532"/>
      <c r="S125" s="532">
        <f>Q125</f>
        <v>6</v>
      </c>
      <c r="T125" s="496"/>
      <c r="U125" s="496"/>
      <c r="V125" s="496"/>
      <c r="W125" s="496"/>
      <c r="X125" s="496"/>
      <c r="Y125" s="496"/>
      <c r="Z125" s="1245">
        <f t="shared" si="5"/>
        <v>6</v>
      </c>
      <c r="AA125" s="1245" t="str">
        <f t="shared" si="6"/>
        <v>-</v>
      </c>
      <c r="AB125" s="893" t="s">
        <v>1780</v>
      </c>
      <c r="AC125" s="491" t="s">
        <v>1665</v>
      </c>
      <c r="AF125" s="466"/>
      <c r="AG125" s="465"/>
      <c r="AH125" s="465"/>
    </row>
    <row r="126" spans="1:34" s="498" customFormat="1" ht="26.25" x14ac:dyDescent="0.25">
      <c r="A126" s="962"/>
      <c r="B126" s="877" t="s">
        <v>1370</v>
      </c>
      <c r="C126" s="508" t="s">
        <v>800</v>
      </c>
      <c r="D126" s="962"/>
      <c r="E126" s="962"/>
      <c r="F126" s="494"/>
      <c r="G126" s="495"/>
      <c r="H126" s="1245"/>
      <c r="I126" s="496"/>
      <c r="J126" s="496"/>
      <c r="K126" s="496"/>
      <c r="L126" s="496"/>
      <c r="M126" s="496"/>
      <c r="N126" s="496"/>
      <c r="O126" s="496"/>
      <c r="P126" s="496"/>
      <c r="Q126" s="532">
        <f>SUM(Q127:Q133)</f>
        <v>56.7</v>
      </c>
      <c r="R126" s="532"/>
      <c r="S126" s="532">
        <f>Q126</f>
        <v>56.7</v>
      </c>
      <c r="T126" s="496"/>
      <c r="U126" s="496"/>
      <c r="V126" s="532">
        <f>SUM(V130:V133)</f>
        <v>0</v>
      </c>
      <c r="W126" s="496"/>
      <c r="X126" s="496"/>
      <c r="Y126" s="532">
        <f>SUM(Y130:Y133)</f>
        <v>0</v>
      </c>
      <c r="Z126" s="1245">
        <f t="shared" si="5"/>
        <v>56.7</v>
      </c>
      <c r="AA126" s="1245" t="str">
        <f t="shared" si="6"/>
        <v>-</v>
      </c>
      <c r="AB126" s="893" t="s">
        <v>1781</v>
      </c>
      <c r="AC126" s="491" t="s">
        <v>1665</v>
      </c>
      <c r="AF126" s="466"/>
      <c r="AG126" s="465"/>
      <c r="AH126" s="465"/>
    </row>
    <row r="127" spans="1:34" s="498" customFormat="1" ht="51" hidden="1" x14ac:dyDescent="0.25">
      <c r="A127" s="962"/>
      <c r="B127" s="878" t="s">
        <v>1782</v>
      </c>
      <c r="C127" s="499"/>
      <c r="D127" s="962"/>
      <c r="E127" s="541" t="s">
        <v>227</v>
      </c>
      <c r="F127" s="494"/>
      <c r="G127" s="495"/>
      <c r="H127" s="1245"/>
      <c r="I127" s="496"/>
      <c r="J127" s="496"/>
      <c r="K127" s="496"/>
      <c r="L127" s="496"/>
      <c r="M127" s="496"/>
      <c r="N127" s="496"/>
      <c r="O127" s="496">
        <v>2</v>
      </c>
      <c r="P127" s="496">
        <v>3.2</v>
      </c>
      <c r="Q127" s="496">
        <f t="shared" ref="Q127:Q133" si="27">O127*P127</f>
        <v>6.4</v>
      </c>
      <c r="R127" s="496"/>
      <c r="S127" s="496">
        <f>Q127</f>
        <v>6.4</v>
      </c>
      <c r="T127" s="496"/>
      <c r="U127" s="496"/>
      <c r="V127" s="532"/>
      <c r="W127" s="496"/>
      <c r="X127" s="496"/>
      <c r="Y127" s="532"/>
      <c r="Z127" s="1245">
        <f t="shared" si="5"/>
        <v>6.4</v>
      </c>
      <c r="AA127" s="1245" t="str">
        <f t="shared" si="6"/>
        <v>-</v>
      </c>
      <c r="AB127" s="1031" t="s">
        <v>1783</v>
      </c>
      <c r="AC127" s="491" t="s">
        <v>1665</v>
      </c>
      <c r="AF127" s="466"/>
      <c r="AG127" s="465"/>
      <c r="AH127" s="465"/>
    </row>
    <row r="128" spans="1:34" s="498" customFormat="1" hidden="1" x14ac:dyDescent="0.25">
      <c r="A128" s="962"/>
      <c r="B128" s="878" t="s">
        <v>1784</v>
      </c>
      <c r="C128" s="499"/>
      <c r="D128" s="962"/>
      <c r="E128" s="541" t="s">
        <v>227</v>
      </c>
      <c r="F128" s="494"/>
      <c r="G128" s="495"/>
      <c r="H128" s="1245"/>
      <c r="I128" s="496"/>
      <c r="J128" s="496"/>
      <c r="K128" s="496"/>
      <c r="L128" s="496"/>
      <c r="M128" s="496"/>
      <c r="N128" s="496"/>
      <c r="O128" s="496">
        <v>2</v>
      </c>
      <c r="P128" s="496">
        <v>1.9</v>
      </c>
      <c r="Q128" s="496">
        <f t="shared" si="27"/>
        <v>3.8</v>
      </c>
      <c r="R128" s="496"/>
      <c r="S128" s="496">
        <f>Q128</f>
        <v>3.8</v>
      </c>
      <c r="T128" s="496"/>
      <c r="U128" s="496"/>
      <c r="V128" s="532"/>
      <c r="W128" s="496"/>
      <c r="X128" s="496"/>
      <c r="Y128" s="532"/>
      <c r="Z128" s="1245">
        <f t="shared" si="5"/>
        <v>3.8</v>
      </c>
      <c r="AA128" s="1245" t="str">
        <f t="shared" si="6"/>
        <v>-</v>
      </c>
      <c r="AB128" s="1031"/>
      <c r="AC128" s="491" t="s">
        <v>1665</v>
      </c>
      <c r="AF128" s="466"/>
      <c r="AG128" s="465"/>
      <c r="AH128" s="465"/>
    </row>
    <row r="129" spans="1:34" s="498" customFormat="1" ht="51.75" hidden="1" x14ac:dyDescent="0.25">
      <c r="A129" s="962"/>
      <c r="B129" s="878" t="s">
        <v>1785</v>
      </c>
      <c r="C129" s="499"/>
      <c r="D129" s="962"/>
      <c r="E129" s="541" t="s">
        <v>227</v>
      </c>
      <c r="F129" s="494"/>
      <c r="G129" s="495"/>
      <c r="H129" s="1245"/>
      <c r="I129" s="496"/>
      <c r="J129" s="496"/>
      <c r="K129" s="496"/>
      <c r="L129" s="496"/>
      <c r="M129" s="496"/>
      <c r="N129" s="496"/>
      <c r="O129" s="496">
        <v>2</v>
      </c>
      <c r="P129" s="496">
        <v>2</v>
      </c>
      <c r="Q129" s="496">
        <f t="shared" si="27"/>
        <v>4</v>
      </c>
      <c r="R129" s="496"/>
      <c r="S129" s="496">
        <f t="shared" ref="S129:S133" si="28">Q129</f>
        <v>4</v>
      </c>
      <c r="T129" s="496"/>
      <c r="U129" s="496"/>
      <c r="V129" s="532"/>
      <c r="W129" s="496"/>
      <c r="X129" s="496"/>
      <c r="Y129" s="532"/>
      <c r="Z129" s="1245">
        <f t="shared" si="5"/>
        <v>4</v>
      </c>
      <c r="AA129" s="1245" t="str">
        <f t="shared" si="6"/>
        <v>-</v>
      </c>
      <c r="AB129" s="893" t="s">
        <v>1786</v>
      </c>
      <c r="AC129" s="491" t="s">
        <v>1665</v>
      </c>
      <c r="AF129" s="466"/>
      <c r="AG129" s="465"/>
      <c r="AH129" s="465"/>
    </row>
    <row r="130" spans="1:34" s="498" customFormat="1" ht="51.75" hidden="1" x14ac:dyDescent="0.25">
      <c r="A130" s="962"/>
      <c r="B130" s="878" t="s">
        <v>1787</v>
      </c>
      <c r="C130" s="499"/>
      <c r="D130" s="962"/>
      <c r="E130" s="541" t="s">
        <v>227</v>
      </c>
      <c r="F130" s="494"/>
      <c r="G130" s="495"/>
      <c r="H130" s="1245"/>
      <c r="I130" s="496"/>
      <c r="J130" s="496"/>
      <c r="K130" s="496"/>
      <c r="L130" s="496"/>
      <c r="M130" s="496"/>
      <c r="N130" s="496"/>
      <c r="O130" s="496">
        <v>20</v>
      </c>
      <c r="P130" s="496">
        <v>1.3</v>
      </c>
      <c r="Q130" s="496">
        <f t="shared" si="27"/>
        <v>26</v>
      </c>
      <c r="R130" s="496"/>
      <c r="S130" s="496">
        <f t="shared" si="28"/>
        <v>26</v>
      </c>
      <c r="T130" s="496"/>
      <c r="U130" s="496"/>
      <c r="V130" s="496"/>
      <c r="W130" s="496"/>
      <c r="X130" s="496"/>
      <c r="Y130" s="496"/>
      <c r="Z130" s="1245">
        <f t="shared" si="5"/>
        <v>26</v>
      </c>
      <c r="AA130" s="1245" t="str">
        <f t="shared" si="6"/>
        <v>-</v>
      </c>
      <c r="AB130" s="893" t="s">
        <v>1788</v>
      </c>
      <c r="AC130" s="491" t="s">
        <v>1665</v>
      </c>
      <c r="AF130" s="466"/>
      <c r="AG130" s="465"/>
      <c r="AH130" s="465"/>
    </row>
    <row r="131" spans="1:34" s="498" customFormat="1" ht="38.25" hidden="1" x14ac:dyDescent="0.25">
      <c r="A131" s="962"/>
      <c r="B131" s="878" t="s">
        <v>1789</v>
      </c>
      <c r="C131" s="499"/>
      <c r="D131" s="962"/>
      <c r="E131" s="541" t="s">
        <v>227</v>
      </c>
      <c r="F131" s="494"/>
      <c r="G131" s="495"/>
      <c r="H131" s="1245"/>
      <c r="I131" s="496"/>
      <c r="J131" s="496"/>
      <c r="K131" s="496"/>
      <c r="L131" s="496"/>
      <c r="M131" s="496"/>
      <c r="N131" s="496"/>
      <c r="O131" s="496">
        <v>10</v>
      </c>
      <c r="P131" s="496">
        <v>0.5</v>
      </c>
      <c r="Q131" s="496">
        <f t="shared" si="27"/>
        <v>5</v>
      </c>
      <c r="R131" s="496"/>
      <c r="S131" s="496">
        <f t="shared" si="28"/>
        <v>5</v>
      </c>
      <c r="T131" s="496"/>
      <c r="U131" s="496"/>
      <c r="V131" s="496"/>
      <c r="W131" s="496"/>
      <c r="X131" s="496"/>
      <c r="Y131" s="496"/>
      <c r="Z131" s="1245">
        <f t="shared" si="5"/>
        <v>5</v>
      </c>
      <c r="AA131" s="1245" t="str">
        <f t="shared" si="6"/>
        <v>-</v>
      </c>
      <c r="AB131" s="843" t="s">
        <v>1790</v>
      </c>
      <c r="AC131" s="491" t="s">
        <v>1665</v>
      </c>
      <c r="AF131" s="466"/>
      <c r="AG131" s="465"/>
      <c r="AH131" s="465"/>
    </row>
    <row r="132" spans="1:34" s="498" customFormat="1" hidden="1" x14ac:dyDescent="0.25">
      <c r="A132" s="962"/>
      <c r="B132" s="878" t="s">
        <v>1791</v>
      </c>
      <c r="C132" s="499"/>
      <c r="D132" s="962"/>
      <c r="E132" s="541" t="s">
        <v>227</v>
      </c>
      <c r="F132" s="494"/>
      <c r="G132" s="495"/>
      <c r="H132" s="1245"/>
      <c r="I132" s="496"/>
      <c r="J132" s="496"/>
      <c r="K132" s="496"/>
      <c r="L132" s="496"/>
      <c r="M132" s="496"/>
      <c r="N132" s="496"/>
      <c r="O132" s="496">
        <v>1</v>
      </c>
      <c r="P132" s="496">
        <v>1.5</v>
      </c>
      <c r="Q132" s="496">
        <f t="shared" si="27"/>
        <v>1.5</v>
      </c>
      <c r="R132" s="496"/>
      <c r="S132" s="496">
        <f t="shared" si="28"/>
        <v>1.5</v>
      </c>
      <c r="T132" s="496"/>
      <c r="U132" s="496"/>
      <c r="V132" s="496"/>
      <c r="W132" s="496"/>
      <c r="X132" s="496"/>
      <c r="Y132" s="496"/>
      <c r="Z132" s="1245">
        <f t="shared" si="5"/>
        <v>1.5</v>
      </c>
      <c r="AA132" s="1245" t="str">
        <f t="shared" si="6"/>
        <v>-</v>
      </c>
      <c r="AB132" s="843"/>
      <c r="AC132" s="491" t="s">
        <v>1665</v>
      </c>
      <c r="AF132" s="466"/>
      <c r="AG132" s="465"/>
      <c r="AH132" s="465"/>
    </row>
    <row r="133" spans="1:34" s="498" customFormat="1" hidden="1" x14ac:dyDescent="0.25">
      <c r="A133" s="962"/>
      <c r="B133" s="878" t="s">
        <v>1792</v>
      </c>
      <c r="C133" s="499"/>
      <c r="D133" s="962"/>
      <c r="E133" s="541" t="s">
        <v>227</v>
      </c>
      <c r="F133" s="494"/>
      <c r="G133" s="495"/>
      <c r="H133" s="1245"/>
      <c r="I133" s="496"/>
      <c r="J133" s="496"/>
      <c r="K133" s="496"/>
      <c r="L133" s="496"/>
      <c r="M133" s="496"/>
      <c r="N133" s="496"/>
      <c r="O133" s="496">
        <v>10</v>
      </c>
      <c r="P133" s="496">
        <v>1</v>
      </c>
      <c r="Q133" s="496">
        <f t="shared" si="27"/>
        <v>10</v>
      </c>
      <c r="R133" s="496"/>
      <c r="S133" s="496">
        <f t="shared" si="28"/>
        <v>10</v>
      </c>
      <c r="T133" s="496"/>
      <c r="U133" s="496"/>
      <c r="V133" s="496"/>
      <c r="W133" s="496"/>
      <c r="X133" s="496"/>
      <c r="Y133" s="496"/>
      <c r="Z133" s="1245">
        <f t="shared" si="5"/>
        <v>10</v>
      </c>
      <c r="AA133" s="1245" t="str">
        <f t="shared" si="6"/>
        <v>-</v>
      </c>
      <c r="AB133" s="843"/>
      <c r="AC133" s="491" t="s">
        <v>1665</v>
      </c>
      <c r="AF133" s="466"/>
      <c r="AG133" s="465"/>
      <c r="AH133" s="465"/>
    </row>
    <row r="134" spans="1:34" s="889" customFormat="1" ht="107.25" hidden="1" customHeight="1" x14ac:dyDescent="0.25">
      <c r="A134" s="885"/>
      <c r="B134" s="1866" t="s">
        <v>1793</v>
      </c>
      <c r="C134" s="894"/>
      <c r="D134" s="885"/>
      <c r="E134" s="1867"/>
      <c r="F134" s="1868"/>
      <c r="G134" s="1868"/>
      <c r="H134" s="887"/>
      <c r="I134" s="1868"/>
      <c r="J134" s="1868"/>
      <c r="K134" s="887"/>
      <c r="L134" s="1868"/>
      <c r="M134" s="1868"/>
      <c r="N134" s="887"/>
      <c r="O134" s="1868"/>
      <c r="P134" s="1868"/>
      <c r="Q134" s="884">
        <f>Q135+Q141+Q142+Q144</f>
        <v>75.099999999999994</v>
      </c>
      <c r="R134" s="884">
        <f t="shared" ref="R134" si="29">R135+R141+R142+R144</f>
        <v>0</v>
      </c>
      <c r="S134" s="884">
        <f>S135+S141+S142+S144</f>
        <v>75.099999999999994</v>
      </c>
      <c r="T134" s="1868"/>
      <c r="U134" s="1868"/>
      <c r="V134" s="887"/>
      <c r="W134" s="1868"/>
      <c r="X134" s="1868"/>
      <c r="Y134" s="887"/>
      <c r="Z134" s="895">
        <f t="shared" si="5"/>
        <v>75.099999999999994</v>
      </c>
      <c r="AA134" s="895" t="str">
        <f t="shared" si="6"/>
        <v>-</v>
      </c>
      <c r="AB134" s="1869" t="s">
        <v>1794</v>
      </c>
      <c r="AC134" s="491" t="s">
        <v>1665</v>
      </c>
      <c r="AF134" s="872"/>
      <c r="AG134" s="890"/>
      <c r="AH134" s="890"/>
    </row>
    <row r="135" spans="1:34" s="498" customFormat="1" hidden="1" x14ac:dyDescent="0.25">
      <c r="A135" s="962"/>
      <c r="B135" s="1861" t="s">
        <v>1233</v>
      </c>
      <c r="C135" s="508" t="s">
        <v>1230</v>
      </c>
      <c r="D135" s="962"/>
      <c r="E135" s="535"/>
      <c r="F135" s="682"/>
      <c r="G135" s="682"/>
      <c r="H135" s="496"/>
      <c r="I135" s="682"/>
      <c r="J135" s="682"/>
      <c r="K135" s="496"/>
      <c r="L135" s="682"/>
      <c r="M135" s="682"/>
      <c r="N135" s="496"/>
      <c r="O135" s="682"/>
      <c r="P135" s="682"/>
      <c r="Q135" s="532">
        <f>SUM(Q136:Q140)</f>
        <v>38.1</v>
      </c>
      <c r="R135" s="532"/>
      <c r="S135" s="532">
        <f>Q135</f>
        <v>38.1</v>
      </c>
      <c r="T135" s="682"/>
      <c r="U135" s="682"/>
      <c r="V135" s="496"/>
      <c r="W135" s="682"/>
      <c r="X135" s="682"/>
      <c r="Y135" s="496"/>
      <c r="Z135" s="1245">
        <f t="shared" si="5"/>
        <v>38.1</v>
      </c>
      <c r="AA135" s="1245" t="str">
        <f t="shared" si="6"/>
        <v>-</v>
      </c>
      <c r="AB135" s="1870"/>
      <c r="AC135" s="491" t="s">
        <v>1665</v>
      </c>
      <c r="AF135" s="466"/>
      <c r="AG135" s="465"/>
      <c r="AH135" s="465"/>
    </row>
    <row r="136" spans="1:34" s="1876" customFormat="1" hidden="1" x14ac:dyDescent="0.25">
      <c r="A136" s="541"/>
      <c r="B136" s="1871" t="s">
        <v>1737</v>
      </c>
      <c r="C136" s="1872"/>
      <c r="D136" s="541"/>
      <c r="E136" s="1040" t="s">
        <v>318</v>
      </c>
      <c r="F136" s="1873"/>
      <c r="G136" s="1873"/>
      <c r="H136" s="908"/>
      <c r="I136" s="1873"/>
      <c r="J136" s="1873"/>
      <c r="K136" s="908"/>
      <c r="L136" s="1873"/>
      <c r="M136" s="1873"/>
      <c r="N136" s="908"/>
      <c r="O136" s="1873">
        <v>1</v>
      </c>
      <c r="P136" s="1873">
        <v>10</v>
      </c>
      <c r="Q136" s="908">
        <f>O136*P136</f>
        <v>10</v>
      </c>
      <c r="R136" s="908"/>
      <c r="S136" s="908">
        <f t="shared" ref="S136:S145" si="30">Q136</f>
        <v>10</v>
      </c>
      <c r="T136" s="1873"/>
      <c r="U136" s="1873"/>
      <c r="V136" s="908"/>
      <c r="W136" s="1873"/>
      <c r="X136" s="1873"/>
      <c r="Y136" s="908"/>
      <c r="Z136" s="1874">
        <f t="shared" si="5"/>
        <v>10</v>
      </c>
      <c r="AA136" s="1874" t="str">
        <f t="shared" si="6"/>
        <v>-</v>
      </c>
      <c r="AB136" s="3527" t="s">
        <v>1795</v>
      </c>
      <c r="AC136" s="1875" t="s">
        <v>1665</v>
      </c>
      <c r="AF136" s="1877"/>
      <c r="AG136" s="379"/>
      <c r="AH136" s="379"/>
    </row>
    <row r="137" spans="1:34" s="1876" customFormat="1" hidden="1" x14ac:dyDescent="0.25">
      <c r="A137" s="541"/>
      <c r="B137" s="1871" t="s">
        <v>1754</v>
      </c>
      <c r="C137" s="1872"/>
      <c r="D137" s="541"/>
      <c r="E137" s="1040" t="s">
        <v>318</v>
      </c>
      <c r="F137" s="1873"/>
      <c r="G137" s="1873"/>
      <c r="H137" s="908"/>
      <c r="I137" s="1873"/>
      <c r="J137" s="1873"/>
      <c r="K137" s="908"/>
      <c r="L137" s="1873"/>
      <c r="M137" s="1873"/>
      <c r="N137" s="908"/>
      <c r="O137" s="1873">
        <v>2</v>
      </c>
      <c r="P137" s="1873">
        <v>5</v>
      </c>
      <c r="Q137" s="908">
        <f>O137*P137</f>
        <v>10</v>
      </c>
      <c r="R137" s="908"/>
      <c r="S137" s="908">
        <f t="shared" si="30"/>
        <v>10</v>
      </c>
      <c r="T137" s="1873"/>
      <c r="U137" s="1873"/>
      <c r="V137" s="908"/>
      <c r="W137" s="1873"/>
      <c r="X137" s="1873"/>
      <c r="Y137" s="908"/>
      <c r="Z137" s="1874">
        <f t="shared" ref="Z137:Z173" si="31">Q137-K137</f>
        <v>10</v>
      </c>
      <c r="AA137" s="1874" t="str">
        <f t="shared" ref="AA137:AA173" si="32">IFERROR(Q137/K137*100,"-")</f>
        <v>-</v>
      </c>
      <c r="AB137" s="3528"/>
      <c r="AC137" s="1875" t="s">
        <v>1665</v>
      </c>
      <c r="AF137" s="1877"/>
      <c r="AG137" s="1878">
        <f>Q134-[17]ПГ!$Q$187</f>
        <v>2.5</v>
      </c>
      <c r="AH137" s="379"/>
    </row>
    <row r="138" spans="1:34" s="1876" customFormat="1" hidden="1" x14ac:dyDescent="0.25">
      <c r="A138" s="541"/>
      <c r="B138" s="1879" t="s">
        <v>1796</v>
      </c>
      <c r="C138" s="1872"/>
      <c r="D138" s="541"/>
      <c r="E138" s="1040" t="s">
        <v>318</v>
      </c>
      <c r="F138" s="1873"/>
      <c r="G138" s="1873"/>
      <c r="H138" s="908"/>
      <c r="I138" s="1873"/>
      <c r="J138" s="1873"/>
      <c r="K138" s="908"/>
      <c r="L138" s="1873"/>
      <c r="M138" s="1873"/>
      <c r="N138" s="908"/>
      <c r="O138" s="1873">
        <v>1</v>
      </c>
      <c r="P138" s="1873">
        <v>10</v>
      </c>
      <c r="Q138" s="908">
        <f>O138*P138</f>
        <v>10</v>
      </c>
      <c r="R138" s="908"/>
      <c r="S138" s="908">
        <f t="shared" si="30"/>
        <v>10</v>
      </c>
      <c r="T138" s="1873"/>
      <c r="U138" s="1873"/>
      <c r="V138" s="908"/>
      <c r="W138" s="1873"/>
      <c r="X138" s="1873"/>
      <c r="Y138" s="908"/>
      <c r="Z138" s="1874">
        <f t="shared" si="31"/>
        <v>10</v>
      </c>
      <c r="AA138" s="1874" t="str">
        <f t="shared" si="32"/>
        <v>-</v>
      </c>
      <c r="AB138" s="3529"/>
      <c r="AC138" s="1875" t="s">
        <v>1665</v>
      </c>
      <c r="AF138" s="1877"/>
      <c r="AG138" s="379"/>
      <c r="AH138" s="379"/>
    </row>
    <row r="139" spans="1:34" s="1876" customFormat="1" hidden="1" x14ac:dyDescent="0.25">
      <c r="A139" s="541"/>
      <c r="B139" s="1879" t="s">
        <v>1797</v>
      </c>
      <c r="C139" s="1872"/>
      <c r="D139" s="541"/>
      <c r="E139" s="1040" t="s">
        <v>318</v>
      </c>
      <c r="F139" s="1873"/>
      <c r="G139" s="1873"/>
      <c r="H139" s="908"/>
      <c r="I139" s="1873"/>
      <c r="J139" s="1873"/>
      <c r="K139" s="908"/>
      <c r="L139" s="1873"/>
      <c r="M139" s="1873"/>
      <c r="N139" s="908"/>
      <c r="O139" s="1873"/>
      <c r="P139" s="1873"/>
      <c r="Q139" s="908">
        <f>O139*P139</f>
        <v>0</v>
      </c>
      <c r="R139" s="908"/>
      <c r="S139" s="908">
        <f t="shared" si="30"/>
        <v>0</v>
      </c>
      <c r="T139" s="1873"/>
      <c r="U139" s="1873"/>
      <c r="V139" s="908"/>
      <c r="W139" s="1873"/>
      <c r="X139" s="1873"/>
      <c r="Y139" s="908"/>
      <c r="Z139" s="1874">
        <f t="shared" si="31"/>
        <v>0</v>
      </c>
      <c r="AA139" s="1874" t="str">
        <f t="shared" si="32"/>
        <v>-</v>
      </c>
      <c r="AB139" s="1870"/>
      <c r="AC139" s="1875" t="s">
        <v>1665</v>
      </c>
      <c r="AF139" s="1877"/>
      <c r="AG139" s="379"/>
      <c r="AH139" s="379"/>
    </row>
    <row r="140" spans="1:34" s="1876" customFormat="1" hidden="1" x14ac:dyDescent="0.25">
      <c r="A140" s="541"/>
      <c r="B140" s="1880" t="s">
        <v>1729</v>
      </c>
      <c r="C140" s="1872"/>
      <c r="D140" s="541"/>
      <c r="E140" s="1040"/>
      <c r="F140" s="1873"/>
      <c r="G140" s="1873"/>
      <c r="H140" s="908"/>
      <c r="I140" s="1873"/>
      <c r="J140" s="1873"/>
      <c r="K140" s="908"/>
      <c r="L140" s="1873"/>
      <c r="M140" s="1873"/>
      <c r="N140" s="908"/>
      <c r="O140" s="1873"/>
      <c r="P140" s="1873"/>
      <c r="Q140" s="908">
        <f>SUM(Q136:Q139)*0.271</f>
        <v>8.1</v>
      </c>
      <c r="R140" s="908"/>
      <c r="S140" s="908">
        <f t="shared" si="30"/>
        <v>8.1</v>
      </c>
      <c r="T140" s="1873"/>
      <c r="U140" s="1873"/>
      <c r="V140" s="908"/>
      <c r="W140" s="1873"/>
      <c r="X140" s="1873"/>
      <c r="Y140" s="908"/>
      <c r="Z140" s="1874">
        <f t="shared" si="31"/>
        <v>8.1</v>
      </c>
      <c r="AA140" s="1874" t="str">
        <f t="shared" si="32"/>
        <v>-</v>
      </c>
      <c r="AB140" s="1870"/>
      <c r="AC140" s="1875" t="s">
        <v>1665</v>
      </c>
      <c r="AF140" s="1877"/>
      <c r="AG140" s="379"/>
      <c r="AH140" s="379"/>
    </row>
    <row r="141" spans="1:34" s="1876" customFormat="1" hidden="1" x14ac:dyDescent="0.25">
      <c r="A141" s="541"/>
      <c r="B141" s="876" t="s">
        <v>1798</v>
      </c>
      <c r="C141" s="508" t="s">
        <v>797</v>
      </c>
      <c r="D141" s="962"/>
      <c r="E141" s="535" t="s">
        <v>227</v>
      </c>
      <c r="F141" s="682"/>
      <c r="G141" s="682"/>
      <c r="H141" s="496"/>
      <c r="I141" s="682"/>
      <c r="J141" s="682"/>
      <c r="K141" s="496"/>
      <c r="L141" s="682"/>
      <c r="M141" s="682"/>
      <c r="N141" s="496"/>
      <c r="O141" s="1825">
        <v>50</v>
      </c>
      <c r="P141" s="1825">
        <v>0.1</v>
      </c>
      <c r="Q141" s="532">
        <f>O141*P141</f>
        <v>5</v>
      </c>
      <c r="R141" s="532"/>
      <c r="S141" s="532">
        <f t="shared" si="30"/>
        <v>5</v>
      </c>
      <c r="T141" s="682"/>
      <c r="U141" s="1873"/>
      <c r="V141" s="908"/>
      <c r="W141" s="1873"/>
      <c r="X141" s="1873"/>
      <c r="Y141" s="908"/>
      <c r="Z141" s="1874">
        <f t="shared" si="31"/>
        <v>5</v>
      </c>
      <c r="AA141" s="1874" t="str">
        <f t="shared" si="32"/>
        <v>-</v>
      </c>
      <c r="AB141" s="1881" t="s">
        <v>1799</v>
      </c>
      <c r="AC141" s="1875" t="s">
        <v>1665</v>
      </c>
      <c r="AF141" s="1877"/>
      <c r="AG141" s="379"/>
      <c r="AH141" s="379"/>
    </row>
    <row r="142" spans="1:34" s="1876" customFormat="1" ht="28.5" hidden="1" customHeight="1" x14ac:dyDescent="0.25">
      <c r="A142" s="541"/>
      <c r="B142" s="876" t="s">
        <v>1226</v>
      </c>
      <c r="C142" s="1882" t="s">
        <v>796</v>
      </c>
      <c r="D142" s="962"/>
      <c r="E142" s="535"/>
      <c r="F142" s="682"/>
      <c r="G142" s="682"/>
      <c r="H142" s="496"/>
      <c r="I142" s="682"/>
      <c r="J142" s="682"/>
      <c r="K142" s="496"/>
      <c r="L142" s="682"/>
      <c r="M142" s="682"/>
      <c r="N142" s="496"/>
      <c r="O142" s="682"/>
      <c r="P142" s="682"/>
      <c r="Q142" s="532">
        <f>SUM(Q143:Q143)</f>
        <v>30</v>
      </c>
      <c r="R142" s="532"/>
      <c r="S142" s="532">
        <f t="shared" si="30"/>
        <v>30</v>
      </c>
      <c r="T142" s="682"/>
      <c r="U142" s="1873"/>
      <c r="V142" s="908"/>
      <c r="W142" s="1873"/>
      <c r="X142" s="1873"/>
      <c r="Y142" s="908"/>
      <c r="Z142" s="1874">
        <f t="shared" si="31"/>
        <v>30</v>
      </c>
      <c r="AA142" s="1874" t="str">
        <f t="shared" si="32"/>
        <v>-</v>
      </c>
      <c r="AB142" s="3527" t="s">
        <v>1800</v>
      </c>
      <c r="AC142" s="1875" t="s">
        <v>1665</v>
      </c>
      <c r="AF142" s="1877"/>
      <c r="AG142" s="379"/>
      <c r="AH142" s="379"/>
    </row>
    <row r="143" spans="1:34" s="1876" customFormat="1" hidden="1" x14ac:dyDescent="0.25">
      <c r="A143" s="541"/>
      <c r="B143" s="1880" t="s">
        <v>1801</v>
      </c>
      <c r="C143" s="1872"/>
      <c r="D143" s="541"/>
      <c r="E143" s="1040" t="s">
        <v>227</v>
      </c>
      <c r="F143" s="1873"/>
      <c r="G143" s="1873"/>
      <c r="H143" s="908"/>
      <c r="I143" s="1873"/>
      <c r="J143" s="1873"/>
      <c r="K143" s="908"/>
      <c r="L143" s="1873"/>
      <c r="M143" s="1873"/>
      <c r="N143" s="908"/>
      <c r="O143" s="1873">
        <v>3</v>
      </c>
      <c r="P143" s="1873">
        <v>10</v>
      </c>
      <c r="Q143" s="908">
        <v>30</v>
      </c>
      <c r="R143" s="908"/>
      <c r="S143" s="908">
        <f t="shared" si="30"/>
        <v>30</v>
      </c>
      <c r="T143" s="1873"/>
      <c r="U143" s="1873"/>
      <c r="V143" s="908"/>
      <c r="W143" s="1873"/>
      <c r="X143" s="1873"/>
      <c r="Y143" s="908"/>
      <c r="Z143" s="1874">
        <f t="shared" si="31"/>
        <v>30</v>
      </c>
      <c r="AA143" s="1874" t="str">
        <f t="shared" si="32"/>
        <v>-</v>
      </c>
      <c r="AB143" s="3529"/>
      <c r="AC143" s="1875" t="s">
        <v>1665</v>
      </c>
      <c r="AF143" s="1877"/>
      <c r="AG143" s="379"/>
      <c r="AH143" s="379"/>
    </row>
    <row r="144" spans="1:34" s="498" customFormat="1" hidden="1" x14ac:dyDescent="0.25">
      <c r="A144" s="962"/>
      <c r="B144" s="876" t="s">
        <v>1741</v>
      </c>
      <c r="C144" s="508" t="s">
        <v>797</v>
      </c>
      <c r="D144" s="962"/>
      <c r="E144" s="535"/>
      <c r="F144" s="682"/>
      <c r="G144" s="682"/>
      <c r="H144" s="496"/>
      <c r="I144" s="682"/>
      <c r="J144" s="682"/>
      <c r="K144" s="496"/>
      <c r="L144" s="682"/>
      <c r="M144" s="682"/>
      <c r="N144" s="496"/>
      <c r="O144" s="682"/>
      <c r="P144" s="682"/>
      <c r="Q144" s="532">
        <f>Q145</f>
        <v>2</v>
      </c>
      <c r="R144" s="532"/>
      <c r="S144" s="532">
        <f t="shared" si="30"/>
        <v>2</v>
      </c>
      <c r="T144" s="682"/>
      <c r="U144" s="682"/>
      <c r="V144" s="496"/>
      <c r="W144" s="682"/>
      <c r="X144" s="682"/>
      <c r="Y144" s="496"/>
      <c r="Z144" s="1245">
        <f t="shared" si="31"/>
        <v>2</v>
      </c>
      <c r="AA144" s="1245" t="str">
        <f t="shared" si="32"/>
        <v>-</v>
      </c>
      <c r="AB144" s="1870"/>
      <c r="AC144" s="491" t="s">
        <v>1665</v>
      </c>
      <c r="AF144" s="466"/>
      <c r="AG144" s="465"/>
      <c r="AH144" s="465"/>
    </row>
    <row r="145" spans="1:34" s="498" customFormat="1" hidden="1" x14ac:dyDescent="0.25">
      <c r="A145" s="962"/>
      <c r="B145" s="502" t="s">
        <v>1769</v>
      </c>
      <c r="C145" s="499"/>
      <c r="D145" s="962"/>
      <c r="E145" s="535" t="s">
        <v>227</v>
      </c>
      <c r="F145" s="682"/>
      <c r="G145" s="682"/>
      <c r="H145" s="496"/>
      <c r="I145" s="682"/>
      <c r="J145" s="682"/>
      <c r="K145" s="496"/>
      <c r="L145" s="682"/>
      <c r="M145" s="682"/>
      <c r="N145" s="496"/>
      <c r="O145" s="682">
        <v>20</v>
      </c>
      <c r="P145" s="682">
        <v>0.1</v>
      </c>
      <c r="Q145" s="496">
        <f>O145*P145</f>
        <v>2</v>
      </c>
      <c r="R145" s="496"/>
      <c r="S145" s="496">
        <f t="shared" si="30"/>
        <v>2</v>
      </c>
      <c r="T145" s="682"/>
      <c r="U145" s="682"/>
      <c r="V145" s="496"/>
      <c r="W145" s="682"/>
      <c r="X145" s="682"/>
      <c r="Y145" s="496"/>
      <c r="Z145" s="1245">
        <f t="shared" si="31"/>
        <v>2</v>
      </c>
      <c r="AA145" s="1245" t="str">
        <f t="shared" si="32"/>
        <v>-</v>
      </c>
      <c r="AB145" s="1870"/>
      <c r="AC145" s="491" t="s">
        <v>1665</v>
      </c>
      <c r="AF145" s="466"/>
      <c r="AG145" s="465"/>
      <c r="AH145" s="465"/>
    </row>
    <row r="146" spans="1:34" s="517" customFormat="1" ht="14.25" hidden="1" x14ac:dyDescent="0.2">
      <c r="A146" s="487"/>
      <c r="B146" s="543" t="s">
        <v>1802</v>
      </c>
      <c r="C146" s="511"/>
      <c r="D146" s="487"/>
      <c r="E146" s="490"/>
      <c r="F146" s="832"/>
      <c r="G146" s="833"/>
      <c r="H146" s="513" t="e">
        <f>#REF!+#REF!+H147</f>
        <v>#REF!</v>
      </c>
      <c r="I146" s="513"/>
      <c r="J146" s="513"/>
      <c r="K146" s="513">
        <f>K147</f>
        <v>27</v>
      </c>
      <c r="L146" s="513"/>
      <c r="M146" s="513"/>
      <c r="N146" s="513">
        <f>N147</f>
        <v>27</v>
      </c>
      <c r="O146" s="513"/>
      <c r="P146" s="513"/>
      <c r="Q146" s="513">
        <f>Q147</f>
        <v>57.2</v>
      </c>
      <c r="R146" s="513">
        <f>R147</f>
        <v>57.2</v>
      </c>
      <c r="S146" s="513">
        <f>S147</f>
        <v>0</v>
      </c>
      <c r="T146" s="513"/>
      <c r="U146" s="513"/>
      <c r="V146" s="513">
        <f>V147</f>
        <v>50.9</v>
      </c>
      <c r="W146" s="513"/>
      <c r="X146" s="513"/>
      <c r="Y146" s="513">
        <f>Y147</f>
        <v>50.9</v>
      </c>
      <c r="Z146" s="513">
        <f t="shared" si="31"/>
        <v>30.2</v>
      </c>
      <c r="AA146" s="513">
        <f t="shared" si="32"/>
        <v>211.9</v>
      </c>
      <c r="AB146" s="897"/>
      <c r="AC146" s="515"/>
      <c r="AF146" s="518"/>
      <c r="AG146" s="519"/>
      <c r="AH146" s="519"/>
    </row>
    <row r="147" spans="1:34" s="527" customFormat="1" ht="38.25" hidden="1" x14ac:dyDescent="0.2">
      <c r="A147" s="522"/>
      <c r="B147" s="520" t="s">
        <v>1664</v>
      </c>
      <c r="C147" s="521"/>
      <c r="D147" s="522" t="s">
        <v>1444</v>
      </c>
      <c r="E147" s="522"/>
      <c r="F147" s="851"/>
      <c r="G147" s="852"/>
      <c r="H147" s="526">
        <f>H154+H156</f>
        <v>29</v>
      </c>
      <c r="I147" s="853"/>
      <c r="J147" s="853"/>
      <c r="K147" s="526">
        <f>K154+K155+K156</f>
        <v>27</v>
      </c>
      <c r="L147" s="853"/>
      <c r="M147" s="853"/>
      <c r="N147" s="526">
        <f>N154+N155+N156</f>
        <v>27</v>
      </c>
      <c r="O147" s="853"/>
      <c r="P147" s="853"/>
      <c r="Q147" s="526">
        <f>Q148+Q154+Q155+Q156</f>
        <v>57.2</v>
      </c>
      <c r="R147" s="526">
        <f t="shared" ref="R147:R210" si="33">Q147</f>
        <v>57.2</v>
      </c>
      <c r="S147" s="526"/>
      <c r="T147" s="853"/>
      <c r="U147" s="853"/>
      <c r="V147" s="526">
        <f>V148+V154+V155+V156</f>
        <v>50.9</v>
      </c>
      <c r="W147" s="853"/>
      <c r="X147" s="853"/>
      <c r="Y147" s="526">
        <f>Y148+Y154+Y155+Y156</f>
        <v>50.9</v>
      </c>
      <c r="Z147" s="526">
        <f t="shared" si="31"/>
        <v>30.2</v>
      </c>
      <c r="AA147" s="526">
        <f t="shared" si="32"/>
        <v>211.9</v>
      </c>
      <c r="AB147" s="1883"/>
      <c r="AC147" s="549" t="s">
        <v>1665</v>
      </c>
      <c r="AF147" s="528"/>
      <c r="AG147" s="528"/>
      <c r="AH147" s="528"/>
    </row>
    <row r="148" spans="1:34" s="492" customFormat="1" ht="14.25" hidden="1" x14ac:dyDescent="0.2">
      <c r="A148" s="1240"/>
      <c r="B148" s="1861" t="s">
        <v>1233</v>
      </c>
      <c r="C148" s="501" t="s">
        <v>1230</v>
      </c>
      <c r="D148" s="1240"/>
      <c r="E148" s="1240"/>
      <c r="F148" s="530"/>
      <c r="G148" s="531"/>
      <c r="H148" s="542"/>
      <c r="I148" s="493"/>
      <c r="J148" s="493"/>
      <c r="K148" s="542"/>
      <c r="L148" s="493"/>
      <c r="M148" s="493"/>
      <c r="N148" s="542"/>
      <c r="O148" s="493"/>
      <c r="P148" s="493"/>
      <c r="Q148" s="542">
        <f>SUM(Q149:Q153)</f>
        <v>30.2</v>
      </c>
      <c r="R148" s="542">
        <f t="shared" si="33"/>
        <v>30.2</v>
      </c>
      <c r="S148" s="542"/>
      <c r="T148" s="493"/>
      <c r="U148" s="493"/>
      <c r="V148" s="542">
        <f>SUM(V149:V153)</f>
        <v>19.100000000000001</v>
      </c>
      <c r="W148" s="493"/>
      <c r="X148" s="493"/>
      <c r="Y148" s="542">
        <f>SUM(Y149:Y153)</f>
        <v>19.100000000000001</v>
      </c>
      <c r="Z148" s="542">
        <f t="shared" si="31"/>
        <v>30.2</v>
      </c>
      <c r="AA148" s="542" t="str">
        <f t="shared" si="32"/>
        <v>-</v>
      </c>
      <c r="AB148" s="1884" t="s">
        <v>1803</v>
      </c>
      <c r="AC148" s="549" t="s">
        <v>1665</v>
      </c>
      <c r="AF148" s="466"/>
      <c r="AG148" s="466"/>
      <c r="AH148" s="466"/>
    </row>
    <row r="149" spans="1:34" s="492" customFormat="1" ht="14.25" hidden="1" x14ac:dyDescent="0.2">
      <c r="A149" s="1240"/>
      <c r="B149" s="1885" t="s">
        <v>1804</v>
      </c>
      <c r="C149" s="501"/>
      <c r="D149" s="1240"/>
      <c r="E149" s="962" t="s">
        <v>318</v>
      </c>
      <c r="F149" s="530"/>
      <c r="G149" s="531"/>
      <c r="H149" s="542"/>
      <c r="I149" s="493"/>
      <c r="J149" s="493"/>
      <c r="K149" s="542"/>
      <c r="L149" s="493"/>
      <c r="M149" s="493"/>
      <c r="N149" s="542"/>
      <c r="O149" s="1886">
        <v>1</v>
      </c>
      <c r="P149" s="1245">
        <v>2.2999999999999998</v>
      </c>
      <c r="Q149" s="857">
        <f>O149*P149</f>
        <v>2.2999999999999998</v>
      </c>
      <c r="R149" s="857">
        <f t="shared" si="33"/>
        <v>2.2999999999999998</v>
      </c>
      <c r="S149" s="857"/>
      <c r="T149" s="1886">
        <v>1</v>
      </c>
      <c r="U149" s="1245">
        <v>2.2999999999999998</v>
      </c>
      <c r="V149" s="857">
        <f>T149*U149</f>
        <v>2.2999999999999998</v>
      </c>
      <c r="W149" s="1886">
        <v>1</v>
      </c>
      <c r="X149" s="1245">
        <v>2.2999999999999998</v>
      </c>
      <c r="Y149" s="857">
        <f>W149*X149</f>
        <v>2.2999999999999998</v>
      </c>
      <c r="Z149" s="542">
        <f t="shared" si="31"/>
        <v>2.2999999999999998</v>
      </c>
      <c r="AA149" s="542" t="str">
        <f t="shared" si="32"/>
        <v>-</v>
      </c>
      <c r="AB149" s="1884" t="s">
        <v>1805</v>
      </c>
      <c r="AC149" s="491" t="s">
        <v>1665</v>
      </c>
      <c r="AF149" s="466"/>
      <c r="AG149" s="466"/>
      <c r="AH149" s="466"/>
    </row>
    <row r="150" spans="1:34" s="492" customFormat="1" ht="52.5" hidden="1" customHeight="1" x14ac:dyDescent="0.2">
      <c r="A150" s="1240"/>
      <c r="B150" s="1885" t="s">
        <v>1757</v>
      </c>
      <c r="C150" s="501"/>
      <c r="D150" s="1240"/>
      <c r="E150" s="962" t="s">
        <v>318</v>
      </c>
      <c r="F150" s="530"/>
      <c r="G150" s="531"/>
      <c r="H150" s="542"/>
      <c r="I150" s="493"/>
      <c r="J150" s="493"/>
      <c r="K150" s="542"/>
      <c r="L150" s="493"/>
      <c r="M150" s="493"/>
      <c r="N150" s="542"/>
      <c r="O150" s="1886">
        <v>2</v>
      </c>
      <c r="P150" s="1245">
        <v>3.5</v>
      </c>
      <c r="Q150" s="857">
        <f t="shared" ref="Q150:Q151" si="34">O150*P150</f>
        <v>7</v>
      </c>
      <c r="R150" s="857">
        <f t="shared" si="33"/>
        <v>7</v>
      </c>
      <c r="S150" s="857"/>
      <c r="T150" s="1886">
        <v>2</v>
      </c>
      <c r="U150" s="1245">
        <v>3.5</v>
      </c>
      <c r="V150" s="857">
        <f t="shared" ref="V150:V151" si="35">T150*U150</f>
        <v>7</v>
      </c>
      <c r="W150" s="1886">
        <v>2</v>
      </c>
      <c r="X150" s="1245">
        <v>3.5</v>
      </c>
      <c r="Y150" s="857">
        <f t="shared" ref="Y150:Y151" si="36">W150*X150</f>
        <v>7</v>
      </c>
      <c r="Z150" s="542">
        <f t="shared" si="31"/>
        <v>7</v>
      </c>
      <c r="AA150" s="542" t="str">
        <f t="shared" si="32"/>
        <v>-</v>
      </c>
      <c r="AB150" s="1884" t="s">
        <v>1806</v>
      </c>
      <c r="AC150" s="491" t="s">
        <v>1665</v>
      </c>
      <c r="AF150" s="466"/>
      <c r="AG150" s="466"/>
      <c r="AH150" s="466"/>
    </row>
    <row r="151" spans="1:34" s="492" customFormat="1" ht="72" hidden="1" customHeight="1" x14ac:dyDescent="0.2">
      <c r="A151" s="1240"/>
      <c r="B151" s="1885" t="s">
        <v>1807</v>
      </c>
      <c r="C151" s="501"/>
      <c r="D151" s="1240"/>
      <c r="E151" s="962" t="s">
        <v>318</v>
      </c>
      <c r="F151" s="530"/>
      <c r="G151" s="531"/>
      <c r="H151" s="542"/>
      <c r="I151" s="493"/>
      <c r="J151" s="493"/>
      <c r="K151" s="542"/>
      <c r="L151" s="493"/>
      <c r="M151" s="493"/>
      <c r="N151" s="542"/>
      <c r="O151" s="1886">
        <v>1</v>
      </c>
      <c r="P151" s="1245">
        <v>4</v>
      </c>
      <c r="Q151" s="857">
        <f t="shared" si="34"/>
        <v>4</v>
      </c>
      <c r="R151" s="857">
        <f t="shared" si="33"/>
        <v>4</v>
      </c>
      <c r="S151" s="857"/>
      <c r="T151" s="1886">
        <v>1</v>
      </c>
      <c r="U151" s="1245">
        <v>4</v>
      </c>
      <c r="V151" s="857">
        <f t="shared" si="35"/>
        <v>4</v>
      </c>
      <c r="W151" s="1886">
        <v>1</v>
      </c>
      <c r="X151" s="1245">
        <v>4</v>
      </c>
      <c r="Y151" s="857">
        <f t="shared" si="36"/>
        <v>4</v>
      </c>
      <c r="Z151" s="542">
        <f t="shared" si="31"/>
        <v>4</v>
      </c>
      <c r="AA151" s="542" t="str">
        <f t="shared" si="32"/>
        <v>-</v>
      </c>
      <c r="AB151" s="901" t="s">
        <v>1808</v>
      </c>
      <c r="AC151" s="491" t="s">
        <v>1665</v>
      </c>
      <c r="AF151" s="466"/>
      <c r="AG151" s="466"/>
      <c r="AH151" s="466"/>
    </row>
    <row r="152" spans="1:34" s="492" customFormat="1" ht="38.25" hidden="1" x14ac:dyDescent="0.2">
      <c r="A152" s="1240"/>
      <c r="B152" s="1862" t="s">
        <v>1809</v>
      </c>
      <c r="C152" s="501"/>
      <c r="D152" s="1240"/>
      <c r="E152" s="1240" t="s">
        <v>318</v>
      </c>
      <c r="F152" s="530"/>
      <c r="G152" s="531"/>
      <c r="H152" s="542"/>
      <c r="I152" s="493"/>
      <c r="J152" s="493"/>
      <c r="K152" s="542"/>
      <c r="L152" s="493"/>
      <c r="M152" s="493"/>
      <c r="N152" s="542"/>
      <c r="O152" s="1886">
        <v>3</v>
      </c>
      <c r="P152" s="1245">
        <v>3.5</v>
      </c>
      <c r="Q152" s="857">
        <f>O152*P152</f>
        <v>10.5</v>
      </c>
      <c r="R152" s="857">
        <f t="shared" si="33"/>
        <v>10.5</v>
      </c>
      <c r="S152" s="857"/>
      <c r="T152" s="1245">
        <v>2</v>
      </c>
      <c r="U152" s="1245">
        <v>2.2999999999999998</v>
      </c>
      <c r="V152" s="857">
        <f>T152*U152</f>
        <v>4.5999999999999996</v>
      </c>
      <c r="W152" s="1245">
        <v>2</v>
      </c>
      <c r="X152" s="1245">
        <v>2.2999999999999998</v>
      </c>
      <c r="Y152" s="857">
        <f>W152*X152</f>
        <v>4.5999999999999996</v>
      </c>
      <c r="Z152" s="542">
        <f t="shared" si="31"/>
        <v>10.5</v>
      </c>
      <c r="AA152" s="542" t="str">
        <f t="shared" si="32"/>
        <v>-</v>
      </c>
      <c r="AB152" s="1839" t="s">
        <v>1810</v>
      </c>
      <c r="AC152" s="491" t="s">
        <v>1665</v>
      </c>
      <c r="AF152" s="466"/>
      <c r="AG152" s="466"/>
      <c r="AH152" s="466"/>
    </row>
    <row r="153" spans="1:34" s="492" customFormat="1" ht="14.25" hidden="1" x14ac:dyDescent="0.2">
      <c r="A153" s="1240"/>
      <c r="B153" s="881" t="s">
        <v>1729</v>
      </c>
      <c r="C153" s="501"/>
      <c r="D153" s="1240"/>
      <c r="E153" s="1240"/>
      <c r="F153" s="530"/>
      <c r="G153" s="531"/>
      <c r="H153" s="542"/>
      <c r="I153" s="493"/>
      <c r="J153" s="493"/>
      <c r="K153" s="542"/>
      <c r="L153" s="493"/>
      <c r="M153" s="493"/>
      <c r="N153" s="542"/>
      <c r="O153" s="493"/>
      <c r="P153" s="493"/>
      <c r="Q153" s="857">
        <f>SUM(Q149:Q152)*0.271</f>
        <v>6.4</v>
      </c>
      <c r="R153" s="857">
        <f t="shared" si="33"/>
        <v>6.4</v>
      </c>
      <c r="S153" s="857"/>
      <c r="T153" s="493"/>
      <c r="U153" s="493"/>
      <c r="V153" s="857">
        <f>SUM(V152)*0.271</f>
        <v>1.2</v>
      </c>
      <c r="W153" s="493"/>
      <c r="X153" s="493"/>
      <c r="Y153" s="857">
        <f>SUM(Y152)*0.271</f>
        <v>1.2</v>
      </c>
      <c r="Z153" s="542">
        <f t="shared" si="31"/>
        <v>6.4</v>
      </c>
      <c r="AA153" s="542" t="str">
        <f t="shared" si="32"/>
        <v>-</v>
      </c>
      <c r="AB153" s="1884"/>
      <c r="AC153" s="549" t="s">
        <v>1665</v>
      </c>
      <c r="AF153" s="466"/>
      <c r="AG153" s="466"/>
      <c r="AH153" s="466"/>
    </row>
    <row r="154" spans="1:34" s="498" customFormat="1" hidden="1" x14ac:dyDescent="0.25">
      <c r="A154" s="962"/>
      <c r="B154" s="502" t="s">
        <v>1811</v>
      </c>
      <c r="C154" s="501" t="s">
        <v>796</v>
      </c>
      <c r="D154" s="903"/>
      <c r="E154" s="962" t="s">
        <v>227</v>
      </c>
      <c r="F154" s="494">
        <v>240</v>
      </c>
      <c r="G154" s="495">
        <v>0.1</v>
      </c>
      <c r="H154" s="559">
        <f>F154*G154</f>
        <v>24</v>
      </c>
      <c r="I154" s="1245">
        <v>120</v>
      </c>
      <c r="J154" s="1245">
        <v>0.2</v>
      </c>
      <c r="K154" s="559">
        <f>I154*J154</f>
        <v>24</v>
      </c>
      <c r="L154" s="1245">
        <v>120</v>
      </c>
      <c r="M154" s="1245">
        <v>0.2</v>
      </c>
      <c r="N154" s="559">
        <f>L154*M154</f>
        <v>24</v>
      </c>
      <c r="O154" s="1245">
        <v>96</v>
      </c>
      <c r="P154" s="1245">
        <v>0.3</v>
      </c>
      <c r="Q154" s="533">
        <v>24</v>
      </c>
      <c r="R154" s="533">
        <f t="shared" si="33"/>
        <v>24</v>
      </c>
      <c r="S154" s="533"/>
      <c r="T154" s="1245">
        <v>96</v>
      </c>
      <c r="U154" s="1245">
        <v>0.3</v>
      </c>
      <c r="V154" s="533">
        <f>T154*U154</f>
        <v>28.8</v>
      </c>
      <c r="W154" s="1245">
        <v>96</v>
      </c>
      <c r="X154" s="1245">
        <v>0.3</v>
      </c>
      <c r="Y154" s="533">
        <f>W154*X154</f>
        <v>28.8</v>
      </c>
      <c r="Z154" s="559">
        <f t="shared" si="31"/>
        <v>0</v>
      </c>
      <c r="AA154" s="559">
        <f t="shared" si="32"/>
        <v>100</v>
      </c>
      <c r="AB154" s="893"/>
      <c r="AC154" s="549" t="s">
        <v>1665</v>
      </c>
      <c r="AF154" s="466"/>
      <c r="AG154" s="465"/>
      <c r="AH154" s="465"/>
    </row>
    <row r="155" spans="1:34" s="498" customFormat="1" ht="25.5" hidden="1" x14ac:dyDescent="0.25">
      <c r="A155" s="962"/>
      <c r="B155" s="502" t="s">
        <v>1812</v>
      </c>
      <c r="C155" s="501" t="s">
        <v>797</v>
      </c>
      <c r="D155" s="903"/>
      <c r="E155" s="962" t="s">
        <v>227</v>
      </c>
      <c r="F155" s="494"/>
      <c r="G155" s="495"/>
      <c r="H155" s="559"/>
      <c r="I155" s="1245">
        <v>10</v>
      </c>
      <c r="J155" s="1245">
        <v>0.1</v>
      </c>
      <c r="K155" s="559">
        <f>I155*J155</f>
        <v>1</v>
      </c>
      <c r="L155" s="1245">
        <v>10</v>
      </c>
      <c r="M155" s="1245">
        <v>0.1</v>
      </c>
      <c r="N155" s="559">
        <f>L155*M155</f>
        <v>1</v>
      </c>
      <c r="O155" s="1245">
        <v>10</v>
      </c>
      <c r="P155" s="1245">
        <v>0.1</v>
      </c>
      <c r="Q155" s="533">
        <f>O155*P155</f>
        <v>1</v>
      </c>
      <c r="R155" s="533">
        <f t="shared" si="33"/>
        <v>1</v>
      </c>
      <c r="S155" s="533"/>
      <c r="T155" s="1245">
        <v>10</v>
      </c>
      <c r="U155" s="1245">
        <v>0.1</v>
      </c>
      <c r="V155" s="533">
        <f>T155*U155</f>
        <v>1</v>
      </c>
      <c r="W155" s="1245">
        <v>10</v>
      </c>
      <c r="X155" s="1245">
        <v>0.1</v>
      </c>
      <c r="Y155" s="533">
        <f>W155*X155</f>
        <v>1</v>
      </c>
      <c r="Z155" s="559">
        <f t="shared" si="31"/>
        <v>0</v>
      </c>
      <c r="AA155" s="559">
        <f t="shared" si="32"/>
        <v>100</v>
      </c>
      <c r="AB155" s="893"/>
      <c r="AC155" s="549" t="s">
        <v>1665</v>
      </c>
      <c r="AF155" s="466"/>
      <c r="AG155" s="465"/>
      <c r="AH155" s="465"/>
    </row>
    <row r="156" spans="1:34" s="498" customFormat="1" ht="38.25" hidden="1" x14ac:dyDescent="0.25">
      <c r="A156" s="962"/>
      <c r="B156" s="502" t="s">
        <v>1813</v>
      </c>
      <c r="C156" s="501" t="s">
        <v>797</v>
      </c>
      <c r="D156" s="903"/>
      <c r="E156" s="962" t="s">
        <v>227</v>
      </c>
      <c r="F156" s="494">
        <v>25</v>
      </c>
      <c r="G156" s="495">
        <v>0.2</v>
      </c>
      <c r="H156" s="1245">
        <f>F156*G156</f>
        <v>5</v>
      </c>
      <c r="I156" s="1245">
        <v>20</v>
      </c>
      <c r="J156" s="1245">
        <v>0.1</v>
      </c>
      <c r="K156" s="559">
        <f>I156*J156</f>
        <v>2</v>
      </c>
      <c r="L156" s="1245">
        <v>20</v>
      </c>
      <c r="M156" s="1245">
        <v>0.1</v>
      </c>
      <c r="N156" s="559">
        <f>L156*M156</f>
        <v>2</v>
      </c>
      <c r="O156" s="1245">
        <v>20</v>
      </c>
      <c r="P156" s="1245">
        <v>0.1</v>
      </c>
      <c r="Q156" s="533">
        <f>O156*P156</f>
        <v>2</v>
      </c>
      <c r="R156" s="533">
        <f t="shared" si="33"/>
        <v>2</v>
      </c>
      <c r="S156" s="533"/>
      <c r="T156" s="1245">
        <v>20</v>
      </c>
      <c r="U156" s="1245">
        <v>0.1</v>
      </c>
      <c r="V156" s="533">
        <f>T156*U156</f>
        <v>2</v>
      </c>
      <c r="W156" s="1245">
        <v>20</v>
      </c>
      <c r="X156" s="1245">
        <v>0.1</v>
      </c>
      <c r="Y156" s="533">
        <f>W156*X156</f>
        <v>2</v>
      </c>
      <c r="Z156" s="559">
        <f t="shared" si="31"/>
        <v>0</v>
      </c>
      <c r="AA156" s="559">
        <f t="shared" si="32"/>
        <v>100</v>
      </c>
      <c r="AB156" s="1887" t="s">
        <v>1814</v>
      </c>
      <c r="AC156" s="549" t="s">
        <v>1665</v>
      </c>
      <c r="AF156" s="466"/>
      <c r="AG156" s="465"/>
      <c r="AH156" s="465"/>
    </row>
    <row r="157" spans="1:34" s="517" customFormat="1" ht="14.25" hidden="1" x14ac:dyDescent="0.2">
      <c r="A157" s="487"/>
      <c r="B157" s="543" t="s">
        <v>1241</v>
      </c>
      <c r="C157" s="511"/>
      <c r="D157" s="487"/>
      <c r="E157" s="554"/>
      <c r="F157" s="488"/>
      <c r="G157" s="489"/>
      <c r="H157" s="513" t="e">
        <f>#REF!+#REF!+H158+#REF!</f>
        <v>#REF!</v>
      </c>
      <c r="I157" s="490"/>
      <c r="J157" s="490"/>
      <c r="K157" s="513">
        <f>K158</f>
        <v>53.1</v>
      </c>
      <c r="L157" s="490"/>
      <c r="M157" s="490"/>
      <c r="N157" s="513">
        <f>N158</f>
        <v>53.1</v>
      </c>
      <c r="O157" s="490"/>
      <c r="P157" s="490"/>
      <c r="Q157" s="513">
        <f>Q158</f>
        <v>67.2</v>
      </c>
      <c r="R157" s="513">
        <f t="shared" si="33"/>
        <v>67.2</v>
      </c>
      <c r="S157" s="513"/>
      <c r="T157" s="490"/>
      <c r="U157" s="490"/>
      <c r="V157" s="513">
        <f>V158</f>
        <v>70.2</v>
      </c>
      <c r="W157" s="513"/>
      <c r="X157" s="513"/>
      <c r="Y157" s="513">
        <f>Y158</f>
        <v>70.2</v>
      </c>
      <c r="Z157" s="513">
        <f t="shared" si="31"/>
        <v>14.1</v>
      </c>
      <c r="AA157" s="513">
        <f t="shared" si="32"/>
        <v>126.6</v>
      </c>
      <c r="AB157" s="897"/>
      <c r="AC157" s="515"/>
      <c r="AF157" s="519"/>
      <c r="AG157" s="519"/>
      <c r="AH157" s="519"/>
    </row>
    <row r="158" spans="1:34" s="527" customFormat="1" ht="38.25" hidden="1" x14ac:dyDescent="0.2">
      <c r="A158" s="522"/>
      <c r="B158" s="520" t="s">
        <v>1664</v>
      </c>
      <c r="C158" s="521"/>
      <c r="D158" s="1888" t="s">
        <v>1444</v>
      </c>
      <c r="E158" s="522"/>
      <c r="F158" s="851"/>
      <c r="G158" s="852"/>
      <c r="H158" s="853">
        <f>H159+H163+H166+H169+H179+H180</f>
        <v>58.9</v>
      </c>
      <c r="I158" s="853"/>
      <c r="J158" s="853"/>
      <c r="K158" s="853">
        <f>K159+K163+K166+K169+K179+K180</f>
        <v>53.1</v>
      </c>
      <c r="L158" s="853"/>
      <c r="M158" s="853"/>
      <c r="N158" s="853">
        <f>N159+N163+N166+N169+N179+N180</f>
        <v>53.1</v>
      </c>
      <c r="O158" s="853"/>
      <c r="P158" s="853"/>
      <c r="Q158" s="853">
        <f>Q159+Q163+Q166+Q169+Q179+Q180</f>
        <v>67.2</v>
      </c>
      <c r="R158" s="853">
        <f t="shared" si="33"/>
        <v>67.2</v>
      </c>
      <c r="S158" s="853"/>
      <c r="T158" s="853"/>
      <c r="U158" s="853"/>
      <c r="V158" s="853">
        <f>V159+V163+V166+V169+V179+V180</f>
        <v>70.2</v>
      </c>
      <c r="W158" s="853"/>
      <c r="X158" s="853"/>
      <c r="Y158" s="853">
        <f>Y159+Y163+Y166+Y169+Y179+Y180</f>
        <v>70.2</v>
      </c>
      <c r="Z158" s="853">
        <f t="shared" si="31"/>
        <v>14.1</v>
      </c>
      <c r="AA158" s="853">
        <f t="shared" si="32"/>
        <v>126.6</v>
      </c>
      <c r="AB158" s="907"/>
      <c r="AC158" s="549" t="s">
        <v>1665</v>
      </c>
      <c r="AF158" s="528"/>
      <c r="AG158" s="528"/>
      <c r="AH158" s="528"/>
    </row>
    <row r="159" spans="1:34" s="492" customFormat="1" ht="14.25" hidden="1" x14ac:dyDescent="0.2">
      <c r="A159" s="1240"/>
      <c r="B159" s="500" t="s">
        <v>1226</v>
      </c>
      <c r="C159" s="501" t="s">
        <v>797</v>
      </c>
      <c r="D159" s="552"/>
      <c r="E159" s="1240"/>
      <c r="F159" s="530"/>
      <c r="G159" s="531"/>
      <c r="H159" s="493">
        <f>H162</f>
        <v>9.6</v>
      </c>
      <c r="I159" s="532"/>
      <c r="J159" s="532"/>
      <c r="K159" s="532">
        <f>K162</f>
        <v>4.8</v>
      </c>
      <c r="L159" s="532"/>
      <c r="M159" s="532"/>
      <c r="N159" s="532">
        <f>N162</f>
        <v>4.8</v>
      </c>
      <c r="O159" s="532"/>
      <c r="P159" s="532"/>
      <c r="Q159" s="532">
        <f>Q162+Q160+Q161</f>
        <v>2</v>
      </c>
      <c r="R159" s="532">
        <f t="shared" si="33"/>
        <v>2</v>
      </c>
      <c r="S159" s="532"/>
      <c r="T159" s="532"/>
      <c r="U159" s="532"/>
      <c r="V159" s="532">
        <f>V162+V160+V161</f>
        <v>2</v>
      </c>
      <c r="W159" s="532"/>
      <c r="X159" s="532"/>
      <c r="Y159" s="532">
        <f>Y162+Y160+Y161</f>
        <v>2</v>
      </c>
      <c r="Z159" s="493">
        <f t="shared" si="31"/>
        <v>-2.8</v>
      </c>
      <c r="AA159" s="493">
        <f t="shared" si="32"/>
        <v>41.7</v>
      </c>
      <c r="AB159" s="827"/>
      <c r="AC159" s="549" t="s">
        <v>1665</v>
      </c>
      <c r="AF159" s="466"/>
      <c r="AG159" s="466"/>
      <c r="AH159" s="466"/>
    </row>
    <row r="160" spans="1:34" s="492" customFormat="1" ht="38.25" hidden="1" x14ac:dyDescent="0.2">
      <c r="A160" s="1240"/>
      <c r="B160" s="500" t="s">
        <v>1815</v>
      </c>
      <c r="C160" s="501"/>
      <c r="D160" s="932"/>
      <c r="E160" s="873" t="s">
        <v>1238</v>
      </c>
      <c r="F160" s="530"/>
      <c r="G160" s="531"/>
      <c r="H160" s="493"/>
      <c r="I160" s="532"/>
      <c r="J160" s="532"/>
      <c r="K160" s="532"/>
      <c r="L160" s="532"/>
      <c r="M160" s="532"/>
      <c r="N160" s="532"/>
      <c r="O160" s="496">
        <v>2</v>
      </c>
      <c r="P160" s="496">
        <v>1</v>
      </c>
      <c r="Q160" s="496">
        <f>O160*P160</f>
        <v>2</v>
      </c>
      <c r="R160" s="496">
        <f t="shared" si="33"/>
        <v>2</v>
      </c>
      <c r="S160" s="496"/>
      <c r="T160" s="496">
        <v>2</v>
      </c>
      <c r="U160" s="496">
        <v>1</v>
      </c>
      <c r="V160" s="496">
        <f>T160*U160</f>
        <v>2</v>
      </c>
      <c r="W160" s="496">
        <v>2</v>
      </c>
      <c r="X160" s="496">
        <v>1</v>
      </c>
      <c r="Y160" s="496">
        <f>W160*X160</f>
        <v>2</v>
      </c>
      <c r="Z160" s="493">
        <f t="shared" si="31"/>
        <v>2</v>
      </c>
      <c r="AA160" s="493" t="str">
        <f t="shared" si="32"/>
        <v>-</v>
      </c>
      <c r="AB160" s="827" t="s">
        <v>1816</v>
      </c>
      <c r="AC160" s="549" t="s">
        <v>1665</v>
      </c>
      <c r="AF160" s="466"/>
      <c r="AG160" s="466"/>
      <c r="AH160" s="466"/>
    </row>
    <row r="161" spans="1:34" s="492" customFormat="1" ht="25.5" hidden="1" x14ac:dyDescent="0.2">
      <c r="A161" s="1240"/>
      <c r="B161" s="502" t="s">
        <v>1817</v>
      </c>
      <c r="C161" s="501"/>
      <c r="D161" s="932"/>
      <c r="E161" s="873" t="s">
        <v>1238</v>
      </c>
      <c r="F161" s="530"/>
      <c r="G161" s="531"/>
      <c r="H161" s="493"/>
      <c r="I161" s="532"/>
      <c r="J161" s="532"/>
      <c r="K161" s="532"/>
      <c r="L161" s="532"/>
      <c r="M161" s="532"/>
      <c r="N161" s="532"/>
      <c r="O161" s="496"/>
      <c r="P161" s="496"/>
      <c r="Q161" s="496"/>
      <c r="R161" s="496">
        <f t="shared" si="33"/>
        <v>0</v>
      </c>
      <c r="S161" s="496"/>
      <c r="T161" s="496"/>
      <c r="U161" s="496"/>
      <c r="V161" s="496"/>
      <c r="W161" s="496"/>
      <c r="X161" s="496"/>
      <c r="Y161" s="496"/>
      <c r="Z161" s="493">
        <f t="shared" si="31"/>
        <v>0</v>
      </c>
      <c r="AA161" s="493" t="str">
        <f t="shared" si="32"/>
        <v>-</v>
      </c>
      <c r="AB161" s="827" t="s">
        <v>1818</v>
      </c>
      <c r="AC161" s="549" t="s">
        <v>1665</v>
      </c>
      <c r="AF161" s="466"/>
      <c r="AG161" s="466"/>
      <c r="AH161" s="466"/>
    </row>
    <row r="162" spans="1:34" s="498" customFormat="1" hidden="1" x14ac:dyDescent="0.25">
      <c r="A162" s="962"/>
      <c r="B162" s="856" t="s">
        <v>1819</v>
      </c>
      <c r="C162" s="499"/>
      <c r="D162" s="903"/>
      <c r="E162" s="962"/>
      <c r="F162" s="1834">
        <v>1</v>
      </c>
      <c r="G162" s="495">
        <v>9.6</v>
      </c>
      <c r="H162" s="1245">
        <f>F162*G162</f>
        <v>9.6</v>
      </c>
      <c r="I162" s="1835">
        <v>1</v>
      </c>
      <c r="J162" s="496">
        <v>4.8</v>
      </c>
      <c r="K162" s="496">
        <f>I162*J162</f>
        <v>4.8</v>
      </c>
      <c r="L162" s="1835">
        <v>1</v>
      </c>
      <c r="M162" s="496">
        <v>4.8</v>
      </c>
      <c r="N162" s="496">
        <f>L162*M162</f>
        <v>4.8</v>
      </c>
      <c r="O162" s="1835"/>
      <c r="P162" s="496"/>
      <c r="Q162" s="496"/>
      <c r="R162" s="496">
        <f t="shared" si="33"/>
        <v>0</v>
      </c>
      <c r="S162" s="496"/>
      <c r="T162" s="1835"/>
      <c r="U162" s="496"/>
      <c r="V162" s="496"/>
      <c r="W162" s="1835"/>
      <c r="X162" s="496"/>
      <c r="Y162" s="496"/>
      <c r="Z162" s="1245">
        <f t="shared" si="31"/>
        <v>-4.8</v>
      </c>
      <c r="AA162" s="1245">
        <f t="shared" si="32"/>
        <v>0</v>
      </c>
      <c r="AB162" s="827"/>
      <c r="AC162" s="549" t="s">
        <v>1665</v>
      </c>
      <c r="AF162" s="466"/>
      <c r="AG162" s="465"/>
      <c r="AH162" s="465"/>
    </row>
    <row r="163" spans="1:34" s="492" customFormat="1" ht="25.5" hidden="1" x14ac:dyDescent="0.2">
      <c r="A163" s="1240"/>
      <c r="B163" s="500" t="s">
        <v>1239</v>
      </c>
      <c r="C163" s="501" t="s">
        <v>797</v>
      </c>
      <c r="D163" s="932"/>
      <c r="E163" s="1240"/>
      <c r="F163" s="530"/>
      <c r="G163" s="531"/>
      <c r="H163" s="493">
        <f>SUM(H164:H165)</f>
        <v>7.2</v>
      </c>
      <c r="I163" s="532"/>
      <c r="J163" s="532"/>
      <c r="K163" s="532">
        <f>SUM(K164:K165)</f>
        <v>1.6</v>
      </c>
      <c r="L163" s="532"/>
      <c r="M163" s="532"/>
      <c r="N163" s="532">
        <f>SUM(N164:N165)</f>
        <v>1.6</v>
      </c>
      <c r="O163" s="532"/>
      <c r="P163" s="532"/>
      <c r="Q163" s="532">
        <f>SUM(Q164:Q165)</f>
        <v>2</v>
      </c>
      <c r="R163" s="532">
        <f t="shared" si="33"/>
        <v>2</v>
      </c>
      <c r="S163" s="532"/>
      <c r="T163" s="532"/>
      <c r="U163" s="532"/>
      <c r="V163" s="532">
        <f>SUM(V164:V165)</f>
        <v>2</v>
      </c>
      <c r="W163" s="532"/>
      <c r="X163" s="532"/>
      <c r="Y163" s="532">
        <f>SUM(Y164:Y165)</f>
        <v>2</v>
      </c>
      <c r="Z163" s="493">
        <f t="shared" si="31"/>
        <v>0.4</v>
      </c>
      <c r="AA163" s="493">
        <f t="shared" si="32"/>
        <v>125</v>
      </c>
      <c r="AB163" s="827"/>
      <c r="AC163" s="549" t="s">
        <v>1665</v>
      </c>
      <c r="AF163" s="466"/>
      <c r="AG163" s="466"/>
      <c r="AH163" s="466"/>
    </row>
    <row r="164" spans="1:34" s="498" customFormat="1" ht="127.5" hidden="1" x14ac:dyDescent="0.25">
      <c r="A164" s="962"/>
      <c r="B164" s="502" t="s">
        <v>1769</v>
      </c>
      <c r="C164" s="499"/>
      <c r="D164" s="903"/>
      <c r="E164" s="962" t="s">
        <v>227</v>
      </c>
      <c r="F164" s="494">
        <v>32</v>
      </c>
      <c r="G164" s="495">
        <v>0.1</v>
      </c>
      <c r="H164" s="1245">
        <f>F164*G164</f>
        <v>3.2</v>
      </c>
      <c r="I164" s="496">
        <v>16</v>
      </c>
      <c r="J164" s="883">
        <v>0.1</v>
      </c>
      <c r="K164" s="496">
        <f>I164*J164</f>
        <v>1.6</v>
      </c>
      <c r="L164" s="496">
        <v>16</v>
      </c>
      <c r="M164" s="883">
        <v>0.1</v>
      </c>
      <c r="N164" s="496">
        <f>L164*M164</f>
        <v>1.6</v>
      </c>
      <c r="O164" s="496">
        <v>20</v>
      </c>
      <c r="P164" s="496">
        <v>0.1</v>
      </c>
      <c r="Q164" s="496">
        <f>O164*P164</f>
        <v>2</v>
      </c>
      <c r="R164" s="496">
        <f t="shared" si="33"/>
        <v>2</v>
      </c>
      <c r="S164" s="496"/>
      <c r="T164" s="496">
        <v>20</v>
      </c>
      <c r="U164" s="496">
        <v>0.1</v>
      </c>
      <c r="V164" s="496">
        <f>T164*U164</f>
        <v>2</v>
      </c>
      <c r="W164" s="496">
        <v>20</v>
      </c>
      <c r="X164" s="496">
        <v>0.1</v>
      </c>
      <c r="Y164" s="496">
        <f>W164*X164</f>
        <v>2</v>
      </c>
      <c r="Z164" s="1245">
        <f t="shared" si="31"/>
        <v>0.4</v>
      </c>
      <c r="AA164" s="1245">
        <f t="shared" si="32"/>
        <v>125</v>
      </c>
      <c r="AB164" s="900" t="s">
        <v>1820</v>
      </c>
      <c r="AC164" s="549" t="s">
        <v>1665</v>
      </c>
      <c r="AF164" s="466"/>
      <c r="AG164" s="465"/>
      <c r="AH164" s="465"/>
    </row>
    <row r="165" spans="1:34" s="498" customFormat="1" hidden="1" x14ac:dyDescent="0.25">
      <c r="A165" s="962"/>
      <c r="B165" s="856" t="s">
        <v>1821</v>
      </c>
      <c r="C165" s="499"/>
      <c r="D165" s="903"/>
      <c r="E165" s="962" t="s">
        <v>1240</v>
      </c>
      <c r="F165" s="494">
        <v>40</v>
      </c>
      <c r="G165" s="495">
        <v>0.1</v>
      </c>
      <c r="H165" s="1245">
        <f>F165*G165</f>
        <v>4</v>
      </c>
      <c r="I165" s="496"/>
      <c r="J165" s="496"/>
      <c r="K165" s="496">
        <f>I165*J165</f>
        <v>0</v>
      </c>
      <c r="L165" s="496"/>
      <c r="M165" s="496"/>
      <c r="N165" s="496">
        <f>L165*M165</f>
        <v>0</v>
      </c>
      <c r="O165" s="496"/>
      <c r="P165" s="496"/>
      <c r="Q165" s="496"/>
      <c r="R165" s="496">
        <f t="shared" si="33"/>
        <v>0</v>
      </c>
      <c r="S165" s="496"/>
      <c r="T165" s="496"/>
      <c r="U165" s="496"/>
      <c r="V165" s="496"/>
      <c r="W165" s="496"/>
      <c r="X165" s="496"/>
      <c r="Y165" s="496"/>
      <c r="Z165" s="1245">
        <f t="shared" si="31"/>
        <v>0</v>
      </c>
      <c r="AA165" s="1245" t="str">
        <f t="shared" si="32"/>
        <v>-</v>
      </c>
      <c r="AB165" s="827"/>
      <c r="AC165" s="549" t="s">
        <v>1665</v>
      </c>
      <c r="AF165" s="466"/>
      <c r="AG165" s="465"/>
      <c r="AH165" s="465"/>
    </row>
    <row r="166" spans="1:34" s="492" customFormat="1" ht="14.25" hidden="1" x14ac:dyDescent="0.2">
      <c r="A166" s="1240"/>
      <c r="B166" s="500" t="s">
        <v>1822</v>
      </c>
      <c r="C166" s="501" t="s">
        <v>796</v>
      </c>
      <c r="D166" s="932"/>
      <c r="E166" s="1240"/>
      <c r="F166" s="530"/>
      <c r="G166" s="531"/>
      <c r="H166" s="493">
        <f>SUM(H167:H168)</f>
        <v>6</v>
      </c>
      <c r="I166" s="532"/>
      <c r="J166" s="532"/>
      <c r="K166" s="532">
        <f>SUM(K167:K168)</f>
        <v>9</v>
      </c>
      <c r="L166" s="532"/>
      <c r="M166" s="532"/>
      <c r="N166" s="532">
        <f>SUM(N167:N168)</f>
        <v>9</v>
      </c>
      <c r="O166" s="532"/>
      <c r="P166" s="532"/>
      <c r="Q166" s="532">
        <v>6</v>
      </c>
      <c r="R166" s="532">
        <f t="shared" si="33"/>
        <v>6</v>
      </c>
      <c r="S166" s="532"/>
      <c r="T166" s="532"/>
      <c r="U166" s="532"/>
      <c r="V166" s="532">
        <f>SUM(V167:V168)</f>
        <v>9</v>
      </c>
      <c r="W166" s="532"/>
      <c r="X166" s="532"/>
      <c r="Y166" s="532">
        <f>SUM(Y167:Y168)</f>
        <v>9</v>
      </c>
      <c r="Z166" s="493">
        <f t="shared" si="31"/>
        <v>-3</v>
      </c>
      <c r="AA166" s="493">
        <f t="shared" si="32"/>
        <v>66.7</v>
      </c>
      <c r="AB166" s="901"/>
      <c r="AC166" s="549" t="s">
        <v>1665</v>
      </c>
      <c r="AF166" s="466"/>
      <c r="AG166" s="466"/>
      <c r="AH166" s="466"/>
    </row>
    <row r="167" spans="1:34" s="498" customFormat="1" hidden="1" x14ac:dyDescent="0.25">
      <c r="A167" s="962"/>
      <c r="B167" s="502" t="s">
        <v>1823</v>
      </c>
      <c r="C167" s="503"/>
      <c r="D167" s="903"/>
      <c r="E167" s="962" t="s">
        <v>227</v>
      </c>
      <c r="F167" s="494">
        <v>6</v>
      </c>
      <c r="G167" s="495">
        <v>0.5</v>
      </c>
      <c r="H167" s="1245">
        <f>F167*G167</f>
        <v>3</v>
      </c>
      <c r="I167" s="496">
        <v>6</v>
      </c>
      <c r="J167" s="496">
        <v>0.5</v>
      </c>
      <c r="K167" s="496">
        <f>I167*J167</f>
        <v>3</v>
      </c>
      <c r="L167" s="496">
        <v>6</v>
      </c>
      <c r="M167" s="496">
        <v>0.5</v>
      </c>
      <c r="N167" s="496">
        <f>L167*M167</f>
        <v>3</v>
      </c>
      <c r="O167" s="496">
        <v>6</v>
      </c>
      <c r="P167" s="496">
        <v>0.5</v>
      </c>
      <c r="Q167" s="496">
        <f>O167*P167</f>
        <v>3</v>
      </c>
      <c r="R167" s="496">
        <f t="shared" si="33"/>
        <v>3</v>
      </c>
      <c r="S167" s="496"/>
      <c r="T167" s="496">
        <v>6</v>
      </c>
      <c r="U167" s="496">
        <v>0.5</v>
      </c>
      <c r="V167" s="496">
        <f>T167*U167</f>
        <v>3</v>
      </c>
      <c r="W167" s="496">
        <v>6</v>
      </c>
      <c r="X167" s="496">
        <v>0.5</v>
      </c>
      <c r="Y167" s="496">
        <f>W167*X167</f>
        <v>3</v>
      </c>
      <c r="Z167" s="1245">
        <f t="shared" si="31"/>
        <v>0</v>
      </c>
      <c r="AA167" s="1245">
        <f t="shared" si="32"/>
        <v>100</v>
      </c>
      <c r="AB167" s="901"/>
      <c r="AC167" s="549" t="s">
        <v>1665</v>
      </c>
      <c r="AF167" s="466"/>
      <c r="AG167" s="465"/>
      <c r="AH167" s="465"/>
    </row>
    <row r="168" spans="1:34" s="498" customFormat="1" hidden="1" x14ac:dyDescent="0.25">
      <c r="A168" s="962"/>
      <c r="B168" s="502" t="s">
        <v>1824</v>
      </c>
      <c r="C168" s="503"/>
      <c r="D168" s="903"/>
      <c r="E168" s="962" t="s">
        <v>227</v>
      </c>
      <c r="F168" s="494">
        <v>30</v>
      </c>
      <c r="G168" s="495">
        <v>0.1</v>
      </c>
      <c r="H168" s="1245">
        <f>F168*G168</f>
        <v>3</v>
      </c>
      <c r="I168" s="496">
        <v>60</v>
      </c>
      <c r="J168" s="496">
        <v>0.1</v>
      </c>
      <c r="K168" s="496">
        <f>I168*J168</f>
        <v>6</v>
      </c>
      <c r="L168" s="496">
        <v>60</v>
      </c>
      <c r="M168" s="496">
        <v>0.1</v>
      </c>
      <c r="N168" s="496">
        <f>L168*M168</f>
        <v>6</v>
      </c>
      <c r="O168" s="496">
        <v>60</v>
      </c>
      <c r="P168" s="496">
        <v>0.1</v>
      </c>
      <c r="Q168" s="496">
        <f>O168*P168</f>
        <v>6</v>
      </c>
      <c r="R168" s="496">
        <f t="shared" si="33"/>
        <v>6</v>
      </c>
      <c r="S168" s="496"/>
      <c r="T168" s="496">
        <v>60</v>
      </c>
      <c r="U168" s="496">
        <v>0.1</v>
      </c>
      <c r="V168" s="496">
        <f>T168*U168</f>
        <v>6</v>
      </c>
      <c r="W168" s="496">
        <v>60</v>
      </c>
      <c r="X168" s="496">
        <v>0.1</v>
      </c>
      <c r="Y168" s="496">
        <f>W168*X168</f>
        <v>6</v>
      </c>
      <c r="Z168" s="1245">
        <f t="shared" si="31"/>
        <v>0</v>
      </c>
      <c r="AA168" s="1245">
        <f t="shared" si="32"/>
        <v>100</v>
      </c>
      <c r="AB168" s="901"/>
      <c r="AC168" s="549" t="s">
        <v>1665</v>
      </c>
      <c r="AF168" s="466"/>
      <c r="AG168" s="465"/>
      <c r="AH168" s="465"/>
    </row>
    <row r="169" spans="1:34" s="492" customFormat="1" ht="14.25" hidden="1" x14ac:dyDescent="0.2">
      <c r="A169" s="1240"/>
      <c r="B169" s="500" t="s">
        <v>1233</v>
      </c>
      <c r="C169" s="501" t="s">
        <v>1230</v>
      </c>
      <c r="D169" s="932"/>
      <c r="E169" s="1240"/>
      <c r="F169" s="530"/>
      <c r="G169" s="531"/>
      <c r="H169" s="493">
        <f>SUM(H170:H178)</f>
        <v>18.7</v>
      </c>
      <c r="I169" s="532"/>
      <c r="J169" s="532"/>
      <c r="K169" s="532">
        <f>SUM(K170:K178)</f>
        <v>17.899999999999999</v>
      </c>
      <c r="L169" s="532"/>
      <c r="M169" s="532"/>
      <c r="N169" s="532">
        <f>SUM(N170:N178)</f>
        <v>17.899999999999999</v>
      </c>
      <c r="O169" s="532"/>
      <c r="P169" s="532"/>
      <c r="Q169" s="532">
        <f>SUM(Q170:Q178)</f>
        <v>37.4</v>
      </c>
      <c r="R169" s="532">
        <f t="shared" si="33"/>
        <v>37.4</v>
      </c>
      <c r="S169" s="532"/>
      <c r="T169" s="532"/>
      <c r="U169" s="532"/>
      <c r="V169" s="532">
        <f>SUM(V170:V178)</f>
        <v>37.4</v>
      </c>
      <c r="W169" s="532"/>
      <c r="X169" s="532"/>
      <c r="Y169" s="532">
        <f>SUM(Y170:Y178)</f>
        <v>37.4</v>
      </c>
      <c r="Z169" s="493">
        <f t="shared" si="31"/>
        <v>19.5</v>
      </c>
      <c r="AA169" s="493">
        <f t="shared" si="32"/>
        <v>208.9</v>
      </c>
      <c r="AB169" s="893"/>
      <c r="AC169" s="549" t="s">
        <v>1665</v>
      </c>
      <c r="AF169" s="466"/>
      <c r="AG169" s="466"/>
      <c r="AH169" s="466"/>
    </row>
    <row r="170" spans="1:34" s="498" customFormat="1" hidden="1" x14ac:dyDescent="0.25">
      <c r="A170" s="962"/>
      <c r="B170" s="502" t="s">
        <v>1737</v>
      </c>
      <c r="C170" s="503"/>
      <c r="D170" s="903"/>
      <c r="E170" s="962" t="s">
        <v>318</v>
      </c>
      <c r="F170" s="494">
        <v>1</v>
      </c>
      <c r="G170" s="495">
        <v>3.5</v>
      </c>
      <c r="H170" s="1245">
        <f>F170*G170</f>
        <v>3.5</v>
      </c>
      <c r="I170" s="496">
        <v>1</v>
      </c>
      <c r="J170" s="496">
        <v>3.5</v>
      </c>
      <c r="K170" s="496">
        <f>I170*J170</f>
        <v>3.5</v>
      </c>
      <c r="L170" s="496">
        <v>1</v>
      </c>
      <c r="M170" s="496">
        <v>3.5</v>
      </c>
      <c r="N170" s="496">
        <f>L170*M170</f>
        <v>3.5</v>
      </c>
      <c r="O170" s="496">
        <v>1</v>
      </c>
      <c r="P170" s="496">
        <v>3.5</v>
      </c>
      <c r="Q170" s="496">
        <f>O170*P170</f>
        <v>3.5</v>
      </c>
      <c r="R170" s="496">
        <f t="shared" si="33"/>
        <v>3.5</v>
      </c>
      <c r="S170" s="496"/>
      <c r="T170" s="496">
        <v>1</v>
      </c>
      <c r="U170" s="496">
        <v>3.5</v>
      </c>
      <c r="V170" s="496">
        <f>T170*U170</f>
        <v>3.5</v>
      </c>
      <c r="W170" s="496">
        <v>1</v>
      </c>
      <c r="X170" s="496">
        <v>3.5</v>
      </c>
      <c r="Y170" s="496">
        <f>W170*X170</f>
        <v>3.5</v>
      </c>
      <c r="Z170" s="1245">
        <f t="shared" si="31"/>
        <v>0</v>
      </c>
      <c r="AA170" s="1245">
        <f t="shared" si="32"/>
        <v>100</v>
      </c>
      <c r="AB170" s="893"/>
      <c r="AC170" s="549" t="s">
        <v>1665</v>
      </c>
      <c r="AF170" s="466"/>
      <c r="AG170" s="465"/>
      <c r="AH170" s="465"/>
    </row>
    <row r="171" spans="1:34" s="498" customFormat="1" hidden="1" x14ac:dyDescent="0.25">
      <c r="A171" s="962"/>
      <c r="B171" s="502" t="s">
        <v>1755</v>
      </c>
      <c r="C171" s="503"/>
      <c r="D171" s="903"/>
      <c r="E171" s="962" t="s">
        <v>318</v>
      </c>
      <c r="F171" s="494">
        <v>4</v>
      </c>
      <c r="G171" s="495">
        <v>1.73</v>
      </c>
      <c r="H171" s="1245">
        <f>F171*G171</f>
        <v>6.9</v>
      </c>
      <c r="I171" s="496">
        <v>4</v>
      </c>
      <c r="J171" s="496">
        <v>1.7</v>
      </c>
      <c r="K171" s="496">
        <f>I171*J171</f>
        <v>6.8</v>
      </c>
      <c r="L171" s="496">
        <v>4</v>
      </c>
      <c r="M171" s="496">
        <v>1.7</v>
      </c>
      <c r="N171" s="496">
        <f>L171*M171</f>
        <v>6.8</v>
      </c>
      <c r="O171" s="496">
        <v>4</v>
      </c>
      <c r="P171" s="496">
        <v>1.7</v>
      </c>
      <c r="Q171" s="496">
        <f>O171*P171</f>
        <v>6.8</v>
      </c>
      <c r="R171" s="496">
        <f t="shared" si="33"/>
        <v>6.8</v>
      </c>
      <c r="S171" s="496"/>
      <c r="T171" s="496">
        <v>4</v>
      </c>
      <c r="U171" s="496">
        <v>1.7</v>
      </c>
      <c r="V171" s="496">
        <f>T171*U171</f>
        <v>6.8</v>
      </c>
      <c r="W171" s="496">
        <v>4</v>
      </c>
      <c r="X171" s="496">
        <v>1.7</v>
      </c>
      <c r="Y171" s="496">
        <f>W171*X171</f>
        <v>6.8</v>
      </c>
      <c r="Z171" s="1245">
        <f t="shared" si="31"/>
        <v>0</v>
      </c>
      <c r="AA171" s="1245">
        <f t="shared" si="32"/>
        <v>100</v>
      </c>
      <c r="AB171" s="893"/>
      <c r="AC171" s="549" t="s">
        <v>1665</v>
      </c>
      <c r="AF171" s="466"/>
      <c r="AG171" s="465"/>
      <c r="AH171" s="465"/>
    </row>
    <row r="172" spans="1:34" s="498" customFormat="1" hidden="1" x14ac:dyDescent="0.25">
      <c r="A172" s="962"/>
      <c r="B172" s="502" t="s">
        <v>1754</v>
      </c>
      <c r="C172" s="503"/>
      <c r="D172" s="903"/>
      <c r="E172" s="962" t="s">
        <v>318</v>
      </c>
      <c r="F172" s="494">
        <v>1</v>
      </c>
      <c r="G172" s="495">
        <v>2.2999999999999998</v>
      </c>
      <c r="H172" s="1245">
        <f>F172*G172</f>
        <v>2.2999999999999998</v>
      </c>
      <c r="I172" s="496">
        <v>1</v>
      </c>
      <c r="J172" s="496">
        <v>2.2999999999999998</v>
      </c>
      <c r="K172" s="496">
        <f>I172*J172</f>
        <v>2.2999999999999998</v>
      </c>
      <c r="L172" s="496">
        <v>1</v>
      </c>
      <c r="M172" s="496">
        <v>2.2999999999999998</v>
      </c>
      <c r="N172" s="496">
        <f>L172*M172</f>
        <v>2.2999999999999998</v>
      </c>
      <c r="O172" s="496">
        <v>1</v>
      </c>
      <c r="P172" s="496">
        <v>2.2999999999999998</v>
      </c>
      <c r="Q172" s="496">
        <f>O172*P172</f>
        <v>2.2999999999999998</v>
      </c>
      <c r="R172" s="496">
        <f t="shared" si="33"/>
        <v>2.2999999999999998</v>
      </c>
      <c r="S172" s="496"/>
      <c r="T172" s="496">
        <v>1</v>
      </c>
      <c r="U172" s="496">
        <v>2.2999999999999998</v>
      </c>
      <c r="V172" s="496">
        <f>T172*U172</f>
        <v>2.2999999999999998</v>
      </c>
      <c r="W172" s="496">
        <v>1</v>
      </c>
      <c r="X172" s="496">
        <v>2.2999999999999998</v>
      </c>
      <c r="Y172" s="496">
        <f>W172*X172</f>
        <v>2.2999999999999998</v>
      </c>
      <c r="Z172" s="1245">
        <f t="shared" si="31"/>
        <v>0</v>
      </c>
      <c r="AA172" s="1245">
        <f t="shared" si="32"/>
        <v>100</v>
      </c>
      <c r="AB172" s="893"/>
      <c r="AC172" s="549" t="s">
        <v>1665</v>
      </c>
      <c r="AF172" s="466"/>
      <c r="AG172" s="465"/>
      <c r="AH172" s="465"/>
    </row>
    <row r="173" spans="1:34" s="498" customFormat="1" hidden="1" x14ac:dyDescent="0.25">
      <c r="A173" s="962"/>
      <c r="B173" s="502" t="s">
        <v>1825</v>
      </c>
      <c r="C173" s="503"/>
      <c r="D173" s="903"/>
      <c r="E173" s="962" t="s">
        <v>318</v>
      </c>
      <c r="F173" s="494">
        <v>1</v>
      </c>
      <c r="G173" s="495">
        <v>2</v>
      </c>
      <c r="H173" s="1245">
        <f>F173*G173</f>
        <v>2</v>
      </c>
      <c r="I173" s="496">
        <v>1</v>
      </c>
      <c r="J173" s="496">
        <v>2</v>
      </c>
      <c r="K173" s="496">
        <v>1.5</v>
      </c>
      <c r="L173" s="496">
        <v>1</v>
      </c>
      <c r="M173" s="496">
        <v>2</v>
      </c>
      <c r="N173" s="496">
        <v>1.5</v>
      </c>
      <c r="O173" s="496"/>
      <c r="P173" s="496"/>
      <c r="Q173" s="496"/>
      <c r="R173" s="496">
        <f t="shared" si="33"/>
        <v>0</v>
      </c>
      <c r="S173" s="496"/>
      <c r="T173" s="496"/>
      <c r="U173" s="496"/>
      <c r="V173" s="496"/>
      <c r="W173" s="496"/>
      <c r="X173" s="496"/>
      <c r="Y173" s="496"/>
      <c r="Z173" s="1245">
        <f t="shared" si="31"/>
        <v>-1.5</v>
      </c>
      <c r="AA173" s="1245">
        <f t="shared" si="32"/>
        <v>0</v>
      </c>
      <c r="AB173" s="893"/>
      <c r="AC173" s="549" t="s">
        <v>1665</v>
      </c>
      <c r="AF173" s="466"/>
      <c r="AG173" s="465"/>
      <c r="AH173" s="465"/>
    </row>
    <row r="174" spans="1:34" s="498" customFormat="1" hidden="1" x14ac:dyDescent="0.25">
      <c r="A174" s="962"/>
      <c r="B174" s="502" t="s">
        <v>1826</v>
      </c>
      <c r="C174" s="503"/>
      <c r="D174" s="903"/>
      <c r="E174" s="962" t="s">
        <v>318</v>
      </c>
      <c r="F174" s="496"/>
      <c r="G174" s="496"/>
      <c r="H174" s="496"/>
      <c r="I174" s="496"/>
      <c r="J174" s="496"/>
      <c r="K174" s="496"/>
      <c r="L174" s="496"/>
      <c r="M174" s="496"/>
      <c r="N174" s="496"/>
      <c r="O174" s="1886">
        <v>1</v>
      </c>
      <c r="P174" s="496">
        <v>2.2999999999999998</v>
      </c>
      <c r="Q174" s="496">
        <f>O174*P174</f>
        <v>2.2999999999999998</v>
      </c>
      <c r="R174" s="496">
        <f t="shared" si="33"/>
        <v>2.2999999999999998</v>
      </c>
      <c r="S174" s="496"/>
      <c r="T174" s="1886">
        <v>1</v>
      </c>
      <c r="U174" s="496">
        <v>2.2999999999999998</v>
      </c>
      <c r="V174" s="496">
        <f>T174*U174</f>
        <v>2.2999999999999998</v>
      </c>
      <c r="W174" s="1886">
        <v>1</v>
      </c>
      <c r="X174" s="496">
        <v>2.2999999999999998</v>
      </c>
      <c r="Y174" s="496">
        <f>W174*X174</f>
        <v>2.2999999999999998</v>
      </c>
      <c r="Z174" s="496"/>
      <c r="AA174" s="496"/>
      <c r="AB174" s="3514" t="s">
        <v>1803</v>
      </c>
      <c r="AC174" s="491" t="s">
        <v>1665</v>
      </c>
      <c r="AF174" s="466"/>
      <c r="AG174" s="465"/>
      <c r="AH174" s="465"/>
    </row>
    <row r="175" spans="1:34" s="498" customFormat="1" ht="25.5" hidden="1" x14ac:dyDescent="0.25">
      <c r="A175" s="962"/>
      <c r="B175" s="1885" t="s">
        <v>1757</v>
      </c>
      <c r="C175" s="503"/>
      <c r="D175" s="903"/>
      <c r="E175" s="962" t="s">
        <v>318</v>
      </c>
      <c r="F175" s="496"/>
      <c r="G175" s="496"/>
      <c r="H175" s="496"/>
      <c r="I175" s="496"/>
      <c r="J175" s="496"/>
      <c r="K175" s="496"/>
      <c r="L175" s="496"/>
      <c r="M175" s="496"/>
      <c r="N175" s="496"/>
      <c r="O175" s="1886">
        <v>1</v>
      </c>
      <c r="P175" s="496">
        <v>3.5</v>
      </c>
      <c r="Q175" s="496">
        <f t="shared" ref="Q175:Q177" si="37">O175*P175</f>
        <v>3.5</v>
      </c>
      <c r="R175" s="496">
        <f t="shared" si="33"/>
        <v>3.5</v>
      </c>
      <c r="S175" s="496"/>
      <c r="T175" s="1886">
        <v>1</v>
      </c>
      <c r="U175" s="496">
        <v>3.5</v>
      </c>
      <c r="V175" s="496">
        <f t="shared" ref="V175:V177" si="38">T175*U175</f>
        <v>3.5</v>
      </c>
      <c r="W175" s="1886">
        <v>1</v>
      </c>
      <c r="X175" s="496">
        <v>3.5</v>
      </c>
      <c r="Y175" s="496">
        <f t="shared" ref="Y175:Y177" si="39">W175*X175</f>
        <v>3.5</v>
      </c>
      <c r="Z175" s="496"/>
      <c r="AA175" s="496"/>
      <c r="AB175" s="3515"/>
      <c r="AC175" s="491" t="s">
        <v>1665</v>
      </c>
      <c r="AF175" s="466"/>
      <c r="AG175" s="465"/>
      <c r="AH175" s="465"/>
    </row>
    <row r="176" spans="1:34" s="498" customFormat="1" hidden="1" x14ac:dyDescent="0.25">
      <c r="A176" s="962"/>
      <c r="B176" s="1885" t="s">
        <v>1827</v>
      </c>
      <c r="C176" s="503"/>
      <c r="D176" s="903"/>
      <c r="E176" s="962" t="s">
        <v>318</v>
      </c>
      <c r="F176" s="496"/>
      <c r="G176" s="496"/>
      <c r="H176" s="496"/>
      <c r="I176" s="496"/>
      <c r="J176" s="496"/>
      <c r="K176" s="496"/>
      <c r="L176" s="496"/>
      <c r="M176" s="496"/>
      <c r="N176" s="496"/>
      <c r="O176" s="1886">
        <v>2</v>
      </c>
      <c r="P176" s="496">
        <v>3.5</v>
      </c>
      <c r="Q176" s="496">
        <f t="shared" si="37"/>
        <v>7</v>
      </c>
      <c r="R176" s="496">
        <f t="shared" si="33"/>
        <v>7</v>
      </c>
      <c r="S176" s="496"/>
      <c r="T176" s="1886">
        <v>2</v>
      </c>
      <c r="U176" s="496">
        <v>3.5</v>
      </c>
      <c r="V176" s="496">
        <f t="shared" si="38"/>
        <v>7</v>
      </c>
      <c r="W176" s="1886">
        <v>2</v>
      </c>
      <c r="X176" s="496">
        <v>3.5</v>
      </c>
      <c r="Y176" s="496">
        <f t="shared" si="39"/>
        <v>7</v>
      </c>
      <c r="Z176" s="496"/>
      <c r="AA176" s="496"/>
      <c r="AB176" s="3515"/>
      <c r="AC176" s="491" t="s">
        <v>1665</v>
      </c>
      <c r="AF176" s="466"/>
      <c r="AG176" s="465"/>
      <c r="AH176" s="465"/>
    </row>
    <row r="177" spans="1:34" s="498" customFormat="1" hidden="1" x14ac:dyDescent="0.25">
      <c r="A177" s="962"/>
      <c r="B177" s="1885" t="s">
        <v>1807</v>
      </c>
      <c r="C177" s="503"/>
      <c r="D177" s="903"/>
      <c r="E177" s="962" t="s">
        <v>318</v>
      </c>
      <c r="F177" s="496"/>
      <c r="G177" s="496"/>
      <c r="H177" s="496"/>
      <c r="I177" s="496"/>
      <c r="J177" s="496"/>
      <c r="K177" s="496"/>
      <c r="L177" s="496"/>
      <c r="M177" s="496"/>
      <c r="N177" s="496"/>
      <c r="O177" s="1886">
        <v>1</v>
      </c>
      <c r="P177" s="496">
        <v>4</v>
      </c>
      <c r="Q177" s="496">
        <f t="shared" si="37"/>
        <v>4</v>
      </c>
      <c r="R177" s="496">
        <f t="shared" si="33"/>
        <v>4</v>
      </c>
      <c r="S177" s="496"/>
      <c r="T177" s="1886">
        <v>1</v>
      </c>
      <c r="U177" s="496">
        <v>4</v>
      </c>
      <c r="V177" s="496">
        <f t="shared" si="38"/>
        <v>4</v>
      </c>
      <c r="W177" s="1886">
        <v>1</v>
      </c>
      <c r="X177" s="496">
        <v>4</v>
      </c>
      <c r="Y177" s="496">
        <f t="shared" si="39"/>
        <v>4</v>
      </c>
      <c r="Z177" s="496"/>
      <c r="AA177" s="496"/>
      <c r="AB177" s="3516"/>
      <c r="AC177" s="491" t="s">
        <v>1665</v>
      </c>
      <c r="AF177" s="466"/>
      <c r="AG177" s="465"/>
      <c r="AH177" s="465"/>
    </row>
    <row r="178" spans="1:34" s="498" customFormat="1" hidden="1" x14ac:dyDescent="0.25">
      <c r="A178" s="962"/>
      <c r="B178" s="502" t="s">
        <v>1729</v>
      </c>
      <c r="C178" s="503"/>
      <c r="D178" s="903"/>
      <c r="E178" s="962"/>
      <c r="F178" s="494"/>
      <c r="G178" s="495"/>
      <c r="H178" s="1245">
        <f>SUM(H170:H173)*0.271</f>
        <v>4</v>
      </c>
      <c r="I178" s="496"/>
      <c r="J178" s="496"/>
      <c r="K178" s="496">
        <f>SUM(K170:K173)*0.271</f>
        <v>3.8</v>
      </c>
      <c r="L178" s="496"/>
      <c r="M178" s="496"/>
      <c r="N178" s="496">
        <f>SUM(N170:N173)*0.271</f>
        <v>3.8</v>
      </c>
      <c r="O178" s="496"/>
      <c r="P178" s="496"/>
      <c r="Q178" s="496">
        <f>SUM(Q170:Q177)*0.271</f>
        <v>8</v>
      </c>
      <c r="R178" s="496">
        <f t="shared" si="33"/>
        <v>8</v>
      </c>
      <c r="S178" s="496"/>
      <c r="T178" s="496"/>
      <c r="U178" s="496"/>
      <c r="V178" s="496">
        <f>SUM(V170:V177)*0.271</f>
        <v>8</v>
      </c>
      <c r="W178" s="496"/>
      <c r="X178" s="496"/>
      <c r="Y178" s="496">
        <f>SUM(Y170:Y177)*0.271</f>
        <v>8</v>
      </c>
      <c r="Z178" s="1245">
        <f t="shared" ref="Z178:Z224" si="40">Q178-K178</f>
        <v>4.2</v>
      </c>
      <c r="AA178" s="1245">
        <f t="shared" ref="AA178:AA241" si="41">IFERROR(Q178/K178*100,"-")</f>
        <v>210.5</v>
      </c>
      <c r="AB178" s="893"/>
      <c r="AC178" s="549" t="s">
        <v>1665</v>
      </c>
      <c r="AF178" s="466"/>
      <c r="AG178" s="465"/>
      <c r="AH178" s="465"/>
    </row>
    <row r="179" spans="1:34" s="492" customFormat="1" ht="14.25" hidden="1" x14ac:dyDescent="0.2">
      <c r="A179" s="1240"/>
      <c r="B179" s="500" t="s">
        <v>1828</v>
      </c>
      <c r="C179" s="501" t="s">
        <v>797</v>
      </c>
      <c r="D179" s="932"/>
      <c r="E179" s="1240" t="s">
        <v>227</v>
      </c>
      <c r="F179" s="530">
        <v>40</v>
      </c>
      <c r="G179" s="531">
        <v>0.06</v>
      </c>
      <c r="H179" s="493">
        <f>F179*G179</f>
        <v>2.4</v>
      </c>
      <c r="I179" s="532">
        <v>48</v>
      </c>
      <c r="J179" s="532">
        <v>0.1</v>
      </c>
      <c r="K179" s="532">
        <f>I179*J179</f>
        <v>4.8</v>
      </c>
      <c r="L179" s="532">
        <v>48</v>
      </c>
      <c r="M179" s="532">
        <v>0.1</v>
      </c>
      <c r="N179" s="532">
        <f>L179*M179</f>
        <v>4.8</v>
      </c>
      <c r="O179" s="532">
        <v>48</v>
      </c>
      <c r="P179" s="532">
        <v>0.1</v>
      </c>
      <c r="Q179" s="532">
        <f>O179*P179</f>
        <v>4.8</v>
      </c>
      <c r="R179" s="532">
        <f t="shared" si="33"/>
        <v>4.8</v>
      </c>
      <c r="S179" s="532"/>
      <c r="T179" s="532">
        <v>48</v>
      </c>
      <c r="U179" s="532">
        <v>0.1</v>
      </c>
      <c r="V179" s="532">
        <f>T179*U179</f>
        <v>4.8</v>
      </c>
      <c r="W179" s="532">
        <v>48</v>
      </c>
      <c r="X179" s="532">
        <v>0.1</v>
      </c>
      <c r="Y179" s="532">
        <f>W179*X179</f>
        <v>4.8</v>
      </c>
      <c r="Z179" s="493">
        <f t="shared" si="40"/>
        <v>0</v>
      </c>
      <c r="AA179" s="493">
        <f t="shared" si="41"/>
        <v>100</v>
      </c>
      <c r="AB179" s="827"/>
      <c r="AC179" s="549" t="s">
        <v>1665</v>
      </c>
      <c r="AF179" s="466"/>
      <c r="AG179" s="466"/>
      <c r="AH179" s="466"/>
    </row>
    <row r="180" spans="1:34" s="492" customFormat="1" ht="14.25" hidden="1" x14ac:dyDescent="0.2">
      <c r="A180" s="1240"/>
      <c r="B180" s="500" t="s">
        <v>1246</v>
      </c>
      <c r="C180" s="501" t="s">
        <v>1237</v>
      </c>
      <c r="D180" s="932"/>
      <c r="E180" s="1240" t="s">
        <v>1829</v>
      </c>
      <c r="F180" s="530">
        <v>6</v>
      </c>
      <c r="G180" s="531">
        <v>2.5</v>
      </c>
      <c r="H180" s="493">
        <f>F180*G180</f>
        <v>15</v>
      </c>
      <c r="I180" s="532">
        <v>6</v>
      </c>
      <c r="J180" s="532">
        <v>2.5</v>
      </c>
      <c r="K180" s="532">
        <f>I180*J180</f>
        <v>15</v>
      </c>
      <c r="L180" s="532">
        <v>6</v>
      </c>
      <c r="M180" s="532">
        <v>2.5</v>
      </c>
      <c r="N180" s="532">
        <f>L180*M180</f>
        <v>15</v>
      </c>
      <c r="O180" s="532">
        <v>6</v>
      </c>
      <c r="P180" s="532">
        <v>2.5</v>
      </c>
      <c r="Q180" s="532">
        <f>O180*P180</f>
        <v>15</v>
      </c>
      <c r="R180" s="532">
        <f t="shared" si="33"/>
        <v>15</v>
      </c>
      <c r="S180" s="532"/>
      <c r="T180" s="532">
        <v>6</v>
      </c>
      <c r="U180" s="532">
        <v>2.5</v>
      </c>
      <c r="V180" s="532">
        <f>T180*U180</f>
        <v>15</v>
      </c>
      <c r="W180" s="532">
        <v>6</v>
      </c>
      <c r="X180" s="532">
        <v>2.5</v>
      </c>
      <c r="Y180" s="532">
        <f>W180*X180</f>
        <v>15</v>
      </c>
      <c r="Z180" s="493">
        <f t="shared" si="40"/>
        <v>0</v>
      </c>
      <c r="AA180" s="493">
        <f t="shared" si="41"/>
        <v>100</v>
      </c>
      <c r="AB180" s="827"/>
      <c r="AC180" s="549" t="s">
        <v>1665</v>
      </c>
      <c r="AF180" s="466"/>
      <c r="AG180" s="466"/>
      <c r="AH180" s="466"/>
    </row>
    <row r="181" spans="1:34" s="517" customFormat="1" ht="14.25" hidden="1" x14ac:dyDescent="0.2">
      <c r="A181" s="487"/>
      <c r="B181" s="543" t="s">
        <v>1243</v>
      </c>
      <c r="C181" s="511"/>
      <c r="D181" s="487"/>
      <c r="E181" s="554"/>
      <c r="F181" s="488"/>
      <c r="G181" s="489"/>
      <c r="H181" s="537" t="e">
        <f>#REF!+#REF!+H182</f>
        <v>#REF!</v>
      </c>
      <c r="I181" s="537"/>
      <c r="J181" s="537"/>
      <c r="K181" s="537">
        <f>K182</f>
        <v>5.2</v>
      </c>
      <c r="L181" s="537"/>
      <c r="M181" s="537"/>
      <c r="N181" s="537">
        <f>N182</f>
        <v>5.2</v>
      </c>
      <c r="O181" s="537"/>
      <c r="P181" s="537"/>
      <c r="Q181" s="537">
        <f>Q182</f>
        <v>2.4</v>
      </c>
      <c r="R181" s="537">
        <f t="shared" si="33"/>
        <v>2.4</v>
      </c>
      <c r="S181" s="537"/>
      <c r="T181" s="537"/>
      <c r="U181" s="537"/>
      <c r="V181" s="537">
        <f>V182</f>
        <v>2.4</v>
      </c>
      <c r="W181" s="537"/>
      <c r="X181" s="537"/>
      <c r="Y181" s="537">
        <f>Y182</f>
        <v>2.4</v>
      </c>
      <c r="Z181" s="537">
        <f t="shared" si="40"/>
        <v>-2.8</v>
      </c>
      <c r="AA181" s="537">
        <f t="shared" si="41"/>
        <v>46.2</v>
      </c>
      <c r="AB181" s="902"/>
      <c r="AC181" s="515"/>
      <c r="AF181" s="519"/>
      <c r="AG181" s="519"/>
      <c r="AH181" s="519"/>
    </row>
    <row r="182" spans="1:34" s="1891" customFormat="1" ht="38.25" hidden="1" x14ac:dyDescent="0.25">
      <c r="A182" s="850"/>
      <c r="B182" s="520" t="s">
        <v>1664</v>
      </c>
      <c r="C182" s="521"/>
      <c r="D182" s="522" t="s">
        <v>1444</v>
      </c>
      <c r="E182" s="850"/>
      <c r="F182" s="1889"/>
      <c r="G182" s="1889"/>
      <c r="H182" s="526">
        <f>H185+H188</f>
        <v>4.4000000000000004</v>
      </c>
      <c r="I182" s="1889"/>
      <c r="J182" s="1889"/>
      <c r="K182" s="526">
        <f>K185+K188+K183</f>
        <v>5.2</v>
      </c>
      <c r="L182" s="1889"/>
      <c r="M182" s="1889"/>
      <c r="N182" s="526">
        <f>N185+N188+N183</f>
        <v>5.2</v>
      </c>
      <c r="O182" s="1889"/>
      <c r="P182" s="1889"/>
      <c r="Q182" s="526">
        <f>Q185+Q188</f>
        <v>2.4</v>
      </c>
      <c r="R182" s="526">
        <f t="shared" si="33"/>
        <v>2.4</v>
      </c>
      <c r="S182" s="526"/>
      <c r="T182" s="526"/>
      <c r="U182" s="526"/>
      <c r="V182" s="526">
        <f>V185+V188</f>
        <v>2.4</v>
      </c>
      <c r="W182" s="526"/>
      <c r="X182" s="526"/>
      <c r="Y182" s="526">
        <f>Y185+Y188</f>
        <v>2.4</v>
      </c>
      <c r="Z182" s="526">
        <f t="shared" si="40"/>
        <v>-2.8</v>
      </c>
      <c r="AA182" s="526">
        <f t="shared" si="41"/>
        <v>46.2</v>
      </c>
      <c r="AB182" s="1890"/>
      <c r="AC182" s="534" t="s">
        <v>1665</v>
      </c>
      <c r="AF182" s="528"/>
      <c r="AG182" s="1892"/>
      <c r="AH182" s="1892"/>
    </row>
    <row r="183" spans="1:34" s="498" customFormat="1" hidden="1" x14ac:dyDescent="0.25">
      <c r="A183" s="962"/>
      <c r="B183" s="865" t="s">
        <v>1830</v>
      </c>
      <c r="C183" s="508" t="s">
        <v>796</v>
      </c>
      <c r="D183" s="903"/>
      <c r="E183" s="962"/>
      <c r="F183" s="857"/>
      <c r="G183" s="857"/>
      <c r="H183" s="533"/>
      <c r="I183" s="857"/>
      <c r="J183" s="857"/>
      <c r="K183" s="533">
        <f>K184</f>
        <v>3</v>
      </c>
      <c r="L183" s="857"/>
      <c r="M183" s="857"/>
      <c r="N183" s="533">
        <f>N184</f>
        <v>3</v>
      </c>
      <c r="O183" s="857"/>
      <c r="P183" s="857"/>
      <c r="Q183" s="533"/>
      <c r="R183" s="533">
        <f t="shared" si="33"/>
        <v>0</v>
      </c>
      <c r="S183" s="533"/>
      <c r="T183" s="857"/>
      <c r="U183" s="857"/>
      <c r="V183" s="533"/>
      <c r="W183" s="533"/>
      <c r="X183" s="533"/>
      <c r="Y183" s="533"/>
      <c r="Z183" s="559">
        <f t="shared" si="40"/>
        <v>-3</v>
      </c>
      <c r="AA183" s="559">
        <f t="shared" si="41"/>
        <v>0</v>
      </c>
      <c r="AB183" s="1893"/>
      <c r="AC183" s="534" t="s">
        <v>1665</v>
      </c>
      <c r="AF183" s="466"/>
      <c r="AG183" s="465"/>
      <c r="AH183" s="465"/>
    </row>
    <row r="184" spans="1:34" s="498" customFormat="1" ht="38.25" hidden="1" x14ac:dyDescent="0.25">
      <c r="A184" s="962"/>
      <c r="B184" s="856" t="s">
        <v>1831</v>
      </c>
      <c r="C184" s="499"/>
      <c r="D184" s="903"/>
      <c r="E184" s="962"/>
      <c r="F184" s="857"/>
      <c r="G184" s="857"/>
      <c r="H184" s="857"/>
      <c r="I184" s="857">
        <v>30</v>
      </c>
      <c r="J184" s="857">
        <v>0.1</v>
      </c>
      <c r="K184" s="857">
        <f>I184*J184</f>
        <v>3</v>
      </c>
      <c r="L184" s="857">
        <v>30</v>
      </c>
      <c r="M184" s="857">
        <v>0.1</v>
      </c>
      <c r="N184" s="857">
        <f>L184*M184</f>
        <v>3</v>
      </c>
      <c r="O184" s="857"/>
      <c r="P184" s="857"/>
      <c r="Q184" s="857"/>
      <c r="R184" s="857">
        <f t="shared" si="33"/>
        <v>0</v>
      </c>
      <c r="S184" s="857"/>
      <c r="T184" s="857"/>
      <c r="U184" s="857"/>
      <c r="V184" s="857"/>
      <c r="W184" s="857"/>
      <c r="X184" s="857"/>
      <c r="Y184" s="857"/>
      <c r="Z184" s="559">
        <f t="shared" si="40"/>
        <v>-3</v>
      </c>
      <c r="AA184" s="559">
        <f t="shared" si="41"/>
        <v>0</v>
      </c>
      <c r="AB184" s="1884" t="s">
        <v>1746</v>
      </c>
      <c r="AC184" s="534" t="s">
        <v>1665</v>
      </c>
      <c r="AF184" s="466"/>
      <c r="AG184" s="465"/>
      <c r="AH184" s="465"/>
    </row>
    <row r="185" spans="1:34" s="498" customFormat="1" hidden="1" x14ac:dyDescent="0.25">
      <c r="A185" s="962"/>
      <c r="B185" s="865" t="s">
        <v>1228</v>
      </c>
      <c r="C185" s="508" t="s">
        <v>797</v>
      </c>
      <c r="D185" s="903"/>
      <c r="E185" s="962"/>
      <c r="F185" s="857"/>
      <c r="G185" s="857"/>
      <c r="H185" s="533">
        <f>H186</f>
        <v>3.6</v>
      </c>
      <c r="I185" s="857"/>
      <c r="J185" s="857"/>
      <c r="K185" s="533">
        <f>SUM(K186:K187)</f>
        <v>1.8</v>
      </c>
      <c r="L185" s="857"/>
      <c r="M185" s="857"/>
      <c r="N185" s="533">
        <f>SUM(N186:N187)</f>
        <v>1.8</v>
      </c>
      <c r="O185" s="533"/>
      <c r="P185" s="533"/>
      <c r="Q185" s="533">
        <f>SUM(Q186:Q187)</f>
        <v>2</v>
      </c>
      <c r="R185" s="533">
        <f t="shared" si="33"/>
        <v>2</v>
      </c>
      <c r="S185" s="533"/>
      <c r="T185" s="533"/>
      <c r="U185" s="533"/>
      <c r="V185" s="533">
        <f>SUM(V186:V187)</f>
        <v>2</v>
      </c>
      <c r="W185" s="533"/>
      <c r="X185" s="533"/>
      <c r="Y185" s="533">
        <f>SUM(Y186:Y187)</f>
        <v>2</v>
      </c>
      <c r="Z185" s="559">
        <f t="shared" si="40"/>
        <v>0.2</v>
      </c>
      <c r="AA185" s="559">
        <f t="shared" si="41"/>
        <v>111.1</v>
      </c>
      <c r="AB185" s="1893"/>
      <c r="AC185" s="534" t="s">
        <v>1665</v>
      </c>
      <c r="AF185" s="466"/>
      <c r="AG185" s="465"/>
      <c r="AH185" s="465"/>
    </row>
    <row r="186" spans="1:34" s="498" customFormat="1" hidden="1" x14ac:dyDescent="0.25">
      <c r="A186" s="962"/>
      <c r="B186" s="856" t="s">
        <v>1832</v>
      </c>
      <c r="C186" s="508"/>
      <c r="D186" s="903"/>
      <c r="E186" s="962"/>
      <c r="F186" s="857">
        <v>36</v>
      </c>
      <c r="G186" s="857">
        <v>0.1</v>
      </c>
      <c r="H186" s="857">
        <f>F186*G186</f>
        <v>3.6</v>
      </c>
      <c r="I186" s="857">
        <v>36</v>
      </c>
      <c r="J186" s="862">
        <v>0.05</v>
      </c>
      <c r="K186" s="857">
        <f>I186*J186</f>
        <v>1.8</v>
      </c>
      <c r="L186" s="857">
        <v>36</v>
      </c>
      <c r="M186" s="862">
        <v>0.05</v>
      </c>
      <c r="N186" s="857">
        <f>L186*M186</f>
        <v>1.8</v>
      </c>
      <c r="O186" s="533"/>
      <c r="P186" s="533"/>
      <c r="Q186" s="533"/>
      <c r="R186" s="533">
        <f t="shared" si="33"/>
        <v>0</v>
      </c>
      <c r="S186" s="533"/>
      <c r="T186" s="533"/>
      <c r="U186" s="533"/>
      <c r="V186" s="533"/>
      <c r="W186" s="533"/>
      <c r="X186" s="533"/>
      <c r="Y186" s="533"/>
      <c r="Z186" s="559">
        <f t="shared" si="40"/>
        <v>-1.8</v>
      </c>
      <c r="AA186" s="559">
        <f t="shared" si="41"/>
        <v>0</v>
      </c>
      <c r="AB186" s="1893"/>
      <c r="AC186" s="534" t="s">
        <v>1665</v>
      </c>
      <c r="AF186" s="466"/>
      <c r="AG186" s="465"/>
      <c r="AH186" s="465"/>
    </row>
    <row r="187" spans="1:34" s="498" customFormat="1" ht="25.5" hidden="1" x14ac:dyDescent="0.25">
      <c r="A187" s="962"/>
      <c r="B187" s="856" t="s">
        <v>1833</v>
      </c>
      <c r="C187" s="499"/>
      <c r="D187" s="903"/>
      <c r="E187" s="962" t="s">
        <v>227</v>
      </c>
      <c r="F187" s="857"/>
      <c r="G187" s="857"/>
      <c r="H187" s="857"/>
      <c r="I187" s="857"/>
      <c r="J187" s="862"/>
      <c r="K187" s="857"/>
      <c r="L187" s="857"/>
      <c r="M187" s="862"/>
      <c r="N187" s="857"/>
      <c r="O187" s="857">
        <v>1</v>
      </c>
      <c r="P187" s="857">
        <v>2</v>
      </c>
      <c r="Q187" s="857">
        <f>O187*P187</f>
        <v>2</v>
      </c>
      <c r="R187" s="857">
        <f t="shared" si="33"/>
        <v>2</v>
      </c>
      <c r="S187" s="857"/>
      <c r="T187" s="857">
        <v>1</v>
      </c>
      <c r="U187" s="857">
        <v>2</v>
      </c>
      <c r="V187" s="857">
        <f>T187*U187</f>
        <v>2</v>
      </c>
      <c r="W187" s="857">
        <v>1</v>
      </c>
      <c r="X187" s="857">
        <v>2</v>
      </c>
      <c r="Y187" s="857">
        <f>W187*X187</f>
        <v>2</v>
      </c>
      <c r="Z187" s="559">
        <f t="shared" si="40"/>
        <v>2</v>
      </c>
      <c r="AA187" s="559" t="str">
        <f t="shared" si="41"/>
        <v>-</v>
      </c>
      <c r="AB187" s="1884" t="s">
        <v>1834</v>
      </c>
      <c r="AC187" s="534" t="s">
        <v>1665</v>
      </c>
      <c r="AF187" s="466"/>
      <c r="AG187" s="465"/>
      <c r="AH187" s="465"/>
    </row>
    <row r="188" spans="1:34" s="498" customFormat="1" hidden="1" x14ac:dyDescent="0.25">
      <c r="A188" s="962"/>
      <c r="B188" s="865" t="s">
        <v>801</v>
      </c>
      <c r="C188" s="508" t="s">
        <v>797</v>
      </c>
      <c r="D188" s="903"/>
      <c r="E188" s="962"/>
      <c r="F188" s="857"/>
      <c r="G188" s="857"/>
      <c r="H188" s="533">
        <f>H189</f>
        <v>0.8</v>
      </c>
      <c r="I188" s="857"/>
      <c r="J188" s="857"/>
      <c r="K188" s="533">
        <f>K189</f>
        <v>0.4</v>
      </c>
      <c r="L188" s="857"/>
      <c r="M188" s="857"/>
      <c r="N188" s="533">
        <f>N189</f>
        <v>0.4</v>
      </c>
      <c r="O188" s="533"/>
      <c r="P188" s="533"/>
      <c r="Q188" s="533">
        <f>Q189</f>
        <v>0.4</v>
      </c>
      <c r="R188" s="533">
        <f t="shared" si="33"/>
        <v>0.4</v>
      </c>
      <c r="S188" s="533"/>
      <c r="T188" s="533"/>
      <c r="U188" s="533"/>
      <c r="V188" s="533">
        <f>V189</f>
        <v>0.4</v>
      </c>
      <c r="W188" s="533"/>
      <c r="X188" s="533"/>
      <c r="Y188" s="533">
        <f>Y189</f>
        <v>0.4</v>
      </c>
      <c r="Z188" s="559">
        <f t="shared" si="40"/>
        <v>0</v>
      </c>
      <c r="AA188" s="559">
        <f t="shared" si="41"/>
        <v>100</v>
      </c>
      <c r="AB188" s="1893"/>
      <c r="AC188" s="534" t="s">
        <v>1665</v>
      </c>
      <c r="AF188" s="466"/>
      <c r="AG188" s="465"/>
      <c r="AH188" s="465"/>
    </row>
    <row r="189" spans="1:34" s="498" customFormat="1" hidden="1" x14ac:dyDescent="0.25">
      <c r="A189" s="962"/>
      <c r="B189" s="502" t="s">
        <v>1835</v>
      </c>
      <c r="C189" s="499"/>
      <c r="D189" s="903"/>
      <c r="E189" s="962" t="s">
        <v>227</v>
      </c>
      <c r="F189" s="857">
        <v>8</v>
      </c>
      <c r="G189" s="857">
        <v>0.1</v>
      </c>
      <c r="H189" s="857">
        <f>F189*G189</f>
        <v>0.8</v>
      </c>
      <c r="I189" s="857">
        <v>4</v>
      </c>
      <c r="J189" s="862">
        <v>0.1</v>
      </c>
      <c r="K189" s="857">
        <f>I189*J189</f>
        <v>0.4</v>
      </c>
      <c r="L189" s="857">
        <v>4</v>
      </c>
      <c r="M189" s="862">
        <v>0.1</v>
      </c>
      <c r="N189" s="857">
        <f>L189*M189</f>
        <v>0.4</v>
      </c>
      <c r="O189" s="857">
        <v>4</v>
      </c>
      <c r="P189" s="857">
        <v>0.1</v>
      </c>
      <c r="Q189" s="857">
        <f>O189*P189</f>
        <v>0.4</v>
      </c>
      <c r="R189" s="857">
        <f t="shared" si="33"/>
        <v>0.4</v>
      </c>
      <c r="S189" s="857"/>
      <c r="T189" s="857">
        <v>4</v>
      </c>
      <c r="U189" s="857">
        <v>0.1</v>
      </c>
      <c r="V189" s="857">
        <f>T189*U189</f>
        <v>0.4</v>
      </c>
      <c r="W189" s="857">
        <v>4</v>
      </c>
      <c r="X189" s="857">
        <v>0.1</v>
      </c>
      <c r="Y189" s="857">
        <f>W189*X189</f>
        <v>0.4</v>
      </c>
      <c r="Z189" s="559">
        <f t="shared" si="40"/>
        <v>0</v>
      </c>
      <c r="AA189" s="559">
        <f t="shared" si="41"/>
        <v>100</v>
      </c>
      <c r="AB189" s="1884"/>
      <c r="AC189" s="534" t="s">
        <v>1665</v>
      </c>
      <c r="AF189" s="466"/>
      <c r="AG189" s="465"/>
      <c r="AH189" s="465"/>
    </row>
    <row r="190" spans="1:34" s="517" customFormat="1" ht="14.25" hidden="1" x14ac:dyDescent="0.2">
      <c r="A190" s="487"/>
      <c r="B190" s="904" t="s">
        <v>1244</v>
      </c>
      <c r="C190" s="905"/>
      <c r="D190" s="487"/>
      <c r="E190" s="490"/>
      <c r="F190" s="488"/>
      <c r="G190" s="489"/>
      <c r="H190" s="490" t="e">
        <f>#REF!+H191+#REF!</f>
        <v>#REF!</v>
      </c>
      <c r="I190" s="847"/>
      <c r="J190" s="847"/>
      <c r="K190" s="490">
        <f>K191</f>
        <v>36.799999999999997</v>
      </c>
      <c r="L190" s="847"/>
      <c r="M190" s="847"/>
      <c r="N190" s="490">
        <f>N191</f>
        <v>36.799999999999997</v>
      </c>
      <c r="O190" s="847"/>
      <c r="P190" s="847"/>
      <c r="Q190" s="490">
        <f>Q191</f>
        <v>43.2</v>
      </c>
      <c r="R190" s="490">
        <f t="shared" si="33"/>
        <v>43.2</v>
      </c>
      <c r="S190" s="490"/>
      <c r="T190" s="847"/>
      <c r="U190" s="847"/>
      <c r="V190" s="490">
        <f>V191</f>
        <v>43.9</v>
      </c>
      <c r="W190" s="490"/>
      <c r="X190" s="490"/>
      <c r="Y190" s="490">
        <f>Y191</f>
        <v>43.9</v>
      </c>
      <c r="Z190" s="490">
        <f t="shared" si="40"/>
        <v>6.4</v>
      </c>
      <c r="AA190" s="490">
        <f t="shared" si="41"/>
        <v>117.4</v>
      </c>
      <c r="AB190" s="555"/>
      <c r="AC190" s="515"/>
      <c r="AF190" s="518"/>
      <c r="AG190" s="519"/>
      <c r="AH190" s="519"/>
    </row>
    <row r="191" spans="1:34" s="527" customFormat="1" ht="38.25" hidden="1" x14ac:dyDescent="0.2">
      <c r="A191" s="522"/>
      <c r="B191" s="858" t="s">
        <v>1700</v>
      </c>
      <c r="C191" s="859"/>
      <c r="D191" s="522" t="s">
        <v>1444</v>
      </c>
      <c r="E191" s="525"/>
      <c r="F191" s="1894"/>
      <c r="G191" s="1895"/>
      <c r="H191" s="860">
        <f>H192+H201+H203+H209+H210</f>
        <v>51.6</v>
      </c>
      <c r="I191" s="1896"/>
      <c r="J191" s="1896"/>
      <c r="K191" s="860">
        <f>K192+K201+K203+K209+K210</f>
        <v>36.799999999999997</v>
      </c>
      <c r="L191" s="1896"/>
      <c r="M191" s="1896"/>
      <c r="N191" s="860">
        <f>N192+N201+N203+N209+N210</f>
        <v>36.799999999999997</v>
      </c>
      <c r="O191" s="1896"/>
      <c r="P191" s="1896"/>
      <c r="Q191" s="860">
        <f>Q192+Q201+Q203+Q207+Q208+Q209+Q210</f>
        <v>43.2</v>
      </c>
      <c r="R191" s="860">
        <f t="shared" si="33"/>
        <v>43.2</v>
      </c>
      <c r="S191" s="860"/>
      <c r="T191" s="860"/>
      <c r="U191" s="860"/>
      <c r="V191" s="860">
        <f>V192+V201+V203+V207+V208+V209+V210</f>
        <v>43.9</v>
      </c>
      <c r="W191" s="860"/>
      <c r="X191" s="860"/>
      <c r="Y191" s="860">
        <f>Y192+Y201+Y203+Y207+Y208+Y209+Y210</f>
        <v>43.9</v>
      </c>
      <c r="Z191" s="860">
        <f t="shared" si="40"/>
        <v>6.4</v>
      </c>
      <c r="AA191" s="860">
        <f t="shared" si="41"/>
        <v>117.4</v>
      </c>
      <c r="AB191" s="1897"/>
      <c r="AC191" s="549" t="s">
        <v>1665</v>
      </c>
      <c r="AF191" s="528"/>
      <c r="AG191" s="528"/>
      <c r="AH191" s="528"/>
    </row>
    <row r="192" spans="1:34" s="492" customFormat="1" ht="14.25" hidden="1" x14ac:dyDescent="0.2">
      <c r="A192" s="1240"/>
      <c r="B192" s="1042" t="s">
        <v>1395</v>
      </c>
      <c r="C192" s="501" t="s">
        <v>1230</v>
      </c>
      <c r="D192" s="1240"/>
      <c r="E192" s="854"/>
      <c r="F192" s="1898"/>
      <c r="G192" s="1899"/>
      <c r="H192" s="493">
        <f>SUM(H193:H200)</f>
        <v>26.1</v>
      </c>
      <c r="I192" s="1900"/>
      <c r="J192" s="1900"/>
      <c r="K192" s="532">
        <f>SUM(K193:K200)</f>
        <v>20.8</v>
      </c>
      <c r="L192" s="1900"/>
      <c r="M192" s="1900"/>
      <c r="N192" s="532">
        <f>SUM(N193:N200)</f>
        <v>20.8</v>
      </c>
      <c r="O192" s="532"/>
      <c r="P192" s="532"/>
      <c r="Q192" s="532">
        <f>SUM(Q193:Q200)</f>
        <v>24.8</v>
      </c>
      <c r="R192" s="532">
        <f t="shared" si="33"/>
        <v>24.8</v>
      </c>
      <c r="S192" s="532"/>
      <c r="T192" s="532"/>
      <c r="U192" s="532"/>
      <c r="V192" s="532">
        <f>SUM(V193:V200)</f>
        <v>24.8</v>
      </c>
      <c r="W192" s="532"/>
      <c r="X192" s="532"/>
      <c r="Y192" s="532">
        <f>SUM(Y193:Y200)</f>
        <v>24.8</v>
      </c>
      <c r="Z192" s="493">
        <f t="shared" si="40"/>
        <v>4</v>
      </c>
      <c r="AA192" s="493">
        <f t="shared" si="41"/>
        <v>119.2</v>
      </c>
      <c r="AB192" s="1042"/>
      <c r="AC192" s="491" t="s">
        <v>1665</v>
      </c>
      <c r="AF192" s="466"/>
      <c r="AG192" s="466"/>
      <c r="AH192" s="466"/>
    </row>
    <row r="193" spans="1:34" s="498" customFormat="1" hidden="1" x14ac:dyDescent="0.25">
      <c r="A193" s="962"/>
      <c r="B193" s="1043" t="s">
        <v>1836</v>
      </c>
      <c r="C193" s="503"/>
      <c r="D193" s="903"/>
      <c r="E193" s="535" t="s">
        <v>1837</v>
      </c>
      <c r="F193" s="494">
        <v>2</v>
      </c>
      <c r="G193" s="495">
        <v>2.2999999999999998</v>
      </c>
      <c r="H193" s="1245">
        <f>F193*G193</f>
        <v>4.5999999999999996</v>
      </c>
      <c r="I193" s="496">
        <v>2</v>
      </c>
      <c r="J193" s="496">
        <v>2.2999999999999998</v>
      </c>
      <c r="K193" s="496">
        <f>I193*J193</f>
        <v>4.5999999999999996</v>
      </c>
      <c r="L193" s="496">
        <v>2</v>
      </c>
      <c r="M193" s="496">
        <v>2.2999999999999998</v>
      </c>
      <c r="N193" s="496">
        <f>L193*M193</f>
        <v>4.5999999999999996</v>
      </c>
      <c r="O193" s="496">
        <v>2</v>
      </c>
      <c r="P193" s="496">
        <v>2.2999999999999998</v>
      </c>
      <c r="Q193" s="496">
        <f>O193*P193</f>
        <v>4.5999999999999996</v>
      </c>
      <c r="R193" s="496">
        <f t="shared" si="33"/>
        <v>4.5999999999999996</v>
      </c>
      <c r="S193" s="496"/>
      <c r="T193" s="496">
        <v>2</v>
      </c>
      <c r="U193" s="496">
        <v>2.2999999999999998</v>
      </c>
      <c r="V193" s="496">
        <f>T193*U193</f>
        <v>4.5999999999999996</v>
      </c>
      <c r="W193" s="496">
        <v>2</v>
      </c>
      <c r="X193" s="496">
        <v>2.2999999999999998</v>
      </c>
      <c r="Y193" s="496">
        <f>W193*X193</f>
        <v>4.5999999999999996</v>
      </c>
      <c r="Z193" s="1245">
        <f t="shared" si="40"/>
        <v>0</v>
      </c>
      <c r="AA193" s="1245">
        <f t="shared" si="41"/>
        <v>100</v>
      </c>
      <c r="AB193" s="1043"/>
      <c r="AC193" s="491" t="s">
        <v>1665</v>
      </c>
      <c r="AF193" s="466"/>
      <c r="AG193" s="465"/>
      <c r="AH193" s="465"/>
    </row>
    <row r="194" spans="1:34" s="498" customFormat="1" hidden="1" x14ac:dyDescent="0.25">
      <c r="A194" s="962"/>
      <c r="B194" s="1043" t="s">
        <v>1838</v>
      </c>
      <c r="C194" s="503"/>
      <c r="D194" s="903"/>
      <c r="E194" s="535" t="s">
        <v>1837</v>
      </c>
      <c r="F194" s="494">
        <v>3</v>
      </c>
      <c r="G194" s="495">
        <v>1.1499999999999999</v>
      </c>
      <c r="H194" s="1245">
        <f>F194*G194</f>
        <v>3.5</v>
      </c>
      <c r="I194" s="496"/>
      <c r="J194" s="496"/>
      <c r="K194" s="496">
        <f>I194*J194</f>
        <v>0</v>
      </c>
      <c r="L194" s="496"/>
      <c r="M194" s="496"/>
      <c r="N194" s="496">
        <f>L194*M194</f>
        <v>0</v>
      </c>
      <c r="O194" s="496"/>
      <c r="P194" s="496"/>
      <c r="Q194" s="496"/>
      <c r="R194" s="496">
        <f t="shared" si="33"/>
        <v>0</v>
      </c>
      <c r="S194" s="496"/>
      <c r="T194" s="496"/>
      <c r="U194" s="496"/>
      <c r="V194" s="496"/>
      <c r="W194" s="496"/>
      <c r="X194" s="496"/>
      <c r="Y194" s="496"/>
      <c r="Z194" s="1245">
        <f t="shared" si="40"/>
        <v>0</v>
      </c>
      <c r="AA194" s="1245" t="str">
        <f t="shared" si="41"/>
        <v>-</v>
      </c>
      <c r="AB194" s="1043"/>
      <c r="AC194" s="491" t="s">
        <v>1665</v>
      </c>
      <c r="AF194" s="466"/>
      <c r="AG194" s="465"/>
      <c r="AH194" s="465"/>
    </row>
    <row r="195" spans="1:34" s="498" customFormat="1" hidden="1" x14ac:dyDescent="0.25">
      <c r="A195" s="962"/>
      <c r="B195" s="1043" t="s">
        <v>1839</v>
      </c>
      <c r="C195" s="503"/>
      <c r="D195" s="903"/>
      <c r="E195" s="535" t="s">
        <v>1837</v>
      </c>
      <c r="F195" s="494">
        <v>4</v>
      </c>
      <c r="G195" s="495">
        <v>1.73</v>
      </c>
      <c r="H195" s="1245">
        <f>F195*G195</f>
        <v>6.9</v>
      </c>
      <c r="I195" s="496">
        <v>4</v>
      </c>
      <c r="J195" s="496">
        <v>1.7</v>
      </c>
      <c r="K195" s="496">
        <f>I195*J195</f>
        <v>6.8</v>
      </c>
      <c r="L195" s="496">
        <v>4</v>
      </c>
      <c r="M195" s="496">
        <v>1.7</v>
      </c>
      <c r="N195" s="496">
        <f>L195*M195</f>
        <v>6.8</v>
      </c>
      <c r="O195" s="496">
        <v>4</v>
      </c>
      <c r="P195" s="496">
        <v>1.7</v>
      </c>
      <c r="Q195" s="496">
        <f>O195*P195</f>
        <v>6.8</v>
      </c>
      <c r="R195" s="496">
        <f t="shared" si="33"/>
        <v>6.8</v>
      </c>
      <c r="S195" s="496"/>
      <c r="T195" s="496">
        <v>4</v>
      </c>
      <c r="U195" s="496">
        <v>1.7</v>
      </c>
      <c r="V195" s="496">
        <f>T195*U195</f>
        <v>6.8</v>
      </c>
      <c r="W195" s="496">
        <v>4</v>
      </c>
      <c r="X195" s="496">
        <v>1.7</v>
      </c>
      <c r="Y195" s="496">
        <f>W195*X195</f>
        <v>6.8</v>
      </c>
      <c r="Z195" s="1245">
        <f t="shared" si="40"/>
        <v>0</v>
      </c>
      <c r="AA195" s="1245">
        <f t="shared" si="41"/>
        <v>100</v>
      </c>
      <c r="AB195" s="1043"/>
      <c r="AC195" s="491" t="s">
        <v>1665</v>
      </c>
      <c r="AF195" s="466"/>
      <c r="AG195" s="465"/>
      <c r="AH195" s="465"/>
    </row>
    <row r="196" spans="1:34" s="498" customFormat="1" hidden="1" x14ac:dyDescent="0.25">
      <c r="A196" s="962"/>
      <c r="B196" s="1901" t="s">
        <v>1519</v>
      </c>
      <c r="C196" s="1902"/>
      <c r="D196" s="903"/>
      <c r="E196" s="535" t="s">
        <v>1837</v>
      </c>
      <c r="F196" s="863">
        <v>1</v>
      </c>
      <c r="G196" s="864">
        <v>3.5</v>
      </c>
      <c r="H196" s="1245">
        <f>F196*G196</f>
        <v>3.5</v>
      </c>
      <c r="I196" s="682">
        <v>1</v>
      </c>
      <c r="J196" s="682">
        <v>3.5</v>
      </c>
      <c r="K196" s="496">
        <f>I196*J196</f>
        <v>3.5</v>
      </c>
      <c r="L196" s="682">
        <v>1</v>
      </c>
      <c r="M196" s="682">
        <v>3.5</v>
      </c>
      <c r="N196" s="496">
        <f>L196*M196</f>
        <v>3.5</v>
      </c>
      <c r="O196" s="682">
        <v>1</v>
      </c>
      <c r="P196" s="682">
        <v>3.5</v>
      </c>
      <c r="Q196" s="496">
        <f>O196*P196</f>
        <v>3.5</v>
      </c>
      <c r="R196" s="496">
        <f t="shared" si="33"/>
        <v>3.5</v>
      </c>
      <c r="S196" s="496"/>
      <c r="T196" s="682">
        <v>1</v>
      </c>
      <c r="U196" s="682">
        <v>3.5</v>
      </c>
      <c r="V196" s="496">
        <f>T196*U196</f>
        <v>3.5</v>
      </c>
      <c r="W196" s="682">
        <v>1</v>
      </c>
      <c r="X196" s="682">
        <v>3.5</v>
      </c>
      <c r="Y196" s="496">
        <f>W196*X196</f>
        <v>3.5</v>
      </c>
      <c r="Z196" s="1245">
        <f t="shared" si="40"/>
        <v>0</v>
      </c>
      <c r="AA196" s="1245">
        <f t="shared" si="41"/>
        <v>100</v>
      </c>
      <c r="AB196" s="1901"/>
      <c r="AC196" s="491" t="s">
        <v>1665</v>
      </c>
      <c r="AF196" s="466"/>
      <c r="AG196" s="465"/>
      <c r="AH196" s="465"/>
    </row>
    <row r="197" spans="1:34" s="498" customFormat="1" hidden="1" x14ac:dyDescent="0.25">
      <c r="A197" s="962"/>
      <c r="B197" s="1901" t="s">
        <v>1840</v>
      </c>
      <c r="C197" s="1902"/>
      <c r="D197" s="903"/>
      <c r="E197" s="535"/>
      <c r="F197" s="863"/>
      <c r="G197" s="864"/>
      <c r="H197" s="1245"/>
      <c r="I197" s="682">
        <v>3</v>
      </c>
      <c r="J197" s="682">
        <v>1.2</v>
      </c>
      <c r="K197" s="496">
        <v>0</v>
      </c>
      <c r="L197" s="682">
        <v>3</v>
      </c>
      <c r="M197" s="682">
        <v>1.2</v>
      </c>
      <c r="N197" s="496">
        <v>0</v>
      </c>
      <c r="O197" s="682"/>
      <c r="P197" s="682"/>
      <c r="Q197" s="496"/>
      <c r="R197" s="496">
        <f t="shared" si="33"/>
        <v>0</v>
      </c>
      <c r="S197" s="496"/>
      <c r="T197" s="682"/>
      <c r="U197" s="682"/>
      <c r="V197" s="496"/>
      <c r="W197" s="682"/>
      <c r="X197" s="682"/>
      <c r="Y197" s="496"/>
      <c r="Z197" s="1245">
        <f t="shared" si="40"/>
        <v>0</v>
      </c>
      <c r="AA197" s="1245" t="str">
        <f t="shared" si="41"/>
        <v>-</v>
      </c>
      <c r="AB197" s="1901"/>
      <c r="AC197" s="491" t="s">
        <v>1665</v>
      </c>
      <c r="AF197" s="466"/>
      <c r="AG197" s="465"/>
      <c r="AH197" s="465"/>
    </row>
    <row r="198" spans="1:34" s="498" customFormat="1" hidden="1" x14ac:dyDescent="0.25">
      <c r="A198" s="962"/>
      <c r="B198" s="1903" t="s">
        <v>1683</v>
      </c>
      <c r="C198" s="1904"/>
      <c r="D198" s="903"/>
      <c r="E198" s="535" t="s">
        <v>1837</v>
      </c>
      <c r="F198" s="863">
        <v>1</v>
      </c>
      <c r="G198" s="864">
        <v>2</v>
      </c>
      <c r="H198" s="1245">
        <f>F198*G198</f>
        <v>2</v>
      </c>
      <c r="I198" s="682">
        <v>1</v>
      </c>
      <c r="J198" s="682">
        <v>2</v>
      </c>
      <c r="K198" s="496">
        <v>1.5</v>
      </c>
      <c r="L198" s="682">
        <v>1</v>
      </c>
      <c r="M198" s="682">
        <v>2</v>
      </c>
      <c r="N198" s="496">
        <v>1.5</v>
      </c>
      <c r="O198" s="682"/>
      <c r="P198" s="682"/>
      <c r="Q198" s="496"/>
      <c r="R198" s="496">
        <f t="shared" si="33"/>
        <v>0</v>
      </c>
      <c r="S198" s="496"/>
      <c r="T198" s="682"/>
      <c r="U198" s="682"/>
      <c r="V198" s="496"/>
      <c r="W198" s="682"/>
      <c r="X198" s="682"/>
      <c r="Y198" s="496"/>
      <c r="Z198" s="1245">
        <f t="shared" si="40"/>
        <v>-1.5</v>
      </c>
      <c r="AA198" s="1245">
        <f t="shared" si="41"/>
        <v>0</v>
      </c>
      <c r="AB198" s="1903"/>
      <c r="AC198" s="491" t="s">
        <v>1665</v>
      </c>
      <c r="AF198" s="466"/>
      <c r="AG198" s="465"/>
      <c r="AH198" s="465"/>
    </row>
    <row r="199" spans="1:34" s="498" customFormat="1" hidden="1" x14ac:dyDescent="0.25">
      <c r="A199" s="962"/>
      <c r="B199" s="1903" t="s">
        <v>1841</v>
      </c>
      <c r="C199" s="1904"/>
      <c r="D199" s="903"/>
      <c r="E199" s="535"/>
      <c r="F199" s="863"/>
      <c r="G199" s="864"/>
      <c r="H199" s="1245"/>
      <c r="I199" s="682"/>
      <c r="J199" s="682"/>
      <c r="K199" s="496"/>
      <c r="L199" s="682"/>
      <c r="M199" s="682"/>
      <c r="N199" s="496"/>
      <c r="O199" s="682">
        <v>2</v>
      </c>
      <c r="P199" s="682">
        <v>2.2999999999999998</v>
      </c>
      <c r="Q199" s="496">
        <f>O199*P199</f>
        <v>4.5999999999999996</v>
      </c>
      <c r="R199" s="496">
        <f t="shared" si="33"/>
        <v>4.5999999999999996</v>
      </c>
      <c r="S199" s="496"/>
      <c r="T199" s="682">
        <v>2</v>
      </c>
      <c r="U199" s="682">
        <v>2.2999999999999998</v>
      </c>
      <c r="V199" s="496">
        <f>T199*U199</f>
        <v>4.5999999999999996</v>
      </c>
      <c r="W199" s="682">
        <v>2</v>
      </c>
      <c r="X199" s="682">
        <v>2.2999999999999998</v>
      </c>
      <c r="Y199" s="496">
        <f>W199*X199</f>
        <v>4.5999999999999996</v>
      </c>
      <c r="Z199" s="1245">
        <f t="shared" si="40"/>
        <v>4.5999999999999996</v>
      </c>
      <c r="AA199" s="1245" t="str">
        <f t="shared" si="41"/>
        <v>-</v>
      </c>
      <c r="AB199" s="1903"/>
      <c r="AC199" s="491" t="s">
        <v>1665</v>
      </c>
      <c r="AF199" s="466"/>
      <c r="AG199" s="465"/>
      <c r="AH199" s="465"/>
    </row>
    <row r="200" spans="1:34" s="498" customFormat="1" hidden="1" x14ac:dyDescent="0.25">
      <c r="A200" s="962"/>
      <c r="B200" s="1030" t="s">
        <v>842</v>
      </c>
      <c r="C200" s="553"/>
      <c r="D200" s="903"/>
      <c r="E200" s="535"/>
      <c r="F200" s="504"/>
      <c r="G200" s="505"/>
      <c r="H200" s="535">
        <f>SUM(H193:H198)*0.271</f>
        <v>5.6</v>
      </c>
      <c r="I200" s="1905"/>
      <c r="J200" s="1905"/>
      <c r="K200" s="1905">
        <f>SUM(K193:K198)*0.271</f>
        <v>4.4000000000000004</v>
      </c>
      <c r="L200" s="1905"/>
      <c r="M200" s="1905"/>
      <c r="N200" s="1905">
        <f>SUM(N193:N198)*0.271</f>
        <v>4.4000000000000004</v>
      </c>
      <c r="O200" s="1905"/>
      <c r="P200" s="1905"/>
      <c r="Q200" s="1905">
        <f>SUM(Q193:Q199)*0.271</f>
        <v>5.3</v>
      </c>
      <c r="R200" s="1905">
        <f t="shared" si="33"/>
        <v>5.3</v>
      </c>
      <c r="S200" s="1905"/>
      <c r="T200" s="1905"/>
      <c r="U200" s="1905"/>
      <c r="V200" s="1905">
        <f>SUM(V193:V199)*0.271</f>
        <v>5.3</v>
      </c>
      <c r="W200" s="1905"/>
      <c r="X200" s="1905"/>
      <c r="Y200" s="1905">
        <f>SUM(Y193:Y199)*0.271</f>
        <v>5.3</v>
      </c>
      <c r="Z200" s="535">
        <f t="shared" si="40"/>
        <v>0.9</v>
      </c>
      <c r="AA200" s="535">
        <f t="shared" si="41"/>
        <v>120.5</v>
      </c>
      <c r="AB200" s="1030"/>
      <c r="AC200" s="491" t="s">
        <v>1665</v>
      </c>
      <c r="AF200" s="466"/>
      <c r="AG200" s="465"/>
      <c r="AH200" s="465"/>
    </row>
    <row r="201" spans="1:34" s="492" customFormat="1" ht="25.5" hidden="1" x14ac:dyDescent="0.2">
      <c r="A201" s="1240"/>
      <c r="B201" s="898" t="s">
        <v>1842</v>
      </c>
      <c r="C201" s="529" t="s">
        <v>797</v>
      </c>
      <c r="D201" s="932"/>
      <c r="E201" s="854"/>
      <c r="F201" s="530"/>
      <c r="G201" s="531"/>
      <c r="H201" s="493">
        <f>SUM(H202:H202)</f>
        <v>1.6</v>
      </c>
      <c r="I201" s="532"/>
      <c r="J201" s="532"/>
      <c r="K201" s="532">
        <f>SUM(K202:K202)</f>
        <v>0.8</v>
      </c>
      <c r="L201" s="532"/>
      <c r="M201" s="532"/>
      <c r="N201" s="532">
        <f>SUM(N202:N202)</f>
        <v>0.8</v>
      </c>
      <c r="O201" s="532"/>
      <c r="P201" s="532"/>
      <c r="Q201" s="532">
        <f>SUM(Q202:Q202)</f>
        <v>1.2</v>
      </c>
      <c r="R201" s="532">
        <f t="shared" si="33"/>
        <v>1.2</v>
      </c>
      <c r="S201" s="532"/>
      <c r="T201" s="532"/>
      <c r="U201" s="532"/>
      <c r="V201" s="532">
        <f>SUM(V202:V202)</f>
        <v>1.2</v>
      </c>
      <c r="W201" s="532"/>
      <c r="X201" s="532"/>
      <c r="Y201" s="532">
        <f>SUM(Y202:Y202)</f>
        <v>1.2</v>
      </c>
      <c r="Z201" s="493">
        <f t="shared" si="40"/>
        <v>0.4</v>
      </c>
      <c r="AA201" s="493">
        <f t="shared" si="41"/>
        <v>150</v>
      </c>
      <c r="AB201" s="900"/>
      <c r="AC201" s="491" t="s">
        <v>1665</v>
      </c>
      <c r="AF201" s="466"/>
      <c r="AG201" s="466"/>
      <c r="AH201" s="466"/>
    </row>
    <row r="202" spans="1:34" s="498" customFormat="1" ht="89.25" hidden="1" x14ac:dyDescent="0.25">
      <c r="A202" s="962"/>
      <c r="B202" s="1030" t="s">
        <v>1843</v>
      </c>
      <c r="C202" s="553"/>
      <c r="D202" s="903"/>
      <c r="E202" s="535" t="s">
        <v>310</v>
      </c>
      <c r="F202" s="863">
        <v>16</v>
      </c>
      <c r="G202" s="864">
        <v>0.1</v>
      </c>
      <c r="H202" s="1245">
        <f>F202*G202</f>
        <v>1.6</v>
      </c>
      <c r="I202" s="682">
        <v>8</v>
      </c>
      <c r="J202" s="1906">
        <v>0.1</v>
      </c>
      <c r="K202" s="496">
        <f>I202*J202</f>
        <v>0.8</v>
      </c>
      <c r="L202" s="682">
        <v>8</v>
      </c>
      <c r="M202" s="1906">
        <v>0.1</v>
      </c>
      <c r="N202" s="496">
        <f>L202*M202</f>
        <v>0.8</v>
      </c>
      <c r="O202" s="682">
        <v>12</v>
      </c>
      <c r="P202" s="682">
        <v>0.1</v>
      </c>
      <c r="Q202" s="496">
        <f>O202*P202</f>
        <v>1.2</v>
      </c>
      <c r="R202" s="496">
        <f t="shared" si="33"/>
        <v>1.2</v>
      </c>
      <c r="S202" s="496"/>
      <c r="T202" s="682">
        <v>12</v>
      </c>
      <c r="U202" s="682">
        <v>0.1</v>
      </c>
      <c r="V202" s="496">
        <f>T202*U202</f>
        <v>1.2</v>
      </c>
      <c r="W202" s="682">
        <v>12</v>
      </c>
      <c r="X202" s="682">
        <v>0.1</v>
      </c>
      <c r="Y202" s="496">
        <f>W202*X202</f>
        <v>1.2</v>
      </c>
      <c r="Z202" s="1245">
        <f t="shared" si="40"/>
        <v>0.4</v>
      </c>
      <c r="AA202" s="1245">
        <f t="shared" si="41"/>
        <v>150</v>
      </c>
      <c r="AB202" s="900" t="s">
        <v>1844</v>
      </c>
      <c r="AC202" s="491" t="s">
        <v>1665</v>
      </c>
      <c r="AF202" s="466"/>
      <c r="AG202" s="465"/>
      <c r="AH202" s="465"/>
    </row>
    <row r="203" spans="1:34" s="492" customFormat="1" ht="14.25" hidden="1" x14ac:dyDescent="0.2">
      <c r="A203" s="1240"/>
      <c r="B203" s="898" t="s">
        <v>1845</v>
      </c>
      <c r="C203" s="529" t="s">
        <v>797</v>
      </c>
      <c r="D203" s="932"/>
      <c r="E203" s="854"/>
      <c r="F203" s="1898"/>
      <c r="G203" s="1899"/>
      <c r="H203" s="493">
        <f>SUM(H204:H206)</f>
        <v>9</v>
      </c>
      <c r="I203" s="1900"/>
      <c r="J203" s="1900"/>
      <c r="K203" s="532">
        <f>SUM(K204:K206)</f>
        <v>8</v>
      </c>
      <c r="L203" s="1900"/>
      <c r="M203" s="1900"/>
      <c r="N203" s="532">
        <f>SUM(N204:N206)</f>
        <v>8</v>
      </c>
      <c r="O203" s="532"/>
      <c r="P203" s="532"/>
      <c r="Q203" s="532">
        <f>SUM(Q204:Q206)</f>
        <v>4</v>
      </c>
      <c r="R203" s="532">
        <f t="shared" si="33"/>
        <v>4</v>
      </c>
      <c r="S203" s="532"/>
      <c r="T203" s="532"/>
      <c r="U203" s="532"/>
      <c r="V203" s="532">
        <f>SUM(V204:V206)</f>
        <v>4</v>
      </c>
      <c r="W203" s="532"/>
      <c r="X203" s="532"/>
      <c r="Y203" s="532">
        <f>SUM(Y204:Y206)</f>
        <v>4</v>
      </c>
      <c r="Z203" s="493">
        <f t="shared" si="40"/>
        <v>-4</v>
      </c>
      <c r="AA203" s="493">
        <f t="shared" si="41"/>
        <v>50</v>
      </c>
      <c r="AB203" s="900"/>
      <c r="AC203" s="491" t="s">
        <v>1665</v>
      </c>
      <c r="AF203" s="466"/>
      <c r="AG203" s="466"/>
      <c r="AH203" s="466"/>
    </row>
    <row r="204" spans="1:34" s="492" customFormat="1" ht="14.25" hidden="1" x14ac:dyDescent="0.2">
      <c r="A204" s="1240"/>
      <c r="B204" s="867" t="s">
        <v>1846</v>
      </c>
      <c r="C204" s="553"/>
      <c r="D204" s="903"/>
      <c r="E204" s="535" t="s">
        <v>227</v>
      </c>
      <c r="F204" s="1907">
        <v>60</v>
      </c>
      <c r="G204" s="1908">
        <v>0.1</v>
      </c>
      <c r="H204" s="1245">
        <f>F204*G204</f>
        <v>6</v>
      </c>
      <c r="I204" s="1864">
        <v>20</v>
      </c>
      <c r="J204" s="1906">
        <v>0.05</v>
      </c>
      <c r="K204" s="496">
        <f>I204*J204</f>
        <v>1</v>
      </c>
      <c r="L204" s="1864">
        <v>20</v>
      </c>
      <c r="M204" s="1906">
        <v>0.05</v>
      </c>
      <c r="N204" s="496">
        <f>L204*M204</f>
        <v>1</v>
      </c>
      <c r="O204" s="1864"/>
      <c r="P204" s="682"/>
      <c r="Q204" s="496"/>
      <c r="R204" s="496">
        <f t="shared" si="33"/>
        <v>0</v>
      </c>
      <c r="S204" s="496"/>
      <c r="T204" s="1864"/>
      <c r="U204" s="682"/>
      <c r="V204" s="496"/>
      <c r="W204" s="1864"/>
      <c r="X204" s="682"/>
      <c r="Y204" s="496"/>
      <c r="Z204" s="1245">
        <f t="shared" si="40"/>
        <v>-1</v>
      </c>
      <c r="AA204" s="1245">
        <f t="shared" si="41"/>
        <v>0</v>
      </c>
      <c r="AB204" s="900"/>
      <c r="AC204" s="491" t="s">
        <v>1665</v>
      </c>
      <c r="AF204" s="466"/>
      <c r="AG204" s="466"/>
      <c r="AH204" s="466"/>
    </row>
    <row r="205" spans="1:34" s="492" customFormat="1" ht="38.25" hidden="1" x14ac:dyDescent="0.2">
      <c r="A205" s="1240"/>
      <c r="B205" s="867" t="s">
        <v>1847</v>
      </c>
      <c r="C205" s="553"/>
      <c r="D205" s="903"/>
      <c r="E205" s="535"/>
      <c r="F205" s="1907"/>
      <c r="G205" s="1908"/>
      <c r="H205" s="1245"/>
      <c r="I205" s="1864">
        <v>4</v>
      </c>
      <c r="J205" s="1864">
        <v>1</v>
      </c>
      <c r="K205" s="496">
        <f>I205*J205</f>
        <v>4</v>
      </c>
      <c r="L205" s="1864">
        <v>4</v>
      </c>
      <c r="M205" s="1864">
        <v>1</v>
      </c>
      <c r="N205" s="496">
        <f>L205*M205</f>
        <v>4</v>
      </c>
      <c r="O205" s="1864">
        <v>1</v>
      </c>
      <c r="P205" s="1864">
        <v>4</v>
      </c>
      <c r="Q205" s="496">
        <f>O205*P205</f>
        <v>4</v>
      </c>
      <c r="R205" s="496">
        <f t="shared" si="33"/>
        <v>4</v>
      </c>
      <c r="S205" s="496"/>
      <c r="T205" s="1864">
        <v>1</v>
      </c>
      <c r="U205" s="1864">
        <v>4</v>
      </c>
      <c r="V205" s="496">
        <f>T205*U205</f>
        <v>4</v>
      </c>
      <c r="W205" s="1864">
        <v>1</v>
      </c>
      <c r="X205" s="1864">
        <v>4</v>
      </c>
      <c r="Y205" s="496">
        <f>W205*X205</f>
        <v>4</v>
      </c>
      <c r="Z205" s="1245">
        <f t="shared" si="40"/>
        <v>0</v>
      </c>
      <c r="AA205" s="1245">
        <f t="shared" si="41"/>
        <v>100</v>
      </c>
      <c r="AB205" s="900" t="s">
        <v>1848</v>
      </c>
      <c r="AC205" s="491" t="s">
        <v>1665</v>
      </c>
      <c r="AF205" s="466"/>
      <c r="AG205" s="466"/>
      <c r="AH205" s="466"/>
    </row>
    <row r="206" spans="1:34" s="498" customFormat="1" ht="38.25" hidden="1" x14ac:dyDescent="0.25">
      <c r="A206" s="962"/>
      <c r="B206" s="867" t="s">
        <v>1849</v>
      </c>
      <c r="C206" s="553"/>
      <c r="D206" s="903"/>
      <c r="E206" s="535"/>
      <c r="F206" s="1907"/>
      <c r="G206" s="1908"/>
      <c r="H206" s="1245">
        <v>3</v>
      </c>
      <c r="I206" s="1864"/>
      <c r="J206" s="1864"/>
      <c r="K206" s="496">
        <v>3</v>
      </c>
      <c r="L206" s="1864"/>
      <c r="M206" s="1864"/>
      <c r="N206" s="496">
        <v>3</v>
      </c>
      <c r="O206" s="1864"/>
      <c r="P206" s="1864"/>
      <c r="Q206" s="496"/>
      <c r="R206" s="496">
        <f t="shared" si="33"/>
        <v>0</v>
      </c>
      <c r="S206" s="496"/>
      <c r="T206" s="1864"/>
      <c r="U206" s="1864"/>
      <c r="V206" s="496"/>
      <c r="W206" s="1864"/>
      <c r="X206" s="1864"/>
      <c r="Y206" s="496"/>
      <c r="Z206" s="1245">
        <f t="shared" si="40"/>
        <v>-3</v>
      </c>
      <c r="AA206" s="1245">
        <f t="shared" si="41"/>
        <v>0</v>
      </c>
      <c r="AB206" s="900"/>
      <c r="AC206" s="491" t="s">
        <v>1665</v>
      </c>
      <c r="AF206" s="466"/>
      <c r="AG206" s="465"/>
      <c r="AH206" s="465"/>
    </row>
    <row r="207" spans="1:34" s="498" customFormat="1" ht="38.25" hidden="1" x14ac:dyDescent="0.25">
      <c r="A207" s="962"/>
      <c r="B207" s="866" t="s">
        <v>1850</v>
      </c>
      <c r="C207" s="1909">
        <v>981</v>
      </c>
      <c r="D207" s="497"/>
      <c r="E207" s="497"/>
      <c r="F207" s="497"/>
      <c r="G207" s="497"/>
      <c r="H207" s="497"/>
      <c r="I207" s="497"/>
      <c r="J207" s="497"/>
      <c r="K207" s="497"/>
      <c r="L207" s="497"/>
      <c r="M207" s="497"/>
      <c r="N207" s="497"/>
      <c r="O207" s="1864"/>
      <c r="P207" s="1864"/>
      <c r="Q207" s="532">
        <v>4</v>
      </c>
      <c r="R207" s="532">
        <f t="shared" si="33"/>
        <v>4</v>
      </c>
      <c r="S207" s="532"/>
      <c r="T207" s="1864"/>
      <c r="U207" s="1864"/>
      <c r="V207" s="532">
        <v>4</v>
      </c>
      <c r="W207" s="1864"/>
      <c r="X207" s="1864"/>
      <c r="Y207" s="532">
        <v>4</v>
      </c>
      <c r="Z207" s="1245">
        <f t="shared" si="40"/>
        <v>4</v>
      </c>
      <c r="AA207" s="1245" t="str">
        <f t="shared" si="41"/>
        <v>-</v>
      </c>
      <c r="AB207" s="900" t="s">
        <v>1851</v>
      </c>
      <c r="AC207" s="491" t="s">
        <v>1665</v>
      </c>
      <c r="AF207" s="466"/>
      <c r="AG207" s="465"/>
      <c r="AH207" s="465"/>
    </row>
    <row r="208" spans="1:34" s="498" customFormat="1" ht="63.75" hidden="1" x14ac:dyDescent="0.25">
      <c r="A208" s="962"/>
      <c r="B208" s="866" t="s">
        <v>1852</v>
      </c>
      <c r="C208" s="1909">
        <v>981</v>
      </c>
      <c r="D208" s="497"/>
      <c r="E208" s="497"/>
      <c r="F208" s="497"/>
      <c r="G208" s="497"/>
      <c r="H208" s="497"/>
      <c r="I208" s="497"/>
      <c r="J208" s="497"/>
      <c r="K208" s="497"/>
      <c r="L208" s="497"/>
      <c r="M208" s="497"/>
      <c r="N208" s="497"/>
      <c r="O208" s="1864"/>
      <c r="P208" s="1864"/>
      <c r="Q208" s="532">
        <v>2</v>
      </c>
      <c r="R208" s="532">
        <f t="shared" si="33"/>
        <v>2</v>
      </c>
      <c r="S208" s="532"/>
      <c r="T208" s="1864"/>
      <c r="U208" s="1864"/>
      <c r="V208" s="532">
        <v>2</v>
      </c>
      <c r="W208" s="1864"/>
      <c r="X208" s="1864"/>
      <c r="Y208" s="532">
        <v>2</v>
      </c>
      <c r="Z208" s="1245">
        <f t="shared" si="40"/>
        <v>2</v>
      </c>
      <c r="AA208" s="1245" t="str">
        <f t="shared" si="41"/>
        <v>-</v>
      </c>
      <c r="AB208" s="900" t="s">
        <v>1853</v>
      </c>
      <c r="AC208" s="491" t="s">
        <v>1665</v>
      </c>
      <c r="AF208" s="466"/>
      <c r="AG208" s="465"/>
      <c r="AH208" s="465"/>
    </row>
    <row r="209" spans="1:34" s="492" customFormat="1" ht="38.25" hidden="1" x14ac:dyDescent="0.2">
      <c r="A209" s="1240"/>
      <c r="B209" s="898" t="s">
        <v>1854</v>
      </c>
      <c r="C209" s="529" t="s">
        <v>796</v>
      </c>
      <c r="D209" s="932"/>
      <c r="E209" s="854" t="s">
        <v>227</v>
      </c>
      <c r="F209" s="530">
        <v>15</v>
      </c>
      <c r="G209" s="531">
        <v>0.5</v>
      </c>
      <c r="H209" s="493">
        <f>F209*G209</f>
        <v>7.5</v>
      </c>
      <c r="I209" s="532">
        <v>15</v>
      </c>
      <c r="J209" s="1836">
        <v>0.25</v>
      </c>
      <c r="K209" s="532">
        <f>I209*J209</f>
        <v>3.8</v>
      </c>
      <c r="L209" s="532">
        <v>15</v>
      </c>
      <c r="M209" s="1836">
        <v>0.25</v>
      </c>
      <c r="N209" s="532">
        <f>L209*M209</f>
        <v>3.8</v>
      </c>
      <c r="O209" s="532">
        <v>15</v>
      </c>
      <c r="P209" s="532">
        <v>0.3</v>
      </c>
      <c r="Q209" s="532">
        <v>3.8</v>
      </c>
      <c r="R209" s="532">
        <f t="shared" si="33"/>
        <v>3.8</v>
      </c>
      <c r="S209" s="532"/>
      <c r="T209" s="532">
        <v>15</v>
      </c>
      <c r="U209" s="532">
        <v>0.3</v>
      </c>
      <c r="V209" s="532">
        <f>T209*U209</f>
        <v>4.5</v>
      </c>
      <c r="W209" s="532">
        <v>15</v>
      </c>
      <c r="X209" s="532">
        <v>0.3</v>
      </c>
      <c r="Y209" s="532">
        <f>W209*X209</f>
        <v>4.5</v>
      </c>
      <c r="Z209" s="493">
        <f t="shared" si="40"/>
        <v>0</v>
      </c>
      <c r="AA209" s="493">
        <f t="shared" si="41"/>
        <v>100</v>
      </c>
      <c r="AB209" s="900" t="s">
        <v>1855</v>
      </c>
      <c r="AC209" s="491" t="s">
        <v>1665</v>
      </c>
      <c r="AF209" s="466"/>
      <c r="AG209" s="466"/>
      <c r="AH209" s="466"/>
    </row>
    <row r="210" spans="1:34" s="492" customFormat="1" ht="14.25" hidden="1" x14ac:dyDescent="0.2">
      <c r="A210" s="1240"/>
      <c r="B210" s="866" t="s">
        <v>1856</v>
      </c>
      <c r="C210" s="529" t="s">
        <v>797</v>
      </c>
      <c r="D210" s="1240"/>
      <c r="E210" s="854"/>
      <c r="F210" s="530"/>
      <c r="G210" s="531"/>
      <c r="H210" s="493">
        <f>SUM(H211:H212)</f>
        <v>7.4</v>
      </c>
      <c r="I210" s="532"/>
      <c r="J210" s="532"/>
      <c r="K210" s="532">
        <f>SUM(K211:K212)</f>
        <v>3.4</v>
      </c>
      <c r="L210" s="532"/>
      <c r="M210" s="532"/>
      <c r="N210" s="532">
        <f>SUM(N211:N212)</f>
        <v>3.4</v>
      </c>
      <c r="O210" s="532"/>
      <c r="P210" s="532"/>
      <c r="Q210" s="532">
        <f>SUM(Q211:Q212)</f>
        <v>3.4</v>
      </c>
      <c r="R210" s="532">
        <f t="shared" si="33"/>
        <v>3.4</v>
      </c>
      <c r="S210" s="532"/>
      <c r="T210" s="532"/>
      <c r="U210" s="532"/>
      <c r="V210" s="532">
        <f>SUM(V211:V212)</f>
        <v>3.4</v>
      </c>
      <c r="W210" s="532"/>
      <c r="X210" s="532"/>
      <c r="Y210" s="532">
        <f>SUM(Y211:Y212)</f>
        <v>3.4</v>
      </c>
      <c r="Z210" s="493">
        <f t="shared" si="40"/>
        <v>0</v>
      </c>
      <c r="AA210" s="493">
        <f t="shared" si="41"/>
        <v>100</v>
      </c>
      <c r="AB210" s="900"/>
      <c r="AC210" s="491" t="s">
        <v>1665</v>
      </c>
      <c r="AF210" s="466"/>
      <c r="AG210" s="466"/>
      <c r="AH210" s="466"/>
    </row>
    <row r="211" spans="1:34" s="498" customFormat="1" hidden="1" x14ac:dyDescent="0.25">
      <c r="A211" s="962"/>
      <c r="B211" s="867" t="s">
        <v>1857</v>
      </c>
      <c r="C211" s="553"/>
      <c r="D211" s="903"/>
      <c r="E211" s="535" t="s">
        <v>310</v>
      </c>
      <c r="F211" s="494">
        <v>1</v>
      </c>
      <c r="G211" s="495">
        <v>4</v>
      </c>
      <c r="H211" s="1245">
        <f>F211*G211</f>
        <v>4</v>
      </c>
      <c r="I211" s="509"/>
      <c r="J211" s="509"/>
      <c r="K211" s="509">
        <v>0</v>
      </c>
      <c r="L211" s="509"/>
      <c r="M211" s="509"/>
      <c r="N211" s="509">
        <v>0</v>
      </c>
      <c r="O211" s="509"/>
      <c r="P211" s="509"/>
      <c r="Q211" s="509"/>
      <c r="R211" s="509">
        <f t="shared" ref="R211:R274" si="42">Q211</f>
        <v>0</v>
      </c>
      <c r="S211" s="509"/>
      <c r="T211" s="509"/>
      <c r="U211" s="509"/>
      <c r="V211" s="509"/>
      <c r="W211" s="509"/>
      <c r="X211" s="509"/>
      <c r="Y211" s="509"/>
      <c r="Z211" s="1245">
        <f t="shared" si="40"/>
        <v>0</v>
      </c>
      <c r="AA211" s="1245" t="str">
        <f t="shared" si="41"/>
        <v>-</v>
      </c>
      <c r="AB211" s="900"/>
      <c r="AC211" s="491" t="s">
        <v>1665</v>
      </c>
      <c r="AF211" s="466"/>
      <c r="AG211" s="465"/>
      <c r="AH211" s="465"/>
    </row>
    <row r="212" spans="1:34" s="498" customFormat="1" hidden="1" x14ac:dyDescent="0.25">
      <c r="A212" s="962"/>
      <c r="B212" s="867" t="s">
        <v>1858</v>
      </c>
      <c r="C212" s="553"/>
      <c r="D212" s="903"/>
      <c r="E212" s="535" t="s">
        <v>310</v>
      </c>
      <c r="F212" s="494">
        <v>34</v>
      </c>
      <c r="G212" s="495">
        <v>0.1</v>
      </c>
      <c r="H212" s="1245">
        <f>F212*G212</f>
        <v>3.4</v>
      </c>
      <c r="I212" s="496">
        <v>34</v>
      </c>
      <c r="J212" s="496">
        <v>0.1</v>
      </c>
      <c r="K212" s="496">
        <f>I212*J212</f>
        <v>3.4</v>
      </c>
      <c r="L212" s="496">
        <v>34</v>
      </c>
      <c r="M212" s="496">
        <v>0.1</v>
      </c>
      <c r="N212" s="496">
        <f>L212*M212</f>
        <v>3.4</v>
      </c>
      <c r="O212" s="496">
        <v>34</v>
      </c>
      <c r="P212" s="496">
        <v>0.1</v>
      </c>
      <c r="Q212" s="496">
        <f>O212*P212</f>
        <v>3.4</v>
      </c>
      <c r="R212" s="496">
        <f t="shared" si="42"/>
        <v>3.4</v>
      </c>
      <c r="S212" s="496"/>
      <c r="T212" s="496">
        <v>34</v>
      </c>
      <c r="U212" s="496">
        <v>0.1</v>
      </c>
      <c r="V212" s="496">
        <f>T212*U212</f>
        <v>3.4</v>
      </c>
      <c r="W212" s="496">
        <v>34</v>
      </c>
      <c r="X212" s="496">
        <v>0.1</v>
      </c>
      <c r="Y212" s="496">
        <f>W212*X212</f>
        <v>3.4</v>
      </c>
      <c r="Z212" s="1245">
        <f t="shared" si="40"/>
        <v>0</v>
      </c>
      <c r="AA212" s="1245">
        <f t="shared" si="41"/>
        <v>100</v>
      </c>
      <c r="AB212" s="1910"/>
      <c r="AC212" s="491" t="s">
        <v>1665</v>
      </c>
      <c r="AF212" s="466"/>
      <c r="AG212" s="465"/>
      <c r="AH212" s="465"/>
    </row>
    <row r="213" spans="1:34" s="539" customFormat="1" hidden="1" x14ac:dyDescent="0.25">
      <c r="A213" s="536"/>
      <c r="B213" s="543" t="s">
        <v>799</v>
      </c>
      <c r="C213" s="511"/>
      <c r="D213" s="536"/>
      <c r="E213" s="544"/>
      <c r="F213" s="545"/>
      <c r="G213" s="546"/>
      <c r="H213" s="537" t="e">
        <f>#REF!+H214+#REF!+#REF!</f>
        <v>#REF!</v>
      </c>
      <c r="I213" s="537"/>
      <c r="J213" s="537"/>
      <c r="K213" s="537">
        <f>K214</f>
        <v>71.5</v>
      </c>
      <c r="L213" s="537"/>
      <c r="M213" s="537"/>
      <c r="N213" s="537">
        <f>N214</f>
        <v>71.5</v>
      </c>
      <c r="O213" s="537"/>
      <c r="P213" s="537"/>
      <c r="Q213" s="537">
        <f>Q214</f>
        <v>141.5</v>
      </c>
      <c r="R213" s="537">
        <f t="shared" si="42"/>
        <v>141.5</v>
      </c>
      <c r="S213" s="537"/>
      <c r="T213" s="537"/>
      <c r="U213" s="537"/>
      <c r="V213" s="537">
        <f>V214</f>
        <v>106</v>
      </c>
      <c r="W213" s="537"/>
      <c r="X213" s="537"/>
      <c r="Y213" s="537">
        <f>Y214</f>
        <v>106</v>
      </c>
      <c r="Z213" s="537">
        <f t="shared" si="40"/>
        <v>70</v>
      </c>
      <c r="AA213" s="537">
        <f t="shared" si="41"/>
        <v>197.9</v>
      </c>
      <c r="AC213" s="538"/>
      <c r="AF213" s="518"/>
      <c r="AG213" s="540"/>
      <c r="AH213" s="540"/>
    </row>
    <row r="214" spans="1:34" s="527" customFormat="1" ht="38.25" hidden="1" x14ac:dyDescent="0.2">
      <c r="A214" s="522"/>
      <c r="B214" s="520" t="s">
        <v>1664</v>
      </c>
      <c r="C214" s="521"/>
      <c r="D214" s="522" t="s">
        <v>1444</v>
      </c>
      <c r="E214" s="556"/>
      <c r="F214" s="523"/>
      <c r="G214" s="524"/>
      <c r="H214" s="526">
        <f>H215+H222+H223+H227+H230+H242+H244+H248+H249</f>
        <v>196.8</v>
      </c>
      <c r="I214" s="526"/>
      <c r="J214" s="526"/>
      <c r="K214" s="526">
        <f>K215+K222+K223+K227+K230+K242+K244+K248+K249</f>
        <v>71.5</v>
      </c>
      <c r="L214" s="526"/>
      <c r="M214" s="526"/>
      <c r="N214" s="526">
        <f>N215+N222+N223+N227+N230+N242+N244+N248+N249</f>
        <v>71.5</v>
      </c>
      <c r="O214" s="526"/>
      <c r="P214" s="526"/>
      <c r="Q214" s="526">
        <f>Q215+Q222+Q223+Q227+Q230+Q242+Q244+Q248+Q249</f>
        <v>141.5</v>
      </c>
      <c r="R214" s="526">
        <f t="shared" si="42"/>
        <v>141.5</v>
      </c>
      <c r="S214" s="526"/>
      <c r="T214" s="526"/>
      <c r="U214" s="526"/>
      <c r="V214" s="526">
        <f>V215+V222+V223+V227+V230+V242+V244+V248+V249</f>
        <v>106</v>
      </c>
      <c r="W214" s="526"/>
      <c r="X214" s="526"/>
      <c r="Y214" s="526">
        <f>Y215+Y222+Y223+Y227+Y230+Y242+Y244+Y248+Y249</f>
        <v>106</v>
      </c>
      <c r="Z214" s="526">
        <f t="shared" si="40"/>
        <v>70</v>
      </c>
      <c r="AA214" s="526">
        <f t="shared" si="41"/>
        <v>197.9</v>
      </c>
      <c r="AB214" s="1911"/>
      <c r="AC214" s="549" t="s">
        <v>1665</v>
      </c>
      <c r="AF214" s="528"/>
      <c r="AG214" s="528"/>
      <c r="AH214" s="528"/>
    </row>
    <row r="215" spans="1:34" s="492" customFormat="1" ht="14.25" hidden="1" x14ac:dyDescent="0.2">
      <c r="A215" s="1240"/>
      <c r="B215" s="500" t="s">
        <v>1859</v>
      </c>
      <c r="C215" s="501" t="s">
        <v>797</v>
      </c>
      <c r="D215" s="1240"/>
      <c r="E215" s="842"/>
      <c r="F215" s="828"/>
      <c r="G215" s="829"/>
      <c r="H215" s="542"/>
      <c r="I215" s="542"/>
      <c r="J215" s="542"/>
      <c r="K215" s="542">
        <f>SUM(K216:K221)</f>
        <v>7.9</v>
      </c>
      <c r="L215" s="542"/>
      <c r="M215" s="542"/>
      <c r="N215" s="542">
        <f>SUM(N216:N221)</f>
        <v>7.9</v>
      </c>
      <c r="O215" s="542"/>
      <c r="P215" s="542"/>
      <c r="Q215" s="533">
        <f>SUM(Q219:Q221)</f>
        <v>3.3</v>
      </c>
      <c r="R215" s="533">
        <f t="shared" si="42"/>
        <v>3.3</v>
      </c>
      <c r="S215" s="533"/>
      <c r="T215" s="542"/>
      <c r="U215" s="542"/>
      <c r="V215" s="533">
        <f>SUM(V219:V221)</f>
        <v>3.3</v>
      </c>
      <c r="W215" s="542"/>
      <c r="X215" s="542"/>
      <c r="Y215" s="533">
        <f>SUM(Y219:Y221)</f>
        <v>3.3</v>
      </c>
      <c r="Z215" s="542">
        <f t="shared" si="40"/>
        <v>-4.5999999999999996</v>
      </c>
      <c r="AA215" s="542">
        <f t="shared" si="41"/>
        <v>41.8</v>
      </c>
      <c r="AB215" s="921"/>
      <c r="AC215" s="549" t="s">
        <v>1665</v>
      </c>
      <c r="AF215" s="466"/>
      <c r="AG215" s="466"/>
      <c r="AH215" s="466"/>
    </row>
    <row r="216" spans="1:34" s="498" customFormat="1" hidden="1" x14ac:dyDescent="0.25">
      <c r="A216" s="962"/>
      <c r="B216" s="1879" t="s">
        <v>1860</v>
      </c>
      <c r="C216" s="499"/>
      <c r="D216" s="903"/>
      <c r="E216" s="535" t="s">
        <v>227</v>
      </c>
      <c r="F216" s="857"/>
      <c r="G216" s="857"/>
      <c r="H216" s="857"/>
      <c r="I216" s="857">
        <v>150</v>
      </c>
      <c r="J216" s="862">
        <v>0.05</v>
      </c>
      <c r="K216" s="857">
        <f>I216*J216</f>
        <v>7.5</v>
      </c>
      <c r="L216" s="857">
        <v>150</v>
      </c>
      <c r="M216" s="862">
        <v>0.05</v>
      </c>
      <c r="N216" s="857">
        <f>L216*M216</f>
        <v>7.5</v>
      </c>
      <c r="O216" s="857"/>
      <c r="P216" s="862"/>
      <c r="Q216" s="857"/>
      <c r="R216" s="857">
        <f t="shared" si="42"/>
        <v>0</v>
      </c>
      <c r="S216" s="857"/>
      <c r="T216" s="857"/>
      <c r="U216" s="862"/>
      <c r="V216" s="857"/>
      <c r="W216" s="857"/>
      <c r="X216" s="857"/>
      <c r="Y216" s="857"/>
      <c r="Z216" s="559">
        <f t="shared" si="40"/>
        <v>-7.5</v>
      </c>
      <c r="AA216" s="559">
        <f t="shared" si="41"/>
        <v>0</v>
      </c>
      <c r="AB216" s="1912"/>
      <c r="AC216" s="549" t="s">
        <v>1665</v>
      </c>
      <c r="AF216" s="466"/>
      <c r="AG216" s="465"/>
      <c r="AH216" s="465"/>
    </row>
    <row r="217" spans="1:34" s="498" customFormat="1" hidden="1" x14ac:dyDescent="0.25">
      <c r="A217" s="962"/>
      <c r="B217" s="856" t="s">
        <v>1861</v>
      </c>
      <c r="C217" s="499"/>
      <c r="D217" s="903"/>
      <c r="E217" s="535"/>
      <c r="F217" s="857"/>
      <c r="G217" s="857"/>
      <c r="H217" s="857"/>
      <c r="I217" s="857"/>
      <c r="J217" s="857"/>
      <c r="K217" s="857"/>
      <c r="L217" s="857"/>
      <c r="M217" s="857"/>
      <c r="N217" s="857"/>
      <c r="O217" s="857"/>
      <c r="P217" s="857"/>
      <c r="Q217" s="857"/>
      <c r="R217" s="857">
        <f t="shared" si="42"/>
        <v>0</v>
      </c>
      <c r="S217" s="857"/>
      <c r="T217" s="857"/>
      <c r="U217" s="857"/>
      <c r="V217" s="857"/>
      <c r="W217" s="857"/>
      <c r="X217" s="857"/>
      <c r="Y217" s="857"/>
      <c r="Z217" s="559">
        <f t="shared" si="40"/>
        <v>0</v>
      </c>
      <c r="AA217" s="559" t="str">
        <f t="shared" si="41"/>
        <v>-</v>
      </c>
      <c r="AB217" s="1912"/>
      <c r="AC217" s="549" t="s">
        <v>1665</v>
      </c>
      <c r="AF217" s="466"/>
      <c r="AG217" s="465"/>
      <c r="AH217" s="465"/>
    </row>
    <row r="218" spans="1:34" s="498" customFormat="1" hidden="1" x14ac:dyDescent="0.25">
      <c r="A218" s="962"/>
      <c r="B218" s="856" t="s">
        <v>1862</v>
      </c>
      <c r="C218" s="499"/>
      <c r="D218" s="903"/>
      <c r="E218" s="535" t="s">
        <v>227</v>
      </c>
      <c r="F218" s="857"/>
      <c r="G218" s="857"/>
      <c r="H218" s="857"/>
      <c r="I218" s="857">
        <v>40</v>
      </c>
      <c r="J218" s="862">
        <v>0.01</v>
      </c>
      <c r="K218" s="857">
        <f>I218*J218</f>
        <v>0.4</v>
      </c>
      <c r="L218" s="857">
        <v>40</v>
      </c>
      <c r="M218" s="862">
        <v>0.01</v>
      </c>
      <c r="N218" s="857">
        <f>L218*M218</f>
        <v>0.4</v>
      </c>
      <c r="O218" s="857"/>
      <c r="P218" s="862"/>
      <c r="Q218" s="857"/>
      <c r="R218" s="857">
        <f t="shared" si="42"/>
        <v>0</v>
      </c>
      <c r="S218" s="857"/>
      <c r="T218" s="857"/>
      <c r="U218" s="862"/>
      <c r="V218" s="857"/>
      <c r="W218" s="857"/>
      <c r="X218" s="857"/>
      <c r="Y218" s="857"/>
      <c r="Z218" s="559">
        <f t="shared" si="40"/>
        <v>-0.4</v>
      </c>
      <c r="AA218" s="559">
        <f t="shared" si="41"/>
        <v>0</v>
      </c>
      <c r="AB218" s="1912"/>
      <c r="AC218" s="549" t="s">
        <v>1665</v>
      </c>
      <c r="AF218" s="466"/>
      <c r="AG218" s="465"/>
      <c r="AH218" s="465"/>
    </row>
    <row r="219" spans="1:34" s="492" customFormat="1" ht="51" hidden="1" x14ac:dyDescent="0.2">
      <c r="A219" s="1240"/>
      <c r="B219" s="856" t="s">
        <v>1863</v>
      </c>
      <c r="C219" s="501"/>
      <c r="D219" s="1240"/>
      <c r="E219" s="842"/>
      <c r="F219" s="828"/>
      <c r="G219" s="829"/>
      <c r="H219" s="542"/>
      <c r="I219" s="542"/>
      <c r="J219" s="542"/>
      <c r="K219" s="542"/>
      <c r="L219" s="542"/>
      <c r="M219" s="542"/>
      <c r="N219" s="542"/>
      <c r="O219" s="857">
        <v>1</v>
      </c>
      <c r="P219" s="857">
        <v>0.4</v>
      </c>
      <c r="Q219" s="857">
        <f>O219*P219</f>
        <v>0.4</v>
      </c>
      <c r="R219" s="857">
        <f t="shared" si="42"/>
        <v>0.4</v>
      </c>
      <c r="S219" s="857"/>
      <c r="T219" s="857">
        <v>1</v>
      </c>
      <c r="U219" s="857">
        <v>0.4</v>
      </c>
      <c r="V219" s="857">
        <f>T219*U219</f>
        <v>0.4</v>
      </c>
      <c r="W219" s="857">
        <v>1</v>
      </c>
      <c r="X219" s="857">
        <v>0.4</v>
      </c>
      <c r="Y219" s="857">
        <f>W219*X219</f>
        <v>0.4</v>
      </c>
      <c r="Z219" s="559">
        <f t="shared" si="40"/>
        <v>0.4</v>
      </c>
      <c r="AA219" s="559" t="str">
        <f t="shared" si="41"/>
        <v>-</v>
      </c>
      <c r="AB219" s="827" t="s">
        <v>1864</v>
      </c>
      <c r="AC219" s="549" t="s">
        <v>1665</v>
      </c>
      <c r="AF219" s="466"/>
      <c r="AG219" s="466"/>
      <c r="AH219" s="466"/>
    </row>
    <row r="220" spans="1:34" s="492" customFormat="1" ht="25.5" hidden="1" x14ac:dyDescent="0.2">
      <c r="A220" s="1240"/>
      <c r="B220" s="856" t="s">
        <v>1865</v>
      </c>
      <c r="C220" s="501"/>
      <c r="D220" s="1240"/>
      <c r="E220" s="842"/>
      <c r="F220" s="828"/>
      <c r="G220" s="829"/>
      <c r="H220" s="542"/>
      <c r="I220" s="542"/>
      <c r="J220" s="542"/>
      <c r="K220" s="542"/>
      <c r="L220" s="542"/>
      <c r="M220" s="542"/>
      <c r="N220" s="542"/>
      <c r="O220" s="857">
        <v>1</v>
      </c>
      <c r="P220" s="857">
        <v>0.9</v>
      </c>
      <c r="Q220" s="857">
        <f>O220*P220</f>
        <v>0.9</v>
      </c>
      <c r="R220" s="857">
        <f t="shared" si="42"/>
        <v>0.9</v>
      </c>
      <c r="S220" s="857"/>
      <c r="T220" s="857">
        <v>1</v>
      </c>
      <c r="U220" s="857">
        <v>0.9</v>
      </c>
      <c r="V220" s="857">
        <f>T220*U220</f>
        <v>0.9</v>
      </c>
      <c r="W220" s="857">
        <v>1</v>
      </c>
      <c r="X220" s="857">
        <v>0.9</v>
      </c>
      <c r="Y220" s="857">
        <f>W220*X220</f>
        <v>0.9</v>
      </c>
      <c r="Z220" s="559">
        <f t="shared" si="40"/>
        <v>0.9</v>
      </c>
      <c r="AA220" s="559" t="str">
        <f t="shared" si="41"/>
        <v>-</v>
      </c>
      <c r="AB220" s="827" t="s">
        <v>1866</v>
      </c>
      <c r="AC220" s="549" t="s">
        <v>1665</v>
      </c>
      <c r="AF220" s="466"/>
      <c r="AG220" s="466"/>
      <c r="AH220" s="466"/>
    </row>
    <row r="221" spans="1:34" s="492" customFormat="1" ht="25.5" hidden="1" x14ac:dyDescent="0.2">
      <c r="A221" s="1240"/>
      <c r="B221" s="856" t="s">
        <v>1867</v>
      </c>
      <c r="C221" s="501"/>
      <c r="D221" s="1240"/>
      <c r="E221" s="842"/>
      <c r="F221" s="828"/>
      <c r="G221" s="829"/>
      <c r="H221" s="542"/>
      <c r="I221" s="542"/>
      <c r="J221" s="542"/>
      <c r="K221" s="542"/>
      <c r="L221" s="542"/>
      <c r="M221" s="542"/>
      <c r="N221" s="542"/>
      <c r="O221" s="857">
        <v>10</v>
      </c>
      <c r="P221" s="857">
        <v>0.2</v>
      </c>
      <c r="Q221" s="857">
        <f>O221*P221</f>
        <v>2</v>
      </c>
      <c r="R221" s="857">
        <f t="shared" si="42"/>
        <v>2</v>
      </c>
      <c r="S221" s="857"/>
      <c r="T221" s="857">
        <v>10</v>
      </c>
      <c r="U221" s="857">
        <v>0.2</v>
      </c>
      <c r="V221" s="857">
        <f>T221*U221</f>
        <v>2</v>
      </c>
      <c r="W221" s="857">
        <v>10</v>
      </c>
      <c r="X221" s="857">
        <v>0.2</v>
      </c>
      <c r="Y221" s="857">
        <f>W221*X221</f>
        <v>2</v>
      </c>
      <c r="Z221" s="559">
        <f t="shared" si="40"/>
        <v>2</v>
      </c>
      <c r="AA221" s="559" t="str">
        <f t="shared" si="41"/>
        <v>-</v>
      </c>
      <c r="AB221" s="827" t="s">
        <v>1868</v>
      </c>
      <c r="AC221" s="549" t="s">
        <v>1665</v>
      </c>
      <c r="AF221" s="466"/>
      <c r="AG221" s="466"/>
      <c r="AH221" s="466"/>
    </row>
    <row r="222" spans="1:34" s="492" customFormat="1" ht="14.25" hidden="1" x14ac:dyDescent="0.2">
      <c r="A222" s="1240"/>
      <c r="B222" s="500" t="s">
        <v>1869</v>
      </c>
      <c r="C222" s="501" t="s">
        <v>797</v>
      </c>
      <c r="D222" s="1240"/>
      <c r="E222" s="842"/>
      <c r="F222" s="828"/>
      <c r="G222" s="829"/>
      <c r="H222" s="542"/>
      <c r="I222" s="542">
        <v>60</v>
      </c>
      <c r="J222" s="542">
        <v>0.1</v>
      </c>
      <c r="K222" s="542">
        <f>I222*J222</f>
        <v>6</v>
      </c>
      <c r="L222" s="542">
        <v>60</v>
      </c>
      <c r="M222" s="542">
        <v>0.1</v>
      </c>
      <c r="N222" s="542">
        <f>L222*M222</f>
        <v>6</v>
      </c>
      <c r="O222" s="533">
        <v>60</v>
      </c>
      <c r="P222" s="533">
        <v>0.1</v>
      </c>
      <c r="Q222" s="533">
        <f>O222*P222</f>
        <v>6</v>
      </c>
      <c r="R222" s="533">
        <f t="shared" si="42"/>
        <v>6</v>
      </c>
      <c r="S222" s="533"/>
      <c r="T222" s="533">
        <v>60</v>
      </c>
      <c r="U222" s="533">
        <v>0.1</v>
      </c>
      <c r="V222" s="533">
        <f>T222*U222</f>
        <v>6</v>
      </c>
      <c r="W222" s="533">
        <v>60</v>
      </c>
      <c r="X222" s="533">
        <v>0.1</v>
      </c>
      <c r="Y222" s="533">
        <f>W222*X222</f>
        <v>6</v>
      </c>
      <c r="Z222" s="542">
        <f t="shared" si="40"/>
        <v>0</v>
      </c>
      <c r="AA222" s="542">
        <f t="shared" si="41"/>
        <v>100</v>
      </c>
      <c r="AB222" s="827"/>
      <c r="AC222" s="549" t="s">
        <v>1665</v>
      </c>
      <c r="AF222" s="466"/>
      <c r="AG222" s="466"/>
      <c r="AH222" s="466"/>
    </row>
    <row r="223" spans="1:34" s="492" customFormat="1" ht="25.5" hidden="1" x14ac:dyDescent="0.2">
      <c r="A223" s="1240"/>
      <c r="B223" s="500" t="s">
        <v>1239</v>
      </c>
      <c r="C223" s="501" t="s">
        <v>797</v>
      </c>
      <c r="D223" s="932"/>
      <c r="E223" s="854"/>
      <c r="F223" s="828"/>
      <c r="G223" s="829"/>
      <c r="H223" s="542">
        <f>SUM(H224:H229)</f>
        <v>15.4</v>
      </c>
      <c r="I223" s="533"/>
      <c r="J223" s="533"/>
      <c r="K223" s="533">
        <f>SUM(K224:K226)</f>
        <v>0.6</v>
      </c>
      <c r="L223" s="533"/>
      <c r="M223" s="533"/>
      <c r="N223" s="533">
        <f>SUM(N224:N226)</f>
        <v>0.6</v>
      </c>
      <c r="O223" s="533"/>
      <c r="P223" s="533"/>
      <c r="Q223" s="533">
        <f>SUM(Q224:Q226)</f>
        <v>4.5</v>
      </c>
      <c r="R223" s="533">
        <f t="shared" si="42"/>
        <v>4.5</v>
      </c>
      <c r="S223" s="533"/>
      <c r="T223" s="533"/>
      <c r="U223" s="533"/>
      <c r="V223" s="533">
        <f>SUM(V224:V226)</f>
        <v>6.2</v>
      </c>
      <c r="W223" s="533"/>
      <c r="X223" s="533"/>
      <c r="Y223" s="533">
        <f>SUM(Y224:Y226)</f>
        <v>6.2</v>
      </c>
      <c r="Z223" s="542">
        <f t="shared" si="40"/>
        <v>3.9</v>
      </c>
      <c r="AA223" s="542">
        <f t="shared" si="41"/>
        <v>750</v>
      </c>
      <c r="AB223" s="827"/>
      <c r="AC223" s="549" t="s">
        <v>1665</v>
      </c>
      <c r="AF223" s="466"/>
      <c r="AG223" s="466"/>
      <c r="AH223" s="466"/>
    </row>
    <row r="224" spans="1:34" s="498" customFormat="1" ht="140.25" hidden="1" x14ac:dyDescent="0.25">
      <c r="A224" s="962"/>
      <c r="B224" s="502" t="s">
        <v>1870</v>
      </c>
      <c r="C224" s="499"/>
      <c r="D224" s="903"/>
      <c r="E224" s="535" t="s">
        <v>227</v>
      </c>
      <c r="F224" s="557">
        <v>40</v>
      </c>
      <c r="G224" s="558">
        <v>0.08</v>
      </c>
      <c r="H224" s="559">
        <f>F224*G224</f>
        <v>3.2</v>
      </c>
      <c r="I224" s="857">
        <v>6</v>
      </c>
      <c r="J224" s="862">
        <v>0.1</v>
      </c>
      <c r="K224" s="857">
        <f>I224*J224</f>
        <v>0.6</v>
      </c>
      <c r="L224" s="857">
        <v>6</v>
      </c>
      <c r="M224" s="862">
        <v>0.1</v>
      </c>
      <c r="N224" s="857">
        <f>L224*M224</f>
        <v>0.6</v>
      </c>
      <c r="O224" s="496">
        <v>15</v>
      </c>
      <c r="P224" s="496">
        <v>0.1</v>
      </c>
      <c r="Q224" s="496">
        <f>O224*P224</f>
        <v>1.5</v>
      </c>
      <c r="R224" s="496">
        <f t="shared" si="42"/>
        <v>1.5</v>
      </c>
      <c r="S224" s="496"/>
      <c r="T224" s="496">
        <v>32</v>
      </c>
      <c r="U224" s="496">
        <v>0.1</v>
      </c>
      <c r="V224" s="496">
        <f>T224*U224</f>
        <v>3.2</v>
      </c>
      <c r="W224" s="496">
        <v>32</v>
      </c>
      <c r="X224" s="496">
        <v>0.1</v>
      </c>
      <c r="Y224" s="496">
        <f>W224*X224</f>
        <v>3.2</v>
      </c>
      <c r="Z224" s="559">
        <f t="shared" si="40"/>
        <v>0.9</v>
      </c>
      <c r="AA224" s="559">
        <f t="shared" si="41"/>
        <v>250</v>
      </c>
      <c r="AB224" s="900" t="s">
        <v>1871</v>
      </c>
      <c r="AC224" s="549" t="s">
        <v>1665</v>
      </c>
      <c r="AF224" s="466"/>
      <c r="AG224" s="465"/>
      <c r="AH224" s="465"/>
    </row>
    <row r="225" spans="1:34" s="498" customFormat="1" ht="38.25" hidden="1" x14ac:dyDescent="0.25">
      <c r="A225" s="962"/>
      <c r="B225" s="856" t="s">
        <v>1692</v>
      </c>
      <c r="C225" s="499"/>
      <c r="D225" s="903"/>
      <c r="E225" s="535" t="s">
        <v>227</v>
      </c>
      <c r="F225" s="557"/>
      <c r="G225" s="558">
        <v>0.3</v>
      </c>
      <c r="H225" s="559">
        <f>F225*G225</f>
        <v>0</v>
      </c>
      <c r="I225" s="857"/>
      <c r="J225" s="857"/>
      <c r="K225" s="857">
        <f>I225*J225</f>
        <v>0</v>
      </c>
      <c r="L225" s="857"/>
      <c r="M225" s="857"/>
      <c r="N225" s="857">
        <f>L225*M225</f>
        <v>0</v>
      </c>
      <c r="O225" s="857"/>
      <c r="P225" s="857"/>
      <c r="Q225" s="496"/>
      <c r="R225" s="496">
        <f t="shared" si="42"/>
        <v>0</v>
      </c>
      <c r="S225" s="496"/>
      <c r="T225" s="857"/>
      <c r="U225" s="857"/>
      <c r="V225" s="496"/>
      <c r="W225" s="857"/>
      <c r="X225" s="857"/>
      <c r="Y225" s="496"/>
      <c r="Z225" s="559"/>
      <c r="AA225" s="559" t="str">
        <f t="shared" si="41"/>
        <v>-</v>
      </c>
      <c r="AB225" s="900" t="s">
        <v>1872</v>
      </c>
      <c r="AC225" s="549" t="s">
        <v>1665</v>
      </c>
      <c r="AF225" s="466"/>
      <c r="AG225" s="465"/>
      <c r="AH225" s="465"/>
    </row>
    <row r="226" spans="1:34" s="498" customFormat="1" hidden="1" x14ac:dyDescent="0.25">
      <c r="A226" s="962"/>
      <c r="B226" s="856" t="s">
        <v>1873</v>
      </c>
      <c r="C226" s="499"/>
      <c r="D226" s="903"/>
      <c r="E226" s="535"/>
      <c r="F226" s="557"/>
      <c r="G226" s="558"/>
      <c r="H226" s="559"/>
      <c r="I226" s="857"/>
      <c r="J226" s="857"/>
      <c r="K226" s="857"/>
      <c r="L226" s="857"/>
      <c r="M226" s="857"/>
      <c r="N226" s="857"/>
      <c r="O226" s="857"/>
      <c r="P226" s="857"/>
      <c r="Q226" s="857">
        <v>3</v>
      </c>
      <c r="R226" s="857">
        <f t="shared" si="42"/>
        <v>3</v>
      </c>
      <c r="S226" s="857"/>
      <c r="T226" s="857"/>
      <c r="U226" s="857"/>
      <c r="V226" s="857">
        <v>3</v>
      </c>
      <c r="W226" s="857"/>
      <c r="X226" s="857"/>
      <c r="Y226" s="857">
        <v>3</v>
      </c>
      <c r="Z226" s="559">
        <f t="shared" ref="Z226:Z289" si="43">Q226-K226</f>
        <v>3</v>
      </c>
      <c r="AA226" s="559" t="str">
        <f t="shared" si="41"/>
        <v>-</v>
      </c>
      <c r="AB226" s="827"/>
      <c r="AC226" s="549" t="s">
        <v>1665</v>
      </c>
      <c r="AF226" s="466"/>
      <c r="AG226" s="465"/>
      <c r="AH226" s="465"/>
    </row>
    <row r="227" spans="1:34" s="498" customFormat="1" ht="48" hidden="1" customHeight="1" x14ac:dyDescent="0.25">
      <c r="A227" s="962"/>
      <c r="B227" s="865" t="s">
        <v>1874</v>
      </c>
      <c r="C227" s="508" t="s">
        <v>797</v>
      </c>
      <c r="D227" s="903"/>
      <c r="E227" s="535"/>
      <c r="F227" s="557"/>
      <c r="G227" s="558"/>
      <c r="H227" s="542">
        <f>SUM(H228:H229)</f>
        <v>6.1</v>
      </c>
      <c r="I227" s="857"/>
      <c r="J227" s="857"/>
      <c r="K227" s="542">
        <f>SUM(K228:K229)</f>
        <v>3</v>
      </c>
      <c r="L227" s="857"/>
      <c r="M227" s="857"/>
      <c r="N227" s="542">
        <f>SUM(N228:N229)</f>
        <v>3</v>
      </c>
      <c r="O227" s="857"/>
      <c r="P227" s="857"/>
      <c r="Q227" s="533"/>
      <c r="R227" s="533">
        <f t="shared" si="42"/>
        <v>0</v>
      </c>
      <c r="S227" s="533"/>
      <c r="T227" s="857"/>
      <c r="U227" s="857"/>
      <c r="V227" s="533"/>
      <c r="W227" s="857"/>
      <c r="X227" s="857"/>
      <c r="Y227" s="533"/>
      <c r="Z227" s="559">
        <f t="shared" si="43"/>
        <v>-3</v>
      </c>
      <c r="AA227" s="559">
        <f t="shared" si="41"/>
        <v>0</v>
      </c>
      <c r="AB227" s="900" t="s">
        <v>1875</v>
      </c>
      <c r="AC227" s="549" t="s">
        <v>1665</v>
      </c>
      <c r="AF227" s="466"/>
      <c r="AG227" s="465"/>
      <c r="AH227" s="465"/>
    </row>
    <row r="228" spans="1:34" s="498" customFormat="1" hidden="1" x14ac:dyDescent="0.25">
      <c r="A228" s="962"/>
      <c r="B228" s="856" t="s">
        <v>1876</v>
      </c>
      <c r="C228" s="499"/>
      <c r="D228" s="903"/>
      <c r="E228" s="535" t="s">
        <v>227</v>
      </c>
      <c r="F228" s="557">
        <v>9</v>
      </c>
      <c r="G228" s="558">
        <v>0.4</v>
      </c>
      <c r="H228" s="559">
        <f>F228*G228</f>
        <v>3.6</v>
      </c>
      <c r="I228" s="857"/>
      <c r="J228" s="857"/>
      <c r="K228" s="857"/>
      <c r="L228" s="857"/>
      <c r="M228" s="857"/>
      <c r="N228" s="857"/>
      <c r="O228" s="857"/>
      <c r="P228" s="857"/>
      <c r="Q228" s="533"/>
      <c r="R228" s="533">
        <f t="shared" si="42"/>
        <v>0</v>
      </c>
      <c r="S228" s="533"/>
      <c r="T228" s="857"/>
      <c r="U228" s="857"/>
      <c r="V228" s="533"/>
      <c r="W228" s="1913"/>
      <c r="X228" s="1913"/>
      <c r="Y228" s="533"/>
      <c r="Z228" s="559">
        <f t="shared" si="43"/>
        <v>0</v>
      </c>
      <c r="AA228" s="559" t="str">
        <f t="shared" si="41"/>
        <v>-</v>
      </c>
      <c r="AB228" s="500"/>
      <c r="AC228" s="549" t="s">
        <v>1665</v>
      </c>
      <c r="AF228" s="466"/>
      <c r="AG228" s="465"/>
      <c r="AH228" s="465"/>
    </row>
    <row r="229" spans="1:34" s="498" customFormat="1" hidden="1" x14ac:dyDescent="0.25">
      <c r="A229" s="962"/>
      <c r="B229" s="856" t="s">
        <v>1873</v>
      </c>
      <c r="C229" s="499"/>
      <c r="D229" s="903"/>
      <c r="E229" s="535" t="s">
        <v>227</v>
      </c>
      <c r="F229" s="557">
        <v>18</v>
      </c>
      <c r="G229" s="558">
        <v>0.14000000000000001</v>
      </c>
      <c r="H229" s="559">
        <f>F229*G229</f>
        <v>2.5</v>
      </c>
      <c r="I229" s="857"/>
      <c r="J229" s="857"/>
      <c r="K229" s="857">
        <v>3</v>
      </c>
      <c r="L229" s="857"/>
      <c r="M229" s="857"/>
      <c r="N229" s="857">
        <v>3</v>
      </c>
      <c r="O229" s="857"/>
      <c r="P229" s="857"/>
      <c r="Q229" s="857"/>
      <c r="R229" s="857">
        <f t="shared" si="42"/>
        <v>0</v>
      </c>
      <c r="S229" s="857"/>
      <c r="T229" s="857"/>
      <c r="U229" s="857"/>
      <c r="V229" s="857"/>
      <c r="W229" s="857"/>
      <c r="X229" s="857"/>
      <c r="Y229" s="857"/>
      <c r="Z229" s="559">
        <f t="shared" si="43"/>
        <v>-3</v>
      </c>
      <c r="AA229" s="559">
        <f t="shared" si="41"/>
        <v>0</v>
      </c>
      <c r="AB229" s="551"/>
      <c r="AC229" s="549" t="s">
        <v>1665</v>
      </c>
      <c r="AF229" s="466"/>
      <c r="AG229" s="465"/>
      <c r="AH229" s="465"/>
    </row>
    <row r="230" spans="1:34" s="492" customFormat="1" ht="14.25" hidden="1" x14ac:dyDescent="0.2">
      <c r="A230" s="1240"/>
      <c r="B230" s="500" t="s">
        <v>1233</v>
      </c>
      <c r="C230" s="501" t="s">
        <v>1230</v>
      </c>
      <c r="D230" s="932"/>
      <c r="E230" s="854"/>
      <c r="F230" s="828"/>
      <c r="G230" s="829"/>
      <c r="H230" s="542">
        <f>SUM(H231:H241)</f>
        <v>23.3</v>
      </c>
      <c r="I230" s="533"/>
      <c r="J230" s="533"/>
      <c r="K230" s="533">
        <f>SUM(K231:K241)</f>
        <v>22.5</v>
      </c>
      <c r="L230" s="533"/>
      <c r="M230" s="533"/>
      <c r="N230" s="533">
        <f>SUM(N231:N241)</f>
        <v>22.5</v>
      </c>
      <c r="O230" s="533"/>
      <c r="P230" s="533"/>
      <c r="Q230" s="533">
        <f>SUM(Q231:Q241)</f>
        <v>46</v>
      </c>
      <c r="R230" s="533">
        <f t="shared" si="42"/>
        <v>46</v>
      </c>
      <c r="S230" s="533"/>
      <c r="T230" s="533"/>
      <c r="U230" s="533"/>
      <c r="V230" s="533">
        <f>SUM(V231:V241)</f>
        <v>46</v>
      </c>
      <c r="W230" s="533"/>
      <c r="X230" s="533"/>
      <c r="Y230" s="533">
        <f>SUM(Y231:Y241)</f>
        <v>46</v>
      </c>
      <c r="Z230" s="542">
        <f t="shared" si="43"/>
        <v>23.5</v>
      </c>
      <c r="AA230" s="542">
        <f t="shared" si="41"/>
        <v>204.4</v>
      </c>
      <c r="AB230" s="921"/>
      <c r="AC230" s="549" t="s">
        <v>1665</v>
      </c>
      <c r="AF230" s="466"/>
      <c r="AG230" s="466"/>
      <c r="AH230" s="466"/>
    </row>
    <row r="231" spans="1:34" s="498" customFormat="1" ht="90" hidden="1" x14ac:dyDescent="0.25">
      <c r="A231" s="962"/>
      <c r="B231" s="551" t="s">
        <v>1519</v>
      </c>
      <c r="C231" s="553"/>
      <c r="D231" s="903"/>
      <c r="E231" s="535" t="s">
        <v>318</v>
      </c>
      <c r="F231" s="1907">
        <v>1</v>
      </c>
      <c r="G231" s="1908">
        <v>3.5</v>
      </c>
      <c r="H231" s="559">
        <f>F231*G231</f>
        <v>3.5</v>
      </c>
      <c r="I231" s="1864">
        <v>1</v>
      </c>
      <c r="J231" s="1864">
        <v>3.5</v>
      </c>
      <c r="K231" s="857">
        <f>I231*J231</f>
        <v>3.5</v>
      </c>
      <c r="L231" s="1864">
        <v>1</v>
      </c>
      <c r="M231" s="1864">
        <v>3.5</v>
      </c>
      <c r="N231" s="857">
        <f>L231*M231</f>
        <v>3.5</v>
      </c>
      <c r="O231" s="1864">
        <v>1</v>
      </c>
      <c r="P231" s="1864">
        <v>3.5</v>
      </c>
      <c r="Q231" s="1865">
        <f>P231*O231</f>
        <v>3.5</v>
      </c>
      <c r="R231" s="1865">
        <f t="shared" si="42"/>
        <v>3.5</v>
      </c>
      <c r="S231" s="1865"/>
      <c r="T231" s="1864">
        <v>1</v>
      </c>
      <c r="U231" s="1864">
        <v>3.5</v>
      </c>
      <c r="V231" s="1865">
        <f>U231*T231</f>
        <v>3.5</v>
      </c>
      <c r="W231" s="1864">
        <v>1</v>
      </c>
      <c r="X231" s="1864">
        <v>3.5</v>
      </c>
      <c r="Y231" s="1865">
        <f>X231*W231</f>
        <v>3.5</v>
      </c>
      <c r="Z231" s="559">
        <f t="shared" si="43"/>
        <v>0</v>
      </c>
      <c r="AA231" s="559">
        <f t="shared" si="41"/>
        <v>100</v>
      </c>
      <c r="AB231" s="893" t="s">
        <v>1877</v>
      </c>
      <c r="AC231" s="549" t="s">
        <v>1665</v>
      </c>
      <c r="AF231" s="466"/>
      <c r="AG231" s="465"/>
      <c r="AH231" s="465"/>
    </row>
    <row r="232" spans="1:34" s="498" customFormat="1" ht="51.75" hidden="1" x14ac:dyDescent="0.25">
      <c r="A232" s="962"/>
      <c r="B232" s="551" t="s">
        <v>1686</v>
      </c>
      <c r="C232" s="553"/>
      <c r="D232" s="903"/>
      <c r="E232" s="535" t="s">
        <v>318</v>
      </c>
      <c r="F232" s="1907">
        <v>1</v>
      </c>
      <c r="G232" s="1908">
        <v>2.2999999999999998</v>
      </c>
      <c r="H232" s="559">
        <f>F232*G232</f>
        <v>2.2999999999999998</v>
      </c>
      <c r="I232" s="1864">
        <v>1</v>
      </c>
      <c r="J232" s="1864">
        <v>2.2999999999999998</v>
      </c>
      <c r="K232" s="857">
        <f>I232*J232</f>
        <v>2.2999999999999998</v>
      </c>
      <c r="L232" s="1864">
        <v>1</v>
      </c>
      <c r="M232" s="1864">
        <v>2.2999999999999998</v>
      </c>
      <c r="N232" s="857">
        <f>L232*M232</f>
        <v>2.2999999999999998</v>
      </c>
      <c r="O232" s="1864">
        <v>2</v>
      </c>
      <c r="P232" s="1864">
        <v>2.2999999999999998</v>
      </c>
      <c r="Q232" s="1865">
        <f>P232*O232</f>
        <v>4.5999999999999996</v>
      </c>
      <c r="R232" s="1865">
        <f t="shared" si="42"/>
        <v>4.5999999999999996</v>
      </c>
      <c r="S232" s="1865"/>
      <c r="T232" s="1864">
        <v>2</v>
      </c>
      <c r="U232" s="1864">
        <v>2.2999999999999998</v>
      </c>
      <c r="V232" s="1865">
        <f>U232*T232</f>
        <v>4.5999999999999996</v>
      </c>
      <c r="W232" s="1864">
        <v>2</v>
      </c>
      <c r="X232" s="1864">
        <v>2.2999999999999998</v>
      </c>
      <c r="Y232" s="1865">
        <f>X232*W232</f>
        <v>4.5999999999999996</v>
      </c>
      <c r="Z232" s="559">
        <f t="shared" si="43"/>
        <v>2.2999999999999998</v>
      </c>
      <c r="AA232" s="559">
        <f t="shared" si="41"/>
        <v>200</v>
      </c>
      <c r="AB232" s="893" t="s">
        <v>1878</v>
      </c>
      <c r="AC232" s="549" t="s">
        <v>1665</v>
      </c>
      <c r="AF232" s="466"/>
      <c r="AG232" s="465"/>
      <c r="AH232" s="465"/>
    </row>
    <row r="233" spans="1:34" s="498" customFormat="1" hidden="1" x14ac:dyDescent="0.25">
      <c r="A233" s="962"/>
      <c r="B233" s="551" t="s">
        <v>1683</v>
      </c>
      <c r="C233" s="553"/>
      <c r="D233" s="903"/>
      <c r="E233" s="535" t="s">
        <v>318</v>
      </c>
      <c r="F233" s="1907">
        <v>1</v>
      </c>
      <c r="G233" s="1908">
        <v>2</v>
      </c>
      <c r="H233" s="559">
        <f>F233*G233</f>
        <v>2</v>
      </c>
      <c r="I233" s="1864">
        <v>1</v>
      </c>
      <c r="J233" s="1864">
        <v>2</v>
      </c>
      <c r="K233" s="857">
        <v>1.5</v>
      </c>
      <c r="L233" s="1864">
        <v>1</v>
      </c>
      <c r="M233" s="1864">
        <v>2</v>
      </c>
      <c r="N233" s="857">
        <v>1.5</v>
      </c>
      <c r="O233" s="1864"/>
      <c r="P233" s="1864"/>
      <c r="Q233" s="1865"/>
      <c r="R233" s="1865">
        <f t="shared" si="42"/>
        <v>0</v>
      </c>
      <c r="S233" s="1865"/>
      <c r="T233" s="1864"/>
      <c r="U233" s="1864"/>
      <c r="V233" s="1865"/>
      <c r="W233" s="1864"/>
      <c r="X233" s="1864"/>
      <c r="Y233" s="1865"/>
      <c r="Z233" s="559">
        <f t="shared" si="43"/>
        <v>-1.5</v>
      </c>
      <c r="AA233" s="559">
        <f t="shared" si="41"/>
        <v>0</v>
      </c>
      <c r="AB233" s="893"/>
      <c r="AC233" s="549" t="s">
        <v>1665</v>
      </c>
      <c r="AF233" s="466"/>
      <c r="AG233" s="465"/>
      <c r="AH233" s="465"/>
    </row>
    <row r="234" spans="1:34" s="498" customFormat="1" hidden="1" x14ac:dyDescent="0.25">
      <c r="A234" s="962"/>
      <c r="B234" s="551" t="s">
        <v>1879</v>
      </c>
      <c r="C234" s="553"/>
      <c r="D234" s="903"/>
      <c r="E234" s="535" t="s">
        <v>318</v>
      </c>
      <c r="F234" s="1907">
        <v>2</v>
      </c>
      <c r="G234" s="1908">
        <v>1.8</v>
      </c>
      <c r="H234" s="559">
        <f>F234*G234</f>
        <v>3.6</v>
      </c>
      <c r="I234" s="1864">
        <v>2</v>
      </c>
      <c r="J234" s="1864">
        <v>1.8</v>
      </c>
      <c r="K234" s="857">
        <f>I234*J234</f>
        <v>3.6</v>
      </c>
      <c r="L234" s="1864">
        <v>2</v>
      </c>
      <c r="M234" s="1864">
        <v>1.8</v>
      </c>
      <c r="N234" s="857">
        <f>L234*M234</f>
        <v>3.6</v>
      </c>
      <c r="O234" s="1864"/>
      <c r="P234" s="1864"/>
      <c r="Q234" s="1865"/>
      <c r="R234" s="1865">
        <f t="shared" si="42"/>
        <v>0</v>
      </c>
      <c r="S234" s="1865"/>
      <c r="T234" s="1864"/>
      <c r="U234" s="1864"/>
      <c r="V234" s="1865"/>
      <c r="W234" s="1864"/>
      <c r="X234" s="1864"/>
      <c r="Y234" s="1865"/>
      <c r="Z234" s="559">
        <f t="shared" si="43"/>
        <v>-3.6</v>
      </c>
      <c r="AA234" s="559">
        <f t="shared" si="41"/>
        <v>0</v>
      </c>
      <c r="AB234" s="893"/>
      <c r="AC234" s="549" t="s">
        <v>1665</v>
      </c>
      <c r="AF234" s="466"/>
      <c r="AG234" s="465"/>
      <c r="AH234" s="465"/>
    </row>
    <row r="235" spans="1:34" s="498" customFormat="1" ht="77.25" hidden="1" x14ac:dyDescent="0.25">
      <c r="A235" s="962"/>
      <c r="B235" s="551" t="s">
        <v>1880</v>
      </c>
      <c r="C235" s="553"/>
      <c r="D235" s="903"/>
      <c r="E235" s="535"/>
      <c r="F235" s="1907"/>
      <c r="G235" s="1908"/>
      <c r="H235" s="559"/>
      <c r="I235" s="1864"/>
      <c r="J235" s="1864"/>
      <c r="K235" s="857"/>
      <c r="L235" s="1864"/>
      <c r="M235" s="1864"/>
      <c r="N235" s="857"/>
      <c r="O235" s="1864">
        <v>1</v>
      </c>
      <c r="P235" s="1864">
        <v>4</v>
      </c>
      <c r="Q235" s="1865">
        <f>P235*O235</f>
        <v>4</v>
      </c>
      <c r="R235" s="1865">
        <f t="shared" si="42"/>
        <v>4</v>
      </c>
      <c r="S235" s="1865"/>
      <c r="T235" s="1864">
        <v>1</v>
      </c>
      <c r="U235" s="1864">
        <v>4</v>
      </c>
      <c r="V235" s="1865">
        <f>U235*T235</f>
        <v>4</v>
      </c>
      <c r="W235" s="1864">
        <v>1</v>
      </c>
      <c r="X235" s="1864">
        <v>4</v>
      </c>
      <c r="Y235" s="1865">
        <f>X235*W235</f>
        <v>4</v>
      </c>
      <c r="Z235" s="559">
        <f t="shared" si="43"/>
        <v>4</v>
      </c>
      <c r="AA235" s="559" t="str">
        <f t="shared" si="41"/>
        <v>-</v>
      </c>
      <c r="AB235" s="893" t="s">
        <v>1881</v>
      </c>
      <c r="AC235" s="491" t="s">
        <v>1665</v>
      </c>
      <c r="AF235" s="466"/>
      <c r="AG235" s="465"/>
      <c r="AH235" s="465"/>
    </row>
    <row r="236" spans="1:34" s="498" customFormat="1" ht="93" hidden="1" customHeight="1" x14ac:dyDescent="0.25">
      <c r="A236" s="962"/>
      <c r="B236" s="551" t="s">
        <v>1839</v>
      </c>
      <c r="C236" s="553"/>
      <c r="D236" s="903"/>
      <c r="E236" s="535" t="s">
        <v>318</v>
      </c>
      <c r="F236" s="1907">
        <v>4</v>
      </c>
      <c r="G236" s="1908">
        <v>1.73</v>
      </c>
      <c r="H236" s="559">
        <f>F236*G236</f>
        <v>6.9</v>
      </c>
      <c r="I236" s="1864">
        <v>4</v>
      </c>
      <c r="J236" s="1864">
        <v>1.7</v>
      </c>
      <c r="K236" s="857">
        <f>I236*J236</f>
        <v>6.8</v>
      </c>
      <c r="L236" s="1864">
        <v>4</v>
      </c>
      <c r="M236" s="1864">
        <v>1.7</v>
      </c>
      <c r="N236" s="857">
        <f>L236*M236</f>
        <v>6.8</v>
      </c>
      <c r="O236" s="1864">
        <v>4</v>
      </c>
      <c r="P236" s="1864">
        <v>1.7</v>
      </c>
      <c r="Q236" s="1865">
        <f>P236*O236</f>
        <v>6.8</v>
      </c>
      <c r="R236" s="1865">
        <f t="shared" si="42"/>
        <v>6.8</v>
      </c>
      <c r="S236" s="1865"/>
      <c r="T236" s="1864">
        <v>4</v>
      </c>
      <c r="U236" s="1864">
        <v>1.7</v>
      </c>
      <c r="V236" s="1865">
        <f>U236*T236</f>
        <v>6.8</v>
      </c>
      <c r="W236" s="1864">
        <v>4</v>
      </c>
      <c r="X236" s="1864">
        <v>1.7</v>
      </c>
      <c r="Y236" s="1865">
        <f>X236*W236</f>
        <v>6.8</v>
      </c>
      <c r="Z236" s="559">
        <f t="shared" si="43"/>
        <v>0</v>
      </c>
      <c r="AA236" s="559">
        <f t="shared" si="41"/>
        <v>100</v>
      </c>
      <c r="AB236" s="893" t="s">
        <v>1882</v>
      </c>
      <c r="AC236" s="491" t="s">
        <v>1665</v>
      </c>
      <c r="AF236" s="466"/>
      <c r="AG236" s="465"/>
      <c r="AH236" s="465"/>
    </row>
    <row r="237" spans="1:34" s="498" customFormat="1" ht="33.75" hidden="1" customHeight="1" x14ac:dyDescent="0.25">
      <c r="A237" s="962"/>
      <c r="B237" s="551" t="s">
        <v>1883</v>
      </c>
      <c r="C237" s="553"/>
      <c r="D237" s="903"/>
      <c r="E237" s="535"/>
      <c r="F237" s="1907"/>
      <c r="G237" s="1908"/>
      <c r="H237" s="559"/>
      <c r="I237" s="1864"/>
      <c r="J237" s="1864"/>
      <c r="K237" s="857"/>
      <c r="L237" s="1864"/>
      <c r="M237" s="1864"/>
      <c r="N237" s="857"/>
      <c r="O237" s="1864">
        <v>2</v>
      </c>
      <c r="P237" s="1864">
        <v>2.2999999999999998</v>
      </c>
      <c r="Q237" s="1865">
        <f>P237*O237</f>
        <v>4.5999999999999996</v>
      </c>
      <c r="R237" s="1865">
        <f t="shared" si="42"/>
        <v>4.5999999999999996</v>
      </c>
      <c r="S237" s="1865"/>
      <c r="T237" s="1864">
        <v>2</v>
      </c>
      <c r="U237" s="1864">
        <v>2.2999999999999998</v>
      </c>
      <c r="V237" s="1865">
        <f>U237*T237</f>
        <v>4.5999999999999996</v>
      </c>
      <c r="W237" s="1864">
        <v>2</v>
      </c>
      <c r="X237" s="1864">
        <v>2.2999999999999998</v>
      </c>
      <c r="Y237" s="1865">
        <f>X237*W237</f>
        <v>4.5999999999999996</v>
      </c>
      <c r="Z237" s="559">
        <f t="shared" si="43"/>
        <v>4.5999999999999996</v>
      </c>
      <c r="AA237" s="559" t="str">
        <f t="shared" si="41"/>
        <v>-</v>
      </c>
      <c r="AB237" s="827" t="s">
        <v>1884</v>
      </c>
      <c r="AC237" s="491" t="s">
        <v>1665</v>
      </c>
      <c r="AF237" s="466"/>
      <c r="AG237" s="465"/>
      <c r="AH237" s="465"/>
    </row>
    <row r="238" spans="1:34" s="498" customFormat="1" hidden="1" x14ac:dyDescent="0.25">
      <c r="A238" s="962"/>
      <c r="B238" s="551" t="s">
        <v>1826</v>
      </c>
      <c r="C238" s="553"/>
      <c r="D238" s="903"/>
      <c r="E238" s="535" t="s">
        <v>318</v>
      </c>
      <c r="F238" s="1864"/>
      <c r="G238" s="1864"/>
      <c r="H238" s="857"/>
      <c r="I238" s="1864"/>
      <c r="J238" s="1864"/>
      <c r="K238" s="857"/>
      <c r="L238" s="1864"/>
      <c r="M238" s="1864"/>
      <c r="N238" s="857"/>
      <c r="O238" s="1864">
        <v>1</v>
      </c>
      <c r="P238" s="1914">
        <v>2.2999999999999998</v>
      </c>
      <c r="Q238" s="1865">
        <f>O238*P238</f>
        <v>2.2999999999999998</v>
      </c>
      <c r="R238" s="1865">
        <f t="shared" si="42"/>
        <v>2.2999999999999998</v>
      </c>
      <c r="S238" s="1865"/>
      <c r="T238" s="1864">
        <v>1</v>
      </c>
      <c r="U238" s="1914">
        <v>2.2999999999999998</v>
      </c>
      <c r="V238" s="1865">
        <f>T238*U238</f>
        <v>2.2999999999999998</v>
      </c>
      <c r="W238" s="1864">
        <v>1</v>
      </c>
      <c r="X238" s="1914">
        <v>2.2999999999999998</v>
      </c>
      <c r="Y238" s="1865">
        <f>W238*X238</f>
        <v>2.2999999999999998</v>
      </c>
      <c r="Z238" s="857">
        <f t="shared" si="43"/>
        <v>2.2999999999999998</v>
      </c>
      <c r="AA238" s="857" t="str">
        <f t="shared" si="41"/>
        <v>-</v>
      </c>
      <c r="AB238" s="3514" t="s">
        <v>1885</v>
      </c>
      <c r="AC238" s="491" t="s">
        <v>1665</v>
      </c>
      <c r="AF238" s="466"/>
      <c r="AG238" s="465"/>
      <c r="AH238" s="465"/>
    </row>
    <row r="239" spans="1:34" s="498" customFormat="1" ht="25.5" hidden="1" x14ac:dyDescent="0.25">
      <c r="A239" s="962"/>
      <c r="B239" s="1885" t="s">
        <v>1757</v>
      </c>
      <c r="C239" s="553"/>
      <c r="D239" s="903"/>
      <c r="E239" s="535" t="s">
        <v>318</v>
      </c>
      <c r="F239" s="1864"/>
      <c r="G239" s="1864"/>
      <c r="H239" s="857"/>
      <c r="I239" s="1864"/>
      <c r="J239" s="1864"/>
      <c r="K239" s="857"/>
      <c r="L239" s="1864"/>
      <c r="M239" s="1864"/>
      <c r="N239" s="857"/>
      <c r="O239" s="1864">
        <v>2</v>
      </c>
      <c r="P239" s="1914">
        <v>3.45</v>
      </c>
      <c r="Q239" s="1865">
        <f t="shared" ref="Q239:Q240" si="44">O239*P239</f>
        <v>6.9</v>
      </c>
      <c r="R239" s="1865">
        <f t="shared" si="42"/>
        <v>6.9</v>
      </c>
      <c r="S239" s="1865"/>
      <c r="T239" s="1864">
        <v>2</v>
      </c>
      <c r="U239" s="1914">
        <v>3.45</v>
      </c>
      <c r="V239" s="1865">
        <f t="shared" ref="V239:V240" si="45">T239*U239</f>
        <v>6.9</v>
      </c>
      <c r="W239" s="1864">
        <v>2</v>
      </c>
      <c r="X239" s="1914">
        <v>3.45</v>
      </c>
      <c r="Y239" s="1865">
        <f t="shared" ref="Y239:Y240" si="46">W239*X239</f>
        <v>6.9</v>
      </c>
      <c r="Z239" s="857">
        <f t="shared" si="43"/>
        <v>6.9</v>
      </c>
      <c r="AA239" s="857" t="str">
        <f t="shared" si="41"/>
        <v>-</v>
      </c>
      <c r="AB239" s="3515"/>
      <c r="AC239" s="491" t="s">
        <v>1665</v>
      </c>
      <c r="AF239" s="466"/>
      <c r="AG239" s="465"/>
      <c r="AH239" s="465"/>
    </row>
    <row r="240" spans="1:34" s="498" customFormat="1" hidden="1" x14ac:dyDescent="0.25">
      <c r="A240" s="962"/>
      <c r="B240" s="1885" t="s">
        <v>1886</v>
      </c>
      <c r="C240" s="553"/>
      <c r="D240" s="903"/>
      <c r="E240" s="535" t="s">
        <v>318</v>
      </c>
      <c r="F240" s="1864"/>
      <c r="G240" s="1864"/>
      <c r="H240" s="857"/>
      <c r="I240" s="1864"/>
      <c r="J240" s="1864"/>
      <c r="K240" s="857"/>
      <c r="L240" s="1864"/>
      <c r="M240" s="1864"/>
      <c r="N240" s="857"/>
      <c r="O240" s="1864">
        <v>1</v>
      </c>
      <c r="P240" s="1914">
        <v>3.45</v>
      </c>
      <c r="Q240" s="1865">
        <f t="shared" si="44"/>
        <v>3.5</v>
      </c>
      <c r="R240" s="1865">
        <f t="shared" si="42"/>
        <v>3.5</v>
      </c>
      <c r="S240" s="1865"/>
      <c r="T240" s="1864">
        <v>1</v>
      </c>
      <c r="U240" s="1914">
        <v>3.45</v>
      </c>
      <c r="V240" s="1865">
        <f t="shared" si="45"/>
        <v>3.5</v>
      </c>
      <c r="W240" s="1864">
        <v>1</v>
      </c>
      <c r="X240" s="1914">
        <v>3.45</v>
      </c>
      <c r="Y240" s="1865">
        <f t="shared" si="46"/>
        <v>3.5</v>
      </c>
      <c r="Z240" s="857">
        <f t="shared" si="43"/>
        <v>3.5</v>
      </c>
      <c r="AA240" s="857" t="str">
        <f t="shared" si="41"/>
        <v>-</v>
      </c>
      <c r="AB240" s="3516"/>
      <c r="AC240" s="491" t="s">
        <v>1665</v>
      </c>
      <c r="AF240" s="466"/>
      <c r="AG240" s="465"/>
      <c r="AH240" s="465"/>
    </row>
    <row r="241" spans="1:34" s="498" customFormat="1" hidden="1" x14ac:dyDescent="0.25">
      <c r="A241" s="962"/>
      <c r="B241" s="551" t="s">
        <v>1729</v>
      </c>
      <c r="C241" s="553"/>
      <c r="D241" s="903"/>
      <c r="E241" s="535"/>
      <c r="F241" s="1907"/>
      <c r="G241" s="1908"/>
      <c r="H241" s="559">
        <f>SUM(H231:H236)*0.271</f>
        <v>5</v>
      </c>
      <c r="I241" s="1864"/>
      <c r="J241" s="1864"/>
      <c r="K241" s="857">
        <f>SUM(K231:K236)*0.271</f>
        <v>4.8</v>
      </c>
      <c r="L241" s="1864"/>
      <c r="M241" s="1864"/>
      <c r="N241" s="857">
        <f>SUM(N231:N236)*0.271</f>
        <v>4.8</v>
      </c>
      <c r="O241" s="857"/>
      <c r="P241" s="857"/>
      <c r="Q241" s="1865">
        <f>SUM(Q231:Q240)*0.271</f>
        <v>9.8000000000000007</v>
      </c>
      <c r="R241" s="1865">
        <f t="shared" si="42"/>
        <v>9.8000000000000007</v>
      </c>
      <c r="S241" s="1865"/>
      <c r="T241" s="857"/>
      <c r="U241" s="857"/>
      <c r="V241" s="1865">
        <f>SUM(V231:V240)*0.271</f>
        <v>9.8000000000000007</v>
      </c>
      <c r="W241" s="857"/>
      <c r="X241" s="857"/>
      <c r="Y241" s="1865">
        <f>SUM(Y231:Y240)*0.271</f>
        <v>9.8000000000000007</v>
      </c>
      <c r="Z241" s="559">
        <f t="shared" si="43"/>
        <v>5</v>
      </c>
      <c r="AA241" s="559">
        <f t="shared" si="41"/>
        <v>204.2</v>
      </c>
      <c r="AB241" s="921"/>
      <c r="AC241" s="491" t="s">
        <v>1665</v>
      </c>
      <c r="AF241" s="466"/>
      <c r="AG241" s="465"/>
      <c r="AH241" s="465"/>
    </row>
    <row r="242" spans="1:34" s="492" customFormat="1" ht="14.25" hidden="1" x14ac:dyDescent="0.2">
      <c r="A242" s="1240"/>
      <c r="B242" s="500" t="s">
        <v>1887</v>
      </c>
      <c r="C242" s="501" t="s">
        <v>796</v>
      </c>
      <c r="D242" s="932"/>
      <c r="E242" s="1042"/>
      <c r="F242" s="828">
        <v>13</v>
      </c>
      <c r="G242" s="829">
        <v>0.5</v>
      </c>
      <c r="H242" s="542">
        <f>F242*G242</f>
        <v>6.5</v>
      </c>
      <c r="I242" s="533">
        <v>13</v>
      </c>
      <c r="J242" s="533">
        <v>0.5</v>
      </c>
      <c r="K242" s="533">
        <f>I242*J242</f>
        <v>6.5</v>
      </c>
      <c r="L242" s="533">
        <v>13</v>
      </c>
      <c r="M242" s="533">
        <v>0.5</v>
      </c>
      <c r="N242" s="533">
        <f>L242*M242</f>
        <v>6.5</v>
      </c>
      <c r="O242" s="533"/>
      <c r="P242" s="533"/>
      <c r="Q242" s="533">
        <f>Q243</f>
        <v>6.5</v>
      </c>
      <c r="R242" s="533">
        <f t="shared" si="42"/>
        <v>6.5</v>
      </c>
      <c r="S242" s="533"/>
      <c r="T242" s="533"/>
      <c r="U242" s="533"/>
      <c r="V242" s="533">
        <f>V243</f>
        <v>6.5</v>
      </c>
      <c r="W242" s="533"/>
      <c r="X242" s="533"/>
      <c r="Y242" s="533">
        <f>Y243</f>
        <v>6.5</v>
      </c>
      <c r="Z242" s="542">
        <f t="shared" si="43"/>
        <v>0</v>
      </c>
      <c r="AA242" s="542">
        <f t="shared" ref="AA242:AA305" si="47">IFERROR(Q242/K242*100,"-")</f>
        <v>100</v>
      </c>
      <c r="AB242" s="921"/>
      <c r="AC242" s="491" t="s">
        <v>1665</v>
      </c>
      <c r="AF242" s="466"/>
      <c r="AG242" s="466"/>
      <c r="AH242" s="466"/>
    </row>
    <row r="243" spans="1:34" s="492" customFormat="1" ht="14.25" hidden="1" x14ac:dyDescent="0.2">
      <c r="A243" s="1240"/>
      <c r="B243" s="502" t="s">
        <v>1364</v>
      </c>
      <c r="C243" s="501"/>
      <c r="D243" s="932"/>
      <c r="E243" s="1042"/>
      <c r="F243" s="828"/>
      <c r="G243" s="829"/>
      <c r="H243" s="542"/>
      <c r="I243" s="533"/>
      <c r="J243" s="533"/>
      <c r="K243" s="533"/>
      <c r="L243" s="533"/>
      <c r="M243" s="533"/>
      <c r="N243" s="533"/>
      <c r="O243" s="857">
        <v>13</v>
      </c>
      <c r="P243" s="857">
        <v>0.5</v>
      </c>
      <c r="Q243" s="1865">
        <f>O243*P243</f>
        <v>6.5</v>
      </c>
      <c r="R243" s="1865">
        <f t="shared" si="42"/>
        <v>6.5</v>
      </c>
      <c r="S243" s="1865"/>
      <c r="T243" s="857">
        <v>13</v>
      </c>
      <c r="U243" s="857">
        <v>0.5</v>
      </c>
      <c r="V243" s="1865">
        <f>T243*U243</f>
        <v>6.5</v>
      </c>
      <c r="W243" s="857">
        <v>13</v>
      </c>
      <c r="X243" s="857">
        <v>0.5</v>
      </c>
      <c r="Y243" s="1865">
        <f>W243*X243</f>
        <v>6.5</v>
      </c>
      <c r="Z243" s="542">
        <f t="shared" si="43"/>
        <v>6.5</v>
      </c>
      <c r="AA243" s="542" t="str">
        <f t="shared" si="47"/>
        <v>-</v>
      </c>
      <c r="AB243" s="921"/>
      <c r="AC243" s="491" t="s">
        <v>1665</v>
      </c>
      <c r="AF243" s="466"/>
      <c r="AG243" s="466"/>
      <c r="AH243" s="466"/>
    </row>
    <row r="244" spans="1:34" s="492" customFormat="1" ht="14.25" x14ac:dyDescent="0.2">
      <c r="A244" s="1240"/>
      <c r="B244" s="500" t="s">
        <v>1888</v>
      </c>
      <c r="C244" s="501" t="s">
        <v>800</v>
      </c>
      <c r="D244" s="932"/>
      <c r="E244" s="552"/>
      <c r="F244" s="552"/>
      <c r="G244" s="552"/>
      <c r="H244" s="1915">
        <f>SUM(H245:H247)</f>
        <v>120.5</v>
      </c>
      <c r="I244" s="533">
        <v>1</v>
      </c>
      <c r="J244" s="533">
        <v>34</v>
      </c>
      <c r="K244" s="533"/>
      <c r="L244" s="533">
        <v>1</v>
      </c>
      <c r="M244" s="533">
        <v>34</v>
      </c>
      <c r="N244" s="533"/>
      <c r="O244" s="857"/>
      <c r="P244" s="857"/>
      <c r="Q244" s="1916">
        <f>SUM(Q245:Q247)</f>
        <v>37.200000000000003</v>
      </c>
      <c r="R244" s="1916">
        <v>37.1</v>
      </c>
      <c r="S244" s="1916"/>
      <c r="T244" s="857"/>
      <c r="U244" s="857"/>
      <c r="V244" s="1916">
        <v>0</v>
      </c>
      <c r="W244" s="857"/>
      <c r="X244" s="857"/>
      <c r="Y244" s="1916">
        <v>0</v>
      </c>
      <c r="Z244" s="542">
        <f t="shared" si="43"/>
        <v>37.200000000000003</v>
      </c>
      <c r="AA244" s="542" t="str">
        <f t="shared" si="47"/>
        <v>-</v>
      </c>
      <c r="AB244" s="921"/>
      <c r="AC244" s="549" t="s">
        <v>1665</v>
      </c>
      <c r="AF244" s="466"/>
      <c r="AG244" s="466"/>
      <c r="AH244" s="466"/>
    </row>
    <row r="245" spans="1:34" s="492" customFormat="1" ht="38.25" hidden="1" x14ac:dyDescent="0.2">
      <c r="A245" s="1240"/>
      <c r="B245" s="502" t="s">
        <v>1889</v>
      </c>
      <c r="C245" s="501"/>
      <c r="D245" s="932"/>
      <c r="E245" s="854" t="s">
        <v>227</v>
      </c>
      <c r="F245" s="557">
        <v>2</v>
      </c>
      <c r="G245" s="558">
        <f>H245/F245</f>
        <v>15.25</v>
      </c>
      <c r="H245" s="559">
        <v>30.5</v>
      </c>
      <c r="I245" s="533"/>
      <c r="J245" s="533"/>
      <c r="K245" s="533"/>
      <c r="L245" s="533"/>
      <c r="M245" s="533"/>
      <c r="N245" s="533"/>
      <c r="O245" s="857">
        <v>3</v>
      </c>
      <c r="P245" s="857">
        <v>10</v>
      </c>
      <c r="Q245" s="1865">
        <f>O245*P245</f>
        <v>30</v>
      </c>
      <c r="R245" s="1865">
        <f t="shared" si="42"/>
        <v>30</v>
      </c>
      <c r="S245" s="1865"/>
      <c r="T245" s="857">
        <v>1</v>
      </c>
      <c r="U245" s="857">
        <v>10</v>
      </c>
      <c r="V245" s="1865">
        <f>T245*U245</f>
        <v>10</v>
      </c>
      <c r="W245" s="857">
        <v>1</v>
      </c>
      <c r="X245" s="857">
        <v>10</v>
      </c>
      <c r="Y245" s="1865">
        <f>W245*X245</f>
        <v>10</v>
      </c>
      <c r="Z245" s="542">
        <f t="shared" si="43"/>
        <v>30</v>
      </c>
      <c r="AA245" s="542" t="str">
        <f t="shared" si="47"/>
        <v>-</v>
      </c>
      <c r="AB245" s="827" t="s">
        <v>1890</v>
      </c>
      <c r="AC245" s="549" t="s">
        <v>1665</v>
      </c>
      <c r="AF245" s="466"/>
      <c r="AG245" s="466"/>
      <c r="AH245" s="466"/>
    </row>
    <row r="246" spans="1:34" s="492" customFormat="1" ht="38.25" hidden="1" x14ac:dyDescent="0.2">
      <c r="A246" s="1240"/>
      <c r="B246" s="502" t="s">
        <v>1891</v>
      </c>
      <c r="C246" s="501"/>
      <c r="D246" s="932"/>
      <c r="E246" s="854"/>
      <c r="F246" s="828"/>
      <c r="G246" s="829"/>
      <c r="H246" s="542"/>
      <c r="I246" s="533"/>
      <c r="J246" s="533"/>
      <c r="K246" s="533"/>
      <c r="L246" s="533"/>
      <c r="M246" s="533"/>
      <c r="N246" s="533"/>
      <c r="O246" s="857">
        <v>3</v>
      </c>
      <c r="P246" s="857">
        <v>2.4</v>
      </c>
      <c r="Q246" s="1865">
        <f>O246*P246</f>
        <v>7.2</v>
      </c>
      <c r="R246" s="1865">
        <f t="shared" si="42"/>
        <v>7.2</v>
      </c>
      <c r="S246" s="1865"/>
      <c r="T246" s="857"/>
      <c r="U246" s="857"/>
      <c r="V246" s="1865"/>
      <c r="W246" s="857"/>
      <c r="X246" s="857"/>
      <c r="Y246" s="1865"/>
      <c r="Z246" s="542">
        <f t="shared" si="43"/>
        <v>7.2</v>
      </c>
      <c r="AA246" s="542" t="str">
        <f t="shared" si="47"/>
        <v>-</v>
      </c>
      <c r="AB246" s="827" t="s">
        <v>1892</v>
      </c>
      <c r="AC246" s="549" t="s">
        <v>1665</v>
      </c>
      <c r="AF246" s="466"/>
      <c r="AG246" s="466"/>
      <c r="AH246" s="466"/>
    </row>
    <row r="247" spans="1:34" s="492" customFormat="1" ht="14.25" hidden="1" x14ac:dyDescent="0.2">
      <c r="A247" s="1240"/>
      <c r="B247" s="502" t="s">
        <v>1893</v>
      </c>
      <c r="C247" s="503"/>
      <c r="D247" s="903"/>
      <c r="E247" s="535" t="s">
        <v>227</v>
      </c>
      <c r="F247" s="557">
        <v>3</v>
      </c>
      <c r="G247" s="558">
        <v>30</v>
      </c>
      <c r="H247" s="559">
        <f>F247*G247</f>
        <v>90</v>
      </c>
      <c r="I247" s="857"/>
      <c r="J247" s="857"/>
      <c r="K247" s="857"/>
      <c r="L247" s="857"/>
      <c r="M247" s="857"/>
      <c r="N247" s="857"/>
      <c r="O247" s="857"/>
      <c r="P247" s="857"/>
      <c r="Q247" s="857"/>
      <c r="R247" s="857">
        <f t="shared" si="42"/>
        <v>0</v>
      </c>
      <c r="S247" s="857"/>
      <c r="T247" s="857"/>
      <c r="U247" s="857"/>
      <c r="V247" s="857"/>
      <c r="W247" s="857"/>
      <c r="X247" s="857"/>
      <c r="Y247" s="857"/>
      <c r="Z247" s="1245">
        <f t="shared" si="43"/>
        <v>0</v>
      </c>
      <c r="AA247" s="1245" t="str">
        <f t="shared" si="47"/>
        <v>-</v>
      </c>
      <c r="AB247" s="827"/>
      <c r="AC247" s="549" t="s">
        <v>1665</v>
      </c>
      <c r="AF247" s="466"/>
      <c r="AG247" s="466"/>
      <c r="AH247" s="466"/>
    </row>
    <row r="248" spans="1:34" s="492" customFormat="1" ht="14.25" hidden="1" x14ac:dyDescent="0.2">
      <c r="A248" s="1240"/>
      <c r="B248" s="500" t="s">
        <v>1246</v>
      </c>
      <c r="C248" s="501" t="s">
        <v>1237</v>
      </c>
      <c r="D248" s="932"/>
      <c r="E248" s="854" t="s">
        <v>1829</v>
      </c>
      <c r="F248" s="828">
        <v>10</v>
      </c>
      <c r="G248" s="829">
        <v>2.5</v>
      </c>
      <c r="H248" s="542">
        <f>F248*G248</f>
        <v>25</v>
      </c>
      <c r="I248" s="533">
        <v>10</v>
      </c>
      <c r="J248" s="533">
        <v>2.5</v>
      </c>
      <c r="K248" s="533">
        <f>I248*J248</f>
        <v>25</v>
      </c>
      <c r="L248" s="533">
        <v>10</v>
      </c>
      <c r="M248" s="533">
        <v>2.5</v>
      </c>
      <c r="N248" s="533">
        <f>L248*M248</f>
        <v>25</v>
      </c>
      <c r="O248" s="533">
        <v>10</v>
      </c>
      <c r="P248" s="533">
        <v>2.5</v>
      </c>
      <c r="Q248" s="533">
        <f>O248*P248</f>
        <v>25</v>
      </c>
      <c r="R248" s="533">
        <f t="shared" si="42"/>
        <v>25</v>
      </c>
      <c r="S248" s="533"/>
      <c r="T248" s="533">
        <v>10</v>
      </c>
      <c r="U248" s="533">
        <v>2.5</v>
      </c>
      <c r="V248" s="533">
        <f>T248*U248</f>
        <v>25</v>
      </c>
      <c r="W248" s="533">
        <v>10</v>
      </c>
      <c r="X248" s="533">
        <v>2.5</v>
      </c>
      <c r="Y248" s="533">
        <f>W248*X248</f>
        <v>25</v>
      </c>
      <c r="Z248" s="542">
        <f t="shared" si="43"/>
        <v>0</v>
      </c>
      <c r="AA248" s="542">
        <f t="shared" si="47"/>
        <v>100</v>
      </c>
      <c r="AB248" s="827"/>
      <c r="AC248" s="549" t="s">
        <v>1665</v>
      </c>
      <c r="AF248" s="466"/>
      <c r="AG248" s="466"/>
      <c r="AH248" s="466"/>
    </row>
    <row r="249" spans="1:34" s="492" customFormat="1" ht="14.25" hidden="1" x14ac:dyDescent="0.2">
      <c r="A249" s="1240"/>
      <c r="B249" s="1917" t="s">
        <v>1894</v>
      </c>
      <c r="C249" s="501" t="s">
        <v>797</v>
      </c>
      <c r="D249" s="932"/>
      <c r="E249" s="854"/>
      <c r="F249" s="828"/>
      <c r="G249" s="829"/>
      <c r="H249" s="542"/>
      <c r="I249" s="533"/>
      <c r="J249" s="533"/>
      <c r="K249" s="533">
        <f>SUM(K247:K247)</f>
        <v>0</v>
      </c>
      <c r="L249" s="533"/>
      <c r="M249" s="533"/>
      <c r="N249" s="533">
        <f>SUM(N247:N247)</f>
        <v>0</v>
      </c>
      <c r="O249" s="533"/>
      <c r="P249" s="533"/>
      <c r="Q249" s="533">
        <f>Q250+Q251</f>
        <v>13</v>
      </c>
      <c r="R249" s="533">
        <f t="shared" si="42"/>
        <v>13</v>
      </c>
      <c r="S249" s="533"/>
      <c r="T249" s="533"/>
      <c r="U249" s="533"/>
      <c r="V249" s="533">
        <f>V250+V251</f>
        <v>13</v>
      </c>
      <c r="W249" s="533"/>
      <c r="X249" s="533"/>
      <c r="Y249" s="533">
        <f>Y250+Y251</f>
        <v>13</v>
      </c>
      <c r="Z249" s="493">
        <f t="shared" si="43"/>
        <v>13</v>
      </c>
      <c r="AA249" s="493" t="str">
        <f t="shared" si="47"/>
        <v>-</v>
      </c>
      <c r="AB249" s="827"/>
      <c r="AC249" s="549" t="s">
        <v>1665</v>
      </c>
      <c r="AF249" s="466"/>
      <c r="AG249" s="466"/>
      <c r="AH249" s="466"/>
    </row>
    <row r="250" spans="1:34" s="492" customFormat="1" ht="51" hidden="1" x14ac:dyDescent="0.2">
      <c r="A250" s="1240"/>
      <c r="B250" s="502" t="s">
        <v>1895</v>
      </c>
      <c r="C250" s="501"/>
      <c r="D250" s="932"/>
      <c r="E250" s="854"/>
      <c r="F250" s="828"/>
      <c r="G250" s="829"/>
      <c r="H250" s="542"/>
      <c r="I250" s="533"/>
      <c r="J250" s="533"/>
      <c r="K250" s="533"/>
      <c r="L250" s="533"/>
      <c r="M250" s="533"/>
      <c r="N250" s="533"/>
      <c r="O250" s="533"/>
      <c r="P250" s="533"/>
      <c r="Q250" s="857">
        <v>8</v>
      </c>
      <c r="R250" s="857">
        <f t="shared" si="42"/>
        <v>8</v>
      </c>
      <c r="S250" s="857"/>
      <c r="T250" s="533"/>
      <c r="U250" s="533"/>
      <c r="V250" s="857">
        <v>8</v>
      </c>
      <c r="W250" s="533"/>
      <c r="X250" s="533"/>
      <c r="Y250" s="857">
        <v>8</v>
      </c>
      <c r="Z250" s="493">
        <f t="shared" si="43"/>
        <v>8</v>
      </c>
      <c r="AA250" s="493" t="str">
        <f t="shared" si="47"/>
        <v>-</v>
      </c>
      <c r="AB250" s="1246" t="s">
        <v>1896</v>
      </c>
      <c r="AC250" s="549" t="s">
        <v>1665</v>
      </c>
      <c r="AF250" s="466"/>
      <c r="AG250" s="466"/>
      <c r="AH250" s="466"/>
    </row>
    <row r="251" spans="1:34" s="492" customFormat="1" ht="14.25" hidden="1" x14ac:dyDescent="0.2">
      <c r="A251" s="1240"/>
      <c r="B251" s="502" t="s">
        <v>1897</v>
      </c>
      <c r="C251" s="501"/>
      <c r="D251" s="932"/>
      <c r="E251" s="854"/>
      <c r="F251" s="828"/>
      <c r="G251" s="829"/>
      <c r="H251" s="542"/>
      <c r="I251" s="533"/>
      <c r="J251" s="533"/>
      <c r="K251" s="533"/>
      <c r="L251" s="533"/>
      <c r="M251" s="533"/>
      <c r="N251" s="533"/>
      <c r="O251" s="533"/>
      <c r="P251" s="533"/>
      <c r="Q251" s="857">
        <v>5</v>
      </c>
      <c r="R251" s="857">
        <f t="shared" si="42"/>
        <v>5</v>
      </c>
      <c r="S251" s="857"/>
      <c r="T251" s="533"/>
      <c r="U251" s="533"/>
      <c r="V251" s="857">
        <v>5</v>
      </c>
      <c r="W251" s="533"/>
      <c r="X251" s="533"/>
      <c r="Y251" s="857">
        <v>5</v>
      </c>
      <c r="Z251" s="493">
        <f t="shared" si="43"/>
        <v>5</v>
      </c>
      <c r="AA251" s="493" t="str">
        <f t="shared" si="47"/>
        <v>-</v>
      </c>
      <c r="AB251" s="1247"/>
      <c r="AC251" s="549" t="s">
        <v>1665</v>
      </c>
      <c r="AF251" s="466"/>
      <c r="AG251" s="466"/>
      <c r="AH251" s="466"/>
    </row>
    <row r="252" spans="1:34" s="539" customFormat="1" hidden="1" x14ac:dyDescent="0.25">
      <c r="A252" s="536"/>
      <c r="B252" s="543" t="s">
        <v>1898</v>
      </c>
      <c r="C252" s="511"/>
      <c r="D252" s="1918"/>
      <c r="E252" s="490"/>
      <c r="F252" s="488"/>
      <c r="G252" s="489"/>
      <c r="H252" s="490">
        <f>H253</f>
        <v>113.2</v>
      </c>
      <c r="I252" s="490"/>
      <c r="J252" s="490"/>
      <c r="K252" s="490">
        <f>K253</f>
        <v>98.6</v>
      </c>
      <c r="L252" s="490"/>
      <c r="M252" s="490"/>
      <c r="N252" s="490">
        <f>N253</f>
        <v>98.6</v>
      </c>
      <c r="O252" s="1919"/>
      <c r="P252" s="1919"/>
      <c r="Q252" s="490">
        <f>Q253</f>
        <v>113</v>
      </c>
      <c r="R252" s="490">
        <f t="shared" si="42"/>
        <v>113</v>
      </c>
      <c r="S252" s="490"/>
      <c r="T252" s="1919"/>
      <c r="U252" s="1919"/>
      <c r="V252" s="490">
        <f>V253</f>
        <v>112.9</v>
      </c>
      <c r="W252" s="1919"/>
      <c r="X252" s="1919"/>
      <c r="Y252" s="490">
        <f>Y253</f>
        <v>112.9</v>
      </c>
      <c r="Z252" s="490">
        <f t="shared" si="43"/>
        <v>14.4</v>
      </c>
      <c r="AA252" s="490">
        <f t="shared" si="47"/>
        <v>114.6</v>
      </c>
      <c r="AB252" s="1920"/>
      <c r="AC252" s="538"/>
      <c r="AF252" s="518"/>
      <c r="AG252" s="540"/>
      <c r="AH252" s="540"/>
    </row>
    <row r="253" spans="1:34" s="527" customFormat="1" ht="38.25" hidden="1" x14ac:dyDescent="0.2">
      <c r="A253" s="522"/>
      <c r="B253" s="520" t="s">
        <v>1664</v>
      </c>
      <c r="C253" s="521"/>
      <c r="D253" s="522" t="s">
        <v>1444</v>
      </c>
      <c r="E253" s="556"/>
      <c r="F253" s="523"/>
      <c r="G253" s="524"/>
      <c r="H253" s="526">
        <f>H254+H258+H265+H266+H279+H280</f>
        <v>113.2</v>
      </c>
      <c r="I253" s="526"/>
      <c r="J253" s="526"/>
      <c r="K253" s="526">
        <f>K254+K258+K265+K266+K279+K280</f>
        <v>98.6</v>
      </c>
      <c r="L253" s="526"/>
      <c r="M253" s="526"/>
      <c r="N253" s="526">
        <f>N254+N258+N265+N266+N279+N280</f>
        <v>98.6</v>
      </c>
      <c r="O253" s="1921"/>
      <c r="P253" s="1921"/>
      <c r="Q253" s="526">
        <f>Q254+Q258+Q264+Q265+Q266+Q279+Q280</f>
        <v>113</v>
      </c>
      <c r="R253" s="526">
        <f t="shared" si="42"/>
        <v>113</v>
      </c>
      <c r="S253" s="526"/>
      <c r="T253" s="1921"/>
      <c r="U253" s="1921"/>
      <c r="V253" s="526">
        <f>V254+V258+V264+V265+V266+V279+V280</f>
        <v>112.9</v>
      </c>
      <c r="W253" s="1921"/>
      <c r="X253" s="1921"/>
      <c r="Y253" s="526">
        <f>Y254+Y258+Y264+Y265+Y266+Y279+Y280</f>
        <v>112.9</v>
      </c>
      <c r="Z253" s="526">
        <f t="shared" si="43"/>
        <v>14.4</v>
      </c>
      <c r="AA253" s="526">
        <f t="shared" si="47"/>
        <v>114.6</v>
      </c>
      <c r="AB253" s="1922"/>
      <c r="AC253" s="549" t="s">
        <v>1665</v>
      </c>
      <c r="AF253" s="528"/>
      <c r="AG253" s="528"/>
      <c r="AH253" s="528"/>
    </row>
    <row r="254" spans="1:34" s="492" customFormat="1" ht="14.25" hidden="1" x14ac:dyDescent="0.2">
      <c r="A254" s="1240"/>
      <c r="B254" s="500" t="s">
        <v>1899</v>
      </c>
      <c r="C254" s="501" t="s">
        <v>797</v>
      </c>
      <c r="D254" s="932"/>
      <c r="E254" s="842"/>
      <c r="F254" s="828"/>
      <c r="G254" s="829"/>
      <c r="H254" s="542">
        <f>SUM(H255:H257)</f>
        <v>11.2</v>
      </c>
      <c r="I254" s="533"/>
      <c r="J254" s="533"/>
      <c r="K254" s="533">
        <f>SUM(K255:K257)</f>
        <v>5.2</v>
      </c>
      <c r="L254" s="533"/>
      <c r="M254" s="533"/>
      <c r="N254" s="533">
        <f>SUM(N255:N257)</f>
        <v>5.2</v>
      </c>
      <c r="O254" s="533"/>
      <c r="P254" s="533"/>
      <c r="Q254" s="533">
        <f>SUM(Q255:Q257)</f>
        <v>5.2</v>
      </c>
      <c r="R254" s="533">
        <f t="shared" si="42"/>
        <v>5.2</v>
      </c>
      <c r="S254" s="533"/>
      <c r="T254" s="533"/>
      <c r="U254" s="533"/>
      <c r="V254" s="533">
        <f>SUM(V255:V257)</f>
        <v>5.2</v>
      </c>
      <c r="W254" s="533"/>
      <c r="X254" s="533"/>
      <c r="Y254" s="533">
        <f>SUM(Y255:Y257)</f>
        <v>5.2</v>
      </c>
      <c r="Z254" s="542">
        <f t="shared" si="43"/>
        <v>0</v>
      </c>
      <c r="AA254" s="542">
        <f t="shared" si="47"/>
        <v>100</v>
      </c>
      <c r="AB254" s="921"/>
      <c r="AC254" s="491" t="s">
        <v>1665</v>
      </c>
      <c r="AF254" s="466"/>
      <c r="AG254" s="466"/>
      <c r="AH254" s="466"/>
    </row>
    <row r="255" spans="1:34" s="498" customFormat="1" ht="127.5" hidden="1" x14ac:dyDescent="0.25">
      <c r="A255" s="962"/>
      <c r="B255" s="502" t="s">
        <v>1835</v>
      </c>
      <c r="C255" s="503"/>
      <c r="D255" s="903"/>
      <c r="E255" s="1031" t="s">
        <v>227</v>
      </c>
      <c r="F255" s="557">
        <v>30</v>
      </c>
      <c r="G255" s="558">
        <v>0.08</v>
      </c>
      <c r="H255" s="559">
        <f>F255*G255</f>
        <v>2.4</v>
      </c>
      <c r="I255" s="857">
        <v>12</v>
      </c>
      <c r="J255" s="862">
        <v>0.1</v>
      </c>
      <c r="K255" s="857">
        <f>I255*J255</f>
        <v>1.2</v>
      </c>
      <c r="L255" s="857">
        <v>12</v>
      </c>
      <c r="M255" s="862">
        <v>0.1</v>
      </c>
      <c r="N255" s="857">
        <f>L255*M255</f>
        <v>1.2</v>
      </c>
      <c r="O255" s="496">
        <v>12</v>
      </c>
      <c r="P255" s="496">
        <v>0.1</v>
      </c>
      <c r="Q255" s="496">
        <f>O255*P255</f>
        <v>1.2</v>
      </c>
      <c r="R255" s="496">
        <f t="shared" si="42"/>
        <v>1.2</v>
      </c>
      <c r="S255" s="496"/>
      <c r="T255" s="496">
        <v>12</v>
      </c>
      <c r="U255" s="496">
        <v>0.1</v>
      </c>
      <c r="V255" s="496">
        <f>T255*U255</f>
        <v>1.2</v>
      </c>
      <c r="W255" s="496">
        <v>12</v>
      </c>
      <c r="X255" s="496">
        <v>0.1</v>
      </c>
      <c r="Y255" s="496">
        <f>W255*X255</f>
        <v>1.2</v>
      </c>
      <c r="Z255" s="1245">
        <f t="shared" si="43"/>
        <v>0</v>
      </c>
      <c r="AA255" s="1245">
        <f t="shared" si="47"/>
        <v>100</v>
      </c>
      <c r="AB255" s="900" t="s">
        <v>1900</v>
      </c>
      <c r="AC255" s="491" t="s">
        <v>1665</v>
      </c>
      <c r="AF255" s="466"/>
      <c r="AG255" s="465"/>
      <c r="AH255" s="465"/>
    </row>
    <row r="256" spans="1:34" s="498" customFormat="1" hidden="1" x14ac:dyDescent="0.25">
      <c r="A256" s="962"/>
      <c r="B256" s="856" t="s">
        <v>1901</v>
      </c>
      <c r="C256" s="499"/>
      <c r="D256" s="903"/>
      <c r="E256" s="1031" t="s">
        <v>1240</v>
      </c>
      <c r="F256" s="557">
        <v>55</v>
      </c>
      <c r="G256" s="558">
        <v>0.12</v>
      </c>
      <c r="H256" s="559">
        <f>F256*G256</f>
        <v>6.6</v>
      </c>
      <c r="I256" s="857"/>
      <c r="J256" s="857"/>
      <c r="K256" s="857">
        <f>I256*J256</f>
        <v>0</v>
      </c>
      <c r="L256" s="857"/>
      <c r="M256" s="857"/>
      <c r="N256" s="857">
        <f>L256*M256</f>
        <v>0</v>
      </c>
      <c r="O256" s="857"/>
      <c r="P256" s="857"/>
      <c r="Q256" s="857"/>
      <c r="R256" s="857">
        <f t="shared" si="42"/>
        <v>0</v>
      </c>
      <c r="S256" s="857"/>
      <c r="T256" s="857"/>
      <c r="U256" s="857"/>
      <c r="V256" s="857"/>
      <c r="W256" s="857"/>
      <c r="X256" s="857"/>
      <c r="Y256" s="857"/>
      <c r="Z256" s="559">
        <f t="shared" si="43"/>
        <v>0</v>
      </c>
      <c r="AA256" s="559" t="str">
        <f t="shared" si="47"/>
        <v>-</v>
      </c>
      <c r="AB256" s="893"/>
      <c r="AC256" s="491" t="s">
        <v>1665</v>
      </c>
      <c r="AF256" s="466"/>
      <c r="AG256" s="465"/>
      <c r="AH256" s="465"/>
    </row>
    <row r="257" spans="1:34" s="498" customFormat="1" hidden="1" x14ac:dyDescent="0.25">
      <c r="A257" s="962"/>
      <c r="B257" s="856" t="s">
        <v>1873</v>
      </c>
      <c r="C257" s="499"/>
      <c r="D257" s="903"/>
      <c r="E257" s="1031" t="s">
        <v>1902</v>
      </c>
      <c r="F257" s="557">
        <v>10</v>
      </c>
      <c r="G257" s="558">
        <v>0.22</v>
      </c>
      <c r="H257" s="559">
        <f>F257*G257</f>
        <v>2.2000000000000002</v>
      </c>
      <c r="I257" s="857"/>
      <c r="J257" s="857"/>
      <c r="K257" s="857">
        <v>4</v>
      </c>
      <c r="L257" s="857"/>
      <c r="M257" s="857"/>
      <c r="N257" s="857">
        <v>4</v>
      </c>
      <c r="O257" s="857"/>
      <c r="P257" s="857"/>
      <c r="Q257" s="857">
        <v>4</v>
      </c>
      <c r="R257" s="857">
        <f t="shared" si="42"/>
        <v>4</v>
      </c>
      <c r="S257" s="857"/>
      <c r="T257" s="857"/>
      <c r="U257" s="857"/>
      <c r="V257" s="857">
        <v>4</v>
      </c>
      <c r="W257" s="857"/>
      <c r="X257" s="857"/>
      <c r="Y257" s="857">
        <v>4</v>
      </c>
      <c r="Z257" s="559">
        <f t="shared" si="43"/>
        <v>0</v>
      </c>
      <c r="AA257" s="559">
        <f t="shared" si="47"/>
        <v>100</v>
      </c>
      <c r="AB257" s="893"/>
      <c r="AC257" s="491" t="s">
        <v>1665</v>
      </c>
      <c r="AF257" s="466"/>
      <c r="AG257" s="465"/>
      <c r="AH257" s="465"/>
    </row>
    <row r="258" spans="1:34" s="492" customFormat="1" ht="14.25" hidden="1" x14ac:dyDescent="0.2">
      <c r="A258" s="1240"/>
      <c r="B258" s="865" t="s">
        <v>1903</v>
      </c>
      <c r="C258" s="508" t="s">
        <v>797</v>
      </c>
      <c r="D258" s="932"/>
      <c r="E258" s="842"/>
      <c r="F258" s="828"/>
      <c r="G258" s="829"/>
      <c r="H258" s="542">
        <f>SUM(H259:H263)</f>
        <v>15.9</v>
      </c>
      <c r="I258" s="533"/>
      <c r="J258" s="533"/>
      <c r="K258" s="542">
        <f>SUM(K259:K263)</f>
        <v>7.3</v>
      </c>
      <c r="L258" s="533"/>
      <c r="M258" s="533"/>
      <c r="N258" s="542">
        <f>SUM(N259:N263)</f>
        <v>7.3</v>
      </c>
      <c r="O258" s="533"/>
      <c r="P258" s="533"/>
      <c r="Q258" s="533">
        <f>SUM(Q259:Q263)</f>
        <v>10</v>
      </c>
      <c r="R258" s="533">
        <f t="shared" si="42"/>
        <v>10</v>
      </c>
      <c r="S258" s="533"/>
      <c r="T258" s="533"/>
      <c r="U258" s="533"/>
      <c r="V258" s="533">
        <f>SUM(V259:V263)</f>
        <v>10</v>
      </c>
      <c r="W258" s="533"/>
      <c r="X258" s="533"/>
      <c r="Y258" s="533">
        <f>SUM(Y259:Y263)</f>
        <v>10</v>
      </c>
      <c r="Z258" s="542">
        <f t="shared" si="43"/>
        <v>2.7</v>
      </c>
      <c r="AA258" s="542">
        <f t="shared" si="47"/>
        <v>137</v>
      </c>
      <c r="AB258" s="893"/>
      <c r="AC258" s="491" t="s">
        <v>1665</v>
      </c>
      <c r="AF258" s="466"/>
      <c r="AG258" s="466"/>
      <c r="AH258" s="466"/>
    </row>
    <row r="259" spans="1:34" s="492" customFormat="1" ht="14.25" hidden="1" x14ac:dyDescent="0.2">
      <c r="A259" s="1240"/>
      <c r="B259" s="502" t="s">
        <v>1860</v>
      </c>
      <c r="C259" s="503"/>
      <c r="D259" s="932"/>
      <c r="E259" s="842"/>
      <c r="F259" s="857">
        <v>48</v>
      </c>
      <c r="G259" s="857">
        <v>0.1</v>
      </c>
      <c r="H259" s="857">
        <f>F259*G259</f>
        <v>4.8</v>
      </c>
      <c r="I259" s="857">
        <v>48</v>
      </c>
      <c r="J259" s="862">
        <v>0.05</v>
      </c>
      <c r="K259" s="857">
        <f>I259*J259</f>
        <v>2.4</v>
      </c>
      <c r="L259" s="857">
        <v>48</v>
      </c>
      <c r="M259" s="862">
        <v>0.05</v>
      </c>
      <c r="N259" s="857">
        <f>L259*M259</f>
        <v>2.4</v>
      </c>
      <c r="O259" s="857"/>
      <c r="P259" s="857"/>
      <c r="Q259" s="857"/>
      <c r="R259" s="857">
        <f t="shared" si="42"/>
        <v>0</v>
      </c>
      <c r="S259" s="857"/>
      <c r="T259" s="857"/>
      <c r="U259" s="857"/>
      <c r="V259" s="857"/>
      <c r="W259" s="857"/>
      <c r="X259" s="857"/>
      <c r="Y259" s="857"/>
      <c r="Z259" s="559">
        <f t="shared" si="43"/>
        <v>-2.4</v>
      </c>
      <c r="AA259" s="559">
        <f t="shared" si="47"/>
        <v>0</v>
      </c>
      <c r="AB259" s="893"/>
      <c r="AC259" s="491" t="s">
        <v>1665</v>
      </c>
      <c r="AF259" s="466"/>
      <c r="AG259" s="466"/>
      <c r="AH259" s="466"/>
    </row>
    <row r="260" spans="1:34" s="498" customFormat="1" ht="51.75" hidden="1" x14ac:dyDescent="0.25">
      <c r="A260" s="962"/>
      <c r="B260" s="502" t="s">
        <v>1904</v>
      </c>
      <c r="C260" s="503"/>
      <c r="D260" s="903"/>
      <c r="E260" s="1031" t="s">
        <v>227</v>
      </c>
      <c r="F260" s="857"/>
      <c r="G260" s="857"/>
      <c r="H260" s="857"/>
      <c r="I260" s="857"/>
      <c r="J260" s="857"/>
      <c r="K260" s="857">
        <f>I260*J260</f>
        <v>0</v>
      </c>
      <c r="L260" s="857"/>
      <c r="M260" s="857"/>
      <c r="N260" s="857">
        <f>L260*M260</f>
        <v>0</v>
      </c>
      <c r="O260" s="857">
        <v>25</v>
      </c>
      <c r="P260" s="857">
        <v>0.4</v>
      </c>
      <c r="Q260" s="857">
        <f>O260*P260</f>
        <v>10</v>
      </c>
      <c r="R260" s="857">
        <f t="shared" si="42"/>
        <v>10</v>
      </c>
      <c r="S260" s="857"/>
      <c r="T260" s="857">
        <v>25</v>
      </c>
      <c r="U260" s="857">
        <v>0.4</v>
      </c>
      <c r="V260" s="857">
        <f>T260*U260</f>
        <v>10</v>
      </c>
      <c r="W260" s="857">
        <v>25</v>
      </c>
      <c r="X260" s="857">
        <v>0.4</v>
      </c>
      <c r="Y260" s="857">
        <f>W260*X260</f>
        <v>10</v>
      </c>
      <c r="Z260" s="559">
        <f t="shared" si="43"/>
        <v>10</v>
      </c>
      <c r="AA260" s="559" t="str">
        <f t="shared" si="47"/>
        <v>-</v>
      </c>
      <c r="AB260" s="893" t="s">
        <v>1905</v>
      </c>
      <c r="AC260" s="491" t="s">
        <v>1665</v>
      </c>
      <c r="AF260" s="466"/>
      <c r="AG260" s="465"/>
      <c r="AH260" s="465"/>
    </row>
    <row r="261" spans="1:34" s="498" customFormat="1" ht="38.25" hidden="1" x14ac:dyDescent="0.25">
      <c r="A261" s="962"/>
      <c r="B261" s="502" t="s">
        <v>1906</v>
      </c>
      <c r="C261" s="499"/>
      <c r="D261" s="903"/>
      <c r="E261" s="1031" t="s">
        <v>227</v>
      </c>
      <c r="F261" s="857">
        <v>1</v>
      </c>
      <c r="G261" s="857">
        <v>4.7</v>
      </c>
      <c r="H261" s="857">
        <f>F261*G261</f>
        <v>4.7</v>
      </c>
      <c r="I261" s="857">
        <v>2</v>
      </c>
      <c r="J261" s="857">
        <v>0.2</v>
      </c>
      <c r="K261" s="857">
        <f>I261*J261</f>
        <v>0.4</v>
      </c>
      <c r="L261" s="857">
        <v>2</v>
      </c>
      <c r="M261" s="857">
        <v>0.2</v>
      </c>
      <c r="N261" s="857">
        <f>L261*M261</f>
        <v>0.4</v>
      </c>
      <c r="O261" s="857"/>
      <c r="P261" s="857"/>
      <c r="Q261" s="857"/>
      <c r="R261" s="857">
        <f t="shared" si="42"/>
        <v>0</v>
      </c>
      <c r="S261" s="857"/>
      <c r="T261" s="857"/>
      <c r="U261" s="857"/>
      <c r="V261" s="857"/>
      <c r="W261" s="857"/>
      <c r="X261" s="857"/>
      <c r="Y261" s="857"/>
      <c r="Z261" s="559">
        <f t="shared" si="43"/>
        <v>-0.4</v>
      </c>
      <c r="AA261" s="559">
        <f t="shared" si="47"/>
        <v>0</v>
      </c>
      <c r="AB261" s="901" t="s">
        <v>1907</v>
      </c>
      <c r="AC261" s="491" t="s">
        <v>1665</v>
      </c>
      <c r="AF261" s="466"/>
      <c r="AG261" s="465"/>
      <c r="AH261" s="465"/>
    </row>
    <row r="262" spans="1:34" s="498" customFormat="1" hidden="1" x14ac:dyDescent="0.25">
      <c r="A262" s="962"/>
      <c r="B262" s="856" t="s">
        <v>1908</v>
      </c>
      <c r="C262" s="499"/>
      <c r="D262" s="903"/>
      <c r="E262" s="1031" t="s">
        <v>227</v>
      </c>
      <c r="F262" s="857">
        <v>2</v>
      </c>
      <c r="G262" s="857">
        <v>0.2</v>
      </c>
      <c r="H262" s="857">
        <f>F262*G262</f>
        <v>0.4</v>
      </c>
      <c r="I262" s="857"/>
      <c r="J262" s="857"/>
      <c r="K262" s="857"/>
      <c r="L262" s="857"/>
      <c r="M262" s="857"/>
      <c r="N262" s="857"/>
      <c r="O262" s="857"/>
      <c r="P262" s="857"/>
      <c r="Q262" s="857"/>
      <c r="R262" s="857">
        <f t="shared" si="42"/>
        <v>0</v>
      </c>
      <c r="S262" s="857"/>
      <c r="T262" s="857"/>
      <c r="U262" s="857"/>
      <c r="V262" s="857"/>
      <c r="W262" s="857"/>
      <c r="X262" s="857"/>
      <c r="Y262" s="857"/>
      <c r="Z262" s="559">
        <f t="shared" si="43"/>
        <v>0</v>
      </c>
      <c r="AA262" s="559" t="str">
        <f t="shared" si="47"/>
        <v>-</v>
      </c>
      <c r="AB262" s="1923"/>
      <c r="AC262" s="491" t="s">
        <v>1665</v>
      </c>
      <c r="AF262" s="466"/>
      <c r="AG262" s="465"/>
      <c r="AH262" s="465"/>
    </row>
    <row r="263" spans="1:34" s="498" customFormat="1" hidden="1" x14ac:dyDescent="0.25">
      <c r="A263" s="962"/>
      <c r="B263" s="856" t="s">
        <v>1909</v>
      </c>
      <c r="C263" s="499"/>
      <c r="D263" s="903"/>
      <c r="E263" s="1031" t="s">
        <v>227</v>
      </c>
      <c r="F263" s="857">
        <v>60</v>
      </c>
      <c r="G263" s="857">
        <v>0.1</v>
      </c>
      <c r="H263" s="857">
        <f>F263*G263</f>
        <v>6</v>
      </c>
      <c r="I263" s="857">
        <v>22.5</v>
      </c>
      <c r="J263" s="857">
        <v>0.2</v>
      </c>
      <c r="K263" s="857">
        <f>I263*J263</f>
        <v>4.5</v>
      </c>
      <c r="L263" s="857">
        <v>22.5</v>
      </c>
      <c r="M263" s="857">
        <v>0.2</v>
      </c>
      <c r="N263" s="857">
        <f>L263*M263</f>
        <v>4.5</v>
      </c>
      <c r="O263" s="857"/>
      <c r="P263" s="857"/>
      <c r="Q263" s="857"/>
      <c r="R263" s="857">
        <f t="shared" si="42"/>
        <v>0</v>
      </c>
      <c r="S263" s="857"/>
      <c r="T263" s="857"/>
      <c r="U263" s="857"/>
      <c r="V263" s="857"/>
      <c r="W263" s="857"/>
      <c r="X263" s="857"/>
      <c r="Y263" s="857"/>
      <c r="Z263" s="559">
        <f t="shared" si="43"/>
        <v>-4.5</v>
      </c>
      <c r="AA263" s="559">
        <f t="shared" si="47"/>
        <v>0</v>
      </c>
      <c r="AB263" s="827"/>
      <c r="AC263" s="491" t="s">
        <v>1665</v>
      </c>
      <c r="AF263" s="466"/>
      <c r="AG263" s="465"/>
      <c r="AH263" s="465"/>
    </row>
    <row r="264" spans="1:34" s="498" customFormat="1" ht="38.25" hidden="1" x14ac:dyDescent="0.25">
      <c r="A264" s="962"/>
      <c r="B264" s="865" t="s">
        <v>1910</v>
      </c>
      <c r="C264" s="508" t="s">
        <v>797</v>
      </c>
      <c r="D264" s="903"/>
      <c r="E264" s="1031" t="s">
        <v>1240</v>
      </c>
      <c r="F264" s="497"/>
      <c r="G264" s="497"/>
      <c r="H264" s="497"/>
      <c r="I264" s="497"/>
      <c r="J264" s="497"/>
      <c r="K264" s="497"/>
      <c r="L264" s="497"/>
      <c r="M264" s="497"/>
      <c r="N264" s="497"/>
      <c r="O264" s="857"/>
      <c r="P264" s="857"/>
      <c r="Q264" s="533"/>
      <c r="R264" s="533">
        <f t="shared" si="42"/>
        <v>0</v>
      </c>
      <c r="S264" s="533"/>
      <c r="T264" s="857"/>
      <c r="U264" s="857"/>
      <c r="V264" s="533"/>
      <c r="W264" s="857"/>
      <c r="X264" s="857"/>
      <c r="Y264" s="533"/>
      <c r="Z264" s="559">
        <f t="shared" si="43"/>
        <v>0</v>
      </c>
      <c r="AA264" s="559" t="str">
        <f t="shared" si="47"/>
        <v>-</v>
      </c>
      <c r="AB264" s="900" t="s">
        <v>1911</v>
      </c>
      <c r="AC264" s="491" t="s">
        <v>1665</v>
      </c>
      <c r="AF264" s="466"/>
      <c r="AG264" s="465"/>
      <c r="AH264" s="465"/>
    </row>
    <row r="265" spans="1:34" s="492" customFormat="1" ht="51" hidden="1" x14ac:dyDescent="0.2">
      <c r="A265" s="1240"/>
      <c r="B265" s="500" t="s">
        <v>1869</v>
      </c>
      <c r="C265" s="501" t="s">
        <v>797</v>
      </c>
      <c r="D265" s="932"/>
      <c r="E265" s="842" t="s">
        <v>227</v>
      </c>
      <c r="F265" s="828">
        <v>50</v>
      </c>
      <c r="G265" s="829">
        <v>7.0000000000000007E-2</v>
      </c>
      <c r="H265" s="542">
        <f>F265*G265</f>
        <v>3.5</v>
      </c>
      <c r="I265" s="533">
        <v>68</v>
      </c>
      <c r="J265" s="533">
        <v>0.1</v>
      </c>
      <c r="K265" s="533">
        <f>I265*J265</f>
        <v>6.8</v>
      </c>
      <c r="L265" s="533">
        <v>68</v>
      </c>
      <c r="M265" s="533">
        <v>0.1</v>
      </c>
      <c r="N265" s="533">
        <f>L265*M265</f>
        <v>6.8</v>
      </c>
      <c r="O265" s="533">
        <v>68</v>
      </c>
      <c r="P265" s="533">
        <v>0.1</v>
      </c>
      <c r="Q265" s="533">
        <f>O265*P265</f>
        <v>6.8</v>
      </c>
      <c r="R265" s="533">
        <f t="shared" si="42"/>
        <v>6.8</v>
      </c>
      <c r="S265" s="533"/>
      <c r="T265" s="533">
        <v>68</v>
      </c>
      <c r="U265" s="533">
        <v>0.1</v>
      </c>
      <c r="V265" s="533">
        <f>T265*U265</f>
        <v>6.8</v>
      </c>
      <c r="W265" s="533">
        <v>68</v>
      </c>
      <c r="X265" s="533">
        <v>0.1</v>
      </c>
      <c r="Y265" s="533">
        <f>W265*X265</f>
        <v>6.8</v>
      </c>
      <c r="Z265" s="542">
        <f t="shared" si="43"/>
        <v>0</v>
      </c>
      <c r="AA265" s="542">
        <f t="shared" si="47"/>
        <v>100</v>
      </c>
      <c r="AB265" s="827" t="s">
        <v>1912</v>
      </c>
      <c r="AC265" s="491" t="s">
        <v>1665</v>
      </c>
      <c r="AF265" s="466"/>
      <c r="AG265" s="466"/>
      <c r="AH265" s="466"/>
    </row>
    <row r="266" spans="1:34" s="492" customFormat="1" ht="14.25" hidden="1" x14ac:dyDescent="0.2">
      <c r="A266" s="1240"/>
      <c r="B266" s="500" t="s">
        <v>1233</v>
      </c>
      <c r="C266" s="501" t="s">
        <v>1230</v>
      </c>
      <c r="D266" s="932"/>
      <c r="E266" s="842"/>
      <c r="F266" s="533"/>
      <c r="G266" s="533"/>
      <c r="H266" s="533">
        <f>SUM(H267:H278)</f>
        <v>51.6</v>
      </c>
      <c r="I266" s="533"/>
      <c r="J266" s="533"/>
      <c r="K266" s="533">
        <f>SUM(K267:K278)</f>
        <v>48.3</v>
      </c>
      <c r="L266" s="533"/>
      <c r="M266" s="533"/>
      <c r="N266" s="533">
        <f>SUM(N267:N278)</f>
        <v>48.3</v>
      </c>
      <c r="O266" s="533"/>
      <c r="P266" s="533"/>
      <c r="Q266" s="533">
        <f>SUM(Q267:Q278)</f>
        <v>60</v>
      </c>
      <c r="R266" s="533">
        <f t="shared" si="42"/>
        <v>60</v>
      </c>
      <c r="S266" s="533"/>
      <c r="T266" s="533"/>
      <c r="U266" s="533"/>
      <c r="V266" s="533">
        <f>SUM(V267:V278)</f>
        <v>59.9</v>
      </c>
      <c r="W266" s="533"/>
      <c r="X266" s="533"/>
      <c r="Y266" s="533">
        <f>SUM(Y267:Y278)</f>
        <v>59.9</v>
      </c>
      <c r="Z266" s="542">
        <f t="shared" si="43"/>
        <v>11.7</v>
      </c>
      <c r="AA266" s="542">
        <f t="shared" si="47"/>
        <v>124.2</v>
      </c>
      <c r="AB266" s="893"/>
      <c r="AC266" s="491" t="s">
        <v>1665</v>
      </c>
      <c r="AF266" s="466"/>
      <c r="AG266" s="466"/>
      <c r="AH266" s="466"/>
    </row>
    <row r="267" spans="1:34" s="492" customFormat="1" ht="14.25" hidden="1" x14ac:dyDescent="0.2">
      <c r="A267" s="1240"/>
      <c r="B267" s="502" t="s">
        <v>1519</v>
      </c>
      <c r="C267" s="503"/>
      <c r="D267" s="932"/>
      <c r="E267" s="874" t="s">
        <v>318</v>
      </c>
      <c r="F267" s="857">
        <v>1</v>
      </c>
      <c r="G267" s="857">
        <v>3.5</v>
      </c>
      <c r="H267" s="682">
        <f t="shared" ref="H267:H272" si="48">F267*G267</f>
        <v>3.5</v>
      </c>
      <c r="I267" s="857">
        <v>1</v>
      </c>
      <c r="J267" s="857">
        <v>3.5</v>
      </c>
      <c r="K267" s="682">
        <f t="shared" ref="K267:K272" si="49">I267*J267</f>
        <v>3.5</v>
      </c>
      <c r="L267" s="857">
        <v>1</v>
      </c>
      <c r="M267" s="857">
        <v>3.5</v>
      </c>
      <c r="N267" s="682">
        <f t="shared" ref="N267:N272" si="50">L267*M267</f>
        <v>3.5</v>
      </c>
      <c r="O267" s="857">
        <v>1</v>
      </c>
      <c r="P267" s="857">
        <v>3.5</v>
      </c>
      <c r="Q267" s="682">
        <f>O267*P267</f>
        <v>3.5</v>
      </c>
      <c r="R267" s="682">
        <f t="shared" si="42"/>
        <v>3.5</v>
      </c>
      <c r="S267" s="682"/>
      <c r="T267" s="857">
        <v>1</v>
      </c>
      <c r="U267" s="857">
        <v>3.5</v>
      </c>
      <c r="V267" s="682">
        <f>T267*U267</f>
        <v>3.5</v>
      </c>
      <c r="W267" s="857">
        <v>1</v>
      </c>
      <c r="X267" s="857">
        <v>3.5</v>
      </c>
      <c r="Y267" s="682">
        <f>W267*X267</f>
        <v>3.5</v>
      </c>
      <c r="Z267" s="812">
        <f t="shared" si="43"/>
        <v>0</v>
      </c>
      <c r="AA267" s="812">
        <f t="shared" si="47"/>
        <v>100</v>
      </c>
      <c r="AB267" s="1924"/>
      <c r="AC267" s="491" t="s">
        <v>1665</v>
      </c>
      <c r="AF267" s="466"/>
      <c r="AG267" s="466"/>
      <c r="AH267" s="466"/>
    </row>
    <row r="268" spans="1:34" s="492" customFormat="1" ht="38.25" hidden="1" x14ac:dyDescent="0.2">
      <c r="A268" s="1240"/>
      <c r="B268" s="502" t="s">
        <v>1686</v>
      </c>
      <c r="C268" s="503"/>
      <c r="D268" s="932"/>
      <c r="E268" s="874" t="s">
        <v>318</v>
      </c>
      <c r="F268" s="857">
        <v>2</v>
      </c>
      <c r="G268" s="857">
        <v>2.2999999999999998</v>
      </c>
      <c r="H268" s="682">
        <f t="shared" si="48"/>
        <v>4.5999999999999996</v>
      </c>
      <c r="I268" s="857">
        <v>1</v>
      </c>
      <c r="J268" s="857">
        <v>2.2999999999999998</v>
      </c>
      <c r="K268" s="682">
        <f t="shared" si="49"/>
        <v>2.2999999999999998</v>
      </c>
      <c r="L268" s="857">
        <v>1</v>
      </c>
      <c r="M268" s="857">
        <v>2.2999999999999998</v>
      </c>
      <c r="N268" s="682">
        <f t="shared" si="50"/>
        <v>2.2999999999999998</v>
      </c>
      <c r="O268" s="857">
        <v>2</v>
      </c>
      <c r="P268" s="857">
        <v>2.2999999999999998</v>
      </c>
      <c r="Q268" s="682">
        <f>O268*P268</f>
        <v>4.5999999999999996</v>
      </c>
      <c r="R268" s="682">
        <f t="shared" si="42"/>
        <v>4.5999999999999996</v>
      </c>
      <c r="S268" s="682"/>
      <c r="T268" s="857">
        <v>2</v>
      </c>
      <c r="U268" s="857">
        <v>2.2999999999999998</v>
      </c>
      <c r="V268" s="682">
        <f>T268*U268</f>
        <v>4.5999999999999996</v>
      </c>
      <c r="W268" s="857">
        <v>2</v>
      </c>
      <c r="X268" s="857">
        <v>2.2999999999999998</v>
      </c>
      <c r="Y268" s="682">
        <f>W268*X268</f>
        <v>4.5999999999999996</v>
      </c>
      <c r="Z268" s="812">
        <f t="shared" si="43"/>
        <v>2.2999999999999998</v>
      </c>
      <c r="AA268" s="812">
        <f t="shared" si="47"/>
        <v>200</v>
      </c>
      <c r="AB268" s="1924" t="s">
        <v>1913</v>
      </c>
      <c r="AC268" s="491" t="s">
        <v>1665</v>
      </c>
      <c r="AF268" s="466"/>
      <c r="AG268" s="466"/>
      <c r="AH268" s="466"/>
    </row>
    <row r="269" spans="1:34" s="498" customFormat="1" hidden="1" x14ac:dyDescent="0.25">
      <c r="A269" s="962"/>
      <c r="B269" s="502" t="s">
        <v>1879</v>
      </c>
      <c r="C269" s="503"/>
      <c r="D269" s="903"/>
      <c r="E269" s="1031" t="s">
        <v>318</v>
      </c>
      <c r="F269" s="857">
        <v>5</v>
      </c>
      <c r="G269" s="857">
        <v>1.8</v>
      </c>
      <c r="H269" s="682">
        <f t="shared" si="48"/>
        <v>9</v>
      </c>
      <c r="I269" s="857">
        <v>5</v>
      </c>
      <c r="J269" s="857">
        <v>1.8</v>
      </c>
      <c r="K269" s="682">
        <f t="shared" si="49"/>
        <v>9</v>
      </c>
      <c r="L269" s="857">
        <v>5</v>
      </c>
      <c r="M269" s="857">
        <v>1.8</v>
      </c>
      <c r="N269" s="682">
        <f t="shared" si="50"/>
        <v>9</v>
      </c>
      <c r="O269" s="857"/>
      <c r="P269" s="857"/>
      <c r="Q269" s="682"/>
      <c r="R269" s="682">
        <f t="shared" si="42"/>
        <v>0</v>
      </c>
      <c r="S269" s="682"/>
      <c r="T269" s="857"/>
      <c r="U269" s="857"/>
      <c r="V269" s="682"/>
      <c r="W269" s="857"/>
      <c r="X269" s="857"/>
      <c r="Y269" s="682"/>
      <c r="Z269" s="812">
        <f t="shared" si="43"/>
        <v>-9</v>
      </c>
      <c r="AA269" s="812">
        <f t="shared" si="47"/>
        <v>0</v>
      </c>
      <c r="AB269" s="1924"/>
      <c r="AC269" s="491" t="s">
        <v>1665</v>
      </c>
      <c r="AF269" s="466"/>
      <c r="AG269" s="465"/>
      <c r="AH269" s="465"/>
    </row>
    <row r="270" spans="1:34" s="498" customFormat="1" hidden="1" x14ac:dyDescent="0.25">
      <c r="A270" s="962"/>
      <c r="B270" s="502" t="s">
        <v>1839</v>
      </c>
      <c r="C270" s="503"/>
      <c r="D270" s="903"/>
      <c r="E270" s="1031" t="s">
        <v>318</v>
      </c>
      <c r="F270" s="857">
        <v>4</v>
      </c>
      <c r="G270" s="857">
        <v>2.2999999999999998</v>
      </c>
      <c r="H270" s="682">
        <f t="shared" si="48"/>
        <v>9.1999999999999993</v>
      </c>
      <c r="I270" s="857">
        <v>4</v>
      </c>
      <c r="J270" s="857">
        <v>2.2999999999999998</v>
      </c>
      <c r="K270" s="682">
        <f t="shared" si="49"/>
        <v>9.1999999999999993</v>
      </c>
      <c r="L270" s="857">
        <v>4</v>
      </c>
      <c r="M270" s="857">
        <v>2.2999999999999998</v>
      </c>
      <c r="N270" s="682">
        <f t="shared" si="50"/>
        <v>9.1999999999999993</v>
      </c>
      <c r="O270" s="857">
        <v>4</v>
      </c>
      <c r="P270" s="857">
        <v>1.7</v>
      </c>
      <c r="Q270" s="682">
        <f>O270*P270</f>
        <v>6.8</v>
      </c>
      <c r="R270" s="682">
        <f t="shared" si="42"/>
        <v>6.8</v>
      </c>
      <c r="S270" s="682"/>
      <c r="T270" s="857">
        <v>4</v>
      </c>
      <c r="U270" s="857">
        <v>1.7</v>
      </c>
      <c r="V270" s="682">
        <f>T270*U270</f>
        <v>6.8</v>
      </c>
      <c r="W270" s="857">
        <v>4</v>
      </c>
      <c r="X270" s="857">
        <v>1.7</v>
      </c>
      <c r="Y270" s="682">
        <f>W270*X270</f>
        <v>6.8</v>
      </c>
      <c r="Z270" s="812">
        <f t="shared" si="43"/>
        <v>-2.4</v>
      </c>
      <c r="AA270" s="812">
        <f t="shared" si="47"/>
        <v>73.900000000000006</v>
      </c>
      <c r="AB270" s="1924"/>
      <c r="AC270" s="491" t="s">
        <v>1665</v>
      </c>
      <c r="AF270" s="466"/>
      <c r="AG270" s="465"/>
      <c r="AH270" s="465"/>
    </row>
    <row r="271" spans="1:34" s="498" customFormat="1" hidden="1" x14ac:dyDescent="0.25">
      <c r="A271" s="962"/>
      <c r="B271" s="502" t="s">
        <v>1683</v>
      </c>
      <c r="C271" s="503"/>
      <c r="D271" s="903"/>
      <c r="E271" s="1031" t="s">
        <v>318</v>
      </c>
      <c r="F271" s="857">
        <v>1</v>
      </c>
      <c r="G271" s="857">
        <v>2</v>
      </c>
      <c r="H271" s="682">
        <f t="shared" si="48"/>
        <v>2</v>
      </c>
      <c r="I271" s="857">
        <v>1</v>
      </c>
      <c r="J271" s="682">
        <v>2</v>
      </c>
      <c r="K271" s="682">
        <f>I271*J271</f>
        <v>2</v>
      </c>
      <c r="L271" s="857">
        <v>1</v>
      </c>
      <c r="M271" s="682">
        <v>2</v>
      </c>
      <c r="N271" s="682">
        <f t="shared" si="50"/>
        <v>2</v>
      </c>
      <c r="O271" s="857"/>
      <c r="P271" s="682"/>
      <c r="Q271" s="682"/>
      <c r="R271" s="682">
        <f t="shared" si="42"/>
        <v>0</v>
      </c>
      <c r="S271" s="682"/>
      <c r="T271" s="857"/>
      <c r="U271" s="682"/>
      <c r="V271" s="682"/>
      <c r="W271" s="857"/>
      <c r="X271" s="682"/>
      <c r="Y271" s="682"/>
      <c r="Z271" s="812">
        <f t="shared" si="43"/>
        <v>-2</v>
      </c>
      <c r="AA271" s="812">
        <f t="shared" si="47"/>
        <v>0</v>
      </c>
      <c r="AB271" s="893"/>
      <c r="AC271" s="491" t="s">
        <v>1665</v>
      </c>
      <c r="AF271" s="466"/>
      <c r="AG271" s="465"/>
      <c r="AH271" s="465"/>
    </row>
    <row r="272" spans="1:34" s="498" customFormat="1" ht="89.25" hidden="1" x14ac:dyDescent="0.25">
      <c r="A272" s="962"/>
      <c r="B272" s="502" t="s">
        <v>1914</v>
      </c>
      <c r="C272" s="503"/>
      <c r="D272" s="903"/>
      <c r="E272" s="1031" t="s">
        <v>318</v>
      </c>
      <c r="F272" s="857">
        <v>1</v>
      </c>
      <c r="G272" s="857">
        <v>12.3</v>
      </c>
      <c r="H272" s="682">
        <f t="shared" si="48"/>
        <v>12.3</v>
      </c>
      <c r="I272" s="857">
        <v>2</v>
      </c>
      <c r="J272" s="857">
        <v>6</v>
      </c>
      <c r="K272" s="682">
        <f t="shared" si="49"/>
        <v>12</v>
      </c>
      <c r="L272" s="857">
        <v>2</v>
      </c>
      <c r="M272" s="857">
        <v>6</v>
      </c>
      <c r="N272" s="682">
        <f t="shared" si="50"/>
        <v>12</v>
      </c>
      <c r="O272" s="857">
        <v>1</v>
      </c>
      <c r="P272" s="857">
        <v>5</v>
      </c>
      <c r="Q272" s="682">
        <f>O272*P272</f>
        <v>5</v>
      </c>
      <c r="R272" s="682">
        <f t="shared" si="42"/>
        <v>5</v>
      </c>
      <c r="S272" s="682"/>
      <c r="T272" s="857">
        <v>1</v>
      </c>
      <c r="U272" s="857">
        <v>5</v>
      </c>
      <c r="V272" s="682">
        <f>T272*U272</f>
        <v>5</v>
      </c>
      <c r="W272" s="857">
        <v>1</v>
      </c>
      <c r="X272" s="857">
        <v>5</v>
      </c>
      <c r="Y272" s="682">
        <f>W272*X272</f>
        <v>5</v>
      </c>
      <c r="Z272" s="812">
        <f t="shared" si="43"/>
        <v>-7</v>
      </c>
      <c r="AA272" s="812">
        <f t="shared" si="47"/>
        <v>41.7</v>
      </c>
      <c r="AB272" s="843" t="s">
        <v>1915</v>
      </c>
      <c r="AC272" s="491" t="s">
        <v>1665</v>
      </c>
      <c r="AF272" s="466"/>
      <c r="AG272" s="465"/>
      <c r="AH272" s="465"/>
    </row>
    <row r="273" spans="1:34" s="498" customFormat="1" hidden="1" x14ac:dyDescent="0.25">
      <c r="A273" s="962"/>
      <c r="B273" s="900" t="s">
        <v>1880</v>
      </c>
      <c r="C273" s="1925"/>
      <c r="D273" s="1926"/>
      <c r="E273" s="1927" t="s">
        <v>1837</v>
      </c>
      <c r="F273" s="1928"/>
      <c r="G273" s="1928"/>
      <c r="H273" s="1929">
        <v>0</v>
      </c>
      <c r="I273" s="1928"/>
      <c r="J273" s="1928"/>
      <c r="K273" s="1929">
        <v>0</v>
      </c>
      <c r="L273" s="1928"/>
      <c r="M273" s="1928"/>
      <c r="N273" s="1929">
        <v>0</v>
      </c>
      <c r="O273" s="1928">
        <v>1</v>
      </c>
      <c r="P273" s="1928">
        <v>4</v>
      </c>
      <c r="Q273" s="1929">
        <f t="shared" ref="Q273:Q277" si="51">P273*O273</f>
        <v>4</v>
      </c>
      <c r="R273" s="1929">
        <f t="shared" si="42"/>
        <v>4</v>
      </c>
      <c r="S273" s="1929"/>
      <c r="T273" s="1928">
        <v>1</v>
      </c>
      <c r="U273" s="1928">
        <v>4</v>
      </c>
      <c r="V273" s="1929">
        <f t="shared" ref="V273" si="52">U273*T273</f>
        <v>4</v>
      </c>
      <c r="W273" s="1928">
        <v>1</v>
      </c>
      <c r="X273" s="1928">
        <v>4</v>
      </c>
      <c r="Y273" s="1929">
        <f t="shared" ref="Y273" si="53">X273*W273</f>
        <v>4</v>
      </c>
      <c r="Z273" s="1929">
        <f t="shared" si="43"/>
        <v>4</v>
      </c>
      <c r="AA273" s="1929" t="str">
        <f t="shared" si="47"/>
        <v>-</v>
      </c>
      <c r="AB273" s="3514" t="s">
        <v>1916</v>
      </c>
      <c r="AC273" s="491" t="s">
        <v>1665</v>
      </c>
      <c r="AF273" s="466"/>
      <c r="AG273" s="465"/>
      <c r="AH273" s="465"/>
    </row>
    <row r="274" spans="1:34" s="498" customFormat="1" hidden="1" x14ac:dyDescent="0.25">
      <c r="A274" s="962"/>
      <c r="B274" s="1041" t="s">
        <v>1917</v>
      </c>
      <c r="C274" s="830"/>
      <c r="D274" s="1926"/>
      <c r="E274" s="1930" t="s">
        <v>318</v>
      </c>
      <c r="F274" s="1929"/>
      <c r="G274" s="1929"/>
      <c r="H274" s="1928"/>
      <c r="I274" s="1929"/>
      <c r="J274" s="1929"/>
      <c r="K274" s="1928"/>
      <c r="L274" s="1929"/>
      <c r="M274" s="1929"/>
      <c r="N274" s="1928"/>
      <c r="O274" s="1929">
        <v>3</v>
      </c>
      <c r="P274" s="1929">
        <v>3.5</v>
      </c>
      <c r="Q274" s="1929">
        <f t="shared" si="51"/>
        <v>10.5</v>
      </c>
      <c r="R274" s="1929">
        <f t="shared" si="42"/>
        <v>10.5</v>
      </c>
      <c r="S274" s="1929"/>
      <c r="T274" s="1929">
        <v>3</v>
      </c>
      <c r="U274" s="1929">
        <v>3.5</v>
      </c>
      <c r="V274" s="1928">
        <f t="shared" ref="V274" si="54">T274*U274</f>
        <v>10.5</v>
      </c>
      <c r="W274" s="1929">
        <v>3</v>
      </c>
      <c r="X274" s="1929">
        <v>3.5</v>
      </c>
      <c r="Y274" s="1928">
        <f t="shared" ref="Y274" si="55">W274*X274</f>
        <v>10.5</v>
      </c>
      <c r="Z274" s="1928">
        <f t="shared" si="43"/>
        <v>10.5</v>
      </c>
      <c r="AA274" s="1928" t="str">
        <f t="shared" si="47"/>
        <v>-</v>
      </c>
      <c r="AB274" s="3515"/>
      <c r="AC274" s="491" t="s">
        <v>1665</v>
      </c>
      <c r="AF274" s="466"/>
      <c r="AG274" s="465"/>
      <c r="AH274" s="465"/>
    </row>
    <row r="275" spans="1:34" s="498" customFormat="1" hidden="1" x14ac:dyDescent="0.25">
      <c r="A275" s="962"/>
      <c r="B275" s="900" t="s">
        <v>1826</v>
      </c>
      <c r="C275" s="830"/>
      <c r="D275" s="1926"/>
      <c r="E275" s="1930" t="s">
        <v>318</v>
      </c>
      <c r="F275" s="1929"/>
      <c r="G275" s="1929"/>
      <c r="H275" s="1928"/>
      <c r="I275" s="1929"/>
      <c r="J275" s="1929"/>
      <c r="K275" s="1928"/>
      <c r="L275" s="1929"/>
      <c r="M275" s="1929"/>
      <c r="N275" s="1928"/>
      <c r="O275" s="1929">
        <v>1</v>
      </c>
      <c r="P275" s="1929">
        <v>2.2999999999999998</v>
      </c>
      <c r="Q275" s="1929">
        <f t="shared" si="51"/>
        <v>2.2999999999999998</v>
      </c>
      <c r="R275" s="1929">
        <f t="shared" ref="R275:R338" si="56">Q275</f>
        <v>2.2999999999999998</v>
      </c>
      <c r="S275" s="1929"/>
      <c r="T275" s="1929">
        <v>1</v>
      </c>
      <c r="U275" s="1929">
        <v>2.2999999999999998</v>
      </c>
      <c r="V275" s="1928">
        <v>2.2999999999999998</v>
      </c>
      <c r="W275" s="1929">
        <v>1</v>
      </c>
      <c r="X275" s="1929">
        <v>2.2999999999999998</v>
      </c>
      <c r="Y275" s="1928">
        <v>2.2999999999999998</v>
      </c>
      <c r="Z275" s="1928">
        <f t="shared" si="43"/>
        <v>2.2999999999999998</v>
      </c>
      <c r="AA275" s="1928" t="str">
        <f t="shared" si="47"/>
        <v>-</v>
      </c>
      <c r="AB275" s="3515"/>
      <c r="AC275" s="491" t="s">
        <v>1665</v>
      </c>
      <c r="AF275" s="466"/>
      <c r="AG275" s="465"/>
      <c r="AH275" s="465"/>
    </row>
    <row r="276" spans="1:34" s="498" customFormat="1" ht="25.5" hidden="1" x14ac:dyDescent="0.25">
      <c r="A276" s="962"/>
      <c r="B276" s="1885" t="s">
        <v>1757</v>
      </c>
      <c r="C276" s="830"/>
      <c r="D276" s="1926"/>
      <c r="E276" s="1930" t="s">
        <v>318</v>
      </c>
      <c r="F276" s="1929"/>
      <c r="G276" s="1929"/>
      <c r="H276" s="1928"/>
      <c r="I276" s="1929"/>
      <c r="J276" s="1929"/>
      <c r="K276" s="1928"/>
      <c r="L276" s="1929"/>
      <c r="M276" s="1929"/>
      <c r="N276" s="1928"/>
      <c r="O276" s="1929">
        <v>2</v>
      </c>
      <c r="P276" s="1929">
        <v>3.5</v>
      </c>
      <c r="Q276" s="1929">
        <f t="shared" si="51"/>
        <v>7</v>
      </c>
      <c r="R276" s="1929">
        <f t="shared" si="56"/>
        <v>7</v>
      </c>
      <c r="S276" s="1929"/>
      <c r="T276" s="1929">
        <v>2</v>
      </c>
      <c r="U276" s="1929">
        <v>3.5</v>
      </c>
      <c r="V276" s="1928">
        <v>6.9</v>
      </c>
      <c r="W276" s="1929">
        <v>2</v>
      </c>
      <c r="X276" s="1929">
        <v>3.5</v>
      </c>
      <c r="Y276" s="1928">
        <v>6.9</v>
      </c>
      <c r="Z276" s="1928">
        <f t="shared" si="43"/>
        <v>7</v>
      </c>
      <c r="AA276" s="1928" t="str">
        <f t="shared" si="47"/>
        <v>-</v>
      </c>
      <c r="AB276" s="3515"/>
      <c r="AC276" s="491" t="s">
        <v>1665</v>
      </c>
      <c r="AF276" s="466"/>
      <c r="AG276" s="465"/>
      <c r="AH276" s="465"/>
    </row>
    <row r="277" spans="1:34" s="498" customFormat="1" hidden="1" x14ac:dyDescent="0.25">
      <c r="A277" s="962"/>
      <c r="B277" s="1885" t="s">
        <v>1886</v>
      </c>
      <c r="C277" s="830"/>
      <c r="D277" s="1926"/>
      <c r="E277" s="1930" t="s">
        <v>318</v>
      </c>
      <c r="F277" s="1929"/>
      <c r="G277" s="1929"/>
      <c r="H277" s="1928"/>
      <c r="I277" s="1929"/>
      <c r="J277" s="1929"/>
      <c r="K277" s="1928"/>
      <c r="L277" s="1929"/>
      <c r="M277" s="1929"/>
      <c r="N277" s="1928"/>
      <c r="O277" s="1929">
        <v>1</v>
      </c>
      <c r="P277" s="1929">
        <v>3.5</v>
      </c>
      <c r="Q277" s="1929">
        <f t="shared" si="51"/>
        <v>3.5</v>
      </c>
      <c r="R277" s="1929">
        <f t="shared" si="56"/>
        <v>3.5</v>
      </c>
      <c r="S277" s="1929"/>
      <c r="T277" s="1929">
        <v>1</v>
      </c>
      <c r="U277" s="1929">
        <v>3.5</v>
      </c>
      <c r="V277" s="1928">
        <v>3.5</v>
      </c>
      <c r="W277" s="1929">
        <v>1</v>
      </c>
      <c r="X277" s="1929">
        <v>3.5</v>
      </c>
      <c r="Y277" s="1928">
        <v>3.5</v>
      </c>
      <c r="Z277" s="1928">
        <f t="shared" si="43"/>
        <v>3.5</v>
      </c>
      <c r="AA277" s="1928" t="str">
        <f t="shared" si="47"/>
        <v>-</v>
      </c>
      <c r="AB277" s="3516"/>
      <c r="AC277" s="491" t="s">
        <v>1665</v>
      </c>
      <c r="AF277" s="466"/>
      <c r="AG277" s="465"/>
      <c r="AH277" s="465"/>
    </row>
    <row r="278" spans="1:34" s="498" customFormat="1" hidden="1" x14ac:dyDescent="0.25">
      <c r="A278" s="962"/>
      <c r="B278" s="502" t="s">
        <v>1729</v>
      </c>
      <c r="C278" s="503"/>
      <c r="D278" s="903"/>
      <c r="E278" s="1031"/>
      <c r="F278" s="857"/>
      <c r="G278" s="857"/>
      <c r="H278" s="682">
        <f>SUM(H267:H272)*0.271</f>
        <v>11</v>
      </c>
      <c r="I278" s="857"/>
      <c r="J278" s="857"/>
      <c r="K278" s="682">
        <f>SUM(K267:K272)*0.271</f>
        <v>10.3</v>
      </c>
      <c r="L278" s="857"/>
      <c r="M278" s="857"/>
      <c r="N278" s="682">
        <f>SUM(N267:N272)*0.271</f>
        <v>10.3</v>
      </c>
      <c r="O278" s="682"/>
      <c r="P278" s="682"/>
      <c r="Q278" s="682">
        <f>SUM(Q267:Q277)*0.271</f>
        <v>12.8</v>
      </c>
      <c r="R278" s="682">
        <f t="shared" si="56"/>
        <v>12.8</v>
      </c>
      <c r="S278" s="682"/>
      <c r="T278" s="682"/>
      <c r="U278" s="682"/>
      <c r="V278" s="682">
        <f>SUM(V267:V277)*0.271</f>
        <v>12.8</v>
      </c>
      <c r="W278" s="682"/>
      <c r="X278" s="682"/>
      <c r="Y278" s="682">
        <f>SUM(Y267:Y277)*0.271</f>
        <v>12.8</v>
      </c>
      <c r="Z278" s="812">
        <f t="shared" si="43"/>
        <v>2.5</v>
      </c>
      <c r="AA278" s="812">
        <f t="shared" si="47"/>
        <v>124.3</v>
      </c>
      <c r="AB278" s="893"/>
      <c r="AC278" s="491" t="s">
        <v>1665</v>
      </c>
      <c r="AF278" s="466"/>
      <c r="AG278" s="465"/>
      <c r="AH278" s="465"/>
    </row>
    <row r="279" spans="1:34" s="492" customFormat="1" ht="14.25" hidden="1" x14ac:dyDescent="0.2">
      <c r="A279" s="1240"/>
      <c r="B279" s="500" t="s">
        <v>798</v>
      </c>
      <c r="C279" s="501" t="s">
        <v>796</v>
      </c>
      <c r="D279" s="932"/>
      <c r="E279" s="842" t="s">
        <v>227</v>
      </c>
      <c r="F279" s="828">
        <v>10</v>
      </c>
      <c r="G279" s="829">
        <v>0.6</v>
      </c>
      <c r="H279" s="542">
        <f>F279*G279</f>
        <v>6</v>
      </c>
      <c r="I279" s="533">
        <v>12</v>
      </c>
      <c r="J279" s="533">
        <v>0.5</v>
      </c>
      <c r="K279" s="533">
        <f>I279*J279</f>
        <v>6</v>
      </c>
      <c r="L279" s="533">
        <v>12</v>
      </c>
      <c r="M279" s="533">
        <v>0.5</v>
      </c>
      <c r="N279" s="533">
        <f>L279*M279</f>
        <v>6</v>
      </c>
      <c r="O279" s="533">
        <v>12</v>
      </c>
      <c r="P279" s="533">
        <v>0.5</v>
      </c>
      <c r="Q279" s="533">
        <f>O279*P279</f>
        <v>6</v>
      </c>
      <c r="R279" s="533">
        <f t="shared" si="56"/>
        <v>6</v>
      </c>
      <c r="S279" s="533"/>
      <c r="T279" s="533">
        <v>12</v>
      </c>
      <c r="U279" s="533">
        <v>0.5</v>
      </c>
      <c r="V279" s="533">
        <f>T279*U279</f>
        <v>6</v>
      </c>
      <c r="W279" s="533">
        <v>12</v>
      </c>
      <c r="X279" s="533">
        <v>0.5</v>
      </c>
      <c r="Y279" s="533">
        <f>W279*X279</f>
        <v>6</v>
      </c>
      <c r="Z279" s="542">
        <f t="shared" si="43"/>
        <v>0</v>
      </c>
      <c r="AA279" s="542">
        <f t="shared" si="47"/>
        <v>100</v>
      </c>
      <c r="AB279" s="893"/>
      <c r="AC279" s="491" t="s">
        <v>1665</v>
      </c>
      <c r="AF279" s="466"/>
      <c r="AG279" s="466"/>
      <c r="AH279" s="466"/>
    </row>
    <row r="280" spans="1:34" s="492" customFormat="1" ht="14.25" hidden="1" x14ac:dyDescent="0.2">
      <c r="A280" s="1240"/>
      <c r="B280" s="500" t="s">
        <v>1246</v>
      </c>
      <c r="C280" s="501" t="s">
        <v>1237</v>
      </c>
      <c r="D280" s="932"/>
      <c r="E280" s="842" t="s">
        <v>1829</v>
      </c>
      <c r="F280" s="828">
        <v>10</v>
      </c>
      <c r="G280" s="829">
        <v>2.5</v>
      </c>
      <c r="H280" s="542">
        <f>F280*G280</f>
        <v>25</v>
      </c>
      <c r="I280" s="533">
        <v>10</v>
      </c>
      <c r="J280" s="533">
        <v>2.5</v>
      </c>
      <c r="K280" s="533">
        <f>I280*J280</f>
        <v>25</v>
      </c>
      <c r="L280" s="533">
        <v>10</v>
      </c>
      <c r="M280" s="533">
        <v>2.5</v>
      </c>
      <c r="N280" s="533">
        <f>L280*M280</f>
        <v>25</v>
      </c>
      <c r="O280" s="533">
        <v>10</v>
      </c>
      <c r="P280" s="533">
        <v>2.5</v>
      </c>
      <c r="Q280" s="533">
        <f>O280*P280</f>
        <v>25</v>
      </c>
      <c r="R280" s="533">
        <f t="shared" si="56"/>
        <v>25</v>
      </c>
      <c r="S280" s="533"/>
      <c r="T280" s="533">
        <v>10</v>
      </c>
      <c r="U280" s="533">
        <v>2.5</v>
      </c>
      <c r="V280" s="533">
        <f>T280*U280</f>
        <v>25</v>
      </c>
      <c r="W280" s="533">
        <v>10</v>
      </c>
      <c r="X280" s="533">
        <v>2.5</v>
      </c>
      <c r="Y280" s="533">
        <f>W280*X280</f>
        <v>25</v>
      </c>
      <c r="Z280" s="542">
        <f t="shared" si="43"/>
        <v>0</v>
      </c>
      <c r="AA280" s="542">
        <f t="shared" si="47"/>
        <v>100</v>
      </c>
      <c r="AB280" s="893"/>
      <c r="AC280" s="491" t="s">
        <v>1665</v>
      </c>
      <c r="AF280" s="466"/>
      <c r="AG280" s="466"/>
      <c r="AH280" s="466"/>
    </row>
    <row r="281" spans="1:34" s="539" customFormat="1" hidden="1" x14ac:dyDescent="0.25">
      <c r="A281" s="536"/>
      <c r="B281" s="510" t="s">
        <v>1247</v>
      </c>
      <c r="C281" s="511"/>
      <c r="D281" s="536"/>
      <c r="E281" s="536"/>
      <c r="F281" s="911"/>
      <c r="G281" s="912"/>
      <c r="H281" s="823" t="e">
        <f>#REF!+#REF!+H282+#REF!</f>
        <v>#REF!</v>
      </c>
      <c r="I281" s="913"/>
      <c r="J281" s="913"/>
      <c r="K281" s="823">
        <f>K282</f>
        <v>37.799999999999997</v>
      </c>
      <c r="L281" s="913"/>
      <c r="M281" s="913"/>
      <c r="N281" s="823">
        <f>N282</f>
        <v>37.799999999999997</v>
      </c>
      <c r="O281" s="913"/>
      <c r="P281" s="913"/>
      <c r="Q281" s="823">
        <f>Q282</f>
        <v>38.6</v>
      </c>
      <c r="R281" s="823">
        <f t="shared" si="56"/>
        <v>38.6</v>
      </c>
      <c r="S281" s="823"/>
      <c r="T281" s="913"/>
      <c r="U281" s="913"/>
      <c r="V281" s="823">
        <f>V282</f>
        <v>38.6</v>
      </c>
      <c r="W281" s="823"/>
      <c r="X281" s="823"/>
      <c r="Y281" s="823">
        <f>Y282</f>
        <v>38.6</v>
      </c>
      <c r="Z281" s="823">
        <f t="shared" si="43"/>
        <v>0.8</v>
      </c>
      <c r="AA281" s="823">
        <f t="shared" si="47"/>
        <v>102.1</v>
      </c>
      <c r="AB281" s="914"/>
      <c r="AC281" s="538"/>
      <c r="AF281" s="519"/>
      <c r="AG281" s="540"/>
      <c r="AH281" s="540"/>
    </row>
    <row r="282" spans="1:34" s="1891" customFormat="1" ht="38.25" hidden="1" x14ac:dyDescent="0.25">
      <c r="A282" s="850"/>
      <c r="B282" s="520" t="s">
        <v>1664</v>
      </c>
      <c r="C282" s="521"/>
      <c r="D282" s="522" t="s">
        <v>1444</v>
      </c>
      <c r="E282" s="556"/>
      <c r="F282" s="523"/>
      <c r="G282" s="524"/>
      <c r="H282" s="526">
        <f>H283+H288+H294+H295</f>
        <v>49.4</v>
      </c>
      <c r="I282" s="526"/>
      <c r="J282" s="526"/>
      <c r="K282" s="526">
        <f>K283+K288+K294+K295</f>
        <v>37.799999999999997</v>
      </c>
      <c r="L282" s="526"/>
      <c r="M282" s="526"/>
      <c r="N282" s="526">
        <f>N283+N288+N294+N295</f>
        <v>37.799999999999997</v>
      </c>
      <c r="O282" s="526"/>
      <c r="P282" s="526"/>
      <c r="Q282" s="526">
        <f>Q283+Q287+Q288+Q293+Q294+Q295</f>
        <v>38.6</v>
      </c>
      <c r="R282" s="526">
        <f t="shared" si="56"/>
        <v>38.6</v>
      </c>
      <c r="S282" s="526"/>
      <c r="T282" s="526"/>
      <c r="U282" s="526"/>
      <c r="V282" s="526">
        <f>V283+V287+V288+V293+V294+V295</f>
        <v>38.6</v>
      </c>
      <c r="W282" s="526"/>
      <c r="X282" s="526"/>
      <c r="Y282" s="526">
        <f>Y283+Y287+Y288+Y293+Y294+Y295</f>
        <v>38.6</v>
      </c>
      <c r="Z282" s="526">
        <f t="shared" si="43"/>
        <v>0.8</v>
      </c>
      <c r="AA282" s="526">
        <f t="shared" si="47"/>
        <v>102.1</v>
      </c>
      <c r="AB282" s="909"/>
      <c r="AC282" s="1931" t="s">
        <v>1665</v>
      </c>
      <c r="AF282" s="528"/>
      <c r="AG282" s="1892"/>
      <c r="AH282" s="1892"/>
    </row>
    <row r="283" spans="1:34" s="492" customFormat="1" ht="14.25" hidden="1" x14ac:dyDescent="0.2">
      <c r="A283" s="1240"/>
      <c r="B283" s="500" t="s">
        <v>1226</v>
      </c>
      <c r="C283" s="501" t="s">
        <v>797</v>
      </c>
      <c r="D283" s="932"/>
      <c r="E283" s="842"/>
      <c r="F283" s="828"/>
      <c r="G283" s="829"/>
      <c r="H283" s="542">
        <f>SUM(H284:H286)</f>
        <v>13.8</v>
      </c>
      <c r="I283" s="533"/>
      <c r="J283" s="533"/>
      <c r="K283" s="533">
        <f>SUM(K284:K286)</f>
        <v>11.2</v>
      </c>
      <c r="L283" s="533"/>
      <c r="M283" s="533"/>
      <c r="N283" s="533">
        <f>SUM(N284:N286)</f>
        <v>11.2</v>
      </c>
      <c r="O283" s="533"/>
      <c r="P283" s="533"/>
      <c r="Q283" s="533">
        <f>SUM(Q284:Q286)</f>
        <v>11.6</v>
      </c>
      <c r="R283" s="533">
        <f t="shared" si="56"/>
        <v>11.6</v>
      </c>
      <c r="S283" s="533"/>
      <c r="T283" s="533"/>
      <c r="U283" s="533"/>
      <c r="V283" s="533">
        <f>SUM(V284:V286)</f>
        <v>11.6</v>
      </c>
      <c r="W283" s="533"/>
      <c r="X283" s="533"/>
      <c r="Y283" s="533">
        <f>SUM(Y284:Y286)</f>
        <v>11.6</v>
      </c>
      <c r="Z283" s="542">
        <f t="shared" si="43"/>
        <v>0.4</v>
      </c>
      <c r="AA283" s="542">
        <f t="shared" si="47"/>
        <v>103.6</v>
      </c>
      <c r="AB283" s="921"/>
      <c r="AC283" s="534" t="s">
        <v>1665</v>
      </c>
      <c r="AF283" s="466"/>
      <c r="AG283" s="466"/>
      <c r="AH283" s="466"/>
    </row>
    <row r="284" spans="1:34" s="498" customFormat="1" ht="25.5" hidden="1" x14ac:dyDescent="0.25">
      <c r="A284" s="962"/>
      <c r="B284" s="856" t="s">
        <v>1918</v>
      </c>
      <c r="C284" s="499"/>
      <c r="D284" s="903"/>
      <c r="E284" s="1031" t="s">
        <v>1919</v>
      </c>
      <c r="F284" s="557">
        <v>26</v>
      </c>
      <c r="G284" s="558">
        <v>0.3</v>
      </c>
      <c r="H284" s="559">
        <f>F284*G284</f>
        <v>7.8</v>
      </c>
      <c r="I284" s="857">
        <v>26</v>
      </c>
      <c r="J284" s="857">
        <v>0.2</v>
      </c>
      <c r="K284" s="857">
        <f>I284*J284</f>
        <v>5.2</v>
      </c>
      <c r="L284" s="857">
        <v>26</v>
      </c>
      <c r="M284" s="857">
        <v>0.2</v>
      </c>
      <c r="N284" s="857">
        <f>L284*M284</f>
        <v>5.2</v>
      </c>
      <c r="O284" s="857">
        <v>14</v>
      </c>
      <c r="P284" s="857">
        <v>0.4</v>
      </c>
      <c r="Q284" s="857">
        <f>O284*P284</f>
        <v>5.6</v>
      </c>
      <c r="R284" s="857">
        <f t="shared" si="56"/>
        <v>5.6</v>
      </c>
      <c r="S284" s="857"/>
      <c r="T284" s="857">
        <v>14</v>
      </c>
      <c r="U284" s="857">
        <v>0.4</v>
      </c>
      <c r="V284" s="857">
        <f>T284*U284</f>
        <v>5.6</v>
      </c>
      <c r="W284" s="857">
        <v>14</v>
      </c>
      <c r="X284" s="857">
        <v>0.4</v>
      </c>
      <c r="Y284" s="857">
        <f>W284*X284</f>
        <v>5.6</v>
      </c>
      <c r="Z284" s="559">
        <f t="shared" si="43"/>
        <v>0.4</v>
      </c>
      <c r="AA284" s="559">
        <f t="shared" si="47"/>
        <v>107.7</v>
      </c>
      <c r="AB284" s="1932" t="s">
        <v>1920</v>
      </c>
      <c r="AC284" s="534" t="s">
        <v>1665</v>
      </c>
      <c r="AF284" s="466"/>
      <c r="AG284" s="465"/>
      <c r="AH284" s="465"/>
    </row>
    <row r="285" spans="1:34" s="498" customFormat="1" hidden="1" x14ac:dyDescent="0.25">
      <c r="A285" s="962"/>
      <c r="B285" s="856" t="s">
        <v>1689</v>
      </c>
      <c r="C285" s="499"/>
      <c r="D285" s="903"/>
      <c r="E285" s="1031"/>
      <c r="F285" s="557"/>
      <c r="G285" s="558"/>
      <c r="H285" s="559"/>
      <c r="I285" s="857"/>
      <c r="J285" s="857"/>
      <c r="K285" s="857"/>
      <c r="L285" s="857"/>
      <c r="M285" s="857"/>
      <c r="N285" s="857"/>
      <c r="O285" s="857">
        <v>1</v>
      </c>
      <c r="P285" s="857">
        <v>2</v>
      </c>
      <c r="Q285" s="857">
        <f>O285*P285</f>
        <v>2</v>
      </c>
      <c r="R285" s="857">
        <f t="shared" si="56"/>
        <v>2</v>
      </c>
      <c r="S285" s="857"/>
      <c r="T285" s="857">
        <v>1</v>
      </c>
      <c r="U285" s="857">
        <v>2</v>
      </c>
      <c r="V285" s="857">
        <f>T285*U285</f>
        <v>2</v>
      </c>
      <c r="W285" s="857">
        <v>1</v>
      </c>
      <c r="X285" s="857">
        <v>2</v>
      </c>
      <c r="Y285" s="857">
        <f>W285*X285</f>
        <v>2</v>
      </c>
      <c r="Z285" s="559">
        <f t="shared" si="43"/>
        <v>2</v>
      </c>
      <c r="AA285" s="559" t="str">
        <f t="shared" si="47"/>
        <v>-</v>
      </c>
      <c r="AB285" s="1933"/>
      <c r="AC285" s="534" t="s">
        <v>1665</v>
      </c>
      <c r="AF285" s="466"/>
      <c r="AG285" s="465"/>
      <c r="AH285" s="465"/>
    </row>
    <row r="286" spans="1:34" s="498" customFormat="1" hidden="1" x14ac:dyDescent="0.25">
      <c r="A286" s="962"/>
      <c r="B286" s="856" t="s">
        <v>1921</v>
      </c>
      <c r="C286" s="499"/>
      <c r="D286" s="903"/>
      <c r="E286" s="1031" t="s">
        <v>227</v>
      </c>
      <c r="F286" s="557">
        <v>6</v>
      </c>
      <c r="G286" s="558">
        <v>1</v>
      </c>
      <c r="H286" s="559">
        <f>F286*G286</f>
        <v>6</v>
      </c>
      <c r="I286" s="857">
        <v>6</v>
      </c>
      <c r="J286" s="857">
        <v>1</v>
      </c>
      <c r="K286" s="857">
        <f>I286*J286</f>
        <v>6</v>
      </c>
      <c r="L286" s="857">
        <v>6</v>
      </c>
      <c r="M286" s="857">
        <v>1</v>
      </c>
      <c r="N286" s="857">
        <f>L286*M286</f>
        <v>6</v>
      </c>
      <c r="O286" s="857">
        <v>4</v>
      </c>
      <c r="P286" s="857">
        <v>1</v>
      </c>
      <c r="Q286" s="857">
        <f>O286*P286</f>
        <v>4</v>
      </c>
      <c r="R286" s="857">
        <f t="shared" si="56"/>
        <v>4</v>
      </c>
      <c r="S286" s="857"/>
      <c r="T286" s="857">
        <v>4</v>
      </c>
      <c r="U286" s="857">
        <v>1</v>
      </c>
      <c r="V286" s="857">
        <f>T286*U286</f>
        <v>4</v>
      </c>
      <c r="W286" s="857">
        <v>4</v>
      </c>
      <c r="X286" s="857">
        <v>1</v>
      </c>
      <c r="Y286" s="857">
        <f>W286*X286</f>
        <v>4</v>
      </c>
      <c r="Z286" s="559">
        <f t="shared" si="43"/>
        <v>-2</v>
      </c>
      <c r="AA286" s="559">
        <f t="shared" si="47"/>
        <v>66.7</v>
      </c>
      <c r="AB286" s="1934"/>
      <c r="AC286" s="534" t="s">
        <v>1665</v>
      </c>
      <c r="AF286" s="466"/>
      <c r="AG286" s="465"/>
      <c r="AH286" s="465"/>
    </row>
    <row r="287" spans="1:34" s="498" customFormat="1" ht="25.5" hidden="1" x14ac:dyDescent="0.25">
      <c r="A287" s="962"/>
      <c r="B287" s="865" t="s">
        <v>1922</v>
      </c>
      <c r="C287" s="508" t="s">
        <v>797</v>
      </c>
      <c r="D287" s="903"/>
      <c r="E287" s="1031"/>
      <c r="F287" s="557"/>
      <c r="G287" s="558"/>
      <c r="H287" s="559"/>
      <c r="I287" s="857"/>
      <c r="J287" s="857"/>
      <c r="K287" s="857"/>
      <c r="L287" s="857"/>
      <c r="M287" s="857"/>
      <c r="N287" s="857"/>
      <c r="O287" s="857"/>
      <c r="P287" s="857"/>
      <c r="Q287" s="533">
        <v>1.7</v>
      </c>
      <c r="R287" s="533">
        <f t="shared" si="56"/>
        <v>1.7</v>
      </c>
      <c r="S287" s="533"/>
      <c r="T287" s="857"/>
      <c r="U287" s="857"/>
      <c r="V287" s="533">
        <v>1.7</v>
      </c>
      <c r="W287" s="857"/>
      <c r="X287" s="857"/>
      <c r="Y287" s="533">
        <v>1.7</v>
      </c>
      <c r="Z287" s="559">
        <f t="shared" si="43"/>
        <v>1.7</v>
      </c>
      <c r="AA287" s="559" t="str">
        <f t="shared" si="47"/>
        <v>-</v>
      </c>
      <c r="AB287" s="900" t="s">
        <v>1923</v>
      </c>
      <c r="AC287" s="534" t="s">
        <v>1665</v>
      </c>
      <c r="AF287" s="466"/>
      <c r="AG287" s="465"/>
      <c r="AH287" s="465"/>
    </row>
    <row r="288" spans="1:34" s="492" customFormat="1" ht="25.5" hidden="1" x14ac:dyDescent="0.2">
      <c r="A288" s="1240"/>
      <c r="B288" s="500" t="s">
        <v>1239</v>
      </c>
      <c r="C288" s="501" t="s">
        <v>797</v>
      </c>
      <c r="D288" s="932"/>
      <c r="E288" s="842"/>
      <c r="F288" s="828"/>
      <c r="G288" s="829"/>
      <c r="H288" s="542">
        <f>SUM(H289:H292)</f>
        <v>11.9</v>
      </c>
      <c r="I288" s="533"/>
      <c r="J288" s="533"/>
      <c r="K288" s="533">
        <f>SUM(K289:K292)</f>
        <v>0.8</v>
      </c>
      <c r="L288" s="533"/>
      <c r="M288" s="533"/>
      <c r="N288" s="533">
        <f>SUM(N289:N292)</f>
        <v>0.8</v>
      </c>
      <c r="O288" s="533"/>
      <c r="P288" s="533"/>
      <c r="Q288" s="533">
        <f>SUM(Q289:Q292)</f>
        <v>2</v>
      </c>
      <c r="R288" s="533">
        <f t="shared" si="56"/>
        <v>2</v>
      </c>
      <c r="S288" s="533"/>
      <c r="T288" s="533"/>
      <c r="U288" s="533"/>
      <c r="V288" s="533">
        <f>SUM(V289:V292)</f>
        <v>2</v>
      </c>
      <c r="W288" s="533"/>
      <c r="X288" s="533"/>
      <c r="Y288" s="533">
        <f>SUM(Y289:Y292)</f>
        <v>2</v>
      </c>
      <c r="Z288" s="542">
        <f t="shared" si="43"/>
        <v>1.2</v>
      </c>
      <c r="AA288" s="542">
        <f t="shared" si="47"/>
        <v>250</v>
      </c>
      <c r="AB288" s="921"/>
      <c r="AC288" s="534" t="s">
        <v>1665</v>
      </c>
      <c r="AF288" s="466"/>
      <c r="AG288" s="466"/>
      <c r="AH288" s="466"/>
    </row>
    <row r="289" spans="1:34" s="498" customFormat="1" ht="38.25" hidden="1" x14ac:dyDescent="0.25">
      <c r="A289" s="962"/>
      <c r="B289" s="502" t="s">
        <v>1924</v>
      </c>
      <c r="C289" s="499"/>
      <c r="D289" s="903"/>
      <c r="E289" s="1031" t="s">
        <v>227</v>
      </c>
      <c r="F289" s="557">
        <v>14</v>
      </c>
      <c r="G289" s="558">
        <v>0.1</v>
      </c>
      <c r="H289" s="559">
        <f>F289*G289</f>
        <v>1.4</v>
      </c>
      <c r="I289" s="857">
        <v>8</v>
      </c>
      <c r="J289" s="862">
        <v>0.1</v>
      </c>
      <c r="K289" s="857">
        <f>I289*J289</f>
        <v>0.8</v>
      </c>
      <c r="L289" s="857">
        <v>8</v>
      </c>
      <c r="M289" s="862">
        <v>0.1</v>
      </c>
      <c r="N289" s="857">
        <f>L289*M289</f>
        <v>0.8</v>
      </c>
      <c r="O289" s="857">
        <v>20</v>
      </c>
      <c r="P289" s="857">
        <v>0.1</v>
      </c>
      <c r="Q289" s="857">
        <f>O289*P289</f>
        <v>2</v>
      </c>
      <c r="R289" s="857">
        <f t="shared" si="56"/>
        <v>2</v>
      </c>
      <c r="S289" s="857"/>
      <c r="T289" s="857">
        <v>20</v>
      </c>
      <c r="U289" s="857">
        <v>0.1</v>
      </c>
      <c r="V289" s="857">
        <f>T289*U289</f>
        <v>2</v>
      </c>
      <c r="W289" s="857">
        <v>20</v>
      </c>
      <c r="X289" s="857">
        <v>0.1</v>
      </c>
      <c r="Y289" s="857">
        <f>W289*X289</f>
        <v>2</v>
      </c>
      <c r="Z289" s="559">
        <f t="shared" si="43"/>
        <v>1.2</v>
      </c>
      <c r="AA289" s="559">
        <f t="shared" si="47"/>
        <v>250</v>
      </c>
      <c r="AB289" s="827" t="s">
        <v>1925</v>
      </c>
      <c r="AC289" s="534" t="s">
        <v>1665</v>
      </c>
      <c r="AF289" s="466"/>
      <c r="AG289" s="465"/>
      <c r="AH289" s="465"/>
    </row>
    <row r="290" spans="1:34" s="498" customFormat="1" hidden="1" x14ac:dyDescent="0.25">
      <c r="A290" s="962"/>
      <c r="B290" s="856" t="s">
        <v>1926</v>
      </c>
      <c r="C290" s="499"/>
      <c r="D290" s="903"/>
      <c r="E290" s="1031" t="s">
        <v>227</v>
      </c>
      <c r="F290" s="557">
        <v>2</v>
      </c>
      <c r="G290" s="558">
        <v>2</v>
      </c>
      <c r="H290" s="559">
        <f>F290*G290</f>
        <v>4</v>
      </c>
      <c r="I290" s="857"/>
      <c r="J290" s="857"/>
      <c r="K290" s="857"/>
      <c r="L290" s="857"/>
      <c r="M290" s="857"/>
      <c r="N290" s="857"/>
      <c r="O290" s="857"/>
      <c r="P290" s="857"/>
      <c r="Q290" s="857"/>
      <c r="R290" s="857">
        <f t="shared" si="56"/>
        <v>0</v>
      </c>
      <c r="S290" s="857"/>
      <c r="T290" s="857"/>
      <c r="U290" s="857"/>
      <c r="V290" s="857"/>
      <c r="W290" s="857"/>
      <c r="X290" s="857"/>
      <c r="Y290" s="857"/>
      <c r="Z290" s="559">
        <f t="shared" ref="Z290:Z353" si="57">Q290-K290</f>
        <v>0</v>
      </c>
      <c r="AA290" s="559" t="str">
        <f t="shared" si="47"/>
        <v>-</v>
      </c>
      <c r="AB290" s="827"/>
      <c r="AC290" s="534" t="s">
        <v>1665</v>
      </c>
      <c r="AF290" s="466"/>
      <c r="AG290" s="465"/>
      <c r="AH290" s="465"/>
    </row>
    <row r="291" spans="1:34" s="498" customFormat="1" hidden="1" x14ac:dyDescent="0.25">
      <c r="A291" s="962"/>
      <c r="B291" s="856" t="s">
        <v>1369</v>
      </c>
      <c r="C291" s="499"/>
      <c r="D291" s="903"/>
      <c r="E291" s="1031" t="s">
        <v>227</v>
      </c>
      <c r="F291" s="557">
        <v>4</v>
      </c>
      <c r="G291" s="558">
        <v>0.75</v>
      </c>
      <c r="H291" s="559">
        <f>F291*G291</f>
        <v>3</v>
      </c>
      <c r="I291" s="857"/>
      <c r="J291" s="857"/>
      <c r="K291" s="857"/>
      <c r="L291" s="857"/>
      <c r="M291" s="857"/>
      <c r="N291" s="857"/>
      <c r="O291" s="857"/>
      <c r="P291" s="857"/>
      <c r="Q291" s="857"/>
      <c r="R291" s="857">
        <f t="shared" si="56"/>
        <v>0</v>
      </c>
      <c r="S291" s="857"/>
      <c r="T291" s="857"/>
      <c r="U291" s="857"/>
      <c r="V291" s="857"/>
      <c r="W291" s="857"/>
      <c r="X291" s="857"/>
      <c r="Y291" s="857"/>
      <c r="Z291" s="559">
        <f t="shared" si="57"/>
        <v>0</v>
      </c>
      <c r="AA291" s="559" t="str">
        <f t="shared" si="47"/>
        <v>-</v>
      </c>
      <c r="AB291" s="901"/>
      <c r="AC291" s="534" t="s">
        <v>1665</v>
      </c>
      <c r="AF291" s="466"/>
      <c r="AG291" s="465"/>
      <c r="AH291" s="465"/>
    </row>
    <row r="292" spans="1:34" s="498" customFormat="1" hidden="1" x14ac:dyDescent="0.25">
      <c r="A292" s="962"/>
      <c r="B292" s="856" t="s">
        <v>1692</v>
      </c>
      <c r="C292" s="499"/>
      <c r="D292" s="903"/>
      <c r="E292" s="1031" t="s">
        <v>227</v>
      </c>
      <c r="F292" s="557">
        <v>10</v>
      </c>
      <c r="G292" s="558">
        <v>0.35</v>
      </c>
      <c r="H292" s="559">
        <f>F292*G292</f>
        <v>3.5</v>
      </c>
      <c r="I292" s="857"/>
      <c r="J292" s="857"/>
      <c r="K292" s="857"/>
      <c r="L292" s="857"/>
      <c r="M292" s="857"/>
      <c r="N292" s="857"/>
      <c r="O292" s="857"/>
      <c r="P292" s="857"/>
      <c r="Q292" s="857"/>
      <c r="R292" s="857">
        <f t="shared" si="56"/>
        <v>0</v>
      </c>
      <c r="S292" s="857"/>
      <c r="T292" s="857"/>
      <c r="U292" s="857"/>
      <c r="V292" s="857"/>
      <c r="W292" s="857"/>
      <c r="X292" s="857"/>
      <c r="Y292" s="857"/>
      <c r="Z292" s="559">
        <f t="shared" si="57"/>
        <v>0</v>
      </c>
      <c r="AA292" s="559" t="str">
        <f t="shared" si="47"/>
        <v>-</v>
      </c>
      <c r="AB292" s="901"/>
      <c r="AC292" s="534" t="s">
        <v>1665</v>
      </c>
      <c r="AF292" s="466"/>
      <c r="AG292" s="465"/>
      <c r="AH292" s="465"/>
    </row>
    <row r="293" spans="1:34" s="498" customFormat="1" ht="26.25" hidden="1" customHeight="1" x14ac:dyDescent="0.25">
      <c r="A293" s="962"/>
      <c r="B293" s="1841" t="s">
        <v>1927</v>
      </c>
      <c r="C293" s="508" t="s">
        <v>797</v>
      </c>
      <c r="D293" s="903"/>
      <c r="E293" s="1031"/>
      <c r="F293" s="557"/>
      <c r="G293" s="558"/>
      <c r="H293" s="559"/>
      <c r="I293" s="857"/>
      <c r="J293" s="857"/>
      <c r="K293" s="857"/>
      <c r="L293" s="857"/>
      <c r="M293" s="857"/>
      <c r="N293" s="857"/>
      <c r="O293" s="533">
        <v>150</v>
      </c>
      <c r="P293" s="906">
        <v>0.02</v>
      </c>
      <c r="Q293" s="533">
        <f>O293*P293</f>
        <v>3</v>
      </c>
      <c r="R293" s="533">
        <f t="shared" si="56"/>
        <v>3</v>
      </c>
      <c r="S293" s="533"/>
      <c r="T293" s="533">
        <v>150</v>
      </c>
      <c r="U293" s="906">
        <v>0.02</v>
      </c>
      <c r="V293" s="533">
        <f>T293*U293</f>
        <v>3</v>
      </c>
      <c r="W293" s="533">
        <v>150</v>
      </c>
      <c r="X293" s="906">
        <v>0.02</v>
      </c>
      <c r="Y293" s="533">
        <f>W293*X293</f>
        <v>3</v>
      </c>
      <c r="Z293" s="559">
        <f t="shared" si="57"/>
        <v>3</v>
      </c>
      <c r="AA293" s="559" t="str">
        <f t="shared" si="47"/>
        <v>-</v>
      </c>
      <c r="AB293" s="1839" t="s">
        <v>1928</v>
      </c>
      <c r="AC293" s="534" t="s">
        <v>1665</v>
      </c>
      <c r="AF293" s="466"/>
      <c r="AG293" s="465"/>
      <c r="AH293" s="465"/>
    </row>
    <row r="294" spans="1:34" s="492" customFormat="1" ht="25.5" hidden="1" x14ac:dyDescent="0.2">
      <c r="A294" s="1240"/>
      <c r="B294" s="865" t="s">
        <v>1929</v>
      </c>
      <c r="C294" s="508" t="s">
        <v>796</v>
      </c>
      <c r="D294" s="932"/>
      <c r="E294" s="842"/>
      <c r="F294" s="828">
        <v>20</v>
      </c>
      <c r="G294" s="829">
        <v>0.5</v>
      </c>
      <c r="H294" s="542">
        <f>F294*G294</f>
        <v>10</v>
      </c>
      <c r="I294" s="533">
        <v>26</v>
      </c>
      <c r="J294" s="533">
        <v>0.5</v>
      </c>
      <c r="K294" s="533">
        <f>I294*J294</f>
        <v>13</v>
      </c>
      <c r="L294" s="533">
        <v>26</v>
      </c>
      <c r="M294" s="533">
        <v>0.5</v>
      </c>
      <c r="N294" s="533">
        <f>L294*M294</f>
        <v>13</v>
      </c>
      <c r="O294" s="533">
        <v>20</v>
      </c>
      <c r="P294" s="533">
        <v>0.5</v>
      </c>
      <c r="Q294" s="533">
        <f>O294*P294</f>
        <v>10</v>
      </c>
      <c r="R294" s="533">
        <f t="shared" si="56"/>
        <v>10</v>
      </c>
      <c r="S294" s="533"/>
      <c r="T294" s="533">
        <v>20</v>
      </c>
      <c r="U294" s="533">
        <v>0.5</v>
      </c>
      <c r="V294" s="533">
        <f>T294*U294</f>
        <v>10</v>
      </c>
      <c r="W294" s="533">
        <v>20</v>
      </c>
      <c r="X294" s="533">
        <v>0.5</v>
      </c>
      <c r="Y294" s="533">
        <f>W294*X294</f>
        <v>10</v>
      </c>
      <c r="Z294" s="542">
        <f t="shared" si="57"/>
        <v>-3</v>
      </c>
      <c r="AA294" s="542">
        <f t="shared" si="47"/>
        <v>76.900000000000006</v>
      </c>
      <c r="AB294" s="901" t="s">
        <v>1372</v>
      </c>
      <c r="AC294" s="534" t="s">
        <v>1665</v>
      </c>
      <c r="AF294" s="466"/>
      <c r="AG294" s="466"/>
      <c r="AH294" s="466"/>
    </row>
    <row r="295" spans="1:34" s="492" customFormat="1" ht="14.25" hidden="1" x14ac:dyDescent="0.2">
      <c r="A295" s="1240"/>
      <c r="B295" s="500" t="s">
        <v>1233</v>
      </c>
      <c r="C295" s="501" t="s">
        <v>1230</v>
      </c>
      <c r="D295" s="932"/>
      <c r="E295" s="842"/>
      <c r="F295" s="828"/>
      <c r="G295" s="829"/>
      <c r="H295" s="542">
        <f>SUM(H296:H301)</f>
        <v>13.7</v>
      </c>
      <c r="I295" s="533"/>
      <c r="J295" s="533"/>
      <c r="K295" s="533">
        <f>SUM(K296:K301)</f>
        <v>12.8</v>
      </c>
      <c r="L295" s="533"/>
      <c r="M295" s="533"/>
      <c r="N295" s="533">
        <f>SUM(N296:N301)</f>
        <v>12.8</v>
      </c>
      <c r="O295" s="533"/>
      <c r="P295" s="533"/>
      <c r="Q295" s="533">
        <f>SUM(Q296:Q301)</f>
        <v>10.3</v>
      </c>
      <c r="R295" s="533">
        <f t="shared" si="56"/>
        <v>10.3</v>
      </c>
      <c r="S295" s="533"/>
      <c r="T295" s="533"/>
      <c r="U295" s="533"/>
      <c r="V295" s="533">
        <f>SUM(V296:V301)</f>
        <v>10.3</v>
      </c>
      <c r="W295" s="533"/>
      <c r="X295" s="533"/>
      <c r="Y295" s="533">
        <f>SUM(Y296:Y301)</f>
        <v>10.3</v>
      </c>
      <c r="Z295" s="542">
        <f t="shared" si="57"/>
        <v>-2.5</v>
      </c>
      <c r="AA295" s="542">
        <f t="shared" si="47"/>
        <v>80.5</v>
      </c>
      <c r="AB295" s="921"/>
      <c r="AC295" s="534" t="s">
        <v>1665</v>
      </c>
      <c r="AF295" s="466"/>
      <c r="AG295" s="466"/>
      <c r="AH295" s="466"/>
    </row>
    <row r="296" spans="1:34" s="498" customFormat="1" hidden="1" x14ac:dyDescent="0.25">
      <c r="A296" s="962"/>
      <c r="B296" s="502" t="s">
        <v>1519</v>
      </c>
      <c r="C296" s="503"/>
      <c r="D296" s="903"/>
      <c r="E296" s="1031" t="s">
        <v>318</v>
      </c>
      <c r="F296" s="557">
        <v>1</v>
      </c>
      <c r="G296" s="558">
        <v>3.45</v>
      </c>
      <c r="H296" s="559">
        <f>F296*G296</f>
        <v>3.5</v>
      </c>
      <c r="I296" s="857">
        <v>1</v>
      </c>
      <c r="J296" s="857">
        <v>3.5</v>
      </c>
      <c r="K296" s="857">
        <f>I296*J296</f>
        <v>3.5</v>
      </c>
      <c r="L296" s="857">
        <v>1</v>
      </c>
      <c r="M296" s="857">
        <v>3.5</v>
      </c>
      <c r="N296" s="857">
        <f>L296*M296</f>
        <v>3.5</v>
      </c>
      <c r="O296" s="857">
        <v>1</v>
      </c>
      <c r="P296" s="857">
        <v>3.5</v>
      </c>
      <c r="Q296" s="857">
        <f>O296*P296</f>
        <v>3.5</v>
      </c>
      <c r="R296" s="857">
        <f t="shared" si="56"/>
        <v>3.5</v>
      </c>
      <c r="S296" s="857"/>
      <c r="T296" s="857">
        <v>1</v>
      </c>
      <c r="U296" s="857">
        <v>3.5</v>
      </c>
      <c r="V296" s="857">
        <f>T296*U296</f>
        <v>3.5</v>
      </c>
      <c r="W296" s="857">
        <v>1</v>
      </c>
      <c r="X296" s="857">
        <v>3.5</v>
      </c>
      <c r="Y296" s="857">
        <f>W296*X296</f>
        <v>3.5</v>
      </c>
      <c r="Z296" s="559">
        <f t="shared" si="57"/>
        <v>0</v>
      </c>
      <c r="AA296" s="559">
        <f t="shared" si="47"/>
        <v>100</v>
      </c>
      <c r="AB296" s="893"/>
      <c r="AC296" s="534" t="s">
        <v>1665</v>
      </c>
      <c r="AF296" s="466"/>
      <c r="AG296" s="465"/>
      <c r="AH296" s="465"/>
    </row>
    <row r="297" spans="1:34" s="498" customFormat="1" hidden="1" x14ac:dyDescent="0.25">
      <c r="A297" s="962"/>
      <c r="B297" s="502" t="s">
        <v>1686</v>
      </c>
      <c r="C297" s="503"/>
      <c r="D297" s="903"/>
      <c r="E297" s="1031" t="s">
        <v>318</v>
      </c>
      <c r="F297" s="557">
        <v>1</v>
      </c>
      <c r="G297" s="558">
        <v>2.2999999999999998</v>
      </c>
      <c r="H297" s="559">
        <f>F297*G297</f>
        <v>2.2999999999999998</v>
      </c>
      <c r="I297" s="857">
        <v>1</v>
      </c>
      <c r="J297" s="857">
        <v>2.2999999999999998</v>
      </c>
      <c r="K297" s="857">
        <f>I297*J297</f>
        <v>2.2999999999999998</v>
      </c>
      <c r="L297" s="857">
        <v>1</v>
      </c>
      <c r="M297" s="857">
        <v>2.2999999999999998</v>
      </c>
      <c r="N297" s="857">
        <f>L297*M297</f>
        <v>2.2999999999999998</v>
      </c>
      <c r="O297" s="857">
        <v>1</v>
      </c>
      <c r="P297" s="857">
        <v>2.2999999999999998</v>
      </c>
      <c r="Q297" s="857">
        <f>O297*P297</f>
        <v>2.2999999999999998</v>
      </c>
      <c r="R297" s="857">
        <f t="shared" si="56"/>
        <v>2.2999999999999998</v>
      </c>
      <c r="S297" s="857"/>
      <c r="T297" s="857">
        <v>1</v>
      </c>
      <c r="U297" s="857">
        <v>2.2999999999999998</v>
      </c>
      <c r="V297" s="857">
        <f>T297*U297</f>
        <v>2.2999999999999998</v>
      </c>
      <c r="W297" s="857">
        <v>1</v>
      </c>
      <c r="X297" s="857">
        <v>2.2999999999999998</v>
      </c>
      <c r="Y297" s="857">
        <f>W297*X297</f>
        <v>2.2999999999999998</v>
      </c>
      <c r="Z297" s="559">
        <f t="shared" si="57"/>
        <v>0</v>
      </c>
      <c r="AA297" s="559">
        <f t="shared" si="47"/>
        <v>100</v>
      </c>
      <c r="AB297" s="893"/>
      <c r="AC297" s="534" t="s">
        <v>1665</v>
      </c>
      <c r="AF297" s="466"/>
      <c r="AG297" s="465"/>
      <c r="AH297" s="465"/>
    </row>
    <row r="298" spans="1:34" s="498" customFormat="1" hidden="1" x14ac:dyDescent="0.25">
      <c r="A298" s="962"/>
      <c r="B298" s="502" t="s">
        <v>1930</v>
      </c>
      <c r="C298" s="503"/>
      <c r="D298" s="903"/>
      <c r="E298" s="1031" t="s">
        <v>318</v>
      </c>
      <c r="F298" s="557">
        <v>1</v>
      </c>
      <c r="G298" s="558">
        <v>3.15</v>
      </c>
      <c r="H298" s="559">
        <f>F298*G298</f>
        <v>3.2</v>
      </c>
      <c r="I298" s="857">
        <v>1</v>
      </c>
      <c r="J298" s="857">
        <v>2.5</v>
      </c>
      <c r="K298" s="857">
        <f>I298*J298</f>
        <v>2.5</v>
      </c>
      <c r="L298" s="857">
        <v>1</v>
      </c>
      <c r="M298" s="857">
        <v>2.5</v>
      </c>
      <c r="N298" s="857">
        <f>L298*M298</f>
        <v>2.5</v>
      </c>
      <c r="O298" s="857"/>
      <c r="P298" s="857"/>
      <c r="Q298" s="857"/>
      <c r="R298" s="857">
        <f t="shared" si="56"/>
        <v>0</v>
      </c>
      <c r="S298" s="857"/>
      <c r="T298" s="857"/>
      <c r="U298" s="857"/>
      <c r="V298" s="857"/>
      <c r="W298" s="857"/>
      <c r="X298" s="857"/>
      <c r="Y298" s="857"/>
      <c r="Z298" s="559">
        <f t="shared" si="57"/>
        <v>-2.5</v>
      </c>
      <c r="AA298" s="559">
        <f t="shared" si="47"/>
        <v>0</v>
      </c>
      <c r="AB298" s="893"/>
      <c r="AC298" s="534" t="s">
        <v>1665</v>
      </c>
      <c r="AF298" s="466"/>
      <c r="AG298" s="465"/>
      <c r="AH298" s="465"/>
    </row>
    <row r="299" spans="1:34" s="498" customFormat="1" hidden="1" x14ac:dyDescent="0.25">
      <c r="A299" s="962"/>
      <c r="B299" s="502" t="s">
        <v>1879</v>
      </c>
      <c r="C299" s="503"/>
      <c r="D299" s="903"/>
      <c r="E299" s="1031" t="s">
        <v>318</v>
      </c>
      <c r="F299" s="557">
        <v>1</v>
      </c>
      <c r="G299" s="558">
        <v>1.8</v>
      </c>
      <c r="H299" s="559">
        <f>F299*G299</f>
        <v>1.8</v>
      </c>
      <c r="I299" s="857">
        <v>1</v>
      </c>
      <c r="J299" s="857">
        <v>1.8</v>
      </c>
      <c r="K299" s="857">
        <f>I299*J299</f>
        <v>1.8</v>
      </c>
      <c r="L299" s="857">
        <v>1</v>
      </c>
      <c r="M299" s="857">
        <v>1.8</v>
      </c>
      <c r="N299" s="857">
        <f>L299*M299</f>
        <v>1.8</v>
      </c>
      <c r="O299" s="857"/>
      <c r="P299" s="857"/>
      <c r="Q299" s="857"/>
      <c r="R299" s="857">
        <f t="shared" si="56"/>
        <v>0</v>
      </c>
      <c r="S299" s="857"/>
      <c r="T299" s="857"/>
      <c r="U299" s="857"/>
      <c r="V299" s="857"/>
      <c r="W299" s="857"/>
      <c r="X299" s="857"/>
      <c r="Y299" s="857"/>
      <c r="Z299" s="559">
        <f t="shared" si="57"/>
        <v>-1.8</v>
      </c>
      <c r="AA299" s="559">
        <f t="shared" si="47"/>
        <v>0</v>
      </c>
      <c r="AB299" s="893"/>
      <c r="AC299" s="534" t="s">
        <v>1665</v>
      </c>
      <c r="AF299" s="466"/>
      <c r="AG299" s="465"/>
      <c r="AH299" s="465"/>
    </row>
    <row r="300" spans="1:34" s="498" customFormat="1" ht="25.5" hidden="1" x14ac:dyDescent="0.25">
      <c r="A300" s="962"/>
      <c r="B300" s="502" t="s">
        <v>1931</v>
      </c>
      <c r="C300" s="503"/>
      <c r="D300" s="903"/>
      <c r="E300" s="1031"/>
      <c r="F300" s="557"/>
      <c r="G300" s="558"/>
      <c r="H300" s="559"/>
      <c r="I300" s="857"/>
      <c r="J300" s="857"/>
      <c r="K300" s="857"/>
      <c r="L300" s="857"/>
      <c r="M300" s="857"/>
      <c r="N300" s="857"/>
      <c r="O300" s="857">
        <v>1</v>
      </c>
      <c r="P300" s="857">
        <v>2.2999999999999998</v>
      </c>
      <c r="Q300" s="857">
        <f>O300*P300</f>
        <v>2.2999999999999998</v>
      </c>
      <c r="R300" s="857">
        <f t="shared" si="56"/>
        <v>2.2999999999999998</v>
      </c>
      <c r="S300" s="857"/>
      <c r="T300" s="857">
        <v>1</v>
      </c>
      <c r="U300" s="857">
        <v>2.2999999999999998</v>
      </c>
      <c r="V300" s="857">
        <f>T300*U300</f>
        <v>2.2999999999999998</v>
      </c>
      <c r="W300" s="857">
        <v>1</v>
      </c>
      <c r="X300" s="857">
        <v>2.2999999999999998</v>
      </c>
      <c r="Y300" s="857">
        <f>W300*X300</f>
        <v>2.2999999999999998</v>
      </c>
      <c r="Z300" s="559">
        <f t="shared" si="57"/>
        <v>2.2999999999999998</v>
      </c>
      <c r="AA300" s="559" t="str">
        <f t="shared" si="47"/>
        <v>-</v>
      </c>
      <c r="AB300" s="1838" t="s">
        <v>1932</v>
      </c>
      <c r="AC300" s="534" t="s">
        <v>1665</v>
      </c>
      <c r="AF300" s="466"/>
      <c r="AG300" s="465"/>
      <c r="AH300" s="465"/>
    </row>
    <row r="301" spans="1:34" s="498" customFormat="1" hidden="1" x14ac:dyDescent="0.25">
      <c r="A301" s="962"/>
      <c r="B301" s="502" t="s">
        <v>1729</v>
      </c>
      <c r="C301" s="503"/>
      <c r="D301" s="903"/>
      <c r="E301" s="1031"/>
      <c r="F301" s="557"/>
      <c r="G301" s="558"/>
      <c r="H301" s="559">
        <f>SUM(H296:H300)*0.271</f>
        <v>2.9</v>
      </c>
      <c r="I301" s="857"/>
      <c r="J301" s="857"/>
      <c r="K301" s="857">
        <f>SUM(K296:K299)*0.271</f>
        <v>2.7</v>
      </c>
      <c r="L301" s="857"/>
      <c r="M301" s="857"/>
      <c r="N301" s="857">
        <f>SUM(N296:N299)*0.271</f>
        <v>2.7</v>
      </c>
      <c r="O301" s="857"/>
      <c r="P301" s="857"/>
      <c r="Q301" s="857">
        <f>SUM(Q296:Q300)*0.271</f>
        <v>2.2000000000000002</v>
      </c>
      <c r="R301" s="857">
        <f t="shared" si="56"/>
        <v>2.2000000000000002</v>
      </c>
      <c r="S301" s="857"/>
      <c r="T301" s="857"/>
      <c r="U301" s="857"/>
      <c r="V301" s="857">
        <f>SUM(V296:V300)*0.271</f>
        <v>2.2000000000000002</v>
      </c>
      <c r="W301" s="857"/>
      <c r="X301" s="857"/>
      <c r="Y301" s="857">
        <f>SUM(Y296:Y300)*0.271</f>
        <v>2.2000000000000002</v>
      </c>
      <c r="Z301" s="559">
        <f t="shared" si="57"/>
        <v>-0.5</v>
      </c>
      <c r="AA301" s="559">
        <f t="shared" si="47"/>
        <v>81.5</v>
      </c>
      <c r="AB301" s="921"/>
      <c r="AC301" s="534" t="s">
        <v>1665</v>
      </c>
      <c r="AF301" s="466"/>
      <c r="AG301" s="465"/>
      <c r="AH301" s="465"/>
    </row>
    <row r="302" spans="1:34" s="517" customFormat="1" ht="21.75" hidden="1" customHeight="1" x14ac:dyDescent="0.2">
      <c r="A302" s="487"/>
      <c r="B302" s="543" t="s">
        <v>1248</v>
      </c>
      <c r="C302" s="511"/>
      <c r="D302" s="487"/>
      <c r="E302" s="487"/>
      <c r="F302" s="821"/>
      <c r="G302" s="822"/>
      <c r="H302" s="823" t="e">
        <f>#REF!+H303+#REF!</f>
        <v>#REF!</v>
      </c>
      <c r="I302" s="915"/>
      <c r="J302" s="915"/>
      <c r="K302" s="823">
        <f>K303</f>
        <v>16.600000000000001</v>
      </c>
      <c r="L302" s="915"/>
      <c r="M302" s="915"/>
      <c r="N302" s="823">
        <f>N303</f>
        <v>16.600000000000001</v>
      </c>
      <c r="O302" s="915"/>
      <c r="P302" s="915"/>
      <c r="Q302" s="823">
        <f>Q303</f>
        <v>32.799999999999997</v>
      </c>
      <c r="R302" s="823">
        <f t="shared" si="56"/>
        <v>32.799999999999997</v>
      </c>
      <c r="S302" s="823"/>
      <c r="T302" s="915"/>
      <c r="U302" s="915"/>
      <c r="V302" s="823">
        <f>V303</f>
        <v>32.799999999999997</v>
      </c>
      <c r="W302" s="823"/>
      <c r="X302" s="823"/>
      <c r="Y302" s="823">
        <f>Y303</f>
        <v>32.799999999999997</v>
      </c>
      <c r="Z302" s="823">
        <f t="shared" si="57"/>
        <v>16.2</v>
      </c>
      <c r="AA302" s="823">
        <f t="shared" si="47"/>
        <v>197.6</v>
      </c>
      <c r="AB302" s="555"/>
      <c r="AC302" s="515"/>
      <c r="AF302" s="519"/>
      <c r="AG302" s="519"/>
      <c r="AH302" s="519"/>
    </row>
    <row r="303" spans="1:34" s="527" customFormat="1" ht="38.25" hidden="1" x14ac:dyDescent="0.2">
      <c r="A303" s="522"/>
      <c r="B303" s="916" t="s">
        <v>1664</v>
      </c>
      <c r="C303" s="521"/>
      <c r="D303" s="522" t="s">
        <v>1444</v>
      </c>
      <c r="E303" s="525"/>
      <c r="F303" s="547"/>
      <c r="G303" s="548"/>
      <c r="H303" s="1935">
        <f>H304+H309+H312+H315</f>
        <v>19.899999999999999</v>
      </c>
      <c r="I303" s="525"/>
      <c r="J303" s="525"/>
      <c r="K303" s="525">
        <f>K304+K309+K312+K315</f>
        <v>16.600000000000001</v>
      </c>
      <c r="L303" s="525"/>
      <c r="M303" s="525"/>
      <c r="N303" s="525">
        <f>N304+N309+N312+N315</f>
        <v>16.600000000000001</v>
      </c>
      <c r="O303" s="525"/>
      <c r="P303" s="525"/>
      <c r="Q303" s="525">
        <f>Q304+Q309+Q312+Q315</f>
        <v>32.799999999999997</v>
      </c>
      <c r="R303" s="525">
        <f t="shared" si="56"/>
        <v>32.799999999999997</v>
      </c>
      <c r="S303" s="525"/>
      <c r="T303" s="525"/>
      <c r="U303" s="525"/>
      <c r="V303" s="525">
        <f>V304+V309+V312+V315</f>
        <v>32.799999999999997</v>
      </c>
      <c r="W303" s="1935"/>
      <c r="X303" s="1935"/>
      <c r="Y303" s="525">
        <f>Y304+Y309+Y312+Y315</f>
        <v>32.799999999999997</v>
      </c>
      <c r="Z303" s="1935">
        <f t="shared" si="57"/>
        <v>16.2</v>
      </c>
      <c r="AA303" s="1935">
        <f t="shared" si="47"/>
        <v>197.6</v>
      </c>
      <c r="AB303" s="1936" t="s">
        <v>1920</v>
      </c>
      <c r="AC303" s="549" t="s">
        <v>1665</v>
      </c>
      <c r="AF303" s="528"/>
      <c r="AG303" s="528"/>
      <c r="AH303" s="528"/>
    </row>
    <row r="304" spans="1:34" s="492" customFormat="1" ht="14.25" hidden="1" x14ac:dyDescent="0.2">
      <c r="A304" s="1240"/>
      <c r="B304" s="500" t="s">
        <v>1233</v>
      </c>
      <c r="C304" s="501" t="s">
        <v>1230</v>
      </c>
      <c r="D304" s="1240"/>
      <c r="E304" s="854"/>
      <c r="F304" s="854"/>
      <c r="G304" s="854"/>
      <c r="H304" s="1831">
        <f>SUM(H307:H308)</f>
        <v>0</v>
      </c>
      <c r="I304" s="1831"/>
      <c r="J304" s="1831"/>
      <c r="K304" s="1831">
        <f>SUM(K307:K308)</f>
        <v>0</v>
      </c>
      <c r="L304" s="1831"/>
      <c r="M304" s="1831"/>
      <c r="N304" s="1831">
        <f>SUM(N307:N308)</f>
        <v>0</v>
      </c>
      <c r="O304" s="1831"/>
      <c r="P304" s="1831"/>
      <c r="Q304" s="1831">
        <f>SUM(Q305:Q308)</f>
        <v>13.2</v>
      </c>
      <c r="R304" s="1831">
        <f t="shared" si="56"/>
        <v>13.2</v>
      </c>
      <c r="S304" s="1831"/>
      <c r="T304" s="1831"/>
      <c r="U304" s="1831"/>
      <c r="V304" s="1831">
        <f>SUM(V305:V308)</f>
        <v>13.2</v>
      </c>
      <c r="W304" s="1831"/>
      <c r="X304" s="1831"/>
      <c r="Y304" s="1831">
        <f>SUM(Y305:Y308)</f>
        <v>13.2</v>
      </c>
      <c r="Z304" s="854">
        <f t="shared" si="57"/>
        <v>13.2</v>
      </c>
      <c r="AA304" s="854" t="str">
        <f t="shared" si="47"/>
        <v>-</v>
      </c>
      <c r="AB304" s="3517" t="s">
        <v>1916</v>
      </c>
      <c r="AC304" s="491" t="s">
        <v>1665</v>
      </c>
      <c r="AF304" s="466"/>
      <c r="AG304" s="466"/>
      <c r="AH304" s="466"/>
    </row>
    <row r="305" spans="1:34" s="492" customFormat="1" ht="14.25" hidden="1" x14ac:dyDescent="0.2">
      <c r="A305" s="1240"/>
      <c r="B305" s="1885" t="s">
        <v>1933</v>
      </c>
      <c r="C305" s="501"/>
      <c r="D305" s="1240"/>
      <c r="E305" s="535" t="s">
        <v>1837</v>
      </c>
      <c r="F305" s="854"/>
      <c r="G305" s="854"/>
      <c r="H305" s="1831"/>
      <c r="I305" s="1831"/>
      <c r="J305" s="1831"/>
      <c r="K305" s="1831"/>
      <c r="L305" s="1831"/>
      <c r="M305" s="1831"/>
      <c r="N305" s="1831"/>
      <c r="O305" s="1905">
        <v>1</v>
      </c>
      <c r="P305" s="1905">
        <v>3.5</v>
      </c>
      <c r="Q305" s="1905">
        <f>O305*P305</f>
        <v>3.5</v>
      </c>
      <c r="R305" s="1905">
        <f t="shared" si="56"/>
        <v>3.5</v>
      </c>
      <c r="S305" s="1905"/>
      <c r="T305" s="1905">
        <v>1</v>
      </c>
      <c r="U305" s="1905">
        <v>3.5</v>
      </c>
      <c r="V305" s="1905">
        <f>T305*U305</f>
        <v>3.5</v>
      </c>
      <c r="W305" s="1905">
        <v>1</v>
      </c>
      <c r="X305" s="1905">
        <v>3.5</v>
      </c>
      <c r="Y305" s="1905">
        <f>W305*X305</f>
        <v>3.5</v>
      </c>
      <c r="Z305" s="854">
        <f t="shared" si="57"/>
        <v>3.5</v>
      </c>
      <c r="AA305" s="854" t="str">
        <f t="shared" si="47"/>
        <v>-</v>
      </c>
      <c r="AB305" s="3518"/>
      <c r="AC305" s="491" t="s">
        <v>1665</v>
      </c>
      <c r="AF305" s="466"/>
      <c r="AG305" s="466"/>
      <c r="AH305" s="466"/>
    </row>
    <row r="306" spans="1:34" s="492" customFormat="1" ht="14.25" hidden="1" x14ac:dyDescent="0.2">
      <c r="A306" s="1240"/>
      <c r="B306" s="1885" t="s">
        <v>1404</v>
      </c>
      <c r="C306" s="501"/>
      <c r="D306" s="1240"/>
      <c r="E306" s="535" t="s">
        <v>318</v>
      </c>
      <c r="F306" s="854"/>
      <c r="G306" s="854"/>
      <c r="H306" s="1831"/>
      <c r="I306" s="1831"/>
      <c r="J306" s="1831"/>
      <c r="K306" s="1831"/>
      <c r="L306" s="1831"/>
      <c r="M306" s="1831"/>
      <c r="N306" s="1831"/>
      <c r="O306" s="1905">
        <v>1</v>
      </c>
      <c r="P306" s="1905">
        <v>2.2999999999999998</v>
      </c>
      <c r="Q306" s="1905">
        <f t="shared" ref="Q306:Q307" si="58">O306*P306</f>
        <v>2.2999999999999998</v>
      </c>
      <c r="R306" s="1905">
        <f t="shared" si="56"/>
        <v>2.2999999999999998</v>
      </c>
      <c r="S306" s="1905"/>
      <c r="T306" s="1905">
        <v>1</v>
      </c>
      <c r="U306" s="1905">
        <v>2.2999999999999998</v>
      </c>
      <c r="V306" s="1905">
        <f t="shared" ref="V306:V307" si="59">T306*U306</f>
        <v>2.2999999999999998</v>
      </c>
      <c r="W306" s="1905">
        <v>1</v>
      </c>
      <c r="X306" s="1905">
        <v>2.2999999999999998</v>
      </c>
      <c r="Y306" s="1905">
        <f t="shared" ref="Y306:Y307" si="60">W306*X306</f>
        <v>2.2999999999999998</v>
      </c>
      <c r="Z306" s="854">
        <f t="shared" si="57"/>
        <v>2.2999999999999998</v>
      </c>
      <c r="AA306" s="854" t="str">
        <f t="shared" ref="AA306:AA369" si="61">IFERROR(Q306/K306*100,"-")</f>
        <v>-</v>
      </c>
      <c r="AB306" s="3518"/>
      <c r="AC306" s="491" t="s">
        <v>1665</v>
      </c>
      <c r="AF306" s="466"/>
      <c r="AG306" s="466"/>
      <c r="AH306" s="466"/>
    </row>
    <row r="307" spans="1:34" s="492" customFormat="1" ht="14.25" hidden="1" x14ac:dyDescent="0.2">
      <c r="A307" s="1240"/>
      <c r="B307" s="1885" t="s">
        <v>1934</v>
      </c>
      <c r="C307" s="501"/>
      <c r="D307" s="1240"/>
      <c r="E307" s="535" t="s">
        <v>318</v>
      </c>
      <c r="F307" s="854"/>
      <c r="G307" s="854"/>
      <c r="H307" s="854"/>
      <c r="I307" s="854"/>
      <c r="J307" s="854"/>
      <c r="K307" s="854"/>
      <c r="L307" s="854"/>
      <c r="M307" s="854"/>
      <c r="N307" s="854"/>
      <c r="O307" s="1905">
        <v>2</v>
      </c>
      <c r="P307" s="1905">
        <v>2.2999999999999998</v>
      </c>
      <c r="Q307" s="1905">
        <f t="shared" si="58"/>
        <v>4.5999999999999996</v>
      </c>
      <c r="R307" s="1905">
        <f t="shared" si="56"/>
        <v>4.5999999999999996</v>
      </c>
      <c r="S307" s="1905"/>
      <c r="T307" s="1905">
        <v>2</v>
      </c>
      <c r="U307" s="1905">
        <v>2.2999999999999998</v>
      </c>
      <c r="V307" s="1905">
        <f t="shared" si="59"/>
        <v>4.5999999999999996</v>
      </c>
      <c r="W307" s="1905">
        <v>2</v>
      </c>
      <c r="X307" s="1905">
        <v>2.2999999999999998</v>
      </c>
      <c r="Y307" s="1905">
        <f t="shared" si="60"/>
        <v>4.5999999999999996</v>
      </c>
      <c r="Z307" s="854">
        <f t="shared" si="57"/>
        <v>4.5999999999999996</v>
      </c>
      <c r="AA307" s="854" t="str">
        <f t="shared" si="61"/>
        <v>-</v>
      </c>
      <c r="AB307" s="3518"/>
      <c r="AC307" s="491" t="s">
        <v>1665</v>
      </c>
      <c r="AF307" s="466"/>
      <c r="AG307" s="466"/>
      <c r="AH307" s="466"/>
    </row>
    <row r="308" spans="1:34" s="492" customFormat="1" ht="14.25" hidden="1" x14ac:dyDescent="0.2">
      <c r="A308" s="1240"/>
      <c r="B308" s="502" t="s">
        <v>1729</v>
      </c>
      <c r="C308" s="501"/>
      <c r="D308" s="1240"/>
      <c r="E308" s="854"/>
      <c r="F308" s="854"/>
      <c r="G308" s="854"/>
      <c r="H308" s="854"/>
      <c r="I308" s="854"/>
      <c r="J308" s="854"/>
      <c r="K308" s="854"/>
      <c r="L308" s="854"/>
      <c r="M308" s="854"/>
      <c r="N308" s="854"/>
      <c r="O308" s="854"/>
      <c r="P308" s="854"/>
      <c r="Q308" s="1905">
        <f>SUM(Q305:Q307)*0.271</f>
        <v>2.8</v>
      </c>
      <c r="R308" s="1905">
        <f t="shared" si="56"/>
        <v>2.8</v>
      </c>
      <c r="S308" s="1905"/>
      <c r="T308" s="854"/>
      <c r="U308" s="854"/>
      <c r="V308" s="1905">
        <f>SUM(V305:V307)*0.271</f>
        <v>2.8</v>
      </c>
      <c r="W308" s="854"/>
      <c r="X308" s="854"/>
      <c r="Y308" s="1905">
        <f>SUM(Y305:Y307)*0.271</f>
        <v>2.8</v>
      </c>
      <c r="Z308" s="854">
        <f t="shared" si="57"/>
        <v>2.8</v>
      </c>
      <c r="AA308" s="854" t="str">
        <f t="shared" si="61"/>
        <v>-</v>
      </c>
      <c r="AB308" s="3519"/>
      <c r="AC308" s="491" t="s">
        <v>1665</v>
      </c>
      <c r="AF308" s="466"/>
      <c r="AG308" s="466"/>
      <c r="AH308" s="466"/>
    </row>
    <row r="309" spans="1:34" s="492" customFormat="1" ht="25.5" hidden="1" x14ac:dyDescent="0.2">
      <c r="A309" s="1240"/>
      <c r="B309" s="500" t="s">
        <v>1239</v>
      </c>
      <c r="C309" s="501" t="s">
        <v>797</v>
      </c>
      <c r="D309" s="932"/>
      <c r="E309" s="842"/>
      <c r="F309" s="828"/>
      <c r="G309" s="829"/>
      <c r="H309" s="542">
        <f>SUM(H310:H311)</f>
        <v>4</v>
      </c>
      <c r="I309" s="533"/>
      <c r="J309" s="533"/>
      <c r="K309" s="533">
        <f>SUM(K310:K311)</f>
        <v>0.8</v>
      </c>
      <c r="L309" s="533"/>
      <c r="M309" s="533"/>
      <c r="N309" s="533">
        <f>SUM(N310:N311)</f>
        <v>0.8</v>
      </c>
      <c r="O309" s="533"/>
      <c r="P309" s="533"/>
      <c r="Q309" s="533">
        <f>SUM(Q310:Q311)</f>
        <v>1.6</v>
      </c>
      <c r="R309" s="533">
        <f t="shared" si="56"/>
        <v>1.6</v>
      </c>
      <c r="S309" s="533"/>
      <c r="T309" s="533"/>
      <c r="U309" s="533"/>
      <c r="V309" s="533">
        <f>SUM(V310:V311)</f>
        <v>1.6</v>
      </c>
      <c r="W309" s="533"/>
      <c r="X309" s="533"/>
      <c r="Y309" s="533">
        <f>SUM(Y310:Y311)</f>
        <v>1.6</v>
      </c>
      <c r="Z309" s="542">
        <f t="shared" si="57"/>
        <v>0.8</v>
      </c>
      <c r="AA309" s="542">
        <f t="shared" si="61"/>
        <v>200</v>
      </c>
      <c r="AB309" s="910"/>
      <c r="AC309" s="491" t="s">
        <v>1665</v>
      </c>
      <c r="AF309" s="466"/>
      <c r="AG309" s="466"/>
      <c r="AH309" s="466"/>
    </row>
    <row r="310" spans="1:34" s="492" customFormat="1" ht="25.5" hidden="1" x14ac:dyDescent="0.2">
      <c r="A310" s="1240"/>
      <c r="B310" s="502" t="s">
        <v>1935</v>
      </c>
      <c r="C310" s="499"/>
      <c r="D310" s="903"/>
      <c r="E310" s="1031" t="s">
        <v>227</v>
      </c>
      <c r="F310" s="557">
        <v>19</v>
      </c>
      <c r="G310" s="558">
        <v>0.1</v>
      </c>
      <c r="H310" s="559">
        <f>F310*G310</f>
        <v>1.9</v>
      </c>
      <c r="I310" s="857">
        <v>8</v>
      </c>
      <c r="J310" s="862">
        <v>0.1</v>
      </c>
      <c r="K310" s="857">
        <f>I310*J310</f>
        <v>0.8</v>
      </c>
      <c r="L310" s="857">
        <v>8</v>
      </c>
      <c r="M310" s="862">
        <v>0.1</v>
      </c>
      <c r="N310" s="857">
        <f>L310*M310</f>
        <v>0.8</v>
      </c>
      <c r="O310" s="857">
        <v>16</v>
      </c>
      <c r="P310" s="857">
        <v>0.1</v>
      </c>
      <c r="Q310" s="857">
        <f>O310*P310</f>
        <v>1.6</v>
      </c>
      <c r="R310" s="857">
        <f t="shared" si="56"/>
        <v>1.6</v>
      </c>
      <c r="S310" s="857"/>
      <c r="T310" s="857">
        <v>16</v>
      </c>
      <c r="U310" s="857">
        <v>0.1</v>
      </c>
      <c r="V310" s="857">
        <f>T310*U310</f>
        <v>1.6</v>
      </c>
      <c r="W310" s="857">
        <v>16</v>
      </c>
      <c r="X310" s="857">
        <v>0.1</v>
      </c>
      <c r="Y310" s="857">
        <f>W310*X310</f>
        <v>1.6</v>
      </c>
      <c r="Z310" s="559">
        <f t="shared" si="57"/>
        <v>0.8</v>
      </c>
      <c r="AA310" s="559">
        <f t="shared" si="61"/>
        <v>200</v>
      </c>
      <c r="AB310" s="827" t="s">
        <v>1936</v>
      </c>
      <c r="AC310" s="491" t="s">
        <v>1665</v>
      </c>
      <c r="AF310" s="466"/>
      <c r="AG310" s="466"/>
      <c r="AH310" s="466"/>
    </row>
    <row r="311" spans="1:34" s="492" customFormat="1" ht="14.25" hidden="1" x14ac:dyDescent="0.2">
      <c r="A311" s="1240"/>
      <c r="B311" s="856" t="s">
        <v>1692</v>
      </c>
      <c r="C311" s="499"/>
      <c r="D311" s="903"/>
      <c r="E311" s="1031" t="s">
        <v>227</v>
      </c>
      <c r="F311" s="557">
        <v>6</v>
      </c>
      <c r="G311" s="558">
        <v>0.35</v>
      </c>
      <c r="H311" s="559">
        <f>F311*G311</f>
        <v>2.1</v>
      </c>
      <c r="I311" s="857"/>
      <c r="J311" s="857"/>
      <c r="K311" s="857"/>
      <c r="L311" s="857"/>
      <c r="M311" s="857"/>
      <c r="N311" s="857"/>
      <c r="O311" s="857"/>
      <c r="P311" s="857"/>
      <c r="Q311" s="857"/>
      <c r="R311" s="857">
        <f t="shared" si="56"/>
        <v>0</v>
      </c>
      <c r="S311" s="857"/>
      <c r="T311" s="857"/>
      <c r="U311" s="857"/>
      <c r="V311" s="857"/>
      <c r="W311" s="857"/>
      <c r="X311" s="857"/>
      <c r="Y311" s="857"/>
      <c r="Z311" s="559">
        <f t="shared" si="57"/>
        <v>0</v>
      </c>
      <c r="AA311" s="559" t="str">
        <f t="shared" si="61"/>
        <v>-</v>
      </c>
      <c r="AB311" s="827"/>
      <c r="AC311" s="491" t="s">
        <v>1665</v>
      </c>
      <c r="AF311" s="466"/>
      <c r="AG311" s="466"/>
      <c r="AH311" s="466"/>
    </row>
    <row r="312" spans="1:34" s="498" customFormat="1" hidden="1" x14ac:dyDescent="0.25">
      <c r="A312" s="962"/>
      <c r="B312" s="500" t="s">
        <v>1937</v>
      </c>
      <c r="C312" s="501" t="s">
        <v>797</v>
      </c>
      <c r="D312" s="932"/>
      <c r="E312" s="842" t="s">
        <v>1240</v>
      </c>
      <c r="F312" s="828"/>
      <c r="G312" s="829"/>
      <c r="H312" s="542">
        <f>SUM(H313:H314)</f>
        <v>5.8</v>
      </c>
      <c r="I312" s="533"/>
      <c r="J312" s="533"/>
      <c r="K312" s="542">
        <f>SUM(K313:K314)</f>
        <v>5.8</v>
      </c>
      <c r="L312" s="533"/>
      <c r="M312" s="533"/>
      <c r="N312" s="542">
        <f>SUM(N313:N314)</f>
        <v>5.8</v>
      </c>
      <c r="O312" s="533"/>
      <c r="P312" s="533"/>
      <c r="Q312" s="533">
        <f>SUM(Q313:Q314)</f>
        <v>2</v>
      </c>
      <c r="R312" s="533">
        <f t="shared" si="56"/>
        <v>2</v>
      </c>
      <c r="S312" s="533"/>
      <c r="T312" s="533"/>
      <c r="U312" s="533"/>
      <c r="V312" s="533">
        <f>SUM(V313:V314)</f>
        <v>2</v>
      </c>
      <c r="W312" s="533"/>
      <c r="X312" s="533"/>
      <c r="Y312" s="533">
        <f>SUM(Y313:Y314)</f>
        <v>2</v>
      </c>
      <c r="Z312" s="542">
        <f t="shared" si="57"/>
        <v>-3.8</v>
      </c>
      <c r="AA312" s="542">
        <f t="shared" si="61"/>
        <v>34.5</v>
      </c>
      <c r="AB312" s="827"/>
      <c r="AC312" s="491" t="s">
        <v>1665</v>
      </c>
      <c r="AF312" s="466"/>
      <c r="AG312" s="465"/>
      <c r="AH312" s="465"/>
    </row>
    <row r="313" spans="1:34" s="498" customFormat="1" hidden="1" x14ac:dyDescent="0.25">
      <c r="A313" s="962"/>
      <c r="B313" s="502" t="s">
        <v>1909</v>
      </c>
      <c r="C313" s="497"/>
      <c r="F313" s="857">
        <v>29</v>
      </c>
      <c r="G313" s="857">
        <v>0.2</v>
      </c>
      <c r="H313" s="857">
        <f>F313*G313</f>
        <v>5.8</v>
      </c>
      <c r="I313" s="857">
        <v>29</v>
      </c>
      <c r="J313" s="857">
        <v>0.2</v>
      </c>
      <c r="K313" s="857">
        <f>I313*J313</f>
        <v>5.8</v>
      </c>
      <c r="L313" s="857">
        <v>29</v>
      </c>
      <c r="M313" s="857">
        <v>0.2</v>
      </c>
      <c r="N313" s="857">
        <f>L313*M313</f>
        <v>5.8</v>
      </c>
      <c r="O313" s="857"/>
      <c r="P313" s="857"/>
      <c r="Q313" s="857"/>
      <c r="R313" s="857">
        <f t="shared" si="56"/>
        <v>0</v>
      </c>
      <c r="S313" s="857"/>
      <c r="T313" s="857"/>
      <c r="U313" s="857"/>
      <c r="V313" s="857"/>
      <c r="W313" s="857"/>
      <c r="X313" s="857"/>
      <c r="Y313" s="857"/>
      <c r="Z313" s="542">
        <f t="shared" si="57"/>
        <v>-5.8</v>
      </c>
      <c r="AA313" s="542">
        <f t="shared" si="61"/>
        <v>0</v>
      </c>
      <c r="AB313" s="827"/>
      <c r="AC313" s="491" t="s">
        <v>1665</v>
      </c>
      <c r="AF313" s="466"/>
      <c r="AG313" s="465"/>
      <c r="AH313" s="465"/>
    </row>
    <row r="314" spans="1:34" s="498" customFormat="1" ht="25.5" hidden="1" x14ac:dyDescent="0.25">
      <c r="A314" s="962"/>
      <c r="B314" s="502" t="s">
        <v>1938</v>
      </c>
      <c r="C314" s="499"/>
      <c r="D314" s="903"/>
      <c r="E314" s="1031"/>
      <c r="F314" s="857"/>
      <c r="G314" s="857"/>
      <c r="H314" s="857"/>
      <c r="I314" s="857"/>
      <c r="J314" s="857"/>
      <c r="K314" s="857"/>
      <c r="L314" s="857"/>
      <c r="M314" s="857"/>
      <c r="N314" s="857"/>
      <c r="O314" s="857">
        <v>1</v>
      </c>
      <c r="P314" s="857">
        <v>2</v>
      </c>
      <c r="Q314" s="857">
        <f>O314*P314</f>
        <v>2</v>
      </c>
      <c r="R314" s="857">
        <f t="shared" si="56"/>
        <v>2</v>
      </c>
      <c r="S314" s="857"/>
      <c r="T314" s="857">
        <v>1</v>
      </c>
      <c r="U314" s="857">
        <v>2</v>
      </c>
      <c r="V314" s="857">
        <f>T314*U314</f>
        <v>2</v>
      </c>
      <c r="W314" s="857">
        <v>1</v>
      </c>
      <c r="X314" s="857">
        <v>2</v>
      </c>
      <c r="Y314" s="857">
        <f>W314*X314</f>
        <v>2</v>
      </c>
      <c r="Z314" s="542">
        <f t="shared" si="57"/>
        <v>2</v>
      </c>
      <c r="AA314" s="542" t="str">
        <f t="shared" si="61"/>
        <v>-</v>
      </c>
      <c r="AB314" s="827" t="s">
        <v>1939</v>
      </c>
      <c r="AC314" s="491" t="s">
        <v>1665</v>
      </c>
      <c r="AF314" s="466"/>
      <c r="AG314" s="465"/>
      <c r="AH314" s="465"/>
    </row>
    <row r="315" spans="1:34" s="492" customFormat="1" ht="25.5" hidden="1" x14ac:dyDescent="0.2">
      <c r="A315" s="1240"/>
      <c r="B315" s="500" t="s">
        <v>1940</v>
      </c>
      <c r="C315" s="501" t="s">
        <v>796</v>
      </c>
      <c r="D315" s="932"/>
      <c r="E315" s="842"/>
      <c r="F315" s="828">
        <v>53</v>
      </c>
      <c r="G315" s="829">
        <v>0.19</v>
      </c>
      <c r="H315" s="542">
        <f>F315*G315</f>
        <v>10.1</v>
      </c>
      <c r="I315" s="533">
        <v>100</v>
      </c>
      <c r="J315" s="533">
        <v>0.1</v>
      </c>
      <c r="K315" s="533">
        <f>I315*J315</f>
        <v>10</v>
      </c>
      <c r="L315" s="533">
        <v>100</v>
      </c>
      <c r="M315" s="533">
        <v>0.1</v>
      </c>
      <c r="N315" s="533">
        <f>L315*M315</f>
        <v>10</v>
      </c>
      <c r="O315" s="533">
        <v>40</v>
      </c>
      <c r="P315" s="533">
        <v>0.4</v>
      </c>
      <c r="Q315" s="533">
        <f>O315*P315</f>
        <v>16</v>
      </c>
      <c r="R315" s="533">
        <f t="shared" si="56"/>
        <v>16</v>
      </c>
      <c r="S315" s="533"/>
      <c r="T315" s="533">
        <v>40</v>
      </c>
      <c r="U315" s="533">
        <v>0.4</v>
      </c>
      <c r="V315" s="533">
        <f>T315*U315</f>
        <v>16</v>
      </c>
      <c r="W315" s="533">
        <v>40</v>
      </c>
      <c r="X315" s="533">
        <v>0.4</v>
      </c>
      <c r="Y315" s="533">
        <f>W315*X315</f>
        <v>16</v>
      </c>
      <c r="Z315" s="542">
        <f t="shared" si="57"/>
        <v>6</v>
      </c>
      <c r="AA315" s="542">
        <f t="shared" si="61"/>
        <v>160</v>
      </c>
      <c r="AB315" s="843" t="s">
        <v>1941</v>
      </c>
      <c r="AC315" s="491" t="s">
        <v>1665</v>
      </c>
      <c r="AF315" s="466"/>
      <c r="AG315" s="466"/>
      <c r="AH315" s="466"/>
    </row>
    <row r="316" spans="1:34" s="517" customFormat="1" ht="14.25" hidden="1" x14ac:dyDescent="0.2">
      <c r="A316" s="487"/>
      <c r="B316" s="510" t="s">
        <v>1249</v>
      </c>
      <c r="C316" s="511"/>
      <c r="D316" s="487"/>
      <c r="E316" s="487"/>
      <c r="F316" s="488"/>
      <c r="G316" s="489"/>
      <c r="H316" s="490" t="e">
        <f>#REF!+H317+#REF!</f>
        <v>#REF!</v>
      </c>
      <c r="I316" s="847"/>
      <c r="J316" s="847"/>
      <c r="K316" s="490">
        <f>K317</f>
        <v>28.6</v>
      </c>
      <c r="L316" s="847"/>
      <c r="M316" s="847"/>
      <c r="N316" s="490">
        <f>N317</f>
        <v>28.6</v>
      </c>
      <c r="O316" s="847"/>
      <c r="P316" s="847"/>
      <c r="Q316" s="490">
        <f>Q317</f>
        <v>37.5</v>
      </c>
      <c r="R316" s="490">
        <f t="shared" si="56"/>
        <v>37.5</v>
      </c>
      <c r="S316" s="490"/>
      <c r="T316" s="847"/>
      <c r="U316" s="847"/>
      <c r="V316" s="490">
        <f>V317</f>
        <v>37.5</v>
      </c>
      <c r="W316" s="490"/>
      <c r="X316" s="490"/>
      <c r="Y316" s="490">
        <f>Y317</f>
        <v>37.5</v>
      </c>
      <c r="Z316" s="490">
        <f t="shared" si="57"/>
        <v>8.9</v>
      </c>
      <c r="AA316" s="490">
        <f t="shared" si="61"/>
        <v>131.1</v>
      </c>
      <c r="AB316" s="555"/>
      <c r="AC316" s="515"/>
      <c r="AF316" s="519"/>
      <c r="AG316" s="519"/>
      <c r="AH316" s="519"/>
    </row>
    <row r="317" spans="1:34" s="527" customFormat="1" ht="38.25" hidden="1" x14ac:dyDescent="0.2">
      <c r="A317" s="522"/>
      <c r="B317" s="858" t="s">
        <v>1700</v>
      </c>
      <c r="C317" s="859"/>
      <c r="D317" s="522" t="s">
        <v>1444</v>
      </c>
      <c r="E317" s="860"/>
      <c r="F317" s="523"/>
      <c r="G317" s="524"/>
      <c r="H317" s="526">
        <f>H318+H324+H329+H333</f>
        <v>48.4</v>
      </c>
      <c r="I317" s="526"/>
      <c r="J317" s="526"/>
      <c r="K317" s="526">
        <f>K318+K324+K329+K333</f>
        <v>28.6</v>
      </c>
      <c r="L317" s="526"/>
      <c r="M317" s="526"/>
      <c r="N317" s="526">
        <f>N318+N324+N329+N333</f>
        <v>28.6</v>
      </c>
      <c r="O317" s="526"/>
      <c r="P317" s="526"/>
      <c r="Q317" s="526">
        <f>Q318+Q324+Q329+Q333</f>
        <v>37.5</v>
      </c>
      <c r="R317" s="526">
        <f t="shared" si="56"/>
        <v>37.5</v>
      </c>
      <c r="S317" s="526"/>
      <c r="T317" s="526"/>
      <c r="U317" s="526"/>
      <c r="V317" s="526">
        <f>V318+V324+V329+V333</f>
        <v>37.5</v>
      </c>
      <c r="W317" s="526"/>
      <c r="X317" s="526"/>
      <c r="Y317" s="526">
        <f>Y318+Y324+Y329+Y333</f>
        <v>37.5</v>
      </c>
      <c r="Z317" s="526">
        <f t="shared" si="57"/>
        <v>8.9</v>
      </c>
      <c r="AA317" s="526">
        <f t="shared" si="61"/>
        <v>131.1</v>
      </c>
      <c r="AB317" s="849"/>
      <c r="AC317" s="549" t="s">
        <v>1665</v>
      </c>
      <c r="AF317" s="528"/>
      <c r="AG317" s="528"/>
      <c r="AH317" s="528"/>
    </row>
    <row r="318" spans="1:34" s="492" customFormat="1" ht="14.25" hidden="1" x14ac:dyDescent="0.2">
      <c r="A318" s="1240"/>
      <c r="B318" s="507" t="s">
        <v>1242</v>
      </c>
      <c r="C318" s="508" t="s">
        <v>1230</v>
      </c>
      <c r="D318" s="932"/>
      <c r="E318" s="493"/>
      <c r="F318" s="828"/>
      <c r="G318" s="829"/>
      <c r="H318" s="542">
        <f>SUM(H319:H323)</f>
        <v>13.2</v>
      </c>
      <c r="I318" s="533"/>
      <c r="J318" s="533"/>
      <c r="K318" s="533">
        <f>SUM(K319:K323)</f>
        <v>12.2</v>
      </c>
      <c r="L318" s="533"/>
      <c r="M318" s="533"/>
      <c r="N318" s="533">
        <f>SUM(N319:N323)</f>
        <v>12.2</v>
      </c>
      <c r="O318" s="533"/>
      <c r="P318" s="533"/>
      <c r="Q318" s="533">
        <f>SUM(Q319:Q323)</f>
        <v>13.5</v>
      </c>
      <c r="R318" s="533">
        <f t="shared" si="56"/>
        <v>13.5</v>
      </c>
      <c r="S318" s="533"/>
      <c r="T318" s="533"/>
      <c r="U318" s="533"/>
      <c r="V318" s="533">
        <f>SUM(V319:V323)</f>
        <v>13.5</v>
      </c>
      <c r="W318" s="533"/>
      <c r="X318" s="533"/>
      <c r="Y318" s="533">
        <f>SUM(Y319:Y323)</f>
        <v>13.5</v>
      </c>
      <c r="Z318" s="542">
        <f t="shared" si="57"/>
        <v>1.3</v>
      </c>
      <c r="AA318" s="542">
        <f t="shared" si="61"/>
        <v>110.7</v>
      </c>
      <c r="AB318" s="1030"/>
      <c r="AC318" s="491" t="s">
        <v>1665</v>
      </c>
      <c r="AF318" s="466"/>
      <c r="AG318" s="466"/>
      <c r="AH318" s="466"/>
    </row>
    <row r="319" spans="1:34" s="498" customFormat="1" hidden="1" x14ac:dyDescent="0.25">
      <c r="A319" s="962"/>
      <c r="B319" s="856" t="s">
        <v>1942</v>
      </c>
      <c r="C319" s="499"/>
      <c r="D319" s="903"/>
      <c r="E319" s="855" t="s">
        <v>318</v>
      </c>
      <c r="F319" s="557">
        <v>1</v>
      </c>
      <c r="G319" s="558">
        <v>3.45</v>
      </c>
      <c r="H319" s="559">
        <f>F319*G319</f>
        <v>3.5</v>
      </c>
      <c r="I319" s="857">
        <v>1</v>
      </c>
      <c r="J319" s="857">
        <v>3.5</v>
      </c>
      <c r="K319" s="857">
        <f>I319*J319</f>
        <v>3.5</v>
      </c>
      <c r="L319" s="857">
        <v>1</v>
      </c>
      <c r="M319" s="857">
        <v>3.5</v>
      </c>
      <c r="N319" s="857">
        <f>L319*M319</f>
        <v>3.5</v>
      </c>
      <c r="O319" s="857">
        <v>1</v>
      </c>
      <c r="P319" s="857">
        <v>3.5</v>
      </c>
      <c r="Q319" s="857">
        <f>O319*P319</f>
        <v>3.5</v>
      </c>
      <c r="R319" s="857">
        <f t="shared" si="56"/>
        <v>3.5</v>
      </c>
      <c r="S319" s="857"/>
      <c r="T319" s="857">
        <v>1</v>
      </c>
      <c r="U319" s="857">
        <v>3.5</v>
      </c>
      <c r="V319" s="857">
        <f>T319*U319</f>
        <v>3.5</v>
      </c>
      <c r="W319" s="857">
        <v>1</v>
      </c>
      <c r="X319" s="857">
        <v>3.5</v>
      </c>
      <c r="Y319" s="857">
        <f>W319*X319</f>
        <v>3.5</v>
      </c>
      <c r="Z319" s="559">
        <f t="shared" si="57"/>
        <v>0</v>
      </c>
      <c r="AA319" s="559">
        <f t="shared" si="61"/>
        <v>100</v>
      </c>
      <c r="AB319" s="900"/>
      <c r="AC319" s="491" t="s">
        <v>1665</v>
      </c>
      <c r="AF319" s="466"/>
      <c r="AG319" s="465"/>
      <c r="AH319" s="465"/>
    </row>
    <row r="320" spans="1:34" s="498" customFormat="1" hidden="1" x14ac:dyDescent="0.25">
      <c r="A320" s="962"/>
      <c r="B320" s="856" t="s">
        <v>1943</v>
      </c>
      <c r="C320" s="499"/>
      <c r="D320" s="903"/>
      <c r="E320" s="855" t="s">
        <v>318</v>
      </c>
      <c r="F320" s="557">
        <v>1</v>
      </c>
      <c r="G320" s="558">
        <v>2.2999999999999998</v>
      </c>
      <c r="H320" s="559">
        <f>F320*G320</f>
        <v>2.2999999999999998</v>
      </c>
      <c r="I320" s="857">
        <v>1</v>
      </c>
      <c r="J320" s="857">
        <v>1.5</v>
      </c>
      <c r="K320" s="857">
        <f>I320*J320</f>
        <v>1.5</v>
      </c>
      <c r="L320" s="857">
        <v>1</v>
      </c>
      <c r="M320" s="857">
        <v>1.5</v>
      </c>
      <c r="N320" s="857">
        <f>L320*M320</f>
        <v>1.5</v>
      </c>
      <c r="O320" s="857"/>
      <c r="P320" s="857"/>
      <c r="Q320" s="857"/>
      <c r="R320" s="857">
        <f t="shared" si="56"/>
        <v>0</v>
      </c>
      <c r="S320" s="857"/>
      <c r="T320" s="857"/>
      <c r="U320" s="857"/>
      <c r="V320" s="857"/>
      <c r="W320" s="857"/>
      <c r="X320" s="857"/>
      <c r="Y320" s="857"/>
      <c r="Z320" s="559">
        <f t="shared" si="57"/>
        <v>-1.5</v>
      </c>
      <c r="AA320" s="559">
        <f t="shared" si="61"/>
        <v>0</v>
      </c>
      <c r="AB320" s="900"/>
      <c r="AC320" s="491" t="s">
        <v>1665</v>
      </c>
      <c r="AF320" s="466"/>
      <c r="AG320" s="465"/>
      <c r="AH320" s="465"/>
    </row>
    <row r="321" spans="1:34" s="498" customFormat="1" ht="76.5" hidden="1" x14ac:dyDescent="0.25">
      <c r="A321" s="962"/>
      <c r="B321" s="856" t="s">
        <v>1944</v>
      </c>
      <c r="C321" s="499"/>
      <c r="D321" s="903"/>
      <c r="E321" s="855"/>
      <c r="F321" s="557"/>
      <c r="G321" s="558"/>
      <c r="H321" s="559"/>
      <c r="I321" s="857"/>
      <c r="J321" s="857"/>
      <c r="K321" s="857"/>
      <c r="L321" s="857"/>
      <c r="M321" s="857"/>
      <c r="N321" s="857"/>
      <c r="O321" s="857">
        <v>1</v>
      </c>
      <c r="P321" s="857">
        <v>2.5</v>
      </c>
      <c r="Q321" s="857">
        <f>O321*P321</f>
        <v>2.5</v>
      </c>
      <c r="R321" s="857">
        <f t="shared" si="56"/>
        <v>2.5</v>
      </c>
      <c r="S321" s="857"/>
      <c r="T321" s="857">
        <v>1</v>
      </c>
      <c r="U321" s="857">
        <v>2.5</v>
      </c>
      <c r="V321" s="857">
        <f>T321*U321</f>
        <v>2.5</v>
      </c>
      <c r="W321" s="857">
        <v>1</v>
      </c>
      <c r="X321" s="857">
        <v>2.5</v>
      </c>
      <c r="Y321" s="857">
        <f>W321*X321</f>
        <v>2.5</v>
      </c>
      <c r="Z321" s="559">
        <f t="shared" si="57"/>
        <v>2.5</v>
      </c>
      <c r="AA321" s="559" t="str">
        <f t="shared" si="61"/>
        <v>-</v>
      </c>
      <c r="AB321" s="900" t="s">
        <v>1945</v>
      </c>
      <c r="AC321" s="491" t="s">
        <v>1665</v>
      </c>
      <c r="AF321" s="466"/>
      <c r="AG321" s="465"/>
      <c r="AH321" s="465"/>
    </row>
    <row r="322" spans="1:34" s="498" customFormat="1" hidden="1" x14ac:dyDescent="0.25">
      <c r="A322" s="962"/>
      <c r="B322" s="856" t="s">
        <v>1404</v>
      </c>
      <c r="C322" s="499"/>
      <c r="D322" s="903"/>
      <c r="E322" s="855" t="s">
        <v>318</v>
      </c>
      <c r="F322" s="557">
        <v>2</v>
      </c>
      <c r="G322" s="558">
        <v>2.2999999999999998</v>
      </c>
      <c r="H322" s="559">
        <f>F322*G322</f>
        <v>4.5999999999999996</v>
      </c>
      <c r="I322" s="857">
        <v>2</v>
      </c>
      <c r="J322" s="857">
        <v>2.2999999999999998</v>
      </c>
      <c r="K322" s="857">
        <f>I322*J322</f>
        <v>4.5999999999999996</v>
      </c>
      <c r="L322" s="857">
        <v>2</v>
      </c>
      <c r="M322" s="857">
        <v>2.2999999999999998</v>
      </c>
      <c r="N322" s="857">
        <f>L322*M322</f>
        <v>4.5999999999999996</v>
      </c>
      <c r="O322" s="857">
        <v>2</v>
      </c>
      <c r="P322" s="857">
        <v>2.2999999999999998</v>
      </c>
      <c r="Q322" s="857">
        <f>O322*P322</f>
        <v>4.5999999999999996</v>
      </c>
      <c r="R322" s="857">
        <f t="shared" si="56"/>
        <v>4.5999999999999996</v>
      </c>
      <c r="S322" s="857"/>
      <c r="T322" s="857">
        <v>2</v>
      </c>
      <c r="U322" s="857">
        <v>2.2999999999999998</v>
      </c>
      <c r="V322" s="857">
        <f>T322*U322</f>
        <v>4.5999999999999996</v>
      </c>
      <c r="W322" s="857">
        <v>2</v>
      </c>
      <c r="X322" s="857">
        <v>2.2999999999999998</v>
      </c>
      <c r="Y322" s="857">
        <f>W322*X322</f>
        <v>4.5999999999999996</v>
      </c>
      <c r="Z322" s="559">
        <f t="shared" si="57"/>
        <v>0</v>
      </c>
      <c r="AA322" s="559">
        <f t="shared" si="61"/>
        <v>100</v>
      </c>
      <c r="AB322" s="900"/>
      <c r="AC322" s="491" t="s">
        <v>1665</v>
      </c>
      <c r="AF322" s="466"/>
      <c r="AG322" s="465"/>
      <c r="AH322" s="465"/>
    </row>
    <row r="323" spans="1:34" s="498" customFormat="1" hidden="1" x14ac:dyDescent="0.25">
      <c r="A323" s="962"/>
      <c r="B323" s="506" t="s">
        <v>842</v>
      </c>
      <c r="C323" s="499"/>
      <c r="D323" s="903"/>
      <c r="E323" s="855"/>
      <c r="F323" s="557"/>
      <c r="G323" s="558"/>
      <c r="H323" s="559">
        <f>(H319+H320+H322)*27.1/100</f>
        <v>2.8</v>
      </c>
      <c r="I323" s="857"/>
      <c r="J323" s="857"/>
      <c r="K323" s="857">
        <f>(K319+K320+K322)*27.1/100</f>
        <v>2.6</v>
      </c>
      <c r="L323" s="857"/>
      <c r="M323" s="857"/>
      <c r="N323" s="857">
        <f>(N319+N320+N322)*27.1/100</f>
        <v>2.6</v>
      </c>
      <c r="O323" s="857"/>
      <c r="P323" s="857"/>
      <c r="Q323" s="857">
        <f>(Q319+Q320+Q322+Q321)*27.1/100</f>
        <v>2.9</v>
      </c>
      <c r="R323" s="857">
        <f t="shared" si="56"/>
        <v>2.9</v>
      </c>
      <c r="S323" s="857"/>
      <c r="T323" s="857"/>
      <c r="U323" s="857"/>
      <c r="V323" s="857">
        <f>(V319+V320+V322+V321)*27.1/100</f>
        <v>2.9</v>
      </c>
      <c r="W323" s="857"/>
      <c r="X323" s="857"/>
      <c r="Y323" s="857">
        <f>(Y319+Y320+Y322+Y321)*27.1/100</f>
        <v>2.9</v>
      </c>
      <c r="Z323" s="559">
        <f t="shared" si="57"/>
        <v>0.3</v>
      </c>
      <c r="AA323" s="559">
        <f t="shared" si="61"/>
        <v>111.5</v>
      </c>
      <c r="AB323" s="900"/>
      <c r="AC323" s="491" t="s">
        <v>1665</v>
      </c>
      <c r="AF323" s="466"/>
      <c r="AG323" s="465"/>
      <c r="AH323" s="465"/>
    </row>
    <row r="324" spans="1:34" s="492" customFormat="1" ht="14.25" hidden="1" x14ac:dyDescent="0.2">
      <c r="A324" s="1240"/>
      <c r="B324" s="507" t="s">
        <v>1707</v>
      </c>
      <c r="C324" s="508" t="s">
        <v>797</v>
      </c>
      <c r="D324" s="932"/>
      <c r="E324" s="493"/>
      <c r="F324" s="828"/>
      <c r="G324" s="829"/>
      <c r="H324" s="542">
        <f>SUM(H325:H328)</f>
        <v>11.2</v>
      </c>
      <c r="I324" s="533"/>
      <c r="J324" s="533"/>
      <c r="K324" s="533">
        <f>SUM(K325:K328)</f>
        <v>1.2</v>
      </c>
      <c r="L324" s="533"/>
      <c r="M324" s="533"/>
      <c r="N324" s="533">
        <f>SUM(N325:N328)</f>
        <v>1.2</v>
      </c>
      <c r="O324" s="533"/>
      <c r="P324" s="533"/>
      <c r="Q324" s="533">
        <f>SUM(Q325:Q328)</f>
        <v>2</v>
      </c>
      <c r="R324" s="533">
        <f t="shared" si="56"/>
        <v>2</v>
      </c>
      <c r="S324" s="533"/>
      <c r="T324" s="533"/>
      <c r="U324" s="533"/>
      <c r="V324" s="533">
        <f>SUM(V325:V328)</f>
        <v>2</v>
      </c>
      <c r="W324" s="533"/>
      <c r="X324" s="533"/>
      <c r="Y324" s="533">
        <f>SUM(Y325:Y328)</f>
        <v>2</v>
      </c>
      <c r="Z324" s="542">
        <f t="shared" si="57"/>
        <v>0.8</v>
      </c>
      <c r="AA324" s="542">
        <f t="shared" si="61"/>
        <v>166.7</v>
      </c>
      <c r="AB324" s="900"/>
      <c r="AC324" s="491" t="s">
        <v>1665</v>
      </c>
      <c r="AF324" s="466"/>
      <c r="AG324" s="466"/>
      <c r="AH324" s="466"/>
    </row>
    <row r="325" spans="1:34" s="498" customFormat="1" hidden="1" x14ac:dyDescent="0.25">
      <c r="A325" s="962"/>
      <c r="B325" s="856" t="s">
        <v>1946</v>
      </c>
      <c r="C325" s="499"/>
      <c r="D325" s="903"/>
      <c r="E325" s="855" t="s">
        <v>227</v>
      </c>
      <c r="F325" s="557">
        <v>6</v>
      </c>
      <c r="G325" s="558">
        <v>0.35</v>
      </c>
      <c r="H325" s="559">
        <f>F325*G325</f>
        <v>2.1</v>
      </c>
      <c r="I325" s="857"/>
      <c r="J325" s="857"/>
      <c r="K325" s="857">
        <f>I325*J325</f>
        <v>0</v>
      </c>
      <c r="L325" s="857"/>
      <c r="M325" s="857"/>
      <c r="N325" s="857">
        <f>L325*M325</f>
        <v>0</v>
      </c>
      <c r="O325" s="857"/>
      <c r="P325" s="857"/>
      <c r="Q325" s="857"/>
      <c r="R325" s="857">
        <f t="shared" si="56"/>
        <v>0</v>
      </c>
      <c r="S325" s="857"/>
      <c r="T325" s="857"/>
      <c r="U325" s="857"/>
      <c r="V325" s="857"/>
      <c r="W325" s="857"/>
      <c r="X325" s="857"/>
      <c r="Y325" s="857"/>
      <c r="Z325" s="559">
        <f t="shared" si="57"/>
        <v>0</v>
      </c>
      <c r="AA325" s="559" t="str">
        <f t="shared" si="61"/>
        <v>-</v>
      </c>
      <c r="AB325" s="900"/>
      <c r="AC325" s="491" t="s">
        <v>1665</v>
      </c>
      <c r="AF325" s="466"/>
      <c r="AG325" s="465"/>
      <c r="AH325" s="465"/>
    </row>
    <row r="326" spans="1:34" s="498" customFormat="1" ht="38.25" hidden="1" x14ac:dyDescent="0.25">
      <c r="A326" s="962"/>
      <c r="B326" s="502" t="s">
        <v>1708</v>
      </c>
      <c r="C326" s="499"/>
      <c r="D326" s="903"/>
      <c r="E326" s="855" t="s">
        <v>227</v>
      </c>
      <c r="F326" s="557">
        <v>26</v>
      </c>
      <c r="G326" s="558">
        <v>0.1</v>
      </c>
      <c r="H326" s="559">
        <f>F326*G326</f>
        <v>2.6</v>
      </c>
      <c r="I326" s="857">
        <v>12</v>
      </c>
      <c r="J326" s="862">
        <v>0.1</v>
      </c>
      <c r="K326" s="857">
        <f>I326*J326</f>
        <v>1.2</v>
      </c>
      <c r="L326" s="857">
        <v>12</v>
      </c>
      <c r="M326" s="862">
        <v>0.1</v>
      </c>
      <c r="N326" s="857">
        <f>L326*M326</f>
        <v>1.2</v>
      </c>
      <c r="O326" s="857">
        <v>20</v>
      </c>
      <c r="P326" s="857">
        <v>0.1</v>
      </c>
      <c r="Q326" s="857">
        <f>O326*P326</f>
        <v>2</v>
      </c>
      <c r="R326" s="857">
        <f t="shared" si="56"/>
        <v>2</v>
      </c>
      <c r="S326" s="857"/>
      <c r="T326" s="857">
        <v>20</v>
      </c>
      <c r="U326" s="857">
        <v>0.1</v>
      </c>
      <c r="V326" s="857">
        <f>T326*U326</f>
        <v>2</v>
      </c>
      <c r="W326" s="857">
        <v>20</v>
      </c>
      <c r="X326" s="857">
        <v>0.1</v>
      </c>
      <c r="Y326" s="857">
        <f>W326*X326</f>
        <v>2</v>
      </c>
      <c r="Z326" s="559">
        <f t="shared" si="57"/>
        <v>0.8</v>
      </c>
      <c r="AA326" s="559">
        <f t="shared" si="61"/>
        <v>166.7</v>
      </c>
      <c r="AB326" s="827" t="s">
        <v>1947</v>
      </c>
      <c r="AC326" s="491" t="s">
        <v>1665</v>
      </c>
      <c r="AF326" s="466"/>
      <c r="AG326" s="465"/>
      <c r="AH326" s="465"/>
    </row>
    <row r="327" spans="1:34" s="498" customFormat="1" hidden="1" x14ac:dyDescent="0.25">
      <c r="A327" s="962"/>
      <c r="B327" s="856" t="s">
        <v>1369</v>
      </c>
      <c r="C327" s="499"/>
      <c r="D327" s="903"/>
      <c r="E327" s="855" t="s">
        <v>227</v>
      </c>
      <c r="F327" s="557">
        <v>6</v>
      </c>
      <c r="G327" s="558">
        <v>0.75</v>
      </c>
      <c r="H327" s="559">
        <f>F327*G327</f>
        <v>4.5</v>
      </c>
      <c r="I327" s="857"/>
      <c r="J327" s="857"/>
      <c r="K327" s="857">
        <f>I327*J327</f>
        <v>0</v>
      </c>
      <c r="L327" s="857"/>
      <c r="M327" s="857"/>
      <c r="N327" s="857">
        <f>L327*M327</f>
        <v>0</v>
      </c>
      <c r="O327" s="857"/>
      <c r="P327" s="857"/>
      <c r="Q327" s="857"/>
      <c r="R327" s="857">
        <f t="shared" si="56"/>
        <v>0</v>
      </c>
      <c r="S327" s="857"/>
      <c r="T327" s="857"/>
      <c r="U327" s="857"/>
      <c r="V327" s="857"/>
      <c r="W327" s="857"/>
      <c r="X327" s="857"/>
      <c r="Y327" s="857"/>
      <c r="Z327" s="559">
        <f t="shared" si="57"/>
        <v>0</v>
      </c>
      <c r="AA327" s="559" t="str">
        <f t="shared" si="61"/>
        <v>-</v>
      </c>
      <c r="AB327" s="1029"/>
      <c r="AC327" s="491" t="s">
        <v>1665</v>
      </c>
      <c r="AF327" s="466"/>
      <c r="AG327" s="465"/>
      <c r="AH327" s="465"/>
    </row>
    <row r="328" spans="1:34" s="498" customFormat="1" hidden="1" x14ac:dyDescent="0.25">
      <c r="A328" s="962"/>
      <c r="B328" s="856" t="s">
        <v>1948</v>
      </c>
      <c r="C328" s="499"/>
      <c r="D328" s="903"/>
      <c r="E328" s="855" t="s">
        <v>227</v>
      </c>
      <c r="F328" s="557">
        <v>1</v>
      </c>
      <c r="G328" s="558">
        <v>2</v>
      </c>
      <c r="H328" s="559">
        <f>F328*G328</f>
        <v>2</v>
      </c>
      <c r="I328" s="857"/>
      <c r="J328" s="857"/>
      <c r="K328" s="857">
        <f>I328*J328</f>
        <v>0</v>
      </c>
      <c r="L328" s="857"/>
      <c r="M328" s="857"/>
      <c r="N328" s="857">
        <f>L328*M328</f>
        <v>0</v>
      </c>
      <c r="O328" s="857"/>
      <c r="P328" s="857"/>
      <c r="Q328" s="857"/>
      <c r="R328" s="857">
        <f t="shared" si="56"/>
        <v>0</v>
      </c>
      <c r="S328" s="857"/>
      <c r="T328" s="857"/>
      <c r="U328" s="857"/>
      <c r="V328" s="857"/>
      <c r="W328" s="857"/>
      <c r="X328" s="857"/>
      <c r="Y328" s="857"/>
      <c r="Z328" s="559">
        <f t="shared" si="57"/>
        <v>0</v>
      </c>
      <c r="AA328" s="559" t="str">
        <f t="shared" si="61"/>
        <v>-</v>
      </c>
      <c r="AB328" s="1029"/>
      <c r="AC328" s="491" t="s">
        <v>1665</v>
      </c>
      <c r="AF328" s="466"/>
      <c r="AG328" s="465"/>
      <c r="AH328" s="465"/>
    </row>
    <row r="329" spans="1:34" s="492" customFormat="1" ht="14.25" hidden="1" x14ac:dyDescent="0.2">
      <c r="A329" s="1240"/>
      <c r="B329" s="507" t="s">
        <v>1226</v>
      </c>
      <c r="C329" s="508" t="s">
        <v>797</v>
      </c>
      <c r="D329" s="932"/>
      <c r="E329" s="493"/>
      <c r="F329" s="828"/>
      <c r="G329" s="829"/>
      <c r="H329" s="542">
        <f>SUM(H330:H332)</f>
        <v>17.2</v>
      </c>
      <c r="I329" s="533"/>
      <c r="J329" s="533"/>
      <c r="K329" s="533">
        <f>SUM(K330:K332)</f>
        <v>11.2</v>
      </c>
      <c r="L329" s="533"/>
      <c r="M329" s="533"/>
      <c r="N329" s="533">
        <f>SUM(N330:N332)</f>
        <v>11.2</v>
      </c>
      <c r="O329" s="533"/>
      <c r="P329" s="533"/>
      <c r="Q329" s="533">
        <f>SUM(Q330:Q332)</f>
        <v>15</v>
      </c>
      <c r="R329" s="533">
        <f t="shared" si="56"/>
        <v>15</v>
      </c>
      <c r="S329" s="533"/>
      <c r="T329" s="533"/>
      <c r="U329" s="533"/>
      <c r="V329" s="533">
        <f>SUM(V330:V332)</f>
        <v>15</v>
      </c>
      <c r="W329" s="533"/>
      <c r="X329" s="533"/>
      <c r="Y329" s="533">
        <f>SUM(Y330:Y332)</f>
        <v>15</v>
      </c>
      <c r="Z329" s="542">
        <f t="shared" si="57"/>
        <v>3.8</v>
      </c>
      <c r="AA329" s="542">
        <f t="shared" si="61"/>
        <v>133.9</v>
      </c>
      <c r="AB329" s="900"/>
      <c r="AC329" s="491" t="s">
        <v>1665</v>
      </c>
      <c r="AF329" s="466"/>
      <c r="AG329" s="466"/>
      <c r="AH329" s="466"/>
    </row>
    <row r="330" spans="1:34" s="498" customFormat="1" hidden="1" x14ac:dyDescent="0.25">
      <c r="A330" s="962"/>
      <c r="B330" s="856" t="s">
        <v>1669</v>
      </c>
      <c r="C330" s="499"/>
      <c r="D330" s="903"/>
      <c r="E330" s="855" t="s">
        <v>227</v>
      </c>
      <c r="F330" s="557">
        <v>100</v>
      </c>
      <c r="G330" s="558">
        <v>0.12</v>
      </c>
      <c r="H330" s="559">
        <f>F330*G330</f>
        <v>12</v>
      </c>
      <c r="I330" s="857">
        <v>120</v>
      </c>
      <c r="J330" s="862">
        <v>0.05</v>
      </c>
      <c r="K330" s="857">
        <f>I330*J330</f>
        <v>6</v>
      </c>
      <c r="L330" s="857">
        <v>120</v>
      </c>
      <c r="M330" s="862">
        <v>0.05</v>
      </c>
      <c r="N330" s="857">
        <f>L330*M330</f>
        <v>6</v>
      </c>
      <c r="O330" s="857"/>
      <c r="P330" s="857"/>
      <c r="Q330" s="857"/>
      <c r="R330" s="857">
        <f t="shared" si="56"/>
        <v>0</v>
      </c>
      <c r="S330" s="857"/>
      <c r="T330" s="857"/>
      <c r="U330" s="857"/>
      <c r="V330" s="857"/>
      <c r="W330" s="857"/>
      <c r="X330" s="857"/>
      <c r="Y330" s="857"/>
      <c r="Z330" s="559">
        <f t="shared" si="57"/>
        <v>-6</v>
      </c>
      <c r="AA330" s="559">
        <f t="shared" si="61"/>
        <v>0</v>
      </c>
      <c r="AB330" s="1029"/>
      <c r="AC330" s="491" t="s">
        <v>1665</v>
      </c>
      <c r="AF330" s="466"/>
      <c r="AG330" s="465"/>
      <c r="AH330" s="465"/>
    </row>
    <row r="331" spans="1:34" s="498" customFormat="1" ht="63.75" hidden="1" x14ac:dyDescent="0.25">
      <c r="A331" s="962"/>
      <c r="B331" s="1824" t="s">
        <v>1949</v>
      </c>
      <c r="C331" s="499"/>
      <c r="D331" s="903"/>
      <c r="E331" s="855" t="s">
        <v>227</v>
      </c>
      <c r="F331" s="557"/>
      <c r="G331" s="558"/>
      <c r="H331" s="559"/>
      <c r="I331" s="857"/>
      <c r="J331" s="857"/>
      <c r="K331" s="857">
        <f>I331*J331</f>
        <v>0</v>
      </c>
      <c r="L331" s="857"/>
      <c r="M331" s="857"/>
      <c r="N331" s="857">
        <f>L331*M331</f>
        <v>0</v>
      </c>
      <c r="O331" s="857">
        <v>2</v>
      </c>
      <c r="P331" s="857">
        <v>7.5</v>
      </c>
      <c r="Q331" s="857">
        <f>P331*O331</f>
        <v>15</v>
      </c>
      <c r="R331" s="857">
        <f t="shared" si="56"/>
        <v>15</v>
      </c>
      <c r="S331" s="857"/>
      <c r="T331" s="857">
        <v>2</v>
      </c>
      <c r="U331" s="857">
        <v>7.5</v>
      </c>
      <c r="V331" s="857">
        <f>U331*T331</f>
        <v>15</v>
      </c>
      <c r="W331" s="857">
        <v>2</v>
      </c>
      <c r="X331" s="857">
        <v>7.5</v>
      </c>
      <c r="Y331" s="857">
        <f>X331*W331</f>
        <v>15</v>
      </c>
      <c r="Z331" s="559">
        <f t="shared" si="57"/>
        <v>15</v>
      </c>
      <c r="AA331" s="559" t="str">
        <f t="shared" si="61"/>
        <v>-</v>
      </c>
      <c r="AB331" s="1029" t="s">
        <v>1950</v>
      </c>
      <c r="AC331" s="491" t="s">
        <v>1665</v>
      </c>
      <c r="AF331" s="466"/>
      <c r="AG331" s="465"/>
      <c r="AH331" s="465"/>
    </row>
    <row r="332" spans="1:34" s="498" customFormat="1" hidden="1" x14ac:dyDescent="0.25">
      <c r="A332" s="962"/>
      <c r="B332" s="506" t="s">
        <v>1951</v>
      </c>
      <c r="C332" s="508"/>
      <c r="D332" s="903"/>
      <c r="E332" s="493" t="s">
        <v>227</v>
      </c>
      <c r="F332" s="557">
        <v>13</v>
      </c>
      <c r="G332" s="558">
        <v>0.4</v>
      </c>
      <c r="H332" s="559">
        <f>F332*G332</f>
        <v>5.2</v>
      </c>
      <c r="I332" s="857">
        <v>13</v>
      </c>
      <c r="J332" s="857">
        <v>0.4</v>
      </c>
      <c r="K332" s="857">
        <f>I332*J332</f>
        <v>5.2</v>
      </c>
      <c r="L332" s="857">
        <v>13</v>
      </c>
      <c r="M332" s="857">
        <v>0.4</v>
      </c>
      <c r="N332" s="857">
        <f>L332*M332</f>
        <v>5.2</v>
      </c>
      <c r="O332" s="857"/>
      <c r="P332" s="857"/>
      <c r="Q332" s="857"/>
      <c r="R332" s="857">
        <f t="shared" si="56"/>
        <v>0</v>
      </c>
      <c r="S332" s="857"/>
      <c r="T332" s="857"/>
      <c r="U332" s="857"/>
      <c r="V332" s="857"/>
      <c r="W332" s="857"/>
      <c r="X332" s="857"/>
      <c r="Y332" s="857"/>
      <c r="Z332" s="559">
        <f t="shared" si="57"/>
        <v>-5.2</v>
      </c>
      <c r="AA332" s="559">
        <f t="shared" si="61"/>
        <v>0</v>
      </c>
      <c r="AB332" s="1029"/>
      <c r="AC332" s="491" t="s">
        <v>1665</v>
      </c>
      <c r="AF332" s="466"/>
      <c r="AG332" s="465"/>
      <c r="AH332" s="465"/>
    </row>
    <row r="333" spans="1:34" s="492" customFormat="1" ht="14.25" hidden="1" x14ac:dyDescent="0.2">
      <c r="A333" s="1240"/>
      <c r="B333" s="865" t="s">
        <v>1952</v>
      </c>
      <c r="C333" s="508"/>
      <c r="D333" s="1240"/>
      <c r="E333" s="861"/>
      <c r="F333" s="828"/>
      <c r="G333" s="829"/>
      <c r="H333" s="542">
        <f>SUM(H334:H335)</f>
        <v>6.8</v>
      </c>
      <c r="I333" s="533"/>
      <c r="J333" s="533"/>
      <c r="K333" s="533">
        <f>SUM(K334:K335)</f>
        <v>4</v>
      </c>
      <c r="L333" s="533"/>
      <c r="M333" s="533"/>
      <c r="N333" s="533">
        <f>SUM(N334:N335)</f>
        <v>4</v>
      </c>
      <c r="O333" s="533"/>
      <c r="P333" s="533"/>
      <c r="Q333" s="533">
        <f>SUM(Q334:Q335)</f>
        <v>7</v>
      </c>
      <c r="R333" s="533">
        <f t="shared" si="56"/>
        <v>7</v>
      </c>
      <c r="S333" s="533"/>
      <c r="T333" s="533"/>
      <c r="U333" s="533"/>
      <c r="V333" s="533">
        <f>SUM(V334:V335)</f>
        <v>7</v>
      </c>
      <c r="W333" s="533"/>
      <c r="X333" s="533"/>
      <c r="Y333" s="533">
        <f>SUM(Y334:Y335)</f>
        <v>7</v>
      </c>
      <c r="Z333" s="542">
        <f t="shared" si="57"/>
        <v>3</v>
      </c>
      <c r="AA333" s="542">
        <f t="shared" si="61"/>
        <v>175</v>
      </c>
      <c r="AB333" s="900"/>
      <c r="AC333" s="491" t="s">
        <v>1665</v>
      </c>
      <c r="AF333" s="466"/>
      <c r="AG333" s="466"/>
      <c r="AH333" s="466"/>
    </row>
    <row r="334" spans="1:34" s="498" customFormat="1" hidden="1" x14ac:dyDescent="0.25">
      <c r="A334" s="962"/>
      <c r="B334" s="856" t="s">
        <v>1953</v>
      </c>
      <c r="C334" s="508" t="s">
        <v>797</v>
      </c>
      <c r="D334" s="903"/>
      <c r="E334" s="855" t="s">
        <v>227</v>
      </c>
      <c r="F334" s="557">
        <v>35</v>
      </c>
      <c r="G334" s="558">
        <v>0.1</v>
      </c>
      <c r="H334" s="559">
        <f>F334*G334</f>
        <v>3.5</v>
      </c>
      <c r="I334" s="857">
        <v>40</v>
      </c>
      <c r="J334" s="857">
        <v>0.1</v>
      </c>
      <c r="K334" s="857">
        <f>I334*J334</f>
        <v>4</v>
      </c>
      <c r="L334" s="857">
        <v>40</v>
      </c>
      <c r="M334" s="857">
        <v>0.1</v>
      </c>
      <c r="N334" s="857">
        <f>L334*M334</f>
        <v>4</v>
      </c>
      <c r="O334" s="857">
        <v>40</v>
      </c>
      <c r="P334" s="857">
        <v>0.1</v>
      </c>
      <c r="Q334" s="857">
        <f>P334*O334</f>
        <v>4</v>
      </c>
      <c r="R334" s="857">
        <f t="shared" si="56"/>
        <v>4</v>
      </c>
      <c r="S334" s="857"/>
      <c r="T334" s="857">
        <v>40</v>
      </c>
      <c r="U334" s="857">
        <v>0.1</v>
      </c>
      <c r="V334" s="857">
        <f>U334*T334</f>
        <v>4</v>
      </c>
      <c r="W334" s="857">
        <v>40</v>
      </c>
      <c r="X334" s="857">
        <v>0.1</v>
      </c>
      <c r="Y334" s="857">
        <f>X334*W334</f>
        <v>4</v>
      </c>
      <c r="Z334" s="559">
        <f t="shared" si="57"/>
        <v>0</v>
      </c>
      <c r="AA334" s="559">
        <f t="shared" si="61"/>
        <v>100</v>
      </c>
      <c r="AB334" s="900"/>
      <c r="AC334" s="491" t="s">
        <v>1665</v>
      </c>
      <c r="AF334" s="466"/>
      <c r="AG334" s="465"/>
      <c r="AH334" s="465"/>
    </row>
    <row r="335" spans="1:34" s="498" customFormat="1" ht="38.25" hidden="1" x14ac:dyDescent="0.25">
      <c r="A335" s="962"/>
      <c r="B335" s="856" t="s">
        <v>1954</v>
      </c>
      <c r="C335" s="508" t="s">
        <v>796</v>
      </c>
      <c r="D335" s="903"/>
      <c r="E335" s="855" t="s">
        <v>227</v>
      </c>
      <c r="F335" s="557">
        <v>330</v>
      </c>
      <c r="G335" s="558">
        <v>0.01</v>
      </c>
      <c r="H335" s="559">
        <f>F335*G335</f>
        <v>3.3</v>
      </c>
      <c r="I335" s="857">
        <v>330</v>
      </c>
      <c r="J335" s="857">
        <v>0</v>
      </c>
      <c r="K335" s="857">
        <f>I335*J335</f>
        <v>0</v>
      </c>
      <c r="L335" s="857">
        <v>330</v>
      </c>
      <c r="M335" s="857">
        <v>0</v>
      </c>
      <c r="N335" s="857">
        <f>L335*M335</f>
        <v>0</v>
      </c>
      <c r="O335" s="857">
        <v>150</v>
      </c>
      <c r="P335" s="857">
        <v>0</v>
      </c>
      <c r="Q335" s="857">
        <v>3</v>
      </c>
      <c r="R335" s="857">
        <f t="shared" si="56"/>
        <v>3</v>
      </c>
      <c r="S335" s="857"/>
      <c r="T335" s="857">
        <v>150</v>
      </c>
      <c r="U335" s="857">
        <v>0</v>
      </c>
      <c r="V335" s="857">
        <v>3</v>
      </c>
      <c r="W335" s="857">
        <v>150</v>
      </c>
      <c r="X335" s="857">
        <v>0</v>
      </c>
      <c r="Y335" s="857">
        <v>3</v>
      </c>
      <c r="Z335" s="559">
        <f t="shared" si="57"/>
        <v>3</v>
      </c>
      <c r="AA335" s="559" t="str">
        <f t="shared" si="61"/>
        <v>-</v>
      </c>
      <c r="AB335" s="1937" t="s">
        <v>1955</v>
      </c>
      <c r="AC335" s="491" t="s">
        <v>1665</v>
      </c>
      <c r="AF335" s="466"/>
      <c r="AG335" s="465"/>
      <c r="AH335" s="465"/>
    </row>
    <row r="336" spans="1:34" s="517" customFormat="1" ht="25.5" hidden="1" x14ac:dyDescent="0.2">
      <c r="A336" s="487"/>
      <c r="B336" s="543" t="s">
        <v>1250</v>
      </c>
      <c r="C336" s="511"/>
      <c r="D336" s="487"/>
      <c r="E336" s="487"/>
      <c r="F336" s="821"/>
      <c r="G336" s="822"/>
      <c r="H336" s="823" t="e">
        <f>#REF!+H337+#REF!</f>
        <v>#REF!</v>
      </c>
      <c r="I336" s="915"/>
      <c r="J336" s="915"/>
      <c r="K336" s="823">
        <f>K337</f>
        <v>19.8</v>
      </c>
      <c r="L336" s="915"/>
      <c r="M336" s="915"/>
      <c r="N336" s="823">
        <f>N337</f>
        <v>19.8</v>
      </c>
      <c r="O336" s="915"/>
      <c r="P336" s="915"/>
      <c r="Q336" s="823">
        <f>Q337</f>
        <v>28.2</v>
      </c>
      <c r="R336" s="823">
        <f t="shared" si="56"/>
        <v>28.2</v>
      </c>
      <c r="S336" s="823"/>
      <c r="T336" s="915"/>
      <c r="U336" s="915"/>
      <c r="V336" s="823">
        <f>V337</f>
        <v>27.9</v>
      </c>
      <c r="W336" s="823"/>
      <c r="X336" s="823"/>
      <c r="Y336" s="823">
        <f>Y337</f>
        <v>27.9</v>
      </c>
      <c r="Z336" s="823">
        <f t="shared" si="57"/>
        <v>8.4</v>
      </c>
      <c r="AA336" s="823">
        <f t="shared" si="61"/>
        <v>142.4</v>
      </c>
      <c r="AB336" s="555"/>
      <c r="AC336" s="515"/>
      <c r="AF336" s="519"/>
      <c r="AG336" s="519"/>
      <c r="AH336" s="519"/>
    </row>
    <row r="337" spans="1:34" s="527" customFormat="1" ht="38.25" hidden="1" x14ac:dyDescent="0.2">
      <c r="A337" s="522"/>
      <c r="B337" s="1938" t="s">
        <v>1664</v>
      </c>
      <c r="C337" s="1939"/>
      <c r="D337" s="522" t="s">
        <v>1444</v>
      </c>
      <c r="E337" s="556"/>
      <c r="F337" s="523"/>
      <c r="G337" s="524"/>
      <c r="H337" s="526">
        <f>H338+H343+H344+H345+H349</f>
        <v>32.200000000000003</v>
      </c>
      <c r="I337" s="526"/>
      <c r="J337" s="526"/>
      <c r="K337" s="526">
        <f>K338+K343+K344+K345+K349</f>
        <v>19.8</v>
      </c>
      <c r="L337" s="526"/>
      <c r="M337" s="526"/>
      <c r="N337" s="526">
        <f>N338+N343+N344+N345+N349</f>
        <v>19.8</v>
      </c>
      <c r="O337" s="526"/>
      <c r="P337" s="526"/>
      <c r="Q337" s="526">
        <f>Q338+Q343+Q344+Q345+Q349</f>
        <v>28.2</v>
      </c>
      <c r="R337" s="526">
        <f t="shared" si="56"/>
        <v>28.2</v>
      </c>
      <c r="S337" s="526"/>
      <c r="T337" s="526"/>
      <c r="U337" s="526"/>
      <c r="V337" s="526">
        <f>V338+V343+V344+V345+V349</f>
        <v>27.9</v>
      </c>
      <c r="W337" s="526"/>
      <c r="X337" s="526"/>
      <c r="Y337" s="526">
        <f>Y338+Y343+Y344+Y345+Y349</f>
        <v>27.9</v>
      </c>
      <c r="Z337" s="526">
        <f t="shared" si="57"/>
        <v>8.4</v>
      </c>
      <c r="AA337" s="526">
        <f t="shared" si="61"/>
        <v>142.4</v>
      </c>
      <c r="AB337" s="909"/>
      <c r="AC337" s="549" t="s">
        <v>1665</v>
      </c>
      <c r="AF337" s="528"/>
      <c r="AG337" s="528"/>
      <c r="AH337" s="528"/>
    </row>
    <row r="338" spans="1:34" s="492" customFormat="1" ht="14.25" hidden="1" x14ac:dyDescent="0.2">
      <c r="A338" s="1240"/>
      <c r="B338" s="500" t="s">
        <v>1233</v>
      </c>
      <c r="C338" s="501" t="s">
        <v>1230</v>
      </c>
      <c r="D338" s="932"/>
      <c r="E338" s="842"/>
      <c r="F338" s="828"/>
      <c r="G338" s="829"/>
      <c r="H338" s="542">
        <f>SUM(H339:H342)</f>
        <v>9.9</v>
      </c>
      <c r="I338" s="533"/>
      <c r="J338" s="533"/>
      <c r="K338" s="533">
        <f>SUM(K339:K342)</f>
        <v>9.3000000000000007</v>
      </c>
      <c r="L338" s="533"/>
      <c r="M338" s="533"/>
      <c r="N338" s="533">
        <f>SUM(N339:N342)</f>
        <v>9.3000000000000007</v>
      </c>
      <c r="O338" s="533"/>
      <c r="P338" s="533"/>
      <c r="Q338" s="533">
        <f>SUM(Q339:Q342)</f>
        <v>10.3</v>
      </c>
      <c r="R338" s="533">
        <f t="shared" si="56"/>
        <v>10.3</v>
      </c>
      <c r="S338" s="533"/>
      <c r="T338" s="533"/>
      <c r="U338" s="533"/>
      <c r="V338" s="533">
        <f>SUM(V339:V342)</f>
        <v>10.3</v>
      </c>
      <c r="W338" s="533"/>
      <c r="X338" s="533"/>
      <c r="Y338" s="533">
        <f>SUM(Y339:Y342)</f>
        <v>10.3</v>
      </c>
      <c r="Z338" s="542">
        <f t="shared" si="57"/>
        <v>1</v>
      </c>
      <c r="AA338" s="542">
        <f t="shared" si="61"/>
        <v>110.8</v>
      </c>
      <c r="AB338" s="921"/>
      <c r="AC338" s="491" t="s">
        <v>1665</v>
      </c>
      <c r="AF338" s="466"/>
      <c r="AG338" s="466"/>
      <c r="AH338" s="466"/>
    </row>
    <row r="339" spans="1:34" s="498" customFormat="1" hidden="1" x14ac:dyDescent="0.25">
      <c r="A339" s="962"/>
      <c r="B339" s="502" t="s">
        <v>1519</v>
      </c>
      <c r="C339" s="503"/>
      <c r="D339" s="903"/>
      <c r="E339" s="1031" t="s">
        <v>318</v>
      </c>
      <c r="F339" s="557">
        <v>1</v>
      </c>
      <c r="G339" s="558">
        <v>3.45</v>
      </c>
      <c r="H339" s="559">
        <f>F339*G339</f>
        <v>3.5</v>
      </c>
      <c r="I339" s="857">
        <v>1</v>
      </c>
      <c r="J339" s="857">
        <v>3.5</v>
      </c>
      <c r="K339" s="857">
        <f>I339*J339</f>
        <v>3.5</v>
      </c>
      <c r="L339" s="857">
        <v>1</v>
      </c>
      <c r="M339" s="857">
        <v>3.5</v>
      </c>
      <c r="N339" s="857">
        <f>L339*M339</f>
        <v>3.5</v>
      </c>
      <c r="O339" s="857">
        <v>1</v>
      </c>
      <c r="P339" s="857">
        <v>3.5</v>
      </c>
      <c r="Q339" s="857">
        <f>P339*O339</f>
        <v>3.5</v>
      </c>
      <c r="R339" s="857">
        <f t="shared" ref="R339:R402" si="62">Q339</f>
        <v>3.5</v>
      </c>
      <c r="S339" s="857"/>
      <c r="T339" s="857">
        <v>1</v>
      </c>
      <c r="U339" s="857">
        <v>3.5</v>
      </c>
      <c r="V339" s="857">
        <f>U339*T339</f>
        <v>3.5</v>
      </c>
      <c r="W339" s="857">
        <v>1</v>
      </c>
      <c r="X339" s="857">
        <v>3.5</v>
      </c>
      <c r="Y339" s="857">
        <f>X339*W339</f>
        <v>3.5</v>
      </c>
      <c r="Z339" s="559">
        <f t="shared" si="57"/>
        <v>0</v>
      </c>
      <c r="AA339" s="559">
        <f t="shared" si="61"/>
        <v>100</v>
      </c>
      <c r="AB339" s="1924"/>
      <c r="AC339" s="491" t="s">
        <v>1665</v>
      </c>
      <c r="AF339" s="466"/>
      <c r="AG339" s="465"/>
      <c r="AH339" s="465"/>
    </row>
    <row r="340" spans="1:34" s="498" customFormat="1" ht="51.75" hidden="1" x14ac:dyDescent="0.25">
      <c r="A340" s="962"/>
      <c r="B340" s="502" t="s">
        <v>1686</v>
      </c>
      <c r="C340" s="503"/>
      <c r="D340" s="903"/>
      <c r="E340" s="1031" t="s">
        <v>318</v>
      </c>
      <c r="F340" s="557">
        <v>1</v>
      </c>
      <c r="G340" s="558">
        <v>2.2999999999999998</v>
      </c>
      <c r="H340" s="559">
        <f>F340*G340</f>
        <v>2.2999999999999998</v>
      </c>
      <c r="I340" s="857">
        <v>1</v>
      </c>
      <c r="J340" s="857">
        <v>2.2999999999999998</v>
      </c>
      <c r="K340" s="857">
        <f>I340*J340</f>
        <v>2.2999999999999998</v>
      </c>
      <c r="L340" s="857">
        <v>1</v>
      </c>
      <c r="M340" s="857">
        <v>2.2999999999999998</v>
      </c>
      <c r="N340" s="857">
        <f>L340*M340</f>
        <v>2.2999999999999998</v>
      </c>
      <c r="O340" s="857">
        <v>2</v>
      </c>
      <c r="P340" s="857">
        <v>2.2999999999999998</v>
      </c>
      <c r="Q340" s="857">
        <f>P340*O340</f>
        <v>4.5999999999999996</v>
      </c>
      <c r="R340" s="857">
        <f t="shared" si="62"/>
        <v>4.5999999999999996</v>
      </c>
      <c r="S340" s="857"/>
      <c r="T340" s="857">
        <v>2</v>
      </c>
      <c r="U340" s="857">
        <v>2.2999999999999998</v>
      </c>
      <c r="V340" s="857">
        <f>U340*T340</f>
        <v>4.5999999999999996</v>
      </c>
      <c r="W340" s="857">
        <v>2</v>
      </c>
      <c r="X340" s="857">
        <v>2.2999999999999998</v>
      </c>
      <c r="Y340" s="857">
        <f>X340*W340</f>
        <v>4.5999999999999996</v>
      </c>
      <c r="Z340" s="559">
        <f t="shared" si="57"/>
        <v>2.2999999999999998</v>
      </c>
      <c r="AA340" s="559">
        <f t="shared" si="61"/>
        <v>200</v>
      </c>
      <c r="AB340" s="1924" t="s">
        <v>1956</v>
      </c>
      <c r="AC340" s="491" t="s">
        <v>1665</v>
      </c>
      <c r="AF340" s="466"/>
      <c r="AG340" s="465"/>
      <c r="AH340" s="465"/>
    </row>
    <row r="341" spans="1:34" s="498" customFormat="1" hidden="1" x14ac:dyDescent="0.25">
      <c r="A341" s="962"/>
      <c r="B341" s="502" t="s">
        <v>1683</v>
      </c>
      <c r="C341" s="503"/>
      <c r="D341" s="903"/>
      <c r="E341" s="1031" t="s">
        <v>318</v>
      </c>
      <c r="F341" s="557">
        <v>1</v>
      </c>
      <c r="G341" s="558">
        <v>2</v>
      </c>
      <c r="H341" s="559">
        <f>F341*G341</f>
        <v>2</v>
      </c>
      <c r="I341" s="857">
        <v>1</v>
      </c>
      <c r="J341" s="857">
        <v>1.5</v>
      </c>
      <c r="K341" s="857">
        <f>I341*J341</f>
        <v>1.5</v>
      </c>
      <c r="L341" s="857">
        <v>1</v>
      </c>
      <c r="M341" s="857">
        <v>1.5</v>
      </c>
      <c r="N341" s="857">
        <f>L341*M341</f>
        <v>1.5</v>
      </c>
      <c r="O341" s="857"/>
      <c r="P341" s="857"/>
      <c r="Q341" s="857"/>
      <c r="R341" s="857">
        <f t="shared" si="62"/>
        <v>0</v>
      </c>
      <c r="S341" s="857"/>
      <c r="T341" s="857"/>
      <c r="U341" s="857"/>
      <c r="V341" s="857"/>
      <c r="W341" s="857"/>
      <c r="X341" s="857"/>
      <c r="Y341" s="857"/>
      <c r="Z341" s="559">
        <f t="shared" si="57"/>
        <v>-1.5</v>
      </c>
      <c r="AA341" s="559">
        <f t="shared" si="61"/>
        <v>0</v>
      </c>
      <c r="AB341" s="1924"/>
      <c r="AC341" s="491" t="s">
        <v>1665</v>
      </c>
      <c r="AF341" s="466"/>
      <c r="AG341" s="465"/>
      <c r="AH341" s="465"/>
    </row>
    <row r="342" spans="1:34" s="498" customFormat="1" hidden="1" x14ac:dyDescent="0.25">
      <c r="A342" s="962"/>
      <c r="B342" s="502" t="s">
        <v>1234</v>
      </c>
      <c r="C342" s="503"/>
      <c r="D342" s="903"/>
      <c r="E342" s="1031"/>
      <c r="F342" s="557"/>
      <c r="G342" s="558"/>
      <c r="H342" s="559">
        <f>SUM(H339:H341)*0.271</f>
        <v>2.1</v>
      </c>
      <c r="I342" s="857"/>
      <c r="J342" s="857"/>
      <c r="K342" s="857">
        <f>SUM(K339:K341)*0.271</f>
        <v>2</v>
      </c>
      <c r="L342" s="857"/>
      <c r="M342" s="857"/>
      <c r="N342" s="857">
        <f>SUM(N339:N341)*0.271</f>
        <v>2</v>
      </c>
      <c r="O342" s="857"/>
      <c r="P342" s="857"/>
      <c r="Q342" s="857">
        <f>SUM(Q339:Q341)*0.271</f>
        <v>2.2000000000000002</v>
      </c>
      <c r="R342" s="857">
        <f t="shared" si="62"/>
        <v>2.2000000000000002</v>
      </c>
      <c r="S342" s="857"/>
      <c r="T342" s="857"/>
      <c r="U342" s="857"/>
      <c r="V342" s="857">
        <f>SUM(V339:V341)*0.271</f>
        <v>2.2000000000000002</v>
      </c>
      <c r="W342" s="857"/>
      <c r="X342" s="857"/>
      <c r="Y342" s="857">
        <f>SUM(Y339:Y341)*0.271</f>
        <v>2.2000000000000002</v>
      </c>
      <c r="Z342" s="559">
        <f t="shared" si="57"/>
        <v>0.2</v>
      </c>
      <c r="AA342" s="559">
        <f t="shared" si="61"/>
        <v>110</v>
      </c>
      <c r="AB342" s="921"/>
      <c r="AC342" s="491" t="s">
        <v>1665</v>
      </c>
      <c r="AF342" s="466"/>
      <c r="AG342" s="465"/>
      <c r="AH342" s="465"/>
    </row>
    <row r="343" spans="1:34" s="492" customFormat="1" ht="14.25" hidden="1" x14ac:dyDescent="0.2">
      <c r="A343" s="1240"/>
      <c r="B343" s="500" t="s">
        <v>1927</v>
      </c>
      <c r="C343" s="501" t="s">
        <v>796</v>
      </c>
      <c r="D343" s="932"/>
      <c r="E343" s="842"/>
      <c r="F343" s="828">
        <v>30</v>
      </c>
      <c r="G343" s="829">
        <v>0.21</v>
      </c>
      <c r="H343" s="542">
        <f>F343*G343</f>
        <v>6.3</v>
      </c>
      <c r="I343" s="533">
        <v>320</v>
      </c>
      <c r="J343" s="533">
        <v>0</v>
      </c>
      <c r="K343" s="533">
        <f>I343*J343</f>
        <v>0</v>
      </c>
      <c r="L343" s="533">
        <v>320</v>
      </c>
      <c r="M343" s="533">
        <v>0</v>
      </c>
      <c r="N343" s="533">
        <f>L343*M343</f>
        <v>0</v>
      </c>
      <c r="O343" s="533">
        <v>320</v>
      </c>
      <c r="P343" s="533">
        <v>0</v>
      </c>
      <c r="Q343" s="533">
        <f>6.4-0.1</f>
        <v>6.3</v>
      </c>
      <c r="R343" s="533">
        <f>Q343</f>
        <v>6.3</v>
      </c>
      <c r="S343" s="533"/>
      <c r="T343" s="533">
        <v>320</v>
      </c>
      <c r="U343" s="533">
        <v>0</v>
      </c>
      <c r="V343" s="533">
        <v>6</v>
      </c>
      <c r="W343" s="533">
        <v>320</v>
      </c>
      <c r="X343" s="533">
        <v>0</v>
      </c>
      <c r="Y343" s="533">
        <v>6</v>
      </c>
      <c r="Z343" s="542">
        <f t="shared" si="57"/>
        <v>6.3</v>
      </c>
      <c r="AA343" s="542" t="str">
        <f t="shared" si="61"/>
        <v>-</v>
      </c>
      <c r="AB343" s="1246"/>
      <c r="AC343" s="491" t="s">
        <v>1665</v>
      </c>
      <c r="AF343" s="466"/>
      <c r="AG343" s="466"/>
      <c r="AH343" s="466"/>
    </row>
    <row r="344" spans="1:34" s="492" customFormat="1" ht="14.25" hidden="1" x14ac:dyDescent="0.2">
      <c r="A344" s="1240"/>
      <c r="B344" s="500" t="s">
        <v>1957</v>
      </c>
      <c r="C344" s="501" t="s">
        <v>797</v>
      </c>
      <c r="D344" s="932"/>
      <c r="E344" s="842"/>
      <c r="F344" s="828">
        <v>320</v>
      </c>
      <c r="G344" s="829">
        <v>0.01</v>
      </c>
      <c r="H344" s="542">
        <v>1.8</v>
      </c>
      <c r="I344" s="533">
        <v>36</v>
      </c>
      <c r="J344" s="533">
        <v>0.1</v>
      </c>
      <c r="K344" s="533">
        <f>I344*J344</f>
        <v>3.6</v>
      </c>
      <c r="L344" s="533">
        <v>36</v>
      </c>
      <c r="M344" s="533">
        <v>0.1</v>
      </c>
      <c r="N344" s="533">
        <f>L344*M344</f>
        <v>3.6</v>
      </c>
      <c r="O344" s="533">
        <v>36</v>
      </c>
      <c r="P344" s="533">
        <v>0.1</v>
      </c>
      <c r="Q344" s="533">
        <f>P344*O344</f>
        <v>3.6</v>
      </c>
      <c r="R344" s="533">
        <f t="shared" si="62"/>
        <v>3.6</v>
      </c>
      <c r="S344" s="533"/>
      <c r="T344" s="533">
        <v>36</v>
      </c>
      <c r="U344" s="533">
        <v>0.1</v>
      </c>
      <c r="V344" s="533">
        <f>U344*T344</f>
        <v>3.6</v>
      </c>
      <c r="W344" s="533">
        <v>36</v>
      </c>
      <c r="X344" s="533">
        <v>0.1</v>
      </c>
      <c r="Y344" s="533">
        <f>X344*W344</f>
        <v>3.6</v>
      </c>
      <c r="Z344" s="542">
        <f t="shared" si="57"/>
        <v>0</v>
      </c>
      <c r="AA344" s="542">
        <f t="shared" si="61"/>
        <v>100</v>
      </c>
      <c r="AB344" s="1247"/>
      <c r="AC344" s="491" t="s">
        <v>1665</v>
      </c>
      <c r="AF344" s="466"/>
      <c r="AG344" s="466"/>
      <c r="AH344" s="466"/>
    </row>
    <row r="345" spans="1:34" s="492" customFormat="1" ht="14.25" hidden="1" x14ac:dyDescent="0.2">
      <c r="A345" s="1240"/>
      <c r="B345" s="865" t="s">
        <v>1226</v>
      </c>
      <c r="C345" s="508" t="s">
        <v>797</v>
      </c>
      <c r="D345" s="932"/>
      <c r="E345" s="842"/>
      <c r="F345" s="828"/>
      <c r="G345" s="829"/>
      <c r="H345" s="542">
        <f>SUM(H346:H347)</f>
        <v>8.8000000000000007</v>
      </c>
      <c r="I345" s="533"/>
      <c r="J345" s="533"/>
      <c r="K345" s="533">
        <f>SUM(K346:K347)</f>
        <v>5.7</v>
      </c>
      <c r="L345" s="533"/>
      <c r="M345" s="533"/>
      <c r="N345" s="533">
        <f>SUM(N346:N347)</f>
        <v>5.7</v>
      </c>
      <c r="O345" s="533"/>
      <c r="P345" s="533"/>
      <c r="Q345" s="533">
        <f>SUM(Q346:Q348)</f>
        <v>6</v>
      </c>
      <c r="R345" s="533">
        <f t="shared" si="62"/>
        <v>6</v>
      </c>
      <c r="S345" s="533"/>
      <c r="T345" s="533"/>
      <c r="U345" s="533"/>
      <c r="V345" s="533">
        <f>SUM(V346:V348)</f>
        <v>6</v>
      </c>
      <c r="W345" s="533"/>
      <c r="X345" s="533"/>
      <c r="Y345" s="533">
        <f>SUM(Y346:Y348)</f>
        <v>6</v>
      </c>
      <c r="Z345" s="542">
        <f t="shared" si="57"/>
        <v>0.3</v>
      </c>
      <c r="AA345" s="542">
        <f t="shared" si="61"/>
        <v>105.3</v>
      </c>
      <c r="AB345" s="921"/>
      <c r="AC345" s="491" t="s">
        <v>1665</v>
      </c>
      <c r="AF345" s="466"/>
      <c r="AG345" s="466"/>
      <c r="AH345" s="466"/>
    </row>
    <row r="346" spans="1:34" s="498" customFormat="1" hidden="1" x14ac:dyDescent="0.25">
      <c r="A346" s="962"/>
      <c r="B346" s="856" t="s">
        <v>1921</v>
      </c>
      <c r="C346" s="499"/>
      <c r="D346" s="903"/>
      <c r="E346" s="1031" t="s">
        <v>227</v>
      </c>
      <c r="F346" s="557">
        <v>6</v>
      </c>
      <c r="G346" s="558">
        <v>1</v>
      </c>
      <c r="H346" s="559">
        <f>F346*G346</f>
        <v>6</v>
      </c>
      <c r="I346" s="857">
        <v>6</v>
      </c>
      <c r="J346" s="862">
        <v>0.5</v>
      </c>
      <c r="K346" s="857">
        <f>I346*J346</f>
        <v>3</v>
      </c>
      <c r="L346" s="857">
        <v>6</v>
      </c>
      <c r="M346" s="862">
        <v>0.5</v>
      </c>
      <c r="N346" s="857">
        <f>L346*M346</f>
        <v>3</v>
      </c>
      <c r="O346" s="857">
        <v>2</v>
      </c>
      <c r="P346" s="857">
        <v>1</v>
      </c>
      <c r="Q346" s="857">
        <f>O346*P346</f>
        <v>2</v>
      </c>
      <c r="R346" s="857">
        <f t="shared" si="62"/>
        <v>2</v>
      </c>
      <c r="S346" s="857"/>
      <c r="T346" s="857">
        <v>2</v>
      </c>
      <c r="U346" s="857">
        <v>1</v>
      </c>
      <c r="V346" s="857">
        <f>T346*U346</f>
        <v>2</v>
      </c>
      <c r="W346" s="857">
        <v>2</v>
      </c>
      <c r="X346" s="857">
        <v>1</v>
      </c>
      <c r="Y346" s="857">
        <f>W346*X346</f>
        <v>2</v>
      </c>
      <c r="Z346" s="559">
        <f t="shared" si="57"/>
        <v>-1</v>
      </c>
      <c r="AA346" s="559">
        <f t="shared" si="61"/>
        <v>66.7</v>
      </c>
      <c r="AB346" s="893"/>
      <c r="AC346" s="491" t="s">
        <v>1665</v>
      </c>
      <c r="AF346" s="466"/>
      <c r="AG346" s="465"/>
      <c r="AH346" s="465"/>
    </row>
    <row r="347" spans="1:34" s="498" customFormat="1" hidden="1" x14ac:dyDescent="0.25">
      <c r="A347" s="962"/>
      <c r="B347" s="500" t="s">
        <v>1909</v>
      </c>
      <c r="C347" s="501"/>
      <c r="D347" s="903"/>
      <c r="E347" s="1031" t="s">
        <v>1240</v>
      </c>
      <c r="F347" s="557">
        <v>14</v>
      </c>
      <c r="G347" s="558">
        <v>0.2</v>
      </c>
      <c r="H347" s="559">
        <f>F347*G347</f>
        <v>2.8</v>
      </c>
      <c r="I347" s="857">
        <v>13.5</v>
      </c>
      <c r="J347" s="857">
        <v>0.2</v>
      </c>
      <c r="K347" s="857">
        <f>I347*J347</f>
        <v>2.7</v>
      </c>
      <c r="L347" s="857">
        <v>13.5</v>
      </c>
      <c r="M347" s="857">
        <v>0.2</v>
      </c>
      <c r="N347" s="857">
        <f>L347*M347</f>
        <v>2.7</v>
      </c>
      <c r="O347" s="857"/>
      <c r="P347" s="857"/>
      <c r="Q347" s="857"/>
      <c r="R347" s="857">
        <f t="shared" si="62"/>
        <v>0</v>
      </c>
      <c r="S347" s="857"/>
      <c r="T347" s="857"/>
      <c r="U347" s="857"/>
      <c r="V347" s="857"/>
      <c r="W347" s="857"/>
      <c r="X347" s="857"/>
      <c r="Y347" s="857"/>
      <c r="Z347" s="559">
        <f t="shared" si="57"/>
        <v>-2.7</v>
      </c>
      <c r="AA347" s="559">
        <f t="shared" si="61"/>
        <v>0</v>
      </c>
      <c r="AB347" s="827"/>
      <c r="AC347" s="491" t="s">
        <v>1665</v>
      </c>
      <c r="AF347" s="466"/>
      <c r="AG347" s="465"/>
      <c r="AH347" s="465"/>
    </row>
    <row r="348" spans="1:34" s="498" customFormat="1" ht="25.5" hidden="1" x14ac:dyDescent="0.25">
      <c r="A348" s="962"/>
      <c r="B348" s="502" t="s">
        <v>1958</v>
      </c>
      <c r="C348" s="501"/>
      <c r="D348" s="903"/>
      <c r="E348" s="1031"/>
      <c r="F348" s="557"/>
      <c r="G348" s="558"/>
      <c r="H348" s="559"/>
      <c r="I348" s="857"/>
      <c r="J348" s="857"/>
      <c r="K348" s="857"/>
      <c r="L348" s="857"/>
      <c r="M348" s="857"/>
      <c r="N348" s="857"/>
      <c r="O348" s="857">
        <v>2</v>
      </c>
      <c r="P348" s="857">
        <v>2</v>
      </c>
      <c r="Q348" s="857">
        <f>P348*O348</f>
        <v>4</v>
      </c>
      <c r="R348" s="857">
        <f t="shared" si="62"/>
        <v>4</v>
      </c>
      <c r="S348" s="857"/>
      <c r="T348" s="857">
        <v>2</v>
      </c>
      <c r="U348" s="857">
        <v>2</v>
      </c>
      <c r="V348" s="857">
        <f>U348*T348</f>
        <v>4</v>
      </c>
      <c r="W348" s="857">
        <v>2</v>
      </c>
      <c r="X348" s="857">
        <v>2</v>
      </c>
      <c r="Y348" s="857">
        <f>X348*W348</f>
        <v>4</v>
      </c>
      <c r="Z348" s="559">
        <f t="shared" si="57"/>
        <v>4</v>
      </c>
      <c r="AA348" s="559" t="str">
        <f t="shared" si="61"/>
        <v>-</v>
      </c>
      <c r="AB348" s="827" t="s">
        <v>1959</v>
      </c>
      <c r="AC348" s="491" t="s">
        <v>1665</v>
      </c>
      <c r="AF348" s="466"/>
      <c r="AG348" s="465"/>
      <c r="AH348" s="465"/>
    </row>
    <row r="349" spans="1:34" s="492" customFormat="1" ht="25.5" hidden="1" x14ac:dyDescent="0.2">
      <c r="A349" s="1240"/>
      <c r="B349" s="865" t="s">
        <v>1239</v>
      </c>
      <c r="C349" s="508" t="s">
        <v>797</v>
      </c>
      <c r="D349" s="932"/>
      <c r="E349" s="842"/>
      <c r="F349" s="828"/>
      <c r="G349" s="829"/>
      <c r="H349" s="542">
        <f>SUM(H350:H351)</f>
        <v>5.4</v>
      </c>
      <c r="I349" s="533"/>
      <c r="J349" s="533"/>
      <c r="K349" s="533">
        <f>SUM(K350:K351)</f>
        <v>1.2</v>
      </c>
      <c r="L349" s="533"/>
      <c r="M349" s="533"/>
      <c r="N349" s="533">
        <f>SUM(N350:N351)</f>
        <v>1.2</v>
      </c>
      <c r="O349" s="533"/>
      <c r="P349" s="533"/>
      <c r="Q349" s="533">
        <f>SUM(Q350:Q351)</f>
        <v>2</v>
      </c>
      <c r="R349" s="533">
        <f t="shared" si="62"/>
        <v>2</v>
      </c>
      <c r="S349" s="533"/>
      <c r="T349" s="533"/>
      <c r="U349" s="533"/>
      <c r="V349" s="533">
        <f>SUM(V350:V351)</f>
        <v>2</v>
      </c>
      <c r="W349" s="533"/>
      <c r="X349" s="533"/>
      <c r="Y349" s="533">
        <f>SUM(Y350:Y351)</f>
        <v>2</v>
      </c>
      <c r="Z349" s="542">
        <f t="shared" si="57"/>
        <v>0.8</v>
      </c>
      <c r="AA349" s="542">
        <f t="shared" si="61"/>
        <v>166.7</v>
      </c>
      <c r="AB349" s="552"/>
      <c r="AC349" s="491" t="s">
        <v>1665</v>
      </c>
      <c r="AF349" s="466"/>
      <c r="AG349" s="466"/>
      <c r="AH349" s="466"/>
    </row>
    <row r="350" spans="1:34" s="498" customFormat="1" ht="39" hidden="1" x14ac:dyDescent="0.25">
      <c r="A350" s="962"/>
      <c r="B350" s="502" t="s">
        <v>1960</v>
      </c>
      <c r="C350" s="499"/>
      <c r="D350" s="903"/>
      <c r="E350" s="1031" t="s">
        <v>227</v>
      </c>
      <c r="F350" s="557">
        <v>26</v>
      </c>
      <c r="G350" s="558">
        <v>0.1</v>
      </c>
      <c r="H350" s="559">
        <f>F350*G350</f>
        <v>2.6</v>
      </c>
      <c r="I350" s="857">
        <v>12</v>
      </c>
      <c r="J350" s="862">
        <v>0.1</v>
      </c>
      <c r="K350" s="857">
        <f>I350*J350</f>
        <v>1.2</v>
      </c>
      <c r="L350" s="857">
        <v>12</v>
      </c>
      <c r="M350" s="862">
        <v>0.1</v>
      </c>
      <c r="N350" s="857">
        <f>L350*M350</f>
        <v>1.2</v>
      </c>
      <c r="O350" s="857">
        <v>20</v>
      </c>
      <c r="P350" s="857">
        <v>0.1</v>
      </c>
      <c r="Q350" s="857">
        <f>P350*O350</f>
        <v>2</v>
      </c>
      <c r="R350" s="857">
        <f t="shared" si="62"/>
        <v>2</v>
      </c>
      <c r="S350" s="857"/>
      <c r="T350" s="857">
        <v>20</v>
      </c>
      <c r="U350" s="857">
        <v>0.1</v>
      </c>
      <c r="V350" s="857">
        <f>U350*T350</f>
        <v>2</v>
      </c>
      <c r="W350" s="857">
        <v>20</v>
      </c>
      <c r="X350" s="857">
        <v>0.1</v>
      </c>
      <c r="Y350" s="857">
        <f>X350*W350</f>
        <v>2</v>
      </c>
      <c r="Z350" s="559">
        <f t="shared" si="57"/>
        <v>0.8</v>
      </c>
      <c r="AA350" s="559">
        <f t="shared" si="61"/>
        <v>166.7</v>
      </c>
      <c r="AB350" s="893" t="s">
        <v>1961</v>
      </c>
      <c r="AC350" s="491" t="s">
        <v>1665</v>
      </c>
      <c r="AF350" s="466"/>
      <c r="AG350" s="465"/>
      <c r="AH350" s="465"/>
    </row>
    <row r="351" spans="1:34" s="498" customFormat="1" hidden="1" x14ac:dyDescent="0.25">
      <c r="A351" s="962"/>
      <c r="B351" s="856" t="s">
        <v>1692</v>
      </c>
      <c r="C351" s="499"/>
      <c r="D351" s="903"/>
      <c r="E351" s="1031" t="s">
        <v>227</v>
      </c>
      <c r="F351" s="557">
        <v>8</v>
      </c>
      <c r="G351" s="558">
        <v>0.35</v>
      </c>
      <c r="H351" s="559">
        <f>F351*G351</f>
        <v>2.8</v>
      </c>
      <c r="I351" s="857"/>
      <c r="J351" s="857"/>
      <c r="K351" s="857">
        <f>I351*J351</f>
        <v>0</v>
      </c>
      <c r="L351" s="857"/>
      <c r="M351" s="857"/>
      <c r="N351" s="857">
        <f>L351*M351</f>
        <v>0</v>
      </c>
      <c r="O351" s="857"/>
      <c r="P351" s="857"/>
      <c r="Q351" s="857"/>
      <c r="R351" s="857">
        <f t="shared" si="62"/>
        <v>0</v>
      </c>
      <c r="S351" s="857"/>
      <c r="T351" s="857"/>
      <c r="U351" s="857"/>
      <c r="V351" s="857"/>
      <c r="W351" s="857"/>
      <c r="X351" s="857"/>
      <c r="Y351" s="857"/>
      <c r="Z351" s="559">
        <f t="shared" si="57"/>
        <v>0</v>
      </c>
      <c r="AA351" s="559" t="str">
        <f t="shared" si="61"/>
        <v>-</v>
      </c>
      <c r="AB351" s="1924"/>
      <c r="AC351" s="491" t="s">
        <v>1665</v>
      </c>
      <c r="AF351" s="466"/>
      <c r="AG351" s="465"/>
      <c r="AH351" s="465"/>
    </row>
    <row r="352" spans="1:34" s="517" customFormat="1" ht="14.25" hidden="1" x14ac:dyDescent="0.2">
      <c r="A352" s="487"/>
      <c r="B352" s="510" t="s">
        <v>1251</v>
      </c>
      <c r="C352" s="511"/>
      <c r="D352" s="487"/>
      <c r="E352" s="487"/>
      <c r="F352" s="821"/>
      <c r="G352" s="822"/>
      <c r="H352" s="823" t="e">
        <f>#REF!+#REF!+#REF!+H353</f>
        <v>#REF!</v>
      </c>
      <c r="I352" s="824"/>
      <c r="J352" s="824"/>
      <c r="K352" s="823">
        <f>K353</f>
        <v>120.8</v>
      </c>
      <c r="L352" s="824"/>
      <c r="M352" s="824"/>
      <c r="N352" s="823">
        <f>N353</f>
        <v>120.8</v>
      </c>
      <c r="O352" s="824"/>
      <c r="P352" s="824"/>
      <c r="Q352" s="823">
        <f>Q353</f>
        <v>210.9</v>
      </c>
      <c r="R352" s="823">
        <f t="shared" si="62"/>
        <v>210.9</v>
      </c>
      <c r="S352" s="823"/>
      <c r="T352" s="824"/>
      <c r="U352" s="824"/>
      <c r="V352" s="823">
        <f>V353</f>
        <v>148.19999999999999</v>
      </c>
      <c r="W352" s="823"/>
      <c r="X352" s="823"/>
      <c r="Y352" s="823">
        <f>Y353</f>
        <v>148.19999999999999</v>
      </c>
      <c r="Z352" s="823">
        <f t="shared" si="57"/>
        <v>90.1</v>
      </c>
      <c r="AA352" s="823">
        <f t="shared" si="61"/>
        <v>174.6</v>
      </c>
      <c r="AB352" s="555"/>
      <c r="AC352" s="515"/>
      <c r="AF352" s="519"/>
      <c r="AG352" s="519"/>
      <c r="AH352" s="519"/>
    </row>
    <row r="353" spans="1:34" s="527" customFormat="1" ht="38.25" hidden="1" x14ac:dyDescent="0.2">
      <c r="A353" s="522"/>
      <c r="B353" s="916" t="s">
        <v>1664</v>
      </c>
      <c r="C353" s="521"/>
      <c r="D353" s="522" t="s">
        <v>1444</v>
      </c>
      <c r="E353" s="556"/>
      <c r="F353" s="523"/>
      <c r="G353" s="524"/>
      <c r="H353" s="526">
        <f>H354+H375</f>
        <v>175.2</v>
      </c>
      <c r="I353" s="526"/>
      <c r="J353" s="526"/>
      <c r="K353" s="526">
        <f>K354+K375</f>
        <v>120.8</v>
      </c>
      <c r="L353" s="526"/>
      <c r="M353" s="526"/>
      <c r="N353" s="526">
        <f>N354+N375</f>
        <v>120.8</v>
      </c>
      <c r="O353" s="526"/>
      <c r="P353" s="526"/>
      <c r="Q353" s="526">
        <f>Q354+Q375</f>
        <v>210.9</v>
      </c>
      <c r="R353" s="526">
        <f t="shared" si="62"/>
        <v>210.9</v>
      </c>
      <c r="S353" s="526"/>
      <c r="T353" s="526"/>
      <c r="U353" s="526"/>
      <c r="V353" s="526">
        <f>V354+V375</f>
        <v>148.19999999999999</v>
      </c>
      <c r="W353" s="526"/>
      <c r="X353" s="526"/>
      <c r="Y353" s="526">
        <f>Y354+Y375</f>
        <v>148.19999999999999</v>
      </c>
      <c r="Z353" s="526">
        <f t="shared" si="57"/>
        <v>90.1</v>
      </c>
      <c r="AA353" s="526">
        <f t="shared" si="61"/>
        <v>174.6</v>
      </c>
      <c r="AB353" s="909"/>
      <c r="AC353" s="549" t="s">
        <v>1665</v>
      </c>
      <c r="AF353" s="528"/>
      <c r="AG353" s="528"/>
      <c r="AH353" s="528"/>
    </row>
    <row r="354" spans="1:34" s="871" customFormat="1" ht="14.25" hidden="1" x14ac:dyDescent="0.2">
      <c r="A354" s="869"/>
      <c r="B354" s="917" t="s">
        <v>1252</v>
      </c>
      <c r="C354" s="868"/>
      <c r="D354" s="1039"/>
      <c r="E354" s="870"/>
      <c r="F354" s="918"/>
      <c r="G354" s="919"/>
      <c r="H354" s="886">
        <f>H355+H361+H369+H370+H371+H374</f>
        <v>58.7</v>
      </c>
      <c r="I354" s="886"/>
      <c r="J354" s="886"/>
      <c r="K354" s="886">
        <f>K355+K361+K369+K370+K371+K374</f>
        <v>51.4</v>
      </c>
      <c r="L354" s="886"/>
      <c r="M354" s="886"/>
      <c r="N354" s="886">
        <f>N355+N361+N369+N370+N371+N374</f>
        <v>51.4</v>
      </c>
      <c r="O354" s="886"/>
      <c r="P354" s="886"/>
      <c r="Q354" s="886">
        <f>Q355+Q358+Q361+Q369+Q370+Q371+Q374</f>
        <v>83</v>
      </c>
      <c r="R354" s="886">
        <f t="shared" si="62"/>
        <v>83</v>
      </c>
      <c r="S354" s="886"/>
      <c r="T354" s="886"/>
      <c r="U354" s="886"/>
      <c r="V354" s="886">
        <f>V355+V358+V361+V369+V370+V371+V374</f>
        <v>54.5</v>
      </c>
      <c r="W354" s="886"/>
      <c r="X354" s="886"/>
      <c r="Y354" s="886">
        <f>Y355+Y358+Y361+Y369+Y370+Y371+Y374</f>
        <v>54.5</v>
      </c>
      <c r="Z354" s="886">
        <f t="shared" ref="Z354:Z395" si="63">Q354-K354</f>
        <v>31.6</v>
      </c>
      <c r="AA354" s="886">
        <f t="shared" si="61"/>
        <v>161.5</v>
      </c>
      <c r="AB354" s="1842"/>
      <c r="AC354" s="920" t="s">
        <v>1665</v>
      </c>
      <c r="AF354" s="872"/>
      <c r="AG354" s="872"/>
      <c r="AH354" s="872"/>
    </row>
    <row r="355" spans="1:34" s="492" customFormat="1" ht="25.5" hidden="1" x14ac:dyDescent="0.2">
      <c r="A355" s="1240"/>
      <c r="B355" s="500" t="s">
        <v>1239</v>
      </c>
      <c r="C355" s="501" t="s">
        <v>797</v>
      </c>
      <c r="D355" s="932"/>
      <c r="E355" s="842"/>
      <c r="F355" s="828"/>
      <c r="G355" s="829"/>
      <c r="H355" s="542">
        <f>SUM(H356:H357)</f>
        <v>4.8</v>
      </c>
      <c r="I355" s="533"/>
      <c r="J355" s="533"/>
      <c r="K355" s="533">
        <f>SUM(K356:K357)</f>
        <v>0.8</v>
      </c>
      <c r="L355" s="533"/>
      <c r="M355" s="533"/>
      <c r="N355" s="533">
        <f>SUM(N356:N357)</f>
        <v>0.8</v>
      </c>
      <c r="O355" s="533"/>
      <c r="P355" s="533"/>
      <c r="Q355" s="533">
        <f>SUM(Q356:Q357)</f>
        <v>0.8</v>
      </c>
      <c r="R355" s="533">
        <f t="shared" si="62"/>
        <v>0.8</v>
      </c>
      <c r="S355" s="533"/>
      <c r="T355" s="533"/>
      <c r="U355" s="533"/>
      <c r="V355" s="533">
        <f>SUM(V356:V357)</f>
        <v>0.8</v>
      </c>
      <c r="W355" s="533"/>
      <c r="X355" s="533"/>
      <c r="Y355" s="533">
        <f>SUM(Y356:Y357)</f>
        <v>0.8</v>
      </c>
      <c r="Z355" s="542">
        <f t="shared" si="63"/>
        <v>0</v>
      </c>
      <c r="AA355" s="542">
        <f t="shared" si="61"/>
        <v>100</v>
      </c>
      <c r="AB355" s="921"/>
      <c r="AC355" s="491" t="s">
        <v>1665</v>
      </c>
      <c r="AF355" s="466"/>
      <c r="AG355" s="466"/>
      <c r="AH355" s="466"/>
    </row>
    <row r="356" spans="1:34" s="498" customFormat="1" hidden="1" x14ac:dyDescent="0.25">
      <c r="A356" s="962"/>
      <c r="B356" s="502" t="s">
        <v>1962</v>
      </c>
      <c r="C356" s="499"/>
      <c r="D356" s="903"/>
      <c r="E356" s="1031" t="s">
        <v>227</v>
      </c>
      <c r="F356" s="557">
        <v>16</v>
      </c>
      <c r="G356" s="558">
        <v>0.1</v>
      </c>
      <c r="H356" s="559">
        <f>F356*G356</f>
        <v>1.6</v>
      </c>
      <c r="I356" s="857">
        <v>8</v>
      </c>
      <c r="J356" s="862">
        <v>0.1</v>
      </c>
      <c r="K356" s="857">
        <f>I356*J356</f>
        <v>0.8</v>
      </c>
      <c r="L356" s="857">
        <v>8</v>
      </c>
      <c r="M356" s="862">
        <v>0.1</v>
      </c>
      <c r="N356" s="857">
        <f>L356*M356</f>
        <v>0.8</v>
      </c>
      <c r="O356" s="857">
        <v>8</v>
      </c>
      <c r="P356" s="857">
        <v>0.1</v>
      </c>
      <c r="Q356" s="857">
        <f>P356*O356</f>
        <v>0.8</v>
      </c>
      <c r="R356" s="857">
        <f t="shared" si="62"/>
        <v>0.8</v>
      </c>
      <c r="S356" s="857"/>
      <c r="T356" s="857">
        <v>8</v>
      </c>
      <c r="U356" s="857">
        <v>0.1</v>
      </c>
      <c r="V356" s="857">
        <f>U356*T356</f>
        <v>0.8</v>
      </c>
      <c r="W356" s="857">
        <v>8</v>
      </c>
      <c r="X356" s="857">
        <v>0.1</v>
      </c>
      <c r="Y356" s="857">
        <f>X356*W356</f>
        <v>0.8</v>
      </c>
      <c r="Z356" s="559">
        <f t="shared" si="63"/>
        <v>0</v>
      </c>
      <c r="AA356" s="559">
        <f t="shared" si="61"/>
        <v>100</v>
      </c>
      <c r="AB356" s="893"/>
      <c r="AC356" s="491" t="s">
        <v>1665</v>
      </c>
      <c r="AF356" s="466"/>
      <c r="AG356" s="465"/>
      <c r="AH356" s="465"/>
    </row>
    <row r="357" spans="1:34" s="498" customFormat="1" hidden="1" x14ac:dyDescent="0.25">
      <c r="A357" s="962"/>
      <c r="B357" s="502" t="s">
        <v>1821</v>
      </c>
      <c r="C357" s="503"/>
      <c r="D357" s="903"/>
      <c r="E357" s="1031" t="s">
        <v>1240</v>
      </c>
      <c r="F357" s="557">
        <v>40</v>
      </c>
      <c r="G357" s="558">
        <v>0.08</v>
      </c>
      <c r="H357" s="559">
        <f>F357*G357</f>
        <v>3.2</v>
      </c>
      <c r="I357" s="857"/>
      <c r="J357" s="857"/>
      <c r="K357" s="857"/>
      <c r="L357" s="857"/>
      <c r="M357" s="857"/>
      <c r="N357" s="857"/>
      <c r="O357" s="857"/>
      <c r="P357" s="857"/>
      <c r="Q357" s="857"/>
      <c r="R357" s="857">
        <f t="shared" si="62"/>
        <v>0</v>
      </c>
      <c r="S357" s="857"/>
      <c r="T357" s="857"/>
      <c r="U357" s="857"/>
      <c r="V357" s="857"/>
      <c r="W357" s="857"/>
      <c r="X357" s="857"/>
      <c r="Y357" s="857"/>
      <c r="Z357" s="559">
        <f t="shared" si="63"/>
        <v>0</v>
      </c>
      <c r="AA357" s="559" t="str">
        <f t="shared" si="61"/>
        <v>-</v>
      </c>
      <c r="AB357" s="893"/>
      <c r="AC357" s="491" t="s">
        <v>1665</v>
      </c>
      <c r="AF357" s="466"/>
      <c r="AG357" s="465"/>
      <c r="AH357" s="465"/>
    </row>
    <row r="358" spans="1:34" s="498" customFormat="1" x14ac:dyDescent="0.25">
      <c r="A358" s="962"/>
      <c r="B358" s="500" t="s">
        <v>1963</v>
      </c>
      <c r="C358" s="501" t="s">
        <v>800</v>
      </c>
      <c r="D358" s="903"/>
      <c r="E358" s="1031"/>
      <c r="F358" s="557"/>
      <c r="G358" s="558"/>
      <c r="H358" s="559"/>
      <c r="I358" s="857"/>
      <c r="J358" s="857"/>
      <c r="K358" s="857"/>
      <c r="L358" s="857"/>
      <c r="M358" s="857"/>
      <c r="N358" s="857"/>
      <c r="O358" s="533"/>
      <c r="P358" s="533"/>
      <c r="Q358" s="533">
        <f>SUM(Q359:Q360)</f>
        <v>25</v>
      </c>
      <c r="R358" s="533">
        <f t="shared" si="62"/>
        <v>25</v>
      </c>
      <c r="S358" s="533"/>
      <c r="T358" s="533"/>
      <c r="U358" s="533"/>
      <c r="V358" s="533">
        <f>SUM(V359:V360)</f>
        <v>0</v>
      </c>
      <c r="W358" s="533"/>
      <c r="X358" s="533"/>
      <c r="Y358" s="533">
        <f>SUM(Y359:Y360)</f>
        <v>0</v>
      </c>
      <c r="Z358" s="559">
        <f t="shared" si="63"/>
        <v>25</v>
      </c>
      <c r="AA358" s="559" t="str">
        <f t="shared" si="61"/>
        <v>-</v>
      </c>
      <c r="AB358" s="893"/>
      <c r="AC358" s="491" t="s">
        <v>1665</v>
      </c>
      <c r="AF358" s="466"/>
      <c r="AG358" s="465"/>
      <c r="AH358" s="465"/>
    </row>
    <row r="359" spans="1:34" s="498" customFormat="1" ht="26.25" hidden="1" x14ac:dyDescent="0.25">
      <c r="A359" s="962"/>
      <c r="B359" s="502" t="s">
        <v>1964</v>
      </c>
      <c r="C359" s="501"/>
      <c r="D359" s="903"/>
      <c r="E359" s="882" t="s">
        <v>227</v>
      </c>
      <c r="F359" s="557"/>
      <c r="G359" s="558"/>
      <c r="H359" s="559"/>
      <c r="I359" s="857"/>
      <c r="J359" s="857"/>
      <c r="K359" s="857"/>
      <c r="L359" s="857"/>
      <c r="M359" s="857"/>
      <c r="N359" s="857"/>
      <c r="O359" s="857"/>
      <c r="P359" s="857"/>
      <c r="Q359" s="857"/>
      <c r="R359" s="857">
        <f t="shared" si="62"/>
        <v>0</v>
      </c>
      <c r="S359" s="857"/>
      <c r="T359" s="533"/>
      <c r="U359" s="533"/>
      <c r="V359" s="857">
        <f>U359*T359</f>
        <v>0</v>
      </c>
      <c r="W359" s="857"/>
      <c r="X359" s="857"/>
      <c r="Y359" s="857">
        <f>X359*W359</f>
        <v>0</v>
      </c>
      <c r="Z359" s="559">
        <f t="shared" si="63"/>
        <v>0</v>
      </c>
      <c r="AA359" s="559" t="str">
        <f t="shared" si="61"/>
        <v>-</v>
      </c>
      <c r="AB359" s="1940" t="s">
        <v>1965</v>
      </c>
      <c r="AC359" s="491" t="s">
        <v>1665</v>
      </c>
      <c r="AF359" s="466"/>
      <c r="AG359" s="465"/>
      <c r="AH359" s="465"/>
    </row>
    <row r="360" spans="1:34" s="498" customFormat="1" ht="26.25" hidden="1" x14ac:dyDescent="0.25">
      <c r="A360" s="962"/>
      <c r="B360" s="502" t="s">
        <v>1966</v>
      </c>
      <c r="C360" s="501"/>
      <c r="D360" s="903"/>
      <c r="E360" s="882" t="s">
        <v>227</v>
      </c>
      <c r="F360" s="557"/>
      <c r="G360" s="558"/>
      <c r="H360" s="559"/>
      <c r="I360" s="857"/>
      <c r="J360" s="857"/>
      <c r="K360" s="857"/>
      <c r="L360" s="857"/>
      <c r="M360" s="857"/>
      <c r="N360" s="857"/>
      <c r="O360" s="857">
        <v>1</v>
      </c>
      <c r="P360" s="857">
        <v>25</v>
      </c>
      <c r="Q360" s="857">
        <f>P360*O360</f>
        <v>25</v>
      </c>
      <c r="R360" s="857">
        <f t="shared" si="62"/>
        <v>25</v>
      </c>
      <c r="S360" s="857"/>
      <c r="T360" s="533"/>
      <c r="U360" s="533"/>
      <c r="V360" s="857">
        <f>U360*T360</f>
        <v>0</v>
      </c>
      <c r="W360" s="857"/>
      <c r="X360" s="857"/>
      <c r="Y360" s="857">
        <f>X360*W360</f>
        <v>0</v>
      </c>
      <c r="Z360" s="559">
        <f t="shared" si="63"/>
        <v>25</v>
      </c>
      <c r="AA360" s="559" t="str">
        <f t="shared" si="61"/>
        <v>-</v>
      </c>
      <c r="AB360" s="1940" t="s">
        <v>1967</v>
      </c>
      <c r="AC360" s="491" t="s">
        <v>1665</v>
      </c>
      <c r="AF360" s="466"/>
      <c r="AG360" s="465"/>
      <c r="AH360" s="465"/>
    </row>
    <row r="361" spans="1:34" s="492" customFormat="1" ht="14.25" hidden="1" x14ac:dyDescent="0.2">
      <c r="A361" s="1240"/>
      <c r="B361" s="500" t="s">
        <v>1233</v>
      </c>
      <c r="C361" s="501" t="s">
        <v>1230</v>
      </c>
      <c r="D361" s="932"/>
      <c r="E361" s="842"/>
      <c r="F361" s="828"/>
      <c r="G361" s="829"/>
      <c r="H361" s="542">
        <f>SUM(H362:H368)</f>
        <v>25.9</v>
      </c>
      <c r="I361" s="533"/>
      <c r="J361" s="533"/>
      <c r="K361" s="533">
        <f>SUM(K362:K368)</f>
        <v>28.7</v>
      </c>
      <c r="L361" s="533"/>
      <c r="M361" s="533"/>
      <c r="N361" s="533">
        <f>SUM(N362:N368)</f>
        <v>28.7</v>
      </c>
      <c r="O361" s="533"/>
      <c r="P361" s="533"/>
      <c r="Q361" s="533">
        <f>SUM(Q362:Q368)</f>
        <v>35.700000000000003</v>
      </c>
      <c r="R361" s="533">
        <f t="shared" si="62"/>
        <v>35.700000000000003</v>
      </c>
      <c r="S361" s="533"/>
      <c r="T361" s="533"/>
      <c r="U361" s="533"/>
      <c r="V361" s="533">
        <f>SUM(V362:V368)</f>
        <v>35.700000000000003</v>
      </c>
      <c r="W361" s="533"/>
      <c r="X361" s="533"/>
      <c r="Y361" s="533">
        <f>SUM(Y362:Y368)</f>
        <v>35.700000000000003</v>
      </c>
      <c r="Z361" s="542">
        <f t="shared" si="63"/>
        <v>7</v>
      </c>
      <c r="AA361" s="542">
        <f t="shared" si="61"/>
        <v>124.4</v>
      </c>
      <c r="AB361" s="893"/>
      <c r="AC361" s="491" t="s">
        <v>1665</v>
      </c>
      <c r="AF361" s="466"/>
      <c r="AG361" s="466"/>
      <c r="AH361" s="466"/>
    </row>
    <row r="362" spans="1:34" s="498" customFormat="1" hidden="1" x14ac:dyDescent="0.25">
      <c r="A362" s="962"/>
      <c r="B362" s="502" t="s">
        <v>1737</v>
      </c>
      <c r="C362" s="503"/>
      <c r="D362" s="903"/>
      <c r="E362" s="1031" t="s">
        <v>318</v>
      </c>
      <c r="F362" s="557">
        <v>1</v>
      </c>
      <c r="G362" s="558">
        <v>3.5</v>
      </c>
      <c r="H362" s="559">
        <f>F362*G362</f>
        <v>3.5</v>
      </c>
      <c r="I362" s="857">
        <v>1</v>
      </c>
      <c r="J362" s="857">
        <v>3.5</v>
      </c>
      <c r="K362" s="857">
        <f>I362*J362</f>
        <v>3.5</v>
      </c>
      <c r="L362" s="857">
        <v>1</v>
      </c>
      <c r="M362" s="857">
        <v>3.5</v>
      </c>
      <c r="N362" s="857">
        <f>L362*M362</f>
        <v>3.5</v>
      </c>
      <c r="O362" s="857">
        <v>1</v>
      </c>
      <c r="P362" s="857">
        <v>3.5</v>
      </c>
      <c r="Q362" s="857">
        <f>P362*O362</f>
        <v>3.5</v>
      </c>
      <c r="R362" s="857">
        <f t="shared" si="62"/>
        <v>3.5</v>
      </c>
      <c r="S362" s="857"/>
      <c r="T362" s="857">
        <v>1</v>
      </c>
      <c r="U362" s="857">
        <v>3.5</v>
      </c>
      <c r="V362" s="857">
        <f>U362*T362</f>
        <v>3.5</v>
      </c>
      <c r="W362" s="857">
        <v>1</v>
      </c>
      <c r="X362" s="857">
        <v>3.5</v>
      </c>
      <c r="Y362" s="857">
        <f>X362*W362</f>
        <v>3.5</v>
      </c>
      <c r="Z362" s="559">
        <f t="shared" si="63"/>
        <v>0</v>
      </c>
      <c r="AA362" s="559">
        <f t="shared" si="61"/>
        <v>100</v>
      </c>
      <c r="AB362" s="893"/>
      <c r="AC362" s="491" t="s">
        <v>1665</v>
      </c>
      <c r="AF362" s="466"/>
      <c r="AG362" s="465"/>
      <c r="AH362" s="465"/>
    </row>
    <row r="363" spans="1:34" s="498" customFormat="1" hidden="1" x14ac:dyDescent="0.25">
      <c r="A363" s="962"/>
      <c r="B363" s="502" t="s">
        <v>1968</v>
      </c>
      <c r="C363" s="503"/>
      <c r="D363" s="903"/>
      <c r="E363" s="1031" t="s">
        <v>318</v>
      </c>
      <c r="F363" s="557">
        <v>6</v>
      </c>
      <c r="G363" s="558">
        <v>1.8</v>
      </c>
      <c r="H363" s="559">
        <f>F363*G363</f>
        <v>10.8</v>
      </c>
      <c r="I363" s="857">
        <v>6</v>
      </c>
      <c r="J363" s="857">
        <v>1.8</v>
      </c>
      <c r="K363" s="857">
        <f>I363*J363</f>
        <v>10.8</v>
      </c>
      <c r="L363" s="857">
        <v>6</v>
      </c>
      <c r="M363" s="857">
        <v>1.8</v>
      </c>
      <c r="N363" s="857">
        <f>L363*M363</f>
        <v>10.8</v>
      </c>
      <c r="O363" s="857">
        <v>6</v>
      </c>
      <c r="P363" s="857">
        <v>1.8</v>
      </c>
      <c r="Q363" s="857">
        <f>P363*O363</f>
        <v>10.8</v>
      </c>
      <c r="R363" s="857">
        <f t="shared" si="62"/>
        <v>10.8</v>
      </c>
      <c r="S363" s="857"/>
      <c r="T363" s="857">
        <v>6</v>
      </c>
      <c r="U363" s="857">
        <v>1.8</v>
      </c>
      <c r="V363" s="857">
        <f>U363*T363</f>
        <v>10.8</v>
      </c>
      <c r="W363" s="857">
        <v>6</v>
      </c>
      <c r="X363" s="857">
        <v>1.8</v>
      </c>
      <c r="Y363" s="857">
        <f>X363*W363</f>
        <v>10.8</v>
      </c>
      <c r="Z363" s="559">
        <f t="shared" si="63"/>
        <v>0</v>
      </c>
      <c r="AA363" s="559">
        <f t="shared" si="61"/>
        <v>100</v>
      </c>
      <c r="AB363" s="893"/>
      <c r="AC363" s="491" t="s">
        <v>1665</v>
      </c>
      <c r="AF363" s="466"/>
      <c r="AG363" s="465"/>
      <c r="AH363" s="465"/>
    </row>
    <row r="364" spans="1:34" s="498" customFormat="1" hidden="1" x14ac:dyDescent="0.25">
      <c r="A364" s="962"/>
      <c r="B364" s="502" t="s">
        <v>1366</v>
      </c>
      <c r="C364" s="501"/>
      <c r="D364" s="903"/>
      <c r="E364" s="1031" t="s">
        <v>318</v>
      </c>
      <c r="F364" s="557">
        <v>4</v>
      </c>
      <c r="G364" s="558">
        <v>1.73</v>
      </c>
      <c r="H364" s="559">
        <f>F364*G364</f>
        <v>6.9</v>
      </c>
      <c r="I364" s="857">
        <v>4</v>
      </c>
      <c r="J364" s="857">
        <v>1.7</v>
      </c>
      <c r="K364" s="857">
        <f>I364*J364</f>
        <v>6.8</v>
      </c>
      <c r="L364" s="857">
        <v>4</v>
      </c>
      <c r="M364" s="857">
        <v>1.7</v>
      </c>
      <c r="N364" s="857">
        <f>L364*M364</f>
        <v>6.8</v>
      </c>
      <c r="O364" s="857">
        <v>4</v>
      </c>
      <c r="P364" s="857">
        <v>1.7</v>
      </c>
      <c r="Q364" s="857">
        <f>P364*O364</f>
        <v>6.8</v>
      </c>
      <c r="R364" s="857">
        <f t="shared" si="62"/>
        <v>6.8</v>
      </c>
      <c r="S364" s="857"/>
      <c r="T364" s="857">
        <v>4</v>
      </c>
      <c r="U364" s="857">
        <v>1.7</v>
      </c>
      <c r="V364" s="857">
        <f>U364*T364</f>
        <v>6.8</v>
      </c>
      <c r="W364" s="857">
        <v>4</v>
      </c>
      <c r="X364" s="857">
        <v>1.7</v>
      </c>
      <c r="Y364" s="857">
        <f>X364*W364</f>
        <v>6.8</v>
      </c>
      <c r="Z364" s="559">
        <f t="shared" si="63"/>
        <v>0</v>
      </c>
      <c r="AA364" s="559">
        <f t="shared" si="61"/>
        <v>100</v>
      </c>
      <c r="AB364" s="893"/>
      <c r="AC364" s="491" t="s">
        <v>1665</v>
      </c>
      <c r="AF364" s="466"/>
      <c r="AG364" s="465"/>
      <c r="AH364" s="465"/>
    </row>
    <row r="365" spans="1:34" s="498" customFormat="1" hidden="1" x14ac:dyDescent="0.25">
      <c r="A365" s="962"/>
      <c r="B365" s="502" t="s">
        <v>1825</v>
      </c>
      <c r="C365" s="501"/>
      <c r="D365" s="903"/>
      <c r="E365" s="1031"/>
      <c r="F365" s="557"/>
      <c r="G365" s="558"/>
      <c r="H365" s="559"/>
      <c r="I365" s="857">
        <v>1</v>
      </c>
      <c r="J365" s="857">
        <v>1.5</v>
      </c>
      <c r="K365" s="857">
        <f>I365*J365</f>
        <v>1.5</v>
      </c>
      <c r="L365" s="857">
        <v>1</v>
      </c>
      <c r="M365" s="857">
        <v>1.5</v>
      </c>
      <c r="N365" s="857">
        <f>L365*M365</f>
        <v>1.5</v>
      </c>
      <c r="O365" s="857"/>
      <c r="P365" s="857"/>
      <c r="Q365" s="857"/>
      <c r="R365" s="857">
        <f t="shared" si="62"/>
        <v>0</v>
      </c>
      <c r="S365" s="857"/>
      <c r="T365" s="857"/>
      <c r="U365" s="857"/>
      <c r="V365" s="857"/>
      <c r="W365" s="857"/>
      <c r="X365" s="857"/>
      <c r="Y365" s="857"/>
      <c r="Z365" s="559">
        <f t="shared" si="63"/>
        <v>-1.5</v>
      </c>
      <c r="AA365" s="559">
        <f t="shared" si="61"/>
        <v>0</v>
      </c>
      <c r="AB365" s="1924"/>
      <c r="AC365" s="491" t="s">
        <v>1665</v>
      </c>
      <c r="AF365" s="466"/>
      <c r="AG365" s="465"/>
      <c r="AH365" s="465"/>
    </row>
    <row r="366" spans="1:34" s="498" customFormat="1" hidden="1" x14ac:dyDescent="0.25">
      <c r="A366" s="962"/>
      <c r="B366" s="1885" t="s">
        <v>1969</v>
      </c>
      <c r="C366" s="826"/>
      <c r="D366" s="1926"/>
      <c r="E366" s="1930" t="s">
        <v>318</v>
      </c>
      <c r="F366" s="1929"/>
      <c r="G366" s="1929"/>
      <c r="H366" s="1929"/>
      <c r="I366" s="1929"/>
      <c r="J366" s="1929"/>
      <c r="K366" s="1929"/>
      <c r="L366" s="1929"/>
      <c r="M366" s="1941"/>
      <c r="N366" s="1929"/>
      <c r="O366" s="1929">
        <v>1</v>
      </c>
      <c r="P366" s="1929">
        <v>3.5</v>
      </c>
      <c r="Q366" s="1942">
        <f>O366*P366</f>
        <v>3.5</v>
      </c>
      <c r="R366" s="1942">
        <f t="shared" si="62"/>
        <v>3.5</v>
      </c>
      <c r="S366" s="1942"/>
      <c r="T366" s="1929">
        <v>1</v>
      </c>
      <c r="U366" s="1929">
        <v>3.5</v>
      </c>
      <c r="V366" s="1942">
        <f>T366*U366</f>
        <v>3.5</v>
      </c>
      <c r="W366" s="1929">
        <v>1</v>
      </c>
      <c r="X366" s="1929">
        <v>3.5</v>
      </c>
      <c r="Y366" s="1942">
        <f>W366*X366</f>
        <v>3.5</v>
      </c>
      <c r="Z366" s="1929">
        <f t="shared" si="63"/>
        <v>3.5</v>
      </c>
      <c r="AA366" s="1929" t="str">
        <f t="shared" si="61"/>
        <v>-</v>
      </c>
      <c r="AB366" s="3514" t="s">
        <v>1885</v>
      </c>
      <c r="AC366" s="491" t="s">
        <v>1665</v>
      </c>
      <c r="AF366" s="466"/>
      <c r="AG366" s="465"/>
      <c r="AH366" s="465"/>
    </row>
    <row r="367" spans="1:34" s="498" customFormat="1" hidden="1" x14ac:dyDescent="0.25">
      <c r="A367" s="962"/>
      <c r="B367" s="1885" t="s">
        <v>1970</v>
      </c>
      <c r="C367" s="826"/>
      <c r="D367" s="1926"/>
      <c r="E367" s="1930" t="s">
        <v>318</v>
      </c>
      <c r="F367" s="1929"/>
      <c r="G367" s="1929"/>
      <c r="H367" s="1929"/>
      <c r="I367" s="1929"/>
      <c r="J367" s="1929"/>
      <c r="K367" s="1929"/>
      <c r="L367" s="1929"/>
      <c r="M367" s="1941"/>
      <c r="N367" s="1929"/>
      <c r="O367" s="1929">
        <v>1</v>
      </c>
      <c r="P367" s="1929">
        <v>3.5</v>
      </c>
      <c r="Q367" s="1942">
        <f>O367*P367</f>
        <v>3.5</v>
      </c>
      <c r="R367" s="1942">
        <f t="shared" si="62"/>
        <v>3.5</v>
      </c>
      <c r="S367" s="1942"/>
      <c r="T367" s="1929">
        <v>1</v>
      </c>
      <c r="U367" s="1929">
        <v>3.5</v>
      </c>
      <c r="V367" s="1942">
        <f>T367*U367</f>
        <v>3.5</v>
      </c>
      <c r="W367" s="1929">
        <v>1</v>
      </c>
      <c r="X367" s="1929">
        <v>3.5</v>
      </c>
      <c r="Y367" s="1942">
        <f>W367*X367</f>
        <v>3.5</v>
      </c>
      <c r="Z367" s="1929">
        <f t="shared" si="63"/>
        <v>3.5</v>
      </c>
      <c r="AA367" s="1929" t="str">
        <f t="shared" si="61"/>
        <v>-</v>
      </c>
      <c r="AB367" s="3516"/>
      <c r="AC367" s="491" t="s">
        <v>1665</v>
      </c>
      <c r="AF367" s="466"/>
      <c r="AG367" s="465"/>
      <c r="AH367" s="465"/>
    </row>
    <row r="368" spans="1:34" s="498" customFormat="1" hidden="1" x14ac:dyDescent="0.25">
      <c r="A368" s="962"/>
      <c r="B368" s="502" t="s">
        <v>1971</v>
      </c>
      <c r="C368" s="503"/>
      <c r="D368" s="903"/>
      <c r="E368" s="1031"/>
      <c r="F368" s="557"/>
      <c r="G368" s="558"/>
      <c r="H368" s="559">
        <v>4.7</v>
      </c>
      <c r="I368" s="857"/>
      <c r="J368" s="857"/>
      <c r="K368" s="857">
        <f>(K362+K363+K364+K365)*27.1/100</f>
        <v>6.1</v>
      </c>
      <c r="L368" s="857"/>
      <c r="M368" s="857"/>
      <c r="N368" s="857">
        <f>(N362+N363+N364+N365)*27.1/100</f>
        <v>6.1</v>
      </c>
      <c r="O368" s="857"/>
      <c r="P368" s="857"/>
      <c r="Q368" s="857">
        <f>SUM(Q362:Q367)*0.271</f>
        <v>7.6</v>
      </c>
      <c r="R368" s="857">
        <f t="shared" si="62"/>
        <v>7.6</v>
      </c>
      <c r="S368" s="857"/>
      <c r="T368" s="857"/>
      <c r="U368" s="857"/>
      <c r="V368" s="857">
        <f>SUM(V362:V367)*0.271</f>
        <v>7.6</v>
      </c>
      <c r="W368" s="857"/>
      <c r="X368" s="857"/>
      <c r="Y368" s="857">
        <f>SUM(Y362:Y367)*0.271</f>
        <v>7.6</v>
      </c>
      <c r="Z368" s="559">
        <f t="shared" si="63"/>
        <v>1.5</v>
      </c>
      <c r="AA368" s="559">
        <f t="shared" si="61"/>
        <v>124.6</v>
      </c>
      <c r="AB368" s="893"/>
      <c r="AC368" s="491" t="s">
        <v>1665</v>
      </c>
      <c r="AF368" s="466"/>
      <c r="AG368" s="465"/>
      <c r="AH368" s="465"/>
    </row>
    <row r="369" spans="1:34" s="492" customFormat="1" ht="25.5" x14ac:dyDescent="0.2">
      <c r="A369" s="1240"/>
      <c r="B369" s="500" t="s">
        <v>1972</v>
      </c>
      <c r="C369" s="501" t="s">
        <v>800</v>
      </c>
      <c r="D369" s="932"/>
      <c r="E369" s="842" t="s">
        <v>227</v>
      </c>
      <c r="F369" s="828">
        <v>1</v>
      </c>
      <c r="G369" s="829">
        <v>3.5</v>
      </c>
      <c r="H369" s="542">
        <f>F369*G369</f>
        <v>3.5</v>
      </c>
      <c r="I369" s="533">
        <v>1</v>
      </c>
      <c r="J369" s="533">
        <v>3.5</v>
      </c>
      <c r="K369" s="533">
        <f>I369*J369</f>
        <v>3.5</v>
      </c>
      <c r="L369" s="533">
        <v>1</v>
      </c>
      <c r="M369" s="533">
        <v>3.5</v>
      </c>
      <c r="N369" s="533">
        <f>L369*M369</f>
        <v>3.5</v>
      </c>
      <c r="O369" s="533">
        <v>1</v>
      </c>
      <c r="P369" s="533">
        <v>3.5</v>
      </c>
      <c r="Q369" s="533">
        <f>O369*P369</f>
        <v>3.5</v>
      </c>
      <c r="R369" s="533">
        <f t="shared" si="62"/>
        <v>3.5</v>
      </c>
      <c r="S369" s="533"/>
      <c r="T369" s="533">
        <v>1</v>
      </c>
      <c r="U369" s="533">
        <v>3.5</v>
      </c>
      <c r="V369" s="533">
        <v>0</v>
      </c>
      <c r="W369" s="533">
        <v>1</v>
      </c>
      <c r="X369" s="533">
        <v>3.5</v>
      </c>
      <c r="Y369" s="533">
        <v>0</v>
      </c>
      <c r="Z369" s="542">
        <f t="shared" si="63"/>
        <v>0</v>
      </c>
      <c r="AA369" s="542">
        <f t="shared" si="61"/>
        <v>100</v>
      </c>
      <c r="AB369" s="893"/>
      <c r="AC369" s="491" t="s">
        <v>1665</v>
      </c>
      <c r="AF369" s="466"/>
      <c r="AG369" s="466"/>
      <c r="AH369" s="466"/>
    </row>
    <row r="370" spans="1:34" s="492" customFormat="1" ht="14.25" hidden="1" x14ac:dyDescent="0.2">
      <c r="A370" s="1240"/>
      <c r="B370" s="865" t="s">
        <v>1973</v>
      </c>
      <c r="C370" s="501" t="s">
        <v>797</v>
      </c>
      <c r="D370" s="932"/>
      <c r="E370" s="842" t="s">
        <v>227</v>
      </c>
      <c r="F370" s="828">
        <v>34</v>
      </c>
      <c r="G370" s="829">
        <v>0.1</v>
      </c>
      <c r="H370" s="542">
        <f>F370*G370</f>
        <v>3.4</v>
      </c>
      <c r="I370" s="533">
        <v>34</v>
      </c>
      <c r="J370" s="533">
        <v>0.1</v>
      </c>
      <c r="K370" s="533">
        <f>I370*J370</f>
        <v>3.4</v>
      </c>
      <c r="L370" s="533">
        <v>34</v>
      </c>
      <c r="M370" s="533">
        <v>0.1</v>
      </c>
      <c r="N370" s="533">
        <f>L370*M370</f>
        <v>3.4</v>
      </c>
      <c r="O370" s="533">
        <v>30</v>
      </c>
      <c r="P370" s="533">
        <v>0.1</v>
      </c>
      <c r="Q370" s="533">
        <f>O370*P370</f>
        <v>3</v>
      </c>
      <c r="R370" s="533">
        <f t="shared" si="62"/>
        <v>3</v>
      </c>
      <c r="S370" s="533"/>
      <c r="T370" s="533">
        <v>30</v>
      </c>
      <c r="U370" s="533">
        <v>0.1</v>
      </c>
      <c r="V370" s="533">
        <f>T370*U370</f>
        <v>3</v>
      </c>
      <c r="W370" s="533">
        <v>30</v>
      </c>
      <c r="X370" s="533">
        <v>0.1</v>
      </c>
      <c r="Y370" s="533">
        <f>W370*X370</f>
        <v>3</v>
      </c>
      <c r="Z370" s="542">
        <f t="shared" si="63"/>
        <v>-0.4</v>
      </c>
      <c r="AA370" s="542">
        <f t="shared" ref="AA370:AA395" si="64">IFERROR(Q370/K370*100,"-")</f>
        <v>88.2</v>
      </c>
      <c r="AB370" s="893"/>
      <c r="AC370" s="491" t="s">
        <v>1665</v>
      </c>
      <c r="AF370" s="466"/>
      <c r="AG370" s="466"/>
      <c r="AH370" s="466"/>
    </row>
    <row r="371" spans="1:34" s="492" customFormat="1" ht="14.25" hidden="1" x14ac:dyDescent="0.2">
      <c r="A371" s="1240"/>
      <c r="B371" s="865" t="s">
        <v>1226</v>
      </c>
      <c r="C371" s="508" t="s">
        <v>797</v>
      </c>
      <c r="D371" s="932"/>
      <c r="E371" s="842"/>
      <c r="F371" s="828"/>
      <c r="G371" s="829"/>
      <c r="H371" s="542">
        <f>SUM(H372:H373)</f>
        <v>13.6</v>
      </c>
      <c r="I371" s="533"/>
      <c r="J371" s="533"/>
      <c r="K371" s="533">
        <f>SUM(K372:K373)</f>
        <v>7.5</v>
      </c>
      <c r="L371" s="533"/>
      <c r="M371" s="533"/>
      <c r="N371" s="533">
        <f>SUM(N372:N373)</f>
        <v>7.5</v>
      </c>
      <c r="O371" s="533"/>
      <c r="P371" s="533"/>
      <c r="Q371" s="533">
        <f>SUM(Q372:Q373)</f>
        <v>7.5</v>
      </c>
      <c r="R371" s="533">
        <f t="shared" si="62"/>
        <v>7.5</v>
      </c>
      <c r="S371" s="533"/>
      <c r="T371" s="533"/>
      <c r="U371" s="533"/>
      <c r="V371" s="533">
        <f>SUM(V372:V373)</f>
        <v>7.5</v>
      </c>
      <c r="W371" s="533"/>
      <c r="X371" s="533"/>
      <c r="Y371" s="533">
        <f>SUM(Y372:Y373)</f>
        <v>7.5</v>
      </c>
      <c r="Z371" s="542">
        <f t="shared" si="63"/>
        <v>0</v>
      </c>
      <c r="AA371" s="542">
        <f t="shared" si="64"/>
        <v>100</v>
      </c>
      <c r="AB371" s="893"/>
      <c r="AC371" s="491" t="s">
        <v>1665</v>
      </c>
      <c r="AF371" s="466"/>
      <c r="AG371" s="466"/>
      <c r="AH371" s="466"/>
    </row>
    <row r="372" spans="1:34" s="498" customFormat="1" hidden="1" x14ac:dyDescent="0.25">
      <c r="A372" s="962"/>
      <c r="B372" s="502" t="s">
        <v>1974</v>
      </c>
      <c r="C372" s="503"/>
      <c r="D372" s="903"/>
      <c r="E372" s="1031" t="s">
        <v>227</v>
      </c>
      <c r="F372" s="557">
        <v>15</v>
      </c>
      <c r="G372" s="558">
        <v>0.6</v>
      </c>
      <c r="H372" s="559">
        <f>F372*G372</f>
        <v>9</v>
      </c>
      <c r="I372" s="857">
        <v>15</v>
      </c>
      <c r="J372" s="857">
        <v>0.3</v>
      </c>
      <c r="K372" s="857">
        <f>I372*J372</f>
        <v>4.5</v>
      </c>
      <c r="L372" s="857">
        <v>15</v>
      </c>
      <c r="M372" s="857">
        <v>0.3</v>
      </c>
      <c r="N372" s="857">
        <f>L372*M372</f>
        <v>4.5</v>
      </c>
      <c r="O372" s="857">
        <v>15</v>
      </c>
      <c r="P372" s="857">
        <v>0.3</v>
      </c>
      <c r="Q372" s="857">
        <f>O372*P372</f>
        <v>4.5</v>
      </c>
      <c r="R372" s="857">
        <f t="shared" si="62"/>
        <v>4.5</v>
      </c>
      <c r="S372" s="857"/>
      <c r="T372" s="857">
        <v>15</v>
      </c>
      <c r="U372" s="857">
        <v>0.3</v>
      </c>
      <c r="V372" s="857">
        <f>T372*U372</f>
        <v>4.5</v>
      </c>
      <c r="W372" s="857">
        <v>15</v>
      </c>
      <c r="X372" s="857">
        <v>0.3</v>
      </c>
      <c r="Y372" s="857">
        <f>W372*X372</f>
        <v>4.5</v>
      </c>
      <c r="Z372" s="559">
        <f t="shared" si="63"/>
        <v>0</v>
      </c>
      <c r="AA372" s="559">
        <f t="shared" si="64"/>
        <v>100</v>
      </c>
      <c r="AB372" s="893"/>
      <c r="AC372" s="491" t="s">
        <v>1665</v>
      </c>
      <c r="AF372" s="466"/>
      <c r="AG372" s="465"/>
      <c r="AH372" s="465"/>
    </row>
    <row r="373" spans="1:34" s="498" customFormat="1" hidden="1" x14ac:dyDescent="0.25">
      <c r="A373" s="962"/>
      <c r="B373" s="502" t="s">
        <v>1909</v>
      </c>
      <c r="C373" s="503"/>
      <c r="D373" s="903"/>
      <c r="E373" s="1031" t="s">
        <v>1240</v>
      </c>
      <c r="F373" s="557">
        <v>23</v>
      </c>
      <c r="G373" s="558">
        <v>0.2</v>
      </c>
      <c r="H373" s="559">
        <f>F373*G373</f>
        <v>4.5999999999999996</v>
      </c>
      <c r="I373" s="857">
        <v>15</v>
      </c>
      <c r="J373" s="857">
        <v>0.2</v>
      </c>
      <c r="K373" s="857">
        <f>I373*J373</f>
        <v>3</v>
      </c>
      <c r="L373" s="857">
        <v>15</v>
      </c>
      <c r="M373" s="857">
        <v>0.2</v>
      </c>
      <c r="N373" s="857">
        <f>L373*M373</f>
        <v>3</v>
      </c>
      <c r="O373" s="857">
        <v>15</v>
      </c>
      <c r="P373" s="857">
        <v>0.2</v>
      </c>
      <c r="Q373" s="857">
        <f>O373*P373</f>
        <v>3</v>
      </c>
      <c r="R373" s="857">
        <f t="shared" si="62"/>
        <v>3</v>
      </c>
      <c r="S373" s="857"/>
      <c r="T373" s="857">
        <v>15</v>
      </c>
      <c r="U373" s="857">
        <v>0.2</v>
      </c>
      <c r="V373" s="857">
        <f>T373*U373</f>
        <v>3</v>
      </c>
      <c r="W373" s="857">
        <v>15</v>
      </c>
      <c r="X373" s="857">
        <v>0.2</v>
      </c>
      <c r="Y373" s="857">
        <f>W373*X373</f>
        <v>3</v>
      </c>
      <c r="Z373" s="559">
        <f t="shared" si="63"/>
        <v>0</v>
      </c>
      <c r="AA373" s="559">
        <f t="shared" si="64"/>
        <v>100</v>
      </c>
      <c r="AB373" s="893"/>
      <c r="AC373" s="491" t="s">
        <v>1665</v>
      </c>
      <c r="AF373" s="466"/>
      <c r="AG373" s="465"/>
      <c r="AH373" s="465"/>
    </row>
    <row r="374" spans="1:34" s="492" customFormat="1" ht="14.25" hidden="1" x14ac:dyDescent="0.2">
      <c r="A374" s="1240"/>
      <c r="B374" s="500" t="s">
        <v>1227</v>
      </c>
      <c r="C374" s="501" t="s">
        <v>1237</v>
      </c>
      <c r="D374" s="932"/>
      <c r="E374" s="842" t="s">
        <v>1829</v>
      </c>
      <c r="F374" s="828">
        <v>3</v>
      </c>
      <c r="G374" s="829">
        <v>2.5</v>
      </c>
      <c r="H374" s="542">
        <f>F374*G374</f>
        <v>7.5</v>
      </c>
      <c r="I374" s="533">
        <v>3</v>
      </c>
      <c r="J374" s="533">
        <v>2.5</v>
      </c>
      <c r="K374" s="533">
        <f>I374*J374</f>
        <v>7.5</v>
      </c>
      <c r="L374" s="533">
        <v>3</v>
      </c>
      <c r="M374" s="533">
        <v>2.5</v>
      </c>
      <c r="N374" s="533">
        <f>L374*M374</f>
        <v>7.5</v>
      </c>
      <c r="O374" s="533">
        <v>3</v>
      </c>
      <c r="P374" s="533">
        <v>2.5</v>
      </c>
      <c r="Q374" s="533">
        <f>O374*P374</f>
        <v>7.5</v>
      </c>
      <c r="R374" s="533">
        <f t="shared" si="62"/>
        <v>7.5</v>
      </c>
      <c r="S374" s="533"/>
      <c r="T374" s="533">
        <v>3</v>
      </c>
      <c r="U374" s="533">
        <v>2.5</v>
      </c>
      <c r="V374" s="533">
        <f>T374*U374</f>
        <v>7.5</v>
      </c>
      <c r="W374" s="533">
        <v>3</v>
      </c>
      <c r="X374" s="533">
        <v>2.5</v>
      </c>
      <c r="Y374" s="533">
        <f>W374*X374</f>
        <v>7.5</v>
      </c>
      <c r="Z374" s="542">
        <f t="shared" si="63"/>
        <v>0</v>
      </c>
      <c r="AA374" s="542">
        <f t="shared" si="64"/>
        <v>100</v>
      </c>
      <c r="AB374" s="893"/>
      <c r="AC374" s="491" t="s">
        <v>1665</v>
      </c>
      <c r="AF374" s="466"/>
      <c r="AG374" s="466"/>
      <c r="AH374" s="466"/>
    </row>
    <row r="375" spans="1:34" s="871" customFormat="1" ht="14.25" hidden="1" x14ac:dyDescent="0.2">
      <c r="A375" s="869"/>
      <c r="B375" s="917" t="s">
        <v>1375</v>
      </c>
      <c r="C375" s="868"/>
      <c r="D375" s="869"/>
      <c r="E375" s="870"/>
      <c r="F375" s="918"/>
      <c r="G375" s="919"/>
      <c r="H375" s="886">
        <f>H380+H386+H392+H393+H394+H395</f>
        <v>116.5</v>
      </c>
      <c r="I375" s="886"/>
      <c r="J375" s="886"/>
      <c r="K375" s="886">
        <f>K380+K386+K392+K393+K394+K395</f>
        <v>69.400000000000006</v>
      </c>
      <c r="L375" s="886"/>
      <c r="M375" s="886"/>
      <c r="N375" s="886">
        <f>N380+N386+N392+N393+N394+N395</f>
        <v>69.400000000000006</v>
      </c>
      <c r="O375" s="886"/>
      <c r="P375" s="886"/>
      <c r="Q375" s="886">
        <f>Q376+Q380+Q386+Q392+Q393+Q394+Q395</f>
        <v>127.9</v>
      </c>
      <c r="R375" s="886">
        <f t="shared" si="62"/>
        <v>127.9</v>
      </c>
      <c r="S375" s="886"/>
      <c r="T375" s="886"/>
      <c r="U375" s="886"/>
      <c r="V375" s="886">
        <f>V376+V380+V386+V392+V393+V394+V395</f>
        <v>93.7</v>
      </c>
      <c r="W375" s="886"/>
      <c r="X375" s="886"/>
      <c r="Y375" s="886">
        <f>Y376+Y380+Y386+Y392+Y393+Y394+Y395</f>
        <v>93.7</v>
      </c>
      <c r="Z375" s="886">
        <f t="shared" si="63"/>
        <v>58.5</v>
      </c>
      <c r="AA375" s="886">
        <f t="shared" si="64"/>
        <v>184.3</v>
      </c>
      <c r="AB375" s="896"/>
      <c r="AC375" s="920" t="s">
        <v>1665</v>
      </c>
      <c r="AF375" s="872"/>
      <c r="AG375" s="872"/>
      <c r="AH375" s="872"/>
    </row>
    <row r="376" spans="1:34" s="492" customFormat="1" ht="14.25" hidden="1" x14ac:dyDescent="0.2">
      <c r="A376" s="1240"/>
      <c r="B376" s="500" t="s">
        <v>1233</v>
      </c>
      <c r="C376" s="501" t="s">
        <v>1230</v>
      </c>
      <c r="D376" s="1240"/>
      <c r="E376" s="842"/>
      <c r="F376" s="828"/>
      <c r="G376" s="829"/>
      <c r="H376" s="542"/>
      <c r="I376" s="542"/>
      <c r="J376" s="542"/>
      <c r="K376" s="542"/>
      <c r="L376" s="542"/>
      <c r="M376" s="542"/>
      <c r="N376" s="542"/>
      <c r="O376" s="533"/>
      <c r="P376" s="533"/>
      <c r="Q376" s="533">
        <f>SUM(Q377:Q379)</f>
        <v>6.4</v>
      </c>
      <c r="R376" s="533">
        <f t="shared" si="62"/>
        <v>6.4</v>
      </c>
      <c r="S376" s="533"/>
      <c r="T376" s="533"/>
      <c r="U376" s="533"/>
      <c r="V376" s="533">
        <f>SUM(V377:V379)</f>
        <v>12.2</v>
      </c>
      <c r="W376" s="533"/>
      <c r="X376" s="533"/>
      <c r="Y376" s="533">
        <f>SUM(Y377:Y379)</f>
        <v>12.2</v>
      </c>
      <c r="Z376" s="542">
        <f t="shared" si="63"/>
        <v>6.4</v>
      </c>
      <c r="AA376" s="542" t="str">
        <f t="shared" si="64"/>
        <v>-</v>
      </c>
      <c r="AB376" s="893"/>
      <c r="AC376" s="491" t="s">
        <v>1665</v>
      </c>
      <c r="AF376" s="466"/>
      <c r="AG376" s="466"/>
      <c r="AH376" s="466"/>
    </row>
    <row r="377" spans="1:34" s="492" customFormat="1" ht="38.25" hidden="1" x14ac:dyDescent="0.2">
      <c r="A377" s="1240"/>
      <c r="B377" s="502" t="s">
        <v>1975</v>
      </c>
      <c r="C377" s="501"/>
      <c r="D377" s="1240"/>
      <c r="E377" s="842"/>
      <c r="F377" s="828"/>
      <c r="G377" s="829"/>
      <c r="H377" s="542"/>
      <c r="I377" s="542"/>
      <c r="J377" s="542"/>
      <c r="K377" s="542"/>
      <c r="L377" s="542"/>
      <c r="M377" s="542"/>
      <c r="N377" s="542"/>
      <c r="O377" s="559">
        <v>1</v>
      </c>
      <c r="P377" s="559">
        <v>5</v>
      </c>
      <c r="Q377" s="857">
        <f>O377*P377</f>
        <v>5</v>
      </c>
      <c r="R377" s="857">
        <f t="shared" si="62"/>
        <v>5</v>
      </c>
      <c r="S377" s="857"/>
      <c r="T377" s="559">
        <v>1</v>
      </c>
      <c r="U377" s="559">
        <v>5</v>
      </c>
      <c r="V377" s="857">
        <f>T377*U377</f>
        <v>5</v>
      </c>
      <c r="W377" s="559">
        <v>1</v>
      </c>
      <c r="X377" s="559">
        <v>5</v>
      </c>
      <c r="Y377" s="857">
        <f>W377*X377</f>
        <v>5</v>
      </c>
      <c r="Z377" s="542">
        <f t="shared" si="63"/>
        <v>5</v>
      </c>
      <c r="AA377" s="542" t="str">
        <f t="shared" si="64"/>
        <v>-</v>
      </c>
      <c r="AB377" s="843" t="s">
        <v>1976</v>
      </c>
      <c r="AC377" s="491" t="s">
        <v>1665</v>
      </c>
      <c r="AF377" s="466"/>
      <c r="AG377" s="466"/>
      <c r="AH377" s="466"/>
    </row>
    <row r="378" spans="1:34" s="492" customFormat="1" ht="14.25" hidden="1" x14ac:dyDescent="0.2">
      <c r="A378" s="1240"/>
      <c r="B378" s="502" t="s">
        <v>1761</v>
      </c>
      <c r="C378" s="501"/>
      <c r="D378" s="1240"/>
      <c r="E378" s="842"/>
      <c r="F378" s="828"/>
      <c r="G378" s="829"/>
      <c r="H378" s="542"/>
      <c r="I378" s="542"/>
      <c r="J378" s="542"/>
      <c r="K378" s="542"/>
      <c r="L378" s="542"/>
      <c r="M378" s="542"/>
      <c r="N378" s="542"/>
      <c r="O378" s="559"/>
      <c r="P378" s="559"/>
      <c r="Q378" s="857"/>
      <c r="R378" s="857">
        <f t="shared" si="62"/>
        <v>0</v>
      </c>
      <c r="S378" s="857"/>
      <c r="T378" s="559">
        <v>2</v>
      </c>
      <c r="U378" s="559">
        <v>2.2999999999999998</v>
      </c>
      <c r="V378" s="857">
        <f>T378*U378</f>
        <v>4.5999999999999996</v>
      </c>
      <c r="W378" s="559">
        <v>2</v>
      </c>
      <c r="X378" s="559">
        <v>2.2999999999999998</v>
      </c>
      <c r="Y378" s="857">
        <f>W378*X378</f>
        <v>4.5999999999999996</v>
      </c>
      <c r="Z378" s="542">
        <f t="shared" si="63"/>
        <v>0</v>
      </c>
      <c r="AA378" s="542" t="str">
        <f t="shared" si="64"/>
        <v>-</v>
      </c>
      <c r="AB378" s="1887"/>
      <c r="AC378" s="491" t="s">
        <v>1665</v>
      </c>
      <c r="AF378" s="466"/>
      <c r="AG378" s="466"/>
      <c r="AH378" s="466"/>
    </row>
    <row r="379" spans="1:34" s="492" customFormat="1" ht="14.25" hidden="1" x14ac:dyDescent="0.2">
      <c r="A379" s="1240"/>
      <c r="B379" s="502" t="s">
        <v>1971</v>
      </c>
      <c r="C379" s="501"/>
      <c r="D379" s="1240"/>
      <c r="E379" s="842"/>
      <c r="F379" s="828"/>
      <c r="G379" s="829"/>
      <c r="H379" s="542"/>
      <c r="I379" s="542"/>
      <c r="J379" s="542"/>
      <c r="K379" s="542"/>
      <c r="L379" s="542"/>
      <c r="M379" s="542"/>
      <c r="N379" s="542"/>
      <c r="O379" s="857"/>
      <c r="P379" s="857"/>
      <c r="Q379" s="857">
        <f>(Q377+Q378)*27.1/100</f>
        <v>1.4</v>
      </c>
      <c r="R379" s="857">
        <f t="shared" si="62"/>
        <v>1.4</v>
      </c>
      <c r="S379" s="857"/>
      <c r="T379" s="857"/>
      <c r="U379" s="857"/>
      <c r="V379" s="857">
        <f>(V377+V378)*27.1/100</f>
        <v>2.6</v>
      </c>
      <c r="W379" s="857"/>
      <c r="X379" s="857"/>
      <c r="Y379" s="857">
        <f>(Y377+Y378)*27.1/100</f>
        <v>2.6</v>
      </c>
      <c r="Z379" s="542">
        <f t="shared" si="63"/>
        <v>1.4</v>
      </c>
      <c r="AA379" s="542" t="str">
        <f t="shared" si="64"/>
        <v>-</v>
      </c>
      <c r="AB379" s="893"/>
      <c r="AC379" s="491" t="s">
        <v>1665</v>
      </c>
      <c r="AF379" s="466"/>
      <c r="AG379" s="466"/>
      <c r="AH379" s="466"/>
    </row>
    <row r="380" spans="1:34" s="492" customFormat="1" ht="14.25" hidden="1" x14ac:dyDescent="0.2">
      <c r="A380" s="1240"/>
      <c r="B380" s="500" t="s">
        <v>1226</v>
      </c>
      <c r="C380" s="501" t="s">
        <v>797</v>
      </c>
      <c r="D380" s="932"/>
      <c r="E380" s="842"/>
      <c r="F380" s="828"/>
      <c r="G380" s="829"/>
      <c r="H380" s="542">
        <f>SUM(H381:H383)</f>
        <v>18.100000000000001</v>
      </c>
      <c r="I380" s="533"/>
      <c r="J380" s="533"/>
      <c r="K380" s="533">
        <f>SUM(K381:K384)</f>
        <v>17</v>
      </c>
      <c r="L380" s="533"/>
      <c r="M380" s="533"/>
      <c r="N380" s="533">
        <f>SUM(N381:N384)</f>
        <v>17</v>
      </c>
      <c r="O380" s="533"/>
      <c r="P380" s="533"/>
      <c r="Q380" s="533">
        <f>SUM(Q381:Q385)</f>
        <v>15</v>
      </c>
      <c r="R380" s="533">
        <f t="shared" si="62"/>
        <v>15</v>
      </c>
      <c r="S380" s="533"/>
      <c r="T380" s="533"/>
      <c r="U380" s="533"/>
      <c r="V380" s="533">
        <f>SUM(V381:V385)</f>
        <v>15</v>
      </c>
      <c r="W380" s="533"/>
      <c r="X380" s="533"/>
      <c r="Y380" s="533">
        <f>SUM(Y381:Y385)</f>
        <v>15</v>
      </c>
      <c r="Z380" s="542">
        <f t="shared" si="63"/>
        <v>-2</v>
      </c>
      <c r="AA380" s="542">
        <f t="shared" si="64"/>
        <v>88.2</v>
      </c>
      <c r="AB380" s="901"/>
      <c r="AC380" s="491" t="s">
        <v>1665</v>
      </c>
      <c r="AF380" s="466"/>
      <c r="AG380" s="466"/>
      <c r="AH380" s="466"/>
    </row>
    <row r="381" spans="1:34" s="498" customFormat="1" hidden="1" x14ac:dyDescent="0.25">
      <c r="A381" s="962"/>
      <c r="B381" s="502" t="s">
        <v>1977</v>
      </c>
      <c r="C381" s="503"/>
      <c r="D381" s="903"/>
      <c r="E381" s="842" t="s">
        <v>227</v>
      </c>
      <c r="F381" s="557">
        <v>36</v>
      </c>
      <c r="G381" s="558">
        <v>0.25</v>
      </c>
      <c r="H381" s="559">
        <f>F381*G381</f>
        <v>9</v>
      </c>
      <c r="I381" s="857">
        <v>36</v>
      </c>
      <c r="J381" s="857">
        <v>0.3</v>
      </c>
      <c r="K381" s="857">
        <f>I381*J381</f>
        <v>10.8</v>
      </c>
      <c r="L381" s="857">
        <v>36</v>
      </c>
      <c r="M381" s="857">
        <v>0.3</v>
      </c>
      <c r="N381" s="857">
        <f>L381*M381</f>
        <v>10.8</v>
      </c>
      <c r="O381" s="857"/>
      <c r="P381" s="857"/>
      <c r="Q381" s="857"/>
      <c r="R381" s="857">
        <f t="shared" si="62"/>
        <v>0</v>
      </c>
      <c r="S381" s="857"/>
      <c r="T381" s="857"/>
      <c r="U381" s="857"/>
      <c r="V381" s="857"/>
      <c r="W381" s="857"/>
      <c r="X381" s="857"/>
      <c r="Y381" s="857"/>
      <c r="Z381" s="559">
        <f t="shared" si="63"/>
        <v>-10.8</v>
      </c>
      <c r="AA381" s="559">
        <f t="shared" si="64"/>
        <v>0</v>
      </c>
      <c r="AB381" s="901"/>
      <c r="AC381" s="491" t="s">
        <v>1665</v>
      </c>
      <c r="AF381" s="466"/>
      <c r="AG381" s="465"/>
      <c r="AH381" s="465"/>
    </row>
    <row r="382" spans="1:34" s="498" customFormat="1" hidden="1" x14ac:dyDescent="0.25">
      <c r="A382" s="962"/>
      <c r="B382" s="502" t="s">
        <v>1978</v>
      </c>
      <c r="C382" s="503"/>
      <c r="D382" s="903"/>
      <c r="E382" s="842" t="s">
        <v>1240</v>
      </c>
      <c r="F382" s="557">
        <v>23</v>
      </c>
      <c r="G382" s="558">
        <v>0.2</v>
      </c>
      <c r="H382" s="559">
        <f>F382*G382</f>
        <v>4.5999999999999996</v>
      </c>
      <c r="I382" s="857">
        <v>42</v>
      </c>
      <c r="J382" s="857">
        <v>0.1</v>
      </c>
      <c r="K382" s="857">
        <f>I382*J382</f>
        <v>4.2</v>
      </c>
      <c r="L382" s="857">
        <v>42</v>
      </c>
      <c r="M382" s="857">
        <v>0.1</v>
      </c>
      <c r="N382" s="857">
        <f>L382*M382</f>
        <v>4.2</v>
      </c>
      <c r="O382" s="857"/>
      <c r="P382" s="857"/>
      <c r="Q382" s="857"/>
      <c r="R382" s="857">
        <f t="shared" si="62"/>
        <v>0</v>
      </c>
      <c r="S382" s="857"/>
      <c r="T382" s="857"/>
      <c r="U382" s="857"/>
      <c r="V382" s="857"/>
      <c r="W382" s="857"/>
      <c r="X382" s="857"/>
      <c r="Y382" s="857"/>
      <c r="Z382" s="559">
        <f t="shared" si="63"/>
        <v>-4.2</v>
      </c>
      <c r="AA382" s="559">
        <f t="shared" si="64"/>
        <v>0</v>
      </c>
      <c r="AB382" s="893"/>
      <c r="AC382" s="491" t="s">
        <v>1665</v>
      </c>
      <c r="AF382" s="466"/>
      <c r="AG382" s="465"/>
      <c r="AH382" s="465"/>
    </row>
    <row r="383" spans="1:34" s="498" customFormat="1" hidden="1" x14ac:dyDescent="0.25">
      <c r="A383" s="962"/>
      <c r="B383" s="502" t="s">
        <v>1979</v>
      </c>
      <c r="C383" s="503"/>
      <c r="D383" s="903"/>
      <c r="E383" s="842" t="s">
        <v>227</v>
      </c>
      <c r="F383" s="557">
        <v>9</v>
      </c>
      <c r="G383" s="558">
        <v>0.5</v>
      </c>
      <c r="H383" s="559">
        <f>F383*G383</f>
        <v>4.5</v>
      </c>
      <c r="I383" s="857"/>
      <c r="J383" s="857"/>
      <c r="K383" s="857"/>
      <c r="L383" s="857"/>
      <c r="M383" s="857"/>
      <c r="N383" s="857"/>
      <c r="O383" s="857"/>
      <c r="P383" s="857"/>
      <c r="Q383" s="857"/>
      <c r="R383" s="857">
        <f t="shared" si="62"/>
        <v>0</v>
      </c>
      <c r="S383" s="857"/>
      <c r="T383" s="857"/>
      <c r="U383" s="857"/>
      <c r="V383" s="857"/>
      <c r="W383" s="857"/>
      <c r="X383" s="857"/>
      <c r="Y383" s="857"/>
      <c r="Z383" s="559">
        <f t="shared" si="63"/>
        <v>0</v>
      </c>
      <c r="AA383" s="559" t="str">
        <f t="shared" si="64"/>
        <v>-</v>
      </c>
      <c r="AB383" s="1943"/>
      <c r="AC383" s="491" t="s">
        <v>1665</v>
      </c>
      <c r="AF383" s="466"/>
      <c r="AG383" s="465"/>
      <c r="AH383" s="465"/>
    </row>
    <row r="384" spans="1:34" s="498" customFormat="1" hidden="1" x14ac:dyDescent="0.25">
      <c r="A384" s="962"/>
      <c r="B384" s="502" t="s">
        <v>1833</v>
      </c>
      <c r="C384" s="503"/>
      <c r="D384" s="903"/>
      <c r="E384" s="842"/>
      <c r="F384" s="557"/>
      <c r="G384" s="558"/>
      <c r="H384" s="559"/>
      <c r="I384" s="857">
        <v>2</v>
      </c>
      <c r="J384" s="857">
        <v>1</v>
      </c>
      <c r="K384" s="857">
        <f>I384*J384</f>
        <v>2</v>
      </c>
      <c r="L384" s="857">
        <v>2</v>
      </c>
      <c r="M384" s="857">
        <v>1</v>
      </c>
      <c r="N384" s="857">
        <f>L384*M384</f>
        <v>2</v>
      </c>
      <c r="O384" s="857"/>
      <c r="P384" s="857"/>
      <c r="Q384" s="857"/>
      <c r="R384" s="857">
        <f t="shared" si="62"/>
        <v>0</v>
      </c>
      <c r="S384" s="857"/>
      <c r="T384" s="857"/>
      <c r="U384" s="857"/>
      <c r="V384" s="857"/>
      <c r="W384" s="857"/>
      <c r="X384" s="857"/>
      <c r="Y384" s="857"/>
      <c r="Z384" s="559">
        <f t="shared" si="63"/>
        <v>-2</v>
      </c>
      <c r="AA384" s="559">
        <f t="shared" si="64"/>
        <v>0</v>
      </c>
      <c r="AB384" s="1943"/>
      <c r="AC384" s="491" t="s">
        <v>1665</v>
      </c>
      <c r="AF384" s="466"/>
      <c r="AG384" s="465"/>
      <c r="AH384" s="465"/>
    </row>
    <row r="385" spans="1:34" s="498" customFormat="1" ht="83.25" hidden="1" customHeight="1" x14ac:dyDescent="0.25">
      <c r="A385" s="962"/>
      <c r="B385" s="502" t="s">
        <v>1980</v>
      </c>
      <c r="C385" s="503"/>
      <c r="D385" s="903"/>
      <c r="E385" s="842"/>
      <c r="F385" s="557"/>
      <c r="G385" s="558"/>
      <c r="H385" s="559"/>
      <c r="I385" s="857"/>
      <c r="J385" s="857"/>
      <c r="K385" s="857"/>
      <c r="L385" s="857"/>
      <c r="M385" s="857"/>
      <c r="N385" s="857"/>
      <c r="O385" s="857"/>
      <c r="P385" s="857"/>
      <c r="Q385" s="857">
        <v>15</v>
      </c>
      <c r="R385" s="857">
        <f t="shared" si="62"/>
        <v>15</v>
      </c>
      <c r="S385" s="857"/>
      <c r="T385" s="857"/>
      <c r="U385" s="857"/>
      <c r="V385" s="857">
        <v>15</v>
      </c>
      <c r="W385" s="857"/>
      <c r="X385" s="857"/>
      <c r="Y385" s="857">
        <v>15</v>
      </c>
      <c r="Z385" s="559">
        <f t="shared" si="63"/>
        <v>15</v>
      </c>
      <c r="AA385" s="559" t="str">
        <f t="shared" si="64"/>
        <v>-</v>
      </c>
      <c r="AB385" s="901" t="s">
        <v>1981</v>
      </c>
      <c r="AC385" s="491" t="s">
        <v>1665</v>
      </c>
      <c r="AF385" s="466"/>
      <c r="AG385" s="465"/>
      <c r="AH385" s="465"/>
    </row>
    <row r="386" spans="1:34" s="492" customFormat="1" ht="25.5" hidden="1" x14ac:dyDescent="0.2">
      <c r="A386" s="1240"/>
      <c r="B386" s="500" t="s">
        <v>1239</v>
      </c>
      <c r="C386" s="501" t="s">
        <v>797</v>
      </c>
      <c r="D386" s="932"/>
      <c r="E386" s="842"/>
      <c r="F386" s="828"/>
      <c r="G386" s="829"/>
      <c r="H386" s="542">
        <f>SUM(H387:H391)</f>
        <v>19.8</v>
      </c>
      <c r="I386" s="533"/>
      <c r="J386" s="533"/>
      <c r="K386" s="533">
        <f>SUM(K387:K391)</f>
        <v>2.2000000000000002</v>
      </c>
      <c r="L386" s="533"/>
      <c r="M386" s="533"/>
      <c r="N386" s="533">
        <f>SUM(N387:N391)</f>
        <v>2.2000000000000002</v>
      </c>
      <c r="O386" s="533"/>
      <c r="P386" s="533"/>
      <c r="Q386" s="533">
        <f>SUM(Q387:Q391)</f>
        <v>5.5</v>
      </c>
      <c r="R386" s="533">
        <f t="shared" si="62"/>
        <v>5.5</v>
      </c>
      <c r="S386" s="533"/>
      <c r="T386" s="533"/>
      <c r="U386" s="533"/>
      <c r="V386" s="533">
        <f>SUM(V387:V391)</f>
        <v>5.5</v>
      </c>
      <c r="W386" s="533"/>
      <c r="X386" s="533"/>
      <c r="Y386" s="533">
        <f>SUM(Y387:Y391)</f>
        <v>5.5</v>
      </c>
      <c r="Z386" s="542">
        <f t="shared" si="63"/>
        <v>3.3</v>
      </c>
      <c r="AA386" s="542">
        <f t="shared" si="64"/>
        <v>250</v>
      </c>
      <c r="AB386" s="1943"/>
      <c r="AC386" s="491" t="s">
        <v>1665</v>
      </c>
      <c r="AF386" s="466"/>
      <c r="AG386" s="466"/>
      <c r="AH386" s="466"/>
    </row>
    <row r="387" spans="1:34" s="498" customFormat="1" ht="114.75" hidden="1" x14ac:dyDescent="0.25">
      <c r="A387" s="962"/>
      <c r="B387" s="502" t="s">
        <v>1962</v>
      </c>
      <c r="C387" s="503"/>
      <c r="D387" s="903"/>
      <c r="E387" s="1031" t="s">
        <v>227</v>
      </c>
      <c r="F387" s="557">
        <v>40</v>
      </c>
      <c r="G387" s="558">
        <v>0.1</v>
      </c>
      <c r="H387" s="559">
        <f t="shared" ref="H387:H394" si="65">F387*G387</f>
        <v>4</v>
      </c>
      <c r="I387" s="857">
        <v>22</v>
      </c>
      <c r="J387" s="862">
        <v>0.1</v>
      </c>
      <c r="K387" s="857">
        <f t="shared" ref="K387:K393" si="66">I387*J387</f>
        <v>2.2000000000000002</v>
      </c>
      <c r="L387" s="857">
        <v>22</v>
      </c>
      <c r="M387" s="862">
        <v>0.1</v>
      </c>
      <c r="N387" s="857">
        <f>L387*M387</f>
        <v>2.2000000000000002</v>
      </c>
      <c r="O387" s="857">
        <v>25</v>
      </c>
      <c r="P387" s="857">
        <v>0.1</v>
      </c>
      <c r="Q387" s="857">
        <f>O387*P387</f>
        <v>2.5</v>
      </c>
      <c r="R387" s="857">
        <f t="shared" si="62"/>
        <v>2.5</v>
      </c>
      <c r="S387" s="857"/>
      <c r="T387" s="857">
        <v>25</v>
      </c>
      <c r="U387" s="857">
        <v>0.1</v>
      </c>
      <c r="V387" s="857">
        <f>T387*U387</f>
        <v>2.5</v>
      </c>
      <c r="W387" s="857">
        <v>25</v>
      </c>
      <c r="X387" s="857">
        <v>0.1</v>
      </c>
      <c r="Y387" s="857">
        <f>W387*X387</f>
        <v>2.5</v>
      </c>
      <c r="Z387" s="559">
        <f t="shared" si="63"/>
        <v>0.3</v>
      </c>
      <c r="AA387" s="559">
        <f t="shared" si="64"/>
        <v>113.6</v>
      </c>
      <c r="AB387" s="843" t="s">
        <v>1982</v>
      </c>
      <c r="AC387" s="491" t="s">
        <v>1665</v>
      </c>
      <c r="AF387" s="466"/>
      <c r="AG387" s="465"/>
      <c r="AH387" s="465"/>
    </row>
    <row r="388" spans="1:34" s="498" customFormat="1" hidden="1" x14ac:dyDescent="0.25">
      <c r="A388" s="962"/>
      <c r="B388" s="856" t="s">
        <v>1369</v>
      </c>
      <c r="C388" s="499"/>
      <c r="D388" s="903"/>
      <c r="E388" s="1031" t="s">
        <v>227</v>
      </c>
      <c r="F388" s="557">
        <v>4</v>
      </c>
      <c r="G388" s="558">
        <v>0.75</v>
      </c>
      <c r="H388" s="559">
        <f t="shared" si="65"/>
        <v>3</v>
      </c>
      <c r="I388" s="857"/>
      <c r="J388" s="857"/>
      <c r="K388" s="857"/>
      <c r="L388" s="857"/>
      <c r="M388" s="857"/>
      <c r="N388" s="857"/>
      <c r="O388" s="857"/>
      <c r="P388" s="857"/>
      <c r="Q388" s="857"/>
      <c r="R388" s="857">
        <f t="shared" si="62"/>
        <v>0</v>
      </c>
      <c r="S388" s="857"/>
      <c r="T388" s="857"/>
      <c r="U388" s="857"/>
      <c r="V388" s="857"/>
      <c r="W388" s="857"/>
      <c r="X388" s="857"/>
      <c r="Y388" s="857"/>
      <c r="Z388" s="559">
        <f t="shared" si="63"/>
        <v>0</v>
      </c>
      <c r="AA388" s="559" t="str">
        <f t="shared" si="64"/>
        <v>-</v>
      </c>
      <c r="AB388" s="893"/>
      <c r="AC388" s="491" t="s">
        <v>1665</v>
      </c>
      <c r="AF388" s="466"/>
      <c r="AG388" s="465"/>
      <c r="AH388" s="465"/>
    </row>
    <row r="389" spans="1:34" s="498" customFormat="1" ht="26.25" hidden="1" x14ac:dyDescent="0.25">
      <c r="A389" s="962"/>
      <c r="B389" s="856" t="s">
        <v>1692</v>
      </c>
      <c r="C389" s="499"/>
      <c r="D389" s="903"/>
      <c r="E389" s="1031" t="s">
        <v>227</v>
      </c>
      <c r="F389" s="557">
        <v>8</v>
      </c>
      <c r="G389" s="558">
        <v>0.35</v>
      </c>
      <c r="H389" s="559">
        <f t="shared" si="65"/>
        <v>2.8</v>
      </c>
      <c r="I389" s="857"/>
      <c r="J389" s="857"/>
      <c r="K389" s="857">
        <f t="shared" si="66"/>
        <v>0</v>
      </c>
      <c r="L389" s="857"/>
      <c r="M389" s="857"/>
      <c r="N389" s="857">
        <f>L389*M389</f>
        <v>0</v>
      </c>
      <c r="O389" s="857">
        <v>10</v>
      </c>
      <c r="P389" s="857">
        <v>0.3</v>
      </c>
      <c r="Q389" s="857">
        <f>O389*P389</f>
        <v>3</v>
      </c>
      <c r="R389" s="857">
        <f t="shared" si="62"/>
        <v>3</v>
      </c>
      <c r="S389" s="857"/>
      <c r="T389" s="857">
        <v>10</v>
      </c>
      <c r="U389" s="857">
        <v>0.3</v>
      </c>
      <c r="V389" s="857">
        <f>T389*U389</f>
        <v>3</v>
      </c>
      <c r="W389" s="857">
        <v>10</v>
      </c>
      <c r="X389" s="857">
        <v>0.3</v>
      </c>
      <c r="Y389" s="857">
        <f>W389*X389</f>
        <v>3</v>
      </c>
      <c r="Z389" s="559">
        <f t="shared" si="63"/>
        <v>3</v>
      </c>
      <c r="AA389" s="559" t="str">
        <f t="shared" si="64"/>
        <v>-</v>
      </c>
      <c r="AB389" s="893" t="s">
        <v>1983</v>
      </c>
      <c r="AC389" s="491" t="s">
        <v>1665</v>
      </c>
      <c r="AF389" s="466"/>
      <c r="AG389" s="465"/>
      <c r="AH389" s="465"/>
    </row>
    <row r="390" spans="1:34" s="498" customFormat="1" hidden="1" x14ac:dyDescent="0.25">
      <c r="A390" s="962"/>
      <c r="B390" s="856" t="s">
        <v>1673</v>
      </c>
      <c r="C390" s="499"/>
      <c r="D390" s="903"/>
      <c r="E390" s="1031" t="s">
        <v>227</v>
      </c>
      <c r="F390" s="557">
        <v>4</v>
      </c>
      <c r="G390" s="558">
        <v>1</v>
      </c>
      <c r="H390" s="559">
        <f t="shared" si="65"/>
        <v>4</v>
      </c>
      <c r="I390" s="857"/>
      <c r="J390" s="857"/>
      <c r="K390" s="857">
        <f t="shared" si="66"/>
        <v>0</v>
      </c>
      <c r="L390" s="857"/>
      <c r="M390" s="857"/>
      <c r="N390" s="857">
        <f>L390*M390</f>
        <v>0</v>
      </c>
      <c r="O390" s="857"/>
      <c r="P390" s="857"/>
      <c r="Q390" s="857"/>
      <c r="R390" s="857">
        <f t="shared" si="62"/>
        <v>0</v>
      </c>
      <c r="S390" s="857"/>
      <c r="T390" s="857"/>
      <c r="U390" s="857"/>
      <c r="V390" s="857"/>
      <c r="W390" s="857"/>
      <c r="X390" s="857"/>
      <c r="Y390" s="857"/>
      <c r="Z390" s="559">
        <f t="shared" si="63"/>
        <v>0</v>
      </c>
      <c r="AA390" s="559" t="str">
        <f t="shared" si="64"/>
        <v>-</v>
      </c>
      <c r="AB390" s="893"/>
      <c r="AC390" s="491" t="s">
        <v>1665</v>
      </c>
      <c r="AF390" s="466"/>
      <c r="AG390" s="465"/>
      <c r="AH390" s="465"/>
    </row>
    <row r="391" spans="1:34" s="498" customFormat="1" hidden="1" x14ac:dyDescent="0.25">
      <c r="A391" s="962"/>
      <c r="B391" s="856" t="s">
        <v>1673</v>
      </c>
      <c r="C391" s="499"/>
      <c r="D391" s="903"/>
      <c r="E391" s="1031" t="s">
        <v>227</v>
      </c>
      <c r="F391" s="557">
        <v>3</v>
      </c>
      <c r="G391" s="558">
        <v>2</v>
      </c>
      <c r="H391" s="559">
        <f t="shared" si="65"/>
        <v>6</v>
      </c>
      <c r="I391" s="857"/>
      <c r="J391" s="857"/>
      <c r="K391" s="857">
        <f t="shared" si="66"/>
        <v>0</v>
      </c>
      <c r="L391" s="857"/>
      <c r="M391" s="857"/>
      <c r="N391" s="857">
        <f>L391*M391</f>
        <v>0</v>
      </c>
      <c r="O391" s="857"/>
      <c r="P391" s="857"/>
      <c r="Q391" s="857"/>
      <c r="R391" s="857">
        <f t="shared" si="62"/>
        <v>0</v>
      </c>
      <c r="S391" s="857"/>
      <c r="T391" s="857"/>
      <c r="U391" s="857"/>
      <c r="V391" s="857"/>
      <c r="W391" s="857"/>
      <c r="X391" s="857"/>
      <c r="Y391" s="857"/>
      <c r="Z391" s="559">
        <f t="shared" si="63"/>
        <v>0</v>
      </c>
      <c r="AA391" s="559" t="str">
        <f t="shared" si="64"/>
        <v>-</v>
      </c>
      <c r="AB391" s="893"/>
      <c r="AC391" s="491" t="s">
        <v>1665</v>
      </c>
      <c r="AF391" s="466"/>
      <c r="AG391" s="465"/>
      <c r="AH391" s="465"/>
    </row>
    <row r="392" spans="1:34" s="492" customFormat="1" ht="76.5" hidden="1" x14ac:dyDescent="0.2">
      <c r="A392" s="1240"/>
      <c r="B392" s="865" t="s">
        <v>1984</v>
      </c>
      <c r="C392" s="508" t="s">
        <v>796</v>
      </c>
      <c r="D392" s="932"/>
      <c r="E392" s="842" t="s">
        <v>227</v>
      </c>
      <c r="F392" s="828">
        <v>568</v>
      </c>
      <c r="G392" s="829">
        <v>0.05</v>
      </c>
      <c r="H392" s="542">
        <f t="shared" si="65"/>
        <v>28.4</v>
      </c>
      <c r="I392" s="533">
        <v>292</v>
      </c>
      <c r="J392" s="533">
        <v>0.1</v>
      </c>
      <c r="K392" s="533">
        <f>I392*J392</f>
        <v>29.2</v>
      </c>
      <c r="L392" s="533">
        <v>292</v>
      </c>
      <c r="M392" s="533">
        <v>0.1</v>
      </c>
      <c r="N392" s="533">
        <f>L392*M392</f>
        <v>29.2</v>
      </c>
      <c r="O392" s="533">
        <v>200</v>
      </c>
      <c r="P392" s="533">
        <v>0.2</v>
      </c>
      <c r="Q392" s="533">
        <v>30</v>
      </c>
      <c r="R392" s="533">
        <f t="shared" si="62"/>
        <v>30</v>
      </c>
      <c r="S392" s="533"/>
      <c r="T392" s="533">
        <v>200</v>
      </c>
      <c r="U392" s="533">
        <v>0.2</v>
      </c>
      <c r="V392" s="533">
        <f>T392*U392</f>
        <v>40</v>
      </c>
      <c r="W392" s="533">
        <v>200</v>
      </c>
      <c r="X392" s="533">
        <v>0.2</v>
      </c>
      <c r="Y392" s="533">
        <f>W392*X392</f>
        <v>40</v>
      </c>
      <c r="Z392" s="542">
        <f t="shared" si="63"/>
        <v>0.8</v>
      </c>
      <c r="AA392" s="542">
        <f t="shared" si="64"/>
        <v>102.7</v>
      </c>
      <c r="AB392" s="893" t="s">
        <v>1985</v>
      </c>
      <c r="AC392" s="491" t="s">
        <v>1665</v>
      </c>
      <c r="AF392" s="466"/>
      <c r="AG392" s="466"/>
      <c r="AH392" s="466"/>
    </row>
    <row r="393" spans="1:34" s="492" customFormat="1" ht="14.25" hidden="1" x14ac:dyDescent="0.2">
      <c r="A393" s="1240"/>
      <c r="B393" s="865" t="s">
        <v>1986</v>
      </c>
      <c r="C393" s="508" t="s">
        <v>797</v>
      </c>
      <c r="D393" s="932"/>
      <c r="E393" s="842" t="s">
        <v>227</v>
      </c>
      <c r="F393" s="828">
        <v>150</v>
      </c>
      <c r="G393" s="829">
        <v>0.1</v>
      </c>
      <c r="H393" s="542">
        <f t="shared" si="65"/>
        <v>15</v>
      </c>
      <c r="I393" s="533">
        <v>150</v>
      </c>
      <c r="J393" s="533">
        <v>0.1</v>
      </c>
      <c r="K393" s="533">
        <f t="shared" si="66"/>
        <v>15</v>
      </c>
      <c r="L393" s="533">
        <v>150</v>
      </c>
      <c r="M393" s="533">
        <v>0.1</v>
      </c>
      <c r="N393" s="533">
        <f>L393*M393</f>
        <v>15</v>
      </c>
      <c r="O393" s="533">
        <v>150</v>
      </c>
      <c r="P393" s="533">
        <v>0.1</v>
      </c>
      <c r="Q393" s="533">
        <f>O393*P393</f>
        <v>15</v>
      </c>
      <c r="R393" s="533">
        <f t="shared" si="62"/>
        <v>15</v>
      </c>
      <c r="S393" s="533"/>
      <c r="T393" s="533">
        <v>150</v>
      </c>
      <c r="U393" s="533">
        <v>0.1</v>
      </c>
      <c r="V393" s="533">
        <f>T393*U393</f>
        <v>15</v>
      </c>
      <c r="W393" s="533">
        <v>150</v>
      </c>
      <c r="X393" s="533">
        <v>0.1</v>
      </c>
      <c r="Y393" s="533">
        <f>W393*X393</f>
        <v>15</v>
      </c>
      <c r="Z393" s="542">
        <f t="shared" si="63"/>
        <v>0</v>
      </c>
      <c r="AA393" s="542">
        <f t="shared" si="64"/>
        <v>100</v>
      </c>
      <c r="AB393" s="893"/>
      <c r="AC393" s="491" t="s">
        <v>1665</v>
      </c>
      <c r="AF393" s="466"/>
      <c r="AG393" s="466"/>
      <c r="AH393" s="466"/>
    </row>
    <row r="394" spans="1:34" s="492" customFormat="1" ht="38.25" x14ac:dyDescent="0.2">
      <c r="A394" s="1240"/>
      <c r="B394" s="865" t="s">
        <v>1245</v>
      </c>
      <c r="C394" s="508" t="s">
        <v>800</v>
      </c>
      <c r="D394" s="932"/>
      <c r="E394" s="842" t="s">
        <v>227</v>
      </c>
      <c r="F394" s="828">
        <v>2</v>
      </c>
      <c r="G394" s="829">
        <v>14.45</v>
      </c>
      <c r="H394" s="542">
        <f t="shared" si="65"/>
        <v>28.9</v>
      </c>
      <c r="I394" s="533">
        <v>1</v>
      </c>
      <c r="J394" s="533">
        <v>29</v>
      </c>
      <c r="K394" s="533"/>
      <c r="L394" s="533">
        <v>1</v>
      </c>
      <c r="M394" s="533">
        <v>29</v>
      </c>
      <c r="N394" s="533"/>
      <c r="O394" s="533">
        <v>2</v>
      </c>
      <c r="P394" s="533">
        <v>25</v>
      </c>
      <c r="Q394" s="533">
        <f>P394*O394</f>
        <v>50</v>
      </c>
      <c r="R394" s="533">
        <f t="shared" si="62"/>
        <v>50</v>
      </c>
      <c r="S394" s="533"/>
      <c r="T394" s="533">
        <v>2</v>
      </c>
      <c r="U394" s="533">
        <v>25</v>
      </c>
      <c r="V394" s="533">
        <v>0</v>
      </c>
      <c r="W394" s="533">
        <v>2</v>
      </c>
      <c r="X394" s="533">
        <v>25</v>
      </c>
      <c r="Y394" s="533">
        <v>0</v>
      </c>
      <c r="Z394" s="542">
        <f t="shared" si="63"/>
        <v>50</v>
      </c>
      <c r="AA394" s="542" t="str">
        <f t="shared" si="64"/>
        <v>-</v>
      </c>
      <c r="AB394" s="893" t="s">
        <v>1987</v>
      </c>
      <c r="AC394" s="491" t="s">
        <v>1665</v>
      </c>
      <c r="AF394" s="466"/>
      <c r="AG394" s="466"/>
      <c r="AH394" s="466"/>
    </row>
    <row r="395" spans="1:34" s="492" customFormat="1" ht="14.25" hidden="1" x14ac:dyDescent="0.2">
      <c r="A395" s="1240"/>
      <c r="B395" s="500" t="s">
        <v>1696</v>
      </c>
      <c r="C395" s="501" t="s">
        <v>797</v>
      </c>
      <c r="D395" s="932"/>
      <c r="E395" s="842" t="s">
        <v>227</v>
      </c>
      <c r="F395" s="828">
        <v>30</v>
      </c>
      <c r="G395" s="829">
        <v>0.21</v>
      </c>
      <c r="H395" s="542">
        <f>F395*G395</f>
        <v>6.3</v>
      </c>
      <c r="I395" s="533">
        <v>600</v>
      </c>
      <c r="J395" s="906">
        <v>0.01</v>
      </c>
      <c r="K395" s="533">
        <f>I395*J395</f>
        <v>6</v>
      </c>
      <c r="L395" s="533">
        <v>600</v>
      </c>
      <c r="M395" s="906">
        <v>0.01</v>
      </c>
      <c r="N395" s="533">
        <f>L395*M395</f>
        <v>6</v>
      </c>
      <c r="O395" s="533">
        <v>300</v>
      </c>
      <c r="P395" s="906">
        <v>0.02</v>
      </c>
      <c r="Q395" s="533">
        <f>O395*P395</f>
        <v>6</v>
      </c>
      <c r="R395" s="533">
        <f t="shared" si="62"/>
        <v>6</v>
      </c>
      <c r="S395" s="533"/>
      <c r="T395" s="533">
        <v>300</v>
      </c>
      <c r="U395" s="906">
        <v>0.02</v>
      </c>
      <c r="V395" s="533">
        <f>T395*U395</f>
        <v>6</v>
      </c>
      <c r="W395" s="533">
        <v>300</v>
      </c>
      <c r="X395" s="906">
        <v>0.02</v>
      </c>
      <c r="Y395" s="533">
        <f>W395*X395</f>
        <v>6</v>
      </c>
      <c r="Z395" s="542">
        <f t="shared" si="63"/>
        <v>0</v>
      </c>
      <c r="AA395" s="542">
        <f t="shared" si="64"/>
        <v>100</v>
      </c>
      <c r="AB395" s="893"/>
      <c r="AC395" s="491" t="s">
        <v>1665</v>
      </c>
      <c r="AF395" s="466"/>
      <c r="AG395" s="466"/>
      <c r="AH395" s="466"/>
    </row>
    <row r="396" spans="1:34" s="539" customFormat="1" ht="38.25" hidden="1" x14ac:dyDescent="0.25">
      <c r="A396" s="536"/>
      <c r="B396" s="1944" t="s">
        <v>1988</v>
      </c>
      <c r="C396" s="1945"/>
      <c r="D396" s="1918" t="s">
        <v>1444</v>
      </c>
      <c r="E396" s="1946"/>
      <c r="F396" s="1947"/>
      <c r="G396" s="1947"/>
      <c r="H396" s="1947"/>
      <c r="I396" s="1947"/>
      <c r="J396" s="1947"/>
      <c r="K396" s="1947"/>
      <c r="L396" s="1947"/>
      <c r="M396" s="1947"/>
      <c r="N396" s="1947"/>
      <c r="O396" s="1947"/>
      <c r="P396" s="1947"/>
      <c r="Q396" s="1948">
        <f>Q397</f>
        <v>30.5</v>
      </c>
      <c r="R396" s="1948">
        <f t="shared" si="62"/>
        <v>30.5</v>
      </c>
      <c r="S396" s="1948"/>
      <c r="T396" s="1947"/>
      <c r="U396" s="1947"/>
      <c r="V396" s="1947"/>
      <c r="W396" s="1947"/>
      <c r="X396" s="1947"/>
      <c r="Y396" s="1947"/>
      <c r="Z396" s="1947"/>
      <c r="AA396" s="1947"/>
      <c r="AB396" s="3523" t="s">
        <v>1916</v>
      </c>
      <c r="AC396" s="515" t="s">
        <v>1665</v>
      </c>
      <c r="AF396" s="519"/>
      <c r="AG396" s="540"/>
      <c r="AH396" s="540"/>
    </row>
    <row r="397" spans="1:34" s="498" customFormat="1" hidden="1" x14ac:dyDescent="0.25">
      <c r="A397" s="962"/>
      <c r="B397" s="500" t="s">
        <v>1233</v>
      </c>
      <c r="C397" s="529" t="s">
        <v>1230</v>
      </c>
      <c r="D397" s="903"/>
      <c r="E397" s="1245"/>
      <c r="F397" s="857"/>
      <c r="G397" s="857"/>
      <c r="H397" s="857"/>
      <c r="I397" s="857"/>
      <c r="J397" s="857"/>
      <c r="K397" s="857"/>
      <c r="L397" s="857"/>
      <c r="M397" s="857"/>
      <c r="N397" s="857"/>
      <c r="O397" s="857"/>
      <c r="P397" s="857"/>
      <c r="Q397" s="533">
        <f>SUM(Q398:Q403)</f>
        <v>30.5</v>
      </c>
      <c r="R397" s="533">
        <f t="shared" si="62"/>
        <v>30.5</v>
      </c>
      <c r="S397" s="533"/>
      <c r="T397" s="857"/>
      <c r="U397" s="857"/>
      <c r="V397" s="857"/>
      <c r="W397" s="857"/>
      <c r="X397" s="857"/>
      <c r="Y397" s="857"/>
      <c r="Z397" s="857"/>
      <c r="AA397" s="857"/>
      <c r="AB397" s="3524"/>
      <c r="AC397" s="491" t="s">
        <v>1665</v>
      </c>
      <c r="AF397" s="466"/>
      <c r="AG397" s="465"/>
      <c r="AH397" s="465"/>
    </row>
    <row r="398" spans="1:34" s="498" customFormat="1" hidden="1" x14ac:dyDescent="0.25">
      <c r="A398" s="962"/>
      <c r="B398" s="1885" t="s">
        <v>1933</v>
      </c>
      <c r="C398" s="553"/>
      <c r="D398" s="903"/>
      <c r="E398" s="1245" t="s">
        <v>318</v>
      </c>
      <c r="F398" s="857"/>
      <c r="G398" s="857"/>
      <c r="H398" s="857"/>
      <c r="I398" s="857"/>
      <c r="J398" s="857"/>
      <c r="K398" s="857"/>
      <c r="L398" s="857"/>
      <c r="M398" s="857"/>
      <c r="N398" s="857"/>
      <c r="O398" s="857">
        <v>1</v>
      </c>
      <c r="P398" s="857">
        <v>3.5</v>
      </c>
      <c r="Q398" s="857">
        <f>O398*P398</f>
        <v>3.5</v>
      </c>
      <c r="R398" s="857">
        <f t="shared" si="62"/>
        <v>3.5</v>
      </c>
      <c r="S398" s="857"/>
      <c r="T398" s="857"/>
      <c r="U398" s="857"/>
      <c r="V398" s="857"/>
      <c r="W398" s="857"/>
      <c r="X398" s="857"/>
      <c r="Y398" s="857"/>
      <c r="Z398" s="857"/>
      <c r="AA398" s="857"/>
      <c r="AB398" s="3524"/>
      <c r="AC398" s="491" t="s">
        <v>1665</v>
      </c>
      <c r="AF398" s="466"/>
      <c r="AG398" s="465"/>
      <c r="AH398" s="465"/>
    </row>
    <row r="399" spans="1:34" s="498" customFormat="1" hidden="1" x14ac:dyDescent="0.25">
      <c r="A399" s="962"/>
      <c r="B399" s="1885" t="s">
        <v>1404</v>
      </c>
      <c r="C399" s="553"/>
      <c r="D399" s="903"/>
      <c r="E399" s="1245" t="s">
        <v>318</v>
      </c>
      <c r="F399" s="857"/>
      <c r="G399" s="857"/>
      <c r="H399" s="857"/>
      <c r="I399" s="857"/>
      <c r="J399" s="857"/>
      <c r="K399" s="857"/>
      <c r="L399" s="857"/>
      <c r="M399" s="857"/>
      <c r="N399" s="857"/>
      <c r="O399" s="857">
        <v>2</v>
      </c>
      <c r="P399" s="857">
        <v>2.2999999999999998</v>
      </c>
      <c r="Q399" s="857">
        <f t="shared" ref="Q399:Q402" si="67">O399*P399</f>
        <v>4.5999999999999996</v>
      </c>
      <c r="R399" s="857">
        <f t="shared" si="62"/>
        <v>4.5999999999999996</v>
      </c>
      <c r="S399" s="857"/>
      <c r="T399" s="857"/>
      <c r="U399" s="857"/>
      <c r="V399" s="857"/>
      <c r="W399" s="857"/>
      <c r="X399" s="857"/>
      <c r="Y399" s="857"/>
      <c r="Z399" s="857"/>
      <c r="AA399" s="857"/>
      <c r="AB399" s="3524"/>
      <c r="AC399" s="491" t="s">
        <v>1665</v>
      </c>
      <c r="AF399" s="466"/>
      <c r="AG399" s="465"/>
      <c r="AH399" s="465"/>
    </row>
    <row r="400" spans="1:34" s="498" customFormat="1" hidden="1" x14ac:dyDescent="0.25">
      <c r="A400" s="962"/>
      <c r="B400" s="1885" t="s">
        <v>1934</v>
      </c>
      <c r="C400" s="553"/>
      <c r="D400" s="903"/>
      <c r="E400" s="1245" t="s">
        <v>318</v>
      </c>
      <c r="F400" s="857"/>
      <c r="G400" s="857"/>
      <c r="H400" s="857"/>
      <c r="I400" s="857"/>
      <c r="J400" s="857"/>
      <c r="K400" s="857"/>
      <c r="L400" s="857"/>
      <c r="M400" s="857"/>
      <c r="N400" s="857"/>
      <c r="O400" s="857">
        <v>3</v>
      </c>
      <c r="P400" s="857">
        <v>2.2999999999999998</v>
      </c>
      <c r="Q400" s="857">
        <f t="shared" si="67"/>
        <v>6.9</v>
      </c>
      <c r="R400" s="857">
        <f t="shared" si="62"/>
        <v>6.9</v>
      </c>
      <c r="S400" s="857"/>
      <c r="T400" s="857"/>
      <c r="U400" s="857"/>
      <c r="V400" s="857"/>
      <c r="W400" s="857"/>
      <c r="X400" s="857"/>
      <c r="Y400" s="857"/>
      <c r="Z400" s="857"/>
      <c r="AA400" s="857"/>
      <c r="AB400" s="3524"/>
      <c r="AC400" s="491" t="s">
        <v>1665</v>
      </c>
      <c r="AF400" s="466"/>
      <c r="AG400" s="465"/>
      <c r="AH400" s="465"/>
    </row>
    <row r="401" spans="1:34" s="498" customFormat="1" hidden="1" x14ac:dyDescent="0.25">
      <c r="A401" s="962"/>
      <c r="B401" s="1885" t="s">
        <v>1807</v>
      </c>
      <c r="C401" s="553"/>
      <c r="D401" s="903"/>
      <c r="E401" s="1245" t="s">
        <v>318</v>
      </c>
      <c r="F401" s="857"/>
      <c r="G401" s="857"/>
      <c r="H401" s="857"/>
      <c r="I401" s="857"/>
      <c r="J401" s="857"/>
      <c r="K401" s="857"/>
      <c r="L401" s="857"/>
      <c r="M401" s="857"/>
      <c r="N401" s="857"/>
      <c r="O401" s="857">
        <v>1</v>
      </c>
      <c r="P401" s="857">
        <v>4</v>
      </c>
      <c r="Q401" s="857">
        <f t="shared" si="67"/>
        <v>4</v>
      </c>
      <c r="R401" s="857">
        <f t="shared" si="62"/>
        <v>4</v>
      </c>
      <c r="S401" s="857"/>
      <c r="T401" s="857"/>
      <c r="U401" s="857"/>
      <c r="V401" s="857"/>
      <c r="W401" s="857"/>
      <c r="X401" s="857"/>
      <c r="Y401" s="857"/>
      <c r="Z401" s="857"/>
      <c r="AA401" s="857"/>
      <c r="AB401" s="3524"/>
      <c r="AC401" s="491" t="s">
        <v>1665</v>
      </c>
      <c r="AF401" s="466"/>
      <c r="AG401" s="465"/>
      <c r="AH401" s="465"/>
    </row>
    <row r="402" spans="1:34" s="498" customFormat="1" hidden="1" x14ac:dyDescent="0.25">
      <c r="A402" s="962"/>
      <c r="B402" s="1885" t="s">
        <v>1989</v>
      </c>
      <c r="C402" s="553"/>
      <c r="D402" s="903"/>
      <c r="E402" s="1245" t="s">
        <v>318</v>
      </c>
      <c r="F402" s="857"/>
      <c r="G402" s="857"/>
      <c r="H402" s="857"/>
      <c r="I402" s="857"/>
      <c r="J402" s="857"/>
      <c r="K402" s="857"/>
      <c r="L402" s="857"/>
      <c r="M402" s="857"/>
      <c r="N402" s="857"/>
      <c r="O402" s="857">
        <v>2</v>
      </c>
      <c r="P402" s="857">
        <v>2.5</v>
      </c>
      <c r="Q402" s="857">
        <f t="shared" si="67"/>
        <v>5</v>
      </c>
      <c r="R402" s="857">
        <f t="shared" si="62"/>
        <v>5</v>
      </c>
      <c r="S402" s="857"/>
      <c r="T402" s="857"/>
      <c r="U402" s="857"/>
      <c r="V402" s="857"/>
      <c r="W402" s="857"/>
      <c r="X402" s="857"/>
      <c r="Y402" s="857"/>
      <c r="Z402" s="857"/>
      <c r="AA402" s="857"/>
      <c r="AB402" s="3524"/>
      <c r="AC402" s="491" t="s">
        <v>1665</v>
      </c>
      <c r="AF402" s="466"/>
      <c r="AG402" s="465"/>
      <c r="AH402" s="465"/>
    </row>
    <row r="403" spans="1:34" s="498" customFormat="1" hidden="1" x14ac:dyDescent="0.25">
      <c r="A403" s="962"/>
      <c r="B403" s="502" t="s">
        <v>1971</v>
      </c>
      <c r="C403" s="553"/>
      <c r="D403" s="903"/>
      <c r="E403" s="1245"/>
      <c r="F403" s="857"/>
      <c r="G403" s="857"/>
      <c r="H403" s="857"/>
      <c r="I403" s="857"/>
      <c r="J403" s="857"/>
      <c r="K403" s="857"/>
      <c r="L403" s="857"/>
      <c r="M403" s="857"/>
      <c r="N403" s="857"/>
      <c r="O403" s="857"/>
      <c r="P403" s="857"/>
      <c r="Q403" s="857">
        <f>SUM(Q398:Q402)*0.271</f>
        <v>6.5</v>
      </c>
      <c r="R403" s="857">
        <f t="shared" ref="R403:R416" si="68">Q403</f>
        <v>6.5</v>
      </c>
      <c r="S403" s="857"/>
      <c r="T403" s="857"/>
      <c r="U403" s="857"/>
      <c r="V403" s="857"/>
      <c r="W403" s="857"/>
      <c r="X403" s="857"/>
      <c r="Y403" s="857"/>
      <c r="Z403" s="857"/>
      <c r="AA403" s="857"/>
      <c r="AB403" s="3525"/>
      <c r="AC403" s="491" t="s">
        <v>1665</v>
      </c>
      <c r="AF403" s="466"/>
      <c r="AG403" s="465"/>
      <c r="AH403" s="465"/>
    </row>
    <row r="404" spans="1:34" s="539" customFormat="1" ht="38.25" hidden="1" x14ac:dyDescent="0.25">
      <c r="A404" s="536"/>
      <c r="B404" s="1949" t="s">
        <v>1990</v>
      </c>
      <c r="C404" s="1945"/>
      <c r="D404" s="1918" t="s">
        <v>1444</v>
      </c>
      <c r="E404" s="1946"/>
      <c r="F404" s="1947"/>
      <c r="G404" s="1947"/>
      <c r="H404" s="1947"/>
      <c r="I404" s="1947"/>
      <c r="J404" s="1947"/>
      <c r="K404" s="1947"/>
      <c r="L404" s="1947"/>
      <c r="M404" s="1947"/>
      <c r="N404" s="1947"/>
      <c r="O404" s="1947"/>
      <c r="P404" s="1947"/>
      <c r="Q404" s="1948">
        <f>Q405</f>
        <v>27.6</v>
      </c>
      <c r="R404" s="1948">
        <f t="shared" si="68"/>
        <v>27.6</v>
      </c>
      <c r="S404" s="1948"/>
      <c r="T404" s="1947"/>
      <c r="U404" s="1947"/>
      <c r="V404" s="1947"/>
      <c r="W404" s="1947"/>
      <c r="X404" s="1947"/>
      <c r="Y404" s="1947"/>
      <c r="Z404" s="1947"/>
      <c r="AA404" s="1947"/>
      <c r="AB404" s="3523" t="s">
        <v>1916</v>
      </c>
      <c r="AC404" s="515" t="s">
        <v>1665</v>
      </c>
      <c r="AF404" s="519"/>
      <c r="AG404" s="540"/>
      <c r="AH404" s="540"/>
    </row>
    <row r="405" spans="1:34" s="498" customFormat="1" hidden="1" x14ac:dyDescent="0.25">
      <c r="A405" s="962"/>
      <c r="B405" s="500" t="s">
        <v>1233</v>
      </c>
      <c r="C405" s="529" t="s">
        <v>1230</v>
      </c>
      <c r="D405" s="903"/>
      <c r="E405" s="1245"/>
      <c r="F405" s="857"/>
      <c r="G405" s="857"/>
      <c r="H405" s="857"/>
      <c r="I405" s="857"/>
      <c r="J405" s="857"/>
      <c r="K405" s="857"/>
      <c r="L405" s="857"/>
      <c r="M405" s="857"/>
      <c r="N405" s="857"/>
      <c r="O405" s="857"/>
      <c r="P405" s="857"/>
      <c r="Q405" s="533">
        <f>SUM(Q406:Q411)</f>
        <v>27.6</v>
      </c>
      <c r="R405" s="533">
        <f t="shared" si="68"/>
        <v>27.6</v>
      </c>
      <c r="S405" s="533"/>
      <c r="T405" s="857"/>
      <c r="U405" s="857"/>
      <c r="V405" s="857"/>
      <c r="W405" s="857"/>
      <c r="X405" s="857"/>
      <c r="Y405" s="857"/>
      <c r="Z405" s="857"/>
      <c r="AA405" s="857"/>
      <c r="AB405" s="3524"/>
      <c r="AC405" s="491" t="s">
        <v>1665</v>
      </c>
      <c r="AF405" s="466"/>
      <c r="AG405" s="465"/>
      <c r="AH405" s="465"/>
    </row>
    <row r="406" spans="1:34" s="498" customFormat="1" hidden="1" x14ac:dyDescent="0.25">
      <c r="A406" s="962"/>
      <c r="B406" s="1885" t="s">
        <v>1933</v>
      </c>
      <c r="C406" s="553"/>
      <c r="D406" s="903"/>
      <c r="E406" s="1245"/>
      <c r="F406" s="857"/>
      <c r="G406" s="857"/>
      <c r="H406" s="857"/>
      <c r="I406" s="857"/>
      <c r="J406" s="857"/>
      <c r="K406" s="857"/>
      <c r="L406" s="857"/>
      <c r="M406" s="857"/>
      <c r="N406" s="857"/>
      <c r="O406" s="857">
        <v>1</v>
      </c>
      <c r="P406" s="857">
        <v>3.5</v>
      </c>
      <c r="Q406" s="857">
        <f t="shared" ref="Q406:Q410" si="69">O406*P406</f>
        <v>3.5</v>
      </c>
      <c r="R406" s="857">
        <f t="shared" si="68"/>
        <v>3.5</v>
      </c>
      <c r="S406" s="857"/>
      <c r="T406" s="857"/>
      <c r="U406" s="857"/>
      <c r="V406" s="857"/>
      <c r="W406" s="857"/>
      <c r="X406" s="857"/>
      <c r="Y406" s="857"/>
      <c r="Z406" s="857"/>
      <c r="AA406" s="857"/>
      <c r="AB406" s="3524"/>
      <c r="AC406" s="491" t="s">
        <v>1665</v>
      </c>
      <c r="AF406" s="466"/>
      <c r="AG406" s="465"/>
      <c r="AH406" s="465"/>
    </row>
    <row r="407" spans="1:34" s="498" customFormat="1" hidden="1" x14ac:dyDescent="0.25">
      <c r="A407" s="962"/>
      <c r="B407" s="1885" t="s">
        <v>1404</v>
      </c>
      <c r="C407" s="553"/>
      <c r="D407" s="903"/>
      <c r="E407" s="1245"/>
      <c r="F407" s="857"/>
      <c r="G407" s="857"/>
      <c r="H407" s="857"/>
      <c r="I407" s="857"/>
      <c r="J407" s="857"/>
      <c r="K407" s="857"/>
      <c r="L407" s="857"/>
      <c r="M407" s="857"/>
      <c r="N407" s="857"/>
      <c r="O407" s="857">
        <v>2</v>
      </c>
      <c r="P407" s="857">
        <v>2.2999999999999998</v>
      </c>
      <c r="Q407" s="857">
        <f t="shared" si="69"/>
        <v>4.5999999999999996</v>
      </c>
      <c r="R407" s="857">
        <f t="shared" si="68"/>
        <v>4.5999999999999996</v>
      </c>
      <c r="S407" s="857"/>
      <c r="T407" s="857"/>
      <c r="U407" s="857"/>
      <c r="V407" s="857"/>
      <c r="W407" s="857"/>
      <c r="X407" s="857"/>
      <c r="Y407" s="857"/>
      <c r="Z407" s="857"/>
      <c r="AA407" s="857"/>
      <c r="AB407" s="3524"/>
      <c r="AC407" s="491" t="s">
        <v>1665</v>
      </c>
      <c r="AF407" s="466"/>
      <c r="AG407" s="465"/>
      <c r="AH407" s="465"/>
    </row>
    <row r="408" spans="1:34" s="498" customFormat="1" hidden="1" x14ac:dyDescent="0.25">
      <c r="A408" s="962"/>
      <c r="B408" s="1885" t="s">
        <v>1934</v>
      </c>
      <c r="C408" s="553"/>
      <c r="D408" s="903"/>
      <c r="E408" s="1245"/>
      <c r="F408" s="857"/>
      <c r="G408" s="857"/>
      <c r="H408" s="857"/>
      <c r="I408" s="857"/>
      <c r="J408" s="857"/>
      <c r="K408" s="857"/>
      <c r="L408" s="857"/>
      <c r="M408" s="857"/>
      <c r="N408" s="857"/>
      <c r="O408" s="857">
        <v>2</v>
      </c>
      <c r="P408" s="857">
        <v>2.2999999999999998</v>
      </c>
      <c r="Q408" s="857">
        <f t="shared" si="69"/>
        <v>4.5999999999999996</v>
      </c>
      <c r="R408" s="857">
        <f t="shared" si="68"/>
        <v>4.5999999999999996</v>
      </c>
      <c r="S408" s="857"/>
      <c r="T408" s="857"/>
      <c r="U408" s="857"/>
      <c r="V408" s="857"/>
      <c r="W408" s="857"/>
      <c r="X408" s="857"/>
      <c r="Y408" s="857"/>
      <c r="Z408" s="857"/>
      <c r="AA408" s="857"/>
      <c r="AB408" s="3524"/>
      <c r="AC408" s="491" t="s">
        <v>1665</v>
      </c>
      <c r="AF408" s="466"/>
      <c r="AG408" s="465"/>
      <c r="AH408" s="465"/>
    </row>
    <row r="409" spans="1:34" s="498" customFormat="1" hidden="1" x14ac:dyDescent="0.25">
      <c r="A409" s="962"/>
      <c r="B409" s="1885" t="s">
        <v>1807</v>
      </c>
      <c r="C409" s="553"/>
      <c r="D409" s="903"/>
      <c r="E409" s="1245"/>
      <c r="F409" s="857"/>
      <c r="G409" s="857"/>
      <c r="H409" s="857"/>
      <c r="I409" s="857"/>
      <c r="J409" s="857"/>
      <c r="K409" s="857"/>
      <c r="L409" s="857"/>
      <c r="M409" s="857"/>
      <c r="N409" s="857"/>
      <c r="O409" s="857">
        <v>1</v>
      </c>
      <c r="P409" s="857">
        <v>4</v>
      </c>
      <c r="Q409" s="857">
        <f t="shared" si="69"/>
        <v>4</v>
      </c>
      <c r="R409" s="857">
        <f t="shared" si="68"/>
        <v>4</v>
      </c>
      <c r="S409" s="857"/>
      <c r="T409" s="857"/>
      <c r="U409" s="857"/>
      <c r="V409" s="857"/>
      <c r="W409" s="857"/>
      <c r="X409" s="857"/>
      <c r="Y409" s="857"/>
      <c r="Z409" s="857"/>
      <c r="AA409" s="857"/>
      <c r="AB409" s="3524"/>
      <c r="AC409" s="491" t="s">
        <v>1665</v>
      </c>
      <c r="AF409" s="466"/>
      <c r="AG409" s="465"/>
      <c r="AH409" s="465"/>
    </row>
    <row r="410" spans="1:34" s="498" customFormat="1" hidden="1" x14ac:dyDescent="0.25">
      <c r="A410" s="962"/>
      <c r="B410" s="1885" t="s">
        <v>1989</v>
      </c>
      <c r="C410" s="553"/>
      <c r="D410" s="903"/>
      <c r="E410" s="1245"/>
      <c r="F410" s="857"/>
      <c r="G410" s="857"/>
      <c r="H410" s="857"/>
      <c r="I410" s="857"/>
      <c r="J410" s="857"/>
      <c r="K410" s="857"/>
      <c r="L410" s="857"/>
      <c r="M410" s="857"/>
      <c r="N410" s="857"/>
      <c r="O410" s="857">
        <v>2</v>
      </c>
      <c r="P410" s="857">
        <v>2.5</v>
      </c>
      <c r="Q410" s="857">
        <f t="shared" si="69"/>
        <v>5</v>
      </c>
      <c r="R410" s="857">
        <f t="shared" si="68"/>
        <v>5</v>
      </c>
      <c r="S410" s="857"/>
      <c r="T410" s="857"/>
      <c r="U410" s="857"/>
      <c r="V410" s="857"/>
      <c r="W410" s="857"/>
      <c r="X410" s="857"/>
      <c r="Y410" s="857"/>
      <c r="Z410" s="857"/>
      <c r="AA410" s="857"/>
      <c r="AB410" s="3524"/>
      <c r="AC410" s="491" t="s">
        <v>1665</v>
      </c>
      <c r="AF410" s="466"/>
      <c r="AG410" s="465"/>
      <c r="AH410" s="465"/>
    </row>
    <row r="411" spans="1:34" s="498" customFormat="1" hidden="1" x14ac:dyDescent="0.25">
      <c r="A411" s="962"/>
      <c r="B411" s="1885" t="s">
        <v>1991</v>
      </c>
      <c r="C411" s="553"/>
      <c r="D411" s="903"/>
      <c r="E411" s="1245"/>
      <c r="F411" s="857"/>
      <c r="G411" s="857"/>
      <c r="H411" s="857"/>
      <c r="I411" s="857"/>
      <c r="J411" s="857"/>
      <c r="K411" s="857"/>
      <c r="L411" s="857"/>
      <c r="M411" s="857"/>
      <c r="N411" s="857"/>
      <c r="O411" s="857"/>
      <c r="P411" s="857"/>
      <c r="Q411" s="857">
        <f>SUM(Q406:Q410)*0.271</f>
        <v>5.9</v>
      </c>
      <c r="R411" s="857">
        <f t="shared" si="68"/>
        <v>5.9</v>
      </c>
      <c r="S411" s="857"/>
      <c r="T411" s="857"/>
      <c r="U411" s="857"/>
      <c r="V411" s="857"/>
      <c r="W411" s="857"/>
      <c r="X411" s="857"/>
      <c r="Y411" s="857"/>
      <c r="Z411" s="857"/>
      <c r="AA411" s="857"/>
      <c r="AB411" s="3525"/>
      <c r="AC411" s="491" t="s">
        <v>1665</v>
      </c>
      <c r="AF411" s="466"/>
      <c r="AG411" s="465"/>
      <c r="AH411" s="465"/>
    </row>
    <row r="412" spans="1:34" s="539" customFormat="1" hidden="1" x14ac:dyDescent="0.25">
      <c r="A412" s="536"/>
      <c r="B412" s="510" t="s">
        <v>1992</v>
      </c>
      <c r="C412" s="1918"/>
      <c r="D412" s="536"/>
      <c r="E412" s="536"/>
      <c r="F412" s="1950"/>
      <c r="G412" s="1951"/>
      <c r="H412" s="490" t="e">
        <f>#REF!+H413</f>
        <v>#REF!</v>
      </c>
      <c r="I412" s="1952"/>
      <c r="J412" s="1952"/>
      <c r="K412" s="490">
        <f>K413</f>
        <v>0</v>
      </c>
      <c r="L412" s="1952"/>
      <c r="M412" s="1952"/>
      <c r="N412" s="490">
        <f>N413</f>
        <v>0</v>
      </c>
      <c r="O412" s="1952"/>
      <c r="P412" s="1952"/>
      <c r="Q412" s="490">
        <f>Q413</f>
        <v>0</v>
      </c>
      <c r="R412" s="490">
        <f t="shared" si="68"/>
        <v>0</v>
      </c>
      <c r="S412" s="490"/>
      <c r="T412" s="1952"/>
      <c r="U412" s="1952"/>
      <c r="V412" s="490">
        <f>V413</f>
        <v>0</v>
      </c>
      <c r="W412" s="490"/>
      <c r="X412" s="490"/>
      <c r="Y412" s="490">
        <f>Y413</f>
        <v>0</v>
      </c>
      <c r="Z412" s="490">
        <f t="shared" ref="Z412:Z416" si="70">Q412-K412</f>
        <v>0</v>
      </c>
      <c r="AA412" s="490" t="str">
        <f t="shared" ref="AA412:AA416" si="71">IFERROR(Q412/K412*100,"-")</f>
        <v>-</v>
      </c>
      <c r="AB412" s="555"/>
      <c r="AC412" s="538"/>
      <c r="AF412" s="519"/>
      <c r="AG412" s="540"/>
      <c r="AH412" s="540"/>
    </row>
    <row r="413" spans="1:34" s="871" customFormat="1" ht="38.25" hidden="1" x14ac:dyDescent="0.2">
      <c r="A413" s="869"/>
      <c r="B413" s="922" t="s">
        <v>1993</v>
      </c>
      <c r="C413" s="923"/>
      <c r="D413" s="869" t="s">
        <v>1444</v>
      </c>
      <c r="E413" s="869"/>
      <c r="F413" s="918"/>
      <c r="G413" s="919"/>
      <c r="H413" s="886">
        <f>H414</f>
        <v>90</v>
      </c>
      <c r="I413" s="891"/>
      <c r="J413" s="891"/>
      <c r="K413" s="891">
        <f>K414</f>
        <v>0</v>
      </c>
      <c r="L413" s="891"/>
      <c r="M413" s="891"/>
      <c r="N413" s="891">
        <f>N414</f>
        <v>0</v>
      </c>
      <c r="O413" s="891"/>
      <c r="P413" s="891"/>
      <c r="Q413" s="891">
        <f>Q414</f>
        <v>0</v>
      </c>
      <c r="R413" s="891">
        <f t="shared" si="68"/>
        <v>0</v>
      </c>
      <c r="S413" s="891"/>
      <c r="T413" s="891"/>
      <c r="U413" s="891"/>
      <c r="V413" s="891">
        <f>V414</f>
        <v>0</v>
      </c>
      <c r="W413" s="891"/>
      <c r="X413" s="891"/>
      <c r="Y413" s="891">
        <f>Y414</f>
        <v>0</v>
      </c>
      <c r="Z413" s="886">
        <f t="shared" si="70"/>
        <v>0</v>
      </c>
      <c r="AA413" s="886" t="str">
        <f t="shared" si="71"/>
        <v>-</v>
      </c>
      <c r="AB413" s="1953"/>
      <c r="AC413" s="920" t="s">
        <v>1665</v>
      </c>
      <c r="AF413" s="872"/>
      <c r="AG413" s="872"/>
      <c r="AH413" s="872"/>
    </row>
    <row r="414" spans="1:34" s="492" customFormat="1" ht="14.25" x14ac:dyDescent="0.2">
      <c r="A414" s="1240"/>
      <c r="B414" s="866" t="s">
        <v>1245</v>
      </c>
      <c r="C414" s="529" t="s">
        <v>800</v>
      </c>
      <c r="D414" s="932"/>
      <c r="E414" s="1240"/>
      <c r="F414" s="828"/>
      <c r="G414" s="829"/>
      <c r="H414" s="542">
        <f>H415+H416</f>
        <v>90</v>
      </c>
      <c r="I414" s="533"/>
      <c r="J414" s="533"/>
      <c r="K414" s="533">
        <f>K415</f>
        <v>0</v>
      </c>
      <c r="L414" s="533"/>
      <c r="M414" s="533"/>
      <c r="N414" s="533">
        <f>N415</f>
        <v>0</v>
      </c>
      <c r="O414" s="533"/>
      <c r="P414" s="533"/>
      <c r="Q414" s="533">
        <f>Q415</f>
        <v>0</v>
      </c>
      <c r="R414" s="533">
        <f t="shared" si="68"/>
        <v>0</v>
      </c>
      <c r="S414" s="533"/>
      <c r="T414" s="533"/>
      <c r="U414" s="533"/>
      <c r="V414" s="533">
        <v>0</v>
      </c>
      <c r="W414" s="533"/>
      <c r="X414" s="533"/>
      <c r="Y414" s="533">
        <v>0</v>
      </c>
      <c r="Z414" s="542">
        <f t="shared" si="70"/>
        <v>0</v>
      </c>
      <c r="AA414" s="542" t="str">
        <f t="shared" si="71"/>
        <v>-</v>
      </c>
      <c r="AB414" s="1893"/>
      <c r="AC414" s="491" t="s">
        <v>1665</v>
      </c>
      <c r="AF414" s="466"/>
      <c r="AG414" s="466"/>
      <c r="AH414" s="466"/>
    </row>
    <row r="415" spans="1:34" s="498" customFormat="1" ht="89.25" hidden="1" x14ac:dyDescent="0.25">
      <c r="A415" s="962"/>
      <c r="B415" s="1863" t="s">
        <v>1994</v>
      </c>
      <c r="C415" s="553"/>
      <c r="D415" s="903"/>
      <c r="E415" s="1245" t="s">
        <v>1995</v>
      </c>
      <c r="F415" s="557">
        <v>6</v>
      </c>
      <c r="G415" s="558">
        <v>12.2</v>
      </c>
      <c r="H415" s="559">
        <f>F415*G415</f>
        <v>73.2</v>
      </c>
      <c r="I415" s="857"/>
      <c r="J415" s="857"/>
      <c r="K415" s="857"/>
      <c r="L415" s="857"/>
      <c r="M415" s="857"/>
      <c r="N415" s="857"/>
      <c r="O415" s="857"/>
      <c r="P415" s="857"/>
      <c r="Q415" s="857"/>
      <c r="R415" s="857">
        <f t="shared" si="68"/>
        <v>0</v>
      </c>
      <c r="S415" s="857"/>
      <c r="T415" s="857">
        <v>10</v>
      </c>
      <c r="U415" s="857">
        <v>15</v>
      </c>
      <c r="V415" s="857">
        <f>T415*U415</f>
        <v>150</v>
      </c>
      <c r="W415" s="857">
        <v>10</v>
      </c>
      <c r="X415" s="857">
        <v>15</v>
      </c>
      <c r="Y415" s="857">
        <f>W415*X415</f>
        <v>150</v>
      </c>
      <c r="Z415" s="559">
        <f t="shared" si="70"/>
        <v>0</v>
      </c>
      <c r="AA415" s="559" t="str">
        <f t="shared" si="71"/>
        <v>-</v>
      </c>
      <c r="AB415" s="1954" t="s">
        <v>1996</v>
      </c>
      <c r="AC415" s="491" t="s">
        <v>1665</v>
      </c>
      <c r="AF415" s="466"/>
      <c r="AG415" s="465"/>
      <c r="AH415" s="465"/>
    </row>
    <row r="416" spans="1:34" s="498" customFormat="1" hidden="1" x14ac:dyDescent="0.25">
      <c r="A416" s="962"/>
      <c r="B416" s="1863" t="s">
        <v>1997</v>
      </c>
      <c r="C416" s="553"/>
      <c r="D416" s="903"/>
      <c r="E416" s="1245" t="s">
        <v>227</v>
      </c>
      <c r="F416" s="557">
        <v>14</v>
      </c>
      <c r="G416" s="558">
        <v>1.2</v>
      </c>
      <c r="H416" s="559">
        <f>F416*G416</f>
        <v>16.8</v>
      </c>
      <c r="I416" s="857"/>
      <c r="J416" s="857"/>
      <c r="K416" s="857"/>
      <c r="L416" s="857"/>
      <c r="M416" s="857"/>
      <c r="N416" s="857"/>
      <c r="O416" s="857"/>
      <c r="P416" s="857"/>
      <c r="Q416" s="857"/>
      <c r="R416" s="857">
        <f t="shared" si="68"/>
        <v>0</v>
      </c>
      <c r="S416" s="857"/>
      <c r="T416" s="857"/>
      <c r="U416" s="857"/>
      <c r="V416" s="857"/>
      <c r="W416" s="857"/>
      <c r="X416" s="857"/>
      <c r="Y416" s="857"/>
      <c r="Z416" s="559">
        <f t="shared" si="70"/>
        <v>0</v>
      </c>
      <c r="AA416" s="559" t="str">
        <f t="shared" si="71"/>
        <v>-</v>
      </c>
      <c r="AB416" s="1954"/>
      <c r="AC416" s="491" t="s">
        <v>1665</v>
      </c>
      <c r="AF416" s="466"/>
      <c r="AG416" s="465"/>
      <c r="AH416" s="465"/>
    </row>
    <row r="417" spans="1:35" s="561" customFormat="1" x14ac:dyDescent="0.25">
      <c r="A417" s="560"/>
      <c r="C417" s="562"/>
      <c r="D417" s="560"/>
      <c r="E417" s="560"/>
      <c r="F417" s="563"/>
      <c r="G417" s="564"/>
      <c r="H417" s="565"/>
      <c r="I417" s="470"/>
      <c r="J417" s="470"/>
      <c r="K417" s="470"/>
      <c r="L417" s="470"/>
      <c r="M417" s="470"/>
      <c r="N417" s="470"/>
      <c r="O417" s="470"/>
      <c r="P417" s="470"/>
      <c r="Q417" s="470"/>
      <c r="R417" s="470"/>
      <c r="S417" s="470"/>
      <c r="T417" s="470"/>
      <c r="U417" s="470"/>
      <c r="V417" s="470"/>
      <c r="W417" s="470"/>
      <c r="X417" s="470"/>
      <c r="Y417" s="470"/>
      <c r="Z417" s="566"/>
      <c r="AA417" s="566"/>
      <c r="AB417" s="470"/>
      <c r="AC417" s="567"/>
      <c r="AF417" s="568"/>
    </row>
    <row r="418" spans="1:35" s="576" customFormat="1" ht="17.25" customHeight="1" x14ac:dyDescent="0.25">
      <c r="A418" s="571"/>
      <c r="B418" s="606"/>
      <c r="C418" s="606"/>
      <c r="D418" s="571"/>
      <c r="E418" s="571"/>
      <c r="F418" s="924"/>
      <c r="G418" s="925"/>
      <c r="H418" s="571"/>
      <c r="I418" s="571"/>
      <c r="J418" s="571"/>
      <c r="K418" s="575"/>
      <c r="L418" s="571"/>
      <c r="M418" s="571"/>
      <c r="N418" s="575"/>
      <c r="O418" s="571"/>
      <c r="P418" s="571"/>
      <c r="Q418" s="575"/>
      <c r="R418" s="575"/>
      <c r="S418" s="575"/>
      <c r="T418" s="571"/>
      <c r="U418" s="571"/>
      <c r="V418" s="575"/>
      <c r="W418" s="571"/>
      <c r="X418" s="571"/>
      <c r="Y418" s="575"/>
      <c r="Z418" s="575"/>
      <c r="AA418" s="575"/>
      <c r="AC418" s="926"/>
      <c r="AD418" s="562"/>
      <c r="AE418" s="562"/>
      <c r="AF418" s="568"/>
      <c r="AG418" s="561"/>
      <c r="AH418" s="561"/>
      <c r="AI418" s="927"/>
    </row>
    <row r="419" spans="1:35" s="1959" customFormat="1" ht="14.25" x14ac:dyDescent="0.2">
      <c r="A419" s="1955"/>
      <c r="B419" s="1955"/>
      <c r="C419" s="572" t="s">
        <v>1665</v>
      </c>
      <c r="D419" s="572"/>
      <c r="E419" s="572"/>
      <c r="F419" s="573"/>
      <c r="G419" s="574"/>
      <c r="H419" s="572">
        <f>H420+H421+H422+H423+H424+H425+H426</f>
        <v>1329.4</v>
      </c>
      <c r="I419" s="572"/>
      <c r="J419" s="572"/>
      <c r="K419" s="572">
        <f>K420+K421+K422+K423+K424+K425+K426</f>
        <v>891.2</v>
      </c>
      <c r="L419" s="572"/>
      <c r="M419" s="572"/>
      <c r="N419" s="572">
        <f>N420+N421+N422+N423+N424+N425+N426</f>
        <v>891.2</v>
      </c>
      <c r="O419" s="572"/>
      <c r="P419" s="572"/>
      <c r="Q419" s="572">
        <f>Q420+Q421+Q422+Q423+Q424+Q425+Q426</f>
        <v>1423.2</v>
      </c>
      <c r="R419" s="572">
        <f t="shared" ref="R419:S419" si="72">R420+R421+R422+R423+R424+R425+R426</f>
        <v>1189.0999999999999</v>
      </c>
      <c r="S419" s="572">
        <f t="shared" si="72"/>
        <v>233.9</v>
      </c>
      <c r="T419" s="572"/>
      <c r="U419" s="572"/>
      <c r="V419" s="572">
        <f>V420+V421+V422+V423+V424+V425+V426</f>
        <v>1043.9000000000001</v>
      </c>
      <c r="W419" s="572"/>
      <c r="X419" s="572"/>
      <c r="Y419" s="572">
        <f>Y420+Y421+Y422+Y423+Y424+Y425+Y426</f>
        <v>1043.9000000000001</v>
      </c>
      <c r="Z419" s="579"/>
      <c r="AA419" s="579"/>
      <c r="AB419" s="576"/>
      <c r="AC419" s="1956"/>
      <c r="AD419" s="1957"/>
      <c r="AE419" s="1957"/>
      <c r="AF419" s="1958"/>
      <c r="AG419" s="1958"/>
      <c r="AH419" s="1958"/>
    </row>
    <row r="420" spans="1:35" s="1961" customFormat="1" x14ac:dyDescent="0.25">
      <c r="A420" s="571"/>
      <c r="B420" s="571"/>
      <c r="C420" s="578" t="s">
        <v>1237</v>
      </c>
      <c r="D420" s="578"/>
      <c r="E420" s="578"/>
      <c r="F420" s="1241"/>
      <c r="G420" s="1242"/>
      <c r="H420" s="1243">
        <f>H72+H96+H118+H180+H248+H280+H374</f>
        <v>92.5</v>
      </c>
      <c r="I420" s="1243"/>
      <c r="J420" s="1243"/>
      <c r="K420" s="1243">
        <f>K72+K96+K118+K180+K248+K280+K374</f>
        <v>91.3</v>
      </c>
      <c r="L420" s="1243"/>
      <c r="M420" s="1243"/>
      <c r="N420" s="1243">
        <f>N72+N96+N118+N180+N248+N280+N374</f>
        <v>91.3</v>
      </c>
      <c r="O420" s="1243"/>
      <c r="P420" s="1243"/>
      <c r="Q420" s="1243">
        <f>Q72+Q96+Q118+Q180+Q248+Q280+Q374</f>
        <v>85</v>
      </c>
      <c r="R420" s="1243">
        <f>R72+R96+R118+R180+R248+R280+R374</f>
        <v>77.5</v>
      </c>
      <c r="S420" s="1243">
        <f>S72+S96+S118+S180+S248+S280+S374</f>
        <v>7.5</v>
      </c>
      <c r="T420" s="1243"/>
      <c r="U420" s="1243"/>
      <c r="V420" s="1243">
        <f>V72+V96+V118+V180+V248+V280+V374</f>
        <v>85</v>
      </c>
      <c r="W420" s="1243"/>
      <c r="X420" s="1243"/>
      <c r="Y420" s="1243">
        <f>Y72+Y96+Y118+Y180+Y248+Y280+Y374</f>
        <v>85</v>
      </c>
      <c r="Z420" s="575"/>
      <c r="AA420" s="575"/>
      <c r="AB420" s="576"/>
      <c r="AC420" s="577"/>
      <c r="AD420" s="1960"/>
      <c r="AE420" s="1960"/>
      <c r="AF420" s="1958"/>
      <c r="AG420" s="560"/>
      <c r="AH420" s="560"/>
    </row>
    <row r="421" spans="1:35" s="1961" customFormat="1" x14ac:dyDescent="0.25">
      <c r="A421" s="571"/>
      <c r="B421" s="571"/>
      <c r="C421" s="578" t="s">
        <v>1230</v>
      </c>
      <c r="D421" s="578"/>
      <c r="E421" s="578"/>
      <c r="F421" s="1241"/>
      <c r="G421" s="1242"/>
      <c r="H421" s="1243">
        <f>H26+H46+H53+H76+H86+H104+H135+H148+H169+H192+H230+H266+H295+H304+H318+H338+H361+H376</f>
        <v>272.60000000000002</v>
      </c>
      <c r="I421" s="1243"/>
      <c r="J421" s="1243"/>
      <c r="K421" s="1243">
        <f>K26+K46+K53+K76+K86+K104+K135+K148+K169+K192+K230+K266+K295+K304+K318+K338+K361+K376</f>
        <v>259</v>
      </c>
      <c r="L421" s="1243"/>
      <c r="M421" s="1243"/>
      <c r="N421" s="1243">
        <f>N26+N46+N53+N76+N86+N104+N135+N148+N169+N192+N230+N266+N295+N304+N318+N338+N361+N376</f>
        <v>259</v>
      </c>
      <c r="O421" s="1243"/>
      <c r="P421" s="1243"/>
      <c r="Q421" s="1036">
        <f>Q26+Q46+Q53+Q76+Q86+Q104+Q135+Q148+Q169+Q192+Q230+Q266+Q295+Q304+Q318+Q338+Q361+Q376+Q397+Q405</f>
        <v>508.7</v>
      </c>
      <c r="R421" s="1962">
        <f>R26+R46+R53+R76+R86+R104+R135+R148+R169+R192+R230+R266+R295+R304+R318+R338+R361+R376+R397+R405</f>
        <v>460.1</v>
      </c>
      <c r="S421" s="1036">
        <f>S26+S46+S53+S76+S86+S104+S135+S148+S169+S192+S230+S266+S295+S304+S318+S338+S361+S376+S397+S405</f>
        <v>48.5</v>
      </c>
      <c r="T421" s="1243"/>
      <c r="U421" s="1243"/>
      <c r="V421" s="1243">
        <f>V26+V46+V53+V76+V86+V104+V135+V148+V169+V192+V230+V266+V295+V304+V318+V338+V361+V376</f>
        <v>396.4</v>
      </c>
      <c r="W421" s="1243"/>
      <c r="X421" s="1243"/>
      <c r="Y421" s="1243">
        <f>Y26+Y46+Y53+Y76+Y86+Y104+Y135+Y148+Y169+Y192+Y230+Y266+Y295+Y304+Y318+Y338+Y361+Y376</f>
        <v>396.4</v>
      </c>
      <c r="Z421" s="575"/>
      <c r="AA421" s="575"/>
      <c r="AB421" s="576"/>
      <c r="AC421" s="577"/>
      <c r="AD421" s="1960"/>
      <c r="AE421" s="1960"/>
      <c r="AF421" s="1958"/>
      <c r="AG421" s="560"/>
      <c r="AH421" s="560"/>
    </row>
    <row r="422" spans="1:35" s="2570" customFormat="1" x14ac:dyDescent="0.25">
      <c r="A422" s="377"/>
      <c r="B422" s="377"/>
      <c r="C422" s="1036" t="s">
        <v>796</v>
      </c>
      <c r="D422" s="1036"/>
      <c r="E422" s="1036"/>
      <c r="F422" s="2551"/>
      <c r="G422" s="2552"/>
      <c r="H422" s="1965">
        <f>H20+H22+H23+H24+H43+H44+H65+H95+H114+H142+H154+H166+H183+H209+H242+H279+H294+H315+H335+H343+H392</f>
        <v>201.4</v>
      </c>
      <c r="I422" s="1965"/>
      <c r="J422" s="1965"/>
      <c r="K422" s="1965">
        <f>K20+K22+K23+K24+K43+K44+K65+K95+K114+K142+K154+K166+K183+K209+K242+K279+K294+K315+K335+K343+K392</f>
        <v>176.5</v>
      </c>
      <c r="L422" s="1965"/>
      <c r="M422" s="1965"/>
      <c r="N422" s="1965">
        <f>N20+N22+N23+N24+N43+N44+N65+N95+N114+N142+N154+N166+N183+N209+N242+N279+N294+N315+N335+N343+N392</f>
        <v>176.5</v>
      </c>
      <c r="O422" s="1036"/>
      <c r="P422" s="1036"/>
      <c r="Q422" s="1036">
        <f>Q20+Q22+Q23+Q24+Q43+Q44+Q65+Q95+Q114+Q142+Q154+Q166+Q183+Q209+Q242+Q279+Q294+Q315+Q335+Q343+Q392</f>
        <v>161</v>
      </c>
      <c r="R422" s="1036">
        <f>R20+R22+R23+R24+R43+R44+R65+R95+R114+R142+R154+R166+R183+R209+R242+R279+R294+R315+R335+R343+R392</f>
        <v>131</v>
      </c>
      <c r="S422" s="1036">
        <f>S20+S22+S23+S24+S43+S44+S65+S95+S114+S142+S154+S166+S183+S209+S242+S279+S294+S315+S335+S343+S392</f>
        <v>30</v>
      </c>
      <c r="T422" s="1036"/>
      <c r="U422" s="1036"/>
      <c r="V422" s="1036">
        <f>V20+V22+V23+V24+V43+V44+V65+V95+V114+V142+V154+V166+V183+V209+V242+V279+V294+V315+V335+V343+V392</f>
        <v>138.30000000000001</v>
      </c>
      <c r="W422" s="1036"/>
      <c r="X422" s="1036"/>
      <c r="Y422" s="1036">
        <f>Y20+Y22+Y23+Y24+Y43+Y44+Y65+Y95+Y114+Y142+Y154+Y166+Y183+Y209+Y242+Y279+Y294+Y315+Y335+Y343+Y392</f>
        <v>138.30000000000001</v>
      </c>
      <c r="Z422" s="377"/>
      <c r="AA422" s="377"/>
      <c r="AB422" s="2568"/>
      <c r="AC422" s="2569"/>
      <c r="AF422" s="2571"/>
      <c r="AG422" s="2572"/>
      <c r="AH422" s="2572"/>
    </row>
    <row r="423" spans="1:35" s="1975" customFormat="1" x14ac:dyDescent="0.25">
      <c r="A423" s="1971"/>
      <c r="B423" s="1971"/>
      <c r="C423" s="1972" t="s">
        <v>800</v>
      </c>
      <c r="D423" s="1972"/>
      <c r="E423" s="1972"/>
      <c r="F423" s="1241"/>
      <c r="G423" s="1242"/>
      <c r="H423" s="1243">
        <f>H126+H244+H358+H369+H394+H414</f>
        <v>242.9</v>
      </c>
      <c r="I423" s="1243"/>
      <c r="J423" s="1243"/>
      <c r="K423" s="1243">
        <f>K126+K244+K247+K358+K369+K394+K414</f>
        <v>3.5</v>
      </c>
      <c r="L423" s="1243"/>
      <c r="M423" s="1243"/>
      <c r="N423" s="1243">
        <f>N126+N244+N247+N358+N369+N394+N414</f>
        <v>3.5</v>
      </c>
      <c r="O423" s="1972"/>
      <c r="P423" s="1972"/>
      <c r="Q423" s="1972">
        <f>Q126+Q244+Q247+Q358+Q369+Q394+Q414</f>
        <v>172.4</v>
      </c>
      <c r="R423" s="1972">
        <f>R126+R244+R247+R358+R369+R394+R414</f>
        <v>115.6</v>
      </c>
      <c r="S423" s="1972">
        <f>S126+S244+S247+S358+S369+S394+S414</f>
        <v>56.7</v>
      </c>
      <c r="T423" s="1972"/>
      <c r="U423" s="1972"/>
      <c r="V423" s="1972">
        <f>V126+V244+V247+V358+V369+V394+V414</f>
        <v>0</v>
      </c>
      <c r="W423" s="1972"/>
      <c r="X423" s="1972"/>
      <c r="Y423" s="1972">
        <f>Y126+Y244+Y247+Y358+Y369+Y394+Y414</f>
        <v>0</v>
      </c>
      <c r="Z423" s="1971"/>
      <c r="AA423" s="1971"/>
      <c r="AB423" s="1973"/>
      <c r="AC423" s="1974"/>
      <c r="AF423" s="1976"/>
      <c r="AG423" s="1977"/>
      <c r="AH423" s="1977"/>
    </row>
    <row r="424" spans="1:35" s="1961" customFormat="1" x14ac:dyDescent="0.25">
      <c r="A424" s="571"/>
      <c r="B424" s="571"/>
      <c r="C424" s="578" t="s">
        <v>797</v>
      </c>
      <c r="D424" s="578"/>
      <c r="E424" s="578"/>
      <c r="F424" s="1241"/>
      <c r="G424" s="1242"/>
      <c r="H424" s="1243">
        <f>H12+H16+H21+H34+H38+H60+H64+H68+H81+H83+H91+H98+H115+H119+H120+H141+H144+H155+H156+H159+H163+H179+H185+H188+H201+H203+H207+H210+H215+H222+H223+H227+H249+H254+H258+H265+H287+H283+H288+H293+H309+H312+H324+H329+H334+H344+H345+H349+H355+H370+H371+H380+H386+H393+H395</f>
        <v>385</v>
      </c>
      <c r="I424" s="1243"/>
      <c r="J424" s="1243"/>
      <c r="K424" s="1243">
        <f>K12+K16+K21+K34+K38+K60+K64+K68+K81+K83+K91+K98+K115+K119+K120+K141+K144+K155+K156+K159+K163+K179+K185+K188+K201+K203+K207+K210+K215+K222+K223+K227+K249+K254+K258+K265+K287+K283+K288+K293+K309+K312+K324+K329+K334+K344+K345+K349+K355+K370+K371+K380+K386+K393+K395</f>
        <v>225.9</v>
      </c>
      <c r="L424" s="1243"/>
      <c r="M424" s="1243"/>
      <c r="N424" s="1243">
        <f>N12+N16+N21+N34+N38+N60+N64+N68+N81+N83+N91+N98+N115+N119+N120+N141+N144+N155+N156+N159+N163+N179+N185+N188+N201+N203+N207+N210+N215+N222+N223+N227+N249+N254+N258+N265+N287+N283+N288+N293+N309+N312+N324+N329+N334+N344+N345+N349+N355+N370+N371+N380+N386+N393+N395</f>
        <v>240.9</v>
      </c>
      <c r="O424" s="1243"/>
      <c r="P424" s="1243"/>
      <c r="Q424" s="1243">
        <f>Q12+Q16+Q21+Q34+Q38+Q60+Q64+Q68+Q81+Q83+Q91+Q98+Q115+Q119+Q120+Q141+Q144+Q155+Q156+Q159+Q163+Q179+Q185+Q188+Q201+Q203+Q207+Q210+Q215+Q222+Q223+Q227+Q249+Q254+Q258+Q265+Q287+Q283+Q288+Q293+Q309+Q312+Q324+Q329+Q334+Q344+Q345+Q349+Q355+Q370+Q371+Q380+Q386+Q393+Q395</f>
        <v>360.1</v>
      </c>
      <c r="R424" s="1243">
        <f>R12+R16+R21+R34+R38+R60+R64+R68+R81+R83+R91+R98+R115+R119+R120+R141+R144+R155+R156+R159+R163+R179+R185+R188+R201+R203+R207+R210+R215+R222+R223+R227+R249+R254+R258+R265+R287+R283+R288+R293+R309+R312+R324+R329+R334+R344+R345+R349+R355+R370+R371+R380+R386+R393+R395</f>
        <v>274.89999999999998</v>
      </c>
      <c r="S424" s="1243">
        <f>S12+S16+S21+S34+S38+S60+S64+S68+S81+S83+S91+S98+S115+S119+S120+S141+S144+S155+S156+S159+S163+S179+S185+S188+S201+S203+S207+S210+S215+S222+S223+S227+S249+S254+S258+S265+S287+S283+S288+S293+S309+S312+S324+S329+S334+S344+S345+S349+S355+S370+S371+S380+S386+S393+S395</f>
        <v>85.2</v>
      </c>
      <c r="T424" s="1243"/>
      <c r="U424" s="1243"/>
      <c r="V424" s="1243">
        <f>V12+V16+V21+V34+V38+V60+V64+V68+V81+V83+V91+V98+V115+V119+V120+V141+V144+V155+V156+V159+V163+V179+V185+V188+V201+V203+V207+V210+V215+V222+V223+V227+V249+V254+V258+V265+V287+V283+V288+V293+V309+V312+V324+V329+V334+V344+V345+V349+V355+V370+V371+V380+V386+V393+V395</f>
        <v>294.2</v>
      </c>
      <c r="W424" s="1243"/>
      <c r="X424" s="1243"/>
      <c r="Y424" s="1243">
        <f>Y12+Y16+Y21+Y34+Y38+Y60+Y64+Y68+Y81+Y83+Y91+Y98+Y115+Y119+Y120+Y141+Y144+Y155+Y156+Y159+Y163+Y179+Y185+Y188+Y201+Y203+Y207+Y210+Y215+Y222+Y223+Y227+Y249+Y254+Y258+Y265+Y287+Y283+Y288+Y293+Y309+Y312+Y324+Y329+Y334+Y344+Y345+Y349+Y355+Y370+Y371+Y380+Y386+Y393+Y395</f>
        <v>294.2</v>
      </c>
      <c r="Z424" s="575"/>
      <c r="AA424" s="575"/>
      <c r="AB424" s="576"/>
      <c r="AC424" s="577"/>
      <c r="AD424" s="1960"/>
      <c r="AE424" s="1960"/>
      <c r="AF424" s="1958"/>
      <c r="AG424" s="560"/>
      <c r="AH424" s="560"/>
    </row>
    <row r="425" spans="1:35" s="1961" customFormat="1" x14ac:dyDescent="0.25">
      <c r="A425" s="571"/>
      <c r="B425" s="571"/>
      <c r="C425" s="607">
        <v>981</v>
      </c>
      <c r="D425" s="578"/>
      <c r="E425" s="578"/>
      <c r="F425" s="1241"/>
      <c r="G425" s="1242"/>
      <c r="H425" s="1243">
        <f>H80+H97</f>
        <v>135</v>
      </c>
      <c r="I425" s="1243"/>
      <c r="J425" s="1243"/>
      <c r="K425" s="1243">
        <f>K80+K97</f>
        <v>135</v>
      </c>
      <c r="L425" s="1243"/>
      <c r="M425" s="1243"/>
      <c r="N425" s="1243">
        <f>N80+N97</f>
        <v>120</v>
      </c>
      <c r="O425" s="1243"/>
      <c r="P425" s="1243"/>
      <c r="Q425" s="1243">
        <f>Q80+Q97</f>
        <v>120</v>
      </c>
      <c r="R425" s="1243">
        <f>R80+R97</f>
        <v>120</v>
      </c>
      <c r="S425" s="1243">
        <f>S80+S97</f>
        <v>0</v>
      </c>
      <c r="T425" s="1243"/>
      <c r="U425" s="1243"/>
      <c r="V425" s="1243">
        <f>V80+V97</f>
        <v>120</v>
      </c>
      <c r="W425" s="1243"/>
      <c r="X425" s="1243"/>
      <c r="Y425" s="1243">
        <f>Y80+Y97</f>
        <v>120</v>
      </c>
      <c r="Z425" s="575"/>
      <c r="AA425" s="575"/>
      <c r="AB425" s="576"/>
      <c r="AC425" s="577"/>
      <c r="AD425" s="1960"/>
      <c r="AE425" s="1960"/>
      <c r="AF425" s="1958"/>
      <c r="AG425" s="560"/>
      <c r="AH425" s="560"/>
    </row>
    <row r="426" spans="1:35" s="1961" customFormat="1" x14ac:dyDescent="0.25">
      <c r="A426" s="571"/>
      <c r="B426" s="571"/>
      <c r="C426" s="607">
        <v>981</v>
      </c>
      <c r="D426" s="578"/>
      <c r="E426" s="578"/>
      <c r="F426" s="1241"/>
      <c r="G426" s="1242"/>
      <c r="H426" s="1243">
        <f>H71+H125+H208+H264</f>
        <v>0</v>
      </c>
      <c r="I426" s="1243"/>
      <c r="J426" s="1243"/>
      <c r="K426" s="1243">
        <f>K71+K125+K208+K264</f>
        <v>0</v>
      </c>
      <c r="L426" s="1243"/>
      <c r="M426" s="1243"/>
      <c r="N426" s="1243">
        <f>N71+N125+N208+N264</f>
        <v>0</v>
      </c>
      <c r="O426" s="1243"/>
      <c r="P426" s="1243"/>
      <c r="Q426" s="1243">
        <f>Q71+Q125+Q208+Q264</f>
        <v>16</v>
      </c>
      <c r="R426" s="1243">
        <f>R71+R125+R208+R264</f>
        <v>10</v>
      </c>
      <c r="S426" s="1243">
        <f>S71+S125+S208+S264</f>
        <v>6</v>
      </c>
      <c r="T426" s="1243"/>
      <c r="U426" s="1243"/>
      <c r="V426" s="1243">
        <f>V71+V125+V208+V264</f>
        <v>10</v>
      </c>
      <c r="W426" s="1243"/>
      <c r="X426" s="1243"/>
      <c r="Y426" s="1243">
        <f>Y71+Y125+Y208+Y264</f>
        <v>10</v>
      </c>
      <c r="Z426" s="575"/>
      <c r="AA426" s="575"/>
      <c r="AB426" s="576"/>
      <c r="AC426" s="577"/>
      <c r="AD426" s="1960"/>
      <c r="AE426" s="1960"/>
      <c r="AF426" s="1958"/>
      <c r="AG426" s="560"/>
      <c r="AH426" s="560"/>
    </row>
    <row r="427" spans="1:35" s="1961" customFormat="1" x14ac:dyDescent="0.25">
      <c r="A427" s="571"/>
      <c r="B427" s="571"/>
      <c r="C427" s="580" t="s">
        <v>217</v>
      </c>
      <c r="D427" s="580"/>
      <c r="E427" s="580"/>
      <c r="F427" s="581"/>
      <c r="G427" s="582"/>
      <c r="H427" s="580">
        <f>H11+H33+H52+H74+H147+H158+H182+H191+H214+H253+H282+H303+H317+H337+H353+H413</f>
        <v>1329.4</v>
      </c>
      <c r="I427" s="580"/>
      <c r="J427" s="580"/>
      <c r="K427" s="580">
        <f>K11+K33+K52+K74+K147+K158+K182+K191+K214+K253+K282+K303+K317+K337+K353+K413</f>
        <v>891.2</v>
      </c>
      <c r="L427" s="580"/>
      <c r="M427" s="580"/>
      <c r="N427" s="580">
        <f>N11+N33+N52+N74+N147+N158+N182+N191+N214+N253+N282+N303+N317+N337+N353+N413</f>
        <v>891.2</v>
      </c>
      <c r="O427" s="580"/>
      <c r="P427" s="580"/>
      <c r="Q427" s="580">
        <f>Q11+Q33+Q52+Q74+Q147+Q158+Q182+Q191+Q214+Q253+Q282+Q303+Q317+Q337+Q353+Q413+Q404+Q396</f>
        <v>1423.2</v>
      </c>
      <c r="R427" s="580">
        <f>R11+R33+R52+R74+R147+R158+R182+R191+R214+R253+R282+R303+R317+R337+R353+R413+R404+R396</f>
        <v>1189.2</v>
      </c>
      <c r="S427" s="580">
        <f>S11+S33+S52+S74+S147+S158+S182+S191+S214+S253+S282+S303+S317+S337+S353+S413+S404+S396</f>
        <v>233.9</v>
      </c>
      <c r="T427" s="580"/>
      <c r="U427" s="580"/>
      <c r="V427" s="580">
        <f>V11+V33+V52+V74+V147+V158+V182+V191+V214+V253+V282+V303+V317+V337+V353+V413</f>
        <v>1043.9000000000001</v>
      </c>
      <c r="W427" s="580"/>
      <c r="X427" s="580"/>
      <c r="Y427" s="580">
        <f>Y11+Y33+Y52+Y74+Y147+Y158+Y182+Y191+Y214+Y253+Y282+Y303+Y317+Y337+Y353+Y413</f>
        <v>1043.9000000000001</v>
      </c>
      <c r="Z427" s="575"/>
      <c r="AA427" s="575"/>
      <c r="AB427" s="576"/>
      <c r="AC427" s="577"/>
      <c r="AD427" s="1960"/>
      <c r="AE427" s="1960"/>
      <c r="AF427" s="1958"/>
      <c r="AG427" s="560"/>
      <c r="AH427" s="560"/>
    </row>
    <row r="428" spans="1:35" s="1961" customFormat="1" x14ac:dyDescent="0.25">
      <c r="A428" s="571"/>
      <c r="B428" s="571"/>
      <c r="C428" s="578"/>
      <c r="D428" s="578"/>
      <c r="E428" s="578"/>
      <c r="F428" s="1241"/>
      <c r="G428" s="1242"/>
      <c r="H428" s="1243">
        <f t="shared" ref="H428:Y428" si="73">H427-H419</f>
        <v>0</v>
      </c>
      <c r="I428" s="1243">
        <f t="shared" si="73"/>
        <v>0</v>
      </c>
      <c r="J428" s="1243">
        <f t="shared" si="73"/>
        <v>0</v>
      </c>
      <c r="K428" s="1243">
        <f t="shared" si="73"/>
        <v>0</v>
      </c>
      <c r="L428" s="1243">
        <f t="shared" si="73"/>
        <v>0</v>
      </c>
      <c r="M428" s="1243">
        <f t="shared" si="73"/>
        <v>0</v>
      </c>
      <c r="N428" s="1243">
        <f t="shared" si="73"/>
        <v>0</v>
      </c>
      <c r="O428" s="1243">
        <f t="shared" si="73"/>
        <v>0</v>
      </c>
      <c r="P428" s="1243">
        <f t="shared" si="73"/>
        <v>0</v>
      </c>
      <c r="Q428" s="1243">
        <f t="shared" si="73"/>
        <v>0</v>
      </c>
      <c r="R428" s="1243">
        <f t="shared" si="73"/>
        <v>0.1</v>
      </c>
      <c r="S428" s="1243">
        <f t="shared" si="73"/>
        <v>0</v>
      </c>
      <c r="T428" s="1243">
        <f t="shared" si="73"/>
        <v>0</v>
      </c>
      <c r="U428" s="1243">
        <f t="shared" si="73"/>
        <v>0</v>
      </c>
      <c r="V428" s="1243">
        <f t="shared" si="73"/>
        <v>0</v>
      </c>
      <c r="W428" s="1243">
        <f t="shared" si="73"/>
        <v>0</v>
      </c>
      <c r="X428" s="1243">
        <f t="shared" si="73"/>
        <v>0</v>
      </c>
      <c r="Y428" s="1243">
        <f t="shared" si="73"/>
        <v>0</v>
      </c>
      <c r="Z428" s="575"/>
      <c r="AA428" s="575"/>
      <c r="AB428" s="576"/>
      <c r="AC428" s="577"/>
      <c r="AD428" s="1960"/>
      <c r="AE428" s="1960"/>
      <c r="AF428" s="1958"/>
      <c r="AG428" s="560"/>
      <c r="AH428" s="560"/>
    </row>
  </sheetData>
  <autoFilter ref="A8:AN416">
    <filterColumn colId="2">
      <filters>
        <filter val="971"/>
      </filters>
    </filterColumn>
  </autoFilter>
  <mergeCells count="45">
    <mergeCell ref="A2:AB2"/>
    <mergeCell ref="A3:AB3"/>
    <mergeCell ref="A5:A7"/>
    <mergeCell ref="B5:B7"/>
    <mergeCell ref="C5:C7"/>
    <mergeCell ref="D5:D7"/>
    <mergeCell ref="E5:E7"/>
    <mergeCell ref="F5:H5"/>
    <mergeCell ref="I5:K5"/>
    <mergeCell ref="L5:N5"/>
    <mergeCell ref="Z5:AA5"/>
    <mergeCell ref="AB5:AB7"/>
    <mergeCell ref="T6:T7"/>
    <mergeCell ref="U6:U7"/>
    <mergeCell ref="V6:V7"/>
    <mergeCell ref="W6:W7"/>
    <mergeCell ref="K6:K7"/>
    <mergeCell ref="O5:Q5"/>
    <mergeCell ref="R5:S5"/>
    <mergeCell ref="T5:V5"/>
    <mergeCell ref="W5:Y5"/>
    <mergeCell ref="F6:F7"/>
    <mergeCell ref="G6:G7"/>
    <mergeCell ref="H6:H7"/>
    <mergeCell ref="I6:I7"/>
    <mergeCell ref="J6:J7"/>
    <mergeCell ref="AB142:AB143"/>
    <mergeCell ref="L6:L7"/>
    <mergeCell ref="M6:M7"/>
    <mergeCell ref="N6:N7"/>
    <mergeCell ref="O6:O7"/>
    <mergeCell ref="P6:P7"/>
    <mergeCell ref="Q6:Q7"/>
    <mergeCell ref="X6:X7"/>
    <mergeCell ref="Y6:Y7"/>
    <mergeCell ref="Z6:Z7"/>
    <mergeCell ref="AA6:AA7"/>
    <mergeCell ref="AB136:AB138"/>
    <mergeCell ref="AB404:AB411"/>
    <mergeCell ref="AB174:AB177"/>
    <mergeCell ref="AB238:AB240"/>
    <mergeCell ref="AB273:AB277"/>
    <mergeCell ref="AB304:AB308"/>
    <mergeCell ref="AB366:AB367"/>
    <mergeCell ref="AB396:AB403"/>
  </mergeCells>
  <pageMargins left="0.70866141732283472" right="0.70866141732283472" top="0.74803149606299213" bottom="0.74803149606299213" header="0.31496062992125984" footer="0.31496062992125984"/>
  <pageSetup paperSize="9" scale="3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D783"/>
  <sheetViews>
    <sheetView view="pageBreakPreview" zoomScale="60" zoomScaleNormal="50" workbookViewId="0">
      <pane xSplit="2" ySplit="8" topLeftCell="C460" activePane="bottomRight" state="frozen"/>
      <selection pane="topRight" activeCell="C1" sqref="C1"/>
      <selection pane="bottomLeft" activeCell="A8" sqref="A8"/>
      <selection pane="bottomRight" activeCell="AA585" sqref="AA585"/>
    </sheetView>
  </sheetViews>
  <sheetFormatPr defaultRowHeight="15.75" x14ac:dyDescent="0.25"/>
  <cols>
    <col min="1" max="1" width="9.33203125" style="2053"/>
    <col min="2" max="2" width="45.33203125" style="2573" customWidth="1"/>
    <col min="3" max="3" width="15.6640625" style="2574" customWidth="1"/>
    <col min="4" max="7" width="16.5" style="2575" customWidth="1"/>
    <col min="8" max="8" width="16.5" style="2658" customWidth="1"/>
    <col min="9" max="9" width="16" style="2574" customWidth="1"/>
    <col min="10" max="10" width="16.1640625" style="2575" customWidth="1"/>
    <col min="11" max="11" width="17.33203125" style="2575" customWidth="1"/>
    <col min="12" max="13" width="15.83203125" style="2575" customWidth="1"/>
    <col min="14" max="14" width="17.1640625" style="2658" customWidth="1"/>
    <col min="15" max="15" width="16" style="2574" customWidth="1"/>
    <col min="16" max="16" width="16.83203125" style="2575" customWidth="1"/>
    <col min="17" max="17" width="17.33203125" style="2575" customWidth="1"/>
    <col min="18" max="19" width="14.83203125" style="2575" customWidth="1"/>
    <col min="20" max="20" width="14.83203125" style="2577" customWidth="1"/>
    <col min="21" max="21" width="14.33203125" style="2574" customWidth="1"/>
    <col min="22" max="23" width="15.83203125" style="2575" customWidth="1"/>
    <col min="24" max="24" width="14.6640625" style="2575" customWidth="1"/>
    <col min="25" max="25" width="19.83203125" style="2658" customWidth="1"/>
    <col min="26" max="26" width="16.1640625" style="2577" customWidth="1"/>
    <col min="27" max="27" width="16.83203125" style="2577" customWidth="1"/>
    <col min="28" max="28" width="19.83203125" style="2659" customWidth="1"/>
    <col min="29" max="29" width="18.83203125" style="2659" customWidth="1"/>
    <col min="30" max="30" width="70.6640625" style="2053" customWidth="1"/>
    <col min="31" max="16384" width="9.33203125" style="2053"/>
  </cols>
  <sheetData>
    <row r="1" spans="1:30" ht="31.5" x14ac:dyDescent="0.25">
      <c r="H1" s="2576"/>
      <c r="N1" s="2576"/>
      <c r="Y1" s="2576"/>
      <c r="AB1" s="2578"/>
      <c r="AC1" s="2578"/>
      <c r="AD1" s="2579" t="s">
        <v>741</v>
      </c>
    </row>
    <row r="2" spans="1:30" x14ac:dyDescent="0.25">
      <c r="A2" s="3668" t="s">
        <v>1268</v>
      </c>
      <c r="B2" s="3668"/>
      <c r="C2" s="3668"/>
      <c r="D2" s="3684"/>
      <c r="E2" s="3684"/>
      <c r="F2" s="3684"/>
      <c r="G2" s="3684"/>
      <c r="H2" s="3684"/>
      <c r="I2" s="3668"/>
      <c r="J2" s="3684"/>
      <c r="K2" s="3684"/>
      <c r="L2" s="3684"/>
      <c r="M2" s="3684"/>
      <c r="N2" s="3684"/>
      <c r="O2" s="3668"/>
      <c r="P2" s="3684"/>
      <c r="Q2" s="3684"/>
      <c r="R2" s="3684"/>
      <c r="S2" s="3684"/>
      <c r="T2" s="3684"/>
      <c r="U2" s="3668"/>
      <c r="V2" s="3684"/>
      <c r="W2" s="3684"/>
      <c r="X2" s="3684"/>
      <c r="Y2" s="3684"/>
      <c r="Z2" s="3684"/>
      <c r="AA2" s="3684"/>
      <c r="AB2" s="3684"/>
      <c r="AC2" s="3684"/>
      <c r="AD2" s="3668"/>
    </row>
    <row r="3" spans="1:30" x14ac:dyDescent="0.25">
      <c r="A3" s="3668" t="s">
        <v>2024</v>
      </c>
      <c r="B3" s="3668"/>
      <c r="C3" s="3668"/>
      <c r="D3" s="3668"/>
      <c r="E3" s="3668"/>
      <c r="F3" s="3668"/>
      <c r="G3" s="3668"/>
      <c r="H3" s="3668"/>
      <c r="I3" s="3668"/>
      <c r="J3" s="3668"/>
      <c r="K3" s="3668"/>
      <c r="L3" s="3668"/>
      <c r="M3" s="3668"/>
      <c r="N3" s="3668"/>
      <c r="O3" s="3668"/>
      <c r="P3" s="3668"/>
      <c r="Q3" s="3668"/>
      <c r="R3" s="3668"/>
      <c r="S3" s="3668"/>
      <c r="T3" s="3668"/>
      <c r="U3" s="3668"/>
      <c r="V3" s="3668"/>
      <c r="W3" s="3668"/>
      <c r="X3" s="3668"/>
      <c r="Y3" s="3668"/>
      <c r="Z3" s="3668"/>
      <c r="AA3" s="3668"/>
      <c r="AB3" s="3668"/>
      <c r="AC3" s="3668"/>
      <c r="AD3" s="3668"/>
    </row>
    <row r="4" spans="1:30" x14ac:dyDescent="0.25">
      <c r="A4" s="2053" t="s">
        <v>742</v>
      </c>
      <c r="H4" s="2576"/>
      <c r="N4" s="2576"/>
      <c r="Y4" s="2576"/>
      <c r="AB4" s="2578"/>
      <c r="AC4" s="2578"/>
      <c r="AD4" s="2660">
        <v>43831</v>
      </c>
    </row>
    <row r="5" spans="1:30" ht="15.75" customHeight="1" x14ac:dyDescent="0.25">
      <c r="A5" s="3685" t="s">
        <v>78</v>
      </c>
      <c r="B5" s="3686" t="s">
        <v>185</v>
      </c>
      <c r="C5" s="3689" t="s">
        <v>743</v>
      </c>
      <c r="D5" s="3690"/>
      <c r="E5" s="3690"/>
      <c r="F5" s="3690"/>
      <c r="G5" s="3690"/>
      <c r="H5" s="3691"/>
      <c r="I5" s="3692" t="s">
        <v>744</v>
      </c>
      <c r="J5" s="3693"/>
      <c r="K5" s="3693"/>
      <c r="L5" s="3693"/>
      <c r="M5" s="3693"/>
      <c r="N5" s="3694"/>
      <c r="O5" s="3692" t="s">
        <v>693</v>
      </c>
      <c r="P5" s="3693"/>
      <c r="Q5" s="3693"/>
      <c r="R5" s="3693"/>
      <c r="S5" s="3693"/>
      <c r="T5" s="3694"/>
      <c r="U5" s="3692" t="s">
        <v>181</v>
      </c>
      <c r="V5" s="3693"/>
      <c r="W5" s="3693"/>
      <c r="X5" s="3693"/>
      <c r="Y5" s="3694"/>
      <c r="Z5" s="3695" t="s">
        <v>745</v>
      </c>
      <c r="AA5" s="3696"/>
      <c r="AB5" s="2580" t="s">
        <v>178</v>
      </c>
      <c r="AC5" s="2580" t="s">
        <v>179</v>
      </c>
      <c r="AD5" s="3699" t="s">
        <v>746</v>
      </c>
    </row>
    <row r="6" spans="1:30" x14ac:dyDescent="0.25">
      <c r="A6" s="3685"/>
      <c r="B6" s="3687"/>
      <c r="C6" s="3702" t="s">
        <v>186</v>
      </c>
      <c r="D6" s="3704" t="s">
        <v>187</v>
      </c>
      <c r="E6" s="3706" t="s">
        <v>747</v>
      </c>
      <c r="F6" s="3706"/>
      <c r="G6" s="3706"/>
      <c r="H6" s="3707"/>
      <c r="I6" s="3680" t="s">
        <v>186</v>
      </c>
      <c r="J6" s="3676" t="s">
        <v>187</v>
      </c>
      <c r="K6" s="3678" t="s">
        <v>747</v>
      </c>
      <c r="L6" s="3678"/>
      <c r="M6" s="3678"/>
      <c r="N6" s="3679"/>
      <c r="O6" s="3680" t="s">
        <v>186</v>
      </c>
      <c r="P6" s="3676" t="s">
        <v>187</v>
      </c>
      <c r="Q6" s="3678" t="s">
        <v>747</v>
      </c>
      <c r="R6" s="3678"/>
      <c r="S6" s="3678"/>
      <c r="T6" s="3679"/>
      <c r="U6" s="3680" t="s">
        <v>186</v>
      </c>
      <c r="V6" s="3676" t="s">
        <v>187</v>
      </c>
      <c r="W6" s="3678" t="s">
        <v>747</v>
      </c>
      <c r="X6" s="3678"/>
      <c r="Y6" s="3679"/>
      <c r="Z6" s="3697"/>
      <c r="AA6" s="3698"/>
      <c r="AB6" s="3682" t="s">
        <v>747</v>
      </c>
      <c r="AC6" s="3683"/>
      <c r="AD6" s="3700"/>
    </row>
    <row r="7" spans="1:30" s="2585" customFormat="1" ht="47.25" x14ac:dyDescent="0.25">
      <c r="A7" s="3685"/>
      <c r="B7" s="3688"/>
      <c r="C7" s="3703"/>
      <c r="D7" s="3705"/>
      <c r="E7" s="2581" t="s">
        <v>748</v>
      </c>
      <c r="F7" s="2581" t="s">
        <v>749</v>
      </c>
      <c r="G7" s="2581" t="s">
        <v>346</v>
      </c>
      <c r="H7" s="2582" t="s">
        <v>750</v>
      </c>
      <c r="I7" s="3681"/>
      <c r="J7" s="3677"/>
      <c r="K7" s="2581" t="s">
        <v>748</v>
      </c>
      <c r="L7" s="2581" t="s">
        <v>749</v>
      </c>
      <c r="M7" s="2581" t="s">
        <v>346</v>
      </c>
      <c r="N7" s="2582" t="s">
        <v>751</v>
      </c>
      <c r="O7" s="3681"/>
      <c r="P7" s="3677"/>
      <c r="Q7" s="2581" t="s">
        <v>748</v>
      </c>
      <c r="R7" s="2581" t="s">
        <v>749</v>
      </c>
      <c r="S7" s="2581" t="s">
        <v>346</v>
      </c>
      <c r="T7" s="2583" t="s">
        <v>752</v>
      </c>
      <c r="U7" s="3681"/>
      <c r="V7" s="3677"/>
      <c r="W7" s="2693" t="s">
        <v>748</v>
      </c>
      <c r="X7" s="2581" t="s">
        <v>753</v>
      </c>
      <c r="Y7" s="2582" t="s">
        <v>754</v>
      </c>
      <c r="Z7" s="2584" t="s">
        <v>755</v>
      </c>
      <c r="AA7" s="2584" t="s">
        <v>756</v>
      </c>
      <c r="AB7" s="3682" t="s">
        <v>748</v>
      </c>
      <c r="AC7" s="3683"/>
      <c r="AD7" s="3701"/>
    </row>
    <row r="8" spans="1:30" s="2692" customFormat="1" x14ac:dyDescent="0.25">
      <c r="A8" s="2589">
        <v>1</v>
      </c>
      <c r="B8" s="2589">
        <v>2</v>
      </c>
      <c r="C8" s="2690">
        <v>3</v>
      </c>
      <c r="D8" s="2690">
        <v>4</v>
      </c>
      <c r="E8" s="2690">
        <v>5</v>
      </c>
      <c r="F8" s="2690">
        <v>6</v>
      </c>
      <c r="G8" s="2690">
        <v>7</v>
      </c>
      <c r="H8" s="2691">
        <v>8</v>
      </c>
      <c r="I8" s="2690">
        <v>9</v>
      </c>
      <c r="J8" s="2690">
        <v>10</v>
      </c>
      <c r="K8" s="2690">
        <v>11</v>
      </c>
      <c r="L8" s="2690">
        <v>12</v>
      </c>
      <c r="M8" s="2690">
        <v>13</v>
      </c>
      <c r="N8" s="2691">
        <v>14</v>
      </c>
      <c r="O8" s="2690">
        <v>15</v>
      </c>
      <c r="P8" s="2690">
        <v>16</v>
      </c>
      <c r="Q8" s="2690">
        <v>17</v>
      </c>
      <c r="R8" s="2690">
        <v>18</v>
      </c>
      <c r="S8" s="2690">
        <v>19</v>
      </c>
      <c r="T8" s="2589">
        <v>20</v>
      </c>
      <c r="U8" s="2690">
        <v>21</v>
      </c>
      <c r="V8" s="2690">
        <v>22</v>
      </c>
      <c r="W8" s="2690">
        <v>23</v>
      </c>
      <c r="X8" s="2690">
        <v>24</v>
      </c>
      <c r="Y8" s="2691">
        <v>25</v>
      </c>
      <c r="Z8" s="2589">
        <v>26</v>
      </c>
      <c r="AA8" s="2589">
        <v>27</v>
      </c>
      <c r="AB8" s="2691">
        <v>28</v>
      </c>
      <c r="AC8" s="2691">
        <v>29</v>
      </c>
      <c r="AD8" s="2589">
        <v>30</v>
      </c>
    </row>
    <row r="9" spans="1:30" ht="63" x14ac:dyDescent="0.25">
      <c r="A9" s="2621"/>
      <c r="B9" s="2622" t="s">
        <v>2238</v>
      </c>
      <c r="C9" s="2623"/>
      <c r="D9" s="2624"/>
      <c r="E9" s="2624"/>
      <c r="F9" s="2624"/>
      <c r="G9" s="2624"/>
      <c r="H9" s="2625"/>
      <c r="I9" s="2623"/>
      <c r="J9" s="2624"/>
      <c r="K9" s="2624"/>
      <c r="L9" s="2624"/>
      <c r="M9" s="2624"/>
      <c r="N9" s="2625"/>
      <c r="O9" s="2623"/>
      <c r="P9" s="2624"/>
      <c r="Q9" s="2624"/>
      <c r="R9" s="2624"/>
      <c r="S9" s="2624"/>
      <c r="T9" s="2625"/>
      <c r="U9" s="2623"/>
      <c r="V9" s="2624"/>
      <c r="W9" s="2624"/>
      <c r="X9" s="2624"/>
      <c r="Y9" s="2625"/>
      <c r="Z9" s="2625"/>
      <c r="AA9" s="2625"/>
      <c r="AB9" s="2625"/>
      <c r="AC9" s="2625"/>
      <c r="AD9" s="2628"/>
    </row>
    <row r="10" spans="1:30" ht="20.25" customHeight="1" x14ac:dyDescent="0.25">
      <c r="A10" s="3672" t="s">
        <v>757</v>
      </c>
      <c r="B10" s="3673"/>
      <c r="C10" s="3673"/>
      <c r="D10" s="3673"/>
      <c r="E10" s="3674"/>
      <c r="F10" s="3674"/>
      <c r="G10" s="3674"/>
      <c r="H10" s="3674"/>
      <c r="I10" s="3673"/>
      <c r="J10" s="3673"/>
      <c r="K10" s="3674"/>
      <c r="L10" s="3674"/>
      <c r="M10" s="3674"/>
      <c r="N10" s="3674"/>
      <c r="O10" s="3673"/>
      <c r="P10" s="3673"/>
      <c r="Q10" s="3674"/>
      <c r="R10" s="3674"/>
      <c r="S10" s="3674"/>
      <c r="T10" s="3674"/>
      <c r="U10" s="3673"/>
      <c r="V10" s="3673"/>
      <c r="W10" s="3674"/>
      <c r="X10" s="3674"/>
      <c r="Y10" s="3674"/>
      <c r="Z10" s="3673"/>
      <c r="AA10" s="3673"/>
      <c r="AB10" s="3673"/>
      <c r="AC10" s="3673"/>
      <c r="AD10" s="3675"/>
    </row>
    <row r="11" spans="1:30" x14ac:dyDescent="0.25">
      <c r="A11" s="2590" t="s">
        <v>361</v>
      </c>
      <c r="B11" s="2591" t="s">
        <v>362</v>
      </c>
      <c r="C11" s="2592">
        <f>SUM(C12:C24)</f>
        <v>10</v>
      </c>
      <c r="D11" s="2593">
        <f t="shared" ref="D11:D16" si="0">(F11/C11*1000)+(E11/C11*1000)</f>
        <v>2790</v>
      </c>
      <c r="E11" s="2593">
        <f>SUM(E12:E24)</f>
        <v>0</v>
      </c>
      <c r="F11" s="2593">
        <f>SUM(F12:F24)</f>
        <v>27.9</v>
      </c>
      <c r="G11" s="2593">
        <f>SUM(G12:G24)</f>
        <v>0</v>
      </c>
      <c r="H11" s="2594">
        <f>SUM(H12:H24)</f>
        <v>27.9</v>
      </c>
      <c r="I11" s="2592">
        <f>SUM(I12:I24)</f>
        <v>15</v>
      </c>
      <c r="J11" s="2593">
        <f t="shared" ref="J11:AC11" si="1">SUM(J12:J24)</f>
        <v>61616.7</v>
      </c>
      <c r="K11" s="2593">
        <f t="shared" si="1"/>
        <v>0</v>
      </c>
      <c r="L11" s="2593">
        <f t="shared" si="1"/>
        <v>120.2</v>
      </c>
      <c r="M11" s="2593">
        <f t="shared" si="1"/>
        <v>0</v>
      </c>
      <c r="N11" s="2594">
        <f t="shared" si="1"/>
        <v>120.2</v>
      </c>
      <c r="O11" s="2592">
        <f t="shared" si="1"/>
        <v>15</v>
      </c>
      <c r="P11" s="2593">
        <f t="shared" si="1"/>
        <v>61616.7</v>
      </c>
      <c r="Q11" s="2593">
        <f t="shared" si="1"/>
        <v>0</v>
      </c>
      <c r="R11" s="2593">
        <f t="shared" si="1"/>
        <v>120.2</v>
      </c>
      <c r="S11" s="2593">
        <f t="shared" si="1"/>
        <v>0</v>
      </c>
      <c r="T11" s="2594">
        <f t="shared" si="1"/>
        <v>120.2</v>
      </c>
      <c r="U11" s="2592">
        <f t="shared" si="1"/>
        <v>0</v>
      </c>
      <c r="V11" s="2593">
        <f t="shared" si="1"/>
        <v>0</v>
      </c>
      <c r="W11" s="2593">
        <f t="shared" si="1"/>
        <v>0</v>
      </c>
      <c r="X11" s="2593">
        <f t="shared" si="1"/>
        <v>120.2</v>
      </c>
      <c r="Y11" s="2594">
        <f t="shared" si="1"/>
        <v>120.2</v>
      </c>
      <c r="Z11" s="2594">
        <f t="shared" si="1"/>
        <v>0</v>
      </c>
      <c r="AA11" s="2594">
        <f t="shared" si="1"/>
        <v>0</v>
      </c>
      <c r="AB11" s="2631">
        <f t="shared" si="1"/>
        <v>0</v>
      </c>
      <c r="AC11" s="2631">
        <f t="shared" si="1"/>
        <v>0</v>
      </c>
      <c r="AD11" s="2597"/>
    </row>
    <row r="12" spans="1:30" s="2612" customFormat="1" ht="31.5" x14ac:dyDescent="0.25">
      <c r="A12" s="2598"/>
      <c r="B12" s="2599" t="s">
        <v>2239</v>
      </c>
      <c r="C12" s="2600">
        <v>1</v>
      </c>
      <c r="D12" s="2601">
        <f t="shared" si="0"/>
        <v>5200</v>
      </c>
      <c r="E12" s="2602"/>
      <c r="F12" s="2602">
        <v>5.2</v>
      </c>
      <c r="G12" s="2602"/>
      <c r="H12" s="2603">
        <f t="shared" ref="H12:H16" si="2">SUM(E12:G12)</f>
        <v>5.2</v>
      </c>
      <c r="I12" s="2600"/>
      <c r="J12" s="2601"/>
      <c r="K12" s="2602"/>
      <c r="L12" s="2602"/>
      <c r="M12" s="2602"/>
      <c r="N12" s="2603"/>
      <c r="O12" s="2600"/>
      <c r="P12" s="2601"/>
      <c r="Q12" s="2602"/>
      <c r="R12" s="2602"/>
      <c r="S12" s="2602"/>
      <c r="T12" s="2603"/>
      <c r="U12" s="2600"/>
      <c r="V12" s="2601"/>
      <c r="W12" s="2602"/>
      <c r="X12" s="2602"/>
      <c r="Y12" s="2603"/>
      <c r="Z12" s="2603">
        <f t="shared" ref="Z12:Z16" si="3">W12-K12</f>
        <v>0</v>
      </c>
      <c r="AA12" s="2603">
        <f t="shared" ref="AA12:AA16" si="4">IFERROR(W12/K12*100,0)</f>
        <v>0</v>
      </c>
      <c r="AB12" s="2603"/>
      <c r="AC12" s="2603"/>
      <c r="AD12" s="2616"/>
    </row>
    <row r="13" spans="1:30" s="2612" customFormat="1" ht="31.5" x14ac:dyDescent="0.25">
      <c r="A13" s="2598"/>
      <c r="B13" s="2599" t="s">
        <v>2240</v>
      </c>
      <c r="C13" s="2600">
        <v>3</v>
      </c>
      <c r="D13" s="2601">
        <f t="shared" si="0"/>
        <v>2300</v>
      </c>
      <c r="E13" s="2602"/>
      <c r="F13" s="2602">
        <v>6.9</v>
      </c>
      <c r="G13" s="2602"/>
      <c r="H13" s="2603">
        <f t="shared" si="2"/>
        <v>6.9</v>
      </c>
      <c r="I13" s="2600"/>
      <c r="J13" s="2601"/>
      <c r="K13" s="2602"/>
      <c r="L13" s="2602"/>
      <c r="M13" s="2602"/>
      <c r="N13" s="2603"/>
      <c r="O13" s="2600"/>
      <c r="P13" s="2601"/>
      <c r="Q13" s="2602"/>
      <c r="R13" s="2602"/>
      <c r="S13" s="2602"/>
      <c r="T13" s="2603"/>
      <c r="U13" s="2600"/>
      <c r="V13" s="2601"/>
      <c r="W13" s="2602"/>
      <c r="X13" s="2602"/>
      <c r="Y13" s="2603"/>
      <c r="Z13" s="2603">
        <f t="shared" si="3"/>
        <v>0</v>
      </c>
      <c r="AA13" s="2603">
        <f t="shared" si="4"/>
        <v>0</v>
      </c>
      <c r="AB13" s="2603"/>
      <c r="AC13" s="2603"/>
      <c r="AD13" s="2616"/>
    </row>
    <row r="14" spans="1:30" s="2612" customFormat="1" ht="31.5" x14ac:dyDescent="0.25">
      <c r="A14" s="2598"/>
      <c r="B14" s="2599" t="s">
        <v>2241</v>
      </c>
      <c r="C14" s="2600">
        <v>2</v>
      </c>
      <c r="D14" s="2601">
        <f t="shared" si="0"/>
        <v>2300</v>
      </c>
      <c r="E14" s="2602"/>
      <c r="F14" s="2602">
        <v>4.5999999999999996</v>
      </c>
      <c r="G14" s="2602"/>
      <c r="H14" s="2603">
        <f t="shared" si="2"/>
        <v>4.5999999999999996</v>
      </c>
      <c r="I14" s="2600"/>
      <c r="J14" s="2601"/>
      <c r="K14" s="2602"/>
      <c r="L14" s="2602"/>
      <c r="M14" s="2602"/>
      <c r="N14" s="2603"/>
      <c r="O14" s="2600"/>
      <c r="P14" s="2601"/>
      <c r="Q14" s="2602"/>
      <c r="R14" s="2602"/>
      <c r="S14" s="2602"/>
      <c r="T14" s="2603"/>
      <c r="U14" s="2600"/>
      <c r="V14" s="2601"/>
      <c r="W14" s="2602"/>
      <c r="X14" s="2602"/>
      <c r="Y14" s="2603"/>
      <c r="Z14" s="2603">
        <f t="shared" si="3"/>
        <v>0</v>
      </c>
      <c r="AA14" s="2603">
        <f t="shared" si="4"/>
        <v>0</v>
      </c>
      <c r="AB14" s="2603"/>
      <c r="AC14" s="2603"/>
      <c r="AD14" s="2616"/>
    </row>
    <row r="15" spans="1:30" s="2612" customFormat="1" ht="31.5" x14ac:dyDescent="0.25">
      <c r="A15" s="2598"/>
      <c r="B15" s="2599" t="s">
        <v>2242</v>
      </c>
      <c r="C15" s="2600">
        <v>2</v>
      </c>
      <c r="D15" s="2601">
        <f t="shared" si="0"/>
        <v>2300</v>
      </c>
      <c r="E15" s="2602"/>
      <c r="F15" s="2602">
        <v>4.5999999999999996</v>
      </c>
      <c r="G15" s="2602"/>
      <c r="H15" s="2603">
        <f t="shared" si="2"/>
        <v>4.5999999999999996</v>
      </c>
      <c r="I15" s="2600"/>
      <c r="J15" s="2601"/>
      <c r="K15" s="2602"/>
      <c r="L15" s="2602"/>
      <c r="M15" s="2602"/>
      <c r="N15" s="2603"/>
      <c r="O15" s="2600"/>
      <c r="P15" s="2601"/>
      <c r="Q15" s="2602"/>
      <c r="R15" s="2602"/>
      <c r="S15" s="2602"/>
      <c r="T15" s="2603"/>
      <c r="U15" s="2600"/>
      <c r="V15" s="2601"/>
      <c r="W15" s="2602"/>
      <c r="X15" s="2602"/>
      <c r="Y15" s="2603"/>
      <c r="Z15" s="2603">
        <f t="shared" si="3"/>
        <v>0</v>
      </c>
      <c r="AA15" s="2603">
        <f t="shared" si="4"/>
        <v>0</v>
      </c>
      <c r="AB15" s="2603"/>
      <c r="AC15" s="2603"/>
      <c r="AD15" s="2616"/>
    </row>
    <row r="16" spans="1:30" s="2612" customFormat="1" ht="31.5" x14ac:dyDescent="0.25">
      <c r="A16" s="2598"/>
      <c r="B16" s="2599" t="s">
        <v>2243</v>
      </c>
      <c r="C16" s="2600">
        <v>2</v>
      </c>
      <c r="D16" s="2601">
        <f t="shared" si="0"/>
        <v>3300</v>
      </c>
      <c r="E16" s="2602"/>
      <c r="F16" s="2602">
        <v>6.6</v>
      </c>
      <c r="G16" s="2602"/>
      <c r="H16" s="2603">
        <f t="shared" si="2"/>
        <v>6.6</v>
      </c>
      <c r="I16" s="2600"/>
      <c r="J16" s="2601"/>
      <c r="K16" s="2602"/>
      <c r="L16" s="2602"/>
      <c r="M16" s="2602"/>
      <c r="N16" s="2603"/>
      <c r="O16" s="2600"/>
      <c r="P16" s="2601"/>
      <c r="Q16" s="2602"/>
      <c r="R16" s="2602"/>
      <c r="S16" s="2602"/>
      <c r="T16" s="2603"/>
      <c r="U16" s="2600"/>
      <c r="V16" s="2601"/>
      <c r="W16" s="2602"/>
      <c r="X16" s="2602"/>
      <c r="Y16" s="2603"/>
      <c r="Z16" s="2603">
        <f t="shared" si="3"/>
        <v>0</v>
      </c>
      <c r="AA16" s="2603">
        <f t="shared" si="4"/>
        <v>0</v>
      </c>
      <c r="AB16" s="2603"/>
      <c r="AC16" s="2603"/>
      <c r="AD16" s="2616"/>
    </row>
    <row r="17" spans="1:30" s="2612" customFormat="1" ht="31.5" x14ac:dyDescent="0.25">
      <c r="A17" s="2598"/>
      <c r="B17" s="2599" t="s">
        <v>2244</v>
      </c>
      <c r="C17" s="2600"/>
      <c r="D17" s="2601"/>
      <c r="E17" s="2602"/>
      <c r="F17" s="2602"/>
      <c r="G17" s="2602"/>
      <c r="H17" s="2603"/>
      <c r="I17" s="2600">
        <v>2</v>
      </c>
      <c r="J17" s="2601">
        <f t="shared" ref="J17:J24" si="5">(L17/I17*1000)+(K17/I17*1000)</f>
        <v>9200</v>
      </c>
      <c r="K17" s="2602"/>
      <c r="L17" s="2602">
        <v>18.399999999999999</v>
      </c>
      <c r="M17" s="2602"/>
      <c r="N17" s="2603">
        <f t="shared" ref="N17:N24" si="6">SUM(K17:M17)</f>
        <v>18.399999999999999</v>
      </c>
      <c r="O17" s="2600">
        <v>2</v>
      </c>
      <c r="P17" s="2601">
        <f t="shared" ref="P17:P24" si="7">(R17/O17*1000)+(Q17/O17*1000)</f>
        <v>9200</v>
      </c>
      <c r="Q17" s="2602"/>
      <c r="R17" s="2602">
        <v>18.399999999999999</v>
      </c>
      <c r="S17" s="2602"/>
      <c r="T17" s="2603">
        <f t="shared" ref="T17:T24" si="8">SUM(Q17:S17)</f>
        <v>18.399999999999999</v>
      </c>
      <c r="U17" s="2600"/>
      <c r="V17" s="2601"/>
      <c r="W17" s="2602"/>
      <c r="X17" s="2602">
        <v>18.399999999999999</v>
      </c>
      <c r="Y17" s="2603">
        <f t="shared" ref="Y17:Y24" si="9">SUM(W17:X17)</f>
        <v>18.399999999999999</v>
      </c>
      <c r="Z17" s="2603">
        <f t="shared" ref="Z17:Z80" si="10">W17-K17</f>
        <v>0</v>
      </c>
      <c r="AA17" s="2603">
        <f t="shared" ref="AA17:AA80" si="11">IFERROR(W17/K17*100,0)</f>
        <v>0</v>
      </c>
      <c r="AB17" s="2603"/>
      <c r="AC17" s="2603"/>
      <c r="AD17" s="2632"/>
    </row>
    <row r="18" spans="1:30" s="2612" customFormat="1" ht="31.5" x14ac:dyDescent="0.25">
      <c r="A18" s="2598"/>
      <c r="B18" s="2599" t="s">
        <v>2245</v>
      </c>
      <c r="C18" s="2600"/>
      <c r="D18" s="2601"/>
      <c r="E18" s="2602"/>
      <c r="F18" s="2602"/>
      <c r="G18" s="2602"/>
      <c r="H18" s="2603"/>
      <c r="I18" s="2600">
        <v>2</v>
      </c>
      <c r="J18" s="2601">
        <f t="shared" si="5"/>
        <v>9500</v>
      </c>
      <c r="K18" s="2602"/>
      <c r="L18" s="2602">
        <v>19</v>
      </c>
      <c r="M18" s="2602"/>
      <c r="N18" s="2603">
        <f t="shared" si="6"/>
        <v>19</v>
      </c>
      <c r="O18" s="2600">
        <v>2</v>
      </c>
      <c r="P18" s="2601">
        <f t="shared" si="7"/>
        <v>9500</v>
      </c>
      <c r="Q18" s="2602"/>
      <c r="R18" s="2602">
        <v>19</v>
      </c>
      <c r="S18" s="2602"/>
      <c r="T18" s="2603">
        <f t="shared" si="8"/>
        <v>19</v>
      </c>
      <c r="U18" s="2600"/>
      <c r="V18" s="2601"/>
      <c r="W18" s="2602"/>
      <c r="X18" s="2602">
        <v>19</v>
      </c>
      <c r="Y18" s="2603">
        <f t="shared" si="9"/>
        <v>19</v>
      </c>
      <c r="Z18" s="2603">
        <f t="shared" si="10"/>
        <v>0</v>
      </c>
      <c r="AA18" s="2603">
        <f t="shared" si="11"/>
        <v>0</v>
      </c>
      <c r="AB18" s="2603"/>
      <c r="AC18" s="2603"/>
      <c r="AD18" s="2632"/>
    </row>
    <row r="19" spans="1:30" s="2612" customFormat="1" ht="31.5" x14ac:dyDescent="0.25">
      <c r="A19" s="2598"/>
      <c r="B19" s="2599" t="s">
        <v>2246</v>
      </c>
      <c r="C19" s="2600"/>
      <c r="D19" s="2601"/>
      <c r="E19" s="2602"/>
      <c r="F19" s="2602"/>
      <c r="G19" s="2602"/>
      <c r="H19" s="2603"/>
      <c r="I19" s="2600">
        <v>2</v>
      </c>
      <c r="J19" s="2601">
        <f t="shared" si="5"/>
        <v>9500</v>
      </c>
      <c r="K19" s="2602"/>
      <c r="L19" s="2602">
        <v>19</v>
      </c>
      <c r="M19" s="2602"/>
      <c r="N19" s="2603">
        <f t="shared" si="6"/>
        <v>19</v>
      </c>
      <c r="O19" s="2600">
        <v>2</v>
      </c>
      <c r="P19" s="2601">
        <f t="shared" si="7"/>
        <v>9500</v>
      </c>
      <c r="Q19" s="2602"/>
      <c r="R19" s="2602">
        <v>19</v>
      </c>
      <c r="S19" s="2602"/>
      <c r="T19" s="2603">
        <f t="shared" si="8"/>
        <v>19</v>
      </c>
      <c r="U19" s="2600"/>
      <c r="V19" s="2601"/>
      <c r="W19" s="2602"/>
      <c r="X19" s="2602">
        <v>19</v>
      </c>
      <c r="Y19" s="2603">
        <f t="shared" si="9"/>
        <v>19</v>
      </c>
      <c r="Z19" s="2603">
        <f t="shared" si="10"/>
        <v>0</v>
      </c>
      <c r="AA19" s="2603">
        <f t="shared" si="11"/>
        <v>0</v>
      </c>
      <c r="AB19" s="2603"/>
      <c r="AC19" s="2603"/>
      <c r="AD19" s="2632"/>
    </row>
    <row r="20" spans="1:30" s="2612" customFormat="1" ht="31.5" x14ac:dyDescent="0.25">
      <c r="A20" s="2598"/>
      <c r="B20" s="2599" t="s">
        <v>2247</v>
      </c>
      <c r="C20" s="2600"/>
      <c r="D20" s="2601"/>
      <c r="E20" s="2602"/>
      <c r="F20" s="2602"/>
      <c r="G20" s="2602"/>
      <c r="H20" s="2603"/>
      <c r="I20" s="2600">
        <v>2</v>
      </c>
      <c r="J20" s="2601">
        <f t="shared" si="5"/>
        <v>9500</v>
      </c>
      <c r="K20" s="2602"/>
      <c r="L20" s="2602">
        <v>19</v>
      </c>
      <c r="M20" s="2602"/>
      <c r="N20" s="2603">
        <f t="shared" si="6"/>
        <v>19</v>
      </c>
      <c r="O20" s="2600">
        <v>2</v>
      </c>
      <c r="P20" s="2601">
        <f t="shared" si="7"/>
        <v>9500</v>
      </c>
      <c r="Q20" s="2602"/>
      <c r="R20" s="2602">
        <v>19</v>
      </c>
      <c r="S20" s="2602"/>
      <c r="T20" s="2603">
        <f t="shared" si="8"/>
        <v>19</v>
      </c>
      <c r="U20" s="2600"/>
      <c r="V20" s="2601"/>
      <c r="W20" s="2602"/>
      <c r="X20" s="2602">
        <v>19</v>
      </c>
      <c r="Y20" s="2603">
        <f t="shared" si="9"/>
        <v>19</v>
      </c>
      <c r="Z20" s="2603">
        <f t="shared" si="10"/>
        <v>0</v>
      </c>
      <c r="AA20" s="2603">
        <f t="shared" si="11"/>
        <v>0</v>
      </c>
      <c r="AB20" s="2603"/>
      <c r="AC20" s="2603"/>
      <c r="AD20" s="2632"/>
    </row>
    <row r="21" spans="1:30" s="2612" customFormat="1" x14ac:dyDescent="0.25">
      <c r="A21" s="2598"/>
      <c r="B21" s="2599" t="s">
        <v>2248</v>
      </c>
      <c r="C21" s="2600"/>
      <c r="D21" s="2601"/>
      <c r="E21" s="2602"/>
      <c r="F21" s="2602"/>
      <c r="G21" s="2602"/>
      <c r="H21" s="2603"/>
      <c r="I21" s="2600">
        <v>1</v>
      </c>
      <c r="J21" s="2601">
        <f t="shared" si="5"/>
        <v>3500</v>
      </c>
      <c r="K21" s="2602"/>
      <c r="L21" s="2602">
        <v>3.5</v>
      </c>
      <c r="M21" s="2602"/>
      <c r="N21" s="2603">
        <f t="shared" si="6"/>
        <v>3.5</v>
      </c>
      <c r="O21" s="2600">
        <v>1</v>
      </c>
      <c r="P21" s="2601">
        <f t="shared" si="7"/>
        <v>3500</v>
      </c>
      <c r="Q21" s="2602"/>
      <c r="R21" s="2602">
        <v>3.5</v>
      </c>
      <c r="S21" s="2602"/>
      <c r="T21" s="2603">
        <f t="shared" si="8"/>
        <v>3.5</v>
      </c>
      <c r="U21" s="2600"/>
      <c r="V21" s="2601"/>
      <c r="W21" s="2602"/>
      <c r="X21" s="2602">
        <v>3.5</v>
      </c>
      <c r="Y21" s="2603">
        <f t="shared" si="9"/>
        <v>3.5</v>
      </c>
      <c r="Z21" s="2603">
        <f t="shared" si="10"/>
        <v>0</v>
      </c>
      <c r="AA21" s="2603">
        <f t="shared" si="11"/>
        <v>0</v>
      </c>
      <c r="AB21" s="2603"/>
      <c r="AC21" s="2603"/>
      <c r="AD21" s="2632"/>
    </row>
    <row r="22" spans="1:30" s="2612" customFormat="1" x14ac:dyDescent="0.25">
      <c r="A22" s="2598"/>
      <c r="B22" s="2599" t="s">
        <v>2213</v>
      </c>
      <c r="C22" s="2600"/>
      <c r="D22" s="2601"/>
      <c r="E22" s="2602"/>
      <c r="F22" s="2602"/>
      <c r="G22" s="2602"/>
      <c r="H22" s="2603"/>
      <c r="I22" s="2600">
        <v>2</v>
      </c>
      <c r="J22" s="2601">
        <f t="shared" si="5"/>
        <v>3550</v>
      </c>
      <c r="K22" s="2602"/>
      <c r="L22" s="2602">
        <v>7.1</v>
      </c>
      <c r="M22" s="2602"/>
      <c r="N22" s="2603">
        <f t="shared" si="6"/>
        <v>7.1</v>
      </c>
      <c r="O22" s="2600">
        <v>2</v>
      </c>
      <c r="P22" s="2601">
        <f t="shared" si="7"/>
        <v>3550</v>
      </c>
      <c r="Q22" s="2602"/>
      <c r="R22" s="2602">
        <v>7.1</v>
      </c>
      <c r="S22" s="2602"/>
      <c r="T22" s="2603">
        <f t="shared" si="8"/>
        <v>7.1</v>
      </c>
      <c r="U22" s="2600"/>
      <c r="V22" s="2601"/>
      <c r="W22" s="2602"/>
      <c r="X22" s="2602">
        <v>7.1</v>
      </c>
      <c r="Y22" s="2603">
        <f t="shared" si="9"/>
        <v>7.1</v>
      </c>
      <c r="Z22" s="2603">
        <f t="shared" si="10"/>
        <v>0</v>
      </c>
      <c r="AA22" s="2603">
        <f t="shared" si="11"/>
        <v>0</v>
      </c>
      <c r="AB22" s="2603"/>
      <c r="AC22" s="2603"/>
      <c r="AD22" s="2632"/>
    </row>
    <row r="23" spans="1:30" s="2612" customFormat="1" ht="31.5" x14ac:dyDescent="0.25">
      <c r="A23" s="2598"/>
      <c r="B23" s="2599" t="s">
        <v>2249</v>
      </c>
      <c r="C23" s="2600"/>
      <c r="D23" s="2601"/>
      <c r="E23" s="2602"/>
      <c r="F23" s="2602"/>
      <c r="G23" s="2602"/>
      <c r="H23" s="2603"/>
      <c r="I23" s="2600">
        <v>1</v>
      </c>
      <c r="J23" s="2601">
        <f t="shared" si="5"/>
        <v>8200</v>
      </c>
      <c r="K23" s="2602"/>
      <c r="L23" s="2602">
        <v>8.1999999999999993</v>
      </c>
      <c r="M23" s="2602"/>
      <c r="N23" s="2603">
        <f t="shared" si="6"/>
        <v>8.1999999999999993</v>
      </c>
      <c r="O23" s="2600">
        <v>1</v>
      </c>
      <c r="P23" s="2601">
        <f t="shared" si="7"/>
        <v>8200</v>
      </c>
      <c r="Q23" s="2602"/>
      <c r="R23" s="2602">
        <v>8.1999999999999993</v>
      </c>
      <c r="S23" s="2602"/>
      <c r="T23" s="2603">
        <f t="shared" si="8"/>
        <v>8.1999999999999993</v>
      </c>
      <c r="U23" s="2600"/>
      <c r="V23" s="2601"/>
      <c r="W23" s="2602"/>
      <c r="X23" s="2602">
        <v>8.1999999999999993</v>
      </c>
      <c r="Y23" s="2603">
        <f t="shared" si="9"/>
        <v>8.1999999999999993</v>
      </c>
      <c r="Z23" s="2603">
        <f t="shared" si="10"/>
        <v>0</v>
      </c>
      <c r="AA23" s="2603">
        <f t="shared" si="11"/>
        <v>0</v>
      </c>
      <c r="AB23" s="2603"/>
      <c r="AC23" s="2603"/>
      <c r="AD23" s="2632"/>
    </row>
    <row r="24" spans="1:30" s="2612" customFormat="1" ht="31.5" x14ac:dyDescent="0.25">
      <c r="A24" s="2598"/>
      <c r="B24" s="2599" t="s">
        <v>2250</v>
      </c>
      <c r="C24" s="2600"/>
      <c r="D24" s="2601"/>
      <c r="E24" s="2602"/>
      <c r="F24" s="2602"/>
      <c r="G24" s="2602"/>
      <c r="H24" s="2603"/>
      <c r="I24" s="2600">
        <v>3</v>
      </c>
      <c r="J24" s="2601">
        <f t="shared" si="5"/>
        <v>8666.7000000000007</v>
      </c>
      <c r="K24" s="2602"/>
      <c r="L24" s="2602">
        <v>26</v>
      </c>
      <c r="M24" s="2602"/>
      <c r="N24" s="2603">
        <f t="shared" si="6"/>
        <v>26</v>
      </c>
      <c r="O24" s="2600">
        <v>3</v>
      </c>
      <c r="P24" s="2601">
        <f t="shared" si="7"/>
        <v>8666.7000000000007</v>
      </c>
      <c r="Q24" s="2602"/>
      <c r="R24" s="2602">
        <v>26</v>
      </c>
      <c r="S24" s="2602"/>
      <c r="T24" s="2603">
        <f t="shared" si="8"/>
        <v>26</v>
      </c>
      <c r="U24" s="2600"/>
      <c r="V24" s="2601"/>
      <c r="W24" s="2602"/>
      <c r="X24" s="2602">
        <v>26</v>
      </c>
      <c r="Y24" s="2603">
        <f t="shared" si="9"/>
        <v>26</v>
      </c>
      <c r="Z24" s="2603">
        <f t="shared" si="10"/>
        <v>0</v>
      </c>
      <c r="AA24" s="2603">
        <f t="shared" si="11"/>
        <v>0</v>
      </c>
      <c r="AB24" s="2603"/>
      <c r="AC24" s="2603"/>
      <c r="AD24" s="2632"/>
    </row>
    <row r="25" spans="1:30" x14ac:dyDescent="0.25">
      <c r="A25" s="2590" t="s">
        <v>363</v>
      </c>
      <c r="B25" s="2591" t="s">
        <v>364</v>
      </c>
      <c r="C25" s="2592">
        <f t="shared" ref="C25:I25" si="12">SUM(C26:C28)</f>
        <v>65</v>
      </c>
      <c r="D25" s="2593">
        <f t="shared" si="12"/>
        <v>330.8</v>
      </c>
      <c r="E25" s="2593">
        <f t="shared" si="12"/>
        <v>0</v>
      </c>
      <c r="F25" s="2593">
        <f t="shared" si="12"/>
        <v>21.5</v>
      </c>
      <c r="G25" s="2593">
        <f t="shared" si="12"/>
        <v>0</v>
      </c>
      <c r="H25" s="2594">
        <f t="shared" si="12"/>
        <v>21.5</v>
      </c>
      <c r="I25" s="2592">
        <f t="shared" si="12"/>
        <v>164</v>
      </c>
      <c r="J25" s="2593">
        <f t="shared" ref="J25:AC25" si="13">SUM(J26:J28)</f>
        <v>800</v>
      </c>
      <c r="K25" s="2593">
        <f t="shared" si="13"/>
        <v>0</v>
      </c>
      <c r="L25" s="2593">
        <f t="shared" si="13"/>
        <v>54</v>
      </c>
      <c r="M25" s="2593">
        <f t="shared" si="13"/>
        <v>0</v>
      </c>
      <c r="N25" s="2594">
        <f t="shared" si="13"/>
        <v>54</v>
      </c>
      <c r="O25" s="2592">
        <f t="shared" si="13"/>
        <v>174</v>
      </c>
      <c r="P25" s="2593">
        <f t="shared" si="13"/>
        <v>800</v>
      </c>
      <c r="Q25" s="2593">
        <f t="shared" si="13"/>
        <v>0</v>
      </c>
      <c r="R25" s="2593">
        <f t="shared" si="13"/>
        <v>57</v>
      </c>
      <c r="S25" s="2593">
        <f t="shared" si="13"/>
        <v>0</v>
      </c>
      <c r="T25" s="2594">
        <f t="shared" si="13"/>
        <v>57</v>
      </c>
      <c r="U25" s="2592">
        <f t="shared" si="13"/>
        <v>0</v>
      </c>
      <c r="V25" s="2593">
        <f t="shared" si="13"/>
        <v>0</v>
      </c>
      <c r="W25" s="2593">
        <f t="shared" si="13"/>
        <v>0</v>
      </c>
      <c r="X25" s="2593">
        <f t="shared" si="13"/>
        <v>60</v>
      </c>
      <c r="Y25" s="2594">
        <f t="shared" si="13"/>
        <v>60</v>
      </c>
      <c r="Z25" s="2594">
        <f t="shared" si="13"/>
        <v>0</v>
      </c>
      <c r="AA25" s="2594">
        <f t="shared" si="13"/>
        <v>0</v>
      </c>
      <c r="AB25" s="2631">
        <f t="shared" si="13"/>
        <v>0</v>
      </c>
      <c r="AC25" s="2631">
        <f t="shared" si="13"/>
        <v>0</v>
      </c>
      <c r="AD25" s="2597"/>
    </row>
    <row r="26" spans="1:30" s="2612" customFormat="1" x14ac:dyDescent="0.25">
      <c r="A26" s="2598"/>
      <c r="B26" s="2633" t="s">
        <v>2251</v>
      </c>
      <c r="C26" s="2634">
        <v>65</v>
      </c>
      <c r="D26" s="2635">
        <f t="shared" ref="D26" si="14">(F26/C26*1000)+(E26/C26*1000)</f>
        <v>330.8</v>
      </c>
      <c r="E26" s="2635"/>
      <c r="F26" s="2635">
        <v>21.5</v>
      </c>
      <c r="G26" s="2602"/>
      <c r="H26" s="2603">
        <f t="shared" ref="H26" si="15">SUM(E26:G26)</f>
        <v>21.5</v>
      </c>
      <c r="I26" s="2600"/>
      <c r="J26" s="2601"/>
      <c r="K26" s="2602"/>
      <c r="L26" s="2602"/>
      <c r="M26" s="2602"/>
      <c r="N26" s="2603"/>
      <c r="O26" s="2600"/>
      <c r="P26" s="2601"/>
      <c r="Q26" s="2602"/>
      <c r="R26" s="2602"/>
      <c r="S26" s="2602"/>
      <c r="T26" s="2603"/>
      <c r="U26" s="2600"/>
      <c r="V26" s="2601"/>
      <c r="W26" s="2602"/>
      <c r="X26" s="2602"/>
      <c r="Y26" s="2603"/>
      <c r="Z26" s="2603">
        <f t="shared" si="10"/>
        <v>0</v>
      </c>
      <c r="AA26" s="2603">
        <f t="shared" si="11"/>
        <v>0</v>
      </c>
      <c r="AB26" s="2603"/>
      <c r="AC26" s="2603"/>
      <c r="AD26" s="2620"/>
    </row>
    <row r="27" spans="1:30" s="2612" customFormat="1" x14ac:dyDescent="0.25">
      <c r="A27" s="2598"/>
      <c r="B27" s="2599" t="s">
        <v>2187</v>
      </c>
      <c r="C27" s="2600"/>
      <c r="D27" s="2601"/>
      <c r="E27" s="2602"/>
      <c r="F27" s="2602"/>
      <c r="G27" s="2602"/>
      <c r="H27" s="2603"/>
      <c r="I27" s="2600">
        <v>140</v>
      </c>
      <c r="J27" s="2601">
        <f t="shared" ref="J27:J28" si="16">(L27/I27*1000)+(K27/I27*1000)</f>
        <v>300</v>
      </c>
      <c r="K27" s="2602"/>
      <c r="L27" s="2602">
        <v>42</v>
      </c>
      <c r="M27" s="2602"/>
      <c r="N27" s="2603">
        <f t="shared" ref="N27:N28" si="17">SUM(K27:M27)</f>
        <v>42</v>
      </c>
      <c r="O27" s="2600">
        <v>150</v>
      </c>
      <c r="P27" s="2601">
        <v>300</v>
      </c>
      <c r="Q27" s="2602"/>
      <c r="R27" s="2602">
        <v>45</v>
      </c>
      <c r="S27" s="2602"/>
      <c r="T27" s="2603">
        <f t="shared" ref="T27:T28" si="18">SUM(Q27:S27)</f>
        <v>45</v>
      </c>
      <c r="U27" s="2600"/>
      <c r="V27" s="2601"/>
      <c r="W27" s="2602"/>
      <c r="X27" s="2602">
        <v>45</v>
      </c>
      <c r="Y27" s="2603">
        <f t="shared" ref="Y27:Y28" si="19">SUM(W27:X27)</f>
        <v>45</v>
      </c>
      <c r="Z27" s="2603">
        <f t="shared" si="10"/>
        <v>0</v>
      </c>
      <c r="AA27" s="2603">
        <f t="shared" si="11"/>
        <v>0</v>
      </c>
      <c r="AB27" s="2603"/>
      <c r="AC27" s="2603"/>
      <c r="AD27" s="2620"/>
    </row>
    <row r="28" spans="1:30" s="2612" customFormat="1" x14ac:dyDescent="0.25">
      <c r="A28" s="2598"/>
      <c r="B28" s="2599" t="s">
        <v>2188</v>
      </c>
      <c r="C28" s="2600"/>
      <c r="D28" s="2601"/>
      <c r="E28" s="2602"/>
      <c r="F28" s="2602"/>
      <c r="G28" s="2602"/>
      <c r="H28" s="2603"/>
      <c r="I28" s="2600">
        <v>24</v>
      </c>
      <c r="J28" s="2601">
        <f t="shared" si="16"/>
        <v>500</v>
      </c>
      <c r="K28" s="2602"/>
      <c r="L28" s="2602">
        <v>12</v>
      </c>
      <c r="M28" s="2602"/>
      <c r="N28" s="2603">
        <f t="shared" si="17"/>
        <v>12</v>
      </c>
      <c r="O28" s="2600">
        <v>24</v>
      </c>
      <c r="P28" s="2601">
        <v>500</v>
      </c>
      <c r="Q28" s="2602"/>
      <c r="R28" s="2602">
        <v>12</v>
      </c>
      <c r="S28" s="2602"/>
      <c r="T28" s="2603">
        <f t="shared" si="18"/>
        <v>12</v>
      </c>
      <c r="U28" s="2600"/>
      <c r="V28" s="2601"/>
      <c r="W28" s="2602"/>
      <c r="X28" s="2602">
        <v>15</v>
      </c>
      <c r="Y28" s="2603">
        <f t="shared" si="19"/>
        <v>15</v>
      </c>
      <c r="Z28" s="2603">
        <f t="shared" si="10"/>
        <v>0</v>
      </c>
      <c r="AA28" s="2603">
        <f t="shared" si="11"/>
        <v>0</v>
      </c>
      <c r="AB28" s="2603"/>
      <c r="AC28" s="2603"/>
      <c r="AD28" s="2620"/>
    </row>
    <row r="29" spans="1:30" ht="31.5" x14ac:dyDescent="0.25">
      <c r="A29" s="2590" t="s">
        <v>365</v>
      </c>
      <c r="B29" s="422" t="s">
        <v>366</v>
      </c>
      <c r="C29" s="2592">
        <f t="shared" ref="C29:H29" si="20">SUM(C30:C55)</f>
        <v>18</v>
      </c>
      <c r="D29" s="2593">
        <f t="shared" si="20"/>
        <v>119750</v>
      </c>
      <c r="E29" s="2593">
        <f t="shared" si="20"/>
        <v>120</v>
      </c>
      <c r="F29" s="2593">
        <f t="shared" si="20"/>
        <v>42.5</v>
      </c>
      <c r="G29" s="2593">
        <f t="shared" si="20"/>
        <v>0</v>
      </c>
      <c r="H29" s="2594">
        <f t="shared" si="20"/>
        <v>162.5</v>
      </c>
      <c r="I29" s="2592">
        <f>SUM(I50:I55)</f>
        <v>1</v>
      </c>
      <c r="J29" s="2593">
        <f t="shared" ref="J29:AC29" si="21">SUM(J50:J55)</f>
        <v>35000</v>
      </c>
      <c r="K29" s="2593">
        <f t="shared" si="21"/>
        <v>0</v>
      </c>
      <c r="L29" s="2593">
        <f t="shared" si="21"/>
        <v>35</v>
      </c>
      <c r="M29" s="2593">
        <f t="shared" si="21"/>
        <v>0</v>
      </c>
      <c r="N29" s="2594">
        <f t="shared" si="21"/>
        <v>35</v>
      </c>
      <c r="O29" s="2592">
        <f t="shared" si="21"/>
        <v>1</v>
      </c>
      <c r="P29" s="2593">
        <f t="shared" si="21"/>
        <v>35000</v>
      </c>
      <c r="Q29" s="2593">
        <f t="shared" si="21"/>
        <v>0</v>
      </c>
      <c r="R29" s="2593">
        <f t="shared" si="21"/>
        <v>35</v>
      </c>
      <c r="S29" s="2593">
        <f t="shared" si="21"/>
        <v>0</v>
      </c>
      <c r="T29" s="2594">
        <f t="shared" si="21"/>
        <v>35</v>
      </c>
      <c r="U29" s="2592">
        <f>SUM(U42:U55)</f>
        <v>0</v>
      </c>
      <c r="V29" s="2593">
        <f>SUM(V42:V55)</f>
        <v>0</v>
      </c>
      <c r="W29" s="2593">
        <f t="shared" ref="W29:Z29" si="22">SUM(W42:W55)</f>
        <v>0</v>
      </c>
      <c r="X29" s="2593">
        <f t="shared" si="22"/>
        <v>128</v>
      </c>
      <c r="Y29" s="2594">
        <f t="shared" si="22"/>
        <v>128</v>
      </c>
      <c r="Z29" s="2594">
        <f t="shared" si="22"/>
        <v>0</v>
      </c>
      <c r="AA29" s="2594">
        <f t="shared" si="11"/>
        <v>0</v>
      </c>
      <c r="AB29" s="2594">
        <f t="shared" si="21"/>
        <v>55.6</v>
      </c>
      <c r="AC29" s="2594">
        <f t="shared" si="21"/>
        <v>55.6</v>
      </c>
      <c r="AD29" s="2597"/>
    </row>
    <row r="30" spans="1:30" s="2612" customFormat="1" ht="31.5" x14ac:dyDescent="0.25">
      <c r="A30" s="2598"/>
      <c r="B30" s="424" t="s">
        <v>2252</v>
      </c>
      <c r="C30" s="2600">
        <v>1</v>
      </c>
      <c r="D30" s="2601">
        <f t="shared" ref="D30:D41" si="23">(F30/C30*1000)+(E30/C30*1000)</f>
        <v>35400</v>
      </c>
      <c r="E30" s="2602">
        <v>35.4</v>
      </c>
      <c r="F30" s="2602"/>
      <c r="G30" s="2602"/>
      <c r="H30" s="2603">
        <f t="shared" ref="H30:H41" si="24">SUM(E30:G30)</f>
        <v>35.4</v>
      </c>
      <c r="I30" s="2600"/>
      <c r="J30" s="2601"/>
      <c r="K30" s="2602"/>
      <c r="L30" s="2602"/>
      <c r="M30" s="2602"/>
      <c r="N30" s="2603"/>
      <c r="O30" s="2600"/>
      <c r="P30" s="2601"/>
      <c r="Q30" s="2602"/>
      <c r="R30" s="2602"/>
      <c r="S30" s="2602"/>
      <c r="T30" s="2603"/>
      <c r="U30" s="2600"/>
      <c r="V30" s="2601"/>
      <c r="W30" s="2602"/>
      <c r="X30" s="2602"/>
      <c r="Y30" s="2603"/>
      <c r="Z30" s="2603">
        <f t="shared" si="10"/>
        <v>0</v>
      </c>
      <c r="AA30" s="2603">
        <f t="shared" si="11"/>
        <v>0</v>
      </c>
      <c r="AB30" s="2603"/>
      <c r="AC30" s="2603"/>
      <c r="AD30" s="2616"/>
    </row>
    <row r="31" spans="1:30" s="2612" customFormat="1" x14ac:dyDescent="0.25">
      <c r="A31" s="2598"/>
      <c r="B31" s="424" t="s">
        <v>2253</v>
      </c>
      <c r="C31" s="2600">
        <v>4</v>
      </c>
      <c r="D31" s="2601">
        <f t="shared" si="23"/>
        <v>8600</v>
      </c>
      <c r="E31" s="2602">
        <v>34.4</v>
      </c>
      <c r="F31" s="2602"/>
      <c r="G31" s="2602"/>
      <c r="H31" s="2603">
        <f t="shared" si="24"/>
        <v>34.4</v>
      </c>
      <c r="I31" s="2600"/>
      <c r="J31" s="2601"/>
      <c r="K31" s="2602"/>
      <c r="L31" s="2602"/>
      <c r="M31" s="2602"/>
      <c r="N31" s="2603"/>
      <c r="O31" s="2600"/>
      <c r="P31" s="2601"/>
      <c r="Q31" s="2602"/>
      <c r="R31" s="2602"/>
      <c r="S31" s="2602"/>
      <c r="T31" s="2603"/>
      <c r="U31" s="2600"/>
      <c r="V31" s="2601"/>
      <c r="W31" s="2602"/>
      <c r="X31" s="2602"/>
      <c r="Y31" s="2603"/>
      <c r="Z31" s="2603">
        <f t="shared" si="10"/>
        <v>0</v>
      </c>
      <c r="AA31" s="2603">
        <f t="shared" si="11"/>
        <v>0</v>
      </c>
      <c r="AB31" s="2603"/>
      <c r="AC31" s="2603"/>
      <c r="AD31" s="2616"/>
    </row>
    <row r="32" spans="1:30" s="2612" customFormat="1" ht="31.5" x14ac:dyDescent="0.25">
      <c r="A32" s="2598"/>
      <c r="B32" s="424" t="s">
        <v>2254</v>
      </c>
      <c r="C32" s="2600">
        <v>2</v>
      </c>
      <c r="D32" s="2601">
        <f t="shared" si="23"/>
        <v>12550</v>
      </c>
      <c r="E32" s="2602">
        <v>25.1</v>
      </c>
      <c r="F32" s="2602"/>
      <c r="G32" s="2602"/>
      <c r="H32" s="2603">
        <f t="shared" si="24"/>
        <v>25.1</v>
      </c>
      <c r="I32" s="2600"/>
      <c r="J32" s="2601"/>
      <c r="K32" s="2602"/>
      <c r="L32" s="2602"/>
      <c r="M32" s="2602"/>
      <c r="N32" s="2603"/>
      <c r="O32" s="2600"/>
      <c r="P32" s="2601"/>
      <c r="Q32" s="2602"/>
      <c r="R32" s="2602"/>
      <c r="S32" s="2602"/>
      <c r="T32" s="2603"/>
      <c r="U32" s="2600"/>
      <c r="V32" s="2601"/>
      <c r="W32" s="2602"/>
      <c r="X32" s="2602"/>
      <c r="Y32" s="2603"/>
      <c r="Z32" s="2603">
        <f t="shared" si="10"/>
        <v>0</v>
      </c>
      <c r="AA32" s="2603">
        <f t="shared" si="11"/>
        <v>0</v>
      </c>
      <c r="AB32" s="2603"/>
      <c r="AC32" s="2603"/>
      <c r="AD32" s="2616"/>
    </row>
    <row r="33" spans="1:30" s="2612" customFormat="1" ht="31.5" x14ac:dyDescent="0.25">
      <c r="A33" s="2598"/>
      <c r="B33" s="424" t="s">
        <v>2254</v>
      </c>
      <c r="C33" s="2600">
        <v>1</v>
      </c>
      <c r="D33" s="2601">
        <f t="shared" si="23"/>
        <v>25100</v>
      </c>
      <c r="E33" s="2602">
        <v>25.1</v>
      </c>
      <c r="F33" s="2602"/>
      <c r="G33" s="2602"/>
      <c r="H33" s="2603">
        <f t="shared" si="24"/>
        <v>25.1</v>
      </c>
      <c r="I33" s="2600"/>
      <c r="J33" s="2601"/>
      <c r="K33" s="2602"/>
      <c r="L33" s="2602"/>
      <c r="M33" s="2602"/>
      <c r="N33" s="2603"/>
      <c r="O33" s="2600"/>
      <c r="P33" s="2601"/>
      <c r="Q33" s="2602"/>
      <c r="R33" s="2602"/>
      <c r="S33" s="2602"/>
      <c r="T33" s="2603"/>
      <c r="U33" s="2600"/>
      <c r="V33" s="2601"/>
      <c r="W33" s="2602"/>
      <c r="X33" s="2602"/>
      <c r="Y33" s="2603"/>
      <c r="Z33" s="2603">
        <f t="shared" si="10"/>
        <v>0</v>
      </c>
      <c r="AA33" s="2603">
        <f t="shared" si="11"/>
        <v>0</v>
      </c>
      <c r="AB33" s="2603"/>
      <c r="AC33" s="2603"/>
      <c r="AD33" s="2616"/>
    </row>
    <row r="34" spans="1:30" s="2612" customFormat="1" x14ac:dyDescent="0.25">
      <c r="A34" s="2598"/>
      <c r="B34" s="424" t="s">
        <v>2255</v>
      </c>
      <c r="C34" s="2600">
        <v>1</v>
      </c>
      <c r="D34" s="2601">
        <f t="shared" si="23"/>
        <v>2500</v>
      </c>
      <c r="E34" s="2602"/>
      <c r="F34" s="2602">
        <v>2.5</v>
      </c>
      <c r="G34" s="2602"/>
      <c r="H34" s="2603">
        <f t="shared" si="24"/>
        <v>2.5</v>
      </c>
      <c r="I34" s="2600"/>
      <c r="J34" s="2601"/>
      <c r="K34" s="2602"/>
      <c r="L34" s="2602"/>
      <c r="M34" s="2602"/>
      <c r="N34" s="2603"/>
      <c r="O34" s="2600"/>
      <c r="P34" s="2601"/>
      <c r="Q34" s="2602"/>
      <c r="R34" s="2602"/>
      <c r="S34" s="2602"/>
      <c r="T34" s="2603"/>
      <c r="U34" s="2600"/>
      <c r="V34" s="2601"/>
      <c r="W34" s="2602"/>
      <c r="X34" s="2602"/>
      <c r="Y34" s="2603"/>
      <c r="Z34" s="2603">
        <f t="shared" si="10"/>
        <v>0</v>
      </c>
      <c r="AA34" s="2603">
        <f t="shared" si="11"/>
        <v>0</v>
      </c>
      <c r="AB34" s="2603"/>
      <c r="AC34" s="2603"/>
      <c r="AD34" s="2616"/>
    </row>
    <row r="35" spans="1:30" s="2612" customFormat="1" x14ac:dyDescent="0.25">
      <c r="A35" s="2598"/>
      <c r="B35" s="424" t="s">
        <v>2256</v>
      </c>
      <c r="C35" s="2600">
        <v>2</v>
      </c>
      <c r="D35" s="2601">
        <f t="shared" si="23"/>
        <v>3800</v>
      </c>
      <c r="E35" s="2602"/>
      <c r="F35" s="2602">
        <v>7.6</v>
      </c>
      <c r="G35" s="2602"/>
      <c r="H35" s="2603">
        <f t="shared" si="24"/>
        <v>7.6</v>
      </c>
      <c r="I35" s="2600"/>
      <c r="J35" s="2601"/>
      <c r="K35" s="2602"/>
      <c r="L35" s="2602"/>
      <c r="M35" s="2602"/>
      <c r="N35" s="2603"/>
      <c r="O35" s="2600"/>
      <c r="P35" s="2601"/>
      <c r="Q35" s="2602"/>
      <c r="R35" s="2602"/>
      <c r="S35" s="2602"/>
      <c r="T35" s="2603"/>
      <c r="U35" s="2600"/>
      <c r="V35" s="2601"/>
      <c r="W35" s="2602"/>
      <c r="X35" s="2602"/>
      <c r="Y35" s="2603"/>
      <c r="Z35" s="2603">
        <f t="shared" si="10"/>
        <v>0</v>
      </c>
      <c r="AA35" s="2603">
        <f t="shared" si="11"/>
        <v>0</v>
      </c>
      <c r="AB35" s="2603"/>
      <c r="AC35" s="2603"/>
      <c r="AD35" s="2616"/>
    </row>
    <row r="36" spans="1:30" s="2612" customFormat="1" x14ac:dyDescent="0.25">
      <c r="A36" s="2598"/>
      <c r="B36" s="424" t="s">
        <v>2257</v>
      </c>
      <c r="C36" s="2600">
        <v>2</v>
      </c>
      <c r="D36" s="2601">
        <f t="shared" si="23"/>
        <v>600</v>
      </c>
      <c r="E36" s="2602"/>
      <c r="F36" s="2602">
        <v>1.2</v>
      </c>
      <c r="G36" s="2602"/>
      <c r="H36" s="2603">
        <f t="shared" si="24"/>
        <v>1.2</v>
      </c>
      <c r="I36" s="2600"/>
      <c r="J36" s="2601"/>
      <c r="K36" s="2602"/>
      <c r="L36" s="2602"/>
      <c r="M36" s="2602"/>
      <c r="N36" s="2603"/>
      <c r="O36" s="2600"/>
      <c r="P36" s="2601"/>
      <c r="Q36" s="2602"/>
      <c r="R36" s="2602"/>
      <c r="S36" s="2602"/>
      <c r="T36" s="2603"/>
      <c r="U36" s="2600"/>
      <c r="V36" s="2601"/>
      <c r="W36" s="2602"/>
      <c r="X36" s="2602"/>
      <c r="Y36" s="2603"/>
      <c r="Z36" s="2603">
        <f t="shared" si="10"/>
        <v>0</v>
      </c>
      <c r="AA36" s="2603">
        <f t="shared" si="11"/>
        <v>0</v>
      </c>
      <c r="AB36" s="2603"/>
      <c r="AC36" s="2603"/>
      <c r="AD36" s="2616"/>
    </row>
    <row r="37" spans="1:30" s="2612" customFormat="1" x14ac:dyDescent="0.25">
      <c r="A37" s="2598"/>
      <c r="B37" s="424" t="s">
        <v>2258</v>
      </c>
      <c r="C37" s="2600">
        <v>1</v>
      </c>
      <c r="D37" s="2601">
        <f t="shared" si="23"/>
        <v>12900</v>
      </c>
      <c r="E37" s="2602"/>
      <c r="F37" s="2602">
        <v>12.9</v>
      </c>
      <c r="G37" s="2602"/>
      <c r="H37" s="2603">
        <f t="shared" si="24"/>
        <v>12.9</v>
      </c>
      <c r="I37" s="2600"/>
      <c r="J37" s="2601"/>
      <c r="K37" s="2602"/>
      <c r="L37" s="2602"/>
      <c r="M37" s="2602"/>
      <c r="N37" s="2603"/>
      <c r="O37" s="2600"/>
      <c r="P37" s="2601"/>
      <c r="Q37" s="2602"/>
      <c r="R37" s="2602"/>
      <c r="S37" s="2602"/>
      <c r="T37" s="2603"/>
      <c r="U37" s="2600"/>
      <c r="V37" s="2601"/>
      <c r="W37" s="2602"/>
      <c r="X37" s="2602"/>
      <c r="Y37" s="2603"/>
      <c r="Z37" s="2603">
        <f t="shared" si="10"/>
        <v>0</v>
      </c>
      <c r="AA37" s="2603">
        <f t="shared" si="11"/>
        <v>0</v>
      </c>
      <c r="AB37" s="2603"/>
      <c r="AC37" s="2603"/>
      <c r="AD37" s="2616"/>
    </row>
    <row r="38" spans="1:30" s="2612" customFormat="1" x14ac:dyDescent="0.25">
      <c r="A38" s="2598"/>
      <c r="B38" s="424" t="s">
        <v>2259</v>
      </c>
      <c r="C38" s="2600">
        <v>1</v>
      </c>
      <c r="D38" s="2601">
        <f t="shared" si="23"/>
        <v>3200</v>
      </c>
      <c r="E38" s="2602"/>
      <c r="F38" s="2602">
        <v>3.2</v>
      </c>
      <c r="G38" s="2602"/>
      <c r="H38" s="2603">
        <f t="shared" si="24"/>
        <v>3.2</v>
      </c>
      <c r="I38" s="2600"/>
      <c r="J38" s="2601"/>
      <c r="K38" s="2602"/>
      <c r="L38" s="2602"/>
      <c r="M38" s="2602"/>
      <c r="N38" s="2603"/>
      <c r="O38" s="2600"/>
      <c r="P38" s="2601"/>
      <c r="Q38" s="2602"/>
      <c r="R38" s="2602"/>
      <c r="S38" s="2602"/>
      <c r="T38" s="2603"/>
      <c r="U38" s="2600"/>
      <c r="V38" s="2601"/>
      <c r="W38" s="2602"/>
      <c r="X38" s="2602"/>
      <c r="Y38" s="2603"/>
      <c r="Z38" s="2603">
        <f t="shared" si="10"/>
        <v>0</v>
      </c>
      <c r="AA38" s="2603">
        <f t="shared" si="11"/>
        <v>0</v>
      </c>
      <c r="AB38" s="2603"/>
      <c r="AC38" s="2603"/>
      <c r="AD38" s="2616"/>
    </row>
    <row r="39" spans="1:30" s="2612" customFormat="1" x14ac:dyDescent="0.25">
      <c r="A39" s="2598"/>
      <c r="B39" s="424" t="s">
        <v>2260</v>
      </c>
      <c r="C39" s="2600">
        <v>1</v>
      </c>
      <c r="D39" s="2601">
        <f t="shared" si="23"/>
        <v>13600</v>
      </c>
      <c r="E39" s="2602"/>
      <c r="F39" s="2602">
        <v>13.6</v>
      </c>
      <c r="G39" s="2602"/>
      <c r="H39" s="2603">
        <f t="shared" si="24"/>
        <v>13.6</v>
      </c>
      <c r="I39" s="2600"/>
      <c r="J39" s="2601"/>
      <c r="K39" s="2602"/>
      <c r="L39" s="2602"/>
      <c r="M39" s="2602"/>
      <c r="N39" s="2603"/>
      <c r="O39" s="2600"/>
      <c r="P39" s="2601"/>
      <c r="Q39" s="2602"/>
      <c r="R39" s="2602"/>
      <c r="S39" s="2602"/>
      <c r="T39" s="2603"/>
      <c r="U39" s="2600"/>
      <c r="V39" s="2601"/>
      <c r="W39" s="2602"/>
      <c r="X39" s="2602"/>
      <c r="Y39" s="2603"/>
      <c r="Z39" s="2603">
        <f t="shared" si="10"/>
        <v>0</v>
      </c>
      <c r="AA39" s="2603">
        <f t="shared" si="11"/>
        <v>0</v>
      </c>
      <c r="AB39" s="2603"/>
      <c r="AC39" s="2603"/>
      <c r="AD39" s="2616"/>
    </row>
    <row r="40" spans="1:30" s="2612" customFormat="1" ht="31.5" x14ac:dyDescent="0.25">
      <c r="A40" s="2598"/>
      <c r="B40" s="424" t="s">
        <v>2261</v>
      </c>
      <c r="C40" s="2600">
        <v>1</v>
      </c>
      <c r="D40" s="2601">
        <f t="shared" si="23"/>
        <v>1000</v>
      </c>
      <c r="E40" s="2602"/>
      <c r="F40" s="2602">
        <v>1</v>
      </c>
      <c r="G40" s="2602"/>
      <c r="H40" s="2603">
        <f t="shared" si="24"/>
        <v>1</v>
      </c>
      <c r="I40" s="2600"/>
      <c r="J40" s="2601"/>
      <c r="K40" s="2602"/>
      <c r="L40" s="2602"/>
      <c r="M40" s="2602"/>
      <c r="N40" s="2603"/>
      <c r="O40" s="2600"/>
      <c r="P40" s="2601"/>
      <c r="Q40" s="2602"/>
      <c r="R40" s="2602"/>
      <c r="S40" s="2602"/>
      <c r="T40" s="2603"/>
      <c r="U40" s="2600"/>
      <c r="V40" s="2601"/>
      <c r="W40" s="2602"/>
      <c r="X40" s="2602"/>
      <c r="Y40" s="2603"/>
      <c r="Z40" s="2603">
        <f t="shared" si="10"/>
        <v>0</v>
      </c>
      <c r="AA40" s="2603">
        <f t="shared" si="11"/>
        <v>0</v>
      </c>
      <c r="AB40" s="2603"/>
      <c r="AC40" s="2603"/>
      <c r="AD40" s="2616"/>
    </row>
    <row r="41" spans="1:30" s="2612" customFormat="1" ht="31.5" x14ac:dyDescent="0.25">
      <c r="A41" s="2598"/>
      <c r="B41" s="424" t="s">
        <v>2262</v>
      </c>
      <c r="C41" s="2600">
        <v>1</v>
      </c>
      <c r="D41" s="2601">
        <f t="shared" si="23"/>
        <v>500</v>
      </c>
      <c r="E41" s="2602"/>
      <c r="F41" s="2602">
        <v>0.5</v>
      </c>
      <c r="G41" s="2602"/>
      <c r="H41" s="2603">
        <f t="shared" si="24"/>
        <v>0.5</v>
      </c>
      <c r="I41" s="2600"/>
      <c r="J41" s="2601"/>
      <c r="K41" s="2602"/>
      <c r="L41" s="2602"/>
      <c r="M41" s="2602"/>
      <c r="N41" s="2603"/>
      <c r="O41" s="2600"/>
      <c r="P41" s="2601"/>
      <c r="Q41" s="2602"/>
      <c r="R41" s="2602"/>
      <c r="S41" s="2602"/>
      <c r="T41" s="2603"/>
      <c r="U41" s="2600"/>
      <c r="V41" s="2601"/>
      <c r="W41" s="2602"/>
      <c r="X41" s="2602"/>
      <c r="Y41" s="2603"/>
      <c r="Z41" s="2603">
        <f t="shared" si="10"/>
        <v>0</v>
      </c>
      <c r="AA41" s="2603">
        <f t="shared" si="11"/>
        <v>0</v>
      </c>
      <c r="AB41" s="2603"/>
      <c r="AC41" s="2603"/>
      <c r="AD41" s="2616"/>
    </row>
    <row r="42" spans="1:30" s="2612" customFormat="1" ht="15.75" customHeight="1" x14ac:dyDescent="0.25">
      <c r="A42" s="2598"/>
      <c r="B42" s="424" t="s">
        <v>2263</v>
      </c>
      <c r="C42" s="2600"/>
      <c r="D42" s="2601"/>
      <c r="E42" s="2602"/>
      <c r="F42" s="2602"/>
      <c r="G42" s="2602"/>
      <c r="H42" s="2603"/>
      <c r="I42" s="2600"/>
      <c r="J42" s="2601"/>
      <c r="K42" s="2602"/>
      <c r="L42" s="2602"/>
      <c r="M42" s="2602"/>
      <c r="N42" s="2603"/>
      <c r="O42" s="2600"/>
      <c r="P42" s="2601"/>
      <c r="Q42" s="2602"/>
      <c r="R42" s="2602"/>
      <c r="S42" s="2602"/>
      <c r="T42" s="2603"/>
      <c r="U42" s="2600"/>
      <c r="V42" s="2601"/>
      <c r="W42" s="2602"/>
      <c r="X42" s="2602">
        <v>8</v>
      </c>
      <c r="Y42" s="2603">
        <f t="shared" ref="Y42:Y55" si="25">SUM(W42:X42)</f>
        <v>8</v>
      </c>
      <c r="Z42" s="2603">
        <f t="shared" si="10"/>
        <v>0</v>
      </c>
      <c r="AA42" s="2603">
        <f t="shared" si="11"/>
        <v>0</v>
      </c>
      <c r="AB42" s="2603"/>
      <c r="AC42" s="2603"/>
      <c r="AD42" s="2632"/>
    </row>
    <row r="43" spans="1:30" s="2612" customFormat="1" x14ac:dyDescent="0.25">
      <c r="A43" s="2598"/>
      <c r="B43" s="424" t="s">
        <v>2203</v>
      </c>
      <c r="C43" s="2600"/>
      <c r="D43" s="2601"/>
      <c r="E43" s="2602"/>
      <c r="F43" s="2602"/>
      <c r="G43" s="2602"/>
      <c r="H43" s="2603"/>
      <c r="I43" s="2600"/>
      <c r="J43" s="2601"/>
      <c r="K43" s="2602"/>
      <c r="L43" s="2602"/>
      <c r="M43" s="2602"/>
      <c r="N43" s="2603"/>
      <c r="O43" s="2600"/>
      <c r="P43" s="2601"/>
      <c r="Q43" s="2602"/>
      <c r="R43" s="2602"/>
      <c r="S43" s="2602"/>
      <c r="T43" s="2603"/>
      <c r="U43" s="2600"/>
      <c r="V43" s="2601"/>
      <c r="W43" s="2602"/>
      <c r="X43" s="2602">
        <v>6</v>
      </c>
      <c r="Y43" s="2603">
        <f t="shared" si="25"/>
        <v>6</v>
      </c>
      <c r="Z43" s="2603">
        <f t="shared" si="10"/>
        <v>0</v>
      </c>
      <c r="AA43" s="2603">
        <f t="shared" si="11"/>
        <v>0</v>
      </c>
      <c r="AB43" s="2603"/>
      <c r="AC43" s="2603"/>
      <c r="AD43" s="2632"/>
    </row>
    <row r="44" spans="1:30" s="2612" customFormat="1" x14ac:dyDescent="0.25">
      <c r="A44" s="2598"/>
      <c r="B44" s="424" t="s">
        <v>2264</v>
      </c>
      <c r="C44" s="2600"/>
      <c r="D44" s="2601"/>
      <c r="E44" s="2602"/>
      <c r="F44" s="2602"/>
      <c r="G44" s="2602"/>
      <c r="H44" s="2603"/>
      <c r="I44" s="2600"/>
      <c r="J44" s="2601"/>
      <c r="K44" s="2602"/>
      <c r="L44" s="2602"/>
      <c r="M44" s="2602"/>
      <c r="N44" s="2603"/>
      <c r="O44" s="2600"/>
      <c r="P44" s="2601"/>
      <c r="Q44" s="2602"/>
      <c r="R44" s="2602"/>
      <c r="S44" s="2602"/>
      <c r="T44" s="2603"/>
      <c r="U44" s="2600"/>
      <c r="V44" s="2601"/>
      <c r="W44" s="2602"/>
      <c r="X44" s="2602"/>
      <c r="Y44" s="2603">
        <f t="shared" si="25"/>
        <v>0</v>
      </c>
      <c r="Z44" s="2603">
        <f t="shared" si="10"/>
        <v>0</v>
      </c>
      <c r="AA44" s="2603">
        <f t="shared" si="11"/>
        <v>0</v>
      </c>
      <c r="AB44" s="2603"/>
      <c r="AC44" s="2603"/>
      <c r="AD44" s="2632"/>
    </row>
    <row r="45" spans="1:30" s="2612" customFormat="1" x14ac:dyDescent="0.25">
      <c r="A45" s="2598"/>
      <c r="B45" s="424" t="s">
        <v>1418</v>
      </c>
      <c r="C45" s="2600"/>
      <c r="D45" s="2601"/>
      <c r="E45" s="2602"/>
      <c r="F45" s="2602"/>
      <c r="G45" s="2602"/>
      <c r="H45" s="2603"/>
      <c r="I45" s="2600"/>
      <c r="J45" s="2601"/>
      <c r="K45" s="2602"/>
      <c r="L45" s="2602"/>
      <c r="M45" s="2602"/>
      <c r="N45" s="2603"/>
      <c r="O45" s="2600"/>
      <c r="P45" s="2601"/>
      <c r="Q45" s="2602"/>
      <c r="R45" s="2602"/>
      <c r="S45" s="2602"/>
      <c r="T45" s="2603"/>
      <c r="U45" s="2600"/>
      <c r="V45" s="2601"/>
      <c r="W45" s="2602"/>
      <c r="X45" s="2602"/>
      <c r="Y45" s="2603">
        <f t="shared" si="25"/>
        <v>0</v>
      </c>
      <c r="Z45" s="2603">
        <f t="shared" si="10"/>
        <v>0</v>
      </c>
      <c r="AA45" s="2603">
        <f t="shared" si="11"/>
        <v>0</v>
      </c>
      <c r="AB45" s="2603"/>
      <c r="AC45" s="2603"/>
      <c r="AD45" s="2632"/>
    </row>
    <row r="46" spans="1:30" s="2612" customFormat="1" x14ac:dyDescent="0.25">
      <c r="A46" s="2598"/>
      <c r="B46" s="424" t="s">
        <v>2265</v>
      </c>
      <c r="C46" s="2600"/>
      <c r="D46" s="2601"/>
      <c r="E46" s="2602"/>
      <c r="F46" s="2602"/>
      <c r="G46" s="2602"/>
      <c r="H46" s="2603"/>
      <c r="I46" s="2600"/>
      <c r="J46" s="2601"/>
      <c r="K46" s="2602"/>
      <c r="L46" s="2602"/>
      <c r="M46" s="2602"/>
      <c r="N46" s="2603"/>
      <c r="O46" s="2600"/>
      <c r="P46" s="2601"/>
      <c r="Q46" s="2602"/>
      <c r="R46" s="2602"/>
      <c r="S46" s="2602"/>
      <c r="T46" s="2603"/>
      <c r="U46" s="2600"/>
      <c r="V46" s="2601"/>
      <c r="W46" s="2602"/>
      <c r="X46" s="2602">
        <v>2</v>
      </c>
      <c r="Y46" s="2603">
        <f t="shared" si="25"/>
        <v>2</v>
      </c>
      <c r="Z46" s="2603">
        <f t="shared" si="10"/>
        <v>0</v>
      </c>
      <c r="AA46" s="2603">
        <f t="shared" si="11"/>
        <v>0</v>
      </c>
      <c r="AB46" s="2603"/>
      <c r="AC46" s="2603"/>
      <c r="AD46" s="2632"/>
    </row>
    <row r="47" spans="1:30" s="2612" customFormat="1" x14ac:dyDescent="0.25">
      <c r="A47" s="2598"/>
      <c r="B47" s="424" t="s">
        <v>2266</v>
      </c>
      <c r="C47" s="2600"/>
      <c r="D47" s="2601"/>
      <c r="E47" s="2602"/>
      <c r="F47" s="2602"/>
      <c r="G47" s="2602"/>
      <c r="H47" s="2603"/>
      <c r="I47" s="2600"/>
      <c r="J47" s="2601"/>
      <c r="K47" s="2602"/>
      <c r="L47" s="2602"/>
      <c r="M47" s="2602"/>
      <c r="N47" s="2603"/>
      <c r="O47" s="2600"/>
      <c r="P47" s="2601"/>
      <c r="Q47" s="2602"/>
      <c r="R47" s="2602"/>
      <c r="S47" s="2602"/>
      <c r="T47" s="2603"/>
      <c r="U47" s="2600"/>
      <c r="V47" s="2601"/>
      <c r="W47" s="2602"/>
      <c r="X47" s="2602"/>
      <c r="Y47" s="2603">
        <f t="shared" si="25"/>
        <v>0</v>
      </c>
      <c r="Z47" s="2603">
        <f t="shared" si="10"/>
        <v>0</v>
      </c>
      <c r="AA47" s="2603">
        <f t="shared" si="11"/>
        <v>0</v>
      </c>
      <c r="AB47" s="2603"/>
      <c r="AC47" s="2603"/>
      <c r="AD47" s="2632"/>
    </row>
    <row r="48" spans="1:30" s="2612" customFormat="1" x14ac:dyDescent="0.25">
      <c r="A48" s="2598"/>
      <c r="B48" s="424" t="s">
        <v>1417</v>
      </c>
      <c r="C48" s="2600"/>
      <c r="D48" s="2601"/>
      <c r="E48" s="2602"/>
      <c r="F48" s="2602"/>
      <c r="G48" s="2602"/>
      <c r="H48" s="2603"/>
      <c r="I48" s="2600"/>
      <c r="J48" s="2601"/>
      <c r="K48" s="2602"/>
      <c r="L48" s="2602"/>
      <c r="M48" s="2602"/>
      <c r="N48" s="2603"/>
      <c r="O48" s="2600"/>
      <c r="P48" s="2601"/>
      <c r="Q48" s="2602"/>
      <c r="R48" s="2602"/>
      <c r="S48" s="2602"/>
      <c r="T48" s="2603"/>
      <c r="U48" s="2600"/>
      <c r="V48" s="2601"/>
      <c r="W48" s="2602"/>
      <c r="X48" s="2602"/>
      <c r="Y48" s="2603">
        <f t="shared" si="25"/>
        <v>0</v>
      </c>
      <c r="Z48" s="2603">
        <f t="shared" si="10"/>
        <v>0</v>
      </c>
      <c r="AA48" s="2603">
        <f t="shared" si="11"/>
        <v>0</v>
      </c>
      <c r="AB48" s="2603"/>
      <c r="AC48" s="2603"/>
      <c r="AD48" s="2632"/>
    </row>
    <row r="49" spans="1:30" s="2612" customFormat="1" x14ac:dyDescent="0.25">
      <c r="A49" s="2598"/>
      <c r="B49" s="424" t="s">
        <v>2267</v>
      </c>
      <c r="C49" s="2600"/>
      <c r="D49" s="2601"/>
      <c r="E49" s="2602"/>
      <c r="F49" s="2602"/>
      <c r="G49" s="2602"/>
      <c r="H49" s="2603"/>
      <c r="I49" s="2600"/>
      <c r="J49" s="2601"/>
      <c r="K49" s="2602"/>
      <c r="L49" s="2602"/>
      <c r="M49" s="2602"/>
      <c r="N49" s="2603"/>
      <c r="O49" s="2600"/>
      <c r="P49" s="2601"/>
      <c r="Q49" s="2602"/>
      <c r="R49" s="2602"/>
      <c r="S49" s="2602"/>
      <c r="T49" s="2603"/>
      <c r="U49" s="2600"/>
      <c r="V49" s="2601"/>
      <c r="W49" s="2602"/>
      <c r="X49" s="2602">
        <v>35</v>
      </c>
      <c r="Y49" s="2603">
        <f t="shared" si="25"/>
        <v>35</v>
      </c>
      <c r="Z49" s="2603">
        <f t="shared" si="10"/>
        <v>0</v>
      </c>
      <c r="AA49" s="2603">
        <f t="shared" si="11"/>
        <v>0</v>
      </c>
      <c r="AB49" s="2603"/>
      <c r="AC49" s="2603"/>
      <c r="AD49" s="2632"/>
    </row>
    <row r="50" spans="1:30" s="2612" customFormat="1" x14ac:dyDescent="0.25">
      <c r="A50" s="2598"/>
      <c r="B50" s="424" t="s">
        <v>2268</v>
      </c>
      <c r="C50" s="2600"/>
      <c r="D50" s="2601"/>
      <c r="E50" s="2602"/>
      <c r="F50" s="2602"/>
      <c r="G50" s="2602"/>
      <c r="H50" s="2603"/>
      <c r="I50" s="2600">
        <v>1</v>
      </c>
      <c r="J50" s="2601">
        <f t="shared" ref="J50" si="26">(L50/I50*1000)+(K50/I50*1000)</f>
        <v>35000</v>
      </c>
      <c r="K50" s="2602"/>
      <c r="L50" s="2602">
        <v>35</v>
      </c>
      <c r="M50" s="2602"/>
      <c r="N50" s="2603">
        <f t="shared" ref="N50" si="27">SUM(K50:M50)</f>
        <v>35</v>
      </c>
      <c r="O50" s="2600">
        <v>1</v>
      </c>
      <c r="P50" s="2601">
        <f t="shared" ref="P50" si="28">(R50/O50*1000)+(Q50/O50*1000)</f>
        <v>35000</v>
      </c>
      <c r="Q50" s="2602"/>
      <c r="R50" s="2602">
        <v>35</v>
      </c>
      <c r="S50" s="2602"/>
      <c r="T50" s="2603">
        <f t="shared" ref="T50" si="29">SUM(Q50:S50)</f>
        <v>35</v>
      </c>
      <c r="U50" s="2600"/>
      <c r="V50" s="2601"/>
      <c r="W50" s="2602"/>
      <c r="X50" s="2602"/>
      <c r="Y50" s="2603">
        <f t="shared" si="25"/>
        <v>0</v>
      </c>
      <c r="Z50" s="2603">
        <f t="shared" si="10"/>
        <v>0</v>
      </c>
      <c r="AA50" s="2603">
        <f t="shared" si="11"/>
        <v>0</v>
      </c>
      <c r="AB50" s="2603"/>
      <c r="AC50" s="2603"/>
      <c r="AD50" s="2632"/>
    </row>
    <row r="51" spans="1:30" s="2612" customFormat="1" ht="36.75" customHeight="1" x14ac:dyDescent="0.25">
      <c r="A51" s="2598"/>
      <c r="B51" s="424" t="s">
        <v>2269</v>
      </c>
      <c r="C51" s="2600"/>
      <c r="D51" s="2601"/>
      <c r="E51" s="2602"/>
      <c r="F51" s="2602"/>
      <c r="G51" s="2602"/>
      <c r="H51" s="2603"/>
      <c r="I51" s="2600"/>
      <c r="J51" s="2601"/>
      <c r="K51" s="2602"/>
      <c r="L51" s="2602"/>
      <c r="M51" s="2602"/>
      <c r="N51" s="2603"/>
      <c r="O51" s="2600"/>
      <c r="P51" s="2601"/>
      <c r="Q51" s="2602"/>
      <c r="R51" s="2602"/>
      <c r="S51" s="2602"/>
      <c r="T51" s="2603"/>
      <c r="U51" s="2600"/>
      <c r="V51" s="2601"/>
      <c r="W51" s="2602"/>
      <c r="X51" s="2602">
        <v>6</v>
      </c>
      <c r="Y51" s="2603">
        <f t="shared" si="25"/>
        <v>6</v>
      </c>
      <c r="Z51" s="2603">
        <f t="shared" si="10"/>
        <v>0</v>
      </c>
      <c r="AA51" s="2603">
        <f t="shared" si="11"/>
        <v>0</v>
      </c>
      <c r="AB51" s="2603"/>
      <c r="AC51" s="2603"/>
      <c r="AD51" s="2636"/>
    </row>
    <row r="52" spans="1:30" s="2612" customFormat="1" ht="39" customHeight="1" x14ac:dyDescent="0.25">
      <c r="A52" s="2598"/>
      <c r="B52" s="424" t="s">
        <v>2270</v>
      </c>
      <c r="C52" s="2600"/>
      <c r="D52" s="2601"/>
      <c r="E52" s="2602"/>
      <c r="F52" s="2602"/>
      <c r="G52" s="2602"/>
      <c r="H52" s="2603"/>
      <c r="I52" s="2600"/>
      <c r="J52" s="2601"/>
      <c r="K52" s="2602"/>
      <c r="L52" s="2602"/>
      <c r="M52" s="2602"/>
      <c r="N52" s="2603"/>
      <c r="O52" s="2600"/>
      <c r="P52" s="2601"/>
      <c r="Q52" s="2602"/>
      <c r="R52" s="2602"/>
      <c r="S52" s="2602"/>
      <c r="T52" s="2603"/>
      <c r="U52" s="2600"/>
      <c r="V52" s="2601"/>
      <c r="W52" s="2602"/>
      <c r="X52" s="2602">
        <v>7</v>
      </c>
      <c r="Y52" s="2603">
        <f t="shared" si="25"/>
        <v>7</v>
      </c>
      <c r="Z52" s="2603">
        <f t="shared" si="10"/>
        <v>0</v>
      </c>
      <c r="AA52" s="2603">
        <f t="shared" si="11"/>
        <v>0</v>
      </c>
      <c r="AB52" s="2603"/>
      <c r="AC52" s="2603"/>
      <c r="AD52" s="2636"/>
    </row>
    <row r="53" spans="1:30" x14ac:dyDescent="0.25">
      <c r="A53" s="2609"/>
      <c r="B53" s="2610" t="s">
        <v>2271</v>
      </c>
      <c r="C53" s="2586"/>
      <c r="D53" s="2587"/>
      <c r="E53" s="2611"/>
      <c r="F53" s="2611"/>
      <c r="G53" s="2611"/>
      <c r="H53" s="2603"/>
      <c r="I53" s="2600"/>
      <c r="J53" s="2601"/>
      <c r="K53" s="2601"/>
      <c r="L53" s="2602"/>
      <c r="M53" s="2602"/>
      <c r="N53" s="2603"/>
      <c r="O53" s="2600"/>
      <c r="P53" s="2601"/>
      <c r="Q53" s="2601"/>
      <c r="R53" s="2602"/>
      <c r="S53" s="2602"/>
      <c r="T53" s="2604"/>
      <c r="U53" s="2600"/>
      <c r="V53" s="2601"/>
      <c r="W53" s="2601"/>
      <c r="X53" s="2602">
        <v>4</v>
      </c>
      <c r="Y53" s="2603">
        <f t="shared" si="25"/>
        <v>4</v>
      </c>
      <c r="Z53" s="2603">
        <f t="shared" si="10"/>
        <v>0</v>
      </c>
      <c r="AA53" s="2603">
        <f t="shared" si="11"/>
        <v>0</v>
      </c>
      <c r="AB53" s="2601"/>
      <c r="AC53" s="2601"/>
      <c r="AD53" s="2636"/>
    </row>
    <row r="54" spans="1:30" ht="70.5" customHeight="1" x14ac:dyDescent="0.25">
      <c r="A54" s="2609"/>
      <c r="B54" s="2610" t="s">
        <v>2214</v>
      </c>
      <c r="C54" s="2586"/>
      <c r="D54" s="2587"/>
      <c r="E54" s="2611"/>
      <c r="F54" s="2611"/>
      <c r="G54" s="2611"/>
      <c r="H54" s="2603"/>
      <c r="I54" s="2600"/>
      <c r="J54" s="2601"/>
      <c r="K54" s="2601"/>
      <c r="L54" s="2602"/>
      <c r="M54" s="2602"/>
      <c r="N54" s="2603"/>
      <c r="O54" s="2600"/>
      <c r="P54" s="2601"/>
      <c r="Q54" s="2601"/>
      <c r="R54" s="2602"/>
      <c r="S54" s="2602"/>
      <c r="T54" s="2604"/>
      <c r="U54" s="2600"/>
      <c r="V54" s="2601"/>
      <c r="W54" s="2601"/>
      <c r="X54" s="2601">
        <v>20</v>
      </c>
      <c r="Y54" s="2603">
        <f t="shared" si="25"/>
        <v>20</v>
      </c>
      <c r="Z54" s="2603">
        <f t="shared" si="10"/>
        <v>0</v>
      </c>
      <c r="AA54" s="2603">
        <f t="shared" si="11"/>
        <v>0</v>
      </c>
      <c r="AB54" s="2886">
        <v>16.600000000000001</v>
      </c>
      <c r="AC54" s="2886">
        <v>16.600000000000001</v>
      </c>
      <c r="AD54" s="2887" t="s">
        <v>2272</v>
      </c>
    </row>
    <row r="55" spans="1:30" ht="68.25" customHeight="1" x14ac:dyDescent="0.25">
      <c r="A55" s="2609"/>
      <c r="B55" s="2610" t="s">
        <v>2230</v>
      </c>
      <c r="C55" s="2586"/>
      <c r="D55" s="2587"/>
      <c r="E55" s="2611"/>
      <c r="F55" s="2611"/>
      <c r="G55" s="2611"/>
      <c r="H55" s="2603"/>
      <c r="I55" s="2600"/>
      <c r="J55" s="2601"/>
      <c r="K55" s="2601"/>
      <c r="L55" s="2602"/>
      <c r="M55" s="2602"/>
      <c r="N55" s="2603"/>
      <c r="O55" s="2600"/>
      <c r="P55" s="2601"/>
      <c r="Q55" s="2601"/>
      <c r="R55" s="2602"/>
      <c r="S55" s="2602"/>
      <c r="T55" s="2604"/>
      <c r="U55" s="2600"/>
      <c r="V55" s="2601"/>
      <c r="W55" s="2601"/>
      <c r="X55" s="2601">
        <v>40</v>
      </c>
      <c r="Y55" s="2603">
        <f t="shared" si="25"/>
        <v>40</v>
      </c>
      <c r="Z55" s="2603">
        <f t="shared" si="10"/>
        <v>0</v>
      </c>
      <c r="AA55" s="2603">
        <f t="shared" si="11"/>
        <v>0</v>
      </c>
      <c r="AB55" s="2886">
        <v>39</v>
      </c>
      <c r="AC55" s="2886">
        <v>39</v>
      </c>
      <c r="AD55" s="2887" t="s">
        <v>2273</v>
      </c>
    </row>
    <row r="56" spans="1:30" ht="31.5" x14ac:dyDescent="0.25">
      <c r="A56" s="2614" t="s">
        <v>367</v>
      </c>
      <c r="B56" s="2591" t="s">
        <v>368</v>
      </c>
      <c r="C56" s="2592"/>
      <c r="D56" s="2593"/>
      <c r="E56" s="2595"/>
      <c r="F56" s="2595"/>
      <c r="G56" s="2595"/>
      <c r="H56" s="2596"/>
      <c r="I56" s="2592"/>
      <c r="J56" s="2593"/>
      <c r="K56" s="2595"/>
      <c r="L56" s="2595"/>
      <c r="M56" s="2595"/>
      <c r="N56" s="2596"/>
      <c r="O56" s="2592"/>
      <c r="P56" s="2593"/>
      <c r="Q56" s="2595"/>
      <c r="R56" s="2595"/>
      <c r="S56" s="2595"/>
      <c r="T56" s="2596"/>
      <c r="U56" s="2592"/>
      <c r="V56" s="2593"/>
      <c r="W56" s="2595"/>
      <c r="X56" s="2595"/>
      <c r="Y56" s="2596"/>
      <c r="Z56" s="2596">
        <f t="shared" si="10"/>
        <v>0</v>
      </c>
      <c r="AA56" s="2596">
        <f t="shared" si="11"/>
        <v>0</v>
      </c>
      <c r="AB56" s="2596"/>
      <c r="AC56" s="2596"/>
      <c r="AD56" s="2597"/>
    </row>
    <row r="57" spans="1:30" x14ac:dyDescent="0.25">
      <c r="A57" s="2614" t="s">
        <v>369</v>
      </c>
      <c r="B57" s="2591" t="s">
        <v>370</v>
      </c>
      <c r="C57" s="2592">
        <f t="shared" ref="C57:H57" si="30">SUM(C58:C140)</f>
        <v>464</v>
      </c>
      <c r="D57" s="2593">
        <f t="shared" si="30"/>
        <v>2491.4</v>
      </c>
      <c r="E57" s="2593">
        <f t="shared" si="30"/>
        <v>19.2</v>
      </c>
      <c r="F57" s="2593">
        <f t="shared" si="30"/>
        <v>3.5</v>
      </c>
      <c r="G57" s="2593">
        <f t="shared" si="30"/>
        <v>0</v>
      </c>
      <c r="H57" s="2594">
        <f t="shared" si="30"/>
        <v>22.7</v>
      </c>
      <c r="I57" s="2592">
        <f>SUM(I81:I140)</f>
        <v>505</v>
      </c>
      <c r="J57" s="2593">
        <f>SUM(J81:J140)</f>
        <v>3553.1</v>
      </c>
      <c r="K57" s="2595">
        <f>SUM(K81:K140)</f>
        <v>0</v>
      </c>
      <c r="L57" s="2595">
        <f>SUM(L81:L140)</f>
        <v>25.4</v>
      </c>
      <c r="M57" s="2595"/>
      <c r="N57" s="2596">
        <f>SUM(N81:N140)</f>
        <v>25.4</v>
      </c>
      <c r="O57" s="2592">
        <f>SUM(O81:O140)</f>
        <v>550</v>
      </c>
      <c r="P57" s="2593">
        <f>SUM(P81:P140)</f>
        <v>3733.1</v>
      </c>
      <c r="Q57" s="2595">
        <f>SUM(Q81:Q140)</f>
        <v>0</v>
      </c>
      <c r="R57" s="2595">
        <f>SUM(R81:R140)</f>
        <v>31.5</v>
      </c>
      <c r="S57" s="2595"/>
      <c r="T57" s="2596">
        <f t="shared" ref="T57:Y57" si="31">SUM(T81:T140)</f>
        <v>31.5</v>
      </c>
      <c r="U57" s="2592">
        <f t="shared" si="31"/>
        <v>0</v>
      </c>
      <c r="V57" s="2593">
        <f t="shared" si="31"/>
        <v>0</v>
      </c>
      <c r="W57" s="2595">
        <f t="shared" si="31"/>
        <v>0</v>
      </c>
      <c r="X57" s="2595">
        <f t="shared" si="31"/>
        <v>48.2</v>
      </c>
      <c r="Y57" s="2596">
        <f t="shared" si="31"/>
        <v>48.2</v>
      </c>
      <c r="Z57" s="2596">
        <f t="shared" si="10"/>
        <v>0</v>
      </c>
      <c r="AA57" s="2596">
        <f t="shared" si="11"/>
        <v>0</v>
      </c>
      <c r="AB57" s="2596">
        <f>SUM(AB81:AB140)</f>
        <v>0</v>
      </c>
      <c r="AC57" s="2596">
        <f>SUM(AC81:AC140)</f>
        <v>0</v>
      </c>
      <c r="AD57" s="2597"/>
    </row>
    <row r="58" spans="1:30" s="2612" customFormat="1" ht="47.25" x14ac:dyDescent="0.25">
      <c r="A58" s="2615"/>
      <c r="B58" s="2599" t="s">
        <v>2274</v>
      </c>
      <c r="C58" s="2600">
        <v>5</v>
      </c>
      <c r="D58" s="2601">
        <f t="shared" ref="D58:D95" si="32">(F58/C58*1000)+(E58/C58*1000)</f>
        <v>180</v>
      </c>
      <c r="E58" s="2602">
        <v>0.9</v>
      </c>
      <c r="F58" s="2602"/>
      <c r="G58" s="2602"/>
      <c r="H58" s="2603">
        <f t="shared" ref="H58:H95" si="33">SUM(E58:G58)</f>
        <v>0.9</v>
      </c>
      <c r="I58" s="2600"/>
      <c r="J58" s="2601"/>
      <c r="K58" s="2602"/>
      <c r="L58" s="2602"/>
      <c r="M58" s="2602"/>
      <c r="N58" s="2603"/>
      <c r="O58" s="2600"/>
      <c r="P58" s="2601"/>
      <c r="Q58" s="2602"/>
      <c r="R58" s="2602"/>
      <c r="S58" s="2602"/>
      <c r="T58" s="2603"/>
      <c r="U58" s="2600"/>
      <c r="V58" s="2601"/>
      <c r="W58" s="2602"/>
      <c r="X58" s="2602"/>
      <c r="Y58" s="2603"/>
      <c r="Z58" s="2603">
        <f t="shared" si="10"/>
        <v>0</v>
      </c>
      <c r="AA58" s="2603">
        <f t="shared" si="11"/>
        <v>0</v>
      </c>
      <c r="AB58" s="2603"/>
      <c r="AC58" s="2603"/>
      <c r="AD58" s="2616"/>
    </row>
    <row r="59" spans="1:30" s="2612" customFormat="1" ht="31.5" x14ac:dyDescent="0.25">
      <c r="A59" s="2615"/>
      <c r="B59" s="2599" t="s">
        <v>2275</v>
      </c>
      <c r="C59" s="2600">
        <v>10</v>
      </c>
      <c r="D59" s="2601">
        <f t="shared" si="32"/>
        <v>30</v>
      </c>
      <c r="E59" s="2602">
        <v>0.3</v>
      </c>
      <c r="F59" s="2602"/>
      <c r="G59" s="2602"/>
      <c r="H59" s="2603">
        <f t="shared" si="33"/>
        <v>0.3</v>
      </c>
      <c r="I59" s="2600"/>
      <c r="J59" s="2601"/>
      <c r="K59" s="2602"/>
      <c r="L59" s="2602"/>
      <c r="M59" s="2602"/>
      <c r="N59" s="2603"/>
      <c r="O59" s="2600"/>
      <c r="P59" s="2601"/>
      <c r="Q59" s="2602"/>
      <c r="R59" s="2602"/>
      <c r="S59" s="2602"/>
      <c r="T59" s="2603"/>
      <c r="U59" s="2600"/>
      <c r="V59" s="2601"/>
      <c r="W59" s="2602"/>
      <c r="X59" s="2602"/>
      <c r="Y59" s="2603"/>
      <c r="Z59" s="2603">
        <f t="shared" si="10"/>
        <v>0</v>
      </c>
      <c r="AA59" s="2603">
        <f t="shared" si="11"/>
        <v>0</v>
      </c>
      <c r="AB59" s="2603"/>
      <c r="AC59" s="2603"/>
      <c r="AD59" s="2616"/>
    </row>
    <row r="60" spans="1:30" s="2612" customFormat="1" ht="31.5" x14ac:dyDescent="0.25">
      <c r="A60" s="2615"/>
      <c r="B60" s="2599" t="s">
        <v>2276</v>
      </c>
      <c r="C60" s="2600">
        <v>10</v>
      </c>
      <c r="D60" s="2601">
        <f t="shared" si="32"/>
        <v>50</v>
      </c>
      <c r="E60" s="2602">
        <v>0.5</v>
      </c>
      <c r="F60" s="2602"/>
      <c r="G60" s="2602"/>
      <c r="H60" s="2603">
        <f t="shared" si="33"/>
        <v>0.5</v>
      </c>
      <c r="I60" s="2600"/>
      <c r="J60" s="2601"/>
      <c r="K60" s="2602"/>
      <c r="L60" s="2602"/>
      <c r="M60" s="2602"/>
      <c r="N60" s="2603"/>
      <c r="O60" s="2600"/>
      <c r="P60" s="2601"/>
      <c r="Q60" s="2602"/>
      <c r="R60" s="2602"/>
      <c r="S60" s="2602"/>
      <c r="T60" s="2603"/>
      <c r="U60" s="2600"/>
      <c r="V60" s="2601"/>
      <c r="W60" s="2602"/>
      <c r="X60" s="2602"/>
      <c r="Y60" s="2603"/>
      <c r="Z60" s="2603">
        <f t="shared" si="10"/>
        <v>0</v>
      </c>
      <c r="AA60" s="2603">
        <f t="shared" si="11"/>
        <v>0</v>
      </c>
      <c r="AB60" s="2603"/>
      <c r="AC60" s="2603"/>
      <c r="AD60" s="2616"/>
    </row>
    <row r="61" spans="1:30" s="2612" customFormat="1" ht="31.5" x14ac:dyDescent="0.25">
      <c r="A61" s="2615"/>
      <c r="B61" s="2599" t="s">
        <v>2277</v>
      </c>
      <c r="C61" s="2600">
        <v>24</v>
      </c>
      <c r="D61" s="2601">
        <f t="shared" si="32"/>
        <v>12.5</v>
      </c>
      <c r="E61" s="2602">
        <v>0.3</v>
      </c>
      <c r="F61" s="2602"/>
      <c r="G61" s="2602"/>
      <c r="H61" s="2603">
        <f t="shared" si="33"/>
        <v>0.3</v>
      </c>
      <c r="I61" s="2600"/>
      <c r="J61" s="2601"/>
      <c r="K61" s="2602"/>
      <c r="L61" s="2602"/>
      <c r="M61" s="2602"/>
      <c r="N61" s="2603"/>
      <c r="O61" s="2600"/>
      <c r="P61" s="2601"/>
      <c r="Q61" s="2602"/>
      <c r="R61" s="2602"/>
      <c r="S61" s="2602"/>
      <c r="T61" s="2603"/>
      <c r="U61" s="2600"/>
      <c r="V61" s="2601"/>
      <c r="W61" s="2602"/>
      <c r="X61" s="2602"/>
      <c r="Y61" s="2603"/>
      <c r="Z61" s="2603">
        <f t="shared" si="10"/>
        <v>0</v>
      </c>
      <c r="AA61" s="2603">
        <f t="shared" si="11"/>
        <v>0</v>
      </c>
      <c r="AB61" s="2603"/>
      <c r="AC61" s="2603"/>
      <c r="AD61" s="2616"/>
    </row>
    <row r="62" spans="1:30" s="2612" customFormat="1" ht="31.5" x14ac:dyDescent="0.25">
      <c r="A62" s="2615"/>
      <c r="B62" s="2599" t="s">
        <v>2278</v>
      </c>
      <c r="C62" s="2600">
        <v>12</v>
      </c>
      <c r="D62" s="2601">
        <f t="shared" si="32"/>
        <v>8.3000000000000007</v>
      </c>
      <c r="E62" s="2602">
        <v>0.1</v>
      </c>
      <c r="F62" s="2602"/>
      <c r="G62" s="2602"/>
      <c r="H62" s="2603">
        <f t="shared" si="33"/>
        <v>0.1</v>
      </c>
      <c r="I62" s="2600"/>
      <c r="J62" s="2601"/>
      <c r="K62" s="2602"/>
      <c r="L62" s="2602"/>
      <c r="M62" s="2602"/>
      <c r="N62" s="2603"/>
      <c r="O62" s="2600"/>
      <c r="P62" s="2601"/>
      <c r="Q62" s="2602"/>
      <c r="R62" s="2602"/>
      <c r="S62" s="2602"/>
      <c r="T62" s="2603"/>
      <c r="U62" s="2600"/>
      <c r="V62" s="2601"/>
      <c r="W62" s="2602"/>
      <c r="X62" s="2602"/>
      <c r="Y62" s="2603"/>
      <c r="Z62" s="2603">
        <f t="shared" si="10"/>
        <v>0</v>
      </c>
      <c r="AA62" s="2603">
        <f t="shared" si="11"/>
        <v>0</v>
      </c>
      <c r="AB62" s="2603"/>
      <c r="AC62" s="2603"/>
      <c r="AD62" s="2616"/>
    </row>
    <row r="63" spans="1:30" s="2612" customFormat="1" ht="31.5" x14ac:dyDescent="0.25">
      <c r="A63" s="2615"/>
      <c r="B63" s="2599" t="s">
        <v>2279</v>
      </c>
      <c r="C63" s="2600">
        <v>12</v>
      </c>
      <c r="D63" s="2601">
        <f t="shared" si="32"/>
        <v>8.3000000000000007</v>
      </c>
      <c r="E63" s="2602">
        <v>0.1</v>
      </c>
      <c r="F63" s="2602"/>
      <c r="G63" s="2602"/>
      <c r="H63" s="2603">
        <f t="shared" si="33"/>
        <v>0.1</v>
      </c>
      <c r="I63" s="2600"/>
      <c r="J63" s="2601"/>
      <c r="K63" s="2602"/>
      <c r="L63" s="2602"/>
      <c r="M63" s="2602"/>
      <c r="N63" s="2603"/>
      <c r="O63" s="2600"/>
      <c r="P63" s="2601"/>
      <c r="Q63" s="2602"/>
      <c r="R63" s="2602"/>
      <c r="S63" s="2602"/>
      <c r="T63" s="2603"/>
      <c r="U63" s="2600"/>
      <c r="V63" s="2601"/>
      <c r="W63" s="2602"/>
      <c r="X63" s="2602"/>
      <c r="Y63" s="2603"/>
      <c r="Z63" s="2603">
        <f t="shared" si="10"/>
        <v>0</v>
      </c>
      <c r="AA63" s="2603">
        <f t="shared" si="11"/>
        <v>0</v>
      </c>
      <c r="AB63" s="2603"/>
      <c r="AC63" s="2603"/>
      <c r="AD63" s="2616"/>
    </row>
    <row r="64" spans="1:30" s="2612" customFormat="1" ht="31.5" x14ac:dyDescent="0.25">
      <c r="A64" s="2615"/>
      <c r="B64" s="2599" t="s">
        <v>2280</v>
      </c>
      <c r="C64" s="2600">
        <v>12</v>
      </c>
      <c r="D64" s="2601">
        <f t="shared" si="32"/>
        <v>8.3000000000000007</v>
      </c>
      <c r="E64" s="2602">
        <v>0.1</v>
      </c>
      <c r="F64" s="2602"/>
      <c r="G64" s="2602"/>
      <c r="H64" s="2603">
        <f t="shared" si="33"/>
        <v>0.1</v>
      </c>
      <c r="I64" s="2600"/>
      <c r="J64" s="2601"/>
      <c r="K64" s="2602"/>
      <c r="L64" s="2602"/>
      <c r="M64" s="2602"/>
      <c r="N64" s="2603"/>
      <c r="O64" s="2600"/>
      <c r="P64" s="2601"/>
      <c r="Q64" s="2602"/>
      <c r="R64" s="2602"/>
      <c r="S64" s="2602"/>
      <c r="T64" s="2603"/>
      <c r="U64" s="2600"/>
      <c r="V64" s="2601"/>
      <c r="W64" s="2602"/>
      <c r="X64" s="2602"/>
      <c r="Y64" s="2603"/>
      <c r="Z64" s="2603">
        <f t="shared" si="10"/>
        <v>0</v>
      </c>
      <c r="AA64" s="2603">
        <f t="shared" si="11"/>
        <v>0</v>
      </c>
      <c r="AB64" s="2603"/>
      <c r="AC64" s="2603"/>
      <c r="AD64" s="2616"/>
    </row>
    <row r="65" spans="1:30" s="2612" customFormat="1" ht="31.5" x14ac:dyDescent="0.25">
      <c r="A65" s="2615"/>
      <c r="B65" s="2599" t="s">
        <v>2281</v>
      </c>
      <c r="C65" s="2600">
        <v>5</v>
      </c>
      <c r="D65" s="2601">
        <f t="shared" si="32"/>
        <v>180</v>
      </c>
      <c r="E65" s="2602">
        <v>0.9</v>
      </c>
      <c r="F65" s="2602"/>
      <c r="G65" s="2602"/>
      <c r="H65" s="2603">
        <f t="shared" si="33"/>
        <v>0.9</v>
      </c>
      <c r="I65" s="2600"/>
      <c r="J65" s="2601"/>
      <c r="K65" s="2602"/>
      <c r="L65" s="2602"/>
      <c r="M65" s="2602"/>
      <c r="N65" s="2603"/>
      <c r="O65" s="2600"/>
      <c r="P65" s="2601"/>
      <c r="Q65" s="2602"/>
      <c r="R65" s="2602"/>
      <c r="S65" s="2602"/>
      <c r="T65" s="2603"/>
      <c r="U65" s="2600"/>
      <c r="V65" s="2601"/>
      <c r="W65" s="2602"/>
      <c r="X65" s="2602"/>
      <c r="Y65" s="2603"/>
      <c r="Z65" s="2603">
        <f t="shared" si="10"/>
        <v>0</v>
      </c>
      <c r="AA65" s="2603">
        <f t="shared" si="11"/>
        <v>0</v>
      </c>
      <c r="AB65" s="2603"/>
      <c r="AC65" s="2603"/>
      <c r="AD65" s="2616"/>
    </row>
    <row r="66" spans="1:30" s="2612" customFormat="1" x14ac:dyDescent="0.25">
      <c r="A66" s="2615"/>
      <c r="B66" s="2599" t="s">
        <v>2282</v>
      </c>
      <c r="C66" s="2600">
        <v>14</v>
      </c>
      <c r="D66" s="2601">
        <f t="shared" si="32"/>
        <v>14.3</v>
      </c>
      <c r="E66" s="2602">
        <v>0.2</v>
      </c>
      <c r="F66" s="2602"/>
      <c r="G66" s="2602"/>
      <c r="H66" s="2603">
        <f t="shared" si="33"/>
        <v>0.2</v>
      </c>
      <c r="I66" s="2600"/>
      <c r="J66" s="2601"/>
      <c r="K66" s="2602"/>
      <c r="L66" s="2602"/>
      <c r="M66" s="2602"/>
      <c r="N66" s="2603"/>
      <c r="O66" s="2600"/>
      <c r="P66" s="2601"/>
      <c r="Q66" s="2602"/>
      <c r="R66" s="2602"/>
      <c r="S66" s="2602"/>
      <c r="T66" s="2603"/>
      <c r="U66" s="2600"/>
      <c r="V66" s="2601"/>
      <c r="W66" s="2602"/>
      <c r="X66" s="2602"/>
      <c r="Y66" s="2603"/>
      <c r="Z66" s="2603">
        <f t="shared" si="10"/>
        <v>0</v>
      </c>
      <c r="AA66" s="2603">
        <f t="shared" si="11"/>
        <v>0</v>
      </c>
      <c r="AB66" s="2603"/>
      <c r="AC66" s="2603"/>
      <c r="AD66" s="2616"/>
    </row>
    <row r="67" spans="1:30" s="2612" customFormat="1" x14ac:dyDescent="0.25">
      <c r="A67" s="2615"/>
      <c r="B67" s="2599" t="s">
        <v>2283</v>
      </c>
      <c r="C67" s="2600">
        <v>24</v>
      </c>
      <c r="D67" s="2601">
        <f t="shared" si="32"/>
        <v>8.3000000000000007</v>
      </c>
      <c r="E67" s="2602">
        <v>0.2</v>
      </c>
      <c r="F67" s="2602"/>
      <c r="G67" s="2602"/>
      <c r="H67" s="2603">
        <f t="shared" si="33"/>
        <v>0.2</v>
      </c>
      <c r="I67" s="2600"/>
      <c r="J67" s="2601"/>
      <c r="K67" s="2602"/>
      <c r="L67" s="2602"/>
      <c r="M67" s="2602"/>
      <c r="N67" s="2603"/>
      <c r="O67" s="2600"/>
      <c r="P67" s="2601"/>
      <c r="Q67" s="2602"/>
      <c r="R67" s="2602"/>
      <c r="S67" s="2602"/>
      <c r="T67" s="2603"/>
      <c r="U67" s="2600"/>
      <c r="V67" s="2601"/>
      <c r="W67" s="2602"/>
      <c r="X67" s="2602"/>
      <c r="Y67" s="2603"/>
      <c r="Z67" s="2603">
        <f t="shared" si="10"/>
        <v>0</v>
      </c>
      <c r="AA67" s="2603">
        <f t="shared" si="11"/>
        <v>0</v>
      </c>
      <c r="AB67" s="2603"/>
      <c r="AC67" s="2603"/>
      <c r="AD67" s="2616"/>
    </row>
    <row r="68" spans="1:30" s="2612" customFormat="1" ht="31.5" x14ac:dyDescent="0.25">
      <c r="A68" s="2615"/>
      <c r="B68" s="2599" t="s">
        <v>2284</v>
      </c>
      <c r="C68" s="2600">
        <v>2</v>
      </c>
      <c r="D68" s="2601">
        <f t="shared" si="32"/>
        <v>50</v>
      </c>
      <c r="E68" s="2602">
        <v>0.1</v>
      </c>
      <c r="F68" s="2602"/>
      <c r="G68" s="2602"/>
      <c r="H68" s="2603">
        <f t="shared" si="33"/>
        <v>0.1</v>
      </c>
      <c r="I68" s="2600"/>
      <c r="J68" s="2601"/>
      <c r="K68" s="2602"/>
      <c r="L68" s="2602"/>
      <c r="M68" s="2602"/>
      <c r="N68" s="2603"/>
      <c r="O68" s="2600"/>
      <c r="P68" s="2601"/>
      <c r="Q68" s="2602"/>
      <c r="R68" s="2602"/>
      <c r="S68" s="2602"/>
      <c r="T68" s="2603"/>
      <c r="U68" s="2600"/>
      <c r="V68" s="2601"/>
      <c r="W68" s="2602"/>
      <c r="X68" s="2602"/>
      <c r="Y68" s="2603"/>
      <c r="Z68" s="2603">
        <f t="shared" si="10"/>
        <v>0</v>
      </c>
      <c r="AA68" s="2603">
        <f t="shared" si="11"/>
        <v>0</v>
      </c>
      <c r="AB68" s="2603"/>
      <c r="AC68" s="2603"/>
      <c r="AD68" s="2616"/>
    </row>
    <row r="69" spans="1:30" s="2612" customFormat="1" ht="31.5" x14ac:dyDescent="0.25">
      <c r="A69" s="2615"/>
      <c r="B69" s="2599" t="s">
        <v>2285</v>
      </c>
      <c r="C69" s="2600">
        <v>3</v>
      </c>
      <c r="D69" s="2601">
        <f t="shared" si="32"/>
        <v>66.7</v>
      </c>
      <c r="E69" s="2602">
        <v>0.2</v>
      </c>
      <c r="F69" s="2602"/>
      <c r="G69" s="2602"/>
      <c r="H69" s="2603">
        <f t="shared" si="33"/>
        <v>0.2</v>
      </c>
      <c r="I69" s="2600"/>
      <c r="J69" s="2601"/>
      <c r="K69" s="2602"/>
      <c r="L69" s="2602"/>
      <c r="M69" s="2602"/>
      <c r="N69" s="2603"/>
      <c r="O69" s="2600"/>
      <c r="P69" s="2601"/>
      <c r="Q69" s="2602"/>
      <c r="R69" s="2602"/>
      <c r="S69" s="2602"/>
      <c r="T69" s="2603"/>
      <c r="U69" s="2600"/>
      <c r="V69" s="2601"/>
      <c r="W69" s="2602"/>
      <c r="X69" s="2602"/>
      <c r="Y69" s="2603"/>
      <c r="Z69" s="2603">
        <f t="shared" si="10"/>
        <v>0</v>
      </c>
      <c r="AA69" s="2603">
        <f t="shared" si="11"/>
        <v>0</v>
      </c>
      <c r="AB69" s="2603"/>
      <c r="AC69" s="2603"/>
      <c r="AD69" s="2616"/>
    </row>
    <row r="70" spans="1:30" s="2612" customFormat="1" ht="31.5" x14ac:dyDescent="0.25">
      <c r="A70" s="2615"/>
      <c r="B70" s="2599" t="s">
        <v>2286</v>
      </c>
      <c r="C70" s="2600">
        <v>5</v>
      </c>
      <c r="D70" s="2601">
        <f t="shared" si="32"/>
        <v>20</v>
      </c>
      <c r="E70" s="2602">
        <v>0.1</v>
      </c>
      <c r="F70" s="2602"/>
      <c r="G70" s="2602"/>
      <c r="H70" s="2603">
        <f t="shared" si="33"/>
        <v>0.1</v>
      </c>
      <c r="I70" s="2600"/>
      <c r="J70" s="2601"/>
      <c r="K70" s="2602"/>
      <c r="L70" s="2602"/>
      <c r="M70" s="2602"/>
      <c r="N70" s="2603"/>
      <c r="O70" s="2600"/>
      <c r="P70" s="2601"/>
      <c r="Q70" s="2602"/>
      <c r="R70" s="2602"/>
      <c r="S70" s="2602"/>
      <c r="T70" s="2603"/>
      <c r="U70" s="2600"/>
      <c r="V70" s="2601"/>
      <c r="W70" s="2602"/>
      <c r="X70" s="2602"/>
      <c r="Y70" s="2603"/>
      <c r="Z70" s="2603">
        <f t="shared" si="10"/>
        <v>0</v>
      </c>
      <c r="AA70" s="2603">
        <f t="shared" si="11"/>
        <v>0</v>
      </c>
      <c r="AB70" s="2603"/>
      <c r="AC70" s="2603"/>
      <c r="AD70" s="2616"/>
    </row>
    <row r="71" spans="1:30" s="2612" customFormat="1" ht="31.5" x14ac:dyDescent="0.25">
      <c r="A71" s="2615"/>
      <c r="B71" s="2599" t="s">
        <v>2287</v>
      </c>
      <c r="C71" s="2600">
        <v>5</v>
      </c>
      <c r="D71" s="2601">
        <f t="shared" si="32"/>
        <v>20</v>
      </c>
      <c r="E71" s="2602">
        <v>0.1</v>
      </c>
      <c r="F71" s="2602"/>
      <c r="G71" s="2602"/>
      <c r="H71" s="2603">
        <f t="shared" si="33"/>
        <v>0.1</v>
      </c>
      <c r="I71" s="2600"/>
      <c r="J71" s="2601"/>
      <c r="K71" s="2602"/>
      <c r="L71" s="2602"/>
      <c r="M71" s="2602"/>
      <c r="N71" s="2603"/>
      <c r="O71" s="2600"/>
      <c r="P71" s="2601"/>
      <c r="Q71" s="2602"/>
      <c r="R71" s="2602"/>
      <c r="S71" s="2602"/>
      <c r="T71" s="2603"/>
      <c r="U71" s="2600"/>
      <c r="V71" s="2601"/>
      <c r="W71" s="2602"/>
      <c r="X71" s="2602"/>
      <c r="Y71" s="2603"/>
      <c r="Z71" s="2603">
        <f t="shared" si="10"/>
        <v>0</v>
      </c>
      <c r="AA71" s="2603">
        <f t="shared" si="11"/>
        <v>0</v>
      </c>
      <c r="AB71" s="2603"/>
      <c r="AC71" s="2603"/>
      <c r="AD71" s="2616"/>
    </row>
    <row r="72" spans="1:30" s="2612" customFormat="1" ht="31.5" x14ac:dyDescent="0.25">
      <c r="A72" s="2615"/>
      <c r="B72" s="2599" t="s">
        <v>2288</v>
      </c>
      <c r="C72" s="2600">
        <v>5</v>
      </c>
      <c r="D72" s="2601">
        <f t="shared" si="32"/>
        <v>20</v>
      </c>
      <c r="E72" s="2602">
        <v>0.1</v>
      </c>
      <c r="F72" s="2602"/>
      <c r="G72" s="2602"/>
      <c r="H72" s="2603">
        <f t="shared" si="33"/>
        <v>0.1</v>
      </c>
      <c r="I72" s="2600"/>
      <c r="J72" s="2601"/>
      <c r="K72" s="2602"/>
      <c r="L72" s="2602"/>
      <c r="M72" s="2602"/>
      <c r="N72" s="2603"/>
      <c r="O72" s="2600"/>
      <c r="P72" s="2601"/>
      <c r="Q72" s="2602"/>
      <c r="R72" s="2602"/>
      <c r="S72" s="2602"/>
      <c r="T72" s="2603"/>
      <c r="U72" s="2600"/>
      <c r="V72" s="2601"/>
      <c r="W72" s="2602"/>
      <c r="X72" s="2602"/>
      <c r="Y72" s="2603"/>
      <c r="Z72" s="2603">
        <f t="shared" si="10"/>
        <v>0</v>
      </c>
      <c r="AA72" s="2603">
        <f t="shared" si="11"/>
        <v>0</v>
      </c>
      <c r="AB72" s="2603"/>
      <c r="AC72" s="2603"/>
      <c r="AD72" s="2616"/>
    </row>
    <row r="73" spans="1:30" s="2612" customFormat="1" x14ac:dyDescent="0.25">
      <c r="A73" s="2615"/>
      <c r="B73" s="2599" t="s">
        <v>2289</v>
      </c>
      <c r="C73" s="2600">
        <v>2</v>
      </c>
      <c r="D73" s="2601">
        <f t="shared" si="32"/>
        <v>150</v>
      </c>
      <c r="E73" s="2602"/>
      <c r="F73" s="2602">
        <v>0.3</v>
      </c>
      <c r="G73" s="2602"/>
      <c r="H73" s="2603">
        <f t="shared" si="33"/>
        <v>0.3</v>
      </c>
      <c r="I73" s="2600"/>
      <c r="J73" s="2601"/>
      <c r="K73" s="2602"/>
      <c r="L73" s="2602"/>
      <c r="M73" s="2602"/>
      <c r="N73" s="2603"/>
      <c r="O73" s="2600"/>
      <c r="P73" s="2601"/>
      <c r="Q73" s="2602"/>
      <c r="R73" s="2602"/>
      <c r="S73" s="2602"/>
      <c r="T73" s="2603"/>
      <c r="U73" s="2600"/>
      <c r="V73" s="2601"/>
      <c r="W73" s="2602"/>
      <c r="X73" s="2602"/>
      <c r="Y73" s="2603"/>
      <c r="Z73" s="2603">
        <f t="shared" si="10"/>
        <v>0</v>
      </c>
      <c r="AA73" s="2603">
        <f t="shared" si="11"/>
        <v>0</v>
      </c>
      <c r="AB73" s="2603"/>
      <c r="AC73" s="2603"/>
      <c r="AD73" s="2616"/>
    </row>
    <row r="74" spans="1:30" s="2612" customFormat="1" ht="31.5" x14ac:dyDescent="0.25">
      <c r="A74" s="2615"/>
      <c r="B74" s="2599" t="s">
        <v>2290</v>
      </c>
      <c r="C74" s="2600">
        <v>10</v>
      </c>
      <c r="D74" s="2601">
        <f t="shared" si="32"/>
        <v>150</v>
      </c>
      <c r="E74" s="2602">
        <v>1.5</v>
      </c>
      <c r="F74" s="2602"/>
      <c r="G74" s="2602"/>
      <c r="H74" s="2603">
        <f t="shared" si="33"/>
        <v>1.5</v>
      </c>
      <c r="I74" s="2600"/>
      <c r="J74" s="2601"/>
      <c r="K74" s="2602"/>
      <c r="L74" s="2602"/>
      <c r="M74" s="2602"/>
      <c r="N74" s="2603"/>
      <c r="O74" s="2600"/>
      <c r="P74" s="2601"/>
      <c r="Q74" s="2602"/>
      <c r="R74" s="2602"/>
      <c r="S74" s="2602"/>
      <c r="T74" s="2603"/>
      <c r="U74" s="2600"/>
      <c r="V74" s="2601"/>
      <c r="W74" s="2602"/>
      <c r="X74" s="2602"/>
      <c r="Y74" s="2603"/>
      <c r="Z74" s="2603">
        <f t="shared" si="10"/>
        <v>0</v>
      </c>
      <c r="AA74" s="2603">
        <f t="shared" si="11"/>
        <v>0</v>
      </c>
      <c r="AB74" s="2603"/>
      <c r="AC74" s="2603"/>
      <c r="AD74" s="2616"/>
    </row>
    <row r="75" spans="1:30" s="2612" customFormat="1" ht="31.5" x14ac:dyDescent="0.25">
      <c r="A75" s="2615"/>
      <c r="B75" s="2599" t="s">
        <v>2291</v>
      </c>
      <c r="C75" s="2600">
        <v>5</v>
      </c>
      <c r="D75" s="2601">
        <f t="shared" si="32"/>
        <v>60</v>
      </c>
      <c r="E75" s="2602">
        <v>0.3</v>
      </c>
      <c r="F75" s="2602"/>
      <c r="G75" s="2602"/>
      <c r="H75" s="2603">
        <f t="shared" si="33"/>
        <v>0.3</v>
      </c>
      <c r="I75" s="2600"/>
      <c r="J75" s="2601"/>
      <c r="K75" s="2602"/>
      <c r="L75" s="2602"/>
      <c r="M75" s="2602"/>
      <c r="N75" s="2603"/>
      <c r="O75" s="2600"/>
      <c r="P75" s="2601"/>
      <c r="Q75" s="2602"/>
      <c r="R75" s="2602"/>
      <c r="S75" s="2602"/>
      <c r="T75" s="2603"/>
      <c r="U75" s="2600"/>
      <c r="V75" s="2601"/>
      <c r="W75" s="2602"/>
      <c r="X75" s="2602"/>
      <c r="Y75" s="2603"/>
      <c r="Z75" s="2603">
        <f t="shared" si="10"/>
        <v>0</v>
      </c>
      <c r="AA75" s="2603">
        <f t="shared" si="11"/>
        <v>0</v>
      </c>
      <c r="AB75" s="2603"/>
      <c r="AC75" s="2603"/>
      <c r="AD75" s="2616"/>
    </row>
    <row r="76" spans="1:30" s="2612" customFormat="1" ht="31.5" x14ac:dyDescent="0.25">
      <c r="A76" s="2615"/>
      <c r="B76" s="2599" t="s">
        <v>2292</v>
      </c>
      <c r="C76" s="2600">
        <v>10</v>
      </c>
      <c r="D76" s="2601">
        <f t="shared" si="32"/>
        <v>230</v>
      </c>
      <c r="E76" s="2602">
        <v>2.2999999999999998</v>
      </c>
      <c r="F76" s="2602"/>
      <c r="G76" s="2602"/>
      <c r="H76" s="2603">
        <f t="shared" si="33"/>
        <v>2.2999999999999998</v>
      </c>
      <c r="I76" s="2600"/>
      <c r="J76" s="2601"/>
      <c r="K76" s="2602"/>
      <c r="L76" s="2602"/>
      <c r="M76" s="2602"/>
      <c r="N76" s="2603"/>
      <c r="O76" s="2600"/>
      <c r="P76" s="2601"/>
      <c r="Q76" s="2602"/>
      <c r="R76" s="2602"/>
      <c r="S76" s="2602"/>
      <c r="T76" s="2603"/>
      <c r="U76" s="2600"/>
      <c r="V76" s="2601"/>
      <c r="W76" s="2602"/>
      <c r="X76" s="2602"/>
      <c r="Y76" s="2603"/>
      <c r="Z76" s="2603">
        <f t="shared" si="10"/>
        <v>0</v>
      </c>
      <c r="AA76" s="2603">
        <f t="shared" si="11"/>
        <v>0</v>
      </c>
      <c r="AB76" s="2603"/>
      <c r="AC76" s="2603"/>
      <c r="AD76" s="2616"/>
    </row>
    <row r="77" spans="1:30" s="2612" customFormat="1" x14ac:dyDescent="0.25">
      <c r="A77" s="2615"/>
      <c r="B77" s="2599" t="s">
        <v>2221</v>
      </c>
      <c r="C77" s="2600">
        <v>10</v>
      </c>
      <c r="D77" s="2601">
        <f t="shared" si="32"/>
        <v>80</v>
      </c>
      <c r="E77" s="2602">
        <v>0.8</v>
      </c>
      <c r="F77" s="2602"/>
      <c r="G77" s="2602"/>
      <c r="H77" s="2603">
        <f t="shared" si="33"/>
        <v>0.8</v>
      </c>
      <c r="I77" s="2600"/>
      <c r="J77" s="2601"/>
      <c r="K77" s="2602"/>
      <c r="L77" s="2602"/>
      <c r="M77" s="2602"/>
      <c r="N77" s="2603"/>
      <c r="O77" s="2600"/>
      <c r="P77" s="2601"/>
      <c r="Q77" s="2602"/>
      <c r="R77" s="2602"/>
      <c r="S77" s="2602"/>
      <c r="T77" s="2603"/>
      <c r="U77" s="2600"/>
      <c r="V77" s="2601"/>
      <c r="W77" s="2602"/>
      <c r="X77" s="2602"/>
      <c r="Y77" s="2603"/>
      <c r="Z77" s="2603">
        <f t="shared" si="10"/>
        <v>0</v>
      </c>
      <c r="AA77" s="2603">
        <f t="shared" si="11"/>
        <v>0</v>
      </c>
      <c r="AB77" s="2603"/>
      <c r="AC77" s="2603"/>
      <c r="AD77" s="2616"/>
    </row>
    <row r="78" spans="1:30" s="2612" customFormat="1" x14ac:dyDescent="0.25">
      <c r="A78" s="2615"/>
      <c r="B78" s="2599" t="s">
        <v>2293</v>
      </c>
      <c r="C78" s="2600">
        <v>15</v>
      </c>
      <c r="D78" s="2601">
        <f t="shared" si="32"/>
        <v>20</v>
      </c>
      <c r="E78" s="2602">
        <v>0.3</v>
      </c>
      <c r="F78" s="2602"/>
      <c r="G78" s="2602"/>
      <c r="H78" s="2603">
        <f t="shared" si="33"/>
        <v>0.3</v>
      </c>
      <c r="I78" s="2600"/>
      <c r="J78" s="2601"/>
      <c r="K78" s="2602"/>
      <c r="L78" s="2602"/>
      <c r="M78" s="2602"/>
      <c r="N78" s="2603"/>
      <c r="O78" s="2600"/>
      <c r="P78" s="2601"/>
      <c r="Q78" s="2602"/>
      <c r="R78" s="2602"/>
      <c r="S78" s="2602"/>
      <c r="T78" s="2603"/>
      <c r="U78" s="2600"/>
      <c r="V78" s="2601"/>
      <c r="W78" s="2602"/>
      <c r="X78" s="2602"/>
      <c r="Y78" s="2603"/>
      <c r="Z78" s="2603">
        <f t="shared" si="10"/>
        <v>0</v>
      </c>
      <c r="AA78" s="2603">
        <f t="shared" si="11"/>
        <v>0</v>
      </c>
      <c r="AB78" s="2603"/>
      <c r="AC78" s="2603"/>
      <c r="AD78" s="2616"/>
    </row>
    <row r="79" spans="1:30" s="2612" customFormat="1" x14ac:dyDescent="0.25">
      <c r="A79" s="2615"/>
      <c r="B79" s="2599" t="s">
        <v>2294</v>
      </c>
      <c r="C79" s="2600">
        <v>50</v>
      </c>
      <c r="D79" s="2601">
        <f t="shared" si="32"/>
        <v>20</v>
      </c>
      <c r="E79" s="2602">
        <v>1</v>
      </c>
      <c r="F79" s="2602"/>
      <c r="G79" s="2602"/>
      <c r="H79" s="2603">
        <f t="shared" si="33"/>
        <v>1</v>
      </c>
      <c r="I79" s="2600"/>
      <c r="J79" s="2601"/>
      <c r="K79" s="2602"/>
      <c r="L79" s="2602"/>
      <c r="M79" s="2602"/>
      <c r="N79" s="2603"/>
      <c r="O79" s="2600"/>
      <c r="P79" s="2601"/>
      <c r="Q79" s="2602"/>
      <c r="R79" s="2602"/>
      <c r="S79" s="2602"/>
      <c r="T79" s="2603"/>
      <c r="U79" s="2600"/>
      <c r="V79" s="2601"/>
      <c r="W79" s="2602"/>
      <c r="X79" s="2602"/>
      <c r="Y79" s="2603"/>
      <c r="Z79" s="2603">
        <f t="shared" si="10"/>
        <v>0</v>
      </c>
      <c r="AA79" s="2603">
        <f t="shared" si="11"/>
        <v>0</v>
      </c>
      <c r="AB79" s="2603"/>
      <c r="AC79" s="2603"/>
      <c r="AD79" s="2616"/>
    </row>
    <row r="80" spans="1:30" s="2612" customFormat="1" x14ac:dyDescent="0.25">
      <c r="A80" s="2615"/>
      <c r="B80" s="2599" t="s">
        <v>2295</v>
      </c>
      <c r="C80" s="2600">
        <v>10</v>
      </c>
      <c r="D80" s="2601">
        <f t="shared" si="32"/>
        <v>100</v>
      </c>
      <c r="E80" s="2602">
        <v>1</v>
      </c>
      <c r="F80" s="2602"/>
      <c r="G80" s="2602"/>
      <c r="H80" s="2603">
        <f t="shared" si="33"/>
        <v>1</v>
      </c>
      <c r="I80" s="2600"/>
      <c r="J80" s="2601"/>
      <c r="K80" s="2602"/>
      <c r="L80" s="2602"/>
      <c r="M80" s="2602"/>
      <c r="N80" s="2603"/>
      <c r="O80" s="2600"/>
      <c r="P80" s="2601"/>
      <c r="Q80" s="2602"/>
      <c r="R80" s="2602"/>
      <c r="S80" s="2602"/>
      <c r="T80" s="2603"/>
      <c r="U80" s="2600"/>
      <c r="V80" s="2601"/>
      <c r="W80" s="2602"/>
      <c r="X80" s="2602"/>
      <c r="Y80" s="2603"/>
      <c r="Z80" s="2603">
        <f t="shared" si="10"/>
        <v>0</v>
      </c>
      <c r="AA80" s="2603">
        <f t="shared" si="11"/>
        <v>0</v>
      </c>
      <c r="AB80" s="2603"/>
      <c r="AC80" s="2603"/>
      <c r="AD80" s="2616"/>
    </row>
    <row r="81" spans="1:30" s="2612" customFormat="1" x14ac:dyDescent="0.25">
      <c r="A81" s="2626"/>
      <c r="B81" s="2599" t="s">
        <v>2145</v>
      </c>
      <c r="C81" s="2600">
        <v>10</v>
      </c>
      <c r="D81" s="2601">
        <f t="shared" si="32"/>
        <v>60</v>
      </c>
      <c r="E81" s="2602">
        <v>0.6</v>
      </c>
      <c r="F81" s="2602"/>
      <c r="G81" s="2602"/>
      <c r="H81" s="2603">
        <f t="shared" si="33"/>
        <v>0.6</v>
      </c>
      <c r="I81" s="2600"/>
      <c r="J81" s="2601"/>
      <c r="K81" s="2602"/>
      <c r="L81" s="2602"/>
      <c r="M81" s="2602"/>
      <c r="N81" s="2603"/>
      <c r="O81" s="2600"/>
      <c r="P81" s="2601"/>
      <c r="Q81" s="2602"/>
      <c r="R81" s="2602"/>
      <c r="S81" s="2602"/>
      <c r="T81" s="2603"/>
      <c r="U81" s="2600"/>
      <c r="V81" s="2601"/>
      <c r="W81" s="2602"/>
      <c r="X81" s="2602"/>
      <c r="Y81" s="2603"/>
      <c r="Z81" s="2603">
        <f t="shared" ref="Z81:Z140" si="34">W81-K81</f>
        <v>0</v>
      </c>
      <c r="AA81" s="2603">
        <f t="shared" ref="AA81:AA144" si="35">IFERROR(W81/K81*100,0)</f>
        <v>0</v>
      </c>
      <c r="AB81" s="2602"/>
      <c r="AC81" s="2602"/>
      <c r="AD81" s="2616"/>
    </row>
    <row r="82" spans="1:30" s="2612" customFormat="1" x14ac:dyDescent="0.25">
      <c r="A82" s="2626"/>
      <c r="B82" s="2599" t="s">
        <v>2220</v>
      </c>
      <c r="C82" s="2600">
        <v>2</v>
      </c>
      <c r="D82" s="2601">
        <f t="shared" si="32"/>
        <v>50</v>
      </c>
      <c r="E82" s="2602"/>
      <c r="F82" s="2602">
        <v>0.1</v>
      </c>
      <c r="G82" s="2602"/>
      <c r="H82" s="2603">
        <f t="shared" si="33"/>
        <v>0.1</v>
      </c>
      <c r="I82" s="2600"/>
      <c r="J82" s="2601"/>
      <c r="K82" s="2602"/>
      <c r="L82" s="2602"/>
      <c r="M82" s="2602"/>
      <c r="N82" s="2603"/>
      <c r="O82" s="2600"/>
      <c r="P82" s="2601"/>
      <c r="Q82" s="2602"/>
      <c r="R82" s="2602"/>
      <c r="S82" s="2602"/>
      <c r="T82" s="2603"/>
      <c r="U82" s="2600"/>
      <c r="V82" s="2601"/>
      <c r="W82" s="2602"/>
      <c r="X82" s="2602"/>
      <c r="Y82" s="2603"/>
      <c r="Z82" s="2603">
        <f t="shared" si="34"/>
        <v>0</v>
      </c>
      <c r="AA82" s="2603">
        <f t="shared" si="35"/>
        <v>0</v>
      </c>
      <c r="AB82" s="2602"/>
      <c r="AC82" s="2602"/>
      <c r="AD82" s="2620"/>
    </row>
    <row r="83" spans="1:30" s="2612" customFormat="1" x14ac:dyDescent="0.25">
      <c r="A83" s="2626"/>
      <c r="B83" s="2599" t="s">
        <v>2220</v>
      </c>
      <c r="C83" s="2600">
        <v>2</v>
      </c>
      <c r="D83" s="2601">
        <f t="shared" si="32"/>
        <v>50</v>
      </c>
      <c r="E83" s="2602"/>
      <c r="F83" s="2602">
        <v>0.1</v>
      </c>
      <c r="G83" s="2602"/>
      <c r="H83" s="2603">
        <f t="shared" si="33"/>
        <v>0.1</v>
      </c>
      <c r="I83" s="2600"/>
      <c r="J83" s="2601"/>
      <c r="K83" s="2602"/>
      <c r="L83" s="2602"/>
      <c r="M83" s="2602"/>
      <c r="N83" s="2603"/>
      <c r="O83" s="2600"/>
      <c r="P83" s="2601"/>
      <c r="Q83" s="2602"/>
      <c r="R83" s="2602"/>
      <c r="S83" s="2602"/>
      <c r="T83" s="2603"/>
      <c r="U83" s="2600"/>
      <c r="V83" s="2601"/>
      <c r="W83" s="2602"/>
      <c r="X83" s="2602"/>
      <c r="Y83" s="2603"/>
      <c r="Z83" s="2603">
        <f t="shared" si="34"/>
        <v>0</v>
      </c>
      <c r="AA83" s="2603">
        <f t="shared" si="35"/>
        <v>0</v>
      </c>
      <c r="AB83" s="2602"/>
      <c r="AC83" s="2602"/>
      <c r="AD83" s="2620"/>
    </row>
    <row r="84" spans="1:30" s="2612" customFormat="1" x14ac:dyDescent="0.25">
      <c r="A84" s="2626"/>
      <c r="B84" s="2599" t="s">
        <v>2296</v>
      </c>
      <c r="C84" s="2600">
        <v>10</v>
      </c>
      <c r="D84" s="2601">
        <f t="shared" si="32"/>
        <v>100</v>
      </c>
      <c r="E84" s="2602">
        <v>1</v>
      </c>
      <c r="F84" s="2602"/>
      <c r="G84" s="2602"/>
      <c r="H84" s="2603">
        <f t="shared" si="33"/>
        <v>1</v>
      </c>
      <c r="I84" s="2600"/>
      <c r="J84" s="2601"/>
      <c r="K84" s="2602"/>
      <c r="L84" s="2602"/>
      <c r="M84" s="2602"/>
      <c r="N84" s="2603"/>
      <c r="O84" s="2600"/>
      <c r="P84" s="2601"/>
      <c r="Q84" s="2602"/>
      <c r="R84" s="2602"/>
      <c r="S84" s="2602"/>
      <c r="T84" s="2603"/>
      <c r="U84" s="2600"/>
      <c r="V84" s="2601"/>
      <c r="W84" s="2602"/>
      <c r="X84" s="2602"/>
      <c r="Y84" s="2603"/>
      <c r="Z84" s="2603">
        <f t="shared" si="34"/>
        <v>0</v>
      </c>
      <c r="AA84" s="2603">
        <f t="shared" si="35"/>
        <v>0</v>
      </c>
      <c r="AB84" s="2602"/>
      <c r="AC84" s="2602"/>
      <c r="AD84" s="2620"/>
    </row>
    <row r="85" spans="1:30" s="2612" customFormat="1" x14ac:dyDescent="0.25">
      <c r="A85" s="2626"/>
      <c r="B85" s="2599" t="s">
        <v>2296</v>
      </c>
      <c r="C85" s="2600">
        <v>10</v>
      </c>
      <c r="D85" s="2601">
        <f t="shared" si="32"/>
        <v>100</v>
      </c>
      <c r="E85" s="2602">
        <v>1</v>
      </c>
      <c r="F85" s="2602"/>
      <c r="G85" s="2602"/>
      <c r="H85" s="2603">
        <f t="shared" si="33"/>
        <v>1</v>
      </c>
      <c r="I85" s="2600"/>
      <c r="J85" s="2601"/>
      <c r="K85" s="2602"/>
      <c r="L85" s="2602"/>
      <c r="M85" s="2602"/>
      <c r="N85" s="2603"/>
      <c r="O85" s="2600"/>
      <c r="P85" s="2601"/>
      <c r="Q85" s="2602"/>
      <c r="R85" s="2602"/>
      <c r="S85" s="2602"/>
      <c r="T85" s="2603"/>
      <c r="U85" s="2600"/>
      <c r="V85" s="2601"/>
      <c r="W85" s="2602"/>
      <c r="X85" s="2602"/>
      <c r="Y85" s="2603"/>
      <c r="Z85" s="2603">
        <f t="shared" si="34"/>
        <v>0</v>
      </c>
      <c r="AA85" s="2603">
        <f t="shared" si="35"/>
        <v>0</v>
      </c>
      <c r="AB85" s="2602"/>
      <c r="AC85" s="2602"/>
      <c r="AD85" s="2620"/>
    </row>
    <row r="86" spans="1:30" s="2612" customFormat="1" x14ac:dyDescent="0.25">
      <c r="A86" s="2626"/>
      <c r="B86" s="2599" t="s">
        <v>2207</v>
      </c>
      <c r="C86" s="2600">
        <v>10</v>
      </c>
      <c r="D86" s="2601">
        <f t="shared" si="32"/>
        <v>30</v>
      </c>
      <c r="E86" s="2602">
        <v>0.3</v>
      </c>
      <c r="F86" s="2602"/>
      <c r="G86" s="2602"/>
      <c r="H86" s="2603">
        <f t="shared" si="33"/>
        <v>0.3</v>
      </c>
      <c r="I86" s="2600"/>
      <c r="J86" s="2601"/>
      <c r="K86" s="2602"/>
      <c r="L86" s="2602"/>
      <c r="M86" s="2602"/>
      <c r="N86" s="2603"/>
      <c r="O86" s="2600"/>
      <c r="P86" s="2601"/>
      <c r="Q86" s="2602"/>
      <c r="R86" s="2602"/>
      <c r="S86" s="2602"/>
      <c r="T86" s="2603"/>
      <c r="U86" s="2600"/>
      <c r="V86" s="2601"/>
      <c r="W86" s="2602"/>
      <c r="X86" s="2602"/>
      <c r="Y86" s="2603"/>
      <c r="Z86" s="2603">
        <f t="shared" si="34"/>
        <v>0</v>
      </c>
      <c r="AA86" s="2603">
        <f t="shared" si="35"/>
        <v>0</v>
      </c>
      <c r="AB86" s="2602"/>
      <c r="AC86" s="2602"/>
      <c r="AD86" s="2620"/>
    </row>
    <row r="87" spans="1:30" x14ac:dyDescent="0.25">
      <c r="A87" s="2626"/>
      <c r="B87" s="2605" t="s">
        <v>2297</v>
      </c>
      <c r="C87" s="2606">
        <v>3</v>
      </c>
      <c r="D87" s="2607">
        <f t="shared" si="32"/>
        <v>133.30000000000001</v>
      </c>
      <c r="E87" s="2608">
        <v>0.4</v>
      </c>
      <c r="F87" s="2608"/>
      <c r="G87" s="2608"/>
      <c r="H87" s="2603">
        <f t="shared" si="33"/>
        <v>0.4</v>
      </c>
      <c r="I87" s="2606"/>
      <c r="J87" s="2601"/>
      <c r="K87" s="2608"/>
      <c r="L87" s="2611"/>
      <c r="M87" s="2611"/>
      <c r="N87" s="2603"/>
      <c r="O87" s="2586"/>
      <c r="P87" s="2601"/>
      <c r="Q87" s="2611"/>
      <c r="R87" s="2611"/>
      <c r="S87" s="2611"/>
      <c r="T87" s="2603"/>
      <c r="U87" s="2586"/>
      <c r="V87" s="2601"/>
      <c r="W87" s="2602"/>
      <c r="X87" s="2611"/>
      <c r="Y87" s="2603"/>
      <c r="Z87" s="2603">
        <f t="shared" si="34"/>
        <v>0</v>
      </c>
      <c r="AA87" s="2603">
        <f t="shared" si="35"/>
        <v>0</v>
      </c>
      <c r="AB87" s="2602"/>
      <c r="AC87" s="2602"/>
      <c r="AD87" s="2629"/>
    </row>
    <row r="88" spans="1:30" x14ac:dyDescent="0.25">
      <c r="A88" s="2626"/>
      <c r="B88" s="2605" t="s">
        <v>2298</v>
      </c>
      <c r="C88" s="2606">
        <v>15</v>
      </c>
      <c r="D88" s="2607">
        <f t="shared" si="32"/>
        <v>60</v>
      </c>
      <c r="E88" s="2608">
        <v>0.9</v>
      </c>
      <c r="F88" s="2608"/>
      <c r="G88" s="2608"/>
      <c r="H88" s="2603">
        <f t="shared" si="33"/>
        <v>0.9</v>
      </c>
      <c r="I88" s="2606"/>
      <c r="J88" s="2601"/>
      <c r="K88" s="2608"/>
      <c r="L88" s="2611"/>
      <c r="M88" s="2611"/>
      <c r="N88" s="2603"/>
      <c r="O88" s="2586"/>
      <c r="P88" s="2601"/>
      <c r="Q88" s="2611"/>
      <c r="R88" s="2611"/>
      <c r="S88" s="2611"/>
      <c r="T88" s="2603"/>
      <c r="U88" s="2586"/>
      <c r="V88" s="2601"/>
      <c r="W88" s="2602"/>
      <c r="X88" s="2611"/>
      <c r="Y88" s="2603"/>
      <c r="Z88" s="2603">
        <f t="shared" si="34"/>
        <v>0</v>
      </c>
      <c r="AA88" s="2603">
        <f t="shared" si="35"/>
        <v>0</v>
      </c>
      <c r="AB88" s="2602"/>
      <c r="AC88" s="2602"/>
      <c r="AD88" s="2629"/>
    </row>
    <row r="89" spans="1:30" x14ac:dyDescent="0.25">
      <c r="A89" s="2626"/>
      <c r="B89" s="2605" t="s">
        <v>2299</v>
      </c>
      <c r="C89" s="2606">
        <v>7</v>
      </c>
      <c r="D89" s="2607">
        <f t="shared" si="32"/>
        <v>71.400000000000006</v>
      </c>
      <c r="E89" s="2608">
        <v>0.5</v>
      </c>
      <c r="F89" s="2608"/>
      <c r="G89" s="2608"/>
      <c r="H89" s="2603">
        <f t="shared" si="33"/>
        <v>0.5</v>
      </c>
      <c r="I89" s="2606"/>
      <c r="J89" s="2601"/>
      <c r="K89" s="2608"/>
      <c r="L89" s="2611"/>
      <c r="M89" s="2611"/>
      <c r="N89" s="2603"/>
      <c r="O89" s="2586"/>
      <c r="P89" s="2601"/>
      <c r="Q89" s="2611"/>
      <c r="R89" s="2611"/>
      <c r="S89" s="2611"/>
      <c r="T89" s="2603"/>
      <c r="U89" s="2586"/>
      <c r="V89" s="2601"/>
      <c r="W89" s="2602"/>
      <c r="X89" s="2611"/>
      <c r="Y89" s="2603"/>
      <c r="Z89" s="2603">
        <f t="shared" si="34"/>
        <v>0</v>
      </c>
      <c r="AA89" s="2603">
        <f t="shared" si="35"/>
        <v>0</v>
      </c>
      <c r="AB89" s="2602"/>
      <c r="AC89" s="2602"/>
      <c r="AD89" s="2629"/>
    </row>
    <row r="90" spans="1:30" x14ac:dyDescent="0.25">
      <c r="A90" s="2626"/>
      <c r="B90" s="2605" t="s">
        <v>2151</v>
      </c>
      <c r="C90" s="2606">
        <v>2</v>
      </c>
      <c r="D90" s="2607">
        <f t="shared" si="32"/>
        <v>0</v>
      </c>
      <c r="E90" s="2608">
        <v>0</v>
      </c>
      <c r="F90" s="2608"/>
      <c r="G90" s="2608"/>
      <c r="H90" s="2603">
        <f t="shared" si="33"/>
        <v>0</v>
      </c>
      <c r="I90" s="2606"/>
      <c r="J90" s="2601"/>
      <c r="K90" s="2608"/>
      <c r="L90" s="2611"/>
      <c r="M90" s="2611"/>
      <c r="N90" s="2603"/>
      <c r="O90" s="2586"/>
      <c r="P90" s="2601"/>
      <c r="Q90" s="2611"/>
      <c r="R90" s="2611"/>
      <c r="S90" s="2611"/>
      <c r="T90" s="2603"/>
      <c r="U90" s="2586"/>
      <c r="V90" s="2601"/>
      <c r="W90" s="2602"/>
      <c r="X90" s="2611"/>
      <c r="Y90" s="2603"/>
      <c r="Z90" s="2603">
        <f t="shared" si="34"/>
        <v>0</v>
      </c>
      <c r="AA90" s="2603">
        <f t="shared" si="35"/>
        <v>0</v>
      </c>
      <c r="AB90" s="2602"/>
      <c r="AC90" s="2602"/>
      <c r="AD90" s="2629"/>
    </row>
    <row r="91" spans="1:30" x14ac:dyDescent="0.25">
      <c r="A91" s="2626"/>
      <c r="B91" s="2605" t="s">
        <v>1413</v>
      </c>
      <c r="C91" s="2606">
        <v>2</v>
      </c>
      <c r="D91" s="2607">
        <f t="shared" si="32"/>
        <v>50</v>
      </c>
      <c r="E91" s="2608">
        <v>0.1</v>
      </c>
      <c r="F91" s="2608"/>
      <c r="G91" s="2608"/>
      <c r="H91" s="2603">
        <f t="shared" si="33"/>
        <v>0.1</v>
      </c>
      <c r="I91" s="2606"/>
      <c r="J91" s="2601"/>
      <c r="K91" s="2608"/>
      <c r="L91" s="2611"/>
      <c r="M91" s="2611"/>
      <c r="N91" s="2603"/>
      <c r="O91" s="2586"/>
      <c r="P91" s="2601"/>
      <c r="Q91" s="2611"/>
      <c r="R91" s="2611"/>
      <c r="S91" s="2611"/>
      <c r="T91" s="2603"/>
      <c r="U91" s="2586"/>
      <c r="V91" s="2601"/>
      <c r="W91" s="2602"/>
      <c r="X91" s="2611"/>
      <c r="Y91" s="2603"/>
      <c r="Z91" s="2603">
        <f t="shared" si="34"/>
        <v>0</v>
      </c>
      <c r="AA91" s="2603">
        <f t="shared" si="35"/>
        <v>0</v>
      </c>
      <c r="AB91" s="2602"/>
      <c r="AC91" s="2602"/>
      <c r="AD91" s="2629"/>
    </row>
    <row r="92" spans="1:30" x14ac:dyDescent="0.25">
      <c r="A92" s="2626"/>
      <c r="B92" s="2605" t="s">
        <v>2300</v>
      </c>
      <c r="C92" s="2606">
        <v>8</v>
      </c>
      <c r="D92" s="2607">
        <f t="shared" si="32"/>
        <v>25</v>
      </c>
      <c r="E92" s="2608">
        <v>0.2</v>
      </c>
      <c r="F92" s="2608"/>
      <c r="G92" s="2608"/>
      <c r="H92" s="2603">
        <f t="shared" si="33"/>
        <v>0.2</v>
      </c>
      <c r="I92" s="2606"/>
      <c r="J92" s="2601"/>
      <c r="K92" s="2608"/>
      <c r="L92" s="2611"/>
      <c r="M92" s="2611"/>
      <c r="N92" s="2603"/>
      <c r="O92" s="2586"/>
      <c r="P92" s="2601"/>
      <c r="Q92" s="2611"/>
      <c r="R92" s="2611"/>
      <c r="S92" s="2611"/>
      <c r="T92" s="2603"/>
      <c r="U92" s="2586"/>
      <c r="V92" s="2601"/>
      <c r="W92" s="2602"/>
      <c r="X92" s="2611"/>
      <c r="Y92" s="2603"/>
      <c r="Z92" s="2603">
        <f t="shared" si="34"/>
        <v>0</v>
      </c>
      <c r="AA92" s="2603">
        <f t="shared" si="35"/>
        <v>0</v>
      </c>
      <c r="AB92" s="2602"/>
      <c r="AC92" s="2602"/>
      <c r="AD92" s="2629"/>
    </row>
    <row r="93" spans="1:30" x14ac:dyDescent="0.25">
      <c r="A93" s="2626"/>
      <c r="B93" s="2605" t="s">
        <v>2223</v>
      </c>
      <c r="C93" s="2606">
        <v>3</v>
      </c>
      <c r="D93" s="2607">
        <f t="shared" si="32"/>
        <v>100</v>
      </c>
      <c r="E93" s="2608">
        <v>0.3</v>
      </c>
      <c r="F93" s="2608"/>
      <c r="G93" s="2608"/>
      <c r="H93" s="2603">
        <f t="shared" si="33"/>
        <v>0.3</v>
      </c>
      <c r="I93" s="2606"/>
      <c r="J93" s="2601"/>
      <c r="K93" s="2608"/>
      <c r="L93" s="2611"/>
      <c r="M93" s="2611"/>
      <c r="N93" s="2603"/>
      <c r="O93" s="2586"/>
      <c r="P93" s="2601"/>
      <c r="Q93" s="2611"/>
      <c r="R93" s="2611"/>
      <c r="S93" s="2611"/>
      <c r="T93" s="2603"/>
      <c r="U93" s="2586"/>
      <c r="V93" s="2601"/>
      <c r="W93" s="2602"/>
      <c r="X93" s="2611"/>
      <c r="Y93" s="2603"/>
      <c r="Z93" s="2603">
        <f t="shared" si="34"/>
        <v>0</v>
      </c>
      <c r="AA93" s="2603">
        <f t="shared" si="35"/>
        <v>0</v>
      </c>
      <c r="AB93" s="2602"/>
      <c r="AC93" s="2602"/>
      <c r="AD93" s="2629"/>
    </row>
    <row r="94" spans="1:30" x14ac:dyDescent="0.25">
      <c r="A94" s="2626"/>
      <c r="B94" s="2605" t="s">
        <v>2146</v>
      </c>
      <c r="C94" s="2606">
        <v>100</v>
      </c>
      <c r="D94" s="2607">
        <f t="shared" si="32"/>
        <v>25</v>
      </c>
      <c r="E94" s="2608">
        <v>2.5</v>
      </c>
      <c r="F94" s="2608"/>
      <c r="G94" s="2608"/>
      <c r="H94" s="2603">
        <f t="shared" si="33"/>
        <v>2.5</v>
      </c>
      <c r="I94" s="2606"/>
      <c r="J94" s="2601"/>
      <c r="K94" s="2608"/>
      <c r="L94" s="2611"/>
      <c r="M94" s="2611"/>
      <c r="N94" s="2603"/>
      <c r="O94" s="2586"/>
      <c r="P94" s="2601"/>
      <c r="Q94" s="2611"/>
      <c r="R94" s="2611"/>
      <c r="S94" s="2611"/>
      <c r="T94" s="2603"/>
      <c r="U94" s="2586"/>
      <c r="V94" s="2601"/>
      <c r="W94" s="2602"/>
      <c r="X94" s="2611"/>
      <c r="Y94" s="2603"/>
      <c r="Z94" s="2603">
        <f t="shared" si="34"/>
        <v>0</v>
      </c>
      <c r="AA94" s="2603">
        <f t="shared" si="35"/>
        <v>0</v>
      </c>
      <c r="AB94" s="2602"/>
      <c r="AC94" s="2602"/>
      <c r="AD94" s="2629"/>
    </row>
    <row r="95" spans="1:30" ht="15.75" customHeight="1" x14ac:dyDescent="0.25">
      <c r="A95" s="2626"/>
      <c r="B95" s="2605" t="s">
        <v>2301</v>
      </c>
      <c r="C95" s="2606">
        <v>20</v>
      </c>
      <c r="D95" s="2607">
        <f t="shared" si="32"/>
        <v>150</v>
      </c>
      <c r="E95" s="2608"/>
      <c r="F95" s="2608">
        <v>3</v>
      </c>
      <c r="G95" s="2608"/>
      <c r="H95" s="2603">
        <f t="shared" si="33"/>
        <v>3</v>
      </c>
      <c r="I95" s="2606"/>
      <c r="J95" s="2601"/>
      <c r="K95" s="2608"/>
      <c r="L95" s="2611"/>
      <c r="M95" s="2611"/>
      <c r="N95" s="2603"/>
      <c r="O95" s="2586"/>
      <c r="P95" s="2601"/>
      <c r="Q95" s="2611"/>
      <c r="R95" s="2611"/>
      <c r="S95" s="2611"/>
      <c r="T95" s="2603"/>
      <c r="U95" s="2586"/>
      <c r="V95" s="2601"/>
      <c r="W95" s="2602"/>
      <c r="X95" s="2611"/>
      <c r="Y95" s="2603"/>
      <c r="Z95" s="2603">
        <f t="shared" si="34"/>
        <v>0</v>
      </c>
      <c r="AA95" s="2603">
        <f t="shared" si="35"/>
        <v>0</v>
      </c>
      <c r="AB95" s="2602"/>
      <c r="AC95" s="2602"/>
      <c r="AD95" s="2888"/>
    </row>
    <row r="96" spans="1:30" x14ac:dyDescent="0.25">
      <c r="A96" s="2626"/>
      <c r="B96" s="2605" t="s">
        <v>2217</v>
      </c>
      <c r="C96" s="2606"/>
      <c r="D96" s="2607"/>
      <c r="E96" s="2608"/>
      <c r="F96" s="2608"/>
      <c r="G96" s="2608"/>
      <c r="H96" s="2603"/>
      <c r="I96" s="2606">
        <v>15</v>
      </c>
      <c r="J96" s="2601">
        <f t="shared" ref="J96:J140" si="36">(L96/I96*1000)+(K96/I96*1000)</f>
        <v>100</v>
      </c>
      <c r="K96" s="2608"/>
      <c r="L96" s="2611">
        <v>1.5</v>
      </c>
      <c r="M96" s="2611"/>
      <c r="N96" s="2603">
        <f t="shared" ref="N96:N140" si="37">SUM(K96:M96)</f>
        <v>1.5</v>
      </c>
      <c r="O96" s="2586">
        <v>15</v>
      </c>
      <c r="P96" s="2601">
        <f t="shared" ref="P96:P140" si="38">(R96/O96*1000)+(Q96/O96*1000)</f>
        <v>100</v>
      </c>
      <c r="Q96" s="2611"/>
      <c r="R96" s="2611">
        <v>1.5</v>
      </c>
      <c r="S96" s="2611"/>
      <c r="T96" s="2603">
        <f t="shared" ref="T96:T140" si="39">SUM(Q96:S96)</f>
        <v>1.5</v>
      </c>
      <c r="U96" s="2586"/>
      <c r="V96" s="2601"/>
      <c r="W96" s="2602"/>
      <c r="X96" s="2611">
        <v>3</v>
      </c>
      <c r="Y96" s="2603">
        <f t="shared" ref="Y96:Y140" si="40">SUM(W96:X96)</f>
        <v>3</v>
      </c>
      <c r="Z96" s="2603">
        <f t="shared" si="34"/>
        <v>0</v>
      </c>
      <c r="AA96" s="2603">
        <f t="shared" si="35"/>
        <v>0</v>
      </c>
      <c r="AB96" s="2602"/>
      <c r="AC96" s="2602"/>
      <c r="AD96" s="2888"/>
    </row>
    <row r="97" spans="1:30" x14ac:dyDescent="0.25">
      <c r="A97" s="2626"/>
      <c r="B97" s="2610" t="s">
        <v>2302</v>
      </c>
      <c r="C97" s="2586"/>
      <c r="D97" s="2587"/>
      <c r="E97" s="2611"/>
      <c r="F97" s="2611"/>
      <c r="G97" s="2611"/>
      <c r="H97" s="2603"/>
      <c r="I97" s="2586">
        <v>12</v>
      </c>
      <c r="J97" s="2601">
        <f t="shared" si="36"/>
        <v>41.7</v>
      </c>
      <c r="K97" s="2611"/>
      <c r="L97" s="2611">
        <v>0.5</v>
      </c>
      <c r="M97" s="2611"/>
      <c r="N97" s="2603">
        <f t="shared" si="37"/>
        <v>0.5</v>
      </c>
      <c r="O97" s="2586">
        <v>12</v>
      </c>
      <c r="P97" s="2601">
        <f t="shared" si="38"/>
        <v>41.7</v>
      </c>
      <c r="Q97" s="2611"/>
      <c r="R97" s="2611">
        <v>0.5</v>
      </c>
      <c r="S97" s="2611"/>
      <c r="T97" s="2603">
        <f t="shared" si="39"/>
        <v>0.5</v>
      </c>
      <c r="U97" s="2586"/>
      <c r="V97" s="2601"/>
      <c r="W97" s="2602"/>
      <c r="X97" s="2611">
        <v>0.4</v>
      </c>
      <c r="Y97" s="2603">
        <f t="shared" si="40"/>
        <v>0.4</v>
      </c>
      <c r="Z97" s="2603">
        <f t="shared" si="34"/>
        <v>0</v>
      </c>
      <c r="AA97" s="2603">
        <f t="shared" si="35"/>
        <v>0</v>
      </c>
      <c r="AB97" s="2602"/>
      <c r="AC97" s="2602"/>
      <c r="AD97" s="2888"/>
    </row>
    <row r="98" spans="1:30" x14ac:dyDescent="0.25">
      <c r="A98" s="2626"/>
      <c r="B98" s="2610" t="s">
        <v>2207</v>
      </c>
      <c r="C98" s="2586"/>
      <c r="D98" s="2587"/>
      <c r="E98" s="2611"/>
      <c r="F98" s="2611"/>
      <c r="G98" s="2611"/>
      <c r="H98" s="2603"/>
      <c r="I98" s="2586">
        <v>40</v>
      </c>
      <c r="J98" s="2601">
        <f t="shared" si="36"/>
        <v>20</v>
      </c>
      <c r="K98" s="2611"/>
      <c r="L98" s="2611">
        <v>0.8</v>
      </c>
      <c r="M98" s="2611"/>
      <c r="N98" s="2603">
        <f t="shared" si="37"/>
        <v>0.8</v>
      </c>
      <c r="O98" s="2586">
        <v>40</v>
      </c>
      <c r="P98" s="2601">
        <f t="shared" si="38"/>
        <v>20</v>
      </c>
      <c r="Q98" s="2611"/>
      <c r="R98" s="2611">
        <v>0.8</v>
      </c>
      <c r="S98" s="2611"/>
      <c r="T98" s="2603">
        <f t="shared" si="39"/>
        <v>0.8</v>
      </c>
      <c r="U98" s="2586"/>
      <c r="V98" s="2601"/>
      <c r="W98" s="2602"/>
      <c r="X98" s="2611">
        <v>0.8</v>
      </c>
      <c r="Y98" s="2603">
        <f t="shared" si="40"/>
        <v>0.8</v>
      </c>
      <c r="Z98" s="2603">
        <f t="shared" si="34"/>
        <v>0</v>
      </c>
      <c r="AA98" s="2603">
        <f t="shared" si="35"/>
        <v>0</v>
      </c>
      <c r="AB98" s="2602"/>
      <c r="AC98" s="2602"/>
      <c r="AD98" s="2888"/>
    </row>
    <row r="99" spans="1:30" x14ac:dyDescent="0.25">
      <c r="A99" s="2626"/>
      <c r="B99" s="2610" t="s">
        <v>2303</v>
      </c>
      <c r="C99" s="2586"/>
      <c r="D99" s="2587"/>
      <c r="E99" s="2611"/>
      <c r="F99" s="2611"/>
      <c r="G99" s="2611"/>
      <c r="H99" s="2603"/>
      <c r="I99" s="2586">
        <v>10</v>
      </c>
      <c r="J99" s="2601">
        <f t="shared" si="36"/>
        <v>150</v>
      </c>
      <c r="K99" s="2611"/>
      <c r="L99" s="2611">
        <v>1.5</v>
      </c>
      <c r="M99" s="2611"/>
      <c r="N99" s="2603">
        <f t="shared" si="37"/>
        <v>1.5</v>
      </c>
      <c r="O99" s="2586">
        <v>10</v>
      </c>
      <c r="P99" s="2601">
        <f t="shared" si="38"/>
        <v>150</v>
      </c>
      <c r="Q99" s="2611"/>
      <c r="R99" s="2611">
        <v>1.5</v>
      </c>
      <c r="S99" s="2611"/>
      <c r="T99" s="2603">
        <f t="shared" si="39"/>
        <v>1.5</v>
      </c>
      <c r="U99" s="2586"/>
      <c r="V99" s="2601"/>
      <c r="W99" s="2602"/>
      <c r="X99" s="2611">
        <v>1.5</v>
      </c>
      <c r="Y99" s="2603">
        <f t="shared" si="40"/>
        <v>1.5</v>
      </c>
      <c r="Z99" s="2603">
        <f t="shared" si="34"/>
        <v>0</v>
      </c>
      <c r="AA99" s="2603">
        <f t="shared" si="35"/>
        <v>0</v>
      </c>
      <c r="AB99" s="2602"/>
      <c r="AC99" s="2602"/>
      <c r="AD99" s="2888"/>
    </row>
    <row r="100" spans="1:30" x14ac:dyDescent="0.25">
      <c r="A100" s="2626"/>
      <c r="B100" s="2610" t="s">
        <v>2304</v>
      </c>
      <c r="C100" s="2586"/>
      <c r="D100" s="2587"/>
      <c r="E100" s="2611"/>
      <c r="F100" s="2611"/>
      <c r="G100" s="2611"/>
      <c r="H100" s="2603"/>
      <c r="I100" s="2586">
        <v>10</v>
      </c>
      <c r="J100" s="2601">
        <f t="shared" si="36"/>
        <v>60</v>
      </c>
      <c r="K100" s="2611"/>
      <c r="L100" s="2611">
        <v>0.6</v>
      </c>
      <c r="M100" s="2611"/>
      <c r="N100" s="2603">
        <f t="shared" si="37"/>
        <v>0.6</v>
      </c>
      <c r="O100" s="2586">
        <v>10</v>
      </c>
      <c r="P100" s="2601">
        <f t="shared" si="38"/>
        <v>60</v>
      </c>
      <c r="Q100" s="2611"/>
      <c r="R100" s="2611">
        <v>0.6</v>
      </c>
      <c r="S100" s="2611"/>
      <c r="T100" s="2603">
        <f t="shared" si="39"/>
        <v>0.6</v>
      </c>
      <c r="U100" s="2586"/>
      <c r="V100" s="2601"/>
      <c r="W100" s="2602"/>
      <c r="X100" s="2611">
        <v>0.8</v>
      </c>
      <c r="Y100" s="2603">
        <f t="shared" si="40"/>
        <v>0.8</v>
      </c>
      <c r="Z100" s="2603">
        <f t="shared" si="34"/>
        <v>0</v>
      </c>
      <c r="AA100" s="2603">
        <f t="shared" si="35"/>
        <v>0</v>
      </c>
      <c r="AB100" s="2602"/>
      <c r="AC100" s="2602"/>
      <c r="AD100" s="2888"/>
    </row>
    <row r="101" spans="1:30" x14ac:dyDescent="0.25">
      <c r="A101" s="2626"/>
      <c r="B101" s="2610" t="s">
        <v>2305</v>
      </c>
      <c r="C101" s="2586"/>
      <c r="D101" s="2587"/>
      <c r="E101" s="2611"/>
      <c r="F101" s="2611"/>
      <c r="G101" s="2611"/>
      <c r="H101" s="2603"/>
      <c r="I101" s="2586">
        <v>10</v>
      </c>
      <c r="J101" s="2601">
        <f t="shared" si="36"/>
        <v>100</v>
      </c>
      <c r="K101" s="2611"/>
      <c r="L101" s="2611">
        <v>1</v>
      </c>
      <c r="M101" s="2611"/>
      <c r="N101" s="2603">
        <f t="shared" si="37"/>
        <v>1</v>
      </c>
      <c r="O101" s="2586">
        <v>10</v>
      </c>
      <c r="P101" s="2601">
        <f t="shared" si="38"/>
        <v>100</v>
      </c>
      <c r="Q101" s="2611"/>
      <c r="R101" s="2611">
        <v>1</v>
      </c>
      <c r="S101" s="2611"/>
      <c r="T101" s="2603">
        <f t="shared" si="39"/>
        <v>1</v>
      </c>
      <c r="U101" s="2586"/>
      <c r="V101" s="2601"/>
      <c r="W101" s="2602"/>
      <c r="X101" s="2611">
        <v>1.2</v>
      </c>
      <c r="Y101" s="2603">
        <f t="shared" si="40"/>
        <v>1.2</v>
      </c>
      <c r="Z101" s="2603">
        <f t="shared" si="34"/>
        <v>0</v>
      </c>
      <c r="AA101" s="2603">
        <f t="shared" si="35"/>
        <v>0</v>
      </c>
      <c r="AB101" s="2602"/>
      <c r="AC101" s="2602"/>
      <c r="AD101" s="2888"/>
    </row>
    <row r="102" spans="1:30" x14ac:dyDescent="0.25">
      <c r="A102" s="2626"/>
      <c r="B102" s="2610" t="s">
        <v>2306</v>
      </c>
      <c r="C102" s="2586"/>
      <c r="D102" s="2587"/>
      <c r="E102" s="2611"/>
      <c r="F102" s="2611"/>
      <c r="G102" s="2611"/>
      <c r="H102" s="2603"/>
      <c r="I102" s="2586">
        <v>5</v>
      </c>
      <c r="J102" s="2601">
        <f t="shared" si="36"/>
        <v>60</v>
      </c>
      <c r="K102" s="2611"/>
      <c r="L102" s="2611">
        <v>0.3</v>
      </c>
      <c r="M102" s="2611"/>
      <c r="N102" s="2603">
        <f t="shared" si="37"/>
        <v>0.3</v>
      </c>
      <c r="O102" s="2586">
        <v>5</v>
      </c>
      <c r="P102" s="2601">
        <f t="shared" si="38"/>
        <v>60</v>
      </c>
      <c r="Q102" s="2611"/>
      <c r="R102" s="2611">
        <v>0.3</v>
      </c>
      <c r="S102" s="2611"/>
      <c r="T102" s="2603">
        <f t="shared" si="39"/>
        <v>0.3</v>
      </c>
      <c r="U102" s="2586"/>
      <c r="V102" s="2601"/>
      <c r="W102" s="2602"/>
      <c r="X102" s="2611">
        <v>0.3</v>
      </c>
      <c r="Y102" s="2603">
        <f t="shared" si="40"/>
        <v>0.3</v>
      </c>
      <c r="Z102" s="2603">
        <f t="shared" si="34"/>
        <v>0</v>
      </c>
      <c r="AA102" s="2603">
        <f t="shared" si="35"/>
        <v>0</v>
      </c>
      <c r="AB102" s="2602"/>
      <c r="AC102" s="2602"/>
      <c r="AD102" s="2888"/>
    </row>
    <row r="103" spans="1:30" x14ac:dyDescent="0.25">
      <c r="A103" s="2626"/>
      <c r="B103" s="2610" t="s">
        <v>2231</v>
      </c>
      <c r="C103" s="2586"/>
      <c r="D103" s="2587"/>
      <c r="E103" s="2611"/>
      <c r="F103" s="2611"/>
      <c r="G103" s="2611"/>
      <c r="H103" s="2603"/>
      <c r="I103" s="2586">
        <v>10</v>
      </c>
      <c r="J103" s="2601">
        <f t="shared" si="36"/>
        <v>120</v>
      </c>
      <c r="K103" s="2611"/>
      <c r="L103" s="2611">
        <v>1.2</v>
      </c>
      <c r="M103" s="2611"/>
      <c r="N103" s="2603">
        <f t="shared" si="37"/>
        <v>1.2</v>
      </c>
      <c r="O103" s="2586">
        <v>10</v>
      </c>
      <c r="P103" s="2601">
        <f t="shared" si="38"/>
        <v>120</v>
      </c>
      <c r="Q103" s="2611"/>
      <c r="R103" s="2611">
        <v>1.2</v>
      </c>
      <c r="S103" s="2611"/>
      <c r="T103" s="2603">
        <f t="shared" si="39"/>
        <v>1.2</v>
      </c>
      <c r="U103" s="2586"/>
      <c r="V103" s="2601"/>
      <c r="W103" s="2602"/>
      <c r="X103" s="2611">
        <v>1.3</v>
      </c>
      <c r="Y103" s="2603">
        <f t="shared" si="40"/>
        <v>1.3</v>
      </c>
      <c r="Z103" s="2603">
        <f t="shared" si="34"/>
        <v>0</v>
      </c>
      <c r="AA103" s="2603">
        <f t="shared" si="35"/>
        <v>0</v>
      </c>
      <c r="AB103" s="2602"/>
      <c r="AC103" s="2602"/>
      <c r="AD103" s="2888"/>
    </row>
    <row r="104" spans="1:30" x14ac:dyDescent="0.25">
      <c r="A104" s="2626"/>
      <c r="B104" s="2610" t="s">
        <v>2307</v>
      </c>
      <c r="C104" s="2586"/>
      <c r="D104" s="2587"/>
      <c r="E104" s="2611"/>
      <c r="F104" s="2611"/>
      <c r="G104" s="2611"/>
      <c r="H104" s="2603"/>
      <c r="I104" s="2586">
        <v>20</v>
      </c>
      <c r="J104" s="2601">
        <f t="shared" si="36"/>
        <v>25</v>
      </c>
      <c r="K104" s="2611"/>
      <c r="L104" s="2611">
        <v>0.5</v>
      </c>
      <c r="M104" s="2611"/>
      <c r="N104" s="2603">
        <f t="shared" si="37"/>
        <v>0.5</v>
      </c>
      <c r="O104" s="2586">
        <v>20</v>
      </c>
      <c r="P104" s="2601">
        <f t="shared" si="38"/>
        <v>25</v>
      </c>
      <c r="Q104" s="2611"/>
      <c r="R104" s="2611">
        <v>0.5</v>
      </c>
      <c r="S104" s="2611"/>
      <c r="T104" s="2603">
        <f t="shared" si="39"/>
        <v>0.5</v>
      </c>
      <c r="U104" s="2586"/>
      <c r="V104" s="2601"/>
      <c r="W104" s="2602"/>
      <c r="X104" s="2611">
        <v>0.6</v>
      </c>
      <c r="Y104" s="2603">
        <f t="shared" si="40"/>
        <v>0.6</v>
      </c>
      <c r="Z104" s="2603">
        <f t="shared" si="34"/>
        <v>0</v>
      </c>
      <c r="AA104" s="2603">
        <f t="shared" si="35"/>
        <v>0</v>
      </c>
      <c r="AB104" s="2602"/>
      <c r="AC104" s="2602"/>
      <c r="AD104" s="2888"/>
    </row>
    <row r="105" spans="1:30" x14ac:dyDescent="0.25">
      <c r="A105" s="2626"/>
      <c r="B105" s="2610" t="s">
        <v>2308</v>
      </c>
      <c r="C105" s="2586"/>
      <c r="D105" s="2587"/>
      <c r="E105" s="2611"/>
      <c r="F105" s="2611"/>
      <c r="G105" s="2611"/>
      <c r="H105" s="2603"/>
      <c r="I105" s="2586">
        <v>10</v>
      </c>
      <c r="J105" s="2601">
        <f t="shared" si="36"/>
        <v>10</v>
      </c>
      <c r="K105" s="2611"/>
      <c r="L105" s="2611">
        <v>0.1</v>
      </c>
      <c r="M105" s="2611"/>
      <c r="N105" s="2603">
        <f t="shared" si="37"/>
        <v>0.1</v>
      </c>
      <c r="O105" s="2586">
        <v>10</v>
      </c>
      <c r="P105" s="2601">
        <f t="shared" si="38"/>
        <v>10</v>
      </c>
      <c r="Q105" s="2611"/>
      <c r="R105" s="2611">
        <v>0.1</v>
      </c>
      <c r="S105" s="2611"/>
      <c r="T105" s="2603">
        <f t="shared" si="39"/>
        <v>0.1</v>
      </c>
      <c r="U105" s="2586"/>
      <c r="V105" s="2601"/>
      <c r="W105" s="2602"/>
      <c r="X105" s="2611">
        <v>0.2</v>
      </c>
      <c r="Y105" s="2603">
        <f t="shared" si="40"/>
        <v>0.2</v>
      </c>
      <c r="Z105" s="2603">
        <f t="shared" si="34"/>
        <v>0</v>
      </c>
      <c r="AA105" s="2603">
        <f t="shared" si="35"/>
        <v>0</v>
      </c>
      <c r="AB105" s="2602"/>
      <c r="AC105" s="2602"/>
      <c r="AD105" s="2888"/>
    </row>
    <row r="106" spans="1:30" x14ac:dyDescent="0.25">
      <c r="A106" s="2626"/>
      <c r="B106" s="2610" t="s">
        <v>1413</v>
      </c>
      <c r="C106" s="2586"/>
      <c r="D106" s="2587"/>
      <c r="E106" s="2611"/>
      <c r="F106" s="2611"/>
      <c r="G106" s="2611"/>
      <c r="H106" s="2603"/>
      <c r="I106" s="2586">
        <v>10</v>
      </c>
      <c r="J106" s="2601">
        <f t="shared" si="36"/>
        <v>10</v>
      </c>
      <c r="K106" s="2611"/>
      <c r="L106" s="2611">
        <v>0.1</v>
      </c>
      <c r="M106" s="2611"/>
      <c r="N106" s="2603">
        <f t="shared" si="37"/>
        <v>0.1</v>
      </c>
      <c r="O106" s="2586">
        <v>10</v>
      </c>
      <c r="P106" s="2601">
        <f t="shared" si="38"/>
        <v>10</v>
      </c>
      <c r="Q106" s="2611"/>
      <c r="R106" s="2611">
        <v>0.1</v>
      </c>
      <c r="S106" s="2611"/>
      <c r="T106" s="2603">
        <f t="shared" si="39"/>
        <v>0.1</v>
      </c>
      <c r="U106" s="2586"/>
      <c r="V106" s="2601"/>
      <c r="W106" s="2602"/>
      <c r="X106" s="2611">
        <v>0.6</v>
      </c>
      <c r="Y106" s="2603">
        <f t="shared" si="40"/>
        <v>0.6</v>
      </c>
      <c r="Z106" s="2603">
        <f t="shared" si="34"/>
        <v>0</v>
      </c>
      <c r="AA106" s="2603">
        <f t="shared" si="35"/>
        <v>0</v>
      </c>
      <c r="AB106" s="2602"/>
      <c r="AC106" s="2602"/>
      <c r="AD106" s="2888"/>
    </row>
    <row r="107" spans="1:30" x14ac:dyDescent="0.25">
      <c r="A107" s="2626"/>
      <c r="B107" s="2610" t="s">
        <v>2186</v>
      </c>
      <c r="C107" s="2586"/>
      <c r="D107" s="2587"/>
      <c r="E107" s="2611"/>
      <c r="F107" s="2611"/>
      <c r="G107" s="2611"/>
      <c r="H107" s="2603"/>
      <c r="I107" s="2586">
        <v>10</v>
      </c>
      <c r="J107" s="2601">
        <f t="shared" si="36"/>
        <v>20</v>
      </c>
      <c r="K107" s="2611"/>
      <c r="L107" s="2611">
        <v>0.2</v>
      </c>
      <c r="M107" s="2611"/>
      <c r="N107" s="2603">
        <f t="shared" si="37"/>
        <v>0.2</v>
      </c>
      <c r="O107" s="2586">
        <v>10</v>
      </c>
      <c r="P107" s="2601">
        <f t="shared" si="38"/>
        <v>20</v>
      </c>
      <c r="Q107" s="2611"/>
      <c r="R107" s="2611">
        <v>0.2</v>
      </c>
      <c r="S107" s="2611"/>
      <c r="T107" s="2603">
        <f t="shared" si="39"/>
        <v>0.2</v>
      </c>
      <c r="U107" s="2586"/>
      <c r="V107" s="2601"/>
      <c r="W107" s="2602"/>
      <c r="X107" s="2611">
        <v>0.4</v>
      </c>
      <c r="Y107" s="2603">
        <f t="shared" si="40"/>
        <v>0.4</v>
      </c>
      <c r="Z107" s="2603">
        <f t="shared" si="34"/>
        <v>0</v>
      </c>
      <c r="AA107" s="2603">
        <f t="shared" si="35"/>
        <v>0</v>
      </c>
      <c r="AB107" s="2602"/>
      <c r="AC107" s="2602"/>
      <c r="AD107" s="2888"/>
    </row>
    <row r="108" spans="1:30" x14ac:dyDescent="0.25">
      <c r="A108" s="2626"/>
      <c r="B108" s="2610" t="s">
        <v>2309</v>
      </c>
      <c r="C108" s="2586"/>
      <c r="D108" s="2587"/>
      <c r="E108" s="2611"/>
      <c r="F108" s="2611"/>
      <c r="G108" s="2611"/>
      <c r="H108" s="2603"/>
      <c r="I108" s="2586">
        <v>5</v>
      </c>
      <c r="J108" s="2601">
        <f t="shared" si="36"/>
        <v>80</v>
      </c>
      <c r="K108" s="2611"/>
      <c r="L108" s="2611">
        <v>0.4</v>
      </c>
      <c r="M108" s="2611"/>
      <c r="N108" s="2603">
        <f t="shared" si="37"/>
        <v>0.4</v>
      </c>
      <c r="O108" s="2586">
        <v>5</v>
      </c>
      <c r="P108" s="2601">
        <f t="shared" si="38"/>
        <v>80</v>
      </c>
      <c r="Q108" s="2611"/>
      <c r="R108" s="2611">
        <v>0.4</v>
      </c>
      <c r="S108" s="2611"/>
      <c r="T108" s="2603">
        <f t="shared" si="39"/>
        <v>0.4</v>
      </c>
      <c r="U108" s="2586"/>
      <c r="V108" s="2601"/>
      <c r="W108" s="2602"/>
      <c r="X108" s="2611">
        <v>1.2</v>
      </c>
      <c r="Y108" s="2603">
        <f t="shared" si="40"/>
        <v>1.2</v>
      </c>
      <c r="Z108" s="2603">
        <f t="shared" si="34"/>
        <v>0</v>
      </c>
      <c r="AA108" s="2603">
        <f t="shared" si="35"/>
        <v>0</v>
      </c>
      <c r="AB108" s="2602"/>
      <c r="AC108" s="2602"/>
      <c r="AD108" s="2888"/>
    </row>
    <row r="109" spans="1:30" x14ac:dyDescent="0.25">
      <c r="A109" s="2626"/>
      <c r="B109" s="2610" t="s">
        <v>1419</v>
      </c>
      <c r="C109" s="2586"/>
      <c r="D109" s="2587"/>
      <c r="E109" s="2611"/>
      <c r="F109" s="2611"/>
      <c r="G109" s="2611"/>
      <c r="H109" s="2603"/>
      <c r="I109" s="2586">
        <v>4</v>
      </c>
      <c r="J109" s="2601">
        <f t="shared" si="36"/>
        <v>150</v>
      </c>
      <c r="K109" s="2611"/>
      <c r="L109" s="2611">
        <v>0.6</v>
      </c>
      <c r="M109" s="2611"/>
      <c r="N109" s="2603">
        <f t="shared" si="37"/>
        <v>0.6</v>
      </c>
      <c r="O109" s="2586">
        <v>4</v>
      </c>
      <c r="P109" s="2601">
        <f t="shared" si="38"/>
        <v>150</v>
      </c>
      <c r="Q109" s="2611"/>
      <c r="R109" s="2611">
        <v>0.6</v>
      </c>
      <c r="S109" s="2611"/>
      <c r="T109" s="2603">
        <f t="shared" si="39"/>
        <v>0.6</v>
      </c>
      <c r="U109" s="2586"/>
      <c r="V109" s="2601"/>
      <c r="W109" s="2602"/>
      <c r="X109" s="2611">
        <v>1.5</v>
      </c>
      <c r="Y109" s="2603">
        <f t="shared" si="40"/>
        <v>1.5</v>
      </c>
      <c r="Z109" s="2603">
        <f t="shared" si="34"/>
        <v>0</v>
      </c>
      <c r="AA109" s="2603">
        <f t="shared" si="35"/>
        <v>0</v>
      </c>
      <c r="AB109" s="2602"/>
      <c r="AC109" s="2602"/>
      <c r="AD109" s="2888"/>
    </row>
    <row r="110" spans="1:30" x14ac:dyDescent="0.25">
      <c r="A110" s="2626"/>
      <c r="B110" s="2610" t="s">
        <v>2310</v>
      </c>
      <c r="C110" s="2586"/>
      <c r="D110" s="2587"/>
      <c r="E110" s="2611"/>
      <c r="F110" s="2611"/>
      <c r="G110" s="2611"/>
      <c r="H110" s="2603"/>
      <c r="I110" s="2586">
        <v>10</v>
      </c>
      <c r="J110" s="2601">
        <f t="shared" si="36"/>
        <v>60</v>
      </c>
      <c r="K110" s="2611"/>
      <c r="L110" s="2611">
        <v>0.6</v>
      </c>
      <c r="M110" s="2611"/>
      <c r="N110" s="2603">
        <f t="shared" si="37"/>
        <v>0.6</v>
      </c>
      <c r="O110" s="2586">
        <v>10</v>
      </c>
      <c r="P110" s="2601">
        <f t="shared" si="38"/>
        <v>60</v>
      </c>
      <c r="Q110" s="2611"/>
      <c r="R110" s="2611">
        <v>0.6</v>
      </c>
      <c r="S110" s="2611"/>
      <c r="T110" s="2603">
        <f t="shared" si="39"/>
        <v>0.6</v>
      </c>
      <c r="U110" s="2586"/>
      <c r="V110" s="2601"/>
      <c r="W110" s="2602"/>
      <c r="X110" s="2611">
        <v>0.7</v>
      </c>
      <c r="Y110" s="2603">
        <f t="shared" si="40"/>
        <v>0.7</v>
      </c>
      <c r="Z110" s="2603">
        <f t="shared" si="34"/>
        <v>0</v>
      </c>
      <c r="AA110" s="2603">
        <f t="shared" si="35"/>
        <v>0</v>
      </c>
      <c r="AB110" s="2602"/>
      <c r="AC110" s="2602"/>
      <c r="AD110" s="2888"/>
    </row>
    <row r="111" spans="1:30" x14ac:dyDescent="0.25">
      <c r="A111" s="2626"/>
      <c r="B111" s="2610" t="s">
        <v>2311</v>
      </c>
      <c r="C111" s="2586"/>
      <c r="D111" s="2587"/>
      <c r="E111" s="2611"/>
      <c r="F111" s="2611"/>
      <c r="G111" s="2611"/>
      <c r="H111" s="2603"/>
      <c r="I111" s="2586">
        <v>20</v>
      </c>
      <c r="J111" s="2601">
        <f t="shared" si="36"/>
        <v>25</v>
      </c>
      <c r="K111" s="2611"/>
      <c r="L111" s="2611">
        <v>0.5</v>
      </c>
      <c r="M111" s="2611"/>
      <c r="N111" s="2603">
        <f t="shared" si="37"/>
        <v>0.5</v>
      </c>
      <c r="O111" s="2586">
        <v>20</v>
      </c>
      <c r="P111" s="2601">
        <f t="shared" si="38"/>
        <v>25</v>
      </c>
      <c r="Q111" s="2611"/>
      <c r="R111" s="2611">
        <v>0.5</v>
      </c>
      <c r="S111" s="2611"/>
      <c r="T111" s="2603">
        <f t="shared" si="39"/>
        <v>0.5</v>
      </c>
      <c r="U111" s="2586"/>
      <c r="V111" s="2601"/>
      <c r="W111" s="2602"/>
      <c r="X111" s="2611">
        <v>0.8</v>
      </c>
      <c r="Y111" s="2603">
        <f t="shared" si="40"/>
        <v>0.8</v>
      </c>
      <c r="Z111" s="2603">
        <f t="shared" si="34"/>
        <v>0</v>
      </c>
      <c r="AA111" s="2603">
        <f t="shared" si="35"/>
        <v>0</v>
      </c>
      <c r="AB111" s="2602"/>
      <c r="AC111" s="2602"/>
      <c r="AD111" s="2888"/>
    </row>
    <row r="112" spans="1:30" x14ac:dyDescent="0.25">
      <c r="A112" s="2626"/>
      <c r="B112" s="2610" t="s">
        <v>2312</v>
      </c>
      <c r="C112" s="2586"/>
      <c r="D112" s="2587"/>
      <c r="E112" s="2611"/>
      <c r="F112" s="2611"/>
      <c r="G112" s="2611"/>
      <c r="H112" s="2603"/>
      <c r="I112" s="2586">
        <v>10</v>
      </c>
      <c r="J112" s="2601">
        <f t="shared" si="36"/>
        <v>20</v>
      </c>
      <c r="K112" s="2611"/>
      <c r="L112" s="2611">
        <v>0.2</v>
      </c>
      <c r="M112" s="2611"/>
      <c r="N112" s="2603">
        <f t="shared" si="37"/>
        <v>0.2</v>
      </c>
      <c r="O112" s="2586">
        <v>10</v>
      </c>
      <c r="P112" s="2601">
        <f t="shared" si="38"/>
        <v>20</v>
      </c>
      <c r="Q112" s="2611"/>
      <c r="R112" s="2611">
        <v>0.2</v>
      </c>
      <c r="S112" s="2611"/>
      <c r="T112" s="2603">
        <f t="shared" si="39"/>
        <v>0.2</v>
      </c>
      <c r="U112" s="2586"/>
      <c r="V112" s="2601"/>
      <c r="W112" s="2602"/>
      <c r="X112" s="2611">
        <v>0.6</v>
      </c>
      <c r="Y112" s="2603">
        <f t="shared" si="40"/>
        <v>0.6</v>
      </c>
      <c r="Z112" s="2603">
        <f t="shared" si="34"/>
        <v>0</v>
      </c>
      <c r="AA112" s="2603">
        <f t="shared" si="35"/>
        <v>0</v>
      </c>
      <c r="AB112" s="2602"/>
      <c r="AC112" s="2602"/>
      <c r="AD112" s="2888"/>
    </row>
    <row r="113" spans="1:30" x14ac:dyDescent="0.25">
      <c r="A113" s="2626"/>
      <c r="B113" s="2610" t="s">
        <v>2185</v>
      </c>
      <c r="C113" s="2586"/>
      <c r="D113" s="2587"/>
      <c r="E113" s="2611"/>
      <c r="F113" s="2611"/>
      <c r="G113" s="2611"/>
      <c r="H113" s="2603"/>
      <c r="I113" s="2586">
        <v>20</v>
      </c>
      <c r="J113" s="2601">
        <f t="shared" si="36"/>
        <v>10</v>
      </c>
      <c r="K113" s="2611"/>
      <c r="L113" s="2611">
        <v>0.2</v>
      </c>
      <c r="M113" s="2611"/>
      <c r="N113" s="2603">
        <f t="shared" si="37"/>
        <v>0.2</v>
      </c>
      <c r="O113" s="2586">
        <v>20</v>
      </c>
      <c r="P113" s="2601">
        <f t="shared" si="38"/>
        <v>10</v>
      </c>
      <c r="Q113" s="2611"/>
      <c r="R113" s="2611">
        <v>0.2</v>
      </c>
      <c r="S113" s="2611"/>
      <c r="T113" s="2603">
        <f t="shared" si="39"/>
        <v>0.2</v>
      </c>
      <c r="U113" s="2586"/>
      <c r="V113" s="2601"/>
      <c r="W113" s="2602"/>
      <c r="X113" s="2611">
        <v>0.2</v>
      </c>
      <c r="Y113" s="2603">
        <f t="shared" si="40"/>
        <v>0.2</v>
      </c>
      <c r="Z113" s="2603">
        <f t="shared" si="34"/>
        <v>0</v>
      </c>
      <c r="AA113" s="2603">
        <f t="shared" si="35"/>
        <v>0</v>
      </c>
      <c r="AB113" s="2602"/>
      <c r="AC113" s="2602"/>
      <c r="AD113" s="2888"/>
    </row>
    <row r="114" spans="1:30" x14ac:dyDescent="0.25">
      <c r="A114" s="2626"/>
      <c r="B114" s="2610" t="s">
        <v>2191</v>
      </c>
      <c r="C114" s="2586"/>
      <c r="D114" s="2587"/>
      <c r="E114" s="2611"/>
      <c r="F114" s="2611"/>
      <c r="G114" s="2611"/>
      <c r="H114" s="2603"/>
      <c r="I114" s="2586">
        <v>7</v>
      </c>
      <c r="J114" s="2601">
        <f t="shared" si="36"/>
        <v>100</v>
      </c>
      <c r="K114" s="2611"/>
      <c r="L114" s="2611">
        <v>0.7</v>
      </c>
      <c r="M114" s="2611"/>
      <c r="N114" s="2603">
        <f t="shared" si="37"/>
        <v>0.7</v>
      </c>
      <c r="O114" s="2586">
        <v>7</v>
      </c>
      <c r="P114" s="2601">
        <f t="shared" si="38"/>
        <v>100</v>
      </c>
      <c r="Q114" s="2611"/>
      <c r="R114" s="2611">
        <v>0.7</v>
      </c>
      <c r="S114" s="2611"/>
      <c r="T114" s="2603">
        <f t="shared" si="39"/>
        <v>0.7</v>
      </c>
      <c r="U114" s="2586"/>
      <c r="V114" s="2601"/>
      <c r="W114" s="2602"/>
      <c r="X114" s="2611">
        <v>1.1000000000000001</v>
      </c>
      <c r="Y114" s="2603">
        <f t="shared" si="40"/>
        <v>1.1000000000000001</v>
      </c>
      <c r="Z114" s="2603">
        <f t="shared" si="34"/>
        <v>0</v>
      </c>
      <c r="AA114" s="2603">
        <f t="shared" si="35"/>
        <v>0</v>
      </c>
      <c r="AB114" s="2602"/>
      <c r="AC114" s="2602"/>
      <c r="AD114" s="2888"/>
    </row>
    <row r="115" spans="1:30" x14ac:dyDescent="0.25">
      <c r="A115" s="2626"/>
      <c r="B115" s="2610" t="s">
        <v>2313</v>
      </c>
      <c r="C115" s="2586"/>
      <c r="D115" s="2587"/>
      <c r="E115" s="2611"/>
      <c r="F115" s="2611"/>
      <c r="G115" s="2611"/>
      <c r="H115" s="2603"/>
      <c r="I115" s="2586">
        <v>10</v>
      </c>
      <c r="J115" s="2601">
        <f t="shared" si="36"/>
        <v>100</v>
      </c>
      <c r="K115" s="2611"/>
      <c r="L115" s="2611">
        <v>1</v>
      </c>
      <c r="M115" s="2611"/>
      <c r="N115" s="2603">
        <f t="shared" si="37"/>
        <v>1</v>
      </c>
      <c r="O115" s="2586">
        <v>10</v>
      </c>
      <c r="P115" s="2601">
        <f t="shared" si="38"/>
        <v>100</v>
      </c>
      <c r="Q115" s="2611"/>
      <c r="R115" s="2611">
        <v>1</v>
      </c>
      <c r="S115" s="2611"/>
      <c r="T115" s="2603">
        <f t="shared" si="39"/>
        <v>1</v>
      </c>
      <c r="U115" s="2586"/>
      <c r="V115" s="2601"/>
      <c r="W115" s="2602"/>
      <c r="X115" s="2611">
        <v>1.5</v>
      </c>
      <c r="Y115" s="2603">
        <f t="shared" si="40"/>
        <v>1.5</v>
      </c>
      <c r="Z115" s="2603">
        <f t="shared" si="34"/>
        <v>0</v>
      </c>
      <c r="AA115" s="2603">
        <f t="shared" si="35"/>
        <v>0</v>
      </c>
      <c r="AB115" s="2602"/>
      <c r="AC115" s="2602"/>
      <c r="AD115" s="2888"/>
    </row>
    <row r="116" spans="1:30" x14ac:dyDescent="0.25">
      <c r="A116" s="2626"/>
      <c r="B116" s="2610" t="s">
        <v>1414</v>
      </c>
      <c r="C116" s="2586"/>
      <c r="D116" s="2587"/>
      <c r="E116" s="2611"/>
      <c r="F116" s="2611"/>
      <c r="G116" s="2611"/>
      <c r="H116" s="2603"/>
      <c r="I116" s="2586">
        <v>10</v>
      </c>
      <c r="J116" s="2601">
        <f t="shared" si="36"/>
        <v>60</v>
      </c>
      <c r="K116" s="2611"/>
      <c r="L116" s="2611">
        <v>0.6</v>
      </c>
      <c r="M116" s="2611"/>
      <c r="N116" s="2603">
        <f t="shared" si="37"/>
        <v>0.6</v>
      </c>
      <c r="O116" s="2586">
        <v>10</v>
      </c>
      <c r="P116" s="2601">
        <f t="shared" si="38"/>
        <v>150</v>
      </c>
      <c r="Q116" s="2611"/>
      <c r="R116" s="2611">
        <v>1.5</v>
      </c>
      <c r="S116" s="2611"/>
      <c r="T116" s="2603">
        <f t="shared" si="39"/>
        <v>1.5</v>
      </c>
      <c r="U116" s="2586"/>
      <c r="V116" s="2601"/>
      <c r="W116" s="2602"/>
      <c r="X116" s="2611">
        <v>1.5</v>
      </c>
      <c r="Y116" s="2603">
        <f t="shared" si="40"/>
        <v>1.5</v>
      </c>
      <c r="Z116" s="2603">
        <f t="shared" si="34"/>
        <v>0</v>
      </c>
      <c r="AA116" s="2603">
        <f t="shared" si="35"/>
        <v>0</v>
      </c>
      <c r="AB116" s="2602"/>
      <c r="AC116" s="2602"/>
      <c r="AD116" s="2888"/>
    </row>
    <row r="117" spans="1:30" x14ac:dyDescent="0.25">
      <c r="A117" s="2626"/>
      <c r="B117" s="2610" t="s">
        <v>1414</v>
      </c>
      <c r="C117" s="2586"/>
      <c r="D117" s="2587"/>
      <c r="E117" s="2611"/>
      <c r="F117" s="2611"/>
      <c r="G117" s="2611"/>
      <c r="H117" s="2603"/>
      <c r="I117" s="2586">
        <v>10</v>
      </c>
      <c r="J117" s="2601">
        <f t="shared" si="36"/>
        <v>70</v>
      </c>
      <c r="K117" s="2611"/>
      <c r="L117" s="2611">
        <v>0.7</v>
      </c>
      <c r="M117" s="2611"/>
      <c r="N117" s="2603">
        <f t="shared" si="37"/>
        <v>0.7</v>
      </c>
      <c r="O117" s="2586">
        <v>10</v>
      </c>
      <c r="P117" s="2601">
        <f t="shared" si="38"/>
        <v>120</v>
      </c>
      <c r="Q117" s="2611"/>
      <c r="R117" s="2611">
        <v>1.2</v>
      </c>
      <c r="S117" s="2611"/>
      <c r="T117" s="2603">
        <f t="shared" si="39"/>
        <v>1.2</v>
      </c>
      <c r="U117" s="2586"/>
      <c r="V117" s="2601"/>
      <c r="W117" s="2602"/>
      <c r="X117" s="2611">
        <v>1.2</v>
      </c>
      <c r="Y117" s="2603">
        <f t="shared" si="40"/>
        <v>1.2</v>
      </c>
      <c r="Z117" s="2603">
        <f t="shared" si="34"/>
        <v>0</v>
      </c>
      <c r="AA117" s="2603">
        <f t="shared" si="35"/>
        <v>0</v>
      </c>
      <c r="AB117" s="2602"/>
      <c r="AC117" s="2602"/>
      <c r="AD117" s="2888"/>
    </row>
    <row r="118" spans="1:30" x14ac:dyDescent="0.25">
      <c r="A118" s="2626"/>
      <c r="B118" s="2610" t="s">
        <v>2222</v>
      </c>
      <c r="C118" s="2586"/>
      <c r="D118" s="2587"/>
      <c r="E118" s="2611"/>
      <c r="F118" s="2611"/>
      <c r="G118" s="2611"/>
      <c r="H118" s="2603"/>
      <c r="I118" s="2586">
        <v>10</v>
      </c>
      <c r="J118" s="2601">
        <f t="shared" si="36"/>
        <v>40</v>
      </c>
      <c r="K118" s="2611"/>
      <c r="L118" s="2611">
        <v>0.4</v>
      </c>
      <c r="M118" s="2611"/>
      <c r="N118" s="2603">
        <f t="shared" si="37"/>
        <v>0.4</v>
      </c>
      <c r="O118" s="2586">
        <v>10</v>
      </c>
      <c r="P118" s="2601">
        <f t="shared" si="38"/>
        <v>40</v>
      </c>
      <c r="Q118" s="2611"/>
      <c r="R118" s="2611">
        <v>0.4</v>
      </c>
      <c r="S118" s="2611"/>
      <c r="T118" s="2603">
        <f t="shared" si="39"/>
        <v>0.4</v>
      </c>
      <c r="U118" s="2586"/>
      <c r="V118" s="2601"/>
      <c r="W118" s="2602"/>
      <c r="X118" s="2611">
        <v>0.4</v>
      </c>
      <c r="Y118" s="2603">
        <f t="shared" si="40"/>
        <v>0.4</v>
      </c>
      <c r="Z118" s="2603">
        <f t="shared" si="34"/>
        <v>0</v>
      </c>
      <c r="AA118" s="2603">
        <f t="shared" si="35"/>
        <v>0</v>
      </c>
      <c r="AB118" s="2602"/>
      <c r="AC118" s="2602"/>
      <c r="AD118" s="2888"/>
    </row>
    <row r="119" spans="1:30" x14ac:dyDescent="0.25">
      <c r="A119" s="2626"/>
      <c r="B119" s="2610" t="s">
        <v>2205</v>
      </c>
      <c r="C119" s="2586"/>
      <c r="D119" s="2587"/>
      <c r="E119" s="2611"/>
      <c r="F119" s="2611"/>
      <c r="G119" s="2611"/>
      <c r="H119" s="2603"/>
      <c r="I119" s="2586">
        <v>5</v>
      </c>
      <c r="J119" s="2601">
        <f t="shared" si="36"/>
        <v>260</v>
      </c>
      <c r="K119" s="2611"/>
      <c r="L119" s="2611">
        <v>1.3</v>
      </c>
      <c r="M119" s="2611"/>
      <c r="N119" s="2603">
        <f t="shared" si="37"/>
        <v>1.3</v>
      </c>
      <c r="O119" s="2586">
        <v>5</v>
      </c>
      <c r="P119" s="2601">
        <f t="shared" si="38"/>
        <v>260</v>
      </c>
      <c r="Q119" s="2611"/>
      <c r="R119" s="2611">
        <v>1.3</v>
      </c>
      <c r="S119" s="2611"/>
      <c r="T119" s="2603">
        <f t="shared" si="39"/>
        <v>1.3</v>
      </c>
      <c r="U119" s="2586"/>
      <c r="V119" s="2601"/>
      <c r="W119" s="2602"/>
      <c r="X119" s="2611">
        <v>2.5</v>
      </c>
      <c r="Y119" s="2603">
        <f t="shared" si="40"/>
        <v>2.5</v>
      </c>
      <c r="Z119" s="2603">
        <f t="shared" si="34"/>
        <v>0</v>
      </c>
      <c r="AA119" s="2603">
        <f t="shared" si="35"/>
        <v>0</v>
      </c>
      <c r="AB119" s="2602"/>
      <c r="AC119" s="2602"/>
      <c r="AD119" s="2888"/>
    </row>
    <row r="120" spans="1:30" x14ac:dyDescent="0.25">
      <c r="A120" s="2626"/>
      <c r="B120" s="2610" t="s">
        <v>2314</v>
      </c>
      <c r="C120" s="2586"/>
      <c r="D120" s="2587"/>
      <c r="E120" s="2611"/>
      <c r="F120" s="2611"/>
      <c r="G120" s="2611"/>
      <c r="H120" s="2603"/>
      <c r="I120" s="2586">
        <v>20</v>
      </c>
      <c r="J120" s="2601">
        <f t="shared" si="36"/>
        <v>20</v>
      </c>
      <c r="K120" s="2611"/>
      <c r="L120" s="2611">
        <v>0.4</v>
      </c>
      <c r="M120" s="2611"/>
      <c r="N120" s="2603">
        <f t="shared" si="37"/>
        <v>0.4</v>
      </c>
      <c r="O120" s="2586">
        <v>20</v>
      </c>
      <c r="P120" s="2601">
        <f t="shared" si="38"/>
        <v>20</v>
      </c>
      <c r="Q120" s="2611"/>
      <c r="R120" s="2611">
        <v>0.4</v>
      </c>
      <c r="S120" s="2611"/>
      <c r="T120" s="2603">
        <f t="shared" si="39"/>
        <v>0.4</v>
      </c>
      <c r="U120" s="2586"/>
      <c r="V120" s="2601"/>
      <c r="W120" s="2602"/>
      <c r="X120" s="2611">
        <v>0.3</v>
      </c>
      <c r="Y120" s="2603">
        <f t="shared" si="40"/>
        <v>0.3</v>
      </c>
      <c r="Z120" s="2603">
        <f t="shared" si="34"/>
        <v>0</v>
      </c>
      <c r="AA120" s="2603">
        <f t="shared" si="35"/>
        <v>0</v>
      </c>
      <c r="AB120" s="2602"/>
      <c r="AC120" s="2602"/>
      <c r="AD120" s="2888"/>
    </row>
    <row r="121" spans="1:30" x14ac:dyDescent="0.25">
      <c r="A121" s="2626"/>
      <c r="B121" s="2610" t="s">
        <v>2206</v>
      </c>
      <c r="C121" s="2586"/>
      <c r="D121" s="2587"/>
      <c r="E121" s="2611"/>
      <c r="F121" s="2611"/>
      <c r="G121" s="2611"/>
      <c r="H121" s="2603"/>
      <c r="I121" s="2586">
        <v>20</v>
      </c>
      <c r="J121" s="2601">
        <f t="shared" si="36"/>
        <v>15</v>
      </c>
      <c r="K121" s="2611"/>
      <c r="L121" s="2611">
        <v>0.3</v>
      </c>
      <c r="M121" s="2611"/>
      <c r="N121" s="2603">
        <f t="shared" si="37"/>
        <v>0.3</v>
      </c>
      <c r="O121" s="2586">
        <v>20</v>
      </c>
      <c r="P121" s="2601">
        <f t="shared" si="38"/>
        <v>15</v>
      </c>
      <c r="Q121" s="2611"/>
      <c r="R121" s="2611">
        <v>0.3</v>
      </c>
      <c r="S121" s="2611"/>
      <c r="T121" s="2603">
        <f t="shared" si="39"/>
        <v>0.3</v>
      </c>
      <c r="U121" s="2586"/>
      <c r="V121" s="2601"/>
      <c r="W121" s="2602"/>
      <c r="X121" s="2611">
        <v>0.2</v>
      </c>
      <c r="Y121" s="2603">
        <f t="shared" si="40"/>
        <v>0.2</v>
      </c>
      <c r="Z121" s="2603">
        <f t="shared" si="34"/>
        <v>0</v>
      </c>
      <c r="AA121" s="2603">
        <f t="shared" si="35"/>
        <v>0</v>
      </c>
      <c r="AB121" s="2602"/>
      <c r="AC121" s="2602"/>
      <c r="AD121" s="2888"/>
    </row>
    <row r="122" spans="1:30" x14ac:dyDescent="0.25">
      <c r="A122" s="2626"/>
      <c r="B122" s="2610" t="s">
        <v>2190</v>
      </c>
      <c r="C122" s="2586"/>
      <c r="D122" s="2587"/>
      <c r="E122" s="2611"/>
      <c r="F122" s="2611"/>
      <c r="G122" s="2611"/>
      <c r="H122" s="2603"/>
      <c r="I122" s="2586">
        <v>5</v>
      </c>
      <c r="J122" s="2601">
        <f t="shared" si="36"/>
        <v>60</v>
      </c>
      <c r="K122" s="2611"/>
      <c r="L122" s="2611">
        <v>0.3</v>
      </c>
      <c r="M122" s="2611"/>
      <c r="N122" s="2603">
        <f t="shared" si="37"/>
        <v>0.3</v>
      </c>
      <c r="O122" s="2586">
        <v>5</v>
      </c>
      <c r="P122" s="2601">
        <f t="shared" si="38"/>
        <v>60</v>
      </c>
      <c r="Q122" s="2611"/>
      <c r="R122" s="2611">
        <v>0.3</v>
      </c>
      <c r="S122" s="2611"/>
      <c r="T122" s="2603">
        <f t="shared" si="39"/>
        <v>0.3</v>
      </c>
      <c r="U122" s="2586"/>
      <c r="V122" s="2601"/>
      <c r="W122" s="2602"/>
      <c r="X122" s="2611">
        <v>0.8</v>
      </c>
      <c r="Y122" s="2603">
        <f t="shared" si="40"/>
        <v>0.8</v>
      </c>
      <c r="Z122" s="2603">
        <f t="shared" si="34"/>
        <v>0</v>
      </c>
      <c r="AA122" s="2603">
        <f t="shared" si="35"/>
        <v>0</v>
      </c>
      <c r="AB122" s="2602"/>
      <c r="AC122" s="2602"/>
      <c r="AD122" s="2888"/>
    </row>
    <row r="123" spans="1:30" x14ac:dyDescent="0.25">
      <c r="A123" s="2626"/>
      <c r="B123" s="2610" t="s">
        <v>2315</v>
      </c>
      <c r="C123" s="2586"/>
      <c r="D123" s="2587"/>
      <c r="E123" s="2611"/>
      <c r="F123" s="2611"/>
      <c r="G123" s="2611"/>
      <c r="H123" s="2603"/>
      <c r="I123" s="2586">
        <v>5</v>
      </c>
      <c r="J123" s="2601">
        <f t="shared" si="36"/>
        <v>60</v>
      </c>
      <c r="K123" s="2611"/>
      <c r="L123" s="2611">
        <v>0.3</v>
      </c>
      <c r="M123" s="2611"/>
      <c r="N123" s="2603">
        <f t="shared" si="37"/>
        <v>0.3</v>
      </c>
      <c r="O123" s="2586">
        <v>5</v>
      </c>
      <c r="P123" s="2601">
        <f t="shared" si="38"/>
        <v>60</v>
      </c>
      <c r="Q123" s="2611"/>
      <c r="R123" s="2611">
        <v>0.3</v>
      </c>
      <c r="S123" s="2611"/>
      <c r="T123" s="2603">
        <f t="shared" si="39"/>
        <v>0.3</v>
      </c>
      <c r="U123" s="2586"/>
      <c r="V123" s="2601"/>
      <c r="W123" s="2602"/>
      <c r="X123" s="2611">
        <v>0.3</v>
      </c>
      <c r="Y123" s="2603">
        <f t="shared" si="40"/>
        <v>0.3</v>
      </c>
      <c r="Z123" s="2603">
        <f t="shared" si="34"/>
        <v>0</v>
      </c>
      <c r="AA123" s="2603">
        <f t="shared" si="35"/>
        <v>0</v>
      </c>
      <c r="AB123" s="2602"/>
      <c r="AC123" s="2602"/>
      <c r="AD123" s="2888"/>
    </row>
    <row r="124" spans="1:30" x14ac:dyDescent="0.25">
      <c r="A124" s="2626"/>
      <c r="B124" s="2610" t="s">
        <v>1420</v>
      </c>
      <c r="C124" s="2586"/>
      <c r="D124" s="2587"/>
      <c r="E124" s="2611"/>
      <c r="F124" s="2611"/>
      <c r="G124" s="2611"/>
      <c r="H124" s="2603"/>
      <c r="I124" s="2586">
        <v>5</v>
      </c>
      <c r="J124" s="2601">
        <f t="shared" si="36"/>
        <v>80</v>
      </c>
      <c r="K124" s="2611"/>
      <c r="L124" s="2611">
        <v>0.4</v>
      </c>
      <c r="M124" s="2611"/>
      <c r="N124" s="2603">
        <f t="shared" si="37"/>
        <v>0.4</v>
      </c>
      <c r="O124" s="2586">
        <v>5</v>
      </c>
      <c r="P124" s="2601">
        <f t="shared" si="38"/>
        <v>80</v>
      </c>
      <c r="Q124" s="2611"/>
      <c r="R124" s="2611">
        <v>0.4</v>
      </c>
      <c r="S124" s="2611"/>
      <c r="T124" s="2603">
        <f t="shared" si="39"/>
        <v>0.4</v>
      </c>
      <c r="U124" s="2586"/>
      <c r="V124" s="2601"/>
      <c r="W124" s="2602"/>
      <c r="X124" s="2611">
        <v>0.4</v>
      </c>
      <c r="Y124" s="2603">
        <f t="shared" si="40"/>
        <v>0.4</v>
      </c>
      <c r="Z124" s="2603">
        <f t="shared" si="34"/>
        <v>0</v>
      </c>
      <c r="AA124" s="2603">
        <f t="shared" si="35"/>
        <v>0</v>
      </c>
      <c r="AB124" s="2602"/>
      <c r="AC124" s="2602"/>
      <c r="AD124" s="2888"/>
    </row>
    <row r="125" spans="1:30" x14ac:dyDescent="0.25">
      <c r="A125" s="2626"/>
      <c r="B125" s="2610" t="s">
        <v>2316</v>
      </c>
      <c r="C125" s="2586"/>
      <c r="D125" s="2587"/>
      <c r="E125" s="2611"/>
      <c r="F125" s="2611"/>
      <c r="G125" s="2611"/>
      <c r="H125" s="2603"/>
      <c r="I125" s="2586">
        <v>5</v>
      </c>
      <c r="J125" s="2601">
        <f t="shared" si="36"/>
        <v>40</v>
      </c>
      <c r="K125" s="2611"/>
      <c r="L125" s="2611">
        <v>0.2</v>
      </c>
      <c r="M125" s="2611"/>
      <c r="N125" s="2603">
        <f t="shared" si="37"/>
        <v>0.2</v>
      </c>
      <c r="O125" s="2586">
        <v>5</v>
      </c>
      <c r="P125" s="2601">
        <f t="shared" si="38"/>
        <v>40</v>
      </c>
      <c r="Q125" s="2611"/>
      <c r="R125" s="2611">
        <v>0.2</v>
      </c>
      <c r="S125" s="2611"/>
      <c r="T125" s="2603">
        <f t="shared" si="39"/>
        <v>0.2</v>
      </c>
      <c r="U125" s="2586"/>
      <c r="V125" s="2601"/>
      <c r="W125" s="2602"/>
      <c r="X125" s="2611">
        <v>0.2</v>
      </c>
      <c r="Y125" s="2603">
        <f t="shared" si="40"/>
        <v>0.2</v>
      </c>
      <c r="Z125" s="2603">
        <f t="shared" si="34"/>
        <v>0</v>
      </c>
      <c r="AA125" s="2603">
        <f t="shared" si="35"/>
        <v>0</v>
      </c>
      <c r="AB125" s="2602"/>
      <c r="AC125" s="2602"/>
      <c r="AD125" s="2888"/>
    </row>
    <row r="126" spans="1:30" x14ac:dyDescent="0.25">
      <c r="A126" s="2626"/>
      <c r="B126" s="2610" t="s">
        <v>2317</v>
      </c>
      <c r="C126" s="2586"/>
      <c r="D126" s="2587"/>
      <c r="E126" s="2611"/>
      <c r="F126" s="2611"/>
      <c r="G126" s="2611"/>
      <c r="H126" s="2603"/>
      <c r="I126" s="2586">
        <v>5</v>
      </c>
      <c r="J126" s="2601">
        <f t="shared" si="36"/>
        <v>140</v>
      </c>
      <c r="K126" s="2611"/>
      <c r="L126" s="2611">
        <v>0.7</v>
      </c>
      <c r="M126" s="2611"/>
      <c r="N126" s="2603">
        <f t="shared" si="37"/>
        <v>0.7</v>
      </c>
      <c r="O126" s="2586">
        <v>5</v>
      </c>
      <c r="P126" s="2601">
        <f t="shared" si="38"/>
        <v>140</v>
      </c>
      <c r="Q126" s="2611"/>
      <c r="R126" s="2611">
        <v>0.7</v>
      </c>
      <c r="S126" s="2611"/>
      <c r="T126" s="2603">
        <f t="shared" si="39"/>
        <v>0.7</v>
      </c>
      <c r="U126" s="2586"/>
      <c r="V126" s="2601"/>
      <c r="W126" s="2602"/>
      <c r="X126" s="2611">
        <v>0.7</v>
      </c>
      <c r="Y126" s="2603">
        <f t="shared" si="40"/>
        <v>0.7</v>
      </c>
      <c r="Z126" s="2603">
        <f t="shared" si="34"/>
        <v>0</v>
      </c>
      <c r="AA126" s="2603">
        <f t="shared" si="35"/>
        <v>0</v>
      </c>
      <c r="AB126" s="2602"/>
      <c r="AC126" s="2602"/>
      <c r="AD126" s="2888"/>
    </row>
    <row r="127" spans="1:30" x14ac:dyDescent="0.25">
      <c r="A127" s="2626"/>
      <c r="B127" s="2610" t="s">
        <v>2189</v>
      </c>
      <c r="C127" s="2586"/>
      <c r="D127" s="2587"/>
      <c r="E127" s="2611"/>
      <c r="F127" s="2611"/>
      <c r="G127" s="2611"/>
      <c r="H127" s="2603"/>
      <c r="I127" s="2600">
        <v>10</v>
      </c>
      <c r="J127" s="2601">
        <f t="shared" si="36"/>
        <v>30</v>
      </c>
      <c r="K127" s="2602"/>
      <c r="L127" s="2602">
        <v>0.3</v>
      </c>
      <c r="M127" s="2602"/>
      <c r="N127" s="2603">
        <f t="shared" si="37"/>
        <v>0.3</v>
      </c>
      <c r="O127" s="2600">
        <v>10</v>
      </c>
      <c r="P127" s="2601">
        <f t="shared" si="38"/>
        <v>30</v>
      </c>
      <c r="Q127" s="2602"/>
      <c r="R127" s="2602">
        <v>0.3</v>
      </c>
      <c r="S127" s="2602"/>
      <c r="T127" s="2603">
        <f t="shared" si="39"/>
        <v>0.3</v>
      </c>
      <c r="U127" s="2600"/>
      <c r="V127" s="2601"/>
      <c r="W127" s="2602"/>
      <c r="X127" s="2602">
        <v>0.4</v>
      </c>
      <c r="Y127" s="2603">
        <f t="shared" si="40"/>
        <v>0.4</v>
      </c>
      <c r="Z127" s="2603">
        <f t="shared" si="34"/>
        <v>0</v>
      </c>
      <c r="AA127" s="2603">
        <f t="shared" si="35"/>
        <v>0</v>
      </c>
      <c r="AB127" s="2602"/>
      <c r="AC127" s="2602"/>
      <c r="AD127" s="2888"/>
    </row>
    <row r="128" spans="1:30" x14ac:dyDescent="0.25">
      <c r="A128" s="2626"/>
      <c r="B128" s="2610" t="s">
        <v>1419</v>
      </c>
      <c r="C128" s="2586"/>
      <c r="D128" s="2587"/>
      <c r="E128" s="2611"/>
      <c r="F128" s="2611"/>
      <c r="G128" s="2611"/>
      <c r="H128" s="2603"/>
      <c r="I128" s="2600">
        <v>5</v>
      </c>
      <c r="J128" s="2601">
        <f t="shared" si="36"/>
        <v>80</v>
      </c>
      <c r="K128" s="2602"/>
      <c r="L128" s="2602">
        <v>0.4</v>
      </c>
      <c r="M128" s="2602"/>
      <c r="N128" s="2603">
        <f t="shared" si="37"/>
        <v>0.4</v>
      </c>
      <c r="O128" s="2600">
        <v>5</v>
      </c>
      <c r="P128" s="2601">
        <f t="shared" si="38"/>
        <v>80</v>
      </c>
      <c r="Q128" s="2602"/>
      <c r="R128" s="2602">
        <v>0.4</v>
      </c>
      <c r="S128" s="2602"/>
      <c r="T128" s="2603">
        <f t="shared" si="39"/>
        <v>0.4</v>
      </c>
      <c r="U128" s="2600"/>
      <c r="V128" s="2601"/>
      <c r="W128" s="2602"/>
      <c r="X128" s="2602">
        <v>0.4</v>
      </c>
      <c r="Y128" s="2603">
        <f t="shared" si="40"/>
        <v>0.4</v>
      </c>
      <c r="Z128" s="2603">
        <f t="shared" si="34"/>
        <v>0</v>
      </c>
      <c r="AA128" s="2603">
        <f t="shared" si="35"/>
        <v>0</v>
      </c>
      <c r="AB128" s="2602"/>
      <c r="AC128" s="2602"/>
      <c r="AD128" s="2888"/>
    </row>
    <row r="129" spans="1:30" x14ac:dyDescent="0.25">
      <c r="A129" s="2626"/>
      <c r="B129" s="2610" t="s">
        <v>2197</v>
      </c>
      <c r="C129" s="2586"/>
      <c r="D129" s="2587"/>
      <c r="E129" s="2611"/>
      <c r="F129" s="2611"/>
      <c r="G129" s="2611"/>
      <c r="H129" s="2603"/>
      <c r="I129" s="2600">
        <v>4</v>
      </c>
      <c r="J129" s="2601">
        <f t="shared" si="36"/>
        <v>150</v>
      </c>
      <c r="K129" s="2602"/>
      <c r="L129" s="2602">
        <v>0.6</v>
      </c>
      <c r="M129" s="2602"/>
      <c r="N129" s="2603">
        <f t="shared" si="37"/>
        <v>0.6</v>
      </c>
      <c r="O129" s="2600">
        <v>4</v>
      </c>
      <c r="P129" s="2601">
        <f t="shared" si="38"/>
        <v>150</v>
      </c>
      <c r="Q129" s="2602"/>
      <c r="R129" s="2602">
        <v>0.6</v>
      </c>
      <c r="S129" s="2602"/>
      <c r="T129" s="2603">
        <f t="shared" si="39"/>
        <v>0.6</v>
      </c>
      <c r="U129" s="2600"/>
      <c r="V129" s="2601"/>
      <c r="W129" s="2602"/>
      <c r="X129" s="2602">
        <v>0.8</v>
      </c>
      <c r="Y129" s="2603">
        <f t="shared" si="40"/>
        <v>0.8</v>
      </c>
      <c r="Z129" s="2603">
        <f t="shared" si="34"/>
        <v>0</v>
      </c>
      <c r="AA129" s="2603">
        <f t="shared" si="35"/>
        <v>0</v>
      </c>
      <c r="AB129" s="2602"/>
      <c r="AC129" s="2602"/>
      <c r="AD129" s="2888"/>
    </row>
    <row r="130" spans="1:30" x14ac:dyDescent="0.25">
      <c r="A130" s="2626"/>
      <c r="B130" s="2599" t="s">
        <v>1409</v>
      </c>
      <c r="C130" s="2586"/>
      <c r="D130" s="2587"/>
      <c r="E130" s="2611"/>
      <c r="F130" s="2611"/>
      <c r="G130" s="2611"/>
      <c r="H130" s="2603"/>
      <c r="I130" s="2600">
        <v>2</v>
      </c>
      <c r="J130" s="2601">
        <f t="shared" si="36"/>
        <v>300</v>
      </c>
      <c r="K130" s="2602"/>
      <c r="L130" s="2602">
        <v>0.6</v>
      </c>
      <c r="M130" s="2602"/>
      <c r="N130" s="2603">
        <f t="shared" si="37"/>
        <v>0.6</v>
      </c>
      <c r="O130" s="2600">
        <v>2</v>
      </c>
      <c r="P130" s="2601">
        <f t="shared" si="38"/>
        <v>300</v>
      </c>
      <c r="Q130" s="2602"/>
      <c r="R130" s="2602">
        <v>0.6</v>
      </c>
      <c r="S130" s="2602"/>
      <c r="T130" s="2603">
        <f t="shared" si="39"/>
        <v>0.6</v>
      </c>
      <c r="U130" s="2586"/>
      <c r="V130" s="2601"/>
      <c r="W130" s="2602"/>
      <c r="X130" s="2602">
        <v>0.7</v>
      </c>
      <c r="Y130" s="2603">
        <f t="shared" si="40"/>
        <v>0.7</v>
      </c>
      <c r="Z130" s="2603">
        <f t="shared" si="34"/>
        <v>0</v>
      </c>
      <c r="AA130" s="2603">
        <f t="shared" si="35"/>
        <v>0</v>
      </c>
      <c r="AB130" s="2602"/>
      <c r="AC130" s="2602"/>
      <c r="AD130" s="2888"/>
    </row>
    <row r="131" spans="1:30" x14ac:dyDescent="0.25">
      <c r="A131" s="2626"/>
      <c r="B131" s="2599" t="s">
        <v>2318</v>
      </c>
      <c r="C131" s="2586"/>
      <c r="D131" s="2587"/>
      <c r="E131" s="2611"/>
      <c r="F131" s="2611"/>
      <c r="G131" s="2611"/>
      <c r="H131" s="2603"/>
      <c r="I131" s="2600">
        <v>7</v>
      </c>
      <c r="J131" s="2601">
        <f t="shared" si="36"/>
        <v>114.3</v>
      </c>
      <c r="K131" s="2602"/>
      <c r="L131" s="2602">
        <v>0.8</v>
      </c>
      <c r="M131" s="2602"/>
      <c r="N131" s="2603">
        <f t="shared" si="37"/>
        <v>0.8</v>
      </c>
      <c r="O131" s="2600">
        <v>7</v>
      </c>
      <c r="P131" s="2601">
        <f t="shared" si="38"/>
        <v>114.3</v>
      </c>
      <c r="Q131" s="2602"/>
      <c r="R131" s="2602">
        <v>0.8</v>
      </c>
      <c r="S131" s="2602"/>
      <c r="T131" s="2603">
        <f t="shared" si="39"/>
        <v>0.8</v>
      </c>
      <c r="U131" s="2586"/>
      <c r="V131" s="2601"/>
      <c r="W131" s="2602"/>
      <c r="X131" s="2602">
        <v>0.7</v>
      </c>
      <c r="Y131" s="2603">
        <f t="shared" si="40"/>
        <v>0.7</v>
      </c>
      <c r="Z131" s="2603">
        <f t="shared" si="34"/>
        <v>0</v>
      </c>
      <c r="AA131" s="2603">
        <f t="shared" si="35"/>
        <v>0</v>
      </c>
      <c r="AB131" s="2602"/>
      <c r="AC131" s="2602"/>
      <c r="AD131" s="2888"/>
    </row>
    <row r="132" spans="1:30" x14ac:dyDescent="0.25">
      <c r="A132" s="2626"/>
      <c r="B132" s="2599" t="s">
        <v>2319</v>
      </c>
      <c r="C132" s="2586"/>
      <c r="D132" s="2587"/>
      <c r="E132" s="2611"/>
      <c r="F132" s="2611"/>
      <c r="G132" s="2611"/>
      <c r="H132" s="2603"/>
      <c r="I132" s="2600">
        <v>5</v>
      </c>
      <c r="J132" s="2601">
        <f t="shared" si="36"/>
        <v>180</v>
      </c>
      <c r="K132" s="2602"/>
      <c r="L132" s="2602">
        <v>0.9</v>
      </c>
      <c r="M132" s="2602"/>
      <c r="N132" s="2603">
        <f t="shared" si="37"/>
        <v>0.9</v>
      </c>
      <c r="O132" s="2600">
        <v>5</v>
      </c>
      <c r="P132" s="2601">
        <f t="shared" si="38"/>
        <v>180</v>
      </c>
      <c r="Q132" s="2602"/>
      <c r="R132" s="2602">
        <v>0.9</v>
      </c>
      <c r="S132" s="2602"/>
      <c r="T132" s="2603">
        <f t="shared" si="39"/>
        <v>0.9</v>
      </c>
      <c r="U132" s="2586"/>
      <c r="V132" s="2601"/>
      <c r="W132" s="2602"/>
      <c r="X132" s="2602">
        <v>0.9</v>
      </c>
      <c r="Y132" s="2603">
        <f t="shared" si="40"/>
        <v>0.9</v>
      </c>
      <c r="Z132" s="2603">
        <f t="shared" si="34"/>
        <v>0</v>
      </c>
      <c r="AA132" s="2603">
        <f t="shared" si="35"/>
        <v>0</v>
      </c>
      <c r="AB132" s="2602"/>
      <c r="AC132" s="2602"/>
      <c r="AD132" s="2888"/>
    </row>
    <row r="133" spans="1:30" x14ac:dyDescent="0.25">
      <c r="A133" s="2626"/>
      <c r="B133" s="2610" t="s">
        <v>2320</v>
      </c>
      <c r="C133" s="2586"/>
      <c r="D133" s="2587"/>
      <c r="E133" s="2611"/>
      <c r="F133" s="2611"/>
      <c r="G133" s="2611"/>
      <c r="H133" s="2603"/>
      <c r="I133" s="2600">
        <v>7</v>
      </c>
      <c r="J133" s="2601">
        <f t="shared" si="36"/>
        <v>157.1</v>
      </c>
      <c r="K133" s="2602"/>
      <c r="L133" s="2602">
        <v>1.1000000000000001</v>
      </c>
      <c r="M133" s="2602"/>
      <c r="N133" s="2603">
        <f t="shared" si="37"/>
        <v>1.1000000000000001</v>
      </c>
      <c r="O133" s="2600">
        <v>7</v>
      </c>
      <c r="P133" s="2601">
        <f t="shared" si="38"/>
        <v>157.1</v>
      </c>
      <c r="Q133" s="2602"/>
      <c r="R133" s="2602">
        <v>1.1000000000000001</v>
      </c>
      <c r="S133" s="2602"/>
      <c r="T133" s="2603">
        <f t="shared" si="39"/>
        <v>1.1000000000000001</v>
      </c>
      <c r="U133" s="2600"/>
      <c r="V133" s="2601"/>
      <c r="W133" s="2602"/>
      <c r="X133" s="2602">
        <v>1.1000000000000001</v>
      </c>
      <c r="Y133" s="2603">
        <f t="shared" si="40"/>
        <v>1.1000000000000001</v>
      </c>
      <c r="Z133" s="2603">
        <f t="shared" si="34"/>
        <v>0</v>
      </c>
      <c r="AA133" s="2603">
        <f t="shared" si="35"/>
        <v>0</v>
      </c>
      <c r="AB133" s="2602"/>
      <c r="AC133" s="2602"/>
      <c r="AD133" s="2888"/>
    </row>
    <row r="134" spans="1:30" x14ac:dyDescent="0.25">
      <c r="A134" s="2626"/>
      <c r="B134" s="2610" t="s">
        <v>1414</v>
      </c>
      <c r="C134" s="2586"/>
      <c r="D134" s="2587"/>
      <c r="E134" s="2611"/>
      <c r="F134" s="2611"/>
      <c r="G134" s="2611"/>
      <c r="H134" s="2603"/>
      <c r="I134" s="2600">
        <v>10</v>
      </c>
      <c r="J134" s="2601">
        <f t="shared" si="36"/>
        <v>70</v>
      </c>
      <c r="K134" s="2602"/>
      <c r="L134" s="2602">
        <v>0.7</v>
      </c>
      <c r="M134" s="2602"/>
      <c r="N134" s="2603">
        <f t="shared" si="37"/>
        <v>0.7</v>
      </c>
      <c r="O134" s="2600">
        <v>10</v>
      </c>
      <c r="P134" s="2601">
        <f t="shared" si="38"/>
        <v>70</v>
      </c>
      <c r="Q134" s="2602"/>
      <c r="R134" s="2602">
        <v>0.7</v>
      </c>
      <c r="S134" s="2602"/>
      <c r="T134" s="2603">
        <f t="shared" si="39"/>
        <v>0.7</v>
      </c>
      <c r="U134" s="2600"/>
      <c r="V134" s="2601"/>
      <c r="W134" s="2602"/>
      <c r="X134" s="2602">
        <v>0.8</v>
      </c>
      <c r="Y134" s="2603">
        <f t="shared" si="40"/>
        <v>0.8</v>
      </c>
      <c r="Z134" s="2603">
        <f t="shared" si="34"/>
        <v>0</v>
      </c>
      <c r="AA134" s="2603">
        <f t="shared" si="35"/>
        <v>0</v>
      </c>
      <c r="AB134" s="2602"/>
      <c r="AC134" s="2602"/>
      <c r="AD134" s="2888"/>
    </row>
    <row r="135" spans="1:30" x14ac:dyDescent="0.25">
      <c r="A135" s="2626"/>
      <c r="B135" s="2610" t="s">
        <v>2321</v>
      </c>
      <c r="C135" s="2586"/>
      <c r="D135" s="2587"/>
      <c r="E135" s="2611"/>
      <c r="F135" s="2611"/>
      <c r="G135" s="2611"/>
      <c r="H135" s="2603"/>
      <c r="I135" s="2600">
        <v>20</v>
      </c>
      <c r="J135" s="2601">
        <f t="shared" si="36"/>
        <v>5</v>
      </c>
      <c r="K135" s="2602"/>
      <c r="L135" s="2602">
        <v>0.1</v>
      </c>
      <c r="M135" s="2602"/>
      <c r="N135" s="2603">
        <f t="shared" si="37"/>
        <v>0.1</v>
      </c>
      <c r="O135" s="2600">
        <v>20</v>
      </c>
      <c r="P135" s="2601">
        <f t="shared" si="38"/>
        <v>5</v>
      </c>
      <c r="Q135" s="2602"/>
      <c r="R135" s="2602">
        <v>0.1</v>
      </c>
      <c r="S135" s="2602"/>
      <c r="T135" s="2603">
        <f t="shared" si="39"/>
        <v>0.1</v>
      </c>
      <c r="U135" s="2600"/>
      <c r="V135" s="2601"/>
      <c r="W135" s="2602"/>
      <c r="X135" s="2602">
        <v>0.1</v>
      </c>
      <c r="Y135" s="2603">
        <f t="shared" si="40"/>
        <v>0.1</v>
      </c>
      <c r="Z135" s="2603">
        <f t="shared" si="34"/>
        <v>0</v>
      </c>
      <c r="AA135" s="2603">
        <f t="shared" si="35"/>
        <v>0</v>
      </c>
      <c r="AB135" s="2602"/>
      <c r="AC135" s="2602"/>
      <c r="AD135" s="2888"/>
    </row>
    <row r="136" spans="1:30" x14ac:dyDescent="0.25">
      <c r="A136" s="2626"/>
      <c r="B136" s="2610" t="s">
        <v>2322</v>
      </c>
      <c r="C136" s="2586"/>
      <c r="D136" s="2587"/>
      <c r="E136" s="2611"/>
      <c r="F136" s="2611"/>
      <c r="G136" s="2611"/>
      <c r="H136" s="2603"/>
      <c r="I136" s="2600">
        <v>5</v>
      </c>
      <c r="J136" s="2601">
        <f t="shared" si="36"/>
        <v>60</v>
      </c>
      <c r="K136" s="2602"/>
      <c r="L136" s="2602">
        <v>0.3</v>
      </c>
      <c r="M136" s="2602"/>
      <c r="N136" s="2603">
        <f t="shared" si="37"/>
        <v>0.3</v>
      </c>
      <c r="O136" s="2600">
        <v>50</v>
      </c>
      <c r="P136" s="2601">
        <f t="shared" si="38"/>
        <v>100</v>
      </c>
      <c r="Q136" s="2602"/>
      <c r="R136" s="2602">
        <v>5</v>
      </c>
      <c r="S136" s="2602"/>
      <c r="T136" s="2603">
        <f t="shared" si="39"/>
        <v>5</v>
      </c>
      <c r="U136" s="2600"/>
      <c r="V136" s="2601"/>
      <c r="W136" s="2602"/>
      <c r="X136" s="2602">
        <v>13.2</v>
      </c>
      <c r="Y136" s="2603">
        <f t="shared" si="40"/>
        <v>13.2</v>
      </c>
      <c r="Z136" s="2603">
        <f t="shared" si="34"/>
        <v>0</v>
      </c>
      <c r="AA136" s="2603">
        <f t="shared" si="35"/>
        <v>0</v>
      </c>
      <c r="AB136" s="2602"/>
      <c r="AC136" s="2602"/>
      <c r="AD136" s="2888"/>
    </row>
    <row r="137" spans="1:30" x14ac:dyDescent="0.25">
      <c r="A137" s="2626"/>
      <c r="B137" s="2610" t="s">
        <v>2323</v>
      </c>
      <c r="C137" s="2586"/>
      <c r="D137" s="2587"/>
      <c r="E137" s="2611"/>
      <c r="F137" s="2611"/>
      <c r="G137" s="2611"/>
      <c r="H137" s="2603"/>
      <c r="I137" s="2600">
        <v>10</v>
      </c>
      <c r="J137" s="2601">
        <f t="shared" si="36"/>
        <v>30</v>
      </c>
      <c r="K137" s="2602"/>
      <c r="L137" s="2602">
        <v>0.3</v>
      </c>
      <c r="M137" s="2602"/>
      <c r="N137" s="2603">
        <f t="shared" si="37"/>
        <v>0.3</v>
      </c>
      <c r="O137" s="2600">
        <v>10</v>
      </c>
      <c r="P137" s="2601">
        <f t="shared" si="38"/>
        <v>30</v>
      </c>
      <c r="Q137" s="2602"/>
      <c r="R137" s="2602">
        <v>0.3</v>
      </c>
      <c r="S137" s="2602"/>
      <c r="T137" s="2603">
        <f t="shared" si="39"/>
        <v>0.3</v>
      </c>
      <c r="U137" s="2600"/>
      <c r="V137" s="2601"/>
      <c r="W137" s="2602"/>
      <c r="X137" s="2602">
        <v>0.3</v>
      </c>
      <c r="Y137" s="2603">
        <f t="shared" si="40"/>
        <v>0.3</v>
      </c>
      <c r="Z137" s="2603">
        <f t="shared" si="34"/>
        <v>0</v>
      </c>
      <c r="AA137" s="2603">
        <f t="shared" si="35"/>
        <v>0</v>
      </c>
      <c r="AB137" s="2602"/>
      <c r="AC137" s="2602"/>
      <c r="AD137" s="2888"/>
    </row>
    <row r="138" spans="1:30" x14ac:dyDescent="0.25">
      <c r="A138" s="2626"/>
      <c r="B138" s="2610" t="s">
        <v>2324</v>
      </c>
      <c r="C138" s="2586"/>
      <c r="D138" s="2587"/>
      <c r="E138" s="2611"/>
      <c r="F138" s="2611"/>
      <c r="G138" s="2611"/>
      <c r="H138" s="2603"/>
      <c r="I138" s="2600">
        <v>20</v>
      </c>
      <c r="J138" s="2601">
        <f t="shared" si="36"/>
        <v>10</v>
      </c>
      <c r="K138" s="2602"/>
      <c r="L138" s="2602">
        <v>0.2</v>
      </c>
      <c r="M138" s="2602"/>
      <c r="N138" s="2603">
        <f t="shared" si="37"/>
        <v>0.2</v>
      </c>
      <c r="O138" s="2600">
        <v>20</v>
      </c>
      <c r="P138" s="2601">
        <f t="shared" si="38"/>
        <v>10</v>
      </c>
      <c r="Q138" s="2602"/>
      <c r="R138" s="2602">
        <v>0.2</v>
      </c>
      <c r="S138" s="2602"/>
      <c r="T138" s="2603">
        <f t="shared" si="39"/>
        <v>0.2</v>
      </c>
      <c r="U138" s="2600"/>
      <c r="V138" s="2601"/>
      <c r="W138" s="2602"/>
      <c r="X138" s="2602">
        <v>0.3</v>
      </c>
      <c r="Y138" s="2603">
        <f t="shared" si="40"/>
        <v>0.3</v>
      </c>
      <c r="Z138" s="2603">
        <f t="shared" si="34"/>
        <v>0</v>
      </c>
      <c r="AA138" s="2603">
        <f t="shared" si="35"/>
        <v>0</v>
      </c>
      <c r="AB138" s="2602"/>
      <c r="AC138" s="2602"/>
      <c r="AD138" s="2888"/>
    </row>
    <row r="139" spans="1:30" x14ac:dyDescent="0.25">
      <c r="A139" s="2626"/>
      <c r="B139" s="2610" t="s">
        <v>2325</v>
      </c>
      <c r="C139" s="2586"/>
      <c r="D139" s="2587"/>
      <c r="E139" s="2611"/>
      <c r="F139" s="2611"/>
      <c r="G139" s="2611"/>
      <c r="H139" s="2603"/>
      <c r="I139" s="2600">
        <v>2</v>
      </c>
      <c r="J139" s="2601">
        <f t="shared" si="36"/>
        <v>250</v>
      </c>
      <c r="K139" s="2602"/>
      <c r="L139" s="2602">
        <v>0.5</v>
      </c>
      <c r="M139" s="2602"/>
      <c r="N139" s="2603">
        <f t="shared" si="37"/>
        <v>0.5</v>
      </c>
      <c r="O139" s="2600">
        <v>2</v>
      </c>
      <c r="P139" s="2601">
        <f t="shared" si="38"/>
        <v>250</v>
      </c>
      <c r="Q139" s="2602"/>
      <c r="R139" s="2602">
        <v>0.5</v>
      </c>
      <c r="S139" s="2602"/>
      <c r="T139" s="2603">
        <f t="shared" si="39"/>
        <v>0.5</v>
      </c>
      <c r="U139" s="2600"/>
      <c r="V139" s="2601"/>
      <c r="W139" s="2602"/>
      <c r="X139" s="2602">
        <v>0.5</v>
      </c>
      <c r="Y139" s="2603">
        <f t="shared" si="40"/>
        <v>0.5</v>
      </c>
      <c r="Z139" s="2603">
        <f t="shared" si="34"/>
        <v>0</v>
      </c>
      <c r="AA139" s="2603">
        <f t="shared" si="35"/>
        <v>0</v>
      </c>
      <c r="AB139" s="2602"/>
      <c r="AC139" s="2602"/>
      <c r="AD139" s="2888"/>
    </row>
    <row r="140" spans="1:30" x14ac:dyDescent="0.25">
      <c r="A140" s="2626"/>
      <c r="B140" s="2610" t="s">
        <v>2326</v>
      </c>
      <c r="C140" s="2586"/>
      <c r="D140" s="2587"/>
      <c r="E140" s="2611"/>
      <c r="F140" s="2611"/>
      <c r="G140" s="2611"/>
      <c r="H140" s="2603"/>
      <c r="I140" s="2600">
        <v>50</v>
      </c>
      <c r="J140" s="2601">
        <f t="shared" si="36"/>
        <v>10</v>
      </c>
      <c r="K140" s="2602"/>
      <c r="L140" s="2602">
        <v>0.5</v>
      </c>
      <c r="M140" s="2602"/>
      <c r="N140" s="2603">
        <f t="shared" si="37"/>
        <v>0.5</v>
      </c>
      <c r="O140" s="2600">
        <v>50</v>
      </c>
      <c r="P140" s="2601">
        <f t="shared" si="38"/>
        <v>10</v>
      </c>
      <c r="Q140" s="2602"/>
      <c r="R140" s="2602">
        <v>0.5</v>
      </c>
      <c r="S140" s="2602"/>
      <c r="T140" s="2603">
        <f t="shared" si="39"/>
        <v>0.5</v>
      </c>
      <c r="U140" s="2600"/>
      <c r="V140" s="2601"/>
      <c r="W140" s="2602"/>
      <c r="X140" s="2602">
        <v>0.8</v>
      </c>
      <c r="Y140" s="2603">
        <f t="shared" si="40"/>
        <v>0.8</v>
      </c>
      <c r="Z140" s="2603">
        <f t="shared" si="34"/>
        <v>0</v>
      </c>
      <c r="AA140" s="2603">
        <f t="shared" si="35"/>
        <v>0</v>
      </c>
      <c r="AB140" s="2602"/>
      <c r="AC140" s="2602"/>
      <c r="AD140" s="2888"/>
    </row>
    <row r="141" spans="1:30" x14ac:dyDescent="0.25">
      <c r="A141" s="2590" t="s">
        <v>371</v>
      </c>
      <c r="B141" s="2591" t="s">
        <v>759</v>
      </c>
      <c r="C141" s="2592">
        <f t="shared" ref="C141:H141" si="41">SUM(C142:C185)</f>
        <v>30371</v>
      </c>
      <c r="D141" s="2593">
        <f t="shared" si="41"/>
        <v>3690.5</v>
      </c>
      <c r="E141" s="2593">
        <f t="shared" si="41"/>
        <v>8.9</v>
      </c>
      <c r="F141" s="2593">
        <f t="shared" si="41"/>
        <v>66.900000000000006</v>
      </c>
      <c r="G141" s="2593">
        <f t="shared" si="41"/>
        <v>0</v>
      </c>
      <c r="H141" s="2594">
        <f t="shared" si="41"/>
        <v>75.8</v>
      </c>
      <c r="I141" s="2592">
        <f>SUM(I163:I185)</f>
        <v>464</v>
      </c>
      <c r="J141" s="2593">
        <f t="shared" ref="J141:Z141" si="42">SUM(J163:J185)</f>
        <v>5456.9</v>
      </c>
      <c r="K141" s="2593">
        <f t="shared" si="42"/>
        <v>0</v>
      </c>
      <c r="L141" s="2593">
        <f t="shared" si="42"/>
        <v>30.1</v>
      </c>
      <c r="M141" s="2593">
        <f t="shared" si="42"/>
        <v>0</v>
      </c>
      <c r="N141" s="2594">
        <f t="shared" si="42"/>
        <v>30.1</v>
      </c>
      <c r="O141" s="2592">
        <f t="shared" si="42"/>
        <v>343</v>
      </c>
      <c r="P141" s="2593">
        <f t="shared" si="42"/>
        <v>6799.2</v>
      </c>
      <c r="Q141" s="2593">
        <f t="shared" si="42"/>
        <v>0</v>
      </c>
      <c r="R141" s="2593">
        <f t="shared" si="42"/>
        <v>40.1</v>
      </c>
      <c r="S141" s="2593">
        <f t="shared" si="42"/>
        <v>0</v>
      </c>
      <c r="T141" s="2594">
        <f t="shared" si="42"/>
        <v>40.1</v>
      </c>
      <c r="U141" s="2592">
        <f t="shared" si="42"/>
        <v>0</v>
      </c>
      <c r="V141" s="2593">
        <f t="shared" si="42"/>
        <v>0</v>
      </c>
      <c r="W141" s="2593">
        <f t="shared" si="42"/>
        <v>0</v>
      </c>
      <c r="X141" s="2593">
        <f t="shared" si="42"/>
        <v>43.5</v>
      </c>
      <c r="Y141" s="2594">
        <f t="shared" si="42"/>
        <v>43.5</v>
      </c>
      <c r="Z141" s="2594">
        <f t="shared" si="42"/>
        <v>0</v>
      </c>
      <c r="AA141" s="2594">
        <f t="shared" si="35"/>
        <v>0</v>
      </c>
      <c r="AB141" s="2596">
        <f>SUM(AB169:AB185)</f>
        <v>0</v>
      </c>
      <c r="AC141" s="2596">
        <f>SUM(AC169:AC185)</f>
        <v>0</v>
      </c>
      <c r="AD141" s="2597"/>
    </row>
    <row r="142" spans="1:30" s="2612" customFormat="1" x14ac:dyDescent="0.25">
      <c r="A142" s="2598"/>
      <c r="B142" s="2599" t="s">
        <v>2327</v>
      </c>
      <c r="C142" s="2600">
        <v>144</v>
      </c>
      <c r="D142" s="2601">
        <f t="shared" ref="D142:D162" si="43">(F142/C142*1000)+(E142/C142*1000)</f>
        <v>29.9</v>
      </c>
      <c r="E142" s="2602">
        <v>4.3</v>
      </c>
      <c r="F142" s="2602"/>
      <c r="G142" s="2602"/>
      <c r="H142" s="2603">
        <f t="shared" ref="H142:H162" si="44">SUM(E142:G142)</f>
        <v>4.3</v>
      </c>
      <c r="I142" s="2600"/>
      <c r="J142" s="2601"/>
      <c r="K142" s="2602"/>
      <c r="L142" s="2602"/>
      <c r="M142" s="2602"/>
      <c r="N142" s="2603"/>
      <c r="O142" s="2600"/>
      <c r="P142" s="2601"/>
      <c r="Q142" s="2602"/>
      <c r="R142" s="2602"/>
      <c r="S142" s="2602"/>
      <c r="T142" s="2603"/>
      <c r="U142" s="2600"/>
      <c r="V142" s="2601"/>
      <c r="W142" s="2602"/>
      <c r="X142" s="2602"/>
      <c r="Y142" s="2603"/>
      <c r="Z142" s="2603">
        <f t="shared" ref="Z142:Z205" si="45">W142-K142</f>
        <v>0</v>
      </c>
      <c r="AA142" s="2603">
        <f t="shared" si="35"/>
        <v>0</v>
      </c>
      <c r="AB142" s="2603"/>
      <c r="AC142" s="2603"/>
      <c r="AD142" s="2616"/>
    </row>
    <row r="143" spans="1:30" s="2612" customFormat="1" x14ac:dyDescent="0.25">
      <c r="A143" s="2598"/>
      <c r="B143" s="2599" t="s">
        <v>2328</v>
      </c>
      <c r="C143" s="2600">
        <v>5</v>
      </c>
      <c r="D143" s="2601">
        <f t="shared" si="43"/>
        <v>100</v>
      </c>
      <c r="E143" s="2602">
        <v>0.5</v>
      </c>
      <c r="F143" s="2602"/>
      <c r="G143" s="2602"/>
      <c r="H143" s="2603">
        <f t="shared" si="44"/>
        <v>0.5</v>
      </c>
      <c r="I143" s="2600"/>
      <c r="J143" s="2601"/>
      <c r="K143" s="2602"/>
      <c r="L143" s="2602"/>
      <c r="M143" s="2602"/>
      <c r="N143" s="2603"/>
      <c r="O143" s="2600"/>
      <c r="P143" s="2601"/>
      <c r="Q143" s="2602"/>
      <c r="R143" s="2602"/>
      <c r="S143" s="2602"/>
      <c r="T143" s="2603"/>
      <c r="U143" s="2600"/>
      <c r="V143" s="2601"/>
      <c r="W143" s="2602"/>
      <c r="X143" s="2602"/>
      <c r="Y143" s="2603"/>
      <c r="Z143" s="2603">
        <f t="shared" si="45"/>
        <v>0</v>
      </c>
      <c r="AA143" s="2603">
        <f t="shared" si="35"/>
        <v>0</v>
      </c>
      <c r="AB143" s="2603"/>
      <c r="AC143" s="2603"/>
      <c r="AD143" s="2616"/>
    </row>
    <row r="144" spans="1:30" s="2612" customFormat="1" x14ac:dyDescent="0.25">
      <c r="A144" s="2598"/>
      <c r="B144" s="2599" t="s">
        <v>2218</v>
      </c>
      <c r="C144" s="2600">
        <v>1</v>
      </c>
      <c r="D144" s="2601">
        <f t="shared" si="43"/>
        <v>100</v>
      </c>
      <c r="E144" s="2602"/>
      <c r="F144" s="2602">
        <v>0.1</v>
      </c>
      <c r="G144" s="2602"/>
      <c r="H144" s="2603">
        <f t="shared" si="44"/>
        <v>0.1</v>
      </c>
      <c r="I144" s="2600"/>
      <c r="J144" s="2601"/>
      <c r="K144" s="2602"/>
      <c r="L144" s="2602"/>
      <c r="M144" s="2602"/>
      <c r="N144" s="2603"/>
      <c r="O144" s="2600"/>
      <c r="P144" s="2601"/>
      <c r="Q144" s="2602"/>
      <c r="R144" s="2602"/>
      <c r="S144" s="2602"/>
      <c r="T144" s="2603"/>
      <c r="U144" s="2600"/>
      <c r="V144" s="2601"/>
      <c r="W144" s="2602"/>
      <c r="X144" s="2602"/>
      <c r="Y144" s="2603"/>
      <c r="Z144" s="2603">
        <f t="shared" si="45"/>
        <v>0</v>
      </c>
      <c r="AA144" s="2603">
        <f t="shared" si="35"/>
        <v>0</v>
      </c>
      <c r="AB144" s="2603"/>
      <c r="AC144" s="2603"/>
      <c r="AD144" s="2616"/>
    </row>
    <row r="145" spans="1:30" s="2612" customFormat="1" x14ac:dyDescent="0.25">
      <c r="A145" s="2598"/>
      <c r="B145" s="2599" t="s">
        <v>2329</v>
      </c>
      <c r="C145" s="2600">
        <v>30000</v>
      </c>
      <c r="D145" s="2601">
        <f t="shared" si="43"/>
        <v>1.5</v>
      </c>
      <c r="E145" s="2602"/>
      <c r="F145" s="2602">
        <v>45</v>
      </c>
      <c r="G145" s="2602"/>
      <c r="H145" s="2603">
        <f t="shared" si="44"/>
        <v>45</v>
      </c>
      <c r="I145" s="2600"/>
      <c r="J145" s="2601"/>
      <c r="K145" s="2602"/>
      <c r="L145" s="2602"/>
      <c r="M145" s="2602"/>
      <c r="N145" s="2603"/>
      <c r="O145" s="2600"/>
      <c r="P145" s="2601"/>
      <c r="Q145" s="2602"/>
      <c r="R145" s="2602"/>
      <c r="S145" s="2602"/>
      <c r="T145" s="2603"/>
      <c r="U145" s="2600"/>
      <c r="V145" s="2601"/>
      <c r="W145" s="2602"/>
      <c r="X145" s="2602"/>
      <c r="Y145" s="2603"/>
      <c r="Z145" s="2603">
        <f t="shared" si="45"/>
        <v>0</v>
      </c>
      <c r="AA145" s="2603">
        <f t="shared" ref="AA145:AA208" si="46">IFERROR(W145/K145*100,0)</f>
        <v>0</v>
      </c>
      <c r="AB145" s="2603"/>
      <c r="AC145" s="2603"/>
      <c r="AD145" s="2616"/>
    </row>
    <row r="146" spans="1:30" s="2612" customFormat="1" ht="31.5" x14ac:dyDescent="0.25">
      <c r="A146" s="2598"/>
      <c r="B146" s="2599" t="s">
        <v>2330</v>
      </c>
      <c r="C146" s="2600">
        <v>3</v>
      </c>
      <c r="D146" s="2601">
        <f t="shared" si="43"/>
        <v>66.7</v>
      </c>
      <c r="E146" s="2602"/>
      <c r="F146" s="2602">
        <v>0.2</v>
      </c>
      <c r="G146" s="2602"/>
      <c r="H146" s="2603">
        <f t="shared" si="44"/>
        <v>0.2</v>
      </c>
      <c r="I146" s="2600"/>
      <c r="J146" s="2601"/>
      <c r="K146" s="2602"/>
      <c r="L146" s="2602"/>
      <c r="M146" s="2602"/>
      <c r="N146" s="2603"/>
      <c r="O146" s="2600"/>
      <c r="P146" s="2601"/>
      <c r="Q146" s="2602"/>
      <c r="R146" s="2602"/>
      <c r="S146" s="2602"/>
      <c r="T146" s="2603"/>
      <c r="U146" s="2600"/>
      <c r="V146" s="2601"/>
      <c r="W146" s="2602"/>
      <c r="X146" s="2602"/>
      <c r="Y146" s="2603"/>
      <c r="Z146" s="2603">
        <f t="shared" si="45"/>
        <v>0</v>
      </c>
      <c r="AA146" s="2603">
        <f t="shared" si="46"/>
        <v>0</v>
      </c>
      <c r="AB146" s="2603"/>
      <c r="AC146" s="2603"/>
      <c r="AD146" s="2616"/>
    </row>
    <row r="147" spans="1:30" s="2612" customFormat="1" x14ac:dyDescent="0.25">
      <c r="A147" s="2598"/>
      <c r="B147" s="2599" t="s">
        <v>2224</v>
      </c>
      <c r="C147" s="2600">
        <v>1</v>
      </c>
      <c r="D147" s="2601">
        <f t="shared" si="43"/>
        <v>300</v>
      </c>
      <c r="E147" s="2602"/>
      <c r="F147" s="2602">
        <v>0.3</v>
      </c>
      <c r="G147" s="2602"/>
      <c r="H147" s="2603">
        <f t="shared" si="44"/>
        <v>0.3</v>
      </c>
      <c r="I147" s="2600"/>
      <c r="J147" s="2601"/>
      <c r="K147" s="2602"/>
      <c r="L147" s="2602"/>
      <c r="M147" s="2602"/>
      <c r="N147" s="2603"/>
      <c r="O147" s="2600"/>
      <c r="P147" s="2601"/>
      <c r="Q147" s="2602"/>
      <c r="R147" s="2602"/>
      <c r="S147" s="2602"/>
      <c r="T147" s="2603"/>
      <c r="U147" s="2600"/>
      <c r="V147" s="2601"/>
      <c r="W147" s="2602"/>
      <c r="X147" s="2602"/>
      <c r="Y147" s="2603"/>
      <c r="Z147" s="2603">
        <f t="shared" si="45"/>
        <v>0</v>
      </c>
      <c r="AA147" s="2603">
        <f t="shared" si="46"/>
        <v>0</v>
      </c>
      <c r="AB147" s="2603"/>
      <c r="AC147" s="2603"/>
      <c r="AD147" s="2616"/>
    </row>
    <row r="148" spans="1:30" s="2612" customFormat="1" x14ac:dyDescent="0.25">
      <c r="A148" s="2598"/>
      <c r="B148" s="2599" t="s">
        <v>2331</v>
      </c>
      <c r="C148" s="2600">
        <v>1</v>
      </c>
      <c r="D148" s="2601">
        <f t="shared" si="43"/>
        <v>100</v>
      </c>
      <c r="E148" s="2602"/>
      <c r="F148" s="2602">
        <v>0.1</v>
      </c>
      <c r="G148" s="2602"/>
      <c r="H148" s="2603">
        <f t="shared" si="44"/>
        <v>0.1</v>
      </c>
      <c r="I148" s="2600"/>
      <c r="J148" s="2601"/>
      <c r="K148" s="2602"/>
      <c r="L148" s="2602"/>
      <c r="M148" s="2602"/>
      <c r="N148" s="2603"/>
      <c r="O148" s="2600"/>
      <c r="P148" s="2601"/>
      <c r="Q148" s="2602"/>
      <c r="R148" s="2602"/>
      <c r="S148" s="2602"/>
      <c r="T148" s="2603"/>
      <c r="U148" s="2600"/>
      <c r="V148" s="2601"/>
      <c r="W148" s="2602"/>
      <c r="X148" s="2602"/>
      <c r="Y148" s="2603"/>
      <c r="Z148" s="2603">
        <f t="shared" si="45"/>
        <v>0</v>
      </c>
      <c r="AA148" s="2603">
        <f t="shared" si="46"/>
        <v>0</v>
      </c>
      <c r="AB148" s="2603"/>
      <c r="AC148" s="2603"/>
      <c r="AD148" s="2616"/>
    </row>
    <row r="149" spans="1:30" s="2612" customFormat="1" x14ac:dyDescent="0.25">
      <c r="A149" s="2598"/>
      <c r="B149" s="2599" t="s">
        <v>2332</v>
      </c>
      <c r="C149" s="2600">
        <v>1</v>
      </c>
      <c r="D149" s="2601">
        <f t="shared" si="43"/>
        <v>100</v>
      </c>
      <c r="E149" s="2602"/>
      <c r="F149" s="2602">
        <v>0.1</v>
      </c>
      <c r="G149" s="2602"/>
      <c r="H149" s="2603">
        <f t="shared" si="44"/>
        <v>0.1</v>
      </c>
      <c r="I149" s="2600"/>
      <c r="J149" s="2601"/>
      <c r="K149" s="2602"/>
      <c r="L149" s="2602"/>
      <c r="M149" s="2602"/>
      <c r="N149" s="2603"/>
      <c r="O149" s="2600"/>
      <c r="P149" s="2601"/>
      <c r="Q149" s="2602"/>
      <c r="R149" s="2602"/>
      <c r="S149" s="2602"/>
      <c r="T149" s="2603"/>
      <c r="U149" s="2600"/>
      <c r="V149" s="2601"/>
      <c r="W149" s="2602"/>
      <c r="X149" s="2602"/>
      <c r="Y149" s="2603"/>
      <c r="Z149" s="2603">
        <f t="shared" si="45"/>
        <v>0</v>
      </c>
      <c r="AA149" s="2603">
        <f t="shared" si="46"/>
        <v>0</v>
      </c>
      <c r="AB149" s="2603"/>
      <c r="AC149" s="2603"/>
      <c r="AD149" s="2616"/>
    </row>
    <row r="150" spans="1:30" s="2612" customFormat="1" x14ac:dyDescent="0.25">
      <c r="A150" s="2598"/>
      <c r="B150" s="2599" t="s">
        <v>2333</v>
      </c>
      <c r="C150" s="2600">
        <v>2</v>
      </c>
      <c r="D150" s="2601">
        <f t="shared" si="43"/>
        <v>100</v>
      </c>
      <c r="E150" s="2602"/>
      <c r="F150" s="2602">
        <v>0.2</v>
      </c>
      <c r="G150" s="2602"/>
      <c r="H150" s="2603">
        <f t="shared" si="44"/>
        <v>0.2</v>
      </c>
      <c r="I150" s="2600"/>
      <c r="J150" s="2601"/>
      <c r="K150" s="2602"/>
      <c r="L150" s="2602"/>
      <c r="M150" s="2602"/>
      <c r="N150" s="2603"/>
      <c r="O150" s="2600"/>
      <c r="P150" s="2601"/>
      <c r="Q150" s="2602"/>
      <c r="R150" s="2602"/>
      <c r="S150" s="2602"/>
      <c r="T150" s="2603"/>
      <c r="U150" s="2600"/>
      <c r="V150" s="2601"/>
      <c r="W150" s="2602"/>
      <c r="X150" s="2602"/>
      <c r="Y150" s="2603"/>
      <c r="Z150" s="2603">
        <f t="shared" si="45"/>
        <v>0</v>
      </c>
      <c r="AA150" s="2603">
        <f t="shared" si="46"/>
        <v>0</v>
      </c>
      <c r="AB150" s="2603"/>
      <c r="AC150" s="2603"/>
      <c r="AD150" s="2616"/>
    </row>
    <row r="151" spans="1:30" s="2612" customFormat="1" x14ac:dyDescent="0.25">
      <c r="A151" s="2598"/>
      <c r="B151" s="2599" t="s">
        <v>2334</v>
      </c>
      <c r="C151" s="2600">
        <v>1</v>
      </c>
      <c r="D151" s="2601">
        <f t="shared" si="43"/>
        <v>200</v>
      </c>
      <c r="E151" s="2602"/>
      <c r="F151" s="2602">
        <v>0.2</v>
      </c>
      <c r="G151" s="2602"/>
      <c r="H151" s="2603">
        <f t="shared" si="44"/>
        <v>0.2</v>
      </c>
      <c r="I151" s="2600"/>
      <c r="J151" s="2601"/>
      <c r="K151" s="2602"/>
      <c r="L151" s="2602"/>
      <c r="M151" s="2602"/>
      <c r="N151" s="2603"/>
      <c r="O151" s="2600"/>
      <c r="P151" s="2601"/>
      <c r="Q151" s="2602"/>
      <c r="R151" s="2602"/>
      <c r="S151" s="2602"/>
      <c r="T151" s="2603"/>
      <c r="U151" s="2600"/>
      <c r="V151" s="2601"/>
      <c r="W151" s="2602"/>
      <c r="X151" s="2602"/>
      <c r="Y151" s="2603"/>
      <c r="Z151" s="2603">
        <f t="shared" si="45"/>
        <v>0</v>
      </c>
      <c r="AA151" s="2603">
        <f t="shared" si="46"/>
        <v>0</v>
      </c>
      <c r="AB151" s="2603"/>
      <c r="AC151" s="2603"/>
      <c r="AD151" s="2616"/>
    </row>
    <row r="152" spans="1:30" s="2612" customFormat="1" x14ac:dyDescent="0.25">
      <c r="A152" s="2598"/>
      <c r="B152" s="2599" t="s">
        <v>1569</v>
      </c>
      <c r="C152" s="2600">
        <v>2</v>
      </c>
      <c r="D152" s="2601">
        <f t="shared" si="43"/>
        <v>50</v>
      </c>
      <c r="E152" s="2602"/>
      <c r="F152" s="2602">
        <v>0.1</v>
      </c>
      <c r="G152" s="2602"/>
      <c r="H152" s="2603">
        <f t="shared" si="44"/>
        <v>0.1</v>
      </c>
      <c r="I152" s="2600"/>
      <c r="J152" s="2601"/>
      <c r="K152" s="2602"/>
      <c r="L152" s="2602"/>
      <c r="M152" s="2602"/>
      <c r="N152" s="2603"/>
      <c r="O152" s="2600"/>
      <c r="P152" s="2601"/>
      <c r="Q152" s="2602"/>
      <c r="R152" s="2602"/>
      <c r="S152" s="2602"/>
      <c r="T152" s="2603"/>
      <c r="U152" s="2600"/>
      <c r="V152" s="2601"/>
      <c r="W152" s="2602"/>
      <c r="X152" s="2602"/>
      <c r="Y152" s="2603"/>
      <c r="Z152" s="2603">
        <f t="shared" si="45"/>
        <v>0</v>
      </c>
      <c r="AA152" s="2603">
        <f t="shared" si="46"/>
        <v>0</v>
      </c>
      <c r="AB152" s="2603"/>
      <c r="AC152" s="2603"/>
      <c r="AD152" s="2616"/>
    </row>
    <row r="153" spans="1:30" s="2612" customFormat="1" x14ac:dyDescent="0.25">
      <c r="A153" s="2598"/>
      <c r="B153" s="2599" t="s">
        <v>2335</v>
      </c>
      <c r="C153" s="2600">
        <v>10</v>
      </c>
      <c r="D153" s="2601">
        <f t="shared" si="43"/>
        <v>100</v>
      </c>
      <c r="E153" s="2602">
        <v>1</v>
      </c>
      <c r="F153" s="2602"/>
      <c r="G153" s="2602"/>
      <c r="H153" s="2603">
        <f t="shared" si="44"/>
        <v>1</v>
      </c>
      <c r="I153" s="2600"/>
      <c r="J153" s="2601"/>
      <c r="K153" s="2602"/>
      <c r="L153" s="2602"/>
      <c r="M153" s="2602"/>
      <c r="N153" s="2603"/>
      <c r="O153" s="2600"/>
      <c r="P153" s="2601"/>
      <c r="Q153" s="2602"/>
      <c r="R153" s="2602"/>
      <c r="S153" s="2602"/>
      <c r="T153" s="2603"/>
      <c r="U153" s="2600"/>
      <c r="V153" s="2601"/>
      <c r="W153" s="2602"/>
      <c r="X153" s="2602"/>
      <c r="Y153" s="2603"/>
      <c r="Z153" s="2603">
        <f t="shared" si="45"/>
        <v>0</v>
      </c>
      <c r="AA153" s="2603">
        <f t="shared" si="46"/>
        <v>0</v>
      </c>
      <c r="AB153" s="2603"/>
      <c r="AC153" s="2603"/>
      <c r="AD153" s="2616"/>
    </row>
    <row r="154" spans="1:30" s="2612" customFormat="1" x14ac:dyDescent="0.25">
      <c r="A154" s="2598"/>
      <c r="B154" s="2599" t="s">
        <v>2336</v>
      </c>
      <c r="C154" s="2600">
        <v>3</v>
      </c>
      <c r="D154" s="2601">
        <f t="shared" si="43"/>
        <v>100</v>
      </c>
      <c r="E154" s="2602">
        <v>0.3</v>
      </c>
      <c r="F154" s="2602"/>
      <c r="G154" s="2602"/>
      <c r="H154" s="2603">
        <f t="shared" si="44"/>
        <v>0.3</v>
      </c>
      <c r="I154" s="2600"/>
      <c r="J154" s="2601"/>
      <c r="K154" s="2602"/>
      <c r="L154" s="2602"/>
      <c r="M154" s="2602"/>
      <c r="N154" s="2603"/>
      <c r="O154" s="2600"/>
      <c r="P154" s="2601"/>
      <c r="Q154" s="2602"/>
      <c r="R154" s="2602"/>
      <c r="S154" s="2602"/>
      <c r="T154" s="2603"/>
      <c r="U154" s="2600"/>
      <c r="V154" s="2601"/>
      <c r="W154" s="2602"/>
      <c r="X154" s="2602"/>
      <c r="Y154" s="2603"/>
      <c r="Z154" s="2603">
        <f t="shared" si="45"/>
        <v>0</v>
      </c>
      <c r="AA154" s="2603">
        <f t="shared" si="46"/>
        <v>0</v>
      </c>
      <c r="AB154" s="2603"/>
      <c r="AC154" s="2603"/>
      <c r="AD154" s="2616"/>
    </row>
    <row r="155" spans="1:30" s="2612" customFormat="1" x14ac:dyDescent="0.25">
      <c r="A155" s="2598"/>
      <c r="B155" s="2599" t="s">
        <v>2227</v>
      </c>
      <c r="C155" s="2600">
        <v>6</v>
      </c>
      <c r="D155" s="2601">
        <f t="shared" si="43"/>
        <v>100</v>
      </c>
      <c r="E155" s="2602">
        <v>0.6</v>
      </c>
      <c r="F155" s="2602"/>
      <c r="G155" s="2602"/>
      <c r="H155" s="2603">
        <f t="shared" si="44"/>
        <v>0.6</v>
      </c>
      <c r="I155" s="2600"/>
      <c r="J155" s="2601"/>
      <c r="K155" s="2602"/>
      <c r="L155" s="2602"/>
      <c r="M155" s="2602"/>
      <c r="N155" s="2603"/>
      <c r="O155" s="2600"/>
      <c r="P155" s="2601"/>
      <c r="Q155" s="2602"/>
      <c r="R155" s="2602"/>
      <c r="S155" s="2602"/>
      <c r="T155" s="2603"/>
      <c r="U155" s="2600"/>
      <c r="V155" s="2601"/>
      <c r="W155" s="2602"/>
      <c r="X155" s="2602"/>
      <c r="Y155" s="2603"/>
      <c r="Z155" s="2603">
        <f t="shared" si="45"/>
        <v>0</v>
      </c>
      <c r="AA155" s="2603">
        <f t="shared" si="46"/>
        <v>0</v>
      </c>
      <c r="AB155" s="2603"/>
      <c r="AC155" s="2603"/>
      <c r="AD155" s="2616"/>
    </row>
    <row r="156" spans="1:30" s="2612" customFormat="1" x14ac:dyDescent="0.25">
      <c r="A156" s="2598"/>
      <c r="B156" s="2599" t="s">
        <v>2227</v>
      </c>
      <c r="C156" s="2600">
        <v>2</v>
      </c>
      <c r="D156" s="2601">
        <f t="shared" si="43"/>
        <v>100</v>
      </c>
      <c r="E156" s="2602">
        <v>0.2</v>
      </c>
      <c r="F156" s="2602"/>
      <c r="G156" s="2602"/>
      <c r="H156" s="2603">
        <f t="shared" si="44"/>
        <v>0.2</v>
      </c>
      <c r="I156" s="2600"/>
      <c r="J156" s="2601"/>
      <c r="K156" s="2602"/>
      <c r="L156" s="2602"/>
      <c r="M156" s="2602"/>
      <c r="N156" s="2603"/>
      <c r="O156" s="2600"/>
      <c r="P156" s="2601"/>
      <c r="Q156" s="2602"/>
      <c r="R156" s="2602"/>
      <c r="S156" s="2602"/>
      <c r="T156" s="2603"/>
      <c r="U156" s="2600"/>
      <c r="V156" s="2601"/>
      <c r="W156" s="2602"/>
      <c r="X156" s="2602"/>
      <c r="Y156" s="2603"/>
      <c r="Z156" s="2603">
        <f t="shared" si="45"/>
        <v>0</v>
      </c>
      <c r="AA156" s="2603">
        <f t="shared" si="46"/>
        <v>0</v>
      </c>
      <c r="AB156" s="2603"/>
      <c r="AC156" s="2603"/>
      <c r="AD156" s="2616"/>
    </row>
    <row r="157" spans="1:30" s="2612" customFormat="1" x14ac:dyDescent="0.25">
      <c r="A157" s="2598"/>
      <c r="B157" s="2599" t="s">
        <v>2233</v>
      </c>
      <c r="C157" s="2600">
        <v>4</v>
      </c>
      <c r="D157" s="2601">
        <f t="shared" si="43"/>
        <v>150</v>
      </c>
      <c r="E157" s="2602">
        <v>0.6</v>
      </c>
      <c r="F157" s="2602"/>
      <c r="G157" s="2602"/>
      <c r="H157" s="2603">
        <f t="shared" si="44"/>
        <v>0.6</v>
      </c>
      <c r="I157" s="2600"/>
      <c r="J157" s="2601"/>
      <c r="K157" s="2602"/>
      <c r="L157" s="2602"/>
      <c r="M157" s="2602"/>
      <c r="N157" s="2603"/>
      <c r="O157" s="2600"/>
      <c r="P157" s="2601"/>
      <c r="Q157" s="2602"/>
      <c r="R157" s="2602"/>
      <c r="S157" s="2602"/>
      <c r="T157" s="2603"/>
      <c r="U157" s="2600"/>
      <c r="V157" s="2601"/>
      <c r="W157" s="2602"/>
      <c r="X157" s="2602"/>
      <c r="Y157" s="2603"/>
      <c r="Z157" s="2603">
        <f t="shared" si="45"/>
        <v>0</v>
      </c>
      <c r="AA157" s="2603">
        <f t="shared" si="46"/>
        <v>0</v>
      </c>
      <c r="AB157" s="2603"/>
      <c r="AC157" s="2603"/>
      <c r="AD157" s="2616"/>
    </row>
    <row r="158" spans="1:30" s="2612" customFormat="1" x14ac:dyDescent="0.25">
      <c r="A158" s="2598"/>
      <c r="B158" s="2599" t="s">
        <v>2337</v>
      </c>
      <c r="C158" s="2600">
        <v>3</v>
      </c>
      <c r="D158" s="2601">
        <f t="shared" si="43"/>
        <v>133.30000000000001</v>
      </c>
      <c r="E158" s="2602">
        <v>0.4</v>
      </c>
      <c r="F158" s="2602"/>
      <c r="G158" s="2602"/>
      <c r="H158" s="2603">
        <f t="shared" si="44"/>
        <v>0.4</v>
      </c>
      <c r="I158" s="2600"/>
      <c r="J158" s="2601"/>
      <c r="K158" s="2602"/>
      <c r="L158" s="2602"/>
      <c r="M158" s="2602"/>
      <c r="N158" s="2603"/>
      <c r="O158" s="2600"/>
      <c r="P158" s="2601"/>
      <c r="Q158" s="2602"/>
      <c r="R158" s="2602"/>
      <c r="S158" s="2602"/>
      <c r="T158" s="2603"/>
      <c r="U158" s="2600"/>
      <c r="V158" s="2601"/>
      <c r="W158" s="2602"/>
      <c r="X158" s="2602"/>
      <c r="Y158" s="2603"/>
      <c r="Z158" s="2603">
        <f t="shared" si="45"/>
        <v>0</v>
      </c>
      <c r="AA158" s="2603">
        <f t="shared" si="46"/>
        <v>0</v>
      </c>
      <c r="AB158" s="2603"/>
      <c r="AC158" s="2603"/>
      <c r="AD158" s="2616"/>
    </row>
    <row r="159" spans="1:30" s="2612" customFormat="1" x14ac:dyDescent="0.25">
      <c r="A159" s="2598"/>
      <c r="B159" s="2599" t="s">
        <v>2194</v>
      </c>
      <c r="C159" s="2600">
        <v>2</v>
      </c>
      <c r="D159" s="2601">
        <f t="shared" si="43"/>
        <v>500</v>
      </c>
      <c r="E159" s="2602">
        <v>1</v>
      </c>
      <c r="F159" s="2602"/>
      <c r="G159" s="2602"/>
      <c r="H159" s="2603">
        <f t="shared" si="44"/>
        <v>1</v>
      </c>
      <c r="I159" s="2600"/>
      <c r="J159" s="2601"/>
      <c r="K159" s="2602"/>
      <c r="L159" s="2602"/>
      <c r="M159" s="2602"/>
      <c r="N159" s="2603"/>
      <c r="O159" s="2600"/>
      <c r="P159" s="2601"/>
      <c r="Q159" s="2602"/>
      <c r="R159" s="2602"/>
      <c r="S159" s="2602"/>
      <c r="T159" s="2603"/>
      <c r="U159" s="2600"/>
      <c r="V159" s="2601"/>
      <c r="W159" s="2602"/>
      <c r="X159" s="2602"/>
      <c r="Y159" s="2603"/>
      <c r="Z159" s="2603">
        <f t="shared" si="45"/>
        <v>0</v>
      </c>
      <c r="AA159" s="2603">
        <f t="shared" si="46"/>
        <v>0</v>
      </c>
      <c r="AB159" s="2603"/>
      <c r="AC159" s="2603"/>
      <c r="AD159" s="2616"/>
    </row>
    <row r="160" spans="1:30" s="2612" customFormat="1" x14ac:dyDescent="0.25">
      <c r="A160" s="2598"/>
      <c r="B160" s="2599" t="s">
        <v>2338</v>
      </c>
      <c r="C160" s="2600">
        <v>144</v>
      </c>
      <c r="D160" s="2601">
        <f t="shared" si="43"/>
        <v>29.9</v>
      </c>
      <c r="E160" s="2602"/>
      <c r="F160" s="2602">
        <v>4.3</v>
      </c>
      <c r="G160" s="2602"/>
      <c r="H160" s="2603">
        <f t="shared" si="44"/>
        <v>4.3</v>
      </c>
      <c r="I160" s="2600"/>
      <c r="J160" s="2601"/>
      <c r="K160" s="2602"/>
      <c r="L160" s="2602"/>
      <c r="M160" s="2602"/>
      <c r="N160" s="2603"/>
      <c r="O160" s="2600"/>
      <c r="P160" s="2601"/>
      <c r="Q160" s="2602"/>
      <c r="R160" s="2602"/>
      <c r="S160" s="2602"/>
      <c r="T160" s="2603"/>
      <c r="U160" s="2600"/>
      <c r="V160" s="2601"/>
      <c r="W160" s="2602"/>
      <c r="X160" s="2602"/>
      <c r="Y160" s="2603"/>
      <c r="Z160" s="2603">
        <f t="shared" si="45"/>
        <v>0</v>
      </c>
      <c r="AA160" s="2603">
        <f t="shared" si="46"/>
        <v>0</v>
      </c>
      <c r="AB160" s="2603"/>
      <c r="AC160" s="2603"/>
      <c r="AD160" s="2616"/>
    </row>
    <row r="161" spans="1:30" s="2612" customFormat="1" x14ac:dyDescent="0.25">
      <c r="A161" s="2598"/>
      <c r="B161" s="2599" t="s">
        <v>2339</v>
      </c>
      <c r="C161" s="2600">
        <v>12</v>
      </c>
      <c r="D161" s="2601">
        <f t="shared" si="43"/>
        <v>1300</v>
      </c>
      <c r="E161" s="2602"/>
      <c r="F161" s="2602">
        <v>15.6</v>
      </c>
      <c r="G161" s="2602"/>
      <c r="H161" s="2603">
        <f t="shared" si="44"/>
        <v>15.6</v>
      </c>
      <c r="I161" s="2600"/>
      <c r="J161" s="2601"/>
      <c r="K161" s="2602"/>
      <c r="L161" s="2602"/>
      <c r="M161" s="2602"/>
      <c r="N161" s="2603"/>
      <c r="O161" s="2600"/>
      <c r="P161" s="2601"/>
      <c r="Q161" s="2602"/>
      <c r="R161" s="2602"/>
      <c r="S161" s="2602"/>
      <c r="T161" s="2603"/>
      <c r="U161" s="2600"/>
      <c r="V161" s="2601"/>
      <c r="W161" s="2602"/>
      <c r="X161" s="2602"/>
      <c r="Y161" s="2603"/>
      <c r="Z161" s="2603">
        <f t="shared" si="45"/>
        <v>0</v>
      </c>
      <c r="AA161" s="2603">
        <f t="shared" si="46"/>
        <v>0</v>
      </c>
      <c r="AB161" s="2603"/>
      <c r="AC161" s="2603"/>
      <c r="AD161" s="2616"/>
    </row>
    <row r="162" spans="1:30" s="2612" customFormat="1" x14ac:dyDescent="0.25">
      <c r="A162" s="2598"/>
      <c r="B162" s="2599" t="s">
        <v>2340</v>
      </c>
      <c r="C162" s="2600">
        <v>24</v>
      </c>
      <c r="D162" s="2601">
        <f t="shared" si="43"/>
        <v>29.2</v>
      </c>
      <c r="E162" s="2602"/>
      <c r="F162" s="2602">
        <v>0.7</v>
      </c>
      <c r="G162" s="2602"/>
      <c r="H162" s="2603">
        <f t="shared" si="44"/>
        <v>0.7</v>
      </c>
      <c r="I162" s="2600"/>
      <c r="J162" s="2601"/>
      <c r="K162" s="2602"/>
      <c r="L162" s="2602"/>
      <c r="M162" s="2602"/>
      <c r="N162" s="2603"/>
      <c r="O162" s="2600"/>
      <c r="P162" s="2601"/>
      <c r="Q162" s="2602"/>
      <c r="R162" s="2602"/>
      <c r="S162" s="2602"/>
      <c r="T162" s="2603"/>
      <c r="U162" s="2600"/>
      <c r="V162" s="2601"/>
      <c r="W162" s="2602"/>
      <c r="X162" s="2602"/>
      <c r="Y162" s="2603"/>
      <c r="Z162" s="2603">
        <f t="shared" si="45"/>
        <v>0</v>
      </c>
      <c r="AA162" s="2603">
        <f t="shared" si="46"/>
        <v>0</v>
      </c>
      <c r="AB162" s="2603"/>
      <c r="AC162" s="2603"/>
      <c r="AD162" s="2616"/>
    </row>
    <row r="163" spans="1:30" s="2612" customFormat="1" x14ac:dyDescent="0.25">
      <c r="A163" s="2598"/>
      <c r="B163" s="2599" t="s">
        <v>1567</v>
      </c>
      <c r="C163" s="2600"/>
      <c r="D163" s="2601"/>
      <c r="E163" s="2602"/>
      <c r="F163" s="2602"/>
      <c r="G163" s="2602"/>
      <c r="H163" s="2603"/>
      <c r="I163" s="2600">
        <v>5</v>
      </c>
      <c r="J163" s="2601">
        <f t="shared" ref="J163:J185" si="47">(L163/I163*1000)+(K163/I163*1000)</f>
        <v>80</v>
      </c>
      <c r="K163" s="2602"/>
      <c r="L163" s="2602">
        <v>0.4</v>
      </c>
      <c r="M163" s="2602"/>
      <c r="N163" s="2603">
        <f t="shared" ref="N163:N185" si="48">SUM(K163:M163)</f>
        <v>0.4</v>
      </c>
      <c r="O163" s="2600">
        <v>5</v>
      </c>
      <c r="P163" s="2601">
        <f t="shared" ref="P163:P185" si="49">(R163/O163*1000)+(Q163/O163*1000)</f>
        <v>80</v>
      </c>
      <c r="Q163" s="2602"/>
      <c r="R163" s="2602">
        <v>0.4</v>
      </c>
      <c r="S163" s="2602"/>
      <c r="T163" s="2603">
        <f t="shared" ref="T163:T185" si="50">SUM(Q163:S163)</f>
        <v>0.4</v>
      </c>
      <c r="U163" s="2600"/>
      <c r="V163" s="2601"/>
      <c r="W163" s="2602"/>
      <c r="X163" s="2602">
        <v>0.5</v>
      </c>
      <c r="Y163" s="2603">
        <f t="shared" ref="Y163:Y185" si="51">SUM(W163:X163)</f>
        <v>0.5</v>
      </c>
      <c r="Z163" s="2603">
        <f t="shared" si="45"/>
        <v>0</v>
      </c>
      <c r="AA163" s="2603">
        <f t="shared" si="46"/>
        <v>0</v>
      </c>
      <c r="AB163" s="2603"/>
      <c r="AC163" s="2603"/>
      <c r="AD163" s="2632"/>
    </row>
    <row r="164" spans="1:30" s="2612" customFormat="1" x14ac:dyDescent="0.25">
      <c r="A164" s="2598"/>
      <c r="B164" s="2599" t="s">
        <v>1568</v>
      </c>
      <c r="C164" s="2600"/>
      <c r="D164" s="2601"/>
      <c r="E164" s="2602"/>
      <c r="F164" s="2602"/>
      <c r="G164" s="2602"/>
      <c r="H164" s="2603"/>
      <c r="I164" s="2600">
        <v>6</v>
      </c>
      <c r="J164" s="2601">
        <f t="shared" si="47"/>
        <v>116.7</v>
      </c>
      <c r="K164" s="2602"/>
      <c r="L164" s="2602">
        <v>0.7</v>
      </c>
      <c r="M164" s="2602"/>
      <c r="N164" s="2603">
        <f t="shared" si="48"/>
        <v>0.7</v>
      </c>
      <c r="O164" s="2600">
        <v>6</v>
      </c>
      <c r="P164" s="2601">
        <f t="shared" si="49"/>
        <v>116.7</v>
      </c>
      <c r="Q164" s="2602"/>
      <c r="R164" s="2602">
        <v>0.7</v>
      </c>
      <c r="S164" s="2602"/>
      <c r="T164" s="2603">
        <f t="shared" si="50"/>
        <v>0.7</v>
      </c>
      <c r="U164" s="2600"/>
      <c r="V164" s="2601"/>
      <c r="W164" s="2602"/>
      <c r="X164" s="2602">
        <v>1.8</v>
      </c>
      <c r="Y164" s="2603">
        <f t="shared" si="51"/>
        <v>1.8</v>
      </c>
      <c r="Z164" s="2603">
        <f t="shared" si="45"/>
        <v>0</v>
      </c>
      <c r="AA164" s="2603">
        <f t="shared" si="46"/>
        <v>0</v>
      </c>
      <c r="AB164" s="2603"/>
      <c r="AC164" s="2603"/>
      <c r="AD164" s="2632"/>
    </row>
    <row r="165" spans="1:30" s="2612" customFormat="1" x14ac:dyDescent="0.25">
      <c r="A165" s="2598"/>
      <c r="B165" s="2599" t="s">
        <v>1569</v>
      </c>
      <c r="C165" s="2600"/>
      <c r="D165" s="2601"/>
      <c r="E165" s="2602"/>
      <c r="F165" s="2602"/>
      <c r="G165" s="2602"/>
      <c r="H165" s="2603"/>
      <c r="I165" s="2600">
        <v>4</v>
      </c>
      <c r="J165" s="2601">
        <f t="shared" si="47"/>
        <v>125</v>
      </c>
      <c r="K165" s="2602"/>
      <c r="L165" s="2602">
        <v>0.5</v>
      </c>
      <c r="M165" s="2602"/>
      <c r="N165" s="2603">
        <f t="shared" si="48"/>
        <v>0.5</v>
      </c>
      <c r="O165" s="2600">
        <v>4</v>
      </c>
      <c r="P165" s="2601">
        <f t="shared" si="49"/>
        <v>125</v>
      </c>
      <c r="Q165" s="2602"/>
      <c r="R165" s="2602">
        <v>0.5</v>
      </c>
      <c r="S165" s="2602"/>
      <c r="T165" s="2603">
        <f t="shared" si="50"/>
        <v>0.5</v>
      </c>
      <c r="U165" s="2600"/>
      <c r="V165" s="2601"/>
      <c r="W165" s="2602"/>
      <c r="X165" s="2602">
        <v>0.6</v>
      </c>
      <c r="Y165" s="2603">
        <f t="shared" si="51"/>
        <v>0.6</v>
      </c>
      <c r="Z165" s="2603">
        <f t="shared" si="45"/>
        <v>0</v>
      </c>
      <c r="AA165" s="2603">
        <f t="shared" si="46"/>
        <v>0</v>
      </c>
      <c r="AB165" s="2603"/>
      <c r="AC165" s="2603"/>
      <c r="AD165" s="2632"/>
    </row>
    <row r="166" spans="1:30" s="2612" customFormat="1" x14ac:dyDescent="0.25">
      <c r="A166" s="2598"/>
      <c r="B166" s="2599" t="s">
        <v>1570</v>
      </c>
      <c r="C166" s="2600"/>
      <c r="D166" s="2601"/>
      <c r="E166" s="2602"/>
      <c r="F166" s="2602"/>
      <c r="G166" s="2602"/>
      <c r="H166" s="2603"/>
      <c r="I166" s="2600">
        <v>5</v>
      </c>
      <c r="J166" s="2601">
        <f t="shared" si="47"/>
        <v>140</v>
      </c>
      <c r="K166" s="2602"/>
      <c r="L166" s="2602">
        <v>0.7</v>
      </c>
      <c r="M166" s="2602"/>
      <c r="N166" s="2603">
        <f t="shared" si="48"/>
        <v>0.7</v>
      </c>
      <c r="O166" s="2600">
        <v>5</v>
      </c>
      <c r="P166" s="2601">
        <f t="shared" si="49"/>
        <v>140</v>
      </c>
      <c r="Q166" s="2602"/>
      <c r="R166" s="2602">
        <v>0.7</v>
      </c>
      <c r="S166" s="2602"/>
      <c r="T166" s="2603">
        <f t="shared" si="50"/>
        <v>0.7</v>
      </c>
      <c r="U166" s="2600"/>
      <c r="V166" s="2601"/>
      <c r="W166" s="2602"/>
      <c r="X166" s="2602">
        <v>0.7</v>
      </c>
      <c r="Y166" s="2603">
        <f t="shared" si="51"/>
        <v>0.7</v>
      </c>
      <c r="Z166" s="2603">
        <f t="shared" si="45"/>
        <v>0</v>
      </c>
      <c r="AA166" s="2603">
        <f t="shared" si="46"/>
        <v>0</v>
      </c>
      <c r="AB166" s="2603"/>
      <c r="AC166" s="2603"/>
      <c r="AD166" s="2632"/>
    </row>
    <row r="167" spans="1:30" s="2612" customFormat="1" x14ac:dyDescent="0.25">
      <c r="A167" s="2598"/>
      <c r="B167" s="2599" t="s">
        <v>1571</v>
      </c>
      <c r="C167" s="2600"/>
      <c r="D167" s="2601"/>
      <c r="E167" s="2602"/>
      <c r="F167" s="2602"/>
      <c r="G167" s="2602"/>
      <c r="H167" s="2603"/>
      <c r="I167" s="2600">
        <v>3</v>
      </c>
      <c r="J167" s="2601">
        <f t="shared" si="47"/>
        <v>166.7</v>
      </c>
      <c r="K167" s="2602"/>
      <c r="L167" s="2602">
        <v>0.5</v>
      </c>
      <c r="M167" s="2602"/>
      <c r="N167" s="2603">
        <f t="shared" si="48"/>
        <v>0.5</v>
      </c>
      <c r="O167" s="2600">
        <v>3</v>
      </c>
      <c r="P167" s="2601">
        <f t="shared" si="49"/>
        <v>166.7</v>
      </c>
      <c r="Q167" s="2602"/>
      <c r="R167" s="2602">
        <v>0.5</v>
      </c>
      <c r="S167" s="2602"/>
      <c r="T167" s="2603">
        <f t="shared" si="50"/>
        <v>0.5</v>
      </c>
      <c r="U167" s="2600"/>
      <c r="V167" s="2601"/>
      <c r="W167" s="2602"/>
      <c r="X167" s="2602">
        <v>0.5</v>
      </c>
      <c r="Y167" s="2603">
        <f t="shared" si="51"/>
        <v>0.5</v>
      </c>
      <c r="Z167" s="2603">
        <f t="shared" si="45"/>
        <v>0</v>
      </c>
      <c r="AA167" s="2603">
        <f t="shared" si="46"/>
        <v>0</v>
      </c>
      <c r="AB167" s="2603"/>
      <c r="AC167" s="2603"/>
      <c r="AD167" s="2632"/>
    </row>
    <row r="168" spans="1:30" s="2612" customFormat="1" x14ac:dyDescent="0.25">
      <c r="A168" s="2598"/>
      <c r="B168" s="2599" t="s">
        <v>1572</v>
      </c>
      <c r="C168" s="2600"/>
      <c r="D168" s="2601"/>
      <c r="E168" s="2602"/>
      <c r="F168" s="2602"/>
      <c r="G168" s="2602"/>
      <c r="H168" s="2603"/>
      <c r="I168" s="2600">
        <v>4</v>
      </c>
      <c r="J168" s="2601">
        <f t="shared" si="47"/>
        <v>200</v>
      </c>
      <c r="K168" s="2602"/>
      <c r="L168" s="2602">
        <v>0.8</v>
      </c>
      <c r="M168" s="2602"/>
      <c r="N168" s="2603">
        <f t="shared" si="48"/>
        <v>0.8</v>
      </c>
      <c r="O168" s="2600">
        <v>4</v>
      </c>
      <c r="P168" s="2601">
        <f t="shared" si="49"/>
        <v>200</v>
      </c>
      <c r="Q168" s="2602"/>
      <c r="R168" s="2602">
        <v>0.8</v>
      </c>
      <c r="S168" s="2602"/>
      <c r="T168" s="2603">
        <f t="shared" si="50"/>
        <v>0.8</v>
      </c>
      <c r="U168" s="2600"/>
      <c r="V168" s="2601"/>
      <c r="W168" s="2602"/>
      <c r="X168" s="2602">
        <v>0.7</v>
      </c>
      <c r="Y168" s="2603">
        <f t="shared" si="51"/>
        <v>0.7</v>
      </c>
      <c r="Z168" s="2603">
        <f t="shared" si="45"/>
        <v>0</v>
      </c>
      <c r="AA168" s="2603">
        <f t="shared" si="46"/>
        <v>0</v>
      </c>
      <c r="AB168" s="2603"/>
      <c r="AC168" s="2603"/>
      <c r="AD168" s="2632"/>
    </row>
    <row r="169" spans="1:30" s="2612" customFormat="1" ht="15.75" customHeight="1" x14ac:dyDescent="0.25">
      <c r="A169" s="2626"/>
      <c r="B169" s="2599" t="s">
        <v>1573</v>
      </c>
      <c r="C169" s="2600"/>
      <c r="D169" s="2601"/>
      <c r="E169" s="2602"/>
      <c r="F169" s="2602"/>
      <c r="G169" s="2602"/>
      <c r="H169" s="2603"/>
      <c r="I169" s="2600">
        <v>200</v>
      </c>
      <c r="J169" s="2601">
        <f t="shared" si="47"/>
        <v>30</v>
      </c>
      <c r="K169" s="2602"/>
      <c r="L169" s="2602">
        <v>6</v>
      </c>
      <c r="M169" s="2602"/>
      <c r="N169" s="2603">
        <f t="shared" si="48"/>
        <v>6</v>
      </c>
      <c r="O169" s="2600">
        <v>50</v>
      </c>
      <c r="P169" s="2601">
        <f t="shared" si="49"/>
        <v>30</v>
      </c>
      <c r="Q169" s="2602"/>
      <c r="R169" s="2602">
        <v>1.5</v>
      </c>
      <c r="S169" s="2602"/>
      <c r="T169" s="2603">
        <f t="shared" si="50"/>
        <v>1.5</v>
      </c>
      <c r="U169" s="2600"/>
      <c r="V169" s="2601"/>
      <c r="W169" s="2602"/>
      <c r="X169" s="2602">
        <v>1.5</v>
      </c>
      <c r="Y169" s="2603">
        <f t="shared" si="51"/>
        <v>1.5</v>
      </c>
      <c r="Z169" s="2603">
        <f t="shared" si="45"/>
        <v>0</v>
      </c>
      <c r="AA169" s="2603">
        <f t="shared" si="46"/>
        <v>0</v>
      </c>
      <c r="AB169" s="2602"/>
      <c r="AC169" s="2602"/>
      <c r="AD169" s="2632"/>
    </row>
    <row r="170" spans="1:30" s="2612" customFormat="1" x14ac:dyDescent="0.25">
      <c r="A170" s="2626"/>
      <c r="B170" s="2599" t="s">
        <v>1574</v>
      </c>
      <c r="C170" s="2600"/>
      <c r="D170" s="2601"/>
      <c r="E170" s="2602"/>
      <c r="F170" s="2602"/>
      <c r="G170" s="2602"/>
      <c r="H170" s="2603"/>
      <c r="I170" s="2600"/>
      <c r="J170" s="2601"/>
      <c r="K170" s="2602"/>
      <c r="L170" s="2602"/>
      <c r="M170" s="2602"/>
      <c r="N170" s="2603">
        <f t="shared" si="48"/>
        <v>0</v>
      </c>
      <c r="O170" s="2600">
        <v>10</v>
      </c>
      <c r="P170" s="2601">
        <f t="shared" si="49"/>
        <v>1300</v>
      </c>
      <c r="Q170" s="2602"/>
      <c r="R170" s="2602">
        <v>13</v>
      </c>
      <c r="S170" s="2602"/>
      <c r="T170" s="2603">
        <f t="shared" si="50"/>
        <v>13</v>
      </c>
      <c r="U170" s="2600"/>
      <c r="V170" s="2601"/>
      <c r="W170" s="2602"/>
      <c r="X170" s="2602">
        <v>14.3</v>
      </c>
      <c r="Y170" s="2603">
        <f t="shared" si="51"/>
        <v>14.3</v>
      </c>
      <c r="Z170" s="2603">
        <f t="shared" si="45"/>
        <v>0</v>
      </c>
      <c r="AA170" s="2603">
        <f t="shared" si="46"/>
        <v>0</v>
      </c>
      <c r="AB170" s="2602"/>
      <c r="AC170" s="2602"/>
      <c r="AD170" s="2632"/>
    </row>
    <row r="171" spans="1:30" s="2612" customFormat="1" x14ac:dyDescent="0.25">
      <c r="A171" s="2626"/>
      <c r="B171" s="2599" t="s">
        <v>1575</v>
      </c>
      <c r="C171" s="2600"/>
      <c r="D171" s="2601"/>
      <c r="E171" s="2602"/>
      <c r="F171" s="2602"/>
      <c r="G171" s="2602"/>
      <c r="H171" s="2603"/>
      <c r="I171" s="2600">
        <v>30</v>
      </c>
      <c r="J171" s="2601">
        <f t="shared" si="47"/>
        <v>60</v>
      </c>
      <c r="K171" s="2602"/>
      <c r="L171" s="2602">
        <v>1.8</v>
      </c>
      <c r="M171" s="2602"/>
      <c r="N171" s="2603">
        <f t="shared" si="48"/>
        <v>1.8</v>
      </c>
      <c r="O171" s="2600">
        <v>30</v>
      </c>
      <c r="P171" s="2601">
        <f t="shared" si="49"/>
        <v>60</v>
      </c>
      <c r="Q171" s="2602"/>
      <c r="R171" s="2602">
        <v>1.8</v>
      </c>
      <c r="S171" s="2602"/>
      <c r="T171" s="2603">
        <f t="shared" si="50"/>
        <v>1.8</v>
      </c>
      <c r="U171" s="2600"/>
      <c r="V171" s="2601"/>
      <c r="W171" s="2602"/>
      <c r="X171" s="2602">
        <v>2.8</v>
      </c>
      <c r="Y171" s="2603">
        <f t="shared" si="51"/>
        <v>2.8</v>
      </c>
      <c r="Z171" s="2603">
        <f t="shared" si="45"/>
        <v>0</v>
      </c>
      <c r="AA171" s="2603">
        <f t="shared" si="46"/>
        <v>0</v>
      </c>
      <c r="AB171" s="2602"/>
      <c r="AC171" s="2602"/>
      <c r="AD171" s="2632"/>
    </row>
    <row r="172" spans="1:30" s="2612" customFormat="1" x14ac:dyDescent="0.25">
      <c r="A172" s="2626"/>
      <c r="B172" s="2599" t="s">
        <v>1576</v>
      </c>
      <c r="C172" s="2600"/>
      <c r="D172" s="2601"/>
      <c r="E172" s="2602"/>
      <c r="F172" s="2602"/>
      <c r="G172" s="2602"/>
      <c r="H172" s="2603"/>
      <c r="I172" s="2600"/>
      <c r="J172" s="2601"/>
      <c r="K172" s="2602"/>
      <c r="L172" s="2602"/>
      <c r="M172" s="2602"/>
      <c r="N172" s="2603">
        <f t="shared" si="48"/>
        <v>0</v>
      </c>
      <c r="O172" s="2600">
        <v>12</v>
      </c>
      <c r="P172" s="2601">
        <f t="shared" si="49"/>
        <v>58.3</v>
      </c>
      <c r="Q172" s="2602"/>
      <c r="R172" s="2602">
        <v>0.7</v>
      </c>
      <c r="S172" s="2602"/>
      <c r="T172" s="2603">
        <f t="shared" si="50"/>
        <v>0.7</v>
      </c>
      <c r="U172" s="2600"/>
      <c r="V172" s="2601"/>
      <c r="W172" s="2602"/>
      <c r="X172" s="2602">
        <v>0.7</v>
      </c>
      <c r="Y172" s="2603">
        <f t="shared" si="51"/>
        <v>0.7</v>
      </c>
      <c r="Z172" s="2603">
        <f t="shared" si="45"/>
        <v>0</v>
      </c>
      <c r="AA172" s="2603">
        <f t="shared" si="46"/>
        <v>0</v>
      </c>
      <c r="AB172" s="2602"/>
      <c r="AC172" s="2602"/>
      <c r="AD172" s="2632"/>
    </row>
    <row r="173" spans="1:30" s="2612" customFormat="1" x14ac:dyDescent="0.25">
      <c r="A173" s="2626"/>
      <c r="B173" s="2599" t="s">
        <v>1577</v>
      </c>
      <c r="C173" s="2600"/>
      <c r="D173" s="2601"/>
      <c r="E173" s="2602"/>
      <c r="F173" s="2602"/>
      <c r="G173" s="2602"/>
      <c r="H173" s="2603"/>
      <c r="I173" s="2600">
        <v>2</v>
      </c>
      <c r="J173" s="2601">
        <f t="shared" si="47"/>
        <v>450</v>
      </c>
      <c r="K173" s="2602"/>
      <c r="L173" s="2602">
        <v>0.9</v>
      </c>
      <c r="M173" s="2602"/>
      <c r="N173" s="2603">
        <f t="shared" si="48"/>
        <v>0.9</v>
      </c>
      <c r="O173" s="2600">
        <v>2</v>
      </c>
      <c r="P173" s="2601">
        <f t="shared" si="49"/>
        <v>450</v>
      </c>
      <c r="Q173" s="2602"/>
      <c r="R173" s="2602">
        <v>0.9</v>
      </c>
      <c r="S173" s="2602"/>
      <c r="T173" s="2603">
        <f t="shared" si="50"/>
        <v>0.9</v>
      </c>
      <c r="U173" s="2600"/>
      <c r="V173" s="2601"/>
      <c r="W173" s="2602"/>
      <c r="X173" s="2602">
        <v>0.9</v>
      </c>
      <c r="Y173" s="2603">
        <f t="shared" si="51"/>
        <v>0.9</v>
      </c>
      <c r="Z173" s="2603">
        <f t="shared" si="45"/>
        <v>0</v>
      </c>
      <c r="AA173" s="2603">
        <f t="shared" si="46"/>
        <v>0</v>
      </c>
      <c r="AB173" s="2602"/>
      <c r="AC173" s="2602"/>
      <c r="AD173" s="2632"/>
    </row>
    <row r="174" spans="1:30" s="2612" customFormat="1" x14ac:dyDescent="0.25">
      <c r="A174" s="2626"/>
      <c r="B174" s="2599" t="s">
        <v>1578</v>
      </c>
      <c r="C174" s="2600"/>
      <c r="D174" s="2601"/>
      <c r="E174" s="2602"/>
      <c r="F174" s="2602"/>
      <c r="G174" s="2602"/>
      <c r="H174" s="2603"/>
      <c r="I174" s="2600">
        <v>3</v>
      </c>
      <c r="J174" s="2601">
        <f t="shared" si="47"/>
        <v>266.7</v>
      </c>
      <c r="K174" s="2602"/>
      <c r="L174" s="2602">
        <v>0.8</v>
      </c>
      <c r="M174" s="2602"/>
      <c r="N174" s="2603">
        <f t="shared" si="48"/>
        <v>0.8</v>
      </c>
      <c r="O174" s="2600">
        <v>3</v>
      </c>
      <c r="P174" s="2601">
        <f t="shared" si="49"/>
        <v>266.7</v>
      </c>
      <c r="Q174" s="2602"/>
      <c r="R174" s="2602">
        <v>0.8</v>
      </c>
      <c r="S174" s="2602"/>
      <c r="T174" s="2603">
        <f t="shared" si="50"/>
        <v>0.8</v>
      </c>
      <c r="U174" s="2600"/>
      <c r="V174" s="2601"/>
      <c r="W174" s="2602"/>
      <c r="X174" s="2602">
        <v>1.1000000000000001</v>
      </c>
      <c r="Y174" s="2603">
        <f t="shared" si="51"/>
        <v>1.1000000000000001</v>
      </c>
      <c r="Z174" s="2603">
        <f t="shared" si="45"/>
        <v>0</v>
      </c>
      <c r="AA174" s="2603">
        <f t="shared" si="46"/>
        <v>0</v>
      </c>
      <c r="AB174" s="2602"/>
      <c r="AC174" s="2602"/>
      <c r="AD174" s="2632"/>
    </row>
    <row r="175" spans="1:30" s="2612" customFormat="1" x14ac:dyDescent="0.25">
      <c r="A175" s="2626"/>
      <c r="B175" s="2599" t="s">
        <v>1579</v>
      </c>
      <c r="C175" s="2600"/>
      <c r="D175" s="2601"/>
      <c r="E175" s="2602"/>
      <c r="F175" s="2602"/>
      <c r="G175" s="2602"/>
      <c r="H175" s="2603"/>
      <c r="I175" s="2600">
        <v>4</v>
      </c>
      <c r="J175" s="2601">
        <f t="shared" si="47"/>
        <v>175</v>
      </c>
      <c r="K175" s="2602"/>
      <c r="L175" s="2602">
        <v>0.7</v>
      </c>
      <c r="M175" s="2602"/>
      <c r="N175" s="2603">
        <f t="shared" si="48"/>
        <v>0.7</v>
      </c>
      <c r="O175" s="2600">
        <v>4</v>
      </c>
      <c r="P175" s="2601">
        <f t="shared" si="49"/>
        <v>175</v>
      </c>
      <c r="Q175" s="2602"/>
      <c r="R175" s="2602">
        <v>0.7</v>
      </c>
      <c r="S175" s="2602"/>
      <c r="T175" s="2603">
        <f t="shared" si="50"/>
        <v>0.7</v>
      </c>
      <c r="U175" s="2600"/>
      <c r="V175" s="2601"/>
      <c r="W175" s="2602"/>
      <c r="X175" s="2602">
        <v>0.8</v>
      </c>
      <c r="Y175" s="2603">
        <f t="shared" si="51"/>
        <v>0.8</v>
      </c>
      <c r="Z175" s="2603">
        <f t="shared" si="45"/>
        <v>0</v>
      </c>
      <c r="AA175" s="2603">
        <f t="shared" si="46"/>
        <v>0</v>
      </c>
      <c r="AB175" s="2602"/>
      <c r="AC175" s="2602"/>
      <c r="AD175" s="2632"/>
    </row>
    <row r="176" spans="1:30" x14ac:dyDescent="0.25">
      <c r="A176" s="2626"/>
      <c r="B176" s="2610" t="s">
        <v>1580</v>
      </c>
      <c r="C176" s="2586"/>
      <c r="D176" s="2587"/>
      <c r="E176" s="2611"/>
      <c r="F176" s="2611"/>
      <c r="G176" s="2611"/>
      <c r="H176" s="2603"/>
      <c r="I176" s="2586">
        <v>6</v>
      </c>
      <c r="J176" s="2601">
        <f t="shared" si="47"/>
        <v>116.7</v>
      </c>
      <c r="K176" s="2611"/>
      <c r="L176" s="2611">
        <v>0.7</v>
      </c>
      <c r="M176" s="2611"/>
      <c r="N176" s="2603">
        <f t="shared" si="48"/>
        <v>0.7</v>
      </c>
      <c r="O176" s="2586">
        <v>6</v>
      </c>
      <c r="P176" s="2601">
        <f t="shared" si="49"/>
        <v>116.7</v>
      </c>
      <c r="Q176" s="2611"/>
      <c r="R176" s="2611">
        <v>0.7</v>
      </c>
      <c r="S176" s="2611"/>
      <c r="T176" s="2603">
        <f t="shared" si="50"/>
        <v>0.7</v>
      </c>
      <c r="U176" s="2586"/>
      <c r="V176" s="2601"/>
      <c r="W176" s="2602"/>
      <c r="X176" s="2611">
        <v>0.9</v>
      </c>
      <c r="Y176" s="2603">
        <f t="shared" si="51"/>
        <v>0.9</v>
      </c>
      <c r="Z176" s="2603">
        <f t="shared" si="45"/>
        <v>0</v>
      </c>
      <c r="AA176" s="2603">
        <f t="shared" si="46"/>
        <v>0</v>
      </c>
      <c r="AB176" s="2602"/>
      <c r="AC176" s="2602"/>
      <c r="AD176" s="2632"/>
    </row>
    <row r="177" spans="1:30" x14ac:dyDescent="0.25">
      <c r="A177" s="2626"/>
      <c r="B177" s="2610" t="s">
        <v>1581</v>
      </c>
      <c r="C177" s="2586"/>
      <c r="D177" s="2587"/>
      <c r="E177" s="2611"/>
      <c r="F177" s="2611"/>
      <c r="G177" s="2611"/>
      <c r="H177" s="2603"/>
      <c r="I177" s="2586">
        <v>1</v>
      </c>
      <c r="J177" s="2601">
        <f t="shared" si="47"/>
        <v>700</v>
      </c>
      <c r="K177" s="2611"/>
      <c r="L177" s="2611">
        <v>0.7</v>
      </c>
      <c r="M177" s="2611"/>
      <c r="N177" s="2603">
        <f t="shared" si="48"/>
        <v>0.7</v>
      </c>
      <c r="O177" s="2586">
        <v>1</v>
      </c>
      <c r="P177" s="2601">
        <f t="shared" si="49"/>
        <v>700</v>
      </c>
      <c r="Q177" s="2611"/>
      <c r="R177" s="2611">
        <v>0.7</v>
      </c>
      <c r="S177" s="2611"/>
      <c r="T177" s="2603">
        <f t="shared" si="50"/>
        <v>0.7</v>
      </c>
      <c r="U177" s="2586"/>
      <c r="V177" s="2601"/>
      <c r="W177" s="2602"/>
      <c r="X177" s="2611">
        <v>0.7</v>
      </c>
      <c r="Y177" s="2603">
        <f t="shared" si="51"/>
        <v>0.7</v>
      </c>
      <c r="Z177" s="2603">
        <f t="shared" si="45"/>
        <v>0</v>
      </c>
      <c r="AA177" s="2603">
        <f t="shared" si="46"/>
        <v>0</v>
      </c>
      <c r="AB177" s="2602"/>
      <c r="AC177" s="2602"/>
      <c r="AD177" s="2632"/>
    </row>
    <row r="178" spans="1:30" x14ac:dyDescent="0.25">
      <c r="A178" s="2626"/>
      <c r="B178" s="2610" t="s">
        <v>1582</v>
      </c>
      <c r="C178" s="2586"/>
      <c r="D178" s="2587"/>
      <c r="E178" s="2611"/>
      <c r="F178" s="2611"/>
      <c r="G178" s="2611"/>
      <c r="H178" s="2603"/>
      <c r="I178" s="2586">
        <v>3</v>
      </c>
      <c r="J178" s="2601">
        <f t="shared" si="47"/>
        <v>966.7</v>
      </c>
      <c r="K178" s="2611"/>
      <c r="L178" s="2611">
        <v>2.9</v>
      </c>
      <c r="M178" s="2611"/>
      <c r="N178" s="2603">
        <f t="shared" si="48"/>
        <v>2.9</v>
      </c>
      <c r="O178" s="2586">
        <v>3</v>
      </c>
      <c r="P178" s="2601">
        <f t="shared" si="49"/>
        <v>966.7</v>
      </c>
      <c r="Q178" s="2611"/>
      <c r="R178" s="2611">
        <v>2.9</v>
      </c>
      <c r="S178" s="2611"/>
      <c r="T178" s="2603">
        <f t="shared" si="50"/>
        <v>2.9</v>
      </c>
      <c r="U178" s="2586"/>
      <c r="V178" s="2601"/>
      <c r="W178" s="2602"/>
      <c r="X178" s="2611">
        <v>1.9</v>
      </c>
      <c r="Y178" s="2603">
        <f t="shared" si="51"/>
        <v>1.9</v>
      </c>
      <c r="Z178" s="2603">
        <f t="shared" si="45"/>
        <v>0</v>
      </c>
      <c r="AA178" s="2603">
        <f t="shared" si="46"/>
        <v>0</v>
      </c>
      <c r="AB178" s="2602"/>
      <c r="AC178" s="2602"/>
      <c r="AD178" s="2632"/>
    </row>
    <row r="179" spans="1:30" x14ac:dyDescent="0.25">
      <c r="A179" s="2626"/>
      <c r="B179" s="2610" t="s">
        <v>1583</v>
      </c>
      <c r="C179" s="2586"/>
      <c r="D179" s="2587"/>
      <c r="E179" s="2611"/>
      <c r="F179" s="2611"/>
      <c r="G179" s="2611"/>
      <c r="H179" s="2603"/>
      <c r="I179" s="2586">
        <v>2</v>
      </c>
      <c r="J179" s="2601">
        <f t="shared" si="47"/>
        <v>850</v>
      </c>
      <c r="K179" s="2611"/>
      <c r="L179" s="2611">
        <v>1.7</v>
      </c>
      <c r="M179" s="2611"/>
      <c r="N179" s="2603">
        <f t="shared" si="48"/>
        <v>1.7</v>
      </c>
      <c r="O179" s="2586">
        <v>2</v>
      </c>
      <c r="P179" s="2601">
        <f t="shared" si="49"/>
        <v>850</v>
      </c>
      <c r="Q179" s="2611"/>
      <c r="R179" s="2611">
        <v>1.7</v>
      </c>
      <c r="S179" s="2611"/>
      <c r="T179" s="2603">
        <f t="shared" si="50"/>
        <v>1.7</v>
      </c>
      <c r="U179" s="2586"/>
      <c r="V179" s="2601"/>
      <c r="W179" s="2602"/>
      <c r="X179" s="2611">
        <v>3.4</v>
      </c>
      <c r="Y179" s="2603">
        <f t="shared" si="51"/>
        <v>3.4</v>
      </c>
      <c r="Z179" s="2603">
        <f t="shared" si="45"/>
        <v>0</v>
      </c>
      <c r="AA179" s="2603">
        <f t="shared" si="46"/>
        <v>0</v>
      </c>
      <c r="AB179" s="2602"/>
      <c r="AC179" s="2602"/>
      <c r="AD179" s="2632"/>
    </row>
    <row r="180" spans="1:30" ht="31.5" x14ac:dyDescent="0.25">
      <c r="A180" s="2626"/>
      <c r="B180" s="2610" t="s">
        <v>1584</v>
      </c>
      <c r="C180" s="2586"/>
      <c r="D180" s="2587"/>
      <c r="E180" s="2611"/>
      <c r="F180" s="2611"/>
      <c r="G180" s="2611"/>
      <c r="H180" s="2603"/>
      <c r="I180" s="2586">
        <v>3</v>
      </c>
      <c r="J180" s="2601">
        <f t="shared" si="47"/>
        <v>266.7</v>
      </c>
      <c r="K180" s="2611"/>
      <c r="L180" s="2611">
        <v>0.8</v>
      </c>
      <c r="M180" s="2611"/>
      <c r="N180" s="2603">
        <f t="shared" si="48"/>
        <v>0.8</v>
      </c>
      <c r="O180" s="2586">
        <v>3</v>
      </c>
      <c r="P180" s="2601">
        <f t="shared" si="49"/>
        <v>266.7</v>
      </c>
      <c r="Q180" s="2611"/>
      <c r="R180" s="2611">
        <v>0.8</v>
      </c>
      <c r="S180" s="2611"/>
      <c r="T180" s="2603">
        <f t="shared" si="50"/>
        <v>0.8</v>
      </c>
      <c r="U180" s="2586"/>
      <c r="V180" s="2601"/>
      <c r="W180" s="2602"/>
      <c r="X180" s="2611">
        <v>1.2</v>
      </c>
      <c r="Y180" s="2603">
        <f t="shared" si="51"/>
        <v>1.2</v>
      </c>
      <c r="Z180" s="2603">
        <f t="shared" si="45"/>
        <v>0</v>
      </c>
      <c r="AA180" s="2603">
        <f t="shared" si="46"/>
        <v>0</v>
      </c>
      <c r="AB180" s="2602"/>
      <c r="AC180" s="2602"/>
      <c r="AD180" s="2632"/>
    </row>
    <row r="181" spans="1:30" x14ac:dyDescent="0.25">
      <c r="A181" s="2626"/>
      <c r="B181" s="2610" t="s">
        <v>1585</v>
      </c>
      <c r="C181" s="2586"/>
      <c r="D181" s="2587"/>
      <c r="E181" s="2611"/>
      <c r="F181" s="2611"/>
      <c r="G181" s="2611"/>
      <c r="H181" s="2603"/>
      <c r="I181" s="2586">
        <v>60</v>
      </c>
      <c r="J181" s="2601">
        <f t="shared" si="47"/>
        <v>40</v>
      </c>
      <c r="K181" s="2611"/>
      <c r="L181" s="2611">
        <v>2.4</v>
      </c>
      <c r="M181" s="2611"/>
      <c r="N181" s="2603">
        <f t="shared" si="48"/>
        <v>2.4</v>
      </c>
      <c r="O181" s="2586">
        <v>60</v>
      </c>
      <c r="P181" s="2601">
        <f t="shared" si="49"/>
        <v>40</v>
      </c>
      <c r="Q181" s="2611"/>
      <c r="R181" s="2611">
        <v>2.4</v>
      </c>
      <c r="S181" s="2611"/>
      <c r="T181" s="2603">
        <f t="shared" si="50"/>
        <v>2.4</v>
      </c>
      <c r="U181" s="2586"/>
      <c r="V181" s="2601"/>
      <c r="W181" s="2602"/>
      <c r="X181" s="2611">
        <v>2</v>
      </c>
      <c r="Y181" s="2603">
        <f t="shared" si="51"/>
        <v>2</v>
      </c>
      <c r="Z181" s="2603">
        <f t="shared" si="45"/>
        <v>0</v>
      </c>
      <c r="AA181" s="2603">
        <f t="shared" si="46"/>
        <v>0</v>
      </c>
      <c r="AB181" s="2602"/>
      <c r="AC181" s="2602"/>
      <c r="AD181" s="2632"/>
    </row>
    <row r="182" spans="1:30" x14ac:dyDescent="0.25">
      <c r="A182" s="2626"/>
      <c r="B182" s="2610" t="s">
        <v>1586</v>
      </c>
      <c r="C182" s="2586"/>
      <c r="D182" s="2587"/>
      <c r="E182" s="2611"/>
      <c r="F182" s="2611"/>
      <c r="G182" s="2611"/>
      <c r="H182" s="2603"/>
      <c r="I182" s="2586">
        <v>60</v>
      </c>
      <c r="J182" s="2601">
        <f t="shared" si="47"/>
        <v>40</v>
      </c>
      <c r="K182" s="2611"/>
      <c r="L182" s="2611">
        <v>2.4</v>
      </c>
      <c r="M182" s="2611"/>
      <c r="N182" s="2603">
        <f t="shared" si="48"/>
        <v>2.4</v>
      </c>
      <c r="O182" s="2586">
        <v>61</v>
      </c>
      <c r="P182" s="2601">
        <f t="shared" si="49"/>
        <v>39.299999999999997</v>
      </c>
      <c r="Q182" s="2611"/>
      <c r="R182" s="2611">
        <v>2.4</v>
      </c>
      <c r="S182" s="2611"/>
      <c r="T182" s="2603">
        <f t="shared" si="50"/>
        <v>2.4</v>
      </c>
      <c r="U182" s="2586"/>
      <c r="V182" s="2601"/>
      <c r="W182" s="2602"/>
      <c r="X182" s="2611">
        <v>2</v>
      </c>
      <c r="Y182" s="2603">
        <f t="shared" si="51"/>
        <v>2</v>
      </c>
      <c r="Z182" s="2603">
        <f t="shared" si="45"/>
        <v>0</v>
      </c>
      <c r="AA182" s="2603">
        <f t="shared" si="46"/>
        <v>0</v>
      </c>
      <c r="AB182" s="2602"/>
      <c r="AC182" s="2602"/>
      <c r="AD182" s="2632"/>
    </row>
    <row r="183" spans="1:30" x14ac:dyDescent="0.25">
      <c r="A183" s="2626"/>
      <c r="B183" s="2610" t="s">
        <v>1587</v>
      </c>
      <c r="C183" s="2586"/>
      <c r="D183" s="2587"/>
      <c r="E183" s="2611"/>
      <c r="F183" s="2611"/>
      <c r="G183" s="2611"/>
      <c r="H183" s="2603"/>
      <c r="I183" s="2586">
        <v>30</v>
      </c>
      <c r="J183" s="2601">
        <f t="shared" si="47"/>
        <v>50</v>
      </c>
      <c r="K183" s="2611"/>
      <c r="L183" s="2611">
        <v>1.5</v>
      </c>
      <c r="M183" s="2611"/>
      <c r="N183" s="2603">
        <f t="shared" si="48"/>
        <v>1.5</v>
      </c>
      <c r="O183" s="2586">
        <v>30</v>
      </c>
      <c r="P183" s="2601">
        <f t="shared" si="49"/>
        <v>50</v>
      </c>
      <c r="Q183" s="2611"/>
      <c r="R183" s="2611">
        <v>1.5</v>
      </c>
      <c r="S183" s="2611"/>
      <c r="T183" s="2603">
        <f t="shared" si="50"/>
        <v>1.5</v>
      </c>
      <c r="U183" s="2586"/>
      <c r="V183" s="2601"/>
      <c r="W183" s="2602"/>
      <c r="X183" s="2611">
        <v>1.5</v>
      </c>
      <c r="Y183" s="2603">
        <f t="shared" si="51"/>
        <v>1.5</v>
      </c>
      <c r="Z183" s="2603">
        <f t="shared" si="45"/>
        <v>0</v>
      </c>
      <c r="AA183" s="2603">
        <f t="shared" si="46"/>
        <v>0</v>
      </c>
      <c r="AB183" s="2602"/>
      <c r="AC183" s="2602"/>
      <c r="AD183" s="2632"/>
    </row>
    <row r="184" spans="1:30" x14ac:dyDescent="0.25">
      <c r="A184" s="2626"/>
      <c r="B184" s="2610" t="s">
        <v>1588</v>
      </c>
      <c r="C184" s="2586"/>
      <c r="D184" s="2587"/>
      <c r="E184" s="2611"/>
      <c r="F184" s="2611"/>
      <c r="G184" s="2611"/>
      <c r="H184" s="2603"/>
      <c r="I184" s="2586">
        <v>30</v>
      </c>
      <c r="J184" s="2601">
        <f t="shared" si="47"/>
        <v>50</v>
      </c>
      <c r="K184" s="2611"/>
      <c r="L184" s="2611">
        <v>1.5</v>
      </c>
      <c r="M184" s="2611"/>
      <c r="N184" s="2603">
        <f t="shared" si="48"/>
        <v>1.5</v>
      </c>
      <c r="O184" s="2586">
        <v>35</v>
      </c>
      <c r="P184" s="2601">
        <f t="shared" si="49"/>
        <v>51.4</v>
      </c>
      <c r="Q184" s="2611"/>
      <c r="R184" s="2611">
        <v>1.8</v>
      </c>
      <c r="S184" s="2611"/>
      <c r="T184" s="2603">
        <f t="shared" si="50"/>
        <v>1.8</v>
      </c>
      <c r="U184" s="2586"/>
      <c r="V184" s="2601"/>
      <c r="W184" s="2602"/>
      <c r="X184" s="2611">
        <v>1.5</v>
      </c>
      <c r="Y184" s="2603">
        <f t="shared" si="51"/>
        <v>1.5</v>
      </c>
      <c r="Z184" s="2603">
        <f t="shared" si="45"/>
        <v>0</v>
      </c>
      <c r="AA184" s="2603">
        <f t="shared" si="46"/>
        <v>0</v>
      </c>
      <c r="AB184" s="2602"/>
      <c r="AC184" s="2602"/>
      <c r="AD184" s="2632"/>
    </row>
    <row r="185" spans="1:30" ht="31.5" x14ac:dyDescent="0.25">
      <c r="A185" s="2626"/>
      <c r="B185" s="2610" t="s">
        <v>1589</v>
      </c>
      <c r="C185" s="2586"/>
      <c r="D185" s="2587"/>
      <c r="E185" s="2611"/>
      <c r="F185" s="2611"/>
      <c r="G185" s="2611"/>
      <c r="H185" s="2603"/>
      <c r="I185" s="2586">
        <v>3</v>
      </c>
      <c r="J185" s="2601">
        <f t="shared" si="47"/>
        <v>566.70000000000005</v>
      </c>
      <c r="K185" s="2611"/>
      <c r="L185" s="2611">
        <v>1.7</v>
      </c>
      <c r="M185" s="2611"/>
      <c r="N185" s="2603">
        <f t="shared" si="48"/>
        <v>1.7</v>
      </c>
      <c r="O185" s="2586">
        <v>4</v>
      </c>
      <c r="P185" s="2601">
        <f t="shared" si="49"/>
        <v>550</v>
      </c>
      <c r="Q185" s="2611"/>
      <c r="R185" s="2611">
        <v>2.2000000000000002</v>
      </c>
      <c r="S185" s="2611"/>
      <c r="T185" s="2603">
        <f t="shared" si="50"/>
        <v>2.2000000000000002</v>
      </c>
      <c r="U185" s="2586"/>
      <c r="V185" s="2601"/>
      <c r="W185" s="2602"/>
      <c r="X185" s="2611">
        <v>1.5</v>
      </c>
      <c r="Y185" s="2603">
        <f t="shared" si="51"/>
        <v>1.5</v>
      </c>
      <c r="Z185" s="2603">
        <f t="shared" si="45"/>
        <v>0</v>
      </c>
      <c r="AA185" s="2603">
        <f t="shared" si="46"/>
        <v>0</v>
      </c>
      <c r="AB185" s="2602"/>
      <c r="AC185" s="2602"/>
      <c r="AD185" s="2632"/>
    </row>
    <row r="186" spans="1:30" x14ac:dyDescent="0.25">
      <c r="A186" s="2590" t="s">
        <v>372</v>
      </c>
      <c r="B186" s="2591" t="s">
        <v>373</v>
      </c>
      <c r="C186" s="2592">
        <f t="shared" ref="C186:H186" si="52">SUM(C187:C227)</f>
        <v>183</v>
      </c>
      <c r="D186" s="2593">
        <f t="shared" si="52"/>
        <v>5564.4</v>
      </c>
      <c r="E186" s="2593">
        <f t="shared" si="52"/>
        <v>8.6999999999999993</v>
      </c>
      <c r="F186" s="2593">
        <f t="shared" si="52"/>
        <v>11.5</v>
      </c>
      <c r="G186" s="2593">
        <f t="shared" si="52"/>
        <v>0</v>
      </c>
      <c r="H186" s="2594">
        <f t="shared" si="52"/>
        <v>20.2</v>
      </c>
      <c r="I186" s="2592">
        <f>SUM(I202:I227)</f>
        <v>164</v>
      </c>
      <c r="J186" s="2593">
        <f>SUM(J202:J227)</f>
        <v>2987.3</v>
      </c>
      <c r="K186" s="2595">
        <f>SUM(K202:K227)</f>
        <v>0</v>
      </c>
      <c r="L186" s="2595">
        <f>SUM(L202:L227)</f>
        <v>29.9</v>
      </c>
      <c r="M186" s="2595"/>
      <c r="N186" s="2596">
        <f>SUM(N202:N227)</f>
        <v>29.9</v>
      </c>
      <c r="O186" s="2592">
        <f>SUM(O202:O227)</f>
        <v>269</v>
      </c>
      <c r="P186" s="2593">
        <f>SUM(P202:P227)</f>
        <v>2998.1</v>
      </c>
      <c r="Q186" s="2595">
        <f>SUM(Q202:Q227)</f>
        <v>0</v>
      </c>
      <c r="R186" s="2595">
        <f>SUM(R202:R227)</f>
        <v>46.6</v>
      </c>
      <c r="S186" s="2595"/>
      <c r="T186" s="2596">
        <f t="shared" ref="T186:Y186" si="53">SUM(T202:T227)</f>
        <v>46.6</v>
      </c>
      <c r="U186" s="2592">
        <f t="shared" si="53"/>
        <v>0</v>
      </c>
      <c r="V186" s="2593">
        <f t="shared" si="53"/>
        <v>0</v>
      </c>
      <c r="W186" s="2595">
        <f t="shared" si="53"/>
        <v>0</v>
      </c>
      <c r="X186" s="2595">
        <f t="shared" si="53"/>
        <v>46.6</v>
      </c>
      <c r="Y186" s="2596">
        <f t="shared" si="53"/>
        <v>46.6</v>
      </c>
      <c r="Z186" s="2596">
        <f t="shared" si="45"/>
        <v>0</v>
      </c>
      <c r="AA186" s="2596">
        <f t="shared" si="46"/>
        <v>0</v>
      </c>
      <c r="AB186" s="2596">
        <f>SUM(AB202:AB227)</f>
        <v>0</v>
      </c>
      <c r="AC186" s="2596">
        <f>SUM(AC202:AC227)</f>
        <v>0</v>
      </c>
      <c r="AD186" s="2597"/>
    </row>
    <row r="187" spans="1:30" s="2612" customFormat="1" x14ac:dyDescent="0.25">
      <c r="A187" s="2598"/>
      <c r="B187" s="2599" t="s">
        <v>2341</v>
      </c>
      <c r="C187" s="2600">
        <v>30</v>
      </c>
      <c r="D187" s="2601">
        <f t="shared" ref="D187:D212" si="54">(F187/C187*1000)+(E187/C187*1000)</f>
        <v>70</v>
      </c>
      <c r="E187" s="2602">
        <v>2.1</v>
      </c>
      <c r="F187" s="2602"/>
      <c r="G187" s="2602"/>
      <c r="H187" s="2603">
        <f t="shared" ref="H187:H212" si="55">SUM(E187:G187)</f>
        <v>2.1</v>
      </c>
      <c r="I187" s="2600"/>
      <c r="J187" s="2601"/>
      <c r="K187" s="2602"/>
      <c r="L187" s="2602"/>
      <c r="M187" s="2602"/>
      <c r="N187" s="2603"/>
      <c r="O187" s="2600"/>
      <c r="P187" s="2601"/>
      <c r="Q187" s="2602"/>
      <c r="R187" s="2602"/>
      <c r="S187" s="2602"/>
      <c r="T187" s="2603"/>
      <c r="U187" s="2600"/>
      <c r="V187" s="2601"/>
      <c r="W187" s="2602"/>
      <c r="X187" s="2602"/>
      <c r="Y187" s="2603"/>
      <c r="Z187" s="2603">
        <f t="shared" si="45"/>
        <v>0</v>
      </c>
      <c r="AA187" s="2603">
        <f t="shared" si="46"/>
        <v>0</v>
      </c>
      <c r="AB187" s="2603"/>
      <c r="AC187" s="2603"/>
      <c r="AD187" s="2616"/>
    </row>
    <row r="188" spans="1:30" s="2612" customFormat="1" ht="31.5" x14ac:dyDescent="0.25">
      <c r="A188" s="2598"/>
      <c r="B188" s="2599" t="s">
        <v>2342</v>
      </c>
      <c r="C188" s="2600">
        <v>3</v>
      </c>
      <c r="D188" s="2601">
        <f t="shared" si="54"/>
        <v>300</v>
      </c>
      <c r="E188" s="2602">
        <v>0.9</v>
      </c>
      <c r="F188" s="2602"/>
      <c r="G188" s="2602"/>
      <c r="H188" s="2603">
        <f t="shared" si="55"/>
        <v>0.9</v>
      </c>
      <c r="I188" s="2600"/>
      <c r="J188" s="2601"/>
      <c r="K188" s="2602"/>
      <c r="L188" s="2602"/>
      <c r="M188" s="2602"/>
      <c r="N188" s="2603"/>
      <c r="O188" s="2600"/>
      <c r="P188" s="2601"/>
      <c r="Q188" s="2602"/>
      <c r="R188" s="2602"/>
      <c r="S188" s="2602"/>
      <c r="T188" s="2603"/>
      <c r="U188" s="2600"/>
      <c r="V188" s="2601"/>
      <c r="W188" s="2602"/>
      <c r="X188" s="2602"/>
      <c r="Y188" s="2603"/>
      <c r="Z188" s="2603">
        <f t="shared" si="45"/>
        <v>0</v>
      </c>
      <c r="AA188" s="2603">
        <f t="shared" si="46"/>
        <v>0</v>
      </c>
      <c r="AB188" s="2603"/>
      <c r="AC188" s="2603"/>
      <c r="AD188" s="2616"/>
    </row>
    <row r="189" spans="1:30" s="2612" customFormat="1" x14ac:dyDescent="0.25">
      <c r="A189" s="2598"/>
      <c r="B189" s="2599" t="s">
        <v>2343</v>
      </c>
      <c r="C189" s="2600">
        <v>3</v>
      </c>
      <c r="D189" s="2601">
        <f t="shared" si="54"/>
        <v>166.7</v>
      </c>
      <c r="E189" s="2602">
        <v>0.5</v>
      </c>
      <c r="F189" s="2602"/>
      <c r="G189" s="2602"/>
      <c r="H189" s="2603">
        <f t="shared" si="55"/>
        <v>0.5</v>
      </c>
      <c r="I189" s="2600"/>
      <c r="J189" s="2601"/>
      <c r="K189" s="2602"/>
      <c r="L189" s="2602"/>
      <c r="M189" s="2602"/>
      <c r="N189" s="2603"/>
      <c r="O189" s="2600"/>
      <c r="P189" s="2601"/>
      <c r="Q189" s="2602"/>
      <c r="R189" s="2602"/>
      <c r="S189" s="2602"/>
      <c r="T189" s="2603"/>
      <c r="U189" s="2600"/>
      <c r="V189" s="2601"/>
      <c r="W189" s="2602"/>
      <c r="X189" s="2602"/>
      <c r="Y189" s="2603"/>
      <c r="Z189" s="2603">
        <f t="shared" si="45"/>
        <v>0</v>
      </c>
      <c r="AA189" s="2603">
        <f t="shared" si="46"/>
        <v>0</v>
      </c>
      <c r="AB189" s="2603"/>
      <c r="AC189" s="2603"/>
      <c r="AD189" s="2616"/>
    </row>
    <row r="190" spans="1:30" s="2612" customFormat="1" x14ac:dyDescent="0.25">
      <c r="A190" s="2598"/>
      <c r="B190" s="2599" t="s">
        <v>2344</v>
      </c>
      <c r="C190" s="2600">
        <v>5</v>
      </c>
      <c r="D190" s="2601">
        <f t="shared" si="54"/>
        <v>80</v>
      </c>
      <c r="E190" s="2602">
        <v>0.4</v>
      </c>
      <c r="F190" s="2602"/>
      <c r="G190" s="2602"/>
      <c r="H190" s="2603">
        <f t="shared" si="55"/>
        <v>0.4</v>
      </c>
      <c r="I190" s="2600"/>
      <c r="J190" s="2601"/>
      <c r="K190" s="2602"/>
      <c r="L190" s="2602"/>
      <c r="M190" s="2602"/>
      <c r="N190" s="2603"/>
      <c r="O190" s="2600"/>
      <c r="P190" s="2601"/>
      <c r="Q190" s="2602"/>
      <c r="R190" s="2602"/>
      <c r="S190" s="2602"/>
      <c r="T190" s="2603"/>
      <c r="U190" s="2600"/>
      <c r="V190" s="2601"/>
      <c r="W190" s="2602"/>
      <c r="X190" s="2602"/>
      <c r="Y190" s="2603"/>
      <c r="Z190" s="2603">
        <f t="shared" si="45"/>
        <v>0</v>
      </c>
      <c r="AA190" s="2603">
        <f t="shared" si="46"/>
        <v>0</v>
      </c>
      <c r="AB190" s="2603"/>
      <c r="AC190" s="2603"/>
      <c r="AD190" s="2616"/>
    </row>
    <row r="191" spans="1:30" s="2612" customFormat="1" ht="31.5" x14ac:dyDescent="0.25">
      <c r="A191" s="2598"/>
      <c r="B191" s="2599" t="s">
        <v>2345</v>
      </c>
      <c r="C191" s="2600">
        <v>5</v>
      </c>
      <c r="D191" s="2601">
        <f t="shared" si="54"/>
        <v>180</v>
      </c>
      <c r="E191" s="2602">
        <v>0.9</v>
      </c>
      <c r="F191" s="2602"/>
      <c r="G191" s="2602"/>
      <c r="H191" s="2603">
        <f t="shared" si="55"/>
        <v>0.9</v>
      </c>
      <c r="I191" s="2600"/>
      <c r="J191" s="2601"/>
      <c r="K191" s="2602"/>
      <c r="L191" s="2602"/>
      <c r="M191" s="2602"/>
      <c r="N191" s="2603"/>
      <c r="O191" s="2600"/>
      <c r="P191" s="2601"/>
      <c r="Q191" s="2602"/>
      <c r="R191" s="2602"/>
      <c r="S191" s="2602"/>
      <c r="T191" s="2603"/>
      <c r="U191" s="2600"/>
      <c r="V191" s="2601"/>
      <c r="W191" s="2602"/>
      <c r="X191" s="2602"/>
      <c r="Y191" s="2603"/>
      <c r="Z191" s="2603">
        <f t="shared" si="45"/>
        <v>0</v>
      </c>
      <c r="AA191" s="2603">
        <f t="shared" si="46"/>
        <v>0</v>
      </c>
      <c r="AB191" s="2603"/>
      <c r="AC191" s="2603"/>
      <c r="AD191" s="2616"/>
    </row>
    <row r="192" spans="1:30" s="2612" customFormat="1" ht="31.5" x14ac:dyDescent="0.25">
      <c r="A192" s="2598"/>
      <c r="B192" s="2599" t="s">
        <v>2346</v>
      </c>
      <c r="C192" s="2600">
        <v>5</v>
      </c>
      <c r="D192" s="2601">
        <f t="shared" si="54"/>
        <v>160</v>
      </c>
      <c r="E192" s="2602">
        <v>0.8</v>
      </c>
      <c r="F192" s="2602"/>
      <c r="G192" s="2602"/>
      <c r="H192" s="2603">
        <f t="shared" si="55"/>
        <v>0.8</v>
      </c>
      <c r="I192" s="2600"/>
      <c r="J192" s="2601"/>
      <c r="K192" s="2602"/>
      <c r="L192" s="2602"/>
      <c r="M192" s="2602"/>
      <c r="N192" s="2603"/>
      <c r="O192" s="2600"/>
      <c r="P192" s="2601"/>
      <c r="Q192" s="2602"/>
      <c r="R192" s="2602"/>
      <c r="S192" s="2602"/>
      <c r="T192" s="2603"/>
      <c r="U192" s="2600"/>
      <c r="V192" s="2601"/>
      <c r="W192" s="2602"/>
      <c r="X192" s="2602"/>
      <c r="Y192" s="2603"/>
      <c r="Z192" s="2603">
        <f t="shared" si="45"/>
        <v>0</v>
      </c>
      <c r="AA192" s="2603">
        <f t="shared" si="46"/>
        <v>0</v>
      </c>
      <c r="AB192" s="2603"/>
      <c r="AC192" s="2603"/>
      <c r="AD192" s="2616"/>
    </row>
    <row r="193" spans="1:30" s="2612" customFormat="1" ht="31.5" x14ac:dyDescent="0.25">
      <c r="A193" s="2598"/>
      <c r="B193" s="2599" t="s">
        <v>2347</v>
      </c>
      <c r="C193" s="2600">
        <v>50</v>
      </c>
      <c r="D193" s="2601">
        <f t="shared" si="54"/>
        <v>36</v>
      </c>
      <c r="E193" s="2602">
        <v>1.8</v>
      </c>
      <c r="F193" s="2602"/>
      <c r="G193" s="2602"/>
      <c r="H193" s="2603">
        <f t="shared" si="55"/>
        <v>1.8</v>
      </c>
      <c r="I193" s="2600"/>
      <c r="J193" s="2601"/>
      <c r="K193" s="2602"/>
      <c r="L193" s="2602"/>
      <c r="M193" s="2602"/>
      <c r="N193" s="2603"/>
      <c r="O193" s="2600"/>
      <c r="P193" s="2601"/>
      <c r="Q193" s="2602"/>
      <c r="R193" s="2602"/>
      <c r="S193" s="2602"/>
      <c r="T193" s="2603"/>
      <c r="U193" s="2600"/>
      <c r="V193" s="2601"/>
      <c r="W193" s="2602"/>
      <c r="X193" s="2602"/>
      <c r="Y193" s="2603"/>
      <c r="Z193" s="2603">
        <f t="shared" si="45"/>
        <v>0</v>
      </c>
      <c r="AA193" s="2603">
        <f t="shared" si="46"/>
        <v>0</v>
      </c>
      <c r="AB193" s="2603"/>
      <c r="AC193" s="2603"/>
      <c r="AD193" s="2616"/>
    </row>
    <row r="194" spans="1:30" s="2612" customFormat="1" ht="31.5" x14ac:dyDescent="0.25">
      <c r="A194" s="2598"/>
      <c r="B194" s="2599" t="s">
        <v>2348</v>
      </c>
      <c r="C194" s="2600">
        <v>20</v>
      </c>
      <c r="D194" s="2601">
        <f t="shared" si="54"/>
        <v>65</v>
      </c>
      <c r="E194" s="2602">
        <v>1.3</v>
      </c>
      <c r="F194" s="2602"/>
      <c r="G194" s="2602"/>
      <c r="H194" s="2603">
        <f t="shared" si="55"/>
        <v>1.3</v>
      </c>
      <c r="I194" s="2600"/>
      <c r="J194" s="2601"/>
      <c r="K194" s="2602"/>
      <c r="L194" s="2602"/>
      <c r="M194" s="2602"/>
      <c r="N194" s="2603"/>
      <c r="O194" s="2600"/>
      <c r="P194" s="2601"/>
      <c r="Q194" s="2602"/>
      <c r="R194" s="2602"/>
      <c r="S194" s="2602"/>
      <c r="T194" s="2603"/>
      <c r="U194" s="2600"/>
      <c r="V194" s="2601"/>
      <c r="W194" s="2602"/>
      <c r="X194" s="2602"/>
      <c r="Y194" s="2603"/>
      <c r="Z194" s="2603">
        <f t="shared" si="45"/>
        <v>0</v>
      </c>
      <c r="AA194" s="2603">
        <f t="shared" si="46"/>
        <v>0</v>
      </c>
      <c r="AB194" s="2603"/>
      <c r="AC194" s="2603"/>
      <c r="AD194" s="2616"/>
    </row>
    <row r="195" spans="1:30" s="2612" customFormat="1" x14ac:dyDescent="0.25">
      <c r="A195" s="2598"/>
      <c r="B195" s="2599" t="s">
        <v>2341</v>
      </c>
      <c r="C195" s="2600">
        <v>15</v>
      </c>
      <c r="D195" s="2601">
        <f t="shared" si="54"/>
        <v>73.3</v>
      </c>
      <c r="E195" s="2602"/>
      <c r="F195" s="2602">
        <v>1.1000000000000001</v>
      </c>
      <c r="G195" s="2602"/>
      <c r="H195" s="2603">
        <f t="shared" si="55"/>
        <v>1.1000000000000001</v>
      </c>
      <c r="I195" s="2600"/>
      <c r="J195" s="2601"/>
      <c r="K195" s="2602"/>
      <c r="L195" s="2602"/>
      <c r="M195" s="2602"/>
      <c r="N195" s="2603"/>
      <c r="O195" s="2600"/>
      <c r="P195" s="2601"/>
      <c r="Q195" s="2602"/>
      <c r="R195" s="2602"/>
      <c r="S195" s="2602"/>
      <c r="T195" s="2603"/>
      <c r="U195" s="2600"/>
      <c r="V195" s="2601"/>
      <c r="W195" s="2602"/>
      <c r="X195" s="2602"/>
      <c r="Y195" s="2603"/>
      <c r="Z195" s="2603">
        <f t="shared" si="45"/>
        <v>0</v>
      </c>
      <c r="AA195" s="2603">
        <f t="shared" si="46"/>
        <v>0</v>
      </c>
      <c r="AB195" s="2603"/>
      <c r="AC195" s="2603"/>
      <c r="AD195" s="2616"/>
    </row>
    <row r="196" spans="1:30" s="2612" customFormat="1" x14ac:dyDescent="0.25">
      <c r="A196" s="2598"/>
      <c r="B196" s="2599" t="s">
        <v>2341</v>
      </c>
      <c r="C196" s="2600">
        <v>15</v>
      </c>
      <c r="D196" s="2601">
        <f t="shared" si="54"/>
        <v>73.3</v>
      </c>
      <c r="E196" s="2602"/>
      <c r="F196" s="2602">
        <v>1.1000000000000001</v>
      </c>
      <c r="G196" s="2602"/>
      <c r="H196" s="2603">
        <f t="shared" si="55"/>
        <v>1.1000000000000001</v>
      </c>
      <c r="I196" s="2600"/>
      <c r="J196" s="2601"/>
      <c r="K196" s="2602"/>
      <c r="L196" s="2602"/>
      <c r="M196" s="2602"/>
      <c r="N196" s="2603"/>
      <c r="O196" s="2600"/>
      <c r="P196" s="2601"/>
      <c r="Q196" s="2602"/>
      <c r="R196" s="2602"/>
      <c r="S196" s="2602"/>
      <c r="T196" s="2603"/>
      <c r="U196" s="2600"/>
      <c r="V196" s="2601"/>
      <c r="W196" s="2602"/>
      <c r="X196" s="2602"/>
      <c r="Y196" s="2603"/>
      <c r="Z196" s="2603">
        <f t="shared" si="45"/>
        <v>0</v>
      </c>
      <c r="AA196" s="2603">
        <f t="shared" si="46"/>
        <v>0</v>
      </c>
      <c r="AB196" s="2603"/>
      <c r="AC196" s="2603"/>
      <c r="AD196" s="2616"/>
    </row>
    <row r="197" spans="1:30" s="2612" customFormat="1" x14ac:dyDescent="0.25">
      <c r="A197" s="2598"/>
      <c r="B197" s="2599" t="s">
        <v>2349</v>
      </c>
      <c r="C197" s="2600">
        <v>1</v>
      </c>
      <c r="D197" s="2601">
        <f t="shared" si="54"/>
        <v>200</v>
      </c>
      <c r="E197" s="2602"/>
      <c r="F197" s="2602">
        <v>0.2</v>
      </c>
      <c r="G197" s="2602"/>
      <c r="H197" s="2603">
        <f t="shared" si="55"/>
        <v>0.2</v>
      </c>
      <c r="I197" s="2600"/>
      <c r="J197" s="2601"/>
      <c r="K197" s="2602"/>
      <c r="L197" s="2602"/>
      <c r="M197" s="2602"/>
      <c r="N197" s="2603"/>
      <c r="O197" s="2600"/>
      <c r="P197" s="2601"/>
      <c r="Q197" s="2602"/>
      <c r="R197" s="2602"/>
      <c r="S197" s="2602"/>
      <c r="T197" s="2603"/>
      <c r="U197" s="2600"/>
      <c r="V197" s="2601"/>
      <c r="W197" s="2602"/>
      <c r="X197" s="2602"/>
      <c r="Y197" s="2603"/>
      <c r="Z197" s="2603">
        <f t="shared" si="45"/>
        <v>0</v>
      </c>
      <c r="AA197" s="2603">
        <f t="shared" si="46"/>
        <v>0</v>
      </c>
      <c r="AB197" s="2603"/>
      <c r="AC197" s="2603"/>
      <c r="AD197" s="2616"/>
    </row>
    <row r="198" spans="1:30" s="2612" customFormat="1" x14ac:dyDescent="0.25">
      <c r="A198" s="2598"/>
      <c r="B198" s="2599" t="s">
        <v>2215</v>
      </c>
      <c r="C198" s="2600">
        <v>1</v>
      </c>
      <c r="D198" s="2601">
        <f t="shared" si="54"/>
        <v>100</v>
      </c>
      <c r="E198" s="2602"/>
      <c r="F198" s="2602">
        <v>0.1</v>
      </c>
      <c r="G198" s="2602"/>
      <c r="H198" s="2603">
        <f t="shared" si="55"/>
        <v>0.1</v>
      </c>
      <c r="I198" s="2600"/>
      <c r="J198" s="2601"/>
      <c r="K198" s="2602"/>
      <c r="L198" s="2602"/>
      <c r="M198" s="2602"/>
      <c r="N198" s="2603"/>
      <c r="O198" s="2600"/>
      <c r="P198" s="2601"/>
      <c r="Q198" s="2602"/>
      <c r="R198" s="2602"/>
      <c r="S198" s="2602"/>
      <c r="T198" s="2603"/>
      <c r="U198" s="2600"/>
      <c r="V198" s="2601"/>
      <c r="W198" s="2602"/>
      <c r="X198" s="2602"/>
      <c r="Y198" s="2603"/>
      <c r="Z198" s="2603">
        <f t="shared" si="45"/>
        <v>0</v>
      </c>
      <c r="AA198" s="2603">
        <f t="shared" si="46"/>
        <v>0</v>
      </c>
      <c r="AB198" s="2603"/>
      <c r="AC198" s="2603"/>
      <c r="AD198" s="2616"/>
    </row>
    <row r="199" spans="1:30" s="2612" customFormat="1" ht="31.5" x14ac:dyDescent="0.25">
      <c r="A199" s="2598"/>
      <c r="B199" s="2599" t="s">
        <v>2350</v>
      </c>
      <c r="C199" s="2600">
        <v>3</v>
      </c>
      <c r="D199" s="2601">
        <f t="shared" si="54"/>
        <v>200</v>
      </c>
      <c r="E199" s="2602"/>
      <c r="F199" s="2602">
        <v>0.6</v>
      </c>
      <c r="G199" s="2602"/>
      <c r="H199" s="2603">
        <f t="shared" si="55"/>
        <v>0.6</v>
      </c>
      <c r="I199" s="2600"/>
      <c r="J199" s="2601"/>
      <c r="K199" s="2602"/>
      <c r="L199" s="2602"/>
      <c r="M199" s="2602"/>
      <c r="N199" s="2603"/>
      <c r="O199" s="2600"/>
      <c r="P199" s="2601"/>
      <c r="Q199" s="2602"/>
      <c r="R199" s="2602"/>
      <c r="S199" s="2602"/>
      <c r="T199" s="2603"/>
      <c r="U199" s="2600"/>
      <c r="V199" s="2601"/>
      <c r="W199" s="2602"/>
      <c r="X199" s="2602"/>
      <c r="Y199" s="2603"/>
      <c r="Z199" s="2603">
        <f t="shared" si="45"/>
        <v>0</v>
      </c>
      <c r="AA199" s="2603">
        <f t="shared" si="46"/>
        <v>0</v>
      </c>
      <c r="AB199" s="2603"/>
      <c r="AC199" s="2603"/>
      <c r="AD199" s="2616"/>
    </row>
    <row r="200" spans="1:30" s="2612" customFormat="1" ht="31.5" x14ac:dyDescent="0.25">
      <c r="A200" s="2598"/>
      <c r="B200" s="2599" t="s">
        <v>2351</v>
      </c>
      <c r="C200" s="2600">
        <v>5</v>
      </c>
      <c r="D200" s="2601">
        <f t="shared" si="54"/>
        <v>260</v>
      </c>
      <c r="E200" s="2602"/>
      <c r="F200" s="2602">
        <v>1.3</v>
      </c>
      <c r="G200" s="2602"/>
      <c r="H200" s="2603">
        <f t="shared" si="55"/>
        <v>1.3</v>
      </c>
      <c r="I200" s="2600"/>
      <c r="J200" s="2601"/>
      <c r="K200" s="2602"/>
      <c r="L200" s="2602"/>
      <c r="M200" s="2602"/>
      <c r="N200" s="2603"/>
      <c r="O200" s="2600"/>
      <c r="P200" s="2601"/>
      <c r="Q200" s="2602"/>
      <c r="R200" s="2602"/>
      <c r="S200" s="2602"/>
      <c r="T200" s="2603"/>
      <c r="U200" s="2600"/>
      <c r="V200" s="2601"/>
      <c r="W200" s="2602"/>
      <c r="X200" s="2602"/>
      <c r="Y200" s="2603"/>
      <c r="Z200" s="2603">
        <f t="shared" si="45"/>
        <v>0</v>
      </c>
      <c r="AA200" s="2603">
        <f t="shared" si="46"/>
        <v>0</v>
      </c>
      <c r="AB200" s="2603"/>
      <c r="AC200" s="2603"/>
      <c r="AD200" s="2616"/>
    </row>
    <row r="201" spans="1:30" s="2612" customFormat="1" x14ac:dyDescent="0.25">
      <c r="A201" s="2598"/>
      <c r="B201" s="2599" t="s">
        <v>2352</v>
      </c>
      <c r="C201" s="2600">
        <v>2</v>
      </c>
      <c r="D201" s="2601">
        <f t="shared" si="54"/>
        <v>300</v>
      </c>
      <c r="E201" s="2602"/>
      <c r="F201" s="2602">
        <v>0.6</v>
      </c>
      <c r="G201" s="2602"/>
      <c r="H201" s="2603">
        <f t="shared" si="55"/>
        <v>0.6</v>
      </c>
      <c r="I201" s="2600"/>
      <c r="J201" s="2601"/>
      <c r="K201" s="2602"/>
      <c r="L201" s="2602"/>
      <c r="M201" s="2602"/>
      <c r="N201" s="2603"/>
      <c r="O201" s="2600"/>
      <c r="P201" s="2601"/>
      <c r="Q201" s="2602"/>
      <c r="R201" s="2602"/>
      <c r="S201" s="2602"/>
      <c r="T201" s="2603"/>
      <c r="U201" s="2600"/>
      <c r="V201" s="2601"/>
      <c r="W201" s="2602"/>
      <c r="X201" s="2602"/>
      <c r="Y201" s="2603"/>
      <c r="Z201" s="2603">
        <f t="shared" si="45"/>
        <v>0</v>
      </c>
      <c r="AA201" s="2603">
        <f t="shared" si="46"/>
        <v>0</v>
      </c>
      <c r="AB201" s="2603"/>
      <c r="AC201" s="2603"/>
      <c r="AD201" s="2616"/>
    </row>
    <row r="202" spans="1:30" s="2612" customFormat="1" x14ac:dyDescent="0.25">
      <c r="A202" s="2626"/>
      <c r="B202" s="2630" t="s">
        <v>2353</v>
      </c>
      <c r="C202" s="2586">
        <v>1</v>
      </c>
      <c r="D202" s="2587">
        <f t="shared" si="54"/>
        <v>200</v>
      </c>
      <c r="E202" s="2611"/>
      <c r="F202" s="2611">
        <v>0.2</v>
      </c>
      <c r="G202" s="2611"/>
      <c r="H202" s="2603">
        <f t="shared" si="55"/>
        <v>0.2</v>
      </c>
      <c r="I202" s="2600"/>
      <c r="J202" s="2601"/>
      <c r="K202" s="2608"/>
      <c r="L202" s="2602"/>
      <c r="M202" s="2611"/>
      <c r="N202" s="2603"/>
      <c r="O202" s="2600"/>
      <c r="P202" s="2601"/>
      <c r="Q202" s="2608"/>
      <c r="R202" s="2602"/>
      <c r="S202" s="2611"/>
      <c r="T202" s="2627"/>
      <c r="U202" s="2600"/>
      <c r="V202" s="2601"/>
      <c r="W202" s="2608"/>
      <c r="X202" s="2602"/>
      <c r="Y202" s="2603"/>
      <c r="Z202" s="2603">
        <f t="shared" si="45"/>
        <v>0</v>
      </c>
      <c r="AA202" s="2603">
        <f t="shared" si="46"/>
        <v>0</v>
      </c>
      <c r="AB202" s="2602"/>
      <c r="AC202" s="2602"/>
      <c r="AD202" s="2616"/>
    </row>
    <row r="203" spans="1:30" s="2612" customFormat="1" x14ac:dyDescent="0.25">
      <c r="A203" s="2626"/>
      <c r="B203" s="2630" t="s">
        <v>2354</v>
      </c>
      <c r="C203" s="2586">
        <v>3</v>
      </c>
      <c r="D203" s="2587">
        <f t="shared" si="54"/>
        <v>666.7</v>
      </c>
      <c r="E203" s="2611"/>
      <c r="F203" s="2611">
        <v>2</v>
      </c>
      <c r="G203" s="2611"/>
      <c r="H203" s="2603">
        <f t="shared" si="55"/>
        <v>2</v>
      </c>
      <c r="I203" s="2600"/>
      <c r="J203" s="2601"/>
      <c r="K203" s="2608"/>
      <c r="L203" s="2602"/>
      <c r="M203" s="2611"/>
      <c r="N203" s="2603"/>
      <c r="O203" s="2600"/>
      <c r="P203" s="2601"/>
      <c r="Q203" s="2608"/>
      <c r="R203" s="2602"/>
      <c r="S203" s="2611"/>
      <c r="T203" s="2627"/>
      <c r="U203" s="2600"/>
      <c r="V203" s="2601"/>
      <c r="W203" s="2608"/>
      <c r="X203" s="2602"/>
      <c r="Y203" s="2603"/>
      <c r="Z203" s="2603">
        <f t="shared" si="45"/>
        <v>0</v>
      </c>
      <c r="AA203" s="2603">
        <f t="shared" si="46"/>
        <v>0</v>
      </c>
      <c r="AB203" s="2602"/>
      <c r="AC203" s="2602"/>
      <c r="AD203" s="2616"/>
    </row>
    <row r="204" spans="1:30" x14ac:dyDescent="0.25">
      <c r="A204" s="2626"/>
      <c r="B204" s="2630" t="s">
        <v>2355</v>
      </c>
      <c r="C204" s="2586">
        <v>1</v>
      </c>
      <c r="D204" s="2587">
        <f t="shared" si="54"/>
        <v>100</v>
      </c>
      <c r="E204" s="2611"/>
      <c r="F204" s="2611">
        <v>0.1</v>
      </c>
      <c r="G204" s="2611"/>
      <c r="H204" s="2603">
        <f t="shared" si="55"/>
        <v>0.1</v>
      </c>
      <c r="I204" s="2600"/>
      <c r="J204" s="2601"/>
      <c r="K204" s="2608"/>
      <c r="L204" s="2602"/>
      <c r="M204" s="2611"/>
      <c r="N204" s="2603"/>
      <c r="O204" s="2600"/>
      <c r="P204" s="2601"/>
      <c r="Q204" s="2608"/>
      <c r="R204" s="2602"/>
      <c r="S204" s="2611"/>
      <c r="T204" s="2627"/>
      <c r="U204" s="2600"/>
      <c r="V204" s="2601"/>
      <c r="W204" s="2608"/>
      <c r="X204" s="2602"/>
      <c r="Y204" s="2603"/>
      <c r="Z204" s="2603">
        <f t="shared" si="45"/>
        <v>0</v>
      </c>
      <c r="AA204" s="2603">
        <f t="shared" si="46"/>
        <v>0</v>
      </c>
      <c r="AB204" s="2602"/>
      <c r="AC204" s="2602"/>
      <c r="AD204" s="2613"/>
    </row>
    <row r="205" spans="1:30" x14ac:dyDescent="0.25">
      <c r="A205" s="2626"/>
      <c r="B205" s="2630" t="s">
        <v>2356</v>
      </c>
      <c r="C205" s="2586">
        <v>1</v>
      </c>
      <c r="D205" s="2587">
        <f t="shared" si="54"/>
        <v>500</v>
      </c>
      <c r="E205" s="2611"/>
      <c r="F205" s="2611">
        <v>0.5</v>
      </c>
      <c r="G205" s="2611"/>
      <c r="H205" s="2603">
        <f t="shared" si="55"/>
        <v>0.5</v>
      </c>
      <c r="I205" s="2600"/>
      <c r="J205" s="2601"/>
      <c r="K205" s="2608"/>
      <c r="L205" s="2602"/>
      <c r="M205" s="2611"/>
      <c r="N205" s="2603"/>
      <c r="O205" s="2600"/>
      <c r="P205" s="2601"/>
      <c r="Q205" s="2608"/>
      <c r="R205" s="2602"/>
      <c r="S205" s="2611"/>
      <c r="T205" s="2627"/>
      <c r="U205" s="2600"/>
      <c r="V205" s="2601"/>
      <c r="W205" s="2608"/>
      <c r="X205" s="2602"/>
      <c r="Y205" s="2603"/>
      <c r="Z205" s="2603">
        <f t="shared" si="45"/>
        <v>0</v>
      </c>
      <c r="AA205" s="2603">
        <f t="shared" si="46"/>
        <v>0</v>
      </c>
      <c r="AB205" s="2602"/>
      <c r="AC205" s="2602"/>
      <c r="AD205" s="2613"/>
    </row>
    <row r="206" spans="1:30" ht="15.75" customHeight="1" x14ac:dyDescent="0.25">
      <c r="A206" s="2626"/>
      <c r="B206" s="2630" t="s">
        <v>2357</v>
      </c>
      <c r="C206" s="2586">
        <v>1</v>
      </c>
      <c r="D206" s="2587">
        <f t="shared" si="54"/>
        <v>200</v>
      </c>
      <c r="E206" s="2611"/>
      <c r="F206" s="2611">
        <v>0.2</v>
      </c>
      <c r="G206" s="2611"/>
      <c r="H206" s="2603">
        <f t="shared" si="55"/>
        <v>0.2</v>
      </c>
      <c r="I206" s="2600"/>
      <c r="J206" s="2601"/>
      <c r="K206" s="2608"/>
      <c r="L206" s="2602"/>
      <c r="M206" s="2611"/>
      <c r="N206" s="2603"/>
      <c r="O206" s="2600"/>
      <c r="P206" s="2601"/>
      <c r="Q206" s="2608"/>
      <c r="R206" s="2602"/>
      <c r="S206" s="2611"/>
      <c r="T206" s="2627"/>
      <c r="U206" s="2600"/>
      <c r="V206" s="2601"/>
      <c r="W206" s="2608"/>
      <c r="X206" s="2602"/>
      <c r="Y206" s="2603"/>
      <c r="Z206" s="2603">
        <f t="shared" ref="Z206:Z227" si="56">W206-K206</f>
        <v>0</v>
      </c>
      <c r="AA206" s="2603">
        <f t="shared" si="46"/>
        <v>0</v>
      </c>
      <c r="AB206" s="2602"/>
      <c r="AC206" s="2602"/>
      <c r="AD206" s="2632"/>
    </row>
    <row r="207" spans="1:30" x14ac:dyDescent="0.25">
      <c r="A207" s="2626"/>
      <c r="B207" s="2630" t="s">
        <v>2358</v>
      </c>
      <c r="C207" s="2586">
        <v>3</v>
      </c>
      <c r="D207" s="2587">
        <f t="shared" si="54"/>
        <v>166.7</v>
      </c>
      <c r="E207" s="2611"/>
      <c r="F207" s="2611">
        <v>0.5</v>
      </c>
      <c r="G207" s="2611"/>
      <c r="H207" s="2603">
        <f t="shared" si="55"/>
        <v>0.5</v>
      </c>
      <c r="I207" s="2600"/>
      <c r="J207" s="2601"/>
      <c r="K207" s="2608"/>
      <c r="L207" s="2602"/>
      <c r="M207" s="2611"/>
      <c r="N207" s="2603"/>
      <c r="O207" s="2600"/>
      <c r="P207" s="2601"/>
      <c r="Q207" s="2608"/>
      <c r="R207" s="2602"/>
      <c r="S207" s="2611"/>
      <c r="T207" s="2627"/>
      <c r="U207" s="2600"/>
      <c r="V207" s="2601"/>
      <c r="W207" s="2608"/>
      <c r="X207" s="2602"/>
      <c r="Y207" s="2603"/>
      <c r="Z207" s="2603">
        <f t="shared" si="56"/>
        <v>0</v>
      </c>
      <c r="AA207" s="2603">
        <f t="shared" si="46"/>
        <v>0</v>
      </c>
      <c r="AB207" s="2602"/>
      <c r="AC207" s="2602"/>
      <c r="AD207" s="2632"/>
    </row>
    <row r="208" spans="1:30" x14ac:dyDescent="0.25">
      <c r="A208" s="2626"/>
      <c r="B208" s="2630" t="s">
        <v>2359</v>
      </c>
      <c r="C208" s="2586">
        <v>1</v>
      </c>
      <c r="D208" s="2587">
        <f t="shared" si="54"/>
        <v>300</v>
      </c>
      <c r="E208" s="2611"/>
      <c r="F208" s="2611">
        <v>0.3</v>
      </c>
      <c r="G208" s="2611"/>
      <c r="H208" s="2603">
        <f t="shared" si="55"/>
        <v>0.3</v>
      </c>
      <c r="I208" s="2600"/>
      <c r="J208" s="2601"/>
      <c r="K208" s="2608"/>
      <c r="L208" s="2602"/>
      <c r="M208" s="2611"/>
      <c r="N208" s="2603"/>
      <c r="O208" s="2600"/>
      <c r="P208" s="2601"/>
      <c r="Q208" s="2608"/>
      <c r="R208" s="2602"/>
      <c r="S208" s="2611"/>
      <c r="T208" s="2627"/>
      <c r="U208" s="2600"/>
      <c r="V208" s="2601"/>
      <c r="W208" s="2608"/>
      <c r="X208" s="2602"/>
      <c r="Y208" s="2603"/>
      <c r="Z208" s="2603">
        <f t="shared" si="56"/>
        <v>0</v>
      </c>
      <c r="AA208" s="2603">
        <f t="shared" si="46"/>
        <v>0</v>
      </c>
      <c r="AB208" s="2602"/>
      <c r="AC208" s="2602"/>
      <c r="AD208" s="2632"/>
    </row>
    <row r="209" spans="1:30" x14ac:dyDescent="0.25">
      <c r="A209" s="2626"/>
      <c r="B209" s="2630" t="s">
        <v>2360</v>
      </c>
      <c r="C209" s="2586">
        <v>2</v>
      </c>
      <c r="D209" s="2587">
        <f t="shared" si="54"/>
        <v>350</v>
      </c>
      <c r="E209" s="2611"/>
      <c r="F209" s="2611">
        <v>0.7</v>
      </c>
      <c r="G209" s="2611"/>
      <c r="H209" s="2603">
        <f t="shared" si="55"/>
        <v>0.7</v>
      </c>
      <c r="I209" s="2600"/>
      <c r="J209" s="2601"/>
      <c r="K209" s="2608"/>
      <c r="L209" s="2602"/>
      <c r="M209" s="2611"/>
      <c r="N209" s="2603"/>
      <c r="O209" s="2600"/>
      <c r="P209" s="2601"/>
      <c r="Q209" s="2608"/>
      <c r="R209" s="2602"/>
      <c r="S209" s="2611"/>
      <c r="T209" s="2627"/>
      <c r="U209" s="2600"/>
      <c r="V209" s="2601"/>
      <c r="W209" s="2608"/>
      <c r="X209" s="2602"/>
      <c r="Y209" s="2603"/>
      <c r="Z209" s="2603">
        <f t="shared" si="56"/>
        <v>0</v>
      </c>
      <c r="AA209" s="2603">
        <f t="shared" ref="AA209:AA272" si="57">IFERROR(W209/K209*100,0)</f>
        <v>0</v>
      </c>
      <c r="AB209" s="2602"/>
      <c r="AC209" s="2602"/>
      <c r="AD209" s="2632"/>
    </row>
    <row r="210" spans="1:30" x14ac:dyDescent="0.25">
      <c r="A210" s="2626"/>
      <c r="B210" s="2630" t="s">
        <v>2361</v>
      </c>
      <c r="C210" s="2586">
        <v>2</v>
      </c>
      <c r="D210" s="2587">
        <f t="shared" si="54"/>
        <v>150</v>
      </c>
      <c r="E210" s="2611"/>
      <c r="F210" s="2611">
        <v>0.3</v>
      </c>
      <c r="G210" s="2611"/>
      <c r="H210" s="2603">
        <f t="shared" si="55"/>
        <v>0.3</v>
      </c>
      <c r="I210" s="2600"/>
      <c r="J210" s="2601"/>
      <c r="K210" s="2608"/>
      <c r="L210" s="2602"/>
      <c r="M210" s="2611"/>
      <c r="N210" s="2603"/>
      <c r="O210" s="2600"/>
      <c r="P210" s="2601"/>
      <c r="Q210" s="2608"/>
      <c r="R210" s="2602"/>
      <c r="S210" s="2611"/>
      <c r="T210" s="2627"/>
      <c r="U210" s="2600"/>
      <c r="V210" s="2601"/>
      <c r="W210" s="2608"/>
      <c r="X210" s="2602"/>
      <c r="Y210" s="2603"/>
      <c r="Z210" s="2603">
        <f t="shared" si="56"/>
        <v>0</v>
      </c>
      <c r="AA210" s="2603">
        <f t="shared" si="57"/>
        <v>0</v>
      </c>
      <c r="AB210" s="2602"/>
      <c r="AC210" s="2602"/>
      <c r="AD210" s="2632"/>
    </row>
    <row r="211" spans="1:30" x14ac:dyDescent="0.25">
      <c r="A211" s="2626"/>
      <c r="B211" s="2610" t="s">
        <v>2362</v>
      </c>
      <c r="C211" s="2586">
        <v>3</v>
      </c>
      <c r="D211" s="2587">
        <f t="shared" si="54"/>
        <v>366.7</v>
      </c>
      <c r="E211" s="2611"/>
      <c r="F211" s="2611">
        <v>1.1000000000000001</v>
      </c>
      <c r="G211" s="2611"/>
      <c r="H211" s="2603">
        <f t="shared" si="55"/>
        <v>1.1000000000000001</v>
      </c>
      <c r="I211" s="2600"/>
      <c r="J211" s="2601"/>
      <c r="K211" s="2608"/>
      <c r="L211" s="2602"/>
      <c r="M211" s="2611"/>
      <c r="N211" s="2603"/>
      <c r="O211" s="2600"/>
      <c r="P211" s="2601"/>
      <c r="Q211" s="2608"/>
      <c r="R211" s="2602"/>
      <c r="S211" s="2611"/>
      <c r="T211" s="2627"/>
      <c r="U211" s="2600"/>
      <c r="V211" s="2601"/>
      <c r="W211" s="2608"/>
      <c r="X211" s="2602"/>
      <c r="Y211" s="2603"/>
      <c r="Z211" s="2603">
        <f t="shared" si="56"/>
        <v>0</v>
      </c>
      <c r="AA211" s="2603">
        <f t="shared" si="57"/>
        <v>0</v>
      </c>
      <c r="AB211" s="2602"/>
      <c r="AC211" s="2602"/>
      <c r="AD211" s="2632"/>
    </row>
    <row r="212" spans="1:30" ht="31.5" x14ac:dyDescent="0.25">
      <c r="A212" s="2626"/>
      <c r="B212" s="2610" t="s">
        <v>2363</v>
      </c>
      <c r="C212" s="2586">
        <v>2</v>
      </c>
      <c r="D212" s="2587">
        <f t="shared" si="54"/>
        <v>300</v>
      </c>
      <c r="E212" s="2611"/>
      <c r="F212" s="2611">
        <v>0.6</v>
      </c>
      <c r="G212" s="2611"/>
      <c r="H212" s="2603">
        <f t="shared" si="55"/>
        <v>0.6</v>
      </c>
      <c r="I212" s="2600"/>
      <c r="J212" s="2601"/>
      <c r="K212" s="2608"/>
      <c r="L212" s="2602"/>
      <c r="M212" s="2611"/>
      <c r="N212" s="2603"/>
      <c r="O212" s="2600"/>
      <c r="P212" s="2601"/>
      <c r="Q212" s="2608"/>
      <c r="R212" s="2602"/>
      <c r="S212" s="2611"/>
      <c r="T212" s="2627"/>
      <c r="U212" s="2600"/>
      <c r="V212" s="2601"/>
      <c r="W212" s="2608"/>
      <c r="X212" s="2602"/>
      <c r="Y212" s="2603"/>
      <c r="Z212" s="2603">
        <f t="shared" si="56"/>
        <v>0</v>
      </c>
      <c r="AA212" s="2603">
        <f t="shared" si="57"/>
        <v>0</v>
      </c>
      <c r="AB212" s="2602"/>
      <c r="AC212" s="2602"/>
      <c r="AD212" s="2632"/>
    </row>
    <row r="213" spans="1:30" ht="24" customHeight="1" x14ac:dyDescent="0.25">
      <c r="A213" s="2626"/>
      <c r="B213" s="2610" t="s">
        <v>1590</v>
      </c>
      <c r="C213" s="2586"/>
      <c r="D213" s="2587"/>
      <c r="E213" s="2611"/>
      <c r="F213" s="2611"/>
      <c r="G213" s="2611"/>
      <c r="H213" s="2603"/>
      <c r="I213" s="2600">
        <v>19</v>
      </c>
      <c r="J213" s="2601">
        <f t="shared" ref="J213:J235" si="58">(L213/I213*1000)+(K213/I213*1000)</f>
        <v>200</v>
      </c>
      <c r="K213" s="2608"/>
      <c r="L213" s="2602">
        <v>3.8</v>
      </c>
      <c r="M213" s="2611"/>
      <c r="N213" s="2603">
        <f t="shared" ref="N213:N235" si="59">SUM(K213:M213)</f>
        <v>3.8</v>
      </c>
      <c r="O213" s="2600">
        <v>30</v>
      </c>
      <c r="P213" s="2601">
        <f t="shared" ref="P213:P227" si="60">(R213/O213*1000)+(Q213/O213*1000)</f>
        <v>200</v>
      </c>
      <c r="Q213" s="2608"/>
      <c r="R213" s="2602">
        <v>6</v>
      </c>
      <c r="S213" s="2611"/>
      <c r="T213" s="2627">
        <f t="shared" ref="T213:T227" si="61">SUM(Q213:S213)</f>
        <v>6</v>
      </c>
      <c r="U213" s="2600"/>
      <c r="V213" s="2601"/>
      <c r="W213" s="2608"/>
      <c r="X213" s="2602">
        <v>6</v>
      </c>
      <c r="Y213" s="2603">
        <f t="shared" ref="Y213:Y236" si="62">SUM(W213:X213)</f>
        <v>6</v>
      </c>
      <c r="Z213" s="2603">
        <f t="shared" si="56"/>
        <v>0</v>
      </c>
      <c r="AA213" s="2603">
        <f t="shared" si="57"/>
        <v>0</v>
      </c>
      <c r="AB213" s="2602"/>
      <c r="AC213" s="2602"/>
      <c r="AD213" s="2632"/>
    </row>
    <row r="214" spans="1:30" x14ac:dyDescent="0.25">
      <c r="A214" s="2626"/>
      <c r="B214" s="2610" t="s">
        <v>1591</v>
      </c>
      <c r="C214" s="2586"/>
      <c r="D214" s="2587"/>
      <c r="E214" s="2611"/>
      <c r="F214" s="2611"/>
      <c r="G214" s="2611"/>
      <c r="H214" s="2603"/>
      <c r="I214" s="2600">
        <v>10</v>
      </c>
      <c r="J214" s="2601">
        <f t="shared" si="58"/>
        <v>180</v>
      </c>
      <c r="K214" s="2608"/>
      <c r="L214" s="2602">
        <v>1.8</v>
      </c>
      <c r="M214" s="2611"/>
      <c r="N214" s="2603">
        <f t="shared" si="59"/>
        <v>1.8</v>
      </c>
      <c r="O214" s="2600">
        <v>10</v>
      </c>
      <c r="P214" s="2601">
        <f t="shared" si="60"/>
        <v>180</v>
      </c>
      <c r="Q214" s="2608"/>
      <c r="R214" s="2602">
        <v>1.8</v>
      </c>
      <c r="S214" s="2611"/>
      <c r="T214" s="2627">
        <f t="shared" si="61"/>
        <v>1.8</v>
      </c>
      <c r="U214" s="2600"/>
      <c r="V214" s="2601"/>
      <c r="W214" s="2608"/>
      <c r="X214" s="2602">
        <v>1.8</v>
      </c>
      <c r="Y214" s="2603">
        <f t="shared" si="62"/>
        <v>1.8</v>
      </c>
      <c r="Z214" s="2603">
        <f t="shared" si="56"/>
        <v>0</v>
      </c>
      <c r="AA214" s="2603">
        <f t="shared" si="57"/>
        <v>0</v>
      </c>
      <c r="AB214" s="2602"/>
      <c r="AC214" s="2602"/>
      <c r="AD214" s="2632"/>
    </row>
    <row r="215" spans="1:30" x14ac:dyDescent="0.25">
      <c r="A215" s="2626"/>
      <c r="B215" s="2610" t="s">
        <v>1592</v>
      </c>
      <c r="C215" s="2586"/>
      <c r="D215" s="2587"/>
      <c r="E215" s="2611"/>
      <c r="F215" s="2611"/>
      <c r="G215" s="2611"/>
      <c r="H215" s="2603"/>
      <c r="I215" s="2600">
        <v>8</v>
      </c>
      <c r="J215" s="2601">
        <f t="shared" si="58"/>
        <v>100</v>
      </c>
      <c r="K215" s="2608"/>
      <c r="L215" s="2602">
        <v>0.8</v>
      </c>
      <c r="M215" s="2611"/>
      <c r="N215" s="2603">
        <f t="shared" si="59"/>
        <v>0.8</v>
      </c>
      <c r="O215" s="2600">
        <v>20</v>
      </c>
      <c r="P215" s="2601">
        <f t="shared" si="60"/>
        <v>105</v>
      </c>
      <c r="Q215" s="2608"/>
      <c r="R215" s="2602">
        <v>2.1</v>
      </c>
      <c r="S215" s="2611"/>
      <c r="T215" s="2627">
        <f t="shared" si="61"/>
        <v>2.1</v>
      </c>
      <c r="U215" s="2600"/>
      <c r="V215" s="2601"/>
      <c r="W215" s="2608"/>
      <c r="X215" s="2602">
        <v>2.1</v>
      </c>
      <c r="Y215" s="2603">
        <f t="shared" si="62"/>
        <v>2.1</v>
      </c>
      <c r="Z215" s="2603">
        <f t="shared" si="56"/>
        <v>0</v>
      </c>
      <c r="AA215" s="2603">
        <f t="shared" si="57"/>
        <v>0</v>
      </c>
      <c r="AB215" s="2602"/>
      <c r="AC215" s="2602"/>
      <c r="AD215" s="2632"/>
    </row>
    <row r="216" spans="1:30" x14ac:dyDescent="0.25">
      <c r="A216" s="2626"/>
      <c r="B216" s="2610" t="s">
        <v>1593</v>
      </c>
      <c r="C216" s="2586"/>
      <c r="D216" s="2587"/>
      <c r="E216" s="2611"/>
      <c r="F216" s="2611"/>
      <c r="G216" s="2611"/>
      <c r="H216" s="2603"/>
      <c r="I216" s="2600">
        <v>14</v>
      </c>
      <c r="J216" s="2601">
        <f t="shared" si="58"/>
        <v>500</v>
      </c>
      <c r="K216" s="2608"/>
      <c r="L216" s="2602">
        <v>7</v>
      </c>
      <c r="M216" s="2611"/>
      <c r="N216" s="2603">
        <f t="shared" si="59"/>
        <v>7</v>
      </c>
      <c r="O216" s="2600">
        <v>18</v>
      </c>
      <c r="P216" s="2601">
        <f t="shared" si="60"/>
        <v>500</v>
      </c>
      <c r="Q216" s="2608"/>
      <c r="R216" s="2602">
        <v>9</v>
      </c>
      <c r="S216" s="2611"/>
      <c r="T216" s="2627">
        <f t="shared" si="61"/>
        <v>9</v>
      </c>
      <c r="U216" s="2600"/>
      <c r="V216" s="2601"/>
      <c r="W216" s="2608"/>
      <c r="X216" s="2602">
        <v>9</v>
      </c>
      <c r="Y216" s="2603">
        <f t="shared" si="62"/>
        <v>9</v>
      </c>
      <c r="Z216" s="2603">
        <f t="shared" si="56"/>
        <v>0</v>
      </c>
      <c r="AA216" s="2603">
        <f t="shared" si="57"/>
        <v>0</v>
      </c>
      <c r="AB216" s="2602"/>
      <c r="AC216" s="2602"/>
      <c r="AD216" s="2632"/>
    </row>
    <row r="217" spans="1:30" x14ac:dyDescent="0.25">
      <c r="A217" s="2626"/>
      <c r="B217" s="2610" t="s">
        <v>1594</v>
      </c>
      <c r="C217" s="2586"/>
      <c r="D217" s="2587"/>
      <c r="E217" s="2611"/>
      <c r="F217" s="2611"/>
      <c r="G217" s="2611"/>
      <c r="H217" s="2603"/>
      <c r="I217" s="2600">
        <v>18</v>
      </c>
      <c r="J217" s="2601">
        <f t="shared" si="58"/>
        <v>61.1</v>
      </c>
      <c r="K217" s="2608"/>
      <c r="L217" s="2602">
        <v>1.1000000000000001</v>
      </c>
      <c r="M217" s="2611"/>
      <c r="N217" s="2603">
        <f t="shared" si="59"/>
        <v>1.1000000000000001</v>
      </c>
      <c r="O217" s="2600">
        <v>31</v>
      </c>
      <c r="P217" s="2601">
        <f t="shared" si="60"/>
        <v>61.3</v>
      </c>
      <c r="Q217" s="2608"/>
      <c r="R217" s="2602">
        <v>1.9</v>
      </c>
      <c r="S217" s="2611"/>
      <c r="T217" s="2627">
        <f t="shared" si="61"/>
        <v>1.9</v>
      </c>
      <c r="U217" s="2600"/>
      <c r="V217" s="2601"/>
      <c r="W217" s="2608"/>
      <c r="X217" s="2602">
        <v>1.8</v>
      </c>
      <c r="Y217" s="2603">
        <f t="shared" si="62"/>
        <v>1.8</v>
      </c>
      <c r="Z217" s="2603">
        <f t="shared" si="56"/>
        <v>0</v>
      </c>
      <c r="AA217" s="2603">
        <f t="shared" si="57"/>
        <v>0</v>
      </c>
      <c r="AB217" s="2602"/>
      <c r="AC217" s="2602"/>
      <c r="AD217" s="2632"/>
    </row>
    <row r="218" spans="1:30" x14ac:dyDescent="0.25">
      <c r="A218" s="2626"/>
      <c r="B218" s="2610" t="s">
        <v>1423</v>
      </c>
      <c r="C218" s="2586"/>
      <c r="D218" s="2587"/>
      <c r="E218" s="2611"/>
      <c r="F218" s="2611"/>
      <c r="G218" s="2611"/>
      <c r="H218" s="2603"/>
      <c r="I218" s="2600">
        <v>23</v>
      </c>
      <c r="J218" s="2601">
        <f t="shared" si="58"/>
        <v>130.4</v>
      </c>
      <c r="K218" s="2608"/>
      <c r="L218" s="2602">
        <v>3</v>
      </c>
      <c r="M218" s="2611"/>
      <c r="N218" s="2603">
        <f t="shared" si="59"/>
        <v>3</v>
      </c>
      <c r="O218" s="2600">
        <v>31</v>
      </c>
      <c r="P218" s="2601">
        <f t="shared" si="60"/>
        <v>129</v>
      </c>
      <c r="Q218" s="2608"/>
      <c r="R218" s="2602">
        <v>4</v>
      </c>
      <c r="S218" s="2611"/>
      <c r="T218" s="2627">
        <f t="shared" si="61"/>
        <v>4</v>
      </c>
      <c r="U218" s="2600"/>
      <c r="V218" s="2601"/>
      <c r="W218" s="2608"/>
      <c r="X218" s="2602">
        <v>3.9</v>
      </c>
      <c r="Y218" s="2603">
        <f t="shared" si="62"/>
        <v>3.9</v>
      </c>
      <c r="Z218" s="2603">
        <f t="shared" si="56"/>
        <v>0</v>
      </c>
      <c r="AA218" s="2603">
        <f t="shared" si="57"/>
        <v>0</v>
      </c>
      <c r="AB218" s="2602"/>
      <c r="AC218" s="2602"/>
      <c r="AD218" s="2632"/>
    </row>
    <row r="219" spans="1:30" x14ac:dyDescent="0.25">
      <c r="A219" s="2626"/>
      <c r="B219" s="2610" t="s">
        <v>1595</v>
      </c>
      <c r="C219" s="2586"/>
      <c r="D219" s="2587"/>
      <c r="E219" s="2611"/>
      <c r="F219" s="2611"/>
      <c r="G219" s="2611"/>
      <c r="H219" s="2603"/>
      <c r="I219" s="2600">
        <v>8</v>
      </c>
      <c r="J219" s="2601">
        <f t="shared" si="58"/>
        <v>375</v>
      </c>
      <c r="K219" s="2608"/>
      <c r="L219" s="2602">
        <v>3</v>
      </c>
      <c r="M219" s="2611"/>
      <c r="N219" s="2603">
        <f t="shared" si="59"/>
        <v>3</v>
      </c>
      <c r="O219" s="2600">
        <v>12</v>
      </c>
      <c r="P219" s="2601">
        <f t="shared" si="60"/>
        <v>383.3</v>
      </c>
      <c r="Q219" s="2608"/>
      <c r="R219" s="2602">
        <v>4.5999999999999996</v>
      </c>
      <c r="S219" s="2611"/>
      <c r="T219" s="2627">
        <f t="shared" si="61"/>
        <v>4.5999999999999996</v>
      </c>
      <c r="U219" s="2600"/>
      <c r="V219" s="2601"/>
      <c r="W219" s="2608"/>
      <c r="X219" s="2602">
        <v>4.5999999999999996</v>
      </c>
      <c r="Y219" s="2603">
        <f t="shared" si="62"/>
        <v>4.5999999999999996</v>
      </c>
      <c r="Z219" s="2603">
        <f t="shared" si="56"/>
        <v>0</v>
      </c>
      <c r="AA219" s="2603">
        <f t="shared" si="57"/>
        <v>0</v>
      </c>
      <c r="AB219" s="2602"/>
      <c r="AC219" s="2602"/>
      <c r="AD219" s="2632"/>
    </row>
    <row r="220" spans="1:30" x14ac:dyDescent="0.25">
      <c r="A220" s="2626"/>
      <c r="B220" s="2610" t="s">
        <v>1596</v>
      </c>
      <c r="C220" s="2586"/>
      <c r="D220" s="2587"/>
      <c r="E220" s="2611"/>
      <c r="F220" s="2611"/>
      <c r="G220" s="2611"/>
      <c r="H220" s="2603"/>
      <c r="I220" s="2600">
        <v>8</v>
      </c>
      <c r="J220" s="2601">
        <f t="shared" si="58"/>
        <v>375</v>
      </c>
      <c r="K220" s="2608"/>
      <c r="L220" s="2602">
        <v>3</v>
      </c>
      <c r="M220" s="2611"/>
      <c r="N220" s="2603">
        <f t="shared" si="59"/>
        <v>3</v>
      </c>
      <c r="O220" s="2600">
        <v>12</v>
      </c>
      <c r="P220" s="2601">
        <f t="shared" si="60"/>
        <v>375</v>
      </c>
      <c r="Q220" s="2608"/>
      <c r="R220" s="2602">
        <v>4.5</v>
      </c>
      <c r="S220" s="2611"/>
      <c r="T220" s="2627">
        <f t="shared" si="61"/>
        <v>4.5</v>
      </c>
      <c r="U220" s="2600"/>
      <c r="V220" s="2601"/>
      <c r="W220" s="2608"/>
      <c r="X220" s="2602">
        <v>4.5</v>
      </c>
      <c r="Y220" s="2603">
        <f t="shared" si="62"/>
        <v>4.5</v>
      </c>
      <c r="Z220" s="2603">
        <f t="shared" si="56"/>
        <v>0</v>
      </c>
      <c r="AA220" s="2603">
        <f t="shared" si="57"/>
        <v>0</v>
      </c>
      <c r="AB220" s="2602"/>
      <c r="AC220" s="2602"/>
      <c r="AD220" s="2632"/>
    </row>
    <row r="221" spans="1:30" x14ac:dyDescent="0.25">
      <c r="A221" s="2626"/>
      <c r="B221" s="2610" t="s">
        <v>1597</v>
      </c>
      <c r="C221" s="2586"/>
      <c r="D221" s="2587"/>
      <c r="E221" s="2611"/>
      <c r="F221" s="2611"/>
      <c r="G221" s="2611"/>
      <c r="H221" s="2603"/>
      <c r="I221" s="2600">
        <v>8</v>
      </c>
      <c r="J221" s="2601">
        <f t="shared" si="58"/>
        <v>212.5</v>
      </c>
      <c r="K221" s="2608"/>
      <c r="L221" s="2602">
        <v>1.7</v>
      </c>
      <c r="M221" s="2611"/>
      <c r="N221" s="2603">
        <f t="shared" si="59"/>
        <v>1.7</v>
      </c>
      <c r="O221" s="2600">
        <v>18</v>
      </c>
      <c r="P221" s="2601">
        <f t="shared" si="60"/>
        <v>216.7</v>
      </c>
      <c r="Q221" s="2608"/>
      <c r="R221" s="2602">
        <v>3.9</v>
      </c>
      <c r="S221" s="2611"/>
      <c r="T221" s="2627">
        <f t="shared" si="61"/>
        <v>3.9</v>
      </c>
      <c r="U221" s="2600"/>
      <c r="V221" s="2601"/>
      <c r="W221" s="2608"/>
      <c r="X221" s="2602">
        <v>3.9</v>
      </c>
      <c r="Y221" s="2603">
        <f t="shared" si="62"/>
        <v>3.9</v>
      </c>
      <c r="Z221" s="2603">
        <f t="shared" si="56"/>
        <v>0</v>
      </c>
      <c r="AA221" s="2603">
        <f t="shared" si="57"/>
        <v>0</v>
      </c>
      <c r="AB221" s="2602"/>
      <c r="AC221" s="2602"/>
      <c r="AD221" s="2632"/>
    </row>
    <row r="222" spans="1:30" x14ac:dyDescent="0.25">
      <c r="A222" s="2626"/>
      <c r="B222" s="2610" t="s">
        <v>1598</v>
      </c>
      <c r="C222" s="2586"/>
      <c r="D222" s="2587"/>
      <c r="E222" s="2611"/>
      <c r="F222" s="2611"/>
      <c r="G222" s="2611"/>
      <c r="H222" s="2603"/>
      <c r="I222" s="2600">
        <v>8</v>
      </c>
      <c r="J222" s="2601">
        <f t="shared" si="58"/>
        <v>100</v>
      </c>
      <c r="K222" s="2608"/>
      <c r="L222" s="2602">
        <v>0.8</v>
      </c>
      <c r="M222" s="2611"/>
      <c r="N222" s="2603">
        <f t="shared" si="59"/>
        <v>0.8</v>
      </c>
      <c r="O222" s="2600">
        <v>10</v>
      </c>
      <c r="P222" s="2601">
        <f t="shared" si="60"/>
        <v>100</v>
      </c>
      <c r="Q222" s="2608"/>
      <c r="R222" s="2602">
        <v>1</v>
      </c>
      <c r="S222" s="2611"/>
      <c r="T222" s="2627">
        <f t="shared" si="61"/>
        <v>1</v>
      </c>
      <c r="U222" s="2600"/>
      <c r="V222" s="2601"/>
      <c r="W222" s="2608"/>
      <c r="X222" s="2602">
        <v>1</v>
      </c>
      <c r="Y222" s="2603">
        <f t="shared" si="62"/>
        <v>1</v>
      </c>
      <c r="Z222" s="2603">
        <f t="shared" si="56"/>
        <v>0</v>
      </c>
      <c r="AA222" s="2603">
        <f t="shared" si="57"/>
        <v>0</v>
      </c>
      <c r="AB222" s="2602"/>
      <c r="AC222" s="2602"/>
      <c r="AD222" s="2632"/>
    </row>
    <row r="223" spans="1:30" x14ac:dyDescent="0.25">
      <c r="A223" s="2626"/>
      <c r="B223" s="2610" t="s">
        <v>1599</v>
      </c>
      <c r="C223" s="2586"/>
      <c r="D223" s="2587"/>
      <c r="E223" s="2611"/>
      <c r="F223" s="2611"/>
      <c r="G223" s="2611"/>
      <c r="H223" s="2603"/>
      <c r="I223" s="2600">
        <v>3</v>
      </c>
      <c r="J223" s="2601">
        <f t="shared" si="58"/>
        <v>100</v>
      </c>
      <c r="K223" s="2608"/>
      <c r="L223" s="2602">
        <v>0.3</v>
      </c>
      <c r="M223" s="2611"/>
      <c r="N223" s="2603">
        <f t="shared" si="59"/>
        <v>0.3</v>
      </c>
      <c r="O223" s="2600">
        <v>9</v>
      </c>
      <c r="P223" s="2601">
        <f t="shared" si="60"/>
        <v>111.1</v>
      </c>
      <c r="Q223" s="2608"/>
      <c r="R223" s="2602">
        <v>1</v>
      </c>
      <c r="S223" s="2611"/>
      <c r="T223" s="2627">
        <f t="shared" si="61"/>
        <v>1</v>
      </c>
      <c r="U223" s="2600"/>
      <c r="V223" s="2601"/>
      <c r="W223" s="2608"/>
      <c r="X223" s="2602">
        <v>1.2</v>
      </c>
      <c r="Y223" s="2603">
        <f t="shared" si="62"/>
        <v>1.2</v>
      </c>
      <c r="Z223" s="2603">
        <f t="shared" si="56"/>
        <v>0</v>
      </c>
      <c r="AA223" s="2603">
        <f t="shared" si="57"/>
        <v>0</v>
      </c>
      <c r="AB223" s="2602"/>
      <c r="AC223" s="2602"/>
      <c r="AD223" s="2632"/>
    </row>
    <row r="224" spans="1:30" x14ac:dyDescent="0.25">
      <c r="A224" s="2626"/>
      <c r="B224" s="2610" t="s">
        <v>1600</v>
      </c>
      <c r="C224" s="2586"/>
      <c r="D224" s="2587"/>
      <c r="E224" s="2611"/>
      <c r="F224" s="2611"/>
      <c r="G224" s="2611"/>
      <c r="H224" s="2603"/>
      <c r="I224" s="2600">
        <v>10</v>
      </c>
      <c r="J224" s="2601">
        <f t="shared" si="58"/>
        <v>20</v>
      </c>
      <c r="K224" s="2608"/>
      <c r="L224" s="2602">
        <v>0.2</v>
      </c>
      <c r="M224" s="2611"/>
      <c r="N224" s="2603">
        <f t="shared" si="59"/>
        <v>0.2</v>
      </c>
      <c r="O224" s="2600">
        <v>12</v>
      </c>
      <c r="P224" s="2601">
        <f t="shared" si="60"/>
        <v>16.7</v>
      </c>
      <c r="Q224" s="2608"/>
      <c r="R224" s="2602">
        <v>0.2</v>
      </c>
      <c r="S224" s="2611"/>
      <c r="T224" s="2627">
        <f t="shared" si="61"/>
        <v>0.2</v>
      </c>
      <c r="U224" s="2600"/>
      <c r="V224" s="2601"/>
      <c r="W224" s="2608"/>
      <c r="X224" s="2602">
        <v>0.2</v>
      </c>
      <c r="Y224" s="2603">
        <f t="shared" si="62"/>
        <v>0.2</v>
      </c>
      <c r="Z224" s="2603">
        <f t="shared" si="56"/>
        <v>0</v>
      </c>
      <c r="AA224" s="2603">
        <f t="shared" si="57"/>
        <v>0</v>
      </c>
      <c r="AB224" s="2602"/>
      <c r="AC224" s="2602"/>
      <c r="AD224" s="2632"/>
    </row>
    <row r="225" spans="1:30" x14ac:dyDescent="0.25">
      <c r="A225" s="2626"/>
      <c r="B225" s="2610" t="s">
        <v>1410</v>
      </c>
      <c r="C225" s="2586"/>
      <c r="D225" s="2587"/>
      <c r="E225" s="2611"/>
      <c r="F225" s="2611"/>
      <c r="G225" s="2611"/>
      <c r="H225" s="2603"/>
      <c r="I225" s="2600">
        <v>22</v>
      </c>
      <c r="J225" s="2601">
        <f t="shared" si="58"/>
        <v>100</v>
      </c>
      <c r="K225" s="2608"/>
      <c r="L225" s="2602">
        <v>2.2000000000000002</v>
      </c>
      <c r="M225" s="2611"/>
      <c r="N225" s="2603">
        <f t="shared" si="59"/>
        <v>2.2000000000000002</v>
      </c>
      <c r="O225" s="2600">
        <v>48</v>
      </c>
      <c r="P225" s="2601">
        <f t="shared" si="60"/>
        <v>100</v>
      </c>
      <c r="Q225" s="2608"/>
      <c r="R225" s="2602">
        <v>4.8</v>
      </c>
      <c r="S225" s="2611"/>
      <c r="T225" s="2627">
        <f t="shared" si="61"/>
        <v>4.8</v>
      </c>
      <c r="U225" s="2600"/>
      <c r="V225" s="2601"/>
      <c r="W225" s="2608"/>
      <c r="X225" s="2602">
        <v>4.8</v>
      </c>
      <c r="Y225" s="2603">
        <f t="shared" si="62"/>
        <v>4.8</v>
      </c>
      <c r="Z225" s="2603">
        <f t="shared" si="56"/>
        <v>0</v>
      </c>
      <c r="AA225" s="2603">
        <f t="shared" si="57"/>
        <v>0</v>
      </c>
      <c r="AB225" s="2602"/>
      <c r="AC225" s="2602"/>
      <c r="AD225" s="2632"/>
    </row>
    <row r="226" spans="1:30" x14ac:dyDescent="0.25">
      <c r="A226" s="2626"/>
      <c r="B226" s="2610" t="s">
        <v>1601</v>
      </c>
      <c r="C226" s="2586"/>
      <c r="D226" s="2587"/>
      <c r="E226" s="2611"/>
      <c r="F226" s="2611"/>
      <c r="G226" s="2611"/>
      <c r="H226" s="2603"/>
      <c r="I226" s="2600">
        <v>2</v>
      </c>
      <c r="J226" s="2601">
        <f t="shared" si="58"/>
        <v>400</v>
      </c>
      <c r="K226" s="2608"/>
      <c r="L226" s="2602">
        <v>0.8</v>
      </c>
      <c r="M226" s="2611"/>
      <c r="N226" s="2603">
        <f t="shared" si="59"/>
        <v>0.8</v>
      </c>
      <c r="O226" s="2600">
        <v>3</v>
      </c>
      <c r="P226" s="2601">
        <f t="shared" si="60"/>
        <v>400</v>
      </c>
      <c r="Q226" s="2608"/>
      <c r="R226" s="2602">
        <v>1.2</v>
      </c>
      <c r="S226" s="2611"/>
      <c r="T226" s="2627">
        <f t="shared" si="61"/>
        <v>1.2</v>
      </c>
      <c r="U226" s="2600"/>
      <c r="V226" s="2601"/>
      <c r="W226" s="2608"/>
      <c r="X226" s="2602">
        <v>1.2</v>
      </c>
      <c r="Y226" s="2603">
        <f t="shared" si="62"/>
        <v>1.2</v>
      </c>
      <c r="Z226" s="2603">
        <f t="shared" si="56"/>
        <v>0</v>
      </c>
      <c r="AA226" s="2603">
        <f t="shared" si="57"/>
        <v>0</v>
      </c>
      <c r="AB226" s="2602"/>
      <c r="AC226" s="2602"/>
      <c r="AD226" s="2632"/>
    </row>
    <row r="227" spans="1:30" x14ac:dyDescent="0.25">
      <c r="A227" s="2626"/>
      <c r="B227" s="2610" t="s">
        <v>1602</v>
      </c>
      <c r="C227" s="2586"/>
      <c r="D227" s="2587"/>
      <c r="E227" s="2611"/>
      <c r="F227" s="2611"/>
      <c r="G227" s="2611"/>
      <c r="H227" s="2603"/>
      <c r="I227" s="2600">
        <v>3</v>
      </c>
      <c r="J227" s="2601">
        <f t="shared" si="58"/>
        <v>133.30000000000001</v>
      </c>
      <c r="K227" s="2608"/>
      <c r="L227" s="2602">
        <v>0.4</v>
      </c>
      <c r="M227" s="2611"/>
      <c r="N227" s="2603">
        <f t="shared" si="59"/>
        <v>0.4</v>
      </c>
      <c r="O227" s="2600">
        <v>5</v>
      </c>
      <c r="P227" s="2601">
        <f t="shared" si="60"/>
        <v>120</v>
      </c>
      <c r="Q227" s="2608"/>
      <c r="R227" s="2602">
        <v>0.6</v>
      </c>
      <c r="S227" s="2611"/>
      <c r="T227" s="2627">
        <f t="shared" si="61"/>
        <v>0.6</v>
      </c>
      <c r="U227" s="2600"/>
      <c r="V227" s="2601"/>
      <c r="W227" s="2608"/>
      <c r="X227" s="2602">
        <v>0.6</v>
      </c>
      <c r="Y227" s="2603">
        <f t="shared" si="62"/>
        <v>0.6</v>
      </c>
      <c r="Z227" s="2603">
        <f t="shared" si="56"/>
        <v>0</v>
      </c>
      <c r="AA227" s="2603">
        <f t="shared" si="57"/>
        <v>0</v>
      </c>
      <c r="AB227" s="2602"/>
      <c r="AC227" s="2602"/>
      <c r="AD227" s="2632"/>
    </row>
    <row r="228" spans="1:30" x14ac:dyDescent="0.25">
      <c r="A228" s="2590" t="s">
        <v>374</v>
      </c>
      <c r="B228" s="423" t="s">
        <v>375</v>
      </c>
      <c r="C228" s="2592">
        <f t="shared" ref="C228:AC228" si="63">SUM(C229:C236)</f>
        <v>0</v>
      </c>
      <c r="D228" s="2593">
        <f t="shared" si="63"/>
        <v>0</v>
      </c>
      <c r="E228" s="2593">
        <f t="shared" si="63"/>
        <v>0</v>
      </c>
      <c r="F228" s="2593">
        <f t="shared" si="63"/>
        <v>0</v>
      </c>
      <c r="G228" s="2593">
        <f t="shared" si="63"/>
        <v>0</v>
      </c>
      <c r="H228" s="2594">
        <f t="shared" si="63"/>
        <v>0</v>
      </c>
      <c r="I228" s="2592">
        <f t="shared" si="63"/>
        <v>90</v>
      </c>
      <c r="J228" s="2593">
        <f t="shared" si="63"/>
        <v>90300</v>
      </c>
      <c r="K228" s="2593">
        <f t="shared" si="63"/>
        <v>0</v>
      </c>
      <c r="L228" s="2593">
        <f t="shared" si="63"/>
        <v>356</v>
      </c>
      <c r="M228" s="2593">
        <f t="shared" si="63"/>
        <v>0</v>
      </c>
      <c r="N228" s="2594">
        <f t="shared" si="63"/>
        <v>356</v>
      </c>
      <c r="O228" s="2592">
        <f t="shared" si="63"/>
        <v>79</v>
      </c>
      <c r="P228" s="2593">
        <f t="shared" si="63"/>
        <v>84124</v>
      </c>
      <c r="Q228" s="2593">
        <f t="shared" si="63"/>
        <v>0</v>
      </c>
      <c r="R228" s="2593">
        <f t="shared" si="63"/>
        <v>432.8</v>
      </c>
      <c r="S228" s="2593">
        <f t="shared" si="63"/>
        <v>0</v>
      </c>
      <c r="T228" s="2594">
        <f t="shared" si="63"/>
        <v>432.8</v>
      </c>
      <c r="U228" s="2592">
        <f t="shared" si="63"/>
        <v>0</v>
      </c>
      <c r="V228" s="2593">
        <f t="shared" si="63"/>
        <v>0</v>
      </c>
      <c r="W228" s="2593">
        <f t="shared" si="63"/>
        <v>0</v>
      </c>
      <c r="X228" s="2593">
        <f t="shared" si="63"/>
        <v>499</v>
      </c>
      <c r="Y228" s="2594">
        <f t="shared" si="63"/>
        <v>499</v>
      </c>
      <c r="Z228" s="2594">
        <f t="shared" si="63"/>
        <v>0</v>
      </c>
      <c r="AA228" s="2594">
        <f t="shared" si="57"/>
        <v>0</v>
      </c>
      <c r="AB228" s="2631">
        <f t="shared" si="63"/>
        <v>0</v>
      </c>
      <c r="AC228" s="2631">
        <f t="shared" si="63"/>
        <v>0</v>
      </c>
      <c r="AD228" s="2597"/>
    </row>
    <row r="229" spans="1:30" s="2612" customFormat="1" ht="31.5" x14ac:dyDescent="0.25">
      <c r="A229" s="2598"/>
      <c r="B229" s="296" t="s">
        <v>2364</v>
      </c>
      <c r="C229" s="2600"/>
      <c r="D229" s="2601"/>
      <c r="E229" s="2602"/>
      <c r="F229" s="2602"/>
      <c r="G229" s="2602"/>
      <c r="H229" s="2603"/>
      <c r="I229" s="2600">
        <v>4</v>
      </c>
      <c r="J229" s="2601">
        <f t="shared" si="58"/>
        <v>76700</v>
      </c>
      <c r="K229" s="2602"/>
      <c r="L229" s="2602">
        <v>306.8</v>
      </c>
      <c r="M229" s="2602"/>
      <c r="N229" s="2603">
        <f t="shared" si="59"/>
        <v>306.8</v>
      </c>
      <c r="O229" s="2600">
        <v>5</v>
      </c>
      <c r="P229" s="2601">
        <f t="shared" ref="P229:P235" si="64">(R229/O229*1000)+(Q229/O229*1000)</f>
        <v>79000</v>
      </c>
      <c r="Q229" s="2602"/>
      <c r="R229" s="2602">
        <v>395</v>
      </c>
      <c r="S229" s="2602"/>
      <c r="T229" s="2603">
        <f t="shared" ref="T229:T235" si="65">SUM(Q229:S229)</f>
        <v>395</v>
      </c>
      <c r="U229" s="2600"/>
      <c r="V229" s="2601"/>
      <c r="W229" s="2602"/>
      <c r="X229" s="2602">
        <v>400</v>
      </c>
      <c r="Y229" s="2603">
        <f t="shared" si="62"/>
        <v>400</v>
      </c>
      <c r="Z229" s="2603">
        <f t="shared" ref="Z229:Z236" si="66">W229-K229</f>
        <v>0</v>
      </c>
      <c r="AA229" s="2603">
        <f t="shared" si="57"/>
        <v>0</v>
      </c>
      <c r="AB229" s="2603"/>
      <c r="AC229" s="2603"/>
      <c r="AD229" s="2636"/>
    </row>
    <row r="230" spans="1:30" s="2612" customFormat="1" ht="31.5" x14ac:dyDescent="0.25">
      <c r="A230" s="2598"/>
      <c r="B230" s="296" t="s">
        <v>2365</v>
      </c>
      <c r="C230" s="2600"/>
      <c r="D230" s="2601"/>
      <c r="E230" s="2602"/>
      <c r="F230" s="2602"/>
      <c r="G230" s="2602"/>
      <c r="H230" s="2603"/>
      <c r="I230" s="2600">
        <v>58</v>
      </c>
      <c r="J230" s="2601">
        <f t="shared" si="58"/>
        <v>200</v>
      </c>
      <c r="K230" s="2602"/>
      <c r="L230" s="2602">
        <v>11.6</v>
      </c>
      <c r="M230" s="2602"/>
      <c r="N230" s="2603">
        <f t="shared" si="59"/>
        <v>11.6</v>
      </c>
      <c r="O230" s="2600">
        <v>50</v>
      </c>
      <c r="P230" s="2601">
        <f t="shared" si="64"/>
        <v>224</v>
      </c>
      <c r="Q230" s="2602"/>
      <c r="R230" s="2602">
        <v>11.2</v>
      </c>
      <c r="S230" s="2602"/>
      <c r="T230" s="2603">
        <f t="shared" si="65"/>
        <v>11.2</v>
      </c>
      <c r="U230" s="2600"/>
      <c r="V230" s="2601"/>
      <c r="W230" s="2602"/>
      <c r="X230" s="2602">
        <v>12.5</v>
      </c>
      <c r="Y230" s="2603">
        <f t="shared" si="62"/>
        <v>12.5</v>
      </c>
      <c r="Z230" s="2603">
        <f t="shared" si="66"/>
        <v>0</v>
      </c>
      <c r="AA230" s="2603">
        <f t="shared" si="57"/>
        <v>0</v>
      </c>
      <c r="AB230" s="2603"/>
      <c r="AC230" s="2603"/>
      <c r="AD230" s="2632"/>
    </row>
    <row r="231" spans="1:30" s="2612" customFormat="1" ht="31.5" x14ac:dyDescent="0.25">
      <c r="A231" s="2598"/>
      <c r="B231" s="296" t="s">
        <v>1603</v>
      </c>
      <c r="C231" s="2600"/>
      <c r="D231" s="2601"/>
      <c r="E231" s="2602"/>
      <c r="F231" s="2602"/>
      <c r="G231" s="2602"/>
      <c r="H231" s="2603"/>
      <c r="I231" s="2600">
        <v>17</v>
      </c>
      <c r="J231" s="2601">
        <f t="shared" si="58"/>
        <v>500</v>
      </c>
      <c r="K231" s="2602"/>
      <c r="L231" s="2602">
        <v>8.5</v>
      </c>
      <c r="M231" s="2602"/>
      <c r="N231" s="2603">
        <f t="shared" si="59"/>
        <v>8.5</v>
      </c>
      <c r="O231" s="2600">
        <v>15</v>
      </c>
      <c r="P231" s="2601">
        <f t="shared" si="64"/>
        <v>500</v>
      </c>
      <c r="Q231" s="2602"/>
      <c r="R231" s="2602">
        <v>7.5</v>
      </c>
      <c r="S231" s="2602"/>
      <c r="T231" s="2603">
        <f t="shared" si="65"/>
        <v>7.5</v>
      </c>
      <c r="U231" s="2600"/>
      <c r="V231" s="2601"/>
      <c r="W231" s="2602"/>
      <c r="X231" s="2602">
        <v>9</v>
      </c>
      <c r="Y231" s="2603">
        <f t="shared" si="62"/>
        <v>9</v>
      </c>
      <c r="Z231" s="2603">
        <f t="shared" si="66"/>
        <v>0</v>
      </c>
      <c r="AA231" s="2603">
        <f t="shared" si="57"/>
        <v>0</v>
      </c>
      <c r="AB231" s="2603"/>
      <c r="AC231" s="2603"/>
      <c r="AD231" s="2632"/>
    </row>
    <row r="232" spans="1:30" s="2612" customFormat="1" x14ac:dyDescent="0.25">
      <c r="A232" s="2598"/>
      <c r="B232" s="296" t="s">
        <v>1604</v>
      </c>
      <c r="C232" s="2600"/>
      <c r="D232" s="2601"/>
      <c r="E232" s="2602"/>
      <c r="F232" s="2602"/>
      <c r="G232" s="2602"/>
      <c r="H232" s="2603"/>
      <c r="I232" s="2600"/>
      <c r="J232" s="2601"/>
      <c r="K232" s="2602"/>
      <c r="L232" s="2602"/>
      <c r="M232" s="2602"/>
      <c r="N232" s="2603">
        <f t="shared" si="59"/>
        <v>0</v>
      </c>
      <c r="O232" s="2600"/>
      <c r="P232" s="2601"/>
      <c r="Q232" s="2602"/>
      <c r="R232" s="2602"/>
      <c r="S232" s="2602"/>
      <c r="T232" s="2603">
        <f t="shared" si="65"/>
        <v>0</v>
      </c>
      <c r="U232" s="2600"/>
      <c r="V232" s="2601"/>
      <c r="W232" s="2602"/>
      <c r="X232" s="2602">
        <v>42</v>
      </c>
      <c r="Y232" s="2603">
        <f t="shared" si="62"/>
        <v>42</v>
      </c>
      <c r="Z232" s="2603">
        <f t="shared" si="66"/>
        <v>0</v>
      </c>
      <c r="AA232" s="2603">
        <f t="shared" si="57"/>
        <v>0</v>
      </c>
      <c r="AB232" s="2603"/>
      <c r="AC232" s="2603"/>
      <c r="AD232" s="2632"/>
    </row>
    <row r="233" spans="1:30" s="2612" customFormat="1" x14ac:dyDescent="0.25">
      <c r="A233" s="2598"/>
      <c r="B233" s="296" t="s">
        <v>2366</v>
      </c>
      <c r="C233" s="2600"/>
      <c r="D233" s="2601"/>
      <c r="E233" s="2602"/>
      <c r="F233" s="2602"/>
      <c r="G233" s="2602"/>
      <c r="H233" s="2603"/>
      <c r="I233" s="2600">
        <v>1</v>
      </c>
      <c r="J233" s="2601">
        <f t="shared" si="58"/>
        <v>8500</v>
      </c>
      <c r="K233" s="2602"/>
      <c r="L233" s="2602">
        <v>8.5</v>
      </c>
      <c r="M233" s="2602"/>
      <c r="N233" s="2603">
        <f t="shared" si="59"/>
        <v>8.5</v>
      </c>
      <c r="O233" s="2600"/>
      <c r="P233" s="2601"/>
      <c r="Q233" s="2602"/>
      <c r="R233" s="2602"/>
      <c r="S233" s="2602"/>
      <c r="T233" s="2603">
        <f t="shared" si="65"/>
        <v>0</v>
      </c>
      <c r="U233" s="2600"/>
      <c r="V233" s="2601"/>
      <c r="W233" s="2602"/>
      <c r="X233" s="2602"/>
      <c r="Y233" s="2603">
        <f t="shared" si="62"/>
        <v>0</v>
      </c>
      <c r="Z233" s="2603">
        <f t="shared" si="66"/>
        <v>0</v>
      </c>
      <c r="AA233" s="2603">
        <f t="shared" si="57"/>
        <v>0</v>
      </c>
      <c r="AB233" s="2603"/>
      <c r="AC233" s="2603"/>
      <c r="AD233" s="2632"/>
    </row>
    <row r="234" spans="1:30" s="2612" customFormat="1" x14ac:dyDescent="0.25">
      <c r="A234" s="2598"/>
      <c r="B234" s="296" t="s">
        <v>2367</v>
      </c>
      <c r="C234" s="2600"/>
      <c r="D234" s="2601"/>
      <c r="E234" s="2602"/>
      <c r="F234" s="2602"/>
      <c r="G234" s="2602"/>
      <c r="H234" s="2603"/>
      <c r="I234" s="2600">
        <v>6</v>
      </c>
      <c r="J234" s="2601">
        <f t="shared" si="58"/>
        <v>1500</v>
      </c>
      <c r="K234" s="2602"/>
      <c r="L234" s="2602">
        <v>9</v>
      </c>
      <c r="M234" s="2602"/>
      <c r="N234" s="2603">
        <f t="shared" si="59"/>
        <v>9</v>
      </c>
      <c r="O234" s="2600">
        <v>5</v>
      </c>
      <c r="P234" s="2601">
        <f t="shared" si="64"/>
        <v>1500</v>
      </c>
      <c r="Q234" s="2602"/>
      <c r="R234" s="2602">
        <v>7.5</v>
      </c>
      <c r="S234" s="2602"/>
      <c r="T234" s="2603">
        <f t="shared" si="65"/>
        <v>7.5</v>
      </c>
      <c r="U234" s="2600"/>
      <c r="V234" s="2601"/>
      <c r="W234" s="2602"/>
      <c r="X234" s="2602">
        <v>9</v>
      </c>
      <c r="Y234" s="2603">
        <f t="shared" si="62"/>
        <v>9</v>
      </c>
      <c r="Z234" s="2603">
        <f t="shared" si="66"/>
        <v>0</v>
      </c>
      <c r="AA234" s="2603">
        <f t="shared" si="57"/>
        <v>0</v>
      </c>
      <c r="AB234" s="2603"/>
      <c r="AC234" s="2603"/>
      <c r="AD234" s="2632"/>
    </row>
    <row r="235" spans="1:30" s="2612" customFormat="1" ht="47.25" x14ac:dyDescent="0.25">
      <c r="A235" s="2598"/>
      <c r="B235" s="296" t="s">
        <v>2368</v>
      </c>
      <c r="C235" s="2600"/>
      <c r="D235" s="2601"/>
      <c r="E235" s="2602"/>
      <c r="F235" s="2602"/>
      <c r="G235" s="2602"/>
      <c r="H235" s="2603"/>
      <c r="I235" s="2600">
        <v>4</v>
      </c>
      <c r="J235" s="2601">
        <f t="shared" si="58"/>
        <v>2900</v>
      </c>
      <c r="K235" s="2602"/>
      <c r="L235" s="2602">
        <v>11.6</v>
      </c>
      <c r="M235" s="2602"/>
      <c r="N235" s="2603">
        <f t="shared" si="59"/>
        <v>11.6</v>
      </c>
      <c r="O235" s="2600">
        <v>4</v>
      </c>
      <c r="P235" s="2601">
        <f t="shared" si="64"/>
        <v>2900</v>
      </c>
      <c r="Q235" s="2602"/>
      <c r="R235" s="2602">
        <v>11.6</v>
      </c>
      <c r="S235" s="2602"/>
      <c r="T235" s="2603">
        <f t="shared" si="65"/>
        <v>11.6</v>
      </c>
      <c r="U235" s="2600"/>
      <c r="V235" s="2601"/>
      <c r="W235" s="2602"/>
      <c r="X235" s="2602">
        <v>14.5</v>
      </c>
      <c r="Y235" s="2603">
        <f t="shared" si="62"/>
        <v>14.5</v>
      </c>
      <c r="Z235" s="2603">
        <f t="shared" si="66"/>
        <v>0</v>
      </c>
      <c r="AA235" s="2603">
        <f t="shared" si="57"/>
        <v>0</v>
      </c>
      <c r="AB235" s="2603"/>
      <c r="AC235" s="2603"/>
      <c r="AD235" s="2632"/>
    </row>
    <row r="236" spans="1:30" s="2612" customFormat="1" ht="37.5" customHeight="1" x14ac:dyDescent="0.25">
      <c r="A236" s="2598"/>
      <c r="B236" s="296" t="s">
        <v>2369</v>
      </c>
      <c r="C236" s="2600"/>
      <c r="D236" s="2601"/>
      <c r="E236" s="2602"/>
      <c r="F236" s="2602"/>
      <c r="G236" s="2602"/>
      <c r="H236" s="2603"/>
      <c r="I236" s="2600"/>
      <c r="J236" s="2601"/>
      <c r="K236" s="2602"/>
      <c r="L236" s="2602"/>
      <c r="M236" s="2602"/>
      <c r="N236" s="2603"/>
      <c r="O236" s="2600"/>
      <c r="P236" s="2601"/>
      <c r="Q236" s="2602"/>
      <c r="R236" s="2602"/>
      <c r="S236" s="2602"/>
      <c r="T236" s="2603"/>
      <c r="U236" s="2600"/>
      <c r="V236" s="2601"/>
      <c r="W236" s="2602"/>
      <c r="X236" s="2602">
        <v>12</v>
      </c>
      <c r="Y236" s="2603">
        <f t="shared" si="62"/>
        <v>12</v>
      </c>
      <c r="Z236" s="2603">
        <f t="shared" si="66"/>
        <v>0</v>
      </c>
      <c r="AA236" s="2603">
        <f t="shared" si="57"/>
        <v>0</v>
      </c>
      <c r="AB236" s="2603"/>
      <c r="AC236" s="2603"/>
      <c r="AD236" s="2636"/>
    </row>
    <row r="237" spans="1:30" x14ac:dyDescent="0.25">
      <c r="A237" s="2614" t="s">
        <v>376</v>
      </c>
      <c r="B237" s="2591" t="s">
        <v>377</v>
      </c>
      <c r="C237" s="2592">
        <f>SUM(C238:C577)</f>
        <v>4672</v>
      </c>
      <c r="D237" s="2593">
        <f t="shared" ref="D237:H237" si="67">SUM(D238:D577)</f>
        <v>740740.8</v>
      </c>
      <c r="E237" s="2593">
        <f t="shared" si="67"/>
        <v>881</v>
      </c>
      <c r="F237" s="2593">
        <f t="shared" si="67"/>
        <v>922.4</v>
      </c>
      <c r="G237" s="2593">
        <f t="shared" si="67"/>
        <v>0</v>
      </c>
      <c r="H237" s="2594">
        <f t="shared" si="67"/>
        <v>1803.4</v>
      </c>
      <c r="I237" s="2592">
        <f>SUM(I568:I577)</f>
        <v>43451</v>
      </c>
      <c r="J237" s="2593">
        <f t="shared" ref="J237:AC237" si="68">SUM(J568:J577)</f>
        <v>23811.4</v>
      </c>
      <c r="K237" s="2593">
        <f t="shared" si="68"/>
        <v>0</v>
      </c>
      <c r="L237" s="2593">
        <f t="shared" si="68"/>
        <v>335</v>
      </c>
      <c r="M237" s="2593">
        <f t="shared" si="68"/>
        <v>0</v>
      </c>
      <c r="N237" s="2594">
        <f t="shared" si="68"/>
        <v>335</v>
      </c>
      <c r="O237" s="2592">
        <f t="shared" si="68"/>
        <v>36379</v>
      </c>
      <c r="P237" s="2593">
        <f t="shared" si="68"/>
        <v>23811.4</v>
      </c>
      <c r="Q237" s="2593">
        <f t="shared" si="68"/>
        <v>0</v>
      </c>
      <c r="R237" s="2593">
        <f t="shared" si="68"/>
        <v>284.8</v>
      </c>
      <c r="S237" s="2593">
        <f t="shared" si="68"/>
        <v>0</v>
      </c>
      <c r="T237" s="2594">
        <f t="shared" si="68"/>
        <v>284.8</v>
      </c>
      <c r="U237" s="2592">
        <f t="shared" si="68"/>
        <v>54797</v>
      </c>
      <c r="V237" s="2593">
        <f t="shared" si="68"/>
        <v>26633.5</v>
      </c>
      <c r="W237" s="2593">
        <f t="shared" si="68"/>
        <v>55.6</v>
      </c>
      <c r="X237" s="2593">
        <f t="shared" si="68"/>
        <v>461.1</v>
      </c>
      <c r="Y237" s="2594">
        <f t="shared" si="68"/>
        <v>516.70000000000005</v>
      </c>
      <c r="Z237" s="2594">
        <f t="shared" si="68"/>
        <v>55.6</v>
      </c>
      <c r="AA237" s="2594">
        <f t="shared" si="57"/>
        <v>0</v>
      </c>
      <c r="AB237" s="2631">
        <f t="shared" si="68"/>
        <v>0</v>
      </c>
      <c r="AC237" s="2631">
        <f t="shared" si="68"/>
        <v>0</v>
      </c>
      <c r="AD237" s="2597"/>
    </row>
    <row r="238" spans="1:30" s="2612" customFormat="1" ht="31.5" x14ac:dyDescent="0.25">
      <c r="A238" s="2615"/>
      <c r="B238" s="2618" t="s">
        <v>2370</v>
      </c>
      <c r="C238" s="2619">
        <v>1</v>
      </c>
      <c r="D238" s="2602">
        <f t="shared" ref="D238:D301" si="69">(F238/C238*1000)+(E238/C238*1000)</f>
        <v>84700</v>
      </c>
      <c r="E238" s="2602"/>
      <c r="F238" s="2602">
        <v>84.7</v>
      </c>
      <c r="G238" s="2602"/>
      <c r="H238" s="2603">
        <f t="shared" ref="H238:H301" si="70">SUM(E238:G238)</f>
        <v>84.7</v>
      </c>
      <c r="I238" s="2619"/>
      <c r="J238" s="2602"/>
      <c r="K238" s="2602"/>
      <c r="L238" s="2602"/>
      <c r="M238" s="2602"/>
      <c r="N238" s="2603"/>
      <c r="O238" s="2619"/>
      <c r="P238" s="2602"/>
      <c r="Q238" s="2602"/>
      <c r="R238" s="2602"/>
      <c r="S238" s="2602"/>
      <c r="T238" s="2603"/>
      <c r="U238" s="2619"/>
      <c r="V238" s="2602"/>
      <c r="W238" s="2602"/>
      <c r="X238" s="2602"/>
      <c r="Y238" s="2603"/>
      <c r="Z238" s="2603">
        <f t="shared" ref="Z238:Z301" si="71">W238-K238</f>
        <v>0</v>
      </c>
      <c r="AA238" s="2603">
        <f t="shared" si="57"/>
        <v>0</v>
      </c>
      <c r="AB238" s="2603"/>
      <c r="AC238" s="2603"/>
      <c r="AD238" s="2620"/>
    </row>
    <row r="239" spans="1:30" s="2612" customFormat="1" x14ac:dyDescent="0.25">
      <c r="A239" s="2615"/>
      <c r="B239" s="2618" t="s">
        <v>2371</v>
      </c>
      <c r="C239" s="2619">
        <v>25</v>
      </c>
      <c r="D239" s="2602">
        <f t="shared" si="69"/>
        <v>100</v>
      </c>
      <c r="E239" s="2602"/>
      <c r="F239" s="2602">
        <v>2.5</v>
      </c>
      <c r="G239" s="2602"/>
      <c r="H239" s="2603">
        <f t="shared" si="70"/>
        <v>2.5</v>
      </c>
      <c r="I239" s="2619"/>
      <c r="J239" s="2602"/>
      <c r="K239" s="2602"/>
      <c r="L239" s="2602"/>
      <c r="M239" s="2602"/>
      <c r="N239" s="2603"/>
      <c r="O239" s="2619"/>
      <c r="P239" s="2602"/>
      <c r="Q239" s="2602"/>
      <c r="R239" s="2602"/>
      <c r="S239" s="2602"/>
      <c r="T239" s="2603"/>
      <c r="U239" s="2619"/>
      <c r="V239" s="2602"/>
      <c r="W239" s="2602"/>
      <c r="X239" s="2602"/>
      <c r="Y239" s="2603"/>
      <c r="Z239" s="2603">
        <f t="shared" si="71"/>
        <v>0</v>
      </c>
      <c r="AA239" s="2603">
        <f t="shared" si="57"/>
        <v>0</v>
      </c>
      <c r="AB239" s="2603"/>
      <c r="AC239" s="2603"/>
      <c r="AD239" s="2620"/>
    </row>
    <row r="240" spans="1:30" s="2612" customFormat="1" x14ac:dyDescent="0.25">
      <c r="A240" s="2615"/>
      <c r="B240" s="2618" t="s">
        <v>2371</v>
      </c>
      <c r="C240" s="2619">
        <v>30</v>
      </c>
      <c r="D240" s="2602">
        <f t="shared" si="69"/>
        <v>80</v>
      </c>
      <c r="E240" s="2602"/>
      <c r="F240" s="2602">
        <v>2.4</v>
      </c>
      <c r="G240" s="2602"/>
      <c r="H240" s="2603">
        <f t="shared" si="70"/>
        <v>2.4</v>
      </c>
      <c r="I240" s="2619"/>
      <c r="J240" s="2602"/>
      <c r="K240" s="2602"/>
      <c r="L240" s="2602"/>
      <c r="M240" s="2602"/>
      <c r="N240" s="2603"/>
      <c r="O240" s="2619"/>
      <c r="P240" s="2602"/>
      <c r="Q240" s="2602"/>
      <c r="R240" s="2602"/>
      <c r="S240" s="2602"/>
      <c r="T240" s="2603"/>
      <c r="U240" s="2619"/>
      <c r="V240" s="2602"/>
      <c r="W240" s="2602"/>
      <c r="X240" s="2602"/>
      <c r="Y240" s="2603"/>
      <c r="Z240" s="2603">
        <f t="shared" si="71"/>
        <v>0</v>
      </c>
      <c r="AA240" s="2603">
        <f t="shared" si="57"/>
        <v>0</v>
      </c>
      <c r="AB240" s="2603"/>
      <c r="AC240" s="2603"/>
      <c r="AD240" s="2620"/>
    </row>
    <row r="241" spans="1:30" s="2612" customFormat="1" x14ac:dyDescent="0.25">
      <c r="A241" s="2615"/>
      <c r="B241" s="2618" t="s">
        <v>2371</v>
      </c>
      <c r="C241" s="2619">
        <v>30</v>
      </c>
      <c r="D241" s="2602">
        <f t="shared" si="69"/>
        <v>80</v>
      </c>
      <c r="E241" s="2602"/>
      <c r="F241" s="2602">
        <v>2.4</v>
      </c>
      <c r="G241" s="2602"/>
      <c r="H241" s="2603">
        <f t="shared" si="70"/>
        <v>2.4</v>
      </c>
      <c r="I241" s="2619"/>
      <c r="J241" s="2602"/>
      <c r="K241" s="2602"/>
      <c r="L241" s="2602"/>
      <c r="M241" s="2602"/>
      <c r="N241" s="2603"/>
      <c r="O241" s="2619"/>
      <c r="P241" s="2602"/>
      <c r="Q241" s="2602"/>
      <c r="R241" s="2602"/>
      <c r="S241" s="2602"/>
      <c r="T241" s="2603"/>
      <c r="U241" s="2619"/>
      <c r="V241" s="2602"/>
      <c r="W241" s="2602"/>
      <c r="X241" s="2602"/>
      <c r="Y241" s="2603"/>
      <c r="Z241" s="2603">
        <f t="shared" si="71"/>
        <v>0</v>
      </c>
      <c r="AA241" s="2603">
        <f t="shared" si="57"/>
        <v>0</v>
      </c>
      <c r="AB241" s="2603"/>
      <c r="AC241" s="2603"/>
      <c r="AD241" s="2620"/>
    </row>
    <row r="242" spans="1:30" s="2612" customFormat="1" x14ac:dyDescent="0.25">
      <c r="A242" s="2615"/>
      <c r="B242" s="2618" t="s">
        <v>2200</v>
      </c>
      <c r="C242" s="2619">
        <v>30</v>
      </c>
      <c r="D242" s="2602">
        <f t="shared" si="69"/>
        <v>80</v>
      </c>
      <c r="E242" s="2602"/>
      <c r="F242" s="2602">
        <v>2.4</v>
      </c>
      <c r="G242" s="2602"/>
      <c r="H242" s="2603">
        <f t="shared" si="70"/>
        <v>2.4</v>
      </c>
      <c r="I242" s="2619"/>
      <c r="J242" s="2602"/>
      <c r="K242" s="2602"/>
      <c r="L242" s="2602"/>
      <c r="M242" s="2602"/>
      <c r="N242" s="2603"/>
      <c r="O242" s="2619"/>
      <c r="P242" s="2602"/>
      <c r="Q242" s="2602"/>
      <c r="R242" s="2602"/>
      <c r="S242" s="2602"/>
      <c r="T242" s="2603"/>
      <c r="U242" s="2619"/>
      <c r="V242" s="2602"/>
      <c r="W242" s="2602"/>
      <c r="X242" s="2602"/>
      <c r="Y242" s="2603"/>
      <c r="Z242" s="2603">
        <f t="shared" si="71"/>
        <v>0</v>
      </c>
      <c r="AA242" s="2603">
        <f t="shared" si="57"/>
        <v>0</v>
      </c>
      <c r="AB242" s="2603"/>
      <c r="AC242" s="2603"/>
      <c r="AD242" s="2620"/>
    </row>
    <row r="243" spans="1:30" s="2612" customFormat="1" ht="31.5" x14ac:dyDescent="0.25">
      <c r="A243" s="2615"/>
      <c r="B243" s="2618" t="s">
        <v>2372</v>
      </c>
      <c r="C243" s="2619">
        <v>2</v>
      </c>
      <c r="D243" s="2602">
        <f t="shared" si="69"/>
        <v>42350</v>
      </c>
      <c r="E243" s="2602"/>
      <c r="F243" s="2602">
        <v>84.7</v>
      </c>
      <c r="G243" s="2602"/>
      <c r="H243" s="2603">
        <f t="shared" si="70"/>
        <v>84.7</v>
      </c>
      <c r="I243" s="2619"/>
      <c r="J243" s="2602"/>
      <c r="K243" s="2602"/>
      <c r="L243" s="2602"/>
      <c r="M243" s="2602"/>
      <c r="N243" s="2603"/>
      <c r="O243" s="2619"/>
      <c r="P243" s="2602"/>
      <c r="Q243" s="2602"/>
      <c r="R243" s="2602"/>
      <c r="S243" s="2602"/>
      <c r="T243" s="2603"/>
      <c r="U243" s="2619"/>
      <c r="V243" s="2602"/>
      <c r="W243" s="2602"/>
      <c r="X243" s="2602"/>
      <c r="Y243" s="2603"/>
      <c r="Z243" s="2603">
        <f t="shared" si="71"/>
        <v>0</v>
      </c>
      <c r="AA243" s="2603">
        <f t="shared" si="57"/>
        <v>0</v>
      </c>
      <c r="AB243" s="2603"/>
      <c r="AC243" s="2603"/>
      <c r="AD243" s="2620"/>
    </row>
    <row r="244" spans="1:30" s="2612" customFormat="1" x14ac:dyDescent="0.25">
      <c r="A244" s="2615"/>
      <c r="B244" s="2618" t="s">
        <v>2103</v>
      </c>
      <c r="C244" s="2619">
        <v>25</v>
      </c>
      <c r="D244" s="2602">
        <f t="shared" si="69"/>
        <v>200</v>
      </c>
      <c r="E244" s="2602"/>
      <c r="F244" s="2602">
        <v>5</v>
      </c>
      <c r="G244" s="2602"/>
      <c r="H244" s="2603">
        <f t="shared" si="70"/>
        <v>5</v>
      </c>
      <c r="I244" s="2619"/>
      <c r="J244" s="2602"/>
      <c r="K244" s="2602"/>
      <c r="L244" s="2602"/>
      <c r="M244" s="2602"/>
      <c r="N244" s="2603"/>
      <c r="O244" s="2619"/>
      <c r="P244" s="2602"/>
      <c r="Q244" s="2602"/>
      <c r="R244" s="2602"/>
      <c r="S244" s="2602"/>
      <c r="T244" s="2603"/>
      <c r="U244" s="2619"/>
      <c r="V244" s="2602"/>
      <c r="W244" s="2602"/>
      <c r="X244" s="2602"/>
      <c r="Y244" s="2603"/>
      <c r="Z244" s="2603">
        <f t="shared" si="71"/>
        <v>0</v>
      </c>
      <c r="AA244" s="2603">
        <f t="shared" si="57"/>
        <v>0</v>
      </c>
      <c r="AB244" s="2603"/>
      <c r="AC244" s="2603"/>
      <c r="AD244" s="2620"/>
    </row>
    <row r="245" spans="1:30" s="2612" customFormat="1" x14ac:dyDescent="0.25">
      <c r="A245" s="2615"/>
      <c r="B245" s="2618" t="s">
        <v>2103</v>
      </c>
      <c r="C245" s="2619">
        <v>20</v>
      </c>
      <c r="D245" s="2602">
        <f t="shared" si="69"/>
        <v>200</v>
      </c>
      <c r="E245" s="2602"/>
      <c r="F245" s="2602">
        <v>4</v>
      </c>
      <c r="G245" s="2602"/>
      <c r="H245" s="2603">
        <f t="shared" si="70"/>
        <v>4</v>
      </c>
      <c r="I245" s="2619"/>
      <c r="J245" s="2602"/>
      <c r="K245" s="2602"/>
      <c r="L245" s="2602"/>
      <c r="M245" s="2602"/>
      <c r="N245" s="2603"/>
      <c r="O245" s="2619"/>
      <c r="P245" s="2602"/>
      <c r="Q245" s="2602"/>
      <c r="R245" s="2602"/>
      <c r="S245" s="2602"/>
      <c r="T245" s="2603"/>
      <c r="U245" s="2619"/>
      <c r="V245" s="2602"/>
      <c r="W245" s="2602"/>
      <c r="X245" s="2602"/>
      <c r="Y245" s="2603"/>
      <c r="Z245" s="2603">
        <f t="shared" si="71"/>
        <v>0</v>
      </c>
      <c r="AA245" s="2603">
        <f t="shared" si="57"/>
        <v>0</v>
      </c>
      <c r="AB245" s="2603"/>
      <c r="AC245" s="2603"/>
      <c r="AD245" s="2620"/>
    </row>
    <row r="246" spans="1:30" s="2612" customFormat="1" x14ac:dyDescent="0.25">
      <c r="A246" s="2615"/>
      <c r="B246" s="2618" t="s">
        <v>2373</v>
      </c>
      <c r="C246" s="2619">
        <v>230</v>
      </c>
      <c r="D246" s="2602">
        <f t="shared" si="69"/>
        <v>26.1</v>
      </c>
      <c r="E246" s="2602"/>
      <c r="F246" s="2602">
        <v>6</v>
      </c>
      <c r="G246" s="2602"/>
      <c r="H246" s="2603">
        <f t="shared" si="70"/>
        <v>6</v>
      </c>
      <c r="I246" s="2619"/>
      <c r="J246" s="2602"/>
      <c r="K246" s="2602"/>
      <c r="L246" s="2602"/>
      <c r="M246" s="2602"/>
      <c r="N246" s="2603"/>
      <c r="O246" s="2619"/>
      <c r="P246" s="2602"/>
      <c r="Q246" s="2602"/>
      <c r="R246" s="2602"/>
      <c r="S246" s="2602"/>
      <c r="T246" s="2603"/>
      <c r="U246" s="2619"/>
      <c r="V246" s="2602"/>
      <c r="W246" s="2602"/>
      <c r="X246" s="2602"/>
      <c r="Y246" s="2603"/>
      <c r="Z246" s="2603">
        <f t="shared" si="71"/>
        <v>0</v>
      </c>
      <c r="AA246" s="2603">
        <f t="shared" si="57"/>
        <v>0</v>
      </c>
      <c r="AB246" s="2603"/>
      <c r="AC246" s="2603"/>
      <c r="AD246" s="2620"/>
    </row>
    <row r="247" spans="1:30" s="2612" customFormat="1" x14ac:dyDescent="0.25">
      <c r="A247" s="2615"/>
      <c r="B247" s="2618" t="s">
        <v>2374</v>
      </c>
      <c r="C247" s="2619">
        <v>4</v>
      </c>
      <c r="D247" s="2602">
        <f t="shared" si="69"/>
        <v>300</v>
      </c>
      <c r="E247" s="2602"/>
      <c r="F247" s="2602">
        <v>1.2</v>
      </c>
      <c r="G247" s="2602"/>
      <c r="H247" s="2603">
        <f t="shared" si="70"/>
        <v>1.2</v>
      </c>
      <c r="I247" s="2619"/>
      <c r="J247" s="2602"/>
      <c r="K247" s="2602"/>
      <c r="L247" s="2602"/>
      <c r="M247" s="2602"/>
      <c r="N247" s="2603"/>
      <c r="O247" s="2619"/>
      <c r="P247" s="2602"/>
      <c r="Q247" s="2602"/>
      <c r="R247" s="2602"/>
      <c r="S247" s="2602"/>
      <c r="T247" s="2603"/>
      <c r="U247" s="2619"/>
      <c r="V247" s="2602"/>
      <c r="W247" s="2602"/>
      <c r="X247" s="2602"/>
      <c r="Y247" s="2603"/>
      <c r="Z247" s="2603">
        <f t="shared" si="71"/>
        <v>0</v>
      </c>
      <c r="AA247" s="2603">
        <f t="shared" si="57"/>
        <v>0</v>
      </c>
      <c r="AB247" s="2603"/>
      <c r="AC247" s="2603"/>
      <c r="AD247" s="2620"/>
    </row>
    <row r="248" spans="1:30" s="2612" customFormat="1" ht="31.5" x14ac:dyDescent="0.25">
      <c r="A248" s="2615"/>
      <c r="B248" s="2618" t="s">
        <v>2375</v>
      </c>
      <c r="C248" s="2619">
        <v>45</v>
      </c>
      <c r="D248" s="2602">
        <f t="shared" si="69"/>
        <v>1402.2</v>
      </c>
      <c r="E248" s="2602">
        <v>63.1</v>
      </c>
      <c r="F248" s="2602"/>
      <c r="G248" s="2602"/>
      <c r="H248" s="2603">
        <f t="shared" si="70"/>
        <v>63.1</v>
      </c>
      <c r="I248" s="2619"/>
      <c r="J248" s="2602"/>
      <c r="K248" s="2602"/>
      <c r="L248" s="2602"/>
      <c r="M248" s="2602"/>
      <c r="N248" s="2603"/>
      <c r="O248" s="2619"/>
      <c r="P248" s="2602"/>
      <c r="Q248" s="2602"/>
      <c r="R248" s="2602"/>
      <c r="S248" s="2602"/>
      <c r="T248" s="2603"/>
      <c r="U248" s="2619"/>
      <c r="V248" s="2602"/>
      <c r="W248" s="2602"/>
      <c r="X248" s="2602"/>
      <c r="Y248" s="2603"/>
      <c r="Z248" s="2603">
        <f t="shared" si="71"/>
        <v>0</v>
      </c>
      <c r="AA248" s="2603">
        <f t="shared" si="57"/>
        <v>0</v>
      </c>
      <c r="AB248" s="2603"/>
      <c r="AC248" s="2603"/>
      <c r="AD248" s="2620"/>
    </row>
    <row r="249" spans="1:30" s="2612" customFormat="1" x14ac:dyDescent="0.25">
      <c r="A249" s="2615"/>
      <c r="B249" s="2618" t="s">
        <v>2371</v>
      </c>
      <c r="C249" s="2619">
        <v>20</v>
      </c>
      <c r="D249" s="2602">
        <f t="shared" si="69"/>
        <v>100</v>
      </c>
      <c r="E249" s="2602">
        <v>2</v>
      </c>
      <c r="F249" s="2602"/>
      <c r="G249" s="2602"/>
      <c r="H249" s="2603">
        <f t="shared" si="70"/>
        <v>2</v>
      </c>
      <c r="I249" s="2619"/>
      <c r="J249" s="2602"/>
      <c r="K249" s="2602"/>
      <c r="L249" s="2602"/>
      <c r="M249" s="2602"/>
      <c r="N249" s="2603"/>
      <c r="O249" s="2619"/>
      <c r="P249" s="2602"/>
      <c r="Q249" s="2602"/>
      <c r="R249" s="2602"/>
      <c r="S249" s="2602"/>
      <c r="T249" s="2603"/>
      <c r="U249" s="2619"/>
      <c r="V249" s="2602"/>
      <c r="W249" s="2602"/>
      <c r="X249" s="2602"/>
      <c r="Y249" s="2603"/>
      <c r="Z249" s="2603">
        <f t="shared" si="71"/>
        <v>0</v>
      </c>
      <c r="AA249" s="2603">
        <f t="shared" si="57"/>
        <v>0</v>
      </c>
      <c r="AB249" s="2603"/>
      <c r="AC249" s="2603"/>
      <c r="AD249" s="2620"/>
    </row>
    <row r="250" spans="1:30" s="2612" customFormat="1" x14ac:dyDescent="0.25">
      <c r="A250" s="2615"/>
      <c r="B250" s="2618" t="s">
        <v>2376</v>
      </c>
      <c r="C250" s="2619">
        <v>105</v>
      </c>
      <c r="D250" s="2602">
        <f t="shared" si="69"/>
        <v>80</v>
      </c>
      <c r="E250" s="2602">
        <v>8.4</v>
      </c>
      <c r="F250" s="2602"/>
      <c r="G250" s="2602"/>
      <c r="H250" s="2603">
        <f t="shared" si="70"/>
        <v>8.4</v>
      </c>
      <c r="I250" s="2619"/>
      <c r="J250" s="2602"/>
      <c r="K250" s="2602"/>
      <c r="L250" s="2602"/>
      <c r="M250" s="2602"/>
      <c r="N250" s="2603"/>
      <c r="O250" s="2619"/>
      <c r="P250" s="2602"/>
      <c r="Q250" s="2602"/>
      <c r="R250" s="2602"/>
      <c r="S250" s="2602"/>
      <c r="T250" s="2603"/>
      <c r="U250" s="2619"/>
      <c r="V250" s="2602"/>
      <c r="W250" s="2602"/>
      <c r="X250" s="2602"/>
      <c r="Y250" s="2603"/>
      <c r="Z250" s="2603">
        <f t="shared" si="71"/>
        <v>0</v>
      </c>
      <c r="AA250" s="2603">
        <f t="shared" si="57"/>
        <v>0</v>
      </c>
      <c r="AB250" s="2603"/>
      <c r="AC250" s="2603"/>
      <c r="AD250" s="2620"/>
    </row>
    <row r="251" spans="1:30" s="2612" customFormat="1" x14ac:dyDescent="0.25">
      <c r="A251" s="2615"/>
      <c r="B251" s="2618" t="s">
        <v>2377</v>
      </c>
      <c r="C251" s="2619">
        <v>7</v>
      </c>
      <c r="D251" s="2602">
        <f t="shared" si="69"/>
        <v>171.4</v>
      </c>
      <c r="E251" s="2602">
        <v>1.2</v>
      </c>
      <c r="F251" s="2602"/>
      <c r="G251" s="2602"/>
      <c r="H251" s="2603">
        <f t="shared" si="70"/>
        <v>1.2</v>
      </c>
      <c r="I251" s="2619"/>
      <c r="J251" s="2602"/>
      <c r="K251" s="2602"/>
      <c r="L251" s="2602"/>
      <c r="M251" s="2602"/>
      <c r="N251" s="2603"/>
      <c r="O251" s="2619"/>
      <c r="P251" s="2602"/>
      <c r="Q251" s="2602"/>
      <c r="R251" s="2602"/>
      <c r="S251" s="2602"/>
      <c r="T251" s="2603"/>
      <c r="U251" s="2619"/>
      <c r="V251" s="2602"/>
      <c r="W251" s="2602"/>
      <c r="X251" s="2602"/>
      <c r="Y251" s="2603"/>
      <c r="Z251" s="2603">
        <f t="shared" si="71"/>
        <v>0</v>
      </c>
      <c r="AA251" s="2603">
        <f t="shared" si="57"/>
        <v>0</v>
      </c>
      <c r="AB251" s="2603"/>
      <c r="AC251" s="2603"/>
      <c r="AD251" s="2620"/>
    </row>
    <row r="252" spans="1:30" s="2612" customFormat="1" x14ac:dyDescent="0.25">
      <c r="A252" s="2615"/>
      <c r="B252" s="2618" t="s">
        <v>2074</v>
      </c>
      <c r="C252" s="2619">
        <v>4</v>
      </c>
      <c r="D252" s="2602">
        <f t="shared" si="69"/>
        <v>300</v>
      </c>
      <c r="E252" s="2602">
        <v>1.2</v>
      </c>
      <c r="F252" s="2602"/>
      <c r="G252" s="2602"/>
      <c r="H252" s="2603">
        <f t="shared" si="70"/>
        <v>1.2</v>
      </c>
      <c r="I252" s="2619"/>
      <c r="J252" s="2602"/>
      <c r="K252" s="2602"/>
      <c r="L252" s="2602"/>
      <c r="M252" s="2602"/>
      <c r="N252" s="2603"/>
      <c r="O252" s="2619"/>
      <c r="P252" s="2602"/>
      <c r="Q252" s="2602"/>
      <c r="R252" s="2602"/>
      <c r="S252" s="2602"/>
      <c r="T252" s="2603"/>
      <c r="U252" s="2619"/>
      <c r="V252" s="2602"/>
      <c r="W252" s="2602"/>
      <c r="X252" s="2602"/>
      <c r="Y252" s="2603"/>
      <c r="Z252" s="2603">
        <f t="shared" si="71"/>
        <v>0</v>
      </c>
      <c r="AA252" s="2603">
        <f t="shared" si="57"/>
        <v>0</v>
      </c>
      <c r="AB252" s="2603"/>
      <c r="AC252" s="2603"/>
      <c r="AD252" s="2620"/>
    </row>
    <row r="253" spans="1:30" s="2612" customFormat="1" x14ac:dyDescent="0.25">
      <c r="A253" s="2615"/>
      <c r="B253" s="2618" t="s">
        <v>2074</v>
      </c>
      <c r="C253" s="2619">
        <v>4</v>
      </c>
      <c r="D253" s="2602">
        <f t="shared" si="69"/>
        <v>300</v>
      </c>
      <c r="E253" s="2602">
        <v>1.2</v>
      </c>
      <c r="F253" s="2602"/>
      <c r="G253" s="2602"/>
      <c r="H253" s="2603">
        <f t="shared" si="70"/>
        <v>1.2</v>
      </c>
      <c r="I253" s="2619"/>
      <c r="J253" s="2602"/>
      <c r="K253" s="2602"/>
      <c r="L253" s="2602"/>
      <c r="M253" s="2602"/>
      <c r="N253" s="2603"/>
      <c r="O253" s="2619"/>
      <c r="P253" s="2602"/>
      <c r="Q253" s="2602"/>
      <c r="R253" s="2602"/>
      <c r="S253" s="2602"/>
      <c r="T253" s="2603"/>
      <c r="U253" s="2619"/>
      <c r="V253" s="2602"/>
      <c r="W253" s="2602"/>
      <c r="X253" s="2602"/>
      <c r="Y253" s="2603"/>
      <c r="Z253" s="2603">
        <f t="shared" si="71"/>
        <v>0</v>
      </c>
      <c r="AA253" s="2603">
        <f t="shared" si="57"/>
        <v>0</v>
      </c>
      <c r="AB253" s="2603"/>
      <c r="AC253" s="2603"/>
      <c r="AD253" s="2620"/>
    </row>
    <row r="254" spans="1:30" s="2612" customFormat="1" x14ac:dyDescent="0.25">
      <c r="A254" s="2615"/>
      <c r="B254" s="2618" t="s">
        <v>1363</v>
      </c>
      <c r="C254" s="2619">
        <v>2</v>
      </c>
      <c r="D254" s="2602">
        <f t="shared" si="69"/>
        <v>800</v>
      </c>
      <c r="E254" s="2602">
        <v>1.6</v>
      </c>
      <c r="F254" s="2602"/>
      <c r="G254" s="2602"/>
      <c r="H254" s="2603">
        <f t="shared" si="70"/>
        <v>1.6</v>
      </c>
      <c r="I254" s="2619"/>
      <c r="J254" s="2602"/>
      <c r="K254" s="2602"/>
      <c r="L254" s="2602"/>
      <c r="M254" s="2602"/>
      <c r="N254" s="2603"/>
      <c r="O254" s="2619"/>
      <c r="P254" s="2602"/>
      <c r="Q254" s="2602"/>
      <c r="R254" s="2602"/>
      <c r="S254" s="2602"/>
      <c r="T254" s="2603"/>
      <c r="U254" s="2619"/>
      <c r="V254" s="2602"/>
      <c r="W254" s="2602"/>
      <c r="X254" s="2602"/>
      <c r="Y254" s="2603"/>
      <c r="Z254" s="2603">
        <f t="shared" si="71"/>
        <v>0</v>
      </c>
      <c r="AA254" s="2603">
        <f t="shared" si="57"/>
        <v>0</v>
      </c>
      <c r="AB254" s="2603"/>
      <c r="AC254" s="2603"/>
      <c r="AD254" s="2620"/>
    </row>
    <row r="255" spans="1:30" s="2612" customFormat="1" x14ac:dyDescent="0.25">
      <c r="A255" s="2615"/>
      <c r="B255" s="2618" t="s">
        <v>2378</v>
      </c>
      <c r="C255" s="2619">
        <v>10</v>
      </c>
      <c r="D255" s="2602">
        <f t="shared" si="69"/>
        <v>120</v>
      </c>
      <c r="E255" s="2602">
        <v>1.2</v>
      </c>
      <c r="F255" s="2602"/>
      <c r="G255" s="2602"/>
      <c r="H255" s="2603">
        <f t="shared" si="70"/>
        <v>1.2</v>
      </c>
      <c r="I255" s="2619"/>
      <c r="J255" s="2602"/>
      <c r="K255" s="2602"/>
      <c r="L255" s="2602"/>
      <c r="M255" s="2602"/>
      <c r="N255" s="2603"/>
      <c r="O255" s="2619"/>
      <c r="P255" s="2602"/>
      <c r="Q255" s="2602"/>
      <c r="R255" s="2602"/>
      <c r="S255" s="2602"/>
      <c r="T255" s="2603"/>
      <c r="U255" s="2619"/>
      <c r="V255" s="2602"/>
      <c r="W255" s="2602"/>
      <c r="X255" s="2602"/>
      <c r="Y255" s="2603"/>
      <c r="Z255" s="2603">
        <f t="shared" si="71"/>
        <v>0</v>
      </c>
      <c r="AA255" s="2603">
        <f t="shared" si="57"/>
        <v>0</v>
      </c>
      <c r="AB255" s="2603"/>
      <c r="AC255" s="2603"/>
      <c r="AD255" s="2620"/>
    </row>
    <row r="256" spans="1:30" s="2612" customFormat="1" x14ac:dyDescent="0.25">
      <c r="A256" s="2615"/>
      <c r="B256" s="2618" t="s">
        <v>2090</v>
      </c>
      <c r="C256" s="2619">
        <v>60</v>
      </c>
      <c r="D256" s="2602">
        <f t="shared" si="69"/>
        <v>60</v>
      </c>
      <c r="E256" s="2602"/>
      <c r="F256" s="2602">
        <v>3.6</v>
      </c>
      <c r="G256" s="2602"/>
      <c r="H256" s="2603">
        <f t="shared" si="70"/>
        <v>3.6</v>
      </c>
      <c r="I256" s="2619"/>
      <c r="J256" s="2602"/>
      <c r="K256" s="2602"/>
      <c r="L256" s="2602"/>
      <c r="M256" s="2602"/>
      <c r="N256" s="2603"/>
      <c r="O256" s="2619"/>
      <c r="P256" s="2602"/>
      <c r="Q256" s="2602"/>
      <c r="R256" s="2602"/>
      <c r="S256" s="2602"/>
      <c r="T256" s="2603"/>
      <c r="U256" s="2619"/>
      <c r="V256" s="2602"/>
      <c r="W256" s="2602"/>
      <c r="X256" s="2602"/>
      <c r="Y256" s="2603"/>
      <c r="Z256" s="2603">
        <f t="shared" si="71"/>
        <v>0</v>
      </c>
      <c r="AA256" s="2603">
        <f t="shared" si="57"/>
        <v>0</v>
      </c>
      <c r="AB256" s="2603"/>
      <c r="AC256" s="2603"/>
      <c r="AD256" s="2620"/>
    </row>
    <row r="257" spans="1:30" s="2612" customFormat="1" x14ac:dyDescent="0.25">
      <c r="A257" s="2615"/>
      <c r="B257" s="2618" t="s">
        <v>2090</v>
      </c>
      <c r="C257" s="2619">
        <v>30</v>
      </c>
      <c r="D257" s="2602">
        <f t="shared" si="69"/>
        <v>60</v>
      </c>
      <c r="E257" s="2602"/>
      <c r="F257" s="2602">
        <v>1.8</v>
      </c>
      <c r="G257" s="2602"/>
      <c r="H257" s="2603">
        <f t="shared" si="70"/>
        <v>1.8</v>
      </c>
      <c r="I257" s="2619"/>
      <c r="J257" s="2602"/>
      <c r="K257" s="2602"/>
      <c r="L257" s="2602"/>
      <c r="M257" s="2602"/>
      <c r="N257" s="2603"/>
      <c r="O257" s="2619"/>
      <c r="P257" s="2602"/>
      <c r="Q257" s="2602"/>
      <c r="R257" s="2602"/>
      <c r="S257" s="2602"/>
      <c r="T257" s="2603"/>
      <c r="U257" s="2619"/>
      <c r="V257" s="2602"/>
      <c r="W257" s="2602"/>
      <c r="X257" s="2602"/>
      <c r="Y257" s="2603"/>
      <c r="Z257" s="2603">
        <f t="shared" si="71"/>
        <v>0</v>
      </c>
      <c r="AA257" s="2603">
        <f t="shared" si="57"/>
        <v>0</v>
      </c>
      <c r="AB257" s="2603"/>
      <c r="AC257" s="2603"/>
      <c r="AD257" s="2620"/>
    </row>
    <row r="258" spans="1:30" s="2612" customFormat="1" x14ac:dyDescent="0.25">
      <c r="A258" s="2615"/>
      <c r="B258" s="2618" t="s">
        <v>2090</v>
      </c>
      <c r="C258" s="2619">
        <v>60</v>
      </c>
      <c r="D258" s="2602">
        <f t="shared" si="69"/>
        <v>60</v>
      </c>
      <c r="E258" s="2602"/>
      <c r="F258" s="2602">
        <v>3.6</v>
      </c>
      <c r="G258" s="2602"/>
      <c r="H258" s="2603">
        <f t="shared" si="70"/>
        <v>3.6</v>
      </c>
      <c r="I258" s="2619"/>
      <c r="J258" s="2602"/>
      <c r="K258" s="2602"/>
      <c r="L258" s="2602"/>
      <c r="M258" s="2602"/>
      <c r="N258" s="2603"/>
      <c r="O258" s="2619"/>
      <c r="P258" s="2602"/>
      <c r="Q258" s="2602"/>
      <c r="R258" s="2602"/>
      <c r="S258" s="2602"/>
      <c r="T258" s="2603"/>
      <c r="U258" s="2619"/>
      <c r="V258" s="2602"/>
      <c r="W258" s="2602"/>
      <c r="X258" s="2602"/>
      <c r="Y258" s="2603"/>
      <c r="Z258" s="2603">
        <f t="shared" si="71"/>
        <v>0</v>
      </c>
      <c r="AA258" s="2603">
        <f t="shared" si="57"/>
        <v>0</v>
      </c>
      <c r="AB258" s="2603"/>
      <c r="AC258" s="2603"/>
      <c r="AD258" s="2620"/>
    </row>
    <row r="259" spans="1:30" s="2612" customFormat="1" x14ac:dyDescent="0.25">
      <c r="A259" s="2615"/>
      <c r="B259" s="2618" t="s">
        <v>2379</v>
      </c>
      <c r="C259" s="2619">
        <v>21</v>
      </c>
      <c r="D259" s="2602">
        <f t="shared" si="69"/>
        <v>1709.5</v>
      </c>
      <c r="E259" s="2602"/>
      <c r="F259" s="2602">
        <v>35.9</v>
      </c>
      <c r="G259" s="2602"/>
      <c r="H259" s="2603">
        <f t="shared" si="70"/>
        <v>35.9</v>
      </c>
      <c r="I259" s="2619"/>
      <c r="J259" s="2602"/>
      <c r="K259" s="2602"/>
      <c r="L259" s="2602"/>
      <c r="M259" s="2602"/>
      <c r="N259" s="2603"/>
      <c r="O259" s="2619"/>
      <c r="P259" s="2602"/>
      <c r="Q259" s="2602"/>
      <c r="R259" s="2602"/>
      <c r="S259" s="2602"/>
      <c r="T259" s="2603"/>
      <c r="U259" s="2619"/>
      <c r="V259" s="2602"/>
      <c r="W259" s="2602"/>
      <c r="X259" s="2602"/>
      <c r="Y259" s="2603"/>
      <c r="Z259" s="2603">
        <f t="shared" si="71"/>
        <v>0</v>
      </c>
      <c r="AA259" s="2603">
        <f t="shared" si="57"/>
        <v>0</v>
      </c>
      <c r="AB259" s="2603"/>
      <c r="AC259" s="2603"/>
      <c r="AD259" s="2620"/>
    </row>
    <row r="260" spans="1:30" s="2612" customFormat="1" x14ac:dyDescent="0.25">
      <c r="A260" s="2615"/>
      <c r="B260" s="2618" t="s">
        <v>2058</v>
      </c>
      <c r="C260" s="2619">
        <v>1</v>
      </c>
      <c r="D260" s="2602">
        <f t="shared" si="69"/>
        <v>3000</v>
      </c>
      <c r="E260" s="2602"/>
      <c r="F260" s="2602">
        <v>3</v>
      </c>
      <c r="G260" s="2602"/>
      <c r="H260" s="2603">
        <f t="shared" si="70"/>
        <v>3</v>
      </c>
      <c r="I260" s="2619"/>
      <c r="J260" s="2602"/>
      <c r="K260" s="2602"/>
      <c r="L260" s="2602"/>
      <c r="M260" s="2602"/>
      <c r="N260" s="2603"/>
      <c r="O260" s="2619"/>
      <c r="P260" s="2602"/>
      <c r="Q260" s="2602"/>
      <c r="R260" s="2602"/>
      <c r="S260" s="2602"/>
      <c r="T260" s="2603"/>
      <c r="U260" s="2619"/>
      <c r="V260" s="2602"/>
      <c r="W260" s="2602"/>
      <c r="X260" s="2602"/>
      <c r="Y260" s="2603"/>
      <c r="Z260" s="2603">
        <f t="shared" si="71"/>
        <v>0</v>
      </c>
      <c r="AA260" s="2603">
        <f t="shared" si="57"/>
        <v>0</v>
      </c>
      <c r="AB260" s="2603"/>
      <c r="AC260" s="2603"/>
      <c r="AD260" s="2620"/>
    </row>
    <row r="261" spans="1:30" s="2612" customFormat="1" x14ac:dyDescent="0.25">
      <c r="A261" s="2615"/>
      <c r="B261" s="2618" t="s">
        <v>1957</v>
      </c>
      <c r="C261" s="2619">
        <v>50</v>
      </c>
      <c r="D261" s="2602">
        <f t="shared" si="69"/>
        <v>68</v>
      </c>
      <c r="E261" s="2602"/>
      <c r="F261" s="2602">
        <v>3.4</v>
      </c>
      <c r="G261" s="2602"/>
      <c r="H261" s="2603">
        <f t="shared" si="70"/>
        <v>3.4</v>
      </c>
      <c r="I261" s="2619"/>
      <c r="J261" s="2602"/>
      <c r="K261" s="2602"/>
      <c r="L261" s="2602"/>
      <c r="M261" s="2602"/>
      <c r="N261" s="2603"/>
      <c r="O261" s="2619"/>
      <c r="P261" s="2602"/>
      <c r="Q261" s="2602"/>
      <c r="R261" s="2602"/>
      <c r="S261" s="2602"/>
      <c r="T261" s="2603"/>
      <c r="U261" s="2619"/>
      <c r="V261" s="2602"/>
      <c r="W261" s="2602"/>
      <c r="X261" s="2602"/>
      <c r="Y261" s="2603"/>
      <c r="Z261" s="2603">
        <f t="shared" si="71"/>
        <v>0</v>
      </c>
      <c r="AA261" s="2603">
        <f t="shared" si="57"/>
        <v>0</v>
      </c>
      <c r="AB261" s="2603"/>
      <c r="AC261" s="2603"/>
      <c r="AD261" s="2620"/>
    </row>
    <row r="262" spans="1:30" s="2612" customFormat="1" x14ac:dyDescent="0.25">
      <c r="A262" s="2615"/>
      <c r="B262" s="2618" t="s">
        <v>2380</v>
      </c>
      <c r="C262" s="2619">
        <v>8</v>
      </c>
      <c r="D262" s="2602">
        <f t="shared" si="69"/>
        <v>137.5</v>
      </c>
      <c r="E262" s="2602"/>
      <c r="F262" s="2602">
        <v>1.1000000000000001</v>
      </c>
      <c r="G262" s="2602"/>
      <c r="H262" s="2603">
        <f t="shared" si="70"/>
        <v>1.1000000000000001</v>
      </c>
      <c r="I262" s="2619"/>
      <c r="J262" s="2602"/>
      <c r="K262" s="2602"/>
      <c r="L262" s="2602"/>
      <c r="M262" s="2602"/>
      <c r="N262" s="2603"/>
      <c r="O262" s="2619"/>
      <c r="P262" s="2602"/>
      <c r="Q262" s="2602"/>
      <c r="R262" s="2602"/>
      <c r="S262" s="2602"/>
      <c r="T262" s="2603"/>
      <c r="U262" s="2619"/>
      <c r="V262" s="2602"/>
      <c r="W262" s="2602"/>
      <c r="X262" s="2602"/>
      <c r="Y262" s="2603"/>
      <c r="Z262" s="2603">
        <f t="shared" si="71"/>
        <v>0</v>
      </c>
      <c r="AA262" s="2603">
        <f t="shared" si="57"/>
        <v>0</v>
      </c>
      <c r="AB262" s="2603"/>
      <c r="AC262" s="2603"/>
      <c r="AD262" s="2620"/>
    </row>
    <row r="263" spans="1:30" s="2612" customFormat="1" x14ac:dyDescent="0.25">
      <c r="A263" s="2615"/>
      <c r="B263" s="2618" t="s">
        <v>2193</v>
      </c>
      <c r="C263" s="2619">
        <v>12</v>
      </c>
      <c r="D263" s="2602">
        <f t="shared" si="69"/>
        <v>8.3000000000000007</v>
      </c>
      <c r="E263" s="2602"/>
      <c r="F263" s="2602">
        <v>0.1</v>
      </c>
      <c r="G263" s="2602"/>
      <c r="H263" s="2603">
        <f t="shared" si="70"/>
        <v>0.1</v>
      </c>
      <c r="I263" s="2619"/>
      <c r="J263" s="2602"/>
      <c r="K263" s="2602"/>
      <c r="L263" s="2602"/>
      <c r="M263" s="2602"/>
      <c r="N263" s="2603"/>
      <c r="O263" s="2619"/>
      <c r="P263" s="2602"/>
      <c r="Q263" s="2602"/>
      <c r="R263" s="2602"/>
      <c r="S263" s="2602"/>
      <c r="T263" s="2603"/>
      <c r="U263" s="2619"/>
      <c r="V263" s="2602"/>
      <c r="W263" s="2602"/>
      <c r="X263" s="2602"/>
      <c r="Y263" s="2603"/>
      <c r="Z263" s="2603">
        <f t="shared" si="71"/>
        <v>0</v>
      </c>
      <c r="AA263" s="2603">
        <f t="shared" si="57"/>
        <v>0</v>
      </c>
      <c r="AB263" s="2603"/>
      <c r="AC263" s="2603"/>
      <c r="AD263" s="2620"/>
    </row>
    <row r="264" spans="1:30" s="2612" customFormat="1" ht="31.5" x14ac:dyDescent="0.25">
      <c r="A264" s="2615"/>
      <c r="B264" s="2618" t="s">
        <v>2381</v>
      </c>
      <c r="C264" s="2619">
        <v>2</v>
      </c>
      <c r="D264" s="2602">
        <f t="shared" si="69"/>
        <v>200</v>
      </c>
      <c r="E264" s="2602"/>
      <c r="F264" s="2602">
        <v>0.4</v>
      </c>
      <c r="G264" s="2602"/>
      <c r="H264" s="2603">
        <f t="shared" si="70"/>
        <v>0.4</v>
      </c>
      <c r="I264" s="2619"/>
      <c r="J264" s="2602"/>
      <c r="K264" s="2602"/>
      <c r="L264" s="2602"/>
      <c r="M264" s="2602"/>
      <c r="N264" s="2603"/>
      <c r="O264" s="2619"/>
      <c r="P264" s="2602"/>
      <c r="Q264" s="2602"/>
      <c r="R264" s="2602"/>
      <c r="S264" s="2602"/>
      <c r="T264" s="2603"/>
      <c r="U264" s="2619"/>
      <c r="V264" s="2602"/>
      <c r="W264" s="2602"/>
      <c r="X264" s="2602"/>
      <c r="Y264" s="2603"/>
      <c r="Z264" s="2603">
        <f t="shared" si="71"/>
        <v>0</v>
      </c>
      <c r="AA264" s="2603">
        <f t="shared" si="57"/>
        <v>0</v>
      </c>
      <c r="AB264" s="2603"/>
      <c r="AC264" s="2603"/>
      <c r="AD264" s="2620"/>
    </row>
    <row r="265" spans="1:30" s="2612" customFormat="1" x14ac:dyDescent="0.25">
      <c r="A265" s="2615"/>
      <c r="B265" s="2618" t="s">
        <v>2382</v>
      </c>
      <c r="C265" s="2619">
        <v>2</v>
      </c>
      <c r="D265" s="2602">
        <f t="shared" si="69"/>
        <v>50</v>
      </c>
      <c r="E265" s="2602"/>
      <c r="F265" s="2602">
        <v>0.1</v>
      </c>
      <c r="G265" s="2602"/>
      <c r="H265" s="2603">
        <f t="shared" si="70"/>
        <v>0.1</v>
      </c>
      <c r="I265" s="2619"/>
      <c r="J265" s="2602"/>
      <c r="K265" s="2602"/>
      <c r="L265" s="2602"/>
      <c r="M265" s="2602"/>
      <c r="N265" s="2603"/>
      <c r="O265" s="2619"/>
      <c r="P265" s="2602"/>
      <c r="Q265" s="2602"/>
      <c r="R265" s="2602"/>
      <c r="S265" s="2602"/>
      <c r="T265" s="2603"/>
      <c r="U265" s="2619"/>
      <c r="V265" s="2602"/>
      <c r="W265" s="2602"/>
      <c r="X265" s="2602"/>
      <c r="Y265" s="2603"/>
      <c r="Z265" s="2603">
        <f t="shared" si="71"/>
        <v>0</v>
      </c>
      <c r="AA265" s="2603">
        <f t="shared" si="57"/>
        <v>0</v>
      </c>
      <c r="AB265" s="2603"/>
      <c r="AC265" s="2603"/>
      <c r="AD265" s="2620"/>
    </row>
    <row r="266" spans="1:30" s="2612" customFormat="1" x14ac:dyDescent="0.25">
      <c r="A266" s="2615"/>
      <c r="B266" s="2618" t="s">
        <v>2383</v>
      </c>
      <c r="C266" s="2619">
        <v>4</v>
      </c>
      <c r="D266" s="2602">
        <f t="shared" si="69"/>
        <v>150</v>
      </c>
      <c r="E266" s="2602"/>
      <c r="F266" s="2602">
        <v>0.6</v>
      </c>
      <c r="G266" s="2602"/>
      <c r="H266" s="2603">
        <f t="shared" si="70"/>
        <v>0.6</v>
      </c>
      <c r="I266" s="2619"/>
      <c r="J266" s="2602"/>
      <c r="K266" s="2602"/>
      <c r="L266" s="2602"/>
      <c r="M266" s="2602"/>
      <c r="N266" s="2603"/>
      <c r="O266" s="2619"/>
      <c r="P266" s="2602"/>
      <c r="Q266" s="2602"/>
      <c r="R266" s="2602"/>
      <c r="S266" s="2602"/>
      <c r="T266" s="2603"/>
      <c r="U266" s="2619"/>
      <c r="V266" s="2602"/>
      <c r="W266" s="2602"/>
      <c r="X266" s="2602"/>
      <c r="Y266" s="2603"/>
      <c r="Z266" s="2603">
        <f t="shared" si="71"/>
        <v>0</v>
      </c>
      <c r="AA266" s="2603">
        <f t="shared" si="57"/>
        <v>0</v>
      </c>
      <c r="AB266" s="2603"/>
      <c r="AC266" s="2603"/>
      <c r="AD266" s="2620"/>
    </row>
    <row r="267" spans="1:30" s="2612" customFormat="1" x14ac:dyDescent="0.25">
      <c r="A267" s="2615"/>
      <c r="B267" s="2618" t="s">
        <v>2384</v>
      </c>
      <c r="C267" s="2619">
        <v>4</v>
      </c>
      <c r="D267" s="2602">
        <f t="shared" si="69"/>
        <v>125</v>
      </c>
      <c r="E267" s="2602"/>
      <c r="F267" s="2602">
        <v>0.5</v>
      </c>
      <c r="G267" s="2602"/>
      <c r="H267" s="2603">
        <f t="shared" si="70"/>
        <v>0.5</v>
      </c>
      <c r="I267" s="2619"/>
      <c r="J267" s="2602"/>
      <c r="K267" s="2602"/>
      <c r="L267" s="2602"/>
      <c r="M267" s="2602"/>
      <c r="N267" s="2603"/>
      <c r="O267" s="2619"/>
      <c r="P267" s="2602"/>
      <c r="Q267" s="2602"/>
      <c r="R267" s="2602"/>
      <c r="S267" s="2602"/>
      <c r="T267" s="2603"/>
      <c r="U267" s="2619"/>
      <c r="V267" s="2602"/>
      <c r="W267" s="2602"/>
      <c r="X267" s="2602"/>
      <c r="Y267" s="2603"/>
      <c r="Z267" s="2603">
        <f t="shared" si="71"/>
        <v>0</v>
      </c>
      <c r="AA267" s="2603">
        <f t="shared" si="57"/>
        <v>0</v>
      </c>
      <c r="AB267" s="2603"/>
      <c r="AC267" s="2603"/>
      <c r="AD267" s="2620"/>
    </row>
    <row r="268" spans="1:30" s="2612" customFormat="1" x14ac:dyDescent="0.25">
      <c r="A268" s="2615"/>
      <c r="B268" s="2618" t="s">
        <v>2385</v>
      </c>
      <c r="C268" s="2619">
        <v>4</v>
      </c>
      <c r="D268" s="2602">
        <f t="shared" si="69"/>
        <v>300</v>
      </c>
      <c r="E268" s="2602"/>
      <c r="F268" s="2602">
        <v>1.2</v>
      </c>
      <c r="G268" s="2602"/>
      <c r="H268" s="2603">
        <f t="shared" si="70"/>
        <v>1.2</v>
      </c>
      <c r="I268" s="2619"/>
      <c r="J268" s="2602"/>
      <c r="K268" s="2602"/>
      <c r="L268" s="2602"/>
      <c r="M268" s="2602"/>
      <c r="N268" s="2603"/>
      <c r="O268" s="2619"/>
      <c r="P268" s="2602"/>
      <c r="Q268" s="2602"/>
      <c r="R268" s="2602"/>
      <c r="S268" s="2602"/>
      <c r="T268" s="2603"/>
      <c r="U268" s="2619"/>
      <c r="V268" s="2602"/>
      <c r="W268" s="2602"/>
      <c r="X268" s="2602"/>
      <c r="Y268" s="2603"/>
      <c r="Z268" s="2603">
        <f t="shared" si="71"/>
        <v>0</v>
      </c>
      <c r="AA268" s="2603">
        <f t="shared" si="57"/>
        <v>0</v>
      </c>
      <c r="AB268" s="2603"/>
      <c r="AC268" s="2603"/>
      <c r="AD268" s="2620"/>
    </row>
    <row r="269" spans="1:30" s="2612" customFormat="1" x14ac:dyDescent="0.25">
      <c r="A269" s="2615"/>
      <c r="B269" s="2618" t="s">
        <v>2101</v>
      </c>
      <c r="C269" s="2619">
        <v>2</v>
      </c>
      <c r="D269" s="2602">
        <f t="shared" si="69"/>
        <v>1000</v>
      </c>
      <c r="E269" s="2602"/>
      <c r="F269" s="2602">
        <v>2</v>
      </c>
      <c r="G269" s="2602"/>
      <c r="H269" s="2603">
        <f t="shared" si="70"/>
        <v>2</v>
      </c>
      <c r="I269" s="2619"/>
      <c r="J269" s="2602"/>
      <c r="K269" s="2602"/>
      <c r="L269" s="2602"/>
      <c r="M269" s="2602"/>
      <c r="N269" s="2603"/>
      <c r="O269" s="2619"/>
      <c r="P269" s="2602"/>
      <c r="Q269" s="2602"/>
      <c r="R269" s="2602"/>
      <c r="S269" s="2602"/>
      <c r="T269" s="2603"/>
      <c r="U269" s="2619"/>
      <c r="V269" s="2602"/>
      <c r="W269" s="2602"/>
      <c r="X269" s="2602"/>
      <c r="Y269" s="2603"/>
      <c r="Z269" s="2603">
        <f t="shared" si="71"/>
        <v>0</v>
      </c>
      <c r="AA269" s="2603">
        <f t="shared" si="57"/>
        <v>0</v>
      </c>
      <c r="AB269" s="2603"/>
      <c r="AC269" s="2603"/>
      <c r="AD269" s="2620"/>
    </row>
    <row r="270" spans="1:30" s="2612" customFormat="1" x14ac:dyDescent="0.25">
      <c r="A270" s="2615"/>
      <c r="B270" s="2618" t="s">
        <v>2386</v>
      </c>
      <c r="C270" s="2619">
        <v>1</v>
      </c>
      <c r="D270" s="2602">
        <f t="shared" si="69"/>
        <v>2500</v>
      </c>
      <c r="E270" s="2602">
        <v>2.5</v>
      </c>
      <c r="F270" s="2602"/>
      <c r="G270" s="2602"/>
      <c r="H270" s="2603">
        <f t="shared" si="70"/>
        <v>2.5</v>
      </c>
      <c r="I270" s="2619"/>
      <c r="J270" s="2602"/>
      <c r="K270" s="2602"/>
      <c r="L270" s="2602"/>
      <c r="M270" s="2602"/>
      <c r="N270" s="2603"/>
      <c r="O270" s="2619"/>
      <c r="P270" s="2602"/>
      <c r="Q270" s="2602"/>
      <c r="R270" s="2602"/>
      <c r="S270" s="2602"/>
      <c r="T270" s="2603"/>
      <c r="U270" s="2619"/>
      <c r="V270" s="2602"/>
      <c r="W270" s="2602"/>
      <c r="X270" s="2602"/>
      <c r="Y270" s="2603"/>
      <c r="Z270" s="2603">
        <f t="shared" si="71"/>
        <v>0</v>
      </c>
      <c r="AA270" s="2603">
        <f t="shared" si="57"/>
        <v>0</v>
      </c>
      <c r="AB270" s="2603"/>
      <c r="AC270" s="2603"/>
      <c r="AD270" s="2620"/>
    </row>
    <row r="271" spans="1:30" s="2612" customFormat="1" x14ac:dyDescent="0.25">
      <c r="A271" s="2615"/>
      <c r="B271" s="2618" t="s">
        <v>2387</v>
      </c>
      <c r="C271" s="2619">
        <v>1</v>
      </c>
      <c r="D271" s="2602">
        <f t="shared" si="69"/>
        <v>2000</v>
      </c>
      <c r="E271" s="2602">
        <v>2</v>
      </c>
      <c r="F271" s="2602"/>
      <c r="G271" s="2602"/>
      <c r="H271" s="2603">
        <f t="shared" si="70"/>
        <v>2</v>
      </c>
      <c r="I271" s="2619"/>
      <c r="J271" s="2602"/>
      <c r="K271" s="2602"/>
      <c r="L271" s="2602"/>
      <c r="M271" s="2602"/>
      <c r="N271" s="2603"/>
      <c r="O271" s="2619"/>
      <c r="P271" s="2602"/>
      <c r="Q271" s="2602"/>
      <c r="R271" s="2602"/>
      <c r="S271" s="2602"/>
      <c r="T271" s="2603"/>
      <c r="U271" s="2619"/>
      <c r="V271" s="2602"/>
      <c r="W271" s="2602"/>
      <c r="X271" s="2602"/>
      <c r="Y271" s="2603"/>
      <c r="Z271" s="2603">
        <f t="shared" si="71"/>
        <v>0</v>
      </c>
      <c r="AA271" s="2603">
        <f t="shared" si="57"/>
        <v>0</v>
      </c>
      <c r="AB271" s="2603"/>
      <c r="AC271" s="2603"/>
      <c r="AD271" s="2620"/>
    </row>
    <row r="272" spans="1:30" s="2612" customFormat="1" x14ac:dyDescent="0.25">
      <c r="A272" s="2615"/>
      <c r="B272" s="2618" t="s">
        <v>2388</v>
      </c>
      <c r="C272" s="2619">
        <v>1</v>
      </c>
      <c r="D272" s="2602">
        <f t="shared" si="69"/>
        <v>2000</v>
      </c>
      <c r="E272" s="2602">
        <v>2</v>
      </c>
      <c r="F272" s="2602"/>
      <c r="G272" s="2602"/>
      <c r="H272" s="2603">
        <f t="shared" si="70"/>
        <v>2</v>
      </c>
      <c r="I272" s="2619"/>
      <c r="J272" s="2602"/>
      <c r="K272" s="2602"/>
      <c r="L272" s="2602"/>
      <c r="M272" s="2602"/>
      <c r="N272" s="2603"/>
      <c r="O272" s="2619"/>
      <c r="P272" s="2602"/>
      <c r="Q272" s="2602"/>
      <c r="R272" s="2602"/>
      <c r="S272" s="2602"/>
      <c r="T272" s="2603"/>
      <c r="U272" s="2619"/>
      <c r="V272" s="2602"/>
      <c r="W272" s="2602"/>
      <c r="X272" s="2602"/>
      <c r="Y272" s="2603"/>
      <c r="Z272" s="2603">
        <f t="shared" si="71"/>
        <v>0</v>
      </c>
      <c r="AA272" s="2603">
        <f t="shared" si="57"/>
        <v>0</v>
      </c>
      <c r="AB272" s="2603"/>
      <c r="AC272" s="2603"/>
      <c r="AD272" s="2620"/>
    </row>
    <row r="273" spans="1:30" s="2612" customFormat="1" x14ac:dyDescent="0.25">
      <c r="A273" s="2615"/>
      <c r="B273" s="2618" t="s">
        <v>2389</v>
      </c>
      <c r="C273" s="2619">
        <v>2</v>
      </c>
      <c r="D273" s="2602">
        <f t="shared" si="69"/>
        <v>600</v>
      </c>
      <c r="E273" s="2602">
        <v>1.2</v>
      </c>
      <c r="F273" s="2602"/>
      <c r="G273" s="2602"/>
      <c r="H273" s="2603">
        <f t="shared" si="70"/>
        <v>1.2</v>
      </c>
      <c r="I273" s="2619"/>
      <c r="J273" s="2602"/>
      <c r="K273" s="2602"/>
      <c r="L273" s="2602"/>
      <c r="M273" s="2602"/>
      <c r="N273" s="2603"/>
      <c r="O273" s="2619"/>
      <c r="P273" s="2602"/>
      <c r="Q273" s="2602"/>
      <c r="R273" s="2602"/>
      <c r="S273" s="2602"/>
      <c r="T273" s="2603"/>
      <c r="U273" s="2619"/>
      <c r="V273" s="2602"/>
      <c r="W273" s="2602"/>
      <c r="X273" s="2602"/>
      <c r="Y273" s="2603"/>
      <c r="Z273" s="2603">
        <f t="shared" si="71"/>
        <v>0</v>
      </c>
      <c r="AA273" s="2603">
        <f t="shared" ref="AA273:AA336" si="72">IFERROR(W273/K273*100,0)</f>
        <v>0</v>
      </c>
      <c r="AB273" s="2603"/>
      <c r="AC273" s="2603"/>
      <c r="AD273" s="2620"/>
    </row>
    <row r="274" spans="1:30" s="2612" customFormat="1" x14ac:dyDescent="0.25">
      <c r="A274" s="2615"/>
      <c r="B274" s="2618" t="s">
        <v>2385</v>
      </c>
      <c r="C274" s="2619">
        <v>6</v>
      </c>
      <c r="D274" s="2602">
        <f t="shared" si="69"/>
        <v>300</v>
      </c>
      <c r="E274" s="2602">
        <v>1.8</v>
      </c>
      <c r="F274" s="2602"/>
      <c r="G274" s="2602"/>
      <c r="H274" s="2603">
        <f t="shared" si="70"/>
        <v>1.8</v>
      </c>
      <c r="I274" s="2619"/>
      <c r="J274" s="2602"/>
      <c r="K274" s="2602"/>
      <c r="L274" s="2602"/>
      <c r="M274" s="2602"/>
      <c r="N274" s="2603"/>
      <c r="O274" s="2619"/>
      <c r="P274" s="2602"/>
      <c r="Q274" s="2602"/>
      <c r="R274" s="2602"/>
      <c r="S274" s="2602"/>
      <c r="T274" s="2603"/>
      <c r="U274" s="2619"/>
      <c r="V274" s="2602"/>
      <c r="W274" s="2602"/>
      <c r="X274" s="2602"/>
      <c r="Y274" s="2603"/>
      <c r="Z274" s="2603">
        <f t="shared" si="71"/>
        <v>0</v>
      </c>
      <c r="AA274" s="2603">
        <f t="shared" si="72"/>
        <v>0</v>
      </c>
      <c r="AB274" s="2603"/>
      <c r="AC274" s="2603"/>
      <c r="AD274" s="2620"/>
    </row>
    <row r="275" spans="1:30" s="2612" customFormat="1" x14ac:dyDescent="0.25">
      <c r="A275" s="2615"/>
      <c r="B275" s="2618" t="s">
        <v>2208</v>
      </c>
      <c r="C275" s="2619">
        <v>2</v>
      </c>
      <c r="D275" s="2602">
        <f t="shared" si="69"/>
        <v>200</v>
      </c>
      <c r="E275" s="2602"/>
      <c r="F275" s="2602">
        <v>0.4</v>
      </c>
      <c r="G275" s="2602"/>
      <c r="H275" s="2603">
        <f t="shared" si="70"/>
        <v>0.4</v>
      </c>
      <c r="I275" s="2619"/>
      <c r="J275" s="2602"/>
      <c r="K275" s="2602"/>
      <c r="L275" s="2602"/>
      <c r="M275" s="2602"/>
      <c r="N275" s="2603"/>
      <c r="O275" s="2619"/>
      <c r="P275" s="2602"/>
      <c r="Q275" s="2602"/>
      <c r="R275" s="2602"/>
      <c r="S275" s="2602"/>
      <c r="T275" s="2603"/>
      <c r="U275" s="2619"/>
      <c r="V275" s="2602"/>
      <c r="W275" s="2602"/>
      <c r="X275" s="2602"/>
      <c r="Y275" s="2603"/>
      <c r="Z275" s="2603">
        <f t="shared" si="71"/>
        <v>0</v>
      </c>
      <c r="AA275" s="2603">
        <f t="shared" si="72"/>
        <v>0</v>
      </c>
      <c r="AB275" s="2603"/>
      <c r="AC275" s="2603"/>
      <c r="AD275" s="2620"/>
    </row>
    <row r="276" spans="1:30" s="2612" customFormat="1" x14ac:dyDescent="0.25">
      <c r="A276" s="2615"/>
      <c r="B276" s="2618" t="s">
        <v>2237</v>
      </c>
      <c r="C276" s="2619">
        <v>3</v>
      </c>
      <c r="D276" s="2602">
        <f t="shared" si="69"/>
        <v>1000</v>
      </c>
      <c r="E276" s="2602"/>
      <c r="F276" s="2602">
        <v>3</v>
      </c>
      <c r="G276" s="2602"/>
      <c r="H276" s="2603">
        <f t="shared" si="70"/>
        <v>3</v>
      </c>
      <c r="I276" s="2619"/>
      <c r="J276" s="2602"/>
      <c r="K276" s="2602"/>
      <c r="L276" s="2602"/>
      <c r="M276" s="2602"/>
      <c r="N276" s="2603"/>
      <c r="O276" s="2619"/>
      <c r="P276" s="2602"/>
      <c r="Q276" s="2602"/>
      <c r="R276" s="2602"/>
      <c r="S276" s="2602"/>
      <c r="T276" s="2603"/>
      <c r="U276" s="2619"/>
      <c r="V276" s="2602"/>
      <c r="W276" s="2602"/>
      <c r="X276" s="2602"/>
      <c r="Y276" s="2603"/>
      <c r="Z276" s="2603">
        <f t="shared" si="71"/>
        <v>0</v>
      </c>
      <c r="AA276" s="2603">
        <f t="shared" si="72"/>
        <v>0</v>
      </c>
      <c r="AB276" s="2603"/>
      <c r="AC276" s="2603"/>
      <c r="AD276" s="2620"/>
    </row>
    <row r="277" spans="1:30" s="2612" customFormat="1" ht="47.25" x14ac:dyDescent="0.25">
      <c r="A277" s="2615"/>
      <c r="B277" s="2618" t="s">
        <v>2390</v>
      </c>
      <c r="C277" s="2619">
        <v>2</v>
      </c>
      <c r="D277" s="2602">
        <f t="shared" si="69"/>
        <v>35700</v>
      </c>
      <c r="E277" s="2602"/>
      <c r="F277" s="2602">
        <v>71.400000000000006</v>
      </c>
      <c r="G277" s="2602"/>
      <c r="H277" s="2603">
        <f t="shared" si="70"/>
        <v>71.400000000000006</v>
      </c>
      <c r="I277" s="2619"/>
      <c r="J277" s="2602"/>
      <c r="K277" s="2602"/>
      <c r="L277" s="2602"/>
      <c r="M277" s="2602"/>
      <c r="N277" s="2603"/>
      <c r="O277" s="2619"/>
      <c r="P277" s="2602"/>
      <c r="Q277" s="2602"/>
      <c r="R277" s="2602"/>
      <c r="S277" s="2602"/>
      <c r="T277" s="2603"/>
      <c r="U277" s="2619"/>
      <c r="V277" s="2602"/>
      <c r="W277" s="2602"/>
      <c r="X277" s="2602"/>
      <c r="Y277" s="2603"/>
      <c r="Z277" s="2603">
        <f t="shared" si="71"/>
        <v>0</v>
      </c>
      <c r="AA277" s="2603">
        <f t="shared" si="72"/>
        <v>0</v>
      </c>
      <c r="AB277" s="2603"/>
      <c r="AC277" s="2603"/>
      <c r="AD277" s="2620"/>
    </row>
    <row r="278" spans="1:30" s="2612" customFormat="1" x14ac:dyDescent="0.25">
      <c r="A278" s="2615"/>
      <c r="B278" s="2618" t="s">
        <v>2391</v>
      </c>
      <c r="C278" s="2619">
        <v>1</v>
      </c>
      <c r="D278" s="2602">
        <f t="shared" si="69"/>
        <v>600</v>
      </c>
      <c r="E278" s="2602"/>
      <c r="F278" s="2602">
        <v>0.6</v>
      </c>
      <c r="G278" s="2602"/>
      <c r="H278" s="2603">
        <f t="shared" si="70"/>
        <v>0.6</v>
      </c>
      <c r="I278" s="2619"/>
      <c r="J278" s="2602"/>
      <c r="K278" s="2602"/>
      <c r="L278" s="2602"/>
      <c r="M278" s="2602"/>
      <c r="N278" s="2603"/>
      <c r="O278" s="2619"/>
      <c r="P278" s="2602"/>
      <c r="Q278" s="2602"/>
      <c r="R278" s="2602"/>
      <c r="S278" s="2602"/>
      <c r="T278" s="2603"/>
      <c r="U278" s="2619"/>
      <c r="V278" s="2602"/>
      <c r="W278" s="2602"/>
      <c r="X278" s="2602"/>
      <c r="Y278" s="2603"/>
      <c r="Z278" s="2603">
        <f t="shared" si="71"/>
        <v>0</v>
      </c>
      <c r="AA278" s="2603">
        <f t="shared" si="72"/>
        <v>0</v>
      </c>
      <c r="AB278" s="2603"/>
      <c r="AC278" s="2603"/>
      <c r="AD278" s="2620"/>
    </row>
    <row r="279" spans="1:30" s="2612" customFormat="1" x14ac:dyDescent="0.25">
      <c r="A279" s="2615"/>
      <c r="B279" s="2618" t="s">
        <v>2392</v>
      </c>
      <c r="C279" s="2619">
        <v>2</v>
      </c>
      <c r="D279" s="2602">
        <f t="shared" si="69"/>
        <v>250</v>
      </c>
      <c r="E279" s="2602"/>
      <c r="F279" s="2602">
        <v>0.5</v>
      </c>
      <c r="G279" s="2602"/>
      <c r="H279" s="2603">
        <f t="shared" si="70"/>
        <v>0.5</v>
      </c>
      <c r="I279" s="2619"/>
      <c r="J279" s="2602"/>
      <c r="K279" s="2602"/>
      <c r="L279" s="2602"/>
      <c r="M279" s="2602"/>
      <c r="N279" s="2603"/>
      <c r="O279" s="2619"/>
      <c r="P279" s="2602"/>
      <c r="Q279" s="2602"/>
      <c r="R279" s="2602"/>
      <c r="S279" s="2602"/>
      <c r="T279" s="2603"/>
      <c r="U279" s="2619"/>
      <c r="V279" s="2602"/>
      <c r="W279" s="2602"/>
      <c r="X279" s="2602"/>
      <c r="Y279" s="2603"/>
      <c r="Z279" s="2603">
        <f t="shared" si="71"/>
        <v>0</v>
      </c>
      <c r="AA279" s="2603">
        <f t="shared" si="72"/>
        <v>0</v>
      </c>
      <c r="AB279" s="2603"/>
      <c r="AC279" s="2603"/>
      <c r="AD279" s="2620"/>
    </row>
    <row r="280" spans="1:30" s="2612" customFormat="1" x14ac:dyDescent="0.25">
      <c r="A280" s="2615"/>
      <c r="B280" s="2618" t="s">
        <v>2393</v>
      </c>
      <c r="C280" s="2619">
        <v>2</v>
      </c>
      <c r="D280" s="2602">
        <f t="shared" si="69"/>
        <v>500</v>
      </c>
      <c r="E280" s="2602"/>
      <c r="F280" s="2602">
        <v>1</v>
      </c>
      <c r="G280" s="2602"/>
      <c r="H280" s="2603">
        <f t="shared" si="70"/>
        <v>1</v>
      </c>
      <c r="I280" s="2619"/>
      <c r="J280" s="2602"/>
      <c r="K280" s="2602"/>
      <c r="L280" s="2602"/>
      <c r="M280" s="2602"/>
      <c r="N280" s="2603"/>
      <c r="O280" s="2619"/>
      <c r="P280" s="2602"/>
      <c r="Q280" s="2602"/>
      <c r="R280" s="2602"/>
      <c r="S280" s="2602"/>
      <c r="T280" s="2603"/>
      <c r="U280" s="2619"/>
      <c r="V280" s="2602"/>
      <c r="W280" s="2602"/>
      <c r="X280" s="2602"/>
      <c r="Y280" s="2603"/>
      <c r="Z280" s="2603">
        <f t="shared" si="71"/>
        <v>0</v>
      </c>
      <c r="AA280" s="2603">
        <f t="shared" si="72"/>
        <v>0</v>
      </c>
      <c r="AB280" s="2603"/>
      <c r="AC280" s="2603"/>
      <c r="AD280" s="2620"/>
    </row>
    <row r="281" spans="1:30" s="2612" customFormat="1" ht="31.5" x14ac:dyDescent="0.25">
      <c r="A281" s="2615"/>
      <c r="B281" s="2618" t="s">
        <v>2394</v>
      </c>
      <c r="C281" s="2619">
        <v>18</v>
      </c>
      <c r="D281" s="2602">
        <f t="shared" si="69"/>
        <v>50</v>
      </c>
      <c r="E281" s="2602"/>
      <c r="F281" s="2602">
        <v>0.9</v>
      </c>
      <c r="G281" s="2602"/>
      <c r="H281" s="2603">
        <f t="shared" si="70"/>
        <v>0.9</v>
      </c>
      <c r="I281" s="2619"/>
      <c r="J281" s="2602"/>
      <c r="K281" s="2602"/>
      <c r="L281" s="2602"/>
      <c r="M281" s="2602"/>
      <c r="N281" s="2603"/>
      <c r="O281" s="2619"/>
      <c r="P281" s="2602"/>
      <c r="Q281" s="2602"/>
      <c r="R281" s="2602"/>
      <c r="S281" s="2602"/>
      <c r="T281" s="2603"/>
      <c r="U281" s="2619"/>
      <c r="V281" s="2602"/>
      <c r="W281" s="2602"/>
      <c r="X281" s="2602"/>
      <c r="Y281" s="2603"/>
      <c r="Z281" s="2603">
        <f t="shared" si="71"/>
        <v>0</v>
      </c>
      <c r="AA281" s="2603">
        <f t="shared" si="72"/>
        <v>0</v>
      </c>
      <c r="AB281" s="2603"/>
      <c r="AC281" s="2603"/>
      <c r="AD281" s="2620"/>
    </row>
    <row r="282" spans="1:30" s="2612" customFormat="1" ht="47.25" x14ac:dyDescent="0.25">
      <c r="A282" s="2615"/>
      <c r="B282" s="2618" t="s">
        <v>2395</v>
      </c>
      <c r="C282" s="2619">
        <v>5</v>
      </c>
      <c r="D282" s="2602">
        <f t="shared" si="69"/>
        <v>2060</v>
      </c>
      <c r="E282" s="2602"/>
      <c r="F282" s="2602">
        <v>10.3</v>
      </c>
      <c r="G282" s="2602"/>
      <c r="H282" s="2603">
        <f t="shared" si="70"/>
        <v>10.3</v>
      </c>
      <c r="I282" s="2619"/>
      <c r="J282" s="2602"/>
      <c r="K282" s="2602"/>
      <c r="L282" s="2602"/>
      <c r="M282" s="2602"/>
      <c r="N282" s="2603"/>
      <c r="O282" s="2619"/>
      <c r="P282" s="2602"/>
      <c r="Q282" s="2602"/>
      <c r="R282" s="2602"/>
      <c r="S282" s="2602"/>
      <c r="T282" s="2603"/>
      <c r="U282" s="2619"/>
      <c r="V282" s="2602"/>
      <c r="W282" s="2602"/>
      <c r="X282" s="2602"/>
      <c r="Y282" s="2603"/>
      <c r="Z282" s="2603">
        <f t="shared" si="71"/>
        <v>0</v>
      </c>
      <c r="AA282" s="2603">
        <f t="shared" si="72"/>
        <v>0</v>
      </c>
      <c r="AB282" s="2603"/>
      <c r="AC282" s="2603"/>
      <c r="AD282" s="2620"/>
    </row>
    <row r="283" spans="1:30" s="2612" customFormat="1" ht="47.25" x14ac:dyDescent="0.25">
      <c r="A283" s="2615"/>
      <c r="B283" s="2618" t="s">
        <v>2396</v>
      </c>
      <c r="C283" s="2619">
        <v>4</v>
      </c>
      <c r="D283" s="2602">
        <f t="shared" si="69"/>
        <v>3000</v>
      </c>
      <c r="E283" s="2602"/>
      <c r="F283" s="2602">
        <v>12</v>
      </c>
      <c r="G283" s="2602"/>
      <c r="H283" s="2603">
        <f t="shared" si="70"/>
        <v>12</v>
      </c>
      <c r="I283" s="2619"/>
      <c r="J283" s="2602"/>
      <c r="K283" s="2602"/>
      <c r="L283" s="2602"/>
      <c r="M283" s="2602"/>
      <c r="N283" s="2603"/>
      <c r="O283" s="2619"/>
      <c r="P283" s="2602"/>
      <c r="Q283" s="2602"/>
      <c r="R283" s="2602"/>
      <c r="S283" s="2602"/>
      <c r="T283" s="2603"/>
      <c r="U283" s="2619"/>
      <c r="V283" s="2602"/>
      <c r="W283" s="2602"/>
      <c r="X283" s="2602"/>
      <c r="Y283" s="2603"/>
      <c r="Z283" s="2603">
        <f t="shared" si="71"/>
        <v>0</v>
      </c>
      <c r="AA283" s="2603">
        <f t="shared" si="72"/>
        <v>0</v>
      </c>
      <c r="AB283" s="2603"/>
      <c r="AC283" s="2603"/>
      <c r="AD283" s="2620"/>
    </row>
    <row r="284" spans="1:30" s="2612" customFormat="1" ht="47.25" x14ac:dyDescent="0.25">
      <c r="A284" s="2615"/>
      <c r="B284" s="2618" t="s">
        <v>2397</v>
      </c>
      <c r="C284" s="2619">
        <v>2</v>
      </c>
      <c r="D284" s="2602">
        <f t="shared" si="69"/>
        <v>75000</v>
      </c>
      <c r="E284" s="2602"/>
      <c r="F284" s="2602">
        <v>150</v>
      </c>
      <c r="G284" s="2602"/>
      <c r="H284" s="2603">
        <f t="shared" si="70"/>
        <v>150</v>
      </c>
      <c r="I284" s="2619"/>
      <c r="J284" s="2602"/>
      <c r="K284" s="2602"/>
      <c r="L284" s="2602"/>
      <c r="M284" s="2602"/>
      <c r="N284" s="2603"/>
      <c r="O284" s="2619"/>
      <c r="P284" s="2602"/>
      <c r="Q284" s="2602"/>
      <c r="R284" s="2602"/>
      <c r="S284" s="2602"/>
      <c r="T284" s="2603"/>
      <c r="U284" s="2619"/>
      <c r="V284" s="2602"/>
      <c r="W284" s="2602"/>
      <c r="X284" s="2602"/>
      <c r="Y284" s="2603"/>
      <c r="Z284" s="2603">
        <f t="shared" si="71"/>
        <v>0</v>
      </c>
      <c r="AA284" s="2603">
        <f t="shared" si="72"/>
        <v>0</v>
      </c>
      <c r="AB284" s="2603"/>
      <c r="AC284" s="2603"/>
      <c r="AD284" s="2620"/>
    </row>
    <row r="285" spans="1:30" s="2612" customFormat="1" ht="47.25" x14ac:dyDescent="0.25">
      <c r="A285" s="2615"/>
      <c r="B285" s="2618" t="s">
        <v>2397</v>
      </c>
      <c r="C285" s="2619">
        <v>1</v>
      </c>
      <c r="D285" s="2602">
        <f t="shared" si="69"/>
        <v>82600</v>
      </c>
      <c r="E285" s="2602"/>
      <c r="F285" s="2602">
        <v>82.6</v>
      </c>
      <c r="G285" s="2602"/>
      <c r="H285" s="2603">
        <f t="shared" si="70"/>
        <v>82.6</v>
      </c>
      <c r="I285" s="2619"/>
      <c r="J285" s="2602"/>
      <c r="K285" s="2602"/>
      <c r="L285" s="2602"/>
      <c r="M285" s="2602"/>
      <c r="N285" s="2603"/>
      <c r="O285" s="2619"/>
      <c r="P285" s="2602"/>
      <c r="Q285" s="2602"/>
      <c r="R285" s="2602"/>
      <c r="S285" s="2602"/>
      <c r="T285" s="2603"/>
      <c r="U285" s="2619"/>
      <c r="V285" s="2602"/>
      <c r="W285" s="2602"/>
      <c r="X285" s="2602"/>
      <c r="Y285" s="2603"/>
      <c r="Z285" s="2603">
        <f t="shared" si="71"/>
        <v>0</v>
      </c>
      <c r="AA285" s="2603">
        <f t="shared" si="72"/>
        <v>0</v>
      </c>
      <c r="AB285" s="2603"/>
      <c r="AC285" s="2603"/>
      <c r="AD285" s="2620"/>
    </row>
    <row r="286" spans="1:30" s="2612" customFormat="1" x14ac:dyDescent="0.25">
      <c r="A286" s="2615"/>
      <c r="B286" s="2618" t="s">
        <v>2398</v>
      </c>
      <c r="C286" s="2619">
        <v>4</v>
      </c>
      <c r="D286" s="2602">
        <f t="shared" si="69"/>
        <v>10175</v>
      </c>
      <c r="E286" s="2602"/>
      <c r="F286" s="2602">
        <v>40.700000000000003</v>
      </c>
      <c r="G286" s="2602"/>
      <c r="H286" s="2603">
        <f t="shared" si="70"/>
        <v>40.700000000000003</v>
      </c>
      <c r="I286" s="2619"/>
      <c r="J286" s="2602"/>
      <c r="K286" s="2602"/>
      <c r="L286" s="2602"/>
      <c r="M286" s="2602"/>
      <c r="N286" s="2603"/>
      <c r="O286" s="2619"/>
      <c r="P286" s="2602"/>
      <c r="Q286" s="2602"/>
      <c r="R286" s="2602"/>
      <c r="S286" s="2602"/>
      <c r="T286" s="2603"/>
      <c r="U286" s="2619"/>
      <c r="V286" s="2602"/>
      <c r="W286" s="2602"/>
      <c r="X286" s="2602"/>
      <c r="Y286" s="2603"/>
      <c r="Z286" s="2603">
        <f t="shared" si="71"/>
        <v>0</v>
      </c>
      <c r="AA286" s="2603">
        <f t="shared" si="72"/>
        <v>0</v>
      </c>
      <c r="AB286" s="2603"/>
      <c r="AC286" s="2603"/>
      <c r="AD286" s="2620"/>
    </row>
    <row r="287" spans="1:30" s="2612" customFormat="1" x14ac:dyDescent="0.25">
      <c r="A287" s="2615"/>
      <c r="B287" s="2618" t="s">
        <v>2209</v>
      </c>
      <c r="C287" s="2619">
        <v>2</v>
      </c>
      <c r="D287" s="2602">
        <f t="shared" si="69"/>
        <v>100</v>
      </c>
      <c r="E287" s="2602"/>
      <c r="F287" s="2602">
        <v>0.2</v>
      </c>
      <c r="G287" s="2602"/>
      <c r="H287" s="2603">
        <f t="shared" si="70"/>
        <v>0.2</v>
      </c>
      <c r="I287" s="2619"/>
      <c r="J287" s="2602"/>
      <c r="K287" s="2602"/>
      <c r="L287" s="2602"/>
      <c r="M287" s="2602"/>
      <c r="N287" s="2603"/>
      <c r="O287" s="2619"/>
      <c r="P287" s="2602"/>
      <c r="Q287" s="2602"/>
      <c r="R287" s="2602"/>
      <c r="S287" s="2602"/>
      <c r="T287" s="2603"/>
      <c r="U287" s="2619"/>
      <c r="V287" s="2602"/>
      <c r="W287" s="2602"/>
      <c r="X287" s="2602"/>
      <c r="Y287" s="2603"/>
      <c r="Z287" s="2603">
        <f t="shared" si="71"/>
        <v>0</v>
      </c>
      <c r="AA287" s="2603">
        <f t="shared" si="72"/>
        <v>0</v>
      </c>
      <c r="AB287" s="2603"/>
      <c r="AC287" s="2603"/>
      <c r="AD287" s="2620"/>
    </row>
    <row r="288" spans="1:30" s="2612" customFormat="1" x14ac:dyDescent="0.25">
      <c r="A288" s="2615"/>
      <c r="B288" s="2618" t="s">
        <v>2219</v>
      </c>
      <c r="C288" s="2619">
        <v>10</v>
      </c>
      <c r="D288" s="2602">
        <f t="shared" si="69"/>
        <v>40</v>
      </c>
      <c r="E288" s="2602"/>
      <c r="F288" s="2602">
        <v>0.4</v>
      </c>
      <c r="G288" s="2602"/>
      <c r="H288" s="2603">
        <f t="shared" si="70"/>
        <v>0.4</v>
      </c>
      <c r="I288" s="2619"/>
      <c r="J288" s="2602"/>
      <c r="K288" s="2602"/>
      <c r="L288" s="2602"/>
      <c r="M288" s="2602"/>
      <c r="N288" s="2603"/>
      <c r="O288" s="2619"/>
      <c r="P288" s="2602"/>
      <c r="Q288" s="2602"/>
      <c r="R288" s="2602"/>
      <c r="S288" s="2602"/>
      <c r="T288" s="2603"/>
      <c r="U288" s="2619"/>
      <c r="V288" s="2602"/>
      <c r="W288" s="2602"/>
      <c r="X288" s="2602"/>
      <c r="Y288" s="2603"/>
      <c r="Z288" s="2603">
        <f t="shared" si="71"/>
        <v>0</v>
      </c>
      <c r="AA288" s="2603">
        <f t="shared" si="72"/>
        <v>0</v>
      </c>
      <c r="AB288" s="2603"/>
      <c r="AC288" s="2603"/>
      <c r="AD288" s="2620"/>
    </row>
    <row r="289" spans="1:30" s="2612" customFormat="1" ht="31.5" x14ac:dyDescent="0.25">
      <c r="A289" s="2615"/>
      <c r="B289" s="2618" t="s">
        <v>2399</v>
      </c>
      <c r="C289" s="2619">
        <v>20</v>
      </c>
      <c r="D289" s="2602">
        <f t="shared" si="69"/>
        <v>45</v>
      </c>
      <c r="E289" s="2602"/>
      <c r="F289" s="2602">
        <v>0.9</v>
      </c>
      <c r="G289" s="2602"/>
      <c r="H289" s="2603">
        <f t="shared" si="70"/>
        <v>0.9</v>
      </c>
      <c r="I289" s="2619"/>
      <c r="J289" s="2602"/>
      <c r="K289" s="2602"/>
      <c r="L289" s="2602"/>
      <c r="M289" s="2602"/>
      <c r="N289" s="2603"/>
      <c r="O289" s="2619"/>
      <c r="P289" s="2602"/>
      <c r="Q289" s="2602"/>
      <c r="R289" s="2602"/>
      <c r="S289" s="2602"/>
      <c r="T289" s="2603"/>
      <c r="U289" s="2619"/>
      <c r="V289" s="2602"/>
      <c r="W289" s="2602"/>
      <c r="X289" s="2602"/>
      <c r="Y289" s="2603"/>
      <c r="Z289" s="2603">
        <f t="shared" si="71"/>
        <v>0</v>
      </c>
      <c r="AA289" s="2603">
        <f t="shared" si="72"/>
        <v>0</v>
      </c>
      <c r="AB289" s="2603"/>
      <c r="AC289" s="2603"/>
      <c r="AD289" s="2620"/>
    </row>
    <row r="290" spans="1:30" s="2612" customFormat="1" ht="31.5" x14ac:dyDescent="0.25">
      <c r="A290" s="2615"/>
      <c r="B290" s="2618" t="s">
        <v>2400</v>
      </c>
      <c r="C290" s="2619">
        <v>10</v>
      </c>
      <c r="D290" s="2602">
        <f t="shared" si="69"/>
        <v>50</v>
      </c>
      <c r="E290" s="2602"/>
      <c r="F290" s="2602">
        <v>0.5</v>
      </c>
      <c r="G290" s="2602"/>
      <c r="H290" s="2603">
        <f t="shared" si="70"/>
        <v>0.5</v>
      </c>
      <c r="I290" s="2619"/>
      <c r="J290" s="2602"/>
      <c r="K290" s="2602"/>
      <c r="L290" s="2602"/>
      <c r="M290" s="2602"/>
      <c r="N290" s="2603"/>
      <c r="O290" s="2619"/>
      <c r="P290" s="2602"/>
      <c r="Q290" s="2602"/>
      <c r="R290" s="2602"/>
      <c r="S290" s="2602"/>
      <c r="T290" s="2603"/>
      <c r="U290" s="2619"/>
      <c r="V290" s="2602"/>
      <c r="W290" s="2602"/>
      <c r="X290" s="2602"/>
      <c r="Y290" s="2603"/>
      <c r="Z290" s="2603">
        <f t="shared" si="71"/>
        <v>0</v>
      </c>
      <c r="AA290" s="2603">
        <f t="shared" si="72"/>
        <v>0</v>
      </c>
      <c r="AB290" s="2603"/>
      <c r="AC290" s="2603"/>
      <c r="AD290" s="2620"/>
    </row>
    <row r="291" spans="1:30" s="2612" customFormat="1" x14ac:dyDescent="0.25">
      <c r="A291" s="2615"/>
      <c r="B291" s="2618" t="s">
        <v>2401</v>
      </c>
      <c r="C291" s="2619">
        <v>1</v>
      </c>
      <c r="D291" s="2602">
        <f t="shared" si="69"/>
        <v>300</v>
      </c>
      <c r="E291" s="2602"/>
      <c r="F291" s="2602">
        <v>0.3</v>
      </c>
      <c r="G291" s="2602"/>
      <c r="H291" s="2603">
        <f t="shared" si="70"/>
        <v>0.3</v>
      </c>
      <c r="I291" s="2619"/>
      <c r="J291" s="2602"/>
      <c r="K291" s="2602"/>
      <c r="L291" s="2602"/>
      <c r="M291" s="2602"/>
      <c r="N291" s="2603"/>
      <c r="O291" s="2619"/>
      <c r="P291" s="2602"/>
      <c r="Q291" s="2602"/>
      <c r="R291" s="2602"/>
      <c r="S291" s="2602"/>
      <c r="T291" s="2603"/>
      <c r="U291" s="2619"/>
      <c r="V291" s="2602"/>
      <c r="W291" s="2602"/>
      <c r="X291" s="2602"/>
      <c r="Y291" s="2603"/>
      <c r="Z291" s="2603">
        <f t="shared" si="71"/>
        <v>0</v>
      </c>
      <c r="AA291" s="2603">
        <f t="shared" si="72"/>
        <v>0</v>
      </c>
      <c r="AB291" s="2603"/>
      <c r="AC291" s="2603"/>
      <c r="AD291" s="2620"/>
    </row>
    <row r="292" spans="1:30" s="2612" customFormat="1" x14ac:dyDescent="0.25">
      <c r="A292" s="2615"/>
      <c r="B292" s="2618" t="s">
        <v>2402</v>
      </c>
      <c r="C292" s="2619">
        <v>1</v>
      </c>
      <c r="D292" s="2602">
        <f t="shared" si="69"/>
        <v>800</v>
      </c>
      <c r="E292" s="2602"/>
      <c r="F292" s="2602">
        <v>0.8</v>
      </c>
      <c r="G292" s="2602"/>
      <c r="H292" s="2603">
        <f t="shared" si="70"/>
        <v>0.8</v>
      </c>
      <c r="I292" s="2619"/>
      <c r="J292" s="2602"/>
      <c r="K292" s="2602"/>
      <c r="L292" s="2602"/>
      <c r="M292" s="2602"/>
      <c r="N292" s="2603"/>
      <c r="O292" s="2619"/>
      <c r="P292" s="2602"/>
      <c r="Q292" s="2602"/>
      <c r="R292" s="2602"/>
      <c r="S292" s="2602"/>
      <c r="T292" s="2603"/>
      <c r="U292" s="2619"/>
      <c r="V292" s="2602"/>
      <c r="W292" s="2602"/>
      <c r="X292" s="2602"/>
      <c r="Y292" s="2603"/>
      <c r="Z292" s="2603">
        <f t="shared" si="71"/>
        <v>0</v>
      </c>
      <c r="AA292" s="2603">
        <f t="shared" si="72"/>
        <v>0</v>
      </c>
      <c r="AB292" s="2603"/>
      <c r="AC292" s="2603"/>
      <c r="AD292" s="2620"/>
    </row>
    <row r="293" spans="1:30" s="2612" customFormat="1" x14ac:dyDescent="0.25">
      <c r="A293" s="2615"/>
      <c r="B293" s="2618" t="s">
        <v>2403</v>
      </c>
      <c r="C293" s="2619">
        <v>3</v>
      </c>
      <c r="D293" s="2602">
        <f t="shared" si="69"/>
        <v>66.7</v>
      </c>
      <c r="E293" s="2602"/>
      <c r="F293" s="2602">
        <v>0.2</v>
      </c>
      <c r="G293" s="2602"/>
      <c r="H293" s="2603">
        <f t="shared" si="70"/>
        <v>0.2</v>
      </c>
      <c r="I293" s="2619"/>
      <c r="J293" s="2602"/>
      <c r="K293" s="2602"/>
      <c r="L293" s="2602"/>
      <c r="M293" s="2602"/>
      <c r="N293" s="2603"/>
      <c r="O293" s="2619"/>
      <c r="P293" s="2602"/>
      <c r="Q293" s="2602"/>
      <c r="R293" s="2602"/>
      <c r="S293" s="2602"/>
      <c r="T293" s="2603"/>
      <c r="U293" s="2619"/>
      <c r="V293" s="2602"/>
      <c r="W293" s="2602"/>
      <c r="X293" s="2602"/>
      <c r="Y293" s="2603"/>
      <c r="Z293" s="2603">
        <f t="shared" si="71"/>
        <v>0</v>
      </c>
      <c r="AA293" s="2603">
        <f t="shared" si="72"/>
        <v>0</v>
      </c>
      <c r="AB293" s="2603"/>
      <c r="AC293" s="2603"/>
      <c r="AD293" s="2620"/>
    </row>
    <row r="294" spans="1:30" s="2612" customFormat="1" x14ac:dyDescent="0.25">
      <c r="A294" s="2615"/>
      <c r="B294" s="2618" t="s">
        <v>2404</v>
      </c>
      <c r="C294" s="2619">
        <v>1</v>
      </c>
      <c r="D294" s="2602">
        <f t="shared" si="69"/>
        <v>100</v>
      </c>
      <c r="E294" s="2602"/>
      <c r="F294" s="2602">
        <v>0.1</v>
      </c>
      <c r="G294" s="2602"/>
      <c r="H294" s="2603">
        <f t="shared" si="70"/>
        <v>0.1</v>
      </c>
      <c r="I294" s="2619"/>
      <c r="J294" s="2602"/>
      <c r="K294" s="2602"/>
      <c r="L294" s="2602"/>
      <c r="M294" s="2602"/>
      <c r="N294" s="2603"/>
      <c r="O294" s="2619"/>
      <c r="P294" s="2602"/>
      <c r="Q294" s="2602"/>
      <c r="R294" s="2602"/>
      <c r="S294" s="2602"/>
      <c r="T294" s="2603"/>
      <c r="U294" s="2619"/>
      <c r="V294" s="2602"/>
      <c r="W294" s="2602"/>
      <c r="X294" s="2602"/>
      <c r="Y294" s="2603"/>
      <c r="Z294" s="2603">
        <f t="shared" si="71"/>
        <v>0</v>
      </c>
      <c r="AA294" s="2603">
        <f t="shared" si="72"/>
        <v>0</v>
      </c>
      <c r="AB294" s="2603"/>
      <c r="AC294" s="2603"/>
      <c r="AD294" s="2620"/>
    </row>
    <row r="295" spans="1:30" s="2612" customFormat="1" x14ac:dyDescent="0.25">
      <c r="A295" s="2615"/>
      <c r="B295" s="2618" t="s">
        <v>2405</v>
      </c>
      <c r="C295" s="2619">
        <v>1</v>
      </c>
      <c r="D295" s="2602">
        <f t="shared" si="69"/>
        <v>0</v>
      </c>
      <c r="E295" s="2602"/>
      <c r="F295" s="2602">
        <v>0</v>
      </c>
      <c r="G295" s="2602"/>
      <c r="H295" s="2603">
        <f t="shared" si="70"/>
        <v>0</v>
      </c>
      <c r="I295" s="2619"/>
      <c r="J295" s="2602"/>
      <c r="K295" s="2602"/>
      <c r="L295" s="2602"/>
      <c r="M295" s="2602"/>
      <c r="N295" s="2603"/>
      <c r="O295" s="2619"/>
      <c r="P295" s="2602"/>
      <c r="Q295" s="2602"/>
      <c r="R295" s="2602"/>
      <c r="S295" s="2602"/>
      <c r="T295" s="2603"/>
      <c r="U295" s="2619"/>
      <c r="V295" s="2602"/>
      <c r="W295" s="2602"/>
      <c r="X295" s="2602"/>
      <c r="Y295" s="2603"/>
      <c r="Z295" s="2603">
        <f t="shared" si="71"/>
        <v>0</v>
      </c>
      <c r="AA295" s="2603">
        <f t="shared" si="72"/>
        <v>0</v>
      </c>
      <c r="AB295" s="2603"/>
      <c r="AC295" s="2603"/>
      <c r="AD295" s="2620"/>
    </row>
    <row r="296" spans="1:30" s="2612" customFormat="1" x14ac:dyDescent="0.25">
      <c r="A296" s="2615"/>
      <c r="B296" s="2618" t="s">
        <v>2406</v>
      </c>
      <c r="C296" s="2619">
        <v>1</v>
      </c>
      <c r="D296" s="2602">
        <f t="shared" si="69"/>
        <v>0</v>
      </c>
      <c r="E296" s="2602"/>
      <c r="F296" s="2602">
        <v>0</v>
      </c>
      <c r="G296" s="2602"/>
      <c r="H296" s="2603">
        <f t="shared" si="70"/>
        <v>0</v>
      </c>
      <c r="I296" s="2619"/>
      <c r="J296" s="2602"/>
      <c r="K296" s="2602"/>
      <c r="L296" s="2602"/>
      <c r="M296" s="2602"/>
      <c r="N296" s="2603"/>
      <c r="O296" s="2619"/>
      <c r="P296" s="2602"/>
      <c r="Q296" s="2602"/>
      <c r="R296" s="2602"/>
      <c r="S296" s="2602"/>
      <c r="T296" s="2603"/>
      <c r="U296" s="2619"/>
      <c r="V296" s="2602"/>
      <c r="W296" s="2602"/>
      <c r="X296" s="2602"/>
      <c r="Y296" s="2603"/>
      <c r="Z296" s="2603">
        <f t="shared" si="71"/>
        <v>0</v>
      </c>
      <c r="AA296" s="2603">
        <f t="shared" si="72"/>
        <v>0</v>
      </c>
      <c r="AB296" s="2603"/>
      <c r="AC296" s="2603"/>
      <c r="AD296" s="2620"/>
    </row>
    <row r="297" spans="1:30" s="2612" customFormat="1" x14ac:dyDescent="0.25">
      <c r="A297" s="2615"/>
      <c r="B297" s="2618" t="s">
        <v>2406</v>
      </c>
      <c r="C297" s="2619">
        <v>1</v>
      </c>
      <c r="D297" s="2602">
        <f t="shared" si="69"/>
        <v>0</v>
      </c>
      <c r="E297" s="2602"/>
      <c r="F297" s="2602">
        <v>0</v>
      </c>
      <c r="G297" s="2602"/>
      <c r="H297" s="2603">
        <f t="shared" si="70"/>
        <v>0</v>
      </c>
      <c r="I297" s="2619"/>
      <c r="J297" s="2602"/>
      <c r="K297" s="2602"/>
      <c r="L297" s="2602"/>
      <c r="M297" s="2602"/>
      <c r="N297" s="2603"/>
      <c r="O297" s="2619"/>
      <c r="P297" s="2602"/>
      <c r="Q297" s="2602"/>
      <c r="R297" s="2602"/>
      <c r="S297" s="2602"/>
      <c r="T297" s="2603"/>
      <c r="U297" s="2619"/>
      <c r="V297" s="2602"/>
      <c r="W297" s="2602"/>
      <c r="X297" s="2602"/>
      <c r="Y297" s="2603"/>
      <c r="Z297" s="2603">
        <f t="shared" si="71"/>
        <v>0</v>
      </c>
      <c r="AA297" s="2603">
        <f t="shared" si="72"/>
        <v>0</v>
      </c>
      <c r="AB297" s="2603"/>
      <c r="AC297" s="2603"/>
      <c r="AD297" s="2620"/>
    </row>
    <row r="298" spans="1:30" s="2612" customFormat="1" x14ac:dyDescent="0.25">
      <c r="A298" s="2615"/>
      <c r="B298" s="2618" t="s">
        <v>2407</v>
      </c>
      <c r="C298" s="2619">
        <v>12</v>
      </c>
      <c r="D298" s="2602">
        <f t="shared" si="69"/>
        <v>83.3</v>
      </c>
      <c r="E298" s="2602"/>
      <c r="F298" s="2602">
        <v>1</v>
      </c>
      <c r="G298" s="2602"/>
      <c r="H298" s="2603">
        <f t="shared" si="70"/>
        <v>1</v>
      </c>
      <c r="I298" s="2619"/>
      <c r="J298" s="2602"/>
      <c r="K298" s="2602"/>
      <c r="L298" s="2602"/>
      <c r="M298" s="2602"/>
      <c r="N298" s="2603"/>
      <c r="O298" s="2619"/>
      <c r="P298" s="2602"/>
      <c r="Q298" s="2602"/>
      <c r="R298" s="2602"/>
      <c r="S298" s="2602"/>
      <c r="T298" s="2603"/>
      <c r="U298" s="2619"/>
      <c r="V298" s="2602"/>
      <c r="W298" s="2602"/>
      <c r="X298" s="2602"/>
      <c r="Y298" s="2603"/>
      <c r="Z298" s="2603">
        <f t="shared" si="71"/>
        <v>0</v>
      </c>
      <c r="AA298" s="2603">
        <f t="shared" si="72"/>
        <v>0</v>
      </c>
      <c r="AB298" s="2603"/>
      <c r="AC298" s="2603"/>
      <c r="AD298" s="2620"/>
    </row>
    <row r="299" spans="1:30" s="2612" customFormat="1" x14ac:dyDescent="0.25">
      <c r="A299" s="2615"/>
      <c r="B299" s="2618" t="s">
        <v>2407</v>
      </c>
      <c r="C299" s="2619">
        <v>2</v>
      </c>
      <c r="D299" s="2602">
        <f t="shared" si="69"/>
        <v>150</v>
      </c>
      <c r="E299" s="2602"/>
      <c r="F299" s="2602">
        <v>0.3</v>
      </c>
      <c r="G299" s="2602"/>
      <c r="H299" s="2603">
        <f t="shared" si="70"/>
        <v>0.3</v>
      </c>
      <c r="I299" s="2619"/>
      <c r="J299" s="2602"/>
      <c r="K299" s="2602"/>
      <c r="L299" s="2602"/>
      <c r="M299" s="2602"/>
      <c r="N299" s="2603"/>
      <c r="O299" s="2619"/>
      <c r="P299" s="2602"/>
      <c r="Q299" s="2602"/>
      <c r="R299" s="2602"/>
      <c r="S299" s="2602"/>
      <c r="T299" s="2603"/>
      <c r="U299" s="2619"/>
      <c r="V299" s="2602"/>
      <c r="W299" s="2602"/>
      <c r="X299" s="2602"/>
      <c r="Y299" s="2603"/>
      <c r="Z299" s="2603">
        <f t="shared" si="71"/>
        <v>0</v>
      </c>
      <c r="AA299" s="2603">
        <f t="shared" si="72"/>
        <v>0</v>
      </c>
      <c r="AB299" s="2603"/>
      <c r="AC299" s="2603"/>
      <c r="AD299" s="2620"/>
    </row>
    <row r="300" spans="1:30" s="2612" customFormat="1" x14ac:dyDescent="0.25">
      <c r="A300" s="2615"/>
      <c r="B300" s="2618" t="s">
        <v>2408</v>
      </c>
      <c r="C300" s="2619">
        <v>200</v>
      </c>
      <c r="D300" s="2602">
        <f t="shared" si="69"/>
        <v>1.5</v>
      </c>
      <c r="E300" s="2602"/>
      <c r="F300" s="2602">
        <v>0.3</v>
      </c>
      <c r="G300" s="2602"/>
      <c r="H300" s="2603">
        <f t="shared" si="70"/>
        <v>0.3</v>
      </c>
      <c r="I300" s="2619"/>
      <c r="J300" s="2602"/>
      <c r="K300" s="2602"/>
      <c r="L300" s="2602"/>
      <c r="M300" s="2602"/>
      <c r="N300" s="2603"/>
      <c r="O300" s="2619"/>
      <c r="P300" s="2602"/>
      <c r="Q300" s="2602"/>
      <c r="R300" s="2602"/>
      <c r="S300" s="2602"/>
      <c r="T300" s="2603"/>
      <c r="U300" s="2619"/>
      <c r="V300" s="2602"/>
      <c r="W300" s="2602"/>
      <c r="X300" s="2602"/>
      <c r="Y300" s="2603"/>
      <c r="Z300" s="2603">
        <f t="shared" si="71"/>
        <v>0</v>
      </c>
      <c r="AA300" s="2603">
        <f t="shared" si="72"/>
        <v>0</v>
      </c>
      <c r="AB300" s="2603"/>
      <c r="AC300" s="2603"/>
      <c r="AD300" s="2620"/>
    </row>
    <row r="301" spans="1:30" s="2612" customFormat="1" ht="31.5" x14ac:dyDescent="0.25">
      <c r="A301" s="2615"/>
      <c r="B301" s="2618" t="s">
        <v>2409</v>
      </c>
      <c r="C301" s="2619">
        <v>4</v>
      </c>
      <c r="D301" s="2602">
        <f t="shared" si="69"/>
        <v>950</v>
      </c>
      <c r="E301" s="2602"/>
      <c r="F301" s="2602">
        <v>3.8</v>
      </c>
      <c r="G301" s="2602"/>
      <c r="H301" s="2603">
        <f t="shared" si="70"/>
        <v>3.8</v>
      </c>
      <c r="I301" s="2619"/>
      <c r="J301" s="2602"/>
      <c r="K301" s="2602"/>
      <c r="L301" s="2602"/>
      <c r="M301" s="2602"/>
      <c r="N301" s="2603"/>
      <c r="O301" s="2619"/>
      <c r="P301" s="2602"/>
      <c r="Q301" s="2602"/>
      <c r="R301" s="2602"/>
      <c r="S301" s="2602"/>
      <c r="T301" s="2603"/>
      <c r="U301" s="2619"/>
      <c r="V301" s="2602"/>
      <c r="W301" s="2602"/>
      <c r="X301" s="2602"/>
      <c r="Y301" s="2603"/>
      <c r="Z301" s="2603">
        <f t="shared" si="71"/>
        <v>0</v>
      </c>
      <c r="AA301" s="2603">
        <f t="shared" si="72"/>
        <v>0</v>
      </c>
      <c r="AB301" s="2603"/>
      <c r="AC301" s="2603"/>
      <c r="AD301" s="2620"/>
    </row>
    <row r="302" spans="1:30" s="2612" customFormat="1" x14ac:dyDescent="0.25">
      <c r="A302" s="2615"/>
      <c r="B302" s="2618" t="s">
        <v>2410</v>
      </c>
      <c r="C302" s="2619">
        <v>2</v>
      </c>
      <c r="D302" s="2602">
        <f t="shared" ref="D302:D365" si="73">(F302/C302*1000)+(E302/C302*1000)</f>
        <v>500</v>
      </c>
      <c r="E302" s="2602"/>
      <c r="F302" s="2602">
        <v>1</v>
      </c>
      <c r="G302" s="2602"/>
      <c r="H302" s="2603">
        <f t="shared" ref="H302:H365" si="74">SUM(E302:G302)</f>
        <v>1</v>
      </c>
      <c r="I302" s="2619"/>
      <c r="J302" s="2602"/>
      <c r="K302" s="2602"/>
      <c r="L302" s="2602"/>
      <c r="M302" s="2602"/>
      <c r="N302" s="2603"/>
      <c r="O302" s="2619"/>
      <c r="P302" s="2602"/>
      <c r="Q302" s="2602"/>
      <c r="R302" s="2602"/>
      <c r="S302" s="2602"/>
      <c r="T302" s="2603"/>
      <c r="U302" s="2619"/>
      <c r="V302" s="2602"/>
      <c r="W302" s="2602"/>
      <c r="X302" s="2602"/>
      <c r="Y302" s="2603"/>
      <c r="Z302" s="2603">
        <f t="shared" ref="Z302:Z365" si="75">W302-K302</f>
        <v>0</v>
      </c>
      <c r="AA302" s="2603">
        <f t="shared" si="72"/>
        <v>0</v>
      </c>
      <c r="AB302" s="2603"/>
      <c r="AC302" s="2603"/>
      <c r="AD302" s="2620"/>
    </row>
    <row r="303" spans="1:30" s="2612" customFormat="1" x14ac:dyDescent="0.25">
      <c r="A303" s="2615"/>
      <c r="B303" s="2618" t="s">
        <v>2411</v>
      </c>
      <c r="C303" s="2619">
        <v>1</v>
      </c>
      <c r="D303" s="2602">
        <f t="shared" si="73"/>
        <v>700</v>
      </c>
      <c r="E303" s="2602"/>
      <c r="F303" s="2602">
        <v>0.7</v>
      </c>
      <c r="G303" s="2602"/>
      <c r="H303" s="2603">
        <f t="shared" si="74"/>
        <v>0.7</v>
      </c>
      <c r="I303" s="2619"/>
      <c r="J303" s="2602"/>
      <c r="K303" s="2602"/>
      <c r="L303" s="2602"/>
      <c r="M303" s="2602"/>
      <c r="N303" s="2603"/>
      <c r="O303" s="2619"/>
      <c r="P303" s="2602"/>
      <c r="Q303" s="2602"/>
      <c r="R303" s="2602"/>
      <c r="S303" s="2602"/>
      <c r="T303" s="2603"/>
      <c r="U303" s="2619"/>
      <c r="V303" s="2602"/>
      <c r="W303" s="2602"/>
      <c r="X303" s="2602"/>
      <c r="Y303" s="2603"/>
      <c r="Z303" s="2603">
        <f t="shared" si="75"/>
        <v>0</v>
      </c>
      <c r="AA303" s="2603">
        <f t="shared" si="72"/>
        <v>0</v>
      </c>
      <c r="AB303" s="2603"/>
      <c r="AC303" s="2603"/>
      <c r="AD303" s="2620"/>
    </row>
    <row r="304" spans="1:30" s="2612" customFormat="1" x14ac:dyDescent="0.25">
      <c r="A304" s="2615"/>
      <c r="B304" s="2618" t="s">
        <v>2412</v>
      </c>
      <c r="C304" s="2619">
        <v>1</v>
      </c>
      <c r="D304" s="2602">
        <f t="shared" si="73"/>
        <v>400</v>
      </c>
      <c r="E304" s="2602"/>
      <c r="F304" s="2602">
        <v>0.4</v>
      </c>
      <c r="G304" s="2602"/>
      <c r="H304" s="2603">
        <f t="shared" si="74"/>
        <v>0.4</v>
      </c>
      <c r="I304" s="2619"/>
      <c r="J304" s="2602"/>
      <c r="K304" s="2602"/>
      <c r="L304" s="2602"/>
      <c r="M304" s="2602"/>
      <c r="N304" s="2603"/>
      <c r="O304" s="2619"/>
      <c r="P304" s="2602"/>
      <c r="Q304" s="2602"/>
      <c r="R304" s="2602"/>
      <c r="S304" s="2602"/>
      <c r="T304" s="2603"/>
      <c r="U304" s="2619"/>
      <c r="V304" s="2602"/>
      <c r="W304" s="2602"/>
      <c r="X304" s="2602"/>
      <c r="Y304" s="2603"/>
      <c r="Z304" s="2603">
        <f t="shared" si="75"/>
        <v>0</v>
      </c>
      <c r="AA304" s="2603">
        <f t="shared" si="72"/>
        <v>0</v>
      </c>
      <c r="AB304" s="2603"/>
      <c r="AC304" s="2603"/>
      <c r="AD304" s="2620"/>
    </row>
    <row r="305" spans="1:30" s="2612" customFormat="1" ht="47.25" x14ac:dyDescent="0.25">
      <c r="A305" s="2615"/>
      <c r="B305" s="2618" t="s">
        <v>2413</v>
      </c>
      <c r="C305" s="2619">
        <v>1</v>
      </c>
      <c r="D305" s="2602">
        <f t="shared" si="73"/>
        <v>1800</v>
      </c>
      <c r="E305" s="2602"/>
      <c r="F305" s="2602">
        <v>1.8</v>
      </c>
      <c r="G305" s="2602"/>
      <c r="H305" s="2603">
        <f t="shared" si="74"/>
        <v>1.8</v>
      </c>
      <c r="I305" s="2619"/>
      <c r="J305" s="2602"/>
      <c r="K305" s="2602"/>
      <c r="L305" s="2602"/>
      <c r="M305" s="2602"/>
      <c r="N305" s="2603"/>
      <c r="O305" s="2619"/>
      <c r="P305" s="2602"/>
      <c r="Q305" s="2602"/>
      <c r="R305" s="2602"/>
      <c r="S305" s="2602"/>
      <c r="T305" s="2603"/>
      <c r="U305" s="2619"/>
      <c r="V305" s="2602"/>
      <c r="W305" s="2602"/>
      <c r="X305" s="2602"/>
      <c r="Y305" s="2603"/>
      <c r="Z305" s="2603">
        <f t="shared" si="75"/>
        <v>0</v>
      </c>
      <c r="AA305" s="2603">
        <f t="shared" si="72"/>
        <v>0</v>
      </c>
      <c r="AB305" s="2603"/>
      <c r="AC305" s="2603"/>
      <c r="AD305" s="2620"/>
    </row>
    <row r="306" spans="1:30" s="2612" customFormat="1" x14ac:dyDescent="0.25">
      <c r="A306" s="2615"/>
      <c r="B306" s="2618" t="s">
        <v>2195</v>
      </c>
      <c r="C306" s="2619">
        <v>4</v>
      </c>
      <c r="D306" s="2602">
        <f t="shared" si="73"/>
        <v>125</v>
      </c>
      <c r="E306" s="2602"/>
      <c r="F306" s="2602">
        <v>0.5</v>
      </c>
      <c r="G306" s="2602"/>
      <c r="H306" s="2603">
        <f t="shared" si="74"/>
        <v>0.5</v>
      </c>
      <c r="I306" s="2619"/>
      <c r="J306" s="2602"/>
      <c r="K306" s="2602"/>
      <c r="L306" s="2602"/>
      <c r="M306" s="2602"/>
      <c r="N306" s="2603"/>
      <c r="O306" s="2619"/>
      <c r="P306" s="2602"/>
      <c r="Q306" s="2602"/>
      <c r="R306" s="2602"/>
      <c r="S306" s="2602"/>
      <c r="T306" s="2603"/>
      <c r="U306" s="2619"/>
      <c r="V306" s="2602"/>
      <c r="W306" s="2602"/>
      <c r="X306" s="2602"/>
      <c r="Y306" s="2603"/>
      <c r="Z306" s="2603">
        <f t="shared" si="75"/>
        <v>0</v>
      </c>
      <c r="AA306" s="2603">
        <f t="shared" si="72"/>
        <v>0</v>
      </c>
      <c r="AB306" s="2603"/>
      <c r="AC306" s="2603"/>
      <c r="AD306" s="2620"/>
    </row>
    <row r="307" spans="1:30" s="2612" customFormat="1" x14ac:dyDescent="0.25">
      <c r="A307" s="2615"/>
      <c r="B307" s="2618" t="s">
        <v>2195</v>
      </c>
      <c r="C307" s="2619">
        <v>8</v>
      </c>
      <c r="D307" s="2602">
        <f t="shared" si="73"/>
        <v>50</v>
      </c>
      <c r="E307" s="2602"/>
      <c r="F307" s="2602">
        <v>0.4</v>
      </c>
      <c r="G307" s="2602"/>
      <c r="H307" s="2603">
        <f t="shared" si="74"/>
        <v>0.4</v>
      </c>
      <c r="I307" s="2619"/>
      <c r="J307" s="2602"/>
      <c r="K307" s="2602"/>
      <c r="L307" s="2602"/>
      <c r="M307" s="2602"/>
      <c r="N307" s="2603"/>
      <c r="O307" s="2619"/>
      <c r="P307" s="2602"/>
      <c r="Q307" s="2602"/>
      <c r="R307" s="2602"/>
      <c r="S307" s="2602"/>
      <c r="T307" s="2603"/>
      <c r="U307" s="2619"/>
      <c r="V307" s="2602"/>
      <c r="W307" s="2602"/>
      <c r="X307" s="2602"/>
      <c r="Y307" s="2603"/>
      <c r="Z307" s="2603">
        <f t="shared" si="75"/>
        <v>0</v>
      </c>
      <c r="AA307" s="2603">
        <f t="shared" si="72"/>
        <v>0</v>
      </c>
      <c r="AB307" s="2603"/>
      <c r="AC307" s="2603"/>
      <c r="AD307" s="2620"/>
    </row>
    <row r="308" spans="1:30" s="2612" customFormat="1" x14ac:dyDescent="0.25">
      <c r="A308" s="2615"/>
      <c r="B308" s="2618" t="s">
        <v>2414</v>
      </c>
      <c r="C308" s="2619">
        <v>2</v>
      </c>
      <c r="D308" s="2602">
        <f t="shared" si="73"/>
        <v>250</v>
      </c>
      <c r="E308" s="2602"/>
      <c r="F308" s="2602">
        <v>0.5</v>
      </c>
      <c r="G308" s="2602"/>
      <c r="H308" s="2603">
        <f t="shared" si="74"/>
        <v>0.5</v>
      </c>
      <c r="I308" s="2619"/>
      <c r="J308" s="2602"/>
      <c r="K308" s="2602"/>
      <c r="L308" s="2602"/>
      <c r="M308" s="2602"/>
      <c r="N308" s="2603"/>
      <c r="O308" s="2619"/>
      <c r="P308" s="2602"/>
      <c r="Q308" s="2602"/>
      <c r="R308" s="2602"/>
      <c r="S308" s="2602"/>
      <c r="T308" s="2603"/>
      <c r="U308" s="2619"/>
      <c r="V308" s="2602"/>
      <c r="W308" s="2602"/>
      <c r="X308" s="2602"/>
      <c r="Y308" s="2603"/>
      <c r="Z308" s="2603">
        <f t="shared" si="75"/>
        <v>0</v>
      </c>
      <c r="AA308" s="2603">
        <f t="shared" si="72"/>
        <v>0</v>
      </c>
      <c r="AB308" s="2603"/>
      <c r="AC308" s="2603"/>
      <c r="AD308" s="2620"/>
    </row>
    <row r="309" spans="1:30" s="2612" customFormat="1" x14ac:dyDescent="0.25">
      <c r="A309" s="2615"/>
      <c r="B309" s="2618" t="s">
        <v>2415</v>
      </c>
      <c r="C309" s="2619">
        <v>12</v>
      </c>
      <c r="D309" s="2602">
        <f t="shared" si="73"/>
        <v>25</v>
      </c>
      <c r="E309" s="2602"/>
      <c r="F309" s="2602">
        <v>0.3</v>
      </c>
      <c r="G309" s="2602"/>
      <c r="H309" s="2603">
        <f t="shared" si="74"/>
        <v>0.3</v>
      </c>
      <c r="I309" s="2619"/>
      <c r="J309" s="2602"/>
      <c r="K309" s="2602"/>
      <c r="L309" s="2602"/>
      <c r="M309" s="2602"/>
      <c r="N309" s="2603"/>
      <c r="O309" s="2619"/>
      <c r="P309" s="2602"/>
      <c r="Q309" s="2602"/>
      <c r="R309" s="2602"/>
      <c r="S309" s="2602"/>
      <c r="T309" s="2603"/>
      <c r="U309" s="2619"/>
      <c r="V309" s="2602"/>
      <c r="W309" s="2602"/>
      <c r="X309" s="2602"/>
      <c r="Y309" s="2603"/>
      <c r="Z309" s="2603">
        <f t="shared" si="75"/>
        <v>0</v>
      </c>
      <c r="AA309" s="2603">
        <f t="shared" si="72"/>
        <v>0</v>
      </c>
      <c r="AB309" s="2603"/>
      <c r="AC309" s="2603"/>
      <c r="AD309" s="2620"/>
    </row>
    <row r="310" spans="1:30" s="2612" customFormat="1" x14ac:dyDescent="0.25">
      <c r="A310" s="2615"/>
      <c r="B310" s="2618" t="s">
        <v>2416</v>
      </c>
      <c r="C310" s="2619">
        <v>11</v>
      </c>
      <c r="D310" s="2602">
        <f t="shared" si="73"/>
        <v>90.9</v>
      </c>
      <c r="E310" s="2602"/>
      <c r="F310" s="2602">
        <v>1</v>
      </c>
      <c r="G310" s="2602"/>
      <c r="H310" s="2603">
        <f t="shared" si="74"/>
        <v>1</v>
      </c>
      <c r="I310" s="2619"/>
      <c r="J310" s="2602"/>
      <c r="K310" s="2602"/>
      <c r="L310" s="2602"/>
      <c r="M310" s="2602"/>
      <c r="N310" s="2603"/>
      <c r="O310" s="2619"/>
      <c r="P310" s="2602"/>
      <c r="Q310" s="2602"/>
      <c r="R310" s="2602"/>
      <c r="S310" s="2602"/>
      <c r="T310" s="2603"/>
      <c r="U310" s="2619"/>
      <c r="V310" s="2602"/>
      <c r="W310" s="2602"/>
      <c r="X310" s="2602"/>
      <c r="Y310" s="2603"/>
      <c r="Z310" s="2603">
        <f t="shared" si="75"/>
        <v>0</v>
      </c>
      <c r="AA310" s="2603">
        <f t="shared" si="72"/>
        <v>0</v>
      </c>
      <c r="AB310" s="2603"/>
      <c r="AC310" s="2603"/>
      <c r="AD310" s="2620"/>
    </row>
    <row r="311" spans="1:30" s="2612" customFormat="1" x14ac:dyDescent="0.25">
      <c r="A311" s="2615"/>
      <c r="B311" s="2618" t="s">
        <v>2416</v>
      </c>
      <c r="C311" s="2619">
        <v>30</v>
      </c>
      <c r="D311" s="2602">
        <f t="shared" si="73"/>
        <v>90</v>
      </c>
      <c r="E311" s="2602"/>
      <c r="F311" s="2602">
        <v>2.7</v>
      </c>
      <c r="G311" s="2602"/>
      <c r="H311" s="2603">
        <f t="shared" si="74"/>
        <v>2.7</v>
      </c>
      <c r="I311" s="2619"/>
      <c r="J311" s="2602"/>
      <c r="K311" s="2602"/>
      <c r="L311" s="2602"/>
      <c r="M311" s="2602"/>
      <c r="N311" s="2603"/>
      <c r="O311" s="2619"/>
      <c r="P311" s="2602"/>
      <c r="Q311" s="2602"/>
      <c r="R311" s="2602"/>
      <c r="S311" s="2602"/>
      <c r="T311" s="2603"/>
      <c r="U311" s="2619"/>
      <c r="V311" s="2602"/>
      <c r="W311" s="2602"/>
      <c r="X311" s="2602"/>
      <c r="Y311" s="2603"/>
      <c r="Z311" s="2603">
        <f t="shared" si="75"/>
        <v>0</v>
      </c>
      <c r="AA311" s="2603">
        <f t="shared" si="72"/>
        <v>0</v>
      </c>
      <c r="AB311" s="2603"/>
      <c r="AC311" s="2603"/>
      <c r="AD311" s="2620"/>
    </row>
    <row r="312" spans="1:30" s="2612" customFormat="1" x14ac:dyDescent="0.25">
      <c r="A312" s="2615"/>
      <c r="B312" s="2618" t="s">
        <v>2416</v>
      </c>
      <c r="C312" s="2619">
        <v>2</v>
      </c>
      <c r="D312" s="2602">
        <f t="shared" si="73"/>
        <v>100</v>
      </c>
      <c r="E312" s="2602"/>
      <c r="F312" s="2602">
        <v>0.2</v>
      </c>
      <c r="G312" s="2602"/>
      <c r="H312" s="2603">
        <f t="shared" si="74"/>
        <v>0.2</v>
      </c>
      <c r="I312" s="2619"/>
      <c r="J312" s="2602"/>
      <c r="K312" s="2602"/>
      <c r="L312" s="2602"/>
      <c r="M312" s="2602"/>
      <c r="N312" s="2603"/>
      <c r="O312" s="2619"/>
      <c r="P312" s="2602"/>
      <c r="Q312" s="2602"/>
      <c r="R312" s="2602"/>
      <c r="S312" s="2602"/>
      <c r="T312" s="2603"/>
      <c r="U312" s="2619"/>
      <c r="V312" s="2602"/>
      <c r="W312" s="2602"/>
      <c r="X312" s="2602"/>
      <c r="Y312" s="2603"/>
      <c r="Z312" s="2603">
        <f t="shared" si="75"/>
        <v>0</v>
      </c>
      <c r="AA312" s="2603">
        <f t="shared" si="72"/>
        <v>0</v>
      </c>
      <c r="AB312" s="2603"/>
      <c r="AC312" s="2603"/>
      <c r="AD312" s="2620"/>
    </row>
    <row r="313" spans="1:30" s="2612" customFormat="1" ht="31.5" x14ac:dyDescent="0.25">
      <c r="A313" s="2615"/>
      <c r="B313" s="2618" t="s">
        <v>2417</v>
      </c>
      <c r="C313" s="2619">
        <v>20</v>
      </c>
      <c r="D313" s="2602">
        <f t="shared" si="73"/>
        <v>50</v>
      </c>
      <c r="E313" s="2602"/>
      <c r="F313" s="2602">
        <v>1</v>
      </c>
      <c r="G313" s="2602"/>
      <c r="H313" s="2603">
        <f t="shared" si="74"/>
        <v>1</v>
      </c>
      <c r="I313" s="2619"/>
      <c r="J313" s="2602"/>
      <c r="K313" s="2602"/>
      <c r="L313" s="2602"/>
      <c r="M313" s="2602"/>
      <c r="N313" s="2603"/>
      <c r="O313" s="2619"/>
      <c r="P313" s="2602"/>
      <c r="Q313" s="2602"/>
      <c r="R313" s="2602"/>
      <c r="S313" s="2602"/>
      <c r="T313" s="2603"/>
      <c r="U313" s="2619"/>
      <c r="V313" s="2602"/>
      <c r="W313" s="2602"/>
      <c r="X313" s="2602"/>
      <c r="Y313" s="2603"/>
      <c r="Z313" s="2603">
        <f t="shared" si="75"/>
        <v>0</v>
      </c>
      <c r="AA313" s="2603">
        <f t="shared" si="72"/>
        <v>0</v>
      </c>
      <c r="AB313" s="2603"/>
      <c r="AC313" s="2603"/>
      <c r="AD313" s="2620"/>
    </row>
    <row r="314" spans="1:30" s="2612" customFormat="1" x14ac:dyDescent="0.25">
      <c r="A314" s="2615"/>
      <c r="B314" s="2618" t="s">
        <v>2235</v>
      </c>
      <c r="C314" s="2619">
        <v>2</v>
      </c>
      <c r="D314" s="2602">
        <f t="shared" si="73"/>
        <v>100</v>
      </c>
      <c r="E314" s="2602"/>
      <c r="F314" s="2602">
        <v>0.2</v>
      </c>
      <c r="G314" s="2602"/>
      <c r="H314" s="2603">
        <f t="shared" si="74"/>
        <v>0.2</v>
      </c>
      <c r="I314" s="2619"/>
      <c r="J314" s="2602"/>
      <c r="K314" s="2602"/>
      <c r="L314" s="2602"/>
      <c r="M314" s="2602"/>
      <c r="N314" s="2603"/>
      <c r="O314" s="2619"/>
      <c r="P314" s="2602"/>
      <c r="Q314" s="2602"/>
      <c r="R314" s="2602"/>
      <c r="S314" s="2602"/>
      <c r="T314" s="2603"/>
      <c r="U314" s="2619"/>
      <c r="V314" s="2602"/>
      <c r="W314" s="2602"/>
      <c r="X314" s="2602"/>
      <c r="Y314" s="2603"/>
      <c r="Z314" s="2603">
        <f t="shared" si="75"/>
        <v>0</v>
      </c>
      <c r="AA314" s="2603">
        <f t="shared" si="72"/>
        <v>0</v>
      </c>
      <c r="AB314" s="2603"/>
      <c r="AC314" s="2603"/>
      <c r="AD314" s="2620"/>
    </row>
    <row r="315" spans="1:30" s="2612" customFormat="1" x14ac:dyDescent="0.25">
      <c r="A315" s="2615"/>
      <c r="B315" s="2618" t="s">
        <v>2418</v>
      </c>
      <c r="C315" s="2619">
        <v>4</v>
      </c>
      <c r="D315" s="2602">
        <f t="shared" si="73"/>
        <v>50</v>
      </c>
      <c r="E315" s="2602"/>
      <c r="F315" s="2602">
        <v>0.2</v>
      </c>
      <c r="G315" s="2602"/>
      <c r="H315" s="2603">
        <f t="shared" si="74"/>
        <v>0.2</v>
      </c>
      <c r="I315" s="2619"/>
      <c r="J315" s="2602"/>
      <c r="K315" s="2602"/>
      <c r="L315" s="2602"/>
      <c r="M315" s="2602"/>
      <c r="N315" s="2603"/>
      <c r="O315" s="2619"/>
      <c r="P315" s="2602"/>
      <c r="Q315" s="2602"/>
      <c r="R315" s="2602"/>
      <c r="S315" s="2602"/>
      <c r="T315" s="2603"/>
      <c r="U315" s="2619"/>
      <c r="V315" s="2602"/>
      <c r="W315" s="2602"/>
      <c r="X315" s="2602"/>
      <c r="Y315" s="2603"/>
      <c r="Z315" s="2603">
        <f t="shared" si="75"/>
        <v>0</v>
      </c>
      <c r="AA315" s="2603">
        <f t="shared" si="72"/>
        <v>0</v>
      </c>
      <c r="AB315" s="2603"/>
      <c r="AC315" s="2603"/>
      <c r="AD315" s="2620"/>
    </row>
    <row r="316" spans="1:30" s="2612" customFormat="1" x14ac:dyDescent="0.25">
      <c r="A316" s="2615"/>
      <c r="B316" s="2618" t="s">
        <v>1422</v>
      </c>
      <c r="C316" s="2619">
        <v>2</v>
      </c>
      <c r="D316" s="2602">
        <f t="shared" si="73"/>
        <v>100</v>
      </c>
      <c r="E316" s="2602"/>
      <c r="F316" s="2602">
        <v>0.2</v>
      </c>
      <c r="G316" s="2602"/>
      <c r="H316" s="2603">
        <f t="shared" si="74"/>
        <v>0.2</v>
      </c>
      <c r="I316" s="2619"/>
      <c r="J316" s="2602"/>
      <c r="K316" s="2602"/>
      <c r="L316" s="2602"/>
      <c r="M316" s="2602"/>
      <c r="N316" s="2603"/>
      <c r="O316" s="2619"/>
      <c r="P316" s="2602"/>
      <c r="Q316" s="2602"/>
      <c r="R316" s="2602"/>
      <c r="S316" s="2602"/>
      <c r="T316" s="2603"/>
      <c r="U316" s="2619"/>
      <c r="V316" s="2602"/>
      <c r="W316" s="2602"/>
      <c r="X316" s="2602"/>
      <c r="Y316" s="2603"/>
      <c r="Z316" s="2603">
        <f t="shared" si="75"/>
        <v>0</v>
      </c>
      <c r="AA316" s="2603">
        <f t="shared" si="72"/>
        <v>0</v>
      </c>
      <c r="AB316" s="2603"/>
      <c r="AC316" s="2603"/>
      <c r="AD316" s="2620"/>
    </row>
    <row r="317" spans="1:30" s="2612" customFormat="1" x14ac:dyDescent="0.25">
      <c r="A317" s="2615"/>
      <c r="B317" s="2618" t="s">
        <v>1422</v>
      </c>
      <c r="C317" s="2619">
        <v>20</v>
      </c>
      <c r="D317" s="2602">
        <f t="shared" si="73"/>
        <v>95</v>
      </c>
      <c r="E317" s="2602"/>
      <c r="F317" s="2602">
        <v>1.9</v>
      </c>
      <c r="G317" s="2602"/>
      <c r="H317" s="2603">
        <f t="shared" si="74"/>
        <v>1.9</v>
      </c>
      <c r="I317" s="2619"/>
      <c r="J317" s="2602"/>
      <c r="K317" s="2602"/>
      <c r="L317" s="2602"/>
      <c r="M317" s="2602"/>
      <c r="N317" s="2603"/>
      <c r="O317" s="2619"/>
      <c r="P317" s="2602"/>
      <c r="Q317" s="2602"/>
      <c r="R317" s="2602"/>
      <c r="S317" s="2602"/>
      <c r="T317" s="2603"/>
      <c r="U317" s="2619"/>
      <c r="V317" s="2602"/>
      <c r="W317" s="2602"/>
      <c r="X317" s="2602"/>
      <c r="Y317" s="2603"/>
      <c r="Z317" s="2603">
        <f t="shared" si="75"/>
        <v>0</v>
      </c>
      <c r="AA317" s="2603">
        <f t="shared" si="72"/>
        <v>0</v>
      </c>
      <c r="AB317" s="2603"/>
      <c r="AC317" s="2603"/>
      <c r="AD317" s="2620"/>
    </row>
    <row r="318" spans="1:30" s="2612" customFormat="1" x14ac:dyDescent="0.25">
      <c r="A318" s="2615"/>
      <c r="B318" s="2618" t="s">
        <v>2419</v>
      </c>
      <c r="C318" s="2619">
        <v>80</v>
      </c>
      <c r="D318" s="2602">
        <f t="shared" si="73"/>
        <v>60</v>
      </c>
      <c r="E318" s="2602">
        <v>4.8</v>
      </c>
      <c r="F318" s="2602"/>
      <c r="G318" s="2602"/>
      <c r="H318" s="2603">
        <f t="shared" si="74"/>
        <v>4.8</v>
      </c>
      <c r="I318" s="2619"/>
      <c r="J318" s="2602"/>
      <c r="K318" s="2602"/>
      <c r="L318" s="2602"/>
      <c r="M318" s="2602"/>
      <c r="N318" s="2603"/>
      <c r="O318" s="2619"/>
      <c r="P318" s="2602"/>
      <c r="Q318" s="2602"/>
      <c r="R318" s="2602"/>
      <c r="S318" s="2602"/>
      <c r="T318" s="2603"/>
      <c r="U318" s="2619"/>
      <c r="V318" s="2602"/>
      <c r="W318" s="2602"/>
      <c r="X318" s="2602"/>
      <c r="Y318" s="2603"/>
      <c r="Z318" s="2603">
        <f t="shared" si="75"/>
        <v>0</v>
      </c>
      <c r="AA318" s="2603">
        <f t="shared" si="72"/>
        <v>0</v>
      </c>
      <c r="AB318" s="2603"/>
      <c r="AC318" s="2603"/>
      <c r="AD318" s="2620"/>
    </row>
    <row r="319" spans="1:30" s="2612" customFormat="1" x14ac:dyDescent="0.25">
      <c r="A319" s="2615"/>
      <c r="B319" s="2618" t="s">
        <v>2420</v>
      </c>
      <c r="C319" s="2619">
        <v>100</v>
      </c>
      <c r="D319" s="2602">
        <f t="shared" si="73"/>
        <v>60</v>
      </c>
      <c r="E319" s="2602">
        <v>6</v>
      </c>
      <c r="F319" s="2602"/>
      <c r="G319" s="2602"/>
      <c r="H319" s="2603">
        <f t="shared" si="74"/>
        <v>6</v>
      </c>
      <c r="I319" s="2619"/>
      <c r="J319" s="2602"/>
      <c r="K319" s="2602"/>
      <c r="L319" s="2602"/>
      <c r="M319" s="2602"/>
      <c r="N319" s="2603"/>
      <c r="O319" s="2619"/>
      <c r="P319" s="2602"/>
      <c r="Q319" s="2602"/>
      <c r="R319" s="2602"/>
      <c r="S319" s="2602"/>
      <c r="T319" s="2603"/>
      <c r="U319" s="2619"/>
      <c r="V319" s="2602"/>
      <c r="W319" s="2602"/>
      <c r="X319" s="2602"/>
      <c r="Y319" s="2603"/>
      <c r="Z319" s="2603">
        <f t="shared" si="75"/>
        <v>0</v>
      </c>
      <c r="AA319" s="2603">
        <f t="shared" si="72"/>
        <v>0</v>
      </c>
      <c r="AB319" s="2603"/>
      <c r="AC319" s="2603"/>
      <c r="AD319" s="2620"/>
    </row>
    <row r="320" spans="1:30" s="2612" customFormat="1" x14ac:dyDescent="0.25">
      <c r="A320" s="2615"/>
      <c r="B320" s="2618" t="s">
        <v>2421</v>
      </c>
      <c r="C320" s="2619">
        <v>1</v>
      </c>
      <c r="D320" s="2602">
        <f t="shared" si="73"/>
        <v>6300</v>
      </c>
      <c r="E320" s="2602">
        <v>6.3</v>
      </c>
      <c r="F320" s="2602"/>
      <c r="G320" s="2602"/>
      <c r="H320" s="2603">
        <f t="shared" si="74"/>
        <v>6.3</v>
      </c>
      <c r="I320" s="2619"/>
      <c r="J320" s="2602"/>
      <c r="K320" s="2602"/>
      <c r="L320" s="2602"/>
      <c r="M320" s="2602"/>
      <c r="N320" s="2603"/>
      <c r="O320" s="2619"/>
      <c r="P320" s="2602"/>
      <c r="Q320" s="2602"/>
      <c r="R320" s="2602"/>
      <c r="S320" s="2602"/>
      <c r="T320" s="2603"/>
      <c r="U320" s="2619"/>
      <c r="V320" s="2602"/>
      <c r="W320" s="2602"/>
      <c r="X320" s="2602"/>
      <c r="Y320" s="2603"/>
      <c r="Z320" s="2603">
        <f t="shared" si="75"/>
        <v>0</v>
      </c>
      <c r="AA320" s="2603">
        <f t="shared" si="72"/>
        <v>0</v>
      </c>
      <c r="AB320" s="2603"/>
      <c r="AC320" s="2603"/>
      <c r="AD320" s="2620"/>
    </row>
    <row r="321" spans="1:30" s="2612" customFormat="1" x14ac:dyDescent="0.25">
      <c r="A321" s="2615"/>
      <c r="B321" s="2618" t="s">
        <v>2058</v>
      </c>
      <c r="C321" s="2619">
        <v>1</v>
      </c>
      <c r="D321" s="2602">
        <f t="shared" si="73"/>
        <v>6000</v>
      </c>
      <c r="E321" s="2602">
        <v>6</v>
      </c>
      <c r="F321" s="2602"/>
      <c r="G321" s="2602"/>
      <c r="H321" s="2603">
        <f t="shared" si="74"/>
        <v>6</v>
      </c>
      <c r="I321" s="2619"/>
      <c r="J321" s="2602"/>
      <c r="K321" s="2602"/>
      <c r="L321" s="2602"/>
      <c r="M321" s="2602"/>
      <c r="N321" s="2603"/>
      <c r="O321" s="2619"/>
      <c r="P321" s="2602"/>
      <c r="Q321" s="2602"/>
      <c r="R321" s="2602"/>
      <c r="S321" s="2602"/>
      <c r="T321" s="2603"/>
      <c r="U321" s="2619"/>
      <c r="V321" s="2602"/>
      <c r="W321" s="2602"/>
      <c r="X321" s="2602"/>
      <c r="Y321" s="2603"/>
      <c r="Z321" s="2603">
        <f t="shared" si="75"/>
        <v>0</v>
      </c>
      <c r="AA321" s="2603">
        <f t="shared" si="72"/>
        <v>0</v>
      </c>
      <c r="AB321" s="2603"/>
      <c r="AC321" s="2603"/>
      <c r="AD321" s="2620"/>
    </row>
    <row r="322" spans="1:30" s="2612" customFormat="1" x14ac:dyDescent="0.25">
      <c r="A322" s="2615"/>
      <c r="B322" s="2618" t="s">
        <v>2058</v>
      </c>
      <c r="C322" s="2619">
        <v>2</v>
      </c>
      <c r="D322" s="2602">
        <f t="shared" si="73"/>
        <v>4000</v>
      </c>
      <c r="E322" s="2602">
        <v>8</v>
      </c>
      <c r="F322" s="2602"/>
      <c r="G322" s="2602"/>
      <c r="H322" s="2603">
        <f t="shared" si="74"/>
        <v>8</v>
      </c>
      <c r="I322" s="2619"/>
      <c r="J322" s="2602"/>
      <c r="K322" s="2602"/>
      <c r="L322" s="2602"/>
      <c r="M322" s="2602"/>
      <c r="N322" s="2603"/>
      <c r="O322" s="2619"/>
      <c r="P322" s="2602"/>
      <c r="Q322" s="2602"/>
      <c r="R322" s="2602"/>
      <c r="S322" s="2602"/>
      <c r="T322" s="2603"/>
      <c r="U322" s="2619"/>
      <c r="V322" s="2602"/>
      <c r="W322" s="2602"/>
      <c r="X322" s="2602"/>
      <c r="Y322" s="2603"/>
      <c r="Z322" s="2603">
        <f t="shared" si="75"/>
        <v>0</v>
      </c>
      <c r="AA322" s="2603">
        <f t="shared" si="72"/>
        <v>0</v>
      </c>
      <c r="AB322" s="2603"/>
      <c r="AC322" s="2603"/>
      <c r="AD322" s="2620"/>
    </row>
    <row r="323" spans="1:30" s="2612" customFormat="1" x14ac:dyDescent="0.25">
      <c r="A323" s="2615"/>
      <c r="B323" s="2618" t="s">
        <v>2422</v>
      </c>
      <c r="C323" s="2619">
        <v>12</v>
      </c>
      <c r="D323" s="2602">
        <f t="shared" si="73"/>
        <v>100</v>
      </c>
      <c r="E323" s="2602">
        <v>1.2</v>
      </c>
      <c r="F323" s="2602"/>
      <c r="G323" s="2602"/>
      <c r="H323" s="2603">
        <f t="shared" si="74"/>
        <v>1.2</v>
      </c>
      <c r="I323" s="2619"/>
      <c r="J323" s="2602"/>
      <c r="K323" s="2602"/>
      <c r="L323" s="2602"/>
      <c r="M323" s="2602"/>
      <c r="N323" s="2603"/>
      <c r="O323" s="2619"/>
      <c r="P323" s="2602"/>
      <c r="Q323" s="2602"/>
      <c r="R323" s="2602"/>
      <c r="S323" s="2602"/>
      <c r="T323" s="2603"/>
      <c r="U323" s="2619"/>
      <c r="V323" s="2602"/>
      <c r="W323" s="2602"/>
      <c r="X323" s="2602"/>
      <c r="Y323" s="2603"/>
      <c r="Z323" s="2603">
        <f t="shared" si="75"/>
        <v>0</v>
      </c>
      <c r="AA323" s="2603">
        <f t="shared" si="72"/>
        <v>0</v>
      </c>
      <c r="AB323" s="2603"/>
      <c r="AC323" s="2603"/>
      <c r="AD323" s="2620"/>
    </row>
    <row r="324" spans="1:30" s="2612" customFormat="1" x14ac:dyDescent="0.25">
      <c r="A324" s="2615"/>
      <c r="B324" s="2618" t="s">
        <v>2423</v>
      </c>
      <c r="C324" s="2619">
        <v>40</v>
      </c>
      <c r="D324" s="2602">
        <f t="shared" si="73"/>
        <v>80</v>
      </c>
      <c r="E324" s="2602">
        <v>3.2</v>
      </c>
      <c r="F324" s="2602"/>
      <c r="G324" s="2602"/>
      <c r="H324" s="2603">
        <f t="shared" si="74"/>
        <v>3.2</v>
      </c>
      <c r="I324" s="2619"/>
      <c r="J324" s="2602"/>
      <c r="K324" s="2602"/>
      <c r="L324" s="2602"/>
      <c r="M324" s="2602"/>
      <c r="N324" s="2603"/>
      <c r="O324" s="2619"/>
      <c r="P324" s="2602"/>
      <c r="Q324" s="2602"/>
      <c r="R324" s="2602"/>
      <c r="S324" s="2602"/>
      <c r="T324" s="2603"/>
      <c r="U324" s="2619"/>
      <c r="V324" s="2602"/>
      <c r="W324" s="2602"/>
      <c r="X324" s="2602"/>
      <c r="Y324" s="2603"/>
      <c r="Z324" s="2603">
        <f t="shared" si="75"/>
        <v>0</v>
      </c>
      <c r="AA324" s="2603">
        <f t="shared" si="72"/>
        <v>0</v>
      </c>
      <c r="AB324" s="2603"/>
      <c r="AC324" s="2603"/>
      <c r="AD324" s="2620"/>
    </row>
    <row r="325" spans="1:30" s="2612" customFormat="1" x14ac:dyDescent="0.25">
      <c r="A325" s="2615"/>
      <c r="B325" s="2618" t="s">
        <v>2424</v>
      </c>
      <c r="C325" s="2619">
        <v>20</v>
      </c>
      <c r="D325" s="2602">
        <f t="shared" si="73"/>
        <v>80</v>
      </c>
      <c r="E325" s="2602">
        <v>1.6</v>
      </c>
      <c r="F325" s="2602"/>
      <c r="G325" s="2602"/>
      <c r="H325" s="2603">
        <f t="shared" si="74"/>
        <v>1.6</v>
      </c>
      <c r="I325" s="2619"/>
      <c r="J325" s="2602"/>
      <c r="K325" s="2602"/>
      <c r="L325" s="2602"/>
      <c r="M325" s="2602"/>
      <c r="N325" s="2603"/>
      <c r="O325" s="2619"/>
      <c r="P325" s="2602"/>
      <c r="Q325" s="2602"/>
      <c r="R325" s="2602"/>
      <c r="S325" s="2602"/>
      <c r="T325" s="2603"/>
      <c r="U325" s="2619"/>
      <c r="V325" s="2602"/>
      <c r="W325" s="2602"/>
      <c r="X325" s="2602"/>
      <c r="Y325" s="2603"/>
      <c r="Z325" s="2603">
        <f t="shared" si="75"/>
        <v>0</v>
      </c>
      <c r="AA325" s="2603">
        <f t="shared" si="72"/>
        <v>0</v>
      </c>
      <c r="AB325" s="2603"/>
      <c r="AC325" s="2603"/>
      <c r="AD325" s="2620"/>
    </row>
    <row r="326" spans="1:30" s="2612" customFormat="1" x14ac:dyDescent="0.25">
      <c r="A326" s="2615"/>
      <c r="B326" s="2618" t="s">
        <v>2425</v>
      </c>
      <c r="C326" s="2619">
        <v>20</v>
      </c>
      <c r="D326" s="2602">
        <f t="shared" si="73"/>
        <v>100</v>
      </c>
      <c r="E326" s="2602">
        <v>2</v>
      </c>
      <c r="F326" s="2602"/>
      <c r="G326" s="2602"/>
      <c r="H326" s="2603">
        <f t="shared" si="74"/>
        <v>2</v>
      </c>
      <c r="I326" s="2619"/>
      <c r="J326" s="2602"/>
      <c r="K326" s="2602"/>
      <c r="L326" s="2602"/>
      <c r="M326" s="2602"/>
      <c r="N326" s="2603"/>
      <c r="O326" s="2619"/>
      <c r="P326" s="2602"/>
      <c r="Q326" s="2602"/>
      <c r="R326" s="2602"/>
      <c r="S326" s="2602"/>
      <c r="T326" s="2603"/>
      <c r="U326" s="2619"/>
      <c r="V326" s="2602"/>
      <c r="W326" s="2602"/>
      <c r="X326" s="2602"/>
      <c r="Y326" s="2603"/>
      <c r="Z326" s="2603">
        <f t="shared" si="75"/>
        <v>0</v>
      </c>
      <c r="AA326" s="2603">
        <f t="shared" si="72"/>
        <v>0</v>
      </c>
      <c r="AB326" s="2603"/>
      <c r="AC326" s="2603"/>
      <c r="AD326" s="2620"/>
    </row>
    <row r="327" spans="1:30" s="2612" customFormat="1" x14ac:dyDescent="0.25">
      <c r="A327" s="2615"/>
      <c r="B327" s="2618" t="s">
        <v>2426</v>
      </c>
      <c r="C327" s="2619">
        <v>42</v>
      </c>
      <c r="D327" s="2602">
        <f t="shared" si="73"/>
        <v>100</v>
      </c>
      <c r="E327" s="2602">
        <v>4.2</v>
      </c>
      <c r="F327" s="2602"/>
      <c r="G327" s="2602"/>
      <c r="H327" s="2603">
        <f t="shared" si="74"/>
        <v>4.2</v>
      </c>
      <c r="I327" s="2619"/>
      <c r="J327" s="2602"/>
      <c r="K327" s="2602"/>
      <c r="L327" s="2602"/>
      <c r="M327" s="2602"/>
      <c r="N327" s="2603"/>
      <c r="O327" s="2619"/>
      <c r="P327" s="2602"/>
      <c r="Q327" s="2602"/>
      <c r="R327" s="2602"/>
      <c r="S327" s="2602"/>
      <c r="T327" s="2603"/>
      <c r="U327" s="2619"/>
      <c r="V327" s="2602"/>
      <c r="W327" s="2602"/>
      <c r="X327" s="2602"/>
      <c r="Y327" s="2603"/>
      <c r="Z327" s="2603">
        <f t="shared" si="75"/>
        <v>0</v>
      </c>
      <c r="AA327" s="2603">
        <f t="shared" si="72"/>
        <v>0</v>
      </c>
      <c r="AB327" s="2603"/>
      <c r="AC327" s="2603"/>
      <c r="AD327" s="2620"/>
    </row>
    <row r="328" spans="1:30" s="2612" customFormat="1" x14ac:dyDescent="0.25">
      <c r="A328" s="2615"/>
      <c r="B328" s="2618" t="s">
        <v>2427</v>
      </c>
      <c r="C328" s="2619">
        <v>20</v>
      </c>
      <c r="D328" s="2602">
        <f t="shared" si="73"/>
        <v>20</v>
      </c>
      <c r="E328" s="2602">
        <v>0.4</v>
      </c>
      <c r="F328" s="2602"/>
      <c r="G328" s="2602"/>
      <c r="H328" s="2603">
        <f t="shared" si="74"/>
        <v>0.4</v>
      </c>
      <c r="I328" s="2619"/>
      <c r="J328" s="2602"/>
      <c r="K328" s="2602"/>
      <c r="L328" s="2602"/>
      <c r="M328" s="2602"/>
      <c r="N328" s="2603"/>
      <c r="O328" s="2619"/>
      <c r="P328" s="2602"/>
      <c r="Q328" s="2602"/>
      <c r="R328" s="2602"/>
      <c r="S328" s="2602"/>
      <c r="T328" s="2603"/>
      <c r="U328" s="2619"/>
      <c r="V328" s="2602"/>
      <c r="W328" s="2602"/>
      <c r="X328" s="2602"/>
      <c r="Y328" s="2603"/>
      <c r="Z328" s="2603">
        <f t="shared" si="75"/>
        <v>0</v>
      </c>
      <c r="AA328" s="2603">
        <f t="shared" si="72"/>
        <v>0</v>
      </c>
      <c r="AB328" s="2603"/>
      <c r="AC328" s="2603"/>
      <c r="AD328" s="2620"/>
    </row>
    <row r="329" spans="1:30" s="2612" customFormat="1" x14ac:dyDescent="0.25">
      <c r="A329" s="2615"/>
      <c r="B329" s="2618" t="s">
        <v>2428</v>
      </c>
      <c r="C329" s="2619">
        <v>20</v>
      </c>
      <c r="D329" s="2602">
        <f t="shared" si="73"/>
        <v>100</v>
      </c>
      <c r="E329" s="2602">
        <v>2</v>
      </c>
      <c r="F329" s="2602"/>
      <c r="G329" s="2602"/>
      <c r="H329" s="2603">
        <f t="shared" si="74"/>
        <v>2</v>
      </c>
      <c r="I329" s="2619"/>
      <c r="J329" s="2602"/>
      <c r="K329" s="2602"/>
      <c r="L329" s="2602"/>
      <c r="M329" s="2602"/>
      <c r="N329" s="2603"/>
      <c r="O329" s="2619"/>
      <c r="P329" s="2602"/>
      <c r="Q329" s="2602"/>
      <c r="R329" s="2602"/>
      <c r="S329" s="2602"/>
      <c r="T329" s="2603"/>
      <c r="U329" s="2619"/>
      <c r="V329" s="2602"/>
      <c r="W329" s="2602"/>
      <c r="X329" s="2602"/>
      <c r="Y329" s="2603"/>
      <c r="Z329" s="2603">
        <f t="shared" si="75"/>
        <v>0</v>
      </c>
      <c r="AA329" s="2603">
        <f t="shared" si="72"/>
        <v>0</v>
      </c>
      <c r="AB329" s="2603"/>
      <c r="AC329" s="2603"/>
      <c r="AD329" s="2620"/>
    </row>
    <row r="330" spans="1:30" s="2612" customFormat="1" x14ac:dyDescent="0.25">
      <c r="A330" s="2615"/>
      <c r="B330" s="2618" t="s">
        <v>1957</v>
      </c>
      <c r="C330" s="2619">
        <v>63</v>
      </c>
      <c r="D330" s="2602">
        <f t="shared" si="73"/>
        <v>100</v>
      </c>
      <c r="E330" s="2602">
        <v>6.3</v>
      </c>
      <c r="F330" s="2602"/>
      <c r="G330" s="2602"/>
      <c r="H330" s="2603">
        <f t="shared" si="74"/>
        <v>6.3</v>
      </c>
      <c r="I330" s="2619"/>
      <c r="J330" s="2602"/>
      <c r="K330" s="2602"/>
      <c r="L330" s="2602"/>
      <c r="M330" s="2602"/>
      <c r="N330" s="2603"/>
      <c r="O330" s="2619"/>
      <c r="P330" s="2602"/>
      <c r="Q330" s="2602"/>
      <c r="R330" s="2602"/>
      <c r="S330" s="2602"/>
      <c r="T330" s="2603"/>
      <c r="U330" s="2619"/>
      <c r="V330" s="2602"/>
      <c r="W330" s="2602"/>
      <c r="X330" s="2602"/>
      <c r="Y330" s="2603"/>
      <c r="Z330" s="2603">
        <f t="shared" si="75"/>
        <v>0</v>
      </c>
      <c r="AA330" s="2603">
        <f t="shared" si="72"/>
        <v>0</v>
      </c>
      <c r="AB330" s="2603"/>
      <c r="AC330" s="2603"/>
      <c r="AD330" s="2620"/>
    </row>
    <row r="331" spans="1:30" s="2612" customFormat="1" x14ac:dyDescent="0.25">
      <c r="A331" s="2615"/>
      <c r="B331" s="2618" t="s">
        <v>2429</v>
      </c>
      <c r="C331" s="2619">
        <v>1</v>
      </c>
      <c r="D331" s="2602">
        <f t="shared" si="73"/>
        <v>700</v>
      </c>
      <c r="E331" s="2602">
        <v>0.7</v>
      </c>
      <c r="F331" s="2602"/>
      <c r="G331" s="2602"/>
      <c r="H331" s="2603">
        <f t="shared" si="74"/>
        <v>0.7</v>
      </c>
      <c r="I331" s="2619"/>
      <c r="J331" s="2602"/>
      <c r="K331" s="2602"/>
      <c r="L331" s="2602"/>
      <c r="M331" s="2602"/>
      <c r="N331" s="2603"/>
      <c r="O331" s="2619"/>
      <c r="P331" s="2602"/>
      <c r="Q331" s="2602"/>
      <c r="R331" s="2602"/>
      <c r="S331" s="2602"/>
      <c r="T331" s="2603"/>
      <c r="U331" s="2619"/>
      <c r="V331" s="2602"/>
      <c r="W331" s="2602"/>
      <c r="X331" s="2602"/>
      <c r="Y331" s="2603"/>
      <c r="Z331" s="2603">
        <f t="shared" si="75"/>
        <v>0</v>
      </c>
      <c r="AA331" s="2603">
        <f t="shared" si="72"/>
        <v>0</v>
      </c>
      <c r="AB331" s="2603"/>
      <c r="AC331" s="2603"/>
      <c r="AD331" s="2620"/>
    </row>
    <row r="332" spans="1:30" s="2612" customFormat="1" x14ac:dyDescent="0.25">
      <c r="A332" s="2615"/>
      <c r="B332" s="2618" t="s">
        <v>2430</v>
      </c>
      <c r="C332" s="2619">
        <v>20</v>
      </c>
      <c r="D332" s="2602">
        <f t="shared" si="73"/>
        <v>50</v>
      </c>
      <c r="E332" s="2602">
        <v>1</v>
      </c>
      <c r="F332" s="2602"/>
      <c r="G332" s="2602"/>
      <c r="H332" s="2603">
        <f t="shared" si="74"/>
        <v>1</v>
      </c>
      <c r="I332" s="2619"/>
      <c r="J332" s="2602"/>
      <c r="K332" s="2602"/>
      <c r="L332" s="2602"/>
      <c r="M332" s="2602"/>
      <c r="N332" s="2603"/>
      <c r="O332" s="2619"/>
      <c r="P332" s="2602"/>
      <c r="Q332" s="2602"/>
      <c r="R332" s="2602"/>
      <c r="S332" s="2602"/>
      <c r="T332" s="2603"/>
      <c r="U332" s="2619"/>
      <c r="V332" s="2602"/>
      <c r="W332" s="2602"/>
      <c r="X332" s="2602"/>
      <c r="Y332" s="2603"/>
      <c r="Z332" s="2603">
        <f t="shared" si="75"/>
        <v>0</v>
      </c>
      <c r="AA332" s="2603">
        <f t="shared" si="72"/>
        <v>0</v>
      </c>
      <c r="AB332" s="2603"/>
      <c r="AC332" s="2603"/>
      <c r="AD332" s="2620"/>
    </row>
    <row r="333" spans="1:30" s="2612" customFormat="1" x14ac:dyDescent="0.25">
      <c r="A333" s="2615"/>
      <c r="B333" s="2618" t="s">
        <v>2431</v>
      </c>
      <c r="C333" s="2619">
        <v>15</v>
      </c>
      <c r="D333" s="2602">
        <f t="shared" si="73"/>
        <v>153.30000000000001</v>
      </c>
      <c r="E333" s="2602">
        <v>2.2999999999999998</v>
      </c>
      <c r="F333" s="2602"/>
      <c r="G333" s="2602"/>
      <c r="H333" s="2603">
        <f t="shared" si="74"/>
        <v>2.2999999999999998</v>
      </c>
      <c r="I333" s="2619"/>
      <c r="J333" s="2602"/>
      <c r="K333" s="2602"/>
      <c r="L333" s="2602"/>
      <c r="M333" s="2602"/>
      <c r="N333" s="2603"/>
      <c r="O333" s="2619"/>
      <c r="P333" s="2602"/>
      <c r="Q333" s="2602"/>
      <c r="R333" s="2602"/>
      <c r="S333" s="2602"/>
      <c r="T333" s="2603"/>
      <c r="U333" s="2619"/>
      <c r="V333" s="2602"/>
      <c r="W333" s="2602"/>
      <c r="X333" s="2602"/>
      <c r="Y333" s="2603"/>
      <c r="Z333" s="2603">
        <f t="shared" si="75"/>
        <v>0</v>
      </c>
      <c r="AA333" s="2603">
        <f t="shared" si="72"/>
        <v>0</v>
      </c>
      <c r="AB333" s="2603"/>
      <c r="AC333" s="2603"/>
      <c r="AD333" s="2620"/>
    </row>
    <row r="334" spans="1:30" s="2612" customFormat="1" ht="31.5" x14ac:dyDescent="0.25">
      <c r="A334" s="2615"/>
      <c r="B334" s="2618" t="s">
        <v>2432</v>
      </c>
      <c r="C334" s="2619">
        <v>75</v>
      </c>
      <c r="D334" s="2602">
        <f t="shared" si="73"/>
        <v>205.3</v>
      </c>
      <c r="E334" s="2602">
        <v>15.4</v>
      </c>
      <c r="F334" s="2602"/>
      <c r="G334" s="2602"/>
      <c r="H334" s="2603">
        <f t="shared" si="74"/>
        <v>15.4</v>
      </c>
      <c r="I334" s="2619"/>
      <c r="J334" s="2602"/>
      <c r="K334" s="2602"/>
      <c r="L334" s="2602"/>
      <c r="M334" s="2602"/>
      <c r="N334" s="2603"/>
      <c r="O334" s="2619"/>
      <c r="P334" s="2602"/>
      <c r="Q334" s="2602"/>
      <c r="R334" s="2602"/>
      <c r="S334" s="2602"/>
      <c r="T334" s="2603"/>
      <c r="U334" s="2619"/>
      <c r="V334" s="2602"/>
      <c r="W334" s="2602"/>
      <c r="X334" s="2602"/>
      <c r="Y334" s="2603"/>
      <c r="Z334" s="2603">
        <f t="shared" si="75"/>
        <v>0</v>
      </c>
      <c r="AA334" s="2603">
        <f t="shared" si="72"/>
        <v>0</v>
      </c>
      <c r="AB334" s="2603"/>
      <c r="AC334" s="2603"/>
      <c r="AD334" s="2620"/>
    </row>
    <row r="335" spans="1:30" s="2612" customFormat="1" ht="31.5" x14ac:dyDescent="0.25">
      <c r="A335" s="2615"/>
      <c r="B335" s="2618" t="s">
        <v>2433</v>
      </c>
      <c r="C335" s="2619">
        <v>100</v>
      </c>
      <c r="D335" s="2602">
        <f t="shared" si="73"/>
        <v>260</v>
      </c>
      <c r="E335" s="2602">
        <v>26</v>
      </c>
      <c r="F335" s="2602"/>
      <c r="G335" s="2602"/>
      <c r="H335" s="2603">
        <f t="shared" si="74"/>
        <v>26</v>
      </c>
      <c r="I335" s="2619"/>
      <c r="J335" s="2602"/>
      <c r="K335" s="2602"/>
      <c r="L335" s="2602"/>
      <c r="M335" s="2602"/>
      <c r="N335" s="2603"/>
      <c r="O335" s="2619"/>
      <c r="P335" s="2602"/>
      <c r="Q335" s="2602"/>
      <c r="R335" s="2602"/>
      <c r="S335" s="2602"/>
      <c r="T335" s="2603"/>
      <c r="U335" s="2619"/>
      <c r="V335" s="2602"/>
      <c r="W335" s="2602"/>
      <c r="X335" s="2602"/>
      <c r="Y335" s="2603"/>
      <c r="Z335" s="2603">
        <f t="shared" si="75"/>
        <v>0</v>
      </c>
      <c r="AA335" s="2603">
        <f t="shared" si="72"/>
        <v>0</v>
      </c>
      <c r="AB335" s="2603"/>
      <c r="AC335" s="2603"/>
      <c r="AD335" s="2620"/>
    </row>
    <row r="336" spans="1:30" s="2612" customFormat="1" ht="31.5" x14ac:dyDescent="0.25">
      <c r="A336" s="2615"/>
      <c r="B336" s="2618" t="s">
        <v>2433</v>
      </c>
      <c r="C336" s="2619">
        <v>120</v>
      </c>
      <c r="D336" s="2602">
        <f t="shared" si="73"/>
        <v>260</v>
      </c>
      <c r="E336" s="2602">
        <v>31.2</v>
      </c>
      <c r="F336" s="2602"/>
      <c r="G336" s="2602"/>
      <c r="H336" s="2603">
        <f t="shared" si="74"/>
        <v>31.2</v>
      </c>
      <c r="I336" s="2619"/>
      <c r="J336" s="2602"/>
      <c r="K336" s="2602"/>
      <c r="L336" s="2602"/>
      <c r="M336" s="2602"/>
      <c r="N336" s="2603"/>
      <c r="O336" s="2619"/>
      <c r="P336" s="2602"/>
      <c r="Q336" s="2602"/>
      <c r="R336" s="2602"/>
      <c r="S336" s="2602"/>
      <c r="T336" s="2603"/>
      <c r="U336" s="2619"/>
      <c r="V336" s="2602"/>
      <c r="W336" s="2602"/>
      <c r="X336" s="2602"/>
      <c r="Y336" s="2603"/>
      <c r="Z336" s="2603">
        <f t="shared" si="75"/>
        <v>0</v>
      </c>
      <c r="AA336" s="2603">
        <f t="shared" si="72"/>
        <v>0</v>
      </c>
      <c r="AB336" s="2603"/>
      <c r="AC336" s="2603"/>
      <c r="AD336" s="2620"/>
    </row>
    <row r="337" spans="1:30" s="2612" customFormat="1" x14ac:dyDescent="0.25">
      <c r="A337" s="2615"/>
      <c r="B337" s="2618" t="s">
        <v>2434</v>
      </c>
      <c r="C337" s="2619">
        <v>4</v>
      </c>
      <c r="D337" s="2602">
        <f t="shared" si="73"/>
        <v>1000</v>
      </c>
      <c r="E337" s="2602">
        <v>4</v>
      </c>
      <c r="F337" s="2602"/>
      <c r="G337" s="2602"/>
      <c r="H337" s="2603">
        <f t="shared" si="74"/>
        <v>4</v>
      </c>
      <c r="I337" s="2619"/>
      <c r="J337" s="2602"/>
      <c r="K337" s="2602"/>
      <c r="L337" s="2602"/>
      <c r="M337" s="2602"/>
      <c r="N337" s="2603"/>
      <c r="O337" s="2619"/>
      <c r="P337" s="2602"/>
      <c r="Q337" s="2602"/>
      <c r="R337" s="2602"/>
      <c r="S337" s="2602"/>
      <c r="T337" s="2603"/>
      <c r="U337" s="2619"/>
      <c r="V337" s="2602"/>
      <c r="W337" s="2602"/>
      <c r="X337" s="2602"/>
      <c r="Y337" s="2603"/>
      <c r="Z337" s="2603">
        <f t="shared" si="75"/>
        <v>0</v>
      </c>
      <c r="AA337" s="2603">
        <f t="shared" ref="AA337:AA400" si="76">IFERROR(W337/K337*100,0)</f>
        <v>0</v>
      </c>
      <c r="AB337" s="2603"/>
      <c r="AC337" s="2603"/>
      <c r="AD337" s="2620"/>
    </row>
    <row r="338" spans="1:30" s="2612" customFormat="1" x14ac:dyDescent="0.25">
      <c r="A338" s="2615"/>
      <c r="B338" s="2618" t="s">
        <v>2434</v>
      </c>
      <c r="C338" s="2619">
        <v>3</v>
      </c>
      <c r="D338" s="2602">
        <f t="shared" si="73"/>
        <v>2000</v>
      </c>
      <c r="E338" s="2602">
        <v>6</v>
      </c>
      <c r="F338" s="2602"/>
      <c r="G338" s="2602"/>
      <c r="H338" s="2603">
        <f t="shared" si="74"/>
        <v>6</v>
      </c>
      <c r="I338" s="2619"/>
      <c r="J338" s="2602"/>
      <c r="K338" s="2602"/>
      <c r="L338" s="2602"/>
      <c r="M338" s="2602"/>
      <c r="N338" s="2603"/>
      <c r="O338" s="2619"/>
      <c r="P338" s="2602"/>
      <c r="Q338" s="2602"/>
      <c r="R338" s="2602"/>
      <c r="S338" s="2602"/>
      <c r="T338" s="2603"/>
      <c r="U338" s="2619"/>
      <c r="V338" s="2602"/>
      <c r="W338" s="2602"/>
      <c r="X338" s="2602"/>
      <c r="Y338" s="2603"/>
      <c r="Z338" s="2603">
        <f t="shared" si="75"/>
        <v>0</v>
      </c>
      <c r="AA338" s="2603">
        <f t="shared" si="76"/>
        <v>0</v>
      </c>
      <c r="AB338" s="2603"/>
      <c r="AC338" s="2603"/>
      <c r="AD338" s="2620"/>
    </row>
    <row r="339" spans="1:30" s="2612" customFormat="1" x14ac:dyDescent="0.25">
      <c r="A339" s="2615"/>
      <c r="B339" s="2618" t="s">
        <v>2435</v>
      </c>
      <c r="C339" s="2619">
        <v>1</v>
      </c>
      <c r="D339" s="2602">
        <f t="shared" si="73"/>
        <v>2000</v>
      </c>
      <c r="E339" s="2602">
        <v>2</v>
      </c>
      <c r="F339" s="2602"/>
      <c r="G339" s="2602"/>
      <c r="H339" s="2603">
        <f t="shared" si="74"/>
        <v>2</v>
      </c>
      <c r="I339" s="2619"/>
      <c r="J339" s="2602"/>
      <c r="K339" s="2602"/>
      <c r="L339" s="2602"/>
      <c r="M339" s="2602"/>
      <c r="N339" s="2603"/>
      <c r="O339" s="2619"/>
      <c r="P339" s="2602"/>
      <c r="Q339" s="2602"/>
      <c r="R339" s="2602"/>
      <c r="S339" s="2602"/>
      <c r="T339" s="2603"/>
      <c r="U339" s="2619"/>
      <c r="V339" s="2602"/>
      <c r="W339" s="2602"/>
      <c r="X339" s="2602"/>
      <c r="Y339" s="2603"/>
      <c r="Z339" s="2603">
        <f t="shared" si="75"/>
        <v>0</v>
      </c>
      <c r="AA339" s="2603">
        <f t="shared" si="76"/>
        <v>0</v>
      </c>
      <c r="AB339" s="2603"/>
      <c r="AC339" s="2603"/>
      <c r="AD339" s="2620"/>
    </row>
    <row r="340" spans="1:30" s="2612" customFormat="1" x14ac:dyDescent="0.25">
      <c r="A340" s="2615"/>
      <c r="B340" s="2618" t="s">
        <v>2436</v>
      </c>
      <c r="C340" s="2619">
        <v>2</v>
      </c>
      <c r="D340" s="2602">
        <f t="shared" si="73"/>
        <v>2000</v>
      </c>
      <c r="E340" s="2602">
        <v>4</v>
      </c>
      <c r="F340" s="2602"/>
      <c r="G340" s="2602"/>
      <c r="H340" s="2603">
        <f t="shared" si="74"/>
        <v>4</v>
      </c>
      <c r="I340" s="2619"/>
      <c r="J340" s="2602"/>
      <c r="K340" s="2602"/>
      <c r="L340" s="2602"/>
      <c r="M340" s="2602"/>
      <c r="N340" s="2603"/>
      <c r="O340" s="2619"/>
      <c r="P340" s="2602"/>
      <c r="Q340" s="2602"/>
      <c r="R340" s="2602"/>
      <c r="S340" s="2602"/>
      <c r="T340" s="2603"/>
      <c r="U340" s="2619"/>
      <c r="V340" s="2602"/>
      <c r="W340" s="2602"/>
      <c r="X340" s="2602"/>
      <c r="Y340" s="2603"/>
      <c r="Z340" s="2603">
        <f t="shared" si="75"/>
        <v>0</v>
      </c>
      <c r="AA340" s="2603">
        <f t="shared" si="76"/>
        <v>0</v>
      </c>
      <c r="AB340" s="2603"/>
      <c r="AC340" s="2603"/>
      <c r="AD340" s="2620"/>
    </row>
    <row r="341" spans="1:30" s="2612" customFormat="1" ht="47.25" x14ac:dyDescent="0.25">
      <c r="A341" s="2615"/>
      <c r="B341" s="2618" t="s">
        <v>2437</v>
      </c>
      <c r="C341" s="2619">
        <v>141</v>
      </c>
      <c r="D341" s="2602">
        <f t="shared" si="73"/>
        <v>90.1</v>
      </c>
      <c r="E341" s="2602">
        <v>12.7</v>
      </c>
      <c r="F341" s="2602"/>
      <c r="G341" s="2602"/>
      <c r="H341" s="2603">
        <f t="shared" si="74"/>
        <v>12.7</v>
      </c>
      <c r="I341" s="2619"/>
      <c r="J341" s="2602"/>
      <c r="K341" s="2602"/>
      <c r="L341" s="2602"/>
      <c r="M341" s="2602"/>
      <c r="N341" s="2603"/>
      <c r="O341" s="2619"/>
      <c r="P341" s="2602"/>
      <c r="Q341" s="2602"/>
      <c r="R341" s="2602"/>
      <c r="S341" s="2602"/>
      <c r="T341" s="2603"/>
      <c r="U341" s="2619"/>
      <c r="V341" s="2602"/>
      <c r="W341" s="2602"/>
      <c r="X341" s="2602"/>
      <c r="Y341" s="2603"/>
      <c r="Z341" s="2603">
        <f t="shared" si="75"/>
        <v>0</v>
      </c>
      <c r="AA341" s="2603">
        <f t="shared" si="76"/>
        <v>0</v>
      </c>
      <c r="AB341" s="2603"/>
      <c r="AC341" s="2603"/>
      <c r="AD341" s="2620"/>
    </row>
    <row r="342" spans="1:30" s="2612" customFormat="1" x14ac:dyDescent="0.25">
      <c r="A342" s="2615"/>
      <c r="B342" s="2618" t="s">
        <v>2438</v>
      </c>
      <c r="C342" s="2619">
        <v>3</v>
      </c>
      <c r="D342" s="2602">
        <f t="shared" si="73"/>
        <v>300</v>
      </c>
      <c r="E342" s="2602">
        <v>0.9</v>
      </c>
      <c r="F342" s="2602"/>
      <c r="G342" s="2602"/>
      <c r="H342" s="2603">
        <f t="shared" si="74"/>
        <v>0.9</v>
      </c>
      <c r="I342" s="2619"/>
      <c r="J342" s="2602"/>
      <c r="K342" s="2602"/>
      <c r="L342" s="2602"/>
      <c r="M342" s="2602"/>
      <c r="N342" s="2603"/>
      <c r="O342" s="2619"/>
      <c r="P342" s="2602"/>
      <c r="Q342" s="2602"/>
      <c r="R342" s="2602"/>
      <c r="S342" s="2602"/>
      <c r="T342" s="2603"/>
      <c r="U342" s="2619"/>
      <c r="V342" s="2602"/>
      <c r="W342" s="2602"/>
      <c r="X342" s="2602"/>
      <c r="Y342" s="2603"/>
      <c r="Z342" s="2603">
        <f t="shared" si="75"/>
        <v>0</v>
      </c>
      <c r="AA342" s="2603">
        <f t="shared" si="76"/>
        <v>0</v>
      </c>
      <c r="AB342" s="2603"/>
      <c r="AC342" s="2603"/>
      <c r="AD342" s="2620"/>
    </row>
    <row r="343" spans="1:30" s="2612" customFormat="1" x14ac:dyDescent="0.25">
      <c r="A343" s="2615"/>
      <c r="B343" s="2618" t="s">
        <v>2439</v>
      </c>
      <c r="C343" s="2619">
        <v>30</v>
      </c>
      <c r="D343" s="2602">
        <f t="shared" si="73"/>
        <v>100</v>
      </c>
      <c r="E343" s="2602">
        <v>3</v>
      </c>
      <c r="F343" s="2602"/>
      <c r="G343" s="2602"/>
      <c r="H343" s="2603">
        <f t="shared" si="74"/>
        <v>3</v>
      </c>
      <c r="I343" s="2619"/>
      <c r="J343" s="2602"/>
      <c r="K343" s="2602"/>
      <c r="L343" s="2602"/>
      <c r="M343" s="2602"/>
      <c r="N343" s="2603"/>
      <c r="O343" s="2619"/>
      <c r="P343" s="2602"/>
      <c r="Q343" s="2602"/>
      <c r="R343" s="2602"/>
      <c r="S343" s="2602"/>
      <c r="T343" s="2603"/>
      <c r="U343" s="2619"/>
      <c r="V343" s="2602"/>
      <c r="W343" s="2602"/>
      <c r="X343" s="2602"/>
      <c r="Y343" s="2603"/>
      <c r="Z343" s="2603">
        <f t="shared" si="75"/>
        <v>0</v>
      </c>
      <c r="AA343" s="2603">
        <f t="shared" si="76"/>
        <v>0</v>
      </c>
      <c r="AB343" s="2603"/>
      <c r="AC343" s="2603"/>
      <c r="AD343" s="2620"/>
    </row>
    <row r="344" spans="1:30" s="2612" customFormat="1" ht="31.5" x14ac:dyDescent="0.25">
      <c r="A344" s="2615"/>
      <c r="B344" s="2618" t="s">
        <v>2440</v>
      </c>
      <c r="C344" s="2619">
        <v>2</v>
      </c>
      <c r="D344" s="2602">
        <f t="shared" si="73"/>
        <v>150</v>
      </c>
      <c r="E344" s="2602">
        <v>0.3</v>
      </c>
      <c r="F344" s="2602"/>
      <c r="G344" s="2602"/>
      <c r="H344" s="2603">
        <f t="shared" si="74"/>
        <v>0.3</v>
      </c>
      <c r="I344" s="2619"/>
      <c r="J344" s="2602"/>
      <c r="K344" s="2602"/>
      <c r="L344" s="2602"/>
      <c r="M344" s="2602"/>
      <c r="N344" s="2603"/>
      <c r="O344" s="2619"/>
      <c r="P344" s="2602"/>
      <c r="Q344" s="2602"/>
      <c r="R344" s="2602"/>
      <c r="S344" s="2602"/>
      <c r="T344" s="2603"/>
      <c r="U344" s="2619"/>
      <c r="V344" s="2602"/>
      <c r="W344" s="2602"/>
      <c r="X344" s="2602"/>
      <c r="Y344" s="2603"/>
      <c r="Z344" s="2603">
        <f t="shared" si="75"/>
        <v>0</v>
      </c>
      <c r="AA344" s="2603">
        <f t="shared" si="76"/>
        <v>0</v>
      </c>
      <c r="AB344" s="2603"/>
      <c r="AC344" s="2603"/>
      <c r="AD344" s="2620"/>
    </row>
    <row r="345" spans="1:30" s="2612" customFormat="1" x14ac:dyDescent="0.25">
      <c r="A345" s="2615"/>
      <c r="B345" s="2618" t="s">
        <v>2441</v>
      </c>
      <c r="C345" s="2619">
        <v>4</v>
      </c>
      <c r="D345" s="2602">
        <f t="shared" si="73"/>
        <v>250</v>
      </c>
      <c r="E345" s="2602">
        <v>1</v>
      </c>
      <c r="F345" s="2602"/>
      <c r="G345" s="2602"/>
      <c r="H345" s="2603">
        <f t="shared" si="74"/>
        <v>1</v>
      </c>
      <c r="I345" s="2619"/>
      <c r="J345" s="2602"/>
      <c r="K345" s="2602"/>
      <c r="L345" s="2602"/>
      <c r="M345" s="2602"/>
      <c r="N345" s="2603"/>
      <c r="O345" s="2619"/>
      <c r="P345" s="2602"/>
      <c r="Q345" s="2602"/>
      <c r="R345" s="2602"/>
      <c r="S345" s="2602"/>
      <c r="T345" s="2603"/>
      <c r="U345" s="2619"/>
      <c r="V345" s="2602"/>
      <c r="W345" s="2602"/>
      <c r="X345" s="2602"/>
      <c r="Y345" s="2603"/>
      <c r="Z345" s="2603">
        <f t="shared" si="75"/>
        <v>0</v>
      </c>
      <c r="AA345" s="2603">
        <f t="shared" si="76"/>
        <v>0</v>
      </c>
      <c r="AB345" s="2603"/>
      <c r="AC345" s="2603"/>
      <c r="AD345" s="2620"/>
    </row>
    <row r="346" spans="1:30" s="2612" customFormat="1" x14ac:dyDescent="0.25">
      <c r="A346" s="2615"/>
      <c r="B346" s="2618" t="s">
        <v>2442</v>
      </c>
      <c r="C346" s="2619">
        <v>1</v>
      </c>
      <c r="D346" s="2602">
        <f t="shared" si="73"/>
        <v>1500</v>
      </c>
      <c r="E346" s="2602">
        <v>1.5</v>
      </c>
      <c r="F346" s="2602"/>
      <c r="G346" s="2602"/>
      <c r="H346" s="2603">
        <f t="shared" si="74"/>
        <v>1.5</v>
      </c>
      <c r="I346" s="2619"/>
      <c r="J346" s="2602"/>
      <c r="K346" s="2602"/>
      <c r="L346" s="2602"/>
      <c r="M346" s="2602"/>
      <c r="N346" s="2603"/>
      <c r="O346" s="2619"/>
      <c r="P346" s="2602"/>
      <c r="Q346" s="2602"/>
      <c r="R346" s="2602"/>
      <c r="S346" s="2602"/>
      <c r="T346" s="2603"/>
      <c r="U346" s="2619"/>
      <c r="V346" s="2602"/>
      <c r="W346" s="2602"/>
      <c r="X346" s="2602"/>
      <c r="Y346" s="2603"/>
      <c r="Z346" s="2603">
        <f t="shared" si="75"/>
        <v>0</v>
      </c>
      <c r="AA346" s="2603">
        <f t="shared" si="76"/>
        <v>0</v>
      </c>
      <c r="AB346" s="2603"/>
      <c r="AC346" s="2603"/>
      <c r="AD346" s="2620"/>
    </row>
    <row r="347" spans="1:30" s="2612" customFormat="1" ht="31.5" x14ac:dyDescent="0.25">
      <c r="A347" s="2615"/>
      <c r="B347" s="2618" t="s">
        <v>2443</v>
      </c>
      <c r="C347" s="2619">
        <v>6</v>
      </c>
      <c r="D347" s="2602">
        <f t="shared" si="73"/>
        <v>33.299999999999997</v>
      </c>
      <c r="E347" s="2602">
        <v>0.2</v>
      </c>
      <c r="F347" s="2602"/>
      <c r="G347" s="2602"/>
      <c r="H347" s="2603">
        <f t="shared" si="74"/>
        <v>0.2</v>
      </c>
      <c r="I347" s="2619"/>
      <c r="J347" s="2602"/>
      <c r="K347" s="2602"/>
      <c r="L347" s="2602"/>
      <c r="M347" s="2602"/>
      <c r="N347" s="2603"/>
      <c r="O347" s="2619"/>
      <c r="P347" s="2602"/>
      <c r="Q347" s="2602"/>
      <c r="R347" s="2602"/>
      <c r="S347" s="2602"/>
      <c r="T347" s="2603"/>
      <c r="U347" s="2619"/>
      <c r="V347" s="2602"/>
      <c r="W347" s="2602"/>
      <c r="X347" s="2602"/>
      <c r="Y347" s="2603"/>
      <c r="Z347" s="2603">
        <f t="shared" si="75"/>
        <v>0</v>
      </c>
      <c r="AA347" s="2603">
        <f t="shared" si="76"/>
        <v>0</v>
      </c>
      <c r="AB347" s="2603"/>
      <c r="AC347" s="2603"/>
      <c r="AD347" s="2620"/>
    </row>
    <row r="348" spans="1:30" s="2612" customFormat="1" x14ac:dyDescent="0.25">
      <c r="A348" s="2615"/>
      <c r="B348" s="2618" t="s">
        <v>2389</v>
      </c>
      <c r="C348" s="2619">
        <v>2</v>
      </c>
      <c r="D348" s="2602">
        <f t="shared" si="73"/>
        <v>600</v>
      </c>
      <c r="E348" s="2602">
        <v>1.2</v>
      </c>
      <c r="F348" s="2602"/>
      <c r="G348" s="2602"/>
      <c r="H348" s="2603">
        <f t="shared" si="74"/>
        <v>1.2</v>
      </c>
      <c r="I348" s="2619"/>
      <c r="J348" s="2602"/>
      <c r="K348" s="2602"/>
      <c r="L348" s="2602"/>
      <c r="M348" s="2602"/>
      <c r="N348" s="2603"/>
      <c r="O348" s="2619"/>
      <c r="P348" s="2602"/>
      <c r="Q348" s="2602"/>
      <c r="R348" s="2602"/>
      <c r="S348" s="2602"/>
      <c r="T348" s="2603"/>
      <c r="U348" s="2619"/>
      <c r="V348" s="2602"/>
      <c r="W348" s="2602"/>
      <c r="X348" s="2602"/>
      <c r="Y348" s="2603"/>
      <c r="Z348" s="2603">
        <f t="shared" si="75"/>
        <v>0</v>
      </c>
      <c r="AA348" s="2603">
        <f t="shared" si="76"/>
        <v>0</v>
      </c>
      <c r="AB348" s="2603"/>
      <c r="AC348" s="2603"/>
      <c r="AD348" s="2620"/>
    </row>
    <row r="349" spans="1:30" s="2612" customFormat="1" x14ac:dyDescent="0.25">
      <c r="A349" s="2615"/>
      <c r="B349" s="2618" t="s">
        <v>2103</v>
      </c>
      <c r="C349" s="2619">
        <v>10</v>
      </c>
      <c r="D349" s="2602">
        <f t="shared" si="73"/>
        <v>200</v>
      </c>
      <c r="E349" s="2602">
        <v>2</v>
      </c>
      <c r="F349" s="2602"/>
      <c r="G349" s="2602"/>
      <c r="H349" s="2603">
        <f t="shared" si="74"/>
        <v>2</v>
      </c>
      <c r="I349" s="2619"/>
      <c r="J349" s="2602"/>
      <c r="K349" s="2602"/>
      <c r="L349" s="2602"/>
      <c r="M349" s="2602"/>
      <c r="N349" s="2603"/>
      <c r="O349" s="2619"/>
      <c r="P349" s="2602"/>
      <c r="Q349" s="2602"/>
      <c r="R349" s="2602"/>
      <c r="S349" s="2602"/>
      <c r="T349" s="2603"/>
      <c r="U349" s="2619"/>
      <c r="V349" s="2602"/>
      <c r="W349" s="2602"/>
      <c r="X349" s="2602"/>
      <c r="Y349" s="2603"/>
      <c r="Z349" s="2603">
        <f t="shared" si="75"/>
        <v>0</v>
      </c>
      <c r="AA349" s="2603">
        <f t="shared" si="76"/>
        <v>0</v>
      </c>
      <c r="AB349" s="2603"/>
      <c r="AC349" s="2603"/>
      <c r="AD349" s="2620"/>
    </row>
    <row r="350" spans="1:30" s="2612" customFormat="1" ht="31.5" x14ac:dyDescent="0.25">
      <c r="A350" s="2615"/>
      <c r="B350" s="2618" t="s">
        <v>2444</v>
      </c>
      <c r="C350" s="2619">
        <v>8</v>
      </c>
      <c r="D350" s="2602">
        <f t="shared" si="73"/>
        <v>9387.5</v>
      </c>
      <c r="E350" s="2602">
        <v>75.099999999999994</v>
      </c>
      <c r="F350" s="2602"/>
      <c r="G350" s="2602"/>
      <c r="H350" s="2603">
        <f t="shared" si="74"/>
        <v>75.099999999999994</v>
      </c>
      <c r="I350" s="2619"/>
      <c r="J350" s="2602"/>
      <c r="K350" s="2602"/>
      <c r="L350" s="2602"/>
      <c r="M350" s="2602"/>
      <c r="N350" s="2603"/>
      <c r="O350" s="2619"/>
      <c r="P350" s="2602"/>
      <c r="Q350" s="2602"/>
      <c r="R350" s="2602"/>
      <c r="S350" s="2602"/>
      <c r="T350" s="2603"/>
      <c r="U350" s="2619"/>
      <c r="V350" s="2602"/>
      <c r="W350" s="2602"/>
      <c r="X350" s="2602"/>
      <c r="Y350" s="2603"/>
      <c r="Z350" s="2603">
        <f t="shared" si="75"/>
        <v>0</v>
      </c>
      <c r="AA350" s="2603">
        <f t="shared" si="76"/>
        <v>0</v>
      </c>
      <c r="AB350" s="2603"/>
      <c r="AC350" s="2603"/>
      <c r="AD350" s="2620"/>
    </row>
    <row r="351" spans="1:30" s="2612" customFormat="1" ht="31.5" x14ac:dyDescent="0.25">
      <c r="A351" s="2615"/>
      <c r="B351" s="2618" t="s">
        <v>2445</v>
      </c>
      <c r="C351" s="2619">
        <v>15</v>
      </c>
      <c r="D351" s="2602">
        <f t="shared" si="73"/>
        <v>613.29999999999995</v>
      </c>
      <c r="E351" s="2602">
        <v>9.1999999999999993</v>
      </c>
      <c r="F351" s="2602"/>
      <c r="G351" s="2602"/>
      <c r="H351" s="2603">
        <f t="shared" si="74"/>
        <v>9.1999999999999993</v>
      </c>
      <c r="I351" s="2619"/>
      <c r="J351" s="2602"/>
      <c r="K351" s="2602"/>
      <c r="L351" s="2602"/>
      <c r="M351" s="2602"/>
      <c r="N351" s="2603"/>
      <c r="O351" s="2619"/>
      <c r="P351" s="2602"/>
      <c r="Q351" s="2602"/>
      <c r="R351" s="2602"/>
      <c r="S351" s="2602"/>
      <c r="T351" s="2603"/>
      <c r="U351" s="2619"/>
      <c r="V351" s="2602"/>
      <c r="W351" s="2602"/>
      <c r="X351" s="2602"/>
      <c r="Y351" s="2603"/>
      <c r="Z351" s="2603">
        <f t="shared" si="75"/>
        <v>0</v>
      </c>
      <c r="AA351" s="2603">
        <f t="shared" si="76"/>
        <v>0</v>
      </c>
      <c r="AB351" s="2603"/>
      <c r="AC351" s="2603"/>
      <c r="AD351" s="2620"/>
    </row>
    <row r="352" spans="1:30" s="2612" customFormat="1" x14ac:dyDescent="0.25">
      <c r="A352" s="2615"/>
      <c r="B352" s="2618" t="s">
        <v>2074</v>
      </c>
      <c r="C352" s="2619">
        <v>3</v>
      </c>
      <c r="D352" s="2602">
        <f t="shared" si="73"/>
        <v>300</v>
      </c>
      <c r="E352" s="2602">
        <v>0.9</v>
      </c>
      <c r="F352" s="2602"/>
      <c r="G352" s="2602"/>
      <c r="H352" s="2603">
        <f t="shared" si="74"/>
        <v>0.9</v>
      </c>
      <c r="I352" s="2619"/>
      <c r="J352" s="2602"/>
      <c r="K352" s="2602"/>
      <c r="L352" s="2602"/>
      <c r="M352" s="2602"/>
      <c r="N352" s="2603"/>
      <c r="O352" s="2619"/>
      <c r="P352" s="2602"/>
      <c r="Q352" s="2602"/>
      <c r="R352" s="2602"/>
      <c r="S352" s="2602"/>
      <c r="T352" s="2603"/>
      <c r="U352" s="2619"/>
      <c r="V352" s="2602"/>
      <c r="W352" s="2602"/>
      <c r="X352" s="2602"/>
      <c r="Y352" s="2603"/>
      <c r="Z352" s="2603">
        <f t="shared" si="75"/>
        <v>0</v>
      </c>
      <c r="AA352" s="2603">
        <f t="shared" si="76"/>
        <v>0</v>
      </c>
      <c r="AB352" s="2603"/>
      <c r="AC352" s="2603"/>
      <c r="AD352" s="2620"/>
    </row>
    <row r="353" spans="1:30" s="2612" customFormat="1" x14ac:dyDescent="0.25">
      <c r="A353" s="2615"/>
      <c r="B353" s="2618" t="s">
        <v>2446</v>
      </c>
      <c r="C353" s="2619">
        <v>6</v>
      </c>
      <c r="D353" s="2602">
        <f t="shared" si="73"/>
        <v>300</v>
      </c>
      <c r="E353" s="2602">
        <v>1.8</v>
      </c>
      <c r="F353" s="2602"/>
      <c r="G353" s="2602"/>
      <c r="H353" s="2603">
        <f t="shared" si="74"/>
        <v>1.8</v>
      </c>
      <c r="I353" s="2619"/>
      <c r="J353" s="2602"/>
      <c r="K353" s="2602"/>
      <c r="L353" s="2602"/>
      <c r="M353" s="2602"/>
      <c r="N353" s="2603"/>
      <c r="O353" s="2619"/>
      <c r="P353" s="2602"/>
      <c r="Q353" s="2602"/>
      <c r="R353" s="2602"/>
      <c r="S353" s="2602"/>
      <c r="T353" s="2603"/>
      <c r="U353" s="2619"/>
      <c r="V353" s="2602"/>
      <c r="W353" s="2602"/>
      <c r="X353" s="2602"/>
      <c r="Y353" s="2603"/>
      <c r="Z353" s="2603">
        <f t="shared" si="75"/>
        <v>0</v>
      </c>
      <c r="AA353" s="2603">
        <f t="shared" si="76"/>
        <v>0</v>
      </c>
      <c r="AB353" s="2603"/>
      <c r="AC353" s="2603"/>
      <c r="AD353" s="2620"/>
    </row>
    <row r="354" spans="1:30" s="2612" customFormat="1" x14ac:dyDescent="0.25">
      <c r="A354" s="2615"/>
      <c r="B354" s="2618" t="s">
        <v>2447</v>
      </c>
      <c r="C354" s="2619">
        <v>1</v>
      </c>
      <c r="D354" s="2602">
        <f t="shared" si="73"/>
        <v>0</v>
      </c>
      <c r="E354" s="2602">
        <v>0</v>
      </c>
      <c r="F354" s="2602"/>
      <c r="G354" s="2602"/>
      <c r="H354" s="2603">
        <f t="shared" si="74"/>
        <v>0</v>
      </c>
      <c r="I354" s="2619"/>
      <c r="J354" s="2602"/>
      <c r="K354" s="2602"/>
      <c r="L354" s="2602"/>
      <c r="M354" s="2602"/>
      <c r="N354" s="2603"/>
      <c r="O354" s="2619"/>
      <c r="P354" s="2602"/>
      <c r="Q354" s="2602"/>
      <c r="R354" s="2602"/>
      <c r="S354" s="2602"/>
      <c r="T354" s="2603"/>
      <c r="U354" s="2619"/>
      <c r="V354" s="2602"/>
      <c r="W354" s="2602"/>
      <c r="X354" s="2602"/>
      <c r="Y354" s="2603"/>
      <c r="Z354" s="2603">
        <f t="shared" si="75"/>
        <v>0</v>
      </c>
      <c r="AA354" s="2603">
        <f t="shared" si="76"/>
        <v>0</v>
      </c>
      <c r="AB354" s="2603"/>
      <c r="AC354" s="2603"/>
      <c r="AD354" s="2620"/>
    </row>
    <row r="355" spans="1:30" s="2612" customFormat="1" x14ac:dyDescent="0.25">
      <c r="A355" s="2615"/>
      <c r="B355" s="2618" t="s">
        <v>2448</v>
      </c>
      <c r="C355" s="2619">
        <v>10</v>
      </c>
      <c r="D355" s="2602">
        <f t="shared" si="73"/>
        <v>350</v>
      </c>
      <c r="E355" s="2602">
        <v>3.5</v>
      </c>
      <c r="F355" s="2602"/>
      <c r="G355" s="2602"/>
      <c r="H355" s="2603">
        <f t="shared" si="74"/>
        <v>3.5</v>
      </c>
      <c r="I355" s="2619"/>
      <c r="J355" s="2602"/>
      <c r="K355" s="2602"/>
      <c r="L355" s="2602"/>
      <c r="M355" s="2602"/>
      <c r="N355" s="2603"/>
      <c r="O355" s="2619"/>
      <c r="P355" s="2602"/>
      <c r="Q355" s="2602"/>
      <c r="R355" s="2602"/>
      <c r="S355" s="2602"/>
      <c r="T355" s="2603"/>
      <c r="U355" s="2619"/>
      <c r="V355" s="2602"/>
      <c r="W355" s="2602"/>
      <c r="X355" s="2602"/>
      <c r="Y355" s="2603"/>
      <c r="Z355" s="2603">
        <f t="shared" si="75"/>
        <v>0</v>
      </c>
      <c r="AA355" s="2603">
        <f t="shared" si="76"/>
        <v>0</v>
      </c>
      <c r="AB355" s="2603"/>
      <c r="AC355" s="2603"/>
      <c r="AD355" s="2620"/>
    </row>
    <row r="356" spans="1:30" s="2612" customFormat="1" x14ac:dyDescent="0.25">
      <c r="A356" s="2615"/>
      <c r="B356" s="2618" t="s">
        <v>2448</v>
      </c>
      <c r="C356" s="2619">
        <v>6</v>
      </c>
      <c r="D356" s="2602">
        <f t="shared" si="73"/>
        <v>350</v>
      </c>
      <c r="E356" s="2602">
        <v>2.1</v>
      </c>
      <c r="F356" s="2602"/>
      <c r="G356" s="2602"/>
      <c r="H356" s="2603">
        <f t="shared" si="74"/>
        <v>2.1</v>
      </c>
      <c r="I356" s="2619"/>
      <c r="J356" s="2602"/>
      <c r="K356" s="2602"/>
      <c r="L356" s="2602"/>
      <c r="M356" s="2602"/>
      <c r="N356" s="2603"/>
      <c r="O356" s="2619"/>
      <c r="P356" s="2602"/>
      <c r="Q356" s="2602"/>
      <c r="R356" s="2602"/>
      <c r="S356" s="2602"/>
      <c r="T356" s="2603"/>
      <c r="U356" s="2619"/>
      <c r="V356" s="2602"/>
      <c r="W356" s="2602"/>
      <c r="X356" s="2602"/>
      <c r="Y356" s="2603"/>
      <c r="Z356" s="2603">
        <f t="shared" si="75"/>
        <v>0</v>
      </c>
      <c r="AA356" s="2603">
        <f t="shared" si="76"/>
        <v>0</v>
      </c>
      <c r="AB356" s="2603"/>
      <c r="AC356" s="2603"/>
      <c r="AD356" s="2620"/>
    </row>
    <row r="357" spans="1:30" s="2612" customFormat="1" ht="31.5" x14ac:dyDescent="0.25">
      <c r="A357" s="2615"/>
      <c r="B357" s="2618" t="s">
        <v>2449</v>
      </c>
      <c r="C357" s="2619">
        <v>8</v>
      </c>
      <c r="D357" s="2602">
        <f t="shared" si="73"/>
        <v>75</v>
      </c>
      <c r="E357" s="2602">
        <v>0.6</v>
      </c>
      <c r="F357" s="2602"/>
      <c r="G357" s="2602"/>
      <c r="H357" s="2603">
        <f t="shared" si="74"/>
        <v>0.6</v>
      </c>
      <c r="I357" s="2619"/>
      <c r="J357" s="2602"/>
      <c r="K357" s="2602"/>
      <c r="L357" s="2602"/>
      <c r="M357" s="2602"/>
      <c r="N357" s="2603"/>
      <c r="O357" s="2619"/>
      <c r="P357" s="2602"/>
      <c r="Q357" s="2602"/>
      <c r="R357" s="2602"/>
      <c r="S357" s="2602"/>
      <c r="T357" s="2603"/>
      <c r="U357" s="2619"/>
      <c r="V357" s="2602"/>
      <c r="W357" s="2602"/>
      <c r="X357" s="2602"/>
      <c r="Y357" s="2603"/>
      <c r="Z357" s="2603">
        <f t="shared" si="75"/>
        <v>0</v>
      </c>
      <c r="AA357" s="2603">
        <f t="shared" si="76"/>
        <v>0</v>
      </c>
      <c r="AB357" s="2603"/>
      <c r="AC357" s="2603"/>
      <c r="AD357" s="2620"/>
    </row>
    <row r="358" spans="1:30" s="2612" customFormat="1" x14ac:dyDescent="0.25">
      <c r="A358" s="2615"/>
      <c r="B358" s="2618" t="s">
        <v>2228</v>
      </c>
      <c r="C358" s="2619">
        <v>20</v>
      </c>
      <c r="D358" s="2602">
        <f t="shared" si="73"/>
        <v>150</v>
      </c>
      <c r="E358" s="2602">
        <v>3</v>
      </c>
      <c r="F358" s="2602"/>
      <c r="G358" s="2602"/>
      <c r="H358" s="2603">
        <f t="shared" si="74"/>
        <v>3</v>
      </c>
      <c r="I358" s="2619"/>
      <c r="J358" s="2602"/>
      <c r="K358" s="2602"/>
      <c r="L358" s="2602"/>
      <c r="M358" s="2602"/>
      <c r="N358" s="2603"/>
      <c r="O358" s="2619"/>
      <c r="P358" s="2602"/>
      <c r="Q358" s="2602"/>
      <c r="R358" s="2602"/>
      <c r="S358" s="2602"/>
      <c r="T358" s="2603"/>
      <c r="U358" s="2619"/>
      <c r="V358" s="2602"/>
      <c r="W358" s="2602"/>
      <c r="X358" s="2602"/>
      <c r="Y358" s="2603"/>
      <c r="Z358" s="2603">
        <f t="shared" si="75"/>
        <v>0</v>
      </c>
      <c r="AA358" s="2603">
        <f t="shared" si="76"/>
        <v>0</v>
      </c>
      <c r="AB358" s="2603"/>
      <c r="AC358" s="2603"/>
      <c r="AD358" s="2620"/>
    </row>
    <row r="359" spans="1:30" s="2612" customFormat="1" x14ac:dyDescent="0.25">
      <c r="A359" s="2615"/>
      <c r="B359" s="2618" t="s">
        <v>2450</v>
      </c>
      <c r="C359" s="2619">
        <v>22</v>
      </c>
      <c r="D359" s="2602">
        <f t="shared" si="73"/>
        <v>200</v>
      </c>
      <c r="E359" s="2602">
        <v>4.4000000000000004</v>
      </c>
      <c r="F359" s="2602"/>
      <c r="G359" s="2602"/>
      <c r="H359" s="2603">
        <f t="shared" si="74"/>
        <v>4.4000000000000004</v>
      </c>
      <c r="I359" s="2619"/>
      <c r="J359" s="2602"/>
      <c r="K359" s="2602"/>
      <c r="L359" s="2602"/>
      <c r="M359" s="2602"/>
      <c r="N359" s="2603"/>
      <c r="O359" s="2619"/>
      <c r="P359" s="2602"/>
      <c r="Q359" s="2602"/>
      <c r="R359" s="2602"/>
      <c r="S359" s="2602"/>
      <c r="T359" s="2603"/>
      <c r="U359" s="2619"/>
      <c r="V359" s="2602"/>
      <c r="W359" s="2602"/>
      <c r="X359" s="2602"/>
      <c r="Y359" s="2603"/>
      <c r="Z359" s="2603">
        <f t="shared" si="75"/>
        <v>0</v>
      </c>
      <c r="AA359" s="2603">
        <f t="shared" si="76"/>
        <v>0</v>
      </c>
      <c r="AB359" s="2603"/>
      <c r="AC359" s="2603"/>
      <c r="AD359" s="2620"/>
    </row>
    <row r="360" spans="1:30" s="2612" customFormat="1" x14ac:dyDescent="0.25">
      <c r="A360" s="2615"/>
      <c r="B360" s="2618" t="s">
        <v>2450</v>
      </c>
      <c r="C360" s="2619">
        <v>14</v>
      </c>
      <c r="D360" s="2602">
        <f t="shared" si="73"/>
        <v>192.9</v>
      </c>
      <c r="E360" s="2602">
        <v>2.7</v>
      </c>
      <c r="F360" s="2602"/>
      <c r="G360" s="2602"/>
      <c r="H360" s="2603">
        <f t="shared" si="74"/>
        <v>2.7</v>
      </c>
      <c r="I360" s="2619"/>
      <c r="J360" s="2602"/>
      <c r="K360" s="2602"/>
      <c r="L360" s="2602"/>
      <c r="M360" s="2602"/>
      <c r="N360" s="2603"/>
      <c r="O360" s="2619"/>
      <c r="P360" s="2602"/>
      <c r="Q360" s="2602"/>
      <c r="R360" s="2602"/>
      <c r="S360" s="2602"/>
      <c r="T360" s="2603"/>
      <c r="U360" s="2619"/>
      <c r="V360" s="2602"/>
      <c r="W360" s="2602"/>
      <c r="X360" s="2602"/>
      <c r="Y360" s="2603"/>
      <c r="Z360" s="2603">
        <f t="shared" si="75"/>
        <v>0</v>
      </c>
      <c r="AA360" s="2603">
        <f t="shared" si="76"/>
        <v>0</v>
      </c>
      <c r="AB360" s="2603"/>
      <c r="AC360" s="2603"/>
      <c r="AD360" s="2620"/>
    </row>
    <row r="361" spans="1:30" s="2612" customFormat="1" ht="31.5" x14ac:dyDescent="0.25">
      <c r="A361" s="2615"/>
      <c r="B361" s="2618" t="s">
        <v>2451</v>
      </c>
      <c r="C361" s="2619">
        <v>75</v>
      </c>
      <c r="D361" s="2602">
        <f t="shared" si="73"/>
        <v>756</v>
      </c>
      <c r="E361" s="2602">
        <v>56.7</v>
      </c>
      <c r="F361" s="2602"/>
      <c r="G361" s="2602"/>
      <c r="H361" s="2603">
        <f t="shared" si="74"/>
        <v>56.7</v>
      </c>
      <c r="I361" s="2619"/>
      <c r="J361" s="2602"/>
      <c r="K361" s="2602"/>
      <c r="L361" s="2602"/>
      <c r="M361" s="2602"/>
      <c r="N361" s="2603"/>
      <c r="O361" s="2619"/>
      <c r="P361" s="2602"/>
      <c r="Q361" s="2602"/>
      <c r="R361" s="2602"/>
      <c r="S361" s="2602"/>
      <c r="T361" s="2603"/>
      <c r="U361" s="2619"/>
      <c r="V361" s="2602"/>
      <c r="W361" s="2602"/>
      <c r="X361" s="2602"/>
      <c r="Y361" s="2603"/>
      <c r="Z361" s="2603">
        <f t="shared" si="75"/>
        <v>0</v>
      </c>
      <c r="AA361" s="2603">
        <f t="shared" si="76"/>
        <v>0</v>
      </c>
      <c r="AB361" s="2603"/>
      <c r="AC361" s="2603"/>
      <c r="AD361" s="2620"/>
    </row>
    <row r="362" spans="1:30" s="2612" customFormat="1" ht="31.5" x14ac:dyDescent="0.25">
      <c r="A362" s="2615"/>
      <c r="B362" s="2618" t="s">
        <v>2451</v>
      </c>
      <c r="C362" s="2619">
        <v>50</v>
      </c>
      <c r="D362" s="2602">
        <f t="shared" si="73"/>
        <v>810</v>
      </c>
      <c r="E362" s="2602">
        <v>40.5</v>
      </c>
      <c r="F362" s="2602"/>
      <c r="G362" s="2602"/>
      <c r="H362" s="2603">
        <f t="shared" si="74"/>
        <v>40.5</v>
      </c>
      <c r="I362" s="2619"/>
      <c r="J362" s="2602"/>
      <c r="K362" s="2602"/>
      <c r="L362" s="2602"/>
      <c r="M362" s="2602"/>
      <c r="N362" s="2603"/>
      <c r="O362" s="2619"/>
      <c r="P362" s="2602"/>
      <c r="Q362" s="2602"/>
      <c r="R362" s="2602"/>
      <c r="S362" s="2602"/>
      <c r="T362" s="2603"/>
      <c r="U362" s="2619"/>
      <c r="V362" s="2602"/>
      <c r="W362" s="2602"/>
      <c r="X362" s="2602"/>
      <c r="Y362" s="2603"/>
      <c r="Z362" s="2603">
        <f t="shared" si="75"/>
        <v>0</v>
      </c>
      <c r="AA362" s="2603">
        <f t="shared" si="76"/>
        <v>0</v>
      </c>
      <c r="AB362" s="2603"/>
      <c r="AC362" s="2603"/>
      <c r="AD362" s="2620"/>
    </row>
    <row r="363" spans="1:30" s="2612" customFormat="1" x14ac:dyDescent="0.25">
      <c r="A363" s="2615"/>
      <c r="B363" s="2618" t="s">
        <v>2385</v>
      </c>
      <c r="C363" s="2619">
        <v>4</v>
      </c>
      <c r="D363" s="2602">
        <f t="shared" si="73"/>
        <v>750</v>
      </c>
      <c r="E363" s="2602">
        <v>3</v>
      </c>
      <c r="F363" s="2602"/>
      <c r="G363" s="2602"/>
      <c r="H363" s="2603">
        <f t="shared" si="74"/>
        <v>3</v>
      </c>
      <c r="I363" s="2619"/>
      <c r="J363" s="2602"/>
      <c r="K363" s="2602"/>
      <c r="L363" s="2602"/>
      <c r="M363" s="2602"/>
      <c r="N363" s="2603"/>
      <c r="O363" s="2619"/>
      <c r="P363" s="2602"/>
      <c r="Q363" s="2602"/>
      <c r="R363" s="2602"/>
      <c r="S363" s="2602"/>
      <c r="T363" s="2603"/>
      <c r="U363" s="2619"/>
      <c r="V363" s="2602"/>
      <c r="W363" s="2602"/>
      <c r="X363" s="2602"/>
      <c r="Y363" s="2603"/>
      <c r="Z363" s="2603">
        <f t="shared" si="75"/>
        <v>0</v>
      </c>
      <c r="AA363" s="2603">
        <f t="shared" si="76"/>
        <v>0</v>
      </c>
      <c r="AB363" s="2603"/>
      <c r="AC363" s="2603"/>
      <c r="AD363" s="2620"/>
    </row>
    <row r="364" spans="1:30" s="2612" customFormat="1" ht="31.5" x14ac:dyDescent="0.25">
      <c r="A364" s="2615"/>
      <c r="B364" s="2618" t="s">
        <v>2452</v>
      </c>
      <c r="C364" s="2619">
        <v>1</v>
      </c>
      <c r="D364" s="2602">
        <f t="shared" si="73"/>
        <v>200</v>
      </c>
      <c r="E364" s="2602">
        <v>0.2</v>
      </c>
      <c r="F364" s="2602"/>
      <c r="G364" s="2602"/>
      <c r="H364" s="2603">
        <f t="shared" si="74"/>
        <v>0.2</v>
      </c>
      <c r="I364" s="2619"/>
      <c r="J364" s="2602"/>
      <c r="K364" s="2602"/>
      <c r="L364" s="2602"/>
      <c r="M364" s="2602"/>
      <c r="N364" s="2603"/>
      <c r="O364" s="2619"/>
      <c r="P364" s="2602"/>
      <c r="Q364" s="2602"/>
      <c r="R364" s="2602"/>
      <c r="S364" s="2602"/>
      <c r="T364" s="2603"/>
      <c r="U364" s="2619"/>
      <c r="V364" s="2602"/>
      <c r="W364" s="2602"/>
      <c r="X364" s="2602"/>
      <c r="Y364" s="2603"/>
      <c r="Z364" s="2603">
        <f t="shared" si="75"/>
        <v>0</v>
      </c>
      <c r="AA364" s="2603">
        <f t="shared" si="76"/>
        <v>0</v>
      </c>
      <c r="AB364" s="2603"/>
      <c r="AC364" s="2603"/>
      <c r="AD364" s="2620"/>
    </row>
    <row r="365" spans="1:30" s="2612" customFormat="1" x14ac:dyDescent="0.25">
      <c r="A365" s="2615"/>
      <c r="B365" s="2618" t="s">
        <v>1411</v>
      </c>
      <c r="C365" s="2619">
        <v>6</v>
      </c>
      <c r="D365" s="2602">
        <f t="shared" si="73"/>
        <v>150</v>
      </c>
      <c r="E365" s="2602">
        <v>0.9</v>
      </c>
      <c r="F365" s="2602"/>
      <c r="G365" s="2602"/>
      <c r="H365" s="2603">
        <f t="shared" si="74"/>
        <v>0.9</v>
      </c>
      <c r="I365" s="2619"/>
      <c r="J365" s="2602"/>
      <c r="K365" s="2602"/>
      <c r="L365" s="2602"/>
      <c r="M365" s="2602"/>
      <c r="N365" s="2603"/>
      <c r="O365" s="2619"/>
      <c r="P365" s="2602"/>
      <c r="Q365" s="2602"/>
      <c r="R365" s="2602"/>
      <c r="S365" s="2602"/>
      <c r="T365" s="2603"/>
      <c r="U365" s="2619"/>
      <c r="V365" s="2602"/>
      <c r="W365" s="2602"/>
      <c r="X365" s="2602"/>
      <c r="Y365" s="2603"/>
      <c r="Z365" s="2603">
        <f t="shared" si="75"/>
        <v>0</v>
      </c>
      <c r="AA365" s="2603">
        <f t="shared" si="76"/>
        <v>0</v>
      </c>
      <c r="AB365" s="2603"/>
      <c r="AC365" s="2603"/>
      <c r="AD365" s="2620"/>
    </row>
    <row r="366" spans="1:30" s="2612" customFormat="1" x14ac:dyDescent="0.25">
      <c r="A366" s="2615"/>
      <c r="B366" s="2618" t="s">
        <v>1411</v>
      </c>
      <c r="C366" s="2619">
        <v>1</v>
      </c>
      <c r="D366" s="2602">
        <f t="shared" ref="D366:D429" si="77">(F366/C366*1000)+(E366/C366*1000)</f>
        <v>200</v>
      </c>
      <c r="E366" s="2602">
        <v>0.2</v>
      </c>
      <c r="F366" s="2602"/>
      <c r="G366" s="2602"/>
      <c r="H366" s="2603">
        <f t="shared" ref="H366:H429" si="78">SUM(E366:G366)</f>
        <v>0.2</v>
      </c>
      <c r="I366" s="2619"/>
      <c r="J366" s="2602"/>
      <c r="K366" s="2602"/>
      <c r="L366" s="2602"/>
      <c r="M366" s="2602"/>
      <c r="N366" s="2603"/>
      <c r="O366" s="2619"/>
      <c r="P366" s="2602"/>
      <c r="Q366" s="2602"/>
      <c r="R366" s="2602"/>
      <c r="S366" s="2602"/>
      <c r="T366" s="2603"/>
      <c r="U366" s="2619"/>
      <c r="V366" s="2602"/>
      <c r="W366" s="2602"/>
      <c r="X366" s="2602"/>
      <c r="Y366" s="2603"/>
      <c r="Z366" s="2603">
        <f t="shared" ref="Z366:Z429" si="79">W366-K366</f>
        <v>0</v>
      </c>
      <c r="AA366" s="2603">
        <f t="shared" si="76"/>
        <v>0</v>
      </c>
      <c r="AB366" s="2603"/>
      <c r="AC366" s="2603"/>
      <c r="AD366" s="2620"/>
    </row>
    <row r="367" spans="1:30" s="2612" customFormat="1" x14ac:dyDescent="0.25">
      <c r="A367" s="2615"/>
      <c r="B367" s="2618" t="s">
        <v>1411</v>
      </c>
      <c r="C367" s="2619">
        <v>4</v>
      </c>
      <c r="D367" s="2602">
        <f t="shared" si="77"/>
        <v>100</v>
      </c>
      <c r="E367" s="2602">
        <v>0.4</v>
      </c>
      <c r="F367" s="2602"/>
      <c r="G367" s="2602"/>
      <c r="H367" s="2603">
        <f t="shared" si="78"/>
        <v>0.4</v>
      </c>
      <c r="I367" s="2619"/>
      <c r="J367" s="2602"/>
      <c r="K367" s="2602"/>
      <c r="L367" s="2602"/>
      <c r="M367" s="2602"/>
      <c r="N367" s="2603"/>
      <c r="O367" s="2619"/>
      <c r="P367" s="2602"/>
      <c r="Q367" s="2602"/>
      <c r="R367" s="2602"/>
      <c r="S367" s="2602"/>
      <c r="T367" s="2603"/>
      <c r="U367" s="2619"/>
      <c r="V367" s="2602"/>
      <c r="W367" s="2602"/>
      <c r="X367" s="2602"/>
      <c r="Y367" s="2603"/>
      <c r="Z367" s="2603">
        <f t="shared" si="79"/>
        <v>0</v>
      </c>
      <c r="AA367" s="2603">
        <f t="shared" si="76"/>
        <v>0</v>
      </c>
      <c r="AB367" s="2603"/>
      <c r="AC367" s="2603"/>
      <c r="AD367" s="2620"/>
    </row>
    <row r="368" spans="1:30" s="2612" customFormat="1" x14ac:dyDescent="0.25">
      <c r="A368" s="2615"/>
      <c r="B368" s="2618" t="s">
        <v>2216</v>
      </c>
      <c r="C368" s="2619">
        <v>6</v>
      </c>
      <c r="D368" s="2602">
        <f t="shared" si="77"/>
        <v>16.7</v>
      </c>
      <c r="E368" s="2602">
        <v>0.1</v>
      </c>
      <c r="F368" s="2602"/>
      <c r="G368" s="2602"/>
      <c r="H368" s="2603">
        <f t="shared" si="78"/>
        <v>0.1</v>
      </c>
      <c r="I368" s="2619"/>
      <c r="J368" s="2602"/>
      <c r="K368" s="2602"/>
      <c r="L368" s="2602"/>
      <c r="M368" s="2602"/>
      <c r="N368" s="2603"/>
      <c r="O368" s="2619"/>
      <c r="P368" s="2602"/>
      <c r="Q368" s="2602"/>
      <c r="R368" s="2602"/>
      <c r="S368" s="2602"/>
      <c r="T368" s="2603"/>
      <c r="U368" s="2619"/>
      <c r="V368" s="2602"/>
      <c r="W368" s="2602"/>
      <c r="X368" s="2602"/>
      <c r="Y368" s="2603"/>
      <c r="Z368" s="2603">
        <f t="shared" si="79"/>
        <v>0</v>
      </c>
      <c r="AA368" s="2603">
        <f t="shared" si="76"/>
        <v>0</v>
      </c>
      <c r="AB368" s="2603"/>
      <c r="AC368" s="2603"/>
      <c r="AD368" s="2620"/>
    </row>
    <row r="369" spans="1:30" s="2612" customFormat="1" x14ac:dyDescent="0.25">
      <c r="A369" s="2615"/>
      <c r="B369" s="2618" t="s">
        <v>2453</v>
      </c>
      <c r="C369" s="2619">
        <v>3</v>
      </c>
      <c r="D369" s="2602">
        <f t="shared" si="77"/>
        <v>66.7</v>
      </c>
      <c r="E369" s="2602">
        <v>0.2</v>
      </c>
      <c r="F369" s="2602"/>
      <c r="G369" s="2602"/>
      <c r="H369" s="2603">
        <f t="shared" si="78"/>
        <v>0.2</v>
      </c>
      <c r="I369" s="2619"/>
      <c r="J369" s="2602"/>
      <c r="K369" s="2602"/>
      <c r="L369" s="2602"/>
      <c r="M369" s="2602"/>
      <c r="N369" s="2603"/>
      <c r="O369" s="2619"/>
      <c r="P369" s="2602"/>
      <c r="Q369" s="2602"/>
      <c r="R369" s="2602"/>
      <c r="S369" s="2602"/>
      <c r="T369" s="2603"/>
      <c r="U369" s="2619"/>
      <c r="V369" s="2602"/>
      <c r="W369" s="2602"/>
      <c r="X369" s="2602"/>
      <c r="Y369" s="2603"/>
      <c r="Z369" s="2603">
        <f t="shared" si="79"/>
        <v>0</v>
      </c>
      <c r="AA369" s="2603">
        <f t="shared" si="76"/>
        <v>0</v>
      </c>
      <c r="AB369" s="2603"/>
      <c r="AC369" s="2603"/>
      <c r="AD369" s="2620"/>
    </row>
    <row r="370" spans="1:30" s="2612" customFormat="1" x14ac:dyDescent="0.25">
      <c r="A370" s="2615"/>
      <c r="B370" s="2618" t="s">
        <v>2222</v>
      </c>
      <c r="C370" s="2619">
        <v>15</v>
      </c>
      <c r="D370" s="2602">
        <f t="shared" si="77"/>
        <v>20</v>
      </c>
      <c r="E370" s="2602">
        <v>0.3</v>
      </c>
      <c r="F370" s="2602"/>
      <c r="G370" s="2602"/>
      <c r="H370" s="2603">
        <f t="shared" si="78"/>
        <v>0.3</v>
      </c>
      <c r="I370" s="2619"/>
      <c r="J370" s="2602"/>
      <c r="K370" s="2602"/>
      <c r="L370" s="2602"/>
      <c r="M370" s="2602"/>
      <c r="N370" s="2603"/>
      <c r="O370" s="2619"/>
      <c r="P370" s="2602"/>
      <c r="Q370" s="2602"/>
      <c r="R370" s="2602"/>
      <c r="S370" s="2602"/>
      <c r="T370" s="2603"/>
      <c r="U370" s="2619"/>
      <c r="V370" s="2602"/>
      <c r="W370" s="2602"/>
      <c r="X370" s="2602"/>
      <c r="Y370" s="2603"/>
      <c r="Z370" s="2603">
        <f t="shared" si="79"/>
        <v>0</v>
      </c>
      <c r="AA370" s="2603">
        <f t="shared" si="76"/>
        <v>0</v>
      </c>
      <c r="AB370" s="2603"/>
      <c r="AC370" s="2603"/>
      <c r="AD370" s="2620"/>
    </row>
    <row r="371" spans="1:30" s="2612" customFormat="1" x14ac:dyDescent="0.25">
      <c r="A371" s="2615"/>
      <c r="B371" s="2618" t="s">
        <v>2454</v>
      </c>
      <c r="C371" s="2619">
        <v>1</v>
      </c>
      <c r="D371" s="2602">
        <f t="shared" si="77"/>
        <v>700</v>
      </c>
      <c r="E371" s="2602">
        <v>0.7</v>
      </c>
      <c r="F371" s="2602"/>
      <c r="G371" s="2602"/>
      <c r="H371" s="2603">
        <f t="shared" si="78"/>
        <v>0.7</v>
      </c>
      <c r="I371" s="2619"/>
      <c r="J371" s="2602"/>
      <c r="K371" s="2602"/>
      <c r="L371" s="2602"/>
      <c r="M371" s="2602"/>
      <c r="N371" s="2603"/>
      <c r="O371" s="2619"/>
      <c r="P371" s="2602"/>
      <c r="Q371" s="2602"/>
      <c r="R371" s="2602"/>
      <c r="S371" s="2602"/>
      <c r="T371" s="2603"/>
      <c r="U371" s="2619"/>
      <c r="V371" s="2602"/>
      <c r="W371" s="2602"/>
      <c r="X371" s="2602"/>
      <c r="Y371" s="2603"/>
      <c r="Z371" s="2603">
        <f t="shared" si="79"/>
        <v>0</v>
      </c>
      <c r="AA371" s="2603">
        <f t="shared" si="76"/>
        <v>0</v>
      </c>
      <c r="AB371" s="2603"/>
      <c r="AC371" s="2603"/>
      <c r="AD371" s="2620"/>
    </row>
    <row r="372" spans="1:30" s="2612" customFormat="1" x14ac:dyDescent="0.25">
      <c r="A372" s="2615"/>
      <c r="B372" s="2618" t="s">
        <v>2455</v>
      </c>
      <c r="C372" s="2619">
        <v>40</v>
      </c>
      <c r="D372" s="2602">
        <f t="shared" si="77"/>
        <v>55</v>
      </c>
      <c r="E372" s="2602"/>
      <c r="F372" s="2602">
        <v>2.2000000000000002</v>
      </c>
      <c r="G372" s="2602"/>
      <c r="H372" s="2603">
        <f t="shared" si="78"/>
        <v>2.2000000000000002</v>
      </c>
      <c r="I372" s="2619"/>
      <c r="J372" s="2602"/>
      <c r="K372" s="2602"/>
      <c r="L372" s="2602"/>
      <c r="M372" s="2602"/>
      <c r="N372" s="2603"/>
      <c r="O372" s="2619"/>
      <c r="P372" s="2602"/>
      <c r="Q372" s="2602"/>
      <c r="R372" s="2602"/>
      <c r="S372" s="2602"/>
      <c r="T372" s="2603"/>
      <c r="U372" s="2619"/>
      <c r="V372" s="2602"/>
      <c r="W372" s="2602"/>
      <c r="X372" s="2602"/>
      <c r="Y372" s="2603"/>
      <c r="Z372" s="2603">
        <f t="shared" si="79"/>
        <v>0</v>
      </c>
      <c r="AA372" s="2603">
        <f t="shared" si="76"/>
        <v>0</v>
      </c>
      <c r="AB372" s="2603"/>
      <c r="AC372" s="2603"/>
      <c r="AD372" s="2620"/>
    </row>
    <row r="373" spans="1:30" s="2612" customFormat="1" ht="31.5" x14ac:dyDescent="0.25">
      <c r="A373" s="2615"/>
      <c r="B373" s="2618" t="s">
        <v>2456</v>
      </c>
      <c r="C373" s="2619">
        <v>22</v>
      </c>
      <c r="D373" s="2602">
        <f t="shared" si="77"/>
        <v>1709.1</v>
      </c>
      <c r="E373" s="2602"/>
      <c r="F373" s="2602">
        <v>37.6</v>
      </c>
      <c r="G373" s="2602"/>
      <c r="H373" s="2603">
        <f t="shared" si="78"/>
        <v>37.6</v>
      </c>
      <c r="I373" s="2619"/>
      <c r="J373" s="2602"/>
      <c r="K373" s="2602"/>
      <c r="L373" s="2602"/>
      <c r="M373" s="2602"/>
      <c r="N373" s="2603"/>
      <c r="O373" s="2619"/>
      <c r="P373" s="2602"/>
      <c r="Q373" s="2602"/>
      <c r="R373" s="2602"/>
      <c r="S373" s="2602"/>
      <c r="T373" s="2603"/>
      <c r="U373" s="2619"/>
      <c r="V373" s="2602"/>
      <c r="W373" s="2602"/>
      <c r="X373" s="2602"/>
      <c r="Y373" s="2603"/>
      <c r="Z373" s="2603">
        <f t="shared" si="79"/>
        <v>0</v>
      </c>
      <c r="AA373" s="2603">
        <f t="shared" si="76"/>
        <v>0</v>
      </c>
      <c r="AB373" s="2603"/>
      <c r="AC373" s="2603"/>
      <c r="AD373" s="2620"/>
    </row>
    <row r="374" spans="1:30" s="2612" customFormat="1" x14ac:dyDescent="0.25">
      <c r="A374" s="2615"/>
      <c r="B374" s="2618" t="s">
        <v>2457</v>
      </c>
      <c r="C374" s="2619">
        <v>2</v>
      </c>
      <c r="D374" s="2602">
        <f t="shared" si="77"/>
        <v>4700</v>
      </c>
      <c r="E374" s="2602"/>
      <c r="F374" s="2602">
        <v>9.4</v>
      </c>
      <c r="G374" s="2602"/>
      <c r="H374" s="2603">
        <f t="shared" si="78"/>
        <v>9.4</v>
      </c>
      <c r="I374" s="2619"/>
      <c r="J374" s="2602"/>
      <c r="K374" s="2602"/>
      <c r="L374" s="2602"/>
      <c r="M374" s="2602"/>
      <c r="N374" s="2603"/>
      <c r="O374" s="2619"/>
      <c r="P374" s="2602"/>
      <c r="Q374" s="2602"/>
      <c r="R374" s="2602"/>
      <c r="S374" s="2602"/>
      <c r="T374" s="2603"/>
      <c r="U374" s="2619"/>
      <c r="V374" s="2602"/>
      <c r="W374" s="2602"/>
      <c r="X374" s="2602"/>
      <c r="Y374" s="2603"/>
      <c r="Z374" s="2603">
        <f t="shared" si="79"/>
        <v>0</v>
      </c>
      <c r="AA374" s="2603">
        <f t="shared" si="76"/>
        <v>0</v>
      </c>
      <c r="AB374" s="2603"/>
      <c r="AC374" s="2603"/>
      <c r="AD374" s="2620"/>
    </row>
    <row r="375" spans="1:30" s="2612" customFormat="1" x14ac:dyDescent="0.25">
      <c r="A375" s="2615"/>
      <c r="B375" s="2618" t="s">
        <v>2371</v>
      </c>
      <c r="C375" s="2619">
        <v>20</v>
      </c>
      <c r="D375" s="2602">
        <f t="shared" si="77"/>
        <v>100</v>
      </c>
      <c r="E375" s="2602"/>
      <c r="F375" s="2602">
        <v>2</v>
      </c>
      <c r="G375" s="2602"/>
      <c r="H375" s="2603">
        <f t="shared" si="78"/>
        <v>2</v>
      </c>
      <c r="I375" s="2619"/>
      <c r="J375" s="2602"/>
      <c r="K375" s="2602"/>
      <c r="L375" s="2602"/>
      <c r="M375" s="2602"/>
      <c r="N375" s="2603"/>
      <c r="O375" s="2619"/>
      <c r="P375" s="2602"/>
      <c r="Q375" s="2602"/>
      <c r="R375" s="2602"/>
      <c r="S375" s="2602"/>
      <c r="T375" s="2603"/>
      <c r="U375" s="2619"/>
      <c r="V375" s="2602"/>
      <c r="W375" s="2602"/>
      <c r="X375" s="2602"/>
      <c r="Y375" s="2603"/>
      <c r="Z375" s="2603">
        <f t="shared" si="79"/>
        <v>0</v>
      </c>
      <c r="AA375" s="2603">
        <f t="shared" si="76"/>
        <v>0</v>
      </c>
      <c r="AB375" s="2603"/>
      <c r="AC375" s="2603"/>
      <c r="AD375" s="2620"/>
    </row>
    <row r="376" spans="1:30" s="2612" customFormat="1" x14ac:dyDescent="0.25">
      <c r="A376" s="2615"/>
      <c r="B376" s="2618" t="s">
        <v>2229</v>
      </c>
      <c r="C376" s="2619">
        <v>2</v>
      </c>
      <c r="D376" s="2602">
        <f t="shared" si="77"/>
        <v>1500</v>
      </c>
      <c r="E376" s="2602">
        <v>3</v>
      </c>
      <c r="F376" s="2602"/>
      <c r="G376" s="2602"/>
      <c r="H376" s="2603">
        <f t="shared" si="78"/>
        <v>3</v>
      </c>
      <c r="I376" s="2619"/>
      <c r="J376" s="2602"/>
      <c r="K376" s="2602"/>
      <c r="L376" s="2602"/>
      <c r="M376" s="2602"/>
      <c r="N376" s="2603"/>
      <c r="O376" s="2619"/>
      <c r="P376" s="2602"/>
      <c r="Q376" s="2602"/>
      <c r="R376" s="2602"/>
      <c r="S376" s="2602"/>
      <c r="T376" s="2603"/>
      <c r="U376" s="2619"/>
      <c r="V376" s="2602"/>
      <c r="W376" s="2602"/>
      <c r="X376" s="2602"/>
      <c r="Y376" s="2603"/>
      <c r="Z376" s="2603">
        <f t="shared" si="79"/>
        <v>0</v>
      </c>
      <c r="AA376" s="2603">
        <f t="shared" si="76"/>
        <v>0</v>
      </c>
      <c r="AB376" s="2603"/>
      <c r="AC376" s="2603"/>
      <c r="AD376" s="2620"/>
    </row>
    <row r="377" spans="1:30" s="2612" customFormat="1" x14ac:dyDescent="0.25">
      <c r="A377" s="2615"/>
      <c r="B377" s="2618" t="s">
        <v>2458</v>
      </c>
      <c r="C377" s="2619">
        <v>15</v>
      </c>
      <c r="D377" s="2602">
        <f t="shared" si="77"/>
        <v>13.3</v>
      </c>
      <c r="E377" s="2602"/>
      <c r="F377" s="2602">
        <v>0.2</v>
      </c>
      <c r="G377" s="2602"/>
      <c r="H377" s="2603">
        <f t="shared" si="78"/>
        <v>0.2</v>
      </c>
      <c r="I377" s="2619"/>
      <c r="J377" s="2602"/>
      <c r="K377" s="2602"/>
      <c r="L377" s="2602"/>
      <c r="M377" s="2602"/>
      <c r="N377" s="2603"/>
      <c r="O377" s="2619"/>
      <c r="P377" s="2602"/>
      <c r="Q377" s="2602"/>
      <c r="R377" s="2602"/>
      <c r="S377" s="2602"/>
      <c r="T377" s="2603"/>
      <c r="U377" s="2619"/>
      <c r="V377" s="2602"/>
      <c r="W377" s="2602"/>
      <c r="X377" s="2602"/>
      <c r="Y377" s="2603"/>
      <c r="Z377" s="2603">
        <f t="shared" si="79"/>
        <v>0</v>
      </c>
      <c r="AA377" s="2603">
        <f t="shared" si="76"/>
        <v>0</v>
      </c>
      <c r="AB377" s="2603"/>
      <c r="AC377" s="2603"/>
      <c r="AD377" s="2620"/>
    </row>
    <row r="378" spans="1:30" s="2612" customFormat="1" x14ac:dyDescent="0.25">
      <c r="A378" s="2615"/>
      <c r="B378" s="2618" t="s">
        <v>2459</v>
      </c>
      <c r="C378" s="2619">
        <v>3</v>
      </c>
      <c r="D378" s="2602">
        <f t="shared" si="77"/>
        <v>100</v>
      </c>
      <c r="E378" s="2602"/>
      <c r="F378" s="2602">
        <v>0.3</v>
      </c>
      <c r="G378" s="2602"/>
      <c r="H378" s="2603">
        <f t="shared" si="78"/>
        <v>0.3</v>
      </c>
      <c r="I378" s="2619"/>
      <c r="J378" s="2602"/>
      <c r="K378" s="2602"/>
      <c r="L378" s="2602"/>
      <c r="M378" s="2602"/>
      <c r="N378" s="2603"/>
      <c r="O378" s="2619"/>
      <c r="P378" s="2602"/>
      <c r="Q378" s="2602"/>
      <c r="R378" s="2602"/>
      <c r="S378" s="2602"/>
      <c r="T378" s="2603"/>
      <c r="U378" s="2619"/>
      <c r="V378" s="2602"/>
      <c r="W378" s="2602"/>
      <c r="X378" s="2602"/>
      <c r="Y378" s="2603"/>
      <c r="Z378" s="2603">
        <f t="shared" si="79"/>
        <v>0</v>
      </c>
      <c r="AA378" s="2603">
        <f t="shared" si="76"/>
        <v>0</v>
      </c>
      <c r="AB378" s="2603"/>
      <c r="AC378" s="2603"/>
      <c r="AD378" s="2620"/>
    </row>
    <row r="379" spans="1:30" s="2612" customFormat="1" ht="31.5" x14ac:dyDescent="0.25">
      <c r="A379" s="2615"/>
      <c r="B379" s="2618" t="s">
        <v>2460</v>
      </c>
      <c r="C379" s="2619">
        <v>2</v>
      </c>
      <c r="D379" s="2602">
        <f t="shared" si="77"/>
        <v>3800</v>
      </c>
      <c r="E379" s="2602"/>
      <c r="F379" s="2602">
        <v>7.6</v>
      </c>
      <c r="G379" s="2602"/>
      <c r="H379" s="2603">
        <f t="shared" si="78"/>
        <v>7.6</v>
      </c>
      <c r="I379" s="2619"/>
      <c r="J379" s="2602"/>
      <c r="K379" s="2602"/>
      <c r="L379" s="2602"/>
      <c r="M379" s="2602"/>
      <c r="N379" s="2603"/>
      <c r="O379" s="2619"/>
      <c r="P379" s="2602"/>
      <c r="Q379" s="2602"/>
      <c r="R379" s="2602"/>
      <c r="S379" s="2602"/>
      <c r="T379" s="2603"/>
      <c r="U379" s="2619"/>
      <c r="V379" s="2602"/>
      <c r="W379" s="2602"/>
      <c r="X379" s="2602"/>
      <c r="Y379" s="2603"/>
      <c r="Z379" s="2603">
        <f t="shared" si="79"/>
        <v>0</v>
      </c>
      <c r="AA379" s="2603">
        <f t="shared" si="76"/>
        <v>0</v>
      </c>
      <c r="AB379" s="2603"/>
      <c r="AC379" s="2603"/>
      <c r="AD379" s="2620"/>
    </row>
    <row r="380" spans="1:30" s="2612" customFormat="1" x14ac:dyDescent="0.25">
      <c r="A380" s="2615"/>
      <c r="B380" s="2618" t="s">
        <v>2461</v>
      </c>
      <c r="C380" s="2619">
        <v>1</v>
      </c>
      <c r="D380" s="2602">
        <f t="shared" si="77"/>
        <v>300</v>
      </c>
      <c r="E380" s="2602"/>
      <c r="F380" s="2602">
        <v>0.3</v>
      </c>
      <c r="G380" s="2602"/>
      <c r="H380" s="2603">
        <f t="shared" si="78"/>
        <v>0.3</v>
      </c>
      <c r="I380" s="2619"/>
      <c r="J380" s="2602"/>
      <c r="K380" s="2602"/>
      <c r="L380" s="2602"/>
      <c r="M380" s="2602"/>
      <c r="N380" s="2603"/>
      <c r="O380" s="2619"/>
      <c r="P380" s="2602"/>
      <c r="Q380" s="2602"/>
      <c r="R380" s="2602"/>
      <c r="S380" s="2602"/>
      <c r="T380" s="2603"/>
      <c r="U380" s="2619"/>
      <c r="V380" s="2602"/>
      <c r="W380" s="2602"/>
      <c r="X380" s="2602"/>
      <c r="Y380" s="2603"/>
      <c r="Z380" s="2603">
        <f t="shared" si="79"/>
        <v>0</v>
      </c>
      <c r="AA380" s="2603">
        <f t="shared" si="76"/>
        <v>0</v>
      </c>
      <c r="AB380" s="2603"/>
      <c r="AC380" s="2603"/>
      <c r="AD380" s="2620"/>
    </row>
    <row r="381" spans="1:30" s="2612" customFormat="1" ht="31.5" x14ac:dyDescent="0.25">
      <c r="A381" s="2615"/>
      <c r="B381" s="2618" t="s">
        <v>2462</v>
      </c>
      <c r="C381" s="2619">
        <v>4</v>
      </c>
      <c r="D381" s="2602">
        <f t="shared" si="77"/>
        <v>62500</v>
      </c>
      <c r="E381" s="2602">
        <v>250</v>
      </c>
      <c r="F381" s="2602"/>
      <c r="G381" s="2602"/>
      <c r="H381" s="2603">
        <f t="shared" si="78"/>
        <v>250</v>
      </c>
      <c r="I381" s="2619"/>
      <c r="J381" s="2602"/>
      <c r="K381" s="2602"/>
      <c r="L381" s="2602"/>
      <c r="M381" s="2602"/>
      <c r="N381" s="2603"/>
      <c r="O381" s="2619"/>
      <c r="P381" s="2602"/>
      <c r="Q381" s="2602"/>
      <c r="R381" s="2602"/>
      <c r="S381" s="2602"/>
      <c r="T381" s="2603"/>
      <c r="U381" s="2619"/>
      <c r="V381" s="2602"/>
      <c r="W381" s="2602"/>
      <c r="X381" s="2602"/>
      <c r="Y381" s="2603"/>
      <c r="Z381" s="2603">
        <f t="shared" si="79"/>
        <v>0</v>
      </c>
      <c r="AA381" s="2603">
        <f t="shared" si="76"/>
        <v>0</v>
      </c>
      <c r="AB381" s="2603"/>
      <c r="AC381" s="2603"/>
      <c r="AD381" s="2620"/>
    </row>
    <row r="382" spans="1:30" s="2612" customFormat="1" x14ac:dyDescent="0.25">
      <c r="A382" s="2615"/>
      <c r="B382" s="2618" t="s">
        <v>2463</v>
      </c>
      <c r="C382" s="2619">
        <v>3</v>
      </c>
      <c r="D382" s="2602">
        <f t="shared" si="77"/>
        <v>1400</v>
      </c>
      <c r="E382" s="2602"/>
      <c r="F382" s="2602">
        <v>4.2</v>
      </c>
      <c r="G382" s="2602"/>
      <c r="H382" s="2603">
        <f t="shared" si="78"/>
        <v>4.2</v>
      </c>
      <c r="I382" s="2619"/>
      <c r="J382" s="2602"/>
      <c r="K382" s="2602"/>
      <c r="L382" s="2602"/>
      <c r="M382" s="2602"/>
      <c r="N382" s="2603"/>
      <c r="O382" s="2619"/>
      <c r="P382" s="2602"/>
      <c r="Q382" s="2602"/>
      <c r="R382" s="2602"/>
      <c r="S382" s="2602"/>
      <c r="T382" s="2603"/>
      <c r="U382" s="2619"/>
      <c r="V382" s="2602"/>
      <c r="W382" s="2602"/>
      <c r="X382" s="2602"/>
      <c r="Y382" s="2603"/>
      <c r="Z382" s="2603">
        <f t="shared" si="79"/>
        <v>0</v>
      </c>
      <c r="AA382" s="2603">
        <f t="shared" si="76"/>
        <v>0</v>
      </c>
      <c r="AB382" s="2603"/>
      <c r="AC382" s="2603"/>
      <c r="AD382" s="2620"/>
    </row>
    <row r="383" spans="1:30" s="2612" customFormat="1" x14ac:dyDescent="0.25">
      <c r="A383" s="2615"/>
      <c r="B383" s="2618" t="s">
        <v>2464</v>
      </c>
      <c r="C383" s="2619">
        <v>3</v>
      </c>
      <c r="D383" s="2602">
        <f t="shared" si="77"/>
        <v>2700</v>
      </c>
      <c r="E383" s="2602"/>
      <c r="F383" s="2602">
        <v>8.1</v>
      </c>
      <c r="G383" s="2602"/>
      <c r="H383" s="2603">
        <f t="shared" si="78"/>
        <v>8.1</v>
      </c>
      <c r="I383" s="2619"/>
      <c r="J383" s="2602"/>
      <c r="K383" s="2602"/>
      <c r="L383" s="2602"/>
      <c r="M383" s="2602"/>
      <c r="N383" s="2603"/>
      <c r="O383" s="2619"/>
      <c r="P383" s="2602"/>
      <c r="Q383" s="2602"/>
      <c r="R383" s="2602"/>
      <c r="S383" s="2602"/>
      <c r="T383" s="2603"/>
      <c r="U383" s="2619"/>
      <c r="V383" s="2602"/>
      <c r="W383" s="2602"/>
      <c r="X383" s="2602"/>
      <c r="Y383" s="2603"/>
      <c r="Z383" s="2603">
        <f t="shared" si="79"/>
        <v>0</v>
      </c>
      <c r="AA383" s="2603">
        <f t="shared" si="76"/>
        <v>0</v>
      </c>
      <c r="AB383" s="2603"/>
      <c r="AC383" s="2603"/>
      <c r="AD383" s="2620"/>
    </row>
    <row r="384" spans="1:30" s="2612" customFormat="1" x14ac:dyDescent="0.25">
      <c r="A384" s="2615"/>
      <c r="B384" s="2618" t="s">
        <v>2465</v>
      </c>
      <c r="C384" s="2619">
        <v>1</v>
      </c>
      <c r="D384" s="2602">
        <f t="shared" si="77"/>
        <v>3600</v>
      </c>
      <c r="E384" s="2602"/>
      <c r="F384" s="2602">
        <v>3.6</v>
      </c>
      <c r="G384" s="2602"/>
      <c r="H384" s="2603">
        <f t="shared" si="78"/>
        <v>3.6</v>
      </c>
      <c r="I384" s="2619"/>
      <c r="J384" s="2602"/>
      <c r="K384" s="2602"/>
      <c r="L384" s="2602"/>
      <c r="M384" s="2602"/>
      <c r="N384" s="2603"/>
      <c r="O384" s="2619"/>
      <c r="P384" s="2602"/>
      <c r="Q384" s="2602"/>
      <c r="R384" s="2602"/>
      <c r="S384" s="2602"/>
      <c r="T384" s="2603"/>
      <c r="U384" s="2619"/>
      <c r="V384" s="2602"/>
      <c r="W384" s="2602"/>
      <c r="X384" s="2602"/>
      <c r="Y384" s="2603"/>
      <c r="Z384" s="2603">
        <f t="shared" si="79"/>
        <v>0</v>
      </c>
      <c r="AA384" s="2603">
        <f t="shared" si="76"/>
        <v>0</v>
      </c>
      <c r="AB384" s="2603"/>
      <c r="AC384" s="2603"/>
      <c r="AD384" s="2620"/>
    </row>
    <row r="385" spans="1:30" s="2612" customFormat="1" x14ac:dyDescent="0.25">
      <c r="A385" s="2615"/>
      <c r="B385" s="2618" t="s">
        <v>2466</v>
      </c>
      <c r="C385" s="2619">
        <v>1</v>
      </c>
      <c r="D385" s="2602">
        <f t="shared" si="77"/>
        <v>5000</v>
      </c>
      <c r="E385" s="2602"/>
      <c r="F385" s="2602">
        <v>5</v>
      </c>
      <c r="G385" s="2602"/>
      <c r="H385" s="2603">
        <f t="shared" si="78"/>
        <v>5</v>
      </c>
      <c r="I385" s="2619"/>
      <c r="J385" s="2602"/>
      <c r="K385" s="2602"/>
      <c r="L385" s="2602"/>
      <c r="M385" s="2602"/>
      <c r="N385" s="2603"/>
      <c r="O385" s="2619"/>
      <c r="P385" s="2602"/>
      <c r="Q385" s="2602"/>
      <c r="R385" s="2602"/>
      <c r="S385" s="2602"/>
      <c r="T385" s="2603"/>
      <c r="U385" s="2619"/>
      <c r="V385" s="2602"/>
      <c r="W385" s="2602"/>
      <c r="X385" s="2602"/>
      <c r="Y385" s="2603"/>
      <c r="Z385" s="2603">
        <f t="shared" si="79"/>
        <v>0</v>
      </c>
      <c r="AA385" s="2603">
        <f t="shared" si="76"/>
        <v>0</v>
      </c>
      <c r="AB385" s="2603"/>
      <c r="AC385" s="2603"/>
      <c r="AD385" s="2620"/>
    </row>
    <row r="386" spans="1:30" s="2612" customFormat="1" x14ac:dyDescent="0.25">
      <c r="A386" s="2615"/>
      <c r="B386" s="2618" t="s">
        <v>2211</v>
      </c>
      <c r="C386" s="2619">
        <v>1</v>
      </c>
      <c r="D386" s="2602">
        <f t="shared" si="77"/>
        <v>200</v>
      </c>
      <c r="E386" s="2602"/>
      <c r="F386" s="2602">
        <v>0.2</v>
      </c>
      <c r="G386" s="2602"/>
      <c r="H386" s="2603">
        <f t="shared" si="78"/>
        <v>0.2</v>
      </c>
      <c r="I386" s="2619"/>
      <c r="J386" s="2602"/>
      <c r="K386" s="2602"/>
      <c r="L386" s="2602"/>
      <c r="M386" s="2602"/>
      <c r="N386" s="2603"/>
      <c r="O386" s="2619"/>
      <c r="P386" s="2602"/>
      <c r="Q386" s="2602"/>
      <c r="R386" s="2602"/>
      <c r="S386" s="2602"/>
      <c r="T386" s="2603"/>
      <c r="U386" s="2619"/>
      <c r="V386" s="2602"/>
      <c r="W386" s="2602"/>
      <c r="X386" s="2602"/>
      <c r="Y386" s="2603"/>
      <c r="Z386" s="2603">
        <f t="shared" si="79"/>
        <v>0</v>
      </c>
      <c r="AA386" s="2603">
        <f t="shared" si="76"/>
        <v>0</v>
      </c>
      <c r="AB386" s="2603"/>
      <c r="AC386" s="2603"/>
      <c r="AD386" s="2620"/>
    </row>
    <row r="387" spans="1:30" s="2612" customFormat="1" x14ac:dyDescent="0.25">
      <c r="A387" s="2615"/>
      <c r="B387" s="2618" t="s">
        <v>2467</v>
      </c>
      <c r="C387" s="2619">
        <v>2</v>
      </c>
      <c r="D387" s="2602">
        <f t="shared" si="77"/>
        <v>100</v>
      </c>
      <c r="E387" s="2602"/>
      <c r="F387" s="2602">
        <v>0.2</v>
      </c>
      <c r="G387" s="2602"/>
      <c r="H387" s="2603">
        <f t="shared" si="78"/>
        <v>0.2</v>
      </c>
      <c r="I387" s="2619"/>
      <c r="J387" s="2602"/>
      <c r="K387" s="2602"/>
      <c r="L387" s="2602"/>
      <c r="M387" s="2602"/>
      <c r="N387" s="2603"/>
      <c r="O387" s="2619"/>
      <c r="P387" s="2602"/>
      <c r="Q387" s="2602"/>
      <c r="R387" s="2602"/>
      <c r="S387" s="2602"/>
      <c r="T387" s="2603"/>
      <c r="U387" s="2619"/>
      <c r="V387" s="2602"/>
      <c r="W387" s="2602"/>
      <c r="X387" s="2602"/>
      <c r="Y387" s="2603"/>
      <c r="Z387" s="2603">
        <f t="shared" si="79"/>
        <v>0</v>
      </c>
      <c r="AA387" s="2603">
        <f t="shared" si="76"/>
        <v>0</v>
      </c>
      <c r="AB387" s="2603"/>
      <c r="AC387" s="2603"/>
      <c r="AD387" s="2620"/>
    </row>
    <row r="388" spans="1:30" s="2612" customFormat="1" ht="31.5" x14ac:dyDescent="0.25">
      <c r="A388" s="2615"/>
      <c r="B388" s="2618" t="s">
        <v>2468</v>
      </c>
      <c r="C388" s="2619">
        <v>1</v>
      </c>
      <c r="D388" s="2602">
        <f t="shared" si="77"/>
        <v>23700</v>
      </c>
      <c r="E388" s="2602"/>
      <c r="F388" s="2602">
        <v>23.7</v>
      </c>
      <c r="G388" s="2602"/>
      <c r="H388" s="2603">
        <f t="shared" si="78"/>
        <v>23.7</v>
      </c>
      <c r="I388" s="2619"/>
      <c r="J388" s="2602"/>
      <c r="K388" s="2602"/>
      <c r="L388" s="2602"/>
      <c r="M388" s="2602"/>
      <c r="N388" s="2603"/>
      <c r="O388" s="2619"/>
      <c r="P388" s="2602"/>
      <c r="Q388" s="2602"/>
      <c r="R388" s="2602"/>
      <c r="S388" s="2602"/>
      <c r="T388" s="2603"/>
      <c r="U388" s="2619"/>
      <c r="V388" s="2602"/>
      <c r="W388" s="2602"/>
      <c r="X388" s="2602"/>
      <c r="Y388" s="2603"/>
      <c r="Z388" s="2603">
        <f t="shared" si="79"/>
        <v>0</v>
      </c>
      <c r="AA388" s="2603">
        <f t="shared" si="76"/>
        <v>0</v>
      </c>
      <c r="AB388" s="2603"/>
      <c r="AC388" s="2603"/>
      <c r="AD388" s="2620"/>
    </row>
    <row r="389" spans="1:30" s="2612" customFormat="1" x14ac:dyDescent="0.25">
      <c r="A389" s="2615"/>
      <c r="B389" s="2618" t="s">
        <v>2212</v>
      </c>
      <c r="C389" s="2619">
        <v>50</v>
      </c>
      <c r="D389" s="2602">
        <f t="shared" si="77"/>
        <v>10</v>
      </c>
      <c r="E389" s="2602">
        <v>0.5</v>
      </c>
      <c r="F389" s="2602"/>
      <c r="G389" s="2602"/>
      <c r="H389" s="2603">
        <f t="shared" si="78"/>
        <v>0.5</v>
      </c>
      <c r="I389" s="2619"/>
      <c r="J389" s="2602"/>
      <c r="K389" s="2602"/>
      <c r="L389" s="2602"/>
      <c r="M389" s="2602"/>
      <c r="N389" s="2603"/>
      <c r="O389" s="2619"/>
      <c r="P389" s="2602"/>
      <c r="Q389" s="2602"/>
      <c r="R389" s="2602"/>
      <c r="S389" s="2602"/>
      <c r="T389" s="2603"/>
      <c r="U389" s="2619"/>
      <c r="V389" s="2602"/>
      <c r="W389" s="2602"/>
      <c r="X389" s="2602"/>
      <c r="Y389" s="2603"/>
      <c r="Z389" s="2603">
        <f t="shared" si="79"/>
        <v>0</v>
      </c>
      <c r="AA389" s="2603">
        <f t="shared" si="76"/>
        <v>0</v>
      </c>
      <c r="AB389" s="2603"/>
      <c r="AC389" s="2603"/>
      <c r="AD389" s="2620"/>
    </row>
    <row r="390" spans="1:30" s="2612" customFormat="1" x14ac:dyDescent="0.25">
      <c r="A390" s="2615"/>
      <c r="B390" s="2618" t="s">
        <v>2469</v>
      </c>
      <c r="C390" s="2619">
        <v>40</v>
      </c>
      <c r="D390" s="2602">
        <f t="shared" si="77"/>
        <v>10</v>
      </c>
      <c r="E390" s="2602">
        <v>0.4</v>
      </c>
      <c r="F390" s="2602"/>
      <c r="G390" s="2602"/>
      <c r="H390" s="2603">
        <f t="shared" si="78"/>
        <v>0.4</v>
      </c>
      <c r="I390" s="2619"/>
      <c r="J390" s="2602"/>
      <c r="K390" s="2602"/>
      <c r="L390" s="2602"/>
      <c r="M390" s="2602"/>
      <c r="N390" s="2603"/>
      <c r="O390" s="2619"/>
      <c r="P390" s="2602"/>
      <c r="Q390" s="2602"/>
      <c r="R390" s="2602"/>
      <c r="S390" s="2602"/>
      <c r="T390" s="2603"/>
      <c r="U390" s="2619"/>
      <c r="V390" s="2602"/>
      <c r="W390" s="2602"/>
      <c r="X390" s="2602"/>
      <c r="Y390" s="2603"/>
      <c r="Z390" s="2603">
        <f t="shared" si="79"/>
        <v>0</v>
      </c>
      <c r="AA390" s="2603">
        <f t="shared" si="76"/>
        <v>0</v>
      </c>
      <c r="AB390" s="2603"/>
      <c r="AC390" s="2603"/>
      <c r="AD390" s="2620"/>
    </row>
    <row r="391" spans="1:30" s="2612" customFormat="1" x14ac:dyDescent="0.25">
      <c r="A391" s="2615"/>
      <c r="B391" s="2618" t="s">
        <v>2470</v>
      </c>
      <c r="C391" s="2619">
        <v>1</v>
      </c>
      <c r="D391" s="2602">
        <f t="shared" si="77"/>
        <v>200</v>
      </c>
      <c r="E391" s="2602"/>
      <c r="F391" s="2602">
        <v>0.2</v>
      </c>
      <c r="G391" s="2602"/>
      <c r="H391" s="2603">
        <f t="shared" si="78"/>
        <v>0.2</v>
      </c>
      <c r="I391" s="2619"/>
      <c r="J391" s="2602"/>
      <c r="K391" s="2602"/>
      <c r="L391" s="2602"/>
      <c r="M391" s="2602"/>
      <c r="N391" s="2603"/>
      <c r="O391" s="2619"/>
      <c r="P391" s="2602"/>
      <c r="Q391" s="2602"/>
      <c r="R391" s="2602"/>
      <c r="S391" s="2602"/>
      <c r="T391" s="2603"/>
      <c r="U391" s="2619"/>
      <c r="V391" s="2602"/>
      <c r="W391" s="2602"/>
      <c r="X391" s="2602"/>
      <c r="Y391" s="2603"/>
      <c r="Z391" s="2603">
        <f t="shared" si="79"/>
        <v>0</v>
      </c>
      <c r="AA391" s="2603">
        <f t="shared" si="76"/>
        <v>0</v>
      </c>
      <c r="AB391" s="2603"/>
      <c r="AC391" s="2603"/>
      <c r="AD391" s="2620"/>
    </row>
    <row r="392" spans="1:30" s="2612" customFormat="1" x14ac:dyDescent="0.25">
      <c r="A392" s="2615"/>
      <c r="B392" s="2618" t="s">
        <v>2470</v>
      </c>
      <c r="C392" s="2619">
        <v>1</v>
      </c>
      <c r="D392" s="2602">
        <f t="shared" si="77"/>
        <v>400</v>
      </c>
      <c r="E392" s="2602"/>
      <c r="F392" s="2602">
        <v>0.4</v>
      </c>
      <c r="G392" s="2602"/>
      <c r="H392" s="2603">
        <f t="shared" si="78"/>
        <v>0.4</v>
      </c>
      <c r="I392" s="2619"/>
      <c r="J392" s="2602"/>
      <c r="K392" s="2602"/>
      <c r="L392" s="2602"/>
      <c r="M392" s="2602"/>
      <c r="N392" s="2603"/>
      <c r="O392" s="2619"/>
      <c r="P392" s="2602"/>
      <c r="Q392" s="2602"/>
      <c r="R392" s="2602"/>
      <c r="S392" s="2602"/>
      <c r="T392" s="2603"/>
      <c r="U392" s="2619"/>
      <c r="V392" s="2602"/>
      <c r="W392" s="2602"/>
      <c r="X392" s="2602"/>
      <c r="Y392" s="2603"/>
      <c r="Z392" s="2603">
        <f t="shared" si="79"/>
        <v>0</v>
      </c>
      <c r="AA392" s="2603">
        <f t="shared" si="76"/>
        <v>0</v>
      </c>
      <c r="AB392" s="2603"/>
      <c r="AC392" s="2603"/>
      <c r="AD392" s="2620"/>
    </row>
    <row r="393" spans="1:30" s="2612" customFormat="1" ht="31.5" x14ac:dyDescent="0.25">
      <c r="A393" s="2615"/>
      <c r="B393" s="2618" t="s">
        <v>2471</v>
      </c>
      <c r="C393" s="2619">
        <v>1</v>
      </c>
      <c r="D393" s="2602">
        <f t="shared" si="77"/>
        <v>0</v>
      </c>
      <c r="E393" s="2602"/>
      <c r="F393" s="2602">
        <v>0</v>
      </c>
      <c r="G393" s="2602"/>
      <c r="H393" s="2603">
        <f t="shared" si="78"/>
        <v>0</v>
      </c>
      <c r="I393" s="2619"/>
      <c r="J393" s="2602"/>
      <c r="K393" s="2602"/>
      <c r="L393" s="2602"/>
      <c r="M393" s="2602"/>
      <c r="N393" s="2603"/>
      <c r="O393" s="2619"/>
      <c r="P393" s="2602"/>
      <c r="Q393" s="2602"/>
      <c r="R393" s="2602"/>
      <c r="S393" s="2602"/>
      <c r="T393" s="2603"/>
      <c r="U393" s="2619"/>
      <c r="V393" s="2602"/>
      <c r="W393" s="2602"/>
      <c r="X393" s="2602"/>
      <c r="Y393" s="2603"/>
      <c r="Z393" s="2603">
        <f t="shared" si="79"/>
        <v>0</v>
      </c>
      <c r="AA393" s="2603">
        <f t="shared" si="76"/>
        <v>0</v>
      </c>
      <c r="AB393" s="2603"/>
      <c r="AC393" s="2603"/>
      <c r="AD393" s="2620"/>
    </row>
    <row r="394" spans="1:30" s="2612" customFormat="1" x14ac:dyDescent="0.25">
      <c r="A394" s="2615"/>
      <c r="B394" s="2618" t="s">
        <v>2201</v>
      </c>
      <c r="C394" s="2619">
        <v>4</v>
      </c>
      <c r="D394" s="2602">
        <f t="shared" si="77"/>
        <v>50</v>
      </c>
      <c r="E394" s="2602"/>
      <c r="F394" s="2602">
        <v>0.2</v>
      </c>
      <c r="G394" s="2602"/>
      <c r="H394" s="2603">
        <f t="shared" si="78"/>
        <v>0.2</v>
      </c>
      <c r="I394" s="2619"/>
      <c r="J394" s="2602"/>
      <c r="K394" s="2602"/>
      <c r="L394" s="2602"/>
      <c r="M394" s="2602"/>
      <c r="N394" s="2603"/>
      <c r="O394" s="2619"/>
      <c r="P394" s="2602"/>
      <c r="Q394" s="2602"/>
      <c r="R394" s="2602"/>
      <c r="S394" s="2602"/>
      <c r="T394" s="2603"/>
      <c r="U394" s="2619"/>
      <c r="V394" s="2602"/>
      <c r="W394" s="2602"/>
      <c r="X394" s="2602"/>
      <c r="Y394" s="2603"/>
      <c r="Z394" s="2603">
        <f t="shared" si="79"/>
        <v>0</v>
      </c>
      <c r="AA394" s="2603">
        <f t="shared" si="76"/>
        <v>0</v>
      </c>
      <c r="AB394" s="2603"/>
      <c r="AC394" s="2603"/>
      <c r="AD394" s="2620"/>
    </row>
    <row r="395" spans="1:30" s="2612" customFormat="1" ht="31.5" x14ac:dyDescent="0.25">
      <c r="A395" s="2615"/>
      <c r="B395" s="2618" t="s">
        <v>2472</v>
      </c>
      <c r="C395" s="2619">
        <v>2</v>
      </c>
      <c r="D395" s="2602">
        <f t="shared" si="77"/>
        <v>500</v>
      </c>
      <c r="E395" s="2602"/>
      <c r="F395" s="2602">
        <v>1</v>
      </c>
      <c r="G395" s="2602"/>
      <c r="H395" s="2603">
        <f t="shared" si="78"/>
        <v>1</v>
      </c>
      <c r="I395" s="2619"/>
      <c r="J395" s="2602"/>
      <c r="K395" s="2602"/>
      <c r="L395" s="2602"/>
      <c r="M395" s="2602"/>
      <c r="N395" s="2603"/>
      <c r="O395" s="2619"/>
      <c r="P395" s="2602"/>
      <c r="Q395" s="2602"/>
      <c r="R395" s="2602"/>
      <c r="S395" s="2602"/>
      <c r="T395" s="2603"/>
      <c r="U395" s="2619"/>
      <c r="V395" s="2602"/>
      <c r="W395" s="2602"/>
      <c r="X395" s="2602"/>
      <c r="Y395" s="2603"/>
      <c r="Z395" s="2603">
        <f t="shared" si="79"/>
        <v>0</v>
      </c>
      <c r="AA395" s="2603">
        <f t="shared" si="76"/>
        <v>0</v>
      </c>
      <c r="AB395" s="2603"/>
      <c r="AC395" s="2603"/>
      <c r="AD395" s="2620"/>
    </row>
    <row r="396" spans="1:30" s="2612" customFormat="1" x14ac:dyDescent="0.25">
      <c r="A396" s="2615"/>
      <c r="B396" s="2618" t="s">
        <v>2473</v>
      </c>
      <c r="C396" s="2619">
        <v>150</v>
      </c>
      <c r="D396" s="2602">
        <f t="shared" si="77"/>
        <v>4</v>
      </c>
      <c r="E396" s="2602"/>
      <c r="F396" s="2602">
        <v>0.6</v>
      </c>
      <c r="G396" s="2602"/>
      <c r="H396" s="2603">
        <f t="shared" si="78"/>
        <v>0.6</v>
      </c>
      <c r="I396" s="2619"/>
      <c r="J396" s="2602"/>
      <c r="K396" s="2602"/>
      <c r="L396" s="2602"/>
      <c r="M396" s="2602"/>
      <c r="N396" s="2603"/>
      <c r="O396" s="2619"/>
      <c r="P396" s="2602"/>
      <c r="Q396" s="2602"/>
      <c r="R396" s="2602"/>
      <c r="S396" s="2602"/>
      <c r="T396" s="2603"/>
      <c r="U396" s="2619"/>
      <c r="V396" s="2602"/>
      <c r="W396" s="2602"/>
      <c r="X396" s="2602"/>
      <c r="Y396" s="2603"/>
      <c r="Z396" s="2603">
        <f t="shared" si="79"/>
        <v>0</v>
      </c>
      <c r="AA396" s="2603">
        <f t="shared" si="76"/>
        <v>0</v>
      </c>
      <c r="AB396" s="2603"/>
      <c r="AC396" s="2603"/>
      <c r="AD396" s="2620"/>
    </row>
    <row r="397" spans="1:30" s="2612" customFormat="1" ht="31.5" x14ac:dyDescent="0.25">
      <c r="A397" s="2615"/>
      <c r="B397" s="2618" t="s">
        <v>2474</v>
      </c>
      <c r="C397" s="2619">
        <v>1</v>
      </c>
      <c r="D397" s="2602">
        <f t="shared" si="77"/>
        <v>500</v>
      </c>
      <c r="E397" s="2602"/>
      <c r="F397" s="2602">
        <v>0.5</v>
      </c>
      <c r="G397" s="2602"/>
      <c r="H397" s="2603">
        <f t="shared" si="78"/>
        <v>0.5</v>
      </c>
      <c r="I397" s="2619"/>
      <c r="J397" s="2602"/>
      <c r="K397" s="2602"/>
      <c r="L397" s="2602"/>
      <c r="M397" s="2602"/>
      <c r="N397" s="2603"/>
      <c r="O397" s="2619"/>
      <c r="P397" s="2602"/>
      <c r="Q397" s="2602"/>
      <c r="R397" s="2602"/>
      <c r="S397" s="2602"/>
      <c r="T397" s="2603"/>
      <c r="U397" s="2619"/>
      <c r="V397" s="2602"/>
      <c r="W397" s="2602"/>
      <c r="X397" s="2602"/>
      <c r="Y397" s="2603"/>
      <c r="Z397" s="2603">
        <f t="shared" si="79"/>
        <v>0</v>
      </c>
      <c r="AA397" s="2603">
        <f t="shared" si="76"/>
        <v>0</v>
      </c>
      <c r="AB397" s="2603"/>
      <c r="AC397" s="2603"/>
      <c r="AD397" s="2620"/>
    </row>
    <row r="398" spans="1:30" s="2612" customFormat="1" x14ac:dyDescent="0.25">
      <c r="A398" s="2615"/>
      <c r="B398" s="2618" t="s">
        <v>2475</v>
      </c>
      <c r="C398" s="2619">
        <v>1</v>
      </c>
      <c r="D398" s="2602">
        <f t="shared" si="77"/>
        <v>5700</v>
      </c>
      <c r="E398" s="2602"/>
      <c r="F398" s="2602">
        <v>5.7</v>
      </c>
      <c r="G398" s="2602"/>
      <c r="H398" s="2603">
        <f t="shared" si="78"/>
        <v>5.7</v>
      </c>
      <c r="I398" s="2619"/>
      <c r="J398" s="2602"/>
      <c r="K398" s="2602"/>
      <c r="L398" s="2602"/>
      <c r="M398" s="2602"/>
      <c r="N398" s="2603"/>
      <c r="O398" s="2619"/>
      <c r="P398" s="2602"/>
      <c r="Q398" s="2602"/>
      <c r="R398" s="2602"/>
      <c r="S398" s="2602"/>
      <c r="T398" s="2603"/>
      <c r="U398" s="2619"/>
      <c r="V398" s="2602"/>
      <c r="W398" s="2602"/>
      <c r="X398" s="2602"/>
      <c r="Y398" s="2603"/>
      <c r="Z398" s="2603">
        <f t="shared" si="79"/>
        <v>0</v>
      </c>
      <c r="AA398" s="2603">
        <f t="shared" si="76"/>
        <v>0</v>
      </c>
      <c r="AB398" s="2603"/>
      <c r="AC398" s="2603"/>
      <c r="AD398" s="2620"/>
    </row>
    <row r="399" spans="1:30" s="2612" customFormat="1" x14ac:dyDescent="0.25">
      <c r="A399" s="2615"/>
      <c r="B399" s="2618" t="s">
        <v>2476</v>
      </c>
      <c r="C399" s="2619">
        <v>15</v>
      </c>
      <c r="D399" s="2602">
        <f t="shared" si="77"/>
        <v>6.7</v>
      </c>
      <c r="E399" s="2602"/>
      <c r="F399" s="2602">
        <v>0.1</v>
      </c>
      <c r="G399" s="2602"/>
      <c r="H399" s="2603">
        <f t="shared" si="78"/>
        <v>0.1</v>
      </c>
      <c r="I399" s="2619"/>
      <c r="J399" s="2602"/>
      <c r="K399" s="2602"/>
      <c r="L399" s="2602"/>
      <c r="M399" s="2602"/>
      <c r="N399" s="2603"/>
      <c r="O399" s="2619"/>
      <c r="P399" s="2602"/>
      <c r="Q399" s="2602"/>
      <c r="R399" s="2602"/>
      <c r="S399" s="2602"/>
      <c r="T399" s="2603"/>
      <c r="U399" s="2619"/>
      <c r="V399" s="2602"/>
      <c r="W399" s="2602"/>
      <c r="X399" s="2602"/>
      <c r="Y399" s="2603"/>
      <c r="Z399" s="2603">
        <f t="shared" si="79"/>
        <v>0</v>
      </c>
      <c r="AA399" s="2603">
        <f t="shared" si="76"/>
        <v>0</v>
      </c>
      <c r="AB399" s="2603"/>
      <c r="AC399" s="2603"/>
      <c r="AD399" s="2620"/>
    </row>
    <row r="400" spans="1:30" s="2612" customFormat="1" x14ac:dyDescent="0.25">
      <c r="A400" s="2615"/>
      <c r="B400" s="2618" t="s">
        <v>2477</v>
      </c>
      <c r="C400" s="2619">
        <v>1</v>
      </c>
      <c r="D400" s="2602">
        <f t="shared" si="77"/>
        <v>0</v>
      </c>
      <c r="E400" s="2602"/>
      <c r="F400" s="2602">
        <v>0</v>
      </c>
      <c r="G400" s="2602"/>
      <c r="H400" s="2603">
        <f t="shared" si="78"/>
        <v>0</v>
      </c>
      <c r="I400" s="2619"/>
      <c r="J400" s="2602"/>
      <c r="K400" s="2602"/>
      <c r="L400" s="2602"/>
      <c r="M400" s="2602"/>
      <c r="N400" s="2603"/>
      <c r="O400" s="2619"/>
      <c r="P400" s="2602"/>
      <c r="Q400" s="2602"/>
      <c r="R400" s="2602"/>
      <c r="S400" s="2602"/>
      <c r="T400" s="2603"/>
      <c r="U400" s="2619"/>
      <c r="V400" s="2602"/>
      <c r="W400" s="2602"/>
      <c r="X400" s="2602"/>
      <c r="Y400" s="2603"/>
      <c r="Z400" s="2603">
        <f t="shared" si="79"/>
        <v>0</v>
      </c>
      <c r="AA400" s="2603">
        <f t="shared" si="76"/>
        <v>0</v>
      </c>
      <c r="AB400" s="2603"/>
      <c r="AC400" s="2603"/>
      <c r="AD400" s="2620"/>
    </row>
    <row r="401" spans="1:30" s="2612" customFormat="1" x14ac:dyDescent="0.25">
      <c r="A401" s="2615"/>
      <c r="B401" s="2618" t="s">
        <v>2478</v>
      </c>
      <c r="C401" s="2619">
        <v>1</v>
      </c>
      <c r="D401" s="2602">
        <f t="shared" si="77"/>
        <v>0</v>
      </c>
      <c r="E401" s="2602"/>
      <c r="F401" s="2602">
        <v>0</v>
      </c>
      <c r="G401" s="2602"/>
      <c r="H401" s="2603">
        <f t="shared" si="78"/>
        <v>0</v>
      </c>
      <c r="I401" s="2619"/>
      <c r="J401" s="2602"/>
      <c r="K401" s="2602"/>
      <c r="L401" s="2602"/>
      <c r="M401" s="2602"/>
      <c r="N401" s="2603"/>
      <c r="O401" s="2619"/>
      <c r="P401" s="2602"/>
      <c r="Q401" s="2602"/>
      <c r="R401" s="2602"/>
      <c r="S401" s="2602"/>
      <c r="T401" s="2603"/>
      <c r="U401" s="2619"/>
      <c r="V401" s="2602"/>
      <c r="W401" s="2602"/>
      <c r="X401" s="2602"/>
      <c r="Y401" s="2603"/>
      <c r="Z401" s="2603">
        <f t="shared" si="79"/>
        <v>0</v>
      </c>
      <c r="AA401" s="2603">
        <f t="shared" ref="AA401:AA464" si="80">IFERROR(W401/K401*100,0)</f>
        <v>0</v>
      </c>
      <c r="AB401" s="2603"/>
      <c r="AC401" s="2603"/>
      <c r="AD401" s="2620"/>
    </row>
    <row r="402" spans="1:30" s="2612" customFormat="1" ht="31.5" x14ac:dyDescent="0.25">
      <c r="A402" s="2615"/>
      <c r="B402" s="2618" t="s">
        <v>2479</v>
      </c>
      <c r="C402" s="2619">
        <v>1</v>
      </c>
      <c r="D402" s="2602">
        <f t="shared" si="77"/>
        <v>800</v>
      </c>
      <c r="E402" s="2602"/>
      <c r="F402" s="2602">
        <v>0.8</v>
      </c>
      <c r="G402" s="2602"/>
      <c r="H402" s="2603">
        <f t="shared" si="78"/>
        <v>0.8</v>
      </c>
      <c r="I402" s="2619"/>
      <c r="J402" s="2602"/>
      <c r="K402" s="2602"/>
      <c r="L402" s="2602"/>
      <c r="M402" s="2602"/>
      <c r="N402" s="2603"/>
      <c r="O402" s="2619"/>
      <c r="P402" s="2602"/>
      <c r="Q402" s="2602"/>
      <c r="R402" s="2602"/>
      <c r="S402" s="2602"/>
      <c r="T402" s="2603"/>
      <c r="U402" s="2619"/>
      <c r="V402" s="2602"/>
      <c r="W402" s="2602"/>
      <c r="X402" s="2602"/>
      <c r="Y402" s="2603"/>
      <c r="Z402" s="2603">
        <f t="shared" si="79"/>
        <v>0</v>
      </c>
      <c r="AA402" s="2603">
        <f t="shared" si="80"/>
        <v>0</v>
      </c>
      <c r="AB402" s="2603"/>
      <c r="AC402" s="2603"/>
      <c r="AD402" s="2620"/>
    </row>
    <row r="403" spans="1:30" s="2612" customFormat="1" ht="47.25" x14ac:dyDescent="0.25">
      <c r="A403" s="2615"/>
      <c r="B403" s="2618" t="s">
        <v>2480</v>
      </c>
      <c r="C403" s="2619">
        <v>1</v>
      </c>
      <c r="D403" s="2602">
        <f t="shared" si="77"/>
        <v>100</v>
      </c>
      <c r="E403" s="2602"/>
      <c r="F403" s="2602">
        <v>0.1</v>
      </c>
      <c r="G403" s="2602"/>
      <c r="H403" s="2603">
        <f t="shared" si="78"/>
        <v>0.1</v>
      </c>
      <c r="I403" s="2619"/>
      <c r="J403" s="2602"/>
      <c r="K403" s="2602"/>
      <c r="L403" s="2602"/>
      <c r="M403" s="2602"/>
      <c r="N403" s="2603"/>
      <c r="O403" s="2619"/>
      <c r="P403" s="2602"/>
      <c r="Q403" s="2602"/>
      <c r="R403" s="2602"/>
      <c r="S403" s="2602"/>
      <c r="T403" s="2603"/>
      <c r="U403" s="2619"/>
      <c r="V403" s="2602"/>
      <c r="W403" s="2602"/>
      <c r="X403" s="2602"/>
      <c r="Y403" s="2603"/>
      <c r="Z403" s="2603">
        <f t="shared" si="79"/>
        <v>0</v>
      </c>
      <c r="AA403" s="2603">
        <f t="shared" si="80"/>
        <v>0</v>
      </c>
      <c r="AB403" s="2603"/>
      <c r="AC403" s="2603"/>
      <c r="AD403" s="2620"/>
    </row>
    <row r="404" spans="1:30" s="2612" customFormat="1" ht="31.5" x14ac:dyDescent="0.25">
      <c r="A404" s="2615"/>
      <c r="B404" s="2618" t="s">
        <v>2481</v>
      </c>
      <c r="C404" s="2619">
        <v>1</v>
      </c>
      <c r="D404" s="2602">
        <f t="shared" si="77"/>
        <v>100</v>
      </c>
      <c r="E404" s="2602"/>
      <c r="F404" s="2602">
        <v>0.1</v>
      </c>
      <c r="G404" s="2602"/>
      <c r="H404" s="2603">
        <f t="shared" si="78"/>
        <v>0.1</v>
      </c>
      <c r="I404" s="2619"/>
      <c r="J404" s="2602"/>
      <c r="K404" s="2602"/>
      <c r="L404" s="2602"/>
      <c r="M404" s="2602"/>
      <c r="N404" s="2603"/>
      <c r="O404" s="2619"/>
      <c r="P404" s="2602"/>
      <c r="Q404" s="2602"/>
      <c r="R404" s="2602"/>
      <c r="S404" s="2602"/>
      <c r="T404" s="2603"/>
      <c r="U404" s="2619"/>
      <c r="V404" s="2602"/>
      <c r="W404" s="2602"/>
      <c r="X404" s="2602"/>
      <c r="Y404" s="2603"/>
      <c r="Z404" s="2603">
        <f t="shared" si="79"/>
        <v>0</v>
      </c>
      <c r="AA404" s="2603">
        <f t="shared" si="80"/>
        <v>0</v>
      </c>
      <c r="AB404" s="2603"/>
      <c r="AC404" s="2603"/>
      <c r="AD404" s="2620"/>
    </row>
    <row r="405" spans="1:30" s="2612" customFormat="1" ht="31.5" x14ac:dyDescent="0.25">
      <c r="A405" s="2615"/>
      <c r="B405" s="2618" t="s">
        <v>2482</v>
      </c>
      <c r="C405" s="2619">
        <v>16</v>
      </c>
      <c r="D405" s="2602">
        <f t="shared" si="77"/>
        <v>118.8</v>
      </c>
      <c r="E405" s="2602"/>
      <c r="F405" s="2602">
        <v>1.9</v>
      </c>
      <c r="G405" s="2602"/>
      <c r="H405" s="2603">
        <f t="shared" si="78"/>
        <v>1.9</v>
      </c>
      <c r="I405" s="2619"/>
      <c r="J405" s="2602"/>
      <c r="K405" s="2602"/>
      <c r="L405" s="2602"/>
      <c r="M405" s="2602"/>
      <c r="N405" s="2603"/>
      <c r="O405" s="2619"/>
      <c r="P405" s="2602"/>
      <c r="Q405" s="2602"/>
      <c r="R405" s="2602"/>
      <c r="S405" s="2602"/>
      <c r="T405" s="2603"/>
      <c r="U405" s="2619"/>
      <c r="V405" s="2602"/>
      <c r="W405" s="2602"/>
      <c r="X405" s="2602"/>
      <c r="Y405" s="2603"/>
      <c r="Z405" s="2603">
        <f t="shared" si="79"/>
        <v>0</v>
      </c>
      <c r="AA405" s="2603">
        <f t="shared" si="80"/>
        <v>0</v>
      </c>
      <c r="AB405" s="2603"/>
      <c r="AC405" s="2603"/>
      <c r="AD405" s="2620"/>
    </row>
    <row r="406" spans="1:30" s="2612" customFormat="1" x14ac:dyDescent="0.25">
      <c r="A406" s="2615"/>
      <c r="B406" s="2618" t="s">
        <v>2483</v>
      </c>
      <c r="C406" s="2619">
        <v>4</v>
      </c>
      <c r="D406" s="2602">
        <f t="shared" si="77"/>
        <v>175</v>
      </c>
      <c r="E406" s="2602"/>
      <c r="F406" s="2602">
        <v>0.7</v>
      </c>
      <c r="G406" s="2602"/>
      <c r="H406" s="2603">
        <f t="shared" si="78"/>
        <v>0.7</v>
      </c>
      <c r="I406" s="2619"/>
      <c r="J406" s="2602"/>
      <c r="K406" s="2602"/>
      <c r="L406" s="2602"/>
      <c r="M406" s="2602"/>
      <c r="N406" s="2603"/>
      <c r="O406" s="2619"/>
      <c r="P406" s="2602"/>
      <c r="Q406" s="2602"/>
      <c r="R406" s="2602"/>
      <c r="S406" s="2602"/>
      <c r="T406" s="2603"/>
      <c r="U406" s="2619"/>
      <c r="V406" s="2602"/>
      <c r="W406" s="2602"/>
      <c r="X406" s="2602"/>
      <c r="Y406" s="2603"/>
      <c r="Z406" s="2603">
        <f t="shared" si="79"/>
        <v>0</v>
      </c>
      <c r="AA406" s="2603">
        <f t="shared" si="80"/>
        <v>0</v>
      </c>
      <c r="AB406" s="2603"/>
      <c r="AC406" s="2603"/>
      <c r="AD406" s="2620"/>
    </row>
    <row r="407" spans="1:30" s="2612" customFormat="1" ht="31.5" x14ac:dyDescent="0.25">
      <c r="A407" s="2615"/>
      <c r="B407" s="2618" t="s">
        <v>2484</v>
      </c>
      <c r="C407" s="2619">
        <v>1</v>
      </c>
      <c r="D407" s="2602">
        <f t="shared" si="77"/>
        <v>500</v>
      </c>
      <c r="E407" s="2602"/>
      <c r="F407" s="2602">
        <v>0.5</v>
      </c>
      <c r="G407" s="2602"/>
      <c r="H407" s="2603">
        <f t="shared" si="78"/>
        <v>0.5</v>
      </c>
      <c r="I407" s="2619"/>
      <c r="J407" s="2602"/>
      <c r="K407" s="2602"/>
      <c r="L407" s="2602"/>
      <c r="M407" s="2602"/>
      <c r="N407" s="2603"/>
      <c r="O407" s="2619"/>
      <c r="P407" s="2602"/>
      <c r="Q407" s="2602"/>
      <c r="R407" s="2602"/>
      <c r="S407" s="2602"/>
      <c r="T407" s="2603"/>
      <c r="U407" s="2619"/>
      <c r="V407" s="2602"/>
      <c r="W407" s="2602"/>
      <c r="X407" s="2602"/>
      <c r="Y407" s="2603"/>
      <c r="Z407" s="2603">
        <f t="shared" si="79"/>
        <v>0</v>
      </c>
      <c r="AA407" s="2603">
        <f t="shared" si="80"/>
        <v>0</v>
      </c>
      <c r="AB407" s="2603"/>
      <c r="AC407" s="2603"/>
      <c r="AD407" s="2620"/>
    </row>
    <row r="408" spans="1:30" s="2612" customFormat="1" ht="31.5" x14ac:dyDescent="0.25">
      <c r="A408" s="2615"/>
      <c r="B408" s="2618" t="s">
        <v>2485</v>
      </c>
      <c r="C408" s="2619">
        <v>1</v>
      </c>
      <c r="D408" s="2602">
        <f t="shared" si="77"/>
        <v>400</v>
      </c>
      <c r="E408" s="2602"/>
      <c r="F408" s="2602">
        <v>0.4</v>
      </c>
      <c r="G408" s="2602"/>
      <c r="H408" s="2603">
        <f t="shared" si="78"/>
        <v>0.4</v>
      </c>
      <c r="I408" s="2619"/>
      <c r="J408" s="2602"/>
      <c r="K408" s="2602"/>
      <c r="L408" s="2602"/>
      <c r="M408" s="2602"/>
      <c r="N408" s="2603"/>
      <c r="O408" s="2619"/>
      <c r="P408" s="2602"/>
      <c r="Q408" s="2602"/>
      <c r="R408" s="2602"/>
      <c r="S408" s="2602"/>
      <c r="T408" s="2603"/>
      <c r="U408" s="2619"/>
      <c r="V408" s="2602"/>
      <c r="W408" s="2602"/>
      <c r="X408" s="2602"/>
      <c r="Y408" s="2603"/>
      <c r="Z408" s="2603">
        <f t="shared" si="79"/>
        <v>0</v>
      </c>
      <c r="AA408" s="2603">
        <f t="shared" si="80"/>
        <v>0</v>
      </c>
      <c r="AB408" s="2603"/>
      <c r="AC408" s="2603"/>
      <c r="AD408" s="2620"/>
    </row>
    <row r="409" spans="1:30" s="2612" customFormat="1" ht="31.5" x14ac:dyDescent="0.25">
      <c r="A409" s="2615"/>
      <c r="B409" s="2618" t="s">
        <v>2486</v>
      </c>
      <c r="C409" s="2619">
        <v>1</v>
      </c>
      <c r="D409" s="2602">
        <f t="shared" si="77"/>
        <v>300</v>
      </c>
      <c r="E409" s="2602"/>
      <c r="F409" s="2602">
        <v>0.3</v>
      </c>
      <c r="G409" s="2602"/>
      <c r="H409" s="2603">
        <f t="shared" si="78"/>
        <v>0.3</v>
      </c>
      <c r="I409" s="2619"/>
      <c r="J409" s="2602"/>
      <c r="K409" s="2602"/>
      <c r="L409" s="2602"/>
      <c r="M409" s="2602"/>
      <c r="N409" s="2603"/>
      <c r="O409" s="2619"/>
      <c r="P409" s="2602"/>
      <c r="Q409" s="2602"/>
      <c r="R409" s="2602"/>
      <c r="S409" s="2602"/>
      <c r="T409" s="2603"/>
      <c r="U409" s="2619"/>
      <c r="V409" s="2602"/>
      <c r="W409" s="2602"/>
      <c r="X409" s="2602"/>
      <c r="Y409" s="2603"/>
      <c r="Z409" s="2603">
        <f t="shared" si="79"/>
        <v>0</v>
      </c>
      <c r="AA409" s="2603">
        <f t="shared" si="80"/>
        <v>0</v>
      </c>
      <c r="AB409" s="2603"/>
      <c r="AC409" s="2603"/>
      <c r="AD409" s="2620"/>
    </row>
    <row r="410" spans="1:30" s="2612" customFormat="1" ht="31.5" x14ac:dyDescent="0.25">
      <c r="A410" s="2615"/>
      <c r="B410" s="2618" t="s">
        <v>2487</v>
      </c>
      <c r="C410" s="2619">
        <v>1</v>
      </c>
      <c r="D410" s="2602">
        <f t="shared" si="77"/>
        <v>300</v>
      </c>
      <c r="E410" s="2602"/>
      <c r="F410" s="2602">
        <v>0.3</v>
      </c>
      <c r="G410" s="2602"/>
      <c r="H410" s="2603">
        <f t="shared" si="78"/>
        <v>0.3</v>
      </c>
      <c r="I410" s="2619"/>
      <c r="J410" s="2602"/>
      <c r="K410" s="2602"/>
      <c r="L410" s="2602"/>
      <c r="M410" s="2602"/>
      <c r="N410" s="2603"/>
      <c r="O410" s="2619"/>
      <c r="P410" s="2602"/>
      <c r="Q410" s="2602"/>
      <c r="R410" s="2602"/>
      <c r="S410" s="2602"/>
      <c r="T410" s="2603"/>
      <c r="U410" s="2619"/>
      <c r="V410" s="2602"/>
      <c r="W410" s="2602"/>
      <c r="X410" s="2602"/>
      <c r="Y410" s="2603"/>
      <c r="Z410" s="2603">
        <f t="shared" si="79"/>
        <v>0</v>
      </c>
      <c r="AA410" s="2603">
        <f t="shared" si="80"/>
        <v>0</v>
      </c>
      <c r="AB410" s="2603"/>
      <c r="AC410" s="2603"/>
      <c r="AD410" s="2620"/>
    </row>
    <row r="411" spans="1:30" s="2612" customFormat="1" ht="31.5" x14ac:dyDescent="0.25">
      <c r="A411" s="2615"/>
      <c r="B411" s="2618" t="s">
        <v>2488</v>
      </c>
      <c r="C411" s="2619">
        <v>1</v>
      </c>
      <c r="D411" s="2602">
        <f t="shared" si="77"/>
        <v>200</v>
      </c>
      <c r="E411" s="2602"/>
      <c r="F411" s="2602">
        <v>0.2</v>
      </c>
      <c r="G411" s="2602"/>
      <c r="H411" s="2603">
        <f t="shared" si="78"/>
        <v>0.2</v>
      </c>
      <c r="I411" s="2619"/>
      <c r="J411" s="2602"/>
      <c r="K411" s="2602"/>
      <c r="L411" s="2602"/>
      <c r="M411" s="2602"/>
      <c r="N411" s="2603"/>
      <c r="O411" s="2619"/>
      <c r="P411" s="2602"/>
      <c r="Q411" s="2602"/>
      <c r="R411" s="2602"/>
      <c r="S411" s="2602"/>
      <c r="T411" s="2603"/>
      <c r="U411" s="2619"/>
      <c r="V411" s="2602"/>
      <c r="W411" s="2602"/>
      <c r="X411" s="2602"/>
      <c r="Y411" s="2603"/>
      <c r="Z411" s="2603">
        <f t="shared" si="79"/>
        <v>0</v>
      </c>
      <c r="AA411" s="2603">
        <f t="shared" si="80"/>
        <v>0</v>
      </c>
      <c r="AB411" s="2603"/>
      <c r="AC411" s="2603"/>
      <c r="AD411" s="2620"/>
    </row>
    <row r="412" spans="1:30" s="2612" customFormat="1" x14ac:dyDescent="0.25">
      <c r="A412" s="2615"/>
      <c r="B412" s="2618" t="s">
        <v>2489</v>
      </c>
      <c r="C412" s="2619">
        <v>1</v>
      </c>
      <c r="D412" s="2602">
        <f t="shared" si="77"/>
        <v>100</v>
      </c>
      <c r="E412" s="2602"/>
      <c r="F412" s="2602">
        <v>0.1</v>
      </c>
      <c r="G412" s="2602"/>
      <c r="H412" s="2603">
        <f t="shared" si="78"/>
        <v>0.1</v>
      </c>
      <c r="I412" s="2619"/>
      <c r="J412" s="2602"/>
      <c r="K412" s="2602"/>
      <c r="L412" s="2602"/>
      <c r="M412" s="2602"/>
      <c r="N412" s="2603"/>
      <c r="O412" s="2619"/>
      <c r="P412" s="2602"/>
      <c r="Q412" s="2602"/>
      <c r="R412" s="2602"/>
      <c r="S412" s="2602"/>
      <c r="T412" s="2603"/>
      <c r="U412" s="2619"/>
      <c r="V412" s="2602"/>
      <c r="W412" s="2602"/>
      <c r="X412" s="2602"/>
      <c r="Y412" s="2603"/>
      <c r="Z412" s="2603">
        <f t="shared" si="79"/>
        <v>0</v>
      </c>
      <c r="AA412" s="2603">
        <f t="shared" si="80"/>
        <v>0</v>
      </c>
      <c r="AB412" s="2603"/>
      <c r="AC412" s="2603"/>
      <c r="AD412" s="2620"/>
    </row>
    <row r="413" spans="1:30" s="2612" customFormat="1" x14ac:dyDescent="0.25">
      <c r="A413" s="2615"/>
      <c r="B413" s="2618" t="s">
        <v>2490</v>
      </c>
      <c r="C413" s="2619">
        <v>1</v>
      </c>
      <c r="D413" s="2602">
        <f t="shared" si="77"/>
        <v>0</v>
      </c>
      <c r="E413" s="2602"/>
      <c r="F413" s="2602">
        <v>0</v>
      </c>
      <c r="G413" s="2602"/>
      <c r="H413" s="2603">
        <f t="shared" si="78"/>
        <v>0</v>
      </c>
      <c r="I413" s="2619"/>
      <c r="J413" s="2602"/>
      <c r="K413" s="2602"/>
      <c r="L413" s="2602"/>
      <c r="M413" s="2602"/>
      <c r="N413" s="2603"/>
      <c r="O413" s="2619"/>
      <c r="P413" s="2602"/>
      <c r="Q413" s="2602"/>
      <c r="R413" s="2602"/>
      <c r="S413" s="2602"/>
      <c r="T413" s="2603"/>
      <c r="U413" s="2619"/>
      <c r="V413" s="2602"/>
      <c r="W413" s="2602"/>
      <c r="X413" s="2602"/>
      <c r="Y413" s="2603"/>
      <c r="Z413" s="2603">
        <f t="shared" si="79"/>
        <v>0</v>
      </c>
      <c r="AA413" s="2603">
        <f t="shared" si="80"/>
        <v>0</v>
      </c>
      <c r="AB413" s="2603"/>
      <c r="AC413" s="2603"/>
      <c r="AD413" s="2620"/>
    </row>
    <row r="414" spans="1:30" s="2612" customFormat="1" x14ac:dyDescent="0.25">
      <c r="A414" s="2615"/>
      <c r="B414" s="2618" t="s">
        <v>2491</v>
      </c>
      <c r="C414" s="2619">
        <v>1</v>
      </c>
      <c r="D414" s="2602">
        <f t="shared" si="77"/>
        <v>0</v>
      </c>
      <c r="E414" s="2602"/>
      <c r="F414" s="2602">
        <v>0</v>
      </c>
      <c r="G414" s="2602"/>
      <c r="H414" s="2603">
        <f t="shared" si="78"/>
        <v>0</v>
      </c>
      <c r="I414" s="2619"/>
      <c r="J414" s="2602"/>
      <c r="K414" s="2602"/>
      <c r="L414" s="2602"/>
      <c r="M414" s="2602"/>
      <c r="N414" s="2603"/>
      <c r="O414" s="2619"/>
      <c r="P414" s="2602"/>
      <c r="Q414" s="2602"/>
      <c r="R414" s="2602"/>
      <c r="S414" s="2602"/>
      <c r="T414" s="2603"/>
      <c r="U414" s="2619"/>
      <c r="V414" s="2602"/>
      <c r="W414" s="2602"/>
      <c r="X414" s="2602"/>
      <c r="Y414" s="2603"/>
      <c r="Z414" s="2603">
        <f t="shared" si="79"/>
        <v>0</v>
      </c>
      <c r="AA414" s="2603">
        <f t="shared" si="80"/>
        <v>0</v>
      </c>
      <c r="AB414" s="2603"/>
      <c r="AC414" s="2603"/>
      <c r="AD414" s="2620"/>
    </row>
    <row r="415" spans="1:30" s="2612" customFormat="1" x14ac:dyDescent="0.25">
      <c r="A415" s="2615"/>
      <c r="B415" s="2618" t="s">
        <v>2492</v>
      </c>
      <c r="C415" s="2619">
        <v>1</v>
      </c>
      <c r="D415" s="2602">
        <f t="shared" si="77"/>
        <v>0</v>
      </c>
      <c r="E415" s="2602"/>
      <c r="F415" s="2602">
        <v>0</v>
      </c>
      <c r="G415" s="2602"/>
      <c r="H415" s="2603">
        <f t="shared" si="78"/>
        <v>0</v>
      </c>
      <c r="I415" s="2619"/>
      <c r="J415" s="2602"/>
      <c r="K415" s="2602"/>
      <c r="L415" s="2602"/>
      <c r="M415" s="2602"/>
      <c r="N415" s="2603"/>
      <c r="O415" s="2619"/>
      <c r="P415" s="2602"/>
      <c r="Q415" s="2602"/>
      <c r="R415" s="2602"/>
      <c r="S415" s="2602"/>
      <c r="T415" s="2603"/>
      <c r="U415" s="2619"/>
      <c r="V415" s="2602"/>
      <c r="W415" s="2602"/>
      <c r="X415" s="2602"/>
      <c r="Y415" s="2603"/>
      <c r="Z415" s="2603">
        <f t="shared" si="79"/>
        <v>0</v>
      </c>
      <c r="AA415" s="2603">
        <f t="shared" si="80"/>
        <v>0</v>
      </c>
      <c r="AB415" s="2603"/>
      <c r="AC415" s="2603"/>
      <c r="AD415" s="2620"/>
    </row>
    <row r="416" spans="1:30" s="2612" customFormat="1" x14ac:dyDescent="0.25">
      <c r="A416" s="2615"/>
      <c r="B416" s="2618" t="s">
        <v>2493</v>
      </c>
      <c r="C416" s="2619">
        <v>1</v>
      </c>
      <c r="D416" s="2602">
        <f t="shared" si="77"/>
        <v>0</v>
      </c>
      <c r="E416" s="2602"/>
      <c r="F416" s="2602">
        <v>0</v>
      </c>
      <c r="G416" s="2602"/>
      <c r="H416" s="2603">
        <f t="shared" si="78"/>
        <v>0</v>
      </c>
      <c r="I416" s="2619"/>
      <c r="J416" s="2602"/>
      <c r="K416" s="2602"/>
      <c r="L416" s="2602"/>
      <c r="M416" s="2602"/>
      <c r="N416" s="2603"/>
      <c r="O416" s="2619"/>
      <c r="P416" s="2602"/>
      <c r="Q416" s="2602"/>
      <c r="R416" s="2602"/>
      <c r="S416" s="2602"/>
      <c r="T416" s="2603"/>
      <c r="U416" s="2619"/>
      <c r="V416" s="2602"/>
      <c r="W416" s="2602"/>
      <c r="X416" s="2602"/>
      <c r="Y416" s="2603"/>
      <c r="Z416" s="2603">
        <f t="shared" si="79"/>
        <v>0</v>
      </c>
      <c r="AA416" s="2603">
        <f t="shared" si="80"/>
        <v>0</v>
      </c>
      <c r="AB416" s="2603"/>
      <c r="AC416" s="2603"/>
      <c r="AD416" s="2620"/>
    </row>
    <row r="417" spans="1:30" s="2612" customFormat="1" ht="31.5" x14ac:dyDescent="0.25">
      <c r="A417" s="2615"/>
      <c r="B417" s="2618" t="s">
        <v>2494</v>
      </c>
      <c r="C417" s="2619">
        <v>1</v>
      </c>
      <c r="D417" s="2602">
        <f t="shared" si="77"/>
        <v>300</v>
      </c>
      <c r="E417" s="2602"/>
      <c r="F417" s="2602">
        <v>0.3</v>
      </c>
      <c r="G417" s="2602"/>
      <c r="H417" s="2603">
        <f t="shared" si="78"/>
        <v>0.3</v>
      </c>
      <c r="I417" s="2619"/>
      <c r="J417" s="2602"/>
      <c r="K417" s="2602"/>
      <c r="L417" s="2602"/>
      <c r="M417" s="2602"/>
      <c r="N417" s="2603"/>
      <c r="O417" s="2619"/>
      <c r="P417" s="2602"/>
      <c r="Q417" s="2602"/>
      <c r="R417" s="2602"/>
      <c r="S417" s="2602"/>
      <c r="T417" s="2603"/>
      <c r="U417" s="2619"/>
      <c r="V417" s="2602"/>
      <c r="W417" s="2602"/>
      <c r="X417" s="2602"/>
      <c r="Y417" s="2603"/>
      <c r="Z417" s="2603">
        <f t="shared" si="79"/>
        <v>0</v>
      </c>
      <c r="AA417" s="2603">
        <f t="shared" si="80"/>
        <v>0</v>
      </c>
      <c r="AB417" s="2603"/>
      <c r="AC417" s="2603"/>
      <c r="AD417" s="2620"/>
    </row>
    <row r="418" spans="1:30" s="2612" customFormat="1" x14ac:dyDescent="0.25">
      <c r="A418" s="2615"/>
      <c r="B418" s="2618" t="s">
        <v>2495</v>
      </c>
      <c r="C418" s="2619">
        <v>1</v>
      </c>
      <c r="D418" s="2602">
        <f t="shared" si="77"/>
        <v>200</v>
      </c>
      <c r="E418" s="2602"/>
      <c r="F418" s="2602">
        <v>0.2</v>
      </c>
      <c r="G418" s="2602"/>
      <c r="H418" s="2603">
        <f t="shared" si="78"/>
        <v>0.2</v>
      </c>
      <c r="I418" s="2619"/>
      <c r="J418" s="2602"/>
      <c r="K418" s="2602"/>
      <c r="L418" s="2602"/>
      <c r="M418" s="2602"/>
      <c r="N418" s="2603"/>
      <c r="O418" s="2619"/>
      <c r="P418" s="2602"/>
      <c r="Q418" s="2602"/>
      <c r="R418" s="2602"/>
      <c r="S418" s="2602"/>
      <c r="T418" s="2603"/>
      <c r="U418" s="2619"/>
      <c r="V418" s="2602"/>
      <c r="W418" s="2602"/>
      <c r="X418" s="2602"/>
      <c r="Y418" s="2603"/>
      <c r="Z418" s="2603">
        <f t="shared" si="79"/>
        <v>0</v>
      </c>
      <c r="AA418" s="2603">
        <f t="shared" si="80"/>
        <v>0</v>
      </c>
      <c r="AB418" s="2603"/>
      <c r="AC418" s="2603"/>
      <c r="AD418" s="2620"/>
    </row>
    <row r="419" spans="1:30" s="2612" customFormat="1" x14ac:dyDescent="0.25">
      <c r="A419" s="2615"/>
      <c r="B419" s="2618" t="s">
        <v>2496</v>
      </c>
      <c r="C419" s="2619">
        <v>1</v>
      </c>
      <c r="D419" s="2602">
        <f t="shared" si="77"/>
        <v>1200</v>
      </c>
      <c r="E419" s="2602"/>
      <c r="F419" s="2602">
        <v>1.2</v>
      </c>
      <c r="G419" s="2602"/>
      <c r="H419" s="2603">
        <f t="shared" si="78"/>
        <v>1.2</v>
      </c>
      <c r="I419" s="2619"/>
      <c r="J419" s="2602"/>
      <c r="K419" s="2602"/>
      <c r="L419" s="2602"/>
      <c r="M419" s="2602"/>
      <c r="N419" s="2603"/>
      <c r="O419" s="2619"/>
      <c r="P419" s="2602"/>
      <c r="Q419" s="2602"/>
      <c r="R419" s="2602"/>
      <c r="S419" s="2602"/>
      <c r="T419" s="2603"/>
      <c r="U419" s="2619"/>
      <c r="V419" s="2602"/>
      <c r="W419" s="2602"/>
      <c r="X419" s="2602"/>
      <c r="Y419" s="2603"/>
      <c r="Z419" s="2603">
        <f t="shared" si="79"/>
        <v>0</v>
      </c>
      <c r="AA419" s="2603">
        <f t="shared" si="80"/>
        <v>0</v>
      </c>
      <c r="AB419" s="2603"/>
      <c r="AC419" s="2603"/>
      <c r="AD419" s="2620"/>
    </row>
    <row r="420" spans="1:30" s="2612" customFormat="1" x14ac:dyDescent="0.25">
      <c r="A420" s="2615"/>
      <c r="B420" s="2618" t="s">
        <v>2497</v>
      </c>
      <c r="C420" s="2619">
        <v>2</v>
      </c>
      <c r="D420" s="2602">
        <f t="shared" si="77"/>
        <v>0</v>
      </c>
      <c r="E420" s="2602"/>
      <c r="F420" s="2602">
        <v>0</v>
      </c>
      <c r="G420" s="2602"/>
      <c r="H420" s="2603">
        <f t="shared" si="78"/>
        <v>0</v>
      </c>
      <c r="I420" s="2619"/>
      <c r="J420" s="2602"/>
      <c r="K420" s="2602"/>
      <c r="L420" s="2602"/>
      <c r="M420" s="2602"/>
      <c r="N420" s="2603"/>
      <c r="O420" s="2619"/>
      <c r="P420" s="2602"/>
      <c r="Q420" s="2602"/>
      <c r="R420" s="2602"/>
      <c r="S420" s="2602"/>
      <c r="T420" s="2603"/>
      <c r="U420" s="2619"/>
      <c r="V420" s="2602"/>
      <c r="W420" s="2602"/>
      <c r="X420" s="2602"/>
      <c r="Y420" s="2603"/>
      <c r="Z420" s="2603">
        <f t="shared" si="79"/>
        <v>0</v>
      </c>
      <c r="AA420" s="2603">
        <f t="shared" si="80"/>
        <v>0</v>
      </c>
      <c r="AB420" s="2603"/>
      <c r="AC420" s="2603"/>
      <c r="AD420" s="2620"/>
    </row>
    <row r="421" spans="1:30" s="2612" customFormat="1" x14ac:dyDescent="0.25">
      <c r="A421" s="2615"/>
      <c r="B421" s="2618" t="s">
        <v>2497</v>
      </c>
      <c r="C421" s="2619">
        <v>2</v>
      </c>
      <c r="D421" s="2602">
        <f t="shared" si="77"/>
        <v>0</v>
      </c>
      <c r="E421" s="2602"/>
      <c r="F421" s="2602">
        <v>0</v>
      </c>
      <c r="G421" s="2602"/>
      <c r="H421" s="2603">
        <f t="shared" si="78"/>
        <v>0</v>
      </c>
      <c r="I421" s="2619"/>
      <c r="J421" s="2602"/>
      <c r="K421" s="2602"/>
      <c r="L421" s="2602"/>
      <c r="M421" s="2602"/>
      <c r="N421" s="2603"/>
      <c r="O421" s="2619"/>
      <c r="P421" s="2602"/>
      <c r="Q421" s="2602"/>
      <c r="R421" s="2602"/>
      <c r="S421" s="2602"/>
      <c r="T421" s="2603"/>
      <c r="U421" s="2619"/>
      <c r="V421" s="2602"/>
      <c r="W421" s="2602"/>
      <c r="X421" s="2602"/>
      <c r="Y421" s="2603"/>
      <c r="Z421" s="2603">
        <f t="shared" si="79"/>
        <v>0</v>
      </c>
      <c r="AA421" s="2603">
        <f t="shared" si="80"/>
        <v>0</v>
      </c>
      <c r="AB421" s="2603"/>
      <c r="AC421" s="2603"/>
      <c r="AD421" s="2620"/>
    </row>
    <row r="422" spans="1:30" s="2612" customFormat="1" x14ac:dyDescent="0.25">
      <c r="A422" s="2615"/>
      <c r="B422" s="2618" t="s">
        <v>2497</v>
      </c>
      <c r="C422" s="2619">
        <v>8</v>
      </c>
      <c r="D422" s="2602">
        <f t="shared" si="77"/>
        <v>12.5</v>
      </c>
      <c r="E422" s="2602"/>
      <c r="F422" s="2602">
        <v>0.1</v>
      </c>
      <c r="G422" s="2602"/>
      <c r="H422" s="2603">
        <f t="shared" si="78"/>
        <v>0.1</v>
      </c>
      <c r="I422" s="2619"/>
      <c r="J422" s="2602"/>
      <c r="K422" s="2602"/>
      <c r="L422" s="2602"/>
      <c r="M422" s="2602"/>
      <c r="N422" s="2603"/>
      <c r="O422" s="2619"/>
      <c r="P422" s="2602"/>
      <c r="Q422" s="2602"/>
      <c r="R422" s="2602"/>
      <c r="S422" s="2602"/>
      <c r="T422" s="2603"/>
      <c r="U422" s="2619"/>
      <c r="V422" s="2602"/>
      <c r="W422" s="2602"/>
      <c r="X422" s="2602"/>
      <c r="Y422" s="2603"/>
      <c r="Z422" s="2603">
        <f t="shared" si="79"/>
        <v>0</v>
      </c>
      <c r="AA422" s="2603">
        <f t="shared" si="80"/>
        <v>0</v>
      </c>
      <c r="AB422" s="2603"/>
      <c r="AC422" s="2603"/>
      <c r="AD422" s="2620"/>
    </row>
    <row r="423" spans="1:30" s="2612" customFormat="1" ht="31.5" x14ac:dyDescent="0.25">
      <c r="A423" s="2615"/>
      <c r="B423" s="2618" t="s">
        <v>2498</v>
      </c>
      <c r="C423" s="2619">
        <v>1</v>
      </c>
      <c r="D423" s="2602">
        <f t="shared" si="77"/>
        <v>2800</v>
      </c>
      <c r="E423" s="2602"/>
      <c r="F423" s="2602">
        <v>2.8</v>
      </c>
      <c r="G423" s="2602"/>
      <c r="H423" s="2603">
        <f t="shared" si="78"/>
        <v>2.8</v>
      </c>
      <c r="I423" s="2619"/>
      <c r="J423" s="2602"/>
      <c r="K423" s="2602"/>
      <c r="L423" s="2602"/>
      <c r="M423" s="2602"/>
      <c r="N423" s="2603"/>
      <c r="O423" s="2619"/>
      <c r="P423" s="2602"/>
      <c r="Q423" s="2602"/>
      <c r="R423" s="2602"/>
      <c r="S423" s="2602"/>
      <c r="T423" s="2603"/>
      <c r="U423" s="2619"/>
      <c r="V423" s="2602"/>
      <c r="W423" s="2602"/>
      <c r="X423" s="2602"/>
      <c r="Y423" s="2603"/>
      <c r="Z423" s="2603">
        <f t="shared" si="79"/>
        <v>0</v>
      </c>
      <c r="AA423" s="2603">
        <f t="shared" si="80"/>
        <v>0</v>
      </c>
      <c r="AB423" s="2603"/>
      <c r="AC423" s="2603"/>
      <c r="AD423" s="2620"/>
    </row>
    <row r="424" spans="1:30" s="2612" customFormat="1" ht="31.5" x14ac:dyDescent="0.25">
      <c r="A424" s="2615"/>
      <c r="B424" s="2618" t="s">
        <v>2499</v>
      </c>
      <c r="C424" s="2619">
        <v>1</v>
      </c>
      <c r="D424" s="2602">
        <f t="shared" si="77"/>
        <v>100</v>
      </c>
      <c r="E424" s="2602"/>
      <c r="F424" s="2602">
        <v>0.1</v>
      </c>
      <c r="G424" s="2602"/>
      <c r="H424" s="2603">
        <f t="shared" si="78"/>
        <v>0.1</v>
      </c>
      <c r="I424" s="2619"/>
      <c r="J424" s="2602"/>
      <c r="K424" s="2602"/>
      <c r="L424" s="2602"/>
      <c r="M424" s="2602"/>
      <c r="N424" s="2603"/>
      <c r="O424" s="2619"/>
      <c r="P424" s="2602"/>
      <c r="Q424" s="2602"/>
      <c r="R424" s="2602"/>
      <c r="S424" s="2602"/>
      <c r="T424" s="2603"/>
      <c r="U424" s="2619"/>
      <c r="V424" s="2602"/>
      <c r="W424" s="2602"/>
      <c r="X424" s="2602"/>
      <c r="Y424" s="2603"/>
      <c r="Z424" s="2603">
        <f t="shared" si="79"/>
        <v>0</v>
      </c>
      <c r="AA424" s="2603">
        <f t="shared" si="80"/>
        <v>0</v>
      </c>
      <c r="AB424" s="2603"/>
      <c r="AC424" s="2603"/>
      <c r="AD424" s="2620"/>
    </row>
    <row r="425" spans="1:30" s="2612" customFormat="1" ht="31.5" x14ac:dyDescent="0.25">
      <c r="A425" s="2615"/>
      <c r="B425" s="2618" t="s">
        <v>2499</v>
      </c>
      <c r="C425" s="2619">
        <v>1</v>
      </c>
      <c r="D425" s="2602">
        <f t="shared" si="77"/>
        <v>400</v>
      </c>
      <c r="E425" s="2602"/>
      <c r="F425" s="2602">
        <v>0.4</v>
      </c>
      <c r="G425" s="2602"/>
      <c r="H425" s="2603">
        <f t="shared" si="78"/>
        <v>0.4</v>
      </c>
      <c r="I425" s="2619"/>
      <c r="J425" s="2602"/>
      <c r="K425" s="2602"/>
      <c r="L425" s="2602"/>
      <c r="M425" s="2602"/>
      <c r="N425" s="2603"/>
      <c r="O425" s="2619"/>
      <c r="P425" s="2602"/>
      <c r="Q425" s="2602"/>
      <c r="R425" s="2602"/>
      <c r="S425" s="2602"/>
      <c r="T425" s="2603"/>
      <c r="U425" s="2619"/>
      <c r="V425" s="2602"/>
      <c r="W425" s="2602"/>
      <c r="X425" s="2602"/>
      <c r="Y425" s="2603"/>
      <c r="Z425" s="2603">
        <f t="shared" si="79"/>
        <v>0</v>
      </c>
      <c r="AA425" s="2603">
        <f t="shared" si="80"/>
        <v>0</v>
      </c>
      <c r="AB425" s="2603"/>
      <c r="AC425" s="2603"/>
      <c r="AD425" s="2620"/>
    </row>
    <row r="426" spans="1:30" s="2612" customFormat="1" x14ac:dyDescent="0.25">
      <c r="A426" s="2615"/>
      <c r="B426" s="2618" t="s">
        <v>2500</v>
      </c>
      <c r="C426" s="2619">
        <v>12</v>
      </c>
      <c r="D426" s="2602">
        <f t="shared" si="77"/>
        <v>16.7</v>
      </c>
      <c r="E426" s="2602"/>
      <c r="F426" s="2602">
        <v>0.2</v>
      </c>
      <c r="G426" s="2602"/>
      <c r="H426" s="2603">
        <f t="shared" si="78"/>
        <v>0.2</v>
      </c>
      <c r="I426" s="2619"/>
      <c r="J426" s="2602"/>
      <c r="K426" s="2602"/>
      <c r="L426" s="2602"/>
      <c r="M426" s="2602"/>
      <c r="N426" s="2603"/>
      <c r="O426" s="2619"/>
      <c r="P426" s="2602"/>
      <c r="Q426" s="2602"/>
      <c r="R426" s="2602"/>
      <c r="S426" s="2602"/>
      <c r="T426" s="2603"/>
      <c r="U426" s="2619"/>
      <c r="V426" s="2602"/>
      <c r="W426" s="2602"/>
      <c r="X426" s="2602"/>
      <c r="Y426" s="2603"/>
      <c r="Z426" s="2603">
        <f t="shared" si="79"/>
        <v>0</v>
      </c>
      <c r="AA426" s="2603">
        <f t="shared" si="80"/>
        <v>0</v>
      </c>
      <c r="AB426" s="2603"/>
      <c r="AC426" s="2603"/>
      <c r="AD426" s="2620"/>
    </row>
    <row r="427" spans="1:30" s="2612" customFormat="1" x14ac:dyDescent="0.25">
      <c r="A427" s="2615"/>
      <c r="B427" s="2618" t="s">
        <v>2501</v>
      </c>
      <c r="C427" s="2619">
        <v>10</v>
      </c>
      <c r="D427" s="2602">
        <f t="shared" si="77"/>
        <v>20</v>
      </c>
      <c r="E427" s="2602"/>
      <c r="F427" s="2602">
        <v>0.2</v>
      </c>
      <c r="G427" s="2602"/>
      <c r="H427" s="2603">
        <f t="shared" si="78"/>
        <v>0.2</v>
      </c>
      <c r="I427" s="2619"/>
      <c r="J427" s="2602"/>
      <c r="K427" s="2602"/>
      <c r="L427" s="2602"/>
      <c r="M427" s="2602"/>
      <c r="N427" s="2603"/>
      <c r="O427" s="2619"/>
      <c r="P427" s="2602"/>
      <c r="Q427" s="2602"/>
      <c r="R427" s="2602"/>
      <c r="S427" s="2602"/>
      <c r="T427" s="2603"/>
      <c r="U427" s="2619"/>
      <c r="V427" s="2602"/>
      <c r="W427" s="2602"/>
      <c r="X427" s="2602"/>
      <c r="Y427" s="2603"/>
      <c r="Z427" s="2603">
        <f t="shared" si="79"/>
        <v>0</v>
      </c>
      <c r="AA427" s="2603">
        <f t="shared" si="80"/>
        <v>0</v>
      </c>
      <c r="AB427" s="2603"/>
      <c r="AC427" s="2603"/>
      <c r="AD427" s="2620"/>
    </row>
    <row r="428" spans="1:30" s="2612" customFormat="1" x14ac:dyDescent="0.25">
      <c r="A428" s="2615"/>
      <c r="B428" s="2618" t="s">
        <v>2502</v>
      </c>
      <c r="C428" s="2619">
        <v>6</v>
      </c>
      <c r="D428" s="2602">
        <f t="shared" si="77"/>
        <v>16.7</v>
      </c>
      <c r="E428" s="2602"/>
      <c r="F428" s="2602">
        <v>0.1</v>
      </c>
      <c r="G428" s="2602"/>
      <c r="H428" s="2603">
        <f t="shared" si="78"/>
        <v>0.1</v>
      </c>
      <c r="I428" s="2619"/>
      <c r="J428" s="2602"/>
      <c r="K428" s="2602"/>
      <c r="L428" s="2602"/>
      <c r="M428" s="2602"/>
      <c r="N428" s="2603"/>
      <c r="O428" s="2619"/>
      <c r="P428" s="2602"/>
      <c r="Q428" s="2602"/>
      <c r="R428" s="2602"/>
      <c r="S428" s="2602"/>
      <c r="T428" s="2603"/>
      <c r="U428" s="2619"/>
      <c r="V428" s="2602"/>
      <c r="W428" s="2602"/>
      <c r="X428" s="2602"/>
      <c r="Y428" s="2603"/>
      <c r="Z428" s="2603">
        <f t="shared" si="79"/>
        <v>0</v>
      </c>
      <c r="AA428" s="2603">
        <f t="shared" si="80"/>
        <v>0</v>
      </c>
      <c r="AB428" s="2603"/>
      <c r="AC428" s="2603"/>
      <c r="AD428" s="2620"/>
    </row>
    <row r="429" spans="1:30" s="2612" customFormat="1" x14ac:dyDescent="0.25">
      <c r="A429" s="2615"/>
      <c r="B429" s="2618" t="s">
        <v>2202</v>
      </c>
      <c r="C429" s="2619">
        <v>20</v>
      </c>
      <c r="D429" s="2602">
        <f t="shared" si="77"/>
        <v>5</v>
      </c>
      <c r="E429" s="2602"/>
      <c r="F429" s="2602">
        <v>0.1</v>
      </c>
      <c r="G429" s="2602"/>
      <c r="H429" s="2603">
        <f t="shared" si="78"/>
        <v>0.1</v>
      </c>
      <c r="I429" s="2619"/>
      <c r="J429" s="2602"/>
      <c r="K429" s="2602"/>
      <c r="L429" s="2602"/>
      <c r="M429" s="2602"/>
      <c r="N429" s="2603"/>
      <c r="O429" s="2619"/>
      <c r="P429" s="2602"/>
      <c r="Q429" s="2602"/>
      <c r="R429" s="2602"/>
      <c r="S429" s="2602"/>
      <c r="T429" s="2603"/>
      <c r="U429" s="2619"/>
      <c r="V429" s="2602"/>
      <c r="W429" s="2602"/>
      <c r="X429" s="2602"/>
      <c r="Y429" s="2603"/>
      <c r="Z429" s="2603">
        <f t="shared" si="79"/>
        <v>0</v>
      </c>
      <c r="AA429" s="2603">
        <f t="shared" si="80"/>
        <v>0</v>
      </c>
      <c r="AB429" s="2603"/>
      <c r="AC429" s="2603"/>
      <c r="AD429" s="2620"/>
    </row>
    <row r="430" spans="1:30" s="2612" customFormat="1" x14ac:dyDescent="0.25">
      <c r="A430" s="2615"/>
      <c r="B430" s="2618" t="s">
        <v>2192</v>
      </c>
      <c r="C430" s="2619">
        <v>20</v>
      </c>
      <c r="D430" s="2602">
        <f t="shared" ref="D430:D493" si="81">(F430/C430*1000)+(E430/C430*1000)</f>
        <v>5</v>
      </c>
      <c r="E430" s="2602"/>
      <c r="F430" s="2602">
        <v>0.1</v>
      </c>
      <c r="G430" s="2602"/>
      <c r="H430" s="2603">
        <f t="shared" ref="H430:H493" si="82">SUM(E430:G430)</f>
        <v>0.1</v>
      </c>
      <c r="I430" s="2619"/>
      <c r="J430" s="2602"/>
      <c r="K430" s="2602"/>
      <c r="L430" s="2602"/>
      <c r="M430" s="2602"/>
      <c r="N430" s="2603"/>
      <c r="O430" s="2619"/>
      <c r="P430" s="2602"/>
      <c r="Q430" s="2602"/>
      <c r="R430" s="2602"/>
      <c r="S430" s="2602"/>
      <c r="T430" s="2603"/>
      <c r="U430" s="2619"/>
      <c r="V430" s="2602"/>
      <c r="W430" s="2602"/>
      <c r="X430" s="2602"/>
      <c r="Y430" s="2603"/>
      <c r="Z430" s="2603">
        <f t="shared" ref="Z430:Z493" si="83">W430-K430</f>
        <v>0</v>
      </c>
      <c r="AA430" s="2603">
        <f t="shared" si="80"/>
        <v>0</v>
      </c>
      <c r="AB430" s="2603"/>
      <c r="AC430" s="2603"/>
      <c r="AD430" s="2620"/>
    </row>
    <row r="431" spans="1:30" s="2612" customFormat="1" x14ac:dyDescent="0.25">
      <c r="A431" s="2615"/>
      <c r="B431" s="2618" t="s">
        <v>2503</v>
      </c>
      <c r="C431" s="2619">
        <v>40</v>
      </c>
      <c r="D431" s="2602">
        <f t="shared" si="81"/>
        <v>2.5</v>
      </c>
      <c r="E431" s="2602"/>
      <c r="F431" s="2602">
        <v>0.1</v>
      </c>
      <c r="G431" s="2602"/>
      <c r="H431" s="2603">
        <f t="shared" si="82"/>
        <v>0.1</v>
      </c>
      <c r="I431" s="2619"/>
      <c r="J431" s="2602"/>
      <c r="K431" s="2602"/>
      <c r="L431" s="2602"/>
      <c r="M431" s="2602"/>
      <c r="N431" s="2603"/>
      <c r="O431" s="2619"/>
      <c r="P431" s="2602"/>
      <c r="Q431" s="2602"/>
      <c r="R431" s="2602"/>
      <c r="S431" s="2602"/>
      <c r="T431" s="2603"/>
      <c r="U431" s="2619"/>
      <c r="V431" s="2602"/>
      <c r="W431" s="2602"/>
      <c r="X431" s="2602"/>
      <c r="Y431" s="2603"/>
      <c r="Z431" s="2603">
        <f t="shared" si="83"/>
        <v>0</v>
      </c>
      <c r="AA431" s="2603">
        <f t="shared" si="80"/>
        <v>0</v>
      </c>
      <c r="AB431" s="2603"/>
      <c r="AC431" s="2603"/>
      <c r="AD431" s="2620"/>
    </row>
    <row r="432" spans="1:30" s="2612" customFormat="1" x14ac:dyDescent="0.25">
      <c r="A432" s="2615"/>
      <c r="B432" s="2618" t="s">
        <v>2503</v>
      </c>
      <c r="C432" s="2619">
        <v>3</v>
      </c>
      <c r="D432" s="2602">
        <f t="shared" si="81"/>
        <v>0</v>
      </c>
      <c r="E432" s="2602"/>
      <c r="F432" s="2602">
        <v>0</v>
      </c>
      <c r="G432" s="2602"/>
      <c r="H432" s="2603">
        <f t="shared" si="82"/>
        <v>0</v>
      </c>
      <c r="I432" s="2619"/>
      <c r="J432" s="2602"/>
      <c r="K432" s="2602"/>
      <c r="L432" s="2602"/>
      <c r="M432" s="2602"/>
      <c r="N432" s="2603"/>
      <c r="O432" s="2619"/>
      <c r="P432" s="2602"/>
      <c r="Q432" s="2602"/>
      <c r="R432" s="2602"/>
      <c r="S432" s="2602"/>
      <c r="T432" s="2603"/>
      <c r="U432" s="2619"/>
      <c r="V432" s="2602"/>
      <c r="W432" s="2602"/>
      <c r="X432" s="2602"/>
      <c r="Y432" s="2603"/>
      <c r="Z432" s="2603">
        <f t="shared" si="83"/>
        <v>0</v>
      </c>
      <c r="AA432" s="2603">
        <f t="shared" si="80"/>
        <v>0</v>
      </c>
      <c r="AB432" s="2603"/>
      <c r="AC432" s="2603"/>
      <c r="AD432" s="2620"/>
    </row>
    <row r="433" spans="1:30" s="2612" customFormat="1" x14ac:dyDescent="0.25">
      <c r="A433" s="2615"/>
      <c r="B433" s="2618" t="s">
        <v>2234</v>
      </c>
      <c r="C433" s="2619">
        <v>20</v>
      </c>
      <c r="D433" s="2602">
        <f t="shared" si="81"/>
        <v>5</v>
      </c>
      <c r="E433" s="2602"/>
      <c r="F433" s="2602">
        <v>0.1</v>
      </c>
      <c r="G433" s="2602"/>
      <c r="H433" s="2603">
        <f t="shared" si="82"/>
        <v>0.1</v>
      </c>
      <c r="I433" s="2619"/>
      <c r="J433" s="2602"/>
      <c r="K433" s="2602"/>
      <c r="L433" s="2602"/>
      <c r="M433" s="2602"/>
      <c r="N433" s="2603"/>
      <c r="O433" s="2619"/>
      <c r="P433" s="2602"/>
      <c r="Q433" s="2602"/>
      <c r="R433" s="2602"/>
      <c r="S433" s="2602"/>
      <c r="T433" s="2603"/>
      <c r="U433" s="2619"/>
      <c r="V433" s="2602"/>
      <c r="W433" s="2602"/>
      <c r="X433" s="2602"/>
      <c r="Y433" s="2603"/>
      <c r="Z433" s="2603">
        <f t="shared" si="83"/>
        <v>0</v>
      </c>
      <c r="AA433" s="2603">
        <f t="shared" si="80"/>
        <v>0</v>
      </c>
      <c r="AB433" s="2603"/>
      <c r="AC433" s="2603"/>
      <c r="AD433" s="2620"/>
    </row>
    <row r="434" spans="1:30" s="2612" customFormat="1" x14ac:dyDescent="0.25">
      <c r="A434" s="2615"/>
      <c r="B434" s="2618" t="s">
        <v>2504</v>
      </c>
      <c r="C434" s="2619">
        <v>1</v>
      </c>
      <c r="D434" s="2602">
        <f t="shared" si="81"/>
        <v>100</v>
      </c>
      <c r="E434" s="2602"/>
      <c r="F434" s="2602">
        <v>0.1</v>
      </c>
      <c r="G434" s="2602"/>
      <c r="H434" s="2603">
        <f t="shared" si="82"/>
        <v>0.1</v>
      </c>
      <c r="I434" s="2619"/>
      <c r="J434" s="2602"/>
      <c r="K434" s="2602"/>
      <c r="L434" s="2602"/>
      <c r="M434" s="2602"/>
      <c r="N434" s="2603"/>
      <c r="O434" s="2619"/>
      <c r="P434" s="2602"/>
      <c r="Q434" s="2602"/>
      <c r="R434" s="2602"/>
      <c r="S434" s="2602"/>
      <c r="T434" s="2603"/>
      <c r="U434" s="2619"/>
      <c r="V434" s="2602"/>
      <c r="W434" s="2602"/>
      <c r="X434" s="2602"/>
      <c r="Y434" s="2603"/>
      <c r="Z434" s="2603">
        <f t="shared" si="83"/>
        <v>0</v>
      </c>
      <c r="AA434" s="2603">
        <f t="shared" si="80"/>
        <v>0</v>
      </c>
      <c r="AB434" s="2603"/>
      <c r="AC434" s="2603"/>
      <c r="AD434" s="2620"/>
    </row>
    <row r="435" spans="1:30" s="2612" customFormat="1" ht="31.5" x14ac:dyDescent="0.25">
      <c r="A435" s="2615"/>
      <c r="B435" s="2618" t="s">
        <v>2505</v>
      </c>
      <c r="C435" s="2619">
        <v>2</v>
      </c>
      <c r="D435" s="2602">
        <f t="shared" si="81"/>
        <v>200</v>
      </c>
      <c r="E435" s="2602">
        <v>0.4</v>
      </c>
      <c r="F435" s="2602"/>
      <c r="G435" s="2602"/>
      <c r="H435" s="2603">
        <f t="shared" si="82"/>
        <v>0.4</v>
      </c>
      <c r="I435" s="2619"/>
      <c r="J435" s="2602"/>
      <c r="K435" s="2602"/>
      <c r="L435" s="2602"/>
      <c r="M435" s="2602"/>
      <c r="N435" s="2603"/>
      <c r="O435" s="2619"/>
      <c r="P435" s="2602"/>
      <c r="Q435" s="2602"/>
      <c r="R435" s="2602"/>
      <c r="S435" s="2602"/>
      <c r="T435" s="2603"/>
      <c r="U435" s="2619"/>
      <c r="V435" s="2602"/>
      <c r="W435" s="2602"/>
      <c r="X435" s="2602"/>
      <c r="Y435" s="2603"/>
      <c r="Z435" s="2603">
        <f t="shared" si="83"/>
        <v>0</v>
      </c>
      <c r="AA435" s="2603">
        <f t="shared" si="80"/>
        <v>0</v>
      </c>
      <c r="AB435" s="2603"/>
      <c r="AC435" s="2603"/>
      <c r="AD435" s="2620"/>
    </row>
    <row r="436" spans="1:30" s="2612" customFormat="1" ht="47.25" x14ac:dyDescent="0.25">
      <c r="A436" s="2615"/>
      <c r="B436" s="2618" t="s">
        <v>2506</v>
      </c>
      <c r="C436" s="2619">
        <v>10</v>
      </c>
      <c r="D436" s="2602">
        <f t="shared" si="81"/>
        <v>230</v>
      </c>
      <c r="E436" s="2602">
        <v>2.2999999999999998</v>
      </c>
      <c r="F436" s="2602"/>
      <c r="G436" s="2602"/>
      <c r="H436" s="2603">
        <f t="shared" si="82"/>
        <v>2.2999999999999998</v>
      </c>
      <c r="I436" s="2619"/>
      <c r="J436" s="2602"/>
      <c r="K436" s="2602"/>
      <c r="L436" s="2602"/>
      <c r="M436" s="2602"/>
      <c r="N436" s="2603"/>
      <c r="O436" s="2619"/>
      <c r="P436" s="2602"/>
      <c r="Q436" s="2602"/>
      <c r="R436" s="2602"/>
      <c r="S436" s="2602"/>
      <c r="T436" s="2603"/>
      <c r="U436" s="2619"/>
      <c r="V436" s="2602"/>
      <c r="W436" s="2602"/>
      <c r="X436" s="2602"/>
      <c r="Y436" s="2603"/>
      <c r="Z436" s="2603">
        <f t="shared" si="83"/>
        <v>0</v>
      </c>
      <c r="AA436" s="2603">
        <f t="shared" si="80"/>
        <v>0</v>
      </c>
      <c r="AB436" s="2603"/>
      <c r="AC436" s="2603"/>
      <c r="AD436" s="2620"/>
    </row>
    <row r="437" spans="1:30" s="2612" customFormat="1" x14ac:dyDescent="0.25">
      <c r="A437" s="2615"/>
      <c r="B437" s="2618" t="s">
        <v>2507</v>
      </c>
      <c r="C437" s="2619">
        <v>3</v>
      </c>
      <c r="D437" s="2602">
        <f t="shared" si="81"/>
        <v>166.7</v>
      </c>
      <c r="E437" s="2602"/>
      <c r="F437" s="2602">
        <v>0.5</v>
      </c>
      <c r="G437" s="2602"/>
      <c r="H437" s="2603">
        <f t="shared" si="82"/>
        <v>0.5</v>
      </c>
      <c r="I437" s="2619"/>
      <c r="J437" s="2602"/>
      <c r="K437" s="2602"/>
      <c r="L437" s="2602"/>
      <c r="M437" s="2602"/>
      <c r="N437" s="2603"/>
      <c r="O437" s="2619"/>
      <c r="P437" s="2602"/>
      <c r="Q437" s="2602"/>
      <c r="R437" s="2602"/>
      <c r="S437" s="2602"/>
      <c r="T437" s="2603"/>
      <c r="U437" s="2619"/>
      <c r="V437" s="2602"/>
      <c r="W437" s="2602"/>
      <c r="X437" s="2602"/>
      <c r="Y437" s="2603"/>
      <c r="Z437" s="2603">
        <f t="shared" si="83"/>
        <v>0</v>
      </c>
      <c r="AA437" s="2603">
        <f t="shared" si="80"/>
        <v>0</v>
      </c>
      <c r="AB437" s="2603"/>
      <c r="AC437" s="2603"/>
      <c r="AD437" s="2620"/>
    </row>
    <row r="438" spans="1:30" s="2612" customFormat="1" ht="31.5" x14ac:dyDescent="0.25">
      <c r="A438" s="2615"/>
      <c r="B438" s="2618" t="s">
        <v>2508</v>
      </c>
      <c r="C438" s="2619">
        <v>2</v>
      </c>
      <c r="D438" s="2602">
        <f t="shared" si="81"/>
        <v>100</v>
      </c>
      <c r="E438" s="2602"/>
      <c r="F438" s="2602">
        <v>0.2</v>
      </c>
      <c r="G438" s="2602"/>
      <c r="H438" s="2603">
        <f t="shared" si="82"/>
        <v>0.2</v>
      </c>
      <c r="I438" s="2619"/>
      <c r="J438" s="2602"/>
      <c r="K438" s="2602"/>
      <c r="L438" s="2602"/>
      <c r="M438" s="2602"/>
      <c r="N438" s="2603"/>
      <c r="O438" s="2619"/>
      <c r="P438" s="2602"/>
      <c r="Q438" s="2602"/>
      <c r="R438" s="2602"/>
      <c r="S438" s="2602"/>
      <c r="T438" s="2603"/>
      <c r="U438" s="2619"/>
      <c r="V438" s="2602"/>
      <c r="W438" s="2602"/>
      <c r="X438" s="2602"/>
      <c r="Y438" s="2603"/>
      <c r="Z438" s="2603">
        <f t="shared" si="83"/>
        <v>0</v>
      </c>
      <c r="AA438" s="2603">
        <f t="shared" si="80"/>
        <v>0</v>
      </c>
      <c r="AB438" s="2603"/>
      <c r="AC438" s="2603"/>
      <c r="AD438" s="2620"/>
    </row>
    <row r="439" spans="1:30" s="2612" customFormat="1" x14ac:dyDescent="0.25">
      <c r="A439" s="2615"/>
      <c r="B439" s="2618" t="s">
        <v>2199</v>
      </c>
      <c r="C439" s="2619">
        <v>3</v>
      </c>
      <c r="D439" s="2602">
        <f t="shared" si="81"/>
        <v>0</v>
      </c>
      <c r="E439" s="2602"/>
      <c r="F439" s="2602">
        <v>0</v>
      </c>
      <c r="G439" s="2602"/>
      <c r="H439" s="2603">
        <f t="shared" si="82"/>
        <v>0</v>
      </c>
      <c r="I439" s="2619"/>
      <c r="J439" s="2602"/>
      <c r="K439" s="2602"/>
      <c r="L439" s="2602"/>
      <c r="M439" s="2602"/>
      <c r="N439" s="2603"/>
      <c r="O439" s="2619"/>
      <c r="P439" s="2602"/>
      <c r="Q439" s="2602"/>
      <c r="R439" s="2602"/>
      <c r="S439" s="2602"/>
      <c r="T439" s="2603"/>
      <c r="U439" s="2619"/>
      <c r="V439" s="2602"/>
      <c r="W439" s="2602"/>
      <c r="X439" s="2602"/>
      <c r="Y439" s="2603"/>
      <c r="Z439" s="2603">
        <f t="shared" si="83"/>
        <v>0</v>
      </c>
      <c r="AA439" s="2603">
        <f t="shared" si="80"/>
        <v>0</v>
      </c>
      <c r="AB439" s="2603"/>
      <c r="AC439" s="2603"/>
      <c r="AD439" s="2620"/>
    </row>
    <row r="440" spans="1:30" s="2612" customFormat="1" x14ac:dyDescent="0.25">
      <c r="A440" s="2615"/>
      <c r="B440" s="2618" t="s">
        <v>2509</v>
      </c>
      <c r="C440" s="2619">
        <v>3</v>
      </c>
      <c r="D440" s="2602">
        <f t="shared" si="81"/>
        <v>0</v>
      </c>
      <c r="E440" s="2602"/>
      <c r="F440" s="2602">
        <v>0</v>
      </c>
      <c r="G440" s="2602"/>
      <c r="H440" s="2603">
        <f t="shared" si="82"/>
        <v>0</v>
      </c>
      <c r="I440" s="2619"/>
      <c r="J440" s="2602"/>
      <c r="K440" s="2602"/>
      <c r="L440" s="2602"/>
      <c r="M440" s="2602"/>
      <c r="N440" s="2603"/>
      <c r="O440" s="2619"/>
      <c r="P440" s="2602"/>
      <c r="Q440" s="2602"/>
      <c r="R440" s="2602"/>
      <c r="S440" s="2602"/>
      <c r="T440" s="2603"/>
      <c r="U440" s="2619"/>
      <c r="V440" s="2602"/>
      <c r="W440" s="2602"/>
      <c r="X440" s="2602"/>
      <c r="Y440" s="2603"/>
      <c r="Z440" s="2603">
        <f t="shared" si="83"/>
        <v>0</v>
      </c>
      <c r="AA440" s="2603">
        <f t="shared" si="80"/>
        <v>0</v>
      </c>
      <c r="AB440" s="2603"/>
      <c r="AC440" s="2603"/>
      <c r="AD440" s="2620"/>
    </row>
    <row r="441" spans="1:30" s="2612" customFormat="1" x14ac:dyDescent="0.25">
      <c r="A441" s="2615"/>
      <c r="B441" s="2618" t="s">
        <v>2510</v>
      </c>
      <c r="C441" s="2619">
        <v>1</v>
      </c>
      <c r="D441" s="2602">
        <f t="shared" si="81"/>
        <v>300</v>
      </c>
      <c r="E441" s="2602"/>
      <c r="F441" s="2602">
        <v>0.3</v>
      </c>
      <c r="G441" s="2602"/>
      <c r="H441" s="2603">
        <f t="shared" si="82"/>
        <v>0.3</v>
      </c>
      <c r="I441" s="2619"/>
      <c r="J441" s="2602"/>
      <c r="K441" s="2602"/>
      <c r="L441" s="2602"/>
      <c r="M441" s="2602"/>
      <c r="N441" s="2603"/>
      <c r="O441" s="2619"/>
      <c r="P441" s="2602"/>
      <c r="Q441" s="2602"/>
      <c r="R441" s="2602"/>
      <c r="S441" s="2602"/>
      <c r="T441" s="2603"/>
      <c r="U441" s="2619"/>
      <c r="V441" s="2602"/>
      <c r="W441" s="2602"/>
      <c r="X441" s="2602"/>
      <c r="Y441" s="2603"/>
      <c r="Z441" s="2603">
        <f t="shared" si="83"/>
        <v>0</v>
      </c>
      <c r="AA441" s="2603">
        <f t="shared" si="80"/>
        <v>0</v>
      </c>
      <c r="AB441" s="2603"/>
      <c r="AC441" s="2603"/>
      <c r="AD441" s="2620"/>
    </row>
    <row r="442" spans="1:30" s="2612" customFormat="1" x14ac:dyDescent="0.25">
      <c r="A442" s="2615"/>
      <c r="B442" s="2618" t="s">
        <v>2511</v>
      </c>
      <c r="C442" s="2619">
        <v>1</v>
      </c>
      <c r="D442" s="2602">
        <f t="shared" si="81"/>
        <v>200</v>
      </c>
      <c r="E442" s="2602"/>
      <c r="F442" s="2602">
        <v>0.2</v>
      </c>
      <c r="G442" s="2602"/>
      <c r="H442" s="2603">
        <f t="shared" si="82"/>
        <v>0.2</v>
      </c>
      <c r="I442" s="2619"/>
      <c r="J442" s="2602"/>
      <c r="K442" s="2602"/>
      <c r="L442" s="2602"/>
      <c r="M442" s="2602"/>
      <c r="N442" s="2603"/>
      <c r="O442" s="2619"/>
      <c r="P442" s="2602"/>
      <c r="Q442" s="2602"/>
      <c r="R442" s="2602"/>
      <c r="S442" s="2602"/>
      <c r="T442" s="2603"/>
      <c r="U442" s="2619"/>
      <c r="V442" s="2602"/>
      <c r="W442" s="2602"/>
      <c r="X442" s="2602"/>
      <c r="Y442" s="2603"/>
      <c r="Z442" s="2603">
        <f t="shared" si="83"/>
        <v>0</v>
      </c>
      <c r="AA442" s="2603">
        <f t="shared" si="80"/>
        <v>0</v>
      </c>
      <c r="AB442" s="2603"/>
      <c r="AC442" s="2603"/>
      <c r="AD442" s="2620"/>
    </row>
    <row r="443" spans="1:30" s="2612" customFormat="1" x14ac:dyDescent="0.25">
      <c r="A443" s="2615"/>
      <c r="B443" s="2618" t="s">
        <v>2210</v>
      </c>
      <c r="C443" s="2619">
        <v>1</v>
      </c>
      <c r="D443" s="2602">
        <f t="shared" si="81"/>
        <v>500</v>
      </c>
      <c r="E443" s="2602"/>
      <c r="F443" s="2602">
        <v>0.5</v>
      </c>
      <c r="G443" s="2602"/>
      <c r="H443" s="2603">
        <f t="shared" si="82"/>
        <v>0.5</v>
      </c>
      <c r="I443" s="2619"/>
      <c r="J443" s="2602"/>
      <c r="K443" s="2602"/>
      <c r="L443" s="2602"/>
      <c r="M443" s="2602"/>
      <c r="N443" s="2603"/>
      <c r="O443" s="2619"/>
      <c r="P443" s="2602"/>
      <c r="Q443" s="2602"/>
      <c r="R443" s="2602"/>
      <c r="S443" s="2602"/>
      <c r="T443" s="2603"/>
      <c r="U443" s="2619"/>
      <c r="V443" s="2602"/>
      <c r="W443" s="2602"/>
      <c r="X443" s="2602"/>
      <c r="Y443" s="2603"/>
      <c r="Z443" s="2603">
        <f t="shared" si="83"/>
        <v>0</v>
      </c>
      <c r="AA443" s="2603">
        <f t="shared" si="80"/>
        <v>0</v>
      </c>
      <c r="AB443" s="2603"/>
      <c r="AC443" s="2603"/>
      <c r="AD443" s="2620"/>
    </row>
    <row r="444" spans="1:30" s="2612" customFormat="1" x14ac:dyDescent="0.25">
      <c r="A444" s="2615"/>
      <c r="B444" s="2618" t="s">
        <v>2512</v>
      </c>
      <c r="C444" s="2619">
        <v>4</v>
      </c>
      <c r="D444" s="2602">
        <f t="shared" si="81"/>
        <v>525</v>
      </c>
      <c r="E444" s="2602"/>
      <c r="F444" s="2602">
        <v>2.1</v>
      </c>
      <c r="G444" s="2602"/>
      <c r="H444" s="2603">
        <f t="shared" si="82"/>
        <v>2.1</v>
      </c>
      <c r="I444" s="2619"/>
      <c r="J444" s="2602"/>
      <c r="K444" s="2602"/>
      <c r="L444" s="2602"/>
      <c r="M444" s="2602"/>
      <c r="N444" s="2603"/>
      <c r="O444" s="2619"/>
      <c r="P444" s="2602"/>
      <c r="Q444" s="2602"/>
      <c r="R444" s="2602"/>
      <c r="S444" s="2602"/>
      <c r="T444" s="2603"/>
      <c r="U444" s="2619"/>
      <c r="V444" s="2602"/>
      <c r="W444" s="2602"/>
      <c r="X444" s="2602"/>
      <c r="Y444" s="2603"/>
      <c r="Z444" s="2603">
        <f t="shared" si="83"/>
        <v>0</v>
      </c>
      <c r="AA444" s="2603">
        <f t="shared" si="80"/>
        <v>0</v>
      </c>
      <c r="AB444" s="2603"/>
      <c r="AC444" s="2603"/>
      <c r="AD444" s="2620"/>
    </row>
    <row r="445" spans="1:30" s="2612" customFormat="1" x14ac:dyDescent="0.25">
      <c r="A445" s="2615"/>
      <c r="B445" s="2618" t="s">
        <v>2513</v>
      </c>
      <c r="C445" s="2619">
        <v>3</v>
      </c>
      <c r="D445" s="2602">
        <f t="shared" si="81"/>
        <v>100</v>
      </c>
      <c r="E445" s="2602"/>
      <c r="F445" s="2602">
        <v>0.3</v>
      </c>
      <c r="G445" s="2602"/>
      <c r="H445" s="2603">
        <f t="shared" si="82"/>
        <v>0.3</v>
      </c>
      <c r="I445" s="2619"/>
      <c r="J445" s="2602"/>
      <c r="K445" s="2602"/>
      <c r="L445" s="2602"/>
      <c r="M445" s="2602"/>
      <c r="N445" s="2603"/>
      <c r="O445" s="2619"/>
      <c r="P445" s="2602"/>
      <c r="Q445" s="2602"/>
      <c r="R445" s="2602"/>
      <c r="S445" s="2602"/>
      <c r="T445" s="2603"/>
      <c r="U445" s="2619"/>
      <c r="V445" s="2602"/>
      <c r="W445" s="2602"/>
      <c r="X445" s="2602"/>
      <c r="Y445" s="2603"/>
      <c r="Z445" s="2603">
        <f t="shared" si="83"/>
        <v>0</v>
      </c>
      <c r="AA445" s="2603">
        <f t="shared" si="80"/>
        <v>0</v>
      </c>
      <c r="AB445" s="2603"/>
      <c r="AC445" s="2603"/>
      <c r="AD445" s="2620"/>
    </row>
    <row r="446" spans="1:30" s="2612" customFormat="1" x14ac:dyDescent="0.25">
      <c r="A446" s="2615"/>
      <c r="B446" s="2618" t="s">
        <v>2513</v>
      </c>
      <c r="C446" s="2619">
        <v>3</v>
      </c>
      <c r="D446" s="2602">
        <f t="shared" si="81"/>
        <v>100</v>
      </c>
      <c r="E446" s="2602"/>
      <c r="F446" s="2602">
        <v>0.3</v>
      </c>
      <c r="G446" s="2602"/>
      <c r="H446" s="2603">
        <f t="shared" si="82"/>
        <v>0.3</v>
      </c>
      <c r="I446" s="2619"/>
      <c r="J446" s="2602"/>
      <c r="K446" s="2602"/>
      <c r="L446" s="2602"/>
      <c r="M446" s="2602"/>
      <c r="N446" s="2603"/>
      <c r="O446" s="2619"/>
      <c r="P446" s="2602"/>
      <c r="Q446" s="2602"/>
      <c r="R446" s="2602"/>
      <c r="S446" s="2602"/>
      <c r="T446" s="2603"/>
      <c r="U446" s="2619"/>
      <c r="V446" s="2602"/>
      <c r="W446" s="2602"/>
      <c r="X446" s="2602"/>
      <c r="Y446" s="2603"/>
      <c r="Z446" s="2603">
        <f t="shared" si="83"/>
        <v>0</v>
      </c>
      <c r="AA446" s="2603">
        <f t="shared" si="80"/>
        <v>0</v>
      </c>
      <c r="AB446" s="2603"/>
      <c r="AC446" s="2603"/>
      <c r="AD446" s="2620"/>
    </row>
    <row r="447" spans="1:30" s="2612" customFormat="1" ht="31.5" x14ac:dyDescent="0.25">
      <c r="A447" s="2615"/>
      <c r="B447" s="2618" t="s">
        <v>2514</v>
      </c>
      <c r="C447" s="2619">
        <v>3</v>
      </c>
      <c r="D447" s="2602">
        <f t="shared" si="81"/>
        <v>33.299999999999997</v>
      </c>
      <c r="E447" s="2602"/>
      <c r="F447" s="2602">
        <v>0.1</v>
      </c>
      <c r="G447" s="2602"/>
      <c r="H447" s="2603">
        <f t="shared" si="82"/>
        <v>0.1</v>
      </c>
      <c r="I447" s="2619"/>
      <c r="J447" s="2602"/>
      <c r="K447" s="2602"/>
      <c r="L447" s="2602"/>
      <c r="M447" s="2602"/>
      <c r="N447" s="2603"/>
      <c r="O447" s="2619"/>
      <c r="P447" s="2602"/>
      <c r="Q447" s="2602"/>
      <c r="R447" s="2602"/>
      <c r="S447" s="2602"/>
      <c r="T447" s="2603"/>
      <c r="U447" s="2619"/>
      <c r="V447" s="2602"/>
      <c r="W447" s="2602"/>
      <c r="X447" s="2602"/>
      <c r="Y447" s="2603"/>
      <c r="Z447" s="2603">
        <f t="shared" si="83"/>
        <v>0</v>
      </c>
      <c r="AA447" s="2603">
        <f t="shared" si="80"/>
        <v>0</v>
      </c>
      <c r="AB447" s="2603"/>
      <c r="AC447" s="2603"/>
      <c r="AD447" s="2620"/>
    </row>
    <row r="448" spans="1:30" s="2612" customFormat="1" ht="31.5" x14ac:dyDescent="0.25">
      <c r="A448" s="2615"/>
      <c r="B448" s="2618" t="s">
        <v>2514</v>
      </c>
      <c r="C448" s="2619">
        <v>3</v>
      </c>
      <c r="D448" s="2602">
        <f t="shared" si="81"/>
        <v>33.299999999999997</v>
      </c>
      <c r="E448" s="2602"/>
      <c r="F448" s="2602">
        <v>0.1</v>
      </c>
      <c r="G448" s="2602"/>
      <c r="H448" s="2603">
        <f t="shared" si="82"/>
        <v>0.1</v>
      </c>
      <c r="I448" s="2619"/>
      <c r="J448" s="2602"/>
      <c r="K448" s="2602"/>
      <c r="L448" s="2602"/>
      <c r="M448" s="2602"/>
      <c r="N448" s="2603"/>
      <c r="O448" s="2619"/>
      <c r="P448" s="2602"/>
      <c r="Q448" s="2602"/>
      <c r="R448" s="2602"/>
      <c r="S448" s="2602"/>
      <c r="T448" s="2603"/>
      <c r="U448" s="2619"/>
      <c r="V448" s="2602"/>
      <c r="W448" s="2602"/>
      <c r="X448" s="2602"/>
      <c r="Y448" s="2603"/>
      <c r="Z448" s="2603">
        <f t="shared" si="83"/>
        <v>0</v>
      </c>
      <c r="AA448" s="2603">
        <f t="shared" si="80"/>
        <v>0</v>
      </c>
      <c r="AB448" s="2603"/>
      <c r="AC448" s="2603"/>
      <c r="AD448" s="2620"/>
    </row>
    <row r="449" spans="1:30" s="2612" customFormat="1" x14ac:dyDescent="0.25">
      <c r="A449" s="2615"/>
      <c r="B449" s="2618" t="s">
        <v>2515</v>
      </c>
      <c r="C449" s="2619">
        <v>2</v>
      </c>
      <c r="D449" s="2602">
        <f t="shared" si="81"/>
        <v>50</v>
      </c>
      <c r="E449" s="2602"/>
      <c r="F449" s="2602">
        <v>0.1</v>
      </c>
      <c r="G449" s="2602"/>
      <c r="H449" s="2603">
        <f t="shared" si="82"/>
        <v>0.1</v>
      </c>
      <c r="I449" s="2619"/>
      <c r="J449" s="2602"/>
      <c r="K449" s="2602"/>
      <c r="L449" s="2602"/>
      <c r="M449" s="2602"/>
      <c r="N449" s="2603"/>
      <c r="O449" s="2619"/>
      <c r="P449" s="2602"/>
      <c r="Q449" s="2602"/>
      <c r="R449" s="2602"/>
      <c r="S449" s="2602"/>
      <c r="T449" s="2603"/>
      <c r="U449" s="2619"/>
      <c r="V449" s="2602"/>
      <c r="W449" s="2602"/>
      <c r="X449" s="2602"/>
      <c r="Y449" s="2603"/>
      <c r="Z449" s="2603">
        <f t="shared" si="83"/>
        <v>0</v>
      </c>
      <c r="AA449" s="2603">
        <f t="shared" si="80"/>
        <v>0</v>
      </c>
      <c r="AB449" s="2603"/>
      <c r="AC449" s="2603"/>
      <c r="AD449" s="2620"/>
    </row>
    <row r="450" spans="1:30" s="2612" customFormat="1" x14ac:dyDescent="0.25">
      <c r="A450" s="2615"/>
      <c r="B450" s="2618" t="s">
        <v>2516</v>
      </c>
      <c r="C450" s="2619">
        <v>1</v>
      </c>
      <c r="D450" s="2602">
        <f t="shared" si="81"/>
        <v>100</v>
      </c>
      <c r="E450" s="2602"/>
      <c r="F450" s="2602">
        <v>0.1</v>
      </c>
      <c r="G450" s="2602"/>
      <c r="H450" s="2603">
        <f t="shared" si="82"/>
        <v>0.1</v>
      </c>
      <c r="I450" s="2619"/>
      <c r="J450" s="2602"/>
      <c r="K450" s="2602"/>
      <c r="L450" s="2602"/>
      <c r="M450" s="2602"/>
      <c r="N450" s="2603"/>
      <c r="O450" s="2619"/>
      <c r="P450" s="2602"/>
      <c r="Q450" s="2602"/>
      <c r="R450" s="2602"/>
      <c r="S450" s="2602"/>
      <c r="T450" s="2603"/>
      <c r="U450" s="2619"/>
      <c r="V450" s="2602"/>
      <c r="W450" s="2602"/>
      <c r="X450" s="2602"/>
      <c r="Y450" s="2603"/>
      <c r="Z450" s="2603">
        <f t="shared" si="83"/>
        <v>0</v>
      </c>
      <c r="AA450" s="2603">
        <f t="shared" si="80"/>
        <v>0</v>
      </c>
      <c r="AB450" s="2603"/>
      <c r="AC450" s="2603"/>
      <c r="AD450" s="2620"/>
    </row>
    <row r="451" spans="1:30" s="2612" customFormat="1" ht="31.5" x14ac:dyDescent="0.25">
      <c r="A451" s="2615"/>
      <c r="B451" s="2618" t="s">
        <v>2517</v>
      </c>
      <c r="C451" s="2619">
        <v>1</v>
      </c>
      <c r="D451" s="2602">
        <f t="shared" si="81"/>
        <v>100</v>
      </c>
      <c r="E451" s="2602"/>
      <c r="F451" s="2602">
        <v>0.1</v>
      </c>
      <c r="G451" s="2602"/>
      <c r="H451" s="2603">
        <f t="shared" si="82"/>
        <v>0.1</v>
      </c>
      <c r="I451" s="2619"/>
      <c r="J451" s="2602"/>
      <c r="K451" s="2602"/>
      <c r="L451" s="2602"/>
      <c r="M451" s="2602"/>
      <c r="N451" s="2603"/>
      <c r="O451" s="2619"/>
      <c r="P451" s="2602"/>
      <c r="Q451" s="2602"/>
      <c r="R451" s="2602"/>
      <c r="S451" s="2602"/>
      <c r="T451" s="2603"/>
      <c r="U451" s="2619"/>
      <c r="V451" s="2602"/>
      <c r="W451" s="2602"/>
      <c r="X451" s="2602"/>
      <c r="Y451" s="2603"/>
      <c r="Z451" s="2603">
        <f t="shared" si="83"/>
        <v>0</v>
      </c>
      <c r="AA451" s="2603">
        <f t="shared" si="80"/>
        <v>0</v>
      </c>
      <c r="AB451" s="2603"/>
      <c r="AC451" s="2603"/>
      <c r="AD451" s="2620"/>
    </row>
    <row r="452" spans="1:30" s="2612" customFormat="1" x14ac:dyDescent="0.25">
      <c r="A452" s="2615"/>
      <c r="B452" s="2618" t="s">
        <v>2198</v>
      </c>
      <c r="C452" s="2619">
        <v>1</v>
      </c>
      <c r="D452" s="2602">
        <f t="shared" si="81"/>
        <v>200</v>
      </c>
      <c r="E452" s="2602"/>
      <c r="F452" s="2602">
        <v>0.2</v>
      </c>
      <c r="G452" s="2602"/>
      <c r="H452" s="2603">
        <f t="shared" si="82"/>
        <v>0.2</v>
      </c>
      <c r="I452" s="2619"/>
      <c r="J452" s="2602"/>
      <c r="K452" s="2602"/>
      <c r="L452" s="2602"/>
      <c r="M452" s="2602"/>
      <c r="N452" s="2603"/>
      <c r="O452" s="2619"/>
      <c r="P452" s="2602"/>
      <c r="Q452" s="2602"/>
      <c r="R452" s="2602"/>
      <c r="S452" s="2602"/>
      <c r="T452" s="2603"/>
      <c r="U452" s="2619"/>
      <c r="V452" s="2602"/>
      <c r="W452" s="2602"/>
      <c r="X452" s="2602"/>
      <c r="Y452" s="2603"/>
      <c r="Z452" s="2603">
        <f t="shared" si="83"/>
        <v>0</v>
      </c>
      <c r="AA452" s="2603">
        <f t="shared" si="80"/>
        <v>0</v>
      </c>
      <c r="AB452" s="2603"/>
      <c r="AC452" s="2603"/>
      <c r="AD452" s="2620"/>
    </row>
    <row r="453" spans="1:30" s="2612" customFormat="1" x14ac:dyDescent="0.25">
      <c r="A453" s="2615"/>
      <c r="B453" s="2618" t="s">
        <v>2518</v>
      </c>
      <c r="C453" s="2619">
        <v>1</v>
      </c>
      <c r="D453" s="2602">
        <f t="shared" si="81"/>
        <v>400</v>
      </c>
      <c r="E453" s="2602"/>
      <c r="F453" s="2602">
        <v>0.4</v>
      </c>
      <c r="G453" s="2602"/>
      <c r="H453" s="2603">
        <f t="shared" si="82"/>
        <v>0.4</v>
      </c>
      <c r="I453" s="2619"/>
      <c r="J453" s="2602"/>
      <c r="K453" s="2602"/>
      <c r="L453" s="2602"/>
      <c r="M453" s="2602"/>
      <c r="N453" s="2603"/>
      <c r="O453" s="2619"/>
      <c r="P453" s="2602"/>
      <c r="Q453" s="2602"/>
      <c r="R453" s="2602"/>
      <c r="S453" s="2602"/>
      <c r="T453" s="2603"/>
      <c r="U453" s="2619"/>
      <c r="V453" s="2602"/>
      <c r="W453" s="2602"/>
      <c r="X453" s="2602"/>
      <c r="Y453" s="2603"/>
      <c r="Z453" s="2603">
        <f t="shared" si="83"/>
        <v>0</v>
      </c>
      <c r="AA453" s="2603">
        <f t="shared" si="80"/>
        <v>0</v>
      </c>
      <c r="AB453" s="2603"/>
      <c r="AC453" s="2603"/>
      <c r="AD453" s="2620"/>
    </row>
    <row r="454" spans="1:30" s="2612" customFormat="1" x14ac:dyDescent="0.25">
      <c r="A454" s="2615"/>
      <c r="B454" s="2618" t="s">
        <v>2519</v>
      </c>
      <c r="C454" s="2619">
        <v>1</v>
      </c>
      <c r="D454" s="2602">
        <f t="shared" si="81"/>
        <v>100</v>
      </c>
      <c r="E454" s="2602"/>
      <c r="F454" s="2602">
        <v>0.1</v>
      </c>
      <c r="G454" s="2602"/>
      <c r="H454" s="2603">
        <f t="shared" si="82"/>
        <v>0.1</v>
      </c>
      <c r="I454" s="2619"/>
      <c r="J454" s="2602"/>
      <c r="K454" s="2602"/>
      <c r="L454" s="2602"/>
      <c r="M454" s="2602"/>
      <c r="N454" s="2603"/>
      <c r="O454" s="2619"/>
      <c r="P454" s="2602"/>
      <c r="Q454" s="2602"/>
      <c r="R454" s="2602"/>
      <c r="S454" s="2602"/>
      <c r="T454" s="2603"/>
      <c r="U454" s="2619"/>
      <c r="V454" s="2602"/>
      <c r="W454" s="2602"/>
      <c r="X454" s="2602"/>
      <c r="Y454" s="2603"/>
      <c r="Z454" s="2603">
        <f t="shared" si="83"/>
        <v>0</v>
      </c>
      <c r="AA454" s="2603">
        <f t="shared" si="80"/>
        <v>0</v>
      </c>
      <c r="AB454" s="2603"/>
      <c r="AC454" s="2603"/>
      <c r="AD454" s="2620"/>
    </row>
    <row r="455" spans="1:30" s="2612" customFormat="1" x14ac:dyDescent="0.25">
      <c r="A455" s="2615"/>
      <c r="B455" s="2618" t="s">
        <v>2520</v>
      </c>
      <c r="C455" s="2619">
        <v>1</v>
      </c>
      <c r="D455" s="2602">
        <f t="shared" si="81"/>
        <v>100</v>
      </c>
      <c r="E455" s="2602"/>
      <c r="F455" s="2602">
        <v>0.1</v>
      </c>
      <c r="G455" s="2602"/>
      <c r="H455" s="2603">
        <f t="shared" si="82"/>
        <v>0.1</v>
      </c>
      <c r="I455" s="2619"/>
      <c r="J455" s="2602"/>
      <c r="K455" s="2602"/>
      <c r="L455" s="2602"/>
      <c r="M455" s="2602"/>
      <c r="N455" s="2603"/>
      <c r="O455" s="2619"/>
      <c r="P455" s="2602"/>
      <c r="Q455" s="2602"/>
      <c r="R455" s="2602"/>
      <c r="S455" s="2602"/>
      <c r="T455" s="2603"/>
      <c r="U455" s="2619"/>
      <c r="V455" s="2602"/>
      <c r="W455" s="2602"/>
      <c r="X455" s="2602"/>
      <c r="Y455" s="2603"/>
      <c r="Z455" s="2603">
        <f t="shared" si="83"/>
        <v>0</v>
      </c>
      <c r="AA455" s="2603">
        <f t="shared" si="80"/>
        <v>0</v>
      </c>
      <c r="AB455" s="2603"/>
      <c r="AC455" s="2603"/>
      <c r="AD455" s="2620"/>
    </row>
    <row r="456" spans="1:30" s="2612" customFormat="1" x14ac:dyDescent="0.25">
      <c r="A456" s="2615"/>
      <c r="B456" s="2618" t="s">
        <v>2521</v>
      </c>
      <c r="C456" s="2619">
        <v>2</v>
      </c>
      <c r="D456" s="2602">
        <f t="shared" si="81"/>
        <v>0</v>
      </c>
      <c r="E456" s="2602"/>
      <c r="F456" s="2602">
        <v>0</v>
      </c>
      <c r="G456" s="2602"/>
      <c r="H456" s="2603">
        <f t="shared" si="82"/>
        <v>0</v>
      </c>
      <c r="I456" s="2619"/>
      <c r="J456" s="2602"/>
      <c r="K456" s="2602"/>
      <c r="L456" s="2602"/>
      <c r="M456" s="2602"/>
      <c r="N456" s="2603"/>
      <c r="O456" s="2619"/>
      <c r="P456" s="2602"/>
      <c r="Q456" s="2602"/>
      <c r="R456" s="2602"/>
      <c r="S456" s="2602"/>
      <c r="T456" s="2603"/>
      <c r="U456" s="2619"/>
      <c r="V456" s="2602"/>
      <c r="W456" s="2602"/>
      <c r="X456" s="2602"/>
      <c r="Y456" s="2603"/>
      <c r="Z456" s="2603">
        <f t="shared" si="83"/>
        <v>0</v>
      </c>
      <c r="AA456" s="2603">
        <f t="shared" si="80"/>
        <v>0</v>
      </c>
      <c r="AB456" s="2603"/>
      <c r="AC456" s="2603"/>
      <c r="AD456" s="2620"/>
    </row>
    <row r="457" spans="1:30" s="2612" customFormat="1" ht="31.5" x14ac:dyDescent="0.25">
      <c r="A457" s="2615"/>
      <c r="B457" s="2618" t="s">
        <v>2522</v>
      </c>
      <c r="C457" s="2619">
        <v>1</v>
      </c>
      <c r="D457" s="2602">
        <f t="shared" si="81"/>
        <v>300</v>
      </c>
      <c r="E457" s="2602"/>
      <c r="F457" s="2602">
        <v>0.3</v>
      </c>
      <c r="G457" s="2602"/>
      <c r="H457" s="2603">
        <f t="shared" si="82"/>
        <v>0.3</v>
      </c>
      <c r="I457" s="2619"/>
      <c r="J457" s="2602"/>
      <c r="K457" s="2602"/>
      <c r="L457" s="2602"/>
      <c r="M457" s="2602"/>
      <c r="N457" s="2603"/>
      <c r="O457" s="2619"/>
      <c r="P457" s="2602"/>
      <c r="Q457" s="2602"/>
      <c r="R457" s="2602"/>
      <c r="S457" s="2602"/>
      <c r="T457" s="2603"/>
      <c r="U457" s="2619"/>
      <c r="V457" s="2602"/>
      <c r="W457" s="2602"/>
      <c r="X457" s="2602"/>
      <c r="Y457" s="2603"/>
      <c r="Z457" s="2603">
        <f t="shared" si="83"/>
        <v>0</v>
      </c>
      <c r="AA457" s="2603">
        <f t="shared" si="80"/>
        <v>0</v>
      </c>
      <c r="AB457" s="2603"/>
      <c r="AC457" s="2603"/>
      <c r="AD457" s="2620"/>
    </row>
    <row r="458" spans="1:30" s="2612" customFormat="1" x14ac:dyDescent="0.25">
      <c r="A458" s="2615"/>
      <c r="B458" s="2618" t="s">
        <v>2523</v>
      </c>
      <c r="C458" s="2619">
        <v>1</v>
      </c>
      <c r="D458" s="2602">
        <f t="shared" si="81"/>
        <v>1100</v>
      </c>
      <c r="E458" s="2602"/>
      <c r="F458" s="2602">
        <v>1.1000000000000001</v>
      </c>
      <c r="G458" s="2602"/>
      <c r="H458" s="2603">
        <f t="shared" si="82"/>
        <v>1.1000000000000001</v>
      </c>
      <c r="I458" s="2619"/>
      <c r="J458" s="2602"/>
      <c r="K458" s="2602"/>
      <c r="L458" s="2602"/>
      <c r="M458" s="2602"/>
      <c r="N458" s="2603"/>
      <c r="O458" s="2619"/>
      <c r="P458" s="2602"/>
      <c r="Q458" s="2602"/>
      <c r="R458" s="2602"/>
      <c r="S458" s="2602"/>
      <c r="T458" s="2603"/>
      <c r="U458" s="2619"/>
      <c r="V458" s="2602"/>
      <c r="W458" s="2602"/>
      <c r="X458" s="2602"/>
      <c r="Y458" s="2603"/>
      <c r="Z458" s="2603">
        <f t="shared" si="83"/>
        <v>0</v>
      </c>
      <c r="AA458" s="2603">
        <f t="shared" si="80"/>
        <v>0</v>
      </c>
      <c r="AB458" s="2603"/>
      <c r="AC458" s="2603"/>
      <c r="AD458" s="2620"/>
    </row>
    <row r="459" spans="1:30" s="2612" customFormat="1" ht="31.5" x14ac:dyDescent="0.25">
      <c r="A459" s="2615"/>
      <c r="B459" s="2618" t="s">
        <v>2524</v>
      </c>
      <c r="C459" s="2619">
        <v>4</v>
      </c>
      <c r="D459" s="2602">
        <f t="shared" si="81"/>
        <v>125</v>
      </c>
      <c r="E459" s="2602"/>
      <c r="F459" s="2602">
        <v>0.5</v>
      </c>
      <c r="G459" s="2602"/>
      <c r="H459" s="2603">
        <f t="shared" si="82"/>
        <v>0.5</v>
      </c>
      <c r="I459" s="2619"/>
      <c r="J459" s="2602"/>
      <c r="K459" s="2602"/>
      <c r="L459" s="2602"/>
      <c r="M459" s="2602"/>
      <c r="N459" s="2603"/>
      <c r="O459" s="2619"/>
      <c r="P459" s="2602"/>
      <c r="Q459" s="2602"/>
      <c r="R459" s="2602"/>
      <c r="S459" s="2602"/>
      <c r="T459" s="2603"/>
      <c r="U459" s="2619"/>
      <c r="V459" s="2602"/>
      <c r="W459" s="2602"/>
      <c r="X459" s="2602"/>
      <c r="Y459" s="2603"/>
      <c r="Z459" s="2603">
        <f t="shared" si="83"/>
        <v>0</v>
      </c>
      <c r="AA459" s="2603">
        <f t="shared" si="80"/>
        <v>0</v>
      </c>
      <c r="AB459" s="2603"/>
      <c r="AC459" s="2603"/>
      <c r="AD459" s="2620"/>
    </row>
    <row r="460" spans="1:30" s="2612" customFormat="1" x14ac:dyDescent="0.25">
      <c r="A460" s="2615"/>
      <c r="B460" s="2618" t="s">
        <v>2525</v>
      </c>
      <c r="C460" s="2619">
        <v>1</v>
      </c>
      <c r="D460" s="2602">
        <f t="shared" si="81"/>
        <v>1200</v>
      </c>
      <c r="E460" s="2602"/>
      <c r="F460" s="2602">
        <v>1.2</v>
      </c>
      <c r="G460" s="2602"/>
      <c r="H460" s="2603">
        <f t="shared" si="82"/>
        <v>1.2</v>
      </c>
      <c r="I460" s="2619"/>
      <c r="J460" s="2602"/>
      <c r="K460" s="2602"/>
      <c r="L460" s="2602"/>
      <c r="M460" s="2602"/>
      <c r="N460" s="2603"/>
      <c r="O460" s="2619"/>
      <c r="P460" s="2602"/>
      <c r="Q460" s="2602"/>
      <c r="R460" s="2602"/>
      <c r="S460" s="2602"/>
      <c r="T460" s="2603"/>
      <c r="U460" s="2619"/>
      <c r="V460" s="2602"/>
      <c r="W460" s="2602"/>
      <c r="X460" s="2602"/>
      <c r="Y460" s="2603"/>
      <c r="Z460" s="2603">
        <f t="shared" si="83"/>
        <v>0</v>
      </c>
      <c r="AA460" s="2603">
        <f t="shared" si="80"/>
        <v>0</v>
      </c>
      <c r="AB460" s="2603"/>
      <c r="AC460" s="2603"/>
      <c r="AD460" s="2620"/>
    </row>
    <row r="461" spans="1:30" s="2612" customFormat="1" x14ac:dyDescent="0.25">
      <c r="A461" s="2615"/>
      <c r="B461" s="2618" t="s">
        <v>2526</v>
      </c>
      <c r="C461" s="2619">
        <v>1</v>
      </c>
      <c r="D461" s="2602">
        <f t="shared" si="81"/>
        <v>200</v>
      </c>
      <c r="E461" s="2602"/>
      <c r="F461" s="2602">
        <v>0.2</v>
      </c>
      <c r="G461" s="2602"/>
      <c r="H461" s="2603">
        <f t="shared" si="82"/>
        <v>0.2</v>
      </c>
      <c r="I461" s="2619"/>
      <c r="J461" s="2602"/>
      <c r="K461" s="2602"/>
      <c r="L461" s="2602"/>
      <c r="M461" s="2602"/>
      <c r="N461" s="2603"/>
      <c r="O461" s="2619"/>
      <c r="P461" s="2602"/>
      <c r="Q461" s="2602"/>
      <c r="R461" s="2602"/>
      <c r="S461" s="2602"/>
      <c r="T461" s="2603"/>
      <c r="U461" s="2619"/>
      <c r="V461" s="2602"/>
      <c r="W461" s="2602"/>
      <c r="X461" s="2602"/>
      <c r="Y461" s="2603"/>
      <c r="Z461" s="2603">
        <f t="shared" si="83"/>
        <v>0</v>
      </c>
      <c r="AA461" s="2603">
        <f t="shared" si="80"/>
        <v>0</v>
      </c>
      <c r="AB461" s="2603"/>
      <c r="AC461" s="2603"/>
      <c r="AD461" s="2620"/>
    </row>
    <row r="462" spans="1:30" s="2612" customFormat="1" x14ac:dyDescent="0.25">
      <c r="A462" s="2615"/>
      <c r="B462" s="2618" t="s">
        <v>2527</v>
      </c>
      <c r="C462" s="2619">
        <v>2</v>
      </c>
      <c r="D462" s="2602">
        <f t="shared" si="81"/>
        <v>100</v>
      </c>
      <c r="E462" s="2602"/>
      <c r="F462" s="2602">
        <v>0.2</v>
      </c>
      <c r="G462" s="2602"/>
      <c r="H462" s="2603">
        <f t="shared" si="82"/>
        <v>0.2</v>
      </c>
      <c r="I462" s="2619"/>
      <c r="J462" s="2602"/>
      <c r="K462" s="2602"/>
      <c r="L462" s="2602"/>
      <c r="M462" s="2602"/>
      <c r="N462" s="2603"/>
      <c r="O462" s="2619"/>
      <c r="P462" s="2602"/>
      <c r="Q462" s="2602"/>
      <c r="R462" s="2602"/>
      <c r="S462" s="2602"/>
      <c r="T462" s="2603"/>
      <c r="U462" s="2619"/>
      <c r="V462" s="2602"/>
      <c r="W462" s="2602"/>
      <c r="X462" s="2602"/>
      <c r="Y462" s="2603"/>
      <c r="Z462" s="2603">
        <f t="shared" si="83"/>
        <v>0</v>
      </c>
      <c r="AA462" s="2603">
        <f t="shared" si="80"/>
        <v>0</v>
      </c>
      <c r="AB462" s="2603"/>
      <c r="AC462" s="2603"/>
      <c r="AD462" s="2620"/>
    </row>
    <row r="463" spans="1:30" s="2612" customFormat="1" x14ac:dyDescent="0.25">
      <c r="A463" s="2615"/>
      <c r="B463" s="2618" t="s">
        <v>1421</v>
      </c>
      <c r="C463" s="2619">
        <v>2</v>
      </c>
      <c r="D463" s="2602">
        <f t="shared" si="81"/>
        <v>50</v>
      </c>
      <c r="E463" s="2602"/>
      <c r="F463" s="2602">
        <v>0.1</v>
      </c>
      <c r="G463" s="2602"/>
      <c r="H463" s="2603">
        <f t="shared" si="82"/>
        <v>0.1</v>
      </c>
      <c r="I463" s="2619"/>
      <c r="J463" s="2602"/>
      <c r="K463" s="2602"/>
      <c r="L463" s="2602"/>
      <c r="M463" s="2602"/>
      <c r="N463" s="2603"/>
      <c r="O463" s="2619"/>
      <c r="P463" s="2602"/>
      <c r="Q463" s="2602"/>
      <c r="R463" s="2602"/>
      <c r="S463" s="2602"/>
      <c r="T463" s="2603"/>
      <c r="U463" s="2619"/>
      <c r="V463" s="2602"/>
      <c r="W463" s="2602"/>
      <c r="X463" s="2602"/>
      <c r="Y463" s="2603"/>
      <c r="Z463" s="2603">
        <f t="shared" si="83"/>
        <v>0</v>
      </c>
      <c r="AA463" s="2603">
        <f t="shared" si="80"/>
        <v>0</v>
      </c>
      <c r="AB463" s="2603"/>
      <c r="AC463" s="2603"/>
      <c r="AD463" s="2620"/>
    </row>
    <row r="464" spans="1:30" s="2612" customFormat="1" x14ac:dyDescent="0.25">
      <c r="A464" s="2615"/>
      <c r="B464" s="2618" t="s">
        <v>2528</v>
      </c>
      <c r="C464" s="2619">
        <v>1</v>
      </c>
      <c r="D464" s="2602">
        <f t="shared" si="81"/>
        <v>0</v>
      </c>
      <c r="E464" s="2602"/>
      <c r="F464" s="2602">
        <v>0</v>
      </c>
      <c r="G464" s="2602"/>
      <c r="H464" s="2603">
        <f t="shared" si="82"/>
        <v>0</v>
      </c>
      <c r="I464" s="2619"/>
      <c r="J464" s="2602"/>
      <c r="K464" s="2602"/>
      <c r="L464" s="2602"/>
      <c r="M464" s="2602"/>
      <c r="N464" s="2603"/>
      <c r="O464" s="2619"/>
      <c r="P464" s="2602"/>
      <c r="Q464" s="2602"/>
      <c r="R464" s="2602"/>
      <c r="S464" s="2602"/>
      <c r="T464" s="2603"/>
      <c r="U464" s="2619"/>
      <c r="V464" s="2602"/>
      <c r="W464" s="2602"/>
      <c r="X464" s="2602"/>
      <c r="Y464" s="2603"/>
      <c r="Z464" s="2603">
        <f t="shared" si="83"/>
        <v>0</v>
      </c>
      <c r="AA464" s="2603">
        <f t="shared" si="80"/>
        <v>0</v>
      </c>
      <c r="AB464" s="2603"/>
      <c r="AC464" s="2603"/>
      <c r="AD464" s="2620"/>
    </row>
    <row r="465" spans="1:30" s="2612" customFormat="1" ht="31.5" x14ac:dyDescent="0.25">
      <c r="A465" s="2615"/>
      <c r="B465" s="2618" t="s">
        <v>2529</v>
      </c>
      <c r="C465" s="2619">
        <v>1</v>
      </c>
      <c r="D465" s="2602">
        <f t="shared" si="81"/>
        <v>100</v>
      </c>
      <c r="E465" s="2602"/>
      <c r="F465" s="2602">
        <v>0.1</v>
      </c>
      <c r="G465" s="2602"/>
      <c r="H465" s="2603">
        <f t="shared" si="82"/>
        <v>0.1</v>
      </c>
      <c r="I465" s="2619"/>
      <c r="J465" s="2602"/>
      <c r="K465" s="2602"/>
      <c r="L465" s="2602"/>
      <c r="M465" s="2602"/>
      <c r="N465" s="2603"/>
      <c r="O465" s="2619"/>
      <c r="P465" s="2602"/>
      <c r="Q465" s="2602"/>
      <c r="R465" s="2602"/>
      <c r="S465" s="2602"/>
      <c r="T465" s="2603"/>
      <c r="U465" s="2619"/>
      <c r="V465" s="2602"/>
      <c r="W465" s="2602"/>
      <c r="X465" s="2602"/>
      <c r="Y465" s="2603"/>
      <c r="Z465" s="2603">
        <f t="shared" si="83"/>
        <v>0</v>
      </c>
      <c r="AA465" s="2603">
        <f t="shared" ref="AA465:AA528" si="84">IFERROR(W465/K465*100,0)</f>
        <v>0</v>
      </c>
      <c r="AB465" s="2603"/>
      <c r="AC465" s="2603"/>
      <c r="AD465" s="2620"/>
    </row>
    <row r="466" spans="1:30" s="2612" customFormat="1" x14ac:dyDescent="0.25">
      <c r="A466" s="2615"/>
      <c r="B466" s="2618" t="s">
        <v>2530</v>
      </c>
      <c r="C466" s="2619">
        <v>1</v>
      </c>
      <c r="D466" s="2602">
        <f t="shared" si="81"/>
        <v>300</v>
      </c>
      <c r="E466" s="2602"/>
      <c r="F466" s="2602">
        <v>0.3</v>
      </c>
      <c r="G466" s="2602"/>
      <c r="H466" s="2603">
        <f t="shared" si="82"/>
        <v>0.3</v>
      </c>
      <c r="I466" s="2619"/>
      <c r="J466" s="2602"/>
      <c r="K466" s="2602"/>
      <c r="L466" s="2602"/>
      <c r="M466" s="2602"/>
      <c r="N466" s="2603"/>
      <c r="O466" s="2619"/>
      <c r="P466" s="2602"/>
      <c r="Q466" s="2602"/>
      <c r="R466" s="2602"/>
      <c r="S466" s="2602"/>
      <c r="T466" s="2603"/>
      <c r="U466" s="2619"/>
      <c r="V466" s="2602"/>
      <c r="W466" s="2602"/>
      <c r="X466" s="2602"/>
      <c r="Y466" s="2603"/>
      <c r="Z466" s="2603">
        <f t="shared" si="83"/>
        <v>0</v>
      </c>
      <c r="AA466" s="2603">
        <f t="shared" si="84"/>
        <v>0</v>
      </c>
      <c r="AB466" s="2603"/>
      <c r="AC466" s="2603"/>
      <c r="AD466" s="2620"/>
    </row>
    <row r="467" spans="1:30" s="2612" customFormat="1" x14ac:dyDescent="0.25">
      <c r="A467" s="2615"/>
      <c r="B467" s="2618" t="s">
        <v>2531</v>
      </c>
      <c r="C467" s="2619">
        <v>1</v>
      </c>
      <c r="D467" s="2602">
        <f t="shared" si="81"/>
        <v>300</v>
      </c>
      <c r="E467" s="2602"/>
      <c r="F467" s="2602">
        <v>0.3</v>
      </c>
      <c r="G467" s="2602"/>
      <c r="H467" s="2603">
        <f t="shared" si="82"/>
        <v>0.3</v>
      </c>
      <c r="I467" s="2619"/>
      <c r="J467" s="2602"/>
      <c r="K467" s="2602"/>
      <c r="L467" s="2602"/>
      <c r="M467" s="2602"/>
      <c r="N467" s="2603"/>
      <c r="O467" s="2619"/>
      <c r="P467" s="2602"/>
      <c r="Q467" s="2602"/>
      <c r="R467" s="2602"/>
      <c r="S467" s="2602"/>
      <c r="T467" s="2603"/>
      <c r="U467" s="2619"/>
      <c r="V467" s="2602"/>
      <c r="W467" s="2602"/>
      <c r="X467" s="2602"/>
      <c r="Y467" s="2603"/>
      <c r="Z467" s="2603">
        <f t="shared" si="83"/>
        <v>0</v>
      </c>
      <c r="AA467" s="2603">
        <f t="shared" si="84"/>
        <v>0</v>
      </c>
      <c r="AB467" s="2603"/>
      <c r="AC467" s="2603"/>
      <c r="AD467" s="2620"/>
    </row>
    <row r="468" spans="1:30" s="2612" customFormat="1" ht="31.5" x14ac:dyDescent="0.25">
      <c r="A468" s="2615"/>
      <c r="B468" s="2618" t="s">
        <v>2532</v>
      </c>
      <c r="C468" s="2619">
        <v>24</v>
      </c>
      <c r="D468" s="2602">
        <f t="shared" si="81"/>
        <v>150</v>
      </c>
      <c r="E468" s="2602"/>
      <c r="F468" s="2602">
        <v>3.6</v>
      </c>
      <c r="G468" s="2602"/>
      <c r="H468" s="2603">
        <f t="shared" si="82"/>
        <v>3.6</v>
      </c>
      <c r="I468" s="2619"/>
      <c r="J468" s="2602"/>
      <c r="K468" s="2602"/>
      <c r="L468" s="2602"/>
      <c r="M468" s="2602"/>
      <c r="N468" s="2603"/>
      <c r="O468" s="2619"/>
      <c r="P468" s="2602"/>
      <c r="Q468" s="2602"/>
      <c r="R468" s="2602"/>
      <c r="S468" s="2602"/>
      <c r="T468" s="2603"/>
      <c r="U468" s="2619"/>
      <c r="V468" s="2602"/>
      <c r="W468" s="2602"/>
      <c r="X468" s="2602"/>
      <c r="Y468" s="2603"/>
      <c r="Z468" s="2603">
        <f t="shared" si="83"/>
        <v>0</v>
      </c>
      <c r="AA468" s="2603">
        <f t="shared" si="84"/>
        <v>0</v>
      </c>
      <c r="AB468" s="2603"/>
      <c r="AC468" s="2603"/>
      <c r="AD468" s="2620"/>
    </row>
    <row r="469" spans="1:30" s="2612" customFormat="1" ht="31.5" x14ac:dyDescent="0.25">
      <c r="A469" s="2615"/>
      <c r="B469" s="2618" t="s">
        <v>2533</v>
      </c>
      <c r="C469" s="2619">
        <v>16</v>
      </c>
      <c r="D469" s="2602">
        <f t="shared" si="81"/>
        <v>293.8</v>
      </c>
      <c r="E469" s="2602"/>
      <c r="F469" s="2602">
        <v>4.7</v>
      </c>
      <c r="G469" s="2602"/>
      <c r="H469" s="2603">
        <f t="shared" si="82"/>
        <v>4.7</v>
      </c>
      <c r="I469" s="2619"/>
      <c r="J469" s="2602"/>
      <c r="K469" s="2602"/>
      <c r="L469" s="2602"/>
      <c r="M469" s="2602"/>
      <c r="N469" s="2603"/>
      <c r="O469" s="2619"/>
      <c r="P469" s="2602"/>
      <c r="Q469" s="2602"/>
      <c r="R469" s="2602"/>
      <c r="S469" s="2602"/>
      <c r="T469" s="2603"/>
      <c r="U469" s="2619"/>
      <c r="V469" s="2602"/>
      <c r="W469" s="2602"/>
      <c r="X469" s="2602"/>
      <c r="Y469" s="2603"/>
      <c r="Z469" s="2603">
        <f t="shared" si="83"/>
        <v>0</v>
      </c>
      <c r="AA469" s="2603">
        <f t="shared" si="84"/>
        <v>0</v>
      </c>
      <c r="AB469" s="2603"/>
      <c r="AC469" s="2603"/>
      <c r="AD469" s="2620"/>
    </row>
    <row r="470" spans="1:30" s="2612" customFormat="1" ht="31.5" x14ac:dyDescent="0.25">
      <c r="A470" s="2615"/>
      <c r="B470" s="2618" t="s">
        <v>2534</v>
      </c>
      <c r="C470" s="2619">
        <v>12</v>
      </c>
      <c r="D470" s="2602">
        <f t="shared" si="81"/>
        <v>100</v>
      </c>
      <c r="E470" s="2602"/>
      <c r="F470" s="2602">
        <v>1.2</v>
      </c>
      <c r="G470" s="2602"/>
      <c r="H470" s="2603">
        <f t="shared" si="82"/>
        <v>1.2</v>
      </c>
      <c r="I470" s="2619"/>
      <c r="J470" s="2602"/>
      <c r="K470" s="2602"/>
      <c r="L470" s="2602"/>
      <c r="M470" s="2602"/>
      <c r="N470" s="2603"/>
      <c r="O470" s="2619"/>
      <c r="P470" s="2602"/>
      <c r="Q470" s="2602"/>
      <c r="R470" s="2602"/>
      <c r="S470" s="2602"/>
      <c r="T470" s="2603"/>
      <c r="U470" s="2619"/>
      <c r="V470" s="2602"/>
      <c r="W470" s="2602"/>
      <c r="X470" s="2602"/>
      <c r="Y470" s="2603"/>
      <c r="Z470" s="2603">
        <f t="shared" si="83"/>
        <v>0</v>
      </c>
      <c r="AA470" s="2603">
        <f t="shared" si="84"/>
        <v>0</v>
      </c>
      <c r="AB470" s="2603"/>
      <c r="AC470" s="2603"/>
      <c r="AD470" s="2620"/>
    </row>
    <row r="471" spans="1:30" s="2612" customFormat="1" x14ac:dyDescent="0.25">
      <c r="A471" s="2615"/>
      <c r="B471" s="2618" t="s">
        <v>2535</v>
      </c>
      <c r="C471" s="2619">
        <v>1</v>
      </c>
      <c r="D471" s="2602">
        <f t="shared" si="81"/>
        <v>200</v>
      </c>
      <c r="E471" s="2602"/>
      <c r="F471" s="2602">
        <v>0.2</v>
      </c>
      <c r="G471" s="2602"/>
      <c r="H471" s="2603">
        <f t="shared" si="82"/>
        <v>0.2</v>
      </c>
      <c r="I471" s="2619"/>
      <c r="J471" s="2602"/>
      <c r="K471" s="2602"/>
      <c r="L471" s="2602"/>
      <c r="M471" s="2602"/>
      <c r="N471" s="2603"/>
      <c r="O471" s="2619"/>
      <c r="P471" s="2602"/>
      <c r="Q471" s="2602"/>
      <c r="R471" s="2602"/>
      <c r="S471" s="2602"/>
      <c r="T471" s="2603"/>
      <c r="U471" s="2619"/>
      <c r="V471" s="2602"/>
      <c r="W471" s="2602"/>
      <c r="X471" s="2602"/>
      <c r="Y471" s="2603"/>
      <c r="Z471" s="2603">
        <f t="shared" si="83"/>
        <v>0</v>
      </c>
      <c r="AA471" s="2603">
        <f t="shared" si="84"/>
        <v>0</v>
      </c>
      <c r="AB471" s="2603"/>
      <c r="AC471" s="2603"/>
      <c r="AD471" s="2620"/>
    </row>
    <row r="472" spans="1:30" s="2612" customFormat="1" x14ac:dyDescent="0.25">
      <c r="A472" s="2615"/>
      <c r="B472" s="2618" t="s">
        <v>2536</v>
      </c>
      <c r="C472" s="2619">
        <v>6</v>
      </c>
      <c r="D472" s="2602">
        <f t="shared" si="81"/>
        <v>16.7</v>
      </c>
      <c r="E472" s="2602"/>
      <c r="F472" s="2602">
        <v>0.1</v>
      </c>
      <c r="G472" s="2602"/>
      <c r="H472" s="2603">
        <f t="shared" si="82"/>
        <v>0.1</v>
      </c>
      <c r="I472" s="2619"/>
      <c r="J472" s="2602"/>
      <c r="K472" s="2602"/>
      <c r="L472" s="2602"/>
      <c r="M472" s="2602"/>
      <c r="N472" s="2603"/>
      <c r="O472" s="2619"/>
      <c r="P472" s="2602"/>
      <c r="Q472" s="2602"/>
      <c r="R472" s="2602"/>
      <c r="S472" s="2602"/>
      <c r="T472" s="2603"/>
      <c r="U472" s="2619"/>
      <c r="V472" s="2602"/>
      <c r="W472" s="2602"/>
      <c r="X472" s="2602"/>
      <c r="Y472" s="2603"/>
      <c r="Z472" s="2603">
        <f t="shared" si="83"/>
        <v>0</v>
      </c>
      <c r="AA472" s="2603">
        <f t="shared" si="84"/>
        <v>0</v>
      </c>
      <c r="AB472" s="2603"/>
      <c r="AC472" s="2603"/>
      <c r="AD472" s="2620"/>
    </row>
    <row r="473" spans="1:30" s="2612" customFormat="1" ht="47.25" x14ac:dyDescent="0.25">
      <c r="A473" s="2615"/>
      <c r="B473" s="2618" t="s">
        <v>2537</v>
      </c>
      <c r="C473" s="2619">
        <v>1</v>
      </c>
      <c r="D473" s="2602">
        <f t="shared" si="81"/>
        <v>1900</v>
      </c>
      <c r="E473" s="2602"/>
      <c r="F473" s="2602">
        <v>1.9</v>
      </c>
      <c r="G473" s="2602"/>
      <c r="H473" s="2603">
        <f t="shared" si="82"/>
        <v>1.9</v>
      </c>
      <c r="I473" s="2619"/>
      <c r="J473" s="2602"/>
      <c r="K473" s="2602"/>
      <c r="L473" s="2602"/>
      <c r="M473" s="2602"/>
      <c r="N473" s="2603"/>
      <c r="O473" s="2619"/>
      <c r="P473" s="2602"/>
      <c r="Q473" s="2602"/>
      <c r="R473" s="2602"/>
      <c r="S473" s="2602"/>
      <c r="T473" s="2603"/>
      <c r="U473" s="2619"/>
      <c r="V473" s="2602"/>
      <c r="W473" s="2602"/>
      <c r="X473" s="2602"/>
      <c r="Y473" s="2603"/>
      <c r="Z473" s="2603">
        <f t="shared" si="83"/>
        <v>0</v>
      </c>
      <c r="AA473" s="2603">
        <f t="shared" si="84"/>
        <v>0</v>
      </c>
      <c r="AB473" s="2603"/>
      <c r="AC473" s="2603"/>
      <c r="AD473" s="2620"/>
    </row>
    <row r="474" spans="1:30" s="2612" customFormat="1" x14ac:dyDescent="0.25">
      <c r="A474" s="2615"/>
      <c r="B474" s="2618" t="s">
        <v>2538</v>
      </c>
      <c r="C474" s="2619">
        <v>1</v>
      </c>
      <c r="D474" s="2602">
        <f t="shared" si="81"/>
        <v>300</v>
      </c>
      <c r="E474" s="2602"/>
      <c r="F474" s="2602">
        <v>0.3</v>
      </c>
      <c r="G474" s="2602"/>
      <c r="H474" s="2603">
        <f t="shared" si="82"/>
        <v>0.3</v>
      </c>
      <c r="I474" s="2619"/>
      <c r="J474" s="2602"/>
      <c r="K474" s="2602"/>
      <c r="L474" s="2602"/>
      <c r="M474" s="2602"/>
      <c r="N474" s="2603"/>
      <c r="O474" s="2619"/>
      <c r="P474" s="2602"/>
      <c r="Q474" s="2602"/>
      <c r="R474" s="2602"/>
      <c r="S474" s="2602"/>
      <c r="T474" s="2603"/>
      <c r="U474" s="2619"/>
      <c r="V474" s="2602"/>
      <c r="W474" s="2602"/>
      <c r="X474" s="2602"/>
      <c r="Y474" s="2603"/>
      <c r="Z474" s="2603">
        <f t="shared" si="83"/>
        <v>0</v>
      </c>
      <c r="AA474" s="2603">
        <f t="shared" si="84"/>
        <v>0</v>
      </c>
      <c r="AB474" s="2603"/>
      <c r="AC474" s="2603"/>
      <c r="AD474" s="2620"/>
    </row>
    <row r="475" spans="1:30" s="2612" customFormat="1" x14ac:dyDescent="0.25">
      <c r="A475" s="2615"/>
      <c r="B475" s="2618" t="s">
        <v>2539</v>
      </c>
      <c r="C475" s="2619">
        <v>3</v>
      </c>
      <c r="D475" s="2602">
        <f t="shared" si="81"/>
        <v>433.3</v>
      </c>
      <c r="E475" s="2602"/>
      <c r="F475" s="2602">
        <v>1.3</v>
      </c>
      <c r="G475" s="2602"/>
      <c r="H475" s="2603">
        <f t="shared" si="82"/>
        <v>1.3</v>
      </c>
      <c r="I475" s="2619"/>
      <c r="J475" s="2602"/>
      <c r="K475" s="2602"/>
      <c r="L475" s="2602"/>
      <c r="M475" s="2602"/>
      <c r="N475" s="2603"/>
      <c r="O475" s="2619"/>
      <c r="P475" s="2602"/>
      <c r="Q475" s="2602"/>
      <c r="R475" s="2602"/>
      <c r="S475" s="2602"/>
      <c r="T475" s="2603"/>
      <c r="U475" s="2619"/>
      <c r="V475" s="2602"/>
      <c r="W475" s="2602"/>
      <c r="X475" s="2602"/>
      <c r="Y475" s="2603"/>
      <c r="Z475" s="2603">
        <f t="shared" si="83"/>
        <v>0</v>
      </c>
      <c r="AA475" s="2603">
        <f t="shared" si="84"/>
        <v>0</v>
      </c>
      <c r="AB475" s="2603"/>
      <c r="AC475" s="2603"/>
      <c r="AD475" s="2620"/>
    </row>
    <row r="476" spans="1:30" s="2612" customFormat="1" x14ac:dyDescent="0.25">
      <c r="A476" s="2615"/>
      <c r="B476" s="2618" t="s">
        <v>2540</v>
      </c>
      <c r="C476" s="2619">
        <v>1</v>
      </c>
      <c r="D476" s="2602">
        <f t="shared" si="81"/>
        <v>200</v>
      </c>
      <c r="E476" s="2602"/>
      <c r="F476" s="2602">
        <v>0.2</v>
      </c>
      <c r="G476" s="2602"/>
      <c r="H476" s="2603">
        <f t="shared" si="82"/>
        <v>0.2</v>
      </c>
      <c r="I476" s="2619"/>
      <c r="J476" s="2602"/>
      <c r="K476" s="2602"/>
      <c r="L476" s="2602"/>
      <c r="M476" s="2602"/>
      <c r="N476" s="2603"/>
      <c r="O476" s="2619"/>
      <c r="P476" s="2602"/>
      <c r="Q476" s="2602"/>
      <c r="R476" s="2602"/>
      <c r="S476" s="2602"/>
      <c r="T476" s="2603"/>
      <c r="U476" s="2619"/>
      <c r="V476" s="2602"/>
      <c r="W476" s="2602"/>
      <c r="X476" s="2602"/>
      <c r="Y476" s="2603"/>
      <c r="Z476" s="2603">
        <f t="shared" si="83"/>
        <v>0</v>
      </c>
      <c r="AA476" s="2603">
        <f t="shared" si="84"/>
        <v>0</v>
      </c>
      <c r="AB476" s="2603"/>
      <c r="AC476" s="2603"/>
      <c r="AD476" s="2620"/>
    </row>
    <row r="477" spans="1:30" s="2612" customFormat="1" x14ac:dyDescent="0.25">
      <c r="A477" s="2615"/>
      <c r="B477" s="2618" t="s">
        <v>2541</v>
      </c>
      <c r="C477" s="2619">
        <v>1</v>
      </c>
      <c r="D477" s="2602">
        <f t="shared" si="81"/>
        <v>600</v>
      </c>
      <c r="E477" s="2602"/>
      <c r="F477" s="2602">
        <v>0.6</v>
      </c>
      <c r="G477" s="2602"/>
      <c r="H477" s="2603">
        <f t="shared" si="82"/>
        <v>0.6</v>
      </c>
      <c r="I477" s="2619"/>
      <c r="J477" s="2602"/>
      <c r="K477" s="2602"/>
      <c r="L477" s="2602"/>
      <c r="M477" s="2602"/>
      <c r="N477" s="2603"/>
      <c r="O477" s="2619"/>
      <c r="P477" s="2602"/>
      <c r="Q477" s="2602"/>
      <c r="R477" s="2602"/>
      <c r="S477" s="2602"/>
      <c r="T477" s="2603"/>
      <c r="U477" s="2619"/>
      <c r="V477" s="2602"/>
      <c r="W477" s="2602"/>
      <c r="X477" s="2602"/>
      <c r="Y477" s="2603"/>
      <c r="Z477" s="2603">
        <f t="shared" si="83"/>
        <v>0</v>
      </c>
      <c r="AA477" s="2603">
        <f t="shared" si="84"/>
        <v>0</v>
      </c>
      <c r="AB477" s="2603"/>
      <c r="AC477" s="2603"/>
      <c r="AD477" s="2620"/>
    </row>
    <row r="478" spans="1:30" s="2612" customFormat="1" ht="31.5" x14ac:dyDescent="0.25">
      <c r="A478" s="2615"/>
      <c r="B478" s="2618" t="s">
        <v>2542</v>
      </c>
      <c r="C478" s="2619">
        <v>2</v>
      </c>
      <c r="D478" s="2602">
        <f t="shared" si="81"/>
        <v>800</v>
      </c>
      <c r="E478" s="2602"/>
      <c r="F478" s="2602">
        <v>1.6</v>
      </c>
      <c r="G478" s="2602"/>
      <c r="H478" s="2603">
        <f t="shared" si="82"/>
        <v>1.6</v>
      </c>
      <c r="I478" s="2619"/>
      <c r="J478" s="2602"/>
      <c r="K478" s="2602"/>
      <c r="L478" s="2602"/>
      <c r="M478" s="2602"/>
      <c r="N478" s="2603"/>
      <c r="O478" s="2619"/>
      <c r="P478" s="2602"/>
      <c r="Q478" s="2602"/>
      <c r="R478" s="2602"/>
      <c r="S478" s="2602"/>
      <c r="T478" s="2603"/>
      <c r="U478" s="2619"/>
      <c r="V478" s="2602"/>
      <c r="W478" s="2602"/>
      <c r="X478" s="2602"/>
      <c r="Y478" s="2603"/>
      <c r="Z478" s="2603">
        <f t="shared" si="83"/>
        <v>0</v>
      </c>
      <c r="AA478" s="2603">
        <f t="shared" si="84"/>
        <v>0</v>
      </c>
      <c r="AB478" s="2603"/>
      <c r="AC478" s="2603"/>
      <c r="AD478" s="2620"/>
    </row>
    <row r="479" spans="1:30" s="2612" customFormat="1" x14ac:dyDescent="0.25">
      <c r="A479" s="2615"/>
      <c r="B479" s="2618" t="s">
        <v>2543</v>
      </c>
      <c r="C479" s="2619">
        <v>1</v>
      </c>
      <c r="D479" s="2602">
        <f t="shared" si="81"/>
        <v>100</v>
      </c>
      <c r="E479" s="2602"/>
      <c r="F479" s="2602">
        <v>0.1</v>
      </c>
      <c r="G479" s="2602"/>
      <c r="H479" s="2603">
        <f t="shared" si="82"/>
        <v>0.1</v>
      </c>
      <c r="I479" s="2619"/>
      <c r="J479" s="2602"/>
      <c r="K479" s="2602"/>
      <c r="L479" s="2602"/>
      <c r="M479" s="2602"/>
      <c r="N479" s="2603"/>
      <c r="O479" s="2619"/>
      <c r="P479" s="2602"/>
      <c r="Q479" s="2602"/>
      <c r="R479" s="2602"/>
      <c r="S479" s="2602"/>
      <c r="T479" s="2603"/>
      <c r="U479" s="2619"/>
      <c r="V479" s="2602"/>
      <c r="W479" s="2602"/>
      <c r="X479" s="2602"/>
      <c r="Y479" s="2603"/>
      <c r="Z479" s="2603">
        <f t="shared" si="83"/>
        <v>0</v>
      </c>
      <c r="AA479" s="2603">
        <f t="shared" si="84"/>
        <v>0</v>
      </c>
      <c r="AB479" s="2603"/>
      <c r="AC479" s="2603"/>
      <c r="AD479" s="2620"/>
    </row>
    <row r="480" spans="1:30" s="2612" customFormat="1" x14ac:dyDescent="0.25">
      <c r="A480" s="2615"/>
      <c r="B480" s="2618" t="s">
        <v>2544</v>
      </c>
      <c r="C480" s="2619">
        <v>2</v>
      </c>
      <c r="D480" s="2602">
        <f t="shared" si="81"/>
        <v>3350</v>
      </c>
      <c r="E480" s="2602"/>
      <c r="F480" s="2602">
        <v>6.7</v>
      </c>
      <c r="G480" s="2602"/>
      <c r="H480" s="2603">
        <f t="shared" si="82"/>
        <v>6.7</v>
      </c>
      <c r="I480" s="2619"/>
      <c r="J480" s="2602"/>
      <c r="K480" s="2602"/>
      <c r="L480" s="2602"/>
      <c r="M480" s="2602"/>
      <c r="N480" s="2603"/>
      <c r="O480" s="2619"/>
      <c r="P480" s="2602"/>
      <c r="Q480" s="2602"/>
      <c r="R480" s="2602"/>
      <c r="S480" s="2602"/>
      <c r="T480" s="2603"/>
      <c r="U480" s="2619"/>
      <c r="V480" s="2602"/>
      <c r="W480" s="2602"/>
      <c r="X480" s="2602"/>
      <c r="Y480" s="2603"/>
      <c r="Z480" s="2603">
        <f t="shared" si="83"/>
        <v>0</v>
      </c>
      <c r="AA480" s="2603">
        <f t="shared" si="84"/>
        <v>0</v>
      </c>
      <c r="AB480" s="2603"/>
      <c r="AC480" s="2603"/>
      <c r="AD480" s="2620"/>
    </row>
    <row r="481" spans="1:30" s="2612" customFormat="1" x14ac:dyDescent="0.25">
      <c r="A481" s="2615"/>
      <c r="B481" s="2618" t="s">
        <v>2545</v>
      </c>
      <c r="C481" s="2619">
        <v>1</v>
      </c>
      <c r="D481" s="2602">
        <f t="shared" si="81"/>
        <v>500</v>
      </c>
      <c r="E481" s="2602"/>
      <c r="F481" s="2602">
        <v>0.5</v>
      </c>
      <c r="G481" s="2602"/>
      <c r="H481" s="2603">
        <f t="shared" si="82"/>
        <v>0.5</v>
      </c>
      <c r="I481" s="2619"/>
      <c r="J481" s="2602"/>
      <c r="K481" s="2602"/>
      <c r="L481" s="2602"/>
      <c r="M481" s="2602"/>
      <c r="N481" s="2603"/>
      <c r="O481" s="2619"/>
      <c r="P481" s="2602"/>
      <c r="Q481" s="2602"/>
      <c r="R481" s="2602"/>
      <c r="S481" s="2602"/>
      <c r="T481" s="2603"/>
      <c r="U481" s="2619"/>
      <c r="V481" s="2602"/>
      <c r="W481" s="2602"/>
      <c r="X481" s="2602"/>
      <c r="Y481" s="2603"/>
      <c r="Z481" s="2603">
        <f t="shared" si="83"/>
        <v>0</v>
      </c>
      <c r="AA481" s="2603">
        <f t="shared" si="84"/>
        <v>0</v>
      </c>
      <c r="AB481" s="2603"/>
      <c r="AC481" s="2603"/>
      <c r="AD481" s="2620"/>
    </row>
    <row r="482" spans="1:30" s="2612" customFormat="1" x14ac:dyDescent="0.25">
      <c r="A482" s="2615"/>
      <c r="B482" s="2618" t="s">
        <v>2546</v>
      </c>
      <c r="C482" s="2619">
        <v>21</v>
      </c>
      <c r="D482" s="2602">
        <f t="shared" si="81"/>
        <v>738.1</v>
      </c>
      <c r="E482" s="2602"/>
      <c r="F482" s="2602">
        <v>15.5</v>
      </c>
      <c r="G482" s="2602"/>
      <c r="H482" s="2603">
        <f t="shared" si="82"/>
        <v>15.5</v>
      </c>
      <c r="I482" s="2619"/>
      <c r="J482" s="2602"/>
      <c r="K482" s="2602"/>
      <c r="L482" s="2602"/>
      <c r="M482" s="2602"/>
      <c r="N482" s="2603"/>
      <c r="O482" s="2619"/>
      <c r="P482" s="2602"/>
      <c r="Q482" s="2602"/>
      <c r="R482" s="2602"/>
      <c r="S482" s="2602"/>
      <c r="T482" s="2603"/>
      <c r="U482" s="2619"/>
      <c r="V482" s="2602"/>
      <c r="W482" s="2602"/>
      <c r="X482" s="2602"/>
      <c r="Y482" s="2603"/>
      <c r="Z482" s="2603">
        <f t="shared" si="83"/>
        <v>0</v>
      </c>
      <c r="AA482" s="2603">
        <f t="shared" si="84"/>
        <v>0</v>
      </c>
      <c r="AB482" s="2603"/>
      <c r="AC482" s="2603"/>
      <c r="AD482" s="2620"/>
    </row>
    <row r="483" spans="1:30" s="2612" customFormat="1" x14ac:dyDescent="0.25">
      <c r="A483" s="2615"/>
      <c r="B483" s="2618" t="s">
        <v>2547</v>
      </c>
      <c r="C483" s="2619">
        <v>18</v>
      </c>
      <c r="D483" s="2602">
        <f t="shared" si="81"/>
        <v>600</v>
      </c>
      <c r="E483" s="2602"/>
      <c r="F483" s="2602">
        <v>10.8</v>
      </c>
      <c r="G483" s="2602"/>
      <c r="H483" s="2603">
        <f t="shared" si="82"/>
        <v>10.8</v>
      </c>
      <c r="I483" s="2619"/>
      <c r="J483" s="2602"/>
      <c r="K483" s="2602"/>
      <c r="L483" s="2602"/>
      <c r="M483" s="2602"/>
      <c r="N483" s="2603"/>
      <c r="O483" s="2619"/>
      <c r="P483" s="2602"/>
      <c r="Q483" s="2602"/>
      <c r="R483" s="2602"/>
      <c r="S483" s="2602"/>
      <c r="T483" s="2603"/>
      <c r="U483" s="2619"/>
      <c r="V483" s="2602"/>
      <c r="W483" s="2602"/>
      <c r="X483" s="2602"/>
      <c r="Y483" s="2603"/>
      <c r="Z483" s="2603">
        <f t="shared" si="83"/>
        <v>0</v>
      </c>
      <c r="AA483" s="2603">
        <f t="shared" si="84"/>
        <v>0</v>
      </c>
      <c r="AB483" s="2603"/>
      <c r="AC483" s="2603"/>
      <c r="AD483" s="2620"/>
    </row>
    <row r="484" spans="1:30" s="2612" customFormat="1" ht="31.5" x14ac:dyDescent="0.25">
      <c r="A484" s="2615"/>
      <c r="B484" s="2618" t="s">
        <v>2548</v>
      </c>
      <c r="C484" s="2619">
        <v>2</v>
      </c>
      <c r="D484" s="2602">
        <f t="shared" si="81"/>
        <v>3950</v>
      </c>
      <c r="E484" s="2602"/>
      <c r="F484" s="2602">
        <v>7.9</v>
      </c>
      <c r="G484" s="2602"/>
      <c r="H484" s="2603">
        <f t="shared" si="82"/>
        <v>7.9</v>
      </c>
      <c r="I484" s="2619"/>
      <c r="J484" s="2602"/>
      <c r="K484" s="2602"/>
      <c r="L484" s="2602"/>
      <c r="M484" s="2602"/>
      <c r="N484" s="2603"/>
      <c r="O484" s="2619"/>
      <c r="P484" s="2602"/>
      <c r="Q484" s="2602"/>
      <c r="R484" s="2602"/>
      <c r="S484" s="2602"/>
      <c r="T484" s="2603"/>
      <c r="U484" s="2619"/>
      <c r="V484" s="2602"/>
      <c r="W484" s="2602"/>
      <c r="X484" s="2602"/>
      <c r="Y484" s="2603"/>
      <c r="Z484" s="2603">
        <f t="shared" si="83"/>
        <v>0</v>
      </c>
      <c r="AA484" s="2603">
        <f t="shared" si="84"/>
        <v>0</v>
      </c>
      <c r="AB484" s="2603"/>
      <c r="AC484" s="2603"/>
      <c r="AD484" s="2620"/>
    </row>
    <row r="485" spans="1:30" s="2612" customFormat="1" ht="31.5" x14ac:dyDescent="0.25">
      <c r="A485" s="2615"/>
      <c r="B485" s="2618" t="s">
        <v>2549</v>
      </c>
      <c r="C485" s="2619">
        <v>1</v>
      </c>
      <c r="D485" s="2602">
        <f t="shared" si="81"/>
        <v>100</v>
      </c>
      <c r="E485" s="2602"/>
      <c r="F485" s="2602">
        <v>0.1</v>
      </c>
      <c r="G485" s="2602"/>
      <c r="H485" s="2603">
        <f t="shared" si="82"/>
        <v>0.1</v>
      </c>
      <c r="I485" s="2619"/>
      <c r="J485" s="2602"/>
      <c r="K485" s="2602"/>
      <c r="L485" s="2602"/>
      <c r="M485" s="2602"/>
      <c r="N485" s="2603"/>
      <c r="O485" s="2619"/>
      <c r="P485" s="2602"/>
      <c r="Q485" s="2602"/>
      <c r="R485" s="2602"/>
      <c r="S485" s="2602"/>
      <c r="T485" s="2603"/>
      <c r="U485" s="2619"/>
      <c r="V485" s="2602"/>
      <c r="W485" s="2602"/>
      <c r="X485" s="2602"/>
      <c r="Y485" s="2603"/>
      <c r="Z485" s="2603">
        <f t="shared" si="83"/>
        <v>0</v>
      </c>
      <c r="AA485" s="2603">
        <f t="shared" si="84"/>
        <v>0</v>
      </c>
      <c r="AB485" s="2603"/>
      <c r="AC485" s="2603"/>
      <c r="AD485" s="2620"/>
    </row>
    <row r="486" spans="1:30" s="2612" customFormat="1" x14ac:dyDescent="0.25">
      <c r="A486" s="2615"/>
      <c r="B486" s="2618" t="s">
        <v>2478</v>
      </c>
      <c r="C486" s="2619">
        <v>1</v>
      </c>
      <c r="D486" s="2602">
        <f t="shared" si="81"/>
        <v>0</v>
      </c>
      <c r="E486" s="2602"/>
      <c r="F486" s="2602">
        <v>0</v>
      </c>
      <c r="G486" s="2602"/>
      <c r="H486" s="2603">
        <f t="shared" si="82"/>
        <v>0</v>
      </c>
      <c r="I486" s="2619"/>
      <c r="J486" s="2602"/>
      <c r="K486" s="2602"/>
      <c r="L486" s="2602"/>
      <c r="M486" s="2602"/>
      <c r="N486" s="2603"/>
      <c r="O486" s="2619"/>
      <c r="P486" s="2602"/>
      <c r="Q486" s="2602"/>
      <c r="R486" s="2602"/>
      <c r="S486" s="2602"/>
      <c r="T486" s="2603"/>
      <c r="U486" s="2619"/>
      <c r="V486" s="2602"/>
      <c r="W486" s="2602"/>
      <c r="X486" s="2602"/>
      <c r="Y486" s="2603"/>
      <c r="Z486" s="2603">
        <f t="shared" si="83"/>
        <v>0</v>
      </c>
      <c r="AA486" s="2603">
        <f t="shared" si="84"/>
        <v>0</v>
      </c>
      <c r="AB486" s="2603"/>
      <c r="AC486" s="2603"/>
      <c r="AD486" s="2620"/>
    </row>
    <row r="487" spans="1:30" s="2612" customFormat="1" ht="31.5" x14ac:dyDescent="0.25">
      <c r="A487" s="2615"/>
      <c r="B487" s="2618" t="s">
        <v>2550</v>
      </c>
      <c r="C487" s="2619">
        <v>4</v>
      </c>
      <c r="D487" s="2602">
        <f t="shared" si="81"/>
        <v>25</v>
      </c>
      <c r="E487" s="2602"/>
      <c r="F487" s="2602">
        <v>0.1</v>
      </c>
      <c r="G487" s="2602"/>
      <c r="H487" s="2603">
        <f t="shared" si="82"/>
        <v>0.1</v>
      </c>
      <c r="I487" s="2619"/>
      <c r="J487" s="2602"/>
      <c r="K487" s="2602"/>
      <c r="L487" s="2602"/>
      <c r="M487" s="2602"/>
      <c r="N487" s="2603"/>
      <c r="O487" s="2619"/>
      <c r="P487" s="2602"/>
      <c r="Q487" s="2602"/>
      <c r="R487" s="2602"/>
      <c r="S487" s="2602"/>
      <c r="T487" s="2603"/>
      <c r="U487" s="2619"/>
      <c r="V487" s="2602"/>
      <c r="W487" s="2602"/>
      <c r="X487" s="2602"/>
      <c r="Y487" s="2603"/>
      <c r="Z487" s="2603">
        <f t="shared" si="83"/>
        <v>0</v>
      </c>
      <c r="AA487" s="2603">
        <f t="shared" si="84"/>
        <v>0</v>
      </c>
      <c r="AB487" s="2603"/>
      <c r="AC487" s="2603"/>
      <c r="AD487" s="2620"/>
    </row>
    <row r="488" spans="1:30" s="2612" customFormat="1" x14ac:dyDescent="0.25">
      <c r="A488" s="2615"/>
      <c r="B488" s="2618" t="s">
        <v>2551</v>
      </c>
      <c r="C488" s="2619">
        <v>1</v>
      </c>
      <c r="D488" s="2602">
        <f t="shared" si="81"/>
        <v>100</v>
      </c>
      <c r="E488" s="2602"/>
      <c r="F488" s="2602">
        <v>0.1</v>
      </c>
      <c r="G488" s="2602"/>
      <c r="H488" s="2603">
        <f t="shared" si="82"/>
        <v>0.1</v>
      </c>
      <c r="I488" s="2619"/>
      <c r="J488" s="2602"/>
      <c r="K488" s="2602"/>
      <c r="L488" s="2602"/>
      <c r="M488" s="2602"/>
      <c r="N488" s="2603"/>
      <c r="O488" s="2619"/>
      <c r="P488" s="2602"/>
      <c r="Q488" s="2602"/>
      <c r="R488" s="2602"/>
      <c r="S488" s="2602"/>
      <c r="T488" s="2603"/>
      <c r="U488" s="2619"/>
      <c r="V488" s="2602"/>
      <c r="W488" s="2602"/>
      <c r="X488" s="2602"/>
      <c r="Y488" s="2603"/>
      <c r="Z488" s="2603">
        <f t="shared" si="83"/>
        <v>0</v>
      </c>
      <c r="AA488" s="2603">
        <f t="shared" si="84"/>
        <v>0</v>
      </c>
      <c r="AB488" s="2603"/>
      <c r="AC488" s="2603"/>
      <c r="AD488" s="2620"/>
    </row>
    <row r="489" spans="1:30" s="2612" customFormat="1" x14ac:dyDescent="0.25">
      <c r="A489" s="2615"/>
      <c r="B489" s="2618" t="s">
        <v>2552</v>
      </c>
      <c r="C489" s="2619">
        <v>1</v>
      </c>
      <c r="D489" s="2602">
        <f t="shared" si="81"/>
        <v>1600</v>
      </c>
      <c r="E489" s="2602"/>
      <c r="F489" s="2602">
        <v>1.6</v>
      </c>
      <c r="G489" s="2602"/>
      <c r="H489" s="2603">
        <f t="shared" si="82"/>
        <v>1.6</v>
      </c>
      <c r="I489" s="2619"/>
      <c r="J489" s="2602"/>
      <c r="K489" s="2602"/>
      <c r="L489" s="2602"/>
      <c r="M489" s="2602"/>
      <c r="N489" s="2603"/>
      <c r="O489" s="2619"/>
      <c r="P489" s="2602"/>
      <c r="Q489" s="2602"/>
      <c r="R489" s="2602"/>
      <c r="S489" s="2602"/>
      <c r="T489" s="2603"/>
      <c r="U489" s="2619"/>
      <c r="V489" s="2602"/>
      <c r="W489" s="2602"/>
      <c r="X489" s="2602"/>
      <c r="Y489" s="2603"/>
      <c r="Z489" s="2603">
        <f t="shared" si="83"/>
        <v>0</v>
      </c>
      <c r="AA489" s="2603">
        <f t="shared" si="84"/>
        <v>0</v>
      </c>
      <c r="AB489" s="2603"/>
      <c r="AC489" s="2603"/>
      <c r="AD489" s="2620"/>
    </row>
    <row r="490" spans="1:30" s="2612" customFormat="1" ht="31.5" x14ac:dyDescent="0.25">
      <c r="A490" s="2615"/>
      <c r="B490" s="2618" t="s">
        <v>2553</v>
      </c>
      <c r="C490" s="2619">
        <v>1</v>
      </c>
      <c r="D490" s="2602">
        <f t="shared" si="81"/>
        <v>500</v>
      </c>
      <c r="E490" s="2602"/>
      <c r="F490" s="2602">
        <v>0.5</v>
      </c>
      <c r="G490" s="2602"/>
      <c r="H490" s="2603">
        <f t="shared" si="82"/>
        <v>0.5</v>
      </c>
      <c r="I490" s="2619"/>
      <c r="J490" s="2602"/>
      <c r="K490" s="2602"/>
      <c r="L490" s="2602"/>
      <c r="M490" s="2602"/>
      <c r="N490" s="2603"/>
      <c r="O490" s="2619"/>
      <c r="P490" s="2602"/>
      <c r="Q490" s="2602"/>
      <c r="R490" s="2602"/>
      <c r="S490" s="2602"/>
      <c r="T490" s="2603"/>
      <c r="U490" s="2619"/>
      <c r="V490" s="2602"/>
      <c r="W490" s="2602"/>
      <c r="X490" s="2602"/>
      <c r="Y490" s="2603"/>
      <c r="Z490" s="2603">
        <f t="shared" si="83"/>
        <v>0</v>
      </c>
      <c r="AA490" s="2603">
        <f t="shared" si="84"/>
        <v>0</v>
      </c>
      <c r="AB490" s="2603"/>
      <c r="AC490" s="2603"/>
      <c r="AD490" s="2620"/>
    </row>
    <row r="491" spans="1:30" s="2612" customFormat="1" x14ac:dyDescent="0.25">
      <c r="A491" s="2615"/>
      <c r="B491" s="2618" t="s">
        <v>2554</v>
      </c>
      <c r="C491" s="2619">
        <v>1</v>
      </c>
      <c r="D491" s="2602">
        <f t="shared" si="81"/>
        <v>4400</v>
      </c>
      <c r="E491" s="2602"/>
      <c r="F491" s="2602">
        <v>4.4000000000000004</v>
      </c>
      <c r="G491" s="2602"/>
      <c r="H491" s="2603">
        <f t="shared" si="82"/>
        <v>4.4000000000000004</v>
      </c>
      <c r="I491" s="2619"/>
      <c r="J491" s="2602"/>
      <c r="K491" s="2602"/>
      <c r="L491" s="2602"/>
      <c r="M491" s="2602"/>
      <c r="N491" s="2603"/>
      <c r="O491" s="2619"/>
      <c r="P491" s="2602"/>
      <c r="Q491" s="2602"/>
      <c r="R491" s="2602"/>
      <c r="S491" s="2602"/>
      <c r="T491" s="2603"/>
      <c r="U491" s="2619"/>
      <c r="V491" s="2602"/>
      <c r="W491" s="2602"/>
      <c r="X491" s="2602"/>
      <c r="Y491" s="2603"/>
      <c r="Z491" s="2603">
        <f t="shared" si="83"/>
        <v>0</v>
      </c>
      <c r="AA491" s="2603">
        <f t="shared" si="84"/>
        <v>0</v>
      </c>
      <c r="AB491" s="2603"/>
      <c r="AC491" s="2603"/>
      <c r="AD491" s="2620"/>
    </row>
    <row r="492" spans="1:30" s="2612" customFormat="1" x14ac:dyDescent="0.25">
      <c r="A492" s="2615"/>
      <c r="B492" s="2618" t="s">
        <v>2555</v>
      </c>
      <c r="C492" s="2619">
        <v>2</v>
      </c>
      <c r="D492" s="2602">
        <f t="shared" si="81"/>
        <v>300</v>
      </c>
      <c r="E492" s="2602"/>
      <c r="F492" s="2602">
        <v>0.6</v>
      </c>
      <c r="G492" s="2602"/>
      <c r="H492" s="2603">
        <f t="shared" si="82"/>
        <v>0.6</v>
      </c>
      <c r="I492" s="2619"/>
      <c r="J492" s="2602"/>
      <c r="K492" s="2602"/>
      <c r="L492" s="2602"/>
      <c r="M492" s="2602"/>
      <c r="N492" s="2603"/>
      <c r="O492" s="2619"/>
      <c r="P492" s="2602"/>
      <c r="Q492" s="2602"/>
      <c r="R492" s="2602"/>
      <c r="S492" s="2602"/>
      <c r="T492" s="2603"/>
      <c r="U492" s="2619"/>
      <c r="V492" s="2602"/>
      <c r="W492" s="2602"/>
      <c r="X492" s="2602"/>
      <c r="Y492" s="2603"/>
      <c r="Z492" s="2603">
        <f t="shared" si="83"/>
        <v>0</v>
      </c>
      <c r="AA492" s="2603">
        <f t="shared" si="84"/>
        <v>0</v>
      </c>
      <c r="AB492" s="2603"/>
      <c r="AC492" s="2603"/>
      <c r="AD492" s="2620"/>
    </row>
    <row r="493" spans="1:30" s="2612" customFormat="1" x14ac:dyDescent="0.25">
      <c r="A493" s="2615"/>
      <c r="B493" s="2618" t="s">
        <v>2556</v>
      </c>
      <c r="C493" s="2619">
        <v>1</v>
      </c>
      <c r="D493" s="2602">
        <f t="shared" si="81"/>
        <v>200</v>
      </c>
      <c r="E493" s="2602"/>
      <c r="F493" s="2602">
        <v>0.2</v>
      </c>
      <c r="G493" s="2602"/>
      <c r="H493" s="2603">
        <f t="shared" si="82"/>
        <v>0.2</v>
      </c>
      <c r="I493" s="2619"/>
      <c r="J493" s="2602"/>
      <c r="K493" s="2602"/>
      <c r="L493" s="2602"/>
      <c r="M493" s="2602"/>
      <c r="N493" s="2603"/>
      <c r="O493" s="2619"/>
      <c r="P493" s="2602"/>
      <c r="Q493" s="2602"/>
      <c r="R493" s="2602"/>
      <c r="S493" s="2602"/>
      <c r="T493" s="2603"/>
      <c r="U493" s="2619"/>
      <c r="V493" s="2602"/>
      <c r="W493" s="2602"/>
      <c r="X493" s="2602"/>
      <c r="Y493" s="2603"/>
      <c r="Z493" s="2603">
        <f t="shared" si="83"/>
        <v>0</v>
      </c>
      <c r="AA493" s="2603">
        <f t="shared" si="84"/>
        <v>0</v>
      </c>
      <c r="AB493" s="2603"/>
      <c r="AC493" s="2603"/>
      <c r="AD493" s="2620"/>
    </row>
    <row r="494" spans="1:30" s="2612" customFormat="1" x14ac:dyDescent="0.25">
      <c r="A494" s="2615"/>
      <c r="B494" s="2618" t="s">
        <v>2557</v>
      </c>
      <c r="C494" s="2619">
        <v>1</v>
      </c>
      <c r="D494" s="2602">
        <f t="shared" ref="D494:D557" si="85">(F494/C494*1000)+(E494/C494*1000)</f>
        <v>200</v>
      </c>
      <c r="E494" s="2602"/>
      <c r="F494" s="2602">
        <v>0.2</v>
      </c>
      <c r="G494" s="2602"/>
      <c r="H494" s="2603">
        <f t="shared" ref="H494:H557" si="86">SUM(E494:G494)</f>
        <v>0.2</v>
      </c>
      <c r="I494" s="2619"/>
      <c r="J494" s="2602"/>
      <c r="K494" s="2602"/>
      <c r="L494" s="2602"/>
      <c r="M494" s="2602"/>
      <c r="N494" s="2603"/>
      <c r="O494" s="2619"/>
      <c r="P494" s="2602"/>
      <c r="Q494" s="2602"/>
      <c r="R494" s="2602"/>
      <c r="S494" s="2602"/>
      <c r="T494" s="2603"/>
      <c r="U494" s="2619"/>
      <c r="V494" s="2602"/>
      <c r="W494" s="2602"/>
      <c r="X494" s="2602"/>
      <c r="Y494" s="2603"/>
      <c r="Z494" s="2603">
        <f t="shared" ref="Z494:Z557" si="87">W494-K494</f>
        <v>0</v>
      </c>
      <c r="AA494" s="2603">
        <f t="shared" si="84"/>
        <v>0</v>
      </c>
      <c r="AB494" s="2603"/>
      <c r="AC494" s="2603"/>
      <c r="AD494" s="2620"/>
    </row>
    <row r="495" spans="1:30" s="2612" customFormat="1" ht="31.5" x14ac:dyDescent="0.25">
      <c r="A495" s="2615"/>
      <c r="B495" s="2618" t="s">
        <v>2558</v>
      </c>
      <c r="C495" s="2619">
        <v>2</v>
      </c>
      <c r="D495" s="2602">
        <f t="shared" si="85"/>
        <v>300</v>
      </c>
      <c r="E495" s="2602"/>
      <c r="F495" s="2602">
        <v>0.6</v>
      </c>
      <c r="G495" s="2602"/>
      <c r="H495" s="2603">
        <f t="shared" si="86"/>
        <v>0.6</v>
      </c>
      <c r="I495" s="2619"/>
      <c r="J495" s="2602"/>
      <c r="K495" s="2602"/>
      <c r="L495" s="2602"/>
      <c r="M495" s="2602"/>
      <c r="N495" s="2603"/>
      <c r="O495" s="2619"/>
      <c r="P495" s="2602"/>
      <c r="Q495" s="2602"/>
      <c r="R495" s="2602"/>
      <c r="S495" s="2602"/>
      <c r="T495" s="2603"/>
      <c r="U495" s="2619"/>
      <c r="V495" s="2602"/>
      <c r="W495" s="2602"/>
      <c r="X495" s="2602"/>
      <c r="Y495" s="2603"/>
      <c r="Z495" s="2603">
        <f t="shared" si="87"/>
        <v>0</v>
      </c>
      <c r="AA495" s="2603">
        <f t="shared" si="84"/>
        <v>0</v>
      </c>
      <c r="AB495" s="2603"/>
      <c r="AC495" s="2603"/>
      <c r="AD495" s="2620"/>
    </row>
    <row r="496" spans="1:30" s="2612" customFormat="1" ht="31.5" x14ac:dyDescent="0.25">
      <c r="A496" s="2615"/>
      <c r="B496" s="2618" t="s">
        <v>2559</v>
      </c>
      <c r="C496" s="2619">
        <v>2</v>
      </c>
      <c r="D496" s="2602">
        <f t="shared" si="85"/>
        <v>400</v>
      </c>
      <c r="E496" s="2602"/>
      <c r="F496" s="2602">
        <v>0.8</v>
      </c>
      <c r="G496" s="2602"/>
      <c r="H496" s="2603">
        <f t="shared" si="86"/>
        <v>0.8</v>
      </c>
      <c r="I496" s="2619"/>
      <c r="J496" s="2602"/>
      <c r="K496" s="2602"/>
      <c r="L496" s="2602"/>
      <c r="M496" s="2602"/>
      <c r="N496" s="2603"/>
      <c r="O496" s="2619"/>
      <c r="P496" s="2602"/>
      <c r="Q496" s="2602"/>
      <c r="R496" s="2602"/>
      <c r="S496" s="2602"/>
      <c r="T496" s="2603"/>
      <c r="U496" s="2619"/>
      <c r="V496" s="2602"/>
      <c r="W496" s="2602"/>
      <c r="X496" s="2602"/>
      <c r="Y496" s="2603"/>
      <c r="Z496" s="2603">
        <f t="shared" si="87"/>
        <v>0</v>
      </c>
      <c r="AA496" s="2603">
        <f t="shared" si="84"/>
        <v>0</v>
      </c>
      <c r="AB496" s="2603"/>
      <c r="AC496" s="2603"/>
      <c r="AD496" s="2620"/>
    </row>
    <row r="497" spans="1:30" s="2612" customFormat="1" ht="31.5" x14ac:dyDescent="0.25">
      <c r="A497" s="2615"/>
      <c r="B497" s="2618" t="s">
        <v>2560</v>
      </c>
      <c r="C497" s="2619">
        <v>1</v>
      </c>
      <c r="D497" s="2602">
        <f t="shared" si="85"/>
        <v>300</v>
      </c>
      <c r="E497" s="2602"/>
      <c r="F497" s="2602">
        <v>0.3</v>
      </c>
      <c r="G497" s="2602"/>
      <c r="H497" s="2603">
        <f t="shared" si="86"/>
        <v>0.3</v>
      </c>
      <c r="I497" s="2619"/>
      <c r="J497" s="2602"/>
      <c r="K497" s="2602"/>
      <c r="L497" s="2602"/>
      <c r="M497" s="2602"/>
      <c r="N497" s="2603"/>
      <c r="O497" s="2619"/>
      <c r="P497" s="2602"/>
      <c r="Q497" s="2602"/>
      <c r="R497" s="2602"/>
      <c r="S497" s="2602"/>
      <c r="T497" s="2603"/>
      <c r="U497" s="2619"/>
      <c r="V497" s="2602"/>
      <c r="W497" s="2602"/>
      <c r="X497" s="2602"/>
      <c r="Y497" s="2603"/>
      <c r="Z497" s="2603">
        <f t="shared" si="87"/>
        <v>0</v>
      </c>
      <c r="AA497" s="2603">
        <f t="shared" si="84"/>
        <v>0</v>
      </c>
      <c r="AB497" s="2603"/>
      <c r="AC497" s="2603"/>
      <c r="AD497" s="2620"/>
    </row>
    <row r="498" spans="1:30" s="2612" customFormat="1" x14ac:dyDescent="0.25">
      <c r="A498" s="2615"/>
      <c r="B498" s="2618" t="s">
        <v>2561</v>
      </c>
      <c r="C498" s="2619">
        <v>1</v>
      </c>
      <c r="D498" s="2602">
        <f t="shared" si="85"/>
        <v>500</v>
      </c>
      <c r="E498" s="2602"/>
      <c r="F498" s="2602">
        <v>0.5</v>
      </c>
      <c r="G498" s="2602"/>
      <c r="H498" s="2603">
        <f t="shared" si="86"/>
        <v>0.5</v>
      </c>
      <c r="I498" s="2619"/>
      <c r="J498" s="2602"/>
      <c r="K498" s="2602"/>
      <c r="L498" s="2602"/>
      <c r="M498" s="2602"/>
      <c r="N498" s="2603"/>
      <c r="O498" s="2619"/>
      <c r="P498" s="2602"/>
      <c r="Q498" s="2602"/>
      <c r="R498" s="2602"/>
      <c r="S498" s="2602"/>
      <c r="T498" s="2603"/>
      <c r="U498" s="2619"/>
      <c r="V498" s="2602"/>
      <c r="W498" s="2602"/>
      <c r="X498" s="2602"/>
      <c r="Y498" s="2603"/>
      <c r="Z498" s="2603">
        <f t="shared" si="87"/>
        <v>0</v>
      </c>
      <c r="AA498" s="2603">
        <f t="shared" si="84"/>
        <v>0</v>
      </c>
      <c r="AB498" s="2603"/>
      <c r="AC498" s="2603"/>
      <c r="AD498" s="2620"/>
    </row>
    <row r="499" spans="1:30" s="2612" customFormat="1" x14ac:dyDescent="0.25">
      <c r="A499" s="2615"/>
      <c r="B499" s="2618" t="s">
        <v>2236</v>
      </c>
      <c r="C499" s="2619">
        <v>4</v>
      </c>
      <c r="D499" s="2602">
        <f t="shared" si="85"/>
        <v>600</v>
      </c>
      <c r="E499" s="2602"/>
      <c r="F499" s="2602">
        <v>2.4</v>
      </c>
      <c r="G499" s="2602"/>
      <c r="H499" s="2603">
        <f t="shared" si="86"/>
        <v>2.4</v>
      </c>
      <c r="I499" s="2619"/>
      <c r="J499" s="2602"/>
      <c r="K499" s="2602"/>
      <c r="L499" s="2602"/>
      <c r="M499" s="2602"/>
      <c r="N499" s="2603"/>
      <c r="O499" s="2619"/>
      <c r="P499" s="2602"/>
      <c r="Q499" s="2602"/>
      <c r="R499" s="2602"/>
      <c r="S499" s="2602"/>
      <c r="T499" s="2603"/>
      <c r="U499" s="2619"/>
      <c r="V499" s="2602"/>
      <c r="W499" s="2602"/>
      <c r="X499" s="2602"/>
      <c r="Y499" s="2603"/>
      <c r="Z499" s="2603">
        <f t="shared" si="87"/>
        <v>0</v>
      </c>
      <c r="AA499" s="2603">
        <f t="shared" si="84"/>
        <v>0</v>
      </c>
      <c r="AB499" s="2603"/>
      <c r="AC499" s="2603"/>
      <c r="AD499" s="2620"/>
    </row>
    <row r="500" spans="1:30" s="2612" customFormat="1" x14ac:dyDescent="0.25">
      <c r="A500" s="2615"/>
      <c r="B500" s="2618" t="s">
        <v>2236</v>
      </c>
      <c r="C500" s="2619">
        <v>10</v>
      </c>
      <c r="D500" s="2602">
        <f t="shared" si="85"/>
        <v>470</v>
      </c>
      <c r="E500" s="2602"/>
      <c r="F500" s="2602">
        <v>4.7</v>
      </c>
      <c r="G500" s="2602"/>
      <c r="H500" s="2603">
        <f t="shared" si="86"/>
        <v>4.7</v>
      </c>
      <c r="I500" s="2619"/>
      <c r="J500" s="2602"/>
      <c r="K500" s="2602"/>
      <c r="L500" s="2602"/>
      <c r="M500" s="2602"/>
      <c r="N500" s="2603"/>
      <c r="O500" s="2619"/>
      <c r="P500" s="2602"/>
      <c r="Q500" s="2602"/>
      <c r="R500" s="2602"/>
      <c r="S500" s="2602"/>
      <c r="T500" s="2603"/>
      <c r="U500" s="2619"/>
      <c r="V500" s="2602"/>
      <c r="W500" s="2602"/>
      <c r="X500" s="2602"/>
      <c r="Y500" s="2603"/>
      <c r="Z500" s="2603">
        <f t="shared" si="87"/>
        <v>0</v>
      </c>
      <c r="AA500" s="2603">
        <f t="shared" si="84"/>
        <v>0</v>
      </c>
      <c r="AB500" s="2603"/>
      <c r="AC500" s="2603"/>
      <c r="AD500" s="2620"/>
    </row>
    <row r="501" spans="1:30" s="2612" customFormat="1" x14ac:dyDescent="0.25">
      <c r="A501" s="2615"/>
      <c r="B501" s="2618" t="s">
        <v>2562</v>
      </c>
      <c r="C501" s="2619">
        <v>2</v>
      </c>
      <c r="D501" s="2602">
        <f t="shared" si="85"/>
        <v>100</v>
      </c>
      <c r="E501" s="2602"/>
      <c r="F501" s="2602">
        <v>0.2</v>
      </c>
      <c r="G501" s="2602"/>
      <c r="H501" s="2603">
        <f t="shared" si="86"/>
        <v>0.2</v>
      </c>
      <c r="I501" s="2619"/>
      <c r="J501" s="2602"/>
      <c r="K501" s="2602"/>
      <c r="L501" s="2602"/>
      <c r="M501" s="2602"/>
      <c r="N501" s="2603"/>
      <c r="O501" s="2619"/>
      <c r="P501" s="2602"/>
      <c r="Q501" s="2602"/>
      <c r="R501" s="2602"/>
      <c r="S501" s="2602"/>
      <c r="T501" s="2603"/>
      <c r="U501" s="2619"/>
      <c r="V501" s="2602"/>
      <c r="W501" s="2602"/>
      <c r="X501" s="2602"/>
      <c r="Y501" s="2603"/>
      <c r="Z501" s="2603">
        <f t="shared" si="87"/>
        <v>0</v>
      </c>
      <c r="AA501" s="2603">
        <f t="shared" si="84"/>
        <v>0</v>
      </c>
      <c r="AB501" s="2603"/>
      <c r="AC501" s="2603"/>
      <c r="AD501" s="2620"/>
    </row>
    <row r="502" spans="1:30" s="2612" customFormat="1" x14ac:dyDescent="0.25">
      <c r="A502" s="2615"/>
      <c r="B502" s="2618" t="s">
        <v>2563</v>
      </c>
      <c r="C502" s="2619">
        <v>8</v>
      </c>
      <c r="D502" s="2602">
        <f t="shared" si="85"/>
        <v>125</v>
      </c>
      <c r="E502" s="2602"/>
      <c r="F502" s="2602">
        <v>1</v>
      </c>
      <c r="G502" s="2602"/>
      <c r="H502" s="2603">
        <f t="shared" si="86"/>
        <v>1</v>
      </c>
      <c r="I502" s="2619"/>
      <c r="J502" s="2602"/>
      <c r="K502" s="2602"/>
      <c r="L502" s="2602"/>
      <c r="M502" s="2602"/>
      <c r="N502" s="2603"/>
      <c r="O502" s="2619"/>
      <c r="P502" s="2602"/>
      <c r="Q502" s="2602"/>
      <c r="R502" s="2602"/>
      <c r="S502" s="2602"/>
      <c r="T502" s="2603"/>
      <c r="U502" s="2619"/>
      <c r="V502" s="2602"/>
      <c r="W502" s="2602"/>
      <c r="X502" s="2602"/>
      <c r="Y502" s="2603"/>
      <c r="Z502" s="2603">
        <f t="shared" si="87"/>
        <v>0</v>
      </c>
      <c r="AA502" s="2603">
        <f t="shared" si="84"/>
        <v>0</v>
      </c>
      <c r="AB502" s="2603"/>
      <c r="AC502" s="2603"/>
      <c r="AD502" s="2620"/>
    </row>
    <row r="503" spans="1:30" s="2612" customFormat="1" x14ac:dyDescent="0.25">
      <c r="A503" s="2615"/>
      <c r="B503" s="2618" t="s">
        <v>2564</v>
      </c>
      <c r="C503" s="2619">
        <v>1</v>
      </c>
      <c r="D503" s="2602">
        <f t="shared" si="85"/>
        <v>200</v>
      </c>
      <c r="E503" s="2602"/>
      <c r="F503" s="2602">
        <v>0.2</v>
      </c>
      <c r="G503" s="2602"/>
      <c r="H503" s="2603">
        <f t="shared" si="86"/>
        <v>0.2</v>
      </c>
      <c r="I503" s="2619"/>
      <c r="J503" s="2602"/>
      <c r="K503" s="2602"/>
      <c r="L503" s="2602"/>
      <c r="M503" s="2602"/>
      <c r="N503" s="2603"/>
      <c r="O503" s="2619"/>
      <c r="P503" s="2602"/>
      <c r="Q503" s="2602"/>
      <c r="R503" s="2602"/>
      <c r="S503" s="2602"/>
      <c r="T503" s="2603"/>
      <c r="U503" s="2619"/>
      <c r="V503" s="2602"/>
      <c r="W503" s="2602"/>
      <c r="X503" s="2602"/>
      <c r="Y503" s="2603"/>
      <c r="Z503" s="2603">
        <f t="shared" si="87"/>
        <v>0</v>
      </c>
      <c r="AA503" s="2603">
        <f t="shared" si="84"/>
        <v>0</v>
      </c>
      <c r="AB503" s="2603"/>
      <c r="AC503" s="2603"/>
      <c r="AD503" s="2620"/>
    </row>
    <row r="504" spans="1:30" s="2612" customFormat="1" x14ac:dyDescent="0.25">
      <c r="A504" s="2615"/>
      <c r="B504" s="2618" t="s">
        <v>2565</v>
      </c>
      <c r="C504" s="2619">
        <v>1</v>
      </c>
      <c r="D504" s="2602">
        <f t="shared" si="85"/>
        <v>200</v>
      </c>
      <c r="E504" s="2602"/>
      <c r="F504" s="2602">
        <v>0.2</v>
      </c>
      <c r="G504" s="2602"/>
      <c r="H504" s="2603">
        <f t="shared" si="86"/>
        <v>0.2</v>
      </c>
      <c r="I504" s="2619"/>
      <c r="J504" s="2602"/>
      <c r="K504" s="2602"/>
      <c r="L504" s="2602"/>
      <c r="M504" s="2602"/>
      <c r="N504" s="2603"/>
      <c r="O504" s="2619"/>
      <c r="P504" s="2602"/>
      <c r="Q504" s="2602"/>
      <c r="R504" s="2602"/>
      <c r="S504" s="2602"/>
      <c r="T504" s="2603"/>
      <c r="U504" s="2619"/>
      <c r="V504" s="2602"/>
      <c r="W504" s="2602"/>
      <c r="X504" s="2602"/>
      <c r="Y504" s="2603"/>
      <c r="Z504" s="2603">
        <f t="shared" si="87"/>
        <v>0</v>
      </c>
      <c r="AA504" s="2603">
        <f t="shared" si="84"/>
        <v>0</v>
      </c>
      <c r="AB504" s="2603"/>
      <c r="AC504" s="2603"/>
      <c r="AD504" s="2620"/>
    </row>
    <row r="505" spans="1:30" s="2612" customFormat="1" x14ac:dyDescent="0.25">
      <c r="A505" s="2615"/>
      <c r="B505" s="2618" t="s">
        <v>2565</v>
      </c>
      <c r="C505" s="2619">
        <v>1</v>
      </c>
      <c r="D505" s="2602">
        <f t="shared" si="85"/>
        <v>200</v>
      </c>
      <c r="E505" s="2602"/>
      <c r="F505" s="2602">
        <v>0.2</v>
      </c>
      <c r="G505" s="2602"/>
      <c r="H505" s="2603">
        <f t="shared" si="86"/>
        <v>0.2</v>
      </c>
      <c r="I505" s="2619"/>
      <c r="J505" s="2602"/>
      <c r="K505" s="2602"/>
      <c r="L505" s="2602"/>
      <c r="M505" s="2602"/>
      <c r="N505" s="2603"/>
      <c r="O505" s="2619"/>
      <c r="P505" s="2602"/>
      <c r="Q505" s="2602"/>
      <c r="R505" s="2602"/>
      <c r="S505" s="2602"/>
      <c r="T505" s="2603"/>
      <c r="U505" s="2619"/>
      <c r="V505" s="2602"/>
      <c r="W505" s="2602"/>
      <c r="X505" s="2602"/>
      <c r="Y505" s="2603"/>
      <c r="Z505" s="2603">
        <f t="shared" si="87"/>
        <v>0</v>
      </c>
      <c r="AA505" s="2603">
        <f t="shared" si="84"/>
        <v>0</v>
      </c>
      <c r="AB505" s="2603"/>
      <c r="AC505" s="2603"/>
      <c r="AD505" s="2620"/>
    </row>
    <row r="506" spans="1:30" s="2612" customFormat="1" ht="31.5" x14ac:dyDescent="0.25">
      <c r="A506" s="2615"/>
      <c r="B506" s="2618" t="s">
        <v>2566</v>
      </c>
      <c r="C506" s="2619">
        <v>1</v>
      </c>
      <c r="D506" s="2602">
        <f t="shared" si="85"/>
        <v>200</v>
      </c>
      <c r="E506" s="2602"/>
      <c r="F506" s="2602">
        <v>0.2</v>
      </c>
      <c r="G506" s="2602"/>
      <c r="H506" s="2603">
        <f t="shared" si="86"/>
        <v>0.2</v>
      </c>
      <c r="I506" s="2619"/>
      <c r="J506" s="2602"/>
      <c r="K506" s="2602"/>
      <c r="L506" s="2602"/>
      <c r="M506" s="2602"/>
      <c r="N506" s="2603"/>
      <c r="O506" s="2619"/>
      <c r="P506" s="2602"/>
      <c r="Q506" s="2602"/>
      <c r="R506" s="2602"/>
      <c r="S506" s="2602"/>
      <c r="T506" s="2603"/>
      <c r="U506" s="2619"/>
      <c r="V506" s="2602"/>
      <c r="W506" s="2602"/>
      <c r="X506" s="2602"/>
      <c r="Y506" s="2603"/>
      <c r="Z506" s="2603">
        <f t="shared" si="87"/>
        <v>0</v>
      </c>
      <c r="AA506" s="2603">
        <f t="shared" si="84"/>
        <v>0</v>
      </c>
      <c r="AB506" s="2603"/>
      <c r="AC506" s="2603"/>
      <c r="AD506" s="2620"/>
    </row>
    <row r="507" spans="1:30" s="2612" customFormat="1" x14ac:dyDescent="0.25">
      <c r="A507" s="2615"/>
      <c r="B507" s="2618" t="s">
        <v>2567</v>
      </c>
      <c r="C507" s="2619">
        <v>2</v>
      </c>
      <c r="D507" s="2602">
        <f t="shared" si="85"/>
        <v>250</v>
      </c>
      <c r="E507" s="2602"/>
      <c r="F507" s="2602">
        <v>0.5</v>
      </c>
      <c r="G507" s="2602"/>
      <c r="H507" s="2603">
        <f t="shared" si="86"/>
        <v>0.5</v>
      </c>
      <c r="I507" s="2619"/>
      <c r="J507" s="2602"/>
      <c r="K507" s="2602"/>
      <c r="L507" s="2602"/>
      <c r="M507" s="2602"/>
      <c r="N507" s="2603"/>
      <c r="O507" s="2619"/>
      <c r="P507" s="2602"/>
      <c r="Q507" s="2602"/>
      <c r="R507" s="2602"/>
      <c r="S507" s="2602"/>
      <c r="T507" s="2603"/>
      <c r="U507" s="2619"/>
      <c r="V507" s="2602"/>
      <c r="W507" s="2602"/>
      <c r="X507" s="2602"/>
      <c r="Y507" s="2603"/>
      <c r="Z507" s="2603">
        <f t="shared" si="87"/>
        <v>0</v>
      </c>
      <c r="AA507" s="2603">
        <f t="shared" si="84"/>
        <v>0</v>
      </c>
      <c r="AB507" s="2603"/>
      <c r="AC507" s="2603"/>
      <c r="AD507" s="2620"/>
    </row>
    <row r="508" spans="1:30" s="2612" customFormat="1" x14ac:dyDescent="0.25">
      <c r="A508" s="2615"/>
      <c r="B508" s="2618" t="s">
        <v>2568</v>
      </c>
      <c r="C508" s="2619">
        <v>2</v>
      </c>
      <c r="D508" s="2602">
        <f t="shared" si="85"/>
        <v>50</v>
      </c>
      <c r="E508" s="2602"/>
      <c r="F508" s="2602">
        <v>0.1</v>
      </c>
      <c r="G508" s="2602"/>
      <c r="H508" s="2603">
        <f t="shared" si="86"/>
        <v>0.1</v>
      </c>
      <c r="I508" s="2619"/>
      <c r="J508" s="2602"/>
      <c r="K508" s="2602"/>
      <c r="L508" s="2602"/>
      <c r="M508" s="2602"/>
      <c r="N508" s="2603"/>
      <c r="O508" s="2619"/>
      <c r="P508" s="2602"/>
      <c r="Q508" s="2602"/>
      <c r="R508" s="2602"/>
      <c r="S508" s="2602"/>
      <c r="T508" s="2603"/>
      <c r="U508" s="2619"/>
      <c r="V508" s="2602"/>
      <c r="W508" s="2602"/>
      <c r="X508" s="2602"/>
      <c r="Y508" s="2603"/>
      <c r="Z508" s="2603">
        <f t="shared" si="87"/>
        <v>0</v>
      </c>
      <c r="AA508" s="2603">
        <f t="shared" si="84"/>
        <v>0</v>
      </c>
      <c r="AB508" s="2603"/>
      <c r="AC508" s="2603"/>
      <c r="AD508" s="2620"/>
    </row>
    <row r="509" spans="1:30" s="2612" customFormat="1" x14ac:dyDescent="0.25">
      <c r="A509" s="2615"/>
      <c r="B509" s="2618" t="s">
        <v>2569</v>
      </c>
      <c r="C509" s="2619">
        <v>20</v>
      </c>
      <c r="D509" s="2602">
        <f t="shared" si="85"/>
        <v>155</v>
      </c>
      <c r="E509" s="2602"/>
      <c r="F509" s="2602">
        <v>3.1</v>
      </c>
      <c r="G509" s="2602"/>
      <c r="H509" s="2603">
        <f t="shared" si="86"/>
        <v>3.1</v>
      </c>
      <c r="I509" s="2619"/>
      <c r="J509" s="2602"/>
      <c r="K509" s="2602"/>
      <c r="L509" s="2602"/>
      <c r="M509" s="2602"/>
      <c r="N509" s="2603"/>
      <c r="O509" s="2619"/>
      <c r="P509" s="2602"/>
      <c r="Q509" s="2602"/>
      <c r="R509" s="2602"/>
      <c r="S509" s="2602"/>
      <c r="T509" s="2603"/>
      <c r="U509" s="2619"/>
      <c r="V509" s="2602"/>
      <c r="W509" s="2602"/>
      <c r="X509" s="2602"/>
      <c r="Y509" s="2603"/>
      <c r="Z509" s="2603">
        <f t="shared" si="87"/>
        <v>0</v>
      </c>
      <c r="AA509" s="2603">
        <f t="shared" si="84"/>
        <v>0</v>
      </c>
      <c r="AB509" s="2603"/>
      <c r="AC509" s="2603"/>
      <c r="AD509" s="2620"/>
    </row>
    <row r="510" spans="1:30" s="2612" customFormat="1" ht="31.5" x14ac:dyDescent="0.25">
      <c r="A510" s="2615"/>
      <c r="B510" s="2618" t="s">
        <v>2570</v>
      </c>
      <c r="C510" s="2619">
        <v>6</v>
      </c>
      <c r="D510" s="2602">
        <f t="shared" si="85"/>
        <v>233.3</v>
      </c>
      <c r="E510" s="2602"/>
      <c r="F510" s="2602">
        <v>1.4</v>
      </c>
      <c r="G510" s="2602"/>
      <c r="H510" s="2603">
        <f t="shared" si="86"/>
        <v>1.4</v>
      </c>
      <c r="I510" s="2619"/>
      <c r="J510" s="2602"/>
      <c r="K510" s="2602"/>
      <c r="L510" s="2602"/>
      <c r="M510" s="2602"/>
      <c r="N510" s="2603"/>
      <c r="O510" s="2619"/>
      <c r="P510" s="2602"/>
      <c r="Q510" s="2602"/>
      <c r="R510" s="2602"/>
      <c r="S510" s="2602"/>
      <c r="T510" s="2603"/>
      <c r="U510" s="2619"/>
      <c r="V510" s="2602"/>
      <c r="W510" s="2602"/>
      <c r="X510" s="2602"/>
      <c r="Y510" s="2603"/>
      <c r="Z510" s="2603">
        <f t="shared" si="87"/>
        <v>0</v>
      </c>
      <c r="AA510" s="2603">
        <f t="shared" si="84"/>
        <v>0</v>
      </c>
      <c r="AB510" s="2603"/>
      <c r="AC510" s="2603"/>
      <c r="AD510" s="2620"/>
    </row>
    <row r="511" spans="1:30" s="2612" customFormat="1" x14ac:dyDescent="0.25">
      <c r="A511" s="2615"/>
      <c r="B511" s="2618" t="s">
        <v>2571</v>
      </c>
      <c r="C511" s="2619">
        <v>3</v>
      </c>
      <c r="D511" s="2602">
        <f t="shared" si="85"/>
        <v>133.30000000000001</v>
      </c>
      <c r="E511" s="2602"/>
      <c r="F511" s="2602">
        <v>0.4</v>
      </c>
      <c r="G511" s="2602"/>
      <c r="H511" s="2603">
        <f t="shared" si="86"/>
        <v>0.4</v>
      </c>
      <c r="I511" s="2619"/>
      <c r="J511" s="2602"/>
      <c r="K511" s="2602"/>
      <c r="L511" s="2602"/>
      <c r="M511" s="2602"/>
      <c r="N511" s="2603"/>
      <c r="O511" s="2619"/>
      <c r="P511" s="2602"/>
      <c r="Q511" s="2602"/>
      <c r="R511" s="2602"/>
      <c r="S511" s="2602"/>
      <c r="T511" s="2603"/>
      <c r="U511" s="2619"/>
      <c r="V511" s="2602"/>
      <c r="W511" s="2602"/>
      <c r="X511" s="2602"/>
      <c r="Y511" s="2603"/>
      <c r="Z511" s="2603">
        <f t="shared" si="87"/>
        <v>0</v>
      </c>
      <c r="AA511" s="2603">
        <f t="shared" si="84"/>
        <v>0</v>
      </c>
      <c r="AB511" s="2603"/>
      <c r="AC511" s="2603"/>
      <c r="AD511" s="2620"/>
    </row>
    <row r="512" spans="1:30" s="2612" customFormat="1" x14ac:dyDescent="0.25">
      <c r="A512" s="2615"/>
      <c r="B512" s="2618" t="s">
        <v>2572</v>
      </c>
      <c r="C512" s="2619">
        <v>5</v>
      </c>
      <c r="D512" s="2602">
        <f t="shared" si="85"/>
        <v>200</v>
      </c>
      <c r="E512" s="2602"/>
      <c r="F512" s="2602">
        <v>1</v>
      </c>
      <c r="G512" s="2602"/>
      <c r="H512" s="2603">
        <f t="shared" si="86"/>
        <v>1</v>
      </c>
      <c r="I512" s="2619"/>
      <c r="J512" s="2602"/>
      <c r="K512" s="2602"/>
      <c r="L512" s="2602"/>
      <c r="M512" s="2602"/>
      <c r="N512" s="2603"/>
      <c r="O512" s="2619"/>
      <c r="P512" s="2602"/>
      <c r="Q512" s="2602"/>
      <c r="R512" s="2602"/>
      <c r="S512" s="2602"/>
      <c r="T512" s="2603"/>
      <c r="U512" s="2619"/>
      <c r="V512" s="2602"/>
      <c r="W512" s="2602"/>
      <c r="X512" s="2602"/>
      <c r="Y512" s="2603"/>
      <c r="Z512" s="2603">
        <f t="shared" si="87"/>
        <v>0</v>
      </c>
      <c r="AA512" s="2603">
        <f t="shared" si="84"/>
        <v>0</v>
      </c>
      <c r="AB512" s="2603"/>
      <c r="AC512" s="2603"/>
      <c r="AD512" s="2620"/>
    </row>
    <row r="513" spans="1:30" s="2612" customFormat="1" ht="31.5" x14ac:dyDescent="0.25">
      <c r="A513" s="2615"/>
      <c r="B513" s="2618" t="s">
        <v>2573</v>
      </c>
      <c r="C513" s="2619">
        <v>2</v>
      </c>
      <c r="D513" s="2602">
        <f t="shared" si="85"/>
        <v>100</v>
      </c>
      <c r="E513" s="2602"/>
      <c r="F513" s="2602">
        <v>0.2</v>
      </c>
      <c r="G513" s="2602"/>
      <c r="H513" s="2603">
        <f t="shared" si="86"/>
        <v>0.2</v>
      </c>
      <c r="I513" s="2619"/>
      <c r="J513" s="2602"/>
      <c r="K513" s="2602"/>
      <c r="L513" s="2602"/>
      <c r="M513" s="2602"/>
      <c r="N513" s="2603"/>
      <c r="O513" s="2619"/>
      <c r="P513" s="2602"/>
      <c r="Q513" s="2602"/>
      <c r="R513" s="2602"/>
      <c r="S513" s="2602"/>
      <c r="T513" s="2603"/>
      <c r="U513" s="2619"/>
      <c r="V513" s="2602"/>
      <c r="W513" s="2602"/>
      <c r="X513" s="2602"/>
      <c r="Y513" s="2603"/>
      <c r="Z513" s="2603">
        <f t="shared" si="87"/>
        <v>0</v>
      </c>
      <c r="AA513" s="2603">
        <f t="shared" si="84"/>
        <v>0</v>
      </c>
      <c r="AB513" s="2603"/>
      <c r="AC513" s="2603"/>
      <c r="AD513" s="2620"/>
    </row>
    <row r="514" spans="1:30" s="2612" customFormat="1" x14ac:dyDescent="0.25">
      <c r="A514" s="2615"/>
      <c r="B514" s="2618" t="s">
        <v>2574</v>
      </c>
      <c r="C514" s="2619">
        <v>200</v>
      </c>
      <c r="D514" s="2602">
        <f t="shared" si="85"/>
        <v>0.5</v>
      </c>
      <c r="E514" s="2602"/>
      <c r="F514" s="2602">
        <v>0.1</v>
      </c>
      <c r="G514" s="2602"/>
      <c r="H514" s="2603">
        <f t="shared" si="86"/>
        <v>0.1</v>
      </c>
      <c r="I514" s="2619"/>
      <c r="J514" s="2602"/>
      <c r="K514" s="2602"/>
      <c r="L514" s="2602"/>
      <c r="M514" s="2602"/>
      <c r="N514" s="2603"/>
      <c r="O514" s="2619"/>
      <c r="P514" s="2602"/>
      <c r="Q514" s="2602"/>
      <c r="R514" s="2602"/>
      <c r="S514" s="2602"/>
      <c r="T514" s="2603"/>
      <c r="U514" s="2619"/>
      <c r="V514" s="2602"/>
      <c r="W514" s="2602"/>
      <c r="X514" s="2602"/>
      <c r="Y514" s="2603"/>
      <c r="Z514" s="2603">
        <f t="shared" si="87"/>
        <v>0</v>
      </c>
      <c r="AA514" s="2603">
        <f t="shared" si="84"/>
        <v>0</v>
      </c>
      <c r="AB514" s="2603"/>
      <c r="AC514" s="2603"/>
      <c r="AD514" s="2620"/>
    </row>
    <row r="515" spans="1:30" s="2612" customFormat="1" x14ac:dyDescent="0.25">
      <c r="A515" s="2615"/>
      <c r="B515" s="2618" t="s">
        <v>2574</v>
      </c>
      <c r="C515" s="2619">
        <v>200</v>
      </c>
      <c r="D515" s="2602">
        <f t="shared" si="85"/>
        <v>0.5</v>
      </c>
      <c r="E515" s="2602"/>
      <c r="F515" s="2602">
        <v>0.1</v>
      </c>
      <c r="G515" s="2602"/>
      <c r="H515" s="2603">
        <f t="shared" si="86"/>
        <v>0.1</v>
      </c>
      <c r="I515" s="2619"/>
      <c r="J515" s="2602"/>
      <c r="K515" s="2602"/>
      <c r="L515" s="2602"/>
      <c r="M515" s="2602"/>
      <c r="N515" s="2603"/>
      <c r="O515" s="2619"/>
      <c r="P515" s="2602"/>
      <c r="Q515" s="2602"/>
      <c r="R515" s="2602"/>
      <c r="S515" s="2602"/>
      <c r="T515" s="2603"/>
      <c r="U515" s="2619"/>
      <c r="V515" s="2602"/>
      <c r="W515" s="2602"/>
      <c r="X515" s="2602"/>
      <c r="Y515" s="2603"/>
      <c r="Z515" s="2603">
        <f t="shared" si="87"/>
        <v>0</v>
      </c>
      <c r="AA515" s="2603">
        <f t="shared" si="84"/>
        <v>0</v>
      </c>
      <c r="AB515" s="2603"/>
      <c r="AC515" s="2603"/>
      <c r="AD515" s="2620"/>
    </row>
    <row r="516" spans="1:30" s="2612" customFormat="1" x14ac:dyDescent="0.25">
      <c r="A516" s="2615"/>
      <c r="B516" s="2618" t="s">
        <v>2574</v>
      </c>
      <c r="C516" s="2619">
        <v>5</v>
      </c>
      <c r="D516" s="2602">
        <f t="shared" si="85"/>
        <v>0</v>
      </c>
      <c r="E516" s="2602"/>
      <c r="F516" s="2602">
        <v>0</v>
      </c>
      <c r="G516" s="2602"/>
      <c r="H516" s="2603">
        <f t="shared" si="86"/>
        <v>0</v>
      </c>
      <c r="I516" s="2619"/>
      <c r="J516" s="2602"/>
      <c r="K516" s="2602"/>
      <c r="L516" s="2602"/>
      <c r="M516" s="2602"/>
      <c r="N516" s="2603"/>
      <c r="O516" s="2619"/>
      <c r="P516" s="2602"/>
      <c r="Q516" s="2602"/>
      <c r="R516" s="2602"/>
      <c r="S516" s="2602"/>
      <c r="T516" s="2603"/>
      <c r="U516" s="2619"/>
      <c r="V516" s="2602"/>
      <c r="W516" s="2602"/>
      <c r="X516" s="2602"/>
      <c r="Y516" s="2603"/>
      <c r="Z516" s="2603">
        <f t="shared" si="87"/>
        <v>0</v>
      </c>
      <c r="AA516" s="2603">
        <f t="shared" si="84"/>
        <v>0</v>
      </c>
      <c r="AB516" s="2603"/>
      <c r="AC516" s="2603"/>
      <c r="AD516" s="2620"/>
    </row>
    <row r="517" spans="1:30" s="2612" customFormat="1" x14ac:dyDescent="0.25">
      <c r="A517" s="2615"/>
      <c r="B517" s="2618" t="s">
        <v>2204</v>
      </c>
      <c r="C517" s="2619">
        <v>1</v>
      </c>
      <c r="D517" s="2602">
        <f t="shared" si="85"/>
        <v>400</v>
      </c>
      <c r="E517" s="2602"/>
      <c r="F517" s="2602">
        <v>0.4</v>
      </c>
      <c r="G517" s="2602"/>
      <c r="H517" s="2603">
        <f t="shared" si="86"/>
        <v>0.4</v>
      </c>
      <c r="I517" s="2619"/>
      <c r="J517" s="2602"/>
      <c r="K517" s="2602"/>
      <c r="L517" s="2602"/>
      <c r="M517" s="2602"/>
      <c r="N517" s="2603"/>
      <c r="O517" s="2619"/>
      <c r="P517" s="2602"/>
      <c r="Q517" s="2602"/>
      <c r="R517" s="2602"/>
      <c r="S517" s="2602"/>
      <c r="T517" s="2603"/>
      <c r="U517" s="2619"/>
      <c r="V517" s="2602"/>
      <c r="W517" s="2602"/>
      <c r="X517" s="2602"/>
      <c r="Y517" s="2603"/>
      <c r="Z517" s="2603">
        <f t="shared" si="87"/>
        <v>0</v>
      </c>
      <c r="AA517" s="2603">
        <f t="shared" si="84"/>
        <v>0</v>
      </c>
      <c r="AB517" s="2603"/>
      <c r="AC517" s="2603"/>
      <c r="AD517" s="2620"/>
    </row>
    <row r="518" spans="1:30" s="2612" customFormat="1" ht="31.5" x14ac:dyDescent="0.25">
      <c r="A518" s="2615"/>
      <c r="B518" s="2618" t="s">
        <v>2575</v>
      </c>
      <c r="C518" s="2619">
        <v>1</v>
      </c>
      <c r="D518" s="2602">
        <f t="shared" si="85"/>
        <v>700</v>
      </c>
      <c r="E518" s="2602"/>
      <c r="F518" s="2602">
        <v>0.7</v>
      </c>
      <c r="G518" s="2602"/>
      <c r="H518" s="2603">
        <f t="shared" si="86"/>
        <v>0.7</v>
      </c>
      <c r="I518" s="2619"/>
      <c r="J518" s="2602"/>
      <c r="K518" s="2602"/>
      <c r="L518" s="2602"/>
      <c r="M518" s="2602"/>
      <c r="N518" s="2603"/>
      <c r="O518" s="2619"/>
      <c r="P518" s="2602"/>
      <c r="Q518" s="2602"/>
      <c r="R518" s="2602"/>
      <c r="S518" s="2602"/>
      <c r="T518" s="2603"/>
      <c r="U518" s="2619"/>
      <c r="V518" s="2602"/>
      <c r="W518" s="2602"/>
      <c r="X518" s="2602"/>
      <c r="Y518" s="2603"/>
      <c r="Z518" s="2603">
        <f t="shared" si="87"/>
        <v>0</v>
      </c>
      <c r="AA518" s="2603">
        <f t="shared" si="84"/>
        <v>0</v>
      </c>
      <c r="AB518" s="2603"/>
      <c r="AC518" s="2603"/>
      <c r="AD518" s="2620"/>
    </row>
    <row r="519" spans="1:30" s="2612" customFormat="1" x14ac:dyDescent="0.25">
      <c r="A519" s="2615"/>
      <c r="B519" s="2618" t="s">
        <v>2576</v>
      </c>
      <c r="C519" s="2619">
        <v>2</v>
      </c>
      <c r="D519" s="2602">
        <f t="shared" si="85"/>
        <v>0</v>
      </c>
      <c r="E519" s="2602"/>
      <c r="F519" s="2602">
        <v>0</v>
      </c>
      <c r="G519" s="2602"/>
      <c r="H519" s="2603">
        <f t="shared" si="86"/>
        <v>0</v>
      </c>
      <c r="I519" s="2619"/>
      <c r="J519" s="2602"/>
      <c r="K519" s="2602"/>
      <c r="L519" s="2602"/>
      <c r="M519" s="2602"/>
      <c r="N519" s="2603"/>
      <c r="O519" s="2619"/>
      <c r="P519" s="2602"/>
      <c r="Q519" s="2602"/>
      <c r="R519" s="2602"/>
      <c r="S519" s="2602"/>
      <c r="T519" s="2603"/>
      <c r="U519" s="2619"/>
      <c r="V519" s="2602"/>
      <c r="W519" s="2602"/>
      <c r="X519" s="2602"/>
      <c r="Y519" s="2603"/>
      <c r="Z519" s="2603">
        <f t="shared" si="87"/>
        <v>0</v>
      </c>
      <c r="AA519" s="2603">
        <f t="shared" si="84"/>
        <v>0</v>
      </c>
      <c r="AB519" s="2603"/>
      <c r="AC519" s="2603"/>
      <c r="AD519" s="2620"/>
    </row>
    <row r="520" spans="1:30" s="2612" customFormat="1" x14ac:dyDescent="0.25">
      <c r="A520" s="2615"/>
      <c r="B520" s="2618" t="s">
        <v>2577</v>
      </c>
      <c r="C520" s="2619">
        <v>2</v>
      </c>
      <c r="D520" s="2602">
        <f t="shared" si="85"/>
        <v>0</v>
      </c>
      <c r="E520" s="2602"/>
      <c r="F520" s="2602">
        <v>0</v>
      </c>
      <c r="G520" s="2602"/>
      <c r="H520" s="2603">
        <f t="shared" si="86"/>
        <v>0</v>
      </c>
      <c r="I520" s="2619"/>
      <c r="J520" s="2602"/>
      <c r="K520" s="2602"/>
      <c r="L520" s="2602"/>
      <c r="M520" s="2602"/>
      <c r="N520" s="2603"/>
      <c r="O520" s="2619"/>
      <c r="P520" s="2602"/>
      <c r="Q520" s="2602"/>
      <c r="R520" s="2602"/>
      <c r="S520" s="2602"/>
      <c r="T520" s="2603"/>
      <c r="U520" s="2619"/>
      <c r="V520" s="2602"/>
      <c r="W520" s="2602"/>
      <c r="X520" s="2602"/>
      <c r="Y520" s="2603"/>
      <c r="Z520" s="2603">
        <f t="shared" si="87"/>
        <v>0</v>
      </c>
      <c r="AA520" s="2603">
        <f t="shared" si="84"/>
        <v>0</v>
      </c>
      <c r="AB520" s="2603"/>
      <c r="AC520" s="2603"/>
      <c r="AD520" s="2620"/>
    </row>
    <row r="521" spans="1:30" s="2612" customFormat="1" ht="31.5" x14ac:dyDescent="0.25">
      <c r="A521" s="2615"/>
      <c r="B521" s="2618" t="s">
        <v>2578</v>
      </c>
      <c r="C521" s="2619">
        <v>200</v>
      </c>
      <c r="D521" s="2602">
        <f t="shared" si="85"/>
        <v>1</v>
      </c>
      <c r="E521" s="2602"/>
      <c r="F521" s="2602">
        <v>0.2</v>
      </c>
      <c r="G521" s="2602"/>
      <c r="H521" s="2603">
        <f t="shared" si="86"/>
        <v>0.2</v>
      </c>
      <c r="I521" s="2619"/>
      <c r="J521" s="2602"/>
      <c r="K521" s="2602"/>
      <c r="L521" s="2602"/>
      <c r="M521" s="2602"/>
      <c r="N521" s="2603"/>
      <c r="O521" s="2619"/>
      <c r="P521" s="2602"/>
      <c r="Q521" s="2602"/>
      <c r="R521" s="2602"/>
      <c r="S521" s="2602"/>
      <c r="T521" s="2603"/>
      <c r="U521" s="2619"/>
      <c r="V521" s="2602"/>
      <c r="W521" s="2602"/>
      <c r="X521" s="2602"/>
      <c r="Y521" s="2603"/>
      <c r="Z521" s="2603">
        <f t="shared" si="87"/>
        <v>0</v>
      </c>
      <c r="AA521" s="2603">
        <f t="shared" si="84"/>
        <v>0</v>
      </c>
      <c r="AB521" s="2603"/>
      <c r="AC521" s="2603"/>
      <c r="AD521" s="2620"/>
    </row>
    <row r="522" spans="1:30" s="2612" customFormat="1" ht="31.5" x14ac:dyDescent="0.25">
      <c r="A522" s="2615"/>
      <c r="B522" s="2618" t="s">
        <v>2579</v>
      </c>
      <c r="C522" s="2619">
        <v>170</v>
      </c>
      <c r="D522" s="2602">
        <f t="shared" si="85"/>
        <v>0.6</v>
      </c>
      <c r="E522" s="2602"/>
      <c r="F522" s="2602">
        <v>0.1</v>
      </c>
      <c r="G522" s="2602"/>
      <c r="H522" s="2603">
        <f t="shared" si="86"/>
        <v>0.1</v>
      </c>
      <c r="I522" s="2619"/>
      <c r="J522" s="2602"/>
      <c r="K522" s="2602"/>
      <c r="L522" s="2602"/>
      <c r="M522" s="2602"/>
      <c r="N522" s="2603"/>
      <c r="O522" s="2619"/>
      <c r="P522" s="2602"/>
      <c r="Q522" s="2602"/>
      <c r="R522" s="2602"/>
      <c r="S522" s="2602"/>
      <c r="T522" s="2603"/>
      <c r="U522" s="2619"/>
      <c r="V522" s="2602"/>
      <c r="W522" s="2602"/>
      <c r="X522" s="2602"/>
      <c r="Y522" s="2603"/>
      <c r="Z522" s="2603">
        <f t="shared" si="87"/>
        <v>0</v>
      </c>
      <c r="AA522" s="2603">
        <f t="shared" si="84"/>
        <v>0</v>
      </c>
      <c r="AB522" s="2603"/>
      <c r="AC522" s="2603"/>
      <c r="AD522" s="2620"/>
    </row>
    <row r="523" spans="1:30" s="2612" customFormat="1" ht="31.5" x14ac:dyDescent="0.25">
      <c r="A523" s="2615"/>
      <c r="B523" s="2618" t="s">
        <v>2580</v>
      </c>
      <c r="C523" s="2619">
        <v>1</v>
      </c>
      <c r="D523" s="2602">
        <f t="shared" si="85"/>
        <v>200</v>
      </c>
      <c r="E523" s="2602"/>
      <c r="F523" s="2602">
        <v>0.2</v>
      </c>
      <c r="G523" s="2602"/>
      <c r="H523" s="2603">
        <f t="shared" si="86"/>
        <v>0.2</v>
      </c>
      <c r="I523" s="2619"/>
      <c r="J523" s="2602"/>
      <c r="K523" s="2602"/>
      <c r="L523" s="2602"/>
      <c r="M523" s="2602"/>
      <c r="N523" s="2603"/>
      <c r="O523" s="2619"/>
      <c r="P523" s="2602"/>
      <c r="Q523" s="2602"/>
      <c r="R523" s="2602"/>
      <c r="S523" s="2602"/>
      <c r="T523" s="2603"/>
      <c r="U523" s="2619"/>
      <c r="V523" s="2602"/>
      <c r="W523" s="2602"/>
      <c r="X523" s="2602"/>
      <c r="Y523" s="2603"/>
      <c r="Z523" s="2603">
        <f t="shared" si="87"/>
        <v>0</v>
      </c>
      <c r="AA523" s="2603">
        <f t="shared" si="84"/>
        <v>0</v>
      </c>
      <c r="AB523" s="2603"/>
      <c r="AC523" s="2603"/>
      <c r="AD523" s="2620"/>
    </row>
    <row r="524" spans="1:30" s="2612" customFormat="1" ht="31.5" x14ac:dyDescent="0.25">
      <c r="A524" s="2615"/>
      <c r="B524" s="2618" t="s">
        <v>2581</v>
      </c>
      <c r="C524" s="2619">
        <v>1</v>
      </c>
      <c r="D524" s="2602">
        <f t="shared" si="85"/>
        <v>700</v>
      </c>
      <c r="E524" s="2602"/>
      <c r="F524" s="2602">
        <v>0.7</v>
      </c>
      <c r="G524" s="2602"/>
      <c r="H524" s="2603">
        <f t="shared" si="86"/>
        <v>0.7</v>
      </c>
      <c r="I524" s="2619"/>
      <c r="J524" s="2602"/>
      <c r="K524" s="2602"/>
      <c r="L524" s="2602"/>
      <c r="M524" s="2602"/>
      <c r="N524" s="2603"/>
      <c r="O524" s="2619"/>
      <c r="P524" s="2602"/>
      <c r="Q524" s="2602"/>
      <c r="R524" s="2602"/>
      <c r="S524" s="2602"/>
      <c r="T524" s="2603"/>
      <c r="U524" s="2619"/>
      <c r="V524" s="2602"/>
      <c r="W524" s="2602"/>
      <c r="X524" s="2602"/>
      <c r="Y524" s="2603"/>
      <c r="Z524" s="2603">
        <f t="shared" si="87"/>
        <v>0</v>
      </c>
      <c r="AA524" s="2603">
        <f t="shared" si="84"/>
        <v>0</v>
      </c>
      <c r="AB524" s="2603"/>
      <c r="AC524" s="2603"/>
      <c r="AD524" s="2620"/>
    </row>
    <row r="525" spans="1:30" s="2612" customFormat="1" ht="31.5" x14ac:dyDescent="0.25">
      <c r="A525" s="2615"/>
      <c r="B525" s="2618" t="s">
        <v>2582</v>
      </c>
      <c r="C525" s="2619">
        <v>2</v>
      </c>
      <c r="D525" s="2602">
        <f t="shared" si="85"/>
        <v>150</v>
      </c>
      <c r="E525" s="2602"/>
      <c r="F525" s="2602">
        <v>0.3</v>
      </c>
      <c r="G525" s="2602"/>
      <c r="H525" s="2603">
        <f t="shared" si="86"/>
        <v>0.3</v>
      </c>
      <c r="I525" s="2619"/>
      <c r="J525" s="2602"/>
      <c r="K525" s="2602"/>
      <c r="L525" s="2602"/>
      <c r="M525" s="2602"/>
      <c r="N525" s="2603"/>
      <c r="O525" s="2619"/>
      <c r="P525" s="2602"/>
      <c r="Q525" s="2602"/>
      <c r="R525" s="2602"/>
      <c r="S525" s="2602"/>
      <c r="T525" s="2603"/>
      <c r="U525" s="2619"/>
      <c r="V525" s="2602"/>
      <c r="W525" s="2602"/>
      <c r="X525" s="2602"/>
      <c r="Y525" s="2603"/>
      <c r="Z525" s="2603">
        <f t="shared" si="87"/>
        <v>0</v>
      </c>
      <c r="AA525" s="2603">
        <f t="shared" si="84"/>
        <v>0</v>
      </c>
      <c r="AB525" s="2603"/>
      <c r="AC525" s="2603"/>
      <c r="AD525" s="2620"/>
    </row>
    <row r="526" spans="1:30" s="2612" customFormat="1" x14ac:dyDescent="0.25">
      <c r="A526" s="2615"/>
      <c r="B526" s="2618" t="s">
        <v>2583</v>
      </c>
      <c r="C526" s="2619">
        <v>9</v>
      </c>
      <c r="D526" s="2602">
        <f t="shared" si="85"/>
        <v>133.30000000000001</v>
      </c>
      <c r="E526" s="2602"/>
      <c r="F526" s="2602">
        <v>1.2</v>
      </c>
      <c r="G526" s="2602"/>
      <c r="H526" s="2603">
        <f t="shared" si="86"/>
        <v>1.2</v>
      </c>
      <c r="I526" s="2619"/>
      <c r="J526" s="2602"/>
      <c r="K526" s="2602"/>
      <c r="L526" s="2602"/>
      <c r="M526" s="2602"/>
      <c r="N526" s="2603"/>
      <c r="O526" s="2619"/>
      <c r="P526" s="2602"/>
      <c r="Q526" s="2602"/>
      <c r="R526" s="2602"/>
      <c r="S526" s="2602"/>
      <c r="T526" s="2603"/>
      <c r="U526" s="2619"/>
      <c r="V526" s="2602"/>
      <c r="W526" s="2602"/>
      <c r="X526" s="2602"/>
      <c r="Y526" s="2603"/>
      <c r="Z526" s="2603">
        <f t="shared" si="87"/>
        <v>0</v>
      </c>
      <c r="AA526" s="2603">
        <f t="shared" si="84"/>
        <v>0</v>
      </c>
      <c r="AB526" s="2603"/>
      <c r="AC526" s="2603"/>
      <c r="AD526" s="2620"/>
    </row>
    <row r="527" spans="1:30" s="2612" customFormat="1" x14ac:dyDescent="0.25">
      <c r="A527" s="2615"/>
      <c r="B527" s="2618" t="s">
        <v>2225</v>
      </c>
      <c r="C527" s="2619">
        <v>1</v>
      </c>
      <c r="D527" s="2602">
        <f t="shared" si="85"/>
        <v>300</v>
      </c>
      <c r="E527" s="2602"/>
      <c r="F527" s="2602">
        <v>0.3</v>
      </c>
      <c r="G527" s="2602"/>
      <c r="H527" s="2603">
        <f t="shared" si="86"/>
        <v>0.3</v>
      </c>
      <c r="I527" s="2619"/>
      <c r="J527" s="2602"/>
      <c r="K527" s="2602"/>
      <c r="L527" s="2602"/>
      <c r="M527" s="2602"/>
      <c r="N527" s="2603"/>
      <c r="O527" s="2619"/>
      <c r="P527" s="2602"/>
      <c r="Q527" s="2602"/>
      <c r="R527" s="2602"/>
      <c r="S527" s="2602"/>
      <c r="T527" s="2603"/>
      <c r="U527" s="2619"/>
      <c r="V527" s="2602"/>
      <c r="W527" s="2602"/>
      <c r="X527" s="2602"/>
      <c r="Y527" s="2603"/>
      <c r="Z527" s="2603">
        <f t="shared" si="87"/>
        <v>0</v>
      </c>
      <c r="AA527" s="2603">
        <f t="shared" si="84"/>
        <v>0</v>
      </c>
      <c r="AB527" s="2603"/>
      <c r="AC527" s="2603"/>
      <c r="AD527" s="2620"/>
    </row>
    <row r="528" spans="1:30" s="2612" customFormat="1" x14ac:dyDescent="0.25">
      <c r="A528" s="2615"/>
      <c r="B528" s="2618" t="s">
        <v>2225</v>
      </c>
      <c r="C528" s="2619">
        <v>1</v>
      </c>
      <c r="D528" s="2602">
        <f t="shared" si="85"/>
        <v>900</v>
      </c>
      <c r="E528" s="2602"/>
      <c r="F528" s="2602">
        <v>0.9</v>
      </c>
      <c r="G528" s="2602"/>
      <c r="H528" s="2603">
        <f t="shared" si="86"/>
        <v>0.9</v>
      </c>
      <c r="I528" s="2619"/>
      <c r="J528" s="2602"/>
      <c r="K528" s="2602"/>
      <c r="L528" s="2602"/>
      <c r="M528" s="2602"/>
      <c r="N528" s="2603"/>
      <c r="O528" s="2619"/>
      <c r="P528" s="2602"/>
      <c r="Q528" s="2602"/>
      <c r="R528" s="2602"/>
      <c r="S528" s="2602"/>
      <c r="T528" s="2603"/>
      <c r="U528" s="2619"/>
      <c r="V528" s="2602"/>
      <c r="W528" s="2602"/>
      <c r="X528" s="2602"/>
      <c r="Y528" s="2603"/>
      <c r="Z528" s="2603">
        <f t="shared" si="87"/>
        <v>0</v>
      </c>
      <c r="AA528" s="2603">
        <f t="shared" si="84"/>
        <v>0</v>
      </c>
      <c r="AB528" s="2603"/>
      <c r="AC528" s="2603"/>
      <c r="AD528" s="2620"/>
    </row>
    <row r="529" spans="1:30" s="2612" customFormat="1" x14ac:dyDescent="0.25">
      <c r="A529" s="2615"/>
      <c r="B529" s="2618" t="s">
        <v>2584</v>
      </c>
      <c r="C529" s="2619">
        <v>1</v>
      </c>
      <c r="D529" s="2602">
        <f t="shared" si="85"/>
        <v>300</v>
      </c>
      <c r="E529" s="2602"/>
      <c r="F529" s="2602">
        <v>0.3</v>
      </c>
      <c r="G529" s="2602"/>
      <c r="H529" s="2603">
        <f t="shared" si="86"/>
        <v>0.3</v>
      </c>
      <c r="I529" s="2619"/>
      <c r="J529" s="2602"/>
      <c r="K529" s="2602"/>
      <c r="L529" s="2602"/>
      <c r="M529" s="2602"/>
      <c r="N529" s="2603"/>
      <c r="O529" s="2619"/>
      <c r="P529" s="2602"/>
      <c r="Q529" s="2602"/>
      <c r="R529" s="2602"/>
      <c r="S529" s="2602"/>
      <c r="T529" s="2603"/>
      <c r="U529" s="2619"/>
      <c r="V529" s="2602"/>
      <c r="W529" s="2602"/>
      <c r="X529" s="2602"/>
      <c r="Y529" s="2603"/>
      <c r="Z529" s="2603">
        <f t="shared" si="87"/>
        <v>0</v>
      </c>
      <c r="AA529" s="2603">
        <f t="shared" ref="AA529:AA577" si="88">IFERROR(W529/K529*100,0)</f>
        <v>0</v>
      </c>
      <c r="AB529" s="2603"/>
      <c r="AC529" s="2603"/>
      <c r="AD529" s="2620"/>
    </row>
    <row r="530" spans="1:30" s="2612" customFormat="1" x14ac:dyDescent="0.25">
      <c r="A530" s="2615"/>
      <c r="B530" s="2618" t="s">
        <v>2585</v>
      </c>
      <c r="C530" s="2619">
        <v>1</v>
      </c>
      <c r="D530" s="2602">
        <f t="shared" si="85"/>
        <v>200</v>
      </c>
      <c r="E530" s="2602"/>
      <c r="F530" s="2602">
        <v>0.2</v>
      </c>
      <c r="G530" s="2602"/>
      <c r="H530" s="2603">
        <f t="shared" si="86"/>
        <v>0.2</v>
      </c>
      <c r="I530" s="2619"/>
      <c r="J530" s="2602"/>
      <c r="K530" s="2602"/>
      <c r="L530" s="2602"/>
      <c r="M530" s="2602"/>
      <c r="N530" s="2603"/>
      <c r="O530" s="2619"/>
      <c r="P530" s="2602"/>
      <c r="Q530" s="2602"/>
      <c r="R530" s="2602"/>
      <c r="S530" s="2602"/>
      <c r="T530" s="2603"/>
      <c r="U530" s="2619"/>
      <c r="V530" s="2602"/>
      <c r="W530" s="2602"/>
      <c r="X530" s="2602"/>
      <c r="Y530" s="2603"/>
      <c r="Z530" s="2603">
        <f t="shared" si="87"/>
        <v>0</v>
      </c>
      <c r="AA530" s="2603">
        <f t="shared" si="88"/>
        <v>0</v>
      </c>
      <c r="AB530" s="2603"/>
      <c r="AC530" s="2603"/>
      <c r="AD530" s="2620"/>
    </row>
    <row r="531" spans="1:30" s="2612" customFormat="1" x14ac:dyDescent="0.25">
      <c r="A531" s="2615"/>
      <c r="B531" s="2618" t="s">
        <v>2586</v>
      </c>
      <c r="C531" s="2619">
        <v>1</v>
      </c>
      <c r="D531" s="2602">
        <f t="shared" si="85"/>
        <v>2300</v>
      </c>
      <c r="E531" s="2602"/>
      <c r="F531" s="2602">
        <v>2.2999999999999998</v>
      </c>
      <c r="G531" s="2602"/>
      <c r="H531" s="2603">
        <f t="shared" si="86"/>
        <v>2.2999999999999998</v>
      </c>
      <c r="I531" s="2619"/>
      <c r="J531" s="2602"/>
      <c r="K531" s="2602"/>
      <c r="L531" s="2602"/>
      <c r="M531" s="2602"/>
      <c r="N531" s="2603"/>
      <c r="O531" s="2619"/>
      <c r="P531" s="2602"/>
      <c r="Q531" s="2602"/>
      <c r="R531" s="2602"/>
      <c r="S531" s="2602"/>
      <c r="T531" s="2603"/>
      <c r="U531" s="2619"/>
      <c r="V531" s="2602"/>
      <c r="W531" s="2602"/>
      <c r="X531" s="2602"/>
      <c r="Y531" s="2603"/>
      <c r="Z531" s="2603">
        <f t="shared" si="87"/>
        <v>0</v>
      </c>
      <c r="AA531" s="2603">
        <f t="shared" si="88"/>
        <v>0</v>
      </c>
      <c r="AB531" s="2603"/>
      <c r="AC531" s="2603"/>
      <c r="AD531" s="2620"/>
    </row>
    <row r="532" spans="1:30" s="2612" customFormat="1" ht="31.5" x14ac:dyDescent="0.25">
      <c r="A532" s="2615"/>
      <c r="B532" s="2618" t="s">
        <v>2587</v>
      </c>
      <c r="C532" s="2619">
        <v>2</v>
      </c>
      <c r="D532" s="2602">
        <f t="shared" si="85"/>
        <v>300</v>
      </c>
      <c r="E532" s="2602"/>
      <c r="F532" s="2602">
        <v>0.6</v>
      </c>
      <c r="G532" s="2602"/>
      <c r="H532" s="2603">
        <f t="shared" si="86"/>
        <v>0.6</v>
      </c>
      <c r="I532" s="2619"/>
      <c r="J532" s="2602"/>
      <c r="K532" s="2602"/>
      <c r="L532" s="2602"/>
      <c r="M532" s="2602"/>
      <c r="N532" s="2603"/>
      <c r="O532" s="2619"/>
      <c r="P532" s="2602"/>
      <c r="Q532" s="2602"/>
      <c r="R532" s="2602"/>
      <c r="S532" s="2602"/>
      <c r="T532" s="2603"/>
      <c r="U532" s="2619"/>
      <c r="V532" s="2602"/>
      <c r="W532" s="2602"/>
      <c r="X532" s="2602"/>
      <c r="Y532" s="2603"/>
      <c r="Z532" s="2603">
        <f t="shared" si="87"/>
        <v>0</v>
      </c>
      <c r="AA532" s="2603">
        <f t="shared" si="88"/>
        <v>0</v>
      </c>
      <c r="AB532" s="2603"/>
      <c r="AC532" s="2603"/>
      <c r="AD532" s="2620"/>
    </row>
    <row r="533" spans="1:30" s="2612" customFormat="1" x14ac:dyDescent="0.25">
      <c r="A533" s="2615"/>
      <c r="B533" s="2618" t="s">
        <v>2588</v>
      </c>
      <c r="C533" s="2619">
        <v>1</v>
      </c>
      <c r="D533" s="2602">
        <f t="shared" si="85"/>
        <v>0</v>
      </c>
      <c r="E533" s="2602"/>
      <c r="F533" s="2602">
        <v>0</v>
      </c>
      <c r="G533" s="2602"/>
      <c r="H533" s="2603">
        <f t="shared" si="86"/>
        <v>0</v>
      </c>
      <c r="I533" s="2619"/>
      <c r="J533" s="2602"/>
      <c r="K533" s="2602"/>
      <c r="L533" s="2602"/>
      <c r="M533" s="2602"/>
      <c r="N533" s="2603"/>
      <c r="O533" s="2619"/>
      <c r="P533" s="2602"/>
      <c r="Q533" s="2602"/>
      <c r="R533" s="2602"/>
      <c r="S533" s="2602"/>
      <c r="T533" s="2603"/>
      <c r="U533" s="2619"/>
      <c r="V533" s="2602"/>
      <c r="W533" s="2602"/>
      <c r="X533" s="2602"/>
      <c r="Y533" s="2603"/>
      <c r="Z533" s="2603">
        <f t="shared" si="87"/>
        <v>0</v>
      </c>
      <c r="AA533" s="2603">
        <f t="shared" si="88"/>
        <v>0</v>
      </c>
      <c r="AB533" s="2603"/>
      <c r="AC533" s="2603"/>
      <c r="AD533" s="2620"/>
    </row>
    <row r="534" spans="1:30" s="2612" customFormat="1" ht="31.5" x14ac:dyDescent="0.25">
      <c r="A534" s="2615"/>
      <c r="B534" s="2618" t="s">
        <v>2589</v>
      </c>
      <c r="C534" s="2619">
        <v>2</v>
      </c>
      <c r="D534" s="2602">
        <f t="shared" si="85"/>
        <v>50</v>
      </c>
      <c r="E534" s="2602"/>
      <c r="F534" s="2602">
        <v>0.1</v>
      </c>
      <c r="G534" s="2602"/>
      <c r="H534" s="2603">
        <f t="shared" si="86"/>
        <v>0.1</v>
      </c>
      <c r="I534" s="2619"/>
      <c r="J534" s="2602"/>
      <c r="K534" s="2602"/>
      <c r="L534" s="2602"/>
      <c r="M534" s="2602"/>
      <c r="N534" s="2603"/>
      <c r="O534" s="2619"/>
      <c r="P534" s="2602"/>
      <c r="Q534" s="2602"/>
      <c r="R534" s="2602"/>
      <c r="S534" s="2602"/>
      <c r="T534" s="2603"/>
      <c r="U534" s="2619"/>
      <c r="V534" s="2602"/>
      <c r="W534" s="2602"/>
      <c r="X534" s="2602"/>
      <c r="Y534" s="2603"/>
      <c r="Z534" s="2603">
        <f t="shared" si="87"/>
        <v>0</v>
      </c>
      <c r="AA534" s="2603">
        <f t="shared" si="88"/>
        <v>0</v>
      </c>
      <c r="AB534" s="2603"/>
      <c r="AC534" s="2603"/>
      <c r="AD534" s="2620"/>
    </row>
    <row r="535" spans="1:30" s="2612" customFormat="1" x14ac:dyDescent="0.25">
      <c r="A535" s="2615"/>
      <c r="B535" s="2618" t="s">
        <v>2590</v>
      </c>
      <c r="C535" s="2619">
        <v>4</v>
      </c>
      <c r="D535" s="2602">
        <f t="shared" si="85"/>
        <v>475</v>
      </c>
      <c r="E535" s="2602"/>
      <c r="F535" s="2602">
        <v>1.9</v>
      </c>
      <c r="G535" s="2602"/>
      <c r="H535" s="2603">
        <f t="shared" si="86"/>
        <v>1.9</v>
      </c>
      <c r="I535" s="2619"/>
      <c r="J535" s="2602"/>
      <c r="K535" s="2602"/>
      <c r="L535" s="2602"/>
      <c r="M535" s="2602"/>
      <c r="N535" s="2603"/>
      <c r="O535" s="2619"/>
      <c r="P535" s="2602"/>
      <c r="Q535" s="2602"/>
      <c r="R535" s="2602"/>
      <c r="S535" s="2602"/>
      <c r="T535" s="2603"/>
      <c r="U535" s="2619"/>
      <c r="V535" s="2602"/>
      <c r="W535" s="2602"/>
      <c r="X535" s="2602"/>
      <c r="Y535" s="2603"/>
      <c r="Z535" s="2603">
        <f t="shared" si="87"/>
        <v>0</v>
      </c>
      <c r="AA535" s="2603">
        <f t="shared" si="88"/>
        <v>0</v>
      </c>
      <c r="AB535" s="2603"/>
      <c r="AC535" s="2603"/>
      <c r="AD535" s="2620"/>
    </row>
    <row r="536" spans="1:30" s="2612" customFormat="1" ht="31.5" x14ac:dyDescent="0.25">
      <c r="A536" s="2615"/>
      <c r="B536" s="2618" t="s">
        <v>2591</v>
      </c>
      <c r="C536" s="2619">
        <v>2</v>
      </c>
      <c r="D536" s="2602">
        <f t="shared" si="85"/>
        <v>50</v>
      </c>
      <c r="E536" s="2602"/>
      <c r="F536" s="2602">
        <v>0.1</v>
      </c>
      <c r="G536" s="2602"/>
      <c r="H536" s="2603">
        <f t="shared" si="86"/>
        <v>0.1</v>
      </c>
      <c r="I536" s="2619"/>
      <c r="J536" s="2602"/>
      <c r="K536" s="2602"/>
      <c r="L536" s="2602"/>
      <c r="M536" s="2602"/>
      <c r="N536" s="2603"/>
      <c r="O536" s="2619"/>
      <c r="P536" s="2602"/>
      <c r="Q536" s="2602"/>
      <c r="R536" s="2602"/>
      <c r="S536" s="2602"/>
      <c r="T536" s="2603"/>
      <c r="U536" s="2619"/>
      <c r="V536" s="2602"/>
      <c r="W536" s="2602"/>
      <c r="X536" s="2602"/>
      <c r="Y536" s="2603"/>
      <c r="Z536" s="2603">
        <f t="shared" si="87"/>
        <v>0</v>
      </c>
      <c r="AA536" s="2603">
        <f t="shared" si="88"/>
        <v>0</v>
      </c>
      <c r="AB536" s="2603"/>
      <c r="AC536" s="2603"/>
      <c r="AD536" s="2620"/>
    </row>
    <row r="537" spans="1:30" s="2612" customFormat="1" ht="31.5" x14ac:dyDescent="0.25">
      <c r="A537" s="2615"/>
      <c r="B537" s="2618" t="s">
        <v>2592</v>
      </c>
      <c r="C537" s="2619">
        <v>2</v>
      </c>
      <c r="D537" s="2602">
        <f t="shared" si="85"/>
        <v>0</v>
      </c>
      <c r="E537" s="2602"/>
      <c r="F537" s="2602">
        <v>0</v>
      </c>
      <c r="G537" s="2602"/>
      <c r="H537" s="2603">
        <f t="shared" si="86"/>
        <v>0</v>
      </c>
      <c r="I537" s="2619"/>
      <c r="J537" s="2602"/>
      <c r="K537" s="2602"/>
      <c r="L537" s="2602"/>
      <c r="M537" s="2602"/>
      <c r="N537" s="2603"/>
      <c r="O537" s="2619"/>
      <c r="P537" s="2602"/>
      <c r="Q537" s="2602"/>
      <c r="R537" s="2602"/>
      <c r="S537" s="2602"/>
      <c r="T537" s="2603"/>
      <c r="U537" s="2619"/>
      <c r="V537" s="2602"/>
      <c r="W537" s="2602"/>
      <c r="X537" s="2602"/>
      <c r="Y537" s="2603"/>
      <c r="Z537" s="2603">
        <f t="shared" si="87"/>
        <v>0</v>
      </c>
      <c r="AA537" s="2603">
        <f t="shared" si="88"/>
        <v>0</v>
      </c>
      <c r="AB537" s="2603"/>
      <c r="AC537" s="2603"/>
      <c r="AD537" s="2620"/>
    </row>
    <row r="538" spans="1:30" s="2612" customFormat="1" x14ac:dyDescent="0.25">
      <c r="A538" s="2615"/>
      <c r="B538" s="2618" t="s">
        <v>1416</v>
      </c>
      <c r="C538" s="2619">
        <v>1</v>
      </c>
      <c r="D538" s="2602">
        <f t="shared" si="85"/>
        <v>200</v>
      </c>
      <c r="E538" s="2602"/>
      <c r="F538" s="2602">
        <v>0.2</v>
      </c>
      <c r="G538" s="2602"/>
      <c r="H538" s="2603">
        <f t="shared" si="86"/>
        <v>0.2</v>
      </c>
      <c r="I538" s="2619"/>
      <c r="J538" s="2602"/>
      <c r="K538" s="2602"/>
      <c r="L538" s="2602"/>
      <c r="M538" s="2602"/>
      <c r="N538" s="2603"/>
      <c r="O538" s="2619"/>
      <c r="P538" s="2602"/>
      <c r="Q538" s="2602"/>
      <c r="R538" s="2602"/>
      <c r="S538" s="2602"/>
      <c r="T538" s="2603"/>
      <c r="U538" s="2619"/>
      <c r="V538" s="2602"/>
      <c r="W538" s="2602"/>
      <c r="X538" s="2602"/>
      <c r="Y538" s="2603"/>
      <c r="Z538" s="2603">
        <f t="shared" si="87"/>
        <v>0</v>
      </c>
      <c r="AA538" s="2603">
        <f t="shared" si="88"/>
        <v>0</v>
      </c>
      <c r="AB538" s="2603"/>
      <c r="AC538" s="2603"/>
      <c r="AD538" s="2620"/>
    </row>
    <row r="539" spans="1:30" s="2612" customFormat="1" x14ac:dyDescent="0.25">
      <c r="A539" s="2615"/>
      <c r="B539" s="2618" t="s">
        <v>2593</v>
      </c>
      <c r="C539" s="2619">
        <v>5</v>
      </c>
      <c r="D539" s="2602">
        <f t="shared" si="85"/>
        <v>60</v>
      </c>
      <c r="E539" s="2602"/>
      <c r="F539" s="2602">
        <v>0.3</v>
      </c>
      <c r="G539" s="2602"/>
      <c r="H539" s="2603">
        <f t="shared" si="86"/>
        <v>0.3</v>
      </c>
      <c r="I539" s="2619"/>
      <c r="J539" s="2602"/>
      <c r="K539" s="2602"/>
      <c r="L539" s="2602"/>
      <c r="M539" s="2602"/>
      <c r="N539" s="2603"/>
      <c r="O539" s="2619"/>
      <c r="P539" s="2602"/>
      <c r="Q539" s="2602"/>
      <c r="R539" s="2602"/>
      <c r="S539" s="2602"/>
      <c r="T539" s="2603"/>
      <c r="U539" s="2619"/>
      <c r="V539" s="2602"/>
      <c r="W539" s="2602"/>
      <c r="X539" s="2602"/>
      <c r="Y539" s="2603"/>
      <c r="Z539" s="2603">
        <f t="shared" si="87"/>
        <v>0</v>
      </c>
      <c r="AA539" s="2603">
        <f t="shared" si="88"/>
        <v>0</v>
      </c>
      <c r="AB539" s="2603"/>
      <c r="AC539" s="2603"/>
      <c r="AD539" s="2620"/>
    </row>
    <row r="540" spans="1:30" s="2612" customFormat="1" x14ac:dyDescent="0.25">
      <c r="A540" s="2615"/>
      <c r="B540" s="2618" t="s">
        <v>2594</v>
      </c>
      <c r="C540" s="2619">
        <v>1</v>
      </c>
      <c r="D540" s="2602">
        <f t="shared" si="85"/>
        <v>100</v>
      </c>
      <c r="E540" s="2602"/>
      <c r="F540" s="2602">
        <v>0.1</v>
      </c>
      <c r="G540" s="2602"/>
      <c r="H540" s="2603">
        <f t="shared" si="86"/>
        <v>0.1</v>
      </c>
      <c r="I540" s="2619"/>
      <c r="J540" s="2602"/>
      <c r="K540" s="2602"/>
      <c r="L540" s="2602"/>
      <c r="M540" s="2602"/>
      <c r="N540" s="2603"/>
      <c r="O540" s="2619"/>
      <c r="P540" s="2602"/>
      <c r="Q540" s="2602"/>
      <c r="R540" s="2602"/>
      <c r="S540" s="2602"/>
      <c r="T540" s="2603"/>
      <c r="U540" s="2619"/>
      <c r="V540" s="2602"/>
      <c r="W540" s="2602"/>
      <c r="X540" s="2602"/>
      <c r="Y540" s="2603"/>
      <c r="Z540" s="2603">
        <f t="shared" si="87"/>
        <v>0</v>
      </c>
      <c r="AA540" s="2603">
        <f t="shared" si="88"/>
        <v>0</v>
      </c>
      <c r="AB540" s="2603"/>
      <c r="AC540" s="2603"/>
      <c r="AD540" s="2620"/>
    </row>
    <row r="541" spans="1:30" s="2612" customFormat="1" x14ac:dyDescent="0.25">
      <c r="A541" s="2615"/>
      <c r="B541" s="2618" t="s">
        <v>2595</v>
      </c>
      <c r="C541" s="2619">
        <v>1</v>
      </c>
      <c r="D541" s="2602">
        <f t="shared" si="85"/>
        <v>200</v>
      </c>
      <c r="E541" s="2602"/>
      <c r="F541" s="2602">
        <v>0.2</v>
      </c>
      <c r="G541" s="2602"/>
      <c r="H541" s="2603">
        <f t="shared" si="86"/>
        <v>0.2</v>
      </c>
      <c r="I541" s="2619"/>
      <c r="J541" s="2602"/>
      <c r="K541" s="2602"/>
      <c r="L541" s="2602"/>
      <c r="M541" s="2602"/>
      <c r="N541" s="2603"/>
      <c r="O541" s="2619"/>
      <c r="P541" s="2602"/>
      <c r="Q541" s="2602"/>
      <c r="R541" s="2602"/>
      <c r="S541" s="2602"/>
      <c r="T541" s="2603"/>
      <c r="U541" s="2619"/>
      <c r="V541" s="2602"/>
      <c r="W541" s="2602"/>
      <c r="X541" s="2602"/>
      <c r="Y541" s="2603"/>
      <c r="Z541" s="2603">
        <f t="shared" si="87"/>
        <v>0</v>
      </c>
      <c r="AA541" s="2603">
        <f t="shared" si="88"/>
        <v>0</v>
      </c>
      <c r="AB541" s="2603"/>
      <c r="AC541" s="2603"/>
      <c r="AD541" s="2620"/>
    </row>
    <row r="542" spans="1:30" s="2612" customFormat="1" x14ac:dyDescent="0.25">
      <c r="A542" s="2615"/>
      <c r="B542" s="2618" t="s">
        <v>2196</v>
      </c>
      <c r="C542" s="2619">
        <v>1</v>
      </c>
      <c r="D542" s="2602">
        <f t="shared" si="85"/>
        <v>400</v>
      </c>
      <c r="E542" s="2602"/>
      <c r="F542" s="2602">
        <v>0.4</v>
      </c>
      <c r="G542" s="2602"/>
      <c r="H542" s="2603">
        <f t="shared" si="86"/>
        <v>0.4</v>
      </c>
      <c r="I542" s="2619"/>
      <c r="J542" s="2602"/>
      <c r="K542" s="2602"/>
      <c r="L542" s="2602"/>
      <c r="M542" s="2602"/>
      <c r="N542" s="2603"/>
      <c r="O542" s="2619"/>
      <c r="P542" s="2602"/>
      <c r="Q542" s="2602"/>
      <c r="R542" s="2602"/>
      <c r="S542" s="2602"/>
      <c r="T542" s="2603"/>
      <c r="U542" s="2619"/>
      <c r="V542" s="2602"/>
      <c r="W542" s="2602"/>
      <c r="X542" s="2602"/>
      <c r="Y542" s="2603"/>
      <c r="Z542" s="2603">
        <f t="shared" si="87"/>
        <v>0</v>
      </c>
      <c r="AA542" s="2603">
        <f t="shared" si="88"/>
        <v>0</v>
      </c>
      <c r="AB542" s="2603"/>
      <c r="AC542" s="2603"/>
      <c r="AD542" s="2620"/>
    </row>
    <row r="543" spans="1:30" s="2612" customFormat="1" ht="31.5" x14ac:dyDescent="0.25">
      <c r="A543" s="2615"/>
      <c r="B543" s="2618" t="s">
        <v>2596</v>
      </c>
      <c r="C543" s="2619">
        <v>1</v>
      </c>
      <c r="D543" s="2602">
        <f t="shared" si="85"/>
        <v>40000</v>
      </c>
      <c r="E543" s="2602"/>
      <c r="F543" s="2602">
        <v>40</v>
      </c>
      <c r="G543" s="2602"/>
      <c r="H543" s="2603">
        <f t="shared" si="86"/>
        <v>40</v>
      </c>
      <c r="I543" s="2619"/>
      <c r="J543" s="2602"/>
      <c r="K543" s="2602"/>
      <c r="L543" s="2602"/>
      <c r="M543" s="2602"/>
      <c r="N543" s="2603"/>
      <c r="O543" s="2619"/>
      <c r="P543" s="2602"/>
      <c r="Q543" s="2602"/>
      <c r="R543" s="2602"/>
      <c r="S543" s="2602"/>
      <c r="T543" s="2603"/>
      <c r="U543" s="2619"/>
      <c r="V543" s="2602"/>
      <c r="W543" s="2602"/>
      <c r="X543" s="2602"/>
      <c r="Y543" s="2603"/>
      <c r="Z543" s="2603">
        <f t="shared" si="87"/>
        <v>0</v>
      </c>
      <c r="AA543" s="2603">
        <f t="shared" si="88"/>
        <v>0</v>
      </c>
      <c r="AB543" s="2603"/>
      <c r="AC543" s="2603"/>
      <c r="AD543" s="2620"/>
    </row>
    <row r="544" spans="1:30" s="2612" customFormat="1" x14ac:dyDescent="0.25">
      <c r="A544" s="2615"/>
      <c r="B544" s="2618" t="s">
        <v>2597</v>
      </c>
      <c r="C544" s="2619">
        <v>3</v>
      </c>
      <c r="D544" s="2602">
        <f t="shared" si="85"/>
        <v>33.299999999999997</v>
      </c>
      <c r="E544" s="2602"/>
      <c r="F544" s="2602">
        <v>0.1</v>
      </c>
      <c r="G544" s="2602"/>
      <c r="H544" s="2603">
        <f t="shared" si="86"/>
        <v>0.1</v>
      </c>
      <c r="I544" s="2619"/>
      <c r="J544" s="2602"/>
      <c r="K544" s="2602"/>
      <c r="L544" s="2602"/>
      <c r="M544" s="2602"/>
      <c r="N544" s="2603"/>
      <c r="O544" s="2619"/>
      <c r="P544" s="2602"/>
      <c r="Q544" s="2602"/>
      <c r="R544" s="2602"/>
      <c r="S544" s="2602"/>
      <c r="T544" s="2603"/>
      <c r="U544" s="2619"/>
      <c r="V544" s="2602"/>
      <c r="W544" s="2602"/>
      <c r="X544" s="2602"/>
      <c r="Y544" s="2603"/>
      <c r="Z544" s="2603">
        <f t="shared" si="87"/>
        <v>0</v>
      </c>
      <c r="AA544" s="2603">
        <f t="shared" si="88"/>
        <v>0</v>
      </c>
      <c r="AB544" s="2603"/>
      <c r="AC544" s="2603"/>
      <c r="AD544" s="2620"/>
    </row>
    <row r="545" spans="1:30" s="2612" customFormat="1" ht="31.5" x14ac:dyDescent="0.25">
      <c r="A545" s="2615"/>
      <c r="B545" s="2618" t="s">
        <v>2598</v>
      </c>
      <c r="C545" s="2619">
        <v>4</v>
      </c>
      <c r="D545" s="2602">
        <f t="shared" si="85"/>
        <v>175</v>
      </c>
      <c r="E545" s="2602"/>
      <c r="F545" s="2602">
        <v>0.7</v>
      </c>
      <c r="G545" s="2602"/>
      <c r="H545" s="2603">
        <f t="shared" si="86"/>
        <v>0.7</v>
      </c>
      <c r="I545" s="2619"/>
      <c r="J545" s="2602"/>
      <c r="K545" s="2602"/>
      <c r="L545" s="2602"/>
      <c r="M545" s="2602"/>
      <c r="N545" s="2603"/>
      <c r="O545" s="2619"/>
      <c r="P545" s="2602"/>
      <c r="Q545" s="2602"/>
      <c r="R545" s="2602"/>
      <c r="S545" s="2602"/>
      <c r="T545" s="2603"/>
      <c r="U545" s="2619"/>
      <c r="V545" s="2602"/>
      <c r="W545" s="2602"/>
      <c r="X545" s="2602"/>
      <c r="Y545" s="2603"/>
      <c r="Z545" s="2603">
        <f t="shared" si="87"/>
        <v>0</v>
      </c>
      <c r="AA545" s="2603">
        <f t="shared" si="88"/>
        <v>0</v>
      </c>
      <c r="AB545" s="2603"/>
      <c r="AC545" s="2603"/>
      <c r="AD545" s="2620"/>
    </row>
    <row r="546" spans="1:30" s="2612" customFormat="1" x14ac:dyDescent="0.25">
      <c r="A546" s="2615"/>
      <c r="B546" s="2618" t="s">
        <v>2599</v>
      </c>
      <c r="C546" s="2619">
        <v>1</v>
      </c>
      <c r="D546" s="2602">
        <f t="shared" si="85"/>
        <v>100</v>
      </c>
      <c r="E546" s="2602"/>
      <c r="F546" s="2602">
        <v>0.1</v>
      </c>
      <c r="G546" s="2602"/>
      <c r="H546" s="2603">
        <f t="shared" si="86"/>
        <v>0.1</v>
      </c>
      <c r="I546" s="2619"/>
      <c r="J546" s="2602"/>
      <c r="K546" s="2602"/>
      <c r="L546" s="2602"/>
      <c r="M546" s="2602"/>
      <c r="N546" s="2603"/>
      <c r="O546" s="2619"/>
      <c r="P546" s="2602"/>
      <c r="Q546" s="2602"/>
      <c r="R546" s="2602"/>
      <c r="S546" s="2602"/>
      <c r="T546" s="2603"/>
      <c r="U546" s="2619"/>
      <c r="V546" s="2602"/>
      <c r="W546" s="2602"/>
      <c r="X546" s="2602"/>
      <c r="Y546" s="2603"/>
      <c r="Z546" s="2603">
        <f t="shared" si="87"/>
        <v>0</v>
      </c>
      <c r="AA546" s="2603">
        <f t="shared" si="88"/>
        <v>0</v>
      </c>
      <c r="AB546" s="2603"/>
      <c r="AC546" s="2603"/>
      <c r="AD546" s="2620"/>
    </row>
    <row r="547" spans="1:30" s="2612" customFormat="1" x14ac:dyDescent="0.25">
      <c r="A547" s="2615"/>
      <c r="B547" s="2618" t="s">
        <v>2600</v>
      </c>
      <c r="C547" s="2619">
        <v>2</v>
      </c>
      <c r="D547" s="2602">
        <f t="shared" si="85"/>
        <v>50</v>
      </c>
      <c r="E547" s="2602"/>
      <c r="F547" s="2602">
        <v>0.1</v>
      </c>
      <c r="G547" s="2602"/>
      <c r="H547" s="2603">
        <f t="shared" si="86"/>
        <v>0.1</v>
      </c>
      <c r="I547" s="2619"/>
      <c r="J547" s="2602"/>
      <c r="K547" s="2602"/>
      <c r="L547" s="2602"/>
      <c r="M547" s="2602"/>
      <c r="N547" s="2603"/>
      <c r="O547" s="2619"/>
      <c r="P547" s="2602"/>
      <c r="Q547" s="2602"/>
      <c r="R547" s="2602"/>
      <c r="S547" s="2602"/>
      <c r="T547" s="2603"/>
      <c r="U547" s="2619"/>
      <c r="V547" s="2602"/>
      <c r="W547" s="2602"/>
      <c r="X547" s="2602"/>
      <c r="Y547" s="2603"/>
      <c r="Z547" s="2603">
        <f t="shared" si="87"/>
        <v>0</v>
      </c>
      <c r="AA547" s="2603">
        <f t="shared" si="88"/>
        <v>0</v>
      </c>
      <c r="AB547" s="2603"/>
      <c r="AC547" s="2603"/>
      <c r="AD547" s="2620"/>
    </row>
    <row r="548" spans="1:30" s="2612" customFormat="1" x14ac:dyDescent="0.25">
      <c r="A548" s="2615"/>
      <c r="B548" s="2618" t="s">
        <v>2600</v>
      </c>
      <c r="C548" s="2619">
        <v>4</v>
      </c>
      <c r="D548" s="2602">
        <f t="shared" si="85"/>
        <v>25</v>
      </c>
      <c r="E548" s="2602"/>
      <c r="F548" s="2602">
        <v>0.1</v>
      </c>
      <c r="G548" s="2602"/>
      <c r="H548" s="2603">
        <f t="shared" si="86"/>
        <v>0.1</v>
      </c>
      <c r="I548" s="2619"/>
      <c r="J548" s="2602"/>
      <c r="K548" s="2602"/>
      <c r="L548" s="2602"/>
      <c r="M548" s="2602"/>
      <c r="N548" s="2603"/>
      <c r="O548" s="2619"/>
      <c r="P548" s="2602"/>
      <c r="Q548" s="2602"/>
      <c r="R548" s="2602"/>
      <c r="S548" s="2602"/>
      <c r="T548" s="2603"/>
      <c r="U548" s="2619"/>
      <c r="V548" s="2602"/>
      <c r="W548" s="2602"/>
      <c r="X548" s="2602"/>
      <c r="Y548" s="2603"/>
      <c r="Z548" s="2603">
        <f t="shared" si="87"/>
        <v>0</v>
      </c>
      <c r="AA548" s="2603">
        <f t="shared" si="88"/>
        <v>0</v>
      </c>
      <c r="AB548" s="2603"/>
      <c r="AC548" s="2603"/>
      <c r="AD548" s="2620"/>
    </row>
    <row r="549" spans="1:30" s="2612" customFormat="1" ht="31.5" x14ac:dyDescent="0.25">
      <c r="A549" s="2615"/>
      <c r="B549" s="2618" t="s">
        <v>2601</v>
      </c>
      <c r="C549" s="2619">
        <v>1</v>
      </c>
      <c r="D549" s="2602">
        <f t="shared" si="85"/>
        <v>700</v>
      </c>
      <c r="E549" s="2602"/>
      <c r="F549" s="2602">
        <v>0.7</v>
      </c>
      <c r="G549" s="2602"/>
      <c r="H549" s="2603">
        <f t="shared" si="86"/>
        <v>0.7</v>
      </c>
      <c r="I549" s="2619"/>
      <c r="J549" s="2602"/>
      <c r="K549" s="2602"/>
      <c r="L549" s="2602"/>
      <c r="M549" s="2602"/>
      <c r="N549" s="2603"/>
      <c r="O549" s="2619"/>
      <c r="P549" s="2602"/>
      <c r="Q549" s="2602"/>
      <c r="R549" s="2602"/>
      <c r="S549" s="2602"/>
      <c r="T549" s="2603"/>
      <c r="U549" s="2619"/>
      <c r="V549" s="2602"/>
      <c r="W549" s="2602"/>
      <c r="X549" s="2602"/>
      <c r="Y549" s="2603"/>
      <c r="Z549" s="2603">
        <f t="shared" si="87"/>
        <v>0</v>
      </c>
      <c r="AA549" s="2603">
        <f t="shared" si="88"/>
        <v>0</v>
      </c>
      <c r="AB549" s="2603"/>
      <c r="AC549" s="2603"/>
      <c r="AD549" s="2620"/>
    </row>
    <row r="550" spans="1:30" s="2612" customFormat="1" x14ac:dyDescent="0.25">
      <c r="A550" s="2615"/>
      <c r="B550" s="2618" t="s">
        <v>2232</v>
      </c>
      <c r="C550" s="2619">
        <v>1</v>
      </c>
      <c r="D550" s="2602">
        <f t="shared" si="85"/>
        <v>1400</v>
      </c>
      <c r="E550" s="2602"/>
      <c r="F550" s="2602">
        <v>1.4</v>
      </c>
      <c r="G550" s="2602"/>
      <c r="H550" s="2603">
        <f t="shared" si="86"/>
        <v>1.4</v>
      </c>
      <c r="I550" s="2619"/>
      <c r="J550" s="2602"/>
      <c r="K550" s="2602"/>
      <c r="L550" s="2602"/>
      <c r="M550" s="2602"/>
      <c r="N550" s="2603"/>
      <c r="O550" s="2619"/>
      <c r="P550" s="2602"/>
      <c r="Q550" s="2602"/>
      <c r="R550" s="2602"/>
      <c r="S550" s="2602"/>
      <c r="T550" s="2603"/>
      <c r="U550" s="2619"/>
      <c r="V550" s="2602"/>
      <c r="W550" s="2602"/>
      <c r="X550" s="2602"/>
      <c r="Y550" s="2603"/>
      <c r="Z550" s="2603">
        <f t="shared" si="87"/>
        <v>0</v>
      </c>
      <c r="AA550" s="2603">
        <f t="shared" si="88"/>
        <v>0</v>
      </c>
      <c r="AB550" s="2603"/>
      <c r="AC550" s="2603"/>
      <c r="AD550" s="2620"/>
    </row>
    <row r="551" spans="1:30" s="2612" customFormat="1" x14ac:dyDescent="0.25">
      <c r="A551" s="2615"/>
      <c r="B551" s="2618" t="s">
        <v>2602</v>
      </c>
      <c r="C551" s="2619">
        <v>1</v>
      </c>
      <c r="D551" s="2602">
        <f t="shared" si="85"/>
        <v>200</v>
      </c>
      <c r="E551" s="2602"/>
      <c r="F551" s="2602">
        <v>0.2</v>
      </c>
      <c r="G551" s="2602"/>
      <c r="H551" s="2603">
        <f t="shared" si="86"/>
        <v>0.2</v>
      </c>
      <c r="I551" s="2619"/>
      <c r="J551" s="2602"/>
      <c r="K551" s="2602"/>
      <c r="L551" s="2602"/>
      <c r="M551" s="2602"/>
      <c r="N551" s="2603"/>
      <c r="O551" s="2619"/>
      <c r="P551" s="2602"/>
      <c r="Q551" s="2602"/>
      <c r="R551" s="2602"/>
      <c r="S551" s="2602"/>
      <c r="T551" s="2603"/>
      <c r="U551" s="2619"/>
      <c r="V551" s="2602"/>
      <c r="W551" s="2602"/>
      <c r="X551" s="2602"/>
      <c r="Y551" s="2603"/>
      <c r="Z551" s="2603">
        <f t="shared" si="87"/>
        <v>0</v>
      </c>
      <c r="AA551" s="2603">
        <f t="shared" si="88"/>
        <v>0</v>
      </c>
      <c r="AB551" s="2603"/>
      <c r="AC551" s="2603"/>
      <c r="AD551" s="2620"/>
    </row>
    <row r="552" spans="1:30" s="2612" customFormat="1" x14ac:dyDescent="0.25">
      <c r="A552" s="2615"/>
      <c r="B552" s="2618" t="s">
        <v>2603</v>
      </c>
      <c r="C552" s="2619">
        <v>1</v>
      </c>
      <c r="D552" s="2602">
        <f t="shared" si="85"/>
        <v>200</v>
      </c>
      <c r="E552" s="2602"/>
      <c r="F552" s="2602">
        <v>0.2</v>
      </c>
      <c r="G552" s="2602"/>
      <c r="H552" s="2603">
        <f t="shared" si="86"/>
        <v>0.2</v>
      </c>
      <c r="I552" s="2619"/>
      <c r="J552" s="2602"/>
      <c r="K552" s="2602"/>
      <c r="L552" s="2602"/>
      <c r="M552" s="2602"/>
      <c r="N552" s="2603"/>
      <c r="O552" s="2619"/>
      <c r="P552" s="2602"/>
      <c r="Q552" s="2602"/>
      <c r="R552" s="2602"/>
      <c r="S552" s="2602"/>
      <c r="T552" s="2603"/>
      <c r="U552" s="2619"/>
      <c r="V552" s="2602"/>
      <c r="W552" s="2602"/>
      <c r="X552" s="2602"/>
      <c r="Y552" s="2603"/>
      <c r="Z552" s="2603">
        <f t="shared" si="87"/>
        <v>0</v>
      </c>
      <c r="AA552" s="2603">
        <f t="shared" si="88"/>
        <v>0</v>
      </c>
      <c r="AB552" s="2603"/>
      <c r="AC552" s="2603"/>
      <c r="AD552" s="2620"/>
    </row>
    <row r="553" spans="1:30" s="2612" customFormat="1" x14ac:dyDescent="0.25">
      <c r="A553" s="2615"/>
      <c r="B553" s="2618" t="s">
        <v>2604</v>
      </c>
      <c r="C553" s="2619">
        <v>1</v>
      </c>
      <c r="D553" s="2602">
        <f t="shared" si="85"/>
        <v>100</v>
      </c>
      <c r="E553" s="2602"/>
      <c r="F553" s="2602">
        <v>0.1</v>
      </c>
      <c r="G553" s="2602"/>
      <c r="H553" s="2603">
        <f t="shared" si="86"/>
        <v>0.1</v>
      </c>
      <c r="I553" s="2619"/>
      <c r="J553" s="2602"/>
      <c r="K553" s="2602"/>
      <c r="L553" s="2602"/>
      <c r="M553" s="2602"/>
      <c r="N553" s="2603"/>
      <c r="O553" s="2619"/>
      <c r="P553" s="2602"/>
      <c r="Q553" s="2602"/>
      <c r="R553" s="2602"/>
      <c r="S553" s="2602"/>
      <c r="T553" s="2603"/>
      <c r="U553" s="2619"/>
      <c r="V553" s="2602"/>
      <c r="W553" s="2602"/>
      <c r="X553" s="2602"/>
      <c r="Y553" s="2603"/>
      <c r="Z553" s="2603">
        <f t="shared" si="87"/>
        <v>0</v>
      </c>
      <c r="AA553" s="2603">
        <f t="shared" si="88"/>
        <v>0</v>
      </c>
      <c r="AB553" s="2603"/>
      <c r="AC553" s="2603"/>
      <c r="AD553" s="2620"/>
    </row>
    <row r="554" spans="1:30" s="2612" customFormat="1" x14ac:dyDescent="0.25">
      <c r="A554" s="2615"/>
      <c r="B554" s="2618" t="s">
        <v>1415</v>
      </c>
      <c r="C554" s="2619">
        <v>2</v>
      </c>
      <c r="D554" s="2602">
        <f t="shared" si="85"/>
        <v>50</v>
      </c>
      <c r="E554" s="2602"/>
      <c r="F554" s="2602">
        <v>0.1</v>
      </c>
      <c r="G554" s="2602"/>
      <c r="H554" s="2603">
        <f t="shared" si="86"/>
        <v>0.1</v>
      </c>
      <c r="I554" s="2619"/>
      <c r="J554" s="2602"/>
      <c r="K554" s="2602"/>
      <c r="L554" s="2602"/>
      <c r="M554" s="2602"/>
      <c r="N554" s="2603"/>
      <c r="O554" s="2619"/>
      <c r="P554" s="2602"/>
      <c r="Q554" s="2602"/>
      <c r="R554" s="2602"/>
      <c r="S554" s="2602"/>
      <c r="T554" s="2603"/>
      <c r="U554" s="2619"/>
      <c r="V554" s="2602"/>
      <c r="W554" s="2602"/>
      <c r="X554" s="2602"/>
      <c r="Y554" s="2603"/>
      <c r="Z554" s="2603">
        <f t="shared" si="87"/>
        <v>0</v>
      </c>
      <c r="AA554" s="2603">
        <f t="shared" si="88"/>
        <v>0</v>
      </c>
      <c r="AB554" s="2603"/>
      <c r="AC554" s="2603"/>
      <c r="AD554" s="2620"/>
    </row>
    <row r="555" spans="1:30" s="2612" customFormat="1" x14ac:dyDescent="0.25">
      <c r="A555" s="2615"/>
      <c r="B555" s="2618" t="s">
        <v>2605</v>
      </c>
      <c r="C555" s="2619">
        <v>1</v>
      </c>
      <c r="D555" s="2602">
        <f t="shared" si="85"/>
        <v>100</v>
      </c>
      <c r="E555" s="2602"/>
      <c r="F555" s="2602">
        <v>0.1</v>
      </c>
      <c r="G555" s="2602"/>
      <c r="H555" s="2603">
        <f t="shared" si="86"/>
        <v>0.1</v>
      </c>
      <c r="I555" s="2619"/>
      <c r="J555" s="2602"/>
      <c r="K555" s="2602"/>
      <c r="L555" s="2602"/>
      <c r="M555" s="2602"/>
      <c r="N555" s="2603"/>
      <c r="O555" s="2619"/>
      <c r="P555" s="2602"/>
      <c r="Q555" s="2602"/>
      <c r="R555" s="2602"/>
      <c r="S555" s="2602"/>
      <c r="T555" s="2603"/>
      <c r="U555" s="2619"/>
      <c r="V555" s="2602"/>
      <c r="W555" s="2602"/>
      <c r="X555" s="2602"/>
      <c r="Y555" s="2603"/>
      <c r="Z555" s="2603">
        <f t="shared" si="87"/>
        <v>0</v>
      </c>
      <c r="AA555" s="2603">
        <f t="shared" si="88"/>
        <v>0</v>
      </c>
      <c r="AB555" s="2603"/>
      <c r="AC555" s="2603"/>
      <c r="AD555" s="2620"/>
    </row>
    <row r="556" spans="1:30" s="2612" customFormat="1" x14ac:dyDescent="0.25">
      <c r="A556" s="2615"/>
      <c r="B556" s="2618" t="s">
        <v>2606</v>
      </c>
      <c r="C556" s="2619">
        <v>1</v>
      </c>
      <c r="D556" s="2602">
        <f t="shared" si="85"/>
        <v>200</v>
      </c>
      <c r="E556" s="2602"/>
      <c r="F556" s="2602">
        <v>0.2</v>
      </c>
      <c r="G556" s="2602"/>
      <c r="H556" s="2603">
        <f t="shared" si="86"/>
        <v>0.2</v>
      </c>
      <c r="I556" s="2619"/>
      <c r="J556" s="2602"/>
      <c r="K556" s="2602"/>
      <c r="L556" s="2602"/>
      <c r="M556" s="2602"/>
      <c r="N556" s="2603"/>
      <c r="O556" s="2619"/>
      <c r="P556" s="2602"/>
      <c r="Q556" s="2602"/>
      <c r="R556" s="2602"/>
      <c r="S556" s="2602"/>
      <c r="T556" s="2603"/>
      <c r="U556" s="2619"/>
      <c r="V556" s="2602"/>
      <c r="W556" s="2602"/>
      <c r="X556" s="2602"/>
      <c r="Y556" s="2603"/>
      <c r="Z556" s="2603">
        <f t="shared" si="87"/>
        <v>0</v>
      </c>
      <c r="AA556" s="2603">
        <f t="shared" si="88"/>
        <v>0</v>
      </c>
      <c r="AB556" s="2603"/>
      <c r="AC556" s="2603"/>
      <c r="AD556" s="2620"/>
    </row>
    <row r="557" spans="1:30" s="2612" customFormat="1" x14ac:dyDescent="0.25">
      <c r="A557" s="2615"/>
      <c r="B557" s="2618" t="s">
        <v>2226</v>
      </c>
      <c r="C557" s="2619">
        <v>1</v>
      </c>
      <c r="D557" s="2602">
        <f t="shared" si="85"/>
        <v>200</v>
      </c>
      <c r="E557" s="2602"/>
      <c r="F557" s="2602">
        <v>0.2</v>
      </c>
      <c r="G557" s="2602"/>
      <c r="H557" s="2603">
        <f t="shared" si="86"/>
        <v>0.2</v>
      </c>
      <c r="I557" s="2619"/>
      <c r="J557" s="2602"/>
      <c r="K557" s="2602"/>
      <c r="L557" s="2602"/>
      <c r="M557" s="2602"/>
      <c r="N557" s="2603"/>
      <c r="O557" s="2619"/>
      <c r="P557" s="2602"/>
      <c r="Q557" s="2602"/>
      <c r="R557" s="2602"/>
      <c r="S557" s="2602"/>
      <c r="T557" s="2603"/>
      <c r="U557" s="2619"/>
      <c r="V557" s="2602"/>
      <c r="W557" s="2602"/>
      <c r="X557" s="2602"/>
      <c r="Y557" s="2603"/>
      <c r="Z557" s="2603">
        <f t="shared" si="87"/>
        <v>0</v>
      </c>
      <c r="AA557" s="2603">
        <f t="shared" si="88"/>
        <v>0</v>
      </c>
      <c r="AB557" s="2603"/>
      <c r="AC557" s="2603"/>
      <c r="AD557" s="2620"/>
    </row>
    <row r="558" spans="1:30" s="2612" customFormat="1" ht="31.5" x14ac:dyDescent="0.25">
      <c r="A558" s="2615"/>
      <c r="B558" s="2618" t="s">
        <v>2607</v>
      </c>
      <c r="C558" s="2619">
        <v>2</v>
      </c>
      <c r="D558" s="2602">
        <f t="shared" ref="D558:D567" si="89">(F558/C558*1000)+(E558/C558*1000)</f>
        <v>40400</v>
      </c>
      <c r="E558" s="2602">
        <v>80.8</v>
      </c>
      <c r="F558" s="2602"/>
      <c r="G558" s="2602"/>
      <c r="H558" s="2603">
        <f t="shared" ref="H558:H567" si="90">SUM(E558:G558)</f>
        <v>80.8</v>
      </c>
      <c r="I558" s="2619"/>
      <c r="J558" s="2602"/>
      <c r="K558" s="2602"/>
      <c r="L558" s="2602"/>
      <c r="M558" s="2602"/>
      <c r="N558" s="2603"/>
      <c r="O558" s="2619"/>
      <c r="P558" s="2602"/>
      <c r="Q558" s="2602"/>
      <c r="R558" s="2602"/>
      <c r="S558" s="2602"/>
      <c r="T558" s="2603"/>
      <c r="U558" s="2619"/>
      <c r="V558" s="2602"/>
      <c r="W558" s="2602"/>
      <c r="X558" s="2602"/>
      <c r="Y558" s="2603"/>
      <c r="Z558" s="2603">
        <f t="shared" ref="Z558:Z577" si="91">W558-K558</f>
        <v>0</v>
      </c>
      <c r="AA558" s="2603">
        <f t="shared" si="88"/>
        <v>0</v>
      </c>
      <c r="AB558" s="2603"/>
      <c r="AC558" s="2603"/>
      <c r="AD558" s="2620"/>
    </row>
    <row r="559" spans="1:30" s="2612" customFormat="1" ht="31.5" x14ac:dyDescent="0.25">
      <c r="A559" s="2615"/>
      <c r="B559" s="2618" t="s">
        <v>2608</v>
      </c>
      <c r="C559" s="2619">
        <v>1</v>
      </c>
      <c r="D559" s="2602">
        <f t="shared" si="89"/>
        <v>78400</v>
      </c>
      <c r="E559" s="2602">
        <v>78.400000000000006</v>
      </c>
      <c r="F559" s="2602"/>
      <c r="G559" s="2602"/>
      <c r="H559" s="2603">
        <f t="shared" si="90"/>
        <v>78.400000000000006</v>
      </c>
      <c r="I559" s="2619"/>
      <c r="J559" s="2602"/>
      <c r="K559" s="2602"/>
      <c r="L559" s="2602"/>
      <c r="M559" s="2602"/>
      <c r="N559" s="2603"/>
      <c r="O559" s="2619"/>
      <c r="P559" s="2602"/>
      <c r="Q559" s="2602"/>
      <c r="R559" s="2602"/>
      <c r="S559" s="2602"/>
      <c r="T559" s="2603"/>
      <c r="U559" s="2619"/>
      <c r="V559" s="2602"/>
      <c r="W559" s="2602"/>
      <c r="X559" s="2602"/>
      <c r="Y559" s="2603"/>
      <c r="Z559" s="2603">
        <f t="shared" si="91"/>
        <v>0</v>
      </c>
      <c r="AA559" s="2603">
        <f t="shared" si="88"/>
        <v>0</v>
      </c>
      <c r="AB559" s="2603"/>
      <c r="AC559" s="2603"/>
      <c r="AD559" s="2620"/>
    </row>
    <row r="560" spans="1:30" s="2612" customFormat="1" x14ac:dyDescent="0.25">
      <c r="A560" s="2615"/>
      <c r="B560" s="2618" t="s">
        <v>2609</v>
      </c>
      <c r="C560" s="2619">
        <v>30</v>
      </c>
      <c r="D560" s="2602">
        <f t="shared" si="89"/>
        <v>30</v>
      </c>
      <c r="E560" s="2602">
        <v>0.9</v>
      </c>
      <c r="F560" s="2602"/>
      <c r="G560" s="2602"/>
      <c r="H560" s="2603">
        <f t="shared" si="90"/>
        <v>0.9</v>
      </c>
      <c r="I560" s="2619"/>
      <c r="J560" s="2602"/>
      <c r="K560" s="2602"/>
      <c r="L560" s="2602"/>
      <c r="M560" s="2602"/>
      <c r="N560" s="2603"/>
      <c r="O560" s="2619"/>
      <c r="P560" s="2602"/>
      <c r="Q560" s="2602"/>
      <c r="R560" s="2602"/>
      <c r="S560" s="2602"/>
      <c r="T560" s="2603"/>
      <c r="U560" s="2619"/>
      <c r="V560" s="2602"/>
      <c r="W560" s="2602"/>
      <c r="X560" s="2602"/>
      <c r="Y560" s="2603"/>
      <c r="Z560" s="2603">
        <f t="shared" si="91"/>
        <v>0</v>
      </c>
      <c r="AA560" s="2603">
        <f t="shared" si="88"/>
        <v>0</v>
      </c>
      <c r="AB560" s="2603"/>
      <c r="AC560" s="2603"/>
      <c r="AD560" s="2620"/>
    </row>
    <row r="561" spans="1:30" s="2612" customFormat="1" ht="31.5" x14ac:dyDescent="0.25">
      <c r="A561" s="2615"/>
      <c r="B561" s="2618" t="s">
        <v>2610</v>
      </c>
      <c r="C561" s="2619">
        <v>1</v>
      </c>
      <c r="D561" s="2602">
        <f t="shared" si="89"/>
        <v>100</v>
      </c>
      <c r="E561" s="2602"/>
      <c r="F561" s="2602">
        <v>0.1</v>
      </c>
      <c r="G561" s="2602"/>
      <c r="H561" s="2603">
        <f t="shared" si="90"/>
        <v>0.1</v>
      </c>
      <c r="I561" s="2619"/>
      <c r="J561" s="2602"/>
      <c r="K561" s="2602"/>
      <c r="L561" s="2602"/>
      <c r="M561" s="2602"/>
      <c r="N561" s="2603"/>
      <c r="O561" s="2619"/>
      <c r="P561" s="2602"/>
      <c r="Q561" s="2602"/>
      <c r="R561" s="2602"/>
      <c r="S561" s="2602"/>
      <c r="T561" s="2603"/>
      <c r="U561" s="2619"/>
      <c r="V561" s="2602"/>
      <c r="W561" s="2602"/>
      <c r="X561" s="2602"/>
      <c r="Y561" s="2603"/>
      <c r="Z561" s="2603">
        <f t="shared" si="91"/>
        <v>0</v>
      </c>
      <c r="AA561" s="2603">
        <f t="shared" si="88"/>
        <v>0</v>
      </c>
      <c r="AB561" s="2603"/>
      <c r="AC561" s="2603"/>
      <c r="AD561" s="2620"/>
    </row>
    <row r="562" spans="1:30" s="2612" customFormat="1" x14ac:dyDescent="0.25">
      <c r="A562" s="2615"/>
      <c r="B562" s="2618" t="s">
        <v>2611</v>
      </c>
      <c r="C562" s="2619">
        <v>4</v>
      </c>
      <c r="D562" s="2602">
        <f t="shared" si="89"/>
        <v>25</v>
      </c>
      <c r="E562" s="2602"/>
      <c r="F562" s="2602">
        <v>0.1</v>
      </c>
      <c r="G562" s="2602"/>
      <c r="H562" s="2603">
        <f t="shared" si="90"/>
        <v>0.1</v>
      </c>
      <c r="I562" s="2619"/>
      <c r="J562" s="2602"/>
      <c r="K562" s="2602"/>
      <c r="L562" s="2602"/>
      <c r="M562" s="2602"/>
      <c r="N562" s="2603"/>
      <c r="O562" s="2619"/>
      <c r="P562" s="2602"/>
      <c r="Q562" s="2602"/>
      <c r="R562" s="2602"/>
      <c r="S562" s="2602"/>
      <c r="T562" s="2603"/>
      <c r="U562" s="2619"/>
      <c r="V562" s="2602"/>
      <c r="W562" s="2602"/>
      <c r="X562" s="2602"/>
      <c r="Y562" s="2603"/>
      <c r="Z562" s="2603">
        <f t="shared" si="91"/>
        <v>0</v>
      </c>
      <c r="AA562" s="2603">
        <f t="shared" si="88"/>
        <v>0</v>
      </c>
      <c r="AB562" s="2603"/>
      <c r="AC562" s="2603"/>
      <c r="AD562" s="2620"/>
    </row>
    <row r="563" spans="1:30" s="2612" customFormat="1" x14ac:dyDescent="0.25">
      <c r="A563" s="2615"/>
      <c r="B563" s="2618" t="s">
        <v>2612</v>
      </c>
      <c r="C563" s="2619">
        <v>200</v>
      </c>
      <c r="D563" s="2602">
        <f t="shared" si="89"/>
        <v>2.5</v>
      </c>
      <c r="E563" s="2602">
        <v>0.5</v>
      </c>
      <c r="F563" s="2602"/>
      <c r="G563" s="2602"/>
      <c r="H563" s="2603">
        <f t="shared" si="90"/>
        <v>0.5</v>
      </c>
      <c r="I563" s="2619"/>
      <c r="J563" s="2602"/>
      <c r="K563" s="2602"/>
      <c r="L563" s="2602"/>
      <c r="M563" s="2602"/>
      <c r="N563" s="2603"/>
      <c r="O563" s="2619"/>
      <c r="P563" s="2602"/>
      <c r="Q563" s="2602"/>
      <c r="R563" s="2602"/>
      <c r="S563" s="2602"/>
      <c r="T563" s="2603"/>
      <c r="U563" s="2619"/>
      <c r="V563" s="2602"/>
      <c r="W563" s="2602"/>
      <c r="X563" s="2602"/>
      <c r="Y563" s="2603"/>
      <c r="Z563" s="2603">
        <f t="shared" si="91"/>
        <v>0</v>
      </c>
      <c r="AA563" s="2603">
        <f t="shared" si="88"/>
        <v>0</v>
      </c>
      <c r="AB563" s="2603"/>
      <c r="AC563" s="2603"/>
      <c r="AD563" s="2620"/>
    </row>
    <row r="564" spans="1:30" s="2612" customFormat="1" x14ac:dyDescent="0.25">
      <c r="A564" s="2615"/>
      <c r="B564" s="2618" t="s">
        <v>2612</v>
      </c>
      <c r="C564" s="2619">
        <v>200</v>
      </c>
      <c r="D564" s="2602">
        <f t="shared" si="89"/>
        <v>1.5</v>
      </c>
      <c r="E564" s="2602"/>
      <c r="F564" s="2602">
        <v>0.3</v>
      </c>
      <c r="G564" s="2602"/>
      <c r="H564" s="2603">
        <f t="shared" si="90"/>
        <v>0.3</v>
      </c>
      <c r="I564" s="2619"/>
      <c r="J564" s="2602"/>
      <c r="K564" s="2602"/>
      <c r="L564" s="2602"/>
      <c r="M564" s="2602"/>
      <c r="N564" s="2603"/>
      <c r="O564" s="2619"/>
      <c r="P564" s="2602"/>
      <c r="Q564" s="2602"/>
      <c r="R564" s="2602"/>
      <c r="S564" s="2602"/>
      <c r="T564" s="2603"/>
      <c r="U564" s="2619"/>
      <c r="V564" s="2602"/>
      <c r="W564" s="2602"/>
      <c r="X564" s="2602"/>
      <c r="Y564" s="2603"/>
      <c r="Z564" s="2603">
        <f t="shared" si="91"/>
        <v>0</v>
      </c>
      <c r="AA564" s="2603">
        <f t="shared" si="88"/>
        <v>0</v>
      </c>
      <c r="AB564" s="2603"/>
      <c r="AC564" s="2603"/>
      <c r="AD564" s="2620"/>
    </row>
    <row r="565" spans="1:30" s="2612" customFormat="1" x14ac:dyDescent="0.25">
      <c r="A565" s="2615"/>
      <c r="B565" s="2618" t="s">
        <v>2613</v>
      </c>
      <c r="C565" s="2619">
        <v>1</v>
      </c>
      <c r="D565" s="2602">
        <f t="shared" si="89"/>
        <v>500</v>
      </c>
      <c r="E565" s="2602">
        <v>0.5</v>
      </c>
      <c r="F565" s="2602"/>
      <c r="G565" s="2602"/>
      <c r="H565" s="2603">
        <f t="shared" si="90"/>
        <v>0.5</v>
      </c>
      <c r="I565" s="2619"/>
      <c r="J565" s="2602"/>
      <c r="K565" s="2602"/>
      <c r="L565" s="2602"/>
      <c r="M565" s="2602"/>
      <c r="N565" s="2603"/>
      <c r="O565" s="2619"/>
      <c r="P565" s="2602"/>
      <c r="Q565" s="2602"/>
      <c r="R565" s="2602"/>
      <c r="S565" s="2602"/>
      <c r="T565" s="2603"/>
      <c r="U565" s="2619"/>
      <c r="V565" s="2602"/>
      <c r="W565" s="2602"/>
      <c r="X565" s="2602"/>
      <c r="Y565" s="2603"/>
      <c r="Z565" s="2603">
        <f t="shared" si="91"/>
        <v>0</v>
      </c>
      <c r="AA565" s="2603">
        <f t="shared" si="88"/>
        <v>0</v>
      </c>
      <c r="AB565" s="2603"/>
      <c r="AC565" s="2603"/>
      <c r="AD565" s="2620"/>
    </row>
    <row r="566" spans="1:30" s="2612" customFormat="1" ht="31.5" x14ac:dyDescent="0.25">
      <c r="A566" s="2615"/>
      <c r="B566" s="2618" t="s">
        <v>2614</v>
      </c>
      <c r="C566" s="2619">
        <v>1</v>
      </c>
      <c r="D566" s="2602">
        <f t="shared" si="89"/>
        <v>0</v>
      </c>
      <c r="E566" s="2602"/>
      <c r="F566" s="2602">
        <v>0</v>
      </c>
      <c r="G566" s="2602"/>
      <c r="H566" s="2603">
        <f t="shared" si="90"/>
        <v>0</v>
      </c>
      <c r="I566" s="2619"/>
      <c r="J566" s="2602"/>
      <c r="K566" s="2602"/>
      <c r="L566" s="2602"/>
      <c r="M566" s="2602"/>
      <c r="N566" s="2603"/>
      <c r="O566" s="2619"/>
      <c r="P566" s="2602"/>
      <c r="Q566" s="2602"/>
      <c r="R566" s="2602"/>
      <c r="S566" s="2602"/>
      <c r="T566" s="2603"/>
      <c r="U566" s="2619"/>
      <c r="V566" s="2602"/>
      <c r="W566" s="2602"/>
      <c r="X566" s="2602"/>
      <c r="Y566" s="2603"/>
      <c r="Z566" s="2603">
        <f t="shared" si="91"/>
        <v>0</v>
      </c>
      <c r="AA566" s="2603">
        <f t="shared" si="88"/>
        <v>0</v>
      </c>
      <c r="AB566" s="2603"/>
      <c r="AC566" s="2603"/>
      <c r="AD566" s="2620"/>
    </row>
    <row r="567" spans="1:30" s="2612" customFormat="1" x14ac:dyDescent="0.25">
      <c r="A567" s="2615"/>
      <c r="B567" s="2618" t="s">
        <v>2615</v>
      </c>
      <c r="C567" s="2619">
        <v>1</v>
      </c>
      <c r="D567" s="2602">
        <f t="shared" si="89"/>
        <v>100</v>
      </c>
      <c r="E567" s="2602"/>
      <c r="F567" s="2602">
        <v>0.1</v>
      </c>
      <c r="G567" s="2602"/>
      <c r="H567" s="2603">
        <f t="shared" si="90"/>
        <v>0.1</v>
      </c>
      <c r="I567" s="2619"/>
      <c r="J567" s="2602"/>
      <c r="K567" s="2602"/>
      <c r="L567" s="2602"/>
      <c r="M567" s="2602"/>
      <c r="N567" s="2603"/>
      <c r="O567" s="2619"/>
      <c r="P567" s="2602"/>
      <c r="Q567" s="2602"/>
      <c r="R567" s="2602"/>
      <c r="S567" s="2602"/>
      <c r="T567" s="2603"/>
      <c r="U567" s="2619"/>
      <c r="V567" s="2602"/>
      <c r="W567" s="2602"/>
      <c r="X567" s="2602"/>
      <c r="Y567" s="2603"/>
      <c r="Z567" s="2603">
        <f t="shared" si="91"/>
        <v>0</v>
      </c>
      <c r="AA567" s="2603">
        <f t="shared" si="88"/>
        <v>0</v>
      </c>
      <c r="AB567" s="2603"/>
      <c r="AC567" s="2603"/>
      <c r="AD567" s="2620"/>
    </row>
    <row r="568" spans="1:30" s="2612" customFormat="1" ht="22.5" x14ac:dyDescent="0.25">
      <c r="A568" s="2615"/>
      <c r="B568" s="2618" t="s">
        <v>2616</v>
      </c>
      <c r="C568" s="2619"/>
      <c r="D568" s="2602"/>
      <c r="E568" s="2602"/>
      <c r="F568" s="2602"/>
      <c r="G568" s="2602"/>
      <c r="H568" s="2603"/>
      <c r="I568" s="2619">
        <v>43250</v>
      </c>
      <c r="J568" s="2602">
        <f t="shared" ref="J568:J570" si="92">(L568/I568*1000)+(K568/I568*1000)</f>
        <v>1.4</v>
      </c>
      <c r="K568" s="2602"/>
      <c r="L568" s="2602">
        <v>62.7</v>
      </c>
      <c r="M568" s="2602"/>
      <c r="N568" s="2603">
        <f t="shared" ref="N568:N570" si="93">SUM(K568:M568)</f>
        <v>62.7</v>
      </c>
      <c r="O568" s="2619">
        <v>36228</v>
      </c>
      <c r="P568" s="2602">
        <f t="shared" ref="P568:P570" si="94">(R568/O568*1000)+(Q568/O568*1000)</f>
        <v>1.4</v>
      </c>
      <c r="Q568" s="2602"/>
      <c r="R568" s="2602">
        <v>52.5</v>
      </c>
      <c r="S568" s="2602"/>
      <c r="T568" s="2603">
        <f t="shared" ref="T568:T570" si="95">SUM(Q568:S568)</f>
        <v>52.5</v>
      </c>
      <c r="U568" s="2619">
        <v>54000</v>
      </c>
      <c r="V568" s="2602">
        <f t="shared" ref="V568:V577" si="96">(X568/U568*1000)+(W568/U568*1000)</f>
        <v>2</v>
      </c>
      <c r="W568" s="2602"/>
      <c r="X568" s="2602">
        <v>108</v>
      </c>
      <c r="Y568" s="2603">
        <f t="shared" ref="Y568:Y577" si="97">SUM(W568:X568)</f>
        <v>108</v>
      </c>
      <c r="Z568" s="2603">
        <f t="shared" si="91"/>
        <v>0</v>
      </c>
      <c r="AA568" s="2603">
        <f t="shared" si="88"/>
        <v>0</v>
      </c>
      <c r="AB568" s="2603"/>
      <c r="AC568" s="2588"/>
      <c r="AD568" s="2637" t="s">
        <v>2617</v>
      </c>
    </row>
    <row r="569" spans="1:30" s="2612" customFormat="1" x14ac:dyDescent="0.25">
      <c r="A569" s="2615"/>
      <c r="B569" s="2618" t="s">
        <v>2618</v>
      </c>
      <c r="C569" s="2619"/>
      <c r="D569" s="2602"/>
      <c r="E569" s="2602"/>
      <c r="F569" s="2602"/>
      <c r="G569" s="2602"/>
      <c r="H569" s="2603"/>
      <c r="I569" s="2619">
        <v>100</v>
      </c>
      <c r="J569" s="2602">
        <f t="shared" si="92"/>
        <v>800</v>
      </c>
      <c r="K569" s="2602"/>
      <c r="L569" s="2602">
        <v>80</v>
      </c>
      <c r="M569" s="2602"/>
      <c r="N569" s="2603">
        <f t="shared" si="93"/>
        <v>80</v>
      </c>
      <c r="O569" s="2619">
        <v>50</v>
      </c>
      <c r="P569" s="2602">
        <f t="shared" si="94"/>
        <v>800</v>
      </c>
      <c r="Q569" s="2602"/>
      <c r="R569" s="2602">
        <v>40</v>
      </c>
      <c r="S569" s="2602"/>
      <c r="T569" s="2603">
        <f t="shared" si="95"/>
        <v>40</v>
      </c>
      <c r="U569" s="2619">
        <v>170</v>
      </c>
      <c r="V569" s="2602">
        <f t="shared" si="96"/>
        <v>830</v>
      </c>
      <c r="W569" s="2602"/>
      <c r="X569" s="2602">
        <v>141.1</v>
      </c>
      <c r="Y569" s="2603">
        <f t="shared" si="97"/>
        <v>141.1</v>
      </c>
      <c r="Z569" s="2603">
        <f t="shared" si="91"/>
        <v>0</v>
      </c>
      <c r="AA569" s="2603">
        <f t="shared" si="88"/>
        <v>0</v>
      </c>
      <c r="AB569" s="2603"/>
      <c r="AC569" s="2588"/>
      <c r="AD569" s="2637" t="s">
        <v>2619</v>
      </c>
    </row>
    <row r="570" spans="1:30" s="2612" customFormat="1" ht="31.5" x14ac:dyDescent="0.25">
      <c r="A570" s="2615"/>
      <c r="B570" s="2618" t="s">
        <v>2620</v>
      </c>
      <c r="C570" s="2619"/>
      <c r="D570" s="2602"/>
      <c r="E570" s="2602"/>
      <c r="F570" s="2602"/>
      <c r="G570" s="2602"/>
      <c r="H570" s="2603"/>
      <c r="I570" s="2619">
        <v>1</v>
      </c>
      <c r="J570" s="2602">
        <f t="shared" si="92"/>
        <v>21300</v>
      </c>
      <c r="K570" s="2602"/>
      <c r="L570" s="2602">
        <v>21.3</v>
      </c>
      <c r="M570" s="2602"/>
      <c r="N570" s="2603">
        <f t="shared" si="93"/>
        <v>21.3</v>
      </c>
      <c r="O570" s="2619">
        <v>1</v>
      </c>
      <c r="P570" s="2602">
        <f t="shared" si="94"/>
        <v>21300</v>
      </c>
      <c r="Q570" s="2602"/>
      <c r="R570" s="2602">
        <v>21.3</v>
      </c>
      <c r="S570" s="2602"/>
      <c r="T570" s="2603">
        <f t="shared" si="95"/>
        <v>21.3</v>
      </c>
      <c r="U570" s="2619">
        <v>1</v>
      </c>
      <c r="V570" s="2602">
        <f t="shared" si="96"/>
        <v>22000</v>
      </c>
      <c r="W570" s="2602"/>
      <c r="X570" s="2602">
        <v>22</v>
      </c>
      <c r="Y570" s="2603">
        <f t="shared" si="97"/>
        <v>22</v>
      </c>
      <c r="Z570" s="2603">
        <f t="shared" si="91"/>
        <v>0</v>
      </c>
      <c r="AA570" s="2603">
        <f t="shared" si="88"/>
        <v>0</v>
      </c>
      <c r="AB570" s="2603"/>
      <c r="AC570" s="2588"/>
      <c r="AD570" s="2638" t="s">
        <v>2621</v>
      </c>
    </row>
    <row r="571" spans="1:30" s="2612" customFormat="1" x14ac:dyDescent="0.25">
      <c r="A571" s="2615"/>
      <c r="B571" s="2618" t="s">
        <v>2622</v>
      </c>
      <c r="C571" s="2619"/>
      <c r="D571" s="2602"/>
      <c r="E571" s="2602"/>
      <c r="F571" s="2602"/>
      <c r="G571" s="2602"/>
      <c r="H571" s="2603"/>
      <c r="I571" s="2619"/>
      <c r="J571" s="2602"/>
      <c r="K571" s="2602"/>
      <c r="L571" s="2602"/>
      <c r="M571" s="2602"/>
      <c r="N571" s="2603"/>
      <c r="O571" s="2619"/>
      <c r="P571" s="2602"/>
      <c r="Q571" s="2602"/>
      <c r="R571" s="2602"/>
      <c r="S571" s="2602"/>
      <c r="T571" s="2603"/>
      <c r="U571" s="2619">
        <v>20</v>
      </c>
      <c r="V571" s="2602">
        <f t="shared" si="96"/>
        <v>250</v>
      </c>
      <c r="W571" s="2602"/>
      <c r="X571" s="2602">
        <v>5</v>
      </c>
      <c r="Y571" s="2603">
        <f t="shared" si="97"/>
        <v>5</v>
      </c>
      <c r="Z571" s="2603">
        <f t="shared" si="91"/>
        <v>0</v>
      </c>
      <c r="AA571" s="2603">
        <f t="shared" si="88"/>
        <v>0</v>
      </c>
      <c r="AB571" s="2603"/>
      <c r="AC571" s="2588"/>
      <c r="AD571" s="3671" t="s">
        <v>2623</v>
      </c>
    </row>
    <row r="572" spans="1:30" s="2612" customFormat="1" x14ac:dyDescent="0.25">
      <c r="A572" s="2615"/>
      <c r="B572" s="2618" t="s">
        <v>2624</v>
      </c>
      <c r="C572" s="2619"/>
      <c r="D572" s="2602"/>
      <c r="E572" s="2602"/>
      <c r="F572" s="2602"/>
      <c r="G572" s="2602"/>
      <c r="H572" s="2603"/>
      <c r="I572" s="2619"/>
      <c r="J572" s="2602"/>
      <c r="K572" s="2602"/>
      <c r="L572" s="2602"/>
      <c r="M572" s="2602"/>
      <c r="N572" s="2603"/>
      <c r="O572" s="2619"/>
      <c r="P572" s="2602"/>
      <c r="Q572" s="2602"/>
      <c r="R572" s="2602"/>
      <c r="S572" s="2602"/>
      <c r="T572" s="2603"/>
      <c r="U572" s="2619">
        <v>100</v>
      </c>
      <c r="V572" s="2602">
        <f t="shared" si="96"/>
        <v>130</v>
      </c>
      <c r="W572" s="2602"/>
      <c r="X572" s="2602">
        <v>13</v>
      </c>
      <c r="Y572" s="2603">
        <f t="shared" si="97"/>
        <v>13</v>
      </c>
      <c r="Z572" s="2603">
        <f t="shared" si="91"/>
        <v>0</v>
      </c>
      <c r="AA572" s="2603">
        <f t="shared" si="88"/>
        <v>0</v>
      </c>
      <c r="AB572" s="2603"/>
      <c r="AC572" s="2588"/>
      <c r="AD572" s="3671"/>
    </row>
    <row r="573" spans="1:30" s="2612" customFormat="1" x14ac:dyDescent="0.25">
      <c r="A573" s="2615"/>
      <c r="B573" s="2618" t="s">
        <v>2625</v>
      </c>
      <c r="C573" s="2619"/>
      <c r="D573" s="2602"/>
      <c r="E573" s="2602"/>
      <c r="F573" s="2602"/>
      <c r="G573" s="2602"/>
      <c r="H573" s="2603"/>
      <c r="I573" s="2619"/>
      <c r="J573" s="2602"/>
      <c r="K573" s="2602"/>
      <c r="L573" s="2602"/>
      <c r="M573" s="2602"/>
      <c r="N573" s="2603"/>
      <c r="O573" s="2619"/>
      <c r="P573" s="2602"/>
      <c r="Q573" s="2602"/>
      <c r="R573" s="2602"/>
      <c r="S573" s="2602"/>
      <c r="T573" s="2603"/>
      <c r="U573" s="2619">
        <v>10</v>
      </c>
      <c r="V573" s="2602">
        <f t="shared" si="96"/>
        <v>1350</v>
      </c>
      <c r="W573" s="2602">
        <v>13.5</v>
      </c>
      <c r="X573" s="2602">
        <v>0</v>
      </c>
      <c r="Y573" s="2603">
        <f t="shared" si="97"/>
        <v>13.5</v>
      </c>
      <c r="Z573" s="2603">
        <f t="shared" si="91"/>
        <v>13.5</v>
      </c>
      <c r="AA573" s="2603">
        <f t="shared" si="88"/>
        <v>0</v>
      </c>
      <c r="AB573" s="2603"/>
      <c r="AC573" s="2588"/>
      <c r="AD573" s="3671" t="s">
        <v>2626</v>
      </c>
    </row>
    <row r="574" spans="1:30" s="2612" customFormat="1" ht="31.5" x14ac:dyDescent="0.25">
      <c r="A574" s="2615"/>
      <c r="B574" s="2618" t="s">
        <v>2627</v>
      </c>
      <c r="C574" s="2619"/>
      <c r="D574" s="2602"/>
      <c r="E574" s="2602"/>
      <c r="F574" s="2602"/>
      <c r="G574" s="2602"/>
      <c r="H574" s="2603"/>
      <c r="I574" s="2619"/>
      <c r="J574" s="2602"/>
      <c r="K574" s="2602"/>
      <c r="L574" s="2602"/>
      <c r="M574" s="2602"/>
      <c r="N574" s="2603"/>
      <c r="O574" s="2619"/>
      <c r="P574" s="2602"/>
      <c r="Q574" s="2602"/>
      <c r="R574" s="2602"/>
      <c r="S574" s="2602"/>
      <c r="T574" s="2603"/>
      <c r="U574" s="2619">
        <v>96</v>
      </c>
      <c r="V574" s="2602">
        <f t="shared" si="96"/>
        <v>219.8</v>
      </c>
      <c r="W574" s="2602">
        <v>21.1</v>
      </c>
      <c r="X574" s="2602">
        <v>0</v>
      </c>
      <c r="Y574" s="2603">
        <f t="shared" si="97"/>
        <v>21.1</v>
      </c>
      <c r="Z574" s="2603">
        <f t="shared" si="91"/>
        <v>21.1</v>
      </c>
      <c r="AA574" s="2603">
        <f t="shared" si="88"/>
        <v>0</v>
      </c>
      <c r="AB574" s="2603"/>
      <c r="AC574" s="2588"/>
      <c r="AD574" s="3671"/>
    </row>
    <row r="575" spans="1:30" s="2612" customFormat="1" ht="31.5" x14ac:dyDescent="0.25">
      <c r="A575" s="2615"/>
      <c r="B575" s="2618" t="s">
        <v>2628</v>
      </c>
      <c r="C575" s="2619"/>
      <c r="D575" s="2602"/>
      <c r="E575" s="2602"/>
      <c r="F575" s="2602"/>
      <c r="G575" s="2602"/>
      <c r="H575" s="2603"/>
      <c r="I575" s="2619"/>
      <c r="J575" s="2602"/>
      <c r="K575" s="2602"/>
      <c r="L575" s="2602"/>
      <c r="M575" s="2602"/>
      <c r="N575" s="2603"/>
      <c r="O575" s="2619"/>
      <c r="P575" s="2602"/>
      <c r="Q575" s="2602"/>
      <c r="R575" s="2602"/>
      <c r="S575" s="2602"/>
      <c r="T575" s="2603"/>
      <c r="U575" s="2619">
        <v>240</v>
      </c>
      <c r="V575" s="2602">
        <f t="shared" si="96"/>
        <v>75</v>
      </c>
      <c r="W575" s="2602">
        <v>18</v>
      </c>
      <c r="X575" s="2602">
        <v>0</v>
      </c>
      <c r="Y575" s="2603">
        <f t="shared" si="97"/>
        <v>18</v>
      </c>
      <c r="Z575" s="2603">
        <f t="shared" si="91"/>
        <v>18</v>
      </c>
      <c r="AA575" s="2603">
        <f t="shared" si="88"/>
        <v>0</v>
      </c>
      <c r="AB575" s="2603"/>
      <c r="AC575" s="2588"/>
      <c r="AD575" s="3671"/>
    </row>
    <row r="576" spans="1:30" s="2612" customFormat="1" ht="31.5" x14ac:dyDescent="0.25">
      <c r="A576" s="2615"/>
      <c r="B576" s="2618" t="s">
        <v>2629</v>
      </c>
      <c r="C576" s="2619"/>
      <c r="D576" s="2602"/>
      <c r="E576" s="2602"/>
      <c r="F576" s="2602"/>
      <c r="G576" s="2602"/>
      <c r="H576" s="2603"/>
      <c r="I576" s="2619"/>
      <c r="J576" s="2602"/>
      <c r="K576" s="2602"/>
      <c r="L576" s="2602"/>
      <c r="M576" s="2602"/>
      <c r="N576" s="2603"/>
      <c r="O576" s="2619"/>
      <c r="P576" s="2602"/>
      <c r="Q576" s="2602"/>
      <c r="R576" s="2602"/>
      <c r="S576" s="2602"/>
      <c r="T576" s="2603"/>
      <c r="U576" s="2619">
        <v>60</v>
      </c>
      <c r="V576" s="2602">
        <f t="shared" si="96"/>
        <v>66.7</v>
      </c>
      <c r="W576" s="2602">
        <v>3</v>
      </c>
      <c r="X576" s="2602">
        <v>1</v>
      </c>
      <c r="Y576" s="2603">
        <f t="shared" si="97"/>
        <v>4</v>
      </c>
      <c r="Z576" s="2603">
        <f t="shared" si="91"/>
        <v>3</v>
      </c>
      <c r="AA576" s="2603">
        <f t="shared" si="88"/>
        <v>0</v>
      </c>
      <c r="AB576" s="2603"/>
      <c r="AC576" s="2588"/>
      <c r="AD576" s="3671"/>
    </row>
    <row r="577" spans="1:30" s="2612" customFormat="1" x14ac:dyDescent="0.25">
      <c r="A577" s="2615"/>
      <c r="B577" s="2618" t="s">
        <v>1617</v>
      </c>
      <c r="C577" s="2619"/>
      <c r="D577" s="2602"/>
      <c r="E577" s="2602"/>
      <c r="F577" s="2602"/>
      <c r="G577" s="2602"/>
      <c r="H577" s="2603"/>
      <c r="I577" s="2619">
        <v>100</v>
      </c>
      <c r="J577" s="2602">
        <f t="shared" ref="J577" si="98">(L577/I577*1000)+(K577/I577*1000)</f>
        <v>1710</v>
      </c>
      <c r="K577" s="2602"/>
      <c r="L577" s="2602">
        <v>171</v>
      </c>
      <c r="M577" s="2602"/>
      <c r="N577" s="2603">
        <f t="shared" ref="N577" si="99">SUM(K577:M577)</f>
        <v>171</v>
      </c>
      <c r="O577" s="2619">
        <v>100</v>
      </c>
      <c r="P577" s="2602">
        <f t="shared" ref="P577" si="100">(R577/O577*1000)+(Q577/O577*1000)</f>
        <v>1710</v>
      </c>
      <c r="Q577" s="2602"/>
      <c r="R577" s="2602">
        <v>171</v>
      </c>
      <c r="S577" s="2602"/>
      <c r="T577" s="2603">
        <f t="shared" ref="T577" si="101">SUM(Q577:S577)</f>
        <v>171</v>
      </c>
      <c r="U577" s="2619">
        <v>100</v>
      </c>
      <c r="V577" s="2602">
        <f t="shared" si="96"/>
        <v>1710</v>
      </c>
      <c r="W577" s="2602"/>
      <c r="X577" s="2602">
        <v>171</v>
      </c>
      <c r="Y577" s="2603">
        <f t="shared" si="97"/>
        <v>171</v>
      </c>
      <c r="Z577" s="2603">
        <f t="shared" si="91"/>
        <v>0</v>
      </c>
      <c r="AA577" s="2603">
        <f t="shared" si="88"/>
        <v>0</v>
      </c>
      <c r="AB577" s="2603"/>
      <c r="AC577" s="2588"/>
      <c r="AD577" s="2637" t="s">
        <v>2630</v>
      </c>
    </row>
    <row r="578" spans="1:30" s="2612" customFormat="1" x14ac:dyDescent="0.25">
      <c r="A578" s="2615"/>
      <c r="B578" s="2618"/>
      <c r="C578" s="2619"/>
      <c r="D578" s="2602"/>
      <c r="E578" s="2602"/>
      <c r="F578" s="2602"/>
      <c r="G578" s="2602"/>
      <c r="H578" s="2603"/>
      <c r="I578" s="2619"/>
      <c r="J578" s="2602"/>
      <c r="K578" s="2602"/>
      <c r="L578" s="2602"/>
      <c r="M578" s="2602"/>
      <c r="N578" s="2603"/>
      <c r="O578" s="2619"/>
      <c r="P578" s="2602"/>
      <c r="Q578" s="2602"/>
      <c r="R578" s="2602"/>
      <c r="S578" s="2602"/>
      <c r="T578" s="2603"/>
      <c r="U578" s="2619"/>
      <c r="V578" s="2602"/>
      <c r="W578" s="2602"/>
      <c r="X578" s="2602"/>
      <c r="Y578" s="2603"/>
      <c r="Z578" s="2603"/>
      <c r="AA578" s="2603"/>
      <c r="AB578" s="2603"/>
      <c r="AC578" s="2603"/>
      <c r="AD578" s="2639"/>
    </row>
    <row r="579" spans="1:30" s="2612" customFormat="1" x14ac:dyDescent="0.25">
      <c r="A579" s="2617"/>
      <c r="B579" s="2618"/>
      <c r="C579" s="2619"/>
      <c r="D579" s="2602"/>
      <c r="E579" s="2602"/>
      <c r="F579" s="2602"/>
      <c r="G579" s="2602"/>
      <c r="H579" s="2603"/>
      <c r="I579" s="2619"/>
      <c r="J579" s="2602"/>
      <c r="K579" s="2602"/>
      <c r="L579" s="2602"/>
      <c r="M579" s="2602"/>
      <c r="N579" s="2603"/>
      <c r="O579" s="2619"/>
      <c r="P579" s="2602"/>
      <c r="Q579" s="2602"/>
      <c r="R579" s="2602"/>
      <c r="S579" s="2602"/>
      <c r="T579" s="2603"/>
      <c r="U579" s="2619"/>
      <c r="V579" s="2602"/>
      <c r="W579" s="2602"/>
      <c r="X579" s="2602"/>
      <c r="Y579" s="2603"/>
      <c r="Z579" s="2603"/>
      <c r="AA579" s="2603"/>
      <c r="AB579" s="2603"/>
      <c r="AC579" s="2603"/>
      <c r="AD579" s="2639"/>
    </row>
    <row r="580" spans="1:30" s="2689" customFormat="1" ht="24.75" customHeight="1" x14ac:dyDescent="0.25">
      <c r="A580" s="2685"/>
      <c r="B580" s="2685" t="s">
        <v>758</v>
      </c>
      <c r="C580" s="2686">
        <f>C11+C25+C29+C56+C57+C141+C186+C228+C237</f>
        <v>35783</v>
      </c>
      <c r="D580" s="2687">
        <f t="shared" ref="D580:AC580" si="102">D11+D25+D29+D56+D57+D141+D186+D228+D237</f>
        <v>875357.9</v>
      </c>
      <c r="E580" s="2687">
        <f t="shared" si="102"/>
        <v>1037.8</v>
      </c>
      <c r="F580" s="2687">
        <f t="shared" si="102"/>
        <v>1096.2</v>
      </c>
      <c r="G580" s="2687">
        <f t="shared" si="102"/>
        <v>0</v>
      </c>
      <c r="H580" s="2688">
        <f t="shared" si="102"/>
        <v>2134</v>
      </c>
      <c r="I580" s="2686">
        <f t="shared" si="102"/>
        <v>44854</v>
      </c>
      <c r="J580" s="2687">
        <f t="shared" si="102"/>
        <v>223525.4</v>
      </c>
      <c r="K580" s="2687">
        <f t="shared" si="102"/>
        <v>0</v>
      </c>
      <c r="L580" s="2687">
        <f t="shared" si="102"/>
        <v>985.6</v>
      </c>
      <c r="M580" s="2687">
        <f t="shared" si="102"/>
        <v>0</v>
      </c>
      <c r="N580" s="2688">
        <f t="shared" si="102"/>
        <v>985.6</v>
      </c>
      <c r="O580" s="2686">
        <f t="shared" si="102"/>
        <v>37810</v>
      </c>
      <c r="P580" s="2687">
        <f t="shared" si="102"/>
        <v>218882.5</v>
      </c>
      <c r="Q580" s="2687">
        <f t="shared" si="102"/>
        <v>0</v>
      </c>
      <c r="R580" s="2687">
        <f t="shared" si="102"/>
        <v>1048</v>
      </c>
      <c r="S580" s="2687">
        <f t="shared" si="102"/>
        <v>0</v>
      </c>
      <c r="T580" s="2688">
        <f t="shared" si="102"/>
        <v>1048</v>
      </c>
      <c r="U580" s="2686">
        <f t="shared" si="102"/>
        <v>54797</v>
      </c>
      <c r="V580" s="2687">
        <f t="shared" si="102"/>
        <v>26633.5</v>
      </c>
      <c r="W580" s="2687">
        <f t="shared" si="102"/>
        <v>55.6</v>
      </c>
      <c r="X580" s="2687">
        <f t="shared" si="102"/>
        <v>1406.6</v>
      </c>
      <c r="Y580" s="2688">
        <f t="shared" si="102"/>
        <v>1462.2</v>
      </c>
      <c r="Z580" s="2688">
        <f t="shared" si="102"/>
        <v>55.6</v>
      </c>
      <c r="AA580" s="2688">
        <f t="shared" ref="AA580" si="103">IFERROR(W580/K580*100,0)</f>
        <v>0</v>
      </c>
      <c r="AB580" s="2889">
        <f t="shared" si="102"/>
        <v>55.6</v>
      </c>
      <c r="AC580" s="2889">
        <f t="shared" si="102"/>
        <v>55.6</v>
      </c>
      <c r="AD580" s="2685"/>
    </row>
    <row r="581" spans="1:30" s="2612" customFormat="1" ht="27.75" customHeight="1" x14ac:dyDescent="0.25">
      <c r="A581" s="2890"/>
      <c r="B581" s="2891"/>
      <c r="C581" s="2892"/>
      <c r="D581" s="2893"/>
      <c r="E581" s="2893"/>
      <c r="F581" s="2893"/>
      <c r="G581" s="2893"/>
      <c r="H581" s="2894"/>
      <c r="I581" s="2892"/>
      <c r="J581" s="2893"/>
      <c r="K581" s="2893"/>
      <c r="L581" s="2893"/>
      <c r="M581" s="2893"/>
      <c r="N581" s="2894"/>
      <c r="O581" s="2892"/>
      <c r="P581" s="2893"/>
      <c r="Q581" s="2893"/>
      <c r="R581" s="2893"/>
      <c r="S581" s="2893"/>
      <c r="T581" s="2894"/>
      <c r="U581" s="2892"/>
      <c r="V581" s="2893"/>
      <c r="W581" s="2893"/>
      <c r="X581" s="2893"/>
      <c r="Y581" s="2894"/>
      <c r="Z581" s="2894"/>
      <c r="AA581" s="2894"/>
      <c r="AB581" s="2895"/>
      <c r="AC581" s="2895"/>
      <c r="AD581" s="2896"/>
    </row>
    <row r="582" spans="1:30" s="2663" customFormat="1" x14ac:dyDescent="0.25">
      <c r="A582" s="2640"/>
      <c r="B582" s="2661"/>
      <c r="C582" s="2641"/>
      <c r="D582" s="2642"/>
      <c r="E582" s="2642"/>
      <c r="F582" s="2642"/>
      <c r="G582" s="2642"/>
      <c r="H582" s="2643"/>
      <c r="I582" s="2641"/>
      <c r="J582" s="2642"/>
      <c r="K582" s="2642"/>
      <c r="L582" s="2642"/>
      <c r="M582" s="2642"/>
      <c r="N582" s="2643"/>
      <c r="O582" s="2641"/>
      <c r="P582" s="2642"/>
      <c r="Q582" s="2601" t="s">
        <v>1267</v>
      </c>
      <c r="R582" s="2664">
        <v>2020</v>
      </c>
      <c r="S582" s="2664">
        <v>2021</v>
      </c>
      <c r="T582" s="2664">
        <v>2022</v>
      </c>
      <c r="U582" s="2641"/>
      <c r="V582" s="2642"/>
      <c r="W582" s="2642"/>
      <c r="X582" s="2642"/>
      <c r="Y582" s="2643"/>
      <c r="Z582" s="2643"/>
      <c r="AA582" s="2643"/>
      <c r="AB582" s="2643"/>
      <c r="AC582" s="2643"/>
      <c r="AD582" s="2662"/>
    </row>
    <row r="583" spans="1:30" s="2663" customFormat="1" ht="47.25" x14ac:dyDescent="0.25">
      <c r="A583" s="2640"/>
      <c r="B583" s="2661"/>
      <c r="C583" s="2641"/>
      <c r="D583" s="2642"/>
      <c r="E583" s="2642"/>
      <c r="F583" s="2642"/>
      <c r="G583" s="2642"/>
      <c r="H583" s="2643"/>
      <c r="I583" s="2641"/>
      <c r="J583" s="2642"/>
      <c r="K583" s="2642"/>
      <c r="L583" s="2642"/>
      <c r="M583" s="2642"/>
      <c r="N583" s="2643"/>
      <c r="O583" s="2641"/>
      <c r="P583" s="2642"/>
      <c r="Q583" s="2601" t="s">
        <v>2631</v>
      </c>
      <c r="R583" s="2601">
        <v>55.6</v>
      </c>
      <c r="S583" s="2601">
        <v>55.6</v>
      </c>
      <c r="T583" s="2601">
        <v>55.6</v>
      </c>
      <c r="U583" s="2641"/>
      <c r="V583" s="2642"/>
      <c r="W583" s="2642"/>
      <c r="X583" s="2642"/>
      <c r="Y583" s="2643"/>
      <c r="Z583" s="2643"/>
      <c r="AA583" s="2643"/>
      <c r="AB583" s="2643"/>
      <c r="AC583" s="2643"/>
      <c r="AD583" s="2662"/>
    </row>
    <row r="584" spans="1:30" s="2663" customFormat="1" ht="31.5" x14ac:dyDescent="0.25">
      <c r="A584" s="2640"/>
      <c r="B584" s="2661"/>
      <c r="C584" s="2641"/>
      <c r="D584" s="2642"/>
      <c r="E584" s="2642"/>
      <c r="F584" s="2642"/>
      <c r="G584" s="2642"/>
      <c r="H584" s="2643"/>
      <c r="I584" s="2641"/>
      <c r="J584" s="2642"/>
      <c r="K584" s="2642"/>
      <c r="L584" s="2642"/>
      <c r="M584" s="2642"/>
      <c r="N584" s="2643"/>
      <c r="O584" s="2641"/>
      <c r="P584" s="2642"/>
      <c r="Q584" s="2601" t="s">
        <v>1266</v>
      </c>
      <c r="R584" s="2601">
        <f>'б-т 981 Стим-е (01.01.20)'!S187</f>
        <v>58.9</v>
      </c>
      <c r="S584" s="2601">
        <f>'б-т 981 Стим-е (01.01.20)'!X187</f>
        <v>58.9</v>
      </c>
      <c r="T584" s="2601">
        <f>'б-т 981 Стим-е (01.01.20)'!Y187</f>
        <v>58.9</v>
      </c>
      <c r="U584" s="2641"/>
      <c r="V584" s="2642"/>
      <c r="W584" s="2642"/>
      <c r="X584" s="2642"/>
      <c r="Y584" s="2643"/>
      <c r="Z584" s="2643"/>
      <c r="AA584" s="2643"/>
      <c r="AB584" s="2643"/>
      <c r="AC584" s="2643"/>
      <c r="AD584" s="2662"/>
    </row>
    <row r="585" spans="1:30" s="2663" customFormat="1" x14ac:dyDescent="0.25">
      <c r="A585" s="2640"/>
      <c r="B585" s="2661"/>
      <c r="C585" s="2641"/>
      <c r="D585" s="2642"/>
      <c r="E585" s="2642"/>
      <c r="F585" s="2642"/>
      <c r="G585" s="2642"/>
      <c r="H585" s="2643"/>
      <c r="I585" s="2641"/>
      <c r="J585" s="2642"/>
      <c r="K585" s="2642"/>
      <c r="L585" s="2642"/>
      <c r="M585" s="2642"/>
      <c r="N585" s="2643"/>
      <c r="O585" s="2641"/>
      <c r="P585" s="2642"/>
      <c r="Q585" s="2601" t="s">
        <v>802</v>
      </c>
      <c r="R585" s="2601">
        <f>'б-т 981 ПГ (01.01.20)'!R425+'б-т 981 ПГ (01.01.20)'!R426+'б-т 981 ПГ (01.01.20)'!R427</f>
        <v>379.8</v>
      </c>
      <c r="S585" s="2601">
        <f>'б-т 981 ПГ (01.01.20)'!V425+'б-т 981 ПГ (01.01.20)'!V426+'б-т 981 ПГ (01.01.20)'!V427</f>
        <v>393.7</v>
      </c>
      <c r="T585" s="2601">
        <f>'б-т 981 ПГ (01.01.20)'!Y425+'б-т 981 ПГ (01.01.20)'!Y426+'б-т 981 ПГ (01.01.20)'!Y427</f>
        <v>393.7</v>
      </c>
      <c r="U585" s="2641"/>
      <c r="V585" s="2642"/>
      <c r="W585" s="2642"/>
      <c r="X585" s="2642"/>
      <c r="Y585" s="2643"/>
      <c r="Z585" s="2643"/>
      <c r="AA585" s="2643"/>
      <c r="AB585" s="2643"/>
      <c r="AC585" s="2643"/>
      <c r="AD585" s="2662"/>
    </row>
    <row r="586" spans="1:30" s="2663" customFormat="1" x14ac:dyDescent="0.25">
      <c r="A586" s="2640"/>
      <c r="B586" s="2661"/>
      <c r="C586" s="2641"/>
      <c r="D586" s="2642"/>
      <c r="E586" s="2642"/>
      <c r="F586" s="2642"/>
      <c r="G586" s="2642"/>
      <c r="H586" s="2643"/>
      <c r="I586" s="2641"/>
      <c r="J586" s="2642"/>
      <c r="K586" s="2642"/>
      <c r="L586" s="2642"/>
      <c r="M586" s="2642"/>
      <c r="N586" s="2643"/>
      <c r="O586" s="2641"/>
      <c r="P586" s="2642"/>
      <c r="Q586" s="2601" t="s">
        <v>2181</v>
      </c>
      <c r="R586" s="2601">
        <f>'б-т накомания 981 (01.01.20)'!Q49</f>
        <v>10.6</v>
      </c>
      <c r="S586" s="2601">
        <f>'б-т накомания 981 (01.01.20)'!T49</f>
        <v>10.6</v>
      </c>
      <c r="T586" s="2601">
        <f>'б-т накомания 981 (01.01.20)'!W49</f>
        <v>10.6</v>
      </c>
      <c r="U586" s="2641"/>
      <c r="V586" s="2642"/>
      <c r="W586" s="2642"/>
      <c r="X586" s="2642"/>
      <c r="Y586" s="2643"/>
      <c r="Z586" s="2643"/>
      <c r="AA586" s="2643"/>
      <c r="AB586" s="2643"/>
      <c r="AC586" s="2643"/>
      <c r="AD586" s="2662"/>
    </row>
    <row r="587" spans="1:30" s="2663" customFormat="1" x14ac:dyDescent="0.25">
      <c r="A587" s="2640"/>
      <c r="B587" s="2661"/>
      <c r="C587" s="2641"/>
      <c r="D587" s="2642"/>
      <c r="E587" s="2642"/>
      <c r="F587" s="2642"/>
      <c r="G587" s="2642"/>
      <c r="H587" s="2643"/>
      <c r="I587" s="2641"/>
      <c r="J587" s="2642"/>
      <c r="K587" s="2642"/>
      <c r="L587" s="2642"/>
      <c r="M587" s="2642"/>
      <c r="N587" s="2643"/>
      <c r="O587" s="2641"/>
      <c r="P587" s="2642"/>
      <c r="Q587" s="2601" t="s">
        <v>97</v>
      </c>
      <c r="R587" s="2601">
        <f>SUM(R583:R586)</f>
        <v>504.9</v>
      </c>
      <c r="S587" s="2601">
        <f t="shared" ref="S587:T587" si="104">SUM(S583:S586)</f>
        <v>518.79999999999995</v>
      </c>
      <c r="T587" s="2601">
        <f t="shared" si="104"/>
        <v>518.79999999999995</v>
      </c>
      <c r="U587" s="2641"/>
      <c r="V587" s="2642"/>
      <c r="W587" s="2642"/>
      <c r="X587" s="2642"/>
      <c r="Y587" s="2643"/>
      <c r="Z587" s="2643"/>
      <c r="AA587" s="2643"/>
      <c r="AB587" s="2643"/>
      <c r="AC587" s="2643"/>
      <c r="AD587" s="2662"/>
    </row>
    <row r="588" spans="1:30" s="2644" customFormat="1" ht="20.25" x14ac:dyDescent="0.3">
      <c r="A588" s="3122"/>
      <c r="B588" s="3123"/>
      <c r="C588" s="3669"/>
      <c r="D588" s="3670"/>
      <c r="E588" s="3670"/>
      <c r="F588" s="3124"/>
      <c r="G588" s="3124"/>
      <c r="H588" s="3125"/>
      <c r="I588" s="3669"/>
      <c r="J588" s="3670"/>
      <c r="K588" s="3126"/>
      <c r="L588" s="2645"/>
      <c r="M588" s="2645"/>
      <c r="N588" s="2646"/>
      <c r="O588" s="2647"/>
      <c r="P588" s="2645"/>
      <c r="Q588" s="2645"/>
      <c r="R588" s="2645"/>
      <c r="S588" s="2645"/>
      <c r="T588" s="2648"/>
      <c r="U588" s="2647"/>
      <c r="V588" s="2645"/>
      <c r="W588" s="2645"/>
      <c r="X588" s="2645"/>
      <c r="Y588" s="2646"/>
      <c r="Z588" s="2648"/>
      <c r="AA588" s="2648"/>
      <c r="AB588" s="2649"/>
      <c r="AC588" s="2649"/>
    </row>
    <row r="589" spans="1:30" s="2650" customFormat="1" ht="18.75" x14ac:dyDescent="0.3">
      <c r="A589" s="3127"/>
      <c r="B589" s="3128"/>
      <c r="C589" s="3666"/>
      <c r="D589" s="3667"/>
      <c r="E589" s="3667"/>
      <c r="F589" s="3129"/>
      <c r="G589" s="3129"/>
      <c r="H589" s="3130"/>
      <c r="I589" s="3666"/>
      <c r="J589" s="3667"/>
      <c r="K589" s="3131"/>
      <c r="L589" s="2651"/>
      <c r="M589" s="2651"/>
      <c r="N589" s="2652"/>
      <c r="O589" s="2653"/>
      <c r="P589" s="2651"/>
      <c r="Q589" s="2651"/>
      <c r="R589" s="2651"/>
      <c r="S589" s="2651"/>
      <c r="T589" s="2654"/>
      <c r="U589" s="2653"/>
      <c r="V589" s="2651"/>
      <c r="W589" s="2651"/>
      <c r="X589" s="2651"/>
      <c r="Y589" s="2652"/>
      <c r="Z589" s="2654"/>
      <c r="AA589" s="2654"/>
      <c r="AB589" s="2655"/>
      <c r="AC589" s="2655"/>
    </row>
    <row r="590" spans="1:30" x14ac:dyDescent="0.25">
      <c r="A590" s="3132"/>
      <c r="B590" s="3133"/>
      <c r="C590" s="3134"/>
      <c r="D590" s="3135"/>
      <c r="E590" s="3135"/>
      <c r="F590" s="3135"/>
      <c r="G590" s="3135"/>
      <c r="H590" s="3136"/>
      <c r="I590" s="3134"/>
      <c r="J590" s="3135"/>
      <c r="K590" s="3135"/>
      <c r="N590" s="2576"/>
      <c r="Y590" s="2576"/>
      <c r="AB590" s="2578"/>
      <c r="AC590" s="2578"/>
    </row>
    <row r="591" spans="1:30" s="2650" customFormat="1" ht="18.75" x14ac:dyDescent="0.3">
      <c r="A591" s="3127"/>
      <c r="B591" s="3128"/>
      <c r="C591" s="3137"/>
      <c r="D591" s="3129"/>
      <c r="E591" s="3129"/>
      <c r="F591" s="3129"/>
      <c r="G591" s="3129"/>
      <c r="H591" s="3130"/>
      <c r="I591" s="3137"/>
      <c r="J591" s="3129"/>
      <c r="K591" s="3129"/>
      <c r="L591" s="2651"/>
      <c r="M591" s="2651"/>
      <c r="N591" s="2652"/>
      <c r="O591" s="2656"/>
      <c r="P591" s="2657"/>
      <c r="Q591" s="2657"/>
      <c r="R591" s="2657"/>
      <c r="S591" s="2657"/>
      <c r="T591" s="2652"/>
      <c r="U591" s="2653"/>
      <c r="V591" s="2651"/>
      <c r="W591" s="2651"/>
      <c r="X591" s="2651"/>
      <c r="Y591" s="2652"/>
      <c r="Z591" s="2654"/>
      <c r="AA591" s="2654"/>
      <c r="AB591" s="2657"/>
      <c r="AC591" s="2657"/>
    </row>
    <row r="592" spans="1:30" s="2650" customFormat="1" ht="18.75" x14ac:dyDescent="0.3">
      <c r="A592" s="3127"/>
      <c r="B592" s="3138"/>
      <c r="C592" s="3139"/>
      <c r="D592" s="3140"/>
      <c r="E592" s="3129"/>
      <c r="F592" s="3129"/>
      <c r="G592" s="3129"/>
      <c r="H592" s="3130"/>
      <c r="I592" s="3137"/>
      <c r="J592" s="3129"/>
      <c r="K592" s="3129"/>
      <c r="L592" s="2651"/>
      <c r="M592" s="2651"/>
      <c r="N592" s="2652"/>
      <c r="O592" s="2653"/>
      <c r="P592" s="2651"/>
      <c r="Q592" s="2651"/>
      <c r="R592" s="2651"/>
      <c r="S592" s="2651"/>
      <c r="T592" s="2654"/>
      <c r="U592" s="2653"/>
      <c r="V592" s="2651"/>
      <c r="W592" s="2651"/>
      <c r="X592" s="2651"/>
      <c r="Y592" s="2652"/>
      <c r="Z592" s="2654"/>
      <c r="AA592" s="2654"/>
      <c r="AB592" s="2657"/>
      <c r="AC592" s="2657"/>
    </row>
    <row r="593" spans="1:29" ht="18.75" x14ac:dyDescent="0.3">
      <c r="A593" s="3132"/>
      <c r="B593" s="3141"/>
      <c r="C593" s="3134"/>
      <c r="D593" s="3135"/>
      <c r="E593" s="3135"/>
      <c r="F593" s="3135"/>
      <c r="G593" s="3135"/>
      <c r="H593" s="3136"/>
      <c r="I593" s="3134"/>
      <c r="J593" s="3135"/>
      <c r="K593" s="3135"/>
      <c r="N593" s="2576"/>
      <c r="Y593" s="2576"/>
      <c r="AB593" s="2578"/>
      <c r="AC593" s="2578"/>
    </row>
    <row r="594" spans="1:29" x14ac:dyDescent="0.25">
      <c r="A594" s="3132"/>
      <c r="B594" s="3133"/>
      <c r="C594" s="3134"/>
      <c r="D594" s="3135"/>
      <c r="E594" s="3135"/>
      <c r="F594" s="3135"/>
      <c r="G594" s="3135"/>
      <c r="H594" s="3136"/>
      <c r="I594" s="3134"/>
      <c r="J594" s="3135"/>
      <c r="K594" s="3135"/>
      <c r="N594" s="2576"/>
      <c r="Y594" s="2576"/>
      <c r="AB594" s="2578"/>
      <c r="AC594" s="2578"/>
    </row>
    <row r="595" spans="1:29" x14ac:dyDescent="0.25">
      <c r="A595" s="3132"/>
      <c r="B595" s="3133"/>
      <c r="C595" s="3134"/>
      <c r="D595" s="3135"/>
      <c r="E595" s="3135"/>
      <c r="F595" s="3135"/>
      <c r="G595" s="3135"/>
      <c r="H595" s="3136"/>
      <c r="I595" s="3134"/>
      <c r="J595" s="3135"/>
      <c r="K595" s="3135"/>
      <c r="N595" s="2576"/>
      <c r="Y595" s="2576"/>
      <c r="AB595" s="2578"/>
      <c r="AC595" s="2578"/>
    </row>
    <row r="596" spans="1:29" x14ac:dyDescent="0.25">
      <c r="H596" s="2576"/>
      <c r="N596" s="2576"/>
      <c r="Y596" s="2576"/>
      <c r="AB596" s="2578"/>
      <c r="AC596" s="2578"/>
    </row>
    <row r="597" spans="1:29" x14ac:dyDescent="0.25">
      <c r="H597" s="2576"/>
      <c r="N597" s="2576"/>
      <c r="Y597" s="2576"/>
      <c r="AB597" s="2578"/>
      <c r="AC597" s="2578"/>
    </row>
    <row r="598" spans="1:29" x14ac:dyDescent="0.25">
      <c r="H598" s="2576"/>
      <c r="N598" s="2576"/>
      <c r="Y598" s="2576"/>
      <c r="AB598" s="2578"/>
      <c r="AC598" s="2578"/>
    </row>
    <row r="599" spans="1:29" x14ac:dyDescent="0.25">
      <c r="H599" s="2576"/>
      <c r="N599" s="2576"/>
      <c r="Y599" s="2576"/>
      <c r="AB599" s="2578"/>
      <c r="AC599" s="2578"/>
    </row>
    <row r="600" spans="1:29" x14ac:dyDescent="0.25">
      <c r="H600" s="2576"/>
      <c r="N600" s="2576"/>
      <c r="Y600" s="2576"/>
      <c r="AB600" s="2578"/>
      <c r="AC600" s="2578"/>
    </row>
    <row r="601" spans="1:29" x14ac:dyDescent="0.25">
      <c r="H601" s="2576"/>
      <c r="N601" s="2576"/>
      <c r="Y601" s="2576"/>
      <c r="AB601" s="2578"/>
      <c r="AC601" s="2578"/>
    </row>
    <row r="602" spans="1:29" x14ac:dyDescent="0.25">
      <c r="H602" s="2576"/>
      <c r="N602" s="2576"/>
      <c r="Y602" s="2576"/>
      <c r="AB602" s="2578"/>
      <c r="AC602" s="2578"/>
    </row>
    <row r="603" spans="1:29" x14ac:dyDescent="0.25">
      <c r="H603" s="2576"/>
      <c r="N603" s="2576"/>
      <c r="Y603" s="2576"/>
      <c r="AB603" s="2578"/>
      <c r="AC603" s="2578"/>
    </row>
    <row r="604" spans="1:29" x14ac:dyDescent="0.25">
      <c r="H604" s="2576"/>
      <c r="N604" s="2576"/>
      <c r="Y604" s="2576"/>
      <c r="AB604" s="2578"/>
      <c r="AC604" s="2578"/>
    </row>
    <row r="605" spans="1:29" x14ac:dyDescent="0.25">
      <c r="H605" s="2576"/>
      <c r="N605" s="2576"/>
      <c r="Y605" s="2576"/>
      <c r="AB605" s="2578"/>
      <c r="AC605" s="2578"/>
    </row>
    <row r="606" spans="1:29" x14ac:dyDescent="0.25">
      <c r="H606" s="2576"/>
      <c r="N606" s="2576"/>
      <c r="Y606" s="2576"/>
      <c r="AB606" s="2578"/>
      <c r="AC606" s="2578"/>
    </row>
    <row r="607" spans="1:29" x14ac:dyDescent="0.25">
      <c r="H607" s="2576"/>
      <c r="N607" s="2576"/>
      <c r="Y607" s="2576"/>
      <c r="AB607" s="2578"/>
      <c r="AC607" s="2578"/>
    </row>
    <row r="608" spans="1:29" x14ac:dyDescent="0.25">
      <c r="H608" s="2576"/>
      <c r="N608" s="2576"/>
      <c r="Y608" s="2576"/>
      <c r="AB608" s="2578"/>
      <c r="AC608" s="2578"/>
    </row>
    <row r="609" spans="8:29" x14ac:dyDescent="0.25">
      <c r="H609" s="2576"/>
      <c r="N609" s="2576"/>
      <c r="Y609" s="2576"/>
      <c r="AB609" s="2578"/>
      <c r="AC609" s="2578"/>
    </row>
    <row r="610" spans="8:29" x14ac:dyDescent="0.25">
      <c r="H610" s="2576"/>
      <c r="N610" s="2576"/>
      <c r="Y610" s="2576"/>
      <c r="AB610" s="2578"/>
      <c r="AC610" s="2578"/>
    </row>
    <row r="611" spans="8:29" x14ac:dyDescent="0.25">
      <c r="H611" s="2576"/>
      <c r="N611" s="2576"/>
      <c r="Y611" s="2576"/>
      <c r="AB611" s="2578"/>
      <c r="AC611" s="2578"/>
    </row>
    <row r="612" spans="8:29" x14ac:dyDescent="0.25">
      <c r="H612" s="2576"/>
      <c r="N612" s="2576"/>
      <c r="Y612" s="2576"/>
      <c r="AB612" s="2578"/>
      <c r="AC612" s="2578"/>
    </row>
    <row r="613" spans="8:29" x14ac:dyDescent="0.25">
      <c r="H613" s="2576"/>
      <c r="N613" s="2576"/>
      <c r="Y613" s="2576"/>
      <c r="AB613" s="2578"/>
      <c r="AC613" s="2578"/>
    </row>
    <row r="614" spans="8:29" x14ac:dyDescent="0.25">
      <c r="H614" s="2576"/>
      <c r="N614" s="2576"/>
      <c r="Y614" s="2576"/>
      <c r="AB614" s="2578"/>
      <c r="AC614" s="2578"/>
    </row>
    <row r="615" spans="8:29" x14ac:dyDescent="0.25">
      <c r="H615" s="2576"/>
      <c r="N615" s="2576"/>
      <c r="Y615" s="2576"/>
      <c r="AB615" s="2578"/>
      <c r="AC615" s="2578"/>
    </row>
    <row r="616" spans="8:29" x14ac:dyDescent="0.25">
      <c r="H616" s="2576"/>
      <c r="N616" s="2576"/>
      <c r="Y616" s="2576"/>
      <c r="AB616" s="2578"/>
      <c r="AC616" s="2578"/>
    </row>
    <row r="617" spans="8:29" x14ac:dyDescent="0.25">
      <c r="H617" s="2576"/>
      <c r="N617" s="2576"/>
      <c r="Y617" s="2576"/>
      <c r="AB617" s="2578"/>
      <c r="AC617" s="2578"/>
    </row>
    <row r="618" spans="8:29" x14ac:dyDescent="0.25">
      <c r="H618" s="2576"/>
      <c r="N618" s="2576"/>
      <c r="Y618" s="2576"/>
      <c r="AB618" s="2578"/>
      <c r="AC618" s="2578"/>
    </row>
    <row r="619" spans="8:29" x14ac:dyDescent="0.25">
      <c r="H619" s="2576"/>
      <c r="N619" s="2576"/>
      <c r="Y619" s="2576"/>
      <c r="AB619" s="2578"/>
      <c r="AC619" s="2578"/>
    </row>
    <row r="620" spans="8:29" x14ac:dyDescent="0.25">
      <c r="H620" s="2576"/>
      <c r="N620" s="2576"/>
      <c r="Y620" s="2576"/>
      <c r="AB620" s="2578"/>
      <c r="AC620" s="2578"/>
    </row>
    <row r="621" spans="8:29" x14ac:dyDescent="0.25">
      <c r="H621" s="2576"/>
      <c r="N621" s="2576"/>
      <c r="Y621" s="2576"/>
      <c r="AB621" s="2578"/>
      <c r="AC621" s="2578"/>
    </row>
    <row r="622" spans="8:29" x14ac:dyDescent="0.25">
      <c r="H622" s="2576"/>
      <c r="N622" s="2576"/>
      <c r="Y622" s="2576"/>
      <c r="AB622" s="2578"/>
      <c r="AC622" s="2578"/>
    </row>
    <row r="623" spans="8:29" x14ac:dyDescent="0.25">
      <c r="H623" s="2576"/>
      <c r="N623" s="2576"/>
      <c r="Y623" s="2576"/>
      <c r="AB623" s="2578"/>
      <c r="AC623" s="2578"/>
    </row>
    <row r="624" spans="8:29" x14ac:dyDescent="0.25">
      <c r="H624" s="2576"/>
      <c r="N624" s="2576"/>
      <c r="Y624" s="2576"/>
      <c r="AB624" s="2578"/>
      <c r="AC624" s="2578"/>
    </row>
    <row r="625" spans="8:29" x14ac:dyDescent="0.25">
      <c r="H625" s="2576"/>
      <c r="N625" s="2576"/>
      <c r="Y625" s="2576"/>
      <c r="AB625" s="2578"/>
      <c r="AC625" s="2578"/>
    </row>
    <row r="626" spans="8:29" x14ac:dyDescent="0.25">
      <c r="H626" s="2576"/>
      <c r="N626" s="2576"/>
      <c r="Y626" s="2576"/>
      <c r="AB626" s="2578"/>
      <c r="AC626" s="2578"/>
    </row>
    <row r="627" spans="8:29" x14ac:dyDescent="0.25">
      <c r="H627" s="2576"/>
      <c r="N627" s="2576"/>
      <c r="Y627" s="2576"/>
      <c r="AB627" s="2578"/>
      <c r="AC627" s="2578"/>
    </row>
    <row r="628" spans="8:29" x14ac:dyDescent="0.25">
      <c r="H628" s="2576"/>
      <c r="N628" s="2576"/>
      <c r="Y628" s="2576"/>
      <c r="AB628" s="2578"/>
      <c r="AC628" s="2578"/>
    </row>
    <row r="629" spans="8:29" x14ac:dyDescent="0.25">
      <c r="H629" s="2576"/>
      <c r="N629" s="2576"/>
      <c r="Y629" s="2576"/>
      <c r="AB629" s="2578"/>
      <c r="AC629" s="2578"/>
    </row>
    <row r="630" spans="8:29" x14ac:dyDescent="0.25">
      <c r="H630" s="2576"/>
      <c r="N630" s="2576"/>
      <c r="Y630" s="2576"/>
      <c r="AB630" s="2578"/>
      <c r="AC630" s="2578"/>
    </row>
    <row r="631" spans="8:29" x14ac:dyDescent="0.25">
      <c r="H631" s="2576"/>
      <c r="N631" s="2576"/>
      <c r="Y631" s="2576"/>
      <c r="AB631" s="2578"/>
      <c r="AC631" s="2578"/>
    </row>
    <row r="632" spans="8:29" x14ac:dyDescent="0.25">
      <c r="H632" s="2576"/>
      <c r="N632" s="2576"/>
      <c r="Y632" s="2576"/>
      <c r="AB632" s="2578"/>
      <c r="AC632" s="2578"/>
    </row>
    <row r="633" spans="8:29" x14ac:dyDescent="0.25">
      <c r="H633" s="2576"/>
      <c r="N633" s="2576"/>
      <c r="Y633" s="2576"/>
      <c r="AB633" s="2578"/>
      <c r="AC633" s="2578"/>
    </row>
    <row r="634" spans="8:29" x14ac:dyDescent="0.25">
      <c r="H634" s="2576"/>
      <c r="N634" s="2576"/>
      <c r="Y634" s="2576"/>
      <c r="AB634" s="2578"/>
      <c r="AC634" s="2578"/>
    </row>
    <row r="635" spans="8:29" x14ac:dyDescent="0.25">
      <c r="H635" s="2576"/>
      <c r="N635" s="2576"/>
      <c r="Y635" s="2576"/>
      <c r="AB635" s="2578"/>
      <c r="AC635" s="2578"/>
    </row>
    <row r="636" spans="8:29" x14ac:dyDescent="0.25">
      <c r="H636" s="2576"/>
      <c r="N636" s="2576"/>
      <c r="Y636" s="2576"/>
      <c r="AB636" s="2578"/>
      <c r="AC636" s="2578"/>
    </row>
    <row r="637" spans="8:29" x14ac:dyDescent="0.25">
      <c r="H637" s="2576"/>
      <c r="N637" s="2576"/>
      <c r="Y637" s="2576"/>
      <c r="AB637" s="2578"/>
      <c r="AC637" s="2578"/>
    </row>
    <row r="638" spans="8:29" x14ac:dyDescent="0.25">
      <c r="H638" s="2576"/>
      <c r="N638" s="2576"/>
      <c r="Y638" s="2576"/>
      <c r="AB638" s="2578"/>
      <c r="AC638" s="2578"/>
    </row>
    <row r="639" spans="8:29" x14ac:dyDescent="0.25">
      <c r="H639" s="2576"/>
      <c r="N639" s="2576"/>
      <c r="Y639" s="2576"/>
      <c r="AB639" s="2578"/>
      <c r="AC639" s="2578"/>
    </row>
    <row r="640" spans="8:29" x14ac:dyDescent="0.25">
      <c r="H640" s="2576"/>
      <c r="N640" s="2576"/>
      <c r="Y640" s="2576"/>
      <c r="AB640" s="2578"/>
      <c r="AC640" s="2578"/>
    </row>
    <row r="641" spans="8:29" x14ac:dyDescent="0.25">
      <c r="H641" s="2576"/>
      <c r="N641" s="2576"/>
      <c r="Y641" s="2576"/>
      <c r="AB641" s="2578"/>
      <c r="AC641" s="2578"/>
    </row>
    <row r="642" spans="8:29" x14ac:dyDescent="0.25">
      <c r="H642" s="2576"/>
      <c r="N642" s="2576"/>
      <c r="Y642" s="2576"/>
      <c r="AB642" s="2578"/>
      <c r="AC642" s="2578"/>
    </row>
    <row r="643" spans="8:29" x14ac:dyDescent="0.25">
      <c r="H643" s="2576"/>
      <c r="N643" s="2576"/>
      <c r="Y643" s="2576"/>
      <c r="AB643" s="2578"/>
      <c r="AC643" s="2578"/>
    </row>
    <row r="644" spans="8:29" x14ac:dyDescent="0.25">
      <c r="H644" s="2576"/>
      <c r="N644" s="2576"/>
      <c r="Y644" s="2576"/>
      <c r="AB644" s="2578"/>
      <c r="AC644" s="2578"/>
    </row>
    <row r="645" spans="8:29" x14ac:dyDescent="0.25">
      <c r="H645" s="2576"/>
      <c r="N645" s="2576"/>
      <c r="Y645" s="2576"/>
      <c r="AB645" s="2578"/>
      <c r="AC645" s="2578"/>
    </row>
    <row r="646" spans="8:29" x14ac:dyDescent="0.25">
      <c r="H646" s="2576"/>
      <c r="N646" s="2576"/>
      <c r="Y646" s="2576"/>
      <c r="AB646" s="2578"/>
      <c r="AC646" s="2578"/>
    </row>
    <row r="647" spans="8:29" x14ac:dyDescent="0.25">
      <c r="H647" s="2576"/>
      <c r="N647" s="2576"/>
      <c r="Y647" s="2576"/>
      <c r="AB647" s="2578"/>
      <c r="AC647" s="2578"/>
    </row>
    <row r="648" spans="8:29" x14ac:dyDescent="0.25">
      <c r="H648" s="2576"/>
      <c r="N648" s="2576"/>
      <c r="Y648" s="2576"/>
      <c r="AB648" s="2578"/>
      <c r="AC648" s="2578"/>
    </row>
    <row r="649" spans="8:29" x14ac:dyDescent="0.25">
      <c r="H649" s="2576"/>
      <c r="N649" s="2576"/>
      <c r="Y649" s="2576"/>
      <c r="AB649" s="2578"/>
      <c r="AC649" s="2578"/>
    </row>
    <row r="650" spans="8:29" x14ac:dyDescent="0.25">
      <c r="H650" s="2576"/>
      <c r="N650" s="2576"/>
      <c r="Y650" s="2576"/>
      <c r="AB650" s="2578"/>
      <c r="AC650" s="2578"/>
    </row>
    <row r="651" spans="8:29" x14ac:dyDescent="0.25">
      <c r="H651" s="2576"/>
      <c r="N651" s="2576"/>
      <c r="Y651" s="2576"/>
      <c r="AB651" s="2578"/>
      <c r="AC651" s="2578"/>
    </row>
    <row r="652" spans="8:29" x14ac:dyDescent="0.25">
      <c r="H652" s="2576"/>
      <c r="N652" s="2576"/>
      <c r="Y652" s="2576"/>
      <c r="AB652" s="2578"/>
      <c r="AC652" s="2578"/>
    </row>
    <row r="653" spans="8:29" x14ac:dyDescent="0.25">
      <c r="H653" s="2576"/>
      <c r="N653" s="2576"/>
      <c r="Y653" s="2576"/>
      <c r="AB653" s="2578"/>
      <c r="AC653" s="2578"/>
    </row>
    <row r="654" spans="8:29" x14ac:dyDescent="0.25">
      <c r="H654" s="2576"/>
      <c r="N654" s="2576"/>
      <c r="Y654" s="2576"/>
      <c r="AB654" s="2578"/>
      <c r="AC654" s="2578"/>
    </row>
    <row r="655" spans="8:29" x14ac:dyDescent="0.25">
      <c r="H655" s="2576"/>
      <c r="N655" s="2576"/>
      <c r="Y655" s="2576"/>
      <c r="AB655" s="2578"/>
      <c r="AC655" s="2578"/>
    </row>
    <row r="656" spans="8:29" x14ac:dyDescent="0.25">
      <c r="H656" s="2576"/>
      <c r="N656" s="2576"/>
      <c r="Y656" s="2576"/>
      <c r="AB656" s="2578"/>
      <c r="AC656" s="2578"/>
    </row>
    <row r="657" spans="8:29" x14ac:dyDescent="0.25">
      <c r="H657" s="2576"/>
      <c r="N657" s="2576"/>
      <c r="Y657" s="2576"/>
      <c r="AB657" s="2578"/>
      <c r="AC657" s="2578"/>
    </row>
    <row r="658" spans="8:29" x14ac:dyDescent="0.25">
      <c r="H658" s="2576"/>
      <c r="N658" s="2576"/>
      <c r="Y658" s="2576"/>
      <c r="AB658" s="2578"/>
      <c r="AC658" s="2578"/>
    </row>
    <row r="659" spans="8:29" x14ac:dyDescent="0.25">
      <c r="H659" s="2576"/>
      <c r="N659" s="2576"/>
      <c r="Y659" s="2576"/>
      <c r="AB659" s="2578"/>
      <c r="AC659" s="2578"/>
    </row>
    <row r="660" spans="8:29" ht="18.75" customHeight="1" x14ac:dyDescent="0.25">
      <c r="H660" s="2576"/>
      <c r="N660" s="2576"/>
      <c r="Y660" s="2576"/>
      <c r="AB660" s="2578"/>
      <c r="AC660" s="2578"/>
    </row>
    <row r="661" spans="8:29" x14ac:dyDescent="0.25">
      <c r="H661" s="2576"/>
      <c r="N661" s="2576"/>
      <c r="Y661" s="2576"/>
      <c r="AB661" s="2578"/>
      <c r="AC661" s="2578"/>
    </row>
    <row r="662" spans="8:29" x14ac:dyDescent="0.25">
      <c r="H662" s="2576"/>
      <c r="N662" s="2576"/>
      <c r="Y662" s="2576"/>
      <c r="AB662" s="2578"/>
      <c r="AC662" s="2578"/>
    </row>
    <row r="663" spans="8:29" x14ac:dyDescent="0.25">
      <c r="H663" s="2576"/>
      <c r="N663" s="2576"/>
      <c r="Y663" s="2576"/>
      <c r="AB663" s="2578"/>
      <c r="AC663" s="2578"/>
    </row>
    <row r="664" spans="8:29" x14ac:dyDescent="0.25">
      <c r="H664" s="2576"/>
      <c r="N664" s="2576"/>
      <c r="Y664" s="2576"/>
      <c r="AB664" s="2578"/>
      <c r="AC664" s="2578"/>
    </row>
    <row r="665" spans="8:29" x14ac:dyDescent="0.25">
      <c r="H665" s="2576"/>
      <c r="N665" s="2576"/>
      <c r="Y665" s="2576"/>
      <c r="AB665" s="2578"/>
      <c r="AC665" s="2578"/>
    </row>
    <row r="666" spans="8:29" x14ac:dyDescent="0.25">
      <c r="H666" s="2576"/>
      <c r="N666" s="2576"/>
      <c r="Y666" s="2576"/>
      <c r="AB666" s="2578"/>
      <c r="AC666" s="2578"/>
    </row>
    <row r="667" spans="8:29" ht="31.5" customHeight="1" x14ac:dyDescent="0.25">
      <c r="H667" s="2576"/>
      <c r="N667" s="2576"/>
      <c r="Y667" s="2576"/>
      <c r="AB667" s="2578"/>
      <c r="AC667" s="2578"/>
    </row>
    <row r="668" spans="8:29" x14ac:dyDescent="0.25">
      <c r="H668" s="2576"/>
      <c r="N668" s="2576"/>
      <c r="Y668" s="2576"/>
      <c r="AB668" s="2578"/>
      <c r="AC668" s="2578"/>
    </row>
    <row r="669" spans="8:29" x14ac:dyDescent="0.25">
      <c r="H669" s="2576"/>
      <c r="N669" s="2576"/>
      <c r="Y669" s="2576"/>
      <c r="AB669" s="2578"/>
      <c r="AC669" s="2578"/>
    </row>
    <row r="670" spans="8:29" x14ac:dyDescent="0.25">
      <c r="H670" s="2576"/>
      <c r="N670" s="2576"/>
      <c r="Y670" s="2576"/>
      <c r="AB670" s="2578"/>
      <c r="AC670" s="2578"/>
    </row>
    <row r="671" spans="8:29" x14ac:dyDescent="0.25">
      <c r="H671" s="2576"/>
      <c r="N671" s="2576"/>
      <c r="Y671" s="2576"/>
      <c r="AB671" s="2578"/>
      <c r="AC671" s="2578"/>
    </row>
    <row r="672" spans="8:29" x14ac:dyDescent="0.25">
      <c r="H672" s="2576"/>
      <c r="N672" s="2576"/>
      <c r="Y672" s="2576"/>
      <c r="AB672" s="2578"/>
      <c r="AC672" s="2578"/>
    </row>
    <row r="673" spans="8:29" x14ac:dyDescent="0.25">
      <c r="H673" s="2576"/>
      <c r="N673" s="2576"/>
      <c r="Y673" s="2576"/>
      <c r="AB673" s="2578"/>
      <c r="AC673" s="2578"/>
    </row>
    <row r="674" spans="8:29" x14ac:dyDescent="0.25">
      <c r="H674" s="2576"/>
      <c r="N674" s="2576"/>
      <c r="Y674" s="2576"/>
      <c r="AB674" s="2578"/>
      <c r="AC674" s="2578"/>
    </row>
    <row r="675" spans="8:29" x14ac:dyDescent="0.25">
      <c r="H675" s="2576"/>
      <c r="N675" s="2576"/>
      <c r="Y675" s="2576"/>
      <c r="AB675" s="2578"/>
      <c r="AC675" s="2578"/>
    </row>
    <row r="676" spans="8:29" x14ac:dyDescent="0.25">
      <c r="H676" s="2576"/>
      <c r="N676" s="2576"/>
      <c r="Y676" s="2576"/>
      <c r="AB676" s="2578"/>
      <c r="AC676" s="2578"/>
    </row>
    <row r="677" spans="8:29" x14ac:dyDescent="0.25">
      <c r="H677" s="2576"/>
      <c r="N677" s="2576"/>
      <c r="Y677" s="2576"/>
      <c r="AB677" s="2578"/>
      <c r="AC677" s="2578"/>
    </row>
    <row r="678" spans="8:29" x14ac:dyDescent="0.25">
      <c r="H678" s="2576"/>
      <c r="N678" s="2576"/>
      <c r="Y678" s="2576"/>
      <c r="AB678" s="2578"/>
      <c r="AC678" s="2578"/>
    </row>
    <row r="679" spans="8:29" x14ac:dyDescent="0.25">
      <c r="H679" s="2576"/>
      <c r="N679" s="2576"/>
      <c r="Y679" s="2576"/>
      <c r="AB679" s="2578"/>
      <c r="AC679" s="2578"/>
    </row>
    <row r="680" spans="8:29" x14ac:dyDescent="0.25">
      <c r="H680" s="2576"/>
      <c r="N680" s="2576"/>
      <c r="Y680" s="2576"/>
      <c r="AB680" s="2578"/>
      <c r="AC680" s="2578"/>
    </row>
    <row r="681" spans="8:29" x14ac:dyDescent="0.25">
      <c r="H681" s="2576"/>
      <c r="N681" s="2576"/>
      <c r="Y681" s="2576"/>
      <c r="AB681" s="2578"/>
      <c r="AC681" s="2578"/>
    </row>
    <row r="682" spans="8:29" x14ac:dyDescent="0.25">
      <c r="H682" s="2576"/>
      <c r="N682" s="2576"/>
      <c r="Y682" s="2576"/>
      <c r="AB682" s="2578"/>
      <c r="AC682" s="2578"/>
    </row>
    <row r="683" spans="8:29" x14ac:dyDescent="0.25">
      <c r="H683" s="2576"/>
      <c r="N683" s="2576"/>
      <c r="Y683" s="2576"/>
      <c r="AB683" s="2578"/>
      <c r="AC683" s="2578"/>
    </row>
    <row r="684" spans="8:29" x14ac:dyDescent="0.25">
      <c r="H684" s="2576"/>
      <c r="N684" s="2576"/>
      <c r="Y684" s="2576"/>
      <c r="AB684" s="2578"/>
      <c r="AC684" s="2578"/>
    </row>
    <row r="685" spans="8:29" x14ac:dyDescent="0.25">
      <c r="H685" s="2576"/>
      <c r="N685" s="2576"/>
      <c r="Y685" s="2576"/>
      <c r="AB685" s="2578"/>
      <c r="AC685" s="2578"/>
    </row>
    <row r="686" spans="8:29" x14ac:dyDescent="0.25">
      <c r="H686" s="2576"/>
      <c r="N686" s="2576"/>
      <c r="Y686" s="2576"/>
      <c r="AB686" s="2578"/>
      <c r="AC686" s="2578"/>
    </row>
    <row r="687" spans="8:29" x14ac:dyDescent="0.25">
      <c r="H687" s="2576"/>
      <c r="N687" s="2576"/>
      <c r="Y687" s="2576"/>
      <c r="AB687" s="2578"/>
      <c r="AC687" s="2578"/>
    </row>
    <row r="688" spans="8:29" x14ac:dyDescent="0.25">
      <c r="H688" s="2576"/>
      <c r="N688" s="2576"/>
      <c r="Y688" s="2576"/>
      <c r="AB688" s="2578"/>
      <c r="AC688" s="2578"/>
    </row>
    <row r="689" spans="8:29" x14ac:dyDescent="0.25">
      <c r="H689" s="2576"/>
      <c r="N689" s="2576"/>
      <c r="Y689" s="2576"/>
      <c r="AB689" s="2578"/>
      <c r="AC689" s="2578"/>
    </row>
    <row r="690" spans="8:29" x14ac:dyDescent="0.25">
      <c r="H690" s="2576"/>
      <c r="N690" s="2576"/>
      <c r="Y690" s="2576"/>
      <c r="AB690" s="2578"/>
      <c r="AC690" s="2578"/>
    </row>
    <row r="691" spans="8:29" x14ac:dyDescent="0.25">
      <c r="H691" s="2576"/>
      <c r="N691" s="2576"/>
      <c r="Y691" s="2576"/>
      <c r="AB691" s="2578"/>
      <c r="AC691" s="2578"/>
    </row>
    <row r="692" spans="8:29" x14ac:dyDescent="0.25">
      <c r="H692" s="2576"/>
      <c r="N692" s="2576"/>
      <c r="Y692" s="2576"/>
      <c r="AB692" s="2578"/>
      <c r="AC692" s="2578"/>
    </row>
    <row r="693" spans="8:29" x14ac:dyDescent="0.25">
      <c r="H693" s="2576"/>
      <c r="N693" s="2576"/>
      <c r="Y693" s="2576"/>
      <c r="AB693" s="2578"/>
      <c r="AC693" s="2578"/>
    </row>
    <row r="694" spans="8:29" x14ac:dyDescent="0.25">
      <c r="H694" s="2576"/>
      <c r="N694" s="2576"/>
      <c r="Y694" s="2576"/>
      <c r="AB694" s="2578"/>
      <c r="AC694" s="2578"/>
    </row>
    <row r="695" spans="8:29" x14ac:dyDescent="0.25">
      <c r="H695" s="2576"/>
      <c r="N695" s="2576"/>
      <c r="Y695" s="2576"/>
      <c r="AB695" s="2578"/>
      <c r="AC695" s="2578"/>
    </row>
    <row r="696" spans="8:29" x14ac:dyDescent="0.25">
      <c r="H696" s="2576"/>
      <c r="N696" s="2576"/>
      <c r="Y696" s="2576"/>
      <c r="AB696" s="2578"/>
      <c r="AC696" s="2578"/>
    </row>
    <row r="697" spans="8:29" x14ac:dyDescent="0.25">
      <c r="H697" s="2576"/>
      <c r="N697" s="2576"/>
      <c r="Y697" s="2576"/>
      <c r="AB697" s="2578"/>
      <c r="AC697" s="2578"/>
    </row>
    <row r="698" spans="8:29" x14ac:dyDescent="0.25">
      <c r="H698" s="2576"/>
      <c r="N698" s="2576"/>
      <c r="Y698" s="2576"/>
      <c r="AB698" s="2578"/>
      <c r="AC698" s="2578"/>
    </row>
    <row r="699" spans="8:29" x14ac:dyDescent="0.25">
      <c r="H699" s="2576"/>
      <c r="N699" s="2576"/>
      <c r="Y699" s="2576"/>
      <c r="AB699" s="2578"/>
      <c r="AC699" s="2578"/>
    </row>
    <row r="700" spans="8:29" x14ac:dyDescent="0.25">
      <c r="H700" s="2576"/>
      <c r="N700" s="2576"/>
      <c r="Y700" s="2576"/>
      <c r="AB700" s="2578"/>
      <c r="AC700" s="2578"/>
    </row>
    <row r="701" spans="8:29" x14ac:dyDescent="0.25">
      <c r="H701" s="2576"/>
      <c r="N701" s="2576"/>
      <c r="Y701" s="2576"/>
      <c r="AB701" s="2578"/>
      <c r="AC701" s="2578"/>
    </row>
    <row r="702" spans="8:29" x14ac:dyDescent="0.25">
      <c r="H702" s="2576"/>
      <c r="N702" s="2576"/>
      <c r="Y702" s="2576"/>
      <c r="AB702" s="2578"/>
      <c r="AC702" s="2578"/>
    </row>
    <row r="703" spans="8:29" x14ac:dyDescent="0.25">
      <c r="H703" s="2576"/>
      <c r="N703" s="2576"/>
      <c r="Y703" s="2576"/>
      <c r="AB703" s="2578"/>
      <c r="AC703" s="2578"/>
    </row>
    <row r="704" spans="8:29" x14ac:dyDescent="0.25">
      <c r="H704" s="2576"/>
      <c r="N704" s="2576"/>
      <c r="Y704" s="2576"/>
      <c r="AB704" s="2578"/>
      <c r="AC704" s="2578"/>
    </row>
    <row r="705" spans="8:29" ht="15.75" customHeight="1" x14ac:dyDescent="0.25">
      <c r="H705" s="2576"/>
      <c r="N705" s="2576"/>
      <c r="Y705" s="2576"/>
      <c r="AB705" s="2578"/>
      <c r="AC705" s="2578"/>
    </row>
    <row r="706" spans="8:29" x14ac:dyDescent="0.25">
      <c r="H706" s="2576"/>
      <c r="N706" s="2576"/>
      <c r="Y706" s="2576"/>
      <c r="AB706" s="2578"/>
      <c r="AC706" s="2578"/>
    </row>
    <row r="707" spans="8:29" x14ac:dyDescent="0.25">
      <c r="H707" s="2576"/>
      <c r="N707" s="2576"/>
      <c r="Y707" s="2576"/>
      <c r="AB707" s="2578"/>
      <c r="AC707" s="2578"/>
    </row>
    <row r="708" spans="8:29" x14ac:dyDescent="0.25">
      <c r="H708" s="2576"/>
      <c r="N708" s="2576"/>
      <c r="Y708" s="2576"/>
      <c r="AB708" s="2578"/>
      <c r="AC708" s="2578"/>
    </row>
    <row r="709" spans="8:29" x14ac:dyDescent="0.25">
      <c r="H709" s="2576"/>
      <c r="N709" s="2576"/>
      <c r="Y709" s="2576"/>
      <c r="AB709" s="2578"/>
      <c r="AC709" s="2578"/>
    </row>
    <row r="710" spans="8:29" x14ac:dyDescent="0.25">
      <c r="H710" s="2576"/>
      <c r="N710" s="2576"/>
      <c r="Y710" s="2576"/>
      <c r="AB710" s="2578"/>
      <c r="AC710" s="2578"/>
    </row>
    <row r="711" spans="8:29" x14ac:dyDescent="0.25">
      <c r="H711" s="2576"/>
      <c r="N711" s="2576"/>
      <c r="Y711" s="2576"/>
      <c r="AB711" s="2578"/>
      <c r="AC711" s="2578"/>
    </row>
    <row r="712" spans="8:29" x14ac:dyDescent="0.25">
      <c r="H712" s="2576"/>
      <c r="N712" s="2576"/>
      <c r="Y712" s="2576"/>
      <c r="AB712" s="2578"/>
      <c r="AC712" s="2578"/>
    </row>
    <row r="713" spans="8:29" x14ac:dyDescent="0.25">
      <c r="H713" s="2576"/>
      <c r="N713" s="2576"/>
      <c r="Y713" s="2576"/>
      <c r="AB713" s="2578"/>
      <c r="AC713" s="2578"/>
    </row>
    <row r="714" spans="8:29" x14ac:dyDescent="0.25">
      <c r="H714" s="2576"/>
      <c r="N714" s="2576"/>
      <c r="Y714" s="2576"/>
      <c r="AB714" s="2578"/>
      <c r="AC714" s="2578"/>
    </row>
    <row r="715" spans="8:29" x14ac:dyDescent="0.25">
      <c r="H715" s="2576"/>
      <c r="N715" s="2576"/>
      <c r="Y715" s="2576"/>
      <c r="AB715" s="2578"/>
      <c r="AC715" s="2578"/>
    </row>
    <row r="716" spans="8:29" x14ac:dyDescent="0.25">
      <c r="H716" s="2576"/>
      <c r="N716" s="2576"/>
      <c r="Y716" s="2576"/>
      <c r="AB716" s="2578"/>
      <c r="AC716" s="2578"/>
    </row>
    <row r="717" spans="8:29" x14ac:dyDescent="0.25">
      <c r="H717" s="2576"/>
      <c r="N717" s="2576"/>
      <c r="Y717" s="2576"/>
      <c r="AB717" s="2578"/>
      <c r="AC717" s="2578"/>
    </row>
    <row r="718" spans="8:29" x14ac:dyDescent="0.25">
      <c r="H718" s="2576"/>
      <c r="N718" s="2576"/>
      <c r="Y718" s="2576"/>
      <c r="AB718" s="2578"/>
      <c r="AC718" s="2578"/>
    </row>
    <row r="719" spans="8:29" x14ac:dyDescent="0.25">
      <c r="H719" s="2576"/>
      <c r="N719" s="2576"/>
      <c r="Y719" s="2576"/>
      <c r="AB719" s="2578"/>
      <c r="AC719" s="2578"/>
    </row>
    <row r="720" spans="8:29" x14ac:dyDescent="0.25">
      <c r="H720" s="2576"/>
      <c r="N720" s="2576"/>
      <c r="Y720" s="2576"/>
      <c r="AB720" s="2578"/>
      <c r="AC720" s="2578"/>
    </row>
    <row r="721" spans="8:29" x14ac:dyDescent="0.25">
      <c r="H721" s="2576"/>
      <c r="N721" s="2576"/>
      <c r="Y721" s="2576"/>
      <c r="AB721" s="2578"/>
      <c r="AC721" s="2578"/>
    </row>
    <row r="722" spans="8:29" x14ac:dyDescent="0.25">
      <c r="H722" s="2576"/>
      <c r="N722" s="2576"/>
      <c r="Y722" s="2576"/>
      <c r="AB722" s="2578"/>
      <c r="AC722" s="2578"/>
    </row>
    <row r="723" spans="8:29" x14ac:dyDescent="0.25">
      <c r="H723" s="2576"/>
      <c r="N723" s="2576"/>
      <c r="Y723" s="2576"/>
      <c r="AB723" s="2578"/>
      <c r="AC723" s="2578"/>
    </row>
    <row r="724" spans="8:29" x14ac:dyDescent="0.25">
      <c r="H724" s="2576"/>
      <c r="N724" s="2576"/>
      <c r="Y724" s="2576"/>
      <c r="AB724" s="2578"/>
      <c r="AC724" s="2578"/>
    </row>
    <row r="725" spans="8:29" x14ac:dyDescent="0.25">
      <c r="H725" s="2576"/>
      <c r="N725" s="2576"/>
      <c r="Y725" s="2576"/>
      <c r="AB725" s="2578"/>
      <c r="AC725" s="2578"/>
    </row>
    <row r="726" spans="8:29" x14ac:dyDescent="0.25">
      <c r="H726" s="2576"/>
      <c r="N726" s="2576"/>
      <c r="Y726" s="2576"/>
      <c r="AB726" s="2578"/>
      <c r="AC726" s="2578"/>
    </row>
    <row r="727" spans="8:29" x14ac:dyDescent="0.25">
      <c r="H727" s="2576"/>
      <c r="N727" s="2576"/>
      <c r="Y727" s="2576"/>
      <c r="AB727" s="2578"/>
      <c r="AC727" s="2578"/>
    </row>
    <row r="728" spans="8:29" x14ac:dyDescent="0.25">
      <c r="H728" s="2576"/>
      <c r="N728" s="2576"/>
      <c r="Y728" s="2576"/>
      <c r="AB728" s="2578"/>
      <c r="AC728" s="2578"/>
    </row>
    <row r="729" spans="8:29" x14ac:dyDescent="0.25">
      <c r="H729" s="2576"/>
      <c r="N729" s="2576"/>
      <c r="Y729" s="2576"/>
      <c r="AB729" s="2578"/>
      <c r="AC729" s="2578"/>
    </row>
    <row r="730" spans="8:29" x14ac:dyDescent="0.25">
      <c r="H730" s="2576"/>
      <c r="N730" s="2576"/>
      <c r="Y730" s="2576"/>
      <c r="AB730" s="2578"/>
      <c r="AC730" s="2578"/>
    </row>
    <row r="731" spans="8:29" x14ac:dyDescent="0.25">
      <c r="H731" s="2576"/>
      <c r="N731" s="2576"/>
      <c r="Y731" s="2576"/>
      <c r="AB731" s="2578"/>
      <c r="AC731" s="2578"/>
    </row>
    <row r="732" spans="8:29" x14ac:dyDescent="0.25">
      <c r="H732" s="2576"/>
      <c r="N732" s="2576"/>
      <c r="Y732" s="2576"/>
      <c r="AB732" s="2578"/>
      <c r="AC732" s="2578"/>
    </row>
    <row r="733" spans="8:29" x14ac:dyDescent="0.25">
      <c r="H733" s="2576"/>
      <c r="N733" s="2576"/>
      <c r="Y733" s="2576"/>
      <c r="AB733" s="2578"/>
      <c r="AC733" s="2578"/>
    </row>
    <row r="734" spans="8:29" x14ac:dyDescent="0.25">
      <c r="H734" s="2576"/>
      <c r="N734" s="2576"/>
      <c r="Y734" s="2576"/>
      <c r="AB734" s="2578"/>
      <c r="AC734" s="2578"/>
    </row>
    <row r="735" spans="8:29" x14ac:dyDescent="0.25">
      <c r="H735" s="2576"/>
      <c r="N735" s="2576"/>
      <c r="Y735" s="2576"/>
      <c r="AB735" s="2578"/>
      <c r="AC735" s="2578"/>
    </row>
    <row r="736" spans="8:29" x14ac:dyDescent="0.25">
      <c r="H736" s="2576"/>
      <c r="N736" s="2576"/>
      <c r="Y736" s="2576"/>
      <c r="AB736" s="2578"/>
      <c r="AC736" s="2578"/>
    </row>
    <row r="737" spans="8:29" x14ac:dyDescent="0.25">
      <c r="H737" s="2576"/>
      <c r="N737" s="2576"/>
      <c r="Y737" s="2576"/>
      <c r="AB737" s="2578"/>
      <c r="AC737" s="2578"/>
    </row>
    <row r="738" spans="8:29" x14ac:dyDescent="0.25">
      <c r="H738" s="2576"/>
      <c r="N738" s="2576"/>
      <c r="Y738" s="2576"/>
      <c r="AB738" s="2578"/>
      <c r="AC738" s="2578"/>
    </row>
    <row r="739" spans="8:29" x14ac:dyDescent="0.25">
      <c r="H739" s="2576"/>
      <c r="N739" s="2576"/>
      <c r="Y739" s="2576"/>
      <c r="AB739" s="2578"/>
      <c r="AC739" s="2578"/>
    </row>
    <row r="740" spans="8:29" x14ac:dyDescent="0.25">
      <c r="H740" s="2576"/>
      <c r="N740" s="2576"/>
      <c r="Y740" s="2576"/>
      <c r="AB740" s="2578"/>
      <c r="AC740" s="2578"/>
    </row>
    <row r="741" spans="8:29" x14ac:dyDescent="0.25">
      <c r="H741" s="2576"/>
      <c r="N741" s="2576"/>
      <c r="Y741" s="2576"/>
      <c r="AB741" s="2578"/>
      <c r="AC741" s="2578"/>
    </row>
    <row r="742" spans="8:29" x14ac:dyDescent="0.25">
      <c r="H742" s="2576"/>
      <c r="N742" s="2576"/>
      <c r="Y742" s="2576"/>
      <c r="AB742" s="2578"/>
      <c r="AC742" s="2578"/>
    </row>
    <row r="743" spans="8:29" x14ac:dyDescent="0.25">
      <c r="H743" s="2576"/>
      <c r="N743" s="2576"/>
      <c r="Y743" s="2576"/>
      <c r="AB743" s="2578"/>
      <c r="AC743" s="2578"/>
    </row>
    <row r="744" spans="8:29" x14ac:dyDescent="0.25">
      <c r="H744" s="2576"/>
      <c r="N744" s="2576"/>
      <c r="Y744" s="2576"/>
      <c r="AB744" s="2578"/>
      <c r="AC744" s="2578"/>
    </row>
    <row r="745" spans="8:29" x14ac:dyDescent="0.25">
      <c r="H745" s="2576"/>
      <c r="N745" s="2576"/>
      <c r="Y745" s="2576"/>
      <c r="AB745" s="2578"/>
      <c r="AC745" s="2578"/>
    </row>
    <row r="746" spans="8:29" x14ac:dyDescent="0.25">
      <c r="H746" s="2576"/>
      <c r="N746" s="2576"/>
      <c r="Y746" s="2576"/>
      <c r="AB746" s="2578"/>
      <c r="AC746" s="2578"/>
    </row>
    <row r="747" spans="8:29" x14ac:dyDescent="0.25">
      <c r="H747" s="2576"/>
      <c r="N747" s="2576"/>
      <c r="Y747" s="2576"/>
      <c r="AB747" s="2578"/>
      <c r="AC747" s="2578"/>
    </row>
    <row r="748" spans="8:29" x14ac:dyDescent="0.25">
      <c r="H748" s="2576"/>
      <c r="N748" s="2576"/>
      <c r="Y748" s="2576"/>
      <c r="AB748" s="2578"/>
      <c r="AC748" s="2578"/>
    </row>
    <row r="749" spans="8:29" x14ac:dyDescent="0.25">
      <c r="H749" s="2576"/>
      <c r="N749" s="2576"/>
      <c r="Y749" s="2576"/>
      <c r="AB749" s="2578"/>
      <c r="AC749" s="2578"/>
    </row>
    <row r="750" spans="8:29" x14ac:dyDescent="0.25">
      <c r="H750" s="2576"/>
      <c r="N750" s="2576"/>
      <c r="Y750" s="2576"/>
      <c r="AB750" s="2578"/>
      <c r="AC750" s="2578"/>
    </row>
    <row r="751" spans="8:29" x14ac:dyDescent="0.25">
      <c r="H751" s="2576"/>
      <c r="N751" s="2576"/>
      <c r="Y751" s="2576"/>
      <c r="AB751" s="2578"/>
      <c r="AC751" s="2578"/>
    </row>
    <row r="752" spans="8:29" x14ac:dyDescent="0.25">
      <c r="H752" s="2576"/>
      <c r="N752" s="2576"/>
      <c r="Y752" s="2576"/>
      <c r="AB752" s="2578"/>
      <c r="AC752" s="2578"/>
    </row>
    <row r="753" spans="8:29" x14ac:dyDescent="0.25">
      <c r="H753" s="2576"/>
      <c r="N753" s="2576"/>
      <c r="Y753" s="2576"/>
      <c r="AB753" s="2578"/>
      <c r="AC753" s="2578"/>
    </row>
    <row r="754" spans="8:29" x14ac:dyDescent="0.25">
      <c r="H754" s="2576"/>
      <c r="N754" s="2576"/>
      <c r="Y754" s="2576"/>
      <c r="AB754" s="2578"/>
      <c r="AC754" s="2578"/>
    </row>
    <row r="755" spans="8:29" x14ac:dyDescent="0.25">
      <c r="H755" s="2576"/>
      <c r="N755" s="2576"/>
      <c r="Y755" s="2576"/>
      <c r="AB755" s="2578"/>
      <c r="AC755" s="2578"/>
    </row>
    <row r="756" spans="8:29" x14ac:dyDescent="0.25">
      <c r="H756" s="2576"/>
      <c r="N756" s="2576"/>
      <c r="Y756" s="2576"/>
      <c r="AB756" s="2578"/>
      <c r="AC756" s="2578"/>
    </row>
    <row r="757" spans="8:29" x14ac:dyDescent="0.25">
      <c r="H757" s="2576"/>
      <c r="N757" s="2576"/>
      <c r="Y757" s="2576"/>
      <c r="AB757" s="2578"/>
      <c r="AC757" s="2578"/>
    </row>
    <row r="758" spans="8:29" x14ac:dyDescent="0.25">
      <c r="H758" s="2576"/>
      <c r="N758" s="2576"/>
      <c r="Y758" s="2576"/>
      <c r="AB758" s="2578"/>
      <c r="AC758" s="2578"/>
    </row>
    <row r="759" spans="8:29" x14ac:dyDescent="0.25">
      <c r="H759" s="2576"/>
      <c r="N759" s="2576"/>
      <c r="Y759" s="2576"/>
      <c r="AB759" s="2578"/>
      <c r="AC759" s="2578"/>
    </row>
    <row r="760" spans="8:29" x14ac:dyDescent="0.25">
      <c r="H760" s="2576"/>
      <c r="N760" s="2576"/>
      <c r="Y760" s="2576"/>
      <c r="AB760" s="2578"/>
      <c r="AC760" s="2578"/>
    </row>
    <row r="761" spans="8:29" x14ac:dyDescent="0.25">
      <c r="H761" s="2576"/>
      <c r="N761" s="2576"/>
      <c r="Y761" s="2576"/>
      <c r="AB761" s="2578"/>
      <c r="AC761" s="2578"/>
    </row>
    <row r="762" spans="8:29" x14ac:dyDescent="0.25">
      <c r="H762" s="2576"/>
      <c r="N762" s="2576"/>
      <c r="Y762" s="2576"/>
      <c r="AB762" s="2578"/>
      <c r="AC762" s="2578"/>
    </row>
    <row r="763" spans="8:29" x14ac:dyDescent="0.25">
      <c r="H763" s="2576"/>
      <c r="N763" s="2576"/>
      <c r="Y763" s="2576"/>
      <c r="AB763" s="2578"/>
      <c r="AC763" s="2578"/>
    </row>
    <row r="764" spans="8:29" x14ac:dyDescent="0.25">
      <c r="H764" s="2576"/>
      <c r="N764" s="2576"/>
      <c r="Y764" s="2576"/>
      <c r="AB764" s="2578"/>
      <c r="AC764" s="2578"/>
    </row>
    <row r="765" spans="8:29" x14ac:dyDescent="0.25">
      <c r="H765" s="2576"/>
      <c r="N765" s="2576"/>
      <c r="Y765" s="2576"/>
      <c r="AB765" s="2578"/>
      <c r="AC765" s="2578"/>
    </row>
    <row r="766" spans="8:29" x14ac:dyDescent="0.25">
      <c r="H766" s="2576"/>
      <c r="N766" s="2576"/>
      <c r="Y766" s="2576"/>
      <c r="AB766" s="2578"/>
      <c r="AC766" s="2578"/>
    </row>
    <row r="767" spans="8:29" x14ac:dyDescent="0.25">
      <c r="H767" s="2576"/>
      <c r="N767" s="2576"/>
      <c r="Y767" s="2576"/>
      <c r="AB767" s="2578"/>
      <c r="AC767" s="2578"/>
    </row>
    <row r="768" spans="8:29" x14ac:dyDescent="0.25">
      <c r="H768" s="2576"/>
      <c r="N768" s="2576"/>
      <c r="Y768" s="2576"/>
      <c r="AB768" s="2578"/>
      <c r="AC768" s="2578"/>
    </row>
    <row r="769" spans="8:29" x14ac:dyDescent="0.25">
      <c r="H769" s="2576"/>
      <c r="N769" s="2576"/>
      <c r="Y769" s="2576"/>
      <c r="AB769" s="2578"/>
      <c r="AC769" s="2578"/>
    </row>
    <row r="770" spans="8:29" x14ac:dyDescent="0.25">
      <c r="H770" s="2576"/>
      <c r="N770" s="2576"/>
      <c r="Y770" s="2576"/>
      <c r="AB770" s="2578"/>
      <c r="AC770" s="2578"/>
    </row>
    <row r="771" spans="8:29" x14ac:dyDescent="0.25">
      <c r="H771" s="2576"/>
      <c r="N771" s="2576"/>
      <c r="Y771" s="2576"/>
      <c r="AB771" s="2578"/>
      <c r="AC771" s="2578"/>
    </row>
    <row r="772" spans="8:29" x14ac:dyDescent="0.25">
      <c r="H772" s="2576"/>
      <c r="N772" s="2576"/>
      <c r="Y772" s="2576"/>
      <c r="AB772" s="2578"/>
      <c r="AC772" s="2578"/>
    </row>
    <row r="773" spans="8:29" x14ac:dyDescent="0.25">
      <c r="H773" s="2576"/>
      <c r="N773" s="2576"/>
      <c r="Y773" s="2576"/>
      <c r="AB773" s="2578"/>
      <c r="AC773" s="2578"/>
    </row>
    <row r="774" spans="8:29" x14ac:dyDescent="0.25">
      <c r="H774" s="2576"/>
      <c r="N774" s="2576"/>
      <c r="Y774" s="2576"/>
      <c r="AB774" s="2578"/>
      <c r="AC774" s="2578"/>
    </row>
    <row r="775" spans="8:29" x14ac:dyDescent="0.25">
      <c r="H775" s="2576"/>
      <c r="N775" s="2576"/>
      <c r="Y775" s="2576"/>
      <c r="AB775" s="2578"/>
      <c r="AC775" s="2578"/>
    </row>
    <row r="776" spans="8:29" x14ac:dyDescent="0.25">
      <c r="H776" s="2576"/>
      <c r="N776" s="2576"/>
      <c r="Y776" s="2576"/>
      <c r="AB776" s="2578"/>
      <c r="AC776" s="2578"/>
    </row>
    <row r="777" spans="8:29" x14ac:dyDescent="0.25">
      <c r="H777" s="2576"/>
      <c r="N777" s="2576"/>
      <c r="Y777" s="2576"/>
      <c r="AB777" s="2578"/>
      <c r="AC777" s="2578"/>
    </row>
    <row r="778" spans="8:29" x14ac:dyDescent="0.25">
      <c r="H778" s="2576"/>
      <c r="N778" s="2576"/>
      <c r="Y778" s="2576"/>
      <c r="AB778" s="2578"/>
      <c r="AC778" s="2578"/>
    </row>
    <row r="779" spans="8:29" x14ac:dyDescent="0.25">
      <c r="H779" s="2576"/>
      <c r="N779" s="2576"/>
      <c r="Y779" s="2576"/>
      <c r="AB779" s="2578"/>
      <c r="AC779" s="2578"/>
    </row>
    <row r="780" spans="8:29" x14ac:dyDescent="0.25">
      <c r="H780" s="2576"/>
      <c r="N780" s="2576"/>
      <c r="Y780" s="2576"/>
      <c r="AB780" s="2578"/>
      <c r="AC780" s="2578"/>
    </row>
    <row r="781" spans="8:29" x14ac:dyDescent="0.25">
      <c r="H781" s="2576"/>
      <c r="N781" s="2576"/>
      <c r="Y781" s="2576"/>
      <c r="AB781" s="2578"/>
      <c r="AC781" s="2578"/>
    </row>
    <row r="782" spans="8:29" x14ac:dyDescent="0.25">
      <c r="H782" s="2576"/>
      <c r="N782" s="2576"/>
      <c r="Y782" s="2576"/>
      <c r="AB782" s="2578"/>
      <c r="AC782" s="2578"/>
    </row>
    <row r="783" spans="8:29" ht="18.75" customHeight="1" x14ac:dyDescent="0.25">
      <c r="H783" s="2576"/>
      <c r="N783" s="2576"/>
      <c r="Y783" s="2576"/>
      <c r="AB783" s="2578"/>
      <c r="AC783" s="2578"/>
    </row>
  </sheetData>
  <autoFilter ref="A8:AD577"/>
  <mergeCells count="31">
    <mergeCell ref="A2:AD2"/>
    <mergeCell ref="A5:A7"/>
    <mergeCell ref="B5:B7"/>
    <mergeCell ref="C5:H5"/>
    <mergeCell ref="I5:N5"/>
    <mergeCell ref="O5:T5"/>
    <mergeCell ref="U5:Y5"/>
    <mergeCell ref="Z5:AA6"/>
    <mergeCell ref="AD5:AD7"/>
    <mergeCell ref="C6:C7"/>
    <mergeCell ref="D6:D7"/>
    <mergeCell ref="E6:H6"/>
    <mergeCell ref="I6:I7"/>
    <mergeCell ref="J6:J7"/>
    <mergeCell ref="K6:N6"/>
    <mergeCell ref="C589:E589"/>
    <mergeCell ref="I589:J589"/>
    <mergeCell ref="A3:AD3"/>
    <mergeCell ref="C588:E588"/>
    <mergeCell ref="I588:J588"/>
    <mergeCell ref="AD571:AD572"/>
    <mergeCell ref="AD573:AD576"/>
    <mergeCell ref="A10:AD10"/>
    <mergeCell ref="P6:P7"/>
    <mergeCell ref="Q6:T6"/>
    <mergeCell ref="U6:U7"/>
    <mergeCell ref="V6:V7"/>
    <mergeCell ref="W6:Y6"/>
    <mergeCell ref="AB6:AC6"/>
    <mergeCell ref="AB7:AC7"/>
    <mergeCell ref="O6:O7"/>
  </mergeCells>
  <pageMargins left="0.70866141732283472" right="0.70866141732283472" top="0.74803149606299213" bottom="0.74803149606299213" header="0.31496062992125984" footer="0.31496062992125984"/>
  <pageSetup paperSize="9" scale="25" fitToHeight="0" orientation="landscape" r:id="rId1"/>
  <rowBreaks count="1" manualBreakCount="1">
    <brk id="594" max="29" man="1"/>
  </rowBreaks>
  <colBreaks count="1" manualBreakCount="1">
    <brk id="12" max="6143"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N432"/>
  <sheetViews>
    <sheetView view="pageBreakPreview" zoomScale="70" zoomScaleNormal="70" zoomScaleSheetLayoutView="70" workbookViewId="0">
      <pane xSplit="4" ySplit="10" topLeftCell="E157" activePane="bottomRight" state="frozen"/>
      <selection activeCell="R424" sqref="R424"/>
      <selection pane="topRight" activeCell="R424" sqref="R424"/>
      <selection pane="bottomLeft" activeCell="R424" sqref="R424"/>
      <selection pane="bottomRight" activeCell="C209" sqref="C209"/>
    </sheetView>
  </sheetViews>
  <sheetFormatPr defaultColWidth="10.6640625" defaultRowHeight="15" x14ac:dyDescent="0.25"/>
  <cols>
    <col min="1" max="1" width="9.33203125" style="585" customWidth="1"/>
    <col min="2" max="2" width="66.33203125" style="467" customWidth="1"/>
    <col min="3" max="3" width="20.1640625" style="586" customWidth="1"/>
    <col min="4" max="5" width="16.1640625" style="585" customWidth="1"/>
    <col min="6" max="6" width="16.5" style="563" hidden="1" customWidth="1"/>
    <col min="7" max="7" width="16.5" style="564" hidden="1" customWidth="1"/>
    <col min="8" max="8" width="16.5" style="565" hidden="1" customWidth="1"/>
    <col min="9" max="9" width="10.83203125" style="470" hidden="1" customWidth="1"/>
    <col min="10" max="10" width="17.33203125" style="470" hidden="1" customWidth="1"/>
    <col min="11" max="11" width="14.83203125" style="470" hidden="1" customWidth="1"/>
    <col min="12" max="12" width="25.1640625" style="470" hidden="1" customWidth="1"/>
    <col min="13" max="13" width="17.33203125" style="470" hidden="1" customWidth="1"/>
    <col min="14" max="14" width="14.83203125" style="470" hidden="1" customWidth="1"/>
    <col min="15" max="17" width="14.83203125" style="470" customWidth="1"/>
    <col min="18" max="18" width="18.33203125" style="470" customWidth="1"/>
    <col min="19" max="25" width="14.83203125" style="470" customWidth="1"/>
    <col min="26" max="27" width="14.83203125" style="566" customWidth="1"/>
    <col min="28" max="28" width="42.1640625" style="465" customWidth="1"/>
    <col min="29" max="29" width="14.83203125" style="583" customWidth="1"/>
    <col min="30" max="30" width="12.83203125" style="467" customWidth="1"/>
    <col min="31" max="31" width="10.83203125" style="467" bestFit="1" customWidth="1"/>
    <col min="32" max="32" width="18.5" style="584" customWidth="1"/>
    <col min="33" max="33" width="13.5" style="467" customWidth="1"/>
    <col min="34" max="16384" width="10.6640625" style="467"/>
  </cols>
  <sheetData>
    <row r="1" spans="1:40" x14ac:dyDescent="0.25">
      <c r="A1" s="1034"/>
      <c r="B1" s="374"/>
      <c r="C1" s="374"/>
      <c r="D1" s="1034"/>
      <c r="E1" s="1034"/>
      <c r="F1" s="375"/>
      <c r="G1" s="376"/>
      <c r="H1" s="377"/>
      <c r="I1" s="378"/>
      <c r="J1" s="378"/>
      <c r="K1" s="463"/>
      <c r="L1" s="378"/>
      <c r="M1" s="378"/>
      <c r="N1" s="463"/>
      <c r="O1" s="378"/>
      <c r="P1" s="378"/>
      <c r="Q1" s="463"/>
      <c r="R1" s="463"/>
      <c r="S1" s="463"/>
      <c r="T1" s="378"/>
      <c r="U1" s="378"/>
      <c r="V1" s="463"/>
      <c r="W1" s="378"/>
      <c r="X1" s="378"/>
      <c r="Y1" s="463"/>
      <c r="Z1" s="377"/>
      <c r="AA1" s="377"/>
      <c r="AB1" s="379"/>
      <c r="AC1" s="464"/>
      <c r="AD1" s="465"/>
      <c r="AE1" s="465"/>
      <c r="AF1" s="466"/>
      <c r="AG1" s="465"/>
      <c r="AH1" s="465"/>
    </row>
    <row r="2" spans="1:40" ht="19.5" x14ac:dyDescent="0.25">
      <c r="A2" s="3513" t="s">
        <v>2633</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464"/>
      <c r="AD2" s="465"/>
      <c r="AE2" s="465"/>
      <c r="AF2" s="466"/>
      <c r="AG2" s="465"/>
      <c r="AH2" s="465"/>
    </row>
    <row r="3" spans="1:40" ht="19.5" x14ac:dyDescent="0.25">
      <c r="A3" s="1244"/>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464"/>
      <c r="AD3" s="465"/>
      <c r="AE3" s="465"/>
      <c r="AF3" s="466"/>
      <c r="AG3" s="465"/>
      <c r="AH3" s="465"/>
    </row>
    <row r="4" spans="1:40" ht="18.75" x14ac:dyDescent="0.25">
      <c r="A4" s="3538" t="s">
        <v>2024</v>
      </c>
      <c r="B4" s="3538"/>
      <c r="C4" s="3538"/>
      <c r="D4" s="3538"/>
      <c r="E4" s="3538"/>
      <c r="F4" s="3538"/>
      <c r="G4" s="3538"/>
      <c r="H4" s="3538"/>
      <c r="I4" s="3538"/>
      <c r="J4" s="3538"/>
      <c r="K4" s="3538"/>
      <c r="L4" s="3538"/>
      <c r="M4" s="3538"/>
      <c r="N4" s="3538"/>
      <c r="O4" s="3538"/>
      <c r="P4" s="3538"/>
      <c r="Q4" s="3538"/>
      <c r="R4" s="3538"/>
      <c r="S4" s="3538"/>
      <c r="T4" s="3538"/>
      <c r="U4" s="3538"/>
      <c r="V4" s="3538"/>
      <c r="W4" s="3538"/>
      <c r="X4" s="3538"/>
      <c r="Y4" s="3538"/>
      <c r="Z4" s="3538"/>
      <c r="AA4" s="3538"/>
      <c r="AB4" s="3538"/>
      <c r="AC4" s="464"/>
      <c r="AD4" s="465"/>
      <c r="AE4" s="465"/>
      <c r="AF4" s="466"/>
      <c r="AG4" s="465"/>
      <c r="AH4" s="465"/>
    </row>
    <row r="5" spans="1:40" ht="15.75" x14ac:dyDescent="0.25">
      <c r="A5" s="1034"/>
      <c r="B5" s="374"/>
      <c r="C5" s="374"/>
      <c r="D5" s="1034"/>
      <c r="E5" s="1034"/>
      <c r="F5" s="375"/>
      <c r="G5" s="376"/>
      <c r="H5" s="377"/>
      <c r="I5" s="378"/>
      <c r="J5" s="378"/>
      <c r="K5" s="463"/>
      <c r="L5" s="378"/>
      <c r="M5" s="378"/>
      <c r="N5" s="463"/>
      <c r="O5" s="378"/>
      <c r="P5" s="378"/>
      <c r="Q5" s="463"/>
      <c r="R5" s="463"/>
      <c r="S5" s="463"/>
      <c r="T5" s="378"/>
      <c r="U5" s="378"/>
      <c r="V5" s="463"/>
      <c r="W5" s="378"/>
      <c r="X5" s="378"/>
      <c r="Y5" s="463"/>
      <c r="Z5" s="377"/>
      <c r="AA5" s="377"/>
      <c r="AB5" s="683">
        <v>43831</v>
      </c>
      <c r="AC5" s="464"/>
      <c r="AD5" s="465"/>
      <c r="AE5" s="465"/>
      <c r="AF5" s="466"/>
      <c r="AG5" s="465"/>
      <c r="AH5" s="465"/>
    </row>
    <row r="6" spans="1:40" ht="63.75" customHeight="1" x14ac:dyDescent="0.25">
      <c r="A6" s="3539" t="s">
        <v>78</v>
      </c>
      <c r="B6" s="3539" t="s">
        <v>484</v>
      </c>
      <c r="C6" s="3540" t="s">
        <v>485</v>
      </c>
      <c r="D6" s="3539" t="s">
        <v>486</v>
      </c>
      <c r="E6" s="3539" t="s">
        <v>219</v>
      </c>
      <c r="F6" s="3533" t="s">
        <v>344</v>
      </c>
      <c r="G6" s="3533"/>
      <c r="H6" s="3533"/>
      <c r="I6" s="3533" t="s">
        <v>487</v>
      </c>
      <c r="J6" s="3533"/>
      <c r="K6" s="3533"/>
      <c r="L6" s="3541" t="s">
        <v>488</v>
      </c>
      <c r="M6" s="3542"/>
      <c r="N6" s="3543"/>
      <c r="O6" s="3533" t="s">
        <v>489</v>
      </c>
      <c r="P6" s="3533"/>
      <c r="Q6" s="3533"/>
      <c r="R6" s="3531" t="s">
        <v>490</v>
      </c>
      <c r="S6" s="3532"/>
      <c r="T6" s="3533" t="s">
        <v>205</v>
      </c>
      <c r="U6" s="3533"/>
      <c r="V6" s="3533"/>
      <c r="W6" s="3534" t="s">
        <v>206</v>
      </c>
      <c r="X6" s="3535"/>
      <c r="Y6" s="3536"/>
      <c r="Z6" s="3537" t="s">
        <v>120</v>
      </c>
      <c r="AA6" s="3537"/>
      <c r="AB6" s="3530" t="s">
        <v>491</v>
      </c>
      <c r="AC6" s="464"/>
      <c r="AD6" s="465"/>
      <c r="AE6" s="465"/>
      <c r="AF6" s="466"/>
      <c r="AG6" s="465"/>
      <c r="AH6" s="465"/>
    </row>
    <row r="7" spans="1:40" s="465" customFormat="1" ht="62.25" customHeight="1" x14ac:dyDescent="0.25">
      <c r="A7" s="3539"/>
      <c r="B7" s="3539"/>
      <c r="C7" s="3540"/>
      <c r="D7" s="3539"/>
      <c r="E7" s="3539"/>
      <c r="F7" s="3544" t="s">
        <v>492</v>
      </c>
      <c r="G7" s="3545" t="s">
        <v>493</v>
      </c>
      <c r="H7" s="3520" t="s">
        <v>494</v>
      </c>
      <c r="I7" s="3520" t="s">
        <v>492</v>
      </c>
      <c r="J7" s="3520" t="s">
        <v>493</v>
      </c>
      <c r="K7" s="3520" t="s">
        <v>494</v>
      </c>
      <c r="L7" s="3521" t="s">
        <v>492</v>
      </c>
      <c r="M7" s="3521" t="s">
        <v>493</v>
      </c>
      <c r="N7" s="3521" t="s">
        <v>494</v>
      </c>
      <c r="O7" s="3520" t="s">
        <v>492</v>
      </c>
      <c r="P7" s="3520" t="s">
        <v>493</v>
      </c>
      <c r="Q7" s="3520" t="s">
        <v>494</v>
      </c>
      <c r="R7" s="468" t="s">
        <v>495</v>
      </c>
      <c r="S7" s="1243" t="s">
        <v>496</v>
      </c>
      <c r="T7" s="3520" t="s">
        <v>492</v>
      </c>
      <c r="U7" s="3520" t="s">
        <v>493</v>
      </c>
      <c r="V7" s="3520" t="s">
        <v>494</v>
      </c>
      <c r="W7" s="3521" t="s">
        <v>492</v>
      </c>
      <c r="X7" s="3521" t="s">
        <v>493</v>
      </c>
      <c r="Y7" s="3521" t="s">
        <v>494</v>
      </c>
      <c r="Z7" s="3520" t="s">
        <v>497</v>
      </c>
      <c r="AA7" s="3526" t="s">
        <v>498</v>
      </c>
      <c r="AB7" s="3530"/>
      <c r="AC7" s="469">
        <f>Z10+[16]РМС!X9+[16]СПЖ!X9+[16]ОД!X9+[16]Наркомания!X9+[16]Молодежь!X9+[16]Стимулирование!V1392</f>
        <v>1715.8</v>
      </c>
      <c r="AD7" s="470">
        <f>S10+[16]Стимулирование!T873+1750</f>
        <v>2183.6999999999998</v>
      </c>
      <c r="AF7" s="466"/>
    </row>
    <row r="8" spans="1:40" s="465" customFormat="1" ht="59.25" hidden="1" customHeight="1" x14ac:dyDescent="0.25">
      <c r="A8" s="3539"/>
      <c r="B8" s="3539"/>
      <c r="C8" s="3540"/>
      <c r="D8" s="3539"/>
      <c r="E8" s="3539"/>
      <c r="F8" s="3544"/>
      <c r="G8" s="3545"/>
      <c r="H8" s="3520"/>
      <c r="I8" s="3520"/>
      <c r="J8" s="3520"/>
      <c r="K8" s="3520"/>
      <c r="L8" s="3522"/>
      <c r="M8" s="3522"/>
      <c r="N8" s="3522"/>
      <c r="O8" s="3520"/>
      <c r="P8" s="3520"/>
      <c r="Q8" s="3520"/>
      <c r="R8" s="1243"/>
      <c r="S8" s="1243"/>
      <c r="T8" s="3520"/>
      <c r="U8" s="3520"/>
      <c r="V8" s="3520"/>
      <c r="W8" s="3522"/>
      <c r="X8" s="3522"/>
      <c r="Y8" s="3522"/>
      <c r="Z8" s="3520"/>
      <c r="AA8" s="3526"/>
      <c r="AB8" s="3530"/>
      <c r="AC8" s="464"/>
      <c r="AD8" s="470"/>
      <c r="AE8" s="470"/>
      <c r="AF8" s="466"/>
    </row>
    <row r="9" spans="1:40" s="465" customFormat="1" x14ac:dyDescent="0.25">
      <c r="A9" s="1240">
        <v>1</v>
      </c>
      <c r="B9" s="1240">
        <v>2</v>
      </c>
      <c r="C9" s="1240">
        <v>3</v>
      </c>
      <c r="D9" s="1240">
        <v>4</v>
      </c>
      <c r="E9" s="1240">
        <v>5</v>
      </c>
      <c r="F9" s="471">
        <v>6</v>
      </c>
      <c r="G9" s="471">
        <v>7</v>
      </c>
      <c r="H9" s="1240">
        <v>8</v>
      </c>
      <c r="I9" s="1240">
        <v>9</v>
      </c>
      <c r="J9" s="1240">
        <v>10</v>
      </c>
      <c r="K9" s="1240">
        <v>11</v>
      </c>
      <c r="L9" s="1240">
        <v>12</v>
      </c>
      <c r="M9" s="1240">
        <v>13</v>
      </c>
      <c r="N9" s="1240">
        <v>14</v>
      </c>
      <c r="O9" s="472">
        <v>15</v>
      </c>
      <c r="P9" s="472">
        <v>16</v>
      </c>
      <c r="Q9" s="472">
        <v>17</v>
      </c>
      <c r="R9" s="473" t="s">
        <v>499</v>
      </c>
      <c r="S9" s="473" t="s">
        <v>500</v>
      </c>
      <c r="T9" s="472">
        <v>18</v>
      </c>
      <c r="U9" s="472">
        <v>19</v>
      </c>
      <c r="V9" s="472">
        <v>20</v>
      </c>
      <c r="W9" s="472">
        <v>21</v>
      </c>
      <c r="X9" s="472">
        <v>22</v>
      </c>
      <c r="Y9" s="472">
        <v>23</v>
      </c>
      <c r="Z9" s="1240">
        <v>24</v>
      </c>
      <c r="AA9" s="1240">
        <v>25</v>
      </c>
      <c r="AB9" s="1240">
        <v>26</v>
      </c>
      <c r="AC9" s="464"/>
      <c r="AF9" s="466"/>
    </row>
    <row r="10" spans="1:40" s="486" customFormat="1" ht="26.25" hidden="1" customHeight="1" x14ac:dyDescent="0.25">
      <c r="A10" s="474"/>
      <c r="B10" s="475" t="s">
        <v>501</v>
      </c>
      <c r="C10" s="476"/>
      <c r="D10" s="477"/>
      <c r="E10" s="474"/>
      <c r="F10" s="478"/>
      <c r="G10" s="479"/>
      <c r="H10" s="480" t="e">
        <f>#REF!+H11+H33+#REF!+#REF!+#REF!+#REF!+H52+H74+#REF!+H147+#REF!+H158+#REF!+#REF!+H182+H191+H214+H253+#REF!+#REF!+#REF!+H282+H303+#REF!+H317+#REF!+#REF!+H337+#REF!+#REF!+H353+#REF!+#REF!+#REF!+#REF!+#REF!+#REF!+#REF!+#REF!+#REF!+#REF!+#REF!+H413</f>
        <v>#REF!</v>
      </c>
      <c r="I10" s="480"/>
      <c r="J10" s="480"/>
      <c r="K10" s="480">
        <f>K11+K33+K52+K74+K147+K158+K182+K191+K214+K253+K282+K303+K317+K337+K353+K413</f>
        <v>891.2</v>
      </c>
      <c r="L10" s="480"/>
      <c r="M10" s="480"/>
      <c r="N10" s="480">
        <f>N11+N33+N52+N74+N147+N158+N182+N191+N214+N253+N282+N303+N317+N337+N353+N413</f>
        <v>891.2</v>
      </c>
      <c r="O10" s="480"/>
      <c r="P10" s="480"/>
      <c r="Q10" s="480">
        <f>Q11+Q33+Q52+Q74+Q147+Q158+Q182+Q191+Q214+Q253+Q282+Q303+Q317+Q337+Q353+Q413</f>
        <v>1363.4</v>
      </c>
      <c r="R10" s="480">
        <f>R11+R33+R52+R74+R147+R158+R182+R191+R214+R253+R282+R303+R317+R337+R353+R413</f>
        <v>1129.3</v>
      </c>
      <c r="S10" s="480">
        <f>S11+S33+S52+S74+S147+S158+S182+S191+S214+S253+S282+S303+S317+S337+S353+S413</f>
        <v>233.9</v>
      </c>
      <c r="T10" s="480"/>
      <c r="U10" s="480"/>
      <c r="V10" s="480">
        <f>V11+V33+V52+V74+V147+V158+V182+V191+V214+V253+V282+V303+V317+V337+V353+V413</f>
        <v>1217.9000000000001</v>
      </c>
      <c r="W10" s="480"/>
      <c r="X10" s="480"/>
      <c r="Y10" s="480">
        <f>Y11+Y33+Y52+Y74+Y147+Y158+Y182+Y191+Y214+Y253+Y282+Y303+Y317+Y337+Y353+Y413</f>
        <v>1217.9000000000001</v>
      </c>
      <c r="Z10" s="480">
        <f t="shared" ref="Z10:Z73" si="0">Q10-K10</f>
        <v>472.2</v>
      </c>
      <c r="AA10" s="480">
        <f t="shared" ref="AA10:AA73" si="1">IFERROR(Q10/K10*100,"-")</f>
        <v>153</v>
      </c>
      <c r="AB10" s="481"/>
      <c r="AC10" s="482"/>
      <c r="AD10" s="483"/>
      <c r="AE10" s="483"/>
      <c r="AF10" s="484"/>
      <c r="AG10" s="485"/>
      <c r="AH10" s="484"/>
      <c r="AI10" s="483"/>
      <c r="AJ10" s="483"/>
      <c r="AL10" s="483"/>
      <c r="AM10" s="483"/>
      <c r="AN10" s="483"/>
    </row>
    <row r="11" spans="1:40" s="492" customFormat="1" ht="14.25" hidden="1" x14ac:dyDescent="0.2">
      <c r="A11" s="487"/>
      <c r="B11" s="831" t="s">
        <v>1231</v>
      </c>
      <c r="C11" s="490"/>
      <c r="D11" s="487"/>
      <c r="E11" s="487"/>
      <c r="F11" s="832"/>
      <c r="G11" s="833"/>
      <c r="H11" s="513" t="e">
        <f>#REF!+H12+#REF!</f>
        <v>#REF!</v>
      </c>
      <c r="I11" s="513"/>
      <c r="J11" s="513"/>
      <c r="K11" s="513">
        <f>K12</f>
        <v>34.200000000000003</v>
      </c>
      <c r="L11" s="513"/>
      <c r="M11" s="513"/>
      <c r="N11" s="513">
        <f>N12</f>
        <v>34.200000000000003</v>
      </c>
      <c r="O11" s="513"/>
      <c r="P11" s="513"/>
      <c r="Q11" s="513">
        <f>Q12</f>
        <v>31.1</v>
      </c>
      <c r="R11" s="513">
        <f>Q11</f>
        <v>31.1</v>
      </c>
      <c r="S11" s="513"/>
      <c r="T11" s="513"/>
      <c r="U11" s="513"/>
      <c r="V11" s="513">
        <f>V12</f>
        <v>31.1</v>
      </c>
      <c r="W11" s="513"/>
      <c r="X11" s="513"/>
      <c r="Y11" s="513">
        <f>Y12</f>
        <v>31.1</v>
      </c>
      <c r="Z11" s="513">
        <f t="shared" si="0"/>
        <v>-3.1</v>
      </c>
      <c r="AA11" s="513">
        <f t="shared" si="1"/>
        <v>90.9</v>
      </c>
      <c r="AB11" s="834"/>
      <c r="AC11" s="491"/>
      <c r="AD11" s="835"/>
      <c r="AE11" s="835"/>
      <c r="AF11" s="836"/>
      <c r="AG11" s="466"/>
      <c r="AH11" s="466"/>
    </row>
    <row r="12" spans="1:40" s="492" customFormat="1" ht="38.25" hidden="1" x14ac:dyDescent="0.2">
      <c r="A12" s="522"/>
      <c r="B12" s="825" t="s">
        <v>1664</v>
      </c>
      <c r="C12" s="837"/>
      <c r="D12" s="522" t="s">
        <v>1444</v>
      </c>
      <c r="E12" s="838"/>
      <c r="F12" s="839"/>
      <c r="G12" s="840"/>
      <c r="H12" s="841">
        <f>H13+H17+H21+H22+H23+H24+H25+H27</f>
        <v>58.3</v>
      </c>
      <c r="I12" s="841"/>
      <c r="J12" s="841"/>
      <c r="K12" s="841">
        <f>K13+K17+K21+K22+K23+K24+K25+K27</f>
        <v>34.200000000000003</v>
      </c>
      <c r="L12" s="841"/>
      <c r="M12" s="841"/>
      <c r="N12" s="841">
        <f>N13+N17+N21+N22+N23+N24+N25+N27</f>
        <v>34.200000000000003</v>
      </c>
      <c r="O12" s="841"/>
      <c r="P12" s="841"/>
      <c r="Q12" s="841">
        <f>Q13+Q17+Q21+Q22+Q25+Q27</f>
        <v>31.1</v>
      </c>
      <c r="R12" s="841">
        <f t="shared" ref="R12:R73" si="2">Q12</f>
        <v>31.1</v>
      </c>
      <c r="S12" s="841"/>
      <c r="T12" s="841"/>
      <c r="U12" s="841"/>
      <c r="V12" s="841">
        <f>V13+V17+V21+V22+V25+V27</f>
        <v>31.1</v>
      </c>
      <c r="W12" s="841"/>
      <c r="X12" s="841"/>
      <c r="Y12" s="841">
        <f>Y13+Y17+Y21+Y22+Y25+Y27</f>
        <v>31.1</v>
      </c>
      <c r="Z12" s="841">
        <f t="shared" si="0"/>
        <v>-3.1</v>
      </c>
      <c r="AA12" s="841">
        <f t="shared" si="1"/>
        <v>90.9</v>
      </c>
      <c r="AB12" s="849"/>
      <c r="AC12" s="491" t="s">
        <v>1665</v>
      </c>
      <c r="AF12" s="466"/>
      <c r="AG12" s="466"/>
      <c r="AH12" s="466"/>
    </row>
    <row r="13" spans="1:40" s="492" customFormat="1" ht="14.25" x14ac:dyDescent="0.2">
      <c r="A13" s="1240"/>
      <c r="B13" s="500" t="s">
        <v>1228</v>
      </c>
      <c r="C13" s="501" t="s">
        <v>797</v>
      </c>
      <c r="D13" s="1240"/>
      <c r="E13" s="842"/>
      <c r="F13" s="530"/>
      <c r="G13" s="531"/>
      <c r="H13" s="542">
        <f>SUM(H14:H16)</f>
        <v>7.8</v>
      </c>
      <c r="I13" s="532"/>
      <c r="J13" s="532"/>
      <c r="K13" s="533">
        <f>SUM(K14:K16)</f>
        <v>4</v>
      </c>
      <c r="L13" s="532"/>
      <c r="M13" s="532"/>
      <c r="N13" s="533">
        <f>SUM(N14:N16)</f>
        <v>4</v>
      </c>
      <c r="O13" s="532"/>
      <c r="P13" s="532"/>
      <c r="Q13" s="533">
        <f>SUM(Q14:Q16)</f>
        <v>4</v>
      </c>
      <c r="R13" s="533">
        <f t="shared" si="2"/>
        <v>4</v>
      </c>
      <c r="S13" s="533"/>
      <c r="T13" s="532"/>
      <c r="U13" s="532"/>
      <c r="V13" s="533">
        <f>SUM(V14:V16)</f>
        <v>4</v>
      </c>
      <c r="W13" s="532"/>
      <c r="X13" s="532"/>
      <c r="Y13" s="533">
        <f>SUM(Y14:Y16)</f>
        <v>4</v>
      </c>
      <c r="Z13" s="542">
        <f t="shared" si="0"/>
        <v>0</v>
      </c>
      <c r="AA13" s="542">
        <f t="shared" si="1"/>
        <v>100</v>
      </c>
      <c r="AB13" s="1030"/>
      <c r="AC13" s="1822" t="s">
        <v>1665</v>
      </c>
      <c r="AF13" s="466"/>
      <c r="AG13" s="466"/>
      <c r="AH13" s="466"/>
    </row>
    <row r="14" spans="1:40" s="498" customFormat="1" hidden="1" x14ac:dyDescent="0.25">
      <c r="A14" s="962"/>
      <c r="B14" s="856" t="s">
        <v>1666</v>
      </c>
      <c r="C14" s="499"/>
      <c r="D14" s="962"/>
      <c r="E14" s="1031" t="s">
        <v>227</v>
      </c>
      <c r="F14" s="494">
        <v>1</v>
      </c>
      <c r="G14" s="495">
        <v>3</v>
      </c>
      <c r="H14" s="559">
        <f>F14*G14</f>
        <v>3</v>
      </c>
      <c r="I14" s="496"/>
      <c r="J14" s="496"/>
      <c r="K14" s="857">
        <v>0</v>
      </c>
      <c r="L14" s="496"/>
      <c r="M14" s="496"/>
      <c r="N14" s="857">
        <v>0</v>
      </c>
      <c r="O14" s="496"/>
      <c r="P14" s="496"/>
      <c r="Q14" s="857"/>
      <c r="R14" s="857">
        <f t="shared" si="2"/>
        <v>0</v>
      </c>
      <c r="S14" s="857"/>
      <c r="T14" s="496"/>
      <c r="U14" s="496"/>
      <c r="V14" s="857"/>
      <c r="W14" s="496"/>
      <c r="X14" s="496"/>
      <c r="Y14" s="857"/>
      <c r="Z14" s="559">
        <f t="shared" si="0"/>
        <v>0</v>
      </c>
      <c r="AA14" s="559" t="str">
        <f t="shared" si="1"/>
        <v>-</v>
      </c>
      <c r="AB14" s="900"/>
      <c r="AC14" s="1823" t="s">
        <v>1665</v>
      </c>
      <c r="AF14" s="466"/>
      <c r="AG14" s="465"/>
      <c r="AH14" s="465"/>
    </row>
    <row r="15" spans="1:40" s="498" customFormat="1" ht="63.75" hidden="1" x14ac:dyDescent="0.25">
      <c r="A15" s="962"/>
      <c r="B15" s="1824" t="s">
        <v>1667</v>
      </c>
      <c r="C15" s="499"/>
      <c r="D15" s="962"/>
      <c r="E15" s="1031"/>
      <c r="F15" s="494"/>
      <c r="G15" s="495"/>
      <c r="H15" s="559"/>
      <c r="I15" s="496">
        <v>2</v>
      </c>
      <c r="J15" s="496">
        <v>1</v>
      </c>
      <c r="K15" s="857">
        <f>I15*J15</f>
        <v>2</v>
      </c>
      <c r="L15" s="496">
        <v>2</v>
      </c>
      <c r="M15" s="496">
        <v>1</v>
      </c>
      <c r="N15" s="857">
        <f>L15*M15</f>
        <v>2</v>
      </c>
      <c r="O15" s="496">
        <v>2</v>
      </c>
      <c r="P15" s="496">
        <v>2</v>
      </c>
      <c r="Q15" s="857">
        <f>O15*P15</f>
        <v>4</v>
      </c>
      <c r="R15" s="857">
        <f t="shared" si="2"/>
        <v>4</v>
      </c>
      <c r="S15" s="857"/>
      <c r="T15" s="496">
        <v>2</v>
      </c>
      <c r="U15" s="496">
        <v>2</v>
      </c>
      <c r="V15" s="857">
        <f>T15*U15</f>
        <v>4</v>
      </c>
      <c r="W15" s="496">
        <v>2</v>
      </c>
      <c r="X15" s="496">
        <v>2</v>
      </c>
      <c r="Y15" s="857">
        <f>W15*X15</f>
        <v>4</v>
      </c>
      <c r="Z15" s="559">
        <f t="shared" si="0"/>
        <v>2</v>
      </c>
      <c r="AA15" s="559">
        <f t="shared" si="1"/>
        <v>200</v>
      </c>
      <c r="AB15" s="900" t="s">
        <v>1668</v>
      </c>
      <c r="AC15" s="1823" t="s">
        <v>1665</v>
      </c>
      <c r="AF15" s="466"/>
      <c r="AG15" s="465"/>
      <c r="AH15" s="465"/>
    </row>
    <row r="16" spans="1:40" s="498" customFormat="1" hidden="1" x14ac:dyDescent="0.25">
      <c r="A16" s="962"/>
      <c r="B16" s="856" t="s">
        <v>1669</v>
      </c>
      <c r="C16" s="499"/>
      <c r="D16" s="962"/>
      <c r="E16" s="1031" t="s">
        <v>310</v>
      </c>
      <c r="F16" s="494">
        <v>40</v>
      </c>
      <c r="G16" s="495">
        <v>0.12</v>
      </c>
      <c r="H16" s="559">
        <f>F16*G16</f>
        <v>4.8</v>
      </c>
      <c r="I16" s="496">
        <v>40</v>
      </c>
      <c r="J16" s="883">
        <v>0.05</v>
      </c>
      <c r="K16" s="857">
        <f>I16*J16</f>
        <v>2</v>
      </c>
      <c r="L16" s="496">
        <v>40</v>
      </c>
      <c r="M16" s="883">
        <v>0.05</v>
      </c>
      <c r="N16" s="857">
        <f>L16*M16</f>
        <v>2</v>
      </c>
      <c r="O16" s="496"/>
      <c r="P16" s="496"/>
      <c r="Q16" s="857"/>
      <c r="R16" s="857">
        <f t="shared" si="2"/>
        <v>0</v>
      </c>
      <c r="S16" s="857"/>
      <c r="T16" s="496"/>
      <c r="U16" s="496"/>
      <c r="V16" s="857"/>
      <c r="W16" s="496"/>
      <c r="X16" s="496"/>
      <c r="Y16" s="857"/>
      <c r="Z16" s="559">
        <f t="shared" si="0"/>
        <v>-2</v>
      </c>
      <c r="AA16" s="559">
        <f t="shared" si="1"/>
        <v>0</v>
      </c>
      <c r="AB16" s="900"/>
      <c r="AC16" s="1823" t="s">
        <v>1665</v>
      </c>
      <c r="AF16" s="466"/>
      <c r="AG16" s="465"/>
      <c r="AH16" s="465"/>
    </row>
    <row r="17" spans="1:34" s="492" customFormat="1" ht="25.5" x14ac:dyDescent="0.2">
      <c r="A17" s="1240"/>
      <c r="B17" s="865" t="s">
        <v>1670</v>
      </c>
      <c r="C17" s="508" t="s">
        <v>797</v>
      </c>
      <c r="D17" s="1240"/>
      <c r="E17" s="842" t="s">
        <v>310</v>
      </c>
      <c r="F17" s="530"/>
      <c r="G17" s="531"/>
      <c r="H17" s="542">
        <f>SUM(H18:H20)</f>
        <v>6.6</v>
      </c>
      <c r="I17" s="532"/>
      <c r="J17" s="532"/>
      <c r="K17" s="533">
        <f>SUM(K18:K20)</f>
        <v>1.4</v>
      </c>
      <c r="L17" s="532"/>
      <c r="M17" s="532"/>
      <c r="N17" s="533">
        <f>SUM(N18:N20)</f>
        <v>1.4</v>
      </c>
      <c r="O17" s="532"/>
      <c r="P17" s="532"/>
      <c r="Q17" s="533">
        <f>SUM(Q18:Q20)</f>
        <v>1.4</v>
      </c>
      <c r="R17" s="533">
        <f t="shared" si="2"/>
        <v>1.4</v>
      </c>
      <c r="S17" s="533"/>
      <c r="T17" s="532"/>
      <c r="U17" s="532"/>
      <c r="V17" s="533">
        <f>SUM(V18:V20)</f>
        <v>1.4</v>
      </c>
      <c r="W17" s="532"/>
      <c r="X17" s="532"/>
      <c r="Y17" s="533">
        <f>SUM(Y18:Y20)</f>
        <v>1.4</v>
      </c>
      <c r="Z17" s="542">
        <f t="shared" si="0"/>
        <v>0</v>
      </c>
      <c r="AA17" s="542">
        <f t="shared" si="1"/>
        <v>100</v>
      </c>
      <c r="AB17" s="900"/>
      <c r="AC17" s="1823" t="s">
        <v>1665</v>
      </c>
      <c r="AF17" s="466"/>
      <c r="AG17" s="466"/>
      <c r="AH17" s="466"/>
    </row>
    <row r="18" spans="1:34" s="498" customFormat="1" ht="63.75" hidden="1" x14ac:dyDescent="0.25">
      <c r="A18" s="962"/>
      <c r="B18" s="502" t="s">
        <v>1671</v>
      </c>
      <c r="C18" s="499"/>
      <c r="D18" s="962"/>
      <c r="E18" s="1031" t="s">
        <v>227</v>
      </c>
      <c r="F18" s="494">
        <v>28</v>
      </c>
      <c r="G18" s="495">
        <v>0.1</v>
      </c>
      <c r="H18" s="559">
        <f t="shared" ref="H18:H25" si="3">F18*G18</f>
        <v>2.8</v>
      </c>
      <c r="I18" s="496">
        <v>14</v>
      </c>
      <c r="J18" s="883">
        <v>0.1</v>
      </c>
      <c r="K18" s="857">
        <f>I18*J18</f>
        <v>1.4</v>
      </c>
      <c r="L18" s="496">
        <v>14</v>
      </c>
      <c r="M18" s="883">
        <v>0.1</v>
      </c>
      <c r="N18" s="857">
        <f>L18*M18</f>
        <v>1.4</v>
      </c>
      <c r="O18" s="496">
        <v>14</v>
      </c>
      <c r="P18" s="496">
        <v>0.1</v>
      </c>
      <c r="Q18" s="857">
        <f>O18*P18</f>
        <v>1.4</v>
      </c>
      <c r="R18" s="857">
        <f t="shared" si="2"/>
        <v>1.4</v>
      </c>
      <c r="S18" s="857"/>
      <c r="T18" s="496">
        <f>O18</f>
        <v>14</v>
      </c>
      <c r="U18" s="496">
        <v>0.1</v>
      </c>
      <c r="V18" s="857">
        <f>T18*U18</f>
        <v>1.4</v>
      </c>
      <c r="W18" s="496">
        <f>T18</f>
        <v>14</v>
      </c>
      <c r="X18" s="496">
        <v>0.1</v>
      </c>
      <c r="Y18" s="857">
        <f>W18*X18</f>
        <v>1.4</v>
      </c>
      <c r="Z18" s="559">
        <f t="shared" si="0"/>
        <v>0</v>
      </c>
      <c r="AA18" s="559">
        <f t="shared" si="1"/>
        <v>100</v>
      </c>
      <c r="AB18" s="900" t="s">
        <v>1672</v>
      </c>
      <c r="AC18" s="1823" t="s">
        <v>1665</v>
      </c>
      <c r="AF18" s="466"/>
      <c r="AG18" s="465"/>
      <c r="AH18" s="465"/>
    </row>
    <row r="19" spans="1:34" s="498" customFormat="1" hidden="1" x14ac:dyDescent="0.25">
      <c r="A19" s="962"/>
      <c r="B19" s="502" t="s">
        <v>1673</v>
      </c>
      <c r="C19" s="503"/>
      <c r="D19" s="962"/>
      <c r="E19" s="1031" t="s">
        <v>227</v>
      </c>
      <c r="F19" s="494" t="s">
        <v>1087</v>
      </c>
      <c r="G19" s="495">
        <v>2</v>
      </c>
      <c r="H19" s="559">
        <f t="shared" si="3"/>
        <v>2</v>
      </c>
      <c r="I19" s="496"/>
      <c r="J19" s="496"/>
      <c r="K19" s="857">
        <f>I19*J19</f>
        <v>0</v>
      </c>
      <c r="L19" s="496"/>
      <c r="M19" s="496"/>
      <c r="N19" s="857">
        <f>L19*M19</f>
        <v>0</v>
      </c>
      <c r="O19" s="496"/>
      <c r="P19" s="496"/>
      <c r="Q19" s="857"/>
      <c r="R19" s="857">
        <f t="shared" si="2"/>
        <v>0</v>
      </c>
      <c r="S19" s="857"/>
      <c r="T19" s="496"/>
      <c r="U19" s="496"/>
      <c r="V19" s="857"/>
      <c r="W19" s="496"/>
      <c r="X19" s="496"/>
      <c r="Y19" s="857"/>
      <c r="Z19" s="559">
        <f t="shared" si="0"/>
        <v>0</v>
      </c>
      <c r="AA19" s="559" t="str">
        <f t="shared" si="1"/>
        <v>-</v>
      </c>
      <c r="AB19" s="900"/>
      <c r="AC19" s="1822" t="s">
        <v>1665</v>
      </c>
      <c r="AF19" s="466"/>
      <c r="AG19" s="465"/>
      <c r="AH19" s="465"/>
    </row>
    <row r="20" spans="1:34" s="498" customFormat="1" ht="76.5" hidden="1" x14ac:dyDescent="0.25">
      <c r="A20" s="962"/>
      <c r="B20" s="856" t="s">
        <v>1674</v>
      </c>
      <c r="C20" s="499"/>
      <c r="D20" s="962"/>
      <c r="E20" s="1031" t="s">
        <v>227</v>
      </c>
      <c r="F20" s="494" t="s">
        <v>1092</v>
      </c>
      <c r="G20" s="495" t="s">
        <v>1675</v>
      </c>
      <c r="H20" s="559">
        <f t="shared" si="3"/>
        <v>1.8</v>
      </c>
      <c r="I20" s="496"/>
      <c r="J20" s="496"/>
      <c r="K20" s="857">
        <f>I20*J20</f>
        <v>0</v>
      </c>
      <c r="L20" s="496"/>
      <c r="M20" s="496"/>
      <c r="N20" s="857">
        <f>L20*M20</f>
        <v>0</v>
      </c>
      <c r="O20" s="496"/>
      <c r="P20" s="496"/>
      <c r="Q20" s="857"/>
      <c r="R20" s="857">
        <f t="shared" si="2"/>
        <v>0</v>
      </c>
      <c r="S20" s="857"/>
      <c r="T20" s="496"/>
      <c r="U20" s="496"/>
      <c r="V20" s="857"/>
      <c r="W20" s="496"/>
      <c r="X20" s="496"/>
      <c r="Y20" s="857"/>
      <c r="Z20" s="559">
        <f t="shared" si="0"/>
        <v>0</v>
      </c>
      <c r="AA20" s="559" t="str">
        <f t="shared" si="1"/>
        <v>-</v>
      </c>
      <c r="AB20" s="900" t="s">
        <v>1676</v>
      </c>
      <c r="AC20" s="1823" t="s">
        <v>1665</v>
      </c>
      <c r="AF20" s="466"/>
      <c r="AG20" s="465"/>
      <c r="AH20" s="465"/>
    </row>
    <row r="21" spans="1:34" s="492" customFormat="1" ht="14.25" hidden="1" x14ac:dyDescent="0.2">
      <c r="A21" s="1240"/>
      <c r="B21" s="865" t="s">
        <v>1677</v>
      </c>
      <c r="C21" s="508" t="s">
        <v>796</v>
      </c>
      <c r="D21" s="1240"/>
      <c r="E21" s="842" t="s">
        <v>227</v>
      </c>
      <c r="F21" s="863">
        <v>330</v>
      </c>
      <c r="G21" s="864">
        <v>0.02</v>
      </c>
      <c r="H21" s="542">
        <f t="shared" si="3"/>
        <v>6.6</v>
      </c>
      <c r="I21" s="1825">
        <v>330</v>
      </c>
      <c r="J21" s="1825">
        <v>0</v>
      </c>
      <c r="K21" s="533">
        <f>I21*J21</f>
        <v>0</v>
      </c>
      <c r="L21" s="1825">
        <v>330</v>
      </c>
      <c r="M21" s="1825">
        <v>0</v>
      </c>
      <c r="N21" s="533">
        <f>L21*M21</f>
        <v>0</v>
      </c>
      <c r="O21" s="1825">
        <v>330</v>
      </c>
      <c r="P21" s="1825">
        <v>0</v>
      </c>
      <c r="Q21" s="533">
        <f>O21*P21</f>
        <v>0</v>
      </c>
      <c r="R21" s="533">
        <f t="shared" si="2"/>
        <v>0</v>
      </c>
      <c r="S21" s="533"/>
      <c r="T21" s="1825">
        <v>330</v>
      </c>
      <c r="U21" s="1825">
        <v>0</v>
      </c>
      <c r="V21" s="533">
        <f>T21*U21</f>
        <v>0</v>
      </c>
      <c r="W21" s="1825">
        <v>330</v>
      </c>
      <c r="X21" s="1825">
        <v>0</v>
      </c>
      <c r="Y21" s="533">
        <f>W21*X21</f>
        <v>0</v>
      </c>
      <c r="Z21" s="542">
        <f t="shared" si="0"/>
        <v>0</v>
      </c>
      <c r="AA21" s="542" t="str">
        <f t="shared" si="1"/>
        <v>-</v>
      </c>
      <c r="AB21" s="900"/>
      <c r="AC21" s="1823" t="s">
        <v>1665</v>
      </c>
      <c r="AF21" s="466"/>
      <c r="AG21" s="466"/>
      <c r="AH21" s="466"/>
    </row>
    <row r="22" spans="1:34" s="492" customFormat="1" ht="14.25" x14ac:dyDescent="0.2">
      <c r="A22" s="1240"/>
      <c r="B22" s="865" t="s">
        <v>1678</v>
      </c>
      <c r="C22" s="508" t="s">
        <v>797</v>
      </c>
      <c r="D22" s="1240"/>
      <c r="E22" s="842" t="s">
        <v>227</v>
      </c>
      <c r="F22" s="863">
        <v>30</v>
      </c>
      <c r="G22" s="864">
        <v>0.06</v>
      </c>
      <c r="H22" s="1826">
        <f t="shared" si="3"/>
        <v>1.8</v>
      </c>
      <c r="I22" s="1825">
        <v>30</v>
      </c>
      <c r="J22" s="1825">
        <v>0.1</v>
      </c>
      <c r="K22" s="1825">
        <f>I22*J22</f>
        <v>3</v>
      </c>
      <c r="L22" s="1825">
        <v>30</v>
      </c>
      <c r="M22" s="1825">
        <v>0.1</v>
      </c>
      <c r="N22" s="1825">
        <f>L22*M22</f>
        <v>3</v>
      </c>
      <c r="O22" s="1825">
        <v>30</v>
      </c>
      <c r="P22" s="1825">
        <v>0.1</v>
      </c>
      <c r="Q22" s="533">
        <f>O22*P22</f>
        <v>3</v>
      </c>
      <c r="R22" s="533">
        <f t="shared" si="2"/>
        <v>3</v>
      </c>
      <c r="S22" s="533"/>
      <c r="T22" s="1825">
        <v>30</v>
      </c>
      <c r="U22" s="1825">
        <v>0.1</v>
      </c>
      <c r="V22" s="533">
        <f>T22*U22</f>
        <v>3</v>
      </c>
      <c r="W22" s="1825">
        <v>30</v>
      </c>
      <c r="X22" s="1825">
        <v>0.1</v>
      </c>
      <c r="Y22" s="533">
        <f>W22*X22</f>
        <v>3</v>
      </c>
      <c r="Z22" s="1826">
        <f t="shared" si="0"/>
        <v>0</v>
      </c>
      <c r="AA22" s="1826">
        <f t="shared" si="1"/>
        <v>100</v>
      </c>
      <c r="AB22" s="900"/>
      <c r="AC22" s="1823" t="s">
        <v>1665</v>
      </c>
      <c r="AF22" s="466"/>
      <c r="AG22" s="466"/>
      <c r="AH22" s="466"/>
    </row>
    <row r="23" spans="1:34" s="492" customFormat="1" ht="14.25" hidden="1" x14ac:dyDescent="0.2">
      <c r="A23" s="1240"/>
      <c r="B23" s="865" t="s">
        <v>1679</v>
      </c>
      <c r="C23" s="508" t="s">
        <v>796</v>
      </c>
      <c r="D23" s="1240"/>
      <c r="E23" s="842" t="s">
        <v>227</v>
      </c>
      <c r="F23" s="557">
        <v>2</v>
      </c>
      <c r="G23" s="558">
        <v>0.6</v>
      </c>
      <c r="H23" s="542">
        <f t="shared" si="3"/>
        <v>1.2</v>
      </c>
      <c r="I23" s="533"/>
      <c r="J23" s="533"/>
      <c r="K23" s="533"/>
      <c r="L23" s="533"/>
      <c r="M23" s="533"/>
      <c r="N23" s="533"/>
      <c r="O23" s="533"/>
      <c r="P23" s="533"/>
      <c r="Q23" s="533"/>
      <c r="R23" s="533">
        <f t="shared" si="2"/>
        <v>0</v>
      </c>
      <c r="S23" s="533"/>
      <c r="T23" s="533"/>
      <c r="U23" s="533"/>
      <c r="V23" s="533"/>
      <c r="W23" s="533"/>
      <c r="X23" s="533"/>
      <c r="Y23" s="533"/>
      <c r="Z23" s="542">
        <f t="shared" si="0"/>
        <v>0</v>
      </c>
      <c r="AA23" s="542" t="str">
        <f t="shared" si="1"/>
        <v>-</v>
      </c>
      <c r="AB23" s="900"/>
      <c r="AC23" s="1823" t="s">
        <v>1665</v>
      </c>
      <c r="AF23" s="466"/>
      <c r="AG23" s="466"/>
      <c r="AH23" s="466"/>
    </row>
    <row r="24" spans="1:34" s="492" customFormat="1" ht="14.25" hidden="1" x14ac:dyDescent="0.2">
      <c r="A24" s="1240"/>
      <c r="B24" s="500" t="s">
        <v>1680</v>
      </c>
      <c r="C24" s="501" t="s">
        <v>796</v>
      </c>
      <c r="D24" s="1240"/>
      <c r="E24" s="842" t="s">
        <v>227</v>
      </c>
      <c r="F24" s="863">
        <v>80</v>
      </c>
      <c r="G24" s="864">
        <v>0.06</v>
      </c>
      <c r="H24" s="1826">
        <f t="shared" si="3"/>
        <v>4.8</v>
      </c>
      <c r="I24" s="1825">
        <v>37</v>
      </c>
      <c r="J24" s="1825">
        <v>0.1</v>
      </c>
      <c r="K24" s="1825">
        <f>I24*J24</f>
        <v>3.7</v>
      </c>
      <c r="L24" s="1825">
        <v>37</v>
      </c>
      <c r="M24" s="1825">
        <v>0.1</v>
      </c>
      <c r="N24" s="1825">
        <f>L24*M24</f>
        <v>3.7</v>
      </c>
      <c r="O24" s="1825"/>
      <c r="P24" s="1825"/>
      <c r="Q24" s="1825"/>
      <c r="R24" s="1825">
        <f t="shared" si="2"/>
        <v>0</v>
      </c>
      <c r="S24" s="1825"/>
      <c r="T24" s="1825"/>
      <c r="U24" s="1825"/>
      <c r="V24" s="1825"/>
      <c r="W24" s="1825"/>
      <c r="X24" s="1825"/>
      <c r="Y24" s="1825"/>
      <c r="Z24" s="1826">
        <f t="shared" si="0"/>
        <v>-3.7</v>
      </c>
      <c r="AA24" s="1826">
        <f t="shared" si="1"/>
        <v>0</v>
      </c>
      <c r="AB24" s="900"/>
      <c r="AC24" s="1822" t="s">
        <v>1665</v>
      </c>
      <c r="AF24" s="466"/>
      <c r="AG24" s="466"/>
      <c r="AH24" s="466"/>
    </row>
    <row r="25" spans="1:34" s="492" customFormat="1" ht="14.25" hidden="1" x14ac:dyDescent="0.2">
      <c r="A25" s="1240"/>
      <c r="B25" s="500" t="s">
        <v>1681</v>
      </c>
      <c r="C25" s="501" t="s">
        <v>796</v>
      </c>
      <c r="D25" s="1240"/>
      <c r="E25" s="842"/>
      <c r="F25" s="863">
        <v>167</v>
      </c>
      <c r="G25" s="864">
        <v>0.1</v>
      </c>
      <c r="H25" s="1826">
        <f t="shared" si="3"/>
        <v>16.7</v>
      </c>
      <c r="I25" s="1825">
        <v>37</v>
      </c>
      <c r="J25" s="1827">
        <v>0.25</v>
      </c>
      <c r="K25" s="1825">
        <f>I25*J25</f>
        <v>9.3000000000000007</v>
      </c>
      <c r="L25" s="1825">
        <v>37</v>
      </c>
      <c r="M25" s="1827">
        <v>0.25</v>
      </c>
      <c r="N25" s="1825">
        <f>L25*M25</f>
        <v>9.3000000000000007</v>
      </c>
      <c r="O25" s="1825"/>
      <c r="P25" s="1825"/>
      <c r="Q25" s="1825">
        <f>SUM(Q26:Q26)</f>
        <v>6</v>
      </c>
      <c r="R25" s="1825">
        <f t="shared" si="2"/>
        <v>6</v>
      </c>
      <c r="S25" s="1825"/>
      <c r="T25" s="1825"/>
      <c r="U25" s="1825"/>
      <c r="V25" s="1825">
        <f>SUM(V26:V26)</f>
        <v>6</v>
      </c>
      <c r="W25" s="1825"/>
      <c r="X25" s="1825"/>
      <c r="Y25" s="1825">
        <f>SUM(Y26:Y26)</f>
        <v>6</v>
      </c>
      <c r="Z25" s="1826">
        <f t="shared" si="0"/>
        <v>-3.3</v>
      </c>
      <c r="AA25" s="1826">
        <f t="shared" si="1"/>
        <v>64.5</v>
      </c>
      <c r="AB25" s="1029"/>
      <c r="AC25" s="1822" t="s">
        <v>1665</v>
      </c>
      <c r="AF25" s="466"/>
      <c r="AG25" s="466"/>
      <c r="AH25" s="466"/>
    </row>
    <row r="26" spans="1:34" s="492" customFormat="1" ht="14.25" hidden="1" x14ac:dyDescent="0.2">
      <c r="A26" s="1240"/>
      <c r="B26" s="500" t="s">
        <v>1682</v>
      </c>
      <c r="C26" s="501"/>
      <c r="D26" s="1240"/>
      <c r="E26" s="842"/>
      <c r="F26" s="863"/>
      <c r="G26" s="864"/>
      <c r="H26" s="1826"/>
      <c r="I26" s="1825"/>
      <c r="J26" s="1827"/>
      <c r="K26" s="1825"/>
      <c r="L26" s="1825"/>
      <c r="M26" s="1827"/>
      <c r="N26" s="1825"/>
      <c r="O26" s="682">
        <v>15</v>
      </c>
      <c r="P26" s="682">
        <v>0.4</v>
      </c>
      <c r="Q26" s="857">
        <f>O26*P26</f>
        <v>6</v>
      </c>
      <c r="R26" s="857">
        <f t="shared" si="2"/>
        <v>6</v>
      </c>
      <c r="S26" s="857"/>
      <c r="T26" s="682">
        <v>15</v>
      </c>
      <c r="U26" s="682">
        <v>0.4</v>
      </c>
      <c r="V26" s="857">
        <f>T26*U26</f>
        <v>6</v>
      </c>
      <c r="W26" s="682">
        <v>15</v>
      </c>
      <c r="X26" s="682">
        <v>0.4</v>
      </c>
      <c r="Y26" s="857">
        <f>W26*X26</f>
        <v>6</v>
      </c>
      <c r="Z26" s="1826">
        <f t="shared" si="0"/>
        <v>6</v>
      </c>
      <c r="AA26" s="1826" t="str">
        <f t="shared" si="1"/>
        <v>-</v>
      </c>
      <c r="AB26" s="1828"/>
      <c r="AC26" s="1822" t="s">
        <v>1665</v>
      </c>
      <c r="AF26" s="466"/>
      <c r="AG26" s="466"/>
      <c r="AH26" s="466"/>
    </row>
    <row r="27" spans="1:34" s="492" customFormat="1" ht="14.25" hidden="1" x14ac:dyDescent="0.2">
      <c r="A27" s="1240"/>
      <c r="B27" s="500" t="s">
        <v>1233</v>
      </c>
      <c r="C27" s="501" t="s">
        <v>1230</v>
      </c>
      <c r="D27" s="1240"/>
      <c r="E27" s="842" t="s">
        <v>318</v>
      </c>
      <c r="F27" s="1829"/>
      <c r="G27" s="1830"/>
      <c r="H27" s="542">
        <f>SUM(H28:H32)</f>
        <v>12.8</v>
      </c>
      <c r="I27" s="1831"/>
      <c r="J27" s="1831"/>
      <c r="K27" s="533">
        <f>SUM(K28:K32)</f>
        <v>12.8</v>
      </c>
      <c r="L27" s="1831"/>
      <c r="M27" s="1831"/>
      <c r="N27" s="533">
        <f>SUM(N28:N32)</f>
        <v>12.8</v>
      </c>
      <c r="O27" s="1831"/>
      <c r="P27" s="1831"/>
      <c r="Q27" s="533">
        <f>SUM(Q28:Q32)</f>
        <v>16.7</v>
      </c>
      <c r="R27" s="533">
        <f t="shared" si="2"/>
        <v>16.7</v>
      </c>
      <c r="S27" s="533"/>
      <c r="T27" s="1831"/>
      <c r="U27" s="1831"/>
      <c r="V27" s="533">
        <f>SUM(V28:V32)</f>
        <v>16.7</v>
      </c>
      <c r="W27" s="1831"/>
      <c r="X27" s="1831"/>
      <c r="Y27" s="533">
        <f>SUM(Y28:Y32)</f>
        <v>16.7</v>
      </c>
      <c r="Z27" s="542">
        <f t="shared" si="0"/>
        <v>3.9</v>
      </c>
      <c r="AA27" s="542">
        <f t="shared" si="1"/>
        <v>130.5</v>
      </c>
      <c r="AB27" s="899"/>
      <c r="AC27" s="1822" t="s">
        <v>1665</v>
      </c>
      <c r="AF27" s="466"/>
      <c r="AG27" s="466"/>
      <c r="AH27" s="466"/>
    </row>
    <row r="28" spans="1:34" s="498" customFormat="1" hidden="1" x14ac:dyDescent="0.25">
      <c r="A28" s="962"/>
      <c r="B28" s="502" t="s">
        <v>1519</v>
      </c>
      <c r="C28" s="503"/>
      <c r="D28" s="962"/>
      <c r="E28" s="1031" t="s">
        <v>318</v>
      </c>
      <c r="F28" s="494">
        <v>1</v>
      </c>
      <c r="G28" s="495">
        <v>3.45</v>
      </c>
      <c r="H28" s="559">
        <f>F28*G28</f>
        <v>3.5</v>
      </c>
      <c r="I28" s="496">
        <v>1</v>
      </c>
      <c r="J28" s="496">
        <v>3.5</v>
      </c>
      <c r="K28" s="857">
        <f>I28*J28</f>
        <v>3.5</v>
      </c>
      <c r="L28" s="496">
        <v>1</v>
      </c>
      <c r="M28" s="496">
        <v>3.5</v>
      </c>
      <c r="N28" s="857">
        <f>L28*M28</f>
        <v>3.5</v>
      </c>
      <c r="O28" s="496">
        <v>1</v>
      </c>
      <c r="P28" s="496">
        <v>3.5</v>
      </c>
      <c r="Q28" s="857">
        <f>O28*P28</f>
        <v>3.5</v>
      </c>
      <c r="R28" s="857">
        <f t="shared" si="2"/>
        <v>3.5</v>
      </c>
      <c r="S28" s="857"/>
      <c r="T28" s="496">
        <v>1</v>
      </c>
      <c r="U28" s="496">
        <v>3.5</v>
      </c>
      <c r="V28" s="857">
        <f>T28*U28</f>
        <v>3.5</v>
      </c>
      <c r="W28" s="496">
        <v>1</v>
      </c>
      <c r="X28" s="496">
        <v>3.5</v>
      </c>
      <c r="Y28" s="857">
        <f>W28*X28</f>
        <v>3.5</v>
      </c>
      <c r="Z28" s="559">
        <f t="shared" si="0"/>
        <v>0</v>
      </c>
      <c r="AA28" s="559">
        <f t="shared" si="1"/>
        <v>100</v>
      </c>
      <c r="AB28" s="1029"/>
      <c r="AC28" s="1822" t="s">
        <v>1665</v>
      </c>
      <c r="AF28" s="466"/>
      <c r="AG28" s="465"/>
      <c r="AH28" s="465"/>
    </row>
    <row r="29" spans="1:34" s="498" customFormat="1" hidden="1" x14ac:dyDescent="0.25">
      <c r="A29" s="962"/>
      <c r="B29" s="1038" t="s">
        <v>1683</v>
      </c>
      <c r="C29" s="1832"/>
      <c r="D29" s="962"/>
      <c r="E29" s="842"/>
      <c r="F29" s="863">
        <v>1</v>
      </c>
      <c r="G29" s="864">
        <v>2</v>
      </c>
      <c r="H29" s="559">
        <f>F29*G29</f>
        <v>2</v>
      </c>
      <c r="I29" s="682">
        <v>1</v>
      </c>
      <c r="J29" s="682">
        <v>2</v>
      </c>
      <c r="K29" s="857">
        <f>I29*J29</f>
        <v>2</v>
      </c>
      <c r="L29" s="682">
        <v>1</v>
      </c>
      <c r="M29" s="682">
        <v>2</v>
      </c>
      <c r="N29" s="857">
        <f>L29*M29</f>
        <v>2</v>
      </c>
      <c r="O29" s="682"/>
      <c r="P29" s="682"/>
      <c r="Q29" s="857"/>
      <c r="R29" s="857">
        <f t="shared" si="2"/>
        <v>0</v>
      </c>
      <c r="S29" s="857"/>
      <c r="T29" s="682"/>
      <c r="U29" s="682"/>
      <c r="V29" s="857"/>
      <c r="W29" s="682"/>
      <c r="X29" s="682"/>
      <c r="Y29" s="857"/>
      <c r="Z29" s="559">
        <f t="shared" si="0"/>
        <v>-2</v>
      </c>
      <c r="AA29" s="559">
        <f t="shared" si="1"/>
        <v>0</v>
      </c>
      <c r="AB29" s="1029"/>
      <c r="AC29" s="1822" t="s">
        <v>1665</v>
      </c>
      <c r="AF29" s="466"/>
      <c r="AG29" s="465"/>
      <c r="AH29" s="465"/>
    </row>
    <row r="30" spans="1:34" s="498" customFormat="1" ht="76.5" hidden="1" x14ac:dyDescent="0.25">
      <c r="A30" s="962"/>
      <c r="B30" s="1038" t="s">
        <v>1684</v>
      </c>
      <c r="C30" s="1832"/>
      <c r="D30" s="962"/>
      <c r="E30" s="842"/>
      <c r="F30" s="863"/>
      <c r="G30" s="864"/>
      <c r="H30" s="559"/>
      <c r="I30" s="682"/>
      <c r="J30" s="682"/>
      <c r="K30" s="857"/>
      <c r="L30" s="682"/>
      <c r="M30" s="682"/>
      <c r="N30" s="857"/>
      <c r="O30" s="682">
        <v>2</v>
      </c>
      <c r="P30" s="682">
        <v>2.5</v>
      </c>
      <c r="Q30" s="857">
        <f>O30*P30</f>
        <v>5</v>
      </c>
      <c r="R30" s="857">
        <f t="shared" si="2"/>
        <v>5</v>
      </c>
      <c r="S30" s="857"/>
      <c r="T30" s="682">
        <v>2</v>
      </c>
      <c r="U30" s="682">
        <v>2.5</v>
      </c>
      <c r="V30" s="857">
        <f>T30*U30</f>
        <v>5</v>
      </c>
      <c r="W30" s="682">
        <v>2</v>
      </c>
      <c r="X30" s="682">
        <v>2.5</v>
      </c>
      <c r="Y30" s="857">
        <f>W30*X30</f>
        <v>5</v>
      </c>
      <c r="Z30" s="559">
        <f t="shared" si="0"/>
        <v>5</v>
      </c>
      <c r="AA30" s="559" t="str">
        <f t="shared" si="1"/>
        <v>-</v>
      </c>
      <c r="AB30" s="843" t="s">
        <v>1685</v>
      </c>
      <c r="AC30" s="1822" t="s">
        <v>1665</v>
      </c>
      <c r="AF30" s="466"/>
      <c r="AG30" s="465"/>
      <c r="AH30" s="465"/>
    </row>
    <row r="31" spans="1:34" s="498" customFormat="1" hidden="1" x14ac:dyDescent="0.25">
      <c r="A31" s="962"/>
      <c r="B31" s="1038" t="s">
        <v>1686</v>
      </c>
      <c r="C31" s="1832"/>
      <c r="D31" s="962"/>
      <c r="E31" s="842"/>
      <c r="F31" s="863">
        <v>2</v>
      </c>
      <c r="G31" s="864">
        <v>2.2999999999999998</v>
      </c>
      <c r="H31" s="559">
        <f>F31*G31</f>
        <v>4.5999999999999996</v>
      </c>
      <c r="I31" s="682">
        <v>2</v>
      </c>
      <c r="J31" s="682">
        <v>2.2999999999999998</v>
      </c>
      <c r="K31" s="857">
        <f>I31*J31</f>
        <v>4.5999999999999996</v>
      </c>
      <c r="L31" s="682">
        <v>2</v>
      </c>
      <c r="M31" s="682">
        <v>2.2999999999999998</v>
      </c>
      <c r="N31" s="857">
        <f>L31*M31</f>
        <v>4.5999999999999996</v>
      </c>
      <c r="O31" s="682">
        <v>2</v>
      </c>
      <c r="P31" s="682">
        <v>2.2999999999999998</v>
      </c>
      <c r="Q31" s="857">
        <f>O31*P31</f>
        <v>4.5999999999999996</v>
      </c>
      <c r="R31" s="857">
        <f t="shared" si="2"/>
        <v>4.5999999999999996</v>
      </c>
      <c r="S31" s="857"/>
      <c r="T31" s="682">
        <v>2</v>
      </c>
      <c r="U31" s="682">
        <v>2.2999999999999998</v>
      </c>
      <c r="V31" s="857">
        <f>T31*U31</f>
        <v>4.5999999999999996</v>
      </c>
      <c r="W31" s="682">
        <v>2</v>
      </c>
      <c r="X31" s="682">
        <v>2.2999999999999998</v>
      </c>
      <c r="Y31" s="857">
        <f>W31*X31</f>
        <v>4.5999999999999996</v>
      </c>
      <c r="Z31" s="559">
        <f t="shared" si="0"/>
        <v>0</v>
      </c>
      <c r="AA31" s="559">
        <f t="shared" si="1"/>
        <v>100</v>
      </c>
      <c r="AB31" s="1029"/>
      <c r="AC31" s="1037" t="s">
        <v>1665</v>
      </c>
      <c r="AF31" s="466"/>
      <c r="AG31" s="465"/>
      <c r="AH31" s="465"/>
    </row>
    <row r="32" spans="1:34" s="498" customFormat="1" hidden="1" x14ac:dyDescent="0.25">
      <c r="A32" s="962"/>
      <c r="B32" s="1038" t="s">
        <v>1234</v>
      </c>
      <c r="C32" s="1832"/>
      <c r="D32" s="962"/>
      <c r="E32" s="842"/>
      <c r="F32" s="494"/>
      <c r="G32" s="495"/>
      <c r="H32" s="1245">
        <f>SUM(H28:H31)*0.271</f>
        <v>2.7</v>
      </c>
      <c r="I32" s="496"/>
      <c r="J32" s="496"/>
      <c r="K32" s="496">
        <f>SUM(K28:K31)*0.271</f>
        <v>2.7</v>
      </c>
      <c r="L32" s="496"/>
      <c r="M32" s="496"/>
      <c r="N32" s="496">
        <f>SUM(N28:N31)*0.271</f>
        <v>2.7</v>
      </c>
      <c r="O32" s="496"/>
      <c r="P32" s="496"/>
      <c r="Q32" s="496">
        <f>SUM(Q28:Q31)*0.271</f>
        <v>3.6</v>
      </c>
      <c r="R32" s="496">
        <f t="shared" si="2"/>
        <v>3.6</v>
      </c>
      <c r="S32" s="496"/>
      <c r="T32" s="496"/>
      <c r="U32" s="496"/>
      <c r="V32" s="496">
        <f>SUM(V28:V31)*0.271</f>
        <v>3.6</v>
      </c>
      <c r="W32" s="496"/>
      <c r="X32" s="496"/>
      <c r="Y32" s="496">
        <f>SUM(Y28:Y31)*0.271</f>
        <v>3.6</v>
      </c>
      <c r="Z32" s="1245">
        <f t="shared" si="0"/>
        <v>0.9</v>
      </c>
      <c r="AA32" s="1245">
        <f t="shared" si="1"/>
        <v>133.30000000000001</v>
      </c>
      <c r="AB32" s="1029"/>
      <c r="AC32" s="1037" t="s">
        <v>1665</v>
      </c>
      <c r="AF32" s="466"/>
      <c r="AG32" s="465"/>
      <c r="AH32" s="465"/>
    </row>
    <row r="33" spans="1:34" s="492" customFormat="1" ht="14.25" hidden="1" x14ac:dyDescent="0.2">
      <c r="A33" s="487"/>
      <c r="B33" s="844" t="s">
        <v>1232</v>
      </c>
      <c r="C33" s="845"/>
      <c r="D33" s="846"/>
      <c r="E33" s="487"/>
      <c r="F33" s="488"/>
      <c r="G33" s="489"/>
      <c r="H33" s="490" t="e">
        <f>#REF!+H34+#REF!</f>
        <v>#REF!</v>
      </c>
      <c r="I33" s="847"/>
      <c r="J33" s="847"/>
      <c r="K33" s="490">
        <f>K34</f>
        <v>61.8</v>
      </c>
      <c r="L33" s="847"/>
      <c r="M33" s="847"/>
      <c r="N33" s="490">
        <f>N34</f>
        <v>61.8</v>
      </c>
      <c r="O33" s="490"/>
      <c r="P33" s="490"/>
      <c r="Q33" s="490">
        <f>Q34</f>
        <v>26.3</v>
      </c>
      <c r="R33" s="490">
        <f t="shared" si="2"/>
        <v>26.3</v>
      </c>
      <c r="S33" s="490"/>
      <c r="T33" s="847"/>
      <c r="U33" s="847"/>
      <c r="V33" s="490">
        <f>V34</f>
        <v>22.3</v>
      </c>
      <c r="W33" s="490"/>
      <c r="X33" s="490"/>
      <c r="Y33" s="490">
        <f>Y34</f>
        <v>22.3</v>
      </c>
      <c r="Z33" s="490">
        <f t="shared" si="0"/>
        <v>-35.5</v>
      </c>
      <c r="AA33" s="490">
        <f t="shared" si="1"/>
        <v>42.6</v>
      </c>
      <c r="AB33" s="848"/>
      <c r="AC33" s="491"/>
      <c r="AF33" s="466"/>
      <c r="AG33" s="466"/>
      <c r="AH33" s="466"/>
    </row>
    <row r="34" spans="1:34" s="492" customFormat="1" ht="38.25" hidden="1" x14ac:dyDescent="0.2">
      <c r="A34" s="522"/>
      <c r="B34" s="825" t="s">
        <v>1664</v>
      </c>
      <c r="C34" s="837"/>
      <c r="D34" s="522" t="s">
        <v>1444</v>
      </c>
      <c r="E34" s="838"/>
      <c r="F34" s="839"/>
      <c r="G34" s="840"/>
      <c r="H34" s="841">
        <f>H35+H39+H44+H45+H47</f>
        <v>76.099999999999994</v>
      </c>
      <c r="I34" s="841"/>
      <c r="J34" s="841"/>
      <c r="K34" s="841">
        <f>K35+K39+K44+K45+K47</f>
        <v>61.8</v>
      </c>
      <c r="L34" s="841"/>
      <c r="M34" s="841"/>
      <c r="N34" s="841">
        <f>N35+N39+N44+N45+N47</f>
        <v>61.8</v>
      </c>
      <c r="O34" s="841"/>
      <c r="P34" s="841"/>
      <c r="Q34" s="841">
        <f>Q35+Q39+Q44+Q45+Q47</f>
        <v>26.3</v>
      </c>
      <c r="R34" s="841">
        <f t="shared" si="2"/>
        <v>26.3</v>
      </c>
      <c r="S34" s="841"/>
      <c r="T34" s="841"/>
      <c r="U34" s="841"/>
      <c r="V34" s="841">
        <f>V35+V39+V44+V45+V47</f>
        <v>22.3</v>
      </c>
      <c r="W34" s="841"/>
      <c r="X34" s="841"/>
      <c r="Y34" s="841">
        <f>Y35+Y39+Y44+Y45+Y47</f>
        <v>22.3</v>
      </c>
      <c r="Z34" s="841">
        <f t="shared" si="0"/>
        <v>-35.5</v>
      </c>
      <c r="AA34" s="841">
        <f t="shared" si="1"/>
        <v>42.6</v>
      </c>
      <c r="AB34" s="1833"/>
      <c r="AC34" s="491" t="s">
        <v>1665</v>
      </c>
      <c r="AF34" s="466"/>
      <c r="AG34" s="466"/>
      <c r="AH34" s="466"/>
    </row>
    <row r="35" spans="1:34" s="492" customFormat="1" ht="14.25" x14ac:dyDescent="0.2">
      <c r="A35" s="1240"/>
      <c r="B35" s="500" t="s">
        <v>1226</v>
      </c>
      <c r="C35" s="501" t="s">
        <v>797</v>
      </c>
      <c r="D35" s="1240"/>
      <c r="E35" s="842"/>
      <c r="F35" s="530"/>
      <c r="G35" s="531"/>
      <c r="H35" s="493">
        <f>SUM(H36:H38)</f>
        <v>16</v>
      </c>
      <c r="I35" s="532"/>
      <c r="J35" s="532"/>
      <c r="K35" s="532">
        <f>SUM(K36:K38)</f>
        <v>7.9</v>
      </c>
      <c r="L35" s="532"/>
      <c r="M35" s="532"/>
      <c r="N35" s="532">
        <v>7.9</v>
      </c>
      <c r="O35" s="532"/>
      <c r="P35" s="532"/>
      <c r="Q35" s="532">
        <f>SUM(Q36:Q38)</f>
        <v>14</v>
      </c>
      <c r="R35" s="2675">
        <f>Q35-4</f>
        <v>10</v>
      </c>
      <c r="S35" s="532"/>
      <c r="T35" s="532"/>
      <c r="U35" s="532"/>
      <c r="V35" s="532">
        <f>SUM(V36:V38)-4</f>
        <v>10</v>
      </c>
      <c r="W35" s="532"/>
      <c r="X35" s="532"/>
      <c r="Y35" s="532">
        <f>SUM(Y36:Y38)-4</f>
        <v>10</v>
      </c>
      <c r="Z35" s="493">
        <f t="shared" si="0"/>
        <v>6.1</v>
      </c>
      <c r="AA35" s="493">
        <f t="shared" si="1"/>
        <v>177.2</v>
      </c>
      <c r="AB35" s="901"/>
      <c r="AC35" s="1822" t="s">
        <v>1665</v>
      </c>
      <c r="AF35" s="466"/>
      <c r="AG35" s="466"/>
      <c r="AH35" s="466"/>
    </row>
    <row r="36" spans="1:34" s="498" customFormat="1" ht="38.25" hidden="1" x14ac:dyDescent="0.25">
      <c r="A36" s="962"/>
      <c r="B36" s="856" t="s">
        <v>1669</v>
      </c>
      <c r="C36" s="499"/>
      <c r="D36" s="962"/>
      <c r="E36" s="1031" t="s">
        <v>227</v>
      </c>
      <c r="F36" s="1834">
        <v>100</v>
      </c>
      <c r="G36" s="495">
        <v>0.12</v>
      </c>
      <c r="H36" s="559">
        <f>F36*G36</f>
        <v>12</v>
      </c>
      <c r="I36" s="1835">
        <v>100</v>
      </c>
      <c r="J36" s="883">
        <v>0.05</v>
      </c>
      <c r="K36" s="857">
        <f>I36*J36</f>
        <v>5</v>
      </c>
      <c r="L36" s="1835">
        <v>100</v>
      </c>
      <c r="M36" s="883">
        <v>0.05</v>
      </c>
      <c r="N36" s="857">
        <v>5</v>
      </c>
      <c r="O36" s="1835">
        <v>50</v>
      </c>
      <c r="P36" s="496">
        <v>0.2</v>
      </c>
      <c r="Q36" s="857">
        <f>O36*P36</f>
        <v>10</v>
      </c>
      <c r="R36" s="857">
        <f t="shared" si="2"/>
        <v>10</v>
      </c>
      <c r="S36" s="857"/>
      <c r="T36" s="1835">
        <v>50</v>
      </c>
      <c r="U36" s="496">
        <v>0.2</v>
      </c>
      <c r="V36" s="857">
        <f>T36*U36</f>
        <v>10</v>
      </c>
      <c r="W36" s="1835">
        <v>50</v>
      </c>
      <c r="X36" s="496">
        <v>0.2</v>
      </c>
      <c r="Y36" s="857">
        <f>W36*X36</f>
        <v>10</v>
      </c>
      <c r="Z36" s="559">
        <f t="shared" si="0"/>
        <v>5</v>
      </c>
      <c r="AA36" s="559">
        <f t="shared" si="1"/>
        <v>200</v>
      </c>
      <c r="AB36" s="901" t="s">
        <v>1687</v>
      </c>
      <c r="AC36" s="1823" t="s">
        <v>1665</v>
      </c>
      <c r="AF36" s="466"/>
      <c r="AG36" s="465"/>
      <c r="AH36" s="465"/>
    </row>
    <row r="37" spans="1:34" s="498" customFormat="1" hidden="1" x14ac:dyDescent="0.25">
      <c r="A37" s="962"/>
      <c r="B37" s="856" t="s">
        <v>1688</v>
      </c>
      <c r="C37" s="499"/>
      <c r="D37" s="962"/>
      <c r="E37" s="1031" t="s">
        <v>227</v>
      </c>
      <c r="F37" s="1834">
        <v>10</v>
      </c>
      <c r="G37" s="495">
        <v>0.1</v>
      </c>
      <c r="H37" s="559">
        <f>F37*G37</f>
        <v>1</v>
      </c>
      <c r="I37" s="1835">
        <v>17</v>
      </c>
      <c r="J37" s="883">
        <v>0.05</v>
      </c>
      <c r="K37" s="857">
        <f>I37*J37</f>
        <v>0.9</v>
      </c>
      <c r="L37" s="1835">
        <v>17</v>
      </c>
      <c r="M37" s="883">
        <v>0.05</v>
      </c>
      <c r="N37" s="857">
        <v>0.9</v>
      </c>
      <c r="O37" s="1835"/>
      <c r="P37" s="496"/>
      <c r="Q37" s="857"/>
      <c r="R37" s="857">
        <f t="shared" si="2"/>
        <v>0</v>
      </c>
      <c r="S37" s="857"/>
      <c r="T37" s="1835"/>
      <c r="U37" s="496"/>
      <c r="V37" s="857"/>
      <c r="W37" s="1835"/>
      <c r="X37" s="496"/>
      <c r="Y37" s="857"/>
      <c r="Z37" s="559">
        <f t="shared" si="0"/>
        <v>-0.9</v>
      </c>
      <c r="AA37" s="559">
        <f t="shared" si="1"/>
        <v>0</v>
      </c>
      <c r="AB37" s="901"/>
      <c r="AC37" s="1823" t="s">
        <v>1665</v>
      </c>
      <c r="AF37" s="466"/>
      <c r="AG37" s="465"/>
      <c r="AH37" s="465"/>
    </row>
    <row r="38" spans="1:34" s="498" customFormat="1" ht="38.25" hidden="1" x14ac:dyDescent="0.25">
      <c r="A38" s="962"/>
      <c r="B38" s="502" t="s">
        <v>1689</v>
      </c>
      <c r="C38" s="503"/>
      <c r="D38" s="962"/>
      <c r="E38" s="1031" t="s">
        <v>227</v>
      </c>
      <c r="F38" s="1834">
        <v>1</v>
      </c>
      <c r="G38" s="495">
        <v>3</v>
      </c>
      <c r="H38" s="559">
        <f>F38*G38</f>
        <v>3</v>
      </c>
      <c r="I38" s="1835">
        <v>2</v>
      </c>
      <c r="J38" s="496">
        <v>1</v>
      </c>
      <c r="K38" s="857">
        <f>I38*J38</f>
        <v>2</v>
      </c>
      <c r="L38" s="1835">
        <v>2</v>
      </c>
      <c r="M38" s="496">
        <v>1</v>
      </c>
      <c r="N38" s="857">
        <v>2</v>
      </c>
      <c r="O38" s="1835">
        <v>2</v>
      </c>
      <c r="P38" s="496">
        <v>2</v>
      </c>
      <c r="Q38" s="857">
        <f>O38*P38</f>
        <v>4</v>
      </c>
      <c r="R38" s="857">
        <f t="shared" si="2"/>
        <v>4</v>
      </c>
      <c r="S38" s="857"/>
      <c r="T38" s="1835">
        <v>2</v>
      </c>
      <c r="U38" s="496">
        <v>2</v>
      </c>
      <c r="V38" s="857">
        <f>T38*U38</f>
        <v>4</v>
      </c>
      <c r="W38" s="1835">
        <v>2</v>
      </c>
      <c r="X38" s="496">
        <v>2</v>
      </c>
      <c r="Y38" s="857">
        <f>W38*X38</f>
        <v>4</v>
      </c>
      <c r="Z38" s="559">
        <f t="shared" si="0"/>
        <v>2</v>
      </c>
      <c r="AA38" s="559">
        <f t="shared" si="1"/>
        <v>200</v>
      </c>
      <c r="AB38" s="901" t="s">
        <v>1690</v>
      </c>
      <c r="AC38" s="1822" t="s">
        <v>1665</v>
      </c>
      <c r="AF38" s="466"/>
      <c r="AG38" s="465"/>
      <c r="AH38" s="465"/>
    </row>
    <row r="39" spans="1:34" s="492" customFormat="1" ht="25.5" x14ac:dyDescent="0.2">
      <c r="A39" s="1240"/>
      <c r="B39" s="500" t="s">
        <v>1691</v>
      </c>
      <c r="C39" s="501" t="s">
        <v>797</v>
      </c>
      <c r="D39" s="1240"/>
      <c r="E39" s="842"/>
      <c r="F39" s="530"/>
      <c r="G39" s="531"/>
      <c r="H39" s="493">
        <f>SUM(H40:H43)</f>
        <v>7.5</v>
      </c>
      <c r="I39" s="532"/>
      <c r="J39" s="532"/>
      <c r="K39" s="532">
        <f>SUM(K40:K43)</f>
        <v>0.9</v>
      </c>
      <c r="L39" s="532"/>
      <c r="M39" s="532"/>
      <c r="N39" s="532">
        <v>0.9</v>
      </c>
      <c r="O39" s="532"/>
      <c r="P39" s="532"/>
      <c r="Q39" s="532">
        <f>SUM(Q40:Q42)</f>
        <v>2</v>
      </c>
      <c r="R39" s="532">
        <f t="shared" si="2"/>
        <v>2</v>
      </c>
      <c r="S39" s="532"/>
      <c r="T39" s="532"/>
      <c r="U39" s="532"/>
      <c r="V39" s="532">
        <f>SUM(V40:V42)</f>
        <v>2</v>
      </c>
      <c r="W39" s="532"/>
      <c r="X39" s="532"/>
      <c r="Y39" s="532">
        <f>SUM(Y40:Y42)</f>
        <v>2</v>
      </c>
      <c r="Z39" s="493">
        <f t="shared" si="0"/>
        <v>1.1000000000000001</v>
      </c>
      <c r="AA39" s="493">
        <f t="shared" si="1"/>
        <v>222.2</v>
      </c>
      <c r="AB39" s="901"/>
      <c r="AC39" s="1822" t="s">
        <v>1665</v>
      </c>
      <c r="AF39" s="466"/>
      <c r="AG39" s="466"/>
      <c r="AH39" s="466"/>
    </row>
    <row r="40" spans="1:34" s="498" customFormat="1" hidden="1" x14ac:dyDescent="0.25">
      <c r="A40" s="962"/>
      <c r="B40" s="856" t="s">
        <v>1692</v>
      </c>
      <c r="C40" s="499"/>
      <c r="D40" s="962"/>
      <c r="E40" s="1031" t="s">
        <v>227</v>
      </c>
      <c r="F40" s="1834">
        <v>4</v>
      </c>
      <c r="G40" s="495">
        <v>0.3</v>
      </c>
      <c r="H40" s="559">
        <f>F40*G40</f>
        <v>1.2</v>
      </c>
      <c r="I40" s="1835"/>
      <c r="J40" s="496"/>
      <c r="K40" s="857"/>
      <c r="L40" s="1835"/>
      <c r="M40" s="496"/>
      <c r="N40" s="857"/>
      <c r="O40" s="1835"/>
      <c r="P40" s="496"/>
      <c r="Q40" s="857"/>
      <c r="R40" s="857">
        <f t="shared" si="2"/>
        <v>0</v>
      </c>
      <c r="S40" s="857"/>
      <c r="T40" s="1835"/>
      <c r="U40" s="496"/>
      <c r="V40" s="857"/>
      <c r="W40" s="1835"/>
      <c r="X40" s="496"/>
      <c r="Y40" s="857"/>
      <c r="Z40" s="559">
        <f t="shared" si="0"/>
        <v>0</v>
      </c>
      <c r="AA40" s="559" t="str">
        <f t="shared" si="1"/>
        <v>-</v>
      </c>
      <c r="AB40" s="901"/>
      <c r="AC40" s="1823" t="s">
        <v>1665</v>
      </c>
      <c r="AF40" s="466"/>
      <c r="AG40" s="465"/>
      <c r="AH40" s="465"/>
    </row>
    <row r="41" spans="1:34" s="498" customFormat="1" ht="63.75" hidden="1" x14ac:dyDescent="0.25">
      <c r="A41" s="962"/>
      <c r="B41" s="502" t="s">
        <v>1693</v>
      </c>
      <c r="C41" s="499"/>
      <c r="D41" s="962"/>
      <c r="E41" s="1031" t="s">
        <v>227</v>
      </c>
      <c r="F41" s="494">
        <v>18</v>
      </c>
      <c r="G41" s="495">
        <v>0.1</v>
      </c>
      <c r="H41" s="559">
        <f>F41*G41</f>
        <v>1.8</v>
      </c>
      <c r="I41" s="496">
        <v>9</v>
      </c>
      <c r="J41" s="883">
        <v>0.1</v>
      </c>
      <c r="K41" s="857">
        <f>I41*J41</f>
        <v>0.9</v>
      </c>
      <c r="L41" s="496">
        <v>9</v>
      </c>
      <c r="M41" s="883">
        <v>0.1</v>
      </c>
      <c r="N41" s="857">
        <v>0.9</v>
      </c>
      <c r="O41" s="496">
        <v>20</v>
      </c>
      <c r="P41" s="496">
        <v>0.1</v>
      </c>
      <c r="Q41" s="857">
        <f>O41*P41</f>
        <v>2</v>
      </c>
      <c r="R41" s="857">
        <f t="shared" si="2"/>
        <v>2</v>
      </c>
      <c r="S41" s="857"/>
      <c r="T41" s="496">
        <v>20</v>
      </c>
      <c r="U41" s="496">
        <v>0.1</v>
      </c>
      <c r="V41" s="857">
        <f>T41*U41</f>
        <v>2</v>
      </c>
      <c r="W41" s="496">
        <v>20</v>
      </c>
      <c r="X41" s="496">
        <v>0.1</v>
      </c>
      <c r="Y41" s="857">
        <f>W41*X41</f>
        <v>2</v>
      </c>
      <c r="Z41" s="559">
        <f t="shared" si="0"/>
        <v>1.1000000000000001</v>
      </c>
      <c r="AA41" s="559">
        <f t="shared" si="1"/>
        <v>222.2</v>
      </c>
      <c r="AB41" s="900" t="s">
        <v>1694</v>
      </c>
      <c r="AC41" s="1823" t="s">
        <v>1665</v>
      </c>
      <c r="AF41" s="466"/>
      <c r="AG41" s="465"/>
      <c r="AH41" s="465"/>
    </row>
    <row r="42" spans="1:34" s="498" customFormat="1" hidden="1" x14ac:dyDescent="0.25">
      <c r="A42" s="962"/>
      <c r="B42" s="856" t="s">
        <v>1695</v>
      </c>
      <c r="C42" s="499"/>
      <c r="D42" s="962"/>
      <c r="E42" s="1031" t="s">
        <v>227</v>
      </c>
      <c r="F42" s="494">
        <v>1</v>
      </c>
      <c r="G42" s="495">
        <v>2</v>
      </c>
      <c r="H42" s="559">
        <f>F42*G42</f>
        <v>2</v>
      </c>
      <c r="I42" s="496"/>
      <c r="J42" s="496"/>
      <c r="K42" s="857"/>
      <c r="L42" s="496"/>
      <c r="M42" s="496"/>
      <c r="N42" s="857"/>
      <c r="O42" s="496"/>
      <c r="P42" s="496"/>
      <c r="Q42" s="857"/>
      <c r="R42" s="857">
        <f t="shared" si="2"/>
        <v>0</v>
      </c>
      <c r="S42" s="857"/>
      <c r="T42" s="496"/>
      <c r="U42" s="496"/>
      <c r="V42" s="857"/>
      <c r="W42" s="496"/>
      <c r="X42" s="496"/>
      <c r="Y42" s="857"/>
      <c r="Z42" s="559">
        <f t="shared" si="0"/>
        <v>0</v>
      </c>
      <c r="AA42" s="559" t="str">
        <f t="shared" si="1"/>
        <v>-</v>
      </c>
      <c r="AB42" s="1246"/>
      <c r="AC42" s="1823" t="s">
        <v>1665</v>
      </c>
      <c r="AF42" s="466"/>
      <c r="AG42" s="465"/>
      <c r="AH42" s="465"/>
    </row>
    <row r="43" spans="1:34" s="498" customFormat="1" hidden="1" x14ac:dyDescent="0.25">
      <c r="A43" s="962"/>
      <c r="B43" s="856" t="s">
        <v>1695</v>
      </c>
      <c r="C43" s="499"/>
      <c r="D43" s="962"/>
      <c r="E43" s="1031" t="s">
        <v>227</v>
      </c>
      <c r="F43" s="494">
        <v>1</v>
      </c>
      <c r="G43" s="495">
        <v>2.5</v>
      </c>
      <c r="H43" s="559">
        <f>F43*G43</f>
        <v>2.5</v>
      </c>
      <c r="I43" s="496"/>
      <c r="J43" s="496"/>
      <c r="K43" s="857"/>
      <c r="L43" s="496"/>
      <c r="M43" s="496"/>
      <c r="N43" s="857"/>
      <c r="O43" s="496"/>
      <c r="P43" s="496"/>
      <c r="Q43" s="857"/>
      <c r="R43" s="857">
        <f t="shared" si="2"/>
        <v>0</v>
      </c>
      <c r="S43" s="857"/>
      <c r="T43" s="496"/>
      <c r="U43" s="496"/>
      <c r="V43" s="857"/>
      <c r="W43" s="496"/>
      <c r="X43" s="496"/>
      <c r="Y43" s="857"/>
      <c r="Z43" s="559">
        <f t="shared" si="0"/>
        <v>0</v>
      </c>
      <c r="AA43" s="559" t="str">
        <f t="shared" si="1"/>
        <v>-</v>
      </c>
      <c r="AB43" s="827"/>
      <c r="AC43" s="1823" t="s">
        <v>1665</v>
      </c>
      <c r="AF43" s="466"/>
      <c r="AG43" s="465"/>
      <c r="AH43" s="465"/>
    </row>
    <row r="44" spans="1:34" s="492" customFormat="1" ht="14.25" hidden="1" x14ac:dyDescent="0.2">
      <c r="A44" s="1240"/>
      <c r="B44" s="500" t="s">
        <v>1696</v>
      </c>
      <c r="C44" s="501" t="s">
        <v>796</v>
      </c>
      <c r="D44" s="1240"/>
      <c r="E44" s="842"/>
      <c r="F44" s="530">
        <v>310</v>
      </c>
      <c r="G44" s="531">
        <v>0.02</v>
      </c>
      <c r="H44" s="493">
        <f>F44*G44</f>
        <v>6.2</v>
      </c>
      <c r="I44" s="532">
        <v>310</v>
      </c>
      <c r="J44" s="1836">
        <v>0.02</v>
      </c>
      <c r="K44" s="532">
        <f>I44*J44</f>
        <v>6.2</v>
      </c>
      <c r="L44" s="532">
        <v>310</v>
      </c>
      <c r="M44" s="1836">
        <v>0.02</v>
      </c>
      <c r="N44" s="532">
        <v>6.2</v>
      </c>
      <c r="O44" s="532">
        <v>310</v>
      </c>
      <c r="P44" s="532">
        <v>0</v>
      </c>
      <c r="Q44" s="532">
        <f>O44*P44</f>
        <v>0</v>
      </c>
      <c r="R44" s="532">
        <f t="shared" si="2"/>
        <v>0</v>
      </c>
      <c r="S44" s="532"/>
      <c r="T44" s="532">
        <v>310</v>
      </c>
      <c r="U44" s="532">
        <v>0</v>
      </c>
      <c r="V44" s="532">
        <f>T44*U44</f>
        <v>0</v>
      </c>
      <c r="W44" s="532">
        <v>310</v>
      </c>
      <c r="X44" s="532">
        <v>0</v>
      </c>
      <c r="Y44" s="532">
        <f>W44*X44</f>
        <v>0</v>
      </c>
      <c r="Z44" s="493">
        <f t="shared" si="0"/>
        <v>-6.2</v>
      </c>
      <c r="AA44" s="493">
        <f t="shared" si="1"/>
        <v>0</v>
      </c>
      <c r="AB44" s="901"/>
      <c r="AC44" s="1822" t="s">
        <v>1665</v>
      </c>
      <c r="AF44" s="466"/>
      <c r="AG44" s="466"/>
      <c r="AH44" s="466"/>
    </row>
    <row r="45" spans="1:34" s="492" customFormat="1" ht="14.25" hidden="1" x14ac:dyDescent="0.2">
      <c r="A45" s="1240"/>
      <c r="B45" s="865" t="s">
        <v>803</v>
      </c>
      <c r="C45" s="508" t="s">
        <v>796</v>
      </c>
      <c r="D45" s="1240"/>
      <c r="E45" s="842" t="s">
        <v>227</v>
      </c>
      <c r="F45" s="530"/>
      <c r="G45" s="531"/>
      <c r="H45" s="542">
        <f>H46</f>
        <v>33.6</v>
      </c>
      <c r="I45" s="532"/>
      <c r="J45" s="532"/>
      <c r="K45" s="533">
        <f>K46</f>
        <v>34</v>
      </c>
      <c r="L45" s="532"/>
      <c r="M45" s="532"/>
      <c r="N45" s="533">
        <v>34</v>
      </c>
      <c r="O45" s="532"/>
      <c r="P45" s="532"/>
      <c r="Q45" s="533"/>
      <c r="R45" s="533">
        <f t="shared" si="2"/>
        <v>0</v>
      </c>
      <c r="S45" s="533"/>
      <c r="T45" s="532"/>
      <c r="U45" s="532"/>
      <c r="V45" s="533"/>
      <c r="W45" s="532"/>
      <c r="X45" s="532"/>
      <c r="Y45" s="533"/>
      <c r="Z45" s="542">
        <f t="shared" si="0"/>
        <v>-34</v>
      </c>
      <c r="AA45" s="542">
        <f t="shared" si="1"/>
        <v>0</v>
      </c>
      <c r="AB45" s="901"/>
      <c r="AC45" s="1823" t="s">
        <v>1665</v>
      </c>
      <c r="AF45" s="466"/>
      <c r="AG45" s="466"/>
      <c r="AH45" s="466"/>
    </row>
    <row r="46" spans="1:34" s="498" customFormat="1" hidden="1" x14ac:dyDescent="0.25">
      <c r="A46" s="962"/>
      <c r="B46" s="502" t="s">
        <v>1697</v>
      </c>
      <c r="C46" s="503"/>
      <c r="D46" s="962"/>
      <c r="E46" s="842"/>
      <c r="F46" s="494">
        <v>168</v>
      </c>
      <c r="G46" s="495">
        <v>0.2</v>
      </c>
      <c r="H46" s="1245">
        <f>F46*G46</f>
        <v>33.6</v>
      </c>
      <c r="I46" s="496">
        <v>170</v>
      </c>
      <c r="J46" s="496">
        <v>0.2</v>
      </c>
      <c r="K46" s="496">
        <f>I46*J46</f>
        <v>34</v>
      </c>
      <c r="L46" s="496">
        <v>170</v>
      </c>
      <c r="M46" s="496">
        <v>0.2</v>
      </c>
      <c r="N46" s="496">
        <v>34</v>
      </c>
      <c r="O46" s="496"/>
      <c r="P46" s="496"/>
      <c r="Q46" s="496"/>
      <c r="R46" s="496">
        <f t="shared" si="2"/>
        <v>0</v>
      </c>
      <c r="S46" s="496"/>
      <c r="T46" s="496"/>
      <c r="U46" s="496"/>
      <c r="V46" s="496"/>
      <c r="W46" s="496"/>
      <c r="X46" s="496"/>
      <c r="Y46" s="496"/>
      <c r="Z46" s="1245">
        <f t="shared" si="0"/>
        <v>-34</v>
      </c>
      <c r="AA46" s="1245">
        <f t="shared" si="1"/>
        <v>0</v>
      </c>
      <c r="AB46" s="901"/>
      <c r="AC46" s="1822" t="s">
        <v>1665</v>
      </c>
      <c r="AF46" s="466"/>
      <c r="AG46" s="465"/>
      <c r="AH46" s="465"/>
    </row>
    <row r="47" spans="1:34" s="492" customFormat="1" ht="14.25" hidden="1" x14ac:dyDescent="0.2">
      <c r="A47" s="1240"/>
      <c r="B47" s="500" t="s">
        <v>1233</v>
      </c>
      <c r="C47" s="501" t="s">
        <v>1230</v>
      </c>
      <c r="D47" s="1240"/>
      <c r="E47" s="842" t="s">
        <v>227</v>
      </c>
      <c r="F47" s="530"/>
      <c r="G47" s="531"/>
      <c r="H47" s="542">
        <f>SUM(H48:H51)</f>
        <v>12.8</v>
      </c>
      <c r="I47" s="532"/>
      <c r="J47" s="532"/>
      <c r="K47" s="533">
        <f>SUM(K48:K51)</f>
        <v>12.8</v>
      </c>
      <c r="L47" s="532"/>
      <c r="M47" s="532"/>
      <c r="N47" s="533">
        <v>12.8</v>
      </c>
      <c r="O47" s="532"/>
      <c r="P47" s="532"/>
      <c r="Q47" s="533">
        <f>SUM(Q48:Q51)</f>
        <v>10.3</v>
      </c>
      <c r="R47" s="533">
        <f t="shared" si="2"/>
        <v>10.3</v>
      </c>
      <c r="S47" s="533"/>
      <c r="T47" s="532"/>
      <c r="U47" s="532"/>
      <c r="V47" s="533">
        <f>SUM(V48:V51)</f>
        <v>10.3</v>
      </c>
      <c r="W47" s="532"/>
      <c r="X47" s="532"/>
      <c r="Y47" s="533">
        <f>SUM(Y48:Y51)</f>
        <v>10.3</v>
      </c>
      <c r="Z47" s="542">
        <f t="shared" si="0"/>
        <v>-2.5</v>
      </c>
      <c r="AA47" s="542">
        <f t="shared" si="1"/>
        <v>80.5</v>
      </c>
      <c r="AB47" s="901"/>
      <c r="AC47" s="1822" t="s">
        <v>1665</v>
      </c>
      <c r="AF47" s="466"/>
      <c r="AG47" s="466"/>
      <c r="AH47" s="466"/>
    </row>
    <row r="48" spans="1:34" s="498" customFormat="1" hidden="1" x14ac:dyDescent="0.25">
      <c r="A48" s="962"/>
      <c r="B48" s="502" t="s">
        <v>1698</v>
      </c>
      <c r="C48" s="503"/>
      <c r="D48" s="962"/>
      <c r="E48" s="1031" t="s">
        <v>227</v>
      </c>
      <c r="F48" s="494">
        <v>1</v>
      </c>
      <c r="G48" s="495">
        <v>3.45</v>
      </c>
      <c r="H48" s="559">
        <f>F48*G48</f>
        <v>3.5</v>
      </c>
      <c r="I48" s="496">
        <v>1</v>
      </c>
      <c r="J48" s="496">
        <v>3.5</v>
      </c>
      <c r="K48" s="857">
        <f>I48*J48</f>
        <v>3.5</v>
      </c>
      <c r="L48" s="496">
        <v>1</v>
      </c>
      <c r="M48" s="496">
        <v>3.5</v>
      </c>
      <c r="N48" s="857">
        <v>3.5</v>
      </c>
      <c r="O48" s="496">
        <v>1</v>
      </c>
      <c r="P48" s="496">
        <v>3.5</v>
      </c>
      <c r="Q48" s="857">
        <f>O48*P48</f>
        <v>3.5</v>
      </c>
      <c r="R48" s="857">
        <f t="shared" si="2"/>
        <v>3.5</v>
      </c>
      <c r="S48" s="857"/>
      <c r="T48" s="496">
        <v>1</v>
      </c>
      <c r="U48" s="496">
        <v>3.5</v>
      </c>
      <c r="V48" s="857">
        <f>T48*U48</f>
        <v>3.5</v>
      </c>
      <c r="W48" s="496">
        <v>1</v>
      </c>
      <c r="X48" s="496">
        <v>3.5</v>
      </c>
      <c r="Y48" s="857">
        <f>W48*X48</f>
        <v>3.5</v>
      </c>
      <c r="Z48" s="559">
        <f t="shared" si="0"/>
        <v>0</v>
      </c>
      <c r="AA48" s="559">
        <f t="shared" si="1"/>
        <v>100</v>
      </c>
      <c r="AB48" s="901"/>
      <c r="AC48" s="1822" t="s">
        <v>1665</v>
      </c>
      <c r="AF48" s="466"/>
      <c r="AG48" s="465"/>
      <c r="AH48" s="465"/>
    </row>
    <row r="49" spans="1:34" s="498" customFormat="1" hidden="1" x14ac:dyDescent="0.25">
      <c r="A49" s="962"/>
      <c r="B49" s="502" t="s">
        <v>1699</v>
      </c>
      <c r="C49" s="503"/>
      <c r="D49" s="962"/>
      <c r="E49" s="1031"/>
      <c r="F49" s="494">
        <v>1</v>
      </c>
      <c r="G49" s="495">
        <v>2</v>
      </c>
      <c r="H49" s="559">
        <f>F49*G49</f>
        <v>2</v>
      </c>
      <c r="I49" s="496">
        <v>1</v>
      </c>
      <c r="J49" s="496">
        <v>2</v>
      </c>
      <c r="K49" s="857">
        <f>I49*J49</f>
        <v>2</v>
      </c>
      <c r="L49" s="496">
        <v>1</v>
      </c>
      <c r="M49" s="496">
        <v>2</v>
      </c>
      <c r="N49" s="857">
        <v>2</v>
      </c>
      <c r="O49" s="496"/>
      <c r="P49" s="496"/>
      <c r="Q49" s="857"/>
      <c r="R49" s="857">
        <f t="shared" si="2"/>
        <v>0</v>
      </c>
      <c r="S49" s="857"/>
      <c r="T49" s="496"/>
      <c r="U49" s="496"/>
      <c r="V49" s="857"/>
      <c r="W49" s="496"/>
      <c r="X49" s="496"/>
      <c r="Y49" s="857"/>
      <c r="Z49" s="559">
        <f t="shared" si="0"/>
        <v>-2</v>
      </c>
      <c r="AA49" s="559">
        <f t="shared" si="1"/>
        <v>0</v>
      </c>
      <c r="AB49" s="901"/>
      <c r="AC49" s="1822" t="s">
        <v>1665</v>
      </c>
      <c r="AF49" s="466"/>
      <c r="AG49" s="465"/>
      <c r="AH49" s="465"/>
    </row>
    <row r="50" spans="1:34" s="498" customFormat="1" hidden="1" x14ac:dyDescent="0.25">
      <c r="A50" s="962"/>
      <c r="B50" s="502" t="s">
        <v>1686</v>
      </c>
      <c r="C50" s="503"/>
      <c r="D50" s="962"/>
      <c r="E50" s="1031"/>
      <c r="F50" s="494">
        <v>2</v>
      </c>
      <c r="G50" s="495">
        <v>2.2999999999999998</v>
      </c>
      <c r="H50" s="559">
        <f>F50*G50</f>
        <v>4.5999999999999996</v>
      </c>
      <c r="I50" s="496">
        <v>2</v>
      </c>
      <c r="J50" s="496">
        <v>2.2999999999999998</v>
      </c>
      <c r="K50" s="857">
        <f>I50*J50</f>
        <v>4.5999999999999996</v>
      </c>
      <c r="L50" s="496">
        <v>2</v>
      </c>
      <c r="M50" s="496">
        <v>2.2999999999999998</v>
      </c>
      <c r="N50" s="857">
        <v>4.5999999999999996</v>
      </c>
      <c r="O50" s="496">
        <v>2</v>
      </c>
      <c r="P50" s="496">
        <v>2.2999999999999998</v>
      </c>
      <c r="Q50" s="857">
        <f>O50*P50</f>
        <v>4.5999999999999996</v>
      </c>
      <c r="R50" s="857">
        <f t="shared" si="2"/>
        <v>4.5999999999999996</v>
      </c>
      <c r="S50" s="857"/>
      <c r="T50" s="496">
        <v>2</v>
      </c>
      <c r="U50" s="496">
        <v>2.2999999999999998</v>
      </c>
      <c r="V50" s="857">
        <f>T50*U50</f>
        <v>4.5999999999999996</v>
      </c>
      <c r="W50" s="496">
        <v>2</v>
      </c>
      <c r="X50" s="496">
        <v>2.2999999999999998</v>
      </c>
      <c r="Y50" s="857">
        <f>W50*X50</f>
        <v>4.5999999999999996</v>
      </c>
      <c r="Z50" s="559">
        <f t="shared" si="0"/>
        <v>0</v>
      </c>
      <c r="AA50" s="559">
        <f t="shared" si="1"/>
        <v>100</v>
      </c>
      <c r="AB50" s="901"/>
      <c r="AC50" s="1822" t="s">
        <v>1665</v>
      </c>
      <c r="AF50" s="466"/>
      <c r="AG50" s="465"/>
      <c r="AH50" s="465"/>
    </row>
    <row r="51" spans="1:34" s="498" customFormat="1" hidden="1" x14ac:dyDescent="0.25">
      <c r="A51" s="962"/>
      <c r="B51" s="502" t="s">
        <v>1234</v>
      </c>
      <c r="C51" s="503"/>
      <c r="D51" s="962"/>
      <c r="E51" s="1031"/>
      <c r="F51" s="557"/>
      <c r="G51" s="558"/>
      <c r="H51" s="559">
        <f>SUM(H48:H50)*0.271</f>
        <v>2.7</v>
      </c>
      <c r="I51" s="857"/>
      <c r="J51" s="857"/>
      <c r="K51" s="857">
        <f>SUM(K48:K50)*0.271</f>
        <v>2.7</v>
      </c>
      <c r="L51" s="857"/>
      <c r="M51" s="857"/>
      <c r="N51" s="857">
        <v>2.7</v>
      </c>
      <c r="O51" s="857"/>
      <c r="P51" s="857"/>
      <c r="Q51" s="857">
        <f>SUM(Q48:Q50)*0.271</f>
        <v>2.2000000000000002</v>
      </c>
      <c r="R51" s="857">
        <f t="shared" si="2"/>
        <v>2.2000000000000002</v>
      </c>
      <c r="S51" s="857"/>
      <c r="T51" s="857"/>
      <c r="U51" s="857"/>
      <c r="V51" s="857">
        <f>SUM(V48:V50)*0.271</f>
        <v>2.2000000000000002</v>
      </c>
      <c r="W51" s="857"/>
      <c r="X51" s="857"/>
      <c r="Y51" s="857">
        <f>SUM(Y48:Y50)*0.271</f>
        <v>2.2000000000000002</v>
      </c>
      <c r="Z51" s="559">
        <f t="shared" si="0"/>
        <v>-0.5</v>
      </c>
      <c r="AA51" s="559">
        <f t="shared" si="1"/>
        <v>81.5</v>
      </c>
      <c r="AB51" s="1837"/>
      <c r="AC51" s="1822" t="s">
        <v>1665</v>
      </c>
      <c r="AF51" s="466"/>
      <c r="AG51" s="465"/>
      <c r="AH51" s="465"/>
    </row>
    <row r="52" spans="1:34" s="492" customFormat="1" ht="14.25" hidden="1" x14ac:dyDescent="0.2">
      <c r="A52" s="487"/>
      <c r="B52" s="543" t="s">
        <v>1236</v>
      </c>
      <c r="C52" s="511"/>
      <c r="D52" s="487"/>
      <c r="E52" s="487"/>
      <c r="F52" s="488"/>
      <c r="G52" s="489"/>
      <c r="H52" s="490" t="e">
        <f>#REF!+H53+#REF!+#REF!</f>
        <v>#REF!</v>
      </c>
      <c r="I52" s="847"/>
      <c r="J52" s="847"/>
      <c r="K52" s="490">
        <f>K53</f>
        <v>49.7</v>
      </c>
      <c r="L52" s="847"/>
      <c r="M52" s="847"/>
      <c r="N52" s="490">
        <f>N53</f>
        <v>49.7</v>
      </c>
      <c r="O52" s="847"/>
      <c r="P52" s="847"/>
      <c r="Q52" s="490">
        <f>Q53</f>
        <v>60</v>
      </c>
      <c r="R52" s="490">
        <f t="shared" si="2"/>
        <v>60</v>
      </c>
      <c r="S52" s="490"/>
      <c r="T52" s="847"/>
      <c r="U52" s="847"/>
      <c r="V52" s="490">
        <f>V53</f>
        <v>59</v>
      </c>
      <c r="W52" s="490"/>
      <c r="X52" s="490"/>
      <c r="Y52" s="490">
        <f>Y53</f>
        <v>59</v>
      </c>
      <c r="Z52" s="490">
        <f t="shared" si="0"/>
        <v>10.3</v>
      </c>
      <c r="AA52" s="490">
        <f t="shared" si="1"/>
        <v>120.7</v>
      </c>
      <c r="AB52" s="555"/>
      <c r="AC52" s="491"/>
      <c r="AF52" s="466"/>
      <c r="AG52" s="466"/>
      <c r="AH52" s="466"/>
    </row>
    <row r="53" spans="1:34" s="492" customFormat="1" ht="38.25" hidden="1" x14ac:dyDescent="0.2">
      <c r="A53" s="522"/>
      <c r="B53" s="858" t="s">
        <v>1700</v>
      </c>
      <c r="C53" s="859"/>
      <c r="D53" s="522" t="s">
        <v>1444</v>
      </c>
      <c r="E53" s="860"/>
      <c r="F53" s="523"/>
      <c r="G53" s="524"/>
      <c r="H53" s="526">
        <f>H54+H61+H66+H69+H73</f>
        <v>66.900000000000006</v>
      </c>
      <c r="I53" s="526"/>
      <c r="J53" s="526"/>
      <c r="K53" s="526">
        <f>K54+K61+K66+K69+K73</f>
        <v>49.7</v>
      </c>
      <c r="L53" s="526"/>
      <c r="M53" s="526"/>
      <c r="N53" s="526">
        <f>N54+N61+N66+N69+N73</f>
        <v>49.7</v>
      </c>
      <c r="O53" s="526"/>
      <c r="P53" s="526"/>
      <c r="Q53" s="526">
        <f>Q54+Q61+Q65+Q66+Q69+Q73+Q72</f>
        <v>60</v>
      </c>
      <c r="R53" s="526">
        <f t="shared" si="2"/>
        <v>60</v>
      </c>
      <c r="S53" s="526"/>
      <c r="T53" s="526"/>
      <c r="U53" s="526"/>
      <c r="V53" s="526">
        <f>V54+V61+V65+V66+V69+V73+V72</f>
        <v>59</v>
      </c>
      <c r="W53" s="526"/>
      <c r="X53" s="526"/>
      <c r="Y53" s="526">
        <f>Y54+Y61+Y65+Y66+Y69+Y73+Y72</f>
        <v>59</v>
      </c>
      <c r="Z53" s="526">
        <f t="shared" si="0"/>
        <v>10.3</v>
      </c>
      <c r="AA53" s="526">
        <f t="shared" si="1"/>
        <v>120.7</v>
      </c>
      <c r="AB53" s="849" t="s">
        <v>1701</v>
      </c>
      <c r="AC53" s="491" t="s">
        <v>1665</v>
      </c>
      <c r="AF53" s="466"/>
      <c r="AG53" s="466"/>
      <c r="AH53" s="466"/>
    </row>
    <row r="54" spans="1:34" s="492" customFormat="1" ht="14.25" hidden="1" x14ac:dyDescent="0.2">
      <c r="A54" s="1240"/>
      <c r="B54" s="507" t="s">
        <v>1242</v>
      </c>
      <c r="C54" s="508" t="s">
        <v>1230</v>
      </c>
      <c r="D54" s="932"/>
      <c r="E54" s="861"/>
      <c r="F54" s="828"/>
      <c r="G54" s="829"/>
      <c r="H54" s="542">
        <f>SUM(H55:H60)</f>
        <v>28.2</v>
      </c>
      <c r="I54" s="533"/>
      <c r="J54" s="533"/>
      <c r="K54" s="533">
        <f>SUM(K55:K60)</f>
        <v>24.8</v>
      </c>
      <c r="L54" s="533"/>
      <c r="M54" s="533"/>
      <c r="N54" s="533">
        <f>SUM(N55:N60)</f>
        <v>24.8</v>
      </c>
      <c r="O54" s="533"/>
      <c r="P54" s="533"/>
      <c r="Q54" s="533">
        <f>SUM(Q55:Q60)</f>
        <v>22</v>
      </c>
      <c r="R54" s="533">
        <f t="shared" si="2"/>
        <v>22</v>
      </c>
      <c r="S54" s="533"/>
      <c r="T54" s="533"/>
      <c r="U54" s="533"/>
      <c r="V54" s="533">
        <f>SUM(V55:V60)</f>
        <v>22</v>
      </c>
      <c r="W54" s="533"/>
      <c r="X54" s="533"/>
      <c r="Y54" s="533">
        <f>SUM(Y55:Y60)</f>
        <v>22</v>
      </c>
      <c r="Z54" s="542">
        <f t="shared" si="0"/>
        <v>-2.8</v>
      </c>
      <c r="AA54" s="542">
        <f t="shared" si="1"/>
        <v>88.7</v>
      </c>
      <c r="AB54" s="1030"/>
      <c r="AC54" s="1823" t="s">
        <v>1665</v>
      </c>
      <c r="AF54" s="466"/>
      <c r="AG54" s="466"/>
      <c r="AH54" s="466"/>
    </row>
    <row r="55" spans="1:34" s="498" customFormat="1" hidden="1" x14ac:dyDescent="0.25">
      <c r="A55" s="962"/>
      <c r="B55" s="856" t="s">
        <v>1702</v>
      </c>
      <c r="C55" s="499"/>
      <c r="D55" s="903"/>
      <c r="E55" s="855" t="s">
        <v>318</v>
      </c>
      <c r="F55" s="557">
        <v>1</v>
      </c>
      <c r="G55" s="558">
        <v>3.45</v>
      </c>
      <c r="H55" s="559">
        <f>F55*G55</f>
        <v>3.5</v>
      </c>
      <c r="I55" s="857">
        <v>1</v>
      </c>
      <c r="J55" s="857">
        <v>3.5</v>
      </c>
      <c r="K55" s="857">
        <f>I55*J55</f>
        <v>3.5</v>
      </c>
      <c r="L55" s="857">
        <v>1</v>
      </c>
      <c r="M55" s="857">
        <v>3.5</v>
      </c>
      <c r="N55" s="857">
        <f>L55*M55</f>
        <v>3.5</v>
      </c>
      <c r="O55" s="857">
        <v>1</v>
      </c>
      <c r="P55" s="857">
        <v>3.5</v>
      </c>
      <c r="Q55" s="857">
        <f>O55*P55</f>
        <v>3.5</v>
      </c>
      <c r="R55" s="857">
        <f t="shared" si="2"/>
        <v>3.5</v>
      </c>
      <c r="S55" s="857"/>
      <c r="T55" s="857">
        <v>1</v>
      </c>
      <c r="U55" s="857">
        <v>3.5</v>
      </c>
      <c r="V55" s="857">
        <f>T55*U55</f>
        <v>3.5</v>
      </c>
      <c r="W55" s="857">
        <v>1</v>
      </c>
      <c r="X55" s="857">
        <v>3.5</v>
      </c>
      <c r="Y55" s="857">
        <f>W55*X55</f>
        <v>3.5</v>
      </c>
      <c r="Z55" s="559">
        <f t="shared" si="0"/>
        <v>0</v>
      </c>
      <c r="AA55" s="559">
        <f t="shared" si="1"/>
        <v>100</v>
      </c>
      <c r="AB55" s="1029"/>
      <c r="AC55" s="1823" t="s">
        <v>1665</v>
      </c>
      <c r="AF55" s="466"/>
      <c r="AG55" s="465"/>
      <c r="AH55" s="465"/>
    </row>
    <row r="56" spans="1:34" s="498" customFormat="1" ht="38.25" hidden="1" x14ac:dyDescent="0.25">
      <c r="A56" s="962"/>
      <c r="B56" s="856" t="s">
        <v>1365</v>
      </c>
      <c r="C56" s="499"/>
      <c r="D56" s="903"/>
      <c r="E56" s="855" t="s">
        <v>318</v>
      </c>
      <c r="F56" s="557">
        <v>1</v>
      </c>
      <c r="G56" s="558">
        <v>2.2999999999999998</v>
      </c>
      <c r="H56" s="559">
        <f>F56*G56</f>
        <v>2.2999999999999998</v>
      </c>
      <c r="I56" s="857">
        <v>1</v>
      </c>
      <c r="J56" s="857">
        <v>2.2999999999999998</v>
      </c>
      <c r="K56" s="857">
        <f>I56*J56</f>
        <v>2.2999999999999998</v>
      </c>
      <c r="L56" s="857">
        <v>1</v>
      </c>
      <c r="M56" s="857">
        <v>2.2999999999999998</v>
      </c>
      <c r="N56" s="857">
        <f>L56*M56</f>
        <v>2.2999999999999998</v>
      </c>
      <c r="O56" s="857">
        <v>2</v>
      </c>
      <c r="P56" s="857">
        <v>2.2999999999999998</v>
      </c>
      <c r="Q56" s="857">
        <f>O56*P56</f>
        <v>4.5999999999999996</v>
      </c>
      <c r="R56" s="857">
        <f t="shared" si="2"/>
        <v>4.5999999999999996</v>
      </c>
      <c r="S56" s="857"/>
      <c r="T56" s="857">
        <v>2</v>
      </c>
      <c r="U56" s="857">
        <v>2.2999999999999998</v>
      </c>
      <c r="V56" s="857">
        <f>T56*U56</f>
        <v>4.5999999999999996</v>
      </c>
      <c r="W56" s="857">
        <v>2</v>
      </c>
      <c r="X56" s="857">
        <v>2.2999999999999998</v>
      </c>
      <c r="Y56" s="857">
        <f>W56*X56</f>
        <v>4.5999999999999996</v>
      </c>
      <c r="Z56" s="559">
        <f t="shared" si="0"/>
        <v>2.2999999999999998</v>
      </c>
      <c r="AA56" s="559">
        <f t="shared" si="1"/>
        <v>200</v>
      </c>
      <c r="AB56" s="1029" t="s">
        <v>1703</v>
      </c>
      <c r="AC56" s="1823" t="s">
        <v>1665</v>
      </c>
      <c r="AF56" s="466"/>
      <c r="AG56" s="465"/>
      <c r="AH56" s="465"/>
    </row>
    <row r="57" spans="1:34" s="498" customFormat="1" hidden="1" x14ac:dyDescent="0.25">
      <c r="A57" s="962"/>
      <c r="B57" s="856" t="s">
        <v>1704</v>
      </c>
      <c r="C57" s="499"/>
      <c r="D57" s="962"/>
      <c r="E57" s="1245" t="s">
        <v>318</v>
      </c>
      <c r="F57" s="557">
        <v>1</v>
      </c>
      <c r="G57" s="558">
        <v>5.2</v>
      </c>
      <c r="H57" s="559">
        <f>F57*G57</f>
        <v>5.2</v>
      </c>
      <c r="I57" s="857">
        <v>1</v>
      </c>
      <c r="J57" s="857">
        <v>2.5</v>
      </c>
      <c r="K57" s="857">
        <f>I57*J57</f>
        <v>2.5</v>
      </c>
      <c r="L57" s="857">
        <v>1</v>
      </c>
      <c r="M57" s="857">
        <v>2.5</v>
      </c>
      <c r="N57" s="857">
        <f>L57*M57</f>
        <v>2.5</v>
      </c>
      <c r="O57" s="857"/>
      <c r="P57" s="857"/>
      <c r="Q57" s="857"/>
      <c r="R57" s="857">
        <f t="shared" si="2"/>
        <v>0</v>
      </c>
      <c r="S57" s="857"/>
      <c r="T57" s="857"/>
      <c r="U57" s="857"/>
      <c r="V57" s="857"/>
      <c r="W57" s="857"/>
      <c r="X57" s="857"/>
      <c r="Y57" s="857"/>
      <c r="Z57" s="559">
        <f t="shared" si="0"/>
        <v>-2.5</v>
      </c>
      <c r="AA57" s="559">
        <f t="shared" si="1"/>
        <v>0</v>
      </c>
      <c r="AB57" s="843"/>
      <c r="AC57" s="1823" t="s">
        <v>1665</v>
      </c>
      <c r="AF57" s="466"/>
      <c r="AG57" s="465"/>
      <c r="AH57" s="465"/>
    </row>
    <row r="58" spans="1:34" s="498" customFormat="1" hidden="1" x14ac:dyDescent="0.25">
      <c r="A58" s="962"/>
      <c r="B58" s="506" t="s">
        <v>1366</v>
      </c>
      <c r="C58" s="499"/>
      <c r="D58" s="903"/>
      <c r="E58" s="1245" t="s">
        <v>318</v>
      </c>
      <c r="F58" s="557">
        <v>4</v>
      </c>
      <c r="G58" s="558">
        <v>2.2999999999999998</v>
      </c>
      <c r="H58" s="559">
        <f>F58*G58</f>
        <v>9.1999999999999993</v>
      </c>
      <c r="I58" s="857">
        <v>4</v>
      </c>
      <c r="J58" s="857">
        <v>2.2999999999999998</v>
      </c>
      <c r="K58" s="857">
        <f>I58*J58</f>
        <v>9.1999999999999993</v>
      </c>
      <c r="L58" s="857">
        <v>4</v>
      </c>
      <c r="M58" s="857">
        <v>2.2999999999999998</v>
      </c>
      <c r="N58" s="857">
        <f>L58*M58</f>
        <v>9.1999999999999993</v>
      </c>
      <c r="O58" s="857"/>
      <c r="P58" s="857"/>
      <c r="Q58" s="857"/>
      <c r="R58" s="857">
        <f t="shared" si="2"/>
        <v>0</v>
      </c>
      <c r="S58" s="857"/>
      <c r="T58" s="857"/>
      <c r="U58" s="857"/>
      <c r="V58" s="857"/>
      <c r="W58" s="857"/>
      <c r="X58" s="857"/>
      <c r="Y58" s="857"/>
      <c r="Z58" s="559">
        <f t="shared" si="0"/>
        <v>-9.1999999999999993</v>
      </c>
      <c r="AA58" s="559">
        <f t="shared" si="1"/>
        <v>0</v>
      </c>
      <c r="AB58" s="1838"/>
      <c r="AC58" s="1823" t="s">
        <v>1665</v>
      </c>
      <c r="AF58" s="466"/>
      <c r="AG58" s="465"/>
      <c r="AH58" s="465"/>
    </row>
    <row r="59" spans="1:34" s="498" customFormat="1" ht="51" hidden="1" x14ac:dyDescent="0.25">
      <c r="A59" s="962"/>
      <c r="B59" s="506" t="s">
        <v>1705</v>
      </c>
      <c r="C59" s="499"/>
      <c r="D59" s="903"/>
      <c r="E59" s="1245" t="s">
        <v>318</v>
      </c>
      <c r="F59" s="557">
        <v>1</v>
      </c>
      <c r="G59" s="558">
        <v>2</v>
      </c>
      <c r="H59" s="559">
        <f>F59*G59</f>
        <v>2</v>
      </c>
      <c r="I59" s="857">
        <v>1</v>
      </c>
      <c r="J59" s="857">
        <v>2</v>
      </c>
      <c r="K59" s="857">
        <f>I59*J59</f>
        <v>2</v>
      </c>
      <c r="L59" s="857">
        <v>1</v>
      </c>
      <c r="M59" s="857">
        <v>2</v>
      </c>
      <c r="N59" s="857">
        <f>L59*M59</f>
        <v>2</v>
      </c>
      <c r="O59" s="857">
        <v>4</v>
      </c>
      <c r="P59" s="857">
        <v>2.2999999999999998</v>
      </c>
      <c r="Q59" s="857">
        <f>O59*P59</f>
        <v>9.1999999999999993</v>
      </c>
      <c r="R59" s="857">
        <f t="shared" si="2"/>
        <v>9.1999999999999993</v>
      </c>
      <c r="S59" s="857"/>
      <c r="T59" s="857">
        <v>4</v>
      </c>
      <c r="U59" s="857">
        <v>2.2999999999999998</v>
      </c>
      <c r="V59" s="857">
        <f>T59*U59</f>
        <v>9.1999999999999993</v>
      </c>
      <c r="W59" s="857">
        <v>4</v>
      </c>
      <c r="X59" s="857">
        <v>2.2999999999999998</v>
      </c>
      <c r="Y59" s="857">
        <f>W59*X59</f>
        <v>9.1999999999999993</v>
      </c>
      <c r="Z59" s="559">
        <f t="shared" si="0"/>
        <v>7.2</v>
      </c>
      <c r="AA59" s="559">
        <f t="shared" si="1"/>
        <v>460</v>
      </c>
      <c r="AB59" s="1838" t="s">
        <v>1706</v>
      </c>
      <c r="AC59" s="1823" t="s">
        <v>1665</v>
      </c>
      <c r="AF59" s="466"/>
      <c r="AG59" s="465"/>
      <c r="AH59" s="465"/>
    </row>
    <row r="60" spans="1:34" s="498" customFormat="1" hidden="1" x14ac:dyDescent="0.25">
      <c r="A60" s="962"/>
      <c r="B60" s="856" t="s">
        <v>842</v>
      </c>
      <c r="C60" s="499"/>
      <c r="D60" s="903"/>
      <c r="E60" s="855"/>
      <c r="F60" s="557"/>
      <c r="G60" s="558"/>
      <c r="H60" s="559">
        <f>SUM(H55:H59)*0.271</f>
        <v>6</v>
      </c>
      <c r="I60" s="857"/>
      <c r="J60" s="857"/>
      <c r="K60" s="857">
        <f>SUM(K55:K59)*0.271</f>
        <v>5.3</v>
      </c>
      <c r="L60" s="857"/>
      <c r="M60" s="857"/>
      <c r="N60" s="857">
        <f>SUM(N55:N59)*0.271</f>
        <v>5.3</v>
      </c>
      <c r="O60" s="857"/>
      <c r="P60" s="857"/>
      <c r="Q60" s="857">
        <f>SUM(Q55:Q59)*0.271</f>
        <v>4.7</v>
      </c>
      <c r="R60" s="857">
        <f t="shared" si="2"/>
        <v>4.7</v>
      </c>
      <c r="S60" s="857"/>
      <c r="T60" s="857"/>
      <c r="U60" s="857"/>
      <c r="V60" s="857">
        <f>SUM(V55:V59)*0.271</f>
        <v>4.7</v>
      </c>
      <c r="W60" s="857"/>
      <c r="X60" s="857"/>
      <c r="Y60" s="857">
        <f>SUM(Y55:Y59)*0.271</f>
        <v>4.7</v>
      </c>
      <c r="Z60" s="559">
        <f t="shared" si="0"/>
        <v>-0.6</v>
      </c>
      <c r="AA60" s="559">
        <f t="shared" si="1"/>
        <v>88.7</v>
      </c>
      <c r="AB60" s="1838"/>
      <c r="AC60" s="1823" t="s">
        <v>1665</v>
      </c>
      <c r="AF60" s="466"/>
      <c r="AG60" s="465"/>
      <c r="AH60" s="465"/>
    </row>
    <row r="61" spans="1:34" s="492" customFormat="1" ht="14.25" x14ac:dyDescent="0.2">
      <c r="A61" s="1240"/>
      <c r="B61" s="865" t="s">
        <v>1707</v>
      </c>
      <c r="C61" s="508" t="s">
        <v>797</v>
      </c>
      <c r="D61" s="932"/>
      <c r="E61" s="861"/>
      <c r="F61" s="828"/>
      <c r="G61" s="829"/>
      <c r="H61" s="542">
        <f>SUM(H62:H64)</f>
        <v>9.1999999999999993</v>
      </c>
      <c r="I61" s="533"/>
      <c r="J61" s="533"/>
      <c r="K61" s="533">
        <f>SUM(K62:K64)</f>
        <v>4.5999999999999996</v>
      </c>
      <c r="L61" s="533"/>
      <c r="M61" s="533"/>
      <c r="N61" s="533">
        <f>SUM(N62:N64)</f>
        <v>4.5999999999999996</v>
      </c>
      <c r="O61" s="533"/>
      <c r="P61" s="533"/>
      <c r="Q61" s="533">
        <f>SUM(Q62:Q64)</f>
        <v>10</v>
      </c>
      <c r="R61" s="533">
        <f t="shared" si="2"/>
        <v>10</v>
      </c>
      <c r="S61" s="533"/>
      <c r="T61" s="533"/>
      <c r="U61" s="533"/>
      <c r="V61" s="533">
        <f>SUM(V62:V64)</f>
        <v>10</v>
      </c>
      <c r="W61" s="533"/>
      <c r="X61" s="533"/>
      <c r="Y61" s="533">
        <f>SUM(Y62:Y64)</f>
        <v>10</v>
      </c>
      <c r="Z61" s="542">
        <f t="shared" si="0"/>
        <v>5.4</v>
      </c>
      <c r="AA61" s="542">
        <f t="shared" si="1"/>
        <v>217.4</v>
      </c>
      <c r="AB61" s="1838"/>
      <c r="AC61" s="1823" t="s">
        <v>1665</v>
      </c>
      <c r="AF61" s="466"/>
      <c r="AG61" s="466"/>
      <c r="AH61" s="466"/>
    </row>
    <row r="62" spans="1:34" s="498" customFormat="1" ht="63.75" hidden="1" x14ac:dyDescent="0.25">
      <c r="A62" s="962"/>
      <c r="B62" s="502" t="s">
        <v>1708</v>
      </c>
      <c r="C62" s="499"/>
      <c r="D62" s="903"/>
      <c r="E62" s="855" t="s">
        <v>227</v>
      </c>
      <c r="F62" s="557">
        <v>20</v>
      </c>
      <c r="G62" s="558">
        <v>0.1</v>
      </c>
      <c r="H62" s="559">
        <f>F62*G62</f>
        <v>2</v>
      </c>
      <c r="I62" s="857">
        <v>10</v>
      </c>
      <c r="J62" s="862">
        <v>0.1</v>
      </c>
      <c r="K62" s="857">
        <f>I62*J62</f>
        <v>1</v>
      </c>
      <c r="L62" s="857">
        <v>10</v>
      </c>
      <c r="M62" s="862">
        <v>0.1</v>
      </c>
      <c r="N62" s="857">
        <f>L62*M62</f>
        <v>1</v>
      </c>
      <c r="O62" s="857">
        <v>20</v>
      </c>
      <c r="P62" s="857">
        <v>0.1</v>
      </c>
      <c r="Q62" s="857">
        <f>O62*P62</f>
        <v>2</v>
      </c>
      <c r="R62" s="857">
        <f t="shared" si="2"/>
        <v>2</v>
      </c>
      <c r="S62" s="857"/>
      <c r="T62" s="857">
        <v>20</v>
      </c>
      <c r="U62" s="857">
        <v>0.1</v>
      </c>
      <c r="V62" s="857">
        <f>T62*U62</f>
        <v>2</v>
      </c>
      <c r="W62" s="857">
        <v>20</v>
      </c>
      <c r="X62" s="857">
        <v>0.1</v>
      </c>
      <c r="Y62" s="857">
        <f>W62*X62</f>
        <v>2</v>
      </c>
      <c r="Z62" s="559">
        <f t="shared" si="0"/>
        <v>1</v>
      </c>
      <c r="AA62" s="559">
        <f t="shared" si="1"/>
        <v>200</v>
      </c>
      <c r="AB62" s="900" t="s">
        <v>1694</v>
      </c>
      <c r="AC62" s="1823" t="s">
        <v>1665</v>
      </c>
      <c r="AF62" s="466"/>
      <c r="AG62" s="465"/>
      <c r="AH62" s="465"/>
    </row>
    <row r="63" spans="1:34" s="498" customFormat="1" hidden="1" x14ac:dyDescent="0.25">
      <c r="A63" s="962"/>
      <c r="B63" s="856" t="s">
        <v>1669</v>
      </c>
      <c r="C63" s="499"/>
      <c r="D63" s="962"/>
      <c r="E63" s="855" t="s">
        <v>1240</v>
      </c>
      <c r="F63" s="557">
        <v>30</v>
      </c>
      <c r="G63" s="558">
        <v>0.1</v>
      </c>
      <c r="H63" s="559">
        <f>F63*G63</f>
        <v>3</v>
      </c>
      <c r="I63" s="857">
        <v>30</v>
      </c>
      <c r="J63" s="862">
        <v>0.05</v>
      </c>
      <c r="K63" s="857">
        <f>I63*J63</f>
        <v>1.5</v>
      </c>
      <c r="L63" s="857">
        <v>30</v>
      </c>
      <c r="M63" s="862">
        <v>0.05</v>
      </c>
      <c r="N63" s="857">
        <f>L63*M63</f>
        <v>1.5</v>
      </c>
      <c r="O63" s="857">
        <v>40</v>
      </c>
      <c r="P63" s="857">
        <v>0.2</v>
      </c>
      <c r="Q63" s="857">
        <f>O63*P63</f>
        <v>8</v>
      </c>
      <c r="R63" s="857">
        <f t="shared" si="2"/>
        <v>8</v>
      </c>
      <c r="S63" s="857"/>
      <c r="T63" s="857">
        <v>40</v>
      </c>
      <c r="U63" s="857">
        <v>0.2</v>
      </c>
      <c r="V63" s="857">
        <f>T63*U63</f>
        <v>8</v>
      </c>
      <c r="W63" s="857">
        <v>40</v>
      </c>
      <c r="X63" s="857">
        <v>0.2</v>
      </c>
      <c r="Y63" s="857">
        <f>W63*X63</f>
        <v>8</v>
      </c>
      <c r="Z63" s="559">
        <f t="shared" si="0"/>
        <v>6.5</v>
      </c>
      <c r="AA63" s="559">
        <f t="shared" si="1"/>
        <v>533.29999999999995</v>
      </c>
      <c r="AB63" s="1838" t="s">
        <v>1709</v>
      </c>
      <c r="AC63" s="1823" t="s">
        <v>1665</v>
      </c>
      <c r="AF63" s="466"/>
      <c r="AG63" s="465"/>
      <c r="AH63" s="465"/>
    </row>
    <row r="64" spans="1:34" s="498" customFormat="1" hidden="1" x14ac:dyDescent="0.25">
      <c r="A64" s="962"/>
      <c r="B64" s="856" t="s">
        <v>1710</v>
      </c>
      <c r="C64" s="499"/>
      <c r="D64" s="903"/>
      <c r="E64" s="855"/>
      <c r="F64" s="557">
        <v>42</v>
      </c>
      <c r="G64" s="558">
        <v>0.1</v>
      </c>
      <c r="H64" s="559">
        <f>F64*G64</f>
        <v>4.2</v>
      </c>
      <c r="I64" s="857">
        <v>42</v>
      </c>
      <c r="J64" s="862">
        <v>0.05</v>
      </c>
      <c r="K64" s="857">
        <f>I64*J64</f>
        <v>2.1</v>
      </c>
      <c r="L64" s="857">
        <v>42</v>
      </c>
      <c r="M64" s="862">
        <v>0.05</v>
      </c>
      <c r="N64" s="857">
        <f>L64*M64</f>
        <v>2.1</v>
      </c>
      <c r="O64" s="857"/>
      <c r="P64" s="857"/>
      <c r="Q64" s="857"/>
      <c r="R64" s="857">
        <f t="shared" si="2"/>
        <v>0</v>
      </c>
      <c r="S64" s="857"/>
      <c r="T64" s="857"/>
      <c r="U64" s="857"/>
      <c r="V64" s="857"/>
      <c r="W64" s="857"/>
      <c r="X64" s="857"/>
      <c r="Y64" s="857"/>
      <c r="Z64" s="559">
        <f t="shared" si="0"/>
        <v>-2.1</v>
      </c>
      <c r="AA64" s="559">
        <f t="shared" si="1"/>
        <v>0</v>
      </c>
      <c r="AB64" s="1838"/>
      <c r="AC64" s="1823" t="s">
        <v>1665</v>
      </c>
      <c r="AF64" s="466"/>
      <c r="AG64" s="465"/>
      <c r="AH64" s="465"/>
    </row>
    <row r="65" spans="1:34" s="498" customFormat="1" ht="63.75" x14ac:dyDescent="0.25">
      <c r="A65" s="962"/>
      <c r="B65" s="865" t="s">
        <v>1711</v>
      </c>
      <c r="C65" s="508" t="s">
        <v>797</v>
      </c>
      <c r="D65" s="497"/>
      <c r="E65" s="497"/>
      <c r="F65" s="497"/>
      <c r="G65" s="497"/>
      <c r="H65" s="497"/>
      <c r="I65" s="497"/>
      <c r="J65" s="497"/>
      <c r="K65" s="497"/>
      <c r="L65" s="497"/>
      <c r="M65" s="497"/>
      <c r="N65" s="497"/>
      <c r="O65" s="857"/>
      <c r="P65" s="857"/>
      <c r="Q65" s="533">
        <v>12</v>
      </c>
      <c r="R65" s="533">
        <f t="shared" si="2"/>
        <v>12</v>
      </c>
      <c r="S65" s="533"/>
      <c r="T65" s="857"/>
      <c r="U65" s="857"/>
      <c r="V65" s="533">
        <v>12</v>
      </c>
      <c r="W65" s="857"/>
      <c r="X65" s="857"/>
      <c r="Y65" s="533">
        <v>12</v>
      </c>
      <c r="Z65" s="559">
        <f t="shared" si="0"/>
        <v>12</v>
      </c>
      <c r="AA65" s="559" t="str">
        <f t="shared" si="1"/>
        <v>-</v>
      </c>
      <c r="AB65" s="1838" t="s">
        <v>1712</v>
      </c>
      <c r="AC65" s="1823" t="s">
        <v>1665</v>
      </c>
      <c r="AF65" s="466"/>
      <c r="AG65" s="465"/>
      <c r="AH65" s="465"/>
    </row>
    <row r="66" spans="1:34" s="492" customFormat="1" ht="14.25" hidden="1" x14ac:dyDescent="0.2">
      <c r="A66" s="1240"/>
      <c r="B66" s="865" t="s">
        <v>1713</v>
      </c>
      <c r="C66" s="508" t="s">
        <v>796</v>
      </c>
      <c r="D66" s="932"/>
      <c r="E66" s="861"/>
      <c r="F66" s="828"/>
      <c r="G66" s="829"/>
      <c r="H66" s="542">
        <f>SUM(H67:H68)</f>
        <v>15.7</v>
      </c>
      <c r="I66" s="533"/>
      <c r="J66" s="533"/>
      <c r="K66" s="533">
        <f>SUM(K67:K68)</f>
        <v>7.8</v>
      </c>
      <c r="L66" s="533"/>
      <c r="M66" s="533"/>
      <c r="N66" s="533">
        <f>SUM(N67:N68)</f>
        <v>7.8</v>
      </c>
      <c r="O66" s="533"/>
      <c r="P66" s="533"/>
      <c r="Q66" s="533"/>
      <c r="R66" s="533">
        <f t="shared" si="2"/>
        <v>0</v>
      </c>
      <c r="S66" s="533"/>
      <c r="T66" s="533"/>
      <c r="U66" s="533"/>
      <c r="V66" s="533"/>
      <c r="W66" s="533"/>
      <c r="X66" s="533"/>
      <c r="Y66" s="533"/>
      <c r="Z66" s="542">
        <f t="shared" si="0"/>
        <v>-7.8</v>
      </c>
      <c r="AA66" s="542">
        <f t="shared" si="1"/>
        <v>0</v>
      </c>
      <c r="AB66" s="1838"/>
      <c r="AC66" s="1823" t="s">
        <v>1665</v>
      </c>
      <c r="AF66" s="466"/>
      <c r="AG66" s="466"/>
      <c r="AH66" s="466"/>
    </row>
    <row r="67" spans="1:34" s="498" customFormat="1" hidden="1" x14ac:dyDescent="0.25">
      <c r="A67" s="962"/>
      <c r="B67" s="856" t="s">
        <v>1714</v>
      </c>
      <c r="C67" s="499"/>
      <c r="D67" s="903"/>
      <c r="E67" s="1245" t="s">
        <v>227</v>
      </c>
      <c r="F67" s="557">
        <v>27</v>
      </c>
      <c r="G67" s="558">
        <v>0.1</v>
      </c>
      <c r="H67" s="559">
        <f>F67*G67</f>
        <v>2.7</v>
      </c>
      <c r="I67" s="857">
        <v>26</v>
      </c>
      <c r="J67" s="862">
        <v>0.05</v>
      </c>
      <c r="K67" s="857">
        <f>I67*J67</f>
        <v>1.3</v>
      </c>
      <c r="L67" s="857">
        <v>26</v>
      </c>
      <c r="M67" s="862">
        <v>0.05</v>
      </c>
      <c r="N67" s="857">
        <f>L67*M67</f>
        <v>1.3</v>
      </c>
      <c r="O67" s="857"/>
      <c r="P67" s="857"/>
      <c r="Q67" s="857"/>
      <c r="R67" s="857">
        <f t="shared" si="2"/>
        <v>0</v>
      </c>
      <c r="S67" s="857"/>
      <c r="T67" s="857"/>
      <c r="U67" s="857"/>
      <c r="V67" s="857"/>
      <c r="W67" s="857"/>
      <c r="X67" s="857"/>
      <c r="Y67" s="857"/>
      <c r="Z67" s="559">
        <f t="shared" si="0"/>
        <v>-1.3</v>
      </c>
      <c r="AA67" s="559">
        <f t="shared" si="1"/>
        <v>0</v>
      </c>
      <c r="AB67" s="1838"/>
      <c r="AC67" s="1823" t="s">
        <v>1665</v>
      </c>
      <c r="AF67" s="466"/>
      <c r="AG67" s="465"/>
      <c r="AH67" s="465"/>
    </row>
    <row r="68" spans="1:34" s="498" customFormat="1" hidden="1" x14ac:dyDescent="0.25">
      <c r="A68" s="962"/>
      <c r="B68" s="856" t="s">
        <v>1715</v>
      </c>
      <c r="C68" s="499"/>
      <c r="D68" s="903"/>
      <c r="E68" s="1245" t="s">
        <v>227</v>
      </c>
      <c r="F68" s="557">
        <v>26</v>
      </c>
      <c r="G68" s="558">
        <v>0.5</v>
      </c>
      <c r="H68" s="559">
        <f>F68*G68</f>
        <v>13</v>
      </c>
      <c r="I68" s="857">
        <v>26</v>
      </c>
      <c r="J68" s="862">
        <v>0.25</v>
      </c>
      <c r="K68" s="857">
        <f>I68*J68</f>
        <v>6.5</v>
      </c>
      <c r="L68" s="857">
        <v>26</v>
      </c>
      <c r="M68" s="862">
        <v>0.25</v>
      </c>
      <c r="N68" s="857">
        <f>L68*M68</f>
        <v>6.5</v>
      </c>
      <c r="O68" s="857"/>
      <c r="P68" s="857"/>
      <c r="Q68" s="857"/>
      <c r="R68" s="857">
        <f t="shared" si="2"/>
        <v>0</v>
      </c>
      <c r="S68" s="857"/>
      <c r="T68" s="857"/>
      <c r="U68" s="857"/>
      <c r="V68" s="857"/>
      <c r="W68" s="857"/>
      <c r="X68" s="857"/>
      <c r="Y68" s="857"/>
      <c r="Z68" s="559">
        <f t="shared" si="0"/>
        <v>-6.5</v>
      </c>
      <c r="AA68" s="559">
        <f t="shared" si="1"/>
        <v>0</v>
      </c>
      <c r="AB68" s="1838"/>
      <c r="AC68" s="1823" t="s">
        <v>1665</v>
      </c>
      <c r="AF68" s="466"/>
      <c r="AG68" s="465"/>
      <c r="AH68" s="465"/>
    </row>
    <row r="69" spans="1:34" s="498" customFormat="1" x14ac:dyDescent="0.25">
      <c r="A69" s="962"/>
      <c r="B69" s="865" t="s">
        <v>1716</v>
      </c>
      <c r="C69" s="508" t="s">
        <v>797</v>
      </c>
      <c r="D69" s="932"/>
      <c r="E69" s="861"/>
      <c r="F69" s="828"/>
      <c r="G69" s="829"/>
      <c r="H69" s="542">
        <f>SUM(H70:H70)</f>
        <v>6.3</v>
      </c>
      <c r="I69" s="533"/>
      <c r="J69" s="533"/>
      <c r="K69" s="533">
        <f>SUM(K70:K70)</f>
        <v>6.2</v>
      </c>
      <c r="L69" s="533"/>
      <c r="M69" s="533"/>
      <c r="N69" s="533">
        <f>SUM(N70:N70)</f>
        <v>6.2</v>
      </c>
      <c r="O69" s="533"/>
      <c r="P69" s="533"/>
      <c r="Q69" s="533">
        <f>SUM(Q70:Q71)</f>
        <v>8</v>
      </c>
      <c r="R69" s="533">
        <f t="shared" si="2"/>
        <v>8</v>
      </c>
      <c r="S69" s="533"/>
      <c r="T69" s="533"/>
      <c r="U69" s="533"/>
      <c r="V69" s="533">
        <f>SUM(V70:V71)</f>
        <v>8</v>
      </c>
      <c r="W69" s="533"/>
      <c r="X69" s="533"/>
      <c r="Y69" s="533">
        <f>SUM(Y70:Y71)</f>
        <v>8</v>
      </c>
      <c r="Z69" s="542">
        <f t="shared" si="0"/>
        <v>1.8</v>
      </c>
      <c r="AA69" s="542">
        <f t="shared" si="1"/>
        <v>129</v>
      </c>
      <c r="AB69" s="1838"/>
      <c r="AC69" s="1823" t="s">
        <v>1665</v>
      </c>
      <c r="AF69" s="466"/>
      <c r="AG69" s="465"/>
      <c r="AH69" s="465"/>
    </row>
    <row r="70" spans="1:34" s="492" customFormat="1" ht="25.5" hidden="1" x14ac:dyDescent="0.2">
      <c r="A70" s="1240"/>
      <c r="B70" s="856" t="s">
        <v>1717</v>
      </c>
      <c r="C70" s="499"/>
      <c r="D70" s="903"/>
      <c r="E70" s="855" t="s">
        <v>227</v>
      </c>
      <c r="F70" s="557">
        <v>210</v>
      </c>
      <c r="G70" s="558">
        <v>0.03</v>
      </c>
      <c r="H70" s="559">
        <f>F70*G70</f>
        <v>6.3</v>
      </c>
      <c r="I70" s="857">
        <v>62</v>
      </c>
      <c r="J70" s="857">
        <v>0.1</v>
      </c>
      <c r="K70" s="857">
        <f>I70*J70</f>
        <v>6.2</v>
      </c>
      <c r="L70" s="857">
        <v>62</v>
      </c>
      <c r="M70" s="857">
        <v>0.1</v>
      </c>
      <c r="N70" s="857">
        <f>L70*M70</f>
        <v>6.2</v>
      </c>
      <c r="O70" s="857">
        <v>50</v>
      </c>
      <c r="P70" s="857">
        <v>0.1</v>
      </c>
      <c r="Q70" s="857">
        <f>O70*P70</f>
        <v>5</v>
      </c>
      <c r="R70" s="857">
        <f t="shared" si="2"/>
        <v>5</v>
      </c>
      <c r="S70" s="857"/>
      <c r="T70" s="857">
        <v>50</v>
      </c>
      <c r="U70" s="857">
        <v>0.1</v>
      </c>
      <c r="V70" s="857">
        <f>T70*U70</f>
        <v>5</v>
      </c>
      <c r="W70" s="857">
        <v>50</v>
      </c>
      <c r="X70" s="857">
        <v>0.1</v>
      </c>
      <c r="Y70" s="857">
        <f>W70*X70</f>
        <v>5</v>
      </c>
      <c r="Z70" s="559">
        <f t="shared" si="0"/>
        <v>-1.2</v>
      </c>
      <c r="AA70" s="559">
        <f t="shared" si="1"/>
        <v>80.599999999999994</v>
      </c>
      <c r="AB70" s="1839" t="s">
        <v>1718</v>
      </c>
      <c r="AC70" s="1823" t="s">
        <v>1665</v>
      </c>
      <c r="AF70" s="466"/>
      <c r="AG70" s="466"/>
      <c r="AH70" s="466"/>
    </row>
    <row r="71" spans="1:34" s="498" customFormat="1" ht="51" hidden="1" x14ac:dyDescent="0.25">
      <c r="A71" s="962"/>
      <c r="B71" s="1840" t="s">
        <v>1719</v>
      </c>
      <c r="C71" s="499"/>
      <c r="D71" s="903"/>
      <c r="E71" s="855"/>
      <c r="F71" s="557"/>
      <c r="G71" s="558"/>
      <c r="H71" s="559"/>
      <c r="I71" s="857"/>
      <c r="J71" s="857"/>
      <c r="K71" s="857"/>
      <c r="L71" s="857"/>
      <c r="M71" s="857"/>
      <c r="N71" s="857"/>
      <c r="O71" s="857">
        <v>150</v>
      </c>
      <c r="P71" s="862">
        <v>0.02</v>
      </c>
      <c r="Q71" s="857">
        <f>O71*P71</f>
        <v>3</v>
      </c>
      <c r="R71" s="857">
        <f t="shared" si="2"/>
        <v>3</v>
      </c>
      <c r="S71" s="857"/>
      <c r="T71" s="857">
        <v>150</v>
      </c>
      <c r="U71" s="862">
        <v>0.02</v>
      </c>
      <c r="V71" s="857">
        <f>T71*U71</f>
        <v>3</v>
      </c>
      <c r="W71" s="857">
        <v>150</v>
      </c>
      <c r="X71" s="862">
        <v>0.02</v>
      </c>
      <c r="Y71" s="857">
        <f>W71*X71</f>
        <v>3</v>
      </c>
      <c r="Z71" s="559">
        <f t="shared" si="0"/>
        <v>3</v>
      </c>
      <c r="AA71" s="559" t="str">
        <f t="shared" si="1"/>
        <v>-</v>
      </c>
      <c r="AB71" s="1839" t="s">
        <v>1720</v>
      </c>
      <c r="AC71" s="1823" t="s">
        <v>1665</v>
      </c>
      <c r="AF71" s="466"/>
      <c r="AG71" s="465"/>
      <c r="AH71" s="465"/>
    </row>
    <row r="72" spans="1:34" s="498" customFormat="1" ht="63.75" x14ac:dyDescent="0.25">
      <c r="A72" s="962"/>
      <c r="B72" s="1841" t="s">
        <v>1721</v>
      </c>
      <c r="C72" s="508" t="s">
        <v>797</v>
      </c>
      <c r="D72" s="497"/>
      <c r="E72" s="497"/>
      <c r="F72" s="497"/>
      <c r="G72" s="497"/>
      <c r="H72" s="497"/>
      <c r="I72" s="497"/>
      <c r="J72" s="497"/>
      <c r="K72" s="497"/>
      <c r="L72" s="497"/>
      <c r="M72" s="497"/>
      <c r="N72" s="497"/>
      <c r="O72" s="857">
        <v>20</v>
      </c>
      <c r="P72" s="857">
        <v>0.4</v>
      </c>
      <c r="Q72" s="533">
        <f>O72*P72</f>
        <v>8</v>
      </c>
      <c r="R72" s="533">
        <v>7</v>
      </c>
      <c r="S72" s="533"/>
      <c r="T72" s="857">
        <v>20</v>
      </c>
      <c r="U72" s="857">
        <v>0.4</v>
      </c>
      <c r="V72" s="533">
        <v>7</v>
      </c>
      <c r="W72" s="857">
        <v>20</v>
      </c>
      <c r="X72" s="857">
        <v>0.4</v>
      </c>
      <c r="Y72" s="533">
        <v>7</v>
      </c>
      <c r="Z72" s="559">
        <v>7</v>
      </c>
      <c r="AA72" s="559" t="str">
        <f t="shared" si="1"/>
        <v>-</v>
      </c>
      <c r="AB72" s="1839" t="s">
        <v>1722</v>
      </c>
      <c r="AC72" s="1823" t="s">
        <v>1665</v>
      </c>
      <c r="AF72" s="466"/>
      <c r="AG72" s="465"/>
      <c r="AH72" s="465"/>
    </row>
    <row r="73" spans="1:34" s="492" customFormat="1" ht="14.25" hidden="1" x14ac:dyDescent="0.2">
      <c r="A73" s="1240"/>
      <c r="B73" s="865" t="s">
        <v>1723</v>
      </c>
      <c r="C73" s="508" t="s">
        <v>1237</v>
      </c>
      <c r="D73" s="932"/>
      <c r="E73" s="861"/>
      <c r="F73" s="828">
        <v>3</v>
      </c>
      <c r="G73" s="829">
        <v>2.5</v>
      </c>
      <c r="H73" s="542">
        <f>F73*G73</f>
        <v>7.5</v>
      </c>
      <c r="I73" s="533">
        <v>2.5</v>
      </c>
      <c r="J73" s="533">
        <v>2.5</v>
      </c>
      <c r="K73" s="533">
        <f>I73*J73</f>
        <v>6.3</v>
      </c>
      <c r="L73" s="533">
        <v>2.5</v>
      </c>
      <c r="M73" s="533">
        <v>2.5</v>
      </c>
      <c r="N73" s="533">
        <f>L73*M73</f>
        <v>6.3</v>
      </c>
      <c r="O73" s="533"/>
      <c r="P73" s="533"/>
      <c r="Q73" s="533"/>
      <c r="R73" s="533">
        <f t="shared" si="2"/>
        <v>0</v>
      </c>
      <c r="S73" s="533"/>
      <c r="T73" s="533"/>
      <c r="U73" s="533"/>
      <c r="V73" s="533"/>
      <c r="W73" s="533"/>
      <c r="X73" s="533"/>
      <c r="Y73" s="533"/>
      <c r="Z73" s="542">
        <f t="shared" si="0"/>
        <v>-6.3</v>
      </c>
      <c r="AA73" s="542">
        <f t="shared" si="1"/>
        <v>0</v>
      </c>
      <c r="AB73" s="1838"/>
      <c r="AC73" s="1823" t="s">
        <v>1665</v>
      </c>
      <c r="AF73" s="466"/>
      <c r="AG73" s="466"/>
      <c r="AH73" s="466"/>
    </row>
    <row r="74" spans="1:34" s="517" customFormat="1" ht="14.25" hidden="1" x14ac:dyDescent="0.2">
      <c r="A74" s="487"/>
      <c r="B74" s="510" t="s">
        <v>773</v>
      </c>
      <c r="C74" s="511"/>
      <c r="D74" s="487"/>
      <c r="E74" s="512"/>
      <c r="F74" s="488"/>
      <c r="G74" s="489"/>
      <c r="H74" s="513" t="e">
        <f>#REF!+H4+#REF!+H51628+H75+#REF!+#REF!+#REF!+#REF!</f>
        <v>#REF!</v>
      </c>
      <c r="I74" s="490"/>
      <c r="J74" s="490"/>
      <c r="K74" s="513">
        <f>K75</f>
        <v>229.7</v>
      </c>
      <c r="L74" s="490"/>
      <c r="M74" s="490"/>
      <c r="N74" s="513">
        <f>N75</f>
        <v>229.7</v>
      </c>
      <c r="O74" s="490"/>
      <c r="P74" s="490"/>
      <c r="Q74" s="513">
        <f>Q75</f>
        <v>464.3</v>
      </c>
      <c r="R74" s="513">
        <f t="shared" ref="R74:S74" si="4">R75</f>
        <v>230.2</v>
      </c>
      <c r="S74" s="513">
        <f t="shared" si="4"/>
        <v>233.9</v>
      </c>
      <c r="T74" s="513"/>
      <c r="U74" s="513"/>
      <c r="V74" s="513">
        <f>V75</f>
        <v>249.7</v>
      </c>
      <c r="W74" s="513"/>
      <c r="X74" s="513"/>
      <c r="Y74" s="513">
        <f>Y75</f>
        <v>249.7</v>
      </c>
      <c r="Z74" s="513">
        <f t="shared" ref="Z74:Z137" si="5">Q74-K74</f>
        <v>234.6</v>
      </c>
      <c r="AA74" s="513">
        <f t="shared" ref="AA74:AA137" si="6">IFERROR(Q74/K74*100,"-")</f>
        <v>202.1</v>
      </c>
      <c r="AB74" s="514"/>
      <c r="AC74" s="515"/>
      <c r="AD74" s="516">
        <f>Z74+[16]Стимулирование!R873+-211+225</f>
        <v>448.4</v>
      </c>
      <c r="AF74" s="518"/>
      <c r="AG74" s="519"/>
      <c r="AH74" s="519"/>
    </row>
    <row r="75" spans="1:34" s="527" customFormat="1" ht="38.25" hidden="1" x14ac:dyDescent="0.2">
      <c r="A75" s="522"/>
      <c r="B75" s="892" t="s">
        <v>1664</v>
      </c>
      <c r="C75" s="521"/>
      <c r="D75" s="522" t="s">
        <v>1444</v>
      </c>
      <c r="E75" s="522"/>
      <c r="F75" s="851"/>
      <c r="G75" s="852"/>
      <c r="H75" s="853">
        <f>H76+H86+H104+H135</f>
        <v>259.10000000000002</v>
      </c>
      <c r="I75" s="853"/>
      <c r="J75" s="853"/>
      <c r="K75" s="853">
        <f>K76+K86+K104+K135</f>
        <v>229.7</v>
      </c>
      <c r="L75" s="853"/>
      <c r="M75" s="853"/>
      <c r="N75" s="853">
        <f>N76+N86+N104+N135</f>
        <v>229.7</v>
      </c>
      <c r="O75" s="853"/>
      <c r="P75" s="853"/>
      <c r="Q75" s="853">
        <f>Q76+Q86+Q104+Q135</f>
        <v>464.3</v>
      </c>
      <c r="R75" s="853">
        <f t="shared" ref="R75:S75" si="7">R76+R86+R104+R135</f>
        <v>230.2</v>
      </c>
      <c r="S75" s="853">
        <f t="shared" si="7"/>
        <v>233.9</v>
      </c>
      <c r="T75" s="853"/>
      <c r="U75" s="853"/>
      <c r="V75" s="853">
        <f>V76+V86+V104+V135</f>
        <v>249.7</v>
      </c>
      <c r="W75" s="853"/>
      <c r="X75" s="853"/>
      <c r="Y75" s="853">
        <f>Y76+Y86+Y104+Y135</f>
        <v>249.7</v>
      </c>
      <c r="Z75" s="525">
        <f t="shared" si="5"/>
        <v>234.6</v>
      </c>
      <c r="AA75" s="853">
        <f t="shared" si="6"/>
        <v>202.1</v>
      </c>
      <c r="AB75" s="909"/>
      <c r="AC75" s="549" t="s">
        <v>1665</v>
      </c>
      <c r="AF75" s="528"/>
      <c r="AG75" s="528"/>
      <c r="AH75" s="528"/>
    </row>
    <row r="76" spans="1:34" s="871" customFormat="1" ht="14.25" hidden="1" x14ac:dyDescent="0.2">
      <c r="A76" s="869"/>
      <c r="B76" s="875" t="s">
        <v>1724</v>
      </c>
      <c r="C76" s="868"/>
      <c r="D76" s="869"/>
      <c r="E76" s="869"/>
      <c r="F76" s="879"/>
      <c r="G76" s="880"/>
      <c r="H76" s="681">
        <f>H81+H82+H84</f>
        <v>37</v>
      </c>
      <c r="I76" s="681"/>
      <c r="J76" s="681"/>
      <c r="K76" s="681">
        <f>K81+K82+K84</f>
        <v>33.5</v>
      </c>
      <c r="L76" s="681"/>
      <c r="M76" s="681"/>
      <c r="N76" s="681">
        <f>N81+N82+N84</f>
        <v>18.5</v>
      </c>
      <c r="O76" s="681"/>
      <c r="P76" s="681"/>
      <c r="Q76" s="681">
        <f>Q77+Q81+Q82+Q84</f>
        <v>32.299999999999997</v>
      </c>
      <c r="R76" s="681">
        <f t="shared" ref="R76:S76" si="8">R77+R81+R82+R84</f>
        <v>32.299999999999997</v>
      </c>
      <c r="S76" s="681">
        <f t="shared" si="8"/>
        <v>0</v>
      </c>
      <c r="T76" s="681"/>
      <c r="U76" s="681"/>
      <c r="V76" s="681">
        <f>V77+V81+V82+V84</f>
        <v>27.8</v>
      </c>
      <c r="W76" s="681"/>
      <c r="X76" s="681"/>
      <c r="Y76" s="681">
        <f>Y77+Y81+Y82+Y84</f>
        <v>27.8</v>
      </c>
      <c r="Z76" s="681">
        <f t="shared" si="5"/>
        <v>-1.2</v>
      </c>
      <c r="AA76" s="681">
        <f t="shared" si="6"/>
        <v>96.4</v>
      </c>
      <c r="AB76" s="1842"/>
      <c r="AC76" s="549" t="s">
        <v>1665</v>
      </c>
      <c r="AF76" s="872"/>
      <c r="AG76" s="872"/>
      <c r="AH76" s="872"/>
    </row>
    <row r="77" spans="1:34" s="492" customFormat="1" ht="14.25" hidden="1" x14ac:dyDescent="0.2">
      <c r="A77" s="1240"/>
      <c r="B77" s="876" t="s">
        <v>1233</v>
      </c>
      <c r="C77" s="501" t="s">
        <v>1230</v>
      </c>
      <c r="D77" s="1240"/>
      <c r="E77" s="1240"/>
      <c r="F77" s="530"/>
      <c r="G77" s="531"/>
      <c r="H77" s="493"/>
      <c r="I77" s="493"/>
      <c r="J77" s="493"/>
      <c r="K77" s="493"/>
      <c r="L77" s="493"/>
      <c r="M77" s="493"/>
      <c r="N77" s="493"/>
      <c r="O77" s="493"/>
      <c r="P77" s="493"/>
      <c r="Q77" s="532">
        <f>SUM(Q78:Q80)</f>
        <v>10.3</v>
      </c>
      <c r="R77" s="532">
        <f>Q77</f>
        <v>10.3</v>
      </c>
      <c r="S77" s="532"/>
      <c r="T77" s="493"/>
      <c r="U77" s="493"/>
      <c r="V77" s="532">
        <f>SUM(V78:V80)</f>
        <v>5.8</v>
      </c>
      <c r="W77" s="493"/>
      <c r="X77" s="493"/>
      <c r="Y77" s="532">
        <f>SUM(Y78:Y80)</f>
        <v>5.8</v>
      </c>
      <c r="Z77" s="493">
        <f t="shared" si="5"/>
        <v>10.3</v>
      </c>
      <c r="AA77" s="493" t="str">
        <f t="shared" si="6"/>
        <v>-</v>
      </c>
      <c r="AB77" s="921"/>
      <c r="AC77" s="549" t="s">
        <v>1665</v>
      </c>
      <c r="AF77" s="466"/>
      <c r="AG77" s="466"/>
      <c r="AH77" s="466"/>
    </row>
    <row r="78" spans="1:34" s="492" customFormat="1" ht="63.75" hidden="1" x14ac:dyDescent="0.2">
      <c r="A78" s="1240"/>
      <c r="B78" s="881" t="s">
        <v>1725</v>
      </c>
      <c r="C78" s="501"/>
      <c r="D78" s="1240"/>
      <c r="E78" s="873" t="s">
        <v>318</v>
      </c>
      <c r="F78" s="530"/>
      <c r="G78" s="531"/>
      <c r="H78" s="493"/>
      <c r="I78" s="493"/>
      <c r="J78" s="493"/>
      <c r="K78" s="493"/>
      <c r="L78" s="493"/>
      <c r="M78" s="493"/>
      <c r="N78" s="493"/>
      <c r="O78" s="496">
        <v>2</v>
      </c>
      <c r="P78" s="496">
        <v>2.2999999999999998</v>
      </c>
      <c r="Q78" s="496">
        <f>O78*P78</f>
        <v>4.5999999999999996</v>
      </c>
      <c r="R78" s="496">
        <f t="shared" ref="R78:R85" si="9">Q78</f>
        <v>4.5999999999999996</v>
      </c>
      <c r="S78" s="496"/>
      <c r="T78" s="496">
        <v>2</v>
      </c>
      <c r="U78" s="496">
        <v>2.2999999999999998</v>
      </c>
      <c r="V78" s="496">
        <f>T78*U78</f>
        <v>4.5999999999999996</v>
      </c>
      <c r="W78" s="496">
        <v>2</v>
      </c>
      <c r="X78" s="496">
        <v>2.2999999999999998</v>
      </c>
      <c r="Y78" s="496">
        <f>W78*X78</f>
        <v>4.5999999999999996</v>
      </c>
      <c r="Z78" s="493">
        <f t="shared" si="5"/>
        <v>4.5999999999999996</v>
      </c>
      <c r="AA78" s="493" t="str">
        <f t="shared" si="6"/>
        <v>-</v>
      </c>
      <c r="AB78" s="893" t="s">
        <v>1726</v>
      </c>
      <c r="AC78" s="491" t="s">
        <v>1665</v>
      </c>
      <c r="AF78" s="466"/>
      <c r="AG78" s="466"/>
      <c r="AH78" s="466"/>
    </row>
    <row r="79" spans="1:34" s="492" customFormat="1" ht="51" hidden="1" x14ac:dyDescent="0.2">
      <c r="A79" s="1240"/>
      <c r="B79" s="881" t="s">
        <v>1727</v>
      </c>
      <c r="C79" s="501"/>
      <c r="D79" s="1240"/>
      <c r="E79" s="962" t="s">
        <v>227</v>
      </c>
      <c r="F79" s="530"/>
      <c r="G79" s="531"/>
      <c r="H79" s="493"/>
      <c r="I79" s="493"/>
      <c r="J79" s="493"/>
      <c r="K79" s="493"/>
      <c r="L79" s="493"/>
      <c r="M79" s="493"/>
      <c r="N79" s="493"/>
      <c r="O79" s="496">
        <v>1</v>
      </c>
      <c r="P79" s="496">
        <v>3.5</v>
      </c>
      <c r="Q79" s="496">
        <f>O79*P79</f>
        <v>3.5</v>
      </c>
      <c r="R79" s="496">
        <f t="shared" si="9"/>
        <v>3.5</v>
      </c>
      <c r="S79" s="496"/>
      <c r="T79" s="496"/>
      <c r="U79" s="496"/>
      <c r="V79" s="496"/>
      <c r="W79" s="496"/>
      <c r="X79" s="496"/>
      <c r="Y79" s="496"/>
      <c r="Z79" s="493">
        <f t="shared" si="5"/>
        <v>3.5</v>
      </c>
      <c r="AA79" s="493" t="str">
        <f t="shared" si="6"/>
        <v>-</v>
      </c>
      <c r="AB79" s="893" t="s">
        <v>1728</v>
      </c>
      <c r="AC79" s="491" t="s">
        <v>1665</v>
      </c>
      <c r="AF79" s="466"/>
      <c r="AG79" s="466"/>
      <c r="AH79" s="466"/>
    </row>
    <row r="80" spans="1:34" s="492" customFormat="1" ht="14.25" hidden="1" x14ac:dyDescent="0.2">
      <c r="A80" s="1240"/>
      <c r="B80" s="881" t="s">
        <v>1729</v>
      </c>
      <c r="C80" s="501"/>
      <c r="D80" s="1240"/>
      <c r="E80" s="1240"/>
      <c r="F80" s="530"/>
      <c r="G80" s="531"/>
      <c r="H80" s="493"/>
      <c r="I80" s="493"/>
      <c r="J80" s="493"/>
      <c r="K80" s="493"/>
      <c r="L80" s="493"/>
      <c r="M80" s="493"/>
      <c r="N80" s="493"/>
      <c r="O80" s="496"/>
      <c r="P80" s="496"/>
      <c r="Q80" s="496">
        <f>SUM(Q78:Q79)*0.271</f>
        <v>2.2000000000000002</v>
      </c>
      <c r="R80" s="496">
        <f t="shared" si="9"/>
        <v>2.2000000000000002</v>
      </c>
      <c r="S80" s="496"/>
      <c r="T80" s="496"/>
      <c r="U80" s="496"/>
      <c r="V80" s="496">
        <f>SUM(V78)*0.271</f>
        <v>1.2</v>
      </c>
      <c r="W80" s="496"/>
      <c r="X80" s="496"/>
      <c r="Y80" s="496">
        <f>SUM(Y78)*0.271</f>
        <v>1.2</v>
      </c>
      <c r="Z80" s="493">
        <f t="shared" si="5"/>
        <v>2.2000000000000002</v>
      </c>
      <c r="AA80" s="493" t="str">
        <f t="shared" si="6"/>
        <v>-</v>
      </c>
      <c r="AB80" s="921"/>
      <c r="AC80" s="491" t="s">
        <v>1665</v>
      </c>
      <c r="AF80" s="466"/>
      <c r="AG80" s="466"/>
      <c r="AH80" s="466"/>
    </row>
    <row r="81" spans="1:34" s="2679" customFormat="1" ht="14.25" x14ac:dyDescent="0.2">
      <c r="A81" s="2672"/>
      <c r="B81" s="2673" t="s">
        <v>1730</v>
      </c>
      <c r="C81" s="2674" t="s">
        <v>797</v>
      </c>
      <c r="D81" s="2672"/>
      <c r="E81" s="2672" t="s">
        <v>318</v>
      </c>
      <c r="F81" s="530">
        <v>15</v>
      </c>
      <c r="G81" s="531">
        <v>2</v>
      </c>
      <c r="H81" s="493">
        <f>F81*G81</f>
        <v>30</v>
      </c>
      <c r="I81" s="532">
        <v>15</v>
      </c>
      <c r="J81" s="532">
        <v>2</v>
      </c>
      <c r="K81" s="532">
        <f>I81*J81</f>
        <v>30</v>
      </c>
      <c r="L81" s="532">
        <v>15</v>
      </c>
      <c r="M81" s="532">
        <v>2</v>
      </c>
      <c r="N81" s="532">
        <f>L81*M81-30+15</f>
        <v>15</v>
      </c>
      <c r="O81" s="2675">
        <v>15</v>
      </c>
      <c r="P81" s="2675">
        <v>2</v>
      </c>
      <c r="Q81" s="2675">
        <f>O81*P81-30+15</f>
        <v>15</v>
      </c>
      <c r="R81" s="2675">
        <f t="shared" si="9"/>
        <v>15</v>
      </c>
      <c r="S81" s="2675"/>
      <c r="T81" s="2675">
        <v>15</v>
      </c>
      <c r="U81" s="2675">
        <v>2</v>
      </c>
      <c r="V81" s="2675">
        <f>T81*U81-30+15</f>
        <v>15</v>
      </c>
      <c r="W81" s="2675">
        <v>15</v>
      </c>
      <c r="X81" s="2675">
        <v>2</v>
      </c>
      <c r="Y81" s="2675">
        <f>W81*X81-30+15</f>
        <v>15</v>
      </c>
      <c r="Z81" s="2676">
        <f t="shared" si="5"/>
        <v>-15</v>
      </c>
      <c r="AA81" s="2676">
        <f t="shared" si="6"/>
        <v>50</v>
      </c>
      <c r="AB81" s="2677"/>
      <c r="AC81" s="2678" t="s">
        <v>1665</v>
      </c>
      <c r="AF81" s="2680"/>
      <c r="AG81" s="2680"/>
      <c r="AH81" s="2680"/>
    </row>
    <row r="82" spans="1:34" s="492" customFormat="1" ht="25.5" x14ac:dyDescent="0.2">
      <c r="A82" s="1240"/>
      <c r="B82" s="876" t="s">
        <v>1731</v>
      </c>
      <c r="C82" s="501" t="s">
        <v>797</v>
      </c>
      <c r="D82" s="1240"/>
      <c r="E82" s="1240"/>
      <c r="F82" s="530"/>
      <c r="G82" s="531"/>
      <c r="H82" s="493">
        <f>H83</f>
        <v>5.8</v>
      </c>
      <c r="I82" s="532"/>
      <c r="J82" s="532"/>
      <c r="K82" s="532">
        <f>K83</f>
        <v>2.9</v>
      </c>
      <c r="L82" s="532"/>
      <c r="M82" s="532"/>
      <c r="N82" s="532">
        <f>N83</f>
        <v>2.9</v>
      </c>
      <c r="O82" s="532"/>
      <c r="P82" s="532"/>
      <c r="Q82" s="532">
        <f>Q83</f>
        <v>6</v>
      </c>
      <c r="R82" s="532">
        <f t="shared" si="9"/>
        <v>6</v>
      </c>
      <c r="S82" s="532"/>
      <c r="T82" s="532"/>
      <c r="U82" s="532"/>
      <c r="V82" s="532">
        <f>V83</f>
        <v>6</v>
      </c>
      <c r="W82" s="532"/>
      <c r="X82" s="532"/>
      <c r="Y82" s="532">
        <f>Y83</f>
        <v>6</v>
      </c>
      <c r="Z82" s="493">
        <f t="shared" si="5"/>
        <v>3.1</v>
      </c>
      <c r="AA82" s="493">
        <f t="shared" si="6"/>
        <v>206.9</v>
      </c>
      <c r="AB82" s="893"/>
      <c r="AC82" s="491" t="s">
        <v>1665</v>
      </c>
      <c r="AF82" s="466"/>
      <c r="AG82" s="466"/>
      <c r="AH82" s="466"/>
    </row>
    <row r="83" spans="1:34" s="498" customFormat="1" ht="51" hidden="1" x14ac:dyDescent="0.25">
      <c r="A83" s="962"/>
      <c r="B83" s="881" t="s">
        <v>1669</v>
      </c>
      <c r="C83" s="503"/>
      <c r="D83" s="962"/>
      <c r="E83" s="962" t="s">
        <v>227</v>
      </c>
      <c r="F83" s="494">
        <v>58</v>
      </c>
      <c r="G83" s="495">
        <v>0.1</v>
      </c>
      <c r="H83" s="1245">
        <f>F83*G83</f>
        <v>5.8</v>
      </c>
      <c r="I83" s="496">
        <v>58</v>
      </c>
      <c r="J83" s="862">
        <v>0.05</v>
      </c>
      <c r="K83" s="496">
        <f>I83*J83</f>
        <v>2.9</v>
      </c>
      <c r="L83" s="496">
        <v>58</v>
      </c>
      <c r="M83" s="862">
        <v>0.05</v>
      </c>
      <c r="N83" s="496">
        <f>L83*M83</f>
        <v>2.9</v>
      </c>
      <c r="O83" s="496">
        <v>30</v>
      </c>
      <c r="P83" s="857">
        <v>0.2</v>
      </c>
      <c r="Q83" s="496">
        <f>O83*P83</f>
        <v>6</v>
      </c>
      <c r="R83" s="496">
        <f t="shared" si="9"/>
        <v>6</v>
      </c>
      <c r="S83" s="496"/>
      <c r="T83" s="496">
        <v>30</v>
      </c>
      <c r="U83" s="857">
        <v>0.2</v>
      </c>
      <c r="V83" s="496">
        <f>T83*U83</f>
        <v>6</v>
      </c>
      <c r="W83" s="496">
        <v>30</v>
      </c>
      <c r="X83" s="857">
        <v>0.2</v>
      </c>
      <c r="Y83" s="496">
        <f>W83*X83</f>
        <v>6</v>
      </c>
      <c r="Z83" s="1245">
        <f t="shared" si="5"/>
        <v>3.1</v>
      </c>
      <c r="AA83" s="1245">
        <f t="shared" si="6"/>
        <v>206.9</v>
      </c>
      <c r="AB83" s="901" t="s">
        <v>1732</v>
      </c>
      <c r="AC83" s="491" t="s">
        <v>1665</v>
      </c>
      <c r="AF83" s="466"/>
      <c r="AG83" s="465"/>
      <c r="AH83" s="465"/>
    </row>
    <row r="84" spans="1:34" s="492" customFormat="1" ht="14.25" x14ac:dyDescent="0.2">
      <c r="A84" s="1240"/>
      <c r="B84" s="876" t="s">
        <v>1733</v>
      </c>
      <c r="C84" s="501" t="s">
        <v>797</v>
      </c>
      <c r="D84" s="1240"/>
      <c r="E84" s="1240"/>
      <c r="F84" s="530"/>
      <c r="G84" s="531"/>
      <c r="H84" s="493">
        <f>H85</f>
        <v>1.2</v>
      </c>
      <c r="I84" s="532"/>
      <c r="J84" s="532"/>
      <c r="K84" s="532">
        <f>K85</f>
        <v>0.6</v>
      </c>
      <c r="L84" s="532"/>
      <c r="M84" s="532"/>
      <c r="N84" s="532">
        <f>N85</f>
        <v>0.6</v>
      </c>
      <c r="O84" s="532"/>
      <c r="P84" s="532"/>
      <c r="Q84" s="532">
        <f>Q85</f>
        <v>1</v>
      </c>
      <c r="R84" s="532">
        <f t="shared" si="9"/>
        <v>1</v>
      </c>
      <c r="S84" s="532"/>
      <c r="T84" s="532"/>
      <c r="U84" s="532"/>
      <c r="V84" s="532">
        <f>V85</f>
        <v>1</v>
      </c>
      <c r="W84" s="532"/>
      <c r="X84" s="532"/>
      <c r="Y84" s="532">
        <f>Y85</f>
        <v>1</v>
      </c>
      <c r="Z84" s="493">
        <f t="shared" si="5"/>
        <v>0.4</v>
      </c>
      <c r="AA84" s="493">
        <f t="shared" si="6"/>
        <v>166.7</v>
      </c>
      <c r="AB84" s="893"/>
      <c r="AC84" s="491" t="s">
        <v>1665</v>
      </c>
      <c r="AF84" s="466"/>
      <c r="AG84" s="466"/>
      <c r="AH84" s="466"/>
    </row>
    <row r="85" spans="1:34" s="498" customFormat="1" ht="26.25" hidden="1" x14ac:dyDescent="0.25">
      <c r="A85" s="962"/>
      <c r="B85" s="502" t="s">
        <v>1734</v>
      </c>
      <c r="C85" s="503"/>
      <c r="D85" s="962"/>
      <c r="E85" s="962" t="s">
        <v>227</v>
      </c>
      <c r="F85" s="494">
        <v>12</v>
      </c>
      <c r="G85" s="495">
        <v>0.1</v>
      </c>
      <c r="H85" s="1245">
        <f>F85*G85</f>
        <v>1.2</v>
      </c>
      <c r="I85" s="496">
        <v>6</v>
      </c>
      <c r="J85" s="862">
        <v>0.1</v>
      </c>
      <c r="K85" s="496">
        <f>I85*J85</f>
        <v>0.6</v>
      </c>
      <c r="L85" s="496">
        <v>6</v>
      </c>
      <c r="M85" s="862">
        <v>0.1</v>
      </c>
      <c r="N85" s="496">
        <f>L85*M85</f>
        <v>0.6</v>
      </c>
      <c r="O85" s="496">
        <v>10</v>
      </c>
      <c r="P85" s="857">
        <v>0.1</v>
      </c>
      <c r="Q85" s="496">
        <f>O85*P85</f>
        <v>1</v>
      </c>
      <c r="R85" s="496">
        <f t="shared" si="9"/>
        <v>1</v>
      </c>
      <c r="S85" s="496"/>
      <c r="T85" s="496">
        <v>10</v>
      </c>
      <c r="U85" s="857">
        <v>0.1</v>
      </c>
      <c r="V85" s="496">
        <f>T85*U85</f>
        <v>1</v>
      </c>
      <c r="W85" s="496">
        <v>10</v>
      </c>
      <c r="X85" s="857">
        <v>0.1</v>
      </c>
      <c r="Y85" s="496">
        <f>W85*X85</f>
        <v>1</v>
      </c>
      <c r="Z85" s="1245">
        <f t="shared" si="5"/>
        <v>0.4</v>
      </c>
      <c r="AA85" s="1245">
        <f t="shared" si="6"/>
        <v>166.7</v>
      </c>
      <c r="AB85" s="893" t="s">
        <v>1735</v>
      </c>
      <c r="AC85" s="491" t="s">
        <v>1665</v>
      </c>
      <c r="AF85" s="466"/>
      <c r="AG85" s="465"/>
      <c r="AH85" s="465"/>
    </row>
    <row r="86" spans="1:34" s="871" customFormat="1" ht="25.5" hidden="1" x14ac:dyDescent="0.2">
      <c r="A86" s="869"/>
      <c r="B86" s="875" t="s">
        <v>1736</v>
      </c>
      <c r="C86" s="868"/>
      <c r="D86" s="869"/>
      <c r="E86" s="869"/>
      <c r="F86" s="879"/>
      <c r="G86" s="880"/>
      <c r="H86" s="681">
        <f>H87+H92+H97+H96+H98+H99</f>
        <v>162.19999999999999</v>
      </c>
      <c r="I86" s="681"/>
      <c r="J86" s="1843"/>
      <c r="K86" s="681">
        <f>K87+K92+K97+K96+K98+K99</f>
        <v>138.5</v>
      </c>
      <c r="L86" s="681"/>
      <c r="M86" s="1843"/>
      <c r="N86" s="681">
        <f>N87+N92+N97+N96+N98+N99</f>
        <v>153.5</v>
      </c>
      <c r="O86" s="681"/>
      <c r="P86" s="681"/>
      <c r="Q86" s="681">
        <f>Q87+Q92+Q97+Q96+Q98+Q99</f>
        <v>187.1</v>
      </c>
      <c r="R86" s="681">
        <f>R87+R92+R97+R96+R98+R99</f>
        <v>141.5</v>
      </c>
      <c r="S86" s="681">
        <f>S87+S92+S97+S96+S98+S99</f>
        <v>45.6</v>
      </c>
      <c r="T86" s="681"/>
      <c r="U86" s="681"/>
      <c r="V86" s="681">
        <f>V87+V92+V97+V96+V98+V99</f>
        <v>146.30000000000001</v>
      </c>
      <c r="W86" s="681"/>
      <c r="X86" s="681"/>
      <c r="Y86" s="681">
        <f>Y87+Y92+Y97+Y96+Y98+Y99</f>
        <v>146.30000000000001</v>
      </c>
      <c r="Z86" s="681">
        <f t="shared" si="5"/>
        <v>48.6</v>
      </c>
      <c r="AA86" s="681">
        <f t="shared" si="6"/>
        <v>135.1</v>
      </c>
      <c r="AB86" s="1842"/>
      <c r="AC86" s="491" t="s">
        <v>1665</v>
      </c>
      <c r="AF86" s="872"/>
      <c r="AG86" s="872"/>
      <c r="AH86" s="872"/>
    </row>
    <row r="87" spans="1:34" s="492" customFormat="1" ht="14.25" hidden="1" x14ac:dyDescent="0.2">
      <c r="A87" s="1240"/>
      <c r="B87" s="876" t="s">
        <v>1233</v>
      </c>
      <c r="C87" s="501" t="s">
        <v>1230</v>
      </c>
      <c r="D87" s="1240"/>
      <c r="E87" s="1240"/>
      <c r="F87" s="530"/>
      <c r="G87" s="531"/>
      <c r="H87" s="542">
        <f>SUM(H88:H91)</f>
        <v>10.3</v>
      </c>
      <c r="I87" s="532"/>
      <c r="J87" s="532"/>
      <c r="K87" s="533">
        <f>SUM(K88:K91)</f>
        <v>10.3</v>
      </c>
      <c r="L87" s="532"/>
      <c r="M87" s="532"/>
      <c r="N87" s="533">
        <f>SUM(N88:N91)</f>
        <v>10.3</v>
      </c>
      <c r="O87" s="532"/>
      <c r="P87" s="532"/>
      <c r="Q87" s="533">
        <f>SUM(Q88:Q91)</f>
        <v>17.7</v>
      </c>
      <c r="R87" s="533">
        <f t="shared" ref="R87:S87" si="10">SUM(R88:R91)</f>
        <v>17.7</v>
      </c>
      <c r="S87" s="533">
        <f t="shared" si="10"/>
        <v>0</v>
      </c>
      <c r="T87" s="532"/>
      <c r="U87" s="532"/>
      <c r="V87" s="533">
        <f>SUM(V88:V91)</f>
        <v>16.100000000000001</v>
      </c>
      <c r="W87" s="532"/>
      <c r="X87" s="532"/>
      <c r="Y87" s="533">
        <f>SUM(Y88:Y91)</f>
        <v>16.100000000000001</v>
      </c>
      <c r="Z87" s="542">
        <f t="shared" si="5"/>
        <v>7.4</v>
      </c>
      <c r="AA87" s="542">
        <f t="shared" si="6"/>
        <v>171.8</v>
      </c>
      <c r="AB87" s="893"/>
      <c r="AC87" s="491" t="s">
        <v>1665</v>
      </c>
      <c r="AF87" s="466"/>
      <c r="AG87" s="466"/>
      <c r="AH87" s="466"/>
    </row>
    <row r="88" spans="1:34" s="498" customFormat="1" hidden="1" x14ac:dyDescent="0.25">
      <c r="A88" s="962"/>
      <c r="B88" s="881" t="s">
        <v>1737</v>
      </c>
      <c r="C88" s="503"/>
      <c r="D88" s="962"/>
      <c r="E88" s="962" t="s">
        <v>318</v>
      </c>
      <c r="F88" s="494">
        <v>1</v>
      </c>
      <c r="G88" s="495">
        <v>3.5</v>
      </c>
      <c r="H88" s="559">
        <f>F88*G88</f>
        <v>3.5</v>
      </c>
      <c r="I88" s="496">
        <v>1</v>
      </c>
      <c r="J88" s="496">
        <v>3.5</v>
      </c>
      <c r="K88" s="857">
        <f>I88*J88</f>
        <v>3.5</v>
      </c>
      <c r="L88" s="496">
        <v>1</v>
      </c>
      <c r="M88" s="496">
        <v>3.5</v>
      </c>
      <c r="N88" s="857">
        <f>L88*M88</f>
        <v>3.5</v>
      </c>
      <c r="O88" s="496">
        <v>1</v>
      </c>
      <c r="P88" s="496">
        <v>3.5</v>
      </c>
      <c r="Q88" s="857">
        <f>O88*P88</f>
        <v>3.5</v>
      </c>
      <c r="R88" s="857">
        <f>Q88</f>
        <v>3.5</v>
      </c>
      <c r="S88" s="857"/>
      <c r="T88" s="496">
        <v>1</v>
      </c>
      <c r="U88" s="496">
        <v>3.5</v>
      </c>
      <c r="V88" s="857">
        <f>T88*U88</f>
        <v>3.5</v>
      </c>
      <c r="W88" s="496">
        <v>1</v>
      </c>
      <c r="X88" s="496">
        <v>3.5</v>
      </c>
      <c r="Y88" s="857">
        <f>W88*X88</f>
        <v>3.5</v>
      </c>
      <c r="Z88" s="559">
        <f t="shared" si="5"/>
        <v>0</v>
      </c>
      <c r="AA88" s="559">
        <f t="shared" si="6"/>
        <v>100</v>
      </c>
      <c r="AB88" s="893"/>
      <c r="AC88" s="491" t="s">
        <v>1665</v>
      </c>
      <c r="AF88" s="466"/>
      <c r="AG88" s="465"/>
      <c r="AH88" s="465"/>
    </row>
    <row r="89" spans="1:34" s="498" customFormat="1" ht="51.75" hidden="1" x14ac:dyDescent="0.25">
      <c r="A89" s="962"/>
      <c r="B89" s="881" t="s">
        <v>1738</v>
      </c>
      <c r="C89" s="503"/>
      <c r="D89" s="962"/>
      <c r="E89" s="962" t="s">
        <v>318</v>
      </c>
      <c r="F89" s="494"/>
      <c r="G89" s="495"/>
      <c r="H89" s="559"/>
      <c r="I89" s="496"/>
      <c r="J89" s="496"/>
      <c r="K89" s="857"/>
      <c r="L89" s="496"/>
      <c r="M89" s="496"/>
      <c r="N89" s="857"/>
      <c r="O89" s="496">
        <v>1</v>
      </c>
      <c r="P89" s="496">
        <v>5.8</v>
      </c>
      <c r="Q89" s="857">
        <f>O89*P89</f>
        <v>5.8</v>
      </c>
      <c r="R89" s="857">
        <f>Q89</f>
        <v>5.8</v>
      </c>
      <c r="S89" s="857"/>
      <c r="T89" s="496">
        <v>1</v>
      </c>
      <c r="U89" s="496">
        <v>4.5999999999999996</v>
      </c>
      <c r="V89" s="857">
        <f>T89*U89</f>
        <v>4.5999999999999996</v>
      </c>
      <c r="W89" s="496">
        <v>1</v>
      </c>
      <c r="X89" s="496">
        <v>4.5999999999999996</v>
      </c>
      <c r="Y89" s="857">
        <f>W89*X89</f>
        <v>4.5999999999999996</v>
      </c>
      <c r="Z89" s="559">
        <f t="shared" si="5"/>
        <v>5.8</v>
      </c>
      <c r="AA89" s="559" t="str">
        <f t="shared" si="6"/>
        <v>-</v>
      </c>
      <c r="AB89" s="893" t="s">
        <v>1739</v>
      </c>
      <c r="AC89" s="491" t="s">
        <v>1665</v>
      </c>
      <c r="AF89" s="466"/>
      <c r="AG89" s="465"/>
      <c r="AH89" s="465"/>
    </row>
    <row r="90" spans="1:34" s="498" customFormat="1" hidden="1" x14ac:dyDescent="0.25">
      <c r="A90" s="962"/>
      <c r="B90" s="881" t="s">
        <v>1740</v>
      </c>
      <c r="C90" s="503"/>
      <c r="D90" s="962"/>
      <c r="E90" s="962" t="s">
        <v>318</v>
      </c>
      <c r="F90" s="494">
        <v>2</v>
      </c>
      <c r="G90" s="495">
        <v>2.2999999999999998</v>
      </c>
      <c r="H90" s="559">
        <f>F90*G90</f>
        <v>4.5999999999999996</v>
      </c>
      <c r="I90" s="496">
        <v>2</v>
      </c>
      <c r="J90" s="496">
        <v>2.2999999999999998</v>
      </c>
      <c r="K90" s="857">
        <f>I90*J90</f>
        <v>4.5999999999999996</v>
      </c>
      <c r="L90" s="496">
        <v>2</v>
      </c>
      <c r="M90" s="496">
        <v>2.2999999999999998</v>
      </c>
      <c r="N90" s="857">
        <f>L90*M90</f>
        <v>4.5999999999999996</v>
      </c>
      <c r="O90" s="496">
        <v>2</v>
      </c>
      <c r="P90" s="496">
        <v>2.2999999999999998</v>
      </c>
      <c r="Q90" s="857">
        <f>O90*P90</f>
        <v>4.5999999999999996</v>
      </c>
      <c r="R90" s="857">
        <f>Q90</f>
        <v>4.5999999999999996</v>
      </c>
      <c r="S90" s="857"/>
      <c r="T90" s="496">
        <v>2</v>
      </c>
      <c r="U90" s="496">
        <v>2.2999999999999998</v>
      </c>
      <c r="V90" s="857">
        <f>T90*U90</f>
        <v>4.5999999999999996</v>
      </c>
      <c r="W90" s="496">
        <v>2</v>
      </c>
      <c r="X90" s="496">
        <v>2.2999999999999998</v>
      </c>
      <c r="Y90" s="857">
        <f>W90*X90</f>
        <v>4.5999999999999996</v>
      </c>
      <c r="Z90" s="559">
        <f t="shared" si="5"/>
        <v>0</v>
      </c>
      <c r="AA90" s="559">
        <f t="shared" si="6"/>
        <v>100</v>
      </c>
      <c r="AB90" s="893"/>
      <c r="AC90" s="491" t="s">
        <v>1665</v>
      </c>
      <c r="AF90" s="466"/>
      <c r="AG90" s="465"/>
      <c r="AH90" s="465"/>
    </row>
    <row r="91" spans="1:34" s="498" customFormat="1" hidden="1" x14ac:dyDescent="0.25">
      <c r="A91" s="962"/>
      <c r="B91" s="881" t="s">
        <v>1729</v>
      </c>
      <c r="C91" s="503"/>
      <c r="D91" s="962"/>
      <c r="E91" s="962"/>
      <c r="F91" s="494"/>
      <c r="G91" s="495"/>
      <c r="H91" s="1245">
        <f>SUM(H88:H90)*0.271</f>
        <v>2.2000000000000002</v>
      </c>
      <c r="I91" s="496"/>
      <c r="J91" s="496"/>
      <c r="K91" s="496">
        <f>SUM(K88:K90)*0.271</f>
        <v>2.2000000000000002</v>
      </c>
      <c r="L91" s="496"/>
      <c r="M91" s="496"/>
      <c r="N91" s="496">
        <f>SUM(N88:N90)*0.271</f>
        <v>2.2000000000000002</v>
      </c>
      <c r="O91" s="496"/>
      <c r="P91" s="496"/>
      <c r="Q91" s="496">
        <f>SUM(Q88:Q90)*0.271</f>
        <v>3.8</v>
      </c>
      <c r="R91" s="496">
        <f t="shared" ref="R91:S91" si="11">SUM(R88:R90)*0.271</f>
        <v>3.8</v>
      </c>
      <c r="S91" s="496">
        <f t="shared" si="11"/>
        <v>0</v>
      </c>
      <c r="T91" s="496"/>
      <c r="U91" s="496"/>
      <c r="V91" s="496">
        <f>SUM(V88:V90)*0.271</f>
        <v>3.4</v>
      </c>
      <c r="W91" s="496"/>
      <c r="X91" s="496"/>
      <c r="Y91" s="496">
        <f>SUM(Y88:Y90)*0.271</f>
        <v>3.4</v>
      </c>
      <c r="Z91" s="1245">
        <f t="shared" si="5"/>
        <v>1.6</v>
      </c>
      <c r="AA91" s="1245">
        <f t="shared" si="6"/>
        <v>172.7</v>
      </c>
      <c r="AB91" s="921"/>
      <c r="AC91" s="491" t="s">
        <v>1665</v>
      </c>
      <c r="AF91" s="466"/>
      <c r="AG91" s="465"/>
      <c r="AH91" s="465"/>
    </row>
    <row r="92" spans="1:34" s="492" customFormat="1" ht="14.25" x14ac:dyDescent="0.2">
      <c r="A92" s="1240"/>
      <c r="B92" s="876" t="s">
        <v>1741</v>
      </c>
      <c r="C92" s="501" t="s">
        <v>797</v>
      </c>
      <c r="D92" s="1240"/>
      <c r="E92" s="1240"/>
      <c r="F92" s="530"/>
      <c r="G92" s="531"/>
      <c r="H92" s="542">
        <f>SUM(H93:H95)</f>
        <v>4.4000000000000004</v>
      </c>
      <c r="I92" s="532"/>
      <c r="J92" s="532"/>
      <c r="K92" s="533">
        <f>SUM(K93:K95)</f>
        <v>1.2</v>
      </c>
      <c r="L92" s="532"/>
      <c r="M92" s="532"/>
      <c r="N92" s="533">
        <f>SUM(N93:N95)</f>
        <v>1.2</v>
      </c>
      <c r="O92" s="532"/>
      <c r="P92" s="532"/>
      <c r="Q92" s="533">
        <f>SUM(Q93:Q95)</f>
        <v>22.2</v>
      </c>
      <c r="R92" s="533">
        <f>SUM(R93:R95)</f>
        <v>0</v>
      </c>
      <c r="S92" s="533">
        <f>SUM(S93:S95)</f>
        <v>22.2</v>
      </c>
      <c r="T92" s="532"/>
      <c r="U92" s="532"/>
      <c r="V92" s="533">
        <f>SUM(V93:V95)</f>
        <v>4.2</v>
      </c>
      <c r="W92" s="532"/>
      <c r="X92" s="532"/>
      <c r="Y92" s="533">
        <f>SUM(Y93:Y95)</f>
        <v>4.2</v>
      </c>
      <c r="Z92" s="542">
        <f t="shared" si="5"/>
        <v>21</v>
      </c>
      <c r="AA92" s="542">
        <f t="shared" si="6"/>
        <v>1850</v>
      </c>
      <c r="AB92" s="921"/>
      <c r="AC92" s="491" t="s">
        <v>1665</v>
      </c>
      <c r="AF92" s="466"/>
      <c r="AG92" s="466"/>
      <c r="AH92" s="466"/>
    </row>
    <row r="93" spans="1:34" s="498" customFormat="1" hidden="1" x14ac:dyDescent="0.25">
      <c r="A93" s="962"/>
      <c r="B93" s="502" t="s">
        <v>1742</v>
      </c>
      <c r="C93" s="499"/>
      <c r="D93" s="962"/>
      <c r="E93" s="962" t="s">
        <v>227</v>
      </c>
      <c r="F93" s="494">
        <v>26</v>
      </c>
      <c r="G93" s="495">
        <v>0.1</v>
      </c>
      <c r="H93" s="559">
        <f>F93*G93</f>
        <v>2.6</v>
      </c>
      <c r="I93" s="496">
        <v>12</v>
      </c>
      <c r="J93" s="862">
        <v>0.1</v>
      </c>
      <c r="K93" s="857">
        <f>I93*J93</f>
        <v>1.2</v>
      </c>
      <c r="L93" s="496">
        <v>12</v>
      </c>
      <c r="M93" s="862">
        <v>0.1</v>
      </c>
      <c r="N93" s="857">
        <f>L93*M93</f>
        <v>1.2</v>
      </c>
      <c r="O93" s="496">
        <v>10</v>
      </c>
      <c r="P93" s="857">
        <v>0.1</v>
      </c>
      <c r="Q93" s="857">
        <f>O93*P93</f>
        <v>1</v>
      </c>
      <c r="R93" s="857"/>
      <c r="S93" s="857">
        <v>1</v>
      </c>
      <c r="T93" s="496">
        <v>10</v>
      </c>
      <c r="U93" s="857">
        <v>0.1</v>
      </c>
      <c r="V93" s="857">
        <f t="shared" ref="V93:V98" si="12">T93*U93</f>
        <v>1</v>
      </c>
      <c r="W93" s="496">
        <v>10</v>
      </c>
      <c r="X93" s="857">
        <v>0.1</v>
      </c>
      <c r="Y93" s="857">
        <f t="shared" ref="Y93:Y98" si="13">W93*X93</f>
        <v>1</v>
      </c>
      <c r="Z93" s="559">
        <f t="shared" si="5"/>
        <v>-0.2</v>
      </c>
      <c r="AA93" s="559">
        <f t="shared" si="6"/>
        <v>83.3</v>
      </c>
      <c r="AB93" s="893"/>
      <c r="AC93" s="491" t="s">
        <v>1665</v>
      </c>
      <c r="AF93" s="466"/>
      <c r="AG93" s="465"/>
      <c r="AH93" s="465"/>
    </row>
    <row r="94" spans="1:34" s="498" customFormat="1" ht="39" hidden="1" x14ac:dyDescent="0.25">
      <c r="A94" s="962"/>
      <c r="B94" s="502" t="s">
        <v>1743</v>
      </c>
      <c r="C94" s="499"/>
      <c r="D94" s="962"/>
      <c r="E94" s="962" t="s">
        <v>1238</v>
      </c>
      <c r="F94" s="494"/>
      <c r="G94" s="495"/>
      <c r="H94" s="559"/>
      <c r="I94" s="496"/>
      <c r="J94" s="862"/>
      <c r="K94" s="857"/>
      <c r="L94" s="496"/>
      <c r="M94" s="862"/>
      <c r="N94" s="857"/>
      <c r="O94" s="496">
        <v>20</v>
      </c>
      <c r="P94" s="857">
        <v>0.9</v>
      </c>
      <c r="Q94" s="857">
        <f>O94*P94</f>
        <v>18</v>
      </c>
      <c r="R94" s="857"/>
      <c r="S94" s="857">
        <f>Q94-R94</f>
        <v>18</v>
      </c>
      <c r="T94" s="496"/>
      <c r="U94" s="857"/>
      <c r="V94" s="857">
        <f t="shared" si="12"/>
        <v>0</v>
      </c>
      <c r="W94" s="496"/>
      <c r="X94" s="857"/>
      <c r="Y94" s="857">
        <f t="shared" si="13"/>
        <v>0</v>
      </c>
      <c r="Z94" s="559">
        <f t="shared" si="5"/>
        <v>18</v>
      </c>
      <c r="AA94" s="559" t="str">
        <f t="shared" si="6"/>
        <v>-</v>
      </c>
      <c r="AB94" s="1844" t="s">
        <v>1744</v>
      </c>
      <c r="AC94" s="491" t="s">
        <v>1665</v>
      </c>
      <c r="AF94" s="466"/>
      <c r="AG94" s="465"/>
      <c r="AH94" s="465"/>
    </row>
    <row r="95" spans="1:34" s="498" customFormat="1" hidden="1" x14ac:dyDescent="0.25">
      <c r="A95" s="962"/>
      <c r="B95" s="878" t="s">
        <v>1692</v>
      </c>
      <c r="C95" s="499"/>
      <c r="D95" s="962"/>
      <c r="E95" s="962" t="s">
        <v>227</v>
      </c>
      <c r="F95" s="494">
        <v>6</v>
      </c>
      <c r="G95" s="495">
        <v>0.3</v>
      </c>
      <c r="H95" s="559">
        <f>F95*G95</f>
        <v>1.8</v>
      </c>
      <c r="I95" s="496"/>
      <c r="J95" s="496"/>
      <c r="K95" s="857">
        <f>I95*J95</f>
        <v>0</v>
      </c>
      <c r="L95" s="496"/>
      <c r="M95" s="496"/>
      <c r="N95" s="857">
        <f>L95*M95</f>
        <v>0</v>
      </c>
      <c r="O95" s="496">
        <v>8</v>
      </c>
      <c r="P95" s="496">
        <v>0.4</v>
      </c>
      <c r="Q95" s="857">
        <f>O95*P95</f>
        <v>3.2</v>
      </c>
      <c r="R95" s="857"/>
      <c r="S95" s="857">
        <f>Q95</f>
        <v>3.2</v>
      </c>
      <c r="T95" s="496">
        <v>8</v>
      </c>
      <c r="U95" s="496">
        <v>0.4</v>
      </c>
      <c r="V95" s="857">
        <f t="shared" si="12"/>
        <v>3.2</v>
      </c>
      <c r="W95" s="496">
        <v>8</v>
      </c>
      <c r="X95" s="496">
        <v>0.4</v>
      </c>
      <c r="Y95" s="857">
        <f t="shared" si="13"/>
        <v>3.2</v>
      </c>
      <c r="Z95" s="559">
        <f t="shared" si="5"/>
        <v>3.2</v>
      </c>
      <c r="AA95" s="559" t="str">
        <f t="shared" si="6"/>
        <v>-</v>
      </c>
      <c r="AB95" s="1845"/>
      <c r="AC95" s="491" t="s">
        <v>1665</v>
      </c>
      <c r="AF95" s="466"/>
      <c r="AG95" s="465"/>
      <c r="AH95" s="465"/>
    </row>
    <row r="96" spans="1:34" s="492" customFormat="1" ht="38.25" hidden="1" x14ac:dyDescent="0.2">
      <c r="A96" s="1240"/>
      <c r="B96" s="877" t="s">
        <v>1745</v>
      </c>
      <c r="C96" s="508" t="s">
        <v>796</v>
      </c>
      <c r="D96" s="1240"/>
      <c r="E96" s="1240" t="s">
        <v>1235</v>
      </c>
      <c r="F96" s="530">
        <v>12</v>
      </c>
      <c r="G96" s="1846">
        <v>0.5</v>
      </c>
      <c r="H96" s="542">
        <f>F96*G96</f>
        <v>6</v>
      </c>
      <c r="I96" s="532">
        <v>15</v>
      </c>
      <c r="J96" s="1847">
        <v>0.4</v>
      </c>
      <c r="K96" s="533">
        <f>I96*J96</f>
        <v>6</v>
      </c>
      <c r="L96" s="532">
        <v>15</v>
      </c>
      <c r="M96" s="1847">
        <v>0.4</v>
      </c>
      <c r="N96" s="533">
        <f>L96*M96</f>
        <v>6</v>
      </c>
      <c r="O96" s="532"/>
      <c r="P96" s="1847"/>
      <c r="Q96" s="533"/>
      <c r="R96" s="533"/>
      <c r="S96" s="533"/>
      <c r="T96" s="532"/>
      <c r="U96" s="1847"/>
      <c r="V96" s="533"/>
      <c r="W96" s="532"/>
      <c r="X96" s="1847"/>
      <c r="Y96" s="533"/>
      <c r="Z96" s="542">
        <f t="shared" si="5"/>
        <v>-6</v>
      </c>
      <c r="AA96" s="542">
        <f t="shared" si="6"/>
        <v>0</v>
      </c>
      <c r="AB96" s="893" t="s">
        <v>1746</v>
      </c>
      <c r="AC96" s="491" t="s">
        <v>1665</v>
      </c>
      <c r="AF96" s="466"/>
      <c r="AG96" s="466"/>
      <c r="AH96" s="466"/>
    </row>
    <row r="97" spans="1:34" s="492" customFormat="1" ht="14.25" hidden="1" x14ac:dyDescent="0.2">
      <c r="A97" s="1240"/>
      <c r="B97" s="876" t="s">
        <v>1246</v>
      </c>
      <c r="C97" s="501" t="s">
        <v>1237</v>
      </c>
      <c r="D97" s="1240"/>
      <c r="E97" s="1240" t="s">
        <v>664</v>
      </c>
      <c r="F97" s="1848">
        <v>2</v>
      </c>
      <c r="G97" s="1830">
        <v>2.5</v>
      </c>
      <c r="H97" s="542">
        <f>F97*G97</f>
        <v>5</v>
      </c>
      <c r="I97" s="1849">
        <v>2</v>
      </c>
      <c r="J97" s="1831">
        <v>2.5</v>
      </c>
      <c r="K97" s="533">
        <f>I97*J97</f>
        <v>5</v>
      </c>
      <c r="L97" s="1849">
        <v>2</v>
      </c>
      <c r="M97" s="1831">
        <v>2.5</v>
      </c>
      <c r="N97" s="533">
        <f>L97*M97</f>
        <v>5</v>
      </c>
      <c r="O97" s="1849">
        <v>2</v>
      </c>
      <c r="P97" s="1831">
        <v>2.5</v>
      </c>
      <c r="Q97" s="533">
        <f>O97*P97</f>
        <v>5</v>
      </c>
      <c r="R97" s="533">
        <f>Q97</f>
        <v>5</v>
      </c>
      <c r="S97" s="533"/>
      <c r="T97" s="1849">
        <v>2</v>
      </c>
      <c r="U97" s="1831">
        <v>2.5</v>
      </c>
      <c r="V97" s="533">
        <f t="shared" si="12"/>
        <v>5</v>
      </c>
      <c r="W97" s="1849">
        <v>2</v>
      </c>
      <c r="X97" s="1831">
        <v>2.5</v>
      </c>
      <c r="Y97" s="533">
        <f t="shared" si="13"/>
        <v>5</v>
      </c>
      <c r="Z97" s="542">
        <f t="shared" si="5"/>
        <v>0</v>
      </c>
      <c r="AA97" s="542">
        <f t="shared" si="6"/>
        <v>100</v>
      </c>
      <c r="AB97" s="893"/>
      <c r="AC97" s="491" t="s">
        <v>1665</v>
      </c>
      <c r="AF97" s="466"/>
      <c r="AG97" s="466"/>
      <c r="AH97" s="466"/>
    </row>
    <row r="98" spans="1:34" s="2679" customFormat="1" ht="14.25" x14ac:dyDescent="0.2">
      <c r="A98" s="2672"/>
      <c r="B98" s="2673" t="s">
        <v>1367</v>
      </c>
      <c r="C98" s="2674" t="s">
        <v>797</v>
      </c>
      <c r="D98" s="2672"/>
      <c r="E98" s="2672" t="s">
        <v>227</v>
      </c>
      <c r="F98" s="1848">
        <v>3</v>
      </c>
      <c r="G98" s="1830">
        <v>35</v>
      </c>
      <c r="H98" s="542">
        <f>F98*G98</f>
        <v>105</v>
      </c>
      <c r="I98" s="1849">
        <v>3</v>
      </c>
      <c r="J98" s="1831">
        <v>35</v>
      </c>
      <c r="K98" s="533">
        <f>I98*J98</f>
        <v>105</v>
      </c>
      <c r="L98" s="1849">
        <v>3</v>
      </c>
      <c r="M98" s="1831">
        <v>35</v>
      </c>
      <c r="N98" s="533">
        <f>L98*M98</f>
        <v>105</v>
      </c>
      <c r="O98" s="2681">
        <v>3</v>
      </c>
      <c r="P98" s="2682">
        <v>35</v>
      </c>
      <c r="Q98" s="2683">
        <f>O98*P98</f>
        <v>105</v>
      </c>
      <c r="R98" s="2683">
        <f>Q98</f>
        <v>105</v>
      </c>
      <c r="S98" s="2683"/>
      <c r="T98" s="2681">
        <v>3</v>
      </c>
      <c r="U98" s="2682">
        <v>35</v>
      </c>
      <c r="V98" s="2683">
        <f t="shared" si="12"/>
        <v>105</v>
      </c>
      <c r="W98" s="2681">
        <v>3</v>
      </c>
      <c r="X98" s="2682">
        <v>35</v>
      </c>
      <c r="Y98" s="2683">
        <f t="shared" si="13"/>
        <v>105</v>
      </c>
      <c r="Z98" s="2684">
        <f t="shared" si="5"/>
        <v>0</v>
      </c>
      <c r="AA98" s="2684">
        <f t="shared" si="6"/>
        <v>100</v>
      </c>
      <c r="AB98" s="2677"/>
      <c r="AC98" s="2678" t="s">
        <v>1665</v>
      </c>
      <c r="AF98" s="2680"/>
      <c r="AG98" s="2680"/>
      <c r="AH98" s="2680"/>
    </row>
    <row r="99" spans="1:34" s="492" customFormat="1" ht="25.5" x14ac:dyDescent="0.2">
      <c r="A99" s="1240"/>
      <c r="B99" s="877" t="s">
        <v>1747</v>
      </c>
      <c r="C99" s="508" t="s">
        <v>797</v>
      </c>
      <c r="D99" s="1240"/>
      <c r="E99" s="1240"/>
      <c r="F99" s="1848"/>
      <c r="G99" s="1830"/>
      <c r="H99" s="493">
        <f>H100+H103</f>
        <v>31.5</v>
      </c>
      <c r="I99" s="1849"/>
      <c r="J99" s="1831"/>
      <c r="K99" s="532">
        <f>K100+K103</f>
        <v>11</v>
      </c>
      <c r="L99" s="1849"/>
      <c r="M99" s="1831"/>
      <c r="N99" s="532">
        <f>N100+N103</f>
        <v>26</v>
      </c>
      <c r="O99" s="1849"/>
      <c r="P99" s="1831"/>
      <c r="Q99" s="532">
        <f>SUM(Q100:Q103)</f>
        <v>37.200000000000003</v>
      </c>
      <c r="R99" s="532">
        <f t="shared" ref="R99:S99" si="14">SUM(R100:R103)</f>
        <v>13.8</v>
      </c>
      <c r="S99" s="532">
        <f t="shared" si="14"/>
        <v>23.4</v>
      </c>
      <c r="T99" s="1849"/>
      <c r="U99" s="1831"/>
      <c r="V99" s="532">
        <f>SUM(V100:V103)</f>
        <v>16</v>
      </c>
      <c r="W99" s="1849"/>
      <c r="X99" s="1831"/>
      <c r="Y99" s="532">
        <f>SUM(Y100:Y103)</f>
        <v>16</v>
      </c>
      <c r="Z99" s="493">
        <f t="shared" si="5"/>
        <v>26.2</v>
      </c>
      <c r="AA99" s="493">
        <f t="shared" si="6"/>
        <v>338.2</v>
      </c>
      <c r="AB99" s="921"/>
      <c r="AC99" s="491" t="s">
        <v>1665</v>
      </c>
      <c r="AF99" s="466"/>
      <c r="AG99" s="466"/>
      <c r="AH99" s="466"/>
    </row>
    <row r="100" spans="1:34" s="498" customFormat="1" hidden="1" x14ac:dyDescent="0.25">
      <c r="A100" s="962"/>
      <c r="B100" s="1850" t="s">
        <v>1748</v>
      </c>
      <c r="C100" s="499"/>
      <c r="D100" s="962"/>
      <c r="E100" s="962" t="s">
        <v>227</v>
      </c>
      <c r="F100" s="494">
        <v>210</v>
      </c>
      <c r="G100" s="495">
        <v>0.12</v>
      </c>
      <c r="H100" s="1851">
        <f>F100*G100</f>
        <v>25.2</v>
      </c>
      <c r="I100" s="496">
        <v>220</v>
      </c>
      <c r="J100" s="883">
        <v>0.05</v>
      </c>
      <c r="K100" s="1852">
        <f>I100*J100</f>
        <v>11</v>
      </c>
      <c r="L100" s="496">
        <v>220</v>
      </c>
      <c r="M100" s="883">
        <v>0.05</v>
      </c>
      <c r="N100" s="1852">
        <f>L100*M100</f>
        <v>11</v>
      </c>
      <c r="O100" s="496"/>
      <c r="P100" s="496"/>
      <c r="Q100" s="1852"/>
      <c r="R100" s="1852"/>
      <c r="S100" s="1852"/>
      <c r="T100" s="496"/>
      <c r="U100" s="496"/>
      <c r="V100" s="1852"/>
      <c r="W100" s="496"/>
      <c r="X100" s="496"/>
      <c r="Y100" s="1852"/>
      <c r="Z100" s="1851">
        <f t="shared" si="5"/>
        <v>-11</v>
      </c>
      <c r="AA100" s="1851">
        <f t="shared" si="6"/>
        <v>0</v>
      </c>
      <c r="AB100" s="893"/>
      <c r="AC100" s="491" t="s">
        <v>1665</v>
      </c>
      <c r="AF100" s="466"/>
      <c r="AG100" s="465"/>
      <c r="AH100" s="465"/>
    </row>
    <row r="101" spans="1:34" s="498" customFormat="1" ht="25.5" hidden="1" x14ac:dyDescent="0.25">
      <c r="A101" s="962"/>
      <c r="B101" s="1850" t="s">
        <v>1689</v>
      </c>
      <c r="C101" s="499"/>
      <c r="D101" s="962"/>
      <c r="E101" s="541" t="s">
        <v>1238</v>
      </c>
      <c r="F101" s="494"/>
      <c r="G101" s="495"/>
      <c r="H101" s="1851"/>
      <c r="I101" s="496"/>
      <c r="J101" s="883"/>
      <c r="K101" s="1852"/>
      <c r="L101" s="496"/>
      <c r="M101" s="883"/>
      <c r="N101" s="1852"/>
      <c r="O101" s="496">
        <v>4</v>
      </c>
      <c r="P101" s="496">
        <v>2</v>
      </c>
      <c r="Q101" s="1852">
        <f>O101*P101</f>
        <v>8</v>
      </c>
      <c r="R101" s="1852"/>
      <c r="S101" s="1852">
        <f>Q101</f>
        <v>8</v>
      </c>
      <c r="T101" s="496">
        <v>4</v>
      </c>
      <c r="U101" s="496">
        <v>2</v>
      </c>
      <c r="V101" s="1852"/>
      <c r="W101" s="496">
        <v>4</v>
      </c>
      <c r="X101" s="496">
        <v>2</v>
      </c>
      <c r="Y101" s="1852"/>
      <c r="Z101" s="1851">
        <f t="shared" si="5"/>
        <v>8</v>
      </c>
      <c r="AA101" s="1851" t="str">
        <f t="shared" si="6"/>
        <v>-</v>
      </c>
      <c r="AB101" s="1853" t="s">
        <v>1749</v>
      </c>
      <c r="AC101" s="491" t="s">
        <v>1665</v>
      </c>
      <c r="AF101" s="466"/>
      <c r="AG101" s="465"/>
      <c r="AH101" s="465"/>
    </row>
    <row r="102" spans="1:34" s="498" customFormat="1" hidden="1" x14ac:dyDescent="0.25">
      <c r="A102" s="962"/>
      <c r="B102" s="1850" t="s">
        <v>1750</v>
      </c>
      <c r="C102" s="499"/>
      <c r="D102" s="962"/>
      <c r="E102" s="541" t="s">
        <v>1238</v>
      </c>
      <c r="F102" s="494"/>
      <c r="G102" s="495"/>
      <c r="H102" s="1851"/>
      <c r="I102" s="496"/>
      <c r="J102" s="883"/>
      <c r="K102" s="1852"/>
      <c r="L102" s="496"/>
      <c r="M102" s="883"/>
      <c r="N102" s="1852"/>
      <c r="O102" s="496">
        <v>6</v>
      </c>
      <c r="P102" s="496">
        <v>2.2000000000000002</v>
      </c>
      <c r="Q102" s="1852">
        <f>O102*P102</f>
        <v>13.2</v>
      </c>
      <c r="R102" s="1852"/>
      <c r="S102" s="1852">
        <f>Q102</f>
        <v>13.2</v>
      </c>
      <c r="T102" s="496"/>
      <c r="U102" s="496"/>
      <c r="V102" s="1852"/>
      <c r="W102" s="496"/>
      <c r="X102" s="496"/>
      <c r="Y102" s="1852"/>
      <c r="Z102" s="1851">
        <f t="shared" si="5"/>
        <v>13.2</v>
      </c>
      <c r="AA102" s="1851" t="str">
        <f t="shared" si="6"/>
        <v>-</v>
      </c>
      <c r="AB102" s="1854"/>
      <c r="AC102" s="491" t="s">
        <v>1665</v>
      </c>
      <c r="AF102" s="466"/>
      <c r="AG102" s="465"/>
      <c r="AH102" s="465"/>
    </row>
    <row r="103" spans="1:34" s="498" customFormat="1" ht="64.5" hidden="1" x14ac:dyDescent="0.25">
      <c r="A103" s="962"/>
      <c r="B103" s="1855" t="s">
        <v>1751</v>
      </c>
      <c r="C103" s="499"/>
      <c r="D103" s="962"/>
      <c r="E103" s="962" t="s">
        <v>1240</v>
      </c>
      <c r="F103" s="494">
        <v>1</v>
      </c>
      <c r="G103" s="495">
        <v>6.3</v>
      </c>
      <c r="H103" s="1851">
        <f>F103*G103</f>
        <v>6.3</v>
      </c>
      <c r="I103" s="496"/>
      <c r="J103" s="496"/>
      <c r="K103" s="1852">
        <f>I103*J103</f>
        <v>0</v>
      </c>
      <c r="L103" s="496"/>
      <c r="M103" s="496"/>
      <c r="N103" s="1852">
        <v>15</v>
      </c>
      <c r="O103" s="496">
        <v>2</v>
      </c>
      <c r="P103" s="496">
        <v>8</v>
      </c>
      <c r="Q103" s="1852">
        <f>O103*P103</f>
        <v>16</v>
      </c>
      <c r="R103" s="1852">
        <f>11+2.8</f>
        <v>13.8</v>
      </c>
      <c r="S103" s="1852">
        <f>Q103-R103</f>
        <v>2.2000000000000002</v>
      </c>
      <c r="T103" s="496">
        <v>2</v>
      </c>
      <c r="U103" s="496">
        <v>8</v>
      </c>
      <c r="V103" s="1852">
        <f>T103*U103</f>
        <v>16</v>
      </c>
      <c r="W103" s="496">
        <v>2</v>
      </c>
      <c r="X103" s="496">
        <v>8</v>
      </c>
      <c r="Y103" s="1852">
        <f>W103*X103</f>
        <v>16</v>
      </c>
      <c r="Z103" s="1851">
        <f t="shared" si="5"/>
        <v>16</v>
      </c>
      <c r="AA103" s="1851" t="str">
        <f t="shared" si="6"/>
        <v>-</v>
      </c>
      <c r="AB103" s="893" t="s">
        <v>1752</v>
      </c>
      <c r="AC103" s="491" t="s">
        <v>1665</v>
      </c>
      <c r="AF103" s="466"/>
      <c r="AG103" s="465"/>
      <c r="AH103" s="465"/>
    </row>
    <row r="104" spans="1:34" s="871" customFormat="1" ht="14.25" hidden="1" x14ac:dyDescent="0.2">
      <c r="A104" s="869"/>
      <c r="B104" s="1856" t="s">
        <v>1753</v>
      </c>
      <c r="C104" s="1857"/>
      <c r="D104" s="869"/>
      <c r="E104" s="869"/>
      <c r="F104" s="1858"/>
      <c r="G104" s="1859"/>
      <c r="H104" s="681">
        <f>H105+H115+H116+H119+H120+H121</f>
        <v>59.9</v>
      </c>
      <c r="I104" s="1860"/>
      <c r="J104" s="888"/>
      <c r="K104" s="681">
        <f>K105+K115+K116+K119+K120+K121</f>
        <v>57.7</v>
      </c>
      <c r="L104" s="1860"/>
      <c r="M104" s="888"/>
      <c r="N104" s="681">
        <f>N105+N115+N116+N119+N120+N121</f>
        <v>57.7</v>
      </c>
      <c r="O104" s="1860"/>
      <c r="P104" s="888"/>
      <c r="Q104" s="681">
        <f>Q105+Q115+Q116+Q119+Q120+Q121+Q127+Q126</f>
        <v>169.8</v>
      </c>
      <c r="R104" s="681">
        <f t="shared" ref="R104" si="15">R105+R115+R116+R119+R120+R121+R127+R126</f>
        <v>56.4</v>
      </c>
      <c r="S104" s="681">
        <f>S105+S115+S116+S119+S120+S121+S127+S126</f>
        <v>113.2</v>
      </c>
      <c r="T104" s="1860"/>
      <c r="U104" s="888"/>
      <c r="V104" s="681">
        <f>V105+V115+V116+V119+V120+V121+V127</f>
        <v>75.599999999999994</v>
      </c>
      <c r="W104" s="1860"/>
      <c r="X104" s="888"/>
      <c r="Y104" s="681">
        <f>Y105+Y115+Y116+Y119+Y120+Y121+Y127</f>
        <v>75.599999999999994</v>
      </c>
      <c r="Z104" s="681">
        <f t="shared" si="5"/>
        <v>112.1</v>
      </c>
      <c r="AA104" s="681">
        <f t="shared" si="6"/>
        <v>294.3</v>
      </c>
      <c r="AB104" s="896"/>
      <c r="AC104" s="920" t="s">
        <v>1665</v>
      </c>
      <c r="AF104" s="872"/>
      <c r="AG104" s="872"/>
      <c r="AH104" s="872"/>
    </row>
    <row r="105" spans="1:34" s="492" customFormat="1" ht="14.25" hidden="1" x14ac:dyDescent="0.2">
      <c r="A105" s="1240"/>
      <c r="B105" s="1861" t="s">
        <v>1233</v>
      </c>
      <c r="C105" s="508" t="s">
        <v>1230</v>
      </c>
      <c r="D105" s="1240"/>
      <c r="E105" s="1240"/>
      <c r="F105" s="530"/>
      <c r="G105" s="531"/>
      <c r="H105" s="542">
        <f>SUM(H106:H114)</f>
        <v>26.1</v>
      </c>
      <c r="I105" s="532"/>
      <c r="J105" s="532"/>
      <c r="K105" s="533">
        <f>SUM(K106:K114)</f>
        <v>25.8</v>
      </c>
      <c r="L105" s="532"/>
      <c r="M105" s="532"/>
      <c r="N105" s="533">
        <f>SUM(N106:N114)</f>
        <v>25.8</v>
      </c>
      <c r="O105" s="532"/>
      <c r="P105" s="532"/>
      <c r="Q105" s="533">
        <f>SUM(Q106:Q114)</f>
        <v>47.7</v>
      </c>
      <c r="R105" s="533">
        <f>SUM(R106:R114)</f>
        <v>37.200000000000003</v>
      </c>
      <c r="S105" s="533">
        <f t="shared" ref="S105" si="16">SUM(S106:S114)</f>
        <v>10.4</v>
      </c>
      <c r="T105" s="532"/>
      <c r="U105" s="532"/>
      <c r="V105" s="533">
        <f>SUM(V106:V114)</f>
        <v>43.1</v>
      </c>
      <c r="W105" s="532"/>
      <c r="X105" s="532"/>
      <c r="Y105" s="533">
        <f>SUM(Y106:Y114)</f>
        <v>43.1</v>
      </c>
      <c r="Z105" s="542">
        <f t="shared" si="5"/>
        <v>21.9</v>
      </c>
      <c r="AA105" s="542">
        <f t="shared" si="6"/>
        <v>184.9</v>
      </c>
      <c r="AB105" s="893"/>
      <c r="AC105" s="491" t="s">
        <v>1665</v>
      </c>
      <c r="AF105" s="466"/>
      <c r="AG105" s="466"/>
      <c r="AH105" s="466"/>
    </row>
    <row r="106" spans="1:34" s="498" customFormat="1" hidden="1" x14ac:dyDescent="0.25">
      <c r="A106" s="962"/>
      <c r="B106" s="1862" t="s">
        <v>1737</v>
      </c>
      <c r="C106" s="499"/>
      <c r="D106" s="962"/>
      <c r="E106" s="962" t="s">
        <v>318</v>
      </c>
      <c r="F106" s="494">
        <v>1</v>
      </c>
      <c r="G106" s="495">
        <v>3.5</v>
      </c>
      <c r="H106" s="559">
        <f>F106*G106</f>
        <v>3.5</v>
      </c>
      <c r="I106" s="496">
        <v>1</v>
      </c>
      <c r="J106" s="496">
        <v>3.5</v>
      </c>
      <c r="K106" s="857">
        <f>I106*J106</f>
        <v>3.5</v>
      </c>
      <c r="L106" s="496">
        <v>1</v>
      </c>
      <c r="M106" s="496">
        <v>3.5</v>
      </c>
      <c r="N106" s="857">
        <f>L106*M106</f>
        <v>3.5</v>
      </c>
      <c r="O106" s="496">
        <v>1</v>
      </c>
      <c r="P106" s="496">
        <v>3.5</v>
      </c>
      <c r="Q106" s="857">
        <f t="shared" ref="Q106:Q112" si="17">O106*P106</f>
        <v>3.5</v>
      </c>
      <c r="R106" s="857">
        <f>K106</f>
        <v>3.5</v>
      </c>
      <c r="S106" s="857">
        <f>Q106-R106</f>
        <v>0</v>
      </c>
      <c r="T106" s="496">
        <v>1</v>
      </c>
      <c r="U106" s="496">
        <v>3.5</v>
      </c>
      <c r="V106" s="857">
        <f>T106*U106</f>
        <v>3.5</v>
      </c>
      <c r="W106" s="496">
        <v>1</v>
      </c>
      <c r="X106" s="496">
        <v>3.5</v>
      </c>
      <c r="Y106" s="857">
        <f>W106*X106</f>
        <v>3.5</v>
      </c>
      <c r="Z106" s="559">
        <f t="shared" si="5"/>
        <v>0</v>
      </c>
      <c r="AA106" s="559">
        <f t="shared" si="6"/>
        <v>100</v>
      </c>
      <c r="AB106" s="893"/>
      <c r="AC106" s="491" t="s">
        <v>1665</v>
      </c>
      <c r="AF106" s="466"/>
      <c r="AG106" s="465"/>
      <c r="AH106" s="465"/>
    </row>
    <row r="107" spans="1:34" s="498" customFormat="1" hidden="1" x14ac:dyDescent="0.25">
      <c r="A107" s="962"/>
      <c r="B107" s="1862" t="s">
        <v>1754</v>
      </c>
      <c r="C107" s="499"/>
      <c r="D107" s="962"/>
      <c r="E107" s="962" t="s">
        <v>318</v>
      </c>
      <c r="F107" s="494">
        <v>2</v>
      </c>
      <c r="G107" s="495">
        <v>2.2999999999999998</v>
      </c>
      <c r="H107" s="559">
        <f>F107*G107</f>
        <v>4.5999999999999996</v>
      </c>
      <c r="I107" s="496">
        <v>2</v>
      </c>
      <c r="J107" s="496">
        <v>2.2999999999999998</v>
      </c>
      <c r="K107" s="857">
        <f t="shared" ref="K107:K113" si="18">I107*J107</f>
        <v>4.5999999999999996</v>
      </c>
      <c r="L107" s="496">
        <v>2</v>
      </c>
      <c r="M107" s="496">
        <v>2.2999999999999998</v>
      </c>
      <c r="N107" s="857">
        <f t="shared" ref="N107:N113" si="19">L107*M107</f>
        <v>4.5999999999999996</v>
      </c>
      <c r="O107" s="496">
        <v>2</v>
      </c>
      <c r="P107" s="496">
        <v>2.2999999999999998</v>
      </c>
      <c r="Q107" s="857">
        <f t="shared" si="17"/>
        <v>4.5999999999999996</v>
      </c>
      <c r="R107" s="857">
        <f t="shared" ref="R107:R108" si="20">K107</f>
        <v>4.5999999999999996</v>
      </c>
      <c r="S107" s="857">
        <f t="shared" ref="S107:S113" si="21">Q107-R107</f>
        <v>0</v>
      </c>
      <c r="T107" s="496">
        <v>2</v>
      </c>
      <c r="U107" s="496">
        <v>2.2999999999999998</v>
      </c>
      <c r="V107" s="857">
        <f>T107*U107</f>
        <v>4.5999999999999996</v>
      </c>
      <c r="W107" s="496">
        <v>2</v>
      </c>
      <c r="X107" s="496">
        <v>2.2999999999999998</v>
      </c>
      <c r="Y107" s="857">
        <f>W107*X107</f>
        <v>4.5999999999999996</v>
      </c>
      <c r="Z107" s="559">
        <f t="shared" si="5"/>
        <v>0</v>
      </c>
      <c r="AA107" s="559">
        <f t="shared" si="6"/>
        <v>100</v>
      </c>
      <c r="AB107" s="893"/>
      <c r="AC107" s="491" t="s">
        <v>1665</v>
      </c>
      <c r="AF107" s="466"/>
      <c r="AG107" s="465"/>
      <c r="AH107" s="465"/>
    </row>
    <row r="108" spans="1:34" s="498" customFormat="1" ht="127.5" hidden="1" x14ac:dyDescent="0.25">
      <c r="A108" s="962"/>
      <c r="B108" s="1855" t="s">
        <v>1755</v>
      </c>
      <c r="C108" s="499"/>
      <c r="D108" s="962"/>
      <c r="E108" s="962" t="s">
        <v>318</v>
      </c>
      <c r="F108" s="494">
        <v>6</v>
      </c>
      <c r="G108" s="495">
        <v>1.73</v>
      </c>
      <c r="H108" s="559">
        <f>F108*G108</f>
        <v>10.4</v>
      </c>
      <c r="I108" s="496">
        <v>6</v>
      </c>
      <c r="J108" s="496">
        <v>1.7</v>
      </c>
      <c r="K108" s="857">
        <f t="shared" si="18"/>
        <v>10.199999999999999</v>
      </c>
      <c r="L108" s="496">
        <v>6</v>
      </c>
      <c r="M108" s="496">
        <v>1.7</v>
      </c>
      <c r="N108" s="857">
        <f t="shared" si="19"/>
        <v>10.199999999999999</v>
      </c>
      <c r="O108" s="496">
        <v>6</v>
      </c>
      <c r="P108" s="496">
        <v>2.2999999999999998</v>
      </c>
      <c r="Q108" s="857">
        <f t="shared" si="17"/>
        <v>13.8</v>
      </c>
      <c r="R108" s="857">
        <f t="shared" si="20"/>
        <v>10.199999999999999</v>
      </c>
      <c r="S108" s="857">
        <f t="shared" si="21"/>
        <v>3.6</v>
      </c>
      <c r="T108" s="496">
        <v>6</v>
      </c>
      <c r="U108" s="496">
        <v>1.7</v>
      </c>
      <c r="V108" s="857">
        <f>T108*U108</f>
        <v>10.199999999999999</v>
      </c>
      <c r="W108" s="496">
        <v>6</v>
      </c>
      <c r="X108" s="496">
        <v>1.7</v>
      </c>
      <c r="Y108" s="857">
        <f>W108*X108</f>
        <v>10.199999999999999</v>
      </c>
      <c r="Z108" s="559">
        <f t="shared" si="5"/>
        <v>3.6</v>
      </c>
      <c r="AA108" s="559">
        <f t="shared" si="6"/>
        <v>135.30000000000001</v>
      </c>
      <c r="AB108" s="1863" t="s">
        <v>1756</v>
      </c>
      <c r="AC108" s="491" t="s">
        <v>1665</v>
      </c>
      <c r="AF108" s="466"/>
      <c r="AG108" s="465"/>
      <c r="AH108" s="465"/>
    </row>
    <row r="109" spans="1:34" s="498" customFormat="1" ht="39.75" hidden="1" customHeight="1" x14ac:dyDescent="0.25">
      <c r="A109" s="962"/>
      <c r="B109" s="1855" t="s">
        <v>1757</v>
      </c>
      <c r="C109" s="499"/>
      <c r="D109" s="962"/>
      <c r="E109" s="541" t="s">
        <v>318</v>
      </c>
      <c r="F109" s="494"/>
      <c r="G109" s="495"/>
      <c r="H109" s="559"/>
      <c r="I109" s="496"/>
      <c r="J109" s="496"/>
      <c r="K109" s="857"/>
      <c r="L109" s="496"/>
      <c r="M109" s="496"/>
      <c r="N109" s="857"/>
      <c r="O109" s="496">
        <v>1</v>
      </c>
      <c r="P109" s="496">
        <v>3.5</v>
      </c>
      <c r="Q109" s="857">
        <f t="shared" si="17"/>
        <v>3.5</v>
      </c>
      <c r="R109" s="857">
        <f>Q109</f>
        <v>3.5</v>
      </c>
      <c r="S109" s="857"/>
      <c r="T109" s="496">
        <v>1</v>
      </c>
      <c r="U109" s="496">
        <v>3.5</v>
      </c>
      <c r="V109" s="857">
        <f t="shared" ref="V109:V110" si="22">T109*U109</f>
        <v>3.5</v>
      </c>
      <c r="W109" s="496">
        <v>1</v>
      </c>
      <c r="X109" s="496">
        <v>3.5</v>
      </c>
      <c r="Y109" s="857">
        <f t="shared" ref="Y109:Y110" si="23">W109*X109</f>
        <v>3.5</v>
      </c>
      <c r="Z109" s="559">
        <f t="shared" si="5"/>
        <v>3.5</v>
      </c>
      <c r="AA109" s="559" t="str">
        <f t="shared" si="6"/>
        <v>-</v>
      </c>
      <c r="AB109" s="1863" t="s">
        <v>1758</v>
      </c>
      <c r="AC109" s="491" t="s">
        <v>1665</v>
      </c>
      <c r="AF109" s="466"/>
      <c r="AG109" s="465"/>
      <c r="AH109" s="465"/>
    </row>
    <row r="110" spans="1:34" s="498" customFormat="1" ht="34.5" hidden="1" customHeight="1" x14ac:dyDescent="0.25">
      <c r="A110" s="962"/>
      <c r="B110" s="1855" t="s">
        <v>1759</v>
      </c>
      <c r="C110" s="499"/>
      <c r="D110" s="962"/>
      <c r="E110" s="541" t="s">
        <v>318</v>
      </c>
      <c r="F110" s="494"/>
      <c r="G110" s="495"/>
      <c r="H110" s="559"/>
      <c r="I110" s="496"/>
      <c r="J110" s="496"/>
      <c r="K110" s="857"/>
      <c r="L110" s="496"/>
      <c r="M110" s="496"/>
      <c r="N110" s="857"/>
      <c r="O110" s="496">
        <v>1</v>
      </c>
      <c r="P110" s="496">
        <v>3.5</v>
      </c>
      <c r="Q110" s="857">
        <f t="shared" si="17"/>
        <v>3.5</v>
      </c>
      <c r="R110" s="857">
        <f>Q110</f>
        <v>3.5</v>
      </c>
      <c r="S110" s="857"/>
      <c r="T110" s="496">
        <v>1</v>
      </c>
      <c r="U110" s="496">
        <v>3.5</v>
      </c>
      <c r="V110" s="857">
        <f t="shared" si="22"/>
        <v>3.5</v>
      </c>
      <c r="W110" s="496">
        <v>1</v>
      </c>
      <c r="X110" s="496">
        <v>3.5</v>
      </c>
      <c r="Y110" s="857">
        <f t="shared" si="23"/>
        <v>3.5</v>
      </c>
      <c r="Z110" s="559">
        <f t="shared" si="5"/>
        <v>3.5</v>
      </c>
      <c r="AA110" s="559" t="str">
        <f t="shared" si="6"/>
        <v>-</v>
      </c>
      <c r="AB110" s="1863" t="s">
        <v>1760</v>
      </c>
      <c r="AC110" s="491" t="s">
        <v>1665</v>
      </c>
      <c r="AF110" s="466"/>
      <c r="AG110" s="465"/>
      <c r="AH110" s="465"/>
    </row>
    <row r="111" spans="1:34" s="498" customFormat="1" ht="25.5" hidden="1" x14ac:dyDescent="0.25">
      <c r="A111" s="962"/>
      <c r="B111" s="1855" t="s">
        <v>1761</v>
      </c>
      <c r="C111" s="499"/>
      <c r="D111" s="962"/>
      <c r="E111" s="541" t="s">
        <v>1762</v>
      </c>
      <c r="F111" s="494"/>
      <c r="G111" s="495"/>
      <c r="H111" s="559"/>
      <c r="I111" s="496"/>
      <c r="J111" s="496"/>
      <c r="K111" s="857"/>
      <c r="L111" s="496"/>
      <c r="M111" s="496"/>
      <c r="N111" s="857"/>
      <c r="O111" s="496">
        <v>2</v>
      </c>
      <c r="P111" s="496">
        <v>2.2999999999999998</v>
      </c>
      <c r="Q111" s="857">
        <f t="shared" si="17"/>
        <v>4.5999999999999996</v>
      </c>
      <c r="R111" s="857"/>
      <c r="S111" s="857">
        <f>Q111</f>
        <v>4.5999999999999996</v>
      </c>
      <c r="T111" s="496">
        <v>2</v>
      </c>
      <c r="U111" s="496">
        <v>2.2999999999999998</v>
      </c>
      <c r="V111" s="857">
        <f>T111*U111</f>
        <v>4.5999999999999996</v>
      </c>
      <c r="W111" s="496">
        <v>2</v>
      </c>
      <c r="X111" s="496">
        <v>2.2999999999999998</v>
      </c>
      <c r="Y111" s="857">
        <f>W111*X111</f>
        <v>4.5999999999999996</v>
      </c>
      <c r="Z111" s="559">
        <f t="shared" si="5"/>
        <v>4.5999999999999996</v>
      </c>
      <c r="AA111" s="559" t="str">
        <f t="shared" si="6"/>
        <v>-</v>
      </c>
      <c r="AB111" s="1863" t="s">
        <v>1763</v>
      </c>
      <c r="AC111" s="491" t="s">
        <v>1665</v>
      </c>
      <c r="AF111" s="466"/>
      <c r="AG111" s="465"/>
      <c r="AH111" s="465"/>
    </row>
    <row r="112" spans="1:34" s="498" customFormat="1" ht="77.25" hidden="1" x14ac:dyDescent="0.25">
      <c r="A112" s="962"/>
      <c r="B112" s="551" t="s">
        <v>1764</v>
      </c>
      <c r="C112" s="499"/>
      <c r="D112" s="962"/>
      <c r="E112" s="541" t="s">
        <v>318</v>
      </c>
      <c r="F112" s="494"/>
      <c r="G112" s="495"/>
      <c r="H112" s="559"/>
      <c r="I112" s="496"/>
      <c r="J112" s="496"/>
      <c r="K112" s="857"/>
      <c r="L112" s="496"/>
      <c r="M112" s="496"/>
      <c r="N112" s="857"/>
      <c r="O112" s="1864">
        <v>1</v>
      </c>
      <c r="P112" s="1864">
        <v>4</v>
      </c>
      <c r="Q112" s="857">
        <f t="shared" si="17"/>
        <v>4</v>
      </c>
      <c r="R112" s="857">
        <f>Q112</f>
        <v>4</v>
      </c>
      <c r="S112" s="857"/>
      <c r="T112" s="1864">
        <v>1</v>
      </c>
      <c r="U112" s="1864">
        <v>4</v>
      </c>
      <c r="V112" s="1865">
        <f>U112*T112</f>
        <v>4</v>
      </c>
      <c r="W112" s="1864">
        <v>1</v>
      </c>
      <c r="X112" s="1864">
        <v>4</v>
      </c>
      <c r="Y112" s="1865">
        <f>X112*W112</f>
        <v>4</v>
      </c>
      <c r="Z112" s="559">
        <f t="shared" si="5"/>
        <v>4</v>
      </c>
      <c r="AA112" s="559" t="str">
        <f t="shared" si="6"/>
        <v>-</v>
      </c>
      <c r="AB112" s="893" t="s">
        <v>1765</v>
      </c>
      <c r="AC112" s="491" t="s">
        <v>1665</v>
      </c>
      <c r="AF112" s="466"/>
      <c r="AG112" s="465"/>
      <c r="AH112" s="465"/>
    </row>
    <row r="113" spans="1:34" s="498" customFormat="1" hidden="1" x14ac:dyDescent="0.25">
      <c r="A113" s="962"/>
      <c r="B113" s="881" t="s">
        <v>1766</v>
      </c>
      <c r="C113" s="503"/>
      <c r="D113" s="962"/>
      <c r="E113" s="962" t="s">
        <v>318</v>
      </c>
      <c r="F113" s="494">
        <v>1</v>
      </c>
      <c r="G113" s="495">
        <v>2</v>
      </c>
      <c r="H113" s="559">
        <f>F113*G113</f>
        <v>2</v>
      </c>
      <c r="I113" s="496">
        <v>1</v>
      </c>
      <c r="J113" s="496">
        <v>2</v>
      </c>
      <c r="K113" s="857">
        <f t="shared" si="18"/>
        <v>2</v>
      </c>
      <c r="L113" s="496">
        <v>1</v>
      </c>
      <c r="M113" s="496">
        <v>2</v>
      </c>
      <c r="N113" s="857">
        <f t="shared" si="19"/>
        <v>2</v>
      </c>
      <c r="O113" s="496"/>
      <c r="P113" s="496"/>
      <c r="Q113" s="857"/>
      <c r="R113" s="857"/>
      <c r="S113" s="857">
        <f t="shared" si="21"/>
        <v>0</v>
      </c>
      <c r="T113" s="496"/>
      <c r="U113" s="496"/>
      <c r="V113" s="857">
        <f>T113*U113</f>
        <v>0</v>
      </c>
      <c r="W113" s="496"/>
      <c r="X113" s="496"/>
      <c r="Y113" s="857">
        <f>W113*X113</f>
        <v>0</v>
      </c>
      <c r="Z113" s="559">
        <f t="shared" si="5"/>
        <v>-2</v>
      </c>
      <c r="AA113" s="559">
        <f t="shared" si="6"/>
        <v>0</v>
      </c>
      <c r="AB113" s="893"/>
      <c r="AC113" s="491" t="s">
        <v>1665</v>
      </c>
      <c r="AF113" s="466"/>
      <c r="AG113" s="465"/>
      <c r="AH113" s="465"/>
    </row>
    <row r="114" spans="1:34" s="498" customFormat="1" hidden="1" x14ac:dyDescent="0.25">
      <c r="A114" s="962"/>
      <c r="B114" s="881" t="s">
        <v>1729</v>
      </c>
      <c r="C114" s="503"/>
      <c r="D114" s="962"/>
      <c r="E114" s="962"/>
      <c r="F114" s="494"/>
      <c r="G114" s="495"/>
      <c r="H114" s="559">
        <f>SUM(H106:H113)*0.271</f>
        <v>5.6</v>
      </c>
      <c r="I114" s="496"/>
      <c r="J114" s="496"/>
      <c r="K114" s="857">
        <f>SUM(K106:K113)*0.271</f>
        <v>5.5</v>
      </c>
      <c r="L114" s="496"/>
      <c r="M114" s="496"/>
      <c r="N114" s="857">
        <f>SUM(N106:N113)*0.271</f>
        <v>5.5</v>
      </c>
      <c r="O114" s="496"/>
      <c r="P114" s="496"/>
      <c r="Q114" s="857">
        <f>SUM(Q106:Q113)*0.271</f>
        <v>10.199999999999999</v>
      </c>
      <c r="R114" s="857">
        <f t="shared" ref="R114:S114" si="24">SUM(R106:R113)*0.271</f>
        <v>7.9</v>
      </c>
      <c r="S114" s="857">
        <f t="shared" si="24"/>
        <v>2.2000000000000002</v>
      </c>
      <c r="T114" s="496"/>
      <c r="U114" s="496"/>
      <c r="V114" s="857">
        <f>SUM(V106:V113)*0.271</f>
        <v>9.1999999999999993</v>
      </c>
      <c r="W114" s="496"/>
      <c r="X114" s="496"/>
      <c r="Y114" s="857">
        <f>SUM(Y106:Y113)*0.271</f>
        <v>9.1999999999999993</v>
      </c>
      <c r="Z114" s="559">
        <f t="shared" si="5"/>
        <v>4.7</v>
      </c>
      <c r="AA114" s="559">
        <f t="shared" si="6"/>
        <v>185.5</v>
      </c>
      <c r="AB114" s="551"/>
      <c r="AC114" s="491" t="s">
        <v>1665</v>
      </c>
      <c r="AF114" s="466"/>
      <c r="AG114" s="465"/>
      <c r="AH114" s="465"/>
    </row>
    <row r="115" spans="1:34" s="492" customFormat="1" ht="14.25" hidden="1" x14ac:dyDescent="0.2">
      <c r="A115" s="1240"/>
      <c r="B115" s="876" t="s">
        <v>1767</v>
      </c>
      <c r="C115" s="501" t="s">
        <v>796</v>
      </c>
      <c r="D115" s="1240"/>
      <c r="E115" s="1240" t="s">
        <v>227</v>
      </c>
      <c r="F115" s="530">
        <v>50</v>
      </c>
      <c r="G115" s="531">
        <v>0.05</v>
      </c>
      <c r="H115" s="542">
        <f>F115*G115</f>
        <v>2.5</v>
      </c>
      <c r="I115" s="532">
        <v>50</v>
      </c>
      <c r="J115" s="532">
        <v>0.1</v>
      </c>
      <c r="K115" s="533">
        <f>I115*J115</f>
        <v>5</v>
      </c>
      <c r="L115" s="532">
        <v>50</v>
      </c>
      <c r="M115" s="532">
        <v>0.1</v>
      </c>
      <c r="N115" s="533">
        <f>L115*M115</f>
        <v>5</v>
      </c>
      <c r="O115" s="532">
        <v>25</v>
      </c>
      <c r="P115" s="532">
        <v>0.1</v>
      </c>
      <c r="Q115" s="533">
        <f>O115*P115</f>
        <v>2.5</v>
      </c>
      <c r="R115" s="533">
        <f>Q115</f>
        <v>2.5</v>
      </c>
      <c r="S115" s="533"/>
      <c r="T115" s="532">
        <v>25</v>
      </c>
      <c r="U115" s="532">
        <v>0.1</v>
      </c>
      <c r="V115" s="533">
        <f>T115*U115</f>
        <v>2.5</v>
      </c>
      <c r="W115" s="532">
        <v>25</v>
      </c>
      <c r="X115" s="532">
        <v>0.1</v>
      </c>
      <c r="Y115" s="533">
        <f>W115*X115</f>
        <v>2.5</v>
      </c>
      <c r="Z115" s="542">
        <f t="shared" si="5"/>
        <v>-2.5</v>
      </c>
      <c r="AA115" s="542">
        <f t="shared" si="6"/>
        <v>50</v>
      </c>
      <c r="AB115" s="893"/>
      <c r="AC115" s="491" t="s">
        <v>1665</v>
      </c>
      <c r="AF115" s="466"/>
      <c r="AG115" s="466"/>
      <c r="AH115" s="466"/>
    </row>
    <row r="116" spans="1:34" s="492" customFormat="1" ht="14.25" x14ac:dyDescent="0.2">
      <c r="A116" s="1240"/>
      <c r="B116" s="876" t="s">
        <v>1768</v>
      </c>
      <c r="C116" s="501" t="s">
        <v>797</v>
      </c>
      <c r="D116" s="1240"/>
      <c r="E116" s="1240"/>
      <c r="F116" s="530"/>
      <c r="G116" s="531"/>
      <c r="H116" s="493">
        <f>H117+H118</f>
        <v>7.8</v>
      </c>
      <c r="I116" s="532"/>
      <c r="J116" s="532"/>
      <c r="K116" s="532">
        <f>K117+K118</f>
        <v>1</v>
      </c>
      <c r="L116" s="532"/>
      <c r="M116" s="532"/>
      <c r="N116" s="532">
        <f>N117+N118</f>
        <v>1</v>
      </c>
      <c r="O116" s="532"/>
      <c r="P116" s="532"/>
      <c r="Q116" s="532">
        <f>SUM(Q117:Q118)</f>
        <v>22</v>
      </c>
      <c r="R116" s="2675">
        <f>SUM(R117:R118)-0.1</f>
        <v>5.3</v>
      </c>
      <c r="S116" s="532">
        <f t="shared" ref="S116" si="25">SUM(S117:S118)</f>
        <v>16.600000000000001</v>
      </c>
      <c r="T116" s="532"/>
      <c r="U116" s="532"/>
      <c r="V116" s="532">
        <f>SUM(V117:V118)-5.5</f>
        <v>16.5</v>
      </c>
      <c r="W116" s="532"/>
      <c r="X116" s="532"/>
      <c r="Y116" s="532">
        <f>SUM(Y117:Y118)-5.5</f>
        <v>16.5</v>
      </c>
      <c r="Z116" s="493">
        <f t="shared" si="5"/>
        <v>21</v>
      </c>
      <c r="AA116" s="493">
        <f t="shared" si="6"/>
        <v>2200</v>
      </c>
      <c r="AB116" s="893"/>
      <c r="AC116" s="491" t="s">
        <v>1665</v>
      </c>
      <c r="AF116" s="466"/>
      <c r="AG116" s="466"/>
      <c r="AH116" s="466"/>
    </row>
    <row r="117" spans="1:34" s="498" customFormat="1" ht="51.75" hidden="1" x14ac:dyDescent="0.25">
      <c r="A117" s="962"/>
      <c r="B117" s="502" t="s">
        <v>1769</v>
      </c>
      <c r="C117" s="503"/>
      <c r="D117" s="962"/>
      <c r="E117" s="962" t="s">
        <v>227</v>
      </c>
      <c r="F117" s="494">
        <v>20</v>
      </c>
      <c r="G117" s="495">
        <v>0.1</v>
      </c>
      <c r="H117" s="1245">
        <f>F117*G117</f>
        <v>2</v>
      </c>
      <c r="I117" s="496">
        <v>10</v>
      </c>
      <c r="J117" s="883">
        <v>0.1</v>
      </c>
      <c r="K117" s="496">
        <f>I117*J117</f>
        <v>1</v>
      </c>
      <c r="L117" s="496">
        <v>10</v>
      </c>
      <c r="M117" s="883">
        <v>0.1</v>
      </c>
      <c r="N117" s="496">
        <f>L117*M117</f>
        <v>1</v>
      </c>
      <c r="O117" s="496">
        <v>20</v>
      </c>
      <c r="P117" s="496">
        <v>0.1</v>
      </c>
      <c r="Q117" s="496">
        <f>O117*P117</f>
        <v>2</v>
      </c>
      <c r="R117" s="496"/>
      <c r="S117" s="496">
        <f>Q117</f>
        <v>2</v>
      </c>
      <c r="T117" s="496">
        <v>20</v>
      </c>
      <c r="U117" s="496">
        <v>0.1</v>
      </c>
      <c r="V117" s="496">
        <f>T117*U117</f>
        <v>2</v>
      </c>
      <c r="W117" s="496">
        <v>20</v>
      </c>
      <c r="X117" s="496">
        <v>0.1</v>
      </c>
      <c r="Y117" s="496">
        <f>W117*X117</f>
        <v>2</v>
      </c>
      <c r="Z117" s="1245">
        <f t="shared" si="5"/>
        <v>1</v>
      </c>
      <c r="AA117" s="1245">
        <f t="shared" si="6"/>
        <v>200</v>
      </c>
      <c r="AB117" s="893" t="s">
        <v>1770</v>
      </c>
      <c r="AC117" s="491" t="s">
        <v>1665</v>
      </c>
      <c r="AF117" s="466"/>
      <c r="AG117" s="465"/>
      <c r="AH117" s="465"/>
    </row>
    <row r="118" spans="1:34" s="498" customFormat="1" ht="26.25" hidden="1" x14ac:dyDescent="0.25">
      <c r="A118" s="962"/>
      <c r="B118" s="881" t="s">
        <v>1771</v>
      </c>
      <c r="C118" s="503"/>
      <c r="D118" s="962"/>
      <c r="E118" s="962" t="s">
        <v>227</v>
      </c>
      <c r="F118" s="494">
        <v>58</v>
      </c>
      <c r="G118" s="495">
        <v>0.1</v>
      </c>
      <c r="H118" s="559">
        <f>F118*G118</f>
        <v>5.8</v>
      </c>
      <c r="I118" s="496"/>
      <c r="J118" s="496"/>
      <c r="K118" s="496">
        <f>I118*J118</f>
        <v>0</v>
      </c>
      <c r="L118" s="496"/>
      <c r="M118" s="496"/>
      <c r="N118" s="496">
        <f>L118*M118</f>
        <v>0</v>
      </c>
      <c r="O118" s="496">
        <v>100</v>
      </c>
      <c r="P118" s="496">
        <v>0.2</v>
      </c>
      <c r="Q118" s="496">
        <f>O118*P118</f>
        <v>20</v>
      </c>
      <c r="R118" s="496">
        <v>5.4</v>
      </c>
      <c r="S118" s="496">
        <f>Q118-R118</f>
        <v>14.6</v>
      </c>
      <c r="T118" s="496">
        <v>100</v>
      </c>
      <c r="U118" s="496">
        <v>0.2</v>
      </c>
      <c r="V118" s="496">
        <f>T118*U118</f>
        <v>20</v>
      </c>
      <c r="W118" s="496">
        <v>100</v>
      </c>
      <c r="X118" s="496">
        <v>0.2</v>
      </c>
      <c r="Y118" s="496">
        <f>W118*X118</f>
        <v>20</v>
      </c>
      <c r="Z118" s="559">
        <f t="shared" si="5"/>
        <v>20</v>
      </c>
      <c r="AA118" s="559" t="str">
        <f t="shared" si="6"/>
        <v>-</v>
      </c>
      <c r="AB118" s="893" t="s">
        <v>1772</v>
      </c>
      <c r="AC118" s="491" t="s">
        <v>1665</v>
      </c>
      <c r="AF118" s="466"/>
      <c r="AG118" s="465"/>
      <c r="AH118" s="465"/>
    </row>
    <row r="119" spans="1:34" s="492" customFormat="1" ht="14.25" hidden="1" x14ac:dyDescent="0.2">
      <c r="A119" s="1240"/>
      <c r="B119" s="876" t="s">
        <v>1246</v>
      </c>
      <c r="C119" s="501" t="s">
        <v>1237</v>
      </c>
      <c r="D119" s="1240"/>
      <c r="E119" s="1240" t="s">
        <v>664</v>
      </c>
      <c r="F119" s="530">
        <v>3</v>
      </c>
      <c r="G119" s="531">
        <v>2.5</v>
      </c>
      <c r="H119" s="542">
        <f>F119*G119</f>
        <v>7.5</v>
      </c>
      <c r="I119" s="532">
        <v>3</v>
      </c>
      <c r="J119" s="532">
        <v>2.5</v>
      </c>
      <c r="K119" s="533">
        <f>I119*J119</f>
        <v>7.5</v>
      </c>
      <c r="L119" s="532">
        <v>3</v>
      </c>
      <c r="M119" s="532">
        <v>2.5</v>
      </c>
      <c r="N119" s="533">
        <f>L119*M119</f>
        <v>7.5</v>
      </c>
      <c r="O119" s="532">
        <v>3</v>
      </c>
      <c r="P119" s="532">
        <v>2.5</v>
      </c>
      <c r="Q119" s="533">
        <f>O119*P119</f>
        <v>7.5</v>
      </c>
      <c r="R119" s="533"/>
      <c r="S119" s="533">
        <f>Q119</f>
        <v>7.5</v>
      </c>
      <c r="T119" s="532">
        <v>3</v>
      </c>
      <c r="U119" s="532">
        <v>2.5</v>
      </c>
      <c r="V119" s="533">
        <f>T119*U119</f>
        <v>7.5</v>
      </c>
      <c r="W119" s="532">
        <v>3</v>
      </c>
      <c r="X119" s="532">
        <v>2.5</v>
      </c>
      <c r="Y119" s="533">
        <f>W119*X119</f>
        <v>7.5</v>
      </c>
      <c r="Z119" s="542">
        <f t="shared" si="5"/>
        <v>0</v>
      </c>
      <c r="AA119" s="542">
        <f t="shared" si="6"/>
        <v>100</v>
      </c>
      <c r="AB119" s="893"/>
      <c r="AC119" s="491" t="s">
        <v>1665</v>
      </c>
      <c r="AF119" s="466"/>
      <c r="AG119" s="466"/>
      <c r="AH119" s="466"/>
    </row>
    <row r="120" spans="1:34" s="492" customFormat="1" ht="14.25" x14ac:dyDescent="0.2">
      <c r="A120" s="1240"/>
      <c r="B120" s="876" t="s">
        <v>1773</v>
      </c>
      <c r="C120" s="501" t="s">
        <v>797</v>
      </c>
      <c r="D120" s="1240"/>
      <c r="E120" s="1240" t="s">
        <v>227</v>
      </c>
      <c r="F120" s="1829">
        <v>100</v>
      </c>
      <c r="G120" s="1830">
        <v>0.06</v>
      </c>
      <c r="H120" s="542">
        <f>F120*G120</f>
        <v>6</v>
      </c>
      <c r="I120" s="1831">
        <v>60</v>
      </c>
      <c r="J120" s="1831">
        <v>0.1</v>
      </c>
      <c r="K120" s="533">
        <f>I120*J120</f>
        <v>6</v>
      </c>
      <c r="L120" s="1831">
        <v>60</v>
      </c>
      <c r="M120" s="1831">
        <v>0.1</v>
      </c>
      <c r="N120" s="533">
        <f>L120*M120</f>
        <v>6</v>
      </c>
      <c r="O120" s="1831">
        <v>60</v>
      </c>
      <c r="P120" s="1831">
        <v>0.1</v>
      </c>
      <c r="Q120" s="533">
        <f>O120*P120</f>
        <v>6</v>
      </c>
      <c r="R120" s="533"/>
      <c r="S120" s="533">
        <f>Q120</f>
        <v>6</v>
      </c>
      <c r="T120" s="1831">
        <v>60</v>
      </c>
      <c r="U120" s="1831">
        <v>0.1</v>
      </c>
      <c r="V120" s="533">
        <f>T120*U120</f>
        <v>6</v>
      </c>
      <c r="W120" s="1831">
        <v>60</v>
      </c>
      <c r="X120" s="1831">
        <v>0.1</v>
      </c>
      <c r="Y120" s="533">
        <f>W120*X120</f>
        <v>6</v>
      </c>
      <c r="Z120" s="542">
        <f t="shared" si="5"/>
        <v>0</v>
      </c>
      <c r="AA120" s="542">
        <f t="shared" si="6"/>
        <v>100</v>
      </c>
      <c r="AB120" s="893"/>
      <c r="AC120" s="491" t="s">
        <v>1665</v>
      </c>
      <c r="AF120" s="466"/>
      <c r="AG120" s="466"/>
      <c r="AH120" s="466"/>
    </row>
    <row r="121" spans="1:34" s="492" customFormat="1" ht="14.25" x14ac:dyDescent="0.2">
      <c r="A121" s="1240"/>
      <c r="B121" s="876" t="s">
        <v>1368</v>
      </c>
      <c r="C121" s="501" t="s">
        <v>797</v>
      </c>
      <c r="D121" s="1240"/>
      <c r="E121" s="1240"/>
      <c r="F121" s="1829"/>
      <c r="G121" s="1830"/>
      <c r="H121" s="493">
        <f>SUM(H122:H125)</f>
        <v>10</v>
      </c>
      <c r="I121" s="1831"/>
      <c r="J121" s="1831"/>
      <c r="K121" s="532">
        <f>SUM(K122:K125)</f>
        <v>12.4</v>
      </c>
      <c r="L121" s="1831"/>
      <c r="M121" s="1831"/>
      <c r="N121" s="532">
        <f>SUM(N122:N125)</f>
        <v>12.4</v>
      </c>
      <c r="O121" s="1831"/>
      <c r="P121" s="1831"/>
      <c r="Q121" s="532">
        <f>SUM(Q122:Q125)</f>
        <v>21.4</v>
      </c>
      <c r="R121" s="532">
        <f t="shared" ref="R121:S121" si="26">SUM(R122:R125)</f>
        <v>11.4</v>
      </c>
      <c r="S121" s="532">
        <f t="shared" si="26"/>
        <v>10</v>
      </c>
      <c r="T121" s="1831"/>
      <c r="U121" s="1831"/>
      <c r="V121" s="532">
        <f>SUM(V122:V125)</f>
        <v>0</v>
      </c>
      <c r="W121" s="1831"/>
      <c r="X121" s="1831"/>
      <c r="Y121" s="532">
        <f>SUM(Y122:Y125)</f>
        <v>0</v>
      </c>
      <c r="Z121" s="493">
        <f t="shared" si="5"/>
        <v>9</v>
      </c>
      <c r="AA121" s="493">
        <f t="shared" si="6"/>
        <v>172.6</v>
      </c>
      <c r="AB121" s="893"/>
      <c r="AC121" s="491" t="s">
        <v>1665</v>
      </c>
      <c r="AF121" s="466"/>
      <c r="AG121" s="466"/>
      <c r="AH121" s="466"/>
    </row>
    <row r="122" spans="1:34" s="498" customFormat="1" hidden="1" x14ac:dyDescent="0.25">
      <c r="A122" s="962"/>
      <c r="B122" s="878" t="s">
        <v>1774</v>
      </c>
      <c r="C122" s="499"/>
      <c r="D122" s="962"/>
      <c r="E122" s="541" t="s">
        <v>227</v>
      </c>
      <c r="F122" s="494">
        <v>100</v>
      </c>
      <c r="G122" s="495">
        <v>0.02</v>
      </c>
      <c r="H122" s="1245">
        <f>F122*G122</f>
        <v>2</v>
      </c>
      <c r="I122" s="496">
        <v>10</v>
      </c>
      <c r="J122" s="496">
        <v>0.1</v>
      </c>
      <c r="K122" s="496">
        <f>I122*J122</f>
        <v>1</v>
      </c>
      <c r="L122" s="496">
        <v>10</v>
      </c>
      <c r="M122" s="496">
        <v>0.1</v>
      </c>
      <c r="N122" s="496">
        <f>L122*M122</f>
        <v>1</v>
      </c>
      <c r="O122" s="496"/>
      <c r="P122" s="496"/>
      <c r="Q122" s="496"/>
      <c r="R122" s="496"/>
      <c r="S122" s="496"/>
      <c r="T122" s="496"/>
      <c r="U122" s="496"/>
      <c r="V122" s="496">
        <f>T122*U122</f>
        <v>0</v>
      </c>
      <c r="W122" s="496"/>
      <c r="X122" s="496"/>
      <c r="Y122" s="496">
        <f>W122*X122</f>
        <v>0</v>
      </c>
      <c r="Z122" s="1245">
        <f t="shared" si="5"/>
        <v>-1</v>
      </c>
      <c r="AA122" s="1245">
        <f t="shared" si="6"/>
        <v>0</v>
      </c>
      <c r="AB122" s="893"/>
      <c r="AC122" s="491" t="s">
        <v>1665</v>
      </c>
      <c r="AF122" s="466"/>
      <c r="AG122" s="465"/>
      <c r="AH122" s="465"/>
    </row>
    <row r="123" spans="1:34" s="498" customFormat="1" ht="25.5" hidden="1" x14ac:dyDescent="0.25">
      <c r="A123" s="962"/>
      <c r="B123" s="878" t="s">
        <v>1775</v>
      </c>
      <c r="C123" s="499"/>
      <c r="D123" s="962"/>
      <c r="E123" s="541" t="s">
        <v>227</v>
      </c>
      <c r="F123" s="494"/>
      <c r="G123" s="495"/>
      <c r="H123" s="1245"/>
      <c r="I123" s="496">
        <v>3</v>
      </c>
      <c r="J123" s="496">
        <v>3.8</v>
      </c>
      <c r="K123" s="496">
        <f>I123*J123</f>
        <v>11.4</v>
      </c>
      <c r="L123" s="496">
        <v>3</v>
      </c>
      <c r="M123" s="496">
        <v>3.8</v>
      </c>
      <c r="N123" s="496">
        <f>L123*M123</f>
        <v>11.4</v>
      </c>
      <c r="O123" s="496">
        <v>3</v>
      </c>
      <c r="P123" s="496">
        <v>3.8</v>
      </c>
      <c r="Q123" s="496">
        <f>O123*P123</f>
        <v>11.4</v>
      </c>
      <c r="R123" s="496">
        <f>Q123</f>
        <v>11.4</v>
      </c>
      <c r="S123" s="496"/>
      <c r="T123" s="496"/>
      <c r="U123" s="496"/>
      <c r="V123" s="496"/>
      <c r="W123" s="496"/>
      <c r="X123" s="496"/>
      <c r="Y123" s="496"/>
      <c r="Z123" s="1245">
        <f t="shared" si="5"/>
        <v>0</v>
      </c>
      <c r="AA123" s="1245">
        <f t="shared" si="6"/>
        <v>100</v>
      </c>
      <c r="AB123" s="1031" t="s">
        <v>1776</v>
      </c>
      <c r="AC123" s="491" t="s">
        <v>1665</v>
      </c>
      <c r="AF123" s="466"/>
      <c r="AG123" s="465"/>
      <c r="AH123" s="465"/>
    </row>
    <row r="124" spans="1:34" s="498" customFormat="1" hidden="1" x14ac:dyDescent="0.25">
      <c r="A124" s="962"/>
      <c r="B124" s="878" t="s">
        <v>1777</v>
      </c>
      <c r="C124" s="499"/>
      <c r="D124" s="962"/>
      <c r="E124" s="541" t="s">
        <v>227</v>
      </c>
      <c r="F124" s="494"/>
      <c r="G124" s="495"/>
      <c r="H124" s="1245"/>
      <c r="I124" s="496"/>
      <c r="J124" s="496"/>
      <c r="K124" s="496"/>
      <c r="L124" s="496"/>
      <c r="M124" s="496"/>
      <c r="N124" s="496"/>
      <c r="O124" s="496">
        <v>10</v>
      </c>
      <c r="P124" s="496">
        <v>0.5</v>
      </c>
      <c r="Q124" s="496">
        <f>O124*P124</f>
        <v>5</v>
      </c>
      <c r="R124" s="496"/>
      <c r="S124" s="496">
        <f>Q124</f>
        <v>5</v>
      </c>
      <c r="T124" s="496"/>
      <c r="U124" s="496"/>
      <c r="V124" s="496"/>
      <c r="W124" s="496"/>
      <c r="X124" s="496"/>
      <c r="Y124" s="496"/>
      <c r="Z124" s="1245">
        <f t="shared" si="5"/>
        <v>5</v>
      </c>
      <c r="AA124" s="1245" t="str">
        <f t="shared" si="6"/>
        <v>-</v>
      </c>
      <c r="AB124" s="1031"/>
      <c r="AC124" s="491" t="s">
        <v>1665</v>
      </c>
      <c r="AF124" s="466"/>
      <c r="AG124" s="465"/>
      <c r="AH124" s="465"/>
    </row>
    <row r="125" spans="1:34" s="498" customFormat="1" hidden="1" x14ac:dyDescent="0.25">
      <c r="A125" s="962"/>
      <c r="B125" s="878" t="s">
        <v>1778</v>
      </c>
      <c r="C125" s="499"/>
      <c r="D125" s="962"/>
      <c r="E125" s="962" t="s">
        <v>227</v>
      </c>
      <c r="F125" s="494">
        <v>1</v>
      </c>
      <c r="G125" s="495">
        <v>8</v>
      </c>
      <c r="H125" s="1245">
        <v>8</v>
      </c>
      <c r="I125" s="496"/>
      <c r="J125" s="496"/>
      <c r="K125" s="496">
        <v>0</v>
      </c>
      <c r="L125" s="496"/>
      <c r="M125" s="496"/>
      <c r="N125" s="496">
        <v>0</v>
      </c>
      <c r="O125" s="496">
        <v>2</v>
      </c>
      <c r="P125" s="496">
        <v>2.5</v>
      </c>
      <c r="Q125" s="496">
        <f>O125*P125</f>
        <v>5</v>
      </c>
      <c r="R125" s="496"/>
      <c r="S125" s="496">
        <f>Q125-R125</f>
        <v>5</v>
      </c>
      <c r="T125" s="496"/>
      <c r="U125" s="496"/>
      <c r="V125" s="496">
        <f>T125*U125</f>
        <v>0</v>
      </c>
      <c r="W125" s="496"/>
      <c r="X125" s="496"/>
      <c r="Y125" s="496">
        <f>W125*X125</f>
        <v>0</v>
      </c>
      <c r="Z125" s="1245">
        <f t="shared" si="5"/>
        <v>5</v>
      </c>
      <c r="AA125" s="1245" t="str">
        <f t="shared" si="6"/>
        <v>-</v>
      </c>
      <c r="AB125" s="893"/>
      <c r="AC125" s="491" t="s">
        <v>1665</v>
      </c>
      <c r="AF125" s="466"/>
      <c r="AG125" s="465"/>
      <c r="AH125" s="465"/>
    </row>
    <row r="126" spans="1:34" s="498" customFormat="1" ht="51.75" x14ac:dyDescent="0.25">
      <c r="A126" s="962"/>
      <c r="B126" s="877" t="s">
        <v>1779</v>
      </c>
      <c r="C126" s="508" t="s">
        <v>797</v>
      </c>
      <c r="D126" s="962"/>
      <c r="E126" s="962"/>
      <c r="F126" s="494"/>
      <c r="G126" s="495"/>
      <c r="H126" s="1245"/>
      <c r="I126" s="496"/>
      <c r="J126" s="496"/>
      <c r="K126" s="496"/>
      <c r="L126" s="496"/>
      <c r="M126" s="496"/>
      <c r="N126" s="496"/>
      <c r="O126" s="496"/>
      <c r="P126" s="496"/>
      <c r="Q126" s="532">
        <v>6</v>
      </c>
      <c r="R126" s="532"/>
      <c r="S126" s="532">
        <f>Q126</f>
        <v>6</v>
      </c>
      <c r="T126" s="496"/>
      <c r="U126" s="496"/>
      <c r="V126" s="496"/>
      <c r="W126" s="496"/>
      <c r="X126" s="496"/>
      <c r="Y126" s="496"/>
      <c r="Z126" s="1245">
        <f t="shared" si="5"/>
        <v>6</v>
      </c>
      <c r="AA126" s="1245" t="str">
        <f t="shared" si="6"/>
        <v>-</v>
      </c>
      <c r="AB126" s="893" t="s">
        <v>1780</v>
      </c>
      <c r="AC126" s="491" t="s">
        <v>1665</v>
      </c>
      <c r="AF126" s="466"/>
      <c r="AG126" s="465"/>
      <c r="AH126" s="465"/>
    </row>
    <row r="127" spans="1:34" s="498" customFormat="1" ht="26.25" hidden="1" x14ac:dyDescent="0.25">
      <c r="A127" s="962"/>
      <c r="B127" s="877" t="s">
        <v>1370</v>
      </c>
      <c r="C127" s="508" t="s">
        <v>800</v>
      </c>
      <c r="D127" s="962"/>
      <c r="E127" s="962"/>
      <c r="F127" s="494"/>
      <c r="G127" s="495"/>
      <c r="H127" s="1245"/>
      <c r="I127" s="496"/>
      <c r="J127" s="496"/>
      <c r="K127" s="496"/>
      <c r="L127" s="496"/>
      <c r="M127" s="496"/>
      <c r="N127" s="496"/>
      <c r="O127" s="496"/>
      <c r="P127" s="496"/>
      <c r="Q127" s="532">
        <f>SUM(Q128:Q134)</f>
        <v>56.7</v>
      </c>
      <c r="R127" s="532"/>
      <c r="S127" s="532">
        <f>Q127</f>
        <v>56.7</v>
      </c>
      <c r="T127" s="496"/>
      <c r="U127" s="496"/>
      <c r="V127" s="532">
        <f>SUM(V131:V134)</f>
        <v>0</v>
      </c>
      <c r="W127" s="496"/>
      <c r="X127" s="496"/>
      <c r="Y127" s="532">
        <f>SUM(Y131:Y134)</f>
        <v>0</v>
      </c>
      <c r="Z127" s="1245">
        <f t="shared" si="5"/>
        <v>56.7</v>
      </c>
      <c r="AA127" s="1245" t="str">
        <f t="shared" si="6"/>
        <v>-</v>
      </c>
      <c r="AB127" s="893" t="s">
        <v>1781</v>
      </c>
      <c r="AC127" s="491" t="s">
        <v>1665</v>
      </c>
      <c r="AF127" s="466"/>
      <c r="AG127" s="465"/>
      <c r="AH127" s="465"/>
    </row>
    <row r="128" spans="1:34" s="498" customFormat="1" ht="51" hidden="1" x14ac:dyDescent="0.25">
      <c r="A128" s="962"/>
      <c r="B128" s="878" t="s">
        <v>1782</v>
      </c>
      <c r="C128" s="499"/>
      <c r="D128" s="962"/>
      <c r="E128" s="541" t="s">
        <v>227</v>
      </c>
      <c r="F128" s="494"/>
      <c r="G128" s="495"/>
      <c r="H128" s="1245"/>
      <c r="I128" s="496"/>
      <c r="J128" s="496"/>
      <c r="K128" s="496"/>
      <c r="L128" s="496"/>
      <c r="M128" s="496"/>
      <c r="N128" s="496"/>
      <c r="O128" s="496">
        <v>2</v>
      </c>
      <c r="P128" s="496">
        <v>3.2</v>
      </c>
      <c r="Q128" s="496">
        <f t="shared" ref="Q128:Q134" si="27">O128*P128</f>
        <v>6.4</v>
      </c>
      <c r="R128" s="496"/>
      <c r="S128" s="496">
        <f>Q128</f>
        <v>6.4</v>
      </c>
      <c r="T128" s="496"/>
      <c r="U128" s="496"/>
      <c r="V128" s="532"/>
      <c r="W128" s="496"/>
      <c r="X128" s="496"/>
      <c r="Y128" s="532"/>
      <c r="Z128" s="1245">
        <f t="shared" si="5"/>
        <v>6.4</v>
      </c>
      <c r="AA128" s="1245" t="str">
        <f t="shared" si="6"/>
        <v>-</v>
      </c>
      <c r="AB128" s="1031" t="s">
        <v>1783</v>
      </c>
      <c r="AC128" s="491" t="s">
        <v>1665</v>
      </c>
      <c r="AF128" s="466"/>
      <c r="AG128" s="465"/>
      <c r="AH128" s="465"/>
    </row>
    <row r="129" spans="1:34" s="498" customFormat="1" hidden="1" x14ac:dyDescent="0.25">
      <c r="A129" s="962"/>
      <c r="B129" s="878" t="s">
        <v>1784</v>
      </c>
      <c r="C129" s="499"/>
      <c r="D129" s="962"/>
      <c r="E129" s="541" t="s">
        <v>227</v>
      </c>
      <c r="F129" s="494"/>
      <c r="G129" s="495"/>
      <c r="H129" s="1245"/>
      <c r="I129" s="496"/>
      <c r="J129" s="496"/>
      <c r="K129" s="496"/>
      <c r="L129" s="496"/>
      <c r="M129" s="496"/>
      <c r="N129" s="496"/>
      <c r="O129" s="496">
        <v>2</v>
      </c>
      <c r="P129" s="496">
        <v>1.9</v>
      </c>
      <c r="Q129" s="496">
        <f t="shared" si="27"/>
        <v>3.8</v>
      </c>
      <c r="R129" s="496"/>
      <c r="S129" s="496">
        <f>Q129</f>
        <v>3.8</v>
      </c>
      <c r="T129" s="496"/>
      <c r="U129" s="496"/>
      <c r="V129" s="532"/>
      <c r="W129" s="496"/>
      <c r="X129" s="496"/>
      <c r="Y129" s="532"/>
      <c r="Z129" s="1245">
        <f t="shared" si="5"/>
        <v>3.8</v>
      </c>
      <c r="AA129" s="1245" t="str">
        <f t="shared" si="6"/>
        <v>-</v>
      </c>
      <c r="AB129" s="1031"/>
      <c r="AC129" s="491" t="s">
        <v>1665</v>
      </c>
      <c r="AF129" s="466"/>
      <c r="AG129" s="465"/>
      <c r="AH129" s="465"/>
    </row>
    <row r="130" spans="1:34" s="498" customFormat="1" ht="51.75" hidden="1" x14ac:dyDescent="0.25">
      <c r="A130" s="962"/>
      <c r="B130" s="878" t="s">
        <v>1785</v>
      </c>
      <c r="C130" s="499"/>
      <c r="D130" s="962"/>
      <c r="E130" s="541" t="s">
        <v>227</v>
      </c>
      <c r="F130" s="494"/>
      <c r="G130" s="495"/>
      <c r="H130" s="1245"/>
      <c r="I130" s="496"/>
      <c r="J130" s="496"/>
      <c r="K130" s="496"/>
      <c r="L130" s="496"/>
      <c r="M130" s="496"/>
      <c r="N130" s="496"/>
      <c r="O130" s="496">
        <v>2</v>
      </c>
      <c r="P130" s="496">
        <v>2</v>
      </c>
      <c r="Q130" s="496">
        <f t="shared" si="27"/>
        <v>4</v>
      </c>
      <c r="R130" s="496"/>
      <c r="S130" s="496">
        <f t="shared" ref="S130:S134" si="28">Q130</f>
        <v>4</v>
      </c>
      <c r="T130" s="496"/>
      <c r="U130" s="496"/>
      <c r="V130" s="532"/>
      <c r="W130" s="496"/>
      <c r="X130" s="496"/>
      <c r="Y130" s="532"/>
      <c r="Z130" s="1245">
        <f t="shared" si="5"/>
        <v>4</v>
      </c>
      <c r="AA130" s="1245" t="str">
        <f t="shared" si="6"/>
        <v>-</v>
      </c>
      <c r="AB130" s="893" t="s">
        <v>1786</v>
      </c>
      <c r="AC130" s="491" t="s">
        <v>1665</v>
      </c>
      <c r="AF130" s="466"/>
      <c r="AG130" s="465"/>
      <c r="AH130" s="465"/>
    </row>
    <row r="131" spans="1:34" s="498" customFormat="1" ht="51.75" hidden="1" x14ac:dyDescent="0.25">
      <c r="A131" s="962"/>
      <c r="B131" s="878" t="s">
        <v>1787</v>
      </c>
      <c r="C131" s="499"/>
      <c r="D131" s="962"/>
      <c r="E131" s="541" t="s">
        <v>227</v>
      </c>
      <c r="F131" s="494"/>
      <c r="G131" s="495"/>
      <c r="H131" s="1245"/>
      <c r="I131" s="496"/>
      <c r="J131" s="496"/>
      <c r="K131" s="496"/>
      <c r="L131" s="496"/>
      <c r="M131" s="496"/>
      <c r="N131" s="496"/>
      <c r="O131" s="496">
        <v>20</v>
      </c>
      <c r="P131" s="496">
        <v>1.3</v>
      </c>
      <c r="Q131" s="496">
        <f t="shared" si="27"/>
        <v>26</v>
      </c>
      <c r="R131" s="496"/>
      <c r="S131" s="496">
        <f t="shared" si="28"/>
        <v>26</v>
      </c>
      <c r="T131" s="496"/>
      <c r="U131" s="496"/>
      <c r="V131" s="496"/>
      <c r="W131" s="496"/>
      <c r="X131" s="496"/>
      <c r="Y131" s="496"/>
      <c r="Z131" s="1245">
        <f t="shared" si="5"/>
        <v>26</v>
      </c>
      <c r="AA131" s="1245" t="str">
        <f t="shared" si="6"/>
        <v>-</v>
      </c>
      <c r="AB131" s="893" t="s">
        <v>1788</v>
      </c>
      <c r="AC131" s="491" t="s">
        <v>1665</v>
      </c>
      <c r="AF131" s="466"/>
      <c r="AG131" s="465"/>
      <c r="AH131" s="465"/>
    </row>
    <row r="132" spans="1:34" s="498" customFormat="1" ht="38.25" hidden="1" x14ac:dyDescent="0.25">
      <c r="A132" s="962"/>
      <c r="B132" s="878" t="s">
        <v>1789</v>
      </c>
      <c r="C132" s="499"/>
      <c r="D132" s="962"/>
      <c r="E132" s="541" t="s">
        <v>227</v>
      </c>
      <c r="F132" s="494"/>
      <c r="G132" s="495"/>
      <c r="H132" s="1245"/>
      <c r="I132" s="496"/>
      <c r="J132" s="496"/>
      <c r="K132" s="496"/>
      <c r="L132" s="496"/>
      <c r="M132" s="496"/>
      <c r="N132" s="496"/>
      <c r="O132" s="496">
        <v>10</v>
      </c>
      <c r="P132" s="496">
        <v>0.5</v>
      </c>
      <c r="Q132" s="496">
        <f t="shared" si="27"/>
        <v>5</v>
      </c>
      <c r="R132" s="496"/>
      <c r="S132" s="496">
        <f t="shared" si="28"/>
        <v>5</v>
      </c>
      <c r="T132" s="496"/>
      <c r="U132" s="496"/>
      <c r="V132" s="496"/>
      <c r="W132" s="496"/>
      <c r="X132" s="496"/>
      <c r="Y132" s="496"/>
      <c r="Z132" s="1245">
        <f t="shared" si="5"/>
        <v>5</v>
      </c>
      <c r="AA132" s="1245" t="str">
        <f t="shared" si="6"/>
        <v>-</v>
      </c>
      <c r="AB132" s="843" t="s">
        <v>1790</v>
      </c>
      <c r="AC132" s="491" t="s">
        <v>1665</v>
      </c>
      <c r="AF132" s="466"/>
      <c r="AG132" s="465"/>
      <c r="AH132" s="465"/>
    </row>
    <row r="133" spans="1:34" s="498" customFormat="1" hidden="1" x14ac:dyDescent="0.25">
      <c r="A133" s="962"/>
      <c r="B133" s="878" t="s">
        <v>1791</v>
      </c>
      <c r="C133" s="499"/>
      <c r="D133" s="962"/>
      <c r="E133" s="541" t="s">
        <v>227</v>
      </c>
      <c r="F133" s="494"/>
      <c r="G133" s="495"/>
      <c r="H133" s="1245"/>
      <c r="I133" s="496"/>
      <c r="J133" s="496"/>
      <c r="K133" s="496"/>
      <c r="L133" s="496"/>
      <c r="M133" s="496"/>
      <c r="N133" s="496"/>
      <c r="O133" s="496">
        <v>1</v>
      </c>
      <c r="P133" s="496">
        <v>1.5</v>
      </c>
      <c r="Q133" s="496">
        <f t="shared" si="27"/>
        <v>1.5</v>
      </c>
      <c r="R133" s="496"/>
      <c r="S133" s="496">
        <f t="shared" si="28"/>
        <v>1.5</v>
      </c>
      <c r="T133" s="496"/>
      <c r="U133" s="496"/>
      <c r="V133" s="496"/>
      <c r="W133" s="496"/>
      <c r="X133" s="496"/>
      <c r="Y133" s="496"/>
      <c r="Z133" s="1245">
        <f t="shared" si="5"/>
        <v>1.5</v>
      </c>
      <c r="AA133" s="1245" t="str">
        <f t="shared" si="6"/>
        <v>-</v>
      </c>
      <c r="AB133" s="843"/>
      <c r="AC133" s="491" t="s">
        <v>1665</v>
      </c>
      <c r="AF133" s="466"/>
      <c r="AG133" s="465"/>
      <c r="AH133" s="465"/>
    </row>
    <row r="134" spans="1:34" s="498" customFormat="1" hidden="1" x14ac:dyDescent="0.25">
      <c r="A134" s="962"/>
      <c r="B134" s="878" t="s">
        <v>1792</v>
      </c>
      <c r="C134" s="499"/>
      <c r="D134" s="962"/>
      <c r="E134" s="541" t="s">
        <v>227</v>
      </c>
      <c r="F134" s="494"/>
      <c r="G134" s="495"/>
      <c r="H134" s="1245"/>
      <c r="I134" s="496"/>
      <c r="J134" s="496"/>
      <c r="K134" s="496"/>
      <c r="L134" s="496"/>
      <c r="M134" s="496"/>
      <c r="N134" s="496"/>
      <c r="O134" s="496">
        <v>10</v>
      </c>
      <c r="P134" s="496">
        <v>1</v>
      </c>
      <c r="Q134" s="496">
        <f t="shared" si="27"/>
        <v>10</v>
      </c>
      <c r="R134" s="496"/>
      <c r="S134" s="496">
        <f t="shared" si="28"/>
        <v>10</v>
      </c>
      <c r="T134" s="496"/>
      <c r="U134" s="496"/>
      <c r="V134" s="496"/>
      <c r="W134" s="496"/>
      <c r="X134" s="496"/>
      <c r="Y134" s="496"/>
      <c r="Z134" s="1245">
        <f t="shared" si="5"/>
        <v>10</v>
      </c>
      <c r="AA134" s="1245" t="str">
        <f t="shared" si="6"/>
        <v>-</v>
      </c>
      <c r="AB134" s="843"/>
      <c r="AC134" s="491" t="s">
        <v>1665</v>
      </c>
      <c r="AF134" s="466"/>
      <c r="AG134" s="465"/>
      <c r="AH134" s="465"/>
    </row>
    <row r="135" spans="1:34" s="889" customFormat="1" ht="107.25" hidden="1" customHeight="1" x14ac:dyDescent="0.25">
      <c r="A135" s="885"/>
      <c r="B135" s="1866" t="s">
        <v>1793</v>
      </c>
      <c r="C135" s="894"/>
      <c r="D135" s="885"/>
      <c r="E135" s="1867"/>
      <c r="F135" s="1868"/>
      <c r="G135" s="1868"/>
      <c r="H135" s="887"/>
      <c r="I135" s="1868"/>
      <c r="J135" s="1868"/>
      <c r="K135" s="887"/>
      <c r="L135" s="1868"/>
      <c r="M135" s="1868"/>
      <c r="N135" s="887"/>
      <c r="O135" s="1868"/>
      <c r="P135" s="1868"/>
      <c r="Q135" s="884">
        <f>Q136+Q142+Q143+Q145</f>
        <v>75.099999999999994</v>
      </c>
      <c r="R135" s="884">
        <f t="shared" ref="R135" si="29">R136+R142+R143+R145</f>
        <v>0</v>
      </c>
      <c r="S135" s="884">
        <f>S136+S142+S143+S145</f>
        <v>75.099999999999994</v>
      </c>
      <c r="T135" s="1868"/>
      <c r="U135" s="1868"/>
      <c r="V135" s="887"/>
      <c r="W135" s="1868"/>
      <c r="X135" s="1868"/>
      <c r="Y135" s="887"/>
      <c r="Z135" s="895">
        <f t="shared" si="5"/>
        <v>75.099999999999994</v>
      </c>
      <c r="AA135" s="895" t="str">
        <f t="shared" si="6"/>
        <v>-</v>
      </c>
      <c r="AB135" s="1869" t="s">
        <v>1794</v>
      </c>
      <c r="AC135" s="491" t="s">
        <v>1665</v>
      </c>
      <c r="AF135" s="872"/>
      <c r="AG135" s="890"/>
      <c r="AH135" s="890"/>
    </row>
    <row r="136" spans="1:34" s="498" customFormat="1" hidden="1" x14ac:dyDescent="0.25">
      <c r="A136" s="962"/>
      <c r="B136" s="1861" t="s">
        <v>1233</v>
      </c>
      <c r="C136" s="508" t="s">
        <v>1230</v>
      </c>
      <c r="D136" s="962"/>
      <c r="E136" s="535"/>
      <c r="F136" s="682"/>
      <c r="G136" s="682"/>
      <c r="H136" s="496"/>
      <c r="I136" s="682"/>
      <c r="J136" s="682"/>
      <c r="K136" s="496"/>
      <c r="L136" s="682"/>
      <c r="M136" s="682"/>
      <c r="N136" s="496"/>
      <c r="O136" s="682"/>
      <c r="P136" s="682"/>
      <c r="Q136" s="532">
        <f>SUM(Q137:Q141)</f>
        <v>38.1</v>
      </c>
      <c r="R136" s="532"/>
      <c r="S136" s="532">
        <f>Q136</f>
        <v>38.1</v>
      </c>
      <c r="T136" s="682"/>
      <c r="U136" s="682"/>
      <c r="V136" s="496"/>
      <c r="W136" s="682"/>
      <c r="X136" s="682"/>
      <c r="Y136" s="496"/>
      <c r="Z136" s="1245">
        <f t="shared" si="5"/>
        <v>38.1</v>
      </c>
      <c r="AA136" s="1245" t="str">
        <f t="shared" si="6"/>
        <v>-</v>
      </c>
      <c r="AB136" s="1870"/>
      <c r="AC136" s="491" t="s">
        <v>1665</v>
      </c>
      <c r="AF136" s="466"/>
      <c r="AG136" s="465"/>
      <c r="AH136" s="465"/>
    </row>
    <row r="137" spans="1:34" s="1876" customFormat="1" hidden="1" x14ac:dyDescent="0.25">
      <c r="A137" s="541"/>
      <c r="B137" s="1871" t="s">
        <v>1737</v>
      </c>
      <c r="C137" s="1872"/>
      <c r="D137" s="541"/>
      <c r="E137" s="1040" t="s">
        <v>318</v>
      </c>
      <c r="F137" s="1873"/>
      <c r="G137" s="1873"/>
      <c r="H137" s="908"/>
      <c r="I137" s="1873"/>
      <c r="J137" s="1873"/>
      <c r="K137" s="908"/>
      <c r="L137" s="1873"/>
      <c r="M137" s="1873"/>
      <c r="N137" s="908"/>
      <c r="O137" s="1873">
        <v>1</v>
      </c>
      <c r="P137" s="1873">
        <v>10</v>
      </c>
      <c r="Q137" s="908">
        <f>O137*P137</f>
        <v>10</v>
      </c>
      <c r="R137" s="908"/>
      <c r="S137" s="908">
        <f t="shared" ref="S137:S146" si="30">Q137</f>
        <v>10</v>
      </c>
      <c r="T137" s="1873"/>
      <c r="U137" s="1873"/>
      <c r="V137" s="908"/>
      <c r="W137" s="1873"/>
      <c r="X137" s="1873"/>
      <c r="Y137" s="908"/>
      <c r="Z137" s="1874">
        <f t="shared" si="5"/>
        <v>10</v>
      </c>
      <c r="AA137" s="1874" t="str">
        <f t="shared" si="6"/>
        <v>-</v>
      </c>
      <c r="AB137" s="3527" t="s">
        <v>1795</v>
      </c>
      <c r="AC137" s="1875" t="s">
        <v>1665</v>
      </c>
      <c r="AF137" s="1877"/>
      <c r="AG137" s="379"/>
      <c r="AH137" s="379"/>
    </row>
    <row r="138" spans="1:34" s="1876" customFormat="1" hidden="1" x14ac:dyDescent="0.25">
      <c r="A138" s="541"/>
      <c r="B138" s="1871" t="s">
        <v>1754</v>
      </c>
      <c r="C138" s="1872"/>
      <c r="D138" s="541"/>
      <c r="E138" s="1040" t="s">
        <v>318</v>
      </c>
      <c r="F138" s="1873"/>
      <c r="G138" s="1873"/>
      <c r="H138" s="908"/>
      <c r="I138" s="1873"/>
      <c r="J138" s="1873"/>
      <c r="K138" s="908"/>
      <c r="L138" s="1873"/>
      <c r="M138" s="1873"/>
      <c r="N138" s="908"/>
      <c r="O138" s="1873">
        <v>2</v>
      </c>
      <c r="P138" s="1873">
        <v>5</v>
      </c>
      <c r="Q138" s="908">
        <f>O138*P138</f>
        <v>10</v>
      </c>
      <c r="R138" s="908"/>
      <c r="S138" s="908">
        <f t="shared" si="30"/>
        <v>10</v>
      </c>
      <c r="T138" s="1873"/>
      <c r="U138" s="1873"/>
      <c r="V138" s="908"/>
      <c r="W138" s="1873"/>
      <c r="X138" s="1873"/>
      <c r="Y138" s="908"/>
      <c r="Z138" s="1874">
        <f t="shared" ref="Z138:Z174" si="31">Q138-K138</f>
        <v>10</v>
      </c>
      <c r="AA138" s="1874" t="str">
        <f t="shared" ref="AA138:AA174" si="32">IFERROR(Q138/K138*100,"-")</f>
        <v>-</v>
      </c>
      <c r="AB138" s="3528"/>
      <c r="AC138" s="1875" t="s">
        <v>1665</v>
      </c>
      <c r="AF138" s="1877"/>
      <c r="AG138" s="1878">
        <f>Q135-[17]ПГ!$Q$187</f>
        <v>2.5</v>
      </c>
      <c r="AH138" s="379"/>
    </row>
    <row r="139" spans="1:34" s="1876" customFormat="1" hidden="1" x14ac:dyDescent="0.25">
      <c r="A139" s="541"/>
      <c r="B139" s="1879" t="s">
        <v>1796</v>
      </c>
      <c r="C139" s="1872"/>
      <c r="D139" s="541"/>
      <c r="E139" s="1040" t="s">
        <v>318</v>
      </c>
      <c r="F139" s="1873"/>
      <c r="G139" s="1873"/>
      <c r="H139" s="908"/>
      <c r="I139" s="1873"/>
      <c r="J139" s="1873"/>
      <c r="K139" s="908"/>
      <c r="L139" s="1873"/>
      <c r="M139" s="1873"/>
      <c r="N139" s="908"/>
      <c r="O139" s="1873">
        <v>1</v>
      </c>
      <c r="P139" s="1873">
        <v>10</v>
      </c>
      <c r="Q139" s="908">
        <f>O139*P139</f>
        <v>10</v>
      </c>
      <c r="R139" s="908"/>
      <c r="S139" s="908">
        <f t="shared" si="30"/>
        <v>10</v>
      </c>
      <c r="T139" s="1873"/>
      <c r="U139" s="1873"/>
      <c r="V139" s="908"/>
      <c r="W139" s="1873"/>
      <c r="X139" s="1873"/>
      <c r="Y139" s="908"/>
      <c r="Z139" s="1874">
        <f t="shared" si="31"/>
        <v>10</v>
      </c>
      <c r="AA139" s="1874" t="str">
        <f t="shared" si="32"/>
        <v>-</v>
      </c>
      <c r="AB139" s="3529"/>
      <c r="AC139" s="1875" t="s">
        <v>1665</v>
      </c>
      <c r="AF139" s="1877"/>
      <c r="AG139" s="379"/>
      <c r="AH139" s="379"/>
    </row>
    <row r="140" spans="1:34" s="1876" customFormat="1" hidden="1" x14ac:dyDescent="0.25">
      <c r="A140" s="541"/>
      <c r="B140" s="1879" t="s">
        <v>1797</v>
      </c>
      <c r="C140" s="1872"/>
      <c r="D140" s="541"/>
      <c r="E140" s="1040" t="s">
        <v>318</v>
      </c>
      <c r="F140" s="1873"/>
      <c r="G140" s="1873"/>
      <c r="H140" s="908"/>
      <c r="I140" s="1873"/>
      <c r="J140" s="1873"/>
      <c r="K140" s="908"/>
      <c r="L140" s="1873"/>
      <c r="M140" s="1873"/>
      <c r="N140" s="908"/>
      <c r="O140" s="1873"/>
      <c r="P140" s="1873"/>
      <c r="Q140" s="908">
        <f>O140*P140</f>
        <v>0</v>
      </c>
      <c r="R140" s="908"/>
      <c r="S140" s="908">
        <f t="shared" si="30"/>
        <v>0</v>
      </c>
      <c r="T140" s="1873"/>
      <c r="U140" s="1873"/>
      <c r="V140" s="908"/>
      <c r="W140" s="1873"/>
      <c r="X140" s="1873"/>
      <c r="Y140" s="908"/>
      <c r="Z140" s="1874">
        <f t="shared" si="31"/>
        <v>0</v>
      </c>
      <c r="AA140" s="1874" t="str">
        <f t="shared" si="32"/>
        <v>-</v>
      </c>
      <c r="AB140" s="1870"/>
      <c r="AC140" s="1875" t="s">
        <v>1665</v>
      </c>
      <c r="AF140" s="1877"/>
      <c r="AG140" s="379"/>
      <c r="AH140" s="379"/>
    </row>
    <row r="141" spans="1:34" s="1876" customFormat="1" hidden="1" x14ac:dyDescent="0.25">
      <c r="A141" s="541"/>
      <c r="B141" s="1880" t="s">
        <v>1729</v>
      </c>
      <c r="C141" s="1872"/>
      <c r="D141" s="541"/>
      <c r="E141" s="1040"/>
      <c r="F141" s="1873"/>
      <c r="G141" s="1873"/>
      <c r="H141" s="908"/>
      <c r="I141" s="1873"/>
      <c r="J141" s="1873"/>
      <c r="K141" s="908"/>
      <c r="L141" s="1873"/>
      <c r="M141" s="1873"/>
      <c r="N141" s="908"/>
      <c r="O141" s="1873"/>
      <c r="P141" s="1873"/>
      <c r="Q141" s="908">
        <f>SUM(Q137:Q140)*0.271</f>
        <v>8.1</v>
      </c>
      <c r="R141" s="908"/>
      <c r="S141" s="908">
        <f t="shared" si="30"/>
        <v>8.1</v>
      </c>
      <c r="T141" s="1873"/>
      <c r="U141" s="1873"/>
      <c r="V141" s="908"/>
      <c r="W141" s="1873"/>
      <c r="X141" s="1873"/>
      <c r="Y141" s="908"/>
      <c r="Z141" s="1874">
        <f t="shared" si="31"/>
        <v>8.1</v>
      </c>
      <c r="AA141" s="1874" t="str">
        <f t="shared" si="32"/>
        <v>-</v>
      </c>
      <c r="AB141" s="1870"/>
      <c r="AC141" s="1875" t="s">
        <v>1665</v>
      </c>
      <c r="AF141" s="1877"/>
      <c r="AG141" s="379"/>
      <c r="AH141" s="379"/>
    </row>
    <row r="142" spans="1:34" s="1876" customFormat="1" x14ac:dyDescent="0.25">
      <c r="A142" s="541"/>
      <c r="B142" s="876" t="s">
        <v>1798</v>
      </c>
      <c r="C142" s="508" t="s">
        <v>797</v>
      </c>
      <c r="D142" s="962"/>
      <c r="E142" s="535" t="s">
        <v>227</v>
      </c>
      <c r="F142" s="682"/>
      <c r="G142" s="682"/>
      <c r="H142" s="496"/>
      <c r="I142" s="682"/>
      <c r="J142" s="682"/>
      <c r="K142" s="496"/>
      <c r="L142" s="682"/>
      <c r="M142" s="682"/>
      <c r="N142" s="496"/>
      <c r="O142" s="1825">
        <v>50</v>
      </c>
      <c r="P142" s="1825">
        <v>0.1</v>
      </c>
      <c r="Q142" s="532">
        <f>O142*P142</f>
        <v>5</v>
      </c>
      <c r="R142" s="532"/>
      <c r="S142" s="532">
        <f t="shared" si="30"/>
        <v>5</v>
      </c>
      <c r="T142" s="682"/>
      <c r="U142" s="1873"/>
      <c r="V142" s="908"/>
      <c r="W142" s="1873"/>
      <c r="X142" s="1873"/>
      <c r="Y142" s="908"/>
      <c r="Z142" s="1874">
        <f t="shared" si="31"/>
        <v>5</v>
      </c>
      <c r="AA142" s="1874" t="str">
        <f t="shared" si="32"/>
        <v>-</v>
      </c>
      <c r="AB142" s="1881" t="s">
        <v>1799</v>
      </c>
      <c r="AC142" s="1875" t="s">
        <v>1665</v>
      </c>
      <c r="AF142" s="1877"/>
      <c r="AG142" s="379"/>
      <c r="AH142" s="379"/>
    </row>
    <row r="143" spans="1:34" s="1876" customFormat="1" ht="28.5" hidden="1" customHeight="1" x14ac:dyDescent="0.25">
      <c r="A143" s="541"/>
      <c r="B143" s="876" t="s">
        <v>1226</v>
      </c>
      <c r="C143" s="1882" t="s">
        <v>796</v>
      </c>
      <c r="D143" s="962"/>
      <c r="E143" s="535"/>
      <c r="F143" s="682"/>
      <c r="G143" s="682"/>
      <c r="H143" s="496"/>
      <c r="I143" s="682"/>
      <c r="J143" s="682"/>
      <c r="K143" s="496"/>
      <c r="L143" s="682"/>
      <c r="M143" s="682"/>
      <c r="N143" s="496"/>
      <c r="O143" s="682"/>
      <c r="P143" s="682"/>
      <c r="Q143" s="532">
        <f>SUM(Q144:Q144)</f>
        <v>30</v>
      </c>
      <c r="R143" s="532"/>
      <c r="S143" s="532">
        <f t="shared" si="30"/>
        <v>30</v>
      </c>
      <c r="T143" s="682"/>
      <c r="U143" s="1873"/>
      <c r="V143" s="908"/>
      <c r="W143" s="1873"/>
      <c r="X143" s="1873"/>
      <c r="Y143" s="908"/>
      <c r="Z143" s="1874">
        <f t="shared" si="31"/>
        <v>30</v>
      </c>
      <c r="AA143" s="1874" t="str">
        <f t="shared" si="32"/>
        <v>-</v>
      </c>
      <c r="AB143" s="3527" t="s">
        <v>1800</v>
      </c>
      <c r="AC143" s="1875" t="s">
        <v>1665</v>
      </c>
      <c r="AF143" s="1877"/>
      <c r="AG143" s="379"/>
      <c r="AH143" s="379"/>
    </row>
    <row r="144" spans="1:34" s="1876" customFormat="1" hidden="1" x14ac:dyDescent="0.25">
      <c r="A144" s="541"/>
      <c r="B144" s="1880" t="s">
        <v>1801</v>
      </c>
      <c r="C144" s="1872"/>
      <c r="D144" s="541"/>
      <c r="E144" s="1040" t="s">
        <v>227</v>
      </c>
      <c r="F144" s="1873"/>
      <c r="G144" s="1873"/>
      <c r="H144" s="908"/>
      <c r="I144" s="1873"/>
      <c r="J144" s="1873"/>
      <c r="K144" s="908"/>
      <c r="L144" s="1873"/>
      <c r="M144" s="1873"/>
      <c r="N144" s="908"/>
      <c r="O144" s="1873">
        <v>3</v>
      </c>
      <c r="P144" s="1873">
        <v>10</v>
      </c>
      <c r="Q144" s="908">
        <v>30</v>
      </c>
      <c r="R144" s="908"/>
      <c r="S144" s="908">
        <f t="shared" si="30"/>
        <v>30</v>
      </c>
      <c r="T144" s="1873"/>
      <c r="U144" s="1873"/>
      <c r="V144" s="908"/>
      <c r="W144" s="1873"/>
      <c r="X144" s="1873"/>
      <c r="Y144" s="908"/>
      <c r="Z144" s="1874">
        <f t="shared" si="31"/>
        <v>30</v>
      </c>
      <c r="AA144" s="1874" t="str">
        <f t="shared" si="32"/>
        <v>-</v>
      </c>
      <c r="AB144" s="3529"/>
      <c r="AC144" s="1875" t="s">
        <v>1665</v>
      </c>
      <c r="AF144" s="1877"/>
      <c r="AG144" s="379"/>
      <c r="AH144" s="379"/>
    </row>
    <row r="145" spans="1:34" s="498" customFormat="1" x14ac:dyDescent="0.25">
      <c r="A145" s="962"/>
      <c r="B145" s="876" t="s">
        <v>1741</v>
      </c>
      <c r="C145" s="508" t="s">
        <v>797</v>
      </c>
      <c r="D145" s="962"/>
      <c r="E145" s="535"/>
      <c r="F145" s="682"/>
      <c r="G145" s="682"/>
      <c r="H145" s="496"/>
      <c r="I145" s="682"/>
      <c r="J145" s="682"/>
      <c r="K145" s="496"/>
      <c r="L145" s="682"/>
      <c r="M145" s="682"/>
      <c r="N145" s="496"/>
      <c r="O145" s="682"/>
      <c r="P145" s="682"/>
      <c r="Q145" s="532">
        <f>Q146</f>
        <v>2</v>
      </c>
      <c r="R145" s="532"/>
      <c r="S145" s="532">
        <f t="shared" si="30"/>
        <v>2</v>
      </c>
      <c r="T145" s="682"/>
      <c r="U145" s="682"/>
      <c r="V145" s="496"/>
      <c r="W145" s="682"/>
      <c r="X145" s="682"/>
      <c r="Y145" s="496"/>
      <c r="Z145" s="1245">
        <f t="shared" si="31"/>
        <v>2</v>
      </c>
      <c r="AA145" s="1245" t="str">
        <f t="shared" si="32"/>
        <v>-</v>
      </c>
      <c r="AB145" s="1870"/>
      <c r="AC145" s="491" t="s">
        <v>1665</v>
      </c>
      <c r="AF145" s="466"/>
      <c r="AG145" s="465"/>
      <c r="AH145" s="465"/>
    </row>
    <row r="146" spans="1:34" s="498" customFormat="1" hidden="1" x14ac:dyDescent="0.25">
      <c r="A146" s="962"/>
      <c r="B146" s="502" t="s">
        <v>1769</v>
      </c>
      <c r="C146" s="499"/>
      <c r="D146" s="962"/>
      <c r="E146" s="535" t="s">
        <v>227</v>
      </c>
      <c r="F146" s="682"/>
      <c r="G146" s="682"/>
      <c r="H146" s="496"/>
      <c r="I146" s="682"/>
      <c r="J146" s="682"/>
      <c r="K146" s="496"/>
      <c r="L146" s="682"/>
      <c r="M146" s="682"/>
      <c r="N146" s="496"/>
      <c r="O146" s="682">
        <v>20</v>
      </c>
      <c r="P146" s="682">
        <v>0.1</v>
      </c>
      <c r="Q146" s="496">
        <f>O146*P146</f>
        <v>2</v>
      </c>
      <c r="R146" s="496"/>
      <c r="S146" s="496">
        <f t="shared" si="30"/>
        <v>2</v>
      </c>
      <c r="T146" s="682"/>
      <c r="U146" s="682"/>
      <c r="V146" s="496"/>
      <c r="W146" s="682"/>
      <c r="X146" s="682"/>
      <c r="Y146" s="496"/>
      <c r="Z146" s="1245">
        <f t="shared" si="31"/>
        <v>2</v>
      </c>
      <c r="AA146" s="1245" t="str">
        <f t="shared" si="32"/>
        <v>-</v>
      </c>
      <c r="AB146" s="1870"/>
      <c r="AC146" s="491" t="s">
        <v>1665</v>
      </c>
      <c r="AF146" s="466"/>
      <c r="AG146" s="465"/>
      <c r="AH146" s="465"/>
    </row>
    <row r="147" spans="1:34" s="517" customFormat="1" ht="14.25" hidden="1" x14ac:dyDescent="0.2">
      <c r="A147" s="487"/>
      <c r="B147" s="543" t="s">
        <v>1802</v>
      </c>
      <c r="C147" s="511"/>
      <c r="D147" s="487"/>
      <c r="E147" s="490"/>
      <c r="F147" s="832"/>
      <c r="G147" s="833"/>
      <c r="H147" s="513" t="e">
        <f>#REF!+#REF!+H148</f>
        <v>#REF!</v>
      </c>
      <c r="I147" s="513"/>
      <c r="J147" s="513"/>
      <c r="K147" s="513">
        <f>K148</f>
        <v>27</v>
      </c>
      <c r="L147" s="513"/>
      <c r="M147" s="513"/>
      <c r="N147" s="513">
        <f>N148</f>
        <v>27</v>
      </c>
      <c r="O147" s="513"/>
      <c r="P147" s="513"/>
      <c r="Q147" s="513">
        <f>Q148</f>
        <v>62</v>
      </c>
      <c r="R147" s="513">
        <f>R148</f>
        <v>62</v>
      </c>
      <c r="S147" s="513">
        <f>S148</f>
        <v>0</v>
      </c>
      <c r="T147" s="513"/>
      <c r="U147" s="513"/>
      <c r="V147" s="513">
        <f>V148</f>
        <v>50.9</v>
      </c>
      <c r="W147" s="513"/>
      <c r="X147" s="513"/>
      <c r="Y147" s="513">
        <f>Y148</f>
        <v>50.9</v>
      </c>
      <c r="Z147" s="513">
        <f t="shared" si="31"/>
        <v>35</v>
      </c>
      <c r="AA147" s="513">
        <f t="shared" si="32"/>
        <v>229.6</v>
      </c>
      <c r="AB147" s="897"/>
      <c r="AC147" s="515"/>
      <c r="AF147" s="518"/>
      <c r="AG147" s="519"/>
      <c r="AH147" s="519"/>
    </row>
    <row r="148" spans="1:34" s="527" customFormat="1" ht="38.25" hidden="1" x14ac:dyDescent="0.2">
      <c r="A148" s="522"/>
      <c r="B148" s="520" t="s">
        <v>1664</v>
      </c>
      <c r="C148" s="521"/>
      <c r="D148" s="522" t="s">
        <v>1444</v>
      </c>
      <c r="E148" s="522"/>
      <c r="F148" s="851"/>
      <c r="G148" s="852"/>
      <c r="H148" s="526">
        <f>H155+H157</f>
        <v>29</v>
      </c>
      <c r="I148" s="853"/>
      <c r="J148" s="853"/>
      <c r="K148" s="526">
        <f>K155+K156+K157</f>
        <v>27</v>
      </c>
      <c r="L148" s="853"/>
      <c r="M148" s="853"/>
      <c r="N148" s="526">
        <f>N155+N156+N157</f>
        <v>27</v>
      </c>
      <c r="O148" s="853"/>
      <c r="P148" s="853"/>
      <c r="Q148" s="526">
        <f>Q149+Q155+Q156+Q157</f>
        <v>62</v>
      </c>
      <c r="R148" s="526">
        <f t="shared" ref="R148:R211" si="33">Q148</f>
        <v>62</v>
      </c>
      <c r="S148" s="526"/>
      <c r="T148" s="853"/>
      <c r="U148" s="853"/>
      <c r="V148" s="526">
        <f>V149+V155+V156+V157</f>
        <v>50.9</v>
      </c>
      <c r="W148" s="853"/>
      <c r="X148" s="853"/>
      <c r="Y148" s="526">
        <f>Y149+Y155+Y156+Y157</f>
        <v>50.9</v>
      </c>
      <c r="Z148" s="526">
        <f t="shared" si="31"/>
        <v>35</v>
      </c>
      <c r="AA148" s="526">
        <f t="shared" si="32"/>
        <v>229.6</v>
      </c>
      <c r="AB148" s="1883"/>
      <c r="AC148" s="549" t="s">
        <v>1665</v>
      </c>
      <c r="AF148" s="528"/>
      <c r="AG148" s="528"/>
      <c r="AH148" s="528"/>
    </row>
    <row r="149" spans="1:34" s="492" customFormat="1" ht="14.25" hidden="1" x14ac:dyDescent="0.2">
      <c r="A149" s="1240"/>
      <c r="B149" s="1861" t="s">
        <v>1233</v>
      </c>
      <c r="C149" s="501" t="s">
        <v>1230</v>
      </c>
      <c r="D149" s="1240"/>
      <c r="E149" s="1240"/>
      <c r="F149" s="530"/>
      <c r="G149" s="531"/>
      <c r="H149" s="542"/>
      <c r="I149" s="493"/>
      <c r="J149" s="493"/>
      <c r="K149" s="542"/>
      <c r="L149" s="493"/>
      <c r="M149" s="493"/>
      <c r="N149" s="542"/>
      <c r="O149" s="493"/>
      <c r="P149" s="493"/>
      <c r="Q149" s="542">
        <f>SUM(Q150:Q154)</f>
        <v>30.2</v>
      </c>
      <c r="R149" s="542">
        <f t="shared" si="33"/>
        <v>30.2</v>
      </c>
      <c r="S149" s="542"/>
      <c r="T149" s="493"/>
      <c r="U149" s="493"/>
      <c r="V149" s="542">
        <f>SUM(V150:V154)</f>
        <v>19.100000000000001</v>
      </c>
      <c r="W149" s="493"/>
      <c r="X149" s="493"/>
      <c r="Y149" s="542">
        <f>SUM(Y150:Y154)</f>
        <v>19.100000000000001</v>
      </c>
      <c r="Z149" s="542">
        <f t="shared" si="31"/>
        <v>30.2</v>
      </c>
      <c r="AA149" s="542" t="str">
        <f t="shared" si="32"/>
        <v>-</v>
      </c>
      <c r="AB149" s="1884" t="s">
        <v>1803</v>
      </c>
      <c r="AC149" s="549" t="s">
        <v>1665</v>
      </c>
      <c r="AF149" s="466"/>
      <c r="AG149" s="466"/>
      <c r="AH149" s="466"/>
    </row>
    <row r="150" spans="1:34" s="492" customFormat="1" ht="14.25" hidden="1" x14ac:dyDescent="0.2">
      <c r="A150" s="1240"/>
      <c r="B150" s="1885" t="s">
        <v>1804</v>
      </c>
      <c r="C150" s="501"/>
      <c r="D150" s="1240"/>
      <c r="E150" s="962" t="s">
        <v>318</v>
      </c>
      <c r="F150" s="530"/>
      <c r="G150" s="531"/>
      <c r="H150" s="542"/>
      <c r="I150" s="493"/>
      <c r="J150" s="493"/>
      <c r="K150" s="542"/>
      <c r="L150" s="493"/>
      <c r="M150" s="493"/>
      <c r="N150" s="542"/>
      <c r="O150" s="1886">
        <v>1</v>
      </c>
      <c r="P150" s="1245">
        <v>2.2999999999999998</v>
      </c>
      <c r="Q150" s="857">
        <f>O150*P150</f>
        <v>2.2999999999999998</v>
      </c>
      <c r="R150" s="857">
        <f t="shared" si="33"/>
        <v>2.2999999999999998</v>
      </c>
      <c r="S150" s="857"/>
      <c r="T150" s="1886">
        <v>1</v>
      </c>
      <c r="U150" s="1245">
        <v>2.2999999999999998</v>
      </c>
      <c r="V150" s="857">
        <f>T150*U150</f>
        <v>2.2999999999999998</v>
      </c>
      <c r="W150" s="1886">
        <v>1</v>
      </c>
      <c r="X150" s="1245">
        <v>2.2999999999999998</v>
      </c>
      <c r="Y150" s="857">
        <f>W150*X150</f>
        <v>2.2999999999999998</v>
      </c>
      <c r="Z150" s="542">
        <f t="shared" si="31"/>
        <v>2.2999999999999998</v>
      </c>
      <c r="AA150" s="542" t="str">
        <f t="shared" si="32"/>
        <v>-</v>
      </c>
      <c r="AB150" s="1884" t="s">
        <v>1805</v>
      </c>
      <c r="AC150" s="491" t="s">
        <v>1665</v>
      </c>
      <c r="AF150" s="466"/>
      <c r="AG150" s="466"/>
      <c r="AH150" s="466"/>
    </row>
    <row r="151" spans="1:34" s="492" customFormat="1" ht="52.5" hidden="1" customHeight="1" x14ac:dyDescent="0.2">
      <c r="A151" s="1240"/>
      <c r="B151" s="1885" t="s">
        <v>1757</v>
      </c>
      <c r="C151" s="501"/>
      <c r="D151" s="1240"/>
      <c r="E151" s="962" t="s">
        <v>318</v>
      </c>
      <c r="F151" s="530"/>
      <c r="G151" s="531"/>
      <c r="H151" s="542"/>
      <c r="I151" s="493"/>
      <c r="J151" s="493"/>
      <c r="K151" s="542"/>
      <c r="L151" s="493"/>
      <c r="M151" s="493"/>
      <c r="N151" s="542"/>
      <c r="O151" s="1886">
        <v>2</v>
      </c>
      <c r="P151" s="1245">
        <v>3.5</v>
      </c>
      <c r="Q151" s="857">
        <f t="shared" ref="Q151:Q152" si="34">O151*P151</f>
        <v>7</v>
      </c>
      <c r="R151" s="857">
        <f t="shared" si="33"/>
        <v>7</v>
      </c>
      <c r="S151" s="857"/>
      <c r="T151" s="1886">
        <v>2</v>
      </c>
      <c r="U151" s="1245">
        <v>3.5</v>
      </c>
      <c r="V151" s="857">
        <f t="shared" ref="V151:V152" si="35">T151*U151</f>
        <v>7</v>
      </c>
      <c r="W151" s="1886">
        <v>2</v>
      </c>
      <c r="X151" s="1245">
        <v>3.5</v>
      </c>
      <c r="Y151" s="857">
        <f t="shared" ref="Y151:Y152" si="36">W151*X151</f>
        <v>7</v>
      </c>
      <c r="Z151" s="542">
        <f t="shared" si="31"/>
        <v>7</v>
      </c>
      <c r="AA151" s="542" t="str">
        <f t="shared" si="32"/>
        <v>-</v>
      </c>
      <c r="AB151" s="1884" t="s">
        <v>1806</v>
      </c>
      <c r="AC151" s="491" t="s">
        <v>1665</v>
      </c>
      <c r="AF151" s="466"/>
      <c r="AG151" s="466"/>
      <c r="AH151" s="466"/>
    </row>
    <row r="152" spans="1:34" s="492" customFormat="1" ht="72" hidden="1" customHeight="1" x14ac:dyDescent="0.2">
      <c r="A152" s="1240"/>
      <c r="B152" s="1885" t="s">
        <v>1807</v>
      </c>
      <c r="C152" s="501"/>
      <c r="D152" s="1240"/>
      <c r="E152" s="962" t="s">
        <v>318</v>
      </c>
      <c r="F152" s="530"/>
      <c r="G152" s="531"/>
      <c r="H152" s="542"/>
      <c r="I152" s="493"/>
      <c r="J152" s="493"/>
      <c r="K152" s="542"/>
      <c r="L152" s="493"/>
      <c r="M152" s="493"/>
      <c r="N152" s="542"/>
      <c r="O152" s="1886">
        <v>1</v>
      </c>
      <c r="P152" s="1245">
        <v>4</v>
      </c>
      <c r="Q152" s="857">
        <f t="shared" si="34"/>
        <v>4</v>
      </c>
      <c r="R152" s="857">
        <f t="shared" si="33"/>
        <v>4</v>
      </c>
      <c r="S152" s="857"/>
      <c r="T152" s="1886">
        <v>1</v>
      </c>
      <c r="U152" s="1245">
        <v>4</v>
      </c>
      <c r="V152" s="857">
        <f t="shared" si="35"/>
        <v>4</v>
      </c>
      <c r="W152" s="1886">
        <v>1</v>
      </c>
      <c r="X152" s="1245">
        <v>4</v>
      </c>
      <c r="Y152" s="857">
        <f t="shared" si="36"/>
        <v>4</v>
      </c>
      <c r="Z152" s="542">
        <f t="shared" si="31"/>
        <v>4</v>
      </c>
      <c r="AA152" s="542" t="str">
        <f t="shared" si="32"/>
        <v>-</v>
      </c>
      <c r="AB152" s="901" t="s">
        <v>1808</v>
      </c>
      <c r="AC152" s="491" t="s">
        <v>1665</v>
      </c>
      <c r="AF152" s="466"/>
      <c r="AG152" s="466"/>
      <c r="AH152" s="466"/>
    </row>
    <row r="153" spans="1:34" s="492" customFormat="1" ht="38.25" hidden="1" x14ac:dyDescent="0.2">
      <c r="A153" s="1240"/>
      <c r="B153" s="1862" t="s">
        <v>1809</v>
      </c>
      <c r="C153" s="501"/>
      <c r="D153" s="1240"/>
      <c r="E153" s="1240" t="s">
        <v>318</v>
      </c>
      <c r="F153" s="530"/>
      <c r="G153" s="531"/>
      <c r="H153" s="542"/>
      <c r="I153" s="493"/>
      <c r="J153" s="493"/>
      <c r="K153" s="542"/>
      <c r="L153" s="493"/>
      <c r="M153" s="493"/>
      <c r="N153" s="542"/>
      <c r="O153" s="1886">
        <v>3</v>
      </c>
      <c r="P153" s="1245">
        <v>3.5</v>
      </c>
      <c r="Q153" s="857">
        <f>O153*P153</f>
        <v>10.5</v>
      </c>
      <c r="R153" s="857">
        <f t="shared" si="33"/>
        <v>10.5</v>
      </c>
      <c r="S153" s="857"/>
      <c r="T153" s="1245">
        <v>2</v>
      </c>
      <c r="U153" s="1245">
        <v>2.2999999999999998</v>
      </c>
      <c r="V153" s="857">
        <f>T153*U153</f>
        <v>4.5999999999999996</v>
      </c>
      <c r="W153" s="1245">
        <v>2</v>
      </c>
      <c r="X153" s="1245">
        <v>2.2999999999999998</v>
      </c>
      <c r="Y153" s="857">
        <f>W153*X153</f>
        <v>4.5999999999999996</v>
      </c>
      <c r="Z153" s="542">
        <f t="shared" si="31"/>
        <v>10.5</v>
      </c>
      <c r="AA153" s="542" t="str">
        <f t="shared" si="32"/>
        <v>-</v>
      </c>
      <c r="AB153" s="1839" t="s">
        <v>1810</v>
      </c>
      <c r="AC153" s="491" t="s">
        <v>1665</v>
      </c>
      <c r="AF153" s="466"/>
      <c r="AG153" s="466"/>
      <c r="AH153" s="466"/>
    </row>
    <row r="154" spans="1:34" s="492" customFormat="1" ht="14.25" hidden="1" x14ac:dyDescent="0.2">
      <c r="A154" s="1240"/>
      <c r="B154" s="881" t="s">
        <v>1729</v>
      </c>
      <c r="C154" s="501"/>
      <c r="D154" s="1240"/>
      <c r="E154" s="1240"/>
      <c r="F154" s="530"/>
      <c r="G154" s="531"/>
      <c r="H154" s="542"/>
      <c r="I154" s="493"/>
      <c r="J154" s="493"/>
      <c r="K154" s="542"/>
      <c r="L154" s="493"/>
      <c r="M154" s="493"/>
      <c r="N154" s="542"/>
      <c r="O154" s="493"/>
      <c r="P154" s="493"/>
      <c r="Q154" s="857">
        <f>SUM(Q150:Q153)*0.271</f>
        <v>6.4</v>
      </c>
      <c r="R154" s="857">
        <f t="shared" si="33"/>
        <v>6.4</v>
      </c>
      <c r="S154" s="857"/>
      <c r="T154" s="493"/>
      <c r="U154" s="493"/>
      <c r="V154" s="857">
        <f>SUM(V153)*0.271</f>
        <v>1.2</v>
      </c>
      <c r="W154" s="493"/>
      <c r="X154" s="493"/>
      <c r="Y154" s="857">
        <f>SUM(Y153)*0.271</f>
        <v>1.2</v>
      </c>
      <c r="Z154" s="542">
        <f t="shared" si="31"/>
        <v>6.4</v>
      </c>
      <c r="AA154" s="542" t="str">
        <f t="shared" si="32"/>
        <v>-</v>
      </c>
      <c r="AB154" s="1884"/>
      <c r="AC154" s="549" t="s">
        <v>1665</v>
      </c>
      <c r="AF154" s="466"/>
      <c r="AG154" s="466"/>
      <c r="AH154" s="466"/>
    </row>
    <row r="155" spans="1:34" s="498" customFormat="1" hidden="1" x14ac:dyDescent="0.25">
      <c r="A155" s="962"/>
      <c r="B155" s="502" t="s">
        <v>1811</v>
      </c>
      <c r="C155" s="501" t="s">
        <v>796</v>
      </c>
      <c r="D155" s="903"/>
      <c r="E155" s="962" t="s">
        <v>227</v>
      </c>
      <c r="F155" s="494">
        <v>240</v>
      </c>
      <c r="G155" s="495">
        <v>0.1</v>
      </c>
      <c r="H155" s="559">
        <f>F155*G155</f>
        <v>24</v>
      </c>
      <c r="I155" s="1245">
        <v>120</v>
      </c>
      <c r="J155" s="1245">
        <v>0.2</v>
      </c>
      <c r="K155" s="559">
        <f>I155*J155</f>
        <v>24</v>
      </c>
      <c r="L155" s="1245">
        <v>120</v>
      </c>
      <c r="M155" s="1245">
        <v>0.2</v>
      </c>
      <c r="N155" s="559">
        <f>L155*M155</f>
        <v>24</v>
      </c>
      <c r="O155" s="1245">
        <v>96</v>
      </c>
      <c r="P155" s="1245">
        <v>0.3</v>
      </c>
      <c r="Q155" s="533">
        <f>O155*P155</f>
        <v>28.8</v>
      </c>
      <c r="R155" s="533">
        <f t="shared" si="33"/>
        <v>28.8</v>
      </c>
      <c r="S155" s="533"/>
      <c r="T155" s="1245">
        <v>96</v>
      </c>
      <c r="U155" s="1245">
        <v>0.3</v>
      </c>
      <c r="V155" s="533">
        <f>T155*U155</f>
        <v>28.8</v>
      </c>
      <c r="W155" s="1245">
        <v>96</v>
      </c>
      <c r="X155" s="1245">
        <v>0.3</v>
      </c>
      <c r="Y155" s="533">
        <f>W155*X155</f>
        <v>28.8</v>
      </c>
      <c r="Z155" s="559">
        <f t="shared" si="31"/>
        <v>4.8</v>
      </c>
      <c r="AA155" s="559">
        <f t="shared" si="32"/>
        <v>120</v>
      </c>
      <c r="AB155" s="893"/>
      <c r="AC155" s="549" t="s">
        <v>1665</v>
      </c>
      <c r="AF155" s="466"/>
      <c r="AG155" s="465"/>
      <c r="AH155" s="465"/>
    </row>
    <row r="156" spans="1:34" s="498" customFormat="1" ht="25.5" x14ac:dyDescent="0.25">
      <c r="A156" s="962"/>
      <c r="B156" s="502" t="s">
        <v>1812</v>
      </c>
      <c r="C156" s="501" t="s">
        <v>797</v>
      </c>
      <c r="D156" s="903"/>
      <c r="E156" s="962" t="s">
        <v>227</v>
      </c>
      <c r="F156" s="494"/>
      <c r="G156" s="495"/>
      <c r="H156" s="559"/>
      <c r="I156" s="1245">
        <v>10</v>
      </c>
      <c r="J156" s="1245">
        <v>0.1</v>
      </c>
      <c r="K156" s="559">
        <f>I156*J156</f>
        <v>1</v>
      </c>
      <c r="L156" s="1245">
        <v>10</v>
      </c>
      <c r="M156" s="1245">
        <v>0.1</v>
      </c>
      <c r="N156" s="559">
        <f>L156*M156</f>
        <v>1</v>
      </c>
      <c r="O156" s="1245">
        <v>10</v>
      </c>
      <c r="P156" s="1245">
        <v>0.1</v>
      </c>
      <c r="Q156" s="533">
        <f>O156*P156</f>
        <v>1</v>
      </c>
      <c r="R156" s="533">
        <f t="shared" si="33"/>
        <v>1</v>
      </c>
      <c r="S156" s="533"/>
      <c r="T156" s="1245">
        <v>10</v>
      </c>
      <c r="U156" s="1245">
        <v>0.1</v>
      </c>
      <c r="V156" s="533">
        <f>T156*U156</f>
        <v>1</v>
      </c>
      <c r="W156" s="1245">
        <v>10</v>
      </c>
      <c r="X156" s="1245">
        <v>0.1</v>
      </c>
      <c r="Y156" s="533">
        <f>W156*X156</f>
        <v>1</v>
      </c>
      <c r="Z156" s="559">
        <f t="shared" si="31"/>
        <v>0</v>
      </c>
      <c r="AA156" s="559">
        <f t="shared" si="32"/>
        <v>100</v>
      </c>
      <c r="AB156" s="893"/>
      <c r="AC156" s="549" t="s">
        <v>1665</v>
      </c>
      <c r="AF156" s="466"/>
      <c r="AG156" s="465"/>
      <c r="AH156" s="465"/>
    </row>
    <row r="157" spans="1:34" s="498" customFormat="1" ht="38.25" x14ac:dyDescent="0.25">
      <c r="A157" s="962"/>
      <c r="B157" s="502" t="s">
        <v>1813</v>
      </c>
      <c r="C157" s="501" t="s">
        <v>797</v>
      </c>
      <c r="D157" s="903"/>
      <c r="E157" s="962" t="s">
        <v>227</v>
      </c>
      <c r="F157" s="494">
        <v>25</v>
      </c>
      <c r="G157" s="495">
        <v>0.2</v>
      </c>
      <c r="H157" s="1245">
        <f>F157*G157</f>
        <v>5</v>
      </c>
      <c r="I157" s="1245">
        <v>20</v>
      </c>
      <c r="J157" s="1245">
        <v>0.1</v>
      </c>
      <c r="K157" s="559">
        <f>I157*J157</f>
        <v>2</v>
      </c>
      <c r="L157" s="1245">
        <v>20</v>
      </c>
      <c r="M157" s="1245">
        <v>0.1</v>
      </c>
      <c r="N157" s="559">
        <f>L157*M157</f>
        <v>2</v>
      </c>
      <c r="O157" s="1245">
        <v>20</v>
      </c>
      <c r="P157" s="1245">
        <v>0.1</v>
      </c>
      <c r="Q157" s="533">
        <f>O157*P157</f>
        <v>2</v>
      </c>
      <c r="R157" s="533">
        <f t="shared" si="33"/>
        <v>2</v>
      </c>
      <c r="S157" s="533"/>
      <c r="T157" s="1245">
        <v>20</v>
      </c>
      <c r="U157" s="1245">
        <v>0.1</v>
      </c>
      <c r="V157" s="533">
        <f>T157*U157</f>
        <v>2</v>
      </c>
      <c r="W157" s="1245">
        <v>20</v>
      </c>
      <c r="X157" s="1245">
        <v>0.1</v>
      </c>
      <c r="Y157" s="533">
        <f>W157*X157</f>
        <v>2</v>
      </c>
      <c r="Z157" s="559">
        <f t="shared" si="31"/>
        <v>0</v>
      </c>
      <c r="AA157" s="559">
        <f t="shared" si="32"/>
        <v>100</v>
      </c>
      <c r="AB157" s="1887" t="s">
        <v>1814</v>
      </c>
      <c r="AC157" s="549" t="s">
        <v>1665</v>
      </c>
      <c r="AF157" s="466"/>
      <c r="AG157" s="465"/>
      <c r="AH157" s="465"/>
    </row>
    <row r="158" spans="1:34" s="517" customFormat="1" ht="14.25" hidden="1" x14ac:dyDescent="0.2">
      <c r="A158" s="487"/>
      <c r="B158" s="543" t="s">
        <v>1241</v>
      </c>
      <c r="C158" s="511"/>
      <c r="D158" s="487"/>
      <c r="E158" s="554"/>
      <c r="F158" s="488"/>
      <c r="G158" s="489"/>
      <c r="H158" s="513" t="e">
        <f>#REF!+#REF!+H159+#REF!</f>
        <v>#REF!</v>
      </c>
      <c r="I158" s="490"/>
      <c r="J158" s="490"/>
      <c r="K158" s="513">
        <f>K159</f>
        <v>53.1</v>
      </c>
      <c r="L158" s="490"/>
      <c r="M158" s="490"/>
      <c r="N158" s="513">
        <f>N159</f>
        <v>53.1</v>
      </c>
      <c r="O158" s="490"/>
      <c r="P158" s="490"/>
      <c r="Q158" s="513">
        <f>Q159</f>
        <v>70.2</v>
      </c>
      <c r="R158" s="513">
        <f t="shared" si="33"/>
        <v>70.2</v>
      </c>
      <c r="S158" s="513"/>
      <c r="T158" s="490"/>
      <c r="U158" s="490"/>
      <c r="V158" s="513">
        <f>V159</f>
        <v>70.2</v>
      </c>
      <c r="W158" s="513"/>
      <c r="X158" s="513"/>
      <c r="Y158" s="513">
        <f>Y159</f>
        <v>70.2</v>
      </c>
      <c r="Z158" s="513">
        <f t="shared" si="31"/>
        <v>17.100000000000001</v>
      </c>
      <c r="AA158" s="513">
        <f t="shared" si="32"/>
        <v>132.19999999999999</v>
      </c>
      <c r="AB158" s="897"/>
      <c r="AC158" s="515"/>
      <c r="AF158" s="519"/>
      <c r="AG158" s="519"/>
      <c r="AH158" s="519"/>
    </row>
    <row r="159" spans="1:34" s="527" customFormat="1" ht="38.25" hidden="1" x14ac:dyDescent="0.2">
      <c r="A159" s="522"/>
      <c r="B159" s="520" t="s">
        <v>1664</v>
      </c>
      <c r="C159" s="521"/>
      <c r="D159" s="1888" t="s">
        <v>1444</v>
      </c>
      <c r="E159" s="522"/>
      <c r="F159" s="851"/>
      <c r="G159" s="852"/>
      <c r="H159" s="853">
        <f>H160+H164+H167+H170+H180+H181</f>
        <v>58.9</v>
      </c>
      <c r="I159" s="853"/>
      <c r="J159" s="853"/>
      <c r="K159" s="853">
        <f>K160+K164+K167+K170+K180+K181</f>
        <v>53.1</v>
      </c>
      <c r="L159" s="853"/>
      <c r="M159" s="853"/>
      <c r="N159" s="853">
        <f>N160+N164+N167+N170+N180+N181</f>
        <v>53.1</v>
      </c>
      <c r="O159" s="853"/>
      <c r="P159" s="853"/>
      <c r="Q159" s="853">
        <f>Q160+Q164+Q167+Q170+Q180+Q181</f>
        <v>70.2</v>
      </c>
      <c r="R159" s="853">
        <f t="shared" si="33"/>
        <v>70.2</v>
      </c>
      <c r="S159" s="853"/>
      <c r="T159" s="853"/>
      <c r="U159" s="853"/>
      <c r="V159" s="853">
        <f>V160+V164+V167+V170+V180+V181</f>
        <v>70.2</v>
      </c>
      <c r="W159" s="853"/>
      <c r="X159" s="853"/>
      <c r="Y159" s="853">
        <f>Y160+Y164+Y167+Y170+Y180+Y181</f>
        <v>70.2</v>
      </c>
      <c r="Z159" s="853">
        <f t="shared" si="31"/>
        <v>17.100000000000001</v>
      </c>
      <c r="AA159" s="853">
        <f t="shared" si="32"/>
        <v>132.19999999999999</v>
      </c>
      <c r="AB159" s="907"/>
      <c r="AC159" s="549" t="s">
        <v>1665</v>
      </c>
      <c r="AF159" s="528"/>
      <c r="AG159" s="528"/>
      <c r="AH159" s="528"/>
    </row>
    <row r="160" spans="1:34" s="492" customFormat="1" ht="14.25" x14ac:dyDescent="0.2">
      <c r="A160" s="1240"/>
      <c r="B160" s="500" t="s">
        <v>1226</v>
      </c>
      <c r="C160" s="501" t="s">
        <v>797</v>
      </c>
      <c r="D160" s="552"/>
      <c r="E160" s="1240"/>
      <c r="F160" s="530"/>
      <c r="G160" s="531"/>
      <c r="H160" s="493">
        <f>H163</f>
        <v>9.6</v>
      </c>
      <c r="I160" s="532"/>
      <c r="J160" s="532"/>
      <c r="K160" s="532">
        <f>K163</f>
        <v>4.8</v>
      </c>
      <c r="L160" s="532"/>
      <c r="M160" s="532"/>
      <c r="N160" s="532">
        <f>N163</f>
        <v>4.8</v>
      </c>
      <c r="O160" s="532"/>
      <c r="P160" s="532"/>
      <c r="Q160" s="532">
        <f>Q163+Q161+Q162</f>
        <v>2</v>
      </c>
      <c r="R160" s="532">
        <f t="shared" si="33"/>
        <v>2</v>
      </c>
      <c r="S160" s="532"/>
      <c r="T160" s="532"/>
      <c r="U160" s="532"/>
      <c r="V160" s="532">
        <f>V163+V161+V162</f>
        <v>2</v>
      </c>
      <c r="W160" s="532"/>
      <c r="X160" s="532"/>
      <c r="Y160" s="532">
        <f>Y163+Y161+Y162</f>
        <v>2</v>
      </c>
      <c r="Z160" s="493">
        <f t="shared" si="31"/>
        <v>-2.8</v>
      </c>
      <c r="AA160" s="493">
        <f t="shared" si="32"/>
        <v>41.7</v>
      </c>
      <c r="AB160" s="827"/>
      <c r="AC160" s="549" t="s">
        <v>1665</v>
      </c>
      <c r="AF160" s="466"/>
      <c r="AG160" s="466"/>
      <c r="AH160" s="466"/>
    </row>
    <row r="161" spans="1:34" s="492" customFormat="1" ht="38.25" hidden="1" x14ac:dyDescent="0.2">
      <c r="A161" s="1240"/>
      <c r="B161" s="500" t="s">
        <v>1815</v>
      </c>
      <c r="C161" s="501"/>
      <c r="D161" s="932"/>
      <c r="E161" s="873" t="s">
        <v>1238</v>
      </c>
      <c r="F161" s="530"/>
      <c r="G161" s="531"/>
      <c r="H161" s="493"/>
      <c r="I161" s="532"/>
      <c r="J161" s="532"/>
      <c r="K161" s="532"/>
      <c r="L161" s="532"/>
      <c r="M161" s="532"/>
      <c r="N161" s="532"/>
      <c r="O161" s="496">
        <v>2</v>
      </c>
      <c r="P161" s="496">
        <v>1</v>
      </c>
      <c r="Q161" s="496">
        <f>O161*P161</f>
        <v>2</v>
      </c>
      <c r="R161" s="496">
        <f t="shared" si="33"/>
        <v>2</v>
      </c>
      <c r="S161" s="496"/>
      <c r="T161" s="496">
        <v>2</v>
      </c>
      <c r="U161" s="496">
        <v>1</v>
      </c>
      <c r="V161" s="496">
        <f>T161*U161</f>
        <v>2</v>
      </c>
      <c r="W161" s="496">
        <v>2</v>
      </c>
      <c r="X161" s="496">
        <v>1</v>
      </c>
      <c r="Y161" s="496">
        <f>W161*X161</f>
        <v>2</v>
      </c>
      <c r="Z161" s="493">
        <f t="shared" si="31"/>
        <v>2</v>
      </c>
      <c r="AA161" s="493" t="str">
        <f t="shared" si="32"/>
        <v>-</v>
      </c>
      <c r="AB161" s="827" t="s">
        <v>1816</v>
      </c>
      <c r="AC161" s="549" t="s">
        <v>1665</v>
      </c>
      <c r="AF161" s="466"/>
      <c r="AG161" s="466"/>
      <c r="AH161" s="466"/>
    </row>
    <row r="162" spans="1:34" s="492" customFormat="1" ht="25.5" hidden="1" x14ac:dyDescent="0.2">
      <c r="A162" s="1240"/>
      <c r="B162" s="502" t="s">
        <v>1817</v>
      </c>
      <c r="C162" s="501"/>
      <c r="D162" s="932"/>
      <c r="E162" s="873" t="s">
        <v>1238</v>
      </c>
      <c r="F162" s="530"/>
      <c r="G162" s="531"/>
      <c r="H162" s="493"/>
      <c r="I162" s="532"/>
      <c r="J162" s="532"/>
      <c r="K162" s="532"/>
      <c r="L162" s="532"/>
      <c r="M162" s="532"/>
      <c r="N162" s="532"/>
      <c r="O162" s="496"/>
      <c r="P162" s="496"/>
      <c r="Q162" s="496"/>
      <c r="R162" s="496">
        <f t="shared" si="33"/>
        <v>0</v>
      </c>
      <c r="S162" s="496"/>
      <c r="T162" s="496"/>
      <c r="U162" s="496"/>
      <c r="V162" s="496"/>
      <c r="W162" s="496"/>
      <c r="X162" s="496"/>
      <c r="Y162" s="496"/>
      <c r="Z162" s="493">
        <f t="shared" si="31"/>
        <v>0</v>
      </c>
      <c r="AA162" s="493" t="str">
        <f t="shared" si="32"/>
        <v>-</v>
      </c>
      <c r="AB162" s="827" t="s">
        <v>1818</v>
      </c>
      <c r="AC162" s="549" t="s">
        <v>1665</v>
      </c>
      <c r="AF162" s="466"/>
      <c r="AG162" s="466"/>
      <c r="AH162" s="466"/>
    </row>
    <row r="163" spans="1:34" s="498" customFormat="1" hidden="1" x14ac:dyDescent="0.25">
      <c r="A163" s="962"/>
      <c r="B163" s="856" t="s">
        <v>1819</v>
      </c>
      <c r="C163" s="499"/>
      <c r="D163" s="903"/>
      <c r="E163" s="962"/>
      <c r="F163" s="1834">
        <v>1</v>
      </c>
      <c r="G163" s="495">
        <v>9.6</v>
      </c>
      <c r="H163" s="1245">
        <f>F163*G163</f>
        <v>9.6</v>
      </c>
      <c r="I163" s="1835">
        <v>1</v>
      </c>
      <c r="J163" s="496">
        <v>4.8</v>
      </c>
      <c r="K163" s="496">
        <f>I163*J163</f>
        <v>4.8</v>
      </c>
      <c r="L163" s="1835">
        <v>1</v>
      </c>
      <c r="M163" s="496">
        <v>4.8</v>
      </c>
      <c r="N163" s="496">
        <f>L163*M163</f>
        <v>4.8</v>
      </c>
      <c r="O163" s="1835"/>
      <c r="P163" s="496"/>
      <c r="Q163" s="496"/>
      <c r="R163" s="496">
        <f t="shared" si="33"/>
        <v>0</v>
      </c>
      <c r="S163" s="496"/>
      <c r="T163" s="1835"/>
      <c r="U163" s="496"/>
      <c r="V163" s="496"/>
      <c r="W163" s="1835"/>
      <c r="X163" s="496"/>
      <c r="Y163" s="496"/>
      <c r="Z163" s="1245">
        <f t="shared" si="31"/>
        <v>-4.8</v>
      </c>
      <c r="AA163" s="1245">
        <f t="shared" si="32"/>
        <v>0</v>
      </c>
      <c r="AB163" s="827"/>
      <c r="AC163" s="549" t="s">
        <v>1665</v>
      </c>
      <c r="AF163" s="466"/>
      <c r="AG163" s="465"/>
      <c r="AH163" s="465"/>
    </row>
    <row r="164" spans="1:34" s="492" customFormat="1" ht="25.5" x14ac:dyDescent="0.2">
      <c r="A164" s="1240"/>
      <c r="B164" s="500" t="s">
        <v>1239</v>
      </c>
      <c r="C164" s="501" t="s">
        <v>797</v>
      </c>
      <c r="D164" s="932"/>
      <c r="E164" s="1240"/>
      <c r="F164" s="530"/>
      <c r="G164" s="531"/>
      <c r="H164" s="493">
        <f>SUM(H165:H166)</f>
        <v>7.2</v>
      </c>
      <c r="I164" s="532"/>
      <c r="J164" s="532"/>
      <c r="K164" s="532">
        <f>SUM(K165:K166)</f>
        <v>1.6</v>
      </c>
      <c r="L164" s="532"/>
      <c r="M164" s="532"/>
      <c r="N164" s="532">
        <f>SUM(N165:N166)</f>
        <v>1.6</v>
      </c>
      <c r="O164" s="532"/>
      <c r="P164" s="532"/>
      <c r="Q164" s="532">
        <f>SUM(Q165:Q166)</f>
        <v>2</v>
      </c>
      <c r="R164" s="532">
        <f t="shared" si="33"/>
        <v>2</v>
      </c>
      <c r="S164" s="532"/>
      <c r="T164" s="532"/>
      <c r="U164" s="532"/>
      <c r="V164" s="532">
        <f>SUM(V165:V166)</f>
        <v>2</v>
      </c>
      <c r="W164" s="532"/>
      <c r="X164" s="532"/>
      <c r="Y164" s="532">
        <f>SUM(Y165:Y166)</f>
        <v>2</v>
      </c>
      <c r="Z164" s="493">
        <f t="shared" si="31"/>
        <v>0.4</v>
      </c>
      <c r="AA164" s="493">
        <f t="shared" si="32"/>
        <v>125</v>
      </c>
      <c r="AB164" s="827"/>
      <c r="AC164" s="549" t="s">
        <v>1665</v>
      </c>
      <c r="AF164" s="466"/>
      <c r="AG164" s="466"/>
      <c r="AH164" s="466"/>
    </row>
    <row r="165" spans="1:34" s="498" customFormat="1" ht="127.5" hidden="1" x14ac:dyDescent="0.25">
      <c r="A165" s="962"/>
      <c r="B165" s="502" t="s">
        <v>1769</v>
      </c>
      <c r="C165" s="499"/>
      <c r="D165" s="903"/>
      <c r="E165" s="962" t="s">
        <v>227</v>
      </c>
      <c r="F165" s="494">
        <v>32</v>
      </c>
      <c r="G165" s="495">
        <v>0.1</v>
      </c>
      <c r="H165" s="1245">
        <f>F165*G165</f>
        <v>3.2</v>
      </c>
      <c r="I165" s="496">
        <v>16</v>
      </c>
      <c r="J165" s="883">
        <v>0.1</v>
      </c>
      <c r="K165" s="496">
        <f>I165*J165</f>
        <v>1.6</v>
      </c>
      <c r="L165" s="496">
        <v>16</v>
      </c>
      <c r="M165" s="883">
        <v>0.1</v>
      </c>
      <c r="N165" s="496">
        <f>L165*M165</f>
        <v>1.6</v>
      </c>
      <c r="O165" s="496">
        <v>20</v>
      </c>
      <c r="P165" s="496">
        <v>0.1</v>
      </c>
      <c r="Q165" s="496">
        <f>O165*P165</f>
        <v>2</v>
      </c>
      <c r="R165" s="496">
        <f t="shared" si="33"/>
        <v>2</v>
      </c>
      <c r="S165" s="496"/>
      <c r="T165" s="496">
        <v>20</v>
      </c>
      <c r="U165" s="496">
        <v>0.1</v>
      </c>
      <c r="V165" s="496">
        <f>T165*U165</f>
        <v>2</v>
      </c>
      <c r="W165" s="496">
        <v>20</v>
      </c>
      <c r="X165" s="496">
        <v>0.1</v>
      </c>
      <c r="Y165" s="496">
        <f>W165*X165</f>
        <v>2</v>
      </c>
      <c r="Z165" s="1245">
        <f t="shared" si="31"/>
        <v>0.4</v>
      </c>
      <c r="AA165" s="1245">
        <f t="shared" si="32"/>
        <v>125</v>
      </c>
      <c r="AB165" s="900" t="s">
        <v>1820</v>
      </c>
      <c r="AC165" s="549" t="s">
        <v>1665</v>
      </c>
      <c r="AF165" s="466"/>
      <c r="AG165" s="465"/>
      <c r="AH165" s="465"/>
    </row>
    <row r="166" spans="1:34" s="498" customFormat="1" hidden="1" x14ac:dyDescent="0.25">
      <c r="A166" s="962"/>
      <c r="B166" s="856" t="s">
        <v>1821</v>
      </c>
      <c r="C166" s="499"/>
      <c r="D166" s="903"/>
      <c r="E166" s="962" t="s">
        <v>1240</v>
      </c>
      <c r="F166" s="494">
        <v>40</v>
      </c>
      <c r="G166" s="495">
        <v>0.1</v>
      </c>
      <c r="H166" s="1245">
        <f>F166*G166</f>
        <v>4</v>
      </c>
      <c r="I166" s="496"/>
      <c r="J166" s="496"/>
      <c r="K166" s="496">
        <f>I166*J166</f>
        <v>0</v>
      </c>
      <c r="L166" s="496"/>
      <c r="M166" s="496"/>
      <c r="N166" s="496">
        <f>L166*M166</f>
        <v>0</v>
      </c>
      <c r="O166" s="496"/>
      <c r="P166" s="496"/>
      <c r="Q166" s="496"/>
      <c r="R166" s="496">
        <f t="shared" si="33"/>
        <v>0</v>
      </c>
      <c r="S166" s="496"/>
      <c r="T166" s="496"/>
      <c r="U166" s="496"/>
      <c r="V166" s="496"/>
      <c r="W166" s="496"/>
      <c r="X166" s="496"/>
      <c r="Y166" s="496"/>
      <c r="Z166" s="1245">
        <f t="shared" si="31"/>
        <v>0</v>
      </c>
      <c r="AA166" s="1245" t="str">
        <f t="shared" si="32"/>
        <v>-</v>
      </c>
      <c r="AB166" s="827"/>
      <c r="AC166" s="549" t="s">
        <v>1665</v>
      </c>
      <c r="AF166" s="466"/>
      <c r="AG166" s="465"/>
      <c r="AH166" s="465"/>
    </row>
    <row r="167" spans="1:34" s="492" customFormat="1" ht="14.25" hidden="1" x14ac:dyDescent="0.2">
      <c r="A167" s="1240"/>
      <c r="B167" s="500" t="s">
        <v>1822</v>
      </c>
      <c r="C167" s="501" t="s">
        <v>796</v>
      </c>
      <c r="D167" s="932"/>
      <c r="E167" s="1240"/>
      <c r="F167" s="530"/>
      <c r="G167" s="531"/>
      <c r="H167" s="493">
        <f>SUM(H168:H169)</f>
        <v>6</v>
      </c>
      <c r="I167" s="532"/>
      <c r="J167" s="532"/>
      <c r="K167" s="532">
        <f>SUM(K168:K169)</f>
        <v>9</v>
      </c>
      <c r="L167" s="532"/>
      <c r="M167" s="532"/>
      <c r="N167" s="532">
        <f>SUM(N168:N169)</f>
        <v>9</v>
      </c>
      <c r="O167" s="532"/>
      <c r="P167" s="532"/>
      <c r="Q167" s="532">
        <f>SUM(Q168:Q169)</f>
        <v>9</v>
      </c>
      <c r="R167" s="532">
        <f t="shared" si="33"/>
        <v>9</v>
      </c>
      <c r="S167" s="532"/>
      <c r="T167" s="532"/>
      <c r="U167" s="532"/>
      <c r="V167" s="532">
        <f>SUM(V168:V169)</f>
        <v>9</v>
      </c>
      <c r="W167" s="532"/>
      <c r="X167" s="532"/>
      <c r="Y167" s="532">
        <f>SUM(Y168:Y169)</f>
        <v>9</v>
      </c>
      <c r="Z167" s="493">
        <f t="shared" si="31"/>
        <v>0</v>
      </c>
      <c r="AA167" s="493">
        <f t="shared" si="32"/>
        <v>100</v>
      </c>
      <c r="AB167" s="901"/>
      <c r="AC167" s="549" t="s">
        <v>1665</v>
      </c>
      <c r="AF167" s="466"/>
      <c r="AG167" s="466"/>
      <c r="AH167" s="466"/>
    </row>
    <row r="168" spans="1:34" s="498" customFormat="1" hidden="1" x14ac:dyDescent="0.25">
      <c r="A168" s="962"/>
      <c r="B168" s="502" t="s">
        <v>1823</v>
      </c>
      <c r="C168" s="503"/>
      <c r="D168" s="903"/>
      <c r="E168" s="962" t="s">
        <v>227</v>
      </c>
      <c r="F168" s="494">
        <v>6</v>
      </c>
      <c r="G168" s="495">
        <v>0.5</v>
      </c>
      <c r="H168" s="1245">
        <f>F168*G168</f>
        <v>3</v>
      </c>
      <c r="I168" s="496">
        <v>6</v>
      </c>
      <c r="J168" s="496">
        <v>0.5</v>
      </c>
      <c r="K168" s="496">
        <f>I168*J168</f>
        <v>3</v>
      </c>
      <c r="L168" s="496">
        <v>6</v>
      </c>
      <c r="M168" s="496">
        <v>0.5</v>
      </c>
      <c r="N168" s="496">
        <f>L168*M168</f>
        <v>3</v>
      </c>
      <c r="O168" s="496">
        <v>6</v>
      </c>
      <c r="P168" s="496">
        <v>0.5</v>
      </c>
      <c r="Q168" s="496">
        <f>O168*P168</f>
        <v>3</v>
      </c>
      <c r="R168" s="496">
        <f t="shared" si="33"/>
        <v>3</v>
      </c>
      <c r="S168" s="496"/>
      <c r="T168" s="496">
        <v>6</v>
      </c>
      <c r="U168" s="496">
        <v>0.5</v>
      </c>
      <c r="V168" s="496">
        <f>T168*U168</f>
        <v>3</v>
      </c>
      <c r="W168" s="496">
        <v>6</v>
      </c>
      <c r="X168" s="496">
        <v>0.5</v>
      </c>
      <c r="Y168" s="496">
        <f>W168*X168</f>
        <v>3</v>
      </c>
      <c r="Z168" s="1245">
        <f t="shared" si="31"/>
        <v>0</v>
      </c>
      <c r="AA168" s="1245">
        <f t="shared" si="32"/>
        <v>100</v>
      </c>
      <c r="AB168" s="901"/>
      <c r="AC168" s="549" t="s">
        <v>1665</v>
      </c>
      <c r="AF168" s="466"/>
      <c r="AG168" s="465"/>
      <c r="AH168" s="465"/>
    </row>
    <row r="169" spans="1:34" s="498" customFormat="1" hidden="1" x14ac:dyDescent="0.25">
      <c r="A169" s="962"/>
      <c r="B169" s="502" t="s">
        <v>1824</v>
      </c>
      <c r="C169" s="503"/>
      <c r="D169" s="903"/>
      <c r="E169" s="962" t="s">
        <v>227</v>
      </c>
      <c r="F169" s="494">
        <v>30</v>
      </c>
      <c r="G169" s="495">
        <v>0.1</v>
      </c>
      <c r="H169" s="1245">
        <f>F169*G169</f>
        <v>3</v>
      </c>
      <c r="I169" s="496">
        <v>60</v>
      </c>
      <c r="J169" s="496">
        <v>0.1</v>
      </c>
      <c r="K169" s="496">
        <f>I169*J169</f>
        <v>6</v>
      </c>
      <c r="L169" s="496">
        <v>60</v>
      </c>
      <c r="M169" s="496">
        <v>0.1</v>
      </c>
      <c r="N169" s="496">
        <f>L169*M169</f>
        <v>6</v>
      </c>
      <c r="O169" s="496">
        <v>60</v>
      </c>
      <c r="P169" s="496">
        <v>0.1</v>
      </c>
      <c r="Q169" s="496">
        <f>O169*P169</f>
        <v>6</v>
      </c>
      <c r="R169" s="496">
        <f t="shared" si="33"/>
        <v>6</v>
      </c>
      <c r="S169" s="496"/>
      <c r="T169" s="496">
        <v>60</v>
      </c>
      <c r="U169" s="496">
        <v>0.1</v>
      </c>
      <c r="V169" s="496">
        <f>T169*U169</f>
        <v>6</v>
      </c>
      <c r="W169" s="496">
        <v>60</v>
      </c>
      <c r="X169" s="496">
        <v>0.1</v>
      </c>
      <c r="Y169" s="496">
        <f>W169*X169</f>
        <v>6</v>
      </c>
      <c r="Z169" s="1245">
        <f t="shared" si="31"/>
        <v>0</v>
      </c>
      <c r="AA169" s="1245">
        <f t="shared" si="32"/>
        <v>100</v>
      </c>
      <c r="AB169" s="901"/>
      <c r="AC169" s="549" t="s">
        <v>1665</v>
      </c>
      <c r="AF169" s="466"/>
      <c r="AG169" s="465"/>
      <c r="AH169" s="465"/>
    </row>
    <row r="170" spans="1:34" s="492" customFormat="1" ht="14.25" hidden="1" x14ac:dyDescent="0.2">
      <c r="A170" s="1240"/>
      <c r="B170" s="500" t="s">
        <v>1233</v>
      </c>
      <c r="C170" s="501" t="s">
        <v>1230</v>
      </c>
      <c r="D170" s="932"/>
      <c r="E170" s="1240"/>
      <c r="F170" s="530"/>
      <c r="G170" s="531"/>
      <c r="H170" s="493">
        <f>SUM(H171:H179)</f>
        <v>18.7</v>
      </c>
      <c r="I170" s="532"/>
      <c r="J170" s="532"/>
      <c r="K170" s="532">
        <f>SUM(K171:K179)</f>
        <v>17.899999999999999</v>
      </c>
      <c r="L170" s="532"/>
      <c r="M170" s="532"/>
      <c r="N170" s="532">
        <f>SUM(N171:N179)</f>
        <v>17.899999999999999</v>
      </c>
      <c r="O170" s="532"/>
      <c r="P170" s="532"/>
      <c r="Q170" s="532">
        <f>SUM(Q171:Q179)</f>
        <v>37.4</v>
      </c>
      <c r="R170" s="532">
        <f t="shared" si="33"/>
        <v>37.4</v>
      </c>
      <c r="S170" s="532"/>
      <c r="T170" s="532"/>
      <c r="U170" s="532"/>
      <c r="V170" s="532">
        <f>SUM(V171:V179)</f>
        <v>37.4</v>
      </c>
      <c r="W170" s="532"/>
      <c r="X170" s="532"/>
      <c r="Y170" s="532">
        <f>SUM(Y171:Y179)</f>
        <v>37.4</v>
      </c>
      <c r="Z170" s="493">
        <f t="shared" si="31"/>
        <v>19.5</v>
      </c>
      <c r="AA170" s="493">
        <f t="shared" si="32"/>
        <v>208.9</v>
      </c>
      <c r="AB170" s="893"/>
      <c r="AC170" s="549" t="s">
        <v>1665</v>
      </c>
      <c r="AF170" s="466"/>
      <c r="AG170" s="466"/>
      <c r="AH170" s="466"/>
    </row>
    <row r="171" spans="1:34" s="498" customFormat="1" hidden="1" x14ac:dyDescent="0.25">
      <c r="A171" s="962"/>
      <c r="B171" s="502" t="s">
        <v>1737</v>
      </c>
      <c r="C171" s="503"/>
      <c r="D171" s="903"/>
      <c r="E171" s="962" t="s">
        <v>318</v>
      </c>
      <c r="F171" s="494">
        <v>1</v>
      </c>
      <c r="G171" s="495">
        <v>3.5</v>
      </c>
      <c r="H171" s="1245">
        <f>F171*G171</f>
        <v>3.5</v>
      </c>
      <c r="I171" s="496">
        <v>1</v>
      </c>
      <c r="J171" s="496">
        <v>3.5</v>
      </c>
      <c r="K171" s="496">
        <f>I171*J171</f>
        <v>3.5</v>
      </c>
      <c r="L171" s="496">
        <v>1</v>
      </c>
      <c r="M171" s="496">
        <v>3.5</v>
      </c>
      <c r="N171" s="496">
        <f>L171*M171</f>
        <v>3.5</v>
      </c>
      <c r="O171" s="496">
        <v>1</v>
      </c>
      <c r="P171" s="496">
        <v>3.5</v>
      </c>
      <c r="Q171" s="496">
        <f>O171*P171</f>
        <v>3.5</v>
      </c>
      <c r="R171" s="496">
        <f t="shared" si="33"/>
        <v>3.5</v>
      </c>
      <c r="S171" s="496"/>
      <c r="T171" s="496">
        <v>1</v>
      </c>
      <c r="U171" s="496">
        <v>3.5</v>
      </c>
      <c r="V171" s="496">
        <f>T171*U171</f>
        <v>3.5</v>
      </c>
      <c r="W171" s="496">
        <v>1</v>
      </c>
      <c r="X171" s="496">
        <v>3.5</v>
      </c>
      <c r="Y171" s="496">
        <f>W171*X171</f>
        <v>3.5</v>
      </c>
      <c r="Z171" s="1245">
        <f t="shared" si="31"/>
        <v>0</v>
      </c>
      <c r="AA171" s="1245">
        <f t="shared" si="32"/>
        <v>100</v>
      </c>
      <c r="AB171" s="893"/>
      <c r="AC171" s="549" t="s">
        <v>1665</v>
      </c>
      <c r="AF171" s="466"/>
      <c r="AG171" s="465"/>
      <c r="AH171" s="465"/>
    </row>
    <row r="172" spans="1:34" s="498" customFormat="1" hidden="1" x14ac:dyDescent="0.25">
      <c r="A172" s="962"/>
      <c r="B172" s="502" t="s">
        <v>1755</v>
      </c>
      <c r="C172" s="503"/>
      <c r="D172" s="903"/>
      <c r="E172" s="962" t="s">
        <v>318</v>
      </c>
      <c r="F172" s="494">
        <v>4</v>
      </c>
      <c r="G172" s="495">
        <v>1.73</v>
      </c>
      <c r="H172" s="1245">
        <f>F172*G172</f>
        <v>6.9</v>
      </c>
      <c r="I172" s="496">
        <v>4</v>
      </c>
      <c r="J172" s="496">
        <v>1.7</v>
      </c>
      <c r="K172" s="496">
        <f>I172*J172</f>
        <v>6.8</v>
      </c>
      <c r="L172" s="496">
        <v>4</v>
      </c>
      <c r="M172" s="496">
        <v>1.7</v>
      </c>
      <c r="N172" s="496">
        <f>L172*M172</f>
        <v>6.8</v>
      </c>
      <c r="O172" s="496">
        <v>4</v>
      </c>
      <c r="P172" s="496">
        <v>1.7</v>
      </c>
      <c r="Q172" s="496">
        <f>O172*P172</f>
        <v>6.8</v>
      </c>
      <c r="R172" s="496">
        <f t="shared" si="33"/>
        <v>6.8</v>
      </c>
      <c r="S172" s="496"/>
      <c r="T172" s="496">
        <v>4</v>
      </c>
      <c r="U172" s="496">
        <v>1.7</v>
      </c>
      <c r="V172" s="496">
        <f>T172*U172</f>
        <v>6.8</v>
      </c>
      <c r="W172" s="496">
        <v>4</v>
      </c>
      <c r="X172" s="496">
        <v>1.7</v>
      </c>
      <c r="Y172" s="496">
        <f>W172*X172</f>
        <v>6.8</v>
      </c>
      <c r="Z172" s="1245">
        <f t="shared" si="31"/>
        <v>0</v>
      </c>
      <c r="AA172" s="1245">
        <f t="shared" si="32"/>
        <v>100</v>
      </c>
      <c r="AB172" s="893"/>
      <c r="AC172" s="549" t="s">
        <v>1665</v>
      </c>
      <c r="AF172" s="466"/>
      <c r="AG172" s="465"/>
      <c r="AH172" s="465"/>
    </row>
    <row r="173" spans="1:34" s="498" customFormat="1" hidden="1" x14ac:dyDescent="0.25">
      <c r="A173" s="962"/>
      <c r="B173" s="502" t="s">
        <v>1754</v>
      </c>
      <c r="C173" s="503"/>
      <c r="D173" s="903"/>
      <c r="E173" s="962" t="s">
        <v>318</v>
      </c>
      <c r="F173" s="494">
        <v>1</v>
      </c>
      <c r="G173" s="495">
        <v>2.2999999999999998</v>
      </c>
      <c r="H173" s="1245">
        <f>F173*G173</f>
        <v>2.2999999999999998</v>
      </c>
      <c r="I173" s="496">
        <v>1</v>
      </c>
      <c r="J173" s="496">
        <v>2.2999999999999998</v>
      </c>
      <c r="K173" s="496">
        <f>I173*J173</f>
        <v>2.2999999999999998</v>
      </c>
      <c r="L173" s="496">
        <v>1</v>
      </c>
      <c r="M173" s="496">
        <v>2.2999999999999998</v>
      </c>
      <c r="N173" s="496">
        <f>L173*M173</f>
        <v>2.2999999999999998</v>
      </c>
      <c r="O173" s="496">
        <v>1</v>
      </c>
      <c r="P173" s="496">
        <v>2.2999999999999998</v>
      </c>
      <c r="Q173" s="496">
        <f>O173*P173</f>
        <v>2.2999999999999998</v>
      </c>
      <c r="R173" s="496">
        <f t="shared" si="33"/>
        <v>2.2999999999999998</v>
      </c>
      <c r="S173" s="496"/>
      <c r="T173" s="496">
        <v>1</v>
      </c>
      <c r="U173" s="496">
        <v>2.2999999999999998</v>
      </c>
      <c r="V173" s="496">
        <f>T173*U173</f>
        <v>2.2999999999999998</v>
      </c>
      <c r="W173" s="496">
        <v>1</v>
      </c>
      <c r="X173" s="496">
        <v>2.2999999999999998</v>
      </c>
      <c r="Y173" s="496">
        <f>W173*X173</f>
        <v>2.2999999999999998</v>
      </c>
      <c r="Z173" s="1245">
        <f t="shared" si="31"/>
        <v>0</v>
      </c>
      <c r="AA173" s="1245">
        <f t="shared" si="32"/>
        <v>100</v>
      </c>
      <c r="AB173" s="893"/>
      <c r="AC173" s="549" t="s">
        <v>1665</v>
      </c>
      <c r="AF173" s="466"/>
      <c r="AG173" s="465"/>
      <c r="AH173" s="465"/>
    </row>
    <row r="174" spans="1:34" s="498" customFormat="1" hidden="1" x14ac:dyDescent="0.25">
      <c r="A174" s="962"/>
      <c r="B174" s="502" t="s">
        <v>1825</v>
      </c>
      <c r="C174" s="503"/>
      <c r="D174" s="903"/>
      <c r="E174" s="962" t="s">
        <v>318</v>
      </c>
      <c r="F174" s="494">
        <v>1</v>
      </c>
      <c r="G174" s="495">
        <v>2</v>
      </c>
      <c r="H174" s="1245">
        <f>F174*G174</f>
        <v>2</v>
      </c>
      <c r="I174" s="496">
        <v>1</v>
      </c>
      <c r="J174" s="496">
        <v>2</v>
      </c>
      <c r="K174" s="496">
        <v>1.5</v>
      </c>
      <c r="L174" s="496">
        <v>1</v>
      </c>
      <c r="M174" s="496">
        <v>2</v>
      </c>
      <c r="N174" s="496">
        <v>1.5</v>
      </c>
      <c r="O174" s="496"/>
      <c r="P174" s="496"/>
      <c r="Q174" s="496"/>
      <c r="R174" s="496">
        <f t="shared" si="33"/>
        <v>0</v>
      </c>
      <c r="S174" s="496"/>
      <c r="T174" s="496"/>
      <c r="U174" s="496"/>
      <c r="V174" s="496"/>
      <c r="W174" s="496"/>
      <c r="X174" s="496"/>
      <c r="Y174" s="496"/>
      <c r="Z174" s="1245">
        <f t="shared" si="31"/>
        <v>-1.5</v>
      </c>
      <c r="AA174" s="1245">
        <f t="shared" si="32"/>
        <v>0</v>
      </c>
      <c r="AB174" s="893"/>
      <c r="AC174" s="549" t="s">
        <v>1665</v>
      </c>
      <c r="AF174" s="466"/>
      <c r="AG174" s="465"/>
      <c r="AH174" s="465"/>
    </row>
    <row r="175" spans="1:34" s="498" customFormat="1" hidden="1" x14ac:dyDescent="0.25">
      <c r="A175" s="962"/>
      <c r="B175" s="502" t="s">
        <v>1826</v>
      </c>
      <c r="C175" s="503"/>
      <c r="D175" s="903"/>
      <c r="E175" s="962" t="s">
        <v>318</v>
      </c>
      <c r="F175" s="496"/>
      <c r="G175" s="496"/>
      <c r="H175" s="496"/>
      <c r="I175" s="496"/>
      <c r="J175" s="496"/>
      <c r="K175" s="496"/>
      <c r="L175" s="496"/>
      <c r="M175" s="496"/>
      <c r="N175" s="496"/>
      <c r="O175" s="1886">
        <v>1</v>
      </c>
      <c r="P175" s="496">
        <v>2.2999999999999998</v>
      </c>
      <c r="Q175" s="496">
        <f>O175*P175</f>
        <v>2.2999999999999998</v>
      </c>
      <c r="R175" s="496">
        <f t="shared" si="33"/>
        <v>2.2999999999999998</v>
      </c>
      <c r="S175" s="496"/>
      <c r="T175" s="1886">
        <v>1</v>
      </c>
      <c r="U175" s="496">
        <v>2.2999999999999998</v>
      </c>
      <c r="V175" s="496">
        <f>T175*U175</f>
        <v>2.2999999999999998</v>
      </c>
      <c r="W175" s="1886">
        <v>1</v>
      </c>
      <c r="X175" s="496">
        <v>2.2999999999999998</v>
      </c>
      <c r="Y175" s="496">
        <f>W175*X175</f>
        <v>2.2999999999999998</v>
      </c>
      <c r="Z175" s="496"/>
      <c r="AA175" s="496"/>
      <c r="AB175" s="3514" t="s">
        <v>1803</v>
      </c>
      <c r="AC175" s="491" t="s">
        <v>1665</v>
      </c>
      <c r="AF175" s="466"/>
      <c r="AG175" s="465"/>
      <c r="AH175" s="465"/>
    </row>
    <row r="176" spans="1:34" s="498" customFormat="1" ht="25.5" hidden="1" x14ac:dyDescent="0.25">
      <c r="A176" s="962"/>
      <c r="B176" s="1885" t="s">
        <v>1757</v>
      </c>
      <c r="C176" s="503"/>
      <c r="D176" s="903"/>
      <c r="E176" s="962" t="s">
        <v>318</v>
      </c>
      <c r="F176" s="496"/>
      <c r="G176" s="496"/>
      <c r="H176" s="496"/>
      <c r="I176" s="496"/>
      <c r="J176" s="496"/>
      <c r="K176" s="496"/>
      <c r="L176" s="496"/>
      <c r="M176" s="496"/>
      <c r="N176" s="496"/>
      <c r="O176" s="1886">
        <v>1</v>
      </c>
      <c r="P176" s="496">
        <v>3.5</v>
      </c>
      <c r="Q176" s="496">
        <f t="shared" ref="Q176:Q178" si="37">O176*P176</f>
        <v>3.5</v>
      </c>
      <c r="R176" s="496">
        <f t="shared" si="33"/>
        <v>3.5</v>
      </c>
      <c r="S176" s="496"/>
      <c r="T176" s="1886">
        <v>1</v>
      </c>
      <c r="U176" s="496">
        <v>3.5</v>
      </c>
      <c r="V176" s="496">
        <f t="shared" ref="V176:V178" si="38">T176*U176</f>
        <v>3.5</v>
      </c>
      <c r="W176" s="1886">
        <v>1</v>
      </c>
      <c r="X176" s="496">
        <v>3.5</v>
      </c>
      <c r="Y176" s="496">
        <f t="shared" ref="Y176:Y178" si="39">W176*X176</f>
        <v>3.5</v>
      </c>
      <c r="Z176" s="496"/>
      <c r="AA176" s="496"/>
      <c r="AB176" s="3515"/>
      <c r="AC176" s="491" t="s">
        <v>1665</v>
      </c>
      <c r="AF176" s="466"/>
      <c r="AG176" s="465"/>
      <c r="AH176" s="465"/>
    </row>
    <row r="177" spans="1:34" s="498" customFormat="1" hidden="1" x14ac:dyDescent="0.25">
      <c r="A177" s="962"/>
      <c r="B177" s="1885" t="s">
        <v>1827</v>
      </c>
      <c r="C177" s="503"/>
      <c r="D177" s="903"/>
      <c r="E177" s="962" t="s">
        <v>318</v>
      </c>
      <c r="F177" s="496"/>
      <c r="G177" s="496"/>
      <c r="H177" s="496"/>
      <c r="I177" s="496"/>
      <c r="J177" s="496"/>
      <c r="K177" s="496"/>
      <c r="L177" s="496"/>
      <c r="M177" s="496"/>
      <c r="N177" s="496"/>
      <c r="O177" s="1886">
        <v>2</v>
      </c>
      <c r="P177" s="496">
        <v>3.5</v>
      </c>
      <c r="Q177" s="496">
        <f t="shared" si="37"/>
        <v>7</v>
      </c>
      <c r="R177" s="496">
        <f t="shared" si="33"/>
        <v>7</v>
      </c>
      <c r="S177" s="496"/>
      <c r="T177" s="1886">
        <v>2</v>
      </c>
      <c r="U177" s="496">
        <v>3.5</v>
      </c>
      <c r="V177" s="496">
        <f t="shared" si="38"/>
        <v>7</v>
      </c>
      <c r="W177" s="1886">
        <v>2</v>
      </c>
      <c r="X177" s="496">
        <v>3.5</v>
      </c>
      <c r="Y177" s="496">
        <f t="shared" si="39"/>
        <v>7</v>
      </c>
      <c r="Z177" s="496"/>
      <c r="AA177" s="496"/>
      <c r="AB177" s="3515"/>
      <c r="AC177" s="491" t="s">
        <v>1665</v>
      </c>
      <c r="AF177" s="466"/>
      <c r="AG177" s="465"/>
      <c r="AH177" s="465"/>
    </row>
    <row r="178" spans="1:34" s="498" customFormat="1" hidden="1" x14ac:dyDescent="0.25">
      <c r="A178" s="962"/>
      <c r="B178" s="1885" t="s">
        <v>1807</v>
      </c>
      <c r="C178" s="503"/>
      <c r="D178" s="903"/>
      <c r="E178" s="962" t="s">
        <v>318</v>
      </c>
      <c r="F178" s="496"/>
      <c r="G178" s="496"/>
      <c r="H178" s="496"/>
      <c r="I178" s="496"/>
      <c r="J178" s="496"/>
      <c r="K178" s="496"/>
      <c r="L178" s="496"/>
      <c r="M178" s="496"/>
      <c r="N178" s="496"/>
      <c r="O178" s="1886">
        <v>1</v>
      </c>
      <c r="P178" s="496">
        <v>4</v>
      </c>
      <c r="Q178" s="496">
        <f t="shared" si="37"/>
        <v>4</v>
      </c>
      <c r="R178" s="496">
        <f t="shared" si="33"/>
        <v>4</v>
      </c>
      <c r="S178" s="496"/>
      <c r="T178" s="1886">
        <v>1</v>
      </c>
      <c r="U178" s="496">
        <v>4</v>
      </c>
      <c r="V178" s="496">
        <f t="shared" si="38"/>
        <v>4</v>
      </c>
      <c r="W178" s="1886">
        <v>1</v>
      </c>
      <c r="X178" s="496">
        <v>4</v>
      </c>
      <c r="Y178" s="496">
        <f t="shared" si="39"/>
        <v>4</v>
      </c>
      <c r="Z178" s="496"/>
      <c r="AA178" s="496"/>
      <c r="AB178" s="3516"/>
      <c r="AC178" s="491" t="s">
        <v>1665</v>
      </c>
      <c r="AF178" s="466"/>
      <c r="AG178" s="465"/>
      <c r="AH178" s="465"/>
    </row>
    <row r="179" spans="1:34" s="498" customFormat="1" hidden="1" x14ac:dyDescent="0.25">
      <c r="A179" s="962"/>
      <c r="B179" s="502" t="s">
        <v>1729</v>
      </c>
      <c r="C179" s="503"/>
      <c r="D179" s="903"/>
      <c r="E179" s="962"/>
      <c r="F179" s="494"/>
      <c r="G179" s="495"/>
      <c r="H179" s="1245">
        <f>SUM(H171:H174)*0.271</f>
        <v>4</v>
      </c>
      <c r="I179" s="496"/>
      <c r="J179" s="496"/>
      <c r="K179" s="496">
        <f>SUM(K171:K174)*0.271</f>
        <v>3.8</v>
      </c>
      <c r="L179" s="496"/>
      <c r="M179" s="496"/>
      <c r="N179" s="496">
        <f>SUM(N171:N174)*0.271</f>
        <v>3.8</v>
      </c>
      <c r="O179" s="496"/>
      <c r="P179" s="496"/>
      <c r="Q179" s="496">
        <f>SUM(Q171:Q178)*0.271</f>
        <v>8</v>
      </c>
      <c r="R179" s="496">
        <f t="shared" si="33"/>
        <v>8</v>
      </c>
      <c r="S179" s="496"/>
      <c r="T179" s="496"/>
      <c r="U179" s="496"/>
      <c r="V179" s="496">
        <f>SUM(V171:V178)*0.271</f>
        <v>8</v>
      </c>
      <c r="W179" s="496"/>
      <c r="X179" s="496"/>
      <c r="Y179" s="496">
        <f>SUM(Y171:Y178)*0.271</f>
        <v>8</v>
      </c>
      <c r="Z179" s="1245">
        <f t="shared" ref="Z179:Z225" si="40">Q179-K179</f>
        <v>4.2</v>
      </c>
      <c r="AA179" s="1245">
        <f t="shared" ref="AA179:AA242" si="41">IFERROR(Q179/K179*100,"-")</f>
        <v>210.5</v>
      </c>
      <c r="AB179" s="893"/>
      <c r="AC179" s="549" t="s">
        <v>1665</v>
      </c>
      <c r="AF179" s="466"/>
      <c r="AG179" s="465"/>
      <c r="AH179" s="465"/>
    </row>
    <row r="180" spans="1:34" s="492" customFormat="1" ht="14.25" x14ac:dyDescent="0.2">
      <c r="A180" s="1240"/>
      <c r="B180" s="500" t="s">
        <v>1828</v>
      </c>
      <c r="C180" s="501" t="s">
        <v>797</v>
      </c>
      <c r="D180" s="932"/>
      <c r="E180" s="1240" t="s">
        <v>227</v>
      </c>
      <c r="F180" s="530">
        <v>40</v>
      </c>
      <c r="G180" s="531">
        <v>0.06</v>
      </c>
      <c r="H180" s="493">
        <f>F180*G180</f>
        <v>2.4</v>
      </c>
      <c r="I180" s="532">
        <v>48</v>
      </c>
      <c r="J180" s="532">
        <v>0.1</v>
      </c>
      <c r="K180" s="532">
        <f>I180*J180</f>
        <v>4.8</v>
      </c>
      <c r="L180" s="532">
        <v>48</v>
      </c>
      <c r="M180" s="532">
        <v>0.1</v>
      </c>
      <c r="N180" s="532">
        <f>L180*M180</f>
        <v>4.8</v>
      </c>
      <c r="O180" s="532">
        <v>48</v>
      </c>
      <c r="P180" s="532">
        <v>0.1</v>
      </c>
      <c r="Q180" s="532">
        <f>O180*P180</f>
        <v>4.8</v>
      </c>
      <c r="R180" s="532">
        <f t="shared" si="33"/>
        <v>4.8</v>
      </c>
      <c r="S180" s="532"/>
      <c r="T180" s="532">
        <v>48</v>
      </c>
      <c r="U180" s="532">
        <v>0.1</v>
      </c>
      <c r="V180" s="532">
        <f>T180*U180</f>
        <v>4.8</v>
      </c>
      <c r="W180" s="532">
        <v>48</v>
      </c>
      <c r="X180" s="532">
        <v>0.1</v>
      </c>
      <c r="Y180" s="532">
        <f>W180*X180</f>
        <v>4.8</v>
      </c>
      <c r="Z180" s="493">
        <f t="shared" si="40"/>
        <v>0</v>
      </c>
      <c r="AA180" s="493">
        <f t="shared" si="41"/>
        <v>100</v>
      </c>
      <c r="AB180" s="827"/>
      <c r="AC180" s="549" t="s">
        <v>1665</v>
      </c>
      <c r="AF180" s="466"/>
      <c r="AG180" s="466"/>
      <c r="AH180" s="466"/>
    </row>
    <row r="181" spans="1:34" s="492" customFormat="1" ht="14.25" hidden="1" x14ac:dyDescent="0.2">
      <c r="A181" s="1240"/>
      <c r="B181" s="500" t="s">
        <v>1246</v>
      </c>
      <c r="C181" s="501" t="s">
        <v>1237</v>
      </c>
      <c r="D181" s="932"/>
      <c r="E181" s="1240" t="s">
        <v>1829</v>
      </c>
      <c r="F181" s="530">
        <v>6</v>
      </c>
      <c r="G181" s="531">
        <v>2.5</v>
      </c>
      <c r="H181" s="493">
        <f>F181*G181</f>
        <v>15</v>
      </c>
      <c r="I181" s="532">
        <v>6</v>
      </c>
      <c r="J181" s="532">
        <v>2.5</v>
      </c>
      <c r="K181" s="532">
        <f>I181*J181</f>
        <v>15</v>
      </c>
      <c r="L181" s="532">
        <v>6</v>
      </c>
      <c r="M181" s="532">
        <v>2.5</v>
      </c>
      <c r="N181" s="532">
        <f>L181*M181</f>
        <v>15</v>
      </c>
      <c r="O181" s="532">
        <v>6</v>
      </c>
      <c r="P181" s="532">
        <v>2.5</v>
      </c>
      <c r="Q181" s="532">
        <f>O181*P181</f>
        <v>15</v>
      </c>
      <c r="R181" s="532">
        <f t="shared" si="33"/>
        <v>15</v>
      </c>
      <c r="S181" s="532"/>
      <c r="T181" s="532">
        <v>6</v>
      </c>
      <c r="U181" s="532">
        <v>2.5</v>
      </c>
      <c r="V181" s="532">
        <f>T181*U181</f>
        <v>15</v>
      </c>
      <c r="W181" s="532">
        <v>6</v>
      </c>
      <c r="X181" s="532">
        <v>2.5</v>
      </c>
      <c r="Y181" s="532">
        <f>W181*X181</f>
        <v>15</v>
      </c>
      <c r="Z181" s="493">
        <f t="shared" si="40"/>
        <v>0</v>
      </c>
      <c r="AA181" s="493">
        <f t="shared" si="41"/>
        <v>100</v>
      </c>
      <c r="AB181" s="827"/>
      <c r="AC181" s="549" t="s">
        <v>1665</v>
      </c>
      <c r="AF181" s="466"/>
      <c r="AG181" s="466"/>
      <c r="AH181" s="466"/>
    </row>
    <row r="182" spans="1:34" s="517" customFormat="1" ht="14.25" hidden="1" x14ac:dyDescent="0.2">
      <c r="A182" s="487"/>
      <c r="B182" s="543" t="s">
        <v>1243</v>
      </c>
      <c r="C182" s="511"/>
      <c r="D182" s="487"/>
      <c r="E182" s="554"/>
      <c r="F182" s="488"/>
      <c r="G182" s="489"/>
      <c r="H182" s="537" t="e">
        <f>#REF!+#REF!+H183</f>
        <v>#REF!</v>
      </c>
      <c r="I182" s="537"/>
      <c r="J182" s="537"/>
      <c r="K182" s="537">
        <f>K183</f>
        <v>5.2</v>
      </c>
      <c r="L182" s="537"/>
      <c r="M182" s="537"/>
      <c r="N182" s="537">
        <f>N183</f>
        <v>5.2</v>
      </c>
      <c r="O182" s="537"/>
      <c r="P182" s="537"/>
      <c r="Q182" s="537">
        <f>Q183</f>
        <v>2.4</v>
      </c>
      <c r="R182" s="537">
        <f t="shared" si="33"/>
        <v>2.4</v>
      </c>
      <c r="S182" s="537"/>
      <c r="T182" s="537"/>
      <c r="U182" s="537"/>
      <c r="V182" s="537">
        <f>V183</f>
        <v>2.4</v>
      </c>
      <c r="W182" s="537"/>
      <c r="X182" s="537"/>
      <c r="Y182" s="537">
        <f>Y183</f>
        <v>2.4</v>
      </c>
      <c r="Z182" s="537">
        <f t="shared" si="40"/>
        <v>-2.8</v>
      </c>
      <c r="AA182" s="537">
        <f t="shared" si="41"/>
        <v>46.2</v>
      </c>
      <c r="AB182" s="902"/>
      <c r="AC182" s="515"/>
      <c r="AF182" s="519"/>
      <c r="AG182" s="519"/>
      <c r="AH182" s="519"/>
    </row>
    <row r="183" spans="1:34" s="1891" customFormat="1" ht="38.25" hidden="1" x14ac:dyDescent="0.25">
      <c r="A183" s="850"/>
      <c r="B183" s="520" t="s">
        <v>1664</v>
      </c>
      <c r="C183" s="521"/>
      <c r="D183" s="522" t="s">
        <v>1444</v>
      </c>
      <c r="E183" s="850"/>
      <c r="F183" s="1889"/>
      <c r="G183" s="1889"/>
      <c r="H183" s="526">
        <f>H186+H189</f>
        <v>4.4000000000000004</v>
      </c>
      <c r="I183" s="1889"/>
      <c r="J183" s="1889"/>
      <c r="K183" s="526">
        <f>K186+K189+K184</f>
        <v>5.2</v>
      </c>
      <c r="L183" s="1889"/>
      <c r="M183" s="1889"/>
      <c r="N183" s="526">
        <f>N186+N189+N184</f>
        <v>5.2</v>
      </c>
      <c r="O183" s="1889"/>
      <c r="P183" s="1889"/>
      <c r="Q183" s="526">
        <f>Q186+Q189</f>
        <v>2.4</v>
      </c>
      <c r="R183" s="526">
        <f t="shared" si="33"/>
        <v>2.4</v>
      </c>
      <c r="S183" s="526"/>
      <c r="T183" s="526"/>
      <c r="U183" s="526"/>
      <c r="V183" s="526">
        <f>V186+V189</f>
        <v>2.4</v>
      </c>
      <c r="W183" s="526"/>
      <c r="X183" s="526"/>
      <c r="Y183" s="526">
        <f>Y186+Y189</f>
        <v>2.4</v>
      </c>
      <c r="Z183" s="526">
        <f t="shared" si="40"/>
        <v>-2.8</v>
      </c>
      <c r="AA183" s="526">
        <f t="shared" si="41"/>
        <v>46.2</v>
      </c>
      <c r="AB183" s="1890"/>
      <c r="AC183" s="534" t="s">
        <v>1665</v>
      </c>
      <c r="AF183" s="528"/>
      <c r="AG183" s="1892"/>
      <c r="AH183" s="1892"/>
    </row>
    <row r="184" spans="1:34" s="498" customFormat="1" hidden="1" x14ac:dyDescent="0.25">
      <c r="A184" s="962"/>
      <c r="B184" s="865" t="s">
        <v>1830</v>
      </c>
      <c r="C184" s="508" t="s">
        <v>796</v>
      </c>
      <c r="D184" s="903"/>
      <c r="E184" s="962"/>
      <c r="F184" s="857"/>
      <c r="G184" s="857"/>
      <c r="H184" s="533"/>
      <c r="I184" s="857"/>
      <c r="J184" s="857"/>
      <c r="K184" s="533">
        <f>K185</f>
        <v>3</v>
      </c>
      <c r="L184" s="857"/>
      <c r="M184" s="857"/>
      <c r="N184" s="533">
        <f>N185</f>
        <v>3</v>
      </c>
      <c r="O184" s="857"/>
      <c r="P184" s="857"/>
      <c r="Q184" s="533"/>
      <c r="R184" s="533">
        <f t="shared" si="33"/>
        <v>0</v>
      </c>
      <c r="S184" s="533"/>
      <c r="T184" s="857"/>
      <c r="U184" s="857"/>
      <c r="V184" s="533"/>
      <c r="W184" s="533"/>
      <c r="X184" s="533"/>
      <c r="Y184" s="533"/>
      <c r="Z184" s="559">
        <f t="shared" si="40"/>
        <v>-3</v>
      </c>
      <c r="AA184" s="559">
        <f t="shared" si="41"/>
        <v>0</v>
      </c>
      <c r="AB184" s="1893"/>
      <c r="AC184" s="534" t="s">
        <v>1665</v>
      </c>
      <c r="AF184" s="466"/>
      <c r="AG184" s="465"/>
      <c r="AH184" s="465"/>
    </row>
    <row r="185" spans="1:34" s="498" customFormat="1" ht="38.25" hidden="1" x14ac:dyDescent="0.25">
      <c r="A185" s="962"/>
      <c r="B185" s="856" t="s">
        <v>1831</v>
      </c>
      <c r="C185" s="499"/>
      <c r="D185" s="903"/>
      <c r="E185" s="962"/>
      <c r="F185" s="857"/>
      <c r="G185" s="857"/>
      <c r="H185" s="857"/>
      <c r="I185" s="857">
        <v>30</v>
      </c>
      <c r="J185" s="857">
        <v>0.1</v>
      </c>
      <c r="K185" s="857">
        <f>I185*J185</f>
        <v>3</v>
      </c>
      <c r="L185" s="857">
        <v>30</v>
      </c>
      <c r="M185" s="857">
        <v>0.1</v>
      </c>
      <c r="N185" s="857">
        <f>L185*M185</f>
        <v>3</v>
      </c>
      <c r="O185" s="857"/>
      <c r="P185" s="857"/>
      <c r="Q185" s="857"/>
      <c r="R185" s="857">
        <f t="shared" si="33"/>
        <v>0</v>
      </c>
      <c r="S185" s="857"/>
      <c r="T185" s="857"/>
      <c r="U185" s="857"/>
      <c r="V185" s="857"/>
      <c r="W185" s="857"/>
      <c r="X185" s="857"/>
      <c r="Y185" s="857"/>
      <c r="Z185" s="559">
        <f t="shared" si="40"/>
        <v>-3</v>
      </c>
      <c r="AA185" s="559">
        <f t="shared" si="41"/>
        <v>0</v>
      </c>
      <c r="AB185" s="1884" t="s">
        <v>1746</v>
      </c>
      <c r="AC185" s="534" t="s">
        <v>1665</v>
      </c>
      <c r="AF185" s="466"/>
      <c r="AG185" s="465"/>
      <c r="AH185" s="465"/>
    </row>
    <row r="186" spans="1:34" s="498" customFormat="1" x14ac:dyDescent="0.25">
      <c r="A186" s="962"/>
      <c r="B186" s="865" t="s">
        <v>1228</v>
      </c>
      <c r="C186" s="508" t="s">
        <v>797</v>
      </c>
      <c r="D186" s="903"/>
      <c r="E186" s="962"/>
      <c r="F186" s="857"/>
      <c r="G186" s="857"/>
      <c r="H186" s="533">
        <f>H187</f>
        <v>3.6</v>
      </c>
      <c r="I186" s="857"/>
      <c r="J186" s="857"/>
      <c r="K186" s="533">
        <f>SUM(K187:K188)</f>
        <v>1.8</v>
      </c>
      <c r="L186" s="857"/>
      <c r="M186" s="857"/>
      <c r="N186" s="533">
        <f>SUM(N187:N188)</f>
        <v>1.8</v>
      </c>
      <c r="O186" s="533"/>
      <c r="P186" s="533"/>
      <c r="Q186" s="533">
        <f>SUM(Q187:Q188)</f>
        <v>2</v>
      </c>
      <c r="R186" s="533">
        <f t="shared" si="33"/>
        <v>2</v>
      </c>
      <c r="S186" s="533"/>
      <c r="T186" s="533"/>
      <c r="U186" s="533"/>
      <c r="V186" s="533">
        <f>SUM(V187:V188)</f>
        <v>2</v>
      </c>
      <c r="W186" s="533"/>
      <c r="X186" s="533"/>
      <c r="Y186" s="533">
        <f>SUM(Y187:Y188)</f>
        <v>2</v>
      </c>
      <c r="Z186" s="559">
        <f t="shared" si="40"/>
        <v>0.2</v>
      </c>
      <c r="AA186" s="559">
        <f t="shared" si="41"/>
        <v>111.1</v>
      </c>
      <c r="AB186" s="1893"/>
      <c r="AC186" s="534" t="s">
        <v>1665</v>
      </c>
      <c r="AF186" s="466"/>
      <c r="AG186" s="465"/>
      <c r="AH186" s="465"/>
    </row>
    <row r="187" spans="1:34" s="498" customFormat="1" hidden="1" x14ac:dyDescent="0.25">
      <c r="A187" s="962"/>
      <c r="B187" s="856" t="s">
        <v>1832</v>
      </c>
      <c r="C187" s="508"/>
      <c r="D187" s="903"/>
      <c r="E187" s="962"/>
      <c r="F187" s="857">
        <v>36</v>
      </c>
      <c r="G187" s="857">
        <v>0.1</v>
      </c>
      <c r="H187" s="857">
        <f>F187*G187</f>
        <v>3.6</v>
      </c>
      <c r="I187" s="857">
        <v>36</v>
      </c>
      <c r="J187" s="862">
        <v>0.05</v>
      </c>
      <c r="K187" s="857">
        <f>I187*J187</f>
        <v>1.8</v>
      </c>
      <c r="L187" s="857">
        <v>36</v>
      </c>
      <c r="M187" s="862">
        <v>0.05</v>
      </c>
      <c r="N187" s="857">
        <f>L187*M187</f>
        <v>1.8</v>
      </c>
      <c r="O187" s="533"/>
      <c r="P187" s="533"/>
      <c r="Q187" s="533"/>
      <c r="R187" s="533">
        <f t="shared" si="33"/>
        <v>0</v>
      </c>
      <c r="S187" s="533"/>
      <c r="T187" s="533"/>
      <c r="U187" s="533"/>
      <c r="V187" s="533"/>
      <c r="W187" s="533"/>
      <c r="X187" s="533"/>
      <c r="Y187" s="533"/>
      <c r="Z187" s="559">
        <f t="shared" si="40"/>
        <v>-1.8</v>
      </c>
      <c r="AA187" s="559">
        <f t="shared" si="41"/>
        <v>0</v>
      </c>
      <c r="AB187" s="1893"/>
      <c r="AC187" s="534" t="s">
        <v>1665</v>
      </c>
      <c r="AF187" s="466"/>
      <c r="AG187" s="465"/>
      <c r="AH187" s="465"/>
    </row>
    <row r="188" spans="1:34" s="498" customFormat="1" ht="25.5" hidden="1" x14ac:dyDescent="0.25">
      <c r="A188" s="962"/>
      <c r="B188" s="856" t="s">
        <v>1833</v>
      </c>
      <c r="C188" s="499"/>
      <c r="D188" s="903"/>
      <c r="E188" s="962" t="s">
        <v>227</v>
      </c>
      <c r="F188" s="857"/>
      <c r="G188" s="857"/>
      <c r="H188" s="857"/>
      <c r="I188" s="857"/>
      <c r="J188" s="862"/>
      <c r="K188" s="857"/>
      <c r="L188" s="857"/>
      <c r="M188" s="862"/>
      <c r="N188" s="857"/>
      <c r="O188" s="857">
        <v>1</v>
      </c>
      <c r="P188" s="857">
        <v>2</v>
      </c>
      <c r="Q188" s="857">
        <f>O188*P188</f>
        <v>2</v>
      </c>
      <c r="R188" s="857">
        <f t="shared" si="33"/>
        <v>2</v>
      </c>
      <c r="S188" s="857"/>
      <c r="T188" s="857">
        <v>1</v>
      </c>
      <c r="U188" s="857">
        <v>2</v>
      </c>
      <c r="V188" s="857">
        <f>T188*U188</f>
        <v>2</v>
      </c>
      <c r="W188" s="857">
        <v>1</v>
      </c>
      <c r="X188" s="857">
        <v>2</v>
      </c>
      <c r="Y188" s="857">
        <f>W188*X188</f>
        <v>2</v>
      </c>
      <c r="Z188" s="559">
        <f t="shared" si="40"/>
        <v>2</v>
      </c>
      <c r="AA188" s="559" t="str">
        <f t="shared" si="41"/>
        <v>-</v>
      </c>
      <c r="AB188" s="1884" t="s">
        <v>1834</v>
      </c>
      <c r="AC188" s="534" t="s">
        <v>1665</v>
      </c>
      <c r="AF188" s="466"/>
      <c r="AG188" s="465"/>
      <c r="AH188" s="465"/>
    </row>
    <row r="189" spans="1:34" s="498" customFormat="1" x14ac:dyDescent="0.25">
      <c r="A189" s="962"/>
      <c r="B189" s="865" t="s">
        <v>801</v>
      </c>
      <c r="C189" s="508" t="s">
        <v>797</v>
      </c>
      <c r="D189" s="903"/>
      <c r="E189" s="962"/>
      <c r="F189" s="857"/>
      <c r="G189" s="857"/>
      <c r="H189" s="533">
        <f>H190</f>
        <v>0.8</v>
      </c>
      <c r="I189" s="857"/>
      <c r="J189" s="857"/>
      <c r="K189" s="533">
        <f>K190</f>
        <v>0.4</v>
      </c>
      <c r="L189" s="857"/>
      <c r="M189" s="857"/>
      <c r="N189" s="533">
        <f>N190</f>
        <v>0.4</v>
      </c>
      <c r="O189" s="533"/>
      <c r="P189" s="533"/>
      <c r="Q189" s="533">
        <f>Q190</f>
        <v>0.4</v>
      </c>
      <c r="R189" s="533">
        <f t="shared" si="33"/>
        <v>0.4</v>
      </c>
      <c r="S189" s="533"/>
      <c r="T189" s="533"/>
      <c r="U189" s="533"/>
      <c r="V189" s="533">
        <f>V190</f>
        <v>0.4</v>
      </c>
      <c r="W189" s="533"/>
      <c r="X189" s="533"/>
      <c r="Y189" s="533">
        <f>Y190</f>
        <v>0.4</v>
      </c>
      <c r="Z189" s="559">
        <f t="shared" si="40"/>
        <v>0</v>
      </c>
      <c r="AA189" s="559">
        <f t="shared" si="41"/>
        <v>100</v>
      </c>
      <c r="AB189" s="1893"/>
      <c r="AC189" s="534" t="s">
        <v>1665</v>
      </c>
      <c r="AF189" s="466"/>
      <c r="AG189" s="465"/>
      <c r="AH189" s="465"/>
    </row>
    <row r="190" spans="1:34" s="498" customFormat="1" hidden="1" x14ac:dyDescent="0.25">
      <c r="A190" s="962"/>
      <c r="B190" s="502" t="s">
        <v>1835</v>
      </c>
      <c r="C190" s="499"/>
      <c r="D190" s="903"/>
      <c r="E190" s="962" t="s">
        <v>227</v>
      </c>
      <c r="F190" s="857">
        <v>8</v>
      </c>
      <c r="G190" s="857">
        <v>0.1</v>
      </c>
      <c r="H190" s="857">
        <f>F190*G190</f>
        <v>0.8</v>
      </c>
      <c r="I190" s="857">
        <v>4</v>
      </c>
      <c r="J190" s="862">
        <v>0.1</v>
      </c>
      <c r="K190" s="857">
        <f>I190*J190</f>
        <v>0.4</v>
      </c>
      <c r="L190" s="857">
        <v>4</v>
      </c>
      <c r="M190" s="862">
        <v>0.1</v>
      </c>
      <c r="N190" s="857">
        <f>L190*M190</f>
        <v>0.4</v>
      </c>
      <c r="O190" s="857">
        <v>4</v>
      </c>
      <c r="P190" s="857">
        <v>0.1</v>
      </c>
      <c r="Q190" s="857">
        <f>O190*P190</f>
        <v>0.4</v>
      </c>
      <c r="R190" s="857">
        <f t="shared" si="33"/>
        <v>0.4</v>
      </c>
      <c r="S190" s="857"/>
      <c r="T190" s="857">
        <v>4</v>
      </c>
      <c r="U190" s="857">
        <v>0.1</v>
      </c>
      <c r="V190" s="857">
        <f>T190*U190</f>
        <v>0.4</v>
      </c>
      <c r="W190" s="857">
        <v>4</v>
      </c>
      <c r="X190" s="857">
        <v>0.1</v>
      </c>
      <c r="Y190" s="857">
        <f>W190*X190</f>
        <v>0.4</v>
      </c>
      <c r="Z190" s="559">
        <f t="shared" si="40"/>
        <v>0</v>
      </c>
      <c r="AA190" s="559">
        <f t="shared" si="41"/>
        <v>100</v>
      </c>
      <c r="AB190" s="1884"/>
      <c r="AC190" s="534" t="s">
        <v>1665</v>
      </c>
      <c r="AF190" s="466"/>
      <c r="AG190" s="465"/>
      <c r="AH190" s="465"/>
    </row>
    <row r="191" spans="1:34" s="517" customFormat="1" ht="14.25" hidden="1" x14ac:dyDescent="0.2">
      <c r="A191" s="487"/>
      <c r="B191" s="904" t="s">
        <v>1244</v>
      </c>
      <c r="C191" s="905"/>
      <c r="D191" s="487"/>
      <c r="E191" s="490"/>
      <c r="F191" s="488"/>
      <c r="G191" s="489"/>
      <c r="H191" s="490" t="e">
        <f>#REF!+H192+#REF!</f>
        <v>#REF!</v>
      </c>
      <c r="I191" s="847"/>
      <c r="J191" s="847"/>
      <c r="K191" s="490">
        <f>K192</f>
        <v>36.799999999999997</v>
      </c>
      <c r="L191" s="847"/>
      <c r="M191" s="847"/>
      <c r="N191" s="490">
        <f>N192</f>
        <v>36.799999999999997</v>
      </c>
      <c r="O191" s="847"/>
      <c r="P191" s="847"/>
      <c r="Q191" s="490">
        <f>Q192</f>
        <v>43.9</v>
      </c>
      <c r="R191" s="490">
        <f t="shared" si="33"/>
        <v>43.9</v>
      </c>
      <c r="S191" s="490"/>
      <c r="T191" s="847"/>
      <c r="U191" s="847"/>
      <c r="V191" s="490">
        <f>V192</f>
        <v>43.9</v>
      </c>
      <c r="W191" s="490"/>
      <c r="X191" s="490"/>
      <c r="Y191" s="490">
        <f>Y192</f>
        <v>43.9</v>
      </c>
      <c r="Z191" s="490">
        <f t="shared" si="40"/>
        <v>7.1</v>
      </c>
      <c r="AA191" s="490">
        <f t="shared" si="41"/>
        <v>119.3</v>
      </c>
      <c r="AB191" s="555"/>
      <c r="AC191" s="515"/>
      <c r="AF191" s="518"/>
      <c r="AG191" s="519"/>
      <c r="AH191" s="519"/>
    </row>
    <row r="192" spans="1:34" s="527" customFormat="1" ht="38.25" hidden="1" x14ac:dyDescent="0.2">
      <c r="A192" s="522"/>
      <c r="B192" s="858" t="s">
        <v>1700</v>
      </c>
      <c r="C192" s="859"/>
      <c r="D192" s="522" t="s">
        <v>1444</v>
      </c>
      <c r="E192" s="525"/>
      <c r="F192" s="1894"/>
      <c r="G192" s="1895"/>
      <c r="H192" s="860">
        <f>H193+H202+H204+H210+H211</f>
        <v>51.6</v>
      </c>
      <c r="I192" s="1896"/>
      <c r="J192" s="1896"/>
      <c r="K192" s="860">
        <f>K193+K202+K204+K210+K211</f>
        <v>36.799999999999997</v>
      </c>
      <c r="L192" s="1896"/>
      <c r="M192" s="1896"/>
      <c r="N192" s="860">
        <f>N193+N202+N204+N210+N211</f>
        <v>36.799999999999997</v>
      </c>
      <c r="O192" s="1896"/>
      <c r="P192" s="1896"/>
      <c r="Q192" s="860">
        <f>Q193+Q202+Q204+Q208+Q209+Q210+Q211</f>
        <v>43.9</v>
      </c>
      <c r="R192" s="860">
        <f t="shared" si="33"/>
        <v>43.9</v>
      </c>
      <c r="S192" s="860"/>
      <c r="T192" s="860"/>
      <c r="U192" s="860"/>
      <c r="V192" s="860">
        <f>V193+V202+V204+V208+V209+V210+V211</f>
        <v>43.9</v>
      </c>
      <c r="W192" s="860"/>
      <c r="X192" s="860"/>
      <c r="Y192" s="860">
        <f>Y193+Y202+Y204+Y208+Y209+Y210+Y211</f>
        <v>43.9</v>
      </c>
      <c r="Z192" s="860">
        <f t="shared" si="40"/>
        <v>7.1</v>
      </c>
      <c r="AA192" s="860">
        <f t="shared" si="41"/>
        <v>119.3</v>
      </c>
      <c r="AB192" s="1897"/>
      <c r="AC192" s="549" t="s">
        <v>1665</v>
      </c>
      <c r="AF192" s="528"/>
      <c r="AG192" s="528"/>
      <c r="AH192" s="528"/>
    </row>
    <row r="193" spans="1:34" s="492" customFormat="1" ht="14.25" hidden="1" x14ac:dyDescent="0.2">
      <c r="A193" s="1240"/>
      <c r="B193" s="1042" t="s">
        <v>1395</v>
      </c>
      <c r="C193" s="501" t="s">
        <v>1230</v>
      </c>
      <c r="D193" s="1240"/>
      <c r="E193" s="854"/>
      <c r="F193" s="1898"/>
      <c r="G193" s="1899"/>
      <c r="H193" s="493">
        <f>SUM(H194:H201)</f>
        <v>26.1</v>
      </c>
      <c r="I193" s="1900"/>
      <c r="J193" s="1900"/>
      <c r="K193" s="532">
        <f>SUM(K194:K201)</f>
        <v>20.8</v>
      </c>
      <c r="L193" s="1900"/>
      <c r="M193" s="1900"/>
      <c r="N193" s="532">
        <f>SUM(N194:N201)</f>
        <v>20.8</v>
      </c>
      <c r="O193" s="532"/>
      <c r="P193" s="532"/>
      <c r="Q193" s="532">
        <f>SUM(Q194:Q201)</f>
        <v>24.8</v>
      </c>
      <c r="R193" s="532">
        <f t="shared" si="33"/>
        <v>24.8</v>
      </c>
      <c r="S193" s="532"/>
      <c r="T193" s="532"/>
      <c r="U193" s="532"/>
      <c r="V193" s="532">
        <f>SUM(V194:V201)</f>
        <v>24.8</v>
      </c>
      <c r="W193" s="532"/>
      <c r="X193" s="532"/>
      <c r="Y193" s="532">
        <f>SUM(Y194:Y201)</f>
        <v>24.8</v>
      </c>
      <c r="Z193" s="493">
        <f t="shared" si="40"/>
        <v>4</v>
      </c>
      <c r="AA193" s="493">
        <f t="shared" si="41"/>
        <v>119.2</v>
      </c>
      <c r="AB193" s="1042"/>
      <c r="AC193" s="491" t="s">
        <v>1665</v>
      </c>
      <c r="AF193" s="466"/>
      <c r="AG193" s="466"/>
      <c r="AH193" s="466"/>
    </row>
    <row r="194" spans="1:34" s="498" customFormat="1" hidden="1" x14ac:dyDescent="0.25">
      <c r="A194" s="962"/>
      <c r="B194" s="1043" t="s">
        <v>1836</v>
      </c>
      <c r="C194" s="503"/>
      <c r="D194" s="903"/>
      <c r="E194" s="535" t="s">
        <v>1837</v>
      </c>
      <c r="F194" s="494">
        <v>2</v>
      </c>
      <c r="G194" s="495">
        <v>2.2999999999999998</v>
      </c>
      <c r="H194" s="1245">
        <f>F194*G194</f>
        <v>4.5999999999999996</v>
      </c>
      <c r="I194" s="496">
        <v>2</v>
      </c>
      <c r="J194" s="496">
        <v>2.2999999999999998</v>
      </c>
      <c r="K194" s="496">
        <f>I194*J194</f>
        <v>4.5999999999999996</v>
      </c>
      <c r="L194" s="496">
        <v>2</v>
      </c>
      <c r="M194" s="496">
        <v>2.2999999999999998</v>
      </c>
      <c r="N194" s="496">
        <f>L194*M194</f>
        <v>4.5999999999999996</v>
      </c>
      <c r="O194" s="496">
        <v>2</v>
      </c>
      <c r="P194" s="496">
        <v>2.2999999999999998</v>
      </c>
      <c r="Q194" s="496">
        <f>O194*P194</f>
        <v>4.5999999999999996</v>
      </c>
      <c r="R194" s="496">
        <f t="shared" si="33"/>
        <v>4.5999999999999996</v>
      </c>
      <c r="S194" s="496"/>
      <c r="T194" s="496">
        <v>2</v>
      </c>
      <c r="U194" s="496">
        <v>2.2999999999999998</v>
      </c>
      <c r="V194" s="496">
        <f>T194*U194</f>
        <v>4.5999999999999996</v>
      </c>
      <c r="W194" s="496">
        <v>2</v>
      </c>
      <c r="X194" s="496">
        <v>2.2999999999999998</v>
      </c>
      <c r="Y194" s="496">
        <f>W194*X194</f>
        <v>4.5999999999999996</v>
      </c>
      <c r="Z194" s="1245">
        <f t="shared" si="40"/>
        <v>0</v>
      </c>
      <c r="AA194" s="1245">
        <f t="shared" si="41"/>
        <v>100</v>
      </c>
      <c r="AB194" s="1043"/>
      <c r="AC194" s="491" t="s">
        <v>1665</v>
      </c>
      <c r="AF194" s="466"/>
      <c r="AG194" s="465"/>
      <c r="AH194" s="465"/>
    </row>
    <row r="195" spans="1:34" s="498" customFormat="1" hidden="1" x14ac:dyDescent="0.25">
      <c r="A195" s="962"/>
      <c r="B195" s="1043" t="s">
        <v>1838</v>
      </c>
      <c r="C195" s="503"/>
      <c r="D195" s="903"/>
      <c r="E195" s="535" t="s">
        <v>1837</v>
      </c>
      <c r="F195" s="494">
        <v>3</v>
      </c>
      <c r="G195" s="495">
        <v>1.1499999999999999</v>
      </c>
      <c r="H195" s="1245">
        <f>F195*G195</f>
        <v>3.5</v>
      </c>
      <c r="I195" s="496"/>
      <c r="J195" s="496"/>
      <c r="K195" s="496">
        <f>I195*J195</f>
        <v>0</v>
      </c>
      <c r="L195" s="496"/>
      <c r="M195" s="496"/>
      <c r="N195" s="496">
        <f>L195*M195</f>
        <v>0</v>
      </c>
      <c r="O195" s="496"/>
      <c r="P195" s="496"/>
      <c r="Q195" s="496"/>
      <c r="R195" s="496">
        <f t="shared" si="33"/>
        <v>0</v>
      </c>
      <c r="S195" s="496"/>
      <c r="T195" s="496"/>
      <c r="U195" s="496"/>
      <c r="V195" s="496"/>
      <c r="W195" s="496"/>
      <c r="X195" s="496"/>
      <c r="Y195" s="496"/>
      <c r="Z195" s="1245">
        <f t="shared" si="40"/>
        <v>0</v>
      </c>
      <c r="AA195" s="1245" t="str">
        <f t="shared" si="41"/>
        <v>-</v>
      </c>
      <c r="AB195" s="1043"/>
      <c r="AC195" s="491" t="s">
        <v>1665</v>
      </c>
      <c r="AF195" s="466"/>
      <c r="AG195" s="465"/>
      <c r="AH195" s="465"/>
    </row>
    <row r="196" spans="1:34" s="498" customFormat="1" hidden="1" x14ac:dyDescent="0.25">
      <c r="A196" s="962"/>
      <c r="B196" s="1043" t="s">
        <v>1839</v>
      </c>
      <c r="C196" s="503"/>
      <c r="D196" s="903"/>
      <c r="E196" s="535" t="s">
        <v>1837</v>
      </c>
      <c r="F196" s="494">
        <v>4</v>
      </c>
      <c r="G196" s="495">
        <v>1.73</v>
      </c>
      <c r="H196" s="1245">
        <f>F196*G196</f>
        <v>6.9</v>
      </c>
      <c r="I196" s="496">
        <v>4</v>
      </c>
      <c r="J196" s="496">
        <v>1.7</v>
      </c>
      <c r="K196" s="496">
        <f>I196*J196</f>
        <v>6.8</v>
      </c>
      <c r="L196" s="496">
        <v>4</v>
      </c>
      <c r="M196" s="496">
        <v>1.7</v>
      </c>
      <c r="N196" s="496">
        <f>L196*M196</f>
        <v>6.8</v>
      </c>
      <c r="O196" s="496">
        <v>4</v>
      </c>
      <c r="P196" s="496">
        <v>1.7</v>
      </c>
      <c r="Q196" s="496">
        <f>O196*P196</f>
        <v>6.8</v>
      </c>
      <c r="R196" s="496">
        <f t="shared" si="33"/>
        <v>6.8</v>
      </c>
      <c r="S196" s="496"/>
      <c r="T196" s="496">
        <v>4</v>
      </c>
      <c r="U196" s="496">
        <v>1.7</v>
      </c>
      <c r="V196" s="496">
        <f>T196*U196</f>
        <v>6.8</v>
      </c>
      <c r="W196" s="496">
        <v>4</v>
      </c>
      <c r="X196" s="496">
        <v>1.7</v>
      </c>
      <c r="Y196" s="496">
        <f>W196*X196</f>
        <v>6.8</v>
      </c>
      <c r="Z196" s="1245">
        <f t="shared" si="40"/>
        <v>0</v>
      </c>
      <c r="AA196" s="1245">
        <f t="shared" si="41"/>
        <v>100</v>
      </c>
      <c r="AB196" s="1043"/>
      <c r="AC196" s="491" t="s">
        <v>1665</v>
      </c>
      <c r="AF196" s="466"/>
      <c r="AG196" s="465"/>
      <c r="AH196" s="465"/>
    </row>
    <row r="197" spans="1:34" s="498" customFormat="1" hidden="1" x14ac:dyDescent="0.25">
      <c r="A197" s="962"/>
      <c r="B197" s="1901" t="s">
        <v>1519</v>
      </c>
      <c r="C197" s="1902"/>
      <c r="D197" s="903"/>
      <c r="E197" s="535" t="s">
        <v>1837</v>
      </c>
      <c r="F197" s="863">
        <v>1</v>
      </c>
      <c r="G197" s="864">
        <v>3.5</v>
      </c>
      <c r="H197" s="1245">
        <f>F197*G197</f>
        <v>3.5</v>
      </c>
      <c r="I197" s="682">
        <v>1</v>
      </c>
      <c r="J197" s="682">
        <v>3.5</v>
      </c>
      <c r="K197" s="496">
        <f>I197*J197</f>
        <v>3.5</v>
      </c>
      <c r="L197" s="682">
        <v>1</v>
      </c>
      <c r="M197" s="682">
        <v>3.5</v>
      </c>
      <c r="N197" s="496">
        <f>L197*M197</f>
        <v>3.5</v>
      </c>
      <c r="O197" s="682">
        <v>1</v>
      </c>
      <c r="P197" s="682">
        <v>3.5</v>
      </c>
      <c r="Q197" s="496">
        <f>O197*P197</f>
        <v>3.5</v>
      </c>
      <c r="R197" s="496">
        <f t="shared" si="33"/>
        <v>3.5</v>
      </c>
      <c r="S197" s="496"/>
      <c r="T197" s="682">
        <v>1</v>
      </c>
      <c r="U197" s="682">
        <v>3.5</v>
      </c>
      <c r="V197" s="496">
        <f>T197*U197</f>
        <v>3.5</v>
      </c>
      <c r="W197" s="682">
        <v>1</v>
      </c>
      <c r="X197" s="682">
        <v>3.5</v>
      </c>
      <c r="Y197" s="496">
        <f>W197*X197</f>
        <v>3.5</v>
      </c>
      <c r="Z197" s="1245">
        <f t="shared" si="40"/>
        <v>0</v>
      </c>
      <c r="AA197" s="1245">
        <f t="shared" si="41"/>
        <v>100</v>
      </c>
      <c r="AB197" s="1901"/>
      <c r="AC197" s="491" t="s">
        <v>1665</v>
      </c>
      <c r="AF197" s="466"/>
      <c r="AG197" s="465"/>
      <c r="AH197" s="465"/>
    </row>
    <row r="198" spans="1:34" s="498" customFormat="1" hidden="1" x14ac:dyDescent="0.25">
      <c r="A198" s="962"/>
      <c r="B198" s="1901" t="s">
        <v>1840</v>
      </c>
      <c r="C198" s="1902"/>
      <c r="D198" s="903"/>
      <c r="E198" s="535"/>
      <c r="F198" s="863"/>
      <c r="G198" s="864"/>
      <c r="H198" s="1245"/>
      <c r="I198" s="682">
        <v>3</v>
      </c>
      <c r="J198" s="682">
        <v>1.2</v>
      </c>
      <c r="K198" s="496">
        <v>0</v>
      </c>
      <c r="L198" s="682">
        <v>3</v>
      </c>
      <c r="M198" s="682">
        <v>1.2</v>
      </c>
      <c r="N198" s="496">
        <v>0</v>
      </c>
      <c r="O198" s="682"/>
      <c r="P198" s="682"/>
      <c r="Q198" s="496"/>
      <c r="R198" s="496">
        <f t="shared" si="33"/>
        <v>0</v>
      </c>
      <c r="S198" s="496"/>
      <c r="T198" s="682"/>
      <c r="U198" s="682"/>
      <c r="V198" s="496"/>
      <c r="W198" s="682"/>
      <c r="X198" s="682"/>
      <c r="Y198" s="496"/>
      <c r="Z198" s="1245">
        <f t="shared" si="40"/>
        <v>0</v>
      </c>
      <c r="AA198" s="1245" t="str">
        <f t="shared" si="41"/>
        <v>-</v>
      </c>
      <c r="AB198" s="1901"/>
      <c r="AC198" s="491" t="s">
        <v>1665</v>
      </c>
      <c r="AF198" s="466"/>
      <c r="AG198" s="465"/>
      <c r="AH198" s="465"/>
    </row>
    <row r="199" spans="1:34" s="498" customFormat="1" hidden="1" x14ac:dyDescent="0.25">
      <c r="A199" s="962"/>
      <c r="B199" s="1903" t="s">
        <v>1683</v>
      </c>
      <c r="C199" s="1904"/>
      <c r="D199" s="903"/>
      <c r="E199" s="535" t="s">
        <v>1837</v>
      </c>
      <c r="F199" s="863">
        <v>1</v>
      </c>
      <c r="G199" s="864">
        <v>2</v>
      </c>
      <c r="H199" s="1245">
        <f>F199*G199</f>
        <v>2</v>
      </c>
      <c r="I199" s="682">
        <v>1</v>
      </c>
      <c r="J199" s="682">
        <v>2</v>
      </c>
      <c r="K199" s="496">
        <v>1.5</v>
      </c>
      <c r="L199" s="682">
        <v>1</v>
      </c>
      <c r="M199" s="682">
        <v>2</v>
      </c>
      <c r="N199" s="496">
        <v>1.5</v>
      </c>
      <c r="O199" s="682"/>
      <c r="P199" s="682"/>
      <c r="Q199" s="496"/>
      <c r="R199" s="496">
        <f t="shared" si="33"/>
        <v>0</v>
      </c>
      <c r="S199" s="496"/>
      <c r="T199" s="682"/>
      <c r="U199" s="682"/>
      <c r="V199" s="496"/>
      <c r="W199" s="682"/>
      <c r="X199" s="682"/>
      <c r="Y199" s="496"/>
      <c r="Z199" s="1245">
        <f t="shared" si="40"/>
        <v>-1.5</v>
      </c>
      <c r="AA199" s="1245">
        <f t="shared" si="41"/>
        <v>0</v>
      </c>
      <c r="AB199" s="1903"/>
      <c r="AC199" s="491" t="s">
        <v>1665</v>
      </c>
      <c r="AF199" s="466"/>
      <c r="AG199" s="465"/>
      <c r="AH199" s="465"/>
    </row>
    <row r="200" spans="1:34" s="498" customFormat="1" hidden="1" x14ac:dyDescent="0.25">
      <c r="A200" s="962"/>
      <c r="B200" s="1903" t="s">
        <v>1841</v>
      </c>
      <c r="C200" s="1904"/>
      <c r="D200" s="903"/>
      <c r="E200" s="535"/>
      <c r="F200" s="863"/>
      <c r="G200" s="864"/>
      <c r="H200" s="1245"/>
      <c r="I200" s="682"/>
      <c r="J200" s="682"/>
      <c r="K200" s="496"/>
      <c r="L200" s="682"/>
      <c r="M200" s="682"/>
      <c r="N200" s="496"/>
      <c r="O200" s="682">
        <v>2</v>
      </c>
      <c r="P200" s="682">
        <v>2.2999999999999998</v>
      </c>
      <c r="Q200" s="496">
        <f>O200*P200</f>
        <v>4.5999999999999996</v>
      </c>
      <c r="R200" s="496">
        <f t="shared" si="33"/>
        <v>4.5999999999999996</v>
      </c>
      <c r="S200" s="496"/>
      <c r="T200" s="682">
        <v>2</v>
      </c>
      <c r="U200" s="682">
        <v>2.2999999999999998</v>
      </c>
      <c r="V200" s="496">
        <f>T200*U200</f>
        <v>4.5999999999999996</v>
      </c>
      <c r="W200" s="682">
        <v>2</v>
      </c>
      <c r="X200" s="682">
        <v>2.2999999999999998</v>
      </c>
      <c r="Y200" s="496">
        <f>W200*X200</f>
        <v>4.5999999999999996</v>
      </c>
      <c r="Z200" s="1245">
        <f t="shared" si="40"/>
        <v>4.5999999999999996</v>
      </c>
      <c r="AA200" s="1245" t="str">
        <f t="shared" si="41"/>
        <v>-</v>
      </c>
      <c r="AB200" s="1903"/>
      <c r="AC200" s="491" t="s">
        <v>1665</v>
      </c>
      <c r="AF200" s="466"/>
      <c r="AG200" s="465"/>
      <c r="AH200" s="465"/>
    </row>
    <row r="201" spans="1:34" s="498" customFormat="1" hidden="1" x14ac:dyDescent="0.25">
      <c r="A201" s="962"/>
      <c r="B201" s="1030" t="s">
        <v>842</v>
      </c>
      <c r="C201" s="553"/>
      <c r="D201" s="903"/>
      <c r="E201" s="535"/>
      <c r="F201" s="504"/>
      <c r="G201" s="505"/>
      <c r="H201" s="535">
        <f>SUM(H194:H199)*0.271</f>
        <v>5.6</v>
      </c>
      <c r="I201" s="1905"/>
      <c r="J201" s="1905"/>
      <c r="K201" s="1905">
        <f>SUM(K194:K199)*0.271</f>
        <v>4.4000000000000004</v>
      </c>
      <c r="L201" s="1905"/>
      <c r="M201" s="1905"/>
      <c r="N201" s="1905">
        <f>SUM(N194:N199)*0.271</f>
        <v>4.4000000000000004</v>
      </c>
      <c r="O201" s="1905"/>
      <c r="P201" s="1905"/>
      <c r="Q201" s="1905">
        <f>SUM(Q194:Q200)*0.271</f>
        <v>5.3</v>
      </c>
      <c r="R201" s="1905">
        <f t="shared" si="33"/>
        <v>5.3</v>
      </c>
      <c r="S201" s="1905"/>
      <c r="T201" s="1905"/>
      <c r="U201" s="1905"/>
      <c r="V201" s="1905">
        <f>SUM(V194:V200)*0.271</f>
        <v>5.3</v>
      </c>
      <c r="W201" s="1905"/>
      <c r="X201" s="1905"/>
      <c r="Y201" s="1905">
        <f>SUM(Y194:Y200)*0.271</f>
        <v>5.3</v>
      </c>
      <c r="Z201" s="535">
        <f t="shared" si="40"/>
        <v>0.9</v>
      </c>
      <c r="AA201" s="535">
        <f t="shared" si="41"/>
        <v>120.5</v>
      </c>
      <c r="AB201" s="1030"/>
      <c r="AC201" s="491" t="s">
        <v>1665</v>
      </c>
      <c r="AF201" s="466"/>
      <c r="AG201" s="465"/>
      <c r="AH201" s="465"/>
    </row>
    <row r="202" spans="1:34" s="492" customFormat="1" ht="25.5" x14ac:dyDescent="0.2">
      <c r="A202" s="1240"/>
      <c r="B202" s="898" t="s">
        <v>1842</v>
      </c>
      <c r="C202" s="529" t="s">
        <v>797</v>
      </c>
      <c r="D202" s="932"/>
      <c r="E202" s="854"/>
      <c r="F202" s="530"/>
      <c r="G202" s="531"/>
      <c r="H202" s="493">
        <f>SUM(H203:H203)</f>
        <v>1.6</v>
      </c>
      <c r="I202" s="532"/>
      <c r="J202" s="532"/>
      <c r="K202" s="532">
        <f>SUM(K203:K203)</f>
        <v>0.8</v>
      </c>
      <c r="L202" s="532"/>
      <c r="M202" s="532"/>
      <c r="N202" s="532">
        <f>SUM(N203:N203)</f>
        <v>0.8</v>
      </c>
      <c r="O202" s="532"/>
      <c r="P202" s="532"/>
      <c r="Q202" s="532">
        <f>SUM(Q203:Q203)</f>
        <v>1.2</v>
      </c>
      <c r="R202" s="532">
        <f t="shared" si="33"/>
        <v>1.2</v>
      </c>
      <c r="S202" s="532"/>
      <c r="T202" s="532"/>
      <c r="U202" s="532"/>
      <c r="V202" s="532">
        <f>SUM(V203:V203)</f>
        <v>1.2</v>
      </c>
      <c r="W202" s="532"/>
      <c r="X202" s="532"/>
      <c r="Y202" s="532">
        <f>SUM(Y203:Y203)</f>
        <v>1.2</v>
      </c>
      <c r="Z202" s="493">
        <f t="shared" si="40"/>
        <v>0.4</v>
      </c>
      <c r="AA202" s="493">
        <f t="shared" si="41"/>
        <v>150</v>
      </c>
      <c r="AB202" s="900"/>
      <c r="AC202" s="491" t="s">
        <v>1665</v>
      </c>
      <c r="AF202" s="466"/>
      <c r="AG202" s="466"/>
      <c r="AH202" s="466"/>
    </row>
    <row r="203" spans="1:34" s="498" customFormat="1" ht="89.25" hidden="1" x14ac:dyDescent="0.25">
      <c r="A203" s="962"/>
      <c r="B203" s="1030" t="s">
        <v>1843</v>
      </c>
      <c r="C203" s="553"/>
      <c r="D203" s="903"/>
      <c r="E203" s="535" t="s">
        <v>310</v>
      </c>
      <c r="F203" s="863">
        <v>16</v>
      </c>
      <c r="G203" s="864">
        <v>0.1</v>
      </c>
      <c r="H203" s="1245">
        <f>F203*G203</f>
        <v>1.6</v>
      </c>
      <c r="I203" s="682">
        <v>8</v>
      </c>
      <c r="J203" s="1906">
        <v>0.1</v>
      </c>
      <c r="K203" s="496">
        <f>I203*J203</f>
        <v>0.8</v>
      </c>
      <c r="L203" s="682">
        <v>8</v>
      </c>
      <c r="M203" s="1906">
        <v>0.1</v>
      </c>
      <c r="N203" s="496">
        <f>L203*M203</f>
        <v>0.8</v>
      </c>
      <c r="O203" s="682">
        <v>12</v>
      </c>
      <c r="P203" s="682">
        <v>0.1</v>
      </c>
      <c r="Q203" s="496">
        <f>O203*P203</f>
        <v>1.2</v>
      </c>
      <c r="R203" s="496">
        <f t="shared" si="33"/>
        <v>1.2</v>
      </c>
      <c r="S203" s="496"/>
      <c r="T203" s="682">
        <v>12</v>
      </c>
      <c r="U203" s="682">
        <v>0.1</v>
      </c>
      <c r="V203" s="496">
        <f>T203*U203</f>
        <v>1.2</v>
      </c>
      <c r="W203" s="682">
        <v>12</v>
      </c>
      <c r="X203" s="682">
        <v>0.1</v>
      </c>
      <c r="Y203" s="496">
        <f>W203*X203</f>
        <v>1.2</v>
      </c>
      <c r="Z203" s="1245">
        <f t="shared" si="40"/>
        <v>0.4</v>
      </c>
      <c r="AA203" s="1245">
        <f t="shared" si="41"/>
        <v>150</v>
      </c>
      <c r="AB203" s="900" t="s">
        <v>1844</v>
      </c>
      <c r="AC203" s="491" t="s">
        <v>1665</v>
      </c>
      <c r="AF203" s="466"/>
      <c r="AG203" s="465"/>
      <c r="AH203" s="465"/>
    </row>
    <row r="204" spans="1:34" s="492" customFormat="1" ht="14.25" x14ac:dyDescent="0.2">
      <c r="A204" s="1240"/>
      <c r="B204" s="898" t="s">
        <v>1845</v>
      </c>
      <c r="C204" s="529" t="s">
        <v>797</v>
      </c>
      <c r="D204" s="932"/>
      <c r="E204" s="854"/>
      <c r="F204" s="1898"/>
      <c r="G204" s="1899"/>
      <c r="H204" s="493">
        <f>SUM(H205:H207)</f>
        <v>9</v>
      </c>
      <c r="I204" s="1900"/>
      <c r="J204" s="1900"/>
      <c r="K204" s="532">
        <f>SUM(K205:K207)</f>
        <v>8</v>
      </c>
      <c r="L204" s="1900"/>
      <c r="M204" s="1900"/>
      <c r="N204" s="532">
        <f>SUM(N205:N207)</f>
        <v>8</v>
      </c>
      <c r="O204" s="532"/>
      <c r="P204" s="532"/>
      <c r="Q204" s="532">
        <f>SUM(Q205:Q207)</f>
        <v>4</v>
      </c>
      <c r="R204" s="532">
        <f t="shared" si="33"/>
        <v>4</v>
      </c>
      <c r="S204" s="532"/>
      <c r="T204" s="532"/>
      <c r="U204" s="532"/>
      <c r="V204" s="532">
        <f>SUM(V205:V207)</f>
        <v>4</v>
      </c>
      <c r="W204" s="532"/>
      <c r="X204" s="532"/>
      <c r="Y204" s="532">
        <f>SUM(Y205:Y207)</f>
        <v>4</v>
      </c>
      <c r="Z204" s="493">
        <f t="shared" si="40"/>
        <v>-4</v>
      </c>
      <c r="AA204" s="493">
        <f t="shared" si="41"/>
        <v>50</v>
      </c>
      <c r="AB204" s="900"/>
      <c r="AC204" s="491" t="s">
        <v>1665</v>
      </c>
      <c r="AF204" s="466"/>
      <c r="AG204" s="466"/>
      <c r="AH204" s="466"/>
    </row>
    <row r="205" spans="1:34" s="492" customFormat="1" ht="14.25" hidden="1" x14ac:dyDescent="0.2">
      <c r="A205" s="1240"/>
      <c r="B205" s="867" t="s">
        <v>1846</v>
      </c>
      <c r="C205" s="553"/>
      <c r="D205" s="903"/>
      <c r="E205" s="535" t="s">
        <v>227</v>
      </c>
      <c r="F205" s="1907">
        <v>60</v>
      </c>
      <c r="G205" s="1908">
        <v>0.1</v>
      </c>
      <c r="H205" s="1245">
        <f>F205*G205</f>
        <v>6</v>
      </c>
      <c r="I205" s="1864">
        <v>20</v>
      </c>
      <c r="J205" s="1906">
        <v>0.05</v>
      </c>
      <c r="K205" s="496">
        <f>I205*J205</f>
        <v>1</v>
      </c>
      <c r="L205" s="1864">
        <v>20</v>
      </c>
      <c r="M205" s="1906">
        <v>0.05</v>
      </c>
      <c r="N205" s="496">
        <f>L205*M205</f>
        <v>1</v>
      </c>
      <c r="O205" s="1864"/>
      <c r="P205" s="682"/>
      <c r="Q205" s="496"/>
      <c r="R205" s="496">
        <f t="shared" si="33"/>
        <v>0</v>
      </c>
      <c r="S205" s="496"/>
      <c r="T205" s="1864"/>
      <c r="U205" s="682"/>
      <c r="V205" s="496"/>
      <c r="W205" s="1864"/>
      <c r="X205" s="682"/>
      <c r="Y205" s="496"/>
      <c r="Z205" s="1245">
        <f t="shared" si="40"/>
        <v>-1</v>
      </c>
      <c r="AA205" s="1245">
        <f t="shared" si="41"/>
        <v>0</v>
      </c>
      <c r="AB205" s="900"/>
      <c r="AC205" s="491" t="s">
        <v>1665</v>
      </c>
      <c r="AF205" s="466"/>
      <c r="AG205" s="466"/>
      <c r="AH205" s="466"/>
    </row>
    <row r="206" spans="1:34" s="492" customFormat="1" ht="38.25" hidden="1" x14ac:dyDescent="0.2">
      <c r="A206" s="1240"/>
      <c r="B206" s="867" t="s">
        <v>1847</v>
      </c>
      <c r="C206" s="553"/>
      <c r="D206" s="903"/>
      <c r="E206" s="535"/>
      <c r="F206" s="1907"/>
      <c r="G206" s="1908"/>
      <c r="H206" s="1245"/>
      <c r="I206" s="1864">
        <v>4</v>
      </c>
      <c r="J206" s="1864">
        <v>1</v>
      </c>
      <c r="K206" s="496">
        <f>I206*J206</f>
        <v>4</v>
      </c>
      <c r="L206" s="1864">
        <v>4</v>
      </c>
      <c r="M206" s="1864">
        <v>1</v>
      </c>
      <c r="N206" s="496">
        <f>L206*M206</f>
        <v>4</v>
      </c>
      <c r="O206" s="1864">
        <v>1</v>
      </c>
      <c r="P206" s="1864">
        <v>4</v>
      </c>
      <c r="Q206" s="496">
        <f>O206*P206</f>
        <v>4</v>
      </c>
      <c r="R206" s="496">
        <f t="shared" si="33"/>
        <v>4</v>
      </c>
      <c r="S206" s="496"/>
      <c r="T206" s="1864">
        <v>1</v>
      </c>
      <c r="U206" s="1864">
        <v>4</v>
      </c>
      <c r="V206" s="496">
        <f>T206*U206</f>
        <v>4</v>
      </c>
      <c r="W206" s="1864">
        <v>1</v>
      </c>
      <c r="X206" s="1864">
        <v>4</v>
      </c>
      <c r="Y206" s="496">
        <f>W206*X206</f>
        <v>4</v>
      </c>
      <c r="Z206" s="1245">
        <f t="shared" si="40"/>
        <v>0</v>
      </c>
      <c r="AA206" s="1245">
        <f t="shared" si="41"/>
        <v>100</v>
      </c>
      <c r="AB206" s="900" t="s">
        <v>1848</v>
      </c>
      <c r="AC206" s="491" t="s">
        <v>1665</v>
      </c>
      <c r="AF206" s="466"/>
      <c r="AG206" s="466"/>
      <c r="AH206" s="466"/>
    </row>
    <row r="207" spans="1:34" s="498" customFormat="1" ht="38.25" hidden="1" x14ac:dyDescent="0.25">
      <c r="A207" s="962"/>
      <c r="B207" s="867" t="s">
        <v>1849</v>
      </c>
      <c r="C207" s="553"/>
      <c r="D207" s="903"/>
      <c r="E207" s="535"/>
      <c r="F207" s="1907"/>
      <c r="G207" s="1908"/>
      <c r="H207" s="1245">
        <v>3</v>
      </c>
      <c r="I207" s="1864"/>
      <c r="J207" s="1864"/>
      <c r="K207" s="496">
        <v>3</v>
      </c>
      <c r="L207" s="1864"/>
      <c r="M207" s="1864"/>
      <c r="N207" s="496">
        <v>3</v>
      </c>
      <c r="O207" s="1864"/>
      <c r="P207" s="1864"/>
      <c r="Q207" s="496"/>
      <c r="R207" s="496">
        <f t="shared" si="33"/>
        <v>0</v>
      </c>
      <c r="S207" s="496"/>
      <c r="T207" s="1864"/>
      <c r="U207" s="1864"/>
      <c r="V207" s="496"/>
      <c r="W207" s="1864"/>
      <c r="X207" s="1864"/>
      <c r="Y207" s="496"/>
      <c r="Z207" s="1245">
        <f t="shared" si="40"/>
        <v>-3</v>
      </c>
      <c r="AA207" s="1245">
        <f t="shared" si="41"/>
        <v>0</v>
      </c>
      <c r="AB207" s="900"/>
      <c r="AC207" s="491" t="s">
        <v>1665</v>
      </c>
      <c r="AF207" s="466"/>
      <c r="AG207" s="465"/>
      <c r="AH207" s="465"/>
    </row>
    <row r="208" spans="1:34" s="498" customFormat="1" ht="38.25" x14ac:dyDescent="0.25">
      <c r="A208" s="962"/>
      <c r="B208" s="866" t="s">
        <v>1850</v>
      </c>
      <c r="C208" s="1909">
        <v>981</v>
      </c>
      <c r="D208" s="497"/>
      <c r="E208" s="497"/>
      <c r="F208" s="497"/>
      <c r="G208" s="497"/>
      <c r="H208" s="497"/>
      <c r="I208" s="497"/>
      <c r="J208" s="497"/>
      <c r="K208" s="497"/>
      <c r="L208" s="497"/>
      <c r="M208" s="497"/>
      <c r="N208" s="497"/>
      <c r="O208" s="1864"/>
      <c r="P208" s="1864"/>
      <c r="Q208" s="532">
        <v>4</v>
      </c>
      <c r="R208" s="532">
        <f t="shared" si="33"/>
        <v>4</v>
      </c>
      <c r="S208" s="532"/>
      <c r="T208" s="1864"/>
      <c r="U208" s="1864"/>
      <c r="V208" s="532">
        <v>4</v>
      </c>
      <c r="W208" s="1864"/>
      <c r="X208" s="1864"/>
      <c r="Y208" s="532">
        <v>4</v>
      </c>
      <c r="Z208" s="1245">
        <f t="shared" si="40"/>
        <v>4</v>
      </c>
      <c r="AA208" s="1245" t="str">
        <f t="shared" si="41"/>
        <v>-</v>
      </c>
      <c r="AB208" s="900" t="s">
        <v>1851</v>
      </c>
      <c r="AC208" s="491" t="s">
        <v>1665</v>
      </c>
      <c r="AF208" s="466"/>
      <c r="AG208" s="465"/>
      <c r="AH208" s="465"/>
    </row>
    <row r="209" spans="1:34" s="498" customFormat="1" ht="63.75" x14ac:dyDescent="0.25">
      <c r="A209" s="962"/>
      <c r="B209" s="866" t="s">
        <v>1852</v>
      </c>
      <c r="C209" s="1909">
        <v>981</v>
      </c>
      <c r="D209" s="497"/>
      <c r="E209" s="497"/>
      <c r="F209" s="497"/>
      <c r="G209" s="497"/>
      <c r="H209" s="497"/>
      <c r="I209" s="497"/>
      <c r="J209" s="497"/>
      <c r="K209" s="497"/>
      <c r="L209" s="497"/>
      <c r="M209" s="497"/>
      <c r="N209" s="497"/>
      <c r="O209" s="1864"/>
      <c r="P209" s="1864"/>
      <c r="Q209" s="532">
        <v>2</v>
      </c>
      <c r="R209" s="532">
        <f t="shared" si="33"/>
        <v>2</v>
      </c>
      <c r="S209" s="532"/>
      <c r="T209" s="1864"/>
      <c r="U209" s="1864"/>
      <c r="V209" s="532">
        <v>2</v>
      </c>
      <c r="W209" s="1864"/>
      <c r="X209" s="1864"/>
      <c r="Y209" s="532">
        <v>2</v>
      </c>
      <c r="Z209" s="1245">
        <f t="shared" si="40"/>
        <v>2</v>
      </c>
      <c r="AA209" s="1245" t="str">
        <f t="shared" si="41"/>
        <v>-</v>
      </c>
      <c r="AB209" s="900" t="s">
        <v>1853</v>
      </c>
      <c r="AC209" s="491" t="s">
        <v>1665</v>
      </c>
      <c r="AF209" s="466"/>
      <c r="AG209" s="465"/>
      <c r="AH209" s="465"/>
    </row>
    <row r="210" spans="1:34" s="492" customFormat="1" ht="38.25" hidden="1" x14ac:dyDescent="0.2">
      <c r="A210" s="1240"/>
      <c r="B210" s="898" t="s">
        <v>1854</v>
      </c>
      <c r="C210" s="529" t="s">
        <v>796</v>
      </c>
      <c r="D210" s="932"/>
      <c r="E210" s="854" t="s">
        <v>227</v>
      </c>
      <c r="F210" s="530">
        <v>15</v>
      </c>
      <c r="G210" s="531">
        <v>0.5</v>
      </c>
      <c r="H210" s="493">
        <f>F210*G210</f>
        <v>7.5</v>
      </c>
      <c r="I210" s="532">
        <v>15</v>
      </c>
      <c r="J210" s="1836">
        <v>0.25</v>
      </c>
      <c r="K210" s="532">
        <f>I210*J210</f>
        <v>3.8</v>
      </c>
      <c r="L210" s="532">
        <v>15</v>
      </c>
      <c r="M210" s="1836">
        <v>0.25</v>
      </c>
      <c r="N210" s="532">
        <f>L210*M210</f>
        <v>3.8</v>
      </c>
      <c r="O210" s="532">
        <v>15</v>
      </c>
      <c r="P210" s="532">
        <v>0.3</v>
      </c>
      <c r="Q210" s="532">
        <f>O210*P210</f>
        <v>4.5</v>
      </c>
      <c r="R210" s="532">
        <f t="shared" si="33"/>
        <v>4.5</v>
      </c>
      <c r="S210" s="532"/>
      <c r="T210" s="532">
        <v>15</v>
      </c>
      <c r="U210" s="532">
        <v>0.3</v>
      </c>
      <c r="V210" s="532">
        <f>T210*U210</f>
        <v>4.5</v>
      </c>
      <c r="W210" s="532">
        <v>15</v>
      </c>
      <c r="X210" s="532">
        <v>0.3</v>
      </c>
      <c r="Y210" s="532">
        <f>W210*X210</f>
        <v>4.5</v>
      </c>
      <c r="Z210" s="493">
        <f t="shared" si="40"/>
        <v>0.7</v>
      </c>
      <c r="AA210" s="493">
        <f t="shared" si="41"/>
        <v>118.4</v>
      </c>
      <c r="AB210" s="900" t="s">
        <v>1855</v>
      </c>
      <c r="AC210" s="491" t="s">
        <v>1665</v>
      </c>
      <c r="AF210" s="466"/>
      <c r="AG210" s="466"/>
      <c r="AH210" s="466"/>
    </row>
    <row r="211" spans="1:34" s="492" customFormat="1" ht="14.25" x14ac:dyDescent="0.2">
      <c r="A211" s="1240"/>
      <c r="B211" s="866" t="s">
        <v>1856</v>
      </c>
      <c r="C211" s="529" t="s">
        <v>797</v>
      </c>
      <c r="D211" s="1240"/>
      <c r="E211" s="854"/>
      <c r="F211" s="530"/>
      <c r="G211" s="531"/>
      <c r="H211" s="493">
        <f>SUM(H212:H213)</f>
        <v>7.4</v>
      </c>
      <c r="I211" s="532"/>
      <c r="J211" s="532"/>
      <c r="K211" s="532">
        <f>SUM(K212:K213)</f>
        <v>3.4</v>
      </c>
      <c r="L211" s="532"/>
      <c r="M211" s="532"/>
      <c r="N211" s="532">
        <f>SUM(N212:N213)</f>
        <v>3.4</v>
      </c>
      <c r="O211" s="532"/>
      <c r="P211" s="532"/>
      <c r="Q211" s="532">
        <f>SUM(Q212:Q213)</f>
        <v>3.4</v>
      </c>
      <c r="R211" s="532">
        <f t="shared" si="33"/>
        <v>3.4</v>
      </c>
      <c r="S211" s="532"/>
      <c r="T211" s="532"/>
      <c r="U211" s="532"/>
      <c r="V211" s="532">
        <f>SUM(V212:V213)</f>
        <v>3.4</v>
      </c>
      <c r="W211" s="532"/>
      <c r="X211" s="532"/>
      <c r="Y211" s="532">
        <f>SUM(Y212:Y213)</f>
        <v>3.4</v>
      </c>
      <c r="Z211" s="493">
        <f t="shared" si="40"/>
        <v>0</v>
      </c>
      <c r="AA211" s="493">
        <f t="shared" si="41"/>
        <v>100</v>
      </c>
      <c r="AB211" s="900"/>
      <c r="AC211" s="491" t="s">
        <v>1665</v>
      </c>
      <c r="AF211" s="466"/>
      <c r="AG211" s="466"/>
      <c r="AH211" s="466"/>
    </row>
    <row r="212" spans="1:34" s="498" customFormat="1" hidden="1" x14ac:dyDescent="0.25">
      <c r="A212" s="962"/>
      <c r="B212" s="867" t="s">
        <v>1857</v>
      </c>
      <c r="C212" s="553"/>
      <c r="D212" s="903"/>
      <c r="E212" s="535" t="s">
        <v>310</v>
      </c>
      <c r="F212" s="494">
        <v>1</v>
      </c>
      <c r="G212" s="495">
        <v>4</v>
      </c>
      <c r="H212" s="1245">
        <f>F212*G212</f>
        <v>4</v>
      </c>
      <c r="I212" s="509"/>
      <c r="J212" s="509"/>
      <c r="K212" s="509">
        <v>0</v>
      </c>
      <c r="L212" s="509"/>
      <c r="M212" s="509"/>
      <c r="N212" s="509">
        <v>0</v>
      </c>
      <c r="O212" s="509"/>
      <c r="P212" s="509"/>
      <c r="Q212" s="509"/>
      <c r="R212" s="509">
        <f t="shared" ref="R212:R275" si="42">Q212</f>
        <v>0</v>
      </c>
      <c r="S212" s="509"/>
      <c r="T212" s="509"/>
      <c r="U212" s="509"/>
      <c r="V212" s="509"/>
      <c r="W212" s="509"/>
      <c r="X212" s="509"/>
      <c r="Y212" s="509"/>
      <c r="Z212" s="1245">
        <f t="shared" si="40"/>
        <v>0</v>
      </c>
      <c r="AA212" s="1245" t="str">
        <f t="shared" si="41"/>
        <v>-</v>
      </c>
      <c r="AB212" s="900"/>
      <c r="AC212" s="491" t="s">
        <v>1665</v>
      </c>
      <c r="AF212" s="466"/>
      <c r="AG212" s="465"/>
      <c r="AH212" s="465"/>
    </row>
    <row r="213" spans="1:34" s="498" customFormat="1" hidden="1" x14ac:dyDescent="0.25">
      <c r="A213" s="962"/>
      <c r="B213" s="867" t="s">
        <v>1858</v>
      </c>
      <c r="C213" s="553"/>
      <c r="D213" s="903"/>
      <c r="E213" s="535" t="s">
        <v>310</v>
      </c>
      <c r="F213" s="494">
        <v>34</v>
      </c>
      <c r="G213" s="495">
        <v>0.1</v>
      </c>
      <c r="H213" s="1245">
        <f>F213*G213</f>
        <v>3.4</v>
      </c>
      <c r="I213" s="496">
        <v>34</v>
      </c>
      <c r="J213" s="496">
        <v>0.1</v>
      </c>
      <c r="K213" s="496">
        <f>I213*J213</f>
        <v>3.4</v>
      </c>
      <c r="L213" s="496">
        <v>34</v>
      </c>
      <c r="M213" s="496">
        <v>0.1</v>
      </c>
      <c r="N213" s="496">
        <f>L213*M213</f>
        <v>3.4</v>
      </c>
      <c r="O213" s="496">
        <v>34</v>
      </c>
      <c r="P213" s="496">
        <v>0.1</v>
      </c>
      <c r="Q213" s="496">
        <f>O213*P213</f>
        <v>3.4</v>
      </c>
      <c r="R213" s="496">
        <f t="shared" si="42"/>
        <v>3.4</v>
      </c>
      <c r="S213" s="496"/>
      <c r="T213" s="496">
        <v>34</v>
      </c>
      <c r="U213" s="496">
        <v>0.1</v>
      </c>
      <c r="V213" s="496">
        <f>T213*U213</f>
        <v>3.4</v>
      </c>
      <c r="W213" s="496">
        <v>34</v>
      </c>
      <c r="X213" s="496">
        <v>0.1</v>
      </c>
      <c r="Y213" s="496">
        <f>W213*X213</f>
        <v>3.4</v>
      </c>
      <c r="Z213" s="1245">
        <f t="shared" si="40"/>
        <v>0</v>
      </c>
      <c r="AA213" s="1245">
        <f t="shared" si="41"/>
        <v>100</v>
      </c>
      <c r="AB213" s="1910"/>
      <c r="AC213" s="491" t="s">
        <v>1665</v>
      </c>
      <c r="AF213" s="466"/>
      <c r="AG213" s="465"/>
      <c r="AH213" s="465"/>
    </row>
    <row r="214" spans="1:34" s="539" customFormat="1" hidden="1" x14ac:dyDescent="0.25">
      <c r="A214" s="536"/>
      <c r="B214" s="543" t="s">
        <v>799</v>
      </c>
      <c r="C214" s="511"/>
      <c r="D214" s="536"/>
      <c r="E214" s="544"/>
      <c r="F214" s="545"/>
      <c r="G214" s="546"/>
      <c r="H214" s="537" t="e">
        <f>#REF!+H215+#REF!+#REF!</f>
        <v>#REF!</v>
      </c>
      <c r="I214" s="537"/>
      <c r="J214" s="537"/>
      <c r="K214" s="537">
        <f>K215</f>
        <v>71.5</v>
      </c>
      <c r="L214" s="537"/>
      <c r="M214" s="537"/>
      <c r="N214" s="537">
        <f>N215</f>
        <v>71.5</v>
      </c>
      <c r="O214" s="537"/>
      <c r="P214" s="537"/>
      <c r="Q214" s="537">
        <f>Q215</f>
        <v>141.5</v>
      </c>
      <c r="R214" s="537">
        <f t="shared" si="42"/>
        <v>141.5</v>
      </c>
      <c r="S214" s="537"/>
      <c r="T214" s="537"/>
      <c r="U214" s="537"/>
      <c r="V214" s="537">
        <f>V215</f>
        <v>116</v>
      </c>
      <c r="W214" s="537"/>
      <c r="X214" s="537"/>
      <c r="Y214" s="537">
        <f>Y215</f>
        <v>116</v>
      </c>
      <c r="Z214" s="537">
        <f t="shared" si="40"/>
        <v>70</v>
      </c>
      <c r="AA214" s="537">
        <f t="shared" si="41"/>
        <v>197.9</v>
      </c>
      <c r="AC214" s="538"/>
      <c r="AF214" s="518"/>
      <c r="AG214" s="540"/>
      <c r="AH214" s="540"/>
    </row>
    <row r="215" spans="1:34" s="527" customFormat="1" ht="38.25" hidden="1" x14ac:dyDescent="0.2">
      <c r="A215" s="522"/>
      <c r="B215" s="520" t="s">
        <v>1664</v>
      </c>
      <c r="C215" s="521"/>
      <c r="D215" s="522" t="s">
        <v>1444</v>
      </c>
      <c r="E215" s="556"/>
      <c r="F215" s="523"/>
      <c r="G215" s="524"/>
      <c r="H215" s="526">
        <f>H216+H223+H224+H228+H231+H243+H245+H249+H250</f>
        <v>196.8</v>
      </c>
      <c r="I215" s="526"/>
      <c r="J215" s="526"/>
      <c r="K215" s="526">
        <f>K216+K223+K224+K228+K231+K243+K245+K249+K250</f>
        <v>71.5</v>
      </c>
      <c r="L215" s="526"/>
      <c r="M215" s="526"/>
      <c r="N215" s="526">
        <f>N216+N223+N224+N228+N231+N243+N245+N249+N250</f>
        <v>71.5</v>
      </c>
      <c r="O215" s="526"/>
      <c r="P215" s="526"/>
      <c r="Q215" s="526">
        <f>Q216+Q223+Q224+Q228+Q231+Q243+Q245+Q249+Q250</f>
        <v>141.5</v>
      </c>
      <c r="R215" s="526">
        <f t="shared" si="42"/>
        <v>141.5</v>
      </c>
      <c r="S215" s="526"/>
      <c r="T215" s="526"/>
      <c r="U215" s="526"/>
      <c r="V215" s="526">
        <f>V216+V223+V224+V228+V231+V243+V245+V249+V250</f>
        <v>116</v>
      </c>
      <c r="W215" s="526"/>
      <c r="X215" s="526"/>
      <c r="Y215" s="526">
        <f>Y216+Y223+Y224+Y228+Y231+Y243+Y245+Y249+Y250</f>
        <v>116</v>
      </c>
      <c r="Z215" s="526">
        <f t="shared" si="40"/>
        <v>70</v>
      </c>
      <c r="AA215" s="526">
        <f t="shared" si="41"/>
        <v>197.9</v>
      </c>
      <c r="AB215" s="1911"/>
      <c r="AC215" s="549" t="s">
        <v>1665</v>
      </c>
      <c r="AF215" s="528"/>
      <c r="AG215" s="528"/>
      <c r="AH215" s="528"/>
    </row>
    <row r="216" spans="1:34" s="492" customFormat="1" ht="14.25" x14ac:dyDescent="0.2">
      <c r="A216" s="1240"/>
      <c r="B216" s="500" t="s">
        <v>1859</v>
      </c>
      <c r="C216" s="501" t="s">
        <v>797</v>
      </c>
      <c r="D216" s="1240"/>
      <c r="E216" s="842"/>
      <c r="F216" s="828"/>
      <c r="G216" s="829"/>
      <c r="H216" s="542"/>
      <c r="I216" s="542"/>
      <c r="J216" s="542"/>
      <c r="K216" s="542">
        <f>SUM(K217:K222)</f>
        <v>7.9</v>
      </c>
      <c r="L216" s="542"/>
      <c r="M216" s="542"/>
      <c r="N216" s="542">
        <f>SUM(N217:N222)</f>
        <v>7.9</v>
      </c>
      <c r="O216" s="542"/>
      <c r="P216" s="542"/>
      <c r="Q216" s="533">
        <f>SUM(Q220:Q222)</f>
        <v>3.3</v>
      </c>
      <c r="R216" s="533">
        <f t="shared" si="42"/>
        <v>3.3</v>
      </c>
      <c r="S216" s="533"/>
      <c r="T216" s="542"/>
      <c r="U216" s="542"/>
      <c r="V216" s="533">
        <f>SUM(V220:V222)</f>
        <v>3.3</v>
      </c>
      <c r="W216" s="542"/>
      <c r="X216" s="542"/>
      <c r="Y216" s="533">
        <f>SUM(Y220:Y222)</f>
        <v>3.3</v>
      </c>
      <c r="Z216" s="542">
        <f t="shared" si="40"/>
        <v>-4.5999999999999996</v>
      </c>
      <c r="AA216" s="542">
        <f t="shared" si="41"/>
        <v>41.8</v>
      </c>
      <c r="AB216" s="921"/>
      <c r="AC216" s="549" t="s">
        <v>1665</v>
      </c>
      <c r="AF216" s="466"/>
      <c r="AG216" s="466"/>
      <c r="AH216" s="466"/>
    </row>
    <row r="217" spans="1:34" s="498" customFormat="1" hidden="1" x14ac:dyDescent="0.25">
      <c r="A217" s="962"/>
      <c r="B217" s="1879" t="s">
        <v>1860</v>
      </c>
      <c r="C217" s="499"/>
      <c r="D217" s="903"/>
      <c r="E217" s="535" t="s">
        <v>227</v>
      </c>
      <c r="F217" s="857"/>
      <c r="G217" s="857"/>
      <c r="H217" s="857"/>
      <c r="I217" s="857">
        <v>150</v>
      </c>
      <c r="J217" s="862">
        <v>0.05</v>
      </c>
      <c r="K217" s="857">
        <f>I217*J217</f>
        <v>7.5</v>
      </c>
      <c r="L217" s="857">
        <v>150</v>
      </c>
      <c r="M217" s="862">
        <v>0.05</v>
      </c>
      <c r="N217" s="857">
        <f>L217*M217</f>
        <v>7.5</v>
      </c>
      <c r="O217" s="857"/>
      <c r="P217" s="862"/>
      <c r="Q217" s="857"/>
      <c r="R217" s="857">
        <f t="shared" si="42"/>
        <v>0</v>
      </c>
      <c r="S217" s="857"/>
      <c r="T217" s="857"/>
      <c r="U217" s="862"/>
      <c r="V217" s="857"/>
      <c r="W217" s="857"/>
      <c r="X217" s="857"/>
      <c r="Y217" s="857"/>
      <c r="Z217" s="559">
        <f t="shared" si="40"/>
        <v>-7.5</v>
      </c>
      <c r="AA217" s="559">
        <f t="shared" si="41"/>
        <v>0</v>
      </c>
      <c r="AB217" s="1912"/>
      <c r="AC217" s="549" t="s">
        <v>1665</v>
      </c>
      <c r="AF217" s="466"/>
      <c r="AG217" s="465"/>
      <c r="AH217" s="465"/>
    </row>
    <row r="218" spans="1:34" s="498" customFormat="1" hidden="1" x14ac:dyDescent="0.25">
      <c r="A218" s="962"/>
      <c r="B218" s="856" t="s">
        <v>1861</v>
      </c>
      <c r="C218" s="499"/>
      <c r="D218" s="903"/>
      <c r="E218" s="535"/>
      <c r="F218" s="857"/>
      <c r="G218" s="857"/>
      <c r="H218" s="857"/>
      <c r="I218" s="857"/>
      <c r="J218" s="857"/>
      <c r="K218" s="857"/>
      <c r="L218" s="857"/>
      <c r="M218" s="857"/>
      <c r="N218" s="857"/>
      <c r="O218" s="857"/>
      <c r="P218" s="857"/>
      <c r="Q218" s="857"/>
      <c r="R218" s="857">
        <f t="shared" si="42"/>
        <v>0</v>
      </c>
      <c r="S218" s="857"/>
      <c r="T218" s="857"/>
      <c r="U218" s="857"/>
      <c r="V218" s="857"/>
      <c r="W218" s="857"/>
      <c r="X218" s="857"/>
      <c r="Y218" s="857"/>
      <c r="Z218" s="559">
        <f t="shared" si="40"/>
        <v>0</v>
      </c>
      <c r="AA218" s="559" t="str">
        <f t="shared" si="41"/>
        <v>-</v>
      </c>
      <c r="AB218" s="1912"/>
      <c r="AC218" s="549" t="s">
        <v>1665</v>
      </c>
      <c r="AF218" s="466"/>
      <c r="AG218" s="465"/>
      <c r="AH218" s="465"/>
    </row>
    <row r="219" spans="1:34" s="498" customFormat="1" hidden="1" x14ac:dyDescent="0.25">
      <c r="A219" s="962"/>
      <c r="B219" s="856" t="s">
        <v>1862</v>
      </c>
      <c r="C219" s="499"/>
      <c r="D219" s="903"/>
      <c r="E219" s="535" t="s">
        <v>227</v>
      </c>
      <c r="F219" s="857"/>
      <c r="G219" s="857"/>
      <c r="H219" s="857"/>
      <c r="I219" s="857">
        <v>40</v>
      </c>
      <c r="J219" s="862">
        <v>0.01</v>
      </c>
      <c r="K219" s="857">
        <f>I219*J219</f>
        <v>0.4</v>
      </c>
      <c r="L219" s="857">
        <v>40</v>
      </c>
      <c r="M219" s="862">
        <v>0.01</v>
      </c>
      <c r="N219" s="857">
        <f>L219*M219</f>
        <v>0.4</v>
      </c>
      <c r="O219" s="857"/>
      <c r="P219" s="862"/>
      <c r="Q219" s="857"/>
      <c r="R219" s="857">
        <f t="shared" si="42"/>
        <v>0</v>
      </c>
      <c r="S219" s="857"/>
      <c r="T219" s="857"/>
      <c r="U219" s="862"/>
      <c r="V219" s="857"/>
      <c r="W219" s="857"/>
      <c r="X219" s="857"/>
      <c r="Y219" s="857"/>
      <c r="Z219" s="559">
        <f t="shared" si="40"/>
        <v>-0.4</v>
      </c>
      <c r="AA219" s="559">
        <f t="shared" si="41"/>
        <v>0</v>
      </c>
      <c r="AB219" s="1912"/>
      <c r="AC219" s="549" t="s">
        <v>1665</v>
      </c>
      <c r="AF219" s="466"/>
      <c r="AG219" s="465"/>
      <c r="AH219" s="465"/>
    </row>
    <row r="220" spans="1:34" s="492" customFormat="1" ht="51" hidden="1" x14ac:dyDescent="0.2">
      <c r="A220" s="1240"/>
      <c r="B220" s="856" t="s">
        <v>1863</v>
      </c>
      <c r="C220" s="501"/>
      <c r="D220" s="1240"/>
      <c r="E220" s="842"/>
      <c r="F220" s="828"/>
      <c r="G220" s="829"/>
      <c r="H220" s="542"/>
      <c r="I220" s="542"/>
      <c r="J220" s="542"/>
      <c r="K220" s="542"/>
      <c r="L220" s="542"/>
      <c r="M220" s="542"/>
      <c r="N220" s="542"/>
      <c r="O220" s="857">
        <v>1</v>
      </c>
      <c r="P220" s="857">
        <v>0.4</v>
      </c>
      <c r="Q220" s="857">
        <f>O220*P220</f>
        <v>0.4</v>
      </c>
      <c r="R220" s="857">
        <f t="shared" si="42"/>
        <v>0.4</v>
      </c>
      <c r="S220" s="857"/>
      <c r="T220" s="857">
        <v>1</v>
      </c>
      <c r="U220" s="857">
        <v>0.4</v>
      </c>
      <c r="V220" s="857">
        <f>T220*U220</f>
        <v>0.4</v>
      </c>
      <c r="W220" s="857">
        <v>1</v>
      </c>
      <c r="X220" s="857">
        <v>0.4</v>
      </c>
      <c r="Y220" s="857">
        <f>W220*X220</f>
        <v>0.4</v>
      </c>
      <c r="Z220" s="559">
        <f t="shared" si="40"/>
        <v>0.4</v>
      </c>
      <c r="AA220" s="559" t="str">
        <f t="shared" si="41"/>
        <v>-</v>
      </c>
      <c r="AB220" s="827" t="s">
        <v>1864</v>
      </c>
      <c r="AC220" s="549" t="s">
        <v>1665</v>
      </c>
      <c r="AF220" s="466"/>
      <c r="AG220" s="466"/>
      <c r="AH220" s="466"/>
    </row>
    <row r="221" spans="1:34" s="492" customFormat="1" ht="25.5" hidden="1" x14ac:dyDescent="0.2">
      <c r="A221" s="1240"/>
      <c r="B221" s="856" t="s">
        <v>1865</v>
      </c>
      <c r="C221" s="501"/>
      <c r="D221" s="1240"/>
      <c r="E221" s="842"/>
      <c r="F221" s="828"/>
      <c r="G221" s="829"/>
      <c r="H221" s="542"/>
      <c r="I221" s="542"/>
      <c r="J221" s="542"/>
      <c r="K221" s="542"/>
      <c r="L221" s="542"/>
      <c r="M221" s="542"/>
      <c r="N221" s="542"/>
      <c r="O221" s="857">
        <v>1</v>
      </c>
      <c r="P221" s="857">
        <v>0.9</v>
      </c>
      <c r="Q221" s="857">
        <f>O221*P221</f>
        <v>0.9</v>
      </c>
      <c r="R221" s="857">
        <f t="shared" si="42"/>
        <v>0.9</v>
      </c>
      <c r="S221" s="857"/>
      <c r="T221" s="857">
        <v>1</v>
      </c>
      <c r="U221" s="857">
        <v>0.9</v>
      </c>
      <c r="V221" s="857">
        <f>T221*U221</f>
        <v>0.9</v>
      </c>
      <c r="W221" s="857">
        <v>1</v>
      </c>
      <c r="X221" s="857">
        <v>0.9</v>
      </c>
      <c r="Y221" s="857">
        <f>W221*X221</f>
        <v>0.9</v>
      </c>
      <c r="Z221" s="559">
        <f t="shared" si="40"/>
        <v>0.9</v>
      </c>
      <c r="AA221" s="559" t="str">
        <f t="shared" si="41"/>
        <v>-</v>
      </c>
      <c r="AB221" s="827" t="s">
        <v>1866</v>
      </c>
      <c r="AC221" s="549" t="s">
        <v>1665</v>
      </c>
      <c r="AF221" s="466"/>
      <c r="AG221" s="466"/>
      <c r="AH221" s="466"/>
    </row>
    <row r="222" spans="1:34" s="492" customFormat="1" ht="25.5" hidden="1" x14ac:dyDescent="0.2">
      <c r="A222" s="1240"/>
      <c r="B222" s="856" t="s">
        <v>1867</v>
      </c>
      <c r="C222" s="501"/>
      <c r="D222" s="1240"/>
      <c r="E222" s="842"/>
      <c r="F222" s="828"/>
      <c r="G222" s="829"/>
      <c r="H222" s="542"/>
      <c r="I222" s="542"/>
      <c r="J222" s="542"/>
      <c r="K222" s="542"/>
      <c r="L222" s="542"/>
      <c r="M222" s="542"/>
      <c r="N222" s="542"/>
      <c r="O222" s="857">
        <v>10</v>
      </c>
      <c r="P222" s="857">
        <v>0.2</v>
      </c>
      <c r="Q222" s="857">
        <f>O222*P222</f>
        <v>2</v>
      </c>
      <c r="R222" s="857">
        <f t="shared" si="42"/>
        <v>2</v>
      </c>
      <c r="S222" s="857"/>
      <c r="T222" s="857">
        <v>10</v>
      </c>
      <c r="U222" s="857">
        <v>0.2</v>
      </c>
      <c r="V222" s="857">
        <f>T222*U222</f>
        <v>2</v>
      </c>
      <c r="W222" s="857">
        <v>10</v>
      </c>
      <c r="X222" s="857">
        <v>0.2</v>
      </c>
      <c r="Y222" s="857">
        <f>W222*X222</f>
        <v>2</v>
      </c>
      <c r="Z222" s="559">
        <f t="shared" si="40"/>
        <v>2</v>
      </c>
      <c r="AA222" s="559" t="str">
        <f t="shared" si="41"/>
        <v>-</v>
      </c>
      <c r="AB222" s="827" t="s">
        <v>1868</v>
      </c>
      <c r="AC222" s="549" t="s">
        <v>1665</v>
      </c>
      <c r="AF222" s="466"/>
      <c r="AG222" s="466"/>
      <c r="AH222" s="466"/>
    </row>
    <row r="223" spans="1:34" s="492" customFormat="1" ht="14.25" x14ac:dyDescent="0.2">
      <c r="A223" s="1240"/>
      <c r="B223" s="500" t="s">
        <v>1869</v>
      </c>
      <c r="C223" s="501" t="s">
        <v>797</v>
      </c>
      <c r="D223" s="1240"/>
      <c r="E223" s="842"/>
      <c r="F223" s="828"/>
      <c r="G223" s="829"/>
      <c r="H223" s="542"/>
      <c r="I223" s="542">
        <v>60</v>
      </c>
      <c r="J223" s="542">
        <v>0.1</v>
      </c>
      <c r="K223" s="542">
        <f>I223*J223</f>
        <v>6</v>
      </c>
      <c r="L223" s="542">
        <v>60</v>
      </c>
      <c r="M223" s="542">
        <v>0.1</v>
      </c>
      <c r="N223" s="542">
        <f>L223*M223</f>
        <v>6</v>
      </c>
      <c r="O223" s="533">
        <v>60</v>
      </c>
      <c r="P223" s="533">
        <v>0.1</v>
      </c>
      <c r="Q223" s="533">
        <f>O223*P223</f>
        <v>6</v>
      </c>
      <c r="R223" s="533">
        <f t="shared" si="42"/>
        <v>6</v>
      </c>
      <c r="S223" s="533"/>
      <c r="T223" s="533">
        <v>60</v>
      </c>
      <c r="U223" s="533">
        <v>0.1</v>
      </c>
      <c r="V223" s="533">
        <f>T223*U223</f>
        <v>6</v>
      </c>
      <c r="W223" s="533">
        <v>60</v>
      </c>
      <c r="X223" s="533">
        <v>0.1</v>
      </c>
      <c r="Y223" s="533">
        <f>W223*X223</f>
        <v>6</v>
      </c>
      <c r="Z223" s="542">
        <f t="shared" si="40"/>
        <v>0</v>
      </c>
      <c r="AA223" s="542">
        <f t="shared" si="41"/>
        <v>100</v>
      </c>
      <c r="AB223" s="827"/>
      <c r="AC223" s="549" t="s">
        <v>1665</v>
      </c>
      <c r="AF223" s="466"/>
      <c r="AG223" s="466"/>
      <c r="AH223" s="466"/>
    </row>
    <row r="224" spans="1:34" s="492" customFormat="1" ht="25.5" x14ac:dyDescent="0.2">
      <c r="A224" s="1240"/>
      <c r="B224" s="500" t="s">
        <v>1239</v>
      </c>
      <c r="C224" s="501" t="s">
        <v>797</v>
      </c>
      <c r="D224" s="932"/>
      <c r="E224" s="854"/>
      <c r="F224" s="828"/>
      <c r="G224" s="829"/>
      <c r="H224" s="542">
        <f>SUM(H225:H230)</f>
        <v>15.4</v>
      </c>
      <c r="I224" s="533"/>
      <c r="J224" s="533"/>
      <c r="K224" s="533">
        <f>SUM(K225:K227)</f>
        <v>0.6</v>
      </c>
      <c r="L224" s="533"/>
      <c r="M224" s="533"/>
      <c r="N224" s="533">
        <f>SUM(N225:N227)</f>
        <v>0.6</v>
      </c>
      <c r="O224" s="533"/>
      <c r="P224" s="533"/>
      <c r="Q224" s="533">
        <f>SUM(Q225:Q227)</f>
        <v>4.5</v>
      </c>
      <c r="R224" s="533">
        <f t="shared" si="42"/>
        <v>4.5</v>
      </c>
      <c r="S224" s="533"/>
      <c r="T224" s="533"/>
      <c r="U224" s="533"/>
      <c r="V224" s="533">
        <f>SUM(V225:V227)</f>
        <v>6.2</v>
      </c>
      <c r="W224" s="533"/>
      <c r="X224" s="533"/>
      <c r="Y224" s="533">
        <f>SUM(Y225:Y227)</f>
        <v>6.2</v>
      </c>
      <c r="Z224" s="542">
        <f t="shared" si="40"/>
        <v>3.9</v>
      </c>
      <c r="AA224" s="542">
        <f t="shared" si="41"/>
        <v>750</v>
      </c>
      <c r="AB224" s="827"/>
      <c r="AC224" s="549" t="s">
        <v>1665</v>
      </c>
      <c r="AF224" s="466"/>
      <c r="AG224" s="466"/>
      <c r="AH224" s="466"/>
    </row>
    <row r="225" spans="1:34" s="498" customFormat="1" ht="140.25" hidden="1" x14ac:dyDescent="0.25">
      <c r="A225" s="962"/>
      <c r="B225" s="502" t="s">
        <v>1870</v>
      </c>
      <c r="C225" s="499"/>
      <c r="D225" s="903"/>
      <c r="E225" s="535" t="s">
        <v>227</v>
      </c>
      <c r="F225" s="557">
        <v>40</v>
      </c>
      <c r="G225" s="558">
        <v>0.08</v>
      </c>
      <c r="H225" s="559">
        <f>F225*G225</f>
        <v>3.2</v>
      </c>
      <c r="I225" s="857">
        <v>6</v>
      </c>
      <c r="J225" s="862">
        <v>0.1</v>
      </c>
      <c r="K225" s="857">
        <f>I225*J225</f>
        <v>0.6</v>
      </c>
      <c r="L225" s="857">
        <v>6</v>
      </c>
      <c r="M225" s="862">
        <v>0.1</v>
      </c>
      <c r="N225" s="857">
        <f>L225*M225</f>
        <v>0.6</v>
      </c>
      <c r="O225" s="496">
        <v>15</v>
      </c>
      <c r="P225" s="496">
        <v>0.1</v>
      </c>
      <c r="Q225" s="496">
        <f>O225*P225</f>
        <v>1.5</v>
      </c>
      <c r="R225" s="496">
        <f t="shared" si="42"/>
        <v>1.5</v>
      </c>
      <c r="S225" s="496"/>
      <c r="T225" s="496">
        <v>32</v>
      </c>
      <c r="U225" s="496">
        <v>0.1</v>
      </c>
      <c r="V225" s="496">
        <f>T225*U225</f>
        <v>3.2</v>
      </c>
      <c r="W225" s="496">
        <v>32</v>
      </c>
      <c r="X225" s="496">
        <v>0.1</v>
      </c>
      <c r="Y225" s="496">
        <f>W225*X225</f>
        <v>3.2</v>
      </c>
      <c r="Z225" s="559">
        <f t="shared" si="40"/>
        <v>0.9</v>
      </c>
      <c r="AA225" s="559">
        <f t="shared" si="41"/>
        <v>250</v>
      </c>
      <c r="AB225" s="900" t="s">
        <v>1871</v>
      </c>
      <c r="AC225" s="549" t="s">
        <v>1665</v>
      </c>
      <c r="AF225" s="466"/>
      <c r="AG225" s="465"/>
      <c r="AH225" s="465"/>
    </row>
    <row r="226" spans="1:34" s="498" customFormat="1" ht="38.25" hidden="1" x14ac:dyDescent="0.25">
      <c r="A226" s="962"/>
      <c r="B226" s="856" t="s">
        <v>1692</v>
      </c>
      <c r="C226" s="499"/>
      <c r="D226" s="903"/>
      <c r="E226" s="535" t="s">
        <v>227</v>
      </c>
      <c r="F226" s="557"/>
      <c r="G226" s="558">
        <v>0.3</v>
      </c>
      <c r="H226" s="559">
        <f>F226*G226</f>
        <v>0</v>
      </c>
      <c r="I226" s="857"/>
      <c r="J226" s="857"/>
      <c r="K226" s="857">
        <f>I226*J226</f>
        <v>0</v>
      </c>
      <c r="L226" s="857"/>
      <c r="M226" s="857"/>
      <c r="N226" s="857">
        <f>L226*M226</f>
        <v>0</v>
      </c>
      <c r="O226" s="857"/>
      <c r="P226" s="857"/>
      <c r="Q226" s="496"/>
      <c r="R226" s="496">
        <f t="shared" si="42"/>
        <v>0</v>
      </c>
      <c r="S226" s="496"/>
      <c r="T226" s="857"/>
      <c r="U226" s="857"/>
      <c r="V226" s="496"/>
      <c r="W226" s="857"/>
      <c r="X226" s="857"/>
      <c r="Y226" s="496"/>
      <c r="Z226" s="559"/>
      <c r="AA226" s="559" t="str">
        <f t="shared" si="41"/>
        <v>-</v>
      </c>
      <c r="AB226" s="900" t="s">
        <v>1872</v>
      </c>
      <c r="AC226" s="549" t="s">
        <v>1665</v>
      </c>
      <c r="AF226" s="466"/>
      <c r="AG226" s="465"/>
      <c r="AH226" s="465"/>
    </row>
    <row r="227" spans="1:34" s="498" customFormat="1" hidden="1" x14ac:dyDescent="0.25">
      <c r="A227" s="962"/>
      <c r="B227" s="856" t="s">
        <v>1873</v>
      </c>
      <c r="C227" s="499"/>
      <c r="D227" s="903"/>
      <c r="E227" s="535"/>
      <c r="F227" s="557"/>
      <c r="G227" s="558"/>
      <c r="H227" s="559"/>
      <c r="I227" s="857"/>
      <c r="J227" s="857"/>
      <c r="K227" s="857"/>
      <c r="L227" s="857"/>
      <c r="M227" s="857"/>
      <c r="N227" s="857"/>
      <c r="O227" s="857"/>
      <c r="P227" s="857"/>
      <c r="Q227" s="857">
        <v>3</v>
      </c>
      <c r="R227" s="857">
        <f t="shared" si="42"/>
        <v>3</v>
      </c>
      <c r="S227" s="857"/>
      <c r="T227" s="857"/>
      <c r="U227" s="857"/>
      <c r="V227" s="857">
        <v>3</v>
      </c>
      <c r="W227" s="857"/>
      <c r="X227" s="857"/>
      <c r="Y227" s="857">
        <v>3</v>
      </c>
      <c r="Z227" s="559">
        <f t="shared" ref="Z227:Z290" si="43">Q227-K227</f>
        <v>3</v>
      </c>
      <c r="AA227" s="559" t="str">
        <f t="shared" si="41"/>
        <v>-</v>
      </c>
      <c r="AB227" s="827"/>
      <c r="AC227" s="549" t="s">
        <v>1665</v>
      </c>
      <c r="AF227" s="466"/>
      <c r="AG227" s="465"/>
      <c r="AH227" s="465"/>
    </row>
    <row r="228" spans="1:34" s="498" customFormat="1" ht="48" customHeight="1" x14ac:dyDescent="0.25">
      <c r="A228" s="962"/>
      <c r="B228" s="865" t="s">
        <v>1874</v>
      </c>
      <c r="C228" s="508" t="s">
        <v>797</v>
      </c>
      <c r="D228" s="903"/>
      <c r="E228" s="535"/>
      <c r="F228" s="557"/>
      <c r="G228" s="558"/>
      <c r="H228" s="542">
        <f>SUM(H229:H230)</f>
        <v>6.1</v>
      </c>
      <c r="I228" s="857"/>
      <c r="J228" s="857"/>
      <c r="K228" s="542">
        <f>SUM(K229:K230)</f>
        <v>3</v>
      </c>
      <c r="L228" s="857"/>
      <c r="M228" s="857"/>
      <c r="N228" s="542">
        <f>SUM(N229:N230)</f>
        <v>3</v>
      </c>
      <c r="O228" s="857"/>
      <c r="P228" s="857"/>
      <c r="Q228" s="533"/>
      <c r="R228" s="533">
        <f t="shared" si="42"/>
        <v>0</v>
      </c>
      <c r="S228" s="533"/>
      <c r="T228" s="857"/>
      <c r="U228" s="857"/>
      <c r="V228" s="533"/>
      <c r="W228" s="857"/>
      <c r="X228" s="857"/>
      <c r="Y228" s="533"/>
      <c r="Z228" s="559">
        <f t="shared" si="43"/>
        <v>-3</v>
      </c>
      <c r="AA228" s="559">
        <f t="shared" si="41"/>
        <v>0</v>
      </c>
      <c r="AB228" s="900" t="s">
        <v>1875</v>
      </c>
      <c r="AC228" s="549" t="s">
        <v>1665</v>
      </c>
      <c r="AF228" s="466"/>
      <c r="AG228" s="465"/>
      <c r="AH228" s="465"/>
    </row>
    <row r="229" spans="1:34" s="498" customFormat="1" hidden="1" x14ac:dyDescent="0.25">
      <c r="A229" s="962"/>
      <c r="B229" s="856" t="s">
        <v>1876</v>
      </c>
      <c r="C229" s="499"/>
      <c r="D229" s="903"/>
      <c r="E229" s="535" t="s">
        <v>227</v>
      </c>
      <c r="F229" s="557">
        <v>9</v>
      </c>
      <c r="G229" s="558">
        <v>0.4</v>
      </c>
      <c r="H229" s="559">
        <f>F229*G229</f>
        <v>3.6</v>
      </c>
      <c r="I229" s="857"/>
      <c r="J229" s="857"/>
      <c r="K229" s="857"/>
      <c r="L229" s="857"/>
      <c r="M229" s="857"/>
      <c r="N229" s="857"/>
      <c r="O229" s="857"/>
      <c r="P229" s="857"/>
      <c r="Q229" s="533"/>
      <c r="R229" s="533">
        <f t="shared" si="42"/>
        <v>0</v>
      </c>
      <c r="S229" s="533"/>
      <c r="T229" s="857"/>
      <c r="U229" s="857"/>
      <c r="V229" s="533"/>
      <c r="W229" s="1913"/>
      <c r="X229" s="1913"/>
      <c r="Y229" s="533"/>
      <c r="Z229" s="559">
        <f t="shared" si="43"/>
        <v>0</v>
      </c>
      <c r="AA229" s="559" t="str">
        <f t="shared" si="41"/>
        <v>-</v>
      </c>
      <c r="AB229" s="500"/>
      <c r="AC229" s="549" t="s">
        <v>1665</v>
      </c>
      <c r="AF229" s="466"/>
      <c r="AG229" s="465"/>
      <c r="AH229" s="465"/>
    </row>
    <row r="230" spans="1:34" s="498" customFormat="1" hidden="1" x14ac:dyDescent="0.25">
      <c r="A230" s="962"/>
      <c r="B230" s="856" t="s">
        <v>1873</v>
      </c>
      <c r="C230" s="499"/>
      <c r="D230" s="903"/>
      <c r="E230" s="535" t="s">
        <v>227</v>
      </c>
      <c r="F230" s="557">
        <v>18</v>
      </c>
      <c r="G230" s="558">
        <v>0.14000000000000001</v>
      </c>
      <c r="H230" s="559">
        <f>F230*G230</f>
        <v>2.5</v>
      </c>
      <c r="I230" s="857"/>
      <c r="J230" s="857"/>
      <c r="K230" s="857">
        <v>3</v>
      </c>
      <c r="L230" s="857"/>
      <c r="M230" s="857"/>
      <c r="N230" s="857">
        <v>3</v>
      </c>
      <c r="O230" s="857"/>
      <c r="P230" s="857"/>
      <c r="Q230" s="857"/>
      <c r="R230" s="857">
        <f t="shared" si="42"/>
        <v>0</v>
      </c>
      <c r="S230" s="857"/>
      <c r="T230" s="857"/>
      <c r="U230" s="857"/>
      <c r="V230" s="857"/>
      <c r="W230" s="857"/>
      <c r="X230" s="857"/>
      <c r="Y230" s="857"/>
      <c r="Z230" s="559">
        <f t="shared" si="43"/>
        <v>-3</v>
      </c>
      <c r="AA230" s="559">
        <f t="shared" si="41"/>
        <v>0</v>
      </c>
      <c r="AB230" s="551"/>
      <c r="AC230" s="549" t="s">
        <v>1665</v>
      </c>
      <c r="AF230" s="466"/>
      <c r="AG230" s="465"/>
      <c r="AH230" s="465"/>
    </row>
    <row r="231" spans="1:34" s="492" customFormat="1" ht="14.25" hidden="1" x14ac:dyDescent="0.2">
      <c r="A231" s="1240"/>
      <c r="B231" s="500" t="s">
        <v>1233</v>
      </c>
      <c r="C231" s="501" t="s">
        <v>1230</v>
      </c>
      <c r="D231" s="932"/>
      <c r="E231" s="854"/>
      <c r="F231" s="828"/>
      <c r="G231" s="829"/>
      <c r="H231" s="542">
        <f>SUM(H232:H242)</f>
        <v>23.3</v>
      </c>
      <c r="I231" s="533"/>
      <c r="J231" s="533"/>
      <c r="K231" s="533">
        <f>SUM(K232:K242)</f>
        <v>22.5</v>
      </c>
      <c r="L231" s="533"/>
      <c r="M231" s="533"/>
      <c r="N231" s="533">
        <f>SUM(N232:N242)</f>
        <v>22.5</v>
      </c>
      <c r="O231" s="533"/>
      <c r="P231" s="533"/>
      <c r="Q231" s="533">
        <f>SUM(Q232:Q242)</f>
        <v>46</v>
      </c>
      <c r="R231" s="533">
        <f t="shared" si="42"/>
        <v>46</v>
      </c>
      <c r="S231" s="533"/>
      <c r="T231" s="533"/>
      <c r="U231" s="533"/>
      <c r="V231" s="533">
        <f>SUM(V232:V242)</f>
        <v>46</v>
      </c>
      <c r="W231" s="533"/>
      <c r="X231" s="533"/>
      <c r="Y231" s="533">
        <f>SUM(Y232:Y242)</f>
        <v>46</v>
      </c>
      <c r="Z231" s="542">
        <f t="shared" si="43"/>
        <v>23.5</v>
      </c>
      <c r="AA231" s="542">
        <f t="shared" si="41"/>
        <v>204.4</v>
      </c>
      <c r="AB231" s="921"/>
      <c r="AC231" s="549" t="s">
        <v>1665</v>
      </c>
      <c r="AF231" s="466"/>
      <c r="AG231" s="466"/>
      <c r="AH231" s="466"/>
    </row>
    <row r="232" spans="1:34" s="498" customFormat="1" ht="90" hidden="1" x14ac:dyDescent="0.25">
      <c r="A232" s="962"/>
      <c r="B232" s="551" t="s">
        <v>1519</v>
      </c>
      <c r="C232" s="553"/>
      <c r="D232" s="903"/>
      <c r="E232" s="535" t="s">
        <v>318</v>
      </c>
      <c r="F232" s="1907">
        <v>1</v>
      </c>
      <c r="G232" s="1908">
        <v>3.5</v>
      </c>
      <c r="H232" s="559">
        <f>F232*G232</f>
        <v>3.5</v>
      </c>
      <c r="I232" s="1864">
        <v>1</v>
      </c>
      <c r="J232" s="1864">
        <v>3.5</v>
      </c>
      <c r="K232" s="857">
        <f>I232*J232</f>
        <v>3.5</v>
      </c>
      <c r="L232" s="1864">
        <v>1</v>
      </c>
      <c r="M232" s="1864">
        <v>3.5</v>
      </c>
      <c r="N232" s="857">
        <f>L232*M232</f>
        <v>3.5</v>
      </c>
      <c r="O232" s="1864">
        <v>1</v>
      </c>
      <c r="P232" s="1864">
        <v>3.5</v>
      </c>
      <c r="Q232" s="1865">
        <f>P232*O232</f>
        <v>3.5</v>
      </c>
      <c r="R232" s="1865">
        <f t="shared" si="42"/>
        <v>3.5</v>
      </c>
      <c r="S232" s="1865"/>
      <c r="T232" s="1864">
        <v>1</v>
      </c>
      <c r="U232" s="1864">
        <v>3.5</v>
      </c>
      <c r="V232" s="1865">
        <f>U232*T232</f>
        <v>3.5</v>
      </c>
      <c r="W232" s="1864">
        <v>1</v>
      </c>
      <c r="X232" s="1864">
        <v>3.5</v>
      </c>
      <c r="Y232" s="1865">
        <f>X232*W232</f>
        <v>3.5</v>
      </c>
      <c r="Z232" s="559">
        <f t="shared" si="43"/>
        <v>0</v>
      </c>
      <c r="AA232" s="559">
        <f t="shared" si="41"/>
        <v>100</v>
      </c>
      <c r="AB232" s="893" t="s">
        <v>1877</v>
      </c>
      <c r="AC232" s="549" t="s">
        <v>1665</v>
      </c>
      <c r="AF232" s="466"/>
      <c r="AG232" s="465"/>
      <c r="AH232" s="465"/>
    </row>
    <row r="233" spans="1:34" s="498" customFormat="1" ht="51.75" hidden="1" x14ac:dyDescent="0.25">
      <c r="A233" s="962"/>
      <c r="B233" s="551" t="s">
        <v>1686</v>
      </c>
      <c r="C233" s="553"/>
      <c r="D233" s="903"/>
      <c r="E233" s="535" t="s">
        <v>318</v>
      </c>
      <c r="F233" s="1907">
        <v>1</v>
      </c>
      <c r="G233" s="1908">
        <v>2.2999999999999998</v>
      </c>
      <c r="H233" s="559">
        <f>F233*G233</f>
        <v>2.2999999999999998</v>
      </c>
      <c r="I233" s="1864">
        <v>1</v>
      </c>
      <c r="J233" s="1864">
        <v>2.2999999999999998</v>
      </c>
      <c r="K233" s="857">
        <f>I233*J233</f>
        <v>2.2999999999999998</v>
      </c>
      <c r="L233" s="1864">
        <v>1</v>
      </c>
      <c r="M233" s="1864">
        <v>2.2999999999999998</v>
      </c>
      <c r="N233" s="857">
        <f>L233*M233</f>
        <v>2.2999999999999998</v>
      </c>
      <c r="O233" s="1864">
        <v>2</v>
      </c>
      <c r="P233" s="1864">
        <v>2.2999999999999998</v>
      </c>
      <c r="Q233" s="1865">
        <f>P233*O233</f>
        <v>4.5999999999999996</v>
      </c>
      <c r="R233" s="1865">
        <f t="shared" si="42"/>
        <v>4.5999999999999996</v>
      </c>
      <c r="S233" s="1865"/>
      <c r="T233" s="1864">
        <v>2</v>
      </c>
      <c r="U233" s="1864">
        <v>2.2999999999999998</v>
      </c>
      <c r="V233" s="1865">
        <f>U233*T233</f>
        <v>4.5999999999999996</v>
      </c>
      <c r="W233" s="1864">
        <v>2</v>
      </c>
      <c r="X233" s="1864">
        <v>2.2999999999999998</v>
      </c>
      <c r="Y233" s="1865">
        <f>X233*W233</f>
        <v>4.5999999999999996</v>
      </c>
      <c r="Z233" s="559">
        <f t="shared" si="43"/>
        <v>2.2999999999999998</v>
      </c>
      <c r="AA233" s="559">
        <f t="shared" si="41"/>
        <v>200</v>
      </c>
      <c r="AB233" s="893" t="s">
        <v>1878</v>
      </c>
      <c r="AC233" s="549" t="s">
        <v>1665</v>
      </c>
      <c r="AF233" s="466"/>
      <c r="AG233" s="465"/>
      <c r="AH233" s="465"/>
    </row>
    <row r="234" spans="1:34" s="498" customFormat="1" hidden="1" x14ac:dyDescent="0.25">
      <c r="A234" s="962"/>
      <c r="B234" s="551" t="s">
        <v>1683</v>
      </c>
      <c r="C234" s="553"/>
      <c r="D234" s="903"/>
      <c r="E234" s="535" t="s">
        <v>318</v>
      </c>
      <c r="F234" s="1907">
        <v>1</v>
      </c>
      <c r="G234" s="1908">
        <v>2</v>
      </c>
      <c r="H234" s="559">
        <f>F234*G234</f>
        <v>2</v>
      </c>
      <c r="I234" s="1864">
        <v>1</v>
      </c>
      <c r="J234" s="1864">
        <v>2</v>
      </c>
      <c r="K234" s="857">
        <v>1.5</v>
      </c>
      <c r="L234" s="1864">
        <v>1</v>
      </c>
      <c r="M234" s="1864">
        <v>2</v>
      </c>
      <c r="N234" s="857">
        <v>1.5</v>
      </c>
      <c r="O234" s="1864"/>
      <c r="P234" s="1864"/>
      <c r="Q234" s="1865"/>
      <c r="R234" s="1865">
        <f t="shared" si="42"/>
        <v>0</v>
      </c>
      <c r="S234" s="1865"/>
      <c r="T234" s="1864"/>
      <c r="U234" s="1864"/>
      <c r="V234" s="1865"/>
      <c r="W234" s="1864"/>
      <c r="X234" s="1864"/>
      <c r="Y234" s="1865"/>
      <c r="Z234" s="559">
        <f t="shared" si="43"/>
        <v>-1.5</v>
      </c>
      <c r="AA234" s="559">
        <f t="shared" si="41"/>
        <v>0</v>
      </c>
      <c r="AB234" s="893"/>
      <c r="AC234" s="549" t="s">
        <v>1665</v>
      </c>
      <c r="AF234" s="466"/>
      <c r="AG234" s="465"/>
      <c r="AH234" s="465"/>
    </row>
    <row r="235" spans="1:34" s="498" customFormat="1" hidden="1" x14ac:dyDescent="0.25">
      <c r="A235" s="962"/>
      <c r="B235" s="551" t="s">
        <v>1879</v>
      </c>
      <c r="C235" s="553"/>
      <c r="D235" s="903"/>
      <c r="E235" s="535" t="s">
        <v>318</v>
      </c>
      <c r="F235" s="1907">
        <v>2</v>
      </c>
      <c r="G235" s="1908">
        <v>1.8</v>
      </c>
      <c r="H235" s="559">
        <f>F235*G235</f>
        <v>3.6</v>
      </c>
      <c r="I235" s="1864">
        <v>2</v>
      </c>
      <c r="J235" s="1864">
        <v>1.8</v>
      </c>
      <c r="K235" s="857">
        <f>I235*J235</f>
        <v>3.6</v>
      </c>
      <c r="L235" s="1864">
        <v>2</v>
      </c>
      <c r="M235" s="1864">
        <v>1.8</v>
      </c>
      <c r="N235" s="857">
        <f>L235*M235</f>
        <v>3.6</v>
      </c>
      <c r="O235" s="1864"/>
      <c r="P235" s="1864"/>
      <c r="Q235" s="1865"/>
      <c r="R235" s="1865">
        <f t="shared" si="42"/>
        <v>0</v>
      </c>
      <c r="S235" s="1865"/>
      <c r="T235" s="1864"/>
      <c r="U235" s="1864"/>
      <c r="V235" s="1865"/>
      <c r="W235" s="1864"/>
      <c r="X235" s="1864"/>
      <c r="Y235" s="1865"/>
      <c r="Z235" s="559">
        <f t="shared" si="43"/>
        <v>-3.6</v>
      </c>
      <c r="AA235" s="559">
        <f t="shared" si="41"/>
        <v>0</v>
      </c>
      <c r="AB235" s="893"/>
      <c r="AC235" s="549" t="s">
        <v>1665</v>
      </c>
      <c r="AF235" s="466"/>
      <c r="AG235" s="465"/>
      <c r="AH235" s="465"/>
    </row>
    <row r="236" spans="1:34" s="498" customFormat="1" ht="77.25" hidden="1" x14ac:dyDescent="0.25">
      <c r="A236" s="962"/>
      <c r="B236" s="551" t="s">
        <v>1880</v>
      </c>
      <c r="C236" s="553"/>
      <c r="D236" s="903"/>
      <c r="E236" s="535"/>
      <c r="F236" s="1907"/>
      <c r="G236" s="1908"/>
      <c r="H236" s="559"/>
      <c r="I236" s="1864"/>
      <c r="J236" s="1864"/>
      <c r="K236" s="857"/>
      <c r="L236" s="1864"/>
      <c r="M236" s="1864"/>
      <c r="N236" s="857"/>
      <c r="O236" s="1864">
        <v>1</v>
      </c>
      <c r="P236" s="1864">
        <v>4</v>
      </c>
      <c r="Q236" s="1865">
        <f>P236*O236</f>
        <v>4</v>
      </c>
      <c r="R236" s="1865">
        <f t="shared" si="42"/>
        <v>4</v>
      </c>
      <c r="S236" s="1865"/>
      <c r="T236" s="1864">
        <v>1</v>
      </c>
      <c r="U236" s="1864">
        <v>4</v>
      </c>
      <c r="V236" s="1865">
        <f>U236*T236</f>
        <v>4</v>
      </c>
      <c r="W236" s="1864">
        <v>1</v>
      </c>
      <c r="X236" s="1864">
        <v>4</v>
      </c>
      <c r="Y236" s="1865">
        <f>X236*W236</f>
        <v>4</v>
      </c>
      <c r="Z236" s="559">
        <f t="shared" si="43"/>
        <v>4</v>
      </c>
      <c r="AA236" s="559" t="str">
        <f t="shared" si="41"/>
        <v>-</v>
      </c>
      <c r="AB236" s="893" t="s">
        <v>1881</v>
      </c>
      <c r="AC236" s="491" t="s">
        <v>1665</v>
      </c>
      <c r="AF236" s="466"/>
      <c r="AG236" s="465"/>
      <c r="AH236" s="465"/>
    </row>
    <row r="237" spans="1:34" s="498" customFormat="1" ht="93" hidden="1" customHeight="1" x14ac:dyDescent="0.25">
      <c r="A237" s="962"/>
      <c r="B237" s="551" t="s">
        <v>1839</v>
      </c>
      <c r="C237" s="553"/>
      <c r="D237" s="903"/>
      <c r="E237" s="535" t="s">
        <v>318</v>
      </c>
      <c r="F237" s="1907">
        <v>4</v>
      </c>
      <c r="G237" s="1908">
        <v>1.73</v>
      </c>
      <c r="H237" s="559">
        <f>F237*G237</f>
        <v>6.9</v>
      </c>
      <c r="I237" s="1864">
        <v>4</v>
      </c>
      <c r="J237" s="1864">
        <v>1.7</v>
      </c>
      <c r="K237" s="857">
        <f>I237*J237</f>
        <v>6.8</v>
      </c>
      <c r="L237" s="1864">
        <v>4</v>
      </c>
      <c r="M237" s="1864">
        <v>1.7</v>
      </c>
      <c r="N237" s="857">
        <f>L237*M237</f>
        <v>6.8</v>
      </c>
      <c r="O237" s="1864">
        <v>4</v>
      </c>
      <c r="P237" s="1864">
        <v>1.7</v>
      </c>
      <c r="Q237" s="1865">
        <f>P237*O237</f>
        <v>6.8</v>
      </c>
      <c r="R237" s="1865">
        <f t="shared" si="42"/>
        <v>6.8</v>
      </c>
      <c r="S237" s="1865"/>
      <c r="T237" s="1864">
        <v>4</v>
      </c>
      <c r="U237" s="1864">
        <v>1.7</v>
      </c>
      <c r="V237" s="1865">
        <f>U237*T237</f>
        <v>6.8</v>
      </c>
      <c r="W237" s="1864">
        <v>4</v>
      </c>
      <c r="X237" s="1864">
        <v>1.7</v>
      </c>
      <c r="Y237" s="1865">
        <f>X237*W237</f>
        <v>6.8</v>
      </c>
      <c r="Z237" s="559">
        <f t="shared" si="43"/>
        <v>0</v>
      </c>
      <c r="AA237" s="559">
        <f t="shared" si="41"/>
        <v>100</v>
      </c>
      <c r="AB237" s="893" t="s">
        <v>1882</v>
      </c>
      <c r="AC237" s="491" t="s">
        <v>1665</v>
      </c>
      <c r="AF237" s="466"/>
      <c r="AG237" s="465"/>
      <c r="AH237" s="465"/>
    </row>
    <row r="238" spans="1:34" s="498" customFormat="1" ht="33.75" hidden="1" customHeight="1" x14ac:dyDescent="0.25">
      <c r="A238" s="962"/>
      <c r="B238" s="551" t="s">
        <v>1883</v>
      </c>
      <c r="C238" s="553"/>
      <c r="D238" s="903"/>
      <c r="E238" s="535"/>
      <c r="F238" s="1907"/>
      <c r="G238" s="1908"/>
      <c r="H238" s="559"/>
      <c r="I238" s="1864"/>
      <c r="J238" s="1864"/>
      <c r="K238" s="857"/>
      <c r="L238" s="1864"/>
      <c r="M238" s="1864"/>
      <c r="N238" s="857"/>
      <c r="O238" s="1864">
        <v>2</v>
      </c>
      <c r="P238" s="1864">
        <v>2.2999999999999998</v>
      </c>
      <c r="Q238" s="1865">
        <f>P238*O238</f>
        <v>4.5999999999999996</v>
      </c>
      <c r="R238" s="1865">
        <f t="shared" si="42"/>
        <v>4.5999999999999996</v>
      </c>
      <c r="S238" s="1865"/>
      <c r="T238" s="1864">
        <v>2</v>
      </c>
      <c r="U238" s="1864">
        <v>2.2999999999999998</v>
      </c>
      <c r="V238" s="1865">
        <f>U238*T238</f>
        <v>4.5999999999999996</v>
      </c>
      <c r="W238" s="1864">
        <v>2</v>
      </c>
      <c r="X238" s="1864">
        <v>2.2999999999999998</v>
      </c>
      <c r="Y238" s="1865">
        <f>X238*W238</f>
        <v>4.5999999999999996</v>
      </c>
      <c r="Z238" s="559">
        <f t="shared" si="43"/>
        <v>4.5999999999999996</v>
      </c>
      <c r="AA238" s="559" t="str">
        <f t="shared" si="41"/>
        <v>-</v>
      </c>
      <c r="AB238" s="827" t="s">
        <v>1884</v>
      </c>
      <c r="AC238" s="491" t="s">
        <v>1665</v>
      </c>
      <c r="AF238" s="466"/>
      <c r="AG238" s="465"/>
      <c r="AH238" s="465"/>
    </row>
    <row r="239" spans="1:34" s="498" customFormat="1" hidden="1" x14ac:dyDescent="0.25">
      <c r="A239" s="962"/>
      <c r="B239" s="551" t="s">
        <v>1826</v>
      </c>
      <c r="C239" s="553"/>
      <c r="D239" s="903"/>
      <c r="E239" s="535" t="s">
        <v>318</v>
      </c>
      <c r="F239" s="1864"/>
      <c r="G239" s="1864"/>
      <c r="H239" s="857"/>
      <c r="I239" s="1864"/>
      <c r="J239" s="1864"/>
      <c r="K239" s="857"/>
      <c r="L239" s="1864"/>
      <c r="M239" s="1864"/>
      <c r="N239" s="857"/>
      <c r="O239" s="1864">
        <v>1</v>
      </c>
      <c r="P239" s="1914">
        <v>2.2999999999999998</v>
      </c>
      <c r="Q239" s="1865">
        <f>O239*P239</f>
        <v>2.2999999999999998</v>
      </c>
      <c r="R239" s="1865">
        <f t="shared" si="42"/>
        <v>2.2999999999999998</v>
      </c>
      <c r="S239" s="1865"/>
      <c r="T239" s="1864">
        <v>1</v>
      </c>
      <c r="U239" s="1914">
        <v>2.2999999999999998</v>
      </c>
      <c r="V239" s="1865">
        <f>T239*U239</f>
        <v>2.2999999999999998</v>
      </c>
      <c r="W239" s="1864">
        <v>1</v>
      </c>
      <c r="X239" s="1914">
        <v>2.2999999999999998</v>
      </c>
      <c r="Y239" s="1865">
        <f>W239*X239</f>
        <v>2.2999999999999998</v>
      </c>
      <c r="Z239" s="857">
        <f t="shared" si="43"/>
        <v>2.2999999999999998</v>
      </c>
      <c r="AA239" s="857" t="str">
        <f t="shared" si="41"/>
        <v>-</v>
      </c>
      <c r="AB239" s="3514" t="s">
        <v>1885</v>
      </c>
      <c r="AC239" s="491" t="s">
        <v>1665</v>
      </c>
      <c r="AF239" s="466"/>
      <c r="AG239" s="465"/>
      <c r="AH239" s="465"/>
    </row>
    <row r="240" spans="1:34" s="498" customFormat="1" ht="25.5" hidden="1" x14ac:dyDescent="0.25">
      <c r="A240" s="962"/>
      <c r="B240" s="1885" t="s">
        <v>1757</v>
      </c>
      <c r="C240" s="553"/>
      <c r="D240" s="903"/>
      <c r="E240" s="535" t="s">
        <v>318</v>
      </c>
      <c r="F240" s="1864"/>
      <c r="G240" s="1864"/>
      <c r="H240" s="857"/>
      <c r="I240" s="1864"/>
      <c r="J240" s="1864"/>
      <c r="K240" s="857"/>
      <c r="L240" s="1864"/>
      <c r="M240" s="1864"/>
      <c r="N240" s="857"/>
      <c r="O240" s="1864">
        <v>2</v>
      </c>
      <c r="P240" s="1914">
        <v>3.45</v>
      </c>
      <c r="Q240" s="1865">
        <f t="shared" ref="Q240:Q241" si="44">O240*P240</f>
        <v>6.9</v>
      </c>
      <c r="R240" s="1865">
        <f t="shared" si="42"/>
        <v>6.9</v>
      </c>
      <c r="S240" s="1865"/>
      <c r="T240" s="1864">
        <v>2</v>
      </c>
      <c r="U240" s="1914">
        <v>3.45</v>
      </c>
      <c r="V240" s="1865">
        <f t="shared" ref="V240:V241" si="45">T240*U240</f>
        <v>6.9</v>
      </c>
      <c r="W240" s="1864">
        <v>2</v>
      </c>
      <c r="X240" s="1914">
        <v>3.45</v>
      </c>
      <c r="Y240" s="1865">
        <f t="shared" ref="Y240:Y241" si="46">W240*X240</f>
        <v>6.9</v>
      </c>
      <c r="Z240" s="857">
        <f t="shared" si="43"/>
        <v>6.9</v>
      </c>
      <c r="AA240" s="857" t="str">
        <f t="shared" si="41"/>
        <v>-</v>
      </c>
      <c r="AB240" s="3515"/>
      <c r="AC240" s="491" t="s">
        <v>1665</v>
      </c>
      <c r="AF240" s="466"/>
      <c r="AG240" s="465"/>
      <c r="AH240" s="465"/>
    </row>
    <row r="241" spans="1:34" s="498" customFormat="1" hidden="1" x14ac:dyDescent="0.25">
      <c r="A241" s="962"/>
      <c r="B241" s="1885" t="s">
        <v>1886</v>
      </c>
      <c r="C241" s="553"/>
      <c r="D241" s="903"/>
      <c r="E241" s="535" t="s">
        <v>318</v>
      </c>
      <c r="F241" s="1864"/>
      <c r="G241" s="1864"/>
      <c r="H241" s="857"/>
      <c r="I241" s="1864"/>
      <c r="J241" s="1864"/>
      <c r="K241" s="857"/>
      <c r="L241" s="1864"/>
      <c r="M241" s="1864"/>
      <c r="N241" s="857"/>
      <c r="O241" s="1864">
        <v>1</v>
      </c>
      <c r="P241" s="1914">
        <v>3.45</v>
      </c>
      <c r="Q241" s="1865">
        <f t="shared" si="44"/>
        <v>3.5</v>
      </c>
      <c r="R241" s="1865">
        <f t="shared" si="42"/>
        <v>3.5</v>
      </c>
      <c r="S241" s="1865"/>
      <c r="T241" s="1864">
        <v>1</v>
      </c>
      <c r="U241" s="1914">
        <v>3.45</v>
      </c>
      <c r="V241" s="1865">
        <f t="shared" si="45"/>
        <v>3.5</v>
      </c>
      <c r="W241" s="1864">
        <v>1</v>
      </c>
      <c r="X241" s="1914">
        <v>3.45</v>
      </c>
      <c r="Y241" s="1865">
        <f t="shared" si="46"/>
        <v>3.5</v>
      </c>
      <c r="Z241" s="857">
        <f t="shared" si="43"/>
        <v>3.5</v>
      </c>
      <c r="AA241" s="857" t="str">
        <f t="shared" si="41"/>
        <v>-</v>
      </c>
      <c r="AB241" s="3516"/>
      <c r="AC241" s="491" t="s">
        <v>1665</v>
      </c>
      <c r="AF241" s="466"/>
      <c r="AG241" s="465"/>
      <c r="AH241" s="465"/>
    </row>
    <row r="242" spans="1:34" s="498" customFormat="1" hidden="1" x14ac:dyDescent="0.25">
      <c r="A242" s="962"/>
      <c r="B242" s="551" t="s">
        <v>1729</v>
      </c>
      <c r="C242" s="553"/>
      <c r="D242" s="903"/>
      <c r="E242" s="535"/>
      <c r="F242" s="1907"/>
      <c r="G242" s="1908"/>
      <c r="H242" s="559">
        <f>SUM(H232:H237)*0.271</f>
        <v>5</v>
      </c>
      <c r="I242" s="1864"/>
      <c r="J242" s="1864"/>
      <c r="K242" s="857">
        <f>SUM(K232:K237)*0.271</f>
        <v>4.8</v>
      </c>
      <c r="L242" s="1864"/>
      <c r="M242" s="1864"/>
      <c r="N242" s="857">
        <f>SUM(N232:N237)*0.271</f>
        <v>4.8</v>
      </c>
      <c r="O242" s="857"/>
      <c r="P242" s="857"/>
      <c r="Q242" s="1865">
        <f>SUM(Q232:Q241)*0.271</f>
        <v>9.8000000000000007</v>
      </c>
      <c r="R242" s="1865">
        <f t="shared" si="42"/>
        <v>9.8000000000000007</v>
      </c>
      <c r="S242" s="1865"/>
      <c r="T242" s="857"/>
      <c r="U242" s="857"/>
      <c r="V242" s="1865">
        <f>SUM(V232:V241)*0.271</f>
        <v>9.8000000000000007</v>
      </c>
      <c r="W242" s="857"/>
      <c r="X242" s="857"/>
      <c r="Y242" s="1865">
        <f>SUM(Y232:Y241)*0.271</f>
        <v>9.8000000000000007</v>
      </c>
      <c r="Z242" s="559">
        <f t="shared" si="43"/>
        <v>5</v>
      </c>
      <c r="AA242" s="559">
        <f t="shared" si="41"/>
        <v>204.2</v>
      </c>
      <c r="AB242" s="921"/>
      <c r="AC242" s="491" t="s">
        <v>1665</v>
      </c>
      <c r="AF242" s="466"/>
      <c r="AG242" s="465"/>
      <c r="AH242" s="465"/>
    </row>
    <row r="243" spans="1:34" s="492" customFormat="1" ht="14.25" hidden="1" x14ac:dyDescent="0.2">
      <c r="A243" s="1240"/>
      <c r="B243" s="500" t="s">
        <v>1887</v>
      </c>
      <c r="C243" s="501" t="s">
        <v>796</v>
      </c>
      <c r="D243" s="932"/>
      <c r="E243" s="1042"/>
      <c r="F243" s="828">
        <v>13</v>
      </c>
      <c r="G243" s="829">
        <v>0.5</v>
      </c>
      <c r="H243" s="542">
        <f>F243*G243</f>
        <v>6.5</v>
      </c>
      <c r="I243" s="533">
        <v>13</v>
      </c>
      <c r="J243" s="533">
        <v>0.5</v>
      </c>
      <c r="K243" s="533">
        <f>I243*J243</f>
        <v>6.5</v>
      </c>
      <c r="L243" s="533">
        <v>13</v>
      </c>
      <c r="M243" s="533">
        <v>0.5</v>
      </c>
      <c r="N243" s="533">
        <f>L243*M243</f>
        <v>6.5</v>
      </c>
      <c r="O243" s="533"/>
      <c r="P243" s="533"/>
      <c r="Q243" s="533">
        <f>Q244</f>
        <v>6.5</v>
      </c>
      <c r="R243" s="533">
        <f t="shared" si="42"/>
        <v>6.5</v>
      </c>
      <c r="S243" s="533"/>
      <c r="T243" s="533"/>
      <c r="U243" s="533"/>
      <c r="V243" s="533">
        <f>V244</f>
        <v>6.5</v>
      </c>
      <c r="W243" s="533"/>
      <c r="X243" s="533"/>
      <c r="Y243" s="533">
        <f>Y244</f>
        <v>6.5</v>
      </c>
      <c r="Z243" s="542">
        <f t="shared" si="43"/>
        <v>0</v>
      </c>
      <c r="AA243" s="542">
        <f t="shared" ref="AA243:AA306" si="47">IFERROR(Q243/K243*100,"-")</f>
        <v>100</v>
      </c>
      <c r="AB243" s="921"/>
      <c r="AC243" s="491" t="s">
        <v>1665</v>
      </c>
      <c r="AF243" s="466"/>
      <c r="AG243" s="466"/>
      <c r="AH243" s="466"/>
    </row>
    <row r="244" spans="1:34" s="492" customFormat="1" ht="14.25" hidden="1" x14ac:dyDescent="0.2">
      <c r="A244" s="1240"/>
      <c r="B244" s="502" t="s">
        <v>1364</v>
      </c>
      <c r="C244" s="501"/>
      <c r="D244" s="932"/>
      <c r="E244" s="1042"/>
      <c r="F244" s="828"/>
      <c r="G244" s="829"/>
      <c r="H244" s="542"/>
      <c r="I244" s="533"/>
      <c r="J244" s="533"/>
      <c r="K244" s="533"/>
      <c r="L244" s="533"/>
      <c r="M244" s="533"/>
      <c r="N244" s="533"/>
      <c r="O244" s="857">
        <v>13</v>
      </c>
      <c r="P244" s="857">
        <v>0.5</v>
      </c>
      <c r="Q244" s="1865">
        <f>O244*P244</f>
        <v>6.5</v>
      </c>
      <c r="R244" s="1865">
        <f t="shared" si="42"/>
        <v>6.5</v>
      </c>
      <c r="S244" s="1865"/>
      <c r="T244" s="857">
        <v>13</v>
      </c>
      <c r="U244" s="857">
        <v>0.5</v>
      </c>
      <c r="V244" s="1865">
        <f>T244*U244</f>
        <v>6.5</v>
      </c>
      <c r="W244" s="857">
        <v>13</v>
      </c>
      <c r="X244" s="857">
        <v>0.5</v>
      </c>
      <c r="Y244" s="1865">
        <f>W244*X244</f>
        <v>6.5</v>
      </c>
      <c r="Z244" s="542">
        <f t="shared" si="43"/>
        <v>6.5</v>
      </c>
      <c r="AA244" s="542" t="str">
        <f t="shared" si="47"/>
        <v>-</v>
      </c>
      <c r="AB244" s="921"/>
      <c r="AC244" s="491" t="s">
        <v>1665</v>
      </c>
      <c r="AF244" s="466"/>
      <c r="AG244" s="466"/>
      <c r="AH244" s="466"/>
    </row>
    <row r="245" spans="1:34" s="492" customFormat="1" ht="14.25" hidden="1" x14ac:dyDescent="0.2">
      <c r="A245" s="1240"/>
      <c r="B245" s="500" t="s">
        <v>1888</v>
      </c>
      <c r="C245" s="501" t="s">
        <v>800</v>
      </c>
      <c r="D245" s="932"/>
      <c r="E245" s="552"/>
      <c r="F245" s="552"/>
      <c r="G245" s="552"/>
      <c r="H245" s="1915">
        <f>SUM(H246:H248)</f>
        <v>120.5</v>
      </c>
      <c r="I245" s="533">
        <v>1</v>
      </c>
      <c r="J245" s="533">
        <v>34</v>
      </c>
      <c r="K245" s="533"/>
      <c r="L245" s="533">
        <v>1</v>
      </c>
      <c r="M245" s="533">
        <v>34</v>
      </c>
      <c r="N245" s="533"/>
      <c r="O245" s="857"/>
      <c r="P245" s="857"/>
      <c r="Q245" s="1916">
        <f>SUM(Q246:Q248)</f>
        <v>37.200000000000003</v>
      </c>
      <c r="R245" s="1916">
        <f t="shared" si="42"/>
        <v>37.200000000000003</v>
      </c>
      <c r="S245" s="1916"/>
      <c r="T245" s="857"/>
      <c r="U245" s="857"/>
      <c r="V245" s="1916">
        <f>V246+V247</f>
        <v>10</v>
      </c>
      <c r="W245" s="857"/>
      <c r="X245" s="857"/>
      <c r="Y245" s="1916">
        <f>Y246+Y247</f>
        <v>10</v>
      </c>
      <c r="Z245" s="542">
        <f t="shared" si="43"/>
        <v>37.200000000000003</v>
      </c>
      <c r="AA245" s="542" t="str">
        <f t="shared" si="47"/>
        <v>-</v>
      </c>
      <c r="AB245" s="921"/>
      <c r="AC245" s="549" t="s">
        <v>1665</v>
      </c>
      <c r="AF245" s="466"/>
      <c r="AG245" s="466"/>
      <c r="AH245" s="466"/>
    </row>
    <row r="246" spans="1:34" s="492" customFormat="1" ht="38.25" hidden="1" x14ac:dyDescent="0.2">
      <c r="A246" s="1240"/>
      <c r="B246" s="502" t="s">
        <v>1889</v>
      </c>
      <c r="C246" s="501"/>
      <c r="D246" s="932"/>
      <c r="E246" s="854" t="s">
        <v>227</v>
      </c>
      <c r="F246" s="557">
        <v>2</v>
      </c>
      <c r="G246" s="558">
        <f>H246/F246</f>
        <v>15.25</v>
      </c>
      <c r="H246" s="559">
        <v>30.5</v>
      </c>
      <c r="I246" s="533"/>
      <c r="J246" s="533"/>
      <c r="K246" s="533"/>
      <c r="L246" s="533"/>
      <c r="M246" s="533"/>
      <c r="N246" s="533"/>
      <c r="O246" s="857">
        <v>3</v>
      </c>
      <c r="P246" s="857">
        <v>10</v>
      </c>
      <c r="Q246" s="1865">
        <f>O246*P246</f>
        <v>30</v>
      </c>
      <c r="R246" s="1865">
        <f t="shared" si="42"/>
        <v>30</v>
      </c>
      <c r="S246" s="1865"/>
      <c r="T246" s="857">
        <v>1</v>
      </c>
      <c r="U246" s="857">
        <v>10</v>
      </c>
      <c r="V246" s="1865">
        <f>T246*U246</f>
        <v>10</v>
      </c>
      <c r="W246" s="857">
        <v>1</v>
      </c>
      <c r="X246" s="857">
        <v>10</v>
      </c>
      <c r="Y246" s="1865">
        <f>W246*X246</f>
        <v>10</v>
      </c>
      <c r="Z246" s="542">
        <f t="shared" si="43"/>
        <v>30</v>
      </c>
      <c r="AA246" s="542" t="str">
        <f t="shared" si="47"/>
        <v>-</v>
      </c>
      <c r="AB246" s="827" t="s">
        <v>1890</v>
      </c>
      <c r="AC246" s="549" t="s">
        <v>1665</v>
      </c>
      <c r="AF246" s="466"/>
      <c r="AG246" s="466"/>
      <c r="AH246" s="466"/>
    </row>
    <row r="247" spans="1:34" s="492" customFormat="1" ht="38.25" hidden="1" x14ac:dyDescent="0.2">
      <c r="A247" s="1240"/>
      <c r="B247" s="502" t="s">
        <v>1891</v>
      </c>
      <c r="C247" s="501"/>
      <c r="D247" s="932"/>
      <c r="E247" s="854"/>
      <c r="F247" s="828"/>
      <c r="G247" s="829"/>
      <c r="H247" s="542"/>
      <c r="I247" s="533"/>
      <c r="J247" s="533"/>
      <c r="K247" s="533"/>
      <c r="L247" s="533"/>
      <c r="M247" s="533"/>
      <c r="N247" s="533"/>
      <c r="O247" s="857">
        <v>3</v>
      </c>
      <c r="P247" s="857">
        <v>2.4</v>
      </c>
      <c r="Q247" s="1865">
        <f>O247*P247</f>
        <v>7.2</v>
      </c>
      <c r="R247" s="1865">
        <f t="shared" si="42"/>
        <v>7.2</v>
      </c>
      <c r="S247" s="1865"/>
      <c r="T247" s="857"/>
      <c r="U247" s="857"/>
      <c r="V247" s="1865"/>
      <c r="W247" s="857"/>
      <c r="X247" s="857"/>
      <c r="Y247" s="1865"/>
      <c r="Z247" s="542">
        <f t="shared" si="43"/>
        <v>7.2</v>
      </c>
      <c r="AA247" s="542" t="str">
        <f t="shared" si="47"/>
        <v>-</v>
      </c>
      <c r="AB247" s="827" t="s">
        <v>1892</v>
      </c>
      <c r="AC247" s="549" t="s">
        <v>1665</v>
      </c>
      <c r="AF247" s="466"/>
      <c r="AG247" s="466"/>
      <c r="AH247" s="466"/>
    </row>
    <row r="248" spans="1:34" s="492" customFormat="1" ht="14.25" hidden="1" x14ac:dyDescent="0.2">
      <c r="A248" s="1240"/>
      <c r="B248" s="502" t="s">
        <v>1893</v>
      </c>
      <c r="C248" s="503"/>
      <c r="D248" s="903"/>
      <c r="E248" s="535" t="s">
        <v>227</v>
      </c>
      <c r="F248" s="557">
        <v>3</v>
      </c>
      <c r="G248" s="558">
        <v>30</v>
      </c>
      <c r="H248" s="559">
        <f>F248*G248</f>
        <v>90</v>
      </c>
      <c r="I248" s="857"/>
      <c r="J248" s="857"/>
      <c r="K248" s="857"/>
      <c r="L248" s="857"/>
      <c r="M248" s="857"/>
      <c r="N248" s="857"/>
      <c r="O248" s="857"/>
      <c r="P248" s="857"/>
      <c r="Q248" s="857"/>
      <c r="R248" s="857">
        <f t="shared" si="42"/>
        <v>0</v>
      </c>
      <c r="S248" s="857"/>
      <c r="T248" s="857"/>
      <c r="U248" s="857"/>
      <c r="V248" s="857"/>
      <c r="W248" s="857"/>
      <c r="X248" s="857"/>
      <c r="Y248" s="857"/>
      <c r="Z248" s="1245">
        <f t="shared" si="43"/>
        <v>0</v>
      </c>
      <c r="AA248" s="1245" t="str">
        <f t="shared" si="47"/>
        <v>-</v>
      </c>
      <c r="AB248" s="827"/>
      <c r="AC248" s="549" t="s">
        <v>1665</v>
      </c>
      <c r="AF248" s="466"/>
      <c r="AG248" s="466"/>
      <c r="AH248" s="466"/>
    </row>
    <row r="249" spans="1:34" s="492" customFormat="1" ht="14.25" hidden="1" x14ac:dyDescent="0.2">
      <c r="A249" s="1240"/>
      <c r="B249" s="500" t="s">
        <v>1246</v>
      </c>
      <c r="C249" s="501" t="s">
        <v>1237</v>
      </c>
      <c r="D249" s="932"/>
      <c r="E249" s="854" t="s">
        <v>1829</v>
      </c>
      <c r="F249" s="828">
        <v>10</v>
      </c>
      <c r="G249" s="829">
        <v>2.5</v>
      </c>
      <c r="H249" s="542">
        <f>F249*G249</f>
        <v>25</v>
      </c>
      <c r="I249" s="533">
        <v>10</v>
      </c>
      <c r="J249" s="533">
        <v>2.5</v>
      </c>
      <c r="K249" s="533">
        <f>I249*J249</f>
        <v>25</v>
      </c>
      <c r="L249" s="533">
        <v>10</v>
      </c>
      <c r="M249" s="533">
        <v>2.5</v>
      </c>
      <c r="N249" s="533">
        <f>L249*M249</f>
        <v>25</v>
      </c>
      <c r="O249" s="533">
        <v>10</v>
      </c>
      <c r="P249" s="533">
        <v>2.5</v>
      </c>
      <c r="Q249" s="533">
        <f>O249*P249</f>
        <v>25</v>
      </c>
      <c r="R249" s="533">
        <f t="shared" si="42"/>
        <v>25</v>
      </c>
      <c r="S249" s="533"/>
      <c r="T249" s="533">
        <v>10</v>
      </c>
      <c r="U249" s="533">
        <v>2.5</v>
      </c>
      <c r="V249" s="533">
        <f>T249*U249</f>
        <v>25</v>
      </c>
      <c r="W249" s="533">
        <v>10</v>
      </c>
      <c r="X249" s="533">
        <v>2.5</v>
      </c>
      <c r="Y249" s="533">
        <f>W249*X249</f>
        <v>25</v>
      </c>
      <c r="Z249" s="542">
        <f t="shared" si="43"/>
        <v>0</v>
      </c>
      <c r="AA249" s="542">
        <f t="shared" si="47"/>
        <v>100</v>
      </c>
      <c r="AB249" s="827"/>
      <c r="AC249" s="549" t="s">
        <v>1665</v>
      </c>
      <c r="AF249" s="466"/>
      <c r="AG249" s="466"/>
      <c r="AH249" s="466"/>
    </row>
    <row r="250" spans="1:34" s="492" customFormat="1" ht="14.25" x14ac:dyDescent="0.2">
      <c r="A250" s="1240"/>
      <c r="B250" s="1917" t="s">
        <v>1894</v>
      </c>
      <c r="C250" s="501" t="s">
        <v>797</v>
      </c>
      <c r="D250" s="932"/>
      <c r="E250" s="854"/>
      <c r="F250" s="828"/>
      <c r="G250" s="829"/>
      <c r="H250" s="542"/>
      <c r="I250" s="533"/>
      <c r="J250" s="533"/>
      <c r="K250" s="533">
        <f>SUM(K248:K248)</f>
        <v>0</v>
      </c>
      <c r="L250" s="533"/>
      <c r="M250" s="533"/>
      <c r="N250" s="533">
        <f>SUM(N248:N248)</f>
        <v>0</v>
      </c>
      <c r="O250" s="533"/>
      <c r="P250" s="533"/>
      <c r="Q250" s="533">
        <f>Q251+Q252</f>
        <v>13</v>
      </c>
      <c r="R250" s="533">
        <f t="shared" si="42"/>
        <v>13</v>
      </c>
      <c r="S250" s="533"/>
      <c r="T250" s="533"/>
      <c r="U250" s="533"/>
      <c r="V250" s="533">
        <f>V251+V252</f>
        <v>13</v>
      </c>
      <c r="W250" s="533"/>
      <c r="X250" s="533"/>
      <c r="Y250" s="533">
        <f>Y251+Y252</f>
        <v>13</v>
      </c>
      <c r="Z250" s="493">
        <f t="shared" si="43"/>
        <v>13</v>
      </c>
      <c r="AA250" s="493" t="str">
        <f t="shared" si="47"/>
        <v>-</v>
      </c>
      <c r="AB250" s="827"/>
      <c r="AC250" s="549" t="s">
        <v>1665</v>
      </c>
      <c r="AF250" s="466"/>
      <c r="AG250" s="466"/>
      <c r="AH250" s="466"/>
    </row>
    <row r="251" spans="1:34" s="492" customFormat="1" ht="51" hidden="1" x14ac:dyDescent="0.2">
      <c r="A251" s="1240"/>
      <c r="B251" s="502" t="s">
        <v>1895</v>
      </c>
      <c r="C251" s="501"/>
      <c r="D251" s="932"/>
      <c r="E251" s="854"/>
      <c r="F251" s="828"/>
      <c r="G251" s="829"/>
      <c r="H251" s="542"/>
      <c r="I251" s="533"/>
      <c r="J251" s="533"/>
      <c r="K251" s="533"/>
      <c r="L251" s="533"/>
      <c r="M251" s="533"/>
      <c r="N251" s="533"/>
      <c r="O251" s="533"/>
      <c r="P251" s="533"/>
      <c r="Q251" s="857">
        <v>8</v>
      </c>
      <c r="R251" s="857">
        <f t="shared" si="42"/>
        <v>8</v>
      </c>
      <c r="S251" s="857"/>
      <c r="T251" s="533"/>
      <c r="U251" s="533"/>
      <c r="V251" s="857">
        <v>8</v>
      </c>
      <c r="W251" s="533"/>
      <c r="X251" s="533"/>
      <c r="Y251" s="857">
        <v>8</v>
      </c>
      <c r="Z251" s="493">
        <f t="shared" si="43"/>
        <v>8</v>
      </c>
      <c r="AA251" s="493" t="str">
        <f t="shared" si="47"/>
        <v>-</v>
      </c>
      <c r="AB251" s="1246" t="s">
        <v>1896</v>
      </c>
      <c r="AC251" s="549" t="s">
        <v>1665</v>
      </c>
      <c r="AF251" s="466"/>
      <c r="AG251" s="466"/>
      <c r="AH251" s="466"/>
    </row>
    <row r="252" spans="1:34" s="492" customFormat="1" ht="14.25" hidden="1" x14ac:dyDescent="0.2">
      <c r="A252" s="1240"/>
      <c r="B252" s="502" t="s">
        <v>1897</v>
      </c>
      <c r="C252" s="501"/>
      <c r="D252" s="932"/>
      <c r="E252" s="854"/>
      <c r="F252" s="828"/>
      <c r="G252" s="829"/>
      <c r="H252" s="542"/>
      <c r="I252" s="533"/>
      <c r="J252" s="533"/>
      <c r="K252" s="533"/>
      <c r="L252" s="533"/>
      <c r="M252" s="533"/>
      <c r="N252" s="533"/>
      <c r="O252" s="533"/>
      <c r="P252" s="533"/>
      <c r="Q252" s="857">
        <v>5</v>
      </c>
      <c r="R252" s="857">
        <f t="shared" si="42"/>
        <v>5</v>
      </c>
      <c r="S252" s="857"/>
      <c r="T252" s="533"/>
      <c r="U252" s="533"/>
      <c r="V252" s="857">
        <v>5</v>
      </c>
      <c r="W252" s="533"/>
      <c r="X252" s="533"/>
      <c r="Y252" s="857">
        <v>5</v>
      </c>
      <c r="Z252" s="493">
        <f t="shared" si="43"/>
        <v>5</v>
      </c>
      <c r="AA252" s="493" t="str">
        <f t="shared" si="47"/>
        <v>-</v>
      </c>
      <c r="AB252" s="1247"/>
      <c r="AC252" s="549" t="s">
        <v>1665</v>
      </c>
      <c r="AF252" s="466"/>
      <c r="AG252" s="466"/>
      <c r="AH252" s="466"/>
    </row>
    <row r="253" spans="1:34" s="539" customFormat="1" hidden="1" x14ac:dyDescent="0.25">
      <c r="A253" s="536"/>
      <c r="B253" s="543" t="s">
        <v>1898</v>
      </c>
      <c r="C253" s="511"/>
      <c r="D253" s="1918"/>
      <c r="E253" s="490"/>
      <c r="F253" s="488"/>
      <c r="G253" s="489"/>
      <c r="H253" s="490">
        <f>H254</f>
        <v>113.2</v>
      </c>
      <c r="I253" s="490"/>
      <c r="J253" s="490"/>
      <c r="K253" s="490">
        <f>K254</f>
        <v>98.6</v>
      </c>
      <c r="L253" s="490"/>
      <c r="M253" s="490"/>
      <c r="N253" s="490">
        <f>N254</f>
        <v>98.6</v>
      </c>
      <c r="O253" s="1919"/>
      <c r="P253" s="1919"/>
      <c r="Q253" s="490">
        <f>Q254</f>
        <v>113</v>
      </c>
      <c r="R253" s="490">
        <f t="shared" si="42"/>
        <v>113</v>
      </c>
      <c r="S253" s="490"/>
      <c r="T253" s="1919"/>
      <c r="U253" s="1919"/>
      <c r="V253" s="490">
        <f>V254</f>
        <v>112.9</v>
      </c>
      <c r="W253" s="1919"/>
      <c r="X253" s="1919"/>
      <c r="Y253" s="490">
        <f>Y254</f>
        <v>112.9</v>
      </c>
      <c r="Z253" s="490">
        <f t="shared" si="43"/>
        <v>14.4</v>
      </c>
      <c r="AA253" s="490">
        <f t="shared" si="47"/>
        <v>114.6</v>
      </c>
      <c r="AB253" s="1920"/>
      <c r="AC253" s="538"/>
      <c r="AF253" s="518"/>
      <c r="AG253" s="540"/>
      <c r="AH253" s="540"/>
    </row>
    <row r="254" spans="1:34" s="527" customFormat="1" ht="38.25" hidden="1" x14ac:dyDescent="0.2">
      <c r="A254" s="522"/>
      <c r="B254" s="520" t="s">
        <v>1664</v>
      </c>
      <c r="C254" s="521"/>
      <c r="D254" s="522" t="s">
        <v>1444</v>
      </c>
      <c r="E254" s="556"/>
      <c r="F254" s="523"/>
      <c r="G254" s="524"/>
      <c r="H254" s="526">
        <f>H255+H259+H266+H267+H280+H281</f>
        <v>113.2</v>
      </c>
      <c r="I254" s="526"/>
      <c r="J254" s="526"/>
      <c r="K254" s="526">
        <f>K255+K259+K266+K267+K280+K281</f>
        <v>98.6</v>
      </c>
      <c r="L254" s="526"/>
      <c r="M254" s="526"/>
      <c r="N254" s="526">
        <f>N255+N259+N266+N267+N280+N281</f>
        <v>98.6</v>
      </c>
      <c r="O254" s="1921"/>
      <c r="P254" s="1921"/>
      <c r="Q254" s="526">
        <f>Q255+Q259+Q265+Q266+Q267+Q280+Q281</f>
        <v>113</v>
      </c>
      <c r="R254" s="526">
        <f t="shared" si="42"/>
        <v>113</v>
      </c>
      <c r="S254" s="526"/>
      <c r="T254" s="1921"/>
      <c r="U254" s="1921"/>
      <c r="V254" s="526">
        <f>V255+V259+V265+V266+V267+V280+V281</f>
        <v>112.9</v>
      </c>
      <c r="W254" s="1921"/>
      <c r="X254" s="1921"/>
      <c r="Y254" s="526">
        <f>Y255+Y259+Y265+Y266+Y267+Y280+Y281</f>
        <v>112.9</v>
      </c>
      <c r="Z254" s="526">
        <f t="shared" si="43"/>
        <v>14.4</v>
      </c>
      <c r="AA254" s="526">
        <f t="shared" si="47"/>
        <v>114.6</v>
      </c>
      <c r="AB254" s="1922"/>
      <c r="AC254" s="549" t="s">
        <v>1665</v>
      </c>
      <c r="AF254" s="528"/>
      <c r="AG254" s="528"/>
      <c r="AH254" s="528"/>
    </row>
    <row r="255" spans="1:34" s="492" customFormat="1" ht="14.25" x14ac:dyDescent="0.2">
      <c r="A255" s="1240"/>
      <c r="B255" s="500" t="s">
        <v>1899</v>
      </c>
      <c r="C255" s="501" t="s">
        <v>797</v>
      </c>
      <c r="D255" s="932"/>
      <c r="E255" s="842"/>
      <c r="F255" s="828"/>
      <c r="G255" s="829"/>
      <c r="H255" s="542">
        <f>SUM(H256:H258)</f>
        <v>11.2</v>
      </c>
      <c r="I255" s="533"/>
      <c r="J255" s="533"/>
      <c r="K255" s="533">
        <f>SUM(K256:K258)</f>
        <v>5.2</v>
      </c>
      <c r="L255" s="533"/>
      <c r="M255" s="533"/>
      <c r="N255" s="533">
        <f>SUM(N256:N258)</f>
        <v>5.2</v>
      </c>
      <c r="O255" s="533"/>
      <c r="P255" s="533"/>
      <c r="Q255" s="533">
        <f>SUM(Q256:Q258)</f>
        <v>5.2</v>
      </c>
      <c r="R255" s="533">
        <f t="shared" si="42"/>
        <v>5.2</v>
      </c>
      <c r="S255" s="533"/>
      <c r="T255" s="533"/>
      <c r="U255" s="533"/>
      <c r="V255" s="533">
        <f>SUM(V256:V258)</f>
        <v>5.2</v>
      </c>
      <c r="W255" s="533"/>
      <c r="X255" s="533"/>
      <c r="Y255" s="533">
        <f>SUM(Y256:Y258)</f>
        <v>5.2</v>
      </c>
      <c r="Z255" s="542">
        <f t="shared" si="43"/>
        <v>0</v>
      </c>
      <c r="AA255" s="542">
        <f t="shared" si="47"/>
        <v>100</v>
      </c>
      <c r="AB255" s="921"/>
      <c r="AC255" s="491" t="s">
        <v>1665</v>
      </c>
      <c r="AF255" s="466"/>
      <c r="AG255" s="466"/>
      <c r="AH255" s="466"/>
    </row>
    <row r="256" spans="1:34" s="498" customFormat="1" ht="127.5" hidden="1" x14ac:dyDescent="0.25">
      <c r="A256" s="962"/>
      <c r="B256" s="502" t="s">
        <v>1835</v>
      </c>
      <c r="C256" s="503"/>
      <c r="D256" s="903"/>
      <c r="E256" s="1031" t="s">
        <v>227</v>
      </c>
      <c r="F256" s="557">
        <v>30</v>
      </c>
      <c r="G256" s="558">
        <v>0.08</v>
      </c>
      <c r="H256" s="559">
        <f>F256*G256</f>
        <v>2.4</v>
      </c>
      <c r="I256" s="857">
        <v>12</v>
      </c>
      <c r="J256" s="862">
        <v>0.1</v>
      </c>
      <c r="K256" s="857">
        <f>I256*J256</f>
        <v>1.2</v>
      </c>
      <c r="L256" s="857">
        <v>12</v>
      </c>
      <c r="M256" s="862">
        <v>0.1</v>
      </c>
      <c r="N256" s="857">
        <f>L256*M256</f>
        <v>1.2</v>
      </c>
      <c r="O256" s="496">
        <v>12</v>
      </c>
      <c r="P256" s="496">
        <v>0.1</v>
      </c>
      <c r="Q256" s="496">
        <f>O256*P256</f>
        <v>1.2</v>
      </c>
      <c r="R256" s="496">
        <f t="shared" si="42"/>
        <v>1.2</v>
      </c>
      <c r="S256" s="496"/>
      <c r="T256" s="496">
        <v>12</v>
      </c>
      <c r="U256" s="496">
        <v>0.1</v>
      </c>
      <c r="V256" s="496">
        <f>T256*U256</f>
        <v>1.2</v>
      </c>
      <c r="W256" s="496">
        <v>12</v>
      </c>
      <c r="X256" s="496">
        <v>0.1</v>
      </c>
      <c r="Y256" s="496">
        <f>W256*X256</f>
        <v>1.2</v>
      </c>
      <c r="Z256" s="1245">
        <f t="shared" si="43"/>
        <v>0</v>
      </c>
      <c r="AA256" s="1245">
        <f t="shared" si="47"/>
        <v>100</v>
      </c>
      <c r="AB256" s="900" t="s">
        <v>1900</v>
      </c>
      <c r="AC256" s="491" t="s">
        <v>1665</v>
      </c>
      <c r="AF256" s="466"/>
      <c r="AG256" s="465"/>
      <c r="AH256" s="465"/>
    </row>
    <row r="257" spans="1:34" s="498" customFormat="1" hidden="1" x14ac:dyDescent="0.25">
      <c r="A257" s="962"/>
      <c r="B257" s="856" t="s">
        <v>1901</v>
      </c>
      <c r="C257" s="499"/>
      <c r="D257" s="903"/>
      <c r="E257" s="1031" t="s">
        <v>1240</v>
      </c>
      <c r="F257" s="557">
        <v>55</v>
      </c>
      <c r="G257" s="558">
        <v>0.12</v>
      </c>
      <c r="H257" s="559">
        <f>F257*G257</f>
        <v>6.6</v>
      </c>
      <c r="I257" s="857"/>
      <c r="J257" s="857"/>
      <c r="K257" s="857">
        <f>I257*J257</f>
        <v>0</v>
      </c>
      <c r="L257" s="857"/>
      <c r="M257" s="857"/>
      <c r="N257" s="857">
        <f>L257*M257</f>
        <v>0</v>
      </c>
      <c r="O257" s="857"/>
      <c r="P257" s="857"/>
      <c r="Q257" s="857"/>
      <c r="R257" s="857">
        <f t="shared" si="42"/>
        <v>0</v>
      </c>
      <c r="S257" s="857"/>
      <c r="T257" s="857"/>
      <c r="U257" s="857"/>
      <c r="V257" s="857"/>
      <c r="W257" s="857"/>
      <c r="X257" s="857"/>
      <c r="Y257" s="857"/>
      <c r="Z257" s="559">
        <f t="shared" si="43"/>
        <v>0</v>
      </c>
      <c r="AA257" s="559" t="str">
        <f t="shared" si="47"/>
        <v>-</v>
      </c>
      <c r="AB257" s="893"/>
      <c r="AC257" s="491" t="s">
        <v>1665</v>
      </c>
      <c r="AF257" s="466"/>
      <c r="AG257" s="465"/>
      <c r="AH257" s="465"/>
    </row>
    <row r="258" spans="1:34" s="498" customFormat="1" hidden="1" x14ac:dyDescent="0.25">
      <c r="A258" s="962"/>
      <c r="B258" s="856" t="s">
        <v>1873</v>
      </c>
      <c r="C258" s="499"/>
      <c r="D258" s="903"/>
      <c r="E258" s="1031" t="s">
        <v>1902</v>
      </c>
      <c r="F258" s="557">
        <v>10</v>
      </c>
      <c r="G258" s="558">
        <v>0.22</v>
      </c>
      <c r="H258" s="559">
        <f>F258*G258</f>
        <v>2.2000000000000002</v>
      </c>
      <c r="I258" s="857"/>
      <c r="J258" s="857"/>
      <c r="K258" s="857">
        <v>4</v>
      </c>
      <c r="L258" s="857"/>
      <c r="M258" s="857"/>
      <c r="N258" s="857">
        <v>4</v>
      </c>
      <c r="O258" s="857"/>
      <c r="P258" s="857"/>
      <c r="Q258" s="857">
        <v>4</v>
      </c>
      <c r="R258" s="857">
        <f t="shared" si="42"/>
        <v>4</v>
      </c>
      <c r="S258" s="857"/>
      <c r="T258" s="857"/>
      <c r="U258" s="857"/>
      <c r="V258" s="857">
        <v>4</v>
      </c>
      <c r="W258" s="857"/>
      <c r="X258" s="857"/>
      <c r="Y258" s="857">
        <v>4</v>
      </c>
      <c r="Z258" s="559">
        <f t="shared" si="43"/>
        <v>0</v>
      </c>
      <c r="AA258" s="559">
        <f t="shared" si="47"/>
        <v>100</v>
      </c>
      <c r="AB258" s="893"/>
      <c r="AC258" s="491" t="s">
        <v>1665</v>
      </c>
      <c r="AF258" s="466"/>
      <c r="AG258" s="465"/>
      <c r="AH258" s="465"/>
    </row>
    <row r="259" spans="1:34" s="492" customFormat="1" ht="14.25" x14ac:dyDescent="0.2">
      <c r="A259" s="1240"/>
      <c r="B259" s="865" t="s">
        <v>1903</v>
      </c>
      <c r="C259" s="508" t="s">
        <v>797</v>
      </c>
      <c r="D259" s="932"/>
      <c r="E259" s="842"/>
      <c r="F259" s="828"/>
      <c r="G259" s="829"/>
      <c r="H259" s="542">
        <f>SUM(H260:H264)</f>
        <v>15.9</v>
      </c>
      <c r="I259" s="533"/>
      <c r="J259" s="533"/>
      <c r="K259" s="542">
        <f>SUM(K260:K264)</f>
        <v>7.3</v>
      </c>
      <c r="L259" s="533"/>
      <c r="M259" s="533"/>
      <c r="N259" s="542">
        <f>SUM(N260:N264)</f>
        <v>7.3</v>
      </c>
      <c r="O259" s="533"/>
      <c r="P259" s="533"/>
      <c r="Q259" s="533">
        <f>SUM(Q260:Q264)</f>
        <v>10</v>
      </c>
      <c r="R259" s="533">
        <f t="shared" si="42"/>
        <v>10</v>
      </c>
      <c r="S259" s="533"/>
      <c r="T259" s="533"/>
      <c r="U259" s="533"/>
      <c r="V259" s="533">
        <f>SUM(V260:V264)</f>
        <v>10</v>
      </c>
      <c r="W259" s="533"/>
      <c r="X259" s="533"/>
      <c r="Y259" s="533">
        <f>SUM(Y260:Y264)</f>
        <v>10</v>
      </c>
      <c r="Z259" s="542">
        <f t="shared" si="43"/>
        <v>2.7</v>
      </c>
      <c r="AA259" s="542">
        <f t="shared" si="47"/>
        <v>137</v>
      </c>
      <c r="AB259" s="893"/>
      <c r="AC259" s="491" t="s">
        <v>1665</v>
      </c>
      <c r="AF259" s="466"/>
      <c r="AG259" s="466"/>
      <c r="AH259" s="466"/>
    </row>
    <row r="260" spans="1:34" s="492" customFormat="1" ht="14.25" hidden="1" x14ac:dyDescent="0.2">
      <c r="A260" s="1240"/>
      <c r="B260" s="502" t="s">
        <v>1860</v>
      </c>
      <c r="C260" s="503"/>
      <c r="D260" s="932"/>
      <c r="E260" s="842"/>
      <c r="F260" s="857">
        <v>48</v>
      </c>
      <c r="G260" s="857">
        <v>0.1</v>
      </c>
      <c r="H260" s="857">
        <f>F260*G260</f>
        <v>4.8</v>
      </c>
      <c r="I260" s="857">
        <v>48</v>
      </c>
      <c r="J260" s="862">
        <v>0.05</v>
      </c>
      <c r="K260" s="857">
        <f>I260*J260</f>
        <v>2.4</v>
      </c>
      <c r="L260" s="857">
        <v>48</v>
      </c>
      <c r="M260" s="862">
        <v>0.05</v>
      </c>
      <c r="N260" s="857">
        <f>L260*M260</f>
        <v>2.4</v>
      </c>
      <c r="O260" s="857"/>
      <c r="P260" s="857"/>
      <c r="Q260" s="857"/>
      <c r="R260" s="857">
        <f t="shared" si="42"/>
        <v>0</v>
      </c>
      <c r="S260" s="857"/>
      <c r="T260" s="857"/>
      <c r="U260" s="857"/>
      <c r="V260" s="857"/>
      <c r="W260" s="857"/>
      <c r="X260" s="857"/>
      <c r="Y260" s="857"/>
      <c r="Z260" s="559">
        <f t="shared" si="43"/>
        <v>-2.4</v>
      </c>
      <c r="AA260" s="559">
        <f t="shared" si="47"/>
        <v>0</v>
      </c>
      <c r="AB260" s="893"/>
      <c r="AC260" s="491" t="s">
        <v>1665</v>
      </c>
      <c r="AF260" s="466"/>
      <c r="AG260" s="466"/>
      <c r="AH260" s="466"/>
    </row>
    <row r="261" spans="1:34" s="498" customFormat="1" ht="51.75" hidden="1" x14ac:dyDescent="0.25">
      <c r="A261" s="962"/>
      <c r="B261" s="502" t="s">
        <v>1904</v>
      </c>
      <c r="C261" s="503"/>
      <c r="D261" s="903"/>
      <c r="E261" s="1031" t="s">
        <v>227</v>
      </c>
      <c r="F261" s="857"/>
      <c r="G261" s="857"/>
      <c r="H261" s="857"/>
      <c r="I261" s="857"/>
      <c r="J261" s="857"/>
      <c r="K261" s="857">
        <f>I261*J261</f>
        <v>0</v>
      </c>
      <c r="L261" s="857"/>
      <c r="M261" s="857"/>
      <c r="N261" s="857">
        <f>L261*M261</f>
        <v>0</v>
      </c>
      <c r="O261" s="857">
        <v>25</v>
      </c>
      <c r="P261" s="857">
        <v>0.4</v>
      </c>
      <c r="Q261" s="857">
        <f>O261*P261</f>
        <v>10</v>
      </c>
      <c r="R261" s="857">
        <f t="shared" si="42"/>
        <v>10</v>
      </c>
      <c r="S261" s="857"/>
      <c r="T261" s="857">
        <v>25</v>
      </c>
      <c r="U261" s="857">
        <v>0.4</v>
      </c>
      <c r="V261" s="857">
        <f>T261*U261</f>
        <v>10</v>
      </c>
      <c r="W261" s="857">
        <v>25</v>
      </c>
      <c r="X261" s="857">
        <v>0.4</v>
      </c>
      <c r="Y261" s="857">
        <f>W261*X261</f>
        <v>10</v>
      </c>
      <c r="Z261" s="559">
        <f t="shared" si="43"/>
        <v>10</v>
      </c>
      <c r="AA261" s="559" t="str">
        <f t="shared" si="47"/>
        <v>-</v>
      </c>
      <c r="AB261" s="893" t="s">
        <v>1905</v>
      </c>
      <c r="AC261" s="491" t="s">
        <v>1665</v>
      </c>
      <c r="AF261" s="466"/>
      <c r="AG261" s="465"/>
      <c r="AH261" s="465"/>
    </row>
    <row r="262" spans="1:34" s="498" customFormat="1" ht="38.25" hidden="1" x14ac:dyDescent="0.25">
      <c r="A262" s="962"/>
      <c r="B262" s="502" t="s">
        <v>1906</v>
      </c>
      <c r="C262" s="499"/>
      <c r="D262" s="903"/>
      <c r="E262" s="1031" t="s">
        <v>227</v>
      </c>
      <c r="F262" s="857">
        <v>1</v>
      </c>
      <c r="G262" s="857">
        <v>4.7</v>
      </c>
      <c r="H262" s="857">
        <f>F262*G262</f>
        <v>4.7</v>
      </c>
      <c r="I262" s="857">
        <v>2</v>
      </c>
      <c r="J262" s="857">
        <v>0.2</v>
      </c>
      <c r="K262" s="857">
        <f>I262*J262</f>
        <v>0.4</v>
      </c>
      <c r="L262" s="857">
        <v>2</v>
      </c>
      <c r="M262" s="857">
        <v>0.2</v>
      </c>
      <c r="N262" s="857">
        <f>L262*M262</f>
        <v>0.4</v>
      </c>
      <c r="O262" s="857"/>
      <c r="P262" s="857"/>
      <c r="Q262" s="857"/>
      <c r="R262" s="857">
        <f t="shared" si="42"/>
        <v>0</v>
      </c>
      <c r="S262" s="857"/>
      <c r="T262" s="857"/>
      <c r="U262" s="857"/>
      <c r="V262" s="857"/>
      <c r="W262" s="857"/>
      <c r="X262" s="857"/>
      <c r="Y262" s="857"/>
      <c r="Z262" s="559">
        <f t="shared" si="43"/>
        <v>-0.4</v>
      </c>
      <c r="AA262" s="559">
        <f t="shared" si="47"/>
        <v>0</v>
      </c>
      <c r="AB262" s="901" t="s">
        <v>1907</v>
      </c>
      <c r="AC262" s="491" t="s">
        <v>1665</v>
      </c>
      <c r="AF262" s="466"/>
      <c r="AG262" s="465"/>
      <c r="AH262" s="465"/>
    </row>
    <row r="263" spans="1:34" s="498" customFormat="1" hidden="1" x14ac:dyDescent="0.25">
      <c r="A263" s="962"/>
      <c r="B263" s="856" t="s">
        <v>1908</v>
      </c>
      <c r="C263" s="499"/>
      <c r="D263" s="903"/>
      <c r="E263" s="1031" t="s">
        <v>227</v>
      </c>
      <c r="F263" s="857">
        <v>2</v>
      </c>
      <c r="G263" s="857">
        <v>0.2</v>
      </c>
      <c r="H263" s="857">
        <f>F263*G263</f>
        <v>0.4</v>
      </c>
      <c r="I263" s="857"/>
      <c r="J263" s="857"/>
      <c r="K263" s="857"/>
      <c r="L263" s="857"/>
      <c r="M263" s="857"/>
      <c r="N263" s="857"/>
      <c r="O263" s="857"/>
      <c r="P263" s="857"/>
      <c r="Q263" s="857"/>
      <c r="R263" s="857">
        <f t="shared" si="42"/>
        <v>0</v>
      </c>
      <c r="S263" s="857"/>
      <c r="T263" s="857"/>
      <c r="U263" s="857"/>
      <c r="V263" s="857"/>
      <c r="W263" s="857"/>
      <c r="X263" s="857"/>
      <c r="Y263" s="857"/>
      <c r="Z263" s="559">
        <f t="shared" si="43"/>
        <v>0</v>
      </c>
      <c r="AA263" s="559" t="str">
        <f t="shared" si="47"/>
        <v>-</v>
      </c>
      <c r="AB263" s="1923"/>
      <c r="AC263" s="491" t="s">
        <v>1665</v>
      </c>
      <c r="AF263" s="466"/>
      <c r="AG263" s="465"/>
      <c r="AH263" s="465"/>
    </row>
    <row r="264" spans="1:34" s="498" customFormat="1" hidden="1" x14ac:dyDescent="0.25">
      <c r="A264" s="962"/>
      <c r="B264" s="856" t="s">
        <v>1909</v>
      </c>
      <c r="C264" s="499"/>
      <c r="D264" s="903"/>
      <c r="E264" s="1031" t="s">
        <v>227</v>
      </c>
      <c r="F264" s="857">
        <v>60</v>
      </c>
      <c r="G264" s="857">
        <v>0.1</v>
      </c>
      <c r="H264" s="857">
        <f>F264*G264</f>
        <v>6</v>
      </c>
      <c r="I264" s="857">
        <v>22.5</v>
      </c>
      <c r="J264" s="857">
        <v>0.2</v>
      </c>
      <c r="K264" s="857">
        <f>I264*J264</f>
        <v>4.5</v>
      </c>
      <c r="L264" s="857">
        <v>22.5</v>
      </c>
      <c r="M264" s="857">
        <v>0.2</v>
      </c>
      <c r="N264" s="857">
        <f>L264*M264</f>
        <v>4.5</v>
      </c>
      <c r="O264" s="857"/>
      <c r="P264" s="857"/>
      <c r="Q264" s="857"/>
      <c r="R264" s="857">
        <f t="shared" si="42"/>
        <v>0</v>
      </c>
      <c r="S264" s="857"/>
      <c r="T264" s="857"/>
      <c r="U264" s="857"/>
      <c r="V264" s="857"/>
      <c r="W264" s="857"/>
      <c r="X264" s="857"/>
      <c r="Y264" s="857"/>
      <c r="Z264" s="559">
        <f t="shared" si="43"/>
        <v>-4.5</v>
      </c>
      <c r="AA264" s="559">
        <f t="shared" si="47"/>
        <v>0</v>
      </c>
      <c r="AB264" s="827"/>
      <c r="AC264" s="491" t="s">
        <v>1665</v>
      </c>
      <c r="AF264" s="466"/>
      <c r="AG264" s="465"/>
      <c r="AH264" s="465"/>
    </row>
    <row r="265" spans="1:34" s="498" customFormat="1" ht="38.25" x14ac:dyDescent="0.25">
      <c r="A265" s="962"/>
      <c r="B265" s="865" t="s">
        <v>1910</v>
      </c>
      <c r="C265" s="508" t="s">
        <v>797</v>
      </c>
      <c r="D265" s="903"/>
      <c r="E265" s="1031" t="s">
        <v>1240</v>
      </c>
      <c r="F265" s="497"/>
      <c r="G265" s="497"/>
      <c r="H265" s="497"/>
      <c r="I265" s="497"/>
      <c r="J265" s="497"/>
      <c r="K265" s="497"/>
      <c r="L265" s="497"/>
      <c r="M265" s="497"/>
      <c r="N265" s="497"/>
      <c r="O265" s="857"/>
      <c r="P265" s="857"/>
      <c r="Q265" s="533"/>
      <c r="R265" s="533">
        <f t="shared" si="42"/>
        <v>0</v>
      </c>
      <c r="S265" s="533"/>
      <c r="T265" s="857"/>
      <c r="U265" s="857"/>
      <c r="V265" s="533"/>
      <c r="W265" s="857"/>
      <c r="X265" s="857"/>
      <c r="Y265" s="533"/>
      <c r="Z265" s="559">
        <f t="shared" si="43"/>
        <v>0</v>
      </c>
      <c r="AA265" s="559" t="str">
        <f t="shared" si="47"/>
        <v>-</v>
      </c>
      <c r="AB265" s="900" t="s">
        <v>1911</v>
      </c>
      <c r="AC265" s="491" t="s">
        <v>1665</v>
      </c>
      <c r="AF265" s="466"/>
      <c r="AG265" s="465"/>
      <c r="AH265" s="465"/>
    </row>
    <row r="266" spans="1:34" s="492" customFormat="1" ht="51" x14ac:dyDescent="0.2">
      <c r="A266" s="1240"/>
      <c r="B266" s="500" t="s">
        <v>1869</v>
      </c>
      <c r="C266" s="501" t="s">
        <v>797</v>
      </c>
      <c r="D266" s="932"/>
      <c r="E266" s="842" t="s">
        <v>227</v>
      </c>
      <c r="F266" s="828">
        <v>50</v>
      </c>
      <c r="G266" s="829">
        <v>7.0000000000000007E-2</v>
      </c>
      <c r="H266" s="542">
        <f>F266*G266</f>
        <v>3.5</v>
      </c>
      <c r="I266" s="533">
        <v>68</v>
      </c>
      <c r="J266" s="533">
        <v>0.1</v>
      </c>
      <c r="K266" s="533">
        <f>I266*J266</f>
        <v>6.8</v>
      </c>
      <c r="L266" s="533">
        <v>68</v>
      </c>
      <c r="M266" s="533">
        <v>0.1</v>
      </c>
      <c r="N266" s="533">
        <f>L266*M266</f>
        <v>6.8</v>
      </c>
      <c r="O266" s="533">
        <v>68</v>
      </c>
      <c r="P266" s="533">
        <v>0.1</v>
      </c>
      <c r="Q266" s="533">
        <f>O266*P266</f>
        <v>6.8</v>
      </c>
      <c r="R266" s="533">
        <f t="shared" si="42"/>
        <v>6.8</v>
      </c>
      <c r="S266" s="533"/>
      <c r="T266" s="533">
        <v>68</v>
      </c>
      <c r="U266" s="533">
        <v>0.1</v>
      </c>
      <c r="V266" s="533">
        <f>T266*U266</f>
        <v>6.8</v>
      </c>
      <c r="W266" s="533">
        <v>68</v>
      </c>
      <c r="X266" s="533">
        <v>0.1</v>
      </c>
      <c r="Y266" s="533">
        <f>W266*X266</f>
        <v>6.8</v>
      </c>
      <c r="Z266" s="542">
        <f t="shared" si="43"/>
        <v>0</v>
      </c>
      <c r="AA266" s="542">
        <f t="shared" si="47"/>
        <v>100</v>
      </c>
      <c r="AB266" s="827" t="s">
        <v>1912</v>
      </c>
      <c r="AC266" s="491" t="s">
        <v>1665</v>
      </c>
      <c r="AF266" s="466"/>
      <c r="AG266" s="466"/>
      <c r="AH266" s="466"/>
    </row>
    <row r="267" spans="1:34" s="492" customFormat="1" ht="14.25" hidden="1" x14ac:dyDescent="0.2">
      <c r="A267" s="1240"/>
      <c r="B267" s="500" t="s">
        <v>1233</v>
      </c>
      <c r="C267" s="501" t="s">
        <v>1230</v>
      </c>
      <c r="D267" s="932"/>
      <c r="E267" s="842"/>
      <c r="F267" s="533"/>
      <c r="G267" s="533"/>
      <c r="H267" s="533">
        <f>SUM(H268:H279)</f>
        <v>51.6</v>
      </c>
      <c r="I267" s="533"/>
      <c r="J267" s="533"/>
      <c r="K267" s="533">
        <f>SUM(K268:K279)</f>
        <v>48.3</v>
      </c>
      <c r="L267" s="533"/>
      <c r="M267" s="533"/>
      <c r="N267" s="533">
        <f>SUM(N268:N279)</f>
        <v>48.3</v>
      </c>
      <c r="O267" s="533"/>
      <c r="P267" s="533"/>
      <c r="Q267" s="533">
        <f>SUM(Q268:Q279)</f>
        <v>60</v>
      </c>
      <c r="R267" s="533">
        <f t="shared" si="42"/>
        <v>60</v>
      </c>
      <c r="S267" s="533"/>
      <c r="T267" s="533"/>
      <c r="U267" s="533"/>
      <c r="V267" s="533">
        <f>SUM(V268:V279)</f>
        <v>59.9</v>
      </c>
      <c r="W267" s="533"/>
      <c r="X267" s="533"/>
      <c r="Y267" s="533">
        <f>SUM(Y268:Y279)</f>
        <v>59.9</v>
      </c>
      <c r="Z267" s="542">
        <f t="shared" si="43"/>
        <v>11.7</v>
      </c>
      <c r="AA267" s="542">
        <f t="shared" si="47"/>
        <v>124.2</v>
      </c>
      <c r="AB267" s="893"/>
      <c r="AC267" s="491" t="s">
        <v>1665</v>
      </c>
      <c r="AF267" s="466"/>
      <c r="AG267" s="466"/>
      <c r="AH267" s="466"/>
    </row>
    <row r="268" spans="1:34" s="492" customFormat="1" ht="14.25" hidden="1" x14ac:dyDescent="0.2">
      <c r="A268" s="1240"/>
      <c r="B268" s="502" t="s">
        <v>1519</v>
      </c>
      <c r="C268" s="503"/>
      <c r="D268" s="932"/>
      <c r="E268" s="874" t="s">
        <v>318</v>
      </c>
      <c r="F268" s="857">
        <v>1</v>
      </c>
      <c r="G268" s="857">
        <v>3.5</v>
      </c>
      <c r="H268" s="682">
        <f t="shared" ref="H268:H273" si="48">F268*G268</f>
        <v>3.5</v>
      </c>
      <c r="I268" s="857">
        <v>1</v>
      </c>
      <c r="J268" s="857">
        <v>3.5</v>
      </c>
      <c r="K268" s="682">
        <f t="shared" ref="K268:K273" si="49">I268*J268</f>
        <v>3.5</v>
      </c>
      <c r="L268" s="857">
        <v>1</v>
      </c>
      <c r="M268" s="857">
        <v>3.5</v>
      </c>
      <c r="N268" s="682">
        <f t="shared" ref="N268:N273" si="50">L268*M268</f>
        <v>3.5</v>
      </c>
      <c r="O268" s="857">
        <v>1</v>
      </c>
      <c r="P268" s="857">
        <v>3.5</v>
      </c>
      <c r="Q268" s="682">
        <f>O268*P268</f>
        <v>3.5</v>
      </c>
      <c r="R268" s="682">
        <f t="shared" si="42"/>
        <v>3.5</v>
      </c>
      <c r="S268" s="682"/>
      <c r="T268" s="857">
        <v>1</v>
      </c>
      <c r="U268" s="857">
        <v>3.5</v>
      </c>
      <c r="V268" s="682">
        <f>T268*U268</f>
        <v>3.5</v>
      </c>
      <c r="W268" s="857">
        <v>1</v>
      </c>
      <c r="X268" s="857">
        <v>3.5</v>
      </c>
      <c r="Y268" s="682">
        <f>W268*X268</f>
        <v>3.5</v>
      </c>
      <c r="Z268" s="812">
        <f t="shared" si="43"/>
        <v>0</v>
      </c>
      <c r="AA268" s="812">
        <f t="shared" si="47"/>
        <v>100</v>
      </c>
      <c r="AB268" s="1924"/>
      <c r="AC268" s="491" t="s">
        <v>1665</v>
      </c>
      <c r="AF268" s="466"/>
      <c r="AG268" s="466"/>
      <c r="AH268" s="466"/>
    </row>
    <row r="269" spans="1:34" s="492" customFormat="1" ht="38.25" hidden="1" x14ac:dyDescent="0.2">
      <c r="A269" s="1240"/>
      <c r="B269" s="502" t="s">
        <v>1686</v>
      </c>
      <c r="C269" s="503"/>
      <c r="D269" s="932"/>
      <c r="E269" s="874" t="s">
        <v>318</v>
      </c>
      <c r="F269" s="857">
        <v>2</v>
      </c>
      <c r="G269" s="857">
        <v>2.2999999999999998</v>
      </c>
      <c r="H269" s="682">
        <f t="shared" si="48"/>
        <v>4.5999999999999996</v>
      </c>
      <c r="I269" s="857">
        <v>1</v>
      </c>
      <c r="J269" s="857">
        <v>2.2999999999999998</v>
      </c>
      <c r="K269" s="682">
        <f t="shared" si="49"/>
        <v>2.2999999999999998</v>
      </c>
      <c r="L269" s="857">
        <v>1</v>
      </c>
      <c r="M269" s="857">
        <v>2.2999999999999998</v>
      </c>
      <c r="N269" s="682">
        <f t="shared" si="50"/>
        <v>2.2999999999999998</v>
      </c>
      <c r="O269" s="857">
        <v>2</v>
      </c>
      <c r="P269" s="857">
        <v>2.2999999999999998</v>
      </c>
      <c r="Q269" s="682">
        <f>O269*P269</f>
        <v>4.5999999999999996</v>
      </c>
      <c r="R269" s="682">
        <f t="shared" si="42"/>
        <v>4.5999999999999996</v>
      </c>
      <c r="S269" s="682"/>
      <c r="T269" s="857">
        <v>2</v>
      </c>
      <c r="U269" s="857">
        <v>2.2999999999999998</v>
      </c>
      <c r="V269" s="682">
        <f>T269*U269</f>
        <v>4.5999999999999996</v>
      </c>
      <c r="W269" s="857">
        <v>2</v>
      </c>
      <c r="X269" s="857">
        <v>2.2999999999999998</v>
      </c>
      <c r="Y269" s="682">
        <f>W269*X269</f>
        <v>4.5999999999999996</v>
      </c>
      <c r="Z269" s="812">
        <f t="shared" si="43"/>
        <v>2.2999999999999998</v>
      </c>
      <c r="AA269" s="812">
        <f t="shared" si="47"/>
        <v>200</v>
      </c>
      <c r="AB269" s="1924" t="s">
        <v>1913</v>
      </c>
      <c r="AC269" s="491" t="s">
        <v>1665</v>
      </c>
      <c r="AF269" s="466"/>
      <c r="AG269" s="466"/>
      <c r="AH269" s="466"/>
    </row>
    <row r="270" spans="1:34" s="498" customFormat="1" hidden="1" x14ac:dyDescent="0.25">
      <c r="A270" s="962"/>
      <c r="B270" s="502" t="s">
        <v>1879</v>
      </c>
      <c r="C270" s="503"/>
      <c r="D270" s="903"/>
      <c r="E270" s="1031" t="s">
        <v>318</v>
      </c>
      <c r="F270" s="857">
        <v>5</v>
      </c>
      <c r="G270" s="857">
        <v>1.8</v>
      </c>
      <c r="H270" s="682">
        <f t="shared" si="48"/>
        <v>9</v>
      </c>
      <c r="I270" s="857">
        <v>5</v>
      </c>
      <c r="J270" s="857">
        <v>1.8</v>
      </c>
      <c r="K270" s="682">
        <f t="shared" si="49"/>
        <v>9</v>
      </c>
      <c r="L270" s="857">
        <v>5</v>
      </c>
      <c r="M270" s="857">
        <v>1.8</v>
      </c>
      <c r="N270" s="682">
        <f t="shared" si="50"/>
        <v>9</v>
      </c>
      <c r="O270" s="857"/>
      <c r="P270" s="857"/>
      <c r="Q270" s="682"/>
      <c r="R270" s="682">
        <f t="shared" si="42"/>
        <v>0</v>
      </c>
      <c r="S270" s="682"/>
      <c r="T270" s="857"/>
      <c r="U270" s="857"/>
      <c r="V270" s="682"/>
      <c r="W270" s="857"/>
      <c r="X270" s="857"/>
      <c r="Y270" s="682"/>
      <c r="Z270" s="812">
        <f t="shared" si="43"/>
        <v>-9</v>
      </c>
      <c r="AA270" s="812">
        <f t="shared" si="47"/>
        <v>0</v>
      </c>
      <c r="AB270" s="1924"/>
      <c r="AC270" s="491" t="s">
        <v>1665</v>
      </c>
      <c r="AF270" s="466"/>
      <c r="AG270" s="465"/>
      <c r="AH270" s="465"/>
    </row>
    <row r="271" spans="1:34" s="498" customFormat="1" hidden="1" x14ac:dyDescent="0.25">
      <c r="A271" s="962"/>
      <c r="B271" s="502" t="s">
        <v>1839</v>
      </c>
      <c r="C271" s="503"/>
      <c r="D271" s="903"/>
      <c r="E271" s="1031" t="s">
        <v>318</v>
      </c>
      <c r="F271" s="857">
        <v>4</v>
      </c>
      <c r="G271" s="857">
        <v>2.2999999999999998</v>
      </c>
      <c r="H271" s="682">
        <f t="shared" si="48"/>
        <v>9.1999999999999993</v>
      </c>
      <c r="I271" s="857">
        <v>4</v>
      </c>
      <c r="J271" s="857">
        <v>2.2999999999999998</v>
      </c>
      <c r="K271" s="682">
        <f t="shared" si="49"/>
        <v>9.1999999999999993</v>
      </c>
      <c r="L271" s="857">
        <v>4</v>
      </c>
      <c r="M271" s="857">
        <v>2.2999999999999998</v>
      </c>
      <c r="N271" s="682">
        <f t="shared" si="50"/>
        <v>9.1999999999999993</v>
      </c>
      <c r="O271" s="857">
        <v>4</v>
      </c>
      <c r="P271" s="857">
        <v>1.7</v>
      </c>
      <c r="Q271" s="682">
        <f>O271*P271</f>
        <v>6.8</v>
      </c>
      <c r="R271" s="682">
        <f t="shared" si="42"/>
        <v>6.8</v>
      </c>
      <c r="S271" s="682"/>
      <c r="T271" s="857">
        <v>4</v>
      </c>
      <c r="U271" s="857">
        <v>1.7</v>
      </c>
      <c r="V271" s="682">
        <f>T271*U271</f>
        <v>6.8</v>
      </c>
      <c r="W271" s="857">
        <v>4</v>
      </c>
      <c r="X271" s="857">
        <v>1.7</v>
      </c>
      <c r="Y271" s="682">
        <f>W271*X271</f>
        <v>6.8</v>
      </c>
      <c r="Z271" s="812">
        <f t="shared" si="43"/>
        <v>-2.4</v>
      </c>
      <c r="AA271" s="812">
        <f t="shared" si="47"/>
        <v>73.900000000000006</v>
      </c>
      <c r="AB271" s="1924"/>
      <c r="AC271" s="491" t="s">
        <v>1665</v>
      </c>
      <c r="AF271" s="466"/>
      <c r="AG271" s="465"/>
      <c r="AH271" s="465"/>
    </row>
    <row r="272" spans="1:34" s="498" customFormat="1" hidden="1" x14ac:dyDescent="0.25">
      <c r="A272" s="962"/>
      <c r="B272" s="502" t="s">
        <v>1683</v>
      </c>
      <c r="C272" s="503"/>
      <c r="D272" s="903"/>
      <c r="E272" s="1031" t="s">
        <v>318</v>
      </c>
      <c r="F272" s="857">
        <v>1</v>
      </c>
      <c r="G272" s="857">
        <v>2</v>
      </c>
      <c r="H272" s="682">
        <f t="shared" si="48"/>
        <v>2</v>
      </c>
      <c r="I272" s="857">
        <v>1</v>
      </c>
      <c r="J272" s="682">
        <v>2</v>
      </c>
      <c r="K272" s="682">
        <f>I272*J272</f>
        <v>2</v>
      </c>
      <c r="L272" s="857">
        <v>1</v>
      </c>
      <c r="M272" s="682">
        <v>2</v>
      </c>
      <c r="N272" s="682">
        <f t="shared" si="50"/>
        <v>2</v>
      </c>
      <c r="O272" s="857"/>
      <c r="P272" s="682"/>
      <c r="Q272" s="682"/>
      <c r="R272" s="682">
        <f t="shared" si="42"/>
        <v>0</v>
      </c>
      <c r="S272" s="682"/>
      <c r="T272" s="857"/>
      <c r="U272" s="682"/>
      <c r="V272" s="682"/>
      <c r="W272" s="857"/>
      <c r="X272" s="682"/>
      <c r="Y272" s="682"/>
      <c r="Z272" s="812">
        <f t="shared" si="43"/>
        <v>-2</v>
      </c>
      <c r="AA272" s="812">
        <f t="shared" si="47"/>
        <v>0</v>
      </c>
      <c r="AB272" s="893"/>
      <c r="AC272" s="491" t="s">
        <v>1665</v>
      </c>
      <c r="AF272" s="466"/>
      <c r="AG272" s="465"/>
      <c r="AH272" s="465"/>
    </row>
    <row r="273" spans="1:34" s="498" customFormat="1" ht="89.25" hidden="1" x14ac:dyDescent="0.25">
      <c r="A273" s="962"/>
      <c r="B273" s="502" t="s">
        <v>1914</v>
      </c>
      <c r="C273" s="503"/>
      <c r="D273" s="903"/>
      <c r="E273" s="1031" t="s">
        <v>318</v>
      </c>
      <c r="F273" s="857">
        <v>1</v>
      </c>
      <c r="G273" s="857">
        <v>12.3</v>
      </c>
      <c r="H273" s="682">
        <f t="shared" si="48"/>
        <v>12.3</v>
      </c>
      <c r="I273" s="857">
        <v>2</v>
      </c>
      <c r="J273" s="857">
        <v>6</v>
      </c>
      <c r="K273" s="682">
        <f t="shared" si="49"/>
        <v>12</v>
      </c>
      <c r="L273" s="857">
        <v>2</v>
      </c>
      <c r="M273" s="857">
        <v>6</v>
      </c>
      <c r="N273" s="682">
        <f t="shared" si="50"/>
        <v>12</v>
      </c>
      <c r="O273" s="857">
        <v>1</v>
      </c>
      <c r="P273" s="857">
        <v>5</v>
      </c>
      <c r="Q273" s="682">
        <f>O273*P273</f>
        <v>5</v>
      </c>
      <c r="R273" s="682">
        <f t="shared" si="42"/>
        <v>5</v>
      </c>
      <c r="S273" s="682"/>
      <c r="T273" s="857">
        <v>1</v>
      </c>
      <c r="U273" s="857">
        <v>5</v>
      </c>
      <c r="V273" s="682">
        <f>T273*U273</f>
        <v>5</v>
      </c>
      <c r="W273" s="857">
        <v>1</v>
      </c>
      <c r="X273" s="857">
        <v>5</v>
      </c>
      <c r="Y273" s="682">
        <f>W273*X273</f>
        <v>5</v>
      </c>
      <c r="Z273" s="812">
        <f t="shared" si="43"/>
        <v>-7</v>
      </c>
      <c r="AA273" s="812">
        <f t="shared" si="47"/>
        <v>41.7</v>
      </c>
      <c r="AB273" s="843" t="s">
        <v>1915</v>
      </c>
      <c r="AC273" s="491" t="s">
        <v>1665</v>
      </c>
      <c r="AF273" s="466"/>
      <c r="AG273" s="465"/>
      <c r="AH273" s="465"/>
    </row>
    <row r="274" spans="1:34" s="498" customFormat="1" hidden="1" x14ac:dyDescent="0.25">
      <c r="A274" s="962"/>
      <c r="B274" s="900" t="s">
        <v>1880</v>
      </c>
      <c r="C274" s="1925"/>
      <c r="D274" s="1926"/>
      <c r="E274" s="1927" t="s">
        <v>1837</v>
      </c>
      <c r="F274" s="1928"/>
      <c r="G274" s="1928"/>
      <c r="H274" s="1929">
        <v>0</v>
      </c>
      <c r="I274" s="1928"/>
      <c r="J274" s="1928"/>
      <c r="K274" s="1929">
        <v>0</v>
      </c>
      <c r="L274" s="1928"/>
      <c r="M274" s="1928"/>
      <c r="N274" s="1929">
        <v>0</v>
      </c>
      <c r="O274" s="1928">
        <v>1</v>
      </c>
      <c r="P274" s="1928">
        <v>4</v>
      </c>
      <c r="Q274" s="1929">
        <f t="shared" ref="Q274:Q278" si="51">P274*O274</f>
        <v>4</v>
      </c>
      <c r="R274" s="1929">
        <f t="shared" si="42"/>
        <v>4</v>
      </c>
      <c r="S274" s="1929"/>
      <c r="T274" s="1928">
        <v>1</v>
      </c>
      <c r="U274" s="1928">
        <v>4</v>
      </c>
      <c r="V274" s="1929">
        <f t="shared" ref="V274" si="52">U274*T274</f>
        <v>4</v>
      </c>
      <c r="W274" s="1928">
        <v>1</v>
      </c>
      <c r="X274" s="1928">
        <v>4</v>
      </c>
      <c r="Y274" s="1929">
        <f t="shared" ref="Y274" si="53">X274*W274</f>
        <v>4</v>
      </c>
      <c r="Z274" s="1929">
        <f t="shared" si="43"/>
        <v>4</v>
      </c>
      <c r="AA274" s="1929" t="str">
        <f t="shared" si="47"/>
        <v>-</v>
      </c>
      <c r="AB274" s="3514" t="s">
        <v>1916</v>
      </c>
      <c r="AC274" s="491" t="s">
        <v>1665</v>
      </c>
      <c r="AF274" s="466"/>
      <c r="AG274" s="465"/>
      <c r="AH274" s="465"/>
    </row>
    <row r="275" spans="1:34" s="498" customFormat="1" hidden="1" x14ac:dyDescent="0.25">
      <c r="A275" s="962"/>
      <c r="B275" s="1041" t="s">
        <v>1917</v>
      </c>
      <c r="C275" s="830"/>
      <c r="D275" s="1926"/>
      <c r="E275" s="1930" t="s">
        <v>318</v>
      </c>
      <c r="F275" s="1929"/>
      <c r="G275" s="1929"/>
      <c r="H275" s="1928"/>
      <c r="I275" s="1929"/>
      <c r="J275" s="1929"/>
      <c r="K275" s="1928"/>
      <c r="L275" s="1929"/>
      <c r="M275" s="1929"/>
      <c r="N275" s="1928"/>
      <c r="O275" s="1929">
        <v>3</v>
      </c>
      <c r="P275" s="1929">
        <v>3.5</v>
      </c>
      <c r="Q275" s="1929">
        <f t="shared" si="51"/>
        <v>10.5</v>
      </c>
      <c r="R275" s="1929">
        <f t="shared" si="42"/>
        <v>10.5</v>
      </c>
      <c r="S275" s="1929"/>
      <c r="T275" s="1929">
        <v>3</v>
      </c>
      <c r="U275" s="1929">
        <v>3.5</v>
      </c>
      <c r="V275" s="1928">
        <f t="shared" ref="V275" si="54">T275*U275</f>
        <v>10.5</v>
      </c>
      <c r="W275" s="1929">
        <v>3</v>
      </c>
      <c r="X275" s="1929">
        <v>3.5</v>
      </c>
      <c r="Y275" s="1928">
        <f t="shared" ref="Y275" si="55">W275*X275</f>
        <v>10.5</v>
      </c>
      <c r="Z275" s="1928">
        <f t="shared" si="43"/>
        <v>10.5</v>
      </c>
      <c r="AA275" s="1928" t="str">
        <f t="shared" si="47"/>
        <v>-</v>
      </c>
      <c r="AB275" s="3515"/>
      <c r="AC275" s="491" t="s">
        <v>1665</v>
      </c>
      <c r="AF275" s="466"/>
      <c r="AG275" s="465"/>
      <c r="AH275" s="465"/>
    </row>
    <row r="276" spans="1:34" s="498" customFormat="1" hidden="1" x14ac:dyDescent="0.25">
      <c r="A276" s="962"/>
      <c r="B276" s="900" t="s">
        <v>1826</v>
      </c>
      <c r="C276" s="830"/>
      <c r="D276" s="1926"/>
      <c r="E276" s="1930" t="s">
        <v>318</v>
      </c>
      <c r="F276" s="1929"/>
      <c r="G276" s="1929"/>
      <c r="H276" s="1928"/>
      <c r="I276" s="1929"/>
      <c r="J276" s="1929"/>
      <c r="K276" s="1928"/>
      <c r="L276" s="1929"/>
      <c r="M276" s="1929"/>
      <c r="N276" s="1928"/>
      <c r="O276" s="1929">
        <v>1</v>
      </c>
      <c r="P276" s="1929">
        <v>2.2999999999999998</v>
      </c>
      <c r="Q276" s="1929">
        <f t="shared" si="51"/>
        <v>2.2999999999999998</v>
      </c>
      <c r="R276" s="1929">
        <f t="shared" ref="R276:R339" si="56">Q276</f>
        <v>2.2999999999999998</v>
      </c>
      <c r="S276" s="1929"/>
      <c r="T276" s="1929">
        <v>1</v>
      </c>
      <c r="U276" s="1929">
        <v>2.2999999999999998</v>
      </c>
      <c r="V276" s="1928">
        <v>2.2999999999999998</v>
      </c>
      <c r="W276" s="1929">
        <v>1</v>
      </c>
      <c r="X276" s="1929">
        <v>2.2999999999999998</v>
      </c>
      <c r="Y276" s="1928">
        <v>2.2999999999999998</v>
      </c>
      <c r="Z276" s="1928">
        <f t="shared" si="43"/>
        <v>2.2999999999999998</v>
      </c>
      <c r="AA276" s="1928" t="str">
        <f t="shared" si="47"/>
        <v>-</v>
      </c>
      <c r="AB276" s="3515"/>
      <c r="AC276" s="491" t="s">
        <v>1665</v>
      </c>
      <c r="AF276" s="466"/>
      <c r="AG276" s="465"/>
      <c r="AH276" s="465"/>
    </row>
    <row r="277" spans="1:34" s="498" customFormat="1" ht="25.5" hidden="1" x14ac:dyDescent="0.25">
      <c r="A277" s="962"/>
      <c r="B277" s="1885" t="s">
        <v>1757</v>
      </c>
      <c r="C277" s="830"/>
      <c r="D277" s="1926"/>
      <c r="E277" s="1930" t="s">
        <v>318</v>
      </c>
      <c r="F277" s="1929"/>
      <c r="G277" s="1929"/>
      <c r="H277" s="1928"/>
      <c r="I277" s="1929"/>
      <c r="J277" s="1929"/>
      <c r="K277" s="1928"/>
      <c r="L277" s="1929"/>
      <c r="M277" s="1929"/>
      <c r="N277" s="1928"/>
      <c r="O277" s="1929">
        <v>2</v>
      </c>
      <c r="P277" s="1929">
        <v>3.5</v>
      </c>
      <c r="Q277" s="1929">
        <f t="shared" si="51"/>
        <v>7</v>
      </c>
      <c r="R277" s="1929">
        <f t="shared" si="56"/>
        <v>7</v>
      </c>
      <c r="S277" s="1929"/>
      <c r="T277" s="1929">
        <v>2</v>
      </c>
      <c r="U277" s="1929">
        <v>3.5</v>
      </c>
      <c r="V277" s="1928">
        <v>6.9</v>
      </c>
      <c r="W277" s="1929">
        <v>2</v>
      </c>
      <c r="X277" s="1929">
        <v>3.5</v>
      </c>
      <c r="Y277" s="1928">
        <v>6.9</v>
      </c>
      <c r="Z277" s="1928">
        <f t="shared" si="43"/>
        <v>7</v>
      </c>
      <c r="AA277" s="1928" t="str">
        <f t="shared" si="47"/>
        <v>-</v>
      </c>
      <c r="AB277" s="3515"/>
      <c r="AC277" s="491" t="s">
        <v>1665</v>
      </c>
      <c r="AF277" s="466"/>
      <c r="AG277" s="465"/>
      <c r="AH277" s="465"/>
    </row>
    <row r="278" spans="1:34" s="498" customFormat="1" hidden="1" x14ac:dyDescent="0.25">
      <c r="A278" s="962"/>
      <c r="B278" s="1885" t="s">
        <v>1886</v>
      </c>
      <c r="C278" s="830"/>
      <c r="D278" s="1926"/>
      <c r="E278" s="1930" t="s">
        <v>318</v>
      </c>
      <c r="F278" s="1929"/>
      <c r="G278" s="1929"/>
      <c r="H278" s="1928"/>
      <c r="I278" s="1929"/>
      <c r="J278" s="1929"/>
      <c r="K278" s="1928"/>
      <c r="L278" s="1929"/>
      <c r="M278" s="1929"/>
      <c r="N278" s="1928"/>
      <c r="O278" s="1929">
        <v>1</v>
      </c>
      <c r="P278" s="1929">
        <v>3.5</v>
      </c>
      <c r="Q278" s="1929">
        <f t="shared" si="51"/>
        <v>3.5</v>
      </c>
      <c r="R278" s="1929">
        <f t="shared" si="56"/>
        <v>3.5</v>
      </c>
      <c r="S278" s="1929"/>
      <c r="T278" s="1929">
        <v>1</v>
      </c>
      <c r="U278" s="1929">
        <v>3.5</v>
      </c>
      <c r="V278" s="1928">
        <v>3.5</v>
      </c>
      <c r="W278" s="1929">
        <v>1</v>
      </c>
      <c r="X278" s="1929">
        <v>3.5</v>
      </c>
      <c r="Y278" s="1928">
        <v>3.5</v>
      </c>
      <c r="Z278" s="1928">
        <f t="shared" si="43"/>
        <v>3.5</v>
      </c>
      <c r="AA278" s="1928" t="str">
        <f t="shared" si="47"/>
        <v>-</v>
      </c>
      <c r="AB278" s="3516"/>
      <c r="AC278" s="491" t="s">
        <v>1665</v>
      </c>
      <c r="AF278" s="466"/>
      <c r="AG278" s="465"/>
      <c r="AH278" s="465"/>
    </row>
    <row r="279" spans="1:34" s="498" customFormat="1" hidden="1" x14ac:dyDescent="0.25">
      <c r="A279" s="962"/>
      <c r="B279" s="502" t="s">
        <v>1729</v>
      </c>
      <c r="C279" s="503"/>
      <c r="D279" s="903"/>
      <c r="E279" s="1031"/>
      <c r="F279" s="857"/>
      <c r="G279" s="857"/>
      <c r="H279" s="682">
        <f>SUM(H268:H273)*0.271</f>
        <v>11</v>
      </c>
      <c r="I279" s="857"/>
      <c r="J279" s="857"/>
      <c r="K279" s="682">
        <f>SUM(K268:K273)*0.271</f>
        <v>10.3</v>
      </c>
      <c r="L279" s="857"/>
      <c r="M279" s="857"/>
      <c r="N279" s="682">
        <f>SUM(N268:N273)*0.271</f>
        <v>10.3</v>
      </c>
      <c r="O279" s="682"/>
      <c r="P279" s="682"/>
      <c r="Q279" s="682">
        <f>SUM(Q268:Q278)*0.271</f>
        <v>12.8</v>
      </c>
      <c r="R279" s="682">
        <f t="shared" si="56"/>
        <v>12.8</v>
      </c>
      <c r="S279" s="682"/>
      <c r="T279" s="682"/>
      <c r="U279" s="682"/>
      <c r="V279" s="682">
        <f>SUM(V268:V278)*0.271</f>
        <v>12.8</v>
      </c>
      <c r="W279" s="682"/>
      <c r="X279" s="682"/>
      <c r="Y279" s="682">
        <f>SUM(Y268:Y278)*0.271</f>
        <v>12.8</v>
      </c>
      <c r="Z279" s="812">
        <f t="shared" si="43"/>
        <v>2.5</v>
      </c>
      <c r="AA279" s="812">
        <f t="shared" si="47"/>
        <v>124.3</v>
      </c>
      <c r="AB279" s="893"/>
      <c r="AC279" s="491" t="s">
        <v>1665</v>
      </c>
      <c r="AF279" s="466"/>
      <c r="AG279" s="465"/>
      <c r="AH279" s="465"/>
    </row>
    <row r="280" spans="1:34" s="492" customFormat="1" ht="14.25" hidden="1" x14ac:dyDescent="0.2">
      <c r="A280" s="1240"/>
      <c r="B280" s="500" t="s">
        <v>798</v>
      </c>
      <c r="C280" s="501" t="s">
        <v>796</v>
      </c>
      <c r="D280" s="932"/>
      <c r="E280" s="842" t="s">
        <v>227</v>
      </c>
      <c r="F280" s="828">
        <v>10</v>
      </c>
      <c r="G280" s="829">
        <v>0.6</v>
      </c>
      <c r="H280" s="542">
        <f>F280*G280</f>
        <v>6</v>
      </c>
      <c r="I280" s="533">
        <v>12</v>
      </c>
      <c r="J280" s="533">
        <v>0.5</v>
      </c>
      <c r="K280" s="533">
        <f>I280*J280</f>
        <v>6</v>
      </c>
      <c r="L280" s="533">
        <v>12</v>
      </c>
      <c r="M280" s="533">
        <v>0.5</v>
      </c>
      <c r="N280" s="533">
        <f>L280*M280</f>
        <v>6</v>
      </c>
      <c r="O280" s="533">
        <v>12</v>
      </c>
      <c r="P280" s="533">
        <v>0.5</v>
      </c>
      <c r="Q280" s="533">
        <f>O280*P280</f>
        <v>6</v>
      </c>
      <c r="R280" s="533">
        <f t="shared" si="56"/>
        <v>6</v>
      </c>
      <c r="S280" s="533"/>
      <c r="T280" s="533">
        <v>12</v>
      </c>
      <c r="U280" s="533">
        <v>0.5</v>
      </c>
      <c r="V280" s="533">
        <f>T280*U280</f>
        <v>6</v>
      </c>
      <c r="W280" s="533">
        <v>12</v>
      </c>
      <c r="X280" s="533">
        <v>0.5</v>
      </c>
      <c r="Y280" s="533">
        <f>W280*X280</f>
        <v>6</v>
      </c>
      <c r="Z280" s="542">
        <f t="shared" si="43"/>
        <v>0</v>
      </c>
      <c r="AA280" s="542">
        <f t="shared" si="47"/>
        <v>100</v>
      </c>
      <c r="AB280" s="893"/>
      <c r="AC280" s="491" t="s">
        <v>1665</v>
      </c>
      <c r="AF280" s="466"/>
      <c r="AG280" s="466"/>
      <c r="AH280" s="466"/>
    </row>
    <row r="281" spans="1:34" s="492" customFormat="1" ht="14.25" hidden="1" x14ac:dyDescent="0.2">
      <c r="A281" s="1240"/>
      <c r="B281" s="500" t="s">
        <v>1246</v>
      </c>
      <c r="C281" s="501" t="s">
        <v>1237</v>
      </c>
      <c r="D281" s="932"/>
      <c r="E281" s="842" t="s">
        <v>1829</v>
      </c>
      <c r="F281" s="828">
        <v>10</v>
      </c>
      <c r="G281" s="829">
        <v>2.5</v>
      </c>
      <c r="H281" s="542">
        <f>F281*G281</f>
        <v>25</v>
      </c>
      <c r="I281" s="533">
        <v>10</v>
      </c>
      <c r="J281" s="533">
        <v>2.5</v>
      </c>
      <c r="K281" s="533">
        <f>I281*J281</f>
        <v>25</v>
      </c>
      <c r="L281" s="533">
        <v>10</v>
      </c>
      <c r="M281" s="533">
        <v>2.5</v>
      </c>
      <c r="N281" s="533">
        <f>L281*M281</f>
        <v>25</v>
      </c>
      <c r="O281" s="533">
        <v>10</v>
      </c>
      <c r="P281" s="533">
        <v>2.5</v>
      </c>
      <c r="Q281" s="533">
        <f>O281*P281</f>
        <v>25</v>
      </c>
      <c r="R281" s="533">
        <f t="shared" si="56"/>
        <v>25</v>
      </c>
      <c r="S281" s="533"/>
      <c r="T281" s="533">
        <v>10</v>
      </c>
      <c r="U281" s="533">
        <v>2.5</v>
      </c>
      <c r="V281" s="533">
        <f>T281*U281</f>
        <v>25</v>
      </c>
      <c r="W281" s="533">
        <v>10</v>
      </c>
      <c r="X281" s="533">
        <v>2.5</v>
      </c>
      <c r="Y281" s="533">
        <f>W281*X281</f>
        <v>25</v>
      </c>
      <c r="Z281" s="542">
        <f t="shared" si="43"/>
        <v>0</v>
      </c>
      <c r="AA281" s="542">
        <f t="shared" si="47"/>
        <v>100</v>
      </c>
      <c r="AB281" s="893"/>
      <c r="AC281" s="491" t="s">
        <v>1665</v>
      </c>
      <c r="AF281" s="466"/>
      <c r="AG281" s="466"/>
      <c r="AH281" s="466"/>
    </row>
    <row r="282" spans="1:34" s="539" customFormat="1" hidden="1" x14ac:dyDescent="0.25">
      <c r="A282" s="536"/>
      <c r="B282" s="510" t="s">
        <v>1247</v>
      </c>
      <c r="C282" s="511"/>
      <c r="D282" s="536"/>
      <c r="E282" s="536"/>
      <c r="F282" s="911"/>
      <c r="G282" s="912"/>
      <c r="H282" s="823" t="e">
        <f>#REF!+#REF!+H283+#REF!</f>
        <v>#REF!</v>
      </c>
      <c r="I282" s="913"/>
      <c r="J282" s="913"/>
      <c r="K282" s="823">
        <f>K283</f>
        <v>37.799999999999997</v>
      </c>
      <c r="L282" s="913"/>
      <c r="M282" s="913"/>
      <c r="N282" s="823">
        <f>N283</f>
        <v>37.799999999999997</v>
      </c>
      <c r="O282" s="913"/>
      <c r="P282" s="913"/>
      <c r="Q282" s="823">
        <f>Q283</f>
        <v>38.6</v>
      </c>
      <c r="R282" s="823">
        <f t="shared" si="56"/>
        <v>38.6</v>
      </c>
      <c r="S282" s="823"/>
      <c r="T282" s="913"/>
      <c r="U282" s="913"/>
      <c r="V282" s="823">
        <f>V283</f>
        <v>33.6</v>
      </c>
      <c r="W282" s="823"/>
      <c r="X282" s="823"/>
      <c r="Y282" s="823">
        <f>Y283</f>
        <v>33.6</v>
      </c>
      <c r="Z282" s="823">
        <f t="shared" si="43"/>
        <v>0.8</v>
      </c>
      <c r="AA282" s="823">
        <f t="shared" si="47"/>
        <v>102.1</v>
      </c>
      <c r="AB282" s="914"/>
      <c r="AC282" s="538"/>
      <c r="AF282" s="519"/>
      <c r="AG282" s="540"/>
      <c r="AH282" s="540"/>
    </row>
    <row r="283" spans="1:34" s="1891" customFormat="1" ht="38.25" hidden="1" x14ac:dyDescent="0.25">
      <c r="A283" s="850"/>
      <c r="B283" s="520" t="s">
        <v>1664</v>
      </c>
      <c r="C283" s="521"/>
      <c r="D283" s="522" t="s">
        <v>1444</v>
      </c>
      <c r="E283" s="556"/>
      <c r="F283" s="523"/>
      <c r="G283" s="524"/>
      <c r="H283" s="526">
        <f>H284+H289+H295+H296</f>
        <v>49.4</v>
      </c>
      <c r="I283" s="526"/>
      <c r="J283" s="526"/>
      <c r="K283" s="526">
        <f>K284+K289+K295+K296</f>
        <v>37.799999999999997</v>
      </c>
      <c r="L283" s="526"/>
      <c r="M283" s="526"/>
      <c r="N283" s="526">
        <f>N284+N289+N295+N296</f>
        <v>37.799999999999997</v>
      </c>
      <c r="O283" s="526"/>
      <c r="P283" s="526"/>
      <c r="Q283" s="526">
        <f>Q284+Q288+Q289+Q294+Q295+Q296</f>
        <v>38.6</v>
      </c>
      <c r="R283" s="526">
        <f t="shared" si="56"/>
        <v>38.6</v>
      </c>
      <c r="S283" s="526"/>
      <c r="T283" s="526"/>
      <c r="U283" s="526"/>
      <c r="V283" s="526">
        <f>V284+V288+V289+V294+V295+V296</f>
        <v>33.6</v>
      </c>
      <c r="W283" s="526"/>
      <c r="X283" s="526"/>
      <c r="Y283" s="526">
        <f>Y284+Y288+Y289+Y294+Y295+Y296</f>
        <v>33.6</v>
      </c>
      <c r="Z283" s="526">
        <f t="shared" si="43"/>
        <v>0.8</v>
      </c>
      <c r="AA283" s="526">
        <f t="shared" si="47"/>
        <v>102.1</v>
      </c>
      <c r="AB283" s="909"/>
      <c r="AC283" s="1931" t="s">
        <v>1665</v>
      </c>
      <c r="AF283" s="528"/>
      <c r="AG283" s="1892"/>
      <c r="AH283" s="1892"/>
    </row>
    <row r="284" spans="1:34" s="492" customFormat="1" ht="14.25" x14ac:dyDescent="0.2">
      <c r="A284" s="1240"/>
      <c r="B284" s="500" t="s">
        <v>1226</v>
      </c>
      <c r="C284" s="501" t="s">
        <v>797</v>
      </c>
      <c r="D284" s="932"/>
      <c r="E284" s="842"/>
      <c r="F284" s="828"/>
      <c r="G284" s="829"/>
      <c r="H284" s="542">
        <f>SUM(H285:H287)</f>
        <v>13.8</v>
      </c>
      <c r="I284" s="533"/>
      <c r="J284" s="533"/>
      <c r="K284" s="533">
        <f>SUM(K285:K287)</f>
        <v>11.2</v>
      </c>
      <c r="L284" s="533"/>
      <c r="M284" s="533"/>
      <c r="N284" s="533">
        <f>SUM(N285:N287)</f>
        <v>11.2</v>
      </c>
      <c r="O284" s="533"/>
      <c r="P284" s="533"/>
      <c r="Q284" s="533">
        <f>SUM(Q285:Q287)</f>
        <v>11.6</v>
      </c>
      <c r="R284" s="2683">
        <f>Q284-5</f>
        <v>6.6</v>
      </c>
      <c r="S284" s="533"/>
      <c r="T284" s="533"/>
      <c r="U284" s="533"/>
      <c r="V284" s="533">
        <f>SUM(V285:V287)-5</f>
        <v>6.6</v>
      </c>
      <c r="W284" s="533"/>
      <c r="X284" s="533"/>
      <c r="Y284" s="533">
        <f>SUM(Y285:Y287)-5</f>
        <v>6.6</v>
      </c>
      <c r="Z284" s="542">
        <f t="shared" si="43"/>
        <v>0.4</v>
      </c>
      <c r="AA284" s="542">
        <f t="shared" si="47"/>
        <v>103.6</v>
      </c>
      <c r="AB284" s="921"/>
      <c r="AC284" s="534" t="s">
        <v>1665</v>
      </c>
      <c r="AF284" s="466"/>
      <c r="AG284" s="466"/>
      <c r="AH284" s="466"/>
    </row>
    <row r="285" spans="1:34" s="498" customFormat="1" ht="25.5" hidden="1" x14ac:dyDescent="0.25">
      <c r="A285" s="962"/>
      <c r="B285" s="856" t="s">
        <v>1918</v>
      </c>
      <c r="C285" s="499"/>
      <c r="D285" s="903"/>
      <c r="E285" s="1031" t="s">
        <v>1919</v>
      </c>
      <c r="F285" s="557">
        <v>26</v>
      </c>
      <c r="G285" s="558">
        <v>0.3</v>
      </c>
      <c r="H285" s="559">
        <f>F285*G285</f>
        <v>7.8</v>
      </c>
      <c r="I285" s="857">
        <v>26</v>
      </c>
      <c r="J285" s="857">
        <v>0.2</v>
      </c>
      <c r="K285" s="857">
        <f>I285*J285</f>
        <v>5.2</v>
      </c>
      <c r="L285" s="857">
        <v>26</v>
      </c>
      <c r="M285" s="857">
        <v>0.2</v>
      </c>
      <c r="N285" s="857">
        <f>L285*M285</f>
        <v>5.2</v>
      </c>
      <c r="O285" s="857">
        <v>14</v>
      </c>
      <c r="P285" s="857">
        <v>0.4</v>
      </c>
      <c r="Q285" s="857">
        <f>O285*P285</f>
        <v>5.6</v>
      </c>
      <c r="R285" s="857">
        <f t="shared" si="56"/>
        <v>5.6</v>
      </c>
      <c r="S285" s="857"/>
      <c r="T285" s="857">
        <v>14</v>
      </c>
      <c r="U285" s="857">
        <v>0.4</v>
      </c>
      <c r="V285" s="857">
        <f>T285*U285</f>
        <v>5.6</v>
      </c>
      <c r="W285" s="857">
        <v>14</v>
      </c>
      <c r="X285" s="857">
        <v>0.4</v>
      </c>
      <c r="Y285" s="857">
        <f>W285*X285</f>
        <v>5.6</v>
      </c>
      <c r="Z285" s="559">
        <f t="shared" si="43"/>
        <v>0.4</v>
      </c>
      <c r="AA285" s="559">
        <f t="shared" si="47"/>
        <v>107.7</v>
      </c>
      <c r="AB285" s="1932" t="s">
        <v>1920</v>
      </c>
      <c r="AC285" s="534" t="s">
        <v>1665</v>
      </c>
      <c r="AF285" s="466"/>
      <c r="AG285" s="465"/>
      <c r="AH285" s="465"/>
    </row>
    <row r="286" spans="1:34" s="498" customFormat="1" hidden="1" x14ac:dyDescent="0.25">
      <c r="A286" s="962"/>
      <c r="B286" s="856" t="s">
        <v>1689</v>
      </c>
      <c r="C286" s="499"/>
      <c r="D286" s="903"/>
      <c r="E286" s="1031"/>
      <c r="F286" s="557"/>
      <c r="G286" s="558"/>
      <c r="H286" s="559"/>
      <c r="I286" s="857"/>
      <c r="J286" s="857"/>
      <c r="K286" s="857"/>
      <c r="L286" s="857"/>
      <c r="M286" s="857"/>
      <c r="N286" s="857"/>
      <c r="O286" s="857">
        <v>1</v>
      </c>
      <c r="P286" s="857">
        <v>2</v>
      </c>
      <c r="Q286" s="857">
        <f>O286*P286</f>
        <v>2</v>
      </c>
      <c r="R286" s="857">
        <f t="shared" si="56"/>
        <v>2</v>
      </c>
      <c r="S286" s="857"/>
      <c r="T286" s="857">
        <v>1</v>
      </c>
      <c r="U286" s="857">
        <v>2</v>
      </c>
      <c r="V286" s="857">
        <f>T286*U286</f>
        <v>2</v>
      </c>
      <c r="W286" s="857">
        <v>1</v>
      </c>
      <c r="X286" s="857">
        <v>2</v>
      </c>
      <c r="Y286" s="857">
        <f>W286*X286</f>
        <v>2</v>
      </c>
      <c r="Z286" s="559">
        <f t="shared" si="43"/>
        <v>2</v>
      </c>
      <c r="AA286" s="559" t="str">
        <f t="shared" si="47"/>
        <v>-</v>
      </c>
      <c r="AB286" s="1933"/>
      <c r="AC286" s="534" t="s">
        <v>1665</v>
      </c>
      <c r="AF286" s="466"/>
      <c r="AG286" s="465"/>
      <c r="AH286" s="465"/>
    </row>
    <row r="287" spans="1:34" s="498" customFormat="1" hidden="1" x14ac:dyDescent="0.25">
      <c r="A287" s="962"/>
      <c r="B287" s="856" t="s">
        <v>1921</v>
      </c>
      <c r="C287" s="499"/>
      <c r="D287" s="903"/>
      <c r="E287" s="1031" t="s">
        <v>227</v>
      </c>
      <c r="F287" s="557">
        <v>6</v>
      </c>
      <c r="G287" s="558">
        <v>1</v>
      </c>
      <c r="H287" s="559">
        <f>F287*G287</f>
        <v>6</v>
      </c>
      <c r="I287" s="857">
        <v>6</v>
      </c>
      <c r="J287" s="857">
        <v>1</v>
      </c>
      <c r="K287" s="857">
        <f>I287*J287</f>
        <v>6</v>
      </c>
      <c r="L287" s="857">
        <v>6</v>
      </c>
      <c r="M287" s="857">
        <v>1</v>
      </c>
      <c r="N287" s="857">
        <f>L287*M287</f>
        <v>6</v>
      </c>
      <c r="O287" s="857">
        <v>4</v>
      </c>
      <c r="P287" s="857">
        <v>1</v>
      </c>
      <c r="Q287" s="857">
        <f>O287*P287</f>
        <v>4</v>
      </c>
      <c r="R287" s="857">
        <f t="shared" si="56"/>
        <v>4</v>
      </c>
      <c r="S287" s="857"/>
      <c r="T287" s="857">
        <v>4</v>
      </c>
      <c r="U287" s="857">
        <v>1</v>
      </c>
      <c r="V287" s="857">
        <f>T287*U287</f>
        <v>4</v>
      </c>
      <c r="W287" s="857">
        <v>4</v>
      </c>
      <c r="X287" s="857">
        <v>1</v>
      </c>
      <c r="Y287" s="857">
        <f>W287*X287</f>
        <v>4</v>
      </c>
      <c r="Z287" s="559">
        <f t="shared" si="43"/>
        <v>-2</v>
      </c>
      <c r="AA287" s="559">
        <f t="shared" si="47"/>
        <v>66.7</v>
      </c>
      <c r="AB287" s="1934"/>
      <c r="AC287" s="534" t="s">
        <v>1665</v>
      </c>
      <c r="AF287" s="466"/>
      <c r="AG287" s="465"/>
      <c r="AH287" s="465"/>
    </row>
    <row r="288" spans="1:34" s="498" customFormat="1" ht="25.5" x14ac:dyDescent="0.25">
      <c r="A288" s="962"/>
      <c r="B288" s="865" t="s">
        <v>1922</v>
      </c>
      <c r="C288" s="508" t="s">
        <v>797</v>
      </c>
      <c r="D288" s="903"/>
      <c r="E288" s="1031"/>
      <c r="F288" s="557"/>
      <c r="G288" s="558"/>
      <c r="H288" s="559"/>
      <c r="I288" s="857"/>
      <c r="J288" s="857"/>
      <c r="K288" s="857"/>
      <c r="L288" s="857"/>
      <c r="M288" s="857"/>
      <c r="N288" s="857"/>
      <c r="O288" s="857"/>
      <c r="P288" s="857"/>
      <c r="Q288" s="533">
        <v>1.7</v>
      </c>
      <c r="R288" s="533">
        <f t="shared" si="56"/>
        <v>1.7</v>
      </c>
      <c r="S288" s="533"/>
      <c r="T288" s="857"/>
      <c r="U288" s="857"/>
      <c r="V288" s="533">
        <v>1.7</v>
      </c>
      <c r="W288" s="857"/>
      <c r="X288" s="857"/>
      <c r="Y288" s="533">
        <v>1.7</v>
      </c>
      <c r="Z288" s="559">
        <f t="shared" si="43"/>
        <v>1.7</v>
      </c>
      <c r="AA288" s="559" t="str">
        <f t="shared" si="47"/>
        <v>-</v>
      </c>
      <c r="AB288" s="900" t="s">
        <v>1923</v>
      </c>
      <c r="AC288" s="534" t="s">
        <v>1665</v>
      </c>
      <c r="AF288" s="466"/>
      <c r="AG288" s="465"/>
      <c r="AH288" s="465"/>
    </row>
    <row r="289" spans="1:34" s="492" customFormat="1" ht="25.5" x14ac:dyDescent="0.2">
      <c r="A289" s="1240"/>
      <c r="B289" s="500" t="s">
        <v>1239</v>
      </c>
      <c r="C289" s="501" t="s">
        <v>797</v>
      </c>
      <c r="D289" s="932"/>
      <c r="E289" s="842"/>
      <c r="F289" s="828"/>
      <c r="G289" s="829"/>
      <c r="H289" s="542">
        <f>SUM(H290:H293)</f>
        <v>11.9</v>
      </c>
      <c r="I289" s="533"/>
      <c r="J289" s="533"/>
      <c r="K289" s="533">
        <f>SUM(K290:K293)</f>
        <v>0.8</v>
      </c>
      <c r="L289" s="533"/>
      <c r="M289" s="533"/>
      <c r="N289" s="533">
        <f>SUM(N290:N293)</f>
        <v>0.8</v>
      </c>
      <c r="O289" s="533"/>
      <c r="P289" s="533"/>
      <c r="Q289" s="533">
        <f>SUM(Q290:Q293)</f>
        <v>2</v>
      </c>
      <c r="R289" s="533">
        <f t="shared" si="56"/>
        <v>2</v>
      </c>
      <c r="S289" s="533"/>
      <c r="T289" s="533"/>
      <c r="U289" s="533"/>
      <c r="V289" s="533">
        <f>SUM(V290:V293)</f>
        <v>2</v>
      </c>
      <c r="W289" s="533"/>
      <c r="X289" s="533"/>
      <c r="Y289" s="533">
        <f>SUM(Y290:Y293)</f>
        <v>2</v>
      </c>
      <c r="Z289" s="542">
        <f t="shared" si="43"/>
        <v>1.2</v>
      </c>
      <c r="AA289" s="542">
        <f t="shared" si="47"/>
        <v>250</v>
      </c>
      <c r="AB289" s="921"/>
      <c r="AC289" s="534" t="s">
        <v>1665</v>
      </c>
      <c r="AF289" s="466"/>
      <c r="AG289" s="466"/>
      <c r="AH289" s="466"/>
    </row>
    <row r="290" spans="1:34" s="498" customFormat="1" ht="38.25" hidden="1" x14ac:dyDescent="0.25">
      <c r="A290" s="962"/>
      <c r="B290" s="502" t="s">
        <v>1924</v>
      </c>
      <c r="C290" s="499"/>
      <c r="D290" s="903"/>
      <c r="E290" s="1031" t="s">
        <v>227</v>
      </c>
      <c r="F290" s="557">
        <v>14</v>
      </c>
      <c r="G290" s="558">
        <v>0.1</v>
      </c>
      <c r="H290" s="559">
        <f>F290*G290</f>
        <v>1.4</v>
      </c>
      <c r="I290" s="857">
        <v>8</v>
      </c>
      <c r="J290" s="862">
        <v>0.1</v>
      </c>
      <c r="K290" s="857">
        <f>I290*J290</f>
        <v>0.8</v>
      </c>
      <c r="L290" s="857">
        <v>8</v>
      </c>
      <c r="M290" s="862">
        <v>0.1</v>
      </c>
      <c r="N290" s="857">
        <f>L290*M290</f>
        <v>0.8</v>
      </c>
      <c r="O290" s="857">
        <v>20</v>
      </c>
      <c r="P290" s="857">
        <v>0.1</v>
      </c>
      <c r="Q290" s="857">
        <f>O290*P290</f>
        <v>2</v>
      </c>
      <c r="R290" s="857">
        <f t="shared" si="56"/>
        <v>2</v>
      </c>
      <c r="S290" s="857"/>
      <c r="T290" s="857">
        <v>20</v>
      </c>
      <c r="U290" s="857">
        <v>0.1</v>
      </c>
      <c r="V290" s="857">
        <f>T290*U290</f>
        <v>2</v>
      </c>
      <c r="W290" s="857">
        <v>20</v>
      </c>
      <c r="X290" s="857">
        <v>0.1</v>
      </c>
      <c r="Y290" s="857">
        <f>W290*X290</f>
        <v>2</v>
      </c>
      <c r="Z290" s="559">
        <f t="shared" si="43"/>
        <v>1.2</v>
      </c>
      <c r="AA290" s="559">
        <f t="shared" si="47"/>
        <v>250</v>
      </c>
      <c r="AB290" s="827" t="s">
        <v>1925</v>
      </c>
      <c r="AC290" s="534" t="s">
        <v>1665</v>
      </c>
      <c r="AF290" s="466"/>
      <c r="AG290" s="465"/>
      <c r="AH290" s="465"/>
    </row>
    <row r="291" spans="1:34" s="498" customFormat="1" hidden="1" x14ac:dyDescent="0.25">
      <c r="A291" s="962"/>
      <c r="B291" s="856" t="s">
        <v>1926</v>
      </c>
      <c r="C291" s="499"/>
      <c r="D291" s="903"/>
      <c r="E291" s="1031" t="s">
        <v>227</v>
      </c>
      <c r="F291" s="557">
        <v>2</v>
      </c>
      <c r="G291" s="558">
        <v>2</v>
      </c>
      <c r="H291" s="559">
        <f>F291*G291</f>
        <v>4</v>
      </c>
      <c r="I291" s="857"/>
      <c r="J291" s="857"/>
      <c r="K291" s="857"/>
      <c r="L291" s="857"/>
      <c r="M291" s="857"/>
      <c r="N291" s="857"/>
      <c r="O291" s="857"/>
      <c r="P291" s="857"/>
      <c r="Q291" s="857"/>
      <c r="R291" s="857">
        <f t="shared" si="56"/>
        <v>0</v>
      </c>
      <c r="S291" s="857"/>
      <c r="T291" s="857"/>
      <c r="U291" s="857"/>
      <c r="V291" s="857"/>
      <c r="W291" s="857"/>
      <c r="X291" s="857"/>
      <c r="Y291" s="857"/>
      <c r="Z291" s="559">
        <f t="shared" ref="Z291:Z354" si="57">Q291-K291</f>
        <v>0</v>
      </c>
      <c r="AA291" s="559" t="str">
        <f t="shared" si="47"/>
        <v>-</v>
      </c>
      <c r="AB291" s="827"/>
      <c r="AC291" s="534" t="s">
        <v>1665</v>
      </c>
      <c r="AF291" s="466"/>
      <c r="AG291" s="465"/>
      <c r="AH291" s="465"/>
    </row>
    <row r="292" spans="1:34" s="498" customFormat="1" hidden="1" x14ac:dyDescent="0.25">
      <c r="A292" s="962"/>
      <c r="B292" s="856" t="s">
        <v>1369</v>
      </c>
      <c r="C292" s="499"/>
      <c r="D292" s="903"/>
      <c r="E292" s="1031" t="s">
        <v>227</v>
      </c>
      <c r="F292" s="557">
        <v>4</v>
      </c>
      <c r="G292" s="558">
        <v>0.75</v>
      </c>
      <c r="H292" s="559">
        <f>F292*G292</f>
        <v>3</v>
      </c>
      <c r="I292" s="857"/>
      <c r="J292" s="857"/>
      <c r="K292" s="857"/>
      <c r="L292" s="857"/>
      <c r="M292" s="857"/>
      <c r="N292" s="857"/>
      <c r="O292" s="857"/>
      <c r="P292" s="857"/>
      <c r="Q292" s="857"/>
      <c r="R292" s="857">
        <f t="shared" si="56"/>
        <v>0</v>
      </c>
      <c r="S292" s="857"/>
      <c r="T292" s="857"/>
      <c r="U292" s="857"/>
      <c r="V292" s="857"/>
      <c r="W292" s="857"/>
      <c r="X292" s="857"/>
      <c r="Y292" s="857"/>
      <c r="Z292" s="559">
        <f t="shared" si="57"/>
        <v>0</v>
      </c>
      <c r="AA292" s="559" t="str">
        <f t="shared" si="47"/>
        <v>-</v>
      </c>
      <c r="AB292" s="901"/>
      <c r="AC292" s="534" t="s">
        <v>1665</v>
      </c>
      <c r="AF292" s="466"/>
      <c r="AG292" s="465"/>
      <c r="AH292" s="465"/>
    </row>
    <row r="293" spans="1:34" s="498" customFormat="1" hidden="1" x14ac:dyDescent="0.25">
      <c r="A293" s="962"/>
      <c r="B293" s="856" t="s">
        <v>1692</v>
      </c>
      <c r="C293" s="499"/>
      <c r="D293" s="903"/>
      <c r="E293" s="1031" t="s">
        <v>227</v>
      </c>
      <c r="F293" s="557">
        <v>10</v>
      </c>
      <c r="G293" s="558">
        <v>0.35</v>
      </c>
      <c r="H293" s="559">
        <f>F293*G293</f>
        <v>3.5</v>
      </c>
      <c r="I293" s="857"/>
      <c r="J293" s="857"/>
      <c r="K293" s="857"/>
      <c r="L293" s="857"/>
      <c r="M293" s="857"/>
      <c r="N293" s="857"/>
      <c r="O293" s="857"/>
      <c r="P293" s="857"/>
      <c r="Q293" s="857"/>
      <c r="R293" s="857">
        <f t="shared" si="56"/>
        <v>0</v>
      </c>
      <c r="S293" s="857"/>
      <c r="T293" s="857"/>
      <c r="U293" s="857"/>
      <c r="V293" s="857"/>
      <c r="W293" s="857"/>
      <c r="X293" s="857"/>
      <c r="Y293" s="857"/>
      <c r="Z293" s="559">
        <f t="shared" si="57"/>
        <v>0</v>
      </c>
      <c r="AA293" s="559" t="str">
        <f t="shared" si="47"/>
        <v>-</v>
      </c>
      <c r="AB293" s="901"/>
      <c r="AC293" s="534" t="s">
        <v>1665</v>
      </c>
      <c r="AF293" s="466"/>
      <c r="AG293" s="465"/>
      <c r="AH293" s="465"/>
    </row>
    <row r="294" spans="1:34" s="498" customFormat="1" ht="26.25" customHeight="1" x14ac:dyDescent="0.25">
      <c r="A294" s="962"/>
      <c r="B294" s="1841" t="s">
        <v>1927</v>
      </c>
      <c r="C294" s="508" t="s">
        <v>797</v>
      </c>
      <c r="D294" s="903"/>
      <c r="E294" s="1031"/>
      <c r="F294" s="557"/>
      <c r="G294" s="558"/>
      <c r="H294" s="559"/>
      <c r="I294" s="857"/>
      <c r="J294" s="857"/>
      <c r="K294" s="857"/>
      <c r="L294" s="857"/>
      <c r="M294" s="857"/>
      <c r="N294" s="857"/>
      <c r="O294" s="533">
        <v>150</v>
      </c>
      <c r="P294" s="906">
        <v>0.02</v>
      </c>
      <c r="Q294" s="533">
        <f>O294*P294</f>
        <v>3</v>
      </c>
      <c r="R294" s="533">
        <f t="shared" si="56"/>
        <v>3</v>
      </c>
      <c r="S294" s="533"/>
      <c r="T294" s="533">
        <v>150</v>
      </c>
      <c r="U294" s="906">
        <v>0.02</v>
      </c>
      <c r="V294" s="533">
        <f>T294*U294</f>
        <v>3</v>
      </c>
      <c r="W294" s="533">
        <v>150</v>
      </c>
      <c r="X294" s="906">
        <v>0.02</v>
      </c>
      <c r="Y294" s="533">
        <f>W294*X294</f>
        <v>3</v>
      </c>
      <c r="Z294" s="559">
        <f t="shared" si="57"/>
        <v>3</v>
      </c>
      <c r="AA294" s="559" t="str">
        <f t="shared" si="47"/>
        <v>-</v>
      </c>
      <c r="AB294" s="1839" t="s">
        <v>1928</v>
      </c>
      <c r="AC294" s="534" t="s">
        <v>1665</v>
      </c>
      <c r="AF294" s="466"/>
      <c r="AG294" s="465"/>
      <c r="AH294" s="465"/>
    </row>
    <row r="295" spans="1:34" s="492" customFormat="1" ht="25.5" hidden="1" x14ac:dyDescent="0.2">
      <c r="A295" s="1240"/>
      <c r="B295" s="865" t="s">
        <v>1929</v>
      </c>
      <c r="C295" s="508" t="s">
        <v>796</v>
      </c>
      <c r="D295" s="932"/>
      <c r="E295" s="842"/>
      <c r="F295" s="828">
        <v>20</v>
      </c>
      <c r="G295" s="829">
        <v>0.5</v>
      </c>
      <c r="H295" s="542">
        <f>F295*G295</f>
        <v>10</v>
      </c>
      <c r="I295" s="533">
        <v>26</v>
      </c>
      <c r="J295" s="533">
        <v>0.5</v>
      </c>
      <c r="K295" s="533">
        <f>I295*J295</f>
        <v>13</v>
      </c>
      <c r="L295" s="533">
        <v>26</v>
      </c>
      <c r="M295" s="533">
        <v>0.5</v>
      </c>
      <c r="N295" s="533">
        <f>L295*M295</f>
        <v>13</v>
      </c>
      <c r="O295" s="533">
        <v>20</v>
      </c>
      <c r="P295" s="533">
        <v>0.5</v>
      </c>
      <c r="Q295" s="533">
        <f>O295*P295</f>
        <v>10</v>
      </c>
      <c r="R295" s="533">
        <f t="shared" si="56"/>
        <v>10</v>
      </c>
      <c r="S295" s="533"/>
      <c r="T295" s="533">
        <v>20</v>
      </c>
      <c r="U295" s="533">
        <v>0.5</v>
      </c>
      <c r="V295" s="533">
        <f>T295*U295</f>
        <v>10</v>
      </c>
      <c r="W295" s="533">
        <v>20</v>
      </c>
      <c r="X295" s="533">
        <v>0.5</v>
      </c>
      <c r="Y295" s="533">
        <f>W295*X295</f>
        <v>10</v>
      </c>
      <c r="Z295" s="542">
        <f t="shared" si="57"/>
        <v>-3</v>
      </c>
      <c r="AA295" s="542">
        <f t="shared" si="47"/>
        <v>76.900000000000006</v>
      </c>
      <c r="AB295" s="901" t="s">
        <v>1372</v>
      </c>
      <c r="AC295" s="534" t="s">
        <v>1665</v>
      </c>
      <c r="AF295" s="466"/>
      <c r="AG295" s="466"/>
      <c r="AH295" s="466"/>
    </row>
    <row r="296" spans="1:34" s="492" customFormat="1" ht="14.25" hidden="1" x14ac:dyDescent="0.2">
      <c r="A296" s="1240"/>
      <c r="B296" s="500" t="s">
        <v>1233</v>
      </c>
      <c r="C296" s="501" t="s">
        <v>1230</v>
      </c>
      <c r="D296" s="932"/>
      <c r="E296" s="842"/>
      <c r="F296" s="828"/>
      <c r="G296" s="829"/>
      <c r="H296" s="542">
        <f>SUM(H297:H302)</f>
        <v>13.7</v>
      </c>
      <c r="I296" s="533"/>
      <c r="J296" s="533"/>
      <c r="K296" s="533">
        <f>SUM(K297:K302)</f>
        <v>12.8</v>
      </c>
      <c r="L296" s="533"/>
      <c r="M296" s="533"/>
      <c r="N296" s="533">
        <f>SUM(N297:N302)</f>
        <v>12.8</v>
      </c>
      <c r="O296" s="533"/>
      <c r="P296" s="533"/>
      <c r="Q296" s="533">
        <f>SUM(Q297:Q302)</f>
        <v>10.3</v>
      </c>
      <c r="R296" s="533">
        <f t="shared" si="56"/>
        <v>10.3</v>
      </c>
      <c r="S296" s="533"/>
      <c r="T296" s="533"/>
      <c r="U296" s="533"/>
      <c r="V296" s="533">
        <f>SUM(V297:V302)</f>
        <v>10.3</v>
      </c>
      <c r="W296" s="533"/>
      <c r="X296" s="533"/>
      <c r="Y296" s="533">
        <f>SUM(Y297:Y302)</f>
        <v>10.3</v>
      </c>
      <c r="Z296" s="542">
        <f t="shared" si="57"/>
        <v>-2.5</v>
      </c>
      <c r="AA296" s="542">
        <f t="shared" si="47"/>
        <v>80.5</v>
      </c>
      <c r="AB296" s="921"/>
      <c r="AC296" s="534" t="s">
        <v>1665</v>
      </c>
      <c r="AF296" s="466"/>
      <c r="AG296" s="466"/>
      <c r="AH296" s="466"/>
    </row>
    <row r="297" spans="1:34" s="498" customFormat="1" hidden="1" x14ac:dyDescent="0.25">
      <c r="A297" s="962"/>
      <c r="B297" s="502" t="s">
        <v>1519</v>
      </c>
      <c r="C297" s="503"/>
      <c r="D297" s="903"/>
      <c r="E297" s="1031" t="s">
        <v>318</v>
      </c>
      <c r="F297" s="557">
        <v>1</v>
      </c>
      <c r="G297" s="558">
        <v>3.45</v>
      </c>
      <c r="H297" s="559">
        <f>F297*G297</f>
        <v>3.5</v>
      </c>
      <c r="I297" s="857">
        <v>1</v>
      </c>
      <c r="J297" s="857">
        <v>3.5</v>
      </c>
      <c r="K297" s="857">
        <f>I297*J297</f>
        <v>3.5</v>
      </c>
      <c r="L297" s="857">
        <v>1</v>
      </c>
      <c r="M297" s="857">
        <v>3.5</v>
      </c>
      <c r="N297" s="857">
        <f>L297*M297</f>
        <v>3.5</v>
      </c>
      <c r="O297" s="857">
        <v>1</v>
      </c>
      <c r="P297" s="857">
        <v>3.5</v>
      </c>
      <c r="Q297" s="857">
        <f>O297*P297</f>
        <v>3.5</v>
      </c>
      <c r="R297" s="857">
        <f t="shared" si="56"/>
        <v>3.5</v>
      </c>
      <c r="S297" s="857"/>
      <c r="T297" s="857">
        <v>1</v>
      </c>
      <c r="U297" s="857">
        <v>3.5</v>
      </c>
      <c r="V297" s="857">
        <f>T297*U297</f>
        <v>3.5</v>
      </c>
      <c r="W297" s="857">
        <v>1</v>
      </c>
      <c r="X297" s="857">
        <v>3.5</v>
      </c>
      <c r="Y297" s="857">
        <f>W297*X297</f>
        <v>3.5</v>
      </c>
      <c r="Z297" s="559">
        <f t="shared" si="57"/>
        <v>0</v>
      </c>
      <c r="AA297" s="559">
        <f t="shared" si="47"/>
        <v>100</v>
      </c>
      <c r="AB297" s="893"/>
      <c r="AC297" s="534" t="s">
        <v>1665</v>
      </c>
      <c r="AF297" s="466"/>
      <c r="AG297" s="465"/>
      <c r="AH297" s="465"/>
    </row>
    <row r="298" spans="1:34" s="498" customFormat="1" hidden="1" x14ac:dyDescent="0.25">
      <c r="A298" s="962"/>
      <c r="B298" s="502" t="s">
        <v>1686</v>
      </c>
      <c r="C298" s="503"/>
      <c r="D298" s="903"/>
      <c r="E298" s="1031" t="s">
        <v>318</v>
      </c>
      <c r="F298" s="557">
        <v>1</v>
      </c>
      <c r="G298" s="558">
        <v>2.2999999999999998</v>
      </c>
      <c r="H298" s="559">
        <f>F298*G298</f>
        <v>2.2999999999999998</v>
      </c>
      <c r="I298" s="857">
        <v>1</v>
      </c>
      <c r="J298" s="857">
        <v>2.2999999999999998</v>
      </c>
      <c r="K298" s="857">
        <f>I298*J298</f>
        <v>2.2999999999999998</v>
      </c>
      <c r="L298" s="857">
        <v>1</v>
      </c>
      <c r="M298" s="857">
        <v>2.2999999999999998</v>
      </c>
      <c r="N298" s="857">
        <f>L298*M298</f>
        <v>2.2999999999999998</v>
      </c>
      <c r="O298" s="857">
        <v>1</v>
      </c>
      <c r="P298" s="857">
        <v>2.2999999999999998</v>
      </c>
      <c r="Q298" s="857">
        <f>O298*P298</f>
        <v>2.2999999999999998</v>
      </c>
      <c r="R298" s="857">
        <f t="shared" si="56"/>
        <v>2.2999999999999998</v>
      </c>
      <c r="S298" s="857"/>
      <c r="T298" s="857">
        <v>1</v>
      </c>
      <c r="U298" s="857">
        <v>2.2999999999999998</v>
      </c>
      <c r="V298" s="857">
        <f>T298*U298</f>
        <v>2.2999999999999998</v>
      </c>
      <c r="W298" s="857">
        <v>1</v>
      </c>
      <c r="X298" s="857">
        <v>2.2999999999999998</v>
      </c>
      <c r="Y298" s="857">
        <f>W298*X298</f>
        <v>2.2999999999999998</v>
      </c>
      <c r="Z298" s="559">
        <f t="shared" si="57"/>
        <v>0</v>
      </c>
      <c r="AA298" s="559">
        <f t="shared" si="47"/>
        <v>100</v>
      </c>
      <c r="AB298" s="893"/>
      <c r="AC298" s="534" t="s">
        <v>1665</v>
      </c>
      <c r="AF298" s="466"/>
      <c r="AG298" s="465"/>
      <c r="AH298" s="465"/>
    </row>
    <row r="299" spans="1:34" s="498" customFormat="1" hidden="1" x14ac:dyDescent="0.25">
      <c r="A299" s="962"/>
      <c r="B299" s="502" t="s">
        <v>1930</v>
      </c>
      <c r="C299" s="503"/>
      <c r="D299" s="903"/>
      <c r="E299" s="1031" t="s">
        <v>318</v>
      </c>
      <c r="F299" s="557">
        <v>1</v>
      </c>
      <c r="G299" s="558">
        <v>3.15</v>
      </c>
      <c r="H299" s="559">
        <f>F299*G299</f>
        <v>3.2</v>
      </c>
      <c r="I299" s="857">
        <v>1</v>
      </c>
      <c r="J299" s="857">
        <v>2.5</v>
      </c>
      <c r="K299" s="857">
        <f>I299*J299</f>
        <v>2.5</v>
      </c>
      <c r="L299" s="857">
        <v>1</v>
      </c>
      <c r="M299" s="857">
        <v>2.5</v>
      </c>
      <c r="N299" s="857">
        <f>L299*M299</f>
        <v>2.5</v>
      </c>
      <c r="O299" s="857"/>
      <c r="P299" s="857"/>
      <c r="Q299" s="857"/>
      <c r="R299" s="857">
        <f t="shared" si="56"/>
        <v>0</v>
      </c>
      <c r="S299" s="857"/>
      <c r="T299" s="857"/>
      <c r="U299" s="857"/>
      <c r="V299" s="857"/>
      <c r="W299" s="857"/>
      <c r="X299" s="857"/>
      <c r="Y299" s="857"/>
      <c r="Z299" s="559">
        <f t="shared" si="57"/>
        <v>-2.5</v>
      </c>
      <c r="AA299" s="559">
        <f t="shared" si="47"/>
        <v>0</v>
      </c>
      <c r="AB299" s="893"/>
      <c r="AC299" s="534" t="s">
        <v>1665</v>
      </c>
      <c r="AF299" s="466"/>
      <c r="AG299" s="465"/>
      <c r="AH299" s="465"/>
    </row>
    <row r="300" spans="1:34" s="498" customFormat="1" hidden="1" x14ac:dyDescent="0.25">
      <c r="A300" s="962"/>
      <c r="B300" s="502" t="s">
        <v>1879</v>
      </c>
      <c r="C300" s="503"/>
      <c r="D300" s="903"/>
      <c r="E300" s="1031" t="s">
        <v>318</v>
      </c>
      <c r="F300" s="557">
        <v>1</v>
      </c>
      <c r="G300" s="558">
        <v>1.8</v>
      </c>
      <c r="H300" s="559">
        <f>F300*G300</f>
        <v>1.8</v>
      </c>
      <c r="I300" s="857">
        <v>1</v>
      </c>
      <c r="J300" s="857">
        <v>1.8</v>
      </c>
      <c r="K300" s="857">
        <f>I300*J300</f>
        <v>1.8</v>
      </c>
      <c r="L300" s="857">
        <v>1</v>
      </c>
      <c r="M300" s="857">
        <v>1.8</v>
      </c>
      <c r="N300" s="857">
        <f>L300*M300</f>
        <v>1.8</v>
      </c>
      <c r="O300" s="857"/>
      <c r="P300" s="857"/>
      <c r="Q300" s="857"/>
      <c r="R300" s="857">
        <f t="shared" si="56"/>
        <v>0</v>
      </c>
      <c r="S300" s="857"/>
      <c r="T300" s="857"/>
      <c r="U300" s="857"/>
      <c r="V300" s="857"/>
      <c r="W300" s="857"/>
      <c r="X300" s="857"/>
      <c r="Y300" s="857"/>
      <c r="Z300" s="559">
        <f t="shared" si="57"/>
        <v>-1.8</v>
      </c>
      <c r="AA300" s="559">
        <f t="shared" si="47"/>
        <v>0</v>
      </c>
      <c r="AB300" s="893"/>
      <c r="AC300" s="534" t="s">
        <v>1665</v>
      </c>
      <c r="AF300" s="466"/>
      <c r="AG300" s="465"/>
      <c r="AH300" s="465"/>
    </row>
    <row r="301" spans="1:34" s="498" customFormat="1" ht="25.5" hidden="1" x14ac:dyDescent="0.25">
      <c r="A301" s="962"/>
      <c r="B301" s="502" t="s">
        <v>1931</v>
      </c>
      <c r="C301" s="503"/>
      <c r="D301" s="903"/>
      <c r="E301" s="1031"/>
      <c r="F301" s="557"/>
      <c r="G301" s="558"/>
      <c r="H301" s="559"/>
      <c r="I301" s="857"/>
      <c r="J301" s="857"/>
      <c r="K301" s="857"/>
      <c r="L301" s="857"/>
      <c r="M301" s="857"/>
      <c r="N301" s="857"/>
      <c r="O301" s="857">
        <v>1</v>
      </c>
      <c r="P301" s="857">
        <v>2.2999999999999998</v>
      </c>
      <c r="Q301" s="857">
        <f>O301*P301</f>
        <v>2.2999999999999998</v>
      </c>
      <c r="R301" s="857">
        <f t="shared" si="56"/>
        <v>2.2999999999999998</v>
      </c>
      <c r="S301" s="857"/>
      <c r="T301" s="857">
        <v>1</v>
      </c>
      <c r="U301" s="857">
        <v>2.2999999999999998</v>
      </c>
      <c r="V301" s="857">
        <f>T301*U301</f>
        <v>2.2999999999999998</v>
      </c>
      <c r="W301" s="857">
        <v>1</v>
      </c>
      <c r="X301" s="857">
        <v>2.2999999999999998</v>
      </c>
      <c r="Y301" s="857">
        <f>W301*X301</f>
        <v>2.2999999999999998</v>
      </c>
      <c r="Z301" s="559">
        <f t="shared" si="57"/>
        <v>2.2999999999999998</v>
      </c>
      <c r="AA301" s="559" t="str">
        <f t="shared" si="47"/>
        <v>-</v>
      </c>
      <c r="AB301" s="1838" t="s">
        <v>1932</v>
      </c>
      <c r="AC301" s="534" t="s">
        <v>1665</v>
      </c>
      <c r="AF301" s="466"/>
      <c r="AG301" s="465"/>
      <c r="AH301" s="465"/>
    </row>
    <row r="302" spans="1:34" s="498" customFormat="1" hidden="1" x14ac:dyDescent="0.25">
      <c r="A302" s="962"/>
      <c r="B302" s="502" t="s">
        <v>1729</v>
      </c>
      <c r="C302" s="503"/>
      <c r="D302" s="903"/>
      <c r="E302" s="1031"/>
      <c r="F302" s="557"/>
      <c r="G302" s="558"/>
      <c r="H302" s="559">
        <f>SUM(H297:H301)*0.271</f>
        <v>2.9</v>
      </c>
      <c r="I302" s="857"/>
      <c r="J302" s="857"/>
      <c r="K302" s="857">
        <f>SUM(K297:K300)*0.271</f>
        <v>2.7</v>
      </c>
      <c r="L302" s="857"/>
      <c r="M302" s="857"/>
      <c r="N302" s="857">
        <f>SUM(N297:N300)*0.271</f>
        <v>2.7</v>
      </c>
      <c r="O302" s="857"/>
      <c r="P302" s="857"/>
      <c r="Q302" s="857">
        <f>SUM(Q297:Q301)*0.271</f>
        <v>2.2000000000000002</v>
      </c>
      <c r="R302" s="857">
        <f t="shared" si="56"/>
        <v>2.2000000000000002</v>
      </c>
      <c r="S302" s="857"/>
      <c r="T302" s="857"/>
      <c r="U302" s="857"/>
      <c r="V302" s="857">
        <f>SUM(V297:V301)*0.271</f>
        <v>2.2000000000000002</v>
      </c>
      <c r="W302" s="857"/>
      <c r="X302" s="857"/>
      <c r="Y302" s="857">
        <f>SUM(Y297:Y301)*0.271</f>
        <v>2.2000000000000002</v>
      </c>
      <c r="Z302" s="559">
        <f t="shared" si="57"/>
        <v>-0.5</v>
      </c>
      <c r="AA302" s="559">
        <f t="shared" si="47"/>
        <v>81.5</v>
      </c>
      <c r="AB302" s="921"/>
      <c r="AC302" s="534" t="s">
        <v>1665</v>
      </c>
      <c r="AF302" s="466"/>
      <c r="AG302" s="465"/>
      <c r="AH302" s="465"/>
    </row>
    <row r="303" spans="1:34" s="517" customFormat="1" ht="21.75" hidden="1" customHeight="1" x14ac:dyDescent="0.2">
      <c r="A303" s="487"/>
      <c r="B303" s="543" t="s">
        <v>1248</v>
      </c>
      <c r="C303" s="511"/>
      <c r="D303" s="487"/>
      <c r="E303" s="487"/>
      <c r="F303" s="821"/>
      <c r="G303" s="822"/>
      <c r="H303" s="823" t="e">
        <f>#REF!+H304+#REF!</f>
        <v>#REF!</v>
      </c>
      <c r="I303" s="915"/>
      <c r="J303" s="915"/>
      <c r="K303" s="823">
        <f>K304</f>
        <v>16.600000000000001</v>
      </c>
      <c r="L303" s="915"/>
      <c r="M303" s="915"/>
      <c r="N303" s="823">
        <f>N304</f>
        <v>16.600000000000001</v>
      </c>
      <c r="O303" s="915"/>
      <c r="P303" s="915"/>
      <c r="Q303" s="823">
        <f>Q304</f>
        <v>32.799999999999997</v>
      </c>
      <c r="R303" s="823">
        <f t="shared" si="56"/>
        <v>32.799999999999997</v>
      </c>
      <c r="S303" s="823"/>
      <c r="T303" s="915"/>
      <c r="U303" s="915"/>
      <c r="V303" s="823">
        <f>V304</f>
        <v>32.799999999999997</v>
      </c>
      <c r="W303" s="823"/>
      <c r="X303" s="823"/>
      <c r="Y303" s="823">
        <f>Y304</f>
        <v>32.799999999999997</v>
      </c>
      <c r="Z303" s="823">
        <f t="shared" si="57"/>
        <v>16.2</v>
      </c>
      <c r="AA303" s="823">
        <f t="shared" si="47"/>
        <v>197.6</v>
      </c>
      <c r="AB303" s="555"/>
      <c r="AC303" s="515"/>
      <c r="AF303" s="519"/>
      <c r="AG303" s="519"/>
      <c r="AH303" s="519"/>
    </row>
    <row r="304" spans="1:34" s="527" customFormat="1" ht="38.25" hidden="1" x14ac:dyDescent="0.2">
      <c r="A304" s="522"/>
      <c r="B304" s="916" t="s">
        <v>1664</v>
      </c>
      <c r="C304" s="521"/>
      <c r="D304" s="522" t="s">
        <v>1444</v>
      </c>
      <c r="E304" s="525"/>
      <c r="F304" s="547"/>
      <c r="G304" s="548"/>
      <c r="H304" s="1935">
        <f>H305+H310+H313+H316</f>
        <v>19.899999999999999</v>
      </c>
      <c r="I304" s="525"/>
      <c r="J304" s="525"/>
      <c r="K304" s="525">
        <f>K305+K310+K313+K316</f>
        <v>16.600000000000001</v>
      </c>
      <c r="L304" s="525"/>
      <c r="M304" s="525"/>
      <c r="N304" s="525">
        <f>N305+N310+N313+N316</f>
        <v>16.600000000000001</v>
      </c>
      <c r="O304" s="525"/>
      <c r="P304" s="525"/>
      <c r="Q304" s="525">
        <f>Q305+Q310+Q313+Q316</f>
        <v>32.799999999999997</v>
      </c>
      <c r="R304" s="525">
        <f t="shared" si="56"/>
        <v>32.799999999999997</v>
      </c>
      <c r="S304" s="525"/>
      <c r="T304" s="525"/>
      <c r="U304" s="525"/>
      <c r="V304" s="525">
        <f>V305+V310+V313+V316</f>
        <v>32.799999999999997</v>
      </c>
      <c r="W304" s="1935"/>
      <c r="X304" s="1935"/>
      <c r="Y304" s="525">
        <f>Y305+Y310+Y313+Y316</f>
        <v>32.799999999999997</v>
      </c>
      <c r="Z304" s="1935">
        <f t="shared" si="57"/>
        <v>16.2</v>
      </c>
      <c r="AA304" s="1935">
        <f t="shared" si="47"/>
        <v>197.6</v>
      </c>
      <c r="AB304" s="1936" t="s">
        <v>1920</v>
      </c>
      <c r="AC304" s="549" t="s">
        <v>1665</v>
      </c>
      <c r="AF304" s="528"/>
      <c r="AG304" s="528"/>
      <c r="AH304" s="528"/>
    </row>
    <row r="305" spans="1:34" s="492" customFormat="1" ht="14.25" hidden="1" x14ac:dyDescent="0.2">
      <c r="A305" s="1240"/>
      <c r="B305" s="500" t="s">
        <v>1233</v>
      </c>
      <c r="C305" s="501" t="s">
        <v>1230</v>
      </c>
      <c r="D305" s="1240"/>
      <c r="E305" s="854"/>
      <c r="F305" s="854"/>
      <c r="G305" s="854"/>
      <c r="H305" s="1831">
        <f>SUM(H308:H309)</f>
        <v>0</v>
      </c>
      <c r="I305" s="1831"/>
      <c r="J305" s="1831"/>
      <c r="K305" s="1831">
        <f>SUM(K308:K309)</f>
        <v>0</v>
      </c>
      <c r="L305" s="1831"/>
      <c r="M305" s="1831"/>
      <c r="N305" s="1831">
        <f>SUM(N308:N309)</f>
        <v>0</v>
      </c>
      <c r="O305" s="1831"/>
      <c r="P305" s="1831"/>
      <c r="Q305" s="1831">
        <f>SUM(Q306:Q309)</f>
        <v>13.2</v>
      </c>
      <c r="R305" s="1831">
        <f t="shared" si="56"/>
        <v>13.2</v>
      </c>
      <c r="S305" s="1831"/>
      <c r="T305" s="1831"/>
      <c r="U305" s="1831"/>
      <c r="V305" s="1831">
        <f>SUM(V306:V309)</f>
        <v>13.2</v>
      </c>
      <c r="W305" s="1831"/>
      <c r="X305" s="1831"/>
      <c r="Y305" s="1831">
        <f>SUM(Y306:Y309)</f>
        <v>13.2</v>
      </c>
      <c r="Z305" s="854">
        <f t="shared" si="57"/>
        <v>13.2</v>
      </c>
      <c r="AA305" s="854" t="str">
        <f t="shared" si="47"/>
        <v>-</v>
      </c>
      <c r="AB305" s="3517" t="s">
        <v>1916</v>
      </c>
      <c r="AC305" s="491" t="s">
        <v>1665</v>
      </c>
      <c r="AF305" s="466"/>
      <c r="AG305" s="466"/>
      <c r="AH305" s="466"/>
    </row>
    <row r="306" spans="1:34" s="492" customFormat="1" ht="14.25" hidden="1" x14ac:dyDescent="0.2">
      <c r="A306" s="1240"/>
      <c r="B306" s="1885" t="s">
        <v>1933</v>
      </c>
      <c r="C306" s="501"/>
      <c r="D306" s="1240"/>
      <c r="E306" s="535" t="s">
        <v>1837</v>
      </c>
      <c r="F306" s="854"/>
      <c r="G306" s="854"/>
      <c r="H306" s="1831"/>
      <c r="I306" s="1831"/>
      <c r="J306" s="1831"/>
      <c r="K306" s="1831"/>
      <c r="L306" s="1831"/>
      <c r="M306" s="1831"/>
      <c r="N306" s="1831"/>
      <c r="O306" s="1905">
        <v>1</v>
      </c>
      <c r="P306" s="1905">
        <v>3.5</v>
      </c>
      <c r="Q306" s="1905">
        <f>O306*P306</f>
        <v>3.5</v>
      </c>
      <c r="R306" s="1905">
        <f t="shared" si="56"/>
        <v>3.5</v>
      </c>
      <c r="S306" s="1905"/>
      <c r="T306" s="1905">
        <v>1</v>
      </c>
      <c r="U306" s="1905">
        <v>3.5</v>
      </c>
      <c r="V306" s="1905">
        <f>T306*U306</f>
        <v>3.5</v>
      </c>
      <c r="W306" s="1905">
        <v>1</v>
      </c>
      <c r="X306" s="1905">
        <v>3.5</v>
      </c>
      <c r="Y306" s="1905">
        <f>W306*X306</f>
        <v>3.5</v>
      </c>
      <c r="Z306" s="854">
        <f t="shared" si="57"/>
        <v>3.5</v>
      </c>
      <c r="AA306" s="854" t="str">
        <f t="shared" si="47"/>
        <v>-</v>
      </c>
      <c r="AB306" s="3518"/>
      <c r="AC306" s="491" t="s">
        <v>1665</v>
      </c>
      <c r="AF306" s="466"/>
      <c r="AG306" s="466"/>
      <c r="AH306" s="466"/>
    </row>
    <row r="307" spans="1:34" s="492" customFormat="1" ht="14.25" hidden="1" x14ac:dyDescent="0.2">
      <c r="A307" s="1240"/>
      <c r="B307" s="1885" t="s">
        <v>1404</v>
      </c>
      <c r="C307" s="501"/>
      <c r="D307" s="1240"/>
      <c r="E307" s="535" t="s">
        <v>318</v>
      </c>
      <c r="F307" s="854"/>
      <c r="G307" s="854"/>
      <c r="H307" s="1831"/>
      <c r="I307" s="1831"/>
      <c r="J307" s="1831"/>
      <c r="K307" s="1831"/>
      <c r="L307" s="1831"/>
      <c r="M307" s="1831"/>
      <c r="N307" s="1831"/>
      <c r="O307" s="1905">
        <v>1</v>
      </c>
      <c r="P307" s="1905">
        <v>2.2999999999999998</v>
      </c>
      <c r="Q307" s="1905">
        <f t="shared" ref="Q307:Q308" si="58">O307*P307</f>
        <v>2.2999999999999998</v>
      </c>
      <c r="R307" s="1905">
        <f t="shared" si="56"/>
        <v>2.2999999999999998</v>
      </c>
      <c r="S307" s="1905"/>
      <c r="T307" s="1905">
        <v>1</v>
      </c>
      <c r="U307" s="1905">
        <v>2.2999999999999998</v>
      </c>
      <c r="V307" s="1905">
        <f t="shared" ref="V307:V308" si="59">T307*U307</f>
        <v>2.2999999999999998</v>
      </c>
      <c r="W307" s="1905">
        <v>1</v>
      </c>
      <c r="X307" s="1905">
        <v>2.2999999999999998</v>
      </c>
      <c r="Y307" s="1905">
        <f t="shared" ref="Y307:Y308" si="60">W307*X307</f>
        <v>2.2999999999999998</v>
      </c>
      <c r="Z307" s="854">
        <f t="shared" si="57"/>
        <v>2.2999999999999998</v>
      </c>
      <c r="AA307" s="854" t="str">
        <f t="shared" ref="AA307:AA370" si="61">IFERROR(Q307/K307*100,"-")</f>
        <v>-</v>
      </c>
      <c r="AB307" s="3518"/>
      <c r="AC307" s="491" t="s">
        <v>1665</v>
      </c>
      <c r="AF307" s="466"/>
      <c r="AG307" s="466"/>
      <c r="AH307" s="466"/>
    </row>
    <row r="308" spans="1:34" s="492" customFormat="1" ht="14.25" hidden="1" x14ac:dyDescent="0.2">
      <c r="A308" s="1240"/>
      <c r="B308" s="1885" t="s">
        <v>1934</v>
      </c>
      <c r="C308" s="501"/>
      <c r="D308" s="1240"/>
      <c r="E308" s="535" t="s">
        <v>318</v>
      </c>
      <c r="F308" s="854"/>
      <c r="G308" s="854"/>
      <c r="H308" s="854"/>
      <c r="I308" s="854"/>
      <c r="J308" s="854"/>
      <c r="K308" s="854"/>
      <c r="L308" s="854"/>
      <c r="M308" s="854"/>
      <c r="N308" s="854"/>
      <c r="O308" s="1905">
        <v>2</v>
      </c>
      <c r="P308" s="1905">
        <v>2.2999999999999998</v>
      </c>
      <c r="Q308" s="1905">
        <f t="shared" si="58"/>
        <v>4.5999999999999996</v>
      </c>
      <c r="R308" s="1905">
        <f t="shared" si="56"/>
        <v>4.5999999999999996</v>
      </c>
      <c r="S308" s="1905"/>
      <c r="T308" s="1905">
        <v>2</v>
      </c>
      <c r="U308" s="1905">
        <v>2.2999999999999998</v>
      </c>
      <c r="V308" s="1905">
        <f t="shared" si="59"/>
        <v>4.5999999999999996</v>
      </c>
      <c r="W308" s="1905">
        <v>2</v>
      </c>
      <c r="X308" s="1905">
        <v>2.2999999999999998</v>
      </c>
      <c r="Y308" s="1905">
        <f t="shared" si="60"/>
        <v>4.5999999999999996</v>
      </c>
      <c r="Z308" s="854">
        <f t="shared" si="57"/>
        <v>4.5999999999999996</v>
      </c>
      <c r="AA308" s="854" t="str">
        <f t="shared" si="61"/>
        <v>-</v>
      </c>
      <c r="AB308" s="3518"/>
      <c r="AC308" s="491" t="s">
        <v>1665</v>
      </c>
      <c r="AF308" s="466"/>
      <c r="AG308" s="466"/>
      <c r="AH308" s="466"/>
    </row>
    <row r="309" spans="1:34" s="492" customFormat="1" ht="14.25" hidden="1" x14ac:dyDescent="0.2">
      <c r="A309" s="1240"/>
      <c r="B309" s="502" t="s">
        <v>1729</v>
      </c>
      <c r="C309" s="501"/>
      <c r="D309" s="1240"/>
      <c r="E309" s="854"/>
      <c r="F309" s="854"/>
      <c r="G309" s="854"/>
      <c r="H309" s="854"/>
      <c r="I309" s="854"/>
      <c r="J309" s="854"/>
      <c r="K309" s="854"/>
      <c r="L309" s="854"/>
      <c r="M309" s="854"/>
      <c r="N309" s="854"/>
      <c r="O309" s="854"/>
      <c r="P309" s="854"/>
      <c r="Q309" s="1905">
        <f>SUM(Q306:Q308)*0.271</f>
        <v>2.8</v>
      </c>
      <c r="R309" s="1905">
        <f t="shared" si="56"/>
        <v>2.8</v>
      </c>
      <c r="S309" s="1905"/>
      <c r="T309" s="854"/>
      <c r="U309" s="854"/>
      <c r="V309" s="1905">
        <f>SUM(V306:V308)*0.271</f>
        <v>2.8</v>
      </c>
      <c r="W309" s="854"/>
      <c r="X309" s="854"/>
      <c r="Y309" s="1905">
        <f>SUM(Y306:Y308)*0.271</f>
        <v>2.8</v>
      </c>
      <c r="Z309" s="854">
        <f t="shared" si="57"/>
        <v>2.8</v>
      </c>
      <c r="AA309" s="854" t="str">
        <f t="shared" si="61"/>
        <v>-</v>
      </c>
      <c r="AB309" s="3519"/>
      <c r="AC309" s="491" t="s">
        <v>1665</v>
      </c>
      <c r="AF309" s="466"/>
      <c r="AG309" s="466"/>
      <c r="AH309" s="466"/>
    </row>
    <row r="310" spans="1:34" s="492" customFormat="1" ht="25.5" x14ac:dyDescent="0.2">
      <c r="A310" s="1240"/>
      <c r="B310" s="500" t="s">
        <v>1239</v>
      </c>
      <c r="C310" s="501" t="s">
        <v>797</v>
      </c>
      <c r="D310" s="932"/>
      <c r="E310" s="842"/>
      <c r="F310" s="828"/>
      <c r="G310" s="829"/>
      <c r="H310" s="542">
        <f>SUM(H311:H312)</f>
        <v>4</v>
      </c>
      <c r="I310" s="533"/>
      <c r="J310" s="533"/>
      <c r="K310" s="533">
        <f>SUM(K311:K312)</f>
        <v>0.8</v>
      </c>
      <c r="L310" s="533"/>
      <c r="M310" s="533"/>
      <c r="N310" s="533">
        <f>SUM(N311:N312)</f>
        <v>0.8</v>
      </c>
      <c r="O310" s="533"/>
      <c r="P310" s="533"/>
      <c r="Q310" s="533">
        <f>SUM(Q311:Q312)</f>
        <v>1.6</v>
      </c>
      <c r="R310" s="533">
        <f t="shared" si="56"/>
        <v>1.6</v>
      </c>
      <c r="S310" s="533"/>
      <c r="T310" s="533"/>
      <c r="U310" s="533"/>
      <c r="V310" s="533">
        <f>SUM(V311:V312)</f>
        <v>1.6</v>
      </c>
      <c r="W310" s="533"/>
      <c r="X310" s="533"/>
      <c r="Y310" s="533">
        <f>SUM(Y311:Y312)</f>
        <v>1.6</v>
      </c>
      <c r="Z310" s="542">
        <f t="shared" si="57"/>
        <v>0.8</v>
      </c>
      <c r="AA310" s="542">
        <f t="shared" si="61"/>
        <v>200</v>
      </c>
      <c r="AB310" s="910"/>
      <c r="AC310" s="491" t="s">
        <v>1665</v>
      </c>
      <c r="AF310" s="466"/>
      <c r="AG310" s="466"/>
      <c r="AH310" s="466"/>
    </row>
    <row r="311" spans="1:34" s="492" customFormat="1" ht="25.5" hidden="1" x14ac:dyDescent="0.2">
      <c r="A311" s="1240"/>
      <c r="B311" s="502" t="s">
        <v>1935</v>
      </c>
      <c r="C311" s="499"/>
      <c r="D311" s="903"/>
      <c r="E311" s="1031" t="s">
        <v>227</v>
      </c>
      <c r="F311" s="557">
        <v>19</v>
      </c>
      <c r="G311" s="558">
        <v>0.1</v>
      </c>
      <c r="H311" s="559">
        <f>F311*G311</f>
        <v>1.9</v>
      </c>
      <c r="I311" s="857">
        <v>8</v>
      </c>
      <c r="J311" s="862">
        <v>0.1</v>
      </c>
      <c r="K311" s="857">
        <f>I311*J311</f>
        <v>0.8</v>
      </c>
      <c r="L311" s="857">
        <v>8</v>
      </c>
      <c r="M311" s="862">
        <v>0.1</v>
      </c>
      <c r="N311" s="857">
        <f>L311*M311</f>
        <v>0.8</v>
      </c>
      <c r="O311" s="857">
        <v>16</v>
      </c>
      <c r="P311" s="857">
        <v>0.1</v>
      </c>
      <c r="Q311" s="857">
        <f>O311*P311</f>
        <v>1.6</v>
      </c>
      <c r="R311" s="857">
        <f t="shared" si="56"/>
        <v>1.6</v>
      </c>
      <c r="S311" s="857"/>
      <c r="T311" s="857">
        <v>16</v>
      </c>
      <c r="U311" s="857">
        <v>0.1</v>
      </c>
      <c r="V311" s="857">
        <f>T311*U311</f>
        <v>1.6</v>
      </c>
      <c r="W311" s="857">
        <v>16</v>
      </c>
      <c r="X311" s="857">
        <v>0.1</v>
      </c>
      <c r="Y311" s="857">
        <f>W311*X311</f>
        <v>1.6</v>
      </c>
      <c r="Z311" s="559">
        <f t="shared" si="57"/>
        <v>0.8</v>
      </c>
      <c r="AA311" s="559">
        <f t="shared" si="61"/>
        <v>200</v>
      </c>
      <c r="AB311" s="827" t="s">
        <v>1936</v>
      </c>
      <c r="AC311" s="491" t="s">
        <v>1665</v>
      </c>
      <c r="AF311" s="466"/>
      <c r="AG311" s="466"/>
      <c r="AH311" s="466"/>
    </row>
    <row r="312" spans="1:34" s="492" customFormat="1" ht="14.25" hidden="1" x14ac:dyDescent="0.2">
      <c r="A312" s="1240"/>
      <c r="B312" s="856" t="s">
        <v>1692</v>
      </c>
      <c r="C312" s="499"/>
      <c r="D312" s="903"/>
      <c r="E312" s="1031" t="s">
        <v>227</v>
      </c>
      <c r="F312" s="557">
        <v>6</v>
      </c>
      <c r="G312" s="558">
        <v>0.35</v>
      </c>
      <c r="H312" s="559">
        <f>F312*G312</f>
        <v>2.1</v>
      </c>
      <c r="I312" s="857"/>
      <c r="J312" s="857"/>
      <c r="K312" s="857"/>
      <c r="L312" s="857"/>
      <c r="M312" s="857"/>
      <c r="N312" s="857"/>
      <c r="O312" s="857"/>
      <c r="P312" s="857"/>
      <c r="Q312" s="857"/>
      <c r="R312" s="857">
        <f t="shared" si="56"/>
        <v>0</v>
      </c>
      <c r="S312" s="857"/>
      <c r="T312" s="857"/>
      <c r="U312" s="857"/>
      <c r="V312" s="857"/>
      <c r="W312" s="857"/>
      <c r="X312" s="857"/>
      <c r="Y312" s="857"/>
      <c r="Z312" s="559">
        <f t="shared" si="57"/>
        <v>0</v>
      </c>
      <c r="AA312" s="559" t="str">
        <f t="shared" si="61"/>
        <v>-</v>
      </c>
      <c r="AB312" s="827"/>
      <c r="AC312" s="491" t="s">
        <v>1665</v>
      </c>
      <c r="AF312" s="466"/>
      <c r="AG312" s="466"/>
      <c r="AH312" s="466"/>
    </row>
    <row r="313" spans="1:34" s="498" customFormat="1" x14ac:dyDescent="0.25">
      <c r="A313" s="962"/>
      <c r="B313" s="500" t="s">
        <v>1937</v>
      </c>
      <c r="C313" s="501" t="s">
        <v>797</v>
      </c>
      <c r="D313" s="932"/>
      <c r="E313" s="842" t="s">
        <v>1240</v>
      </c>
      <c r="F313" s="828"/>
      <c r="G313" s="829"/>
      <c r="H313" s="542">
        <f>SUM(H314:H315)</f>
        <v>5.8</v>
      </c>
      <c r="I313" s="533"/>
      <c r="J313" s="533"/>
      <c r="K313" s="542">
        <f>SUM(K314:K315)</f>
        <v>5.8</v>
      </c>
      <c r="L313" s="533"/>
      <c r="M313" s="533"/>
      <c r="N313" s="542">
        <f>SUM(N314:N315)</f>
        <v>5.8</v>
      </c>
      <c r="O313" s="533"/>
      <c r="P313" s="533"/>
      <c r="Q313" s="533">
        <f>SUM(Q314:Q315)</f>
        <v>2</v>
      </c>
      <c r="R313" s="533">
        <f t="shared" si="56"/>
        <v>2</v>
      </c>
      <c r="S313" s="533"/>
      <c r="T313" s="533"/>
      <c r="U313" s="533"/>
      <c r="V313" s="533">
        <f>SUM(V314:V315)</f>
        <v>2</v>
      </c>
      <c r="W313" s="533"/>
      <c r="X313" s="533"/>
      <c r="Y313" s="533">
        <f>SUM(Y314:Y315)</f>
        <v>2</v>
      </c>
      <c r="Z313" s="542">
        <f t="shared" si="57"/>
        <v>-3.8</v>
      </c>
      <c r="AA313" s="542">
        <f t="shared" si="61"/>
        <v>34.5</v>
      </c>
      <c r="AB313" s="827"/>
      <c r="AC313" s="491" t="s">
        <v>1665</v>
      </c>
      <c r="AF313" s="466"/>
      <c r="AG313" s="465"/>
      <c r="AH313" s="465"/>
    </row>
    <row r="314" spans="1:34" s="498" customFormat="1" hidden="1" x14ac:dyDescent="0.25">
      <c r="A314" s="962"/>
      <c r="B314" s="502" t="s">
        <v>1909</v>
      </c>
      <c r="C314" s="497"/>
      <c r="F314" s="857">
        <v>29</v>
      </c>
      <c r="G314" s="857">
        <v>0.2</v>
      </c>
      <c r="H314" s="857">
        <f>F314*G314</f>
        <v>5.8</v>
      </c>
      <c r="I314" s="857">
        <v>29</v>
      </c>
      <c r="J314" s="857">
        <v>0.2</v>
      </c>
      <c r="K314" s="857">
        <f>I314*J314</f>
        <v>5.8</v>
      </c>
      <c r="L314" s="857">
        <v>29</v>
      </c>
      <c r="M314" s="857">
        <v>0.2</v>
      </c>
      <c r="N314" s="857">
        <f>L314*M314</f>
        <v>5.8</v>
      </c>
      <c r="O314" s="857"/>
      <c r="P314" s="857"/>
      <c r="Q314" s="857"/>
      <c r="R314" s="857">
        <f t="shared" si="56"/>
        <v>0</v>
      </c>
      <c r="S314" s="857"/>
      <c r="T314" s="857"/>
      <c r="U314" s="857"/>
      <c r="V314" s="857"/>
      <c r="W314" s="857"/>
      <c r="X314" s="857"/>
      <c r="Y314" s="857"/>
      <c r="Z314" s="542">
        <f t="shared" si="57"/>
        <v>-5.8</v>
      </c>
      <c r="AA314" s="542">
        <f t="shared" si="61"/>
        <v>0</v>
      </c>
      <c r="AB314" s="827"/>
      <c r="AC314" s="491" t="s">
        <v>1665</v>
      </c>
      <c r="AF314" s="466"/>
      <c r="AG314" s="465"/>
      <c r="AH314" s="465"/>
    </row>
    <row r="315" spans="1:34" s="498" customFormat="1" ht="25.5" hidden="1" x14ac:dyDescent="0.25">
      <c r="A315" s="962"/>
      <c r="B315" s="502" t="s">
        <v>1938</v>
      </c>
      <c r="C315" s="499"/>
      <c r="D315" s="903"/>
      <c r="E315" s="1031"/>
      <c r="F315" s="857"/>
      <c r="G315" s="857"/>
      <c r="H315" s="857"/>
      <c r="I315" s="857"/>
      <c r="J315" s="857"/>
      <c r="K315" s="857"/>
      <c r="L315" s="857"/>
      <c r="M315" s="857"/>
      <c r="N315" s="857"/>
      <c r="O315" s="857">
        <v>1</v>
      </c>
      <c r="P315" s="857">
        <v>2</v>
      </c>
      <c r="Q315" s="857">
        <f>O315*P315</f>
        <v>2</v>
      </c>
      <c r="R315" s="857">
        <f t="shared" si="56"/>
        <v>2</v>
      </c>
      <c r="S315" s="857"/>
      <c r="T315" s="857">
        <v>1</v>
      </c>
      <c r="U315" s="857">
        <v>2</v>
      </c>
      <c r="V315" s="857">
        <f>T315*U315</f>
        <v>2</v>
      </c>
      <c r="W315" s="857">
        <v>1</v>
      </c>
      <c r="X315" s="857">
        <v>2</v>
      </c>
      <c r="Y315" s="857">
        <f>W315*X315</f>
        <v>2</v>
      </c>
      <c r="Z315" s="542">
        <f t="shared" si="57"/>
        <v>2</v>
      </c>
      <c r="AA315" s="542" t="str">
        <f t="shared" si="61"/>
        <v>-</v>
      </c>
      <c r="AB315" s="827" t="s">
        <v>1939</v>
      </c>
      <c r="AC315" s="491" t="s">
        <v>1665</v>
      </c>
      <c r="AF315" s="466"/>
      <c r="AG315" s="465"/>
      <c r="AH315" s="465"/>
    </row>
    <row r="316" spans="1:34" s="492" customFormat="1" ht="25.5" hidden="1" x14ac:dyDescent="0.2">
      <c r="A316" s="1240"/>
      <c r="B316" s="500" t="s">
        <v>1940</v>
      </c>
      <c r="C316" s="501" t="s">
        <v>796</v>
      </c>
      <c r="D316" s="932"/>
      <c r="E316" s="842"/>
      <c r="F316" s="828">
        <v>53</v>
      </c>
      <c r="G316" s="829">
        <v>0.19</v>
      </c>
      <c r="H316" s="542">
        <f>F316*G316</f>
        <v>10.1</v>
      </c>
      <c r="I316" s="533">
        <v>100</v>
      </c>
      <c r="J316" s="533">
        <v>0.1</v>
      </c>
      <c r="K316" s="533">
        <f>I316*J316</f>
        <v>10</v>
      </c>
      <c r="L316" s="533">
        <v>100</v>
      </c>
      <c r="M316" s="533">
        <v>0.1</v>
      </c>
      <c r="N316" s="533">
        <f>L316*M316</f>
        <v>10</v>
      </c>
      <c r="O316" s="533">
        <v>40</v>
      </c>
      <c r="P316" s="533">
        <v>0.4</v>
      </c>
      <c r="Q316" s="533">
        <f>O316*P316</f>
        <v>16</v>
      </c>
      <c r="R316" s="533">
        <f t="shared" si="56"/>
        <v>16</v>
      </c>
      <c r="S316" s="533"/>
      <c r="T316" s="533">
        <v>40</v>
      </c>
      <c r="U316" s="533">
        <v>0.4</v>
      </c>
      <c r="V316" s="533">
        <f>T316*U316</f>
        <v>16</v>
      </c>
      <c r="W316" s="533">
        <v>40</v>
      </c>
      <c r="X316" s="533">
        <v>0.4</v>
      </c>
      <c r="Y316" s="533">
        <f>W316*X316</f>
        <v>16</v>
      </c>
      <c r="Z316" s="542">
        <f t="shared" si="57"/>
        <v>6</v>
      </c>
      <c r="AA316" s="542">
        <f t="shared" si="61"/>
        <v>160</v>
      </c>
      <c r="AB316" s="843" t="s">
        <v>1941</v>
      </c>
      <c r="AC316" s="491" t="s">
        <v>1665</v>
      </c>
      <c r="AF316" s="466"/>
      <c r="AG316" s="466"/>
      <c r="AH316" s="466"/>
    </row>
    <row r="317" spans="1:34" s="517" customFormat="1" ht="14.25" hidden="1" x14ac:dyDescent="0.2">
      <c r="A317" s="487"/>
      <c r="B317" s="510" t="s">
        <v>1249</v>
      </c>
      <c r="C317" s="511"/>
      <c r="D317" s="487"/>
      <c r="E317" s="487"/>
      <c r="F317" s="488"/>
      <c r="G317" s="489"/>
      <c r="H317" s="490" t="e">
        <f>#REF!+H318+#REF!</f>
        <v>#REF!</v>
      </c>
      <c r="I317" s="847"/>
      <c r="J317" s="847"/>
      <c r="K317" s="490">
        <f>K318</f>
        <v>28.6</v>
      </c>
      <c r="L317" s="847"/>
      <c r="M317" s="847"/>
      <c r="N317" s="490">
        <f>N318</f>
        <v>28.6</v>
      </c>
      <c r="O317" s="847"/>
      <c r="P317" s="847"/>
      <c r="Q317" s="490">
        <f>Q318</f>
        <v>34.5</v>
      </c>
      <c r="R317" s="490">
        <f t="shared" si="56"/>
        <v>34.5</v>
      </c>
      <c r="S317" s="490"/>
      <c r="T317" s="847"/>
      <c r="U317" s="847"/>
      <c r="V317" s="490">
        <f>V318</f>
        <v>29.5</v>
      </c>
      <c r="W317" s="490"/>
      <c r="X317" s="490"/>
      <c r="Y317" s="490">
        <f>Y318</f>
        <v>29.5</v>
      </c>
      <c r="Z317" s="490">
        <f t="shared" si="57"/>
        <v>5.9</v>
      </c>
      <c r="AA317" s="490">
        <f t="shared" si="61"/>
        <v>120.6</v>
      </c>
      <c r="AB317" s="555"/>
      <c r="AC317" s="515"/>
      <c r="AF317" s="519"/>
      <c r="AG317" s="519"/>
      <c r="AH317" s="519"/>
    </row>
    <row r="318" spans="1:34" s="527" customFormat="1" ht="38.25" hidden="1" x14ac:dyDescent="0.2">
      <c r="A318" s="522"/>
      <c r="B318" s="858" t="s">
        <v>1700</v>
      </c>
      <c r="C318" s="859"/>
      <c r="D318" s="522" t="s">
        <v>1444</v>
      </c>
      <c r="E318" s="860"/>
      <c r="F318" s="523"/>
      <c r="G318" s="524"/>
      <c r="H318" s="526">
        <f>H319+H325+H330+H334</f>
        <v>48.4</v>
      </c>
      <c r="I318" s="526"/>
      <c r="J318" s="526"/>
      <c r="K318" s="526">
        <f>K319+K325+K330+K334</f>
        <v>28.6</v>
      </c>
      <c r="L318" s="526"/>
      <c r="M318" s="526"/>
      <c r="N318" s="526">
        <f>N319+N325+N330+N334</f>
        <v>28.6</v>
      </c>
      <c r="O318" s="526"/>
      <c r="P318" s="526"/>
      <c r="Q318" s="526">
        <f>Q319+Q325+Q330+Q334</f>
        <v>34.5</v>
      </c>
      <c r="R318" s="526">
        <f t="shared" si="56"/>
        <v>34.5</v>
      </c>
      <c r="S318" s="526"/>
      <c r="T318" s="526"/>
      <c r="U318" s="526"/>
      <c r="V318" s="526">
        <f>V319+V325+V330+V334</f>
        <v>29.5</v>
      </c>
      <c r="W318" s="526"/>
      <c r="X318" s="526"/>
      <c r="Y318" s="526">
        <f>Y319+Y325+Y330+Y334</f>
        <v>29.5</v>
      </c>
      <c r="Z318" s="526">
        <f t="shared" si="57"/>
        <v>5.9</v>
      </c>
      <c r="AA318" s="526">
        <f t="shared" si="61"/>
        <v>120.6</v>
      </c>
      <c r="AB318" s="849"/>
      <c r="AC318" s="549" t="s">
        <v>1665</v>
      </c>
      <c r="AF318" s="528"/>
      <c r="AG318" s="528"/>
      <c r="AH318" s="528"/>
    </row>
    <row r="319" spans="1:34" s="492" customFormat="1" ht="14.25" hidden="1" x14ac:dyDescent="0.2">
      <c r="A319" s="1240"/>
      <c r="B319" s="507" t="s">
        <v>1242</v>
      </c>
      <c r="C319" s="508" t="s">
        <v>1230</v>
      </c>
      <c r="D319" s="932"/>
      <c r="E319" s="493"/>
      <c r="F319" s="828"/>
      <c r="G319" s="829"/>
      <c r="H319" s="542">
        <f>SUM(H320:H324)</f>
        <v>13.2</v>
      </c>
      <c r="I319" s="533"/>
      <c r="J319" s="533"/>
      <c r="K319" s="533">
        <f>SUM(K320:K324)</f>
        <v>12.2</v>
      </c>
      <c r="L319" s="533"/>
      <c r="M319" s="533"/>
      <c r="N319" s="533">
        <f>SUM(N320:N324)</f>
        <v>12.2</v>
      </c>
      <c r="O319" s="533"/>
      <c r="P319" s="533"/>
      <c r="Q319" s="533">
        <f>SUM(Q320:Q324)</f>
        <v>13.5</v>
      </c>
      <c r="R319" s="533">
        <f t="shared" si="56"/>
        <v>13.5</v>
      </c>
      <c r="S319" s="533"/>
      <c r="T319" s="533"/>
      <c r="U319" s="533"/>
      <c r="V319" s="533">
        <f>SUM(V320:V324)</f>
        <v>13.5</v>
      </c>
      <c r="W319" s="533"/>
      <c r="X319" s="533"/>
      <c r="Y319" s="533">
        <f>SUM(Y320:Y324)</f>
        <v>13.5</v>
      </c>
      <c r="Z319" s="542">
        <f t="shared" si="57"/>
        <v>1.3</v>
      </c>
      <c r="AA319" s="542">
        <f t="shared" si="61"/>
        <v>110.7</v>
      </c>
      <c r="AB319" s="1030"/>
      <c r="AC319" s="491" t="s">
        <v>1665</v>
      </c>
      <c r="AF319" s="466"/>
      <c r="AG319" s="466"/>
      <c r="AH319" s="466"/>
    </row>
    <row r="320" spans="1:34" s="498" customFormat="1" hidden="1" x14ac:dyDescent="0.25">
      <c r="A320" s="962"/>
      <c r="B320" s="856" t="s">
        <v>1942</v>
      </c>
      <c r="C320" s="499"/>
      <c r="D320" s="903"/>
      <c r="E320" s="855" t="s">
        <v>318</v>
      </c>
      <c r="F320" s="557">
        <v>1</v>
      </c>
      <c r="G320" s="558">
        <v>3.45</v>
      </c>
      <c r="H320" s="559">
        <f>F320*G320</f>
        <v>3.5</v>
      </c>
      <c r="I320" s="857">
        <v>1</v>
      </c>
      <c r="J320" s="857">
        <v>3.5</v>
      </c>
      <c r="K320" s="857">
        <f>I320*J320</f>
        <v>3.5</v>
      </c>
      <c r="L320" s="857">
        <v>1</v>
      </c>
      <c r="M320" s="857">
        <v>3.5</v>
      </c>
      <c r="N320" s="857">
        <f>L320*M320</f>
        <v>3.5</v>
      </c>
      <c r="O320" s="857">
        <v>1</v>
      </c>
      <c r="P320" s="857">
        <v>3.5</v>
      </c>
      <c r="Q320" s="857">
        <f>O320*P320</f>
        <v>3.5</v>
      </c>
      <c r="R320" s="857">
        <f t="shared" si="56"/>
        <v>3.5</v>
      </c>
      <c r="S320" s="857"/>
      <c r="T320" s="857">
        <v>1</v>
      </c>
      <c r="U320" s="857">
        <v>3.5</v>
      </c>
      <c r="V320" s="857">
        <f>T320*U320</f>
        <v>3.5</v>
      </c>
      <c r="W320" s="857">
        <v>1</v>
      </c>
      <c r="X320" s="857">
        <v>3.5</v>
      </c>
      <c r="Y320" s="857">
        <f>W320*X320</f>
        <v>3.5</v>
      </c>
      <c r="Z320" s="559">
        <f t="shared" si="57"/>
        <v>0</v>
      </c>
      <c r="AA320" s="559">
        <f t="shared" si="61"/>
        <v>100</v>
      </c>
      <c r="AB320" s="900"/>
      <c r="AC320" s="491" t="s">
        <v>1665</v>
      </c>
      <c r="AF320" s="466"/>
      <c r="AG320" s="465"/>
      <c r="AH320" s="465"/>
    </row>
    <row r="321" spans="1:34" s="498" customFormat="1" hidden="1" x14ac:dyDescent="0.25">
      <c r="A321" s="962"/>
      <c r="B321" s="856" t="s">
        <v>1943</v>
      </c>
      <c r="C321" s="499"/>
      <c r="D321" s="903"/>
      <c r="E321" s="855" t="s">
        <v>318</v>
      </c>
      <c r="F321" s="557">
        <v>1</v>
      </c>
      <c r="G321" s="558">
        <v>2.2999999999999998</v>
      </c>
      <c r="H321" s="559">
        <f>F321*G321</f>
        <v>2.2999999999999998</v>
      </c>
      <c r="I321" s="857">
        <v>1</v>
      </c>
      <c r="J321" s="857">
        <v>1.5</v>
      </c>
      <c r="K321" s="857">
        <f>I321*J321</f>
        <v>1.5</v>
      </c>
      <c r="L321" s="857">
        <v>1</v>
      </c>
      <c r="M321" s="857">
        <v>1.5</v>
      </c>
      <c r="N321" s="857">
        <f>L321*M321</f>
        <v>1.5</v>
      </c>
      <c r="O321" s="857"/>
      <c r="P321" s="857"/>
      <c r="Q321" s="857"/>
      <c r="R321" s="857">
        <f t="shared" si="56"/>
        <v>0</v>
      </c>
      <c r="S321" s="857"/>
      <c r="T321" s="857"/>
      <c r="U321" s="857"/>
      <c r="V321" s="857"/>
      <c r="W321" s="857"/>
      <c r="X321" s="857"/>
      <c r="Y321" s="857"/>
      <c r="Z321" s="559">
        <f t="shared" si="57"/>
        <v>-1.5</v>
      </c>
      <c r="AA321" s="559">
        <f t="shared" si="61"/>
        <v>0</v>
      </c>
      <c r="AB321" s="900"/>
      <c r="AC321" s="491" t="s">
        <v>1665</v>
      </c>
      <c r="AF321" s="466"/>
      <c r="AG321" s="465"/>
      <c r="AH321" s="465"/>
    </row>
    <row r="322" spans="1:34" s="498" customFormat="1" ht="76.5" hidden="1" x14ac:dyDescent="0.25">
      <c r="A322" s="962"/>
      <c r="B322" s="856" t="s">
        <v>1944</v>
      </c>
      <c r="C322" s="499"/>
      <c r="D322" s="903"/>
      <c r="E322" s="855"/>
      <c r="F322" s="557"/>
      <c r="G322" s="558"/>
      <c r="H322" s="559"/>
      <c r="I322" s="857"/>
      <c r="J322" s="857"/>
      <c r="K322" s="857"/>
      <c r="L322" s="857"/>
      <c r="M322" s="857"/>
      <c r="N322" s="857"/>
      <c r="O322" s="857">
        <v>1</v>
      </c>
      <c r="P322" s="857">
        <v>2.5</v>
      </c>
      <c r="Q322" s="857">
        <f>O322*P322</f>
        <v>2.5</v>
      </c>
      <c r="R322" s="857">
        <f t="shared" si="56"/>
        <v>2.5</v>
      </c>
      <c r="S322" s="857"/>
      <c r="T322" s="857">
        <v>1</v>
      </c>
      <c r="U322" s="857">
        <v>2.5</v>
      </c>
      <c r="V322" s="857">
        <f>T322*U322</f>
        <v>2.5</v>
      </c>
      <c r="W322" s="857">
        <v>1</v>
      </c>
      <c r="X322" s="857">
        <v>2.5</v>
      </c>
      <c r="Y322" s="857">
        <f>W322*X322</f>
        <v>2.5</v>
      </c>
      <c r="Z322" s="559">
        <f t="shared" si="57"/>
        <v>2.5</v>
      </c>
      <c r="AA322" s="559" t="str">
        <f t="shared" si="61"/>
        <v>-</v>
      </c>
      <c r="AB322" s="900" t="s">
        <v>1945</v>
      </c>
      <c r="AC322" s="491" t="s">
        <v>1665</v>
      </c>
      <c r="AF322" s="466"/>
      <c r="AG322" s="465"/>
      <c r="AH322" s="465"/>
    </row>
    <row r="323" spans="1:34" s="498" customFormat="1" hidden="1" x14ac:dyDescent="0.25">
      <c r="A323" s="962"/>
      <c r="B323" s="856" t="s">
        <v>1404</v>
      </c>
      <c r="C323" s="499"/>
      <c r="D323" s="903"/>
      <c r="E323" s="855" t="s">
        <v>318</v>
      </c>
      <c r="F323" s="557">
        <v>2</v>
      </c>
      <c r="G323" s="558">
        <v>2.2999999999999998</v>
      </c>
      <c r="H323" s="559">
        <f>F323*G323</f>
        <v>4.5999999999999996</v>
      </c>
      <c r="I323" s="857">
        <v>2</v>
      </c>
      <c r="J323" s="857">
        <v>2.2999999999999998</v>
      </c>
      <c r="K323" s="857">
        <f>I323*J323</f>
        <v>4.5999999999999996</v>
      </c>
      <c r="L323" s="857">
        <v>2</v>
      </c>
      <c r="M323" s="857">
        <v>2.2999999999999998</v>
      </c>
      <c r="N323" s="857">
        <f>L323*M323</f>
        <v>4.5999999999999996</v>
      </c>
      <c r="O323" s="857">
        <v>2</v>
      </c>
      <c r="P323" s="857">
        <v>2.2999999999999998</v>
      </c>
      <c r="Q323" s="857">
        <f>O323*P323</f>
        <v>4.5999999999999996</v>
      </c>
      <c r="R323" s="857">
        <f t="shared" si="56"/>
        <v>4.5999999999999996</v>
      </c>
      <c r="S323" s="857"/>
      <c r="T323" s="857">
        <v>2</v>
      </c>
      <c r="U323" s="857">
        <v>2.2999999999999998</v>
      </c>
      <c r="V323" s="857">
        <f>T323*U323</f>
        <v>4.5999999999999996</v>
      </c>
      <c r="W323" s="857">
        <v>2</v>
      </c>
      <c r="X323" s="857">
        <v>2.2999999999999998</v>
      </c>
      <c r="Y323" s="857">
        <f>W323*X323</f>
        <v>4.5999999999999996</v>
      </c>
      <c r="Z323" s="559">
        <f t="shared" si="57"/>
        <v>0</v>
      </c>
      <c r="AA323" s="559">
        <f t="shared" si="61"/>
        <v>100</v>
      </c>
      <c r="AB323" s="900"/>
      <c r="AC323" s="491" t="s">
        <v>1665</v>
      </c>
      <c r="AF323" s="466"/>
      <c r="AG323" s="465"/>
      <c r="AH323" s="465"/>
    </row>
    <row r="324" spans="1:34" s="498" customFormat="1" hidden="1" x14ac:dyDescent="0.25">
      <c r="A324" s="962"/>
      <c r="B324" s="506" t="s">
        <v>842</v>
      </c>
      <c r="C324" s="499"/>
      <c r="D324" s="903"/>
      <c r="E324" s="855"/>
      <c r="F324" s="557"/>
      <c r="G324" s="558"/>
      <c r="H324" s="559">
        <f>(H320+H321+H323)*27.1/100</f>
        <v>2.8</v>
      </c>
      <c r="I324" s="857"/>
      <c r="J324" s="857"/>
      <c r="K324" s="857">
        <f>(K320+K321+K323)*27.1/100</f>
        <v>2.6</v>
      </c>
      <c r="L324" s="857"/>
      <c r="M324" s="857"/>
      <c r="N324" s="857">
        <f>(N320+N321+N323)*27.1/100</f>
        <v>2.6</v>
      </c>
      <c r="O324" s="857"/>
      <c r="P324" s="857"/>
      <c r="Q324" s="857">
        <f>(Q320+Q321+Q323+Q322)*27.1/100</f>
        <v>2.9</v>
      </c>
      <c r="R324" s="857">
        <f t="shared" si="56"/>
        <v>2.9</v>
      </c>
      <c r="S324" s="857"/>
      <c r="T324" s="857"/>
      <c r="U324" s="857"/>
      <c r="V324" s="857">
        <f>(V320+V321+V323+V322)*27.1/100</f>
        <v>2.9</v>
      </c>
      <c r="W324" s="857"/>
      <c r="X324" s="857"/>
      <c r="Y324" s="857">
        <f>(Y320+Y321+Y323+Y322)*27.1/100</f>
        <v>2.9</v>
      </c>
      <c r="Z324" s="559">
        <f t="shared" si="57"/>
        <v>0.3</v>
      </c>
      <c r="AA324" s="559">
        <f t="shared" si="61"/>
        <v>111.5</v>
      </c>
      <c r="AB324" s="900"/>
      <c r="AC324" s="491" t="s">
        <v>1665</v>
      </c>
      <c r="AF324" s="466"/>
      <c r="AG324" s="465"/>
      <c r="AH324" s="465"/>
    </row>
    <row r="325" spans="1:34" s="492" customFormat="1" ht="14.25" x14ac:dyDescent="0.2">
      <c r="A325" s="1240"/>
      <c r="B325" s="507" t="s">
        <v>1707</v>
      </c>
      <c r="C325" s="508" t="s">
        <v>797</v>
      </c>
      <c r="D325" s="932"/>
      <c r="E325" s="493"/>
      <c r="F325" s="828"/>
      <c r="G325" s="829"/>
      <c r="H325" s="542">
        <f>SUM(H326:H329)</f>
        <v>11.2</v>
      </c>
      <c r="I325" s="533"/>
      <c r="J325" s="533"/>
      <c r="K325" s="533">
        <f>SUM(K326:K329)</f>
        <v>1.2</v>
      </c>
      <c r="L325" s="533"/>
      <c r="M325" s="533"/>
      <c r="N325" s="533">
        <f>SUM(N326:N329)</f>
        <v>1.2</v>
      </c>
      <c r="O325" s="533"/>
      <c r="P325" s="533"/>
      <c r="Q325" s="533">
        <f>SUM(Q326:Q329)</f>
        <v>2</v>
      </c>
      <c r="R325" s="533">
        <f t="shared" si="56"/>
        <v>2</v>
      </c>
      <c r="S325" s="533"/>
      <c r="T325" s="533"/>
      <c r="U325" s="533"/>
      <c r="V325" s="533">
        <f>SUM(V326:V329)</f>
        <v>2</v>
      </c>
      <c r="W325" s="533"/>
      <c r="X325" s="533"/>
      <c r="Y325" s="533">
        <f>SUM(Y326:Y329)</f>
        <v>2</v>
      </c>
      <c r="Z325" s="542">
        <f t="shared" si="57"/>
        <v>0.8</v>
      </c>
      <c r="AA325" s="542">
        <f t="shared" si="61"/>
        <v>166.7</v>
      </c>
      <c r="AB325" s="900"/>
      <c r="AC325" s="491" t="s">
        <v>1665</v>
      </c>
      <c r="AF325" s="466"/>
      <c r="AG325" s="466"/>
      <c r="AH325" s="466"/>
    </row>
    <row r="326" spans="1:34" s="498" customFormat="1" hidden="1" x14ac:dyDescent="0.25">
      <c r="A326" s="962"/>
      <c r="B326" s="856" t="s">
        <v>1946</v>
      </c>
      <c r="C326" s="499"/>
      <c r="D326" s="903"/>
      <c r="E326" s="855" t="s">
        <v>227</v>
      </c>
      <c r="F326" s="557">
        <v>6</v>
      </c>
      <c r="G326" s="558">
        <v>0.35</v>
      </c>
      <c r="H326" s="559">
        <f>F326*G326</f>
        <v>2.1</v>
      </c>
      <c r="I326" s="857"/>
      <c r="J326" s="857"/>
      <c r="K326" s="857">
        <f>I326*J326</f>
        <v>0</v>
      </c>
      <c r="L326" s="857"/>
      <c r="M326" s="857"/>
      <c r="N326" s="857">
        <f>L326*M326</f>
        <v>0</v>
      </c>
      <c r="O326" s="857"/>
      <c r="P326" s="857"/>
      <c r="Q326" s="857"/>
      <c r="R326" s="857">
        <f t="shared" si="56"/>
        <v>0</v>
      </c>
      <c r="S326" s="857"/>
      <c r="T326" s="857"/>
      <c r="U326" s="857"/>
      <c r="V326" s="857"/>
      <c r="W326" s="857"/>
      <c r="X326" s="857"/>
      <c r="Y326" s="857"/>
      <c r="Z326" s="559">
        <f t="shared" si="57"/>
        <v>0</v>
      </c>
      <c r="AA326" s="559" t="str">
        <f t="shared" si="61"/>
        <v>-</v>
      </c>
      <c r="AB326" s="900"/>
      <c r="AC326" s="491" t="s">
        <v>1665</v>
      </c>
      <c r="AF326" s="466"/>
      <c r="AG326" s="465"/>
      <c r="AH326" s="465"/>
    </row>
    <row r="327" spans="1:34" s="498" customFormat="1" ht="38.25" hidden="1" x14ac:dyDescent="0.25">
      <c r="A327" s="962"/>
      <c r="B327" s="502" t="s">
        <v>1708</v>
      </c>
      <c r="C327" s="499"/>
      <c r="D327" s="903"/>
      <c r="E327" s="855" t="s">
        <v>227</v>
      </c>
      <c r="F327" s="557">
        <v>26</v>
      </c>
      <c r="G327" s="558">
        <v>0.1</v>
      </c>
      <c r="H327" s="559">
        <f>F327*G327</f>
        <v>2.6</v>
      </c>
      <c r="I327" s="857">
        <v>12</v>
      </c>
      <c r="J327" s="862">
        <v>0.1</v>
      </c>
      <c r="K327" s="857">
        <f>I327*J327</f>
        <v>1.2</v>
      </c>
      <c r="L327" s="857">
        <v>12</v>
      </c>
      <c r="M327" s="862">
        <v>0.1</v>
      </c>
      <c r="N327" s="857">
        <f>L327*M327</f>
        <v>1.2</v>
      </c>
      <c r="O327" s="857">
        <v>20</v>
      </c>
      <c r="P327" s="857">
        <v>0.1</v>
      </c>
      <c r="Q327" s="857">
        <f>O327*P327</f>
        <v>2</v>
      </c>
      <c r="R327" s="857">
        <f t="shared" si="56"/>
        <v>2</v>
      </c>
      <c r="S327" s="857"/>
      <c r="T327" s="857">
        <v>20</v>
      </c>
      <c r="U327" s="857">
        <v>0.1</v>
      </c>
      <c r="V327" s="857">
        <f>T327*U327</f>
        <v>2</v>
      </c>
      <c r="W327" s="857">
        <v>20</v>
      </c>
      <c r="X327" s="857">
        <v>0.1</v>
      </c>
      <c r="Y327" s="857">
        <f>W327*X327</f>
        <v>2</v>
      </c>
      <c r="Z327" s="559">
        <f t="shared" si="57"/>
        <v>0.8</v>
      </c>
      <c r="AA327" s="559">
        <f t="shared" si="61"/>
        <v>166.7</v>
      </c>
      <c r="AB327" s="827" t="s">
        <v>1947</v>
      </c>
      <c r="AC327" s="491" t="s">
        <v>1665</v>
      </c>
      <c r="AF327" s="466"/>
      <c r="AG327" s="465"/>
      <c r="AH327" s="465"/>
    </row>
    <row r="328" spans="1:34" s="498" customFormat="1" hidden="1" x14ac:dyDescent="0.25">
      <c r="A328" s="962"/>
      <c r="B328" s="856" t="s">
        <v>1369</v>
      </c>
      <c r="C328" s="499"/>
      <c r="D328" s="903"/>
      <c r="E328" s="855" t="s">
        <v>227</v>
      </c>
      <c r="F328" s="557">
        <v>6</v>
      </c>
      <c r="G328" s="558">
        <v>0.75</v>
      </c>
      <c r="H328" s="559">
        <f>F328*G328</f>
        <v>4.5</v>
      </c>
      <c r="I328" s="857"/>
      <c r="J328" s="857"/>
      <c r="K328" s="857">
        <f>I328*J328</f>
        <v>0</v>
      </c>
      <c r="L328" s="857"/>
      <c r="M328" s="857"/>
      <c r="N328" s="857">
        <f>L328*M328</f>
        <v>0</v>
      </c>
      <c r="O328" s="857"/>
      <c r="P328" s="857"/>
      <c r="Q328" s="857"/>
      <c r="R328" s="857">
        <f t="shared" si="56"/>
        <v>0</v>
      </c>
      <c r="S328" s="857"/>
      <c r="T328" s="857"/>
      <c r="U328" s="857"/>
      <c r="V328" s="857"/>
      <c r="W328" s="857"/>
      <c r="X328" s="857"/>
      <c r="Y328" s="857"/>
      <c r="Z328" s="559">
        <f t="shared" si="57"/>
        <v>0</v>
      </c>
      <c r="AA328" s="559" t="str">
        <f t="shared" si="61"/>
        <v>-</v>
      </c>
      <c r="AB328" s="1029"/>
      <c r="AC328" s="491" t="s">
        <v>1665</v>
      </c>
      <c r="AF328" s="466"/>
      <c r="AG328" s="465"/>
      <c r="AH328" s="465"/>
    </row>
    <row r="329" spans="1:34" s="498" customFormat="1" hidden="1" x14ac:dyDescent="0.25">
      <c r="A329" s="962"/>
      <c r="B329" s="856" t="s">
        <v>1948</v>
      </c>
      <c r="C329" s="499"/>
      <c r="D329" s="903"/>
      <c r="E329" s="855" t="s">
        <v>227</v>
      </c>
      <c r="F329" s="557">
        <v>1</v>
      </c>
      <c r="G329" s="558">
        <v>2</v>
      </c>
      <c r="H329" s="559">
        <f>F329*G329</f>
        <v>2</v>
      </c>
      <c r="I329" s="857"/>
      <c r="J329" s="857"/>
      <c r="K329" s="857">
        <f>I329*J329</f>
        <v>0</v>
      </c>
      <c r="L329" s="857"/>
      <c r="M329" s="857"/>
      <c r="N329" s="857">
        <f>L329*M329</f>
        <v>0</v>
      </c>
      <c r="O329" s="857"/>
      <c r="P329" s="857"/>
      <c r="Q329" s="857"/>
      <c r="R329" s="857">
        <f t="shared" si="56"/>
        <v>0</v>
      </c>
      <c r="S329" s="857"/>
      <c r="T329" s="857"/>
      <c r="U329" s="857"/>
      <c r="V329" s="857"/>
      <c r="W329" s="857"/>
      <c r="X329" s="857"/>
      <c r="Y329" s="857"/>
      <c r="Z329" s="559">
        <f t="shared" si="57"/>
        <v>0</v>
      </c>
      <c r="AA329" s="559" t="str">
        <f t="shared" si="61"/>
        <v>-</v>
      </c>
      <c r="AB329" s="1029"/>
      <c r="AC329" s="491" t="s">
        <v>1665</v>
      </c>
      <c r="AF329" s="466"/>
      <c r="AG329" s="465"/>
      <c r="AH329" s="465"/>
    </row>
    <row r="330" spans="1:34" s="492" customFormat="1" ht="14.25" x14ac:dyDescent="0.2">
      <c r="A330" s="1240"/>
      <c r="B330" s="507" t="s">
        <v>1226</v>
      </c>
      <c r="C330" s="508" t="s">
        <v>797</v>
      </c>
      <c r="D330" s="932"/>
      <c r="E330" s="493"/>
      <c r="F330" s="828"/>
      <c r="G330" s="829"/>
      <c r="H330" s="542">
        <f>SUM(H331:H333)</f>
        <v>17.2</v>
      </c>
      <c r="I330" s="533"/>
      <c r="J330" s="533"/>
      <c r="K330" s="533">
        <f>SUM(K331:K333)</f>
        <v>11.2</v>
      </c>
      <c r="L330" s="533"/>
      <c r="M330" s="533"/>
      <c r="N330" s="533">
        <f>SUM(N331:N333)</f>
        <v>11.2</v>
      </c>
      <c r="O330" s="533"/>
      <c r="P330" s="533"/>
      <c r="Q330" s="533">
        <f>SUM(Q331:Q333)</f>
        <v>15</v>
      </c>
      <c r="R330" s="2683">
        <f>Q330-5</f>
        <v>10</v>
      </c>
      <c r="S330" s="533"/>
      <c r="T330" s="533"/>
      <c r="U330" s="533"/>
      <c r="V330" s="533">
        <f>SUM(V331:V333)-5</f>
        <v>10</v>
      </c>
      <c r="W330" s="533"/>
      <c r="X330" s="533"/>
      <c r="Y330" s="533">
        <f>SUM(Y331:Y333)-5</f>
        <v>10</v>
      </c>
      <c r="Z330" s="542">
        <f t="shared" si="57"/>
        <v>3.8</v>
      </c>
      <c r="AA330" s="542">
        <f t="shared" si="61"/>
        <v>133.9</v>
      </c>
      <c r="AB330" s="900"/>
      <c r="AC330" s="491" t="s">
        <v>1665</v>
      </c>
      <c r="AF330" s="466"/>
      <c r="AG330" s="466"/>
      <c r="AH330" s="466"/>
    </row>
    <row r="331" spans="1:34" s="498" customFormat="1" hidden="1" x14ac:dyDescent="0.25">
      <c r="A331" s="962"/>
      <c r="B331" s="856" t="s">
        <v>1669</v>
      </c>
      <c r="C331" s="499"/>
      <c r="D331" s="903"/>
      <c r="E331" s="855" t="s">
        <v>227</v>
      </c>
      <c r="F331" s="557">
        <v>100</v>
      </c>
      <c r="G331" s="558">
        <v>0.12</v>
      </c>
      <c r="H331" s="559">
        <f>F331*G331</f>
        <v>12</v>
      </c>
      <c r="I331" s="857">
        <v>120</v>
      </c>
      <c r="J331" s="862">
        <v>0.05</v>
      </c>
      <c r="K331" s="857">
        <f>I331*J331</f>
        <v>6</v>
      </c>
      <c r="L331" s="857">
        <v>120</v>
      </c>
      <c r="M331" s="862">
        <v>0.05</v>
      </c>
      <c r="N331" s="857">
        <f>L331*M331</f>
        <v>6</v>
      </c>
      <c r="O331" s="857"/>
      <c r="P331" s="857"/>
      <c r="Q331" s="857"/>
      <c r="R331" s="857">
        <f t="shared" si="56"/>
        <v>0</v>
      </c>
      <c r="S331" s="857"/>
      <c r="T331" s="857"/>
      <c r="U331" s="857"/>
      <c r="V331" s="857"/>
      <c r="W331" s="857"/>
      <c r="X331" s="857"/>
      <c r="Y331" s="857"/>
      <c r="Z331" s="559">
        <f t="shared" si="57"/>
        <v>-6</v>
      </c>
      <c r="AA331" s="559">
        <f t="shared" si="61"/>
        <v>0</v>
      </c>
      <c r="AB331" s="1029"/>
      <c r="AC331" s="491" t="s">
        <v>1665</v>
      </c>
      <c r="AF331" s="466"/>
      <c r="AG331" s="465"/>
      <c r="AH331" s="465"/>
    </row>
    <row r="332" spans="1:34" s="498" customFormat="1" ht="63.75" hidden="1" x14ac:dyDescent="0.25">
      <c r="A332" s="962"/>
      <c r="B332" s="1824" t="s">
        <v>1949</v>
      </c>
      <c r="C332" s="499"/>
      <c r="D332" s="903"/>
      <c r="E332" s="855" t="s">
        <v>227</v>
      </c>
      <c r="F332" s="557"/>
      <c r="G332" s="558"/>
      <c r="H332" s="559"/>
      <c r="I332" s="857"/>
      <c r="J332" s="857"/>
      <c r="K332" s="857">
        <f>I332*J332</f>
        <v>0</v>
      </c>
      <c r="L332" s="857"/>
      <c r="M332" s="857"/>
      <c r="N332" s="857">
        <f>L332*M332</f>
        <v>0</v>
      </c>
      <c r="O332" s="857">
        <v>2</v>
      </c>
      <c r="P332" s="857">
        <v>7.5</v>
      </c>
      <c r="Q332" s="857">
        <f>P332*O332</f>
        <v>15</v>
      </c>
      <c r="R332" s="857">
        <f t="shared" si="56"/>
        <v>15</v>
      </c>
      <c r="S332" s="857"/>
      <c r="T332" s="857">
        <v>2</v>
      </c>
      <c r="U332" s="857">
        <v>7.5</v>
      </c>
      <c r="V332" s="857">
        <f>U332*T332</f>
        <v>15</v>
      </c>
      <c r="W332" s="857">
        <v>2</v>
      </c>
      <c r="X332" s="857">
        <v>7.5</v>
      </c>
      <c r="Y332" s="857">
        <f>X332*W332</f>
        <v>15</v>
      </c>
      <c r="Z332" s="559">
        <f t="shared" si="57"/>
        <v>15</v>
      </c>
      <c r="AA332" s="559" t="str">
        <f t="shared" si="61"/>
        <v>-</v>
      </c>
      <c r="AB332" s="1029" t="s">
        <v>1950</v>
      </c>
      <c r="AC332" s="491" t="s">
        <v>1665</v>
      </c>
      <c r="AF332" s="466"/>
      <c r="AG332" s="465"/>
      <c r="AH332" s="465"/>
    </row>
    <row r="333" spans="1:34" s="498" customFormat="1" hidden="1" x14ac:dyDescent="0.25">
      <c r="A333" s="962"/>
      <c r="B333" s="506" t="s">
        <v>1951</v>
      </c>
      <c r="C333" s="508"/>
      <c r="D333" s="903"/>
      <c r="E333" s="493" t="s">
        <v>227</v>
      </c>
      <c r="F333" s="557">
        <v>13</v>
      </c>
      <c r="G333" s="558">
        <v>0.4</v>
      </c>
      <c r="H333" s="559">
        <f>F333*G333</f>
        <v>5.2</v>
      </c>
      <c r="I333" s="857">
        <v>13</v>
      </c>
      <c r="J333" s="857">
        <v>0.4</v>
      </c>
      <c r="K333" s="857">
        <f>I333*J333</f>
        <v>5.2</v>
      </c>
      <c r="L333" s="857">
        <v>13</v>
      </c>
      <c r="M333" s="857">
        <v>0.4</v>
      </c>
      <c r="N333" s="857">
        <f>L333*M333</f>
        <v>5.2</v>
      </c>
      <c r="O333" s="857"/>
      <c r="P333" s="857"/>
      <c r="Q333" s="857"/>
      <c r="R333" s="857">
        <f t="shared" si="56"/>
        <v>0</v>
      </c>
      <c r="S333" s="857"/>
      <c r="T333" s="857"/>
      <c r="U333" s="857"/>
      <c r="V333" s="857"/>
      <c r="W333" s="857"/>
      <c r="X333" s="857"/>
      <c r="Y333" s="857"/>
      <c r="Z333" s="559">
        <f t="shared" si="57"/>
        <v>-5.2</v>
      </c>
      <c r="AA333" s="559">
        <f t="shared" si="61"/>
        <v>0</v>
      </c>
      <c r="AB333" s="1029"/>
      <c r="AC333" s="491" t="s">
        <v>1665</v>
      </c>
      <c r="AF333" s="466"/>
      <c r="AG333" s="465"/>
      <c r="AH333" s="465"/>
    </row>
    <row r="334" spans="1:34" s="492" customFormat="1" ht="14.25" hidden="1" x14ac:dyDescent="0.2">
      <c r="A334" s="1240"/>
      <c r="B334" s="865" t="s">
        <v>1952</v>
      </c>
      <c r="C334" s="508"/>
      <c r="D334" s="1240"/>
      <c r="E334" s="861"/>
      <c r="F334" s="828"/>
      <c r="G334" s="829"/>
      <c r="H334" s="542">
        <f>SUM(H335:H336)</f>
        <v>6.8</v>
      </c>
      <c r="I334" s="533"/>
      <c r="J334" s="533"/>
      <c r="K334" s="533">
        <f>SUM(K335:K336)</f>
        <v>4</v>
      </c>
      <c r="L334" s="533"/>
      <c r="M334" s="533"/>
      <c r="N334" s="533">
        <f>SUM(N335:N336)</f>
        <v>4</v>
      </c>
      <c r="O334" s="533"/>
      <c r="P334" s="533"/>
      <c r="Q334" s="533">
        <f>SUM(Q335:Q336)</f>
        <v>4</v>
      </c>
      <c r="R334" s="533">
        <f t="shared" si="56"/>
        <v>4</v>
      </c>
      <c r="S334" s="533"/>
      <c r="T334" s="533"/>
      <c r="U334" s="533"/>
      <c r="V334" s="533">
        <f>SUM(V335:V336)</f>
        <v>4</v>
      </c>
      <c r="W334" s="533"/>
      <c r="X334" s="533"/>
      <c r="Y334" s="533">
        <f>SUM(Y335:Y336)</f>
        <v>4</v>
      </c>
      <c r="Z334" s="542">
        <f t="shared" si="57"/>
        <v>0</v>
      </c>
      <c r="AA334" s="542">
        <f t="shared" si="61"/>
        <v>100</v>
      </c>
      <c r="AB334" s="900"/>
      <c r="AC334" s="491" t="s">
        <v>1665</v>
      </c>
      <c r="AF334" s="466"/>
      <c r="AG334" s="466"/>
      <c r="AH334" s="466"/>
    </row>
    <row r="335" spans="1:34" s="498" customFormat="1" x14ac:dyDescent="0.25">
      <c r="A335" s="962"/>
      <c r="B335" s="856" t="s">
        <v>1953</v>
      </c>
      <c r="C335" s="508" t="s">
        <v>797</v>
      </c>
      <c r="D335" s="903"/>
      <c r="E335" s="855" t="s">
        <v>227</v>
      </c>
      <c r="F335" s="557">
        <v>35</v>
      </c>
      <c r="G335" s="558">
        <v>0.1</v>
      </c>
      <c r="H335" s="559">
        <f>F335*G335</f>
        <v>3.5</v>
      </c>
      <c r="I335" s="857">
        <v>40</v>
      </c>
      <c r="J335" s="857">
        <v>0.1</v>
      </c>
      <c r="K335" s="857">
        <f>I335*J335</f>
        <v>4</v>
      </c>
      <c r="L335" s="857">
        <v>40</v>
      </c>
      <c r="M335" s="857">
        <v>0.1</v>
      </c>
      <c r="N335" s="857">
        <f>L335*M335</f>
        <v>4</v>
      </c>
      <c r="O335" s="857">
        <v>40</v>
      </c>
      <c r="P335" s="857">
        <v>0.1</v>
      </c>
      <c r="Q335" s="857">
        <f>P335*O335</f>
        <v>4</v>
      </c>
      <c r="R335" s="857">
        <f t="shared" si="56"/>
        <v>4</v>
      </c>
      <c r="S335" s="857"/>
      <c r="T335" s="857">
        <v>40</v>
      </c>
      <c r="U335" s="857">
        <v>0.1</v>
      </c>
      <c r="V335" s="857">
        <f>U335*T335</f>
        <v>4</v>
      </c>
      <c r="W335" s="857">
        <v>40</v>
      </c>
      <c r="X335" s="857">
        <v>0.1</v>
      </c>
      <c r="Y335" s="857">
        <f>X335*W335</f>
        <v>4</v>
      </c>
      <c r="Z335" s="559">
        <f t="shared" si="57"/>
        <v>0</v>
      </c>
      <c r="AA335" s="559">
        <f t="shared" si="61"/>
        <v>100</v>
      </c>
      <c r="AB335" s="900"/>
      <c r="AC335" s="491" t="s">
        <v>1665</v>
      </c>
      <c r="AF335" s="466"/>
      <c r="AG335" s="465"/>
      <c r="AH335" s="465"/>
    </row>
    <row r="336" spans="1:34" s="498" customFormat="1" ht="38.25" hidden="1" x14ac:dyDescent="0.25">
      <c r="A336" s="962"/>
      <c r="B336" s="856" t="s">
        <v>1954</v>
      </c>
      <c r="C336" s="508" t="s">
        <v>796</v>
      </c>
      <c r="D336" s="903"/>
      <c r="E336" s="855" t="s">
        <v>227</v>
      </c>
      <c r="F336" s="557">
        <v>330</v>
      </c>
      <c r="G336" s="558">
        <v>0.01</v>
      </c>
      <c r="H336" s="559">
        <f>F336*G336</f>
        <v>3.3</v>
      </c>
      <c r="I336" s="857">
        <v>330</v>
      </c>
      <c r="J336" s="857">
        <v>0</v>
      </c>
      <c r="K336" s="857">
        <f>I336*J336</f>
        <v>0</v>
      </c>
      <c r="L336" s="857">
        <v>330</v>
      </c>
      <c r="M336" s="857">
        <v>0</v>
      </c>
      <c r="N336" s="857">
        <f>L336*M336</f>
        <v>0</v>
      </c>
      <c r="O336" s="857">
        <v>150</v>
      </c>
      <c r="P336" s="857">
        <v>0</v>
      </c>
      <c r="Q336" s="857">
        <f>P336*O336</f>
        <v>0</v>
      </c>
      <c r="R336" s="857">
        <f t="shared" si="56"/>
        <v>0</v>
      </c>
      <c r="S336" s="857"/>
      <c r="T336" s="857">
        <v>150</v>
      </c>
      <c r="U336" s="857">
        <v>0</v>
      </c>
      <c r="V336" s="857">
        <f>U336*T336</f>
        <v>0</v>
      </c>
      <c r="W336" s="857">
        <v>150</v>
      </c>
      <c r="X336" s="857">
        <v>0</v>
      </c>
      <c r="Y336" s="857">
        <f>X336*W336</f>
        <v>0</v>
      </c>
      <c r="Z336" s="559">
        <f t="shared" si="57"/>
        <v>0</v>
      </c>
      <c r="AA336" s="559" t="str">
        <f t="shared" si="61"/>
        <v>-</v>
      </c>
      <c r="AB336" s="1937" t="s">
        <v>1955</v>
      </c>
      <c r="AC336" s="491" t="s">
        <v>1665</v>
      </c>
      <c r="AF336" s="466"/>
      <c r="AG336" s="465"/>
      <c r="AH336" s="465"/>
    </row>
    <row r="337" spans="1:34" s="517" customFormat="1" ht="25.5" hidden="1" x14ac:dyDescent="0.2">
      <c r="A337" s="487"/>
      <c r="B337" s="543" t="s">
        <v>1250</v>
      </c>
      <c r="C337" s="511"/>
      <c r="D337" s="487"/>
      <c r="E337" s="487"/>
      <c r="F337" s="821"/>
      <c r="G337" s="822"/>
      <c r="H337" s="823" t="e">
        <f>#REF!+H338+#REF!</f>
        <v>#REF!</v>
      </c>
      <c r="I337" s="915"/>
      <c r="J337" s="915"/>
      <c r="K337" s="823">
        <f>K338</f>
        <v>19.8</v>
      </c>
      <c r="L337" s="915"/>
      <c r="M337" s="915"/>
      <c r="N337" s="823">
        <f>N338</f>
        <v>19.8</v>
      </c>
      <c r="O337" s="915"/>
      <c r="P337" s="915"/>
      <c r="Q337" s="823">
        <f>Q338</f>
        <v>21.9</v>
      </c>
      <c r="R337" s="823">
        <f t="shared" si="56"/>
        <v>21.9</v>
      </c>
      <c r="S337" s="823"/>
      <c r="T337" s="915"/>
      <c r="U337" s="915"/>
      <c r="V337" s="823">
        <f>V338</f>
        <v>21.9</v>
      </c>
      <c r="W337" s="823"/>
      <c r="X337" s="823"/>
      <c r="Y337" s="823">
        <f>Y338</f>
        <v>21.9</v>
      </c>
      <c r="Z337" s="823">
        <f t="shared" si="57"/>
        <v>2.1</v>
      </c>
      <c r="AA337" s="823">
        <f t="shared" si="61"/>
        <v>110.6</v>
      </c>
      <c r="AB337" s="555"/>
      <c r="AC337" s="515"/>
      <c r="AF337" s="519"/>
      <c r="AG337" s="519"/>
      <c r="AH337" s="519"/>
    </row>
    <row r="338" spans="1:34" s="527" customFormat="1" ht="38.25" hidden="1" x14ac:dyDescent="0.2">
      <c r="A338" s="522"/>
      <c r="B338" s="1938" t="s">
        <v>1664</v>
      </c>
      <c r="C338" s="1939"/>
      <c r="D338" s="522" t="s">
        <v>1444</v>
      </c>
      <c r="E338" s="556"/>
      <c r="F338" s="523"/>
      <c r="G338" s="524"/>
      <c r="H338" s="526">
        <f>H339+H344+H345+H346+H350</f>
        <v>32.200000000000003</v>
      </c>
      <c r="I338" s="526"/>
      <c r="J338" s="526"/>
      <c r="K338" s="526">
        <f>K339+K344+K345+K346+K350</f>
        <v>19.8</v>
      </c>
      <c r="L338" s="526"/>
      <c r="M338" s="526"/>
      <c r="N338" s="526">
        <f>N339+N344+N345+N346+N350</f>
        <v>19.8</v>
      </c>
      <c r="O338" s="526"/>
      <c r="P338" s="526"/>
      <c r="Q338" s="526">
        <f>Q339+Q344+Q345+Q346+Q350</f>
        <v>21.9</v>
      </c>
      <c r="R338" s="526">
        <f t="shared" si="56"/>
        <v>21.9</v>
      </c>
      <c r="S338" s="526"/>
      <c r="T338" s="526"/>
      <c r="U338" s="526"/>
      <c r="V338" s="526">
        <f>V339+V344+V345+V346+V350</f>
        <v>21.9</v>
      </c>
      <c r="W338" s="526"/>
      <c r="X338" s="526"/>
      <c r="Y338" s="526">
        <f>Y339+Y344+Y345+Y346+Y350</f>
        <v>21.9</v>
      </c>
      <c r="Z338" s="526">
        <f t="shared" si="57"/>
        <v>2.1</v>
      </c>
      <c r="AA338" s="526">
        <f t="shared" si="61"/>
        <v>110.6</v>
      </c>
      <c r="AB338" s="909"/>
      <c r="AC338" s="549" t="s">
        <v>1665</v>
      </c>
      <c r="AF338" s="528"/>
      <c r="AG338" s="528"/>
      <c r="AH338" s="528"/>
    </row>
    <row r="339" spans="1:34" s="492" customFormat="1" ht="14.25" hidden="1" x14ac:dyDescent="0.2">
      <c r="A339" s="1240"/>
      <c r="B339" s="500" t="s">
        <v>1233</v>
      </c>
      <c r="C339" s="501" t="s">
        <v>1230</v>
      </c>
      <c r="D339" s="932"/>
      <c r="E339" s="842"/>
      <c r="F339" s="828"/>
      <c r="G339" s="829"/>
      <c r="H339" s="542">
        <f>SUM(H340:H343)</f>
        <v>9.9</v>
      </c>
      <c r="I339" s="533"/>
      <c r="J339" s="533"/>
      <c r="K339" s="533">
        <f>SUM(K340:K343)</f>
        <v>9.3000000000000007</v>
      </c>
      <c r="L339" s="533"/>
      <c r="M339" s="533"/>
      <c r="N339" s="533">
        <f>SUM(N340:N343)</f>
        <v>9.3000000000000007</v>
      </c>
      <c r="O339" s="533"/>
      <c r="P339" s="533"/>
      <c r="Q339" s="533">
        <f>SUM(Q340:Q343)</f>
        <v>10.3</v>
      </c>
      <c r="R339" s="533">
        <f t="shared" si="56"/>
        <v>10.3</v>
      </c>
      <c r="S339" s="533"/>
      <c r="T339" s="533"/>
      <c r="U339" s="533"/>
      <c r="V339" s="533">
        <f>SUM(V340:V343)</f>
        <v>10.3</v>
      </c>
      <c r="W339" s="533"/>
      <c r="X339" s="533"/>
      <c r="Y339" s="533">
        <f>SUM(Y340:Y343)</f>
        <v>10.3</v>
      </c>
      <c r="Z339" s="542">
        <f t="shared" si="57"/>
        <v>1</v>
      </c>
      <c r="AA339" s="542">
        <f t="shared" si="61"/>
        <v>110.8</v>
      </c>
      <c r="AB339" s="921"/>
      <c r="AC339" s="491" t="s">
        <v>1665</v>
      </c>
      <c r="AF339" s="466"/>
      <c r="AG339" s="466"/>
      <c r="AH339" s="466"/>
    </row>
    <row r="340" spans="1:34" s="498" customFormat="1" hidden="1" x14ac:dyDescent="0.25">
      <c r="A340" s="962"/>
      <c r="B340" s="502" t="s">
        <v>1519</v>
      </c>
      <c r="C340" s="503"/>
      <c r="D340" s="903"/>
      <c r="E340" s="1031" t="s">
        <v>318</v>
      </c>
      <c r="F340" s="557">
        <v>1</v>
      </c>
      <c r="G340" s="558">
        <v>3.45</v>
      </c>
      <c r="H340" s="559">
        <f>F340*G340</f>
        <v>3.5</v>
      </c>
      <c r="I340" s="857">
        <v>1</v>
      </c>
      <c r="J340" s="857">
        <v>3.5</v>
      </c>
      <c r="K340" s="857">
        <f>I340*J340</f>
        <v>3.5</v>
      </c>
      <c r="L340" s="857">
        <v>1</v>
      </c>
      <c r="M340" s="857">
        <v>3.5</v>
      </c>
      <c r="N340" s="857">
        <f>L340*M340</f>
        <v>3.5</v>
      </c>
      <c r="O340" s="857">
        <v>1</v>
      </c>
      <c r="P340" s="857">
        <v>3.5</v>
      </c>
      <c r="Q340" s="857">
        <f>P340*O340</f>
        <v>3.5</v>
      </c>
      <c r="R340" s="857">
        <f t="shared" ref="R340:R403" si="62">Q340</f>
        <v>3.5</v>
      </c>
      <c r="S340" s="857"/>
      <c r="T340" s="857">
        <v>1</v>
      </c>
      <c r="U340" s="857">
        <v>3.5</v>
      </c>
      <c r="V340" s="857">
        <f>U340*T340</f>
        <v>3.5</v>
      </c>
      <c r="W340" s="857">
        <v>1</v>
      </c>
      <c r="X340" s="857">
        <v>3.5</v>
      </c>
      <c r="Y340" s="857">
        <f>X340*W340</f>
        <v>3.5</v>
      </c>
      <c r="Z340" s="559">
        <f t="shared" si="57"/>
        <v>0</v>
      </c>
      <c r="AA340" s="559">
        <f t="shared" si="61"/>
        <v>100</v>
      </c>
      <c r="AB340" s="1924"/>
      <c r="AC340" s="491" t="s">
        <v>1665</v>
      </c>
      <c r="AF340" s="466"/>
      <c r="AG340" s="465"/>
      <c r="AH340" s="465"/>
    </row>
    <row r="341" spans="1:34" s="498" customFormat="1" ht="51.75" hidden="1" x14ac:dyDescent="0.25">
      <c r="A341" s="962"/>
      <c r="B341" s="502" t="s">
        <v>1686</v>
      </c>
      <c r="C341" s="503"/>
      <c r="D341" s="903"/>
      <c r="E341" s="1031" t="s">
        <v>318</v>
      </c>
      <c r="F341" s="557">
        <v>1</v>
      </c>
      <c r="G341" s="558">
        <v>2.2999999999999998</v>
      </c>
      <c r="H341" s="559">
        <f>F341*G341</f>
        <v>2.2999999999999998</v>
      </c>
      <c r="I341" s="857">
        <v>1</v>
      </c>
      <c r="J341" s="857">
        <v>2.2999999999999998</v>
      </c>
      <c r="K341" s="857">
        <f>I341*J341</f>
        <v>2.2999999999999998</v>
      </c>
      <c r="L341" s="857">
        <v>1</v>
      </c>
      <c r="M341" s="857">
        <v>2.2999999999999998</v>
      </c>
      <c r="N341" s="857">
        <f>L341*M341</f>
        <v>2.2999999999999998</v>
      </c>
      <c r="O341" s="857">
        <v>2</v>
      </c>
      <c r="P341" s="857">
        <v>2.2999999999999998</v>
      </c>
      <c r="Q341" s="857">
        <f>P341*O341</f>
        <v>4.5999999999999996</v>
      </c>
      <c r="R341" s="857">
        <f t="shared" si="62"/>
        <v>4.5999999999999996</v>
      </c>
      <c r="S341" s="857"/>
      <c r="T341" s="857">
        <v>2</v>
      </c>
      <c r="U341" s="857">
        <v>2.2999999999999998</v>
      </c>
      <c r="V341" s="857">
        <f>U341*T341</f>
        <v>4.5999999999999996</v>
      </c>
      <c r="W341" s="857">
        <v>2</v>
      </c>
      <c r="X341" s="857">
        <v>2.2999999999999998</v>
      </c>
      <c r="Y341" s="857">
        <f>X341*W341</f>
        <v>4.5999999999999996</v>
      </c>
      <c r="Z341" s="559">
        <f t="shared" si="57"/>
        <v>2.2999999999999998</v>
      </c>
      <c r="AA341" s="559">
        <f t="shared" si="61"/>
        <v>200</v>
      </c>
      <c r="AB341" s="1924" t="s">
        <v>1956</v>
      </c>
      <c r="AC341" s="491" t="s">
        <v>1665</v>
      </c>
      <c r="AF341" s="466"/>
      <c r="AG341" s="465"/>
      <c r="AH341" s="465"/>
    </row>
    <row r="342" spans="1:34" s="498" customFormat="1" hidden="1" x14ac:dyDescent="0.25">
      <c r="A342" s="962"/>
      <c r="B342" s="502" t="s">
        <v>1683</v>
      </c>
      <c r="C342" s="503"/>
      <c r="D342" s="903"/>
      <c r="E342" s="1031" t="s">
        <v>318</v>
      </c>
      <c r="F342" s="557">
        <v>1</v>
      </c>
      <c r="G342" s="558">
        <v>2</v>
      </c>
      <c r="H342" s="559">
        <f>F342*G342</f>
        <v>2</v>
      </c>
      <c r="I342" s="857">
        <v>1</v>
      </c>
      <c r="J342" s="857">
        <v>1.5</v>
      </c>
      <c r="K342" s="857">
        <f>I342*J342</f>
        <v>1.5</v>
      </c>
      <c r="L342" s="857">
        <v>1</v>
      </c>
      <c r="M342" s="857">
        <v>1.5</v>
      </c>
      <c r="N342" s="857">
        <f>L342*M342</f>
        <v>1.5</v>
      </c>
      <c r="O342" s="857"/>
      <c r="P342" s="857"/>
      <c r="Q342" s="857"/>
      <c r="R342" s="857">
        <f t="shared" si="62"/>
        <v>0</v>
      </c>
      <c r="S342" s="857"/>
      <c r="T342" s="857"/>
      <c r="U342" s="857"/>
      <c r="V342" s="857"/>
      <c r="W342" s="857"/>
      <c r="X342" s="857"/>
      <c r="Y342" s="857"/>
      <c r="Z342" s="559">
        <f t="shared" si="57"/>
        <v>-1.5</v>
      </c>
      <c r="AA342" s="559">
        <f t="shared" si="61"/>
        <v>0</v>
      </c>
      <c r="AB342" s="1924"/>
      <c r="AC342" s="491" t="s">
        <v>1665</v>
      </c>
      <c r="AF342" s="466"/>
      <c r="AG342" s="465"/>
      <c r="AH342" s="465"/>
    </row>
    <row r="343" spans="1:34" s="498" customFormat="1" hidden="1" x14ac:dyDescent="0.25">
      <c r="A343" s="962"/>
      <c r="B343" s="502" t="s">
        <v>1234</v>
      </c>
      <c r="C343" s="503"/>
      <c r="D343" s="903"/>
      <c r="E343" s="1031"/>
      <c r="F343" s="557"/>
      <c r="G343" s="558"/>
      <c r="H343" s="559">
        <f>SUM(H340:H342)*0.271</f>
        <v>2.1</v>
      </c>
      <c r="I343" s="857"/>
      <c r="J343" s="857"/>
      <c r="K343" s="857">
        <f>SUM(K340:K342)*0.271</f>
        <v>2</v>
      </c>
      <c r="L343" s="857"/>
      <c r="M343" s="857"/>
      <c r="N343" s="857">
        <f>SUM(N340:N342)*0.271</f>
        <v>2</v>
      </c>
      <c r="O343" s="857"/>
      <c r="P343" s="857"/>
      <c r="Q343" s="857">
        <f>SUM(Q340:Q342)*0.271</f>
        <v>2.2000000000000002</v>
      </c>
      <c r="R343" s="857">
        <f t="shared" si="62"/>
        <v>2.2000000000000002</v>
      </c>
      <c r="S343" s="857"/>
      <c r="T343" s="857"/>
      <c r="U343" s="857"/>
      <c r="V343" s="857">
        <f>SUM(V340:V342)*0.271</f>
        <v>2.2000000000000002</v>
      </c>
      <c r="W343" s="857"/>
      <c r="X343" s="857"/>
      <c r="Y343" s="857">
        <f>SUM(Y340:Y342)*0.271</f>
        <v>2.2000000000000002</v>
      </c>
      <c r="Z343" s="559">
        <f t="shared" si="57"/>
        <v>0.2</v>
      </c>
      <c r="AA343" s="559">
        <f t="shared" si="61"/>
        <v>110</v>
      </c>
      <c r="AB343" s="921"/>
      <c r="AC343" s="491" t="s">
        <v>1665</v>
      </c>
      <c r="AF343" s="466"/>
      <c r="AG343" s="465"/>
      <c r="AH343" s="465"/>
    </row>
    <row r="344" spans="1:34" s="492" customFormat="1" ht="14.25" hidden="1" x14ac:dyDescent="0.2">
      <c r="A344" s="1240"/>
      <c r="B344" s="500" t="s">
        <v>1927</v>
      </c>
      <c r="C344" s="501" t="s">
        <v>796</v>
      </c>
      <c r="D344" s="932"/>
      <c r="E344" s="842"/>
      <c r="F344" s="828">
        <v>30</v>
      </c>
      <c r="G344" s="829">
        <v>0.21</v>
      </c>
      <c r="H344" s="542">
        <f>F344*G344</f>
        <v>6.3</v>
      </c>
      <c r="I344" s="533">
        <v>320</v>
      </c>
      <c r="J344" s="533">
        <v>0</v>
      </c>
      <c r="K344" s="533">
        <f>I344*J344</f>
        <v>0</v>
      </c>
      <c r="L344" s="533">
        <v>320</v>
      </c>
      <c r="M344" s="533">
        <v>0</v>
      </c>
      <c r="N344" s="533">
        <f>L344*M344</f>
        <v>0</v>
      </c>
      <c r="O344" s="533">
        <v>320</v>
      </c>
      <c r="P344" s="533">
        <v>0</v>
      </c>
      <c r="Q344" s="533">
        <f>O344*P344</f>
        <v>0</v>
      </c>
      <c r="R344" s="533">
        <f t="shared" si="62"/>
        <v>0</v>
      </c>
      <c r="S344" s="533"/>
      <c r="T344" s="533">
        <v>320</v>
      </c>
      <c r="U344" s="533">
        <v>0</v>
      </c>
      <c r="V344" s="533">
        <f>T344*U344</f>
        <v>0</v>
      </c>
      <c r="W344" s="533">
        <v>320</v>
      </c>
      <c r="X344" s="533">
        <v>0</v>
      </c>
      <c r="Y344" s="533">
        <f>W344*X344</f>
        <v>0</v>
      </c>
      <c r="Z344" s="542">
        <f t="shared" si="57"/>
        <v>0</v>
      </c>
      <c r="AA344" s="542" t="str">
        <f t="shared" si="61"/>
        <v>-</v>
      </c>
      <c r="AB344" s="1246"/>
      <c r="AC344" s="491" t="s">
        <v>1665</v>
      </c>
      <c r="AF344" s="466"/>
      <c r="AG344" s="466"/>
      <c r="AH344" s="466"/>
    </row>
    <row r="345" spans="1:34" s="492" customFormat="1" ht="14.25" x14ac:dyDescent="0.2">
      <c r="A345" s="1240"/>
      <c r="B345" s="500" t="s">
        <v>1957</v>
      </c>
      <c r="C345" s="501" t="s">
        <v>797</v>
      </c>
      <c r="D345" s="932"/>
      <c r="E345" s="842"/>
      <c r="F345" s="828">
        <v>320</v>
      </c>
      <c r="G345" s="829">
        <v>0.01</v>
      </c>
      <c r="H345" s="542">
        <v>1.8</v>
      </c>
      <c r="I345" s="533">
        <v>36</v>
      </c>
      <c r="J345" s="533">
        <v>0.1</v>
      </c>
      <c r="K345" s="533">
        <f>I345*J345</f>
        <v>3.6</v>
      </c>
      <c r="L345" s="533">
        <v>36</v>
      </c>
      <c r="M345" s="533">
        <v>0.1</v>
      </c>
      <c r="N345" s="533">
        <f>L345*M345</f>
        <v>3.6</v>
      </c>
      <c r="O345" s="533">
        <v>36</v>
      </c>
      <c r="P345" s="533">
        <v>0.1</v>
      </c>
      <c r="Q345" s="533">
        <f>P345*O345</f>
        <v>3.6</v>
      </c>
      <c r="R345" s="533">
        <f t="shared" si="62"/>
        <v>3.6</v>
      </c>
      <c r="S345" s="533"/>
      <c r="T345" s="533">
        <v>36</v>
      </c>
      <c r="U345" s="533">
        <v>0.1</v>
      </c>
      <c r="V345" s="533">
        <f>U345*T345</f>
        <v>3.6</v>
      </c>
      <c r="W345" s="533">
        <v>36</v>
      </c>
      <c r="X345" s="533">
        <v>0.1</v>
      </c>
      <c r="Y345" s="533">
        <f>X345*W345</f>
        <v>3.6</v>
      </c>
      <c r="Z345" s="542">
        <f t="shared" si="57"/>
        <v>0</v>
      </c>
      <c r="AA345" s="542">
        <f t="shared" si="61"/>
        <v>100</v>
      </c>
      <c r="AB345" s="1247"/>
      <c r="AC345" s="491" t="s">
        <v>1665</v>
      </c>
      <c r="AF345" s="466"/>
      <c r="AG345" s="466"/>
      <c r="AH345" s="466"/>
    </row>
    <row r="346" spans="1:34" s="492" customFormat="1" ht="14.25" x14ac:dyDescent="0.2">
      <c r="A346" s="1240"/>
      <c r="B346" s="865" t="s">
        <v>1226</v>
      </c>
      <c r="C346" s="508" t="s">
        <v>797</v>
      </c>
      <c r="D346" s="932"/>
      <c r="E346" s="842"/>
      <c r="F346" s="828"/>
      <c r="G346" s="829"/>
      <c r="H346" s="542">
        <f>SUM(H347:H348)</f>
        <v>8.8000000000000007</v>
      </c>
      <c r="I346" s="533"/>
      <c r="J346" s="533"/>
      <c r="K346" s="533">
        <f>SUM(K347:K348)</f>
        <v>5.7</v>
      </c>
      <c r="L346" s="533"/>
      <c r="M346" s="533"/>
      <c r="N346" s="533">
        <f>SUM(N347:N348)</f>
        <v>5.7</v>
      </c>
      <c r="O346" s="533"/>
      <c r="P346" s="533"/>
      <c r="Q346" s="533">
        <f>SUM(Q347:Q349)</f>
        <v>6</v>
      </c>
      <c r="R346" s="533">
        <f t="shared" si="62"/>
        <v>6</v>
      </c>
      <c r="S346" s="533"/>
      <c r="T346" s="533"/>
      <c r="U346" s="533"/>
      <c r="V346" s="533">
        <f>SUM(V347:V349)</f>
        <v>6</v>
      </c>
      <c r="W346" s="533"/>
      <c r="X346" s="533"/>
      <c r="Y346" s="533">
        <f>SUM(Y347:Y349)</f>
        <v>6</v>
      </c>
      <c r="Z346" s="542">
        <f t="shared" si="57"/>
        <v>0.3</v>
      </c>
      <c r="AA346" s="542">
        <f t="shared" si="61"/>
        <v>105.3</v>
      </c>
      <c r="AB346" s="921"/>
      <c r="AC346" s="491" t="s">
        <v>1665</v>
      </c>
      <c r="AF346" s="466"/>
      <c r="AG346" s="466"/>
      <c r="AH346" s="466"/>
    </row>
    <row r="347" spans="1:34" s="498" customFormat="1" hidden="1" x14ac:dyDescent="0.25">
      <c r="A347" s="962"/>
      <c r="B347" s="856" t="s">
        <v>1921</v>
      </c>
      <c r="C347" s="499"/>
      <c r="D347" s="903"/>
      <c r="E347" s="1031" t="s">
        <v>227</v>
      </c>
      <c r="F347" s="557">
        <v>6</v>
      </c>
      <c r="G347" s="558">
        <v>1</v>
      </c>
      <c r="H347" s="559">
        <f>F347*G347</f>
        <v>6</v>
      </c>
      <c r="I347" s="857">
        <v>6</v>
      </c>
      <c r="J347" s="862">
        <v>0.5</v>
      </c>
      <c r="K347" s="857">
        <f>I347*J347</f>
        <v>3</v>
      </c>
      <c r="L347" s="857">
        <v>6</v>
      </c>
      <c r="M347" s="862">
        <v>0.5</v>
      </c>
      <c r="N347" s="857">
        <f>L347*M347</f>
        <v>3</v>
      </c>
      <c r="O347" s="857">
        <v>2</v>
      </c>
      <c r="P347" s="857">
        <v>1</v>
      </c>
      <c r="Q347" s="857">
        <f>O347*P347</f>
        <v>2</v>
      </c>
      <c r="R347" s="857">
        <f t="shared" si="62"/>
        <v>2</v>
      </c>
      <c r="S347" s="857"/>
      <c r="T347" s="857">
        <v>2</v>
      </c>
      <c r="U347" s="857">
        <v>1</v>
      </c>
      <c r="V347" s="857">
        <f>T347*U347</f>
        <v>2</v>
      </c>
      <c r="W347" s="857">
        <v>2</v>
      </c>
      <c r="X347" s="857">
        <v>1</v>
      </c>
      <c r="Y347" s="857">
        <f>W347*X347</f>
        <v>2</v>
      </c>
      <c r="Z347" s="559">
        <f t="shared" si="57"/>
        <v>-1</v>
      </c>
      <c r="AA347" s="559">
        <f t="shared" si="61"/>
        <v>66.7</v>
      </c>
      <c r="AB347" s="893"/>
      <c r="AC347" s="491" t="s">
        <v>1665</v>
      </c>
      <c r="AF347" s="466"/>
      <c r="AG347" s="465"/>
      <c r="AH347" s="465"/>
    </row>
    <row r="348" spans="1:34" s="498" customFormat="1" hidden="1" x14ac:dyDescent="0.25">
      <c r="A348" s="962"/>
      <c r="B348" s="500" t="s">
        <v>1909</v>
      </c>
      <c r="C348" s="501"/>
      <c r="D348" s="903"/>
      <c r="E348" s="1031" t="s">
        <v>1240</v>
      </c>
      <c r="F348" s="557">
        <v>14</v>
      </c>
      <c r="G348" s="558">
        <v>0.2</v>
      </c>
      <c r="H348" s="559">
        <f>F348*G348</f>
        <v>2.8</v>
      </c>
      <c r="I348" s="857">
        <v>13.5</v>
      </c>
      <c r="J348" s="857">
        <v>0.2</v>
      </c>
      <c r="K348" s="857">
        <f>I348*J348</f>
        <v>2.7</v>
      </c>
      <c r="L348" s="857">
        <v>13.5</v>
      </c>
      <c r="M348" s="857">
        <v>0.2</v>
      </c>
      <c r="N348" s="857">
        <f>L348*M348</f>
        <v>2.7</v>
      </c>
      <c r="O348" s="857"/>
      <c r="P348" s="857"/>
      <c r="Q348" s="857"/>
      <c r="R348" s="857">
        <f t="shared" si="62"/>
        <v>0</v>
      </c>
      <c r="S348" s="857"/>
      <c r="T348" s="857"/>
      <c r="U348" s="857"/>
      <c r="V348" s="857"/>
      <c r="W348" s="857"/>
      <c r="X348" s="857"/>
      <c r="Y348" s="857"/>
      <c r="Z348" s="559">
        <f t="shared" si="57"/>
        <v>-2.7</v>
      </c>
      <c r="AA348" s="559">
        <f t="shared" si="61"/>
        <v>0</v>
      </c>
      <c r="AB348" s="827"/>
      <c r="AC348" s="491" t="s">
        <v>1665</v>
      </c>
      <c r="AF348" s="466"/>
      <c r="AG348" s="465"/>
      <c r="AH348" s="465"/>
    </row>
    <row r="349" spans="1:34" s="498" customFormat="1" ht="25.5" hidden="1" x14ac:dyDescent="0.25">
      <c r="A349" s="962"/>
      <c r="B349" s="502" t="s">
        <v>1958</v>
      </c>
      <c r="C349" s="501"/>
      <c r="D349" s="903"/>
      <c r="E349" s="1031"/>
      <c r="F349" s="557"/>
      <c r="G349" s="558"/>
      <c r="H349" s="559"/>
      <c r="I349" s="857"/>
      <c r="J349" s="857"/>
      <c r="K349" s="857"/>
      <c r="L349" s="857"/>
      <c r="M349" s="857"/>
      <c r="N349" s="857"/>
      <c r="O349" s="857">
        <v>2</v>
      </c>
      <c r="P349" s="857">
        <v>2</v>
      </c>
      <c r="Q349" s="857">
        <f>P349*O349</f>
        <v>4</v>
      </c>
      <c r="R349" s="857">
        <f t="shared" si="62"/>
        <v>4</v>
      </c>
      <c r="S349" s="857"/>
      <c r="T349" s="857">
        <v>2</v>
      </c>
      <c r="U349" s="857">
        <v>2</v>
      </c>
      <c r="V349" s="857">
        <f>U349*T349</f>
        <v>4</v>
      </c>
      <c r="W349" s="857">
        <v>2</v>
      </c>
      <c r="X349" s="857">
        <v>2</v>
      </c>
      <c r="Y349" s="857">
        <f>X349*W349</f>
        <v>4</v>
      </c>
      <c r="Z349" s="559">
        <f t="shared" si="57"/>
        <v>4</v>
      </c>
      <c r="AA349" s="559" t="str">
        <f t="shared" si="61"/>
        <v>-</v>
      </c>
      <c r="AB349" s="827" t="s">
        <v>1959</v>
      </c>
      <c r="AC349" s="491" t="s">
        <v>1665</v>
      </c>
      <c r="AF349" s="466"/>
      <c r="AG349" s="465"/>
      <c r="AH349" s="465"/>
    </row>
    <row r="350" spans="1:34" s="492" customFormat="1" ht="25.5" x14ac:dyDescent="0.2">
      <c r="A350" s="1240"/>
      <c r="B350" s="865" t="s">
        <v>1239</v>
      </c>
      <c r="C350" s="508" t="s">
        <v>797</v>
      </c>
      <c r="D350" s="932"/>
      <c r="E350" s="842"/>
      <c r="F350" s="828"/>
      <c r="G350" s="829"/>
      <c r="H350" s="542">
        <f>SUM(H351:H352)</f>
        <v>5.4</v>
      </c>
      <c r="I350" s="533"/>
      <c r="J350" s="533"/>
      <c r="K350" s="533">
        <f>SUM(K351:K352)</f>
        <v>1.2</v>
      </c>
      <c r="L350" s="533"/>
      <c r="M350" s="533"/>
      <c r="N350" s="533">
        <f>SUM(N351:N352)</f>
        <v>1.2</v>
      </c>
      <c r="O350" s="533"/>
      <c r="P350" s="533"/>
      <c r="Q350" s="533">
        <f>SUM(Q351:Q352)</f>
        <v>2</v>
      </c>
      <c r="R350" s="533">
        <f t="shared" si="62"/>
        <v>2</v>
      </c>
      <c r="S350" s="533"/>
      <c r="T350" s="533"/>
      <c r="U350" s="533"/>
      <c r="V350" s="533">
        <f>SUM(V351:V352)</f>
        <v>2</v>
      </c>
      <c r="W350" s="533"/>
      <c r="X350" s="533"/>
      <c r="Y350" s="533">
        <f>SUM(Y351:Y352)</f>
        <v>2</v>
      </c>
      <c r="Z350" s="542">
        <f t="shared" si="57"/>
        <v>0.8</v>
      </c>
      <c r="AA350" s="542">
        <f t="shared" si="61"/>
        <v>166.7</v>
      </c>
      <c r="AB350" s="552"/>
      <c r="AC350" s="491" t="s">
        <v>1665</v>
      </c>
      <c r="AF350" s="466"/>
      <c r="AG350" s="466"/>
      <c r="AH350" s="466"/>
    </row>
    <row r="351" spans="1:34" s="498" customFormat="1" ht="39" hidden="1" x14ac:dyDescent="0.25">
      <c r="A351" s="962"/>
      <c r="B351" s="502" t="s">
        <v>1960</v>
      </c>
      <c r="C351" s="499"/>
      <c r="D351" s="903"/>
      <c r="E351" s="1031" t="s">
        <v>227</v>
      </c>
      <c r="F351" s="557">
        <v>26</v>
      </c>
      <c r="G351" s="558">
        <v>0.1</v>
      </c>
      <c r="H351" s="559">
        <f>F351*G351</f>
        <v>2.6</v>
      </c>
      <c r="I351" s="857">
        <v>12</v>
      </c>
      <c r="J351" s="862">
        <v>0.1</v>
      </c>
      <c r="K351" s="857">
        <f>I351*J351</f>
        <v>1.2</v>
      </c>
      <c r="L351" s="857">
        <v>12</v>
      </c>
      <c r="M351" s="862">
        <v>0.1</v>
      </c>
      <c r="N351" s="857">
        <f>L351*M351</f>
        <v>1.2</v>
      </c>
      <c r="O351" s="857">
        <v>20</v>
      </c>
      <c r="P351" s="857">
        <v>0.1</v>
      </c>
      <c r="Q351" s="857">
        <f>P351*O351</f>
        <v>2</v>
      </c>
      <c r="R351" s="857">
        <f t="shared" si="62"/>
        <v>2</v>
      </c>
      <c r="S351" s="857"/>
      <c r="T351" s="857">
        <v>20</v>
      </c>
      <c r="U351" s="857">
        <v>0.1</v>
      </c>
      <c r="V351" s="857">
        <f>U351*T351</f>
        <v>2</v>
      </c>
      <c r="W351" s="857">
        <v>20</v>
      </c>
      <c r="X351" s="857">
        <v>0.1</v>
      </c>
      <c r="Y351" s="857">
        <f>X351*W351</f>
        <v>2</v>
      </c>
      <c r="Z351" s="559">
        <f t="shared" si="57"/>
        <v>0.8</v>
      </c>
      <c r="AA351" s="559">
        <f t="shared" si="61"/>
        <v>166.7</v>
      </c>
      <c r="AB351" s="893" t="s">
        <v>1961</v>
      </c>
      <c r="AC351" s="491" t="s">
        <v>1665</v>
      </c>
      <c r="AF351" s="466"/>
      <c r="AG351" s="465"/>
      <c r="AH351" s="465"/>
    </row>
    <row r="352" spans="1:34" s="498" customFormat="1" hidden="1" x14ac:dyDescent="0.25">
      <c r="A352" s="962"/>
      <c r="B352" s="856" t="s">
        <v>1692</v>
      </c>
      <c r="C352" s="499"/>
      <c r="D352" s="903"/>
      <c r="E352" s="1031" t="s">
        <v>227</v>
      </c>
      <c r="F352" s="557">
        <v>8</v>
      </c>
      <c r="G352" s="558">
        <v>0.35</v>
      </c>
      <c r="H352" s="559">
        <f>F352*G352</f>
        <v>2.8</v>
      </c>
      <c r="I352" s="857"/>
      <c r="J352" s="857"/>
      <c r="K352" s="857">
        <f>I352*J352</f>
        <v>0</v>
      </c>
      <c r="L352" s="857"/>
      <c r="M352" s="857"/>
      <c r="N352" s="857">
        <f>L352*M352</f>
        <v>0</v>
      </c>
      <c r="O352" s="857"/>
      <c r="P352" s="857"/>
      <c r="Q352" s="857"/>
      <c r="R352" s="857">
        <f t="shared" si="62"/>
        <v>0</v>
      </c>
      <c r="S352" s="857"/>
      <c r="T352" s="857"/>
      <c r="U352" s="857"/>
      <c r="V352" s="857"/>
      <c r="W352" s="857"/>
      <c r="X352" s="857"/>
      <c r="Y352" s="857"/>
      <c r="Z352" s="559">
        <f t="shared" si="57"/>
        <v>0</v>
      </c>
      <c r="AA352" s="559" t="str">
        <f t="shared" si="61"/>
        <v>-</v>
      </c>
      <c r="AB352" s="1924"/>
      <c r="AC352" s="491" t="s">
        <v>1665</v>
      </c>
      <c r="AF352" s="466"/>
      <c r="AG352" s="465"/>
      <c r="AH352" s="465"/>
    </row>
    <row r="353" spans="1:34" s="517" customFormat="1" ht="14.25" hidden="1" x14ac:dyDescent="0.2">
      <c r="A353" s="487"/>
      <c r="B353" s="510" t="s">
        <v>1251</v>
      </c>
      <c r="C353" s="511"/>
      <c r="D353" s="487"/>
      <c r="E353" s="487"/>
      <c r="F353" s="821"/>
      <c r="G353" s="822"/>
      <c r="H353" s="823" t="e">
        <f>#REF!+#REF!+#REF!+H354</f>
        <v>#REF!</v>
      </c>
      <c r="I353" s="824"/>
      <c r="J353" s="824"/>
      <c r="K353" s="823">
        <f>K354</f>
        <v>120.8</v>
      </c>
      <c r="L353" s="824"/>
      <c r="M353" s="824"/>
      <c r="N353" s="823">
        <f>N354</f>
        <v>120.8</v>
      </c>
      <c r="O353" s="824"/>
      <c r="P353" s="824"/>
      <c r="Q353" s="823">
        <f>Q354</f>
        <v>220.9</v>
      </c>
      <c r="R353" s="823">
        <f t="shared" si="62"/>
        <v>220.9</v>
      </c>
      <c r="S353" s="823"/>
      <c r="T353" s="824"/>
      <c r="U353" s="824"/>
      <c r="V353" s="823">
        <f>V354</f>
        <v>191.7</v>
      </c>
      <c r="W353" s="823"/>
      <c r="X353" s="823"/>
      <c r="Y353" s="823">
        <f>Y354</f>
        <v>191.7</v>
      </c>
      <c r="Z353" s="823">
        <f t="shared" si="57"/>
        <v>100.1</v>
      </c>
      <c r="AA353" s="823">
        <f t="shared" si="61"/>
        <v>182.9</v>
      </c>
      <c r="AB353" s="555"/>
      <c r="AC353" s="515"/>
      <c r="AF353" s="519"/>
      <c r="AG353" s="519"/>
      <c r="AH353" s="519"/>
    </row>
    <row r="354" spans="1:34" s="527" customFormat="1" ht="38.25" hidden="1" x14ac:dyDescent="0.2">
      <c r="A354" s="522"/>
      <c r="B354" s="916" t="s">
        <v>1664</v>
      </c>
      <c r="C354" s="521"/>
      <c r="D354" s="522" t="s">
        <v>1444</v>
      </c>
      <c r="E354" s="556"/>
      <c r="F354" s="523"/>
      <c r="G354" s="524"/>
      <c r="H354" s="526">
        <f>H355+H376</f>
        <v>175.2</v>
      </c>
      <c r="I354" s="526"/>
      <c r="J354" s="526"/>
      <c r="K354" s="526">
        <f>K355+K376</f>
        <v>120.8</v>
      </c>
      <c r="L354" s="526"/>
      <c r="M354" s="526"/>
      <c r="N354" s="526">
        <f>N355+N376</f>
        <v>120.8</v>
      </c>
      <c r="O354" s="526"/>
      <c r="P354" s="526"/>
      <c r="Q354" s="526">
        <f>Q355+Q376</f>
        <v>220.9</v>
      </c>
      <c r="R354" s="526">
        <f t="shared" si="62"/>
        <v>220.9</v>
      </c>
      <c r="S354" s="526"/>
      <c r="T354" s="526"/>
      <c r="U354" s="526"/>
      <c r="V354" s="526">
        <f>V355+V376</f>
        <v>191.7</v>
      </c>
      <c r="W354" s="526"/>
      <c r="X354" s="526"/>
      <c r="Y354" s="526">
        <f>Y355+Y376</f>
        <v>191.7</v>
      </c>
      <c r="Z354" s="526">
        <f t="shared" si="57"/>
        <v>100.1</v>
      </c>
      <c r="AA354" s="526">
        <f t="shared" si="61"/>
        <v>182.9</v>
      </c>
      <c r="AB354" s="909"/>
      <c r="AC354" s="549" t="s">
        <v>1665</v>
      </c>
      <c r="AF354" s="528"/>
      <c r="AG354" s="528"/>
      <c r="AH354" s="528"/>
    </row>
    <row r="355" spans="1:34" s="871" customFormat="1" ht="14.25" hidden="1" x14ac:dyDescent="0.2">
      <c r="A355" s="869"/>
      <c r="B355" s="917" t="s">
        <v>1252</v>
      </c>
      <c r="C355" s="868"/>
      <c r="D355" s="1039"/>
      <c r="E355" s="870"/>
      <c r="F355" s="918"/>
      <c r="G355" s="919"/>
      <c r="H355" s="886">
        <f>H356+H362+H370+H371+H372+H375</f>
        <v>58.7</v>
      </c>
      <c r="I355" s="886"/>
      <c r="J355" s="886"/>
      <c r="K355" s="886">
        <f>K356+K362+K370+K371+K372+K375</f>
        <v>51.4</v>
      </c>
      <c r="L355" s="886"/>
      <c r="M355" s="886"/>
      <c r="N355" s="886">
        <f>N356+N362+N370+N371+N372+N375</f>
        <v>51.4</v>
      </c>
      <c r="O355" s="886"/>
      <c r="P355" s="886"/>
      <c r="Q355" s="886">
        <f>Q356+Q359+Q362+Q370+Q371+Q372+Q375</f>
        <v>83</v>
      </c>
      <c r="R355" s="886">
        <f t="shared" si="62"/>
        <v>83</v>
      </c>
      <c r="S355" s="886"/>
      <c r="T355" s="886"/>
      <c r="U355" s="886"/>
      <c r="V355" s="886">
        <f>V356+V359+V362+V370+V371+V372+V375</f>
        <v>58</v>
      </c>
      <c r="W355" s="886"/>
      <c r="X355" s="886"/>
      <c r="Y355" s="886">
        <f>Y356+Y359+Y362+Y370+Y371+Y372+Y375</f>
        <v>58</v>
      </c>
      <c r="Z355" s="886">
        <f t="shared" ref="Z355:Z396" si="63">Q355-K355</f>
        <v>31.6</v>
      </c>
      <c r="AA355" s="886">
        <f t="shared" si="61"/>
        <v>161.5</v>
      </c>
      <c r="AB355" s="1842"/>
      <c r="AC355" s="920" t="s">
        <v>1665</v>
      </c>
      <c r="AF355" s="872"/>
      <c r="AG355" s="872"/>
      <c r="AH355" s="872"/>
    </row>
    <row r="356" spans="1:34" s="492" customFormat="1" ht="25.5" x14ac:dyDescent="0.2">
      <c r="A356" s="1240"/>
      <c r="B356" s="500" t="s">
        <v>1239</v>
      </c>
      <c r="C356" s="501" t="s">
        <v>797</v>
      </c>
      <c r="D356" s="932"/>
      <c r="E356" s="842"/>
      <c r="F356" s="828"/>
      <c r="G356" s="829"/>
      <c r="H356" s="542">
        <f>SUM(H357:H358)</f>
        <v>4.8</v>
      </c>
      <c r="I356" s="533"/>
      <c r="J356" s="533"/>
      <c r="K356" s="533">
        <f>SUM(K357:K358)</f>
        <v>0.8</v>
      </c>
      <c r="L356" s="533"/>
      <c r="M356" s="533"/>
      <c r="N356" s="533">
        <f>SUM(N357:N358)</f>
        <v>0.8</v>
      </c>
      <c r="O356" s="533"/>
      <c r="P356" s="533"/>
      <c r="Q356" s="533">
        <f>SUM(Q357:Q358)</f>
        <v>0.8</v>
      </c>
      <c r="R356" s="533">
        <f t="shared" si="62"/>
        <v>0.8</v>
      </c>
      <c r="S356" s="533"/>
      <c r="T356" s="533"/>
      <c r="U356" s="533"/>
      <c r="V356" s="533">
        <f>SUM(V357:V358)</f>
        <v>0.8</v>
      </c>
      <c r="W356" s="533"/>
      <c r="X356" s="533"/>
      <c r="Y356" s="533">
        <f>SUM(Y357:Y358)</f>
        <v>0.8</v>
      </c>
      <c r="Z356" s="542">
        <f t="shared" si="63"/>
        <v>0</v>
      </c>
      <c r="AA356" s="542">
        <f t="shared" si="61"/>
        <v>100</v>
      </c>
      <c r="AB356" s="921"/>
      <c r="AC356" s="491" t="s">
        <v>1665</v>
      </c>
      <c r="AF356" s="466"/>
      <c r="AG356" s="466"/>
      <c r="AH356" s="466"/>
    </row>
    <row r="357" spans="1:34" s="498" customFormat="1" hidden="1" x14ac:dyDescent="0.25">
      <c r="A357" s="962"/>
      <c r="B357" s="502" t="s">
        <v>1962</v>
      </c>
      <c r="C357" s="499"/>
      <c r="D357" s="903"/>
      <c r="E357" s="1031" t="s">
        <v>227</v>
      </c>
      <c r="F357" s="557">
        <v>16</v>
      </c>
      <c r="G357" s="558">
        <v>0.1</v>
      </c>
      <c r="H357" s="559">
        <f>F357*G357</f>
        <v>1.6</v>
      </c>
      <c r="I357" s="857">
        <v>8</v>
      </c>
      <c r="J357" s="862">
        <v>0.1</v>
      </c>
      <c r="K357" s="857">
        <f>I357*J357</f>
        <v>0.8</v>
      </c>
      <c r="L357" s="857">
        <v>8</v>
      </c>
      <c r="M357" s="862">
        <v>0.1</v>
      </c>
      <c r="N357" s="857">
        <f>L357*M357</f>
        <v>0.8</v>
      </c>
      <c r="O357" s="857">
        <v>8</v>
      </c>
      <c r="P357" s="857">
        <v>0.1</v>
      </c>
      <c r="Q357" s="857">
        <f>P357*O357</f>
        <v>0.8</v>
      </c>
      <c r="R357" s="857">
        <f t="shared" si="62"/>
        <v>0.8</v>
      </c>
      <c r="S357" s="857"/>
      <c r="T357" s="857">
        <v>8</v>
      </c>
      <c r="U357" s="857">
        <v>0.1</v>
      </c>
      <c r="V357" s="857">
        <f>U357*T357</f>
        <v>0.8</v>
      </c>
      <c r="W357" s="857">
        <v>8</v>
      </c>
      <c r="X357" s="857">
        <v>0.1</v>
      </c>
      <c r="Y357" s="857">
        <f>X357*W357</f>
        <v>0.8</v>
      </c>
      <c r="Z357" s="559">
        <f t="shared" si="63"/>
        <v>0</v>
      </c>
      <c r="AA357" s="559">
        <f t="shared" si="61"/>
        <v>100</v>
      </c>
      <c r="AB357" s="893"/>
      <c r="AC357" s="491" t="s">
        <v>1665</v>
      </c>
      <c r="AF357" s="466"/>
      <c r="AG357" s="465"/>
      <c r="AH357" s="465"/>
    </row>
    <row r="358" spans="1:34" s="498" customFormat="1" hidden="1" x14ac:dyDescent="0.25">
      <c r="A358" s="962"/>
      <c r="B358" s="502" t="s">
        <v>1821</v>
      </c>
      <c r="C358" s="503"/>
      <c r="D358" s="903"/>
      <c r="E358" s="1031" t="s">
        <v>1240</v>
      </c>
      <c r="F358" s="557">
        <v>40</v>
      </c>
      <c r="G358" s="558">
        <v>0.08</v>
      </c>
      <c r="H358" s="559">
        <f>F358*G358</f>
        <v>3.2</v>
      </c>
      <c r="I358" s="857"/>
      <c r="J358" s="857"/>
      <c r="K358" s="857"/>
      <c r="L358" s="857"/>
      <c r="M358" s="857"/>
      <c r="N358" s="857"/>
      <c r="O358" s="857"/>
      <c r="P358" s="857"/>
      <c r="Q358" s="857"/>
      <c r="R358" s="857">
        <f t="shared" si="62"/>
        <v>0</v>
      </c>
      <c r="S358" s="857"/>
      <c r="T358" s="857"/>
      <c r="U358" s="857"/>
      <c r="V358" s="857"/>
      <c r="W358" s="857"/>
      <c r="X358" s="857"/>
      <c r="Y358" s="857"/>
      <c r="Z358" s="559">
        <f t="shared" si="63"/>
        <v>0</v>
      </c>
      <c r="AA358" s="559" t="str">
        <f t="shared" si="61"/>
        <v>-</v>
      </c>
      <c r="AB358" s="893"/>
      <c r="AC358" s="491" t="s">
        <v>1665</v>
      </c>
      <c r="AF358" s="466"/>
      <c r="AG358" s="465"/>
      <c r="AH358" s="465"/>
    </row>
    <row r="359" spans="1:34" s="498" customFormat="1" hidden="1" x14ac:dyDescent="0.25">
      <c r="A359" s="962"/>
      <c r="B359" s="500" t="s">
        <v>1963</v>
      </c>
      <c r="C359" s="501" t="s">
        <v>800</v>
      </c>
      <c r="D359" s="903"/>
      <c r="E359" s="1031"/>
      <c r="F359" s="557"/>
      <c r="G359" s="558"/>
      <c r="H359" s="559"/>
      <c r="I359" s="857"/>
      <c r="J359" s="857"/>
      <c r="K359" s="857"/>
      <c r="L359" s="857"/>
      <c r="M359" s="857"/>
      <c r="N359" s="857"/>
      <c r="O359" s="533"/>
      <c r="P359" s="533"/>
      <c r="Q359" s="533">
        <f>SUM(Q360:Q361)</f>
        <v>25</v>
      </c>
      <c r="R359" s="533">
        <f t="shared" si="62"/>
        <v>25</v>
      </c>
      <c r="S359" s="533"/>
      <c r="T359" s="533"/>
      <c r="U359" s="533"/>
      <c r="V359" s="533">
        <f>SUM(V360:V361)</f>
        <v>0</v>
      </c>
      <c r="W359" s="533"/>
      <c r="X359" s="533"/>
      <c r="Y359" s="533">
        <f>SUM(Y360:Y361)</f>
        <v>0</v>
      </c>
      <c r="Z359" s="559">
        <f t="shared" si="63"/>
        <v>25</v>
      </c>
      <c r="AA359" s="559" t="str">
        <f t="shared" si="61"/>
        <v>-</v>
      </c>
      <c r="AB359" s="893"/>
      <c r="AC359" s="491" t="s">
        <v>1665</v>
      </c>
      <c r="AF359" s="466"/>
      <c r="AG359" s="465"/>
      <c r="AH359" s="465"/>
    </row>
    <row r="360" spans="1:34" s="498" customFormat="1" ht="26.25" hidden="1" x14ac:dyDescent="0.25">
      <c r="A360" s="962"/>
      <c r="B360" s="502" t="s">
        <v>1964</v>
      </c>
      <c r="C360" s="501"/>
      <c r="D360" s="903"/>
      <c r="E360" s="882" t="s">
        <v>227</v>
      </c>
      <c r="F360" s="557"/>
      <c r="G360" s="558"/>
      <c r="H360" s="559"/>
      <c r="I360" s="857"/>
      <c r="J360" s="857"/>
      <c r="K360" s="857"/>
      <c r="L360" s="857"/>
      <c r="M360" s="857"/>
      <c r="N360" s="857"/>
      <c r="O360" s="857"/>
      <c r="P360" s="857"/>
      <c r="Q360" s="857"/>
      <c r="R360" s="857">
        <f t="shared" si="62"/>
        <v>0</v>
      </c>
      <c r="S360" s="857"/>
      <c r="T360" s="533"/>
      <c r="U360" s="533"/>
      <c r="V360" s="857">
        <f>U360*T360</f>
        <v>0</v>
      </c>
      <c r="W360" s="857"/>
      <c r="X360" s="857"/>
      <c r="Y360" s="857">
        <f>X360*W360</f>
        <v>0</v>
      </c>
      <c r="Z360" s="559">
        <f t="shared" si="63"/>
        <v>0</v>
      </c>
      <c r="AA360" s="559" t="str">
        <f t="shared" si="61"/>
        <v>-</v>
      </c>
      <c r="AB360" s="1940" t="s">
        <v>1965</v>
      </c>
      <c r="AC360" s="491" t="s">
        <v>1665</v>
      </c>
      <c r="AF360" s="466"/>
      <c r="AG360" s="465"/>
      <c r="AH360" s="465"/>
    </row>
    <row r="361" spans="1:34" s="498" customFormat="1" ht="26.25" hidden="1" x14ac:dyDescent="0.25">
      <c r="A361" s="962"/>
      <c r="B361" s="502" t="s">
        <v>1966</v>
      </c>
      <c r="C361" s="501"/>
      <c r="D361" s="903"/>
      <c r="E361" s="882" t="s">
        <v>227</v>
      </c>
      <c r="F361" s="557"/>
      <c r="G361" s="558"/>
      <c r="H361" s="559"/>
      <c r="I361" s="857"/>
      <c r="J361" s="857"/>
      <c r="K361" s="857"/>
      <c r="L361" s="857"/>
      <c r="M361" s="857"/>
      <c r="N361" s="857"/>
      <c r="O361" s="857">
        <v>1</v>
      </c>
      <c r="P361" s="857">
        <v>25</v>
      </c>
      <c r="Q361" s="857">
        <f>P361*O361</f>
        <v>25</v>
      </c>
      <c r="R361" s="857">
        <f t="shared" si="62"/>
        <v>25</v>
      </c>
      <c r="S361" s="857"/>
      <c r="T361" s="533"/>
      <c r="U361" s="533"/>
      <c r="V361" s="857">
        <f>U361*T361</f>
        <v>0</v>
      </c>
      <c r="W361" s="857"/>
      <c r="X361" s="857"/>
      <c r="Y361" s="857">
        <f>X361*W361</f>
        <v>0</v>
      </c>
      <c r="Z361" s="559">
        <f t="shared" si="63"/>
        <v>25</v>
      </c>
      <c r="AA361" s="559" t="str">
        <f t="shared" si="61"/>
        <v>-</v>
      </c>
      <c r="AB361" s="1940" t="s">
        <v>1967</v>
      </c>
      <c r="AC361" s="491" t="s">
        <v>1665</v>
      </c>
      <c r="AF361" s="466"/>
      <c r="AG361" s="465"/>
      <c r="AH361" s="465"/>
    </row>
    <row r="362" spans="1:34" s="492" customFormat="1" ht="14.25" hidden="1" x14ac:dyDescent="0.2">
      <c r="A362" s="1240"/>
      <c r="B362" s="500" t="s">
        <v>1233</v>
      </c>
      <c r="C362" s="501" t="s">
        <v>1230</v>
      </c>
      <c r="D362" s="932"/>
      <c r="E362" s="842"/>
      <c r="F362" s="828"/>
      <c r="G362" s="829"/>
      <c r="H362" s="542">
        <f>SUM(H363:H369)</f>
        <v>25.9</v>
      </c>
      <c r="I362" s="533"/>
      <c r="J362" s="533"/>
      <c r="K362" s="533">
        <f>SUM(K363:K369)</f>
        <v>28.7</v>
      </c>
      <c r="L362" s="533"/>
      <c r="M362" s="533"/>
      <c r="N362" s="533">
        <f>SUM(N363:N369)</f>
        <v>28.7</v>
      </c>
      <c r="O362" s="533"/>
      <c r="P362" s="533"/>
      <c r="Q362" s="533">
        <f>SUM(Q363:Q369)</f>
        <v>35.700000000000003</v>
      </c>
      <c r="R362" s="533">
        <f t="shared" si="62"/>
        <v>35.700000000000003</v>
      </c>
      <c r="S362" s="533"/>
      <c r="T362" s="533"/>
      <c r="U362" s="533"/>
      <c r="V362" s="533">
        <f>SUM(V363:V369)</f>
        <v>35.700000000000003</v>
      </c>
      <c r="W362" s="533"/>
      <c r="X362" s="533"/>
      <c r="Y362" s="533">
        <f>SUM(Y363:Y369)</f>
        <v>35.700000000000003</v>
      </c>
      <c r="Z362" s="542">
        <f t="shared" si="63"/>
        <v>7</v>
      </c>
      <c r="AA362" s="542">
        <f t="shared" si="61"/>
        <v>124.4</v>
      </c>
      <c r="AB362" s="893"/>
      <c r="AC362" s="491" t="s">
        <v>1665</v>
      </c>
      <c r="AF362" s="466"/>
      <c r="AG362" s="466"/>
      <c r="AH362" s="466"/>
    </row>
    <row r="363" spans="1:34" s="498" customFormat="1" hidden="1" x14ac:dyDescent="0.25">
      <c r="A363" s="962"/>
      <c r="B363" s="502" t="s">
        <v>1737</v>
      </c>
      <c r="C363" s="503"/>
      <c r="D363" s="903"/>
      <c r="E363" s="1031" t="s">
        <v>318</v>
      </c>
      <c r="F363" s="557">
        <v>1</v>
      </c>
      <c r="G363" s="558">
        <v>3.5</v>
      </c>
      <c r="H363" s="559">
        <f>F363*G363</f>
        <v>3.5</v>
      </c>
      <c r="I363" s="857">
        <v>1</v>
      </c>
      <c r="J363" s="857">
        <v>3.5</v>
      </c>
      <c r="K363" s="857">
        <f>I363*J363</f>
        <v>3.5</v>
      </c>
      <c r="L363" s="857">
        <v>1</v>
      </c>
      <c r="M363" s="857">
        <v>3.5</v>
      </c>
      <c r="N363" s="857">
        <f>L363*M363</f>
        <v>3.5</v>
      </c>
      <c r="O363" s="857">
        <v>1</v>
      </c>
      <c r="P363" s="857">
        <v>3.5</v>
      </c>
      <c r="Q363" s="857">
        <f>P363*O363</f>
        <v>3.5</v>
      </c>
      <c r="R363" s="857">
        <f t="shared" si="62"/>
        <v>3.5</v>
      </c>
      <c r="S363" s="857"/>
      <c r="T363" s="857">
        <v>1</v>
      </c>
      <c r="U363" s="857">
        <v>3.5</v>
      </c>
      <c r="V363" s="857">
        <f>U363*T363</f>
        <v>3.5</v>
      </c>
      <c r="W363" s="857">
        <v>1</v>
      </c>
      <c r="X363" s="857">
        <v>3.5</v>
      </c>
      <c r="Y363" s="857">
        <f>X363*W363</f>
        <v>3.5</v>
      </c>
      <c r="Z363" s="559">
        <f t="shared" si="63"/>
        <v>0</v>
      </c>
      <c r="AA363" s="559">
        <f t="shared" si="61"/>
        <v>100</v>
      </c>
      <c r="AB363" s="893"/>
      <c r="AC363" s="491" t="s">
        <v>1665</v>
      </c>
      <c r="AF363" s="466"/>
      <c r="AG363" s="465"/>
      <c r="AH363" s="465"/>
    </row>
    <row r="364" spans="1:34" s="498" customFormat="1" hidden="1" x14ac:dyDescent="0.25">
      <c r="A364" s="962"/>
      <c r="B364" s="502" t="s">
        <v>1968</v>
      </c>
      <c r="C364" s="503"/>
      <c r="D364" s="903"/>
      <c r="E364" s="1031" t="s">
        <v>318</v>
      </c>
      <c r="F364" s="557">
        <v>6</v>
      </c>
      <c r="G364" s="558">
        <v>1.8</v>
      </c>
      <c r="H364" s="559">
        <f>F364*G364</f>
        <v>10.8</v>
      </c>
      <c r="I364" s="857">
        <v>6</v>
      </c>
      <c r="J364" s="857">
        <v>1.8</v>
      </c>
      <c r="K364" s="857">
        <f>I364*J364</f>
        <v>10.8</v>
      </c>
      <c r="L364" s="857">
        <v>6</v>
      </c>
      <c r="M364" s="857">
        <v>1.8</v>
      </c>
      <c r="N364" s="857">
        <f>L364*M364</f>
        <v>10.8</v>
      </c>
      <c r="O364" s="857">
        <v>6</v>
      </c>
      <c r="P364" s="857">
        <v>1.8</v>
      </c>
      <c r="Q364" s="857">
        <f>P364*O364</f>
        <v>10.8</v>
      </c>
      <c r="R364" s="857">
        <f t="shared" si="62"/>
        <v>10.8</v>
      </c>
      <c r="S364" s="857"/>
      <c r="T364" s="857">
        <v>6</v>
      </c>
      <c r="U364" s="857">
        <v>1.8</v>
      </c>
      <c r="V364" s="857">
        <f>U364*T364</f>
        <v>10.8</v>
      </c>
      <c r="W364" s="857">
        <v>6</v>
      </c>
      <c r="X364" s="857">
        <v>1.8</v>
      </c>
      <c r="Y364" s="857">
        <f>X364*W364</f>
        <v>10.8</v>
      </c>
      <c r="Z364" s="559">
        <f t="shared" si="63"/>
        <v>0</v>
      </c>
      <c r="AA364" s="559">
        <f t="shared" si="61"/>
        <v>100</v>
      </c>
      <c r="AB364" s="893"/>
      <c r="AC364" s="491" t="s">
        <v>1665</v>
      </c>
      <c r="AF364" s="466"/>
      <c r="AG364" s="465"/>
      <c r="AH364" s="465"/>
    </row>
    <row r="365" spans="1:34" s="498" customFormat="1" hidden="1" x14ac:dyDescent="0.25">
      <c r="A365" s="962"/>
      <c r="B365" s="502" t="s">
        <v>1366</v>
      </c>
      <c r="C365" s="501"/>
      <c r="D365" s="903"/>
      <c r="E365" s="1031" t="s">
        <v>318</v>
      </c>
      <c r="F365" s="557">
        <v>4</v>
      </c>
      <c r="G365" s="558">
        <v>1.73</v>
      </c>
      <c r="H365" s="559">
        <f>F365*G365</f>
        <v>6.9</v>
      </c>
      <c r="I365" s="857">
        <v>4</v>
      </c>
      <c r="J365" s="857">
        <v>1.7</v>
      </c>
      <c r="K365" s="857">
        <f>I365*J365</f>
        <v>6.8</v>
      </c>
      <c r="L365" s="857">
        <v>4</v>
      </c>
      <c r="M365" s="857">
        <v>1.7</v>
      </c>
      <c r="N365" s="857">
        <f>L365*M365</f>
        <v>6.8</v>
      </c>
      <c r="O365" s="857">
        <v>4</v>
      </c>
      <c r="P365" s="857">
        <v>1.7</v>
      </c>
      <c r="Q365" s="857">
        <f>P365*O365</f>
        <v>6.8</v>
      </c>
      <c r="R365" s="857">
        <f t="shared" si="62"/>
        <v>6.8</v>
      </c>
      <c r="S365" s="857"/>
      <c r="T365" s="857">
        <v>4</v>
      </c>
      <c r="U365" s="857">
        <v>1.7</v>
      </c>
      <c r="V365" s="857">
        <f>U365*T365</f>
        <v>6.8</v>
      </c>
      <c r="W365" s="857">
        <v>4</v>
      </c>
      <c r="X365" s="857">
        <v>1.7</v>
      </c>
      <c r="Y365" s="857">
        <f>X365*W365</f>
        <v>6.8</v>
      </c>
      <c r="Z365" s="559">
        <f t="shared" si="63"/>
        <v>0</v>
      </c>
      <c r="AA365" s="559">
        <f t="shared" si="61"/>
        <v>100</v>
      </c>
      <c r="AB365" s="893"/>
      <c r="AC365" s="491" t="s">
        <v>1665</v>
      </c>
      <c r="AF365" s="466"/>
      <c r="AG365" s="465"/>
      <c r="AH365" s="465"/>
    </row>
    <row r="366" spans="1:34" s="498" customFormat="1" hidden="1" x14ac:dyDescent="0.25">
      <c r="A366" s="962"/>
      <c r="B366" s="502" t="s">
        <v>1825</v>
      </c>
      <c r="C366" s="501"/>
      <c r="D366" s="903"/>
      <c r="E366" s="1031"/>
      <c r="F366" s="557"/>
      <c r="G366" s="558"/>
      <c r="H366" s="559"/>
      <c r="I366" s="857">
        <v>1</v>
      </c>
      <c r="J366" s="857">
        <v>1.5</v>
      </c>
      <c r="K366" s="857">
        <f>I366*J366</f>
        <v>1.5</v>
      </c>
      <c r="L366" s="857">
        <v>1</v>
      </c>
      <c r="M366" s="857">
        <v>1.5</v>
      </c>
      <c r="N366" s="857">
        <f>L366*M366</f>
        <v>1.5</v>
      </c>
      <c r="O366" s="857"/>
      <c r="P366" s="857"/>
      <c r="Q366" s="857"/>
      <c r="R366" s="857">
        <f t="shared" si="62"/>
        <v>0</v>
      </c>
      <c r="S366" s="857"/>
      <c r="T366" s="857"/>
      <c r="U366" s="857"/>
      <c r="V366" s="857"/>
      <c r="W366" s="857"/>
      <c r="X366" s="857"/>
      <c r="Y366" s="857"/>
      <c r="Z366" s="559">
        <f t="shared" si="63"/>
        <v>-1.5</v>
      </c>
      <c r="AA366" s="559">
        <f t="shared" si="61"/>
        <v>0</v>
      </c>
      <c r="AB366" s="1924"/>
      <c r="AC366" s="491" t="s">
        <v>1665</v>
      </c>
      <c r="AF366" s="466"/>
      <c r="AG366" s="465"/>
      <c r="AH366" s="465"/>
    </row>
    <row r="367" spans="1:34" s="498" customFormat="1" hidden="1" x14ac:dyDescent="0.25">
      <c r="A367" s="962"/>
      <c r="B367" s="1885" t="s">
        <v>1969</v>
      </c>
      <c r="C367" s="826"/>
      <c r="D367" s="1926"/>
      <c r="E367" s="1930" t="s">
        <v>318</v>
      </c>
      <c r="F367" s="1929"/>
      <c r="G367" s="1929"/>
      <c r="H367" s="1929"/>
      <c r="I367" s="1929"/>
      <c r="J367" s="1929"/>
      <c r="K367" s="1929"/>
      <c r="L367" s="1929"/>
      <c r="M367" s="1941"/>
      <c r="N367" s="1929"/>
      <c r="O367" s="1929">
        <v>1</v>
      </c>
      <c r="P367" s="1929">
        <v>3.5</v>
      </c>
      <c r="Q367" s="1942">
        <f>O367*P367</f>
        <v>3.5</v>
      </c>
      <c r="R367" s="1942">
        <f t="shared" si="62"/>
        <v>3.5</v>
      </c>
      <c r="S367" s="1942"/>
      <c r="T367" s="1929">
        <v>1</v>
      </c>
      <c r="U367" s="1929">
        <v>3.5</v>
      </c>
      <c r="V367" s="1942">
        <f>T367*U367</f>
        <v>3.5</v>
      </c>
      <c r="W367" s="1929">
        <v>1</v>
      </c>
      <c r="X367" s="1929">
        <v>3.5</v>
      </c>
      <c r="Y367" s="1942">
        <f>W367*X367</f>
        <v>3.5</v>
      </c>
      <c r="Z367" s="1929">
        <f t="shared" si="63"/>
        <v>3.5</v>
      </c>
      <c r="AA367" s="1929" t="str">
        <f t="shared" si="61"/>
        <v>-</v>
      </c>
      <c r="AB367" s="3514" t="s">
        <v>1885</v>
      </c>
      <c r="AC367" s="491" t="s">
        <v>1665</v>
      </c>
      <c r="AF367" s="466"/>
      <c r="AG367" s="465"/>
      <c r="AH367" s="465"/>
    </row>
    <row r="368" spans="1:34" s="498" customFormat="1" hidden="1" x14ac:dyDescent="0.25">
      <c r="A368" s="962"/>
      <c r="B368" s="1885" t="s">
        <v>1970</v>
      </c>
      <c r="C368" s="826"/>
      <c r="D368" s="1926"/>
      <c r="E368" s="1930" t="s">
        <v>318</v>
      </c>
      <c r="F368" s="1929"/>
      <c r="G368" s="1929"/>
      <c r="H368" s="1929"/>
      <c r="I368" s="1929"/>
      <c r="J368" s="1929"/>
      <c r="K368" s="1929"/>
      <c r="L368" s="1929"/>
      <c r="M368" s="1941"/>
      <c r="N368" s="1929"/>
      <c r="O368" s="1929">
        <v>1</v>
      </c>
      <c r="P368" s="1929">
        <v>3.5</v>
      </c>
      <c r="Q368" s="1942">
        <f>O368*P368</f>
        <v>3.5</v>
      </c>
      <c r="R368" s="1942">
        <f t="shared" si="62"/>
        <v>3.5</v>
      </c>
      <c r="S368" s="1942"/>
      <c r="T368" s="1929">
        <v>1</v>
      </c>
      <c r="U368" s="1929">
        <v>3.5</v>
      </c>
      <c r="V368" s="1942">
        <f>T368*U368</f>
        <v>3.5</v>
      </c>
      <c r="W368" s="1929">
        <v>1</v>
      </c>
      <c r="X368" s="1929">
        <v>3.5</v>
      </c>
      <c r="Y368" s="1942">
        <f>W368*X368</f>
        <v>3.5</v>
      </c>
      <c r="Z368" s="1929">
        <f t="shared" si="63"/>
        <v>3.5</v>
      </c>
      <c r="AA368" s="1929" t="str">
        <f t="shared" si="61"/>
        <v>-</v>
      </c>
      <c r="AB368" s="3516"/>
      <c r="AC368" s="491" t="s">
        <v>1665</v>
      </c>
      <c r="AF368" s="466"/>
      <c r="AG368" s="465"/>
      <c r="AH368" s="465"/>
    </row>
    <row r="369" spans="1:34" s="498" customFormat="1" hidden="1" x14ac:dyDescent="0.25">
      <c r="A369" s="962"/>
      <c r="B369" s="502" t="s">
        <v>1971</v>
      </c>
      <c r="C369" s="503"/>
      <c r="D369" s="903"/>
      <c r="E369" s="1031"/>
      <c r="F369" s="557"/>
      <c r="G369" s="558"/>
      <c r="H369" s="559">
        <v>4.7</v>
      </c>
      <c r="I369" s="857"/>
      <c r="J369" s="857"/>
      <c r="K369" s="857">
        <f>(K363+K364+K365+K366)*27.1/100</f>
        <v>6.1</v>
      </c>
      <c r="L369" s="857"/>
      <c r="M369" s="857"/>
      <c r="N369" s="857">
        <f>(N363+N364+N365+N366)*27.1/100</f>
        <v>6.1</v>
      </c>
      <c r="O369" s="857"/>
      <c r="P369" s="857"/>
      <c r="Q369" s="857">
        <f>SUM(Q363:Q368)*0.271</f>
        <v>7.6</v>
      </c>
      <c r="R369" s="857">
        <f t="shared" si="62"/>
        <v>7.6</v>
      </c>
      <c r="S369" s="857"/>
      <c r="T369" s="857"/>
      <c r="U369" s="857"/>
      <c r="V369" s="857">
        <f>SUM(V363:V368)*0.271</f>
        <v>7.6</v>
      </c>
      <c r="W369" s="857"/>
      <c r="X369" s="857"/>
      <c r="Y369" s="857">
        <f>SUM(Y363:Y368)*0.271</f>
        <v>7.6</v>
      </c>
      <c r="Z369" s="559">
        <f t="shared" si="63"/>
        <v>1.5</v>
      </c>
      <c r="AA369" s="559">
        <f t="shared" si="61"/>
        <v>124.6</v>
      </c>
      <c r="AB369" s="893"/>
      <c r="AC369" s="491" t="s">
        <v>1665</v>
      </c>
      <c r="AF369" s="466"/>
      <c r="AG369" s="465"/>
      <c r="AH369" s="465"/>
    </row>
    <row r="370" spans="1:34" s="492" customFormat="1" ht="25.5" hidden="1" x14ac:dyDescent="0.2">
      <c r="A370" s="1240"/>
      <c r="B370" s="500" t="s">
        <v>1972</v>
      </c>
      <c r="C370" s="501" t="s">
        <v>800</v>
      </c>
      <c r="D370" s="932"/>
      <c r="E370" s="842" t="s">
        <v>227</v>
      </c>
      <c r="F370" s="828">
        <v>1</v>
      </c>
      <c r="G370" s="829">
        <v>3.5</v>
      </c>
      <c r="H370" s="542">
        <f>F370*G370</f>
        <v>3.5</v>
      </c>
      <c r="I370" s="533">
        <v>1</v>
      </c>
      <c r="J370" s="533">
        <v>3.5</v>
      </c>
      <c r="K370" s="533">
        <f>I370*J370</f>
        <v>3.5</v>
      </c>
      <c r="L370" s="533">
        <v>1</v>
      </c>
      <c r="M370" s="533">
        <v>3.5</v>
      </c>
      <c r="N370" s="533">
        <f>L370*M370</f>
        <v>3.5</v>
      </c>
      <c r="O370" s="533">
        <v>1</v>
      </c>
      <c r="P370" s="533">
        <v>3.5</v>
      </c>
      <c r="Q370" s="533">
        <f>O370*P370</f>
        <v>3.5</v>
      </c>
      <c r="R370" s="533">
        <f t="shared" si="62"/>
        <v>3.5</v>
      </c>
      <c r="S370" s="533"/>
      <c r="T370" s="533">
        <v>1</v>
      </c>
      <c r="U370" s="533">
        <v>3.5</v>
      </c>
      <c r="V370" s="533">
        <f>T370*U370</f>
        <v>3.5</v>
      </c>
      <c r="W370" s="533">
        <v>1</v>
      </c>
      <c r="X370" s="533">
        <v>3.5</v>
      </c>
      <c r="Y370" s="533">
        <f>W370*X370</f>
        <v>3.5</v>
      </c>
      <c r="Z370" s="542">
        <f t="shared" si="63"/>
        <v>0</v>
      </c>
      <c r="AA370" s="542">
        <f t="shared" si="61"/>
        <v>100</v>
      </c>
      <c r="AB370" s="893"/>
      <c r="AC370" s="491" t="s">
        <v>1665</v>
      </c>
      <c r="AF370" s="466"/>
      <c r="AG370" s="466"/>
      <c r="AH370" s="466"/>
    </row>
    <row r="371" spans="1:34" s="492" customFormat="1" ht="14.25" x14ac:dyDescent="0.2">
      <c r="A371" s="1240"/>
      <c r="B371" s="865" t="s">
        <v>1973</v>
      </c>
      <c r="C371" s="501" t="s">
        <v>797</v>
      </c>
      <c r="D371" s="932"/>
      <c r="E371" s="842" t="s">
        <v>227</v>
      </c>
      <c r="F371" s="828">
        <v>34</v>
      </c>
      <c r="G371" s="829">
        <v>0.1</v>
      </c>
      <c r="H371" s="542">
        <f>F371*G371</f>
        <v>3.4</v>
      </c>
      <c r="I371" s="533">
        <v>34</v>
      </c>
      <c r="J371" s="533">
        <v>0.1</v>
      </c>
      <c r="K371" s="533">
        <f>I371*J371</f>
        <v>3.4</v>
      </c>
      <c r="L371" s="533">
        <v>34</v>
      </c>
      <c r="M371" s="533">
        <v>0.1</v>
      </c>
      <c r="N371" s="533">
        <f>L371*M371</f>
        <v>3.4</v>
      </c>
      <c r="O371" s="533">
        <v>30</v>
      </c>
      <c r="P371" s="533">
        <v>0.1</v>
      </c>
      <c r="Q371" s="533">
        <f>O371*P371</f>
        <v>3</v>
      </c>
      <c r="R371" s="533">
        <f t="shared" si="62"/>
        <v>3</v>
      </c>
      <c r="S371" s="533"/>
      <c r="T371" s="533">
        <v>30</v>
      </c>
      <c r="U371" s="533">
        <v>0.1</v>
      </c>
      <c r="V371" s="533">
        <f>T371*U371</f>
        <v>3</v>
      </c>
      <c r="W371" s="533">
        <v>30</v>
      </c>
      <c r="X371" s="533">
        <v>0.1</v>
      </c>
      <c r="Y371" s="533">
        <f>W371*X371</f>
        <v>3</v>
      </c>
      <c r="Z371" s="542">
        <f t="shared" si="63"/>
        <v>-0.4</v>
      </c>
      <c r="AA371" s="542">
        <f t="shared" ref="AA371:AA396" si="64">IFERROR(Q371/K371*100,"-")</f>
        <v>88.2</v>
      </c>
      <c r="AB371" s="893"/>
      <c r="AC371" s="491" t="s">
        <v>1665</v>
      </c>
      <c r="AF371" s="466"/>
      <c r="AG371" s="466"/>
      <c r="AH371" s="466"/>
    </row>
    <row r="372" spans="1:34" s="492" customFormat="1" ht="14.25" x14ac:dyDescent="0.2">
      <c r="A372" s="1240"/>
      <c r="B372" s="865" t="s">
        <v>1226</v>
      </c>
      <c r="C372" s="508" t="s">
        <v>797</v>
      </c>
      <c r="D372" s="932"/>
      <c r="E372" s="842"/>
      <c r="F372" s="828"/>
      <c r="G372" s="829"/>
      <c r="H372" s="542">
        <f>SUM(H373:H374)</f>
        <v>13.6</v>
      </c>
      <c r="I372" s="533"/>
      <c r="J372" s="533"/>
      <c r="K372" s="533">
        <f>SUM(K373:K374)</f>
        <v>7.5</v>
      </c>
      <c r="L372" s="533"/>
      <c r="M372" s="533"/>
      <c r="N372" s="533">
        <f>SUM(N373:N374)</f>
        <v>7.5</v>
      </c>
      <c r="O372" s="533"/>
      <c r="P372" s="533"/>
      <c r="Q372" s="533">
        <f>SUM(Q373:Q374)</f>
        <v>7.5</v>
      </c>
      <c r="R372" s="533">
        <f t="shared" si="62"/>
        <v>7.5</v>
      </c>
      <c r="S372" s="533"/>
      <c r="T372" s="533"/>
      <c r="U372" s="533"/>
      <c r="V372" s="533">
        <f>SUM(V373:V374)</f>
        <v>7.5</v>
      </c>
      <c r="W372" s="533"/>
      <c r="X372" s="533"/>
      <c r="Y372" s="533">
        <f>SUM(Y373:Y374)</f>
        <v>7.5</v>
      </c>
      <c r="Z372" s="542">
        <f t="shared" si="63"/>
        <v>0</v>
      </c>
      <c r="AA372" s="542">
        <f t="shared" si="64"/>
        <v>100</v>
      </c>
      <c r="AB372" s="893"/>
      <c r="AC372" s="491" t="s">
        <v>1665</v>
      </c>
      <c r="AF372" s="466"/>
      <c r="AG372" s="466"/>
      <c r="AH372" s="466"/>
    </row>
    <row r="373" spans="1:34" s="498" customFormat="1" hidden="1" x14ac:dyDescent="0.25">
      <c r="A373" s="962"/>
      <c r="B373" s="502" t="s">
        <v>1974</v>
      </c>
      <c r="C373" s="503"/>
      <c r="D373" s="903"/>
      <c r="E373" s="1031" t="s">
        <v>227</v>
      </c>
      <c r="F373" s="557">
        <v>15</v>
      </c>
      <c r="G373" s="558">
        <v>0.6</v>
      </c>
      <c r="H373" s="559">
        <f>F373*G373</f>
        <v>9</v>
      </c>
      <c r="I373" s="857">
        <v>15</v>
      </c>
      <c r="J373" s="857">
        <v>0.3</v>
      </c>
      <c r="K373" s="857">
        <f>I373*J373</f>
        <v>4.5</v>
      </c>
      <c r="L373" s="857">
        <v>15</v>
      </c>
      <c r="M373" s="857">
        <v>0.3</v>
      </c>
      <c r="N373" s="857">
        <f>L373*M373</f>
        <v>4.5</v>
      </c>
      <c r="O373" s="857">
        <v>15</v>
      </c>
      <c r="P373" s="857">
        <v>0.3</v>
      </c>
      <c r="Q373" s="857">
        <f>O373*P373</f>
        <v>4.5</v>
      </c>
      <c r="R373" s="857">
        <f t="shared" si="62"/>
        <v>4.5</v>
      </c>
      <c r="S373" s="857"/>
      <c r="T373" s="857">
        <v>15</v>
      </c>
      <c r="U373" s="857">
        <v>0.3</v>
      </c>
      <c r="V373" s="857">
        <f>T373*U373</f>
        <v>4.5</v>
      </c>
      <c r="W373" s="857">
        <v>15</v>
      </c>
      <c r="X373" s="857">
        <v>0.3</v>
      </c>
      <c r="Y373" s="857">
        <f>W373*X373</f>
        <v>4.5</v>
      </c>
      <c r="Z373" s="559">
        <f t="shared" si="63"/>
        <v>0</v>
      </c>
      <c r="AA373" s="559">
        <f t="shared" si="64"/>
        <v>100</v>
      </c>
      <c r="AB373" s="893"/>
      <c r="AC373" s="491" t="s">
        <v>1665</v>
      </c>
      <c r="AF373" s="466"/>
      <c r="AG373" s="465"/>
      <c r="AH373" s="465"/>
    </row>
    <row r="374" spans="1:34" s="498" customFormat="1" hidden="1" x14ac:dyDescent="0.25">
      <c r="A374" s="962"/>
      <c r="B374" s="502" t="s">
        <v>1909</v>
      </c>
      <c r="C374" s="503"/>
      <c r="D374" s="903"/>
      <c r="E374" s="1031" t="s">
        <v>1240</v>
      </c>
      <c r="F374" s="557">
        <v>23</v>
      </c>
      <c r="G374" s="558">
        <v>0.2</v>
      </c>
      <c r="H374" s="559">
        <f>F374*G374</f>
        <v>4.5999999999999996</v>
      </c>
      <c r="I374" s="857">
        <v>15</v>
      </c>
      <c r="J374" s="857">
        <v>0.2</v>
      </c>
      <c r="K374" s="857">
        <f>I374*J374</f>
        <v>3</v>
      </c>
      <c r="L374" s="857">
        <v>15</v>
      </c>
      <c r="M374" s="857">
        <v>0.2</v>
      </c>
      <c r="N374" s="857">
        <f>L374*M374</f>
        <v>3</v>
      </c>
      <c r="O374" s="857">
        <v>15</v>
      </c>
      <c r="P374" s="857">
        <v>0.2</v>
      </c>
      <c r="Q374" s="857">
        <f>O374*P374</f>
        <v>3</v>
      </c>
      <c r="R374" s="857">
        <f t="shared" si="62"/>
        <v>3</v>
      </c>
      <c r="S374" s="857"/>
      <c r="T374" s="857">
        <v>15</v>
      </c>
      <c r="U374" s="857">
        <v>0.2</v>
      </c>
      <c r="V374" s="857">
        <f>T374*U374</f>
        <v>3</v>
      </c>
      <c r="W374" s="857">
        <v>15</v>
      </c>
      <c r="X374" s="857">
        <v>0.2</v>
      </c>
      <c r="Y374" s="857">
        <f>W374*X374</f>
        <v>3</v>
      </c>
      <c r="Z374" s="559">
        <f t="shared" si="63"/>
        <v>0</v>
      </c>
      <c r="AA374" s="559">
        <f t="shared" si="64"/>
        <v>100</v>
      </c>
      <c r="AB374" s="893"/>
      <c r="AC374" s="491" t="s">
        <v>1665</v>
      </c>
      <c r="AF374" s="466"/>
      <c r="AG374" s="465"/>
      <c r="AH374" s="465"/>
    </row>
    <row r="375" spans="1:34" s="492" customFormat="1" ht="14.25" hidden="1" x14ac:dyDescent="0.2">
      <c r="A375" s="1240"/>
      <c r="B375" s="500" t="s">
        <v>1227</v>
      </c>
      <c r="C375" s="501" t="s">
        <v>1237</v>
      </c>
      <c r="D375" s="932"/>
      <c r="E375" s="842" t="s">
        <v>1829</v>
      </c>
      <c r="F375" s="828">
        <v>3</v>
      </c>
      <c r="G375" s="829">
        <v>2.5</v>
      </c>
      <c r="H375" s="542">
        <f>F375*G375</f>
        <v>7.5</v>
      </c>
      <c r="I375" s="533">
        <v>3</v>
      </c>
      <c r="J375" s="533">
        <v>2.5</v>
      </c>
      <c r="K375" s="533">
        <f>I375*J375</f>
        <v>7.5</v>
      </c>
      <c r="L375" s="533">
        <v>3</v>
      </c>
      <c r="M375" s="533">
        <v>2.5</v>
      </c>
      <c r="N375" s="533">
        <f>L375*M375</f>
        <v>7.5</v>
      </c>
      <c r="O375" s="533">
        <v>3</v>
      </c>
      <c r="P375" s="533">
        <v>2.5</v>
      </c>
      <c r="Q375" s="533">
        <f>O375*P375</f>
        <v>7.5</v>
      </c>
      <c r="R375" s="533">
        <f t="shared" si="62"/>
        <v>7.5</v>
      </c>
      <c r="S375" s="533"/>
      <c r="T375" s="533">
        <v>3</v>
      </c>
      <c r="U375" s="533">
        <v>2.5</v>
      </c>
      <c r="V375" s="533">
        <f>T375*U375</f>
        <v>7.5</v>
      </c>
      <c r="W375" s="533">
        <v>3</v>
      </c>
      <c r="X375" s="533">
        <v>2.5</v>
      </c>
      <c r="Y375" s="533">
        <f>W375*X375</f>
        <v>7.5</v>
      </c>
      <c r="Z375" s="542">
        <f t="shared" si="63"/>
        <v>0</v>
      </c>
      <c r="AA375" s="542">
        <f t="shared" si="64"/>
        <v>100</v>
      </c>
      <c r="AB375" s="893"/>
      <c r="AC375" s="491" t="s">
        <v>1665</v>
      </c>
      <c r="AF375" s="466"/>
      <c r="AG375" s="466"/>
      <c r="AH375" s="466"/>
    </row>
    <row r="376" spans="1:34" s="871" customFormat="1" ht="14.25" hidden="1" x14ac:dyDescent="0.2">
      <c r="A376" s="869"/>
      <c r="B376" s="917" t="s">
        <v>1375</v>
      </c>
      <c r="C376" s="868"/>
      <c r="D376" s="869"/>
      <c r="E376" s="870"/>
      <c r="F376" s="918"/>
      <c r="G376" s="919"/>
      <c r="H376" s="886">
        <f>H381+H387+H393+H394+H395+H396</f>
        <v>116.5</v>
      </c>
      <c r="I376" s="886"/>
      <c r="J376" s="886"/>
      <c r="K376" s="886">
        <f>K381+K387+K393+K394+K395+K396</f>
        <v>69.400000000000006</v>
      </c>
      <c r="L376" s="886"/>
      <c r="M376" s="886"/>
      <c r="N376" s="886">
        <f>N381+N387+N393+N394+N395+N396</f>
        <v>69.400000000000006</v>
      </c>
      <c r="O376" s="886"/>
      <c r="P376" s="886"/>
      <c r="Q376" s="886">
        <f>Q377+Q381+Q387+Q393+Q394+Q395+Q396</f>
        <v>137.9</v>
      </c>
      <c r="R376" s="886">
        <f t="shared" si="62"/>
        <v>137.9</v>
      </c>
      <c r="S376" s="886"/>
      <c r="T376" s="886"/>
      <c r="U376" s="886"/>
      <c r="V376" s="886">
        <f>V377+V381+V387+V393+V394+V395+V396</f>
        <v>133.69999999999999</v>
      </c>
      <c r="W376" s="886"/>
      <c r="X376" s="886"/>
      <c r="Y376" s="886">
        <f>Y377+Y381+Y387+Y393+Y394+Y395+Y396</f>
        <v>133.69999999999999</v>
      </c>
      <c r="Z376" s="886">
        <f t="shared" si="63"/>
        <v>68.5</v>
      </c>
      <c r="AA376" s="886">
        <f t="shared" si="64"/>
        <v>198.7</v>
      </c>
      <c r="AB376" s="896"/>
      <c r="AC376" s="920" t="s">
        <v>1665</v>
      </c>
      <c r="AF376" s="872"/>
      <c r="AG376" s="872"/>
      <c r="AH376" s="872"/>
    </row>
    <row r="377" spans="1:34" s="492" customFormat="1" ht="14.25" hidden="1" x14ac:dyDescent="0.2">
      <c r="A377" s="1240"/>
      <c r="B377" s="500" t="s">
        <v>1233</v>
      </c>
      <c r="C377" s="501" t="s">
        <v>1230</v>
      </c>
      <c r="D377" s="1240"/>
      <c r="E377" s="842"/>
      <c r="F377" s="828"/>
      <c r="G377" s="829"/>
      <c r="H377" s="542"/>
      <c r="I377" s="542"/>
      <c r="J377" s="542"/>
      <c r="K377" s="542"/>
      <c r="L377" s="542"/>
      <c r="M377" s="542"/>
      <c r="N377" s="542"/>
      <c r="O377" s="533"/>
      <c r="P377" s="533"/>
      <c r="Q377" s="533">
        <f>SUM(Q378:Q380)</f>
        <v>6.4</v>
      </c>
      <c r="R377" s="533">
        <f t="shared" si="62"/>
        <v>6.4</v>
      </c>
      <c r="S377" s="533"/>
      <c r="T377" s="533"/>
      <c r="U377" s="533"/>
      <c r="V377" s="533">
        <f>SUM(V378:V380)</f>
        <v>12.2</v>
      </c>
      <c r="W377" s="533"/>
      <c r="X377" s="533"/>
      <c r="Y377" s="533">
        <f>SUM(Y378:Y380)</f>
        <v>12.2</v>
      </c>
      <c r="Z377" s="542">
        <f t="shared" si="63"/>
        <v>6.4</v>
      </c>
      <c r="AA377" s="542" t="str">
        <f t="shared" si="64"/>
        <v>-</v>
      </c>
      <c r="AB377" s="893"/>
      <c r="AC377" s="491" t="s">
        <v>1665</v>
      </c>
      <c r="AF377" s="466"/>
      <c r="AG377" s="466"/>
      <c r="AH377" s="466"/>
    </row>
    <row r="378" spans="1:34" s="492" customFormat="1" ht="38.25" hidden="1" x14ac:dyDescent="0.2">
      <c r="A378" s="1240"/>
      <c r="B378" s="502" t="s">
        <v>1975</v>
      </c>
      <c r="C378" s="501"/>
      <c r="D378" s="1240"/>
      <c r="E378" s="842"/>
      <c r="F378" s="828"/>
      <c r="G378" s="829"/>
      <c r="H378" s="542"/>
      <c r="I378" s="542"/>
      <c r="J378" s="542"/>
      <c r="K378" s="542"/>
      <c r="L378" s="542"/>
      <c r="M378" s="542"/>
      <c r="N378" s="542"/>
      <c r="O378" s="559">
        <v>1</v>
      </c>
      <c r="P378" s="559">
        <v>5</v>
      </c>
      <c r="Q378" s="857">
        <f>O378*P378</f>
        <v>5</v>
      </c>
      <c r="R378" s="857">
        <f t="shared" si="62"/>
        <v>5</v>
      </c>
      <c r="S378" s="857"/>
      <c r="T378" s="559">
        <v>1</v>
      </c>
      <c r="U378" s="559">
        <v>5</v>
      </c>
      <c r="V378" s="857">
        <f>T378*U378</f>
        <v>5</v>
      </c>
      <c r="W378" s="559">
        <v>1</v>
      </c>
      <c r="X378" s="559">
        <v>5</v>
      </c>
      <c r="Y378" s="857">
        <f>W378*X378</f>
        <v>5</v>
      </c>
      <c r="Z378" s="542">
        <f t="shared" si="63"/>
        <v>5</v>
      </c>
      <c r="AA378" s="542" t="str">
        <f t="shared" si="64"/>
        <v>-</v>
      </c>
      <c r="AB378" s="843" t="s">
        <v>1976</v>
      </c>
      <c r="AC378" s="491" t="s">
        <v>1665</v>
      </c>
      <c r="AF378" s="466"/>
      <c r="AG378" s="466"/>
      <c r="AH378" s="466"/>
    </row>
    <row r="379" spans="1:34" s="492" customFormat="1" ht="14.25" hidden="1" x14ac:dyDescent="0.2">
      <c r="A379" s="1240"/>
      <c r="B379" s="502" t="s">
        <v>1761</v>
      </c>
      <c r="C379" s="501"/>
      <c r="D379" s="1240"/>
      <c r="E379" s="842"/>
      <c r="F379" s="828"/>
      <c r="G379" s="829"/>
      <c r="H379" s="542"/>
      <c r="I379" s="542"/>
      <c r="J379" s="542"/>
      <c r="K379" s="542"/>
      <c r="L379" s="542"/>
      <c r="M379" s="542"/>
      <c r="N379" s="542"/>
      <c r="O379" s="559"/>
      <c r="P379" s="559"/>
      <c r="Q379" s="857"/>
      <c r="R379" s="857">
        <f t="shared" si="62"/>
        <v>0</v>
      </c>
      <c r="S379" s="857"/>
      <c r="T379" s="559">
        <v>2</v>
      </c>
      <c r="U379" s="559">
        <v>2.2999999999999998</v>
      </c>
      <c r="V379" s="857">
        <f>T379*U379</f>
        <v>4.5999999999999996</v>
      </c>
      <c r="W379" s="559">
        <v>2</v>
      </c>
      <c r="X379" s="559">
        <v>2.2999999999999998</v>
      </c>
      <c r="Y379" s="857">
        <f>W379*X379</f>
        <v>4.5999999999999996</v>
      </c>
      <c r="Z379" s="542">
        <f t="shared" si="63"/>
        <v>0</v>
      </c>
      <c r="AA379" s="542" t="str">
        <f t="shared" si="64"/>
        <v>-</v>
      </c>
      <c r="AB379" s="1887"/>
      <c r="AC379" s="491" t="s">
        <v>1665</v>
      </c>
      <c r="AF379" s="466"/>
      <c r="AG379" s="466"/>
      <c r="AH379" s="466"/>
    </row>
    <row r="380" spans="1:34" s="492" customFormat="1" ht="14.25" hidden="1" x14ac:dyDescent="0.2">
      <c r="A380" s="1240"/>
      <c r="B380" s="502" t="s">
        <v>1971</v>
      </c>
      <c r="C380" s="501"/>
      <c r="D380" s="1240"/>
      <c r="E380" s="842"/>
      <c r="F380" s="828"/>
      <c r="G380" s="829"/>
      <c r="H380" s="542"/>
      <c r="I380" s="542"/>
      <c r="J380" s="542"/>
      <c r="K380" s="542"/>
      <c r="L380" s="542"/>
      <c r="M380" s="542"/>
      <c r="N380" s="542"/>
      <c r="O380" s="857"/>
      <c r="P380" s="857"/>
      <c r="Q380" s="857">
        <f>(Q378+Q379)*27.1/100</f>
        <v>1.4</v>
      </c>
      <c r="R380" s="857">
        <f t="shared" si="62"/>
        <v>1.4</v>
      </c>
      <c r="S380" s="857"/>
      <c r="T380" s="857"/>
      <c r="U380" s="857"/>
      <c r="V380" s="857">
        <f>(V378+V379)*27.1/100</f>
        <v>2.6</v>
      </c>
      <c r="W380" s="857"/>
      <c r="X380" s="857"/>
      <c r="Y380" s="857">
        <f>(Y378+Y379)*27.1/100</f>
        <v>2.6</v>
      </c>
      <c r="Z380" s="542">
        <f t="shared" si="63"/>
        <v>1.4</v>
      </c>
      <c r="AA380" s="542" t="str">
        <f t="shared" si="64"/>
        <v>-</v>
      </c>
      <c r="AB380" s="893"/>
      <c r="AC380" s="491" t="s">
        <v>1665</v>
      </c>
      <c r="AF380" s="466"/>
      <c r="AG380" s="466"/>
      <c r="AH380" s="466"/>
    </row>
    <row r="381" spans="1:34" s="492" customFormat="1" ht="14.25" x14ac:dyDescent="0.2">
      <c r="A381" s="1240"/>
      <c r="B381" s="500" t="s">
        <v>1226</v>
      </c>
      <c r="C381" s="501" t="s">
        <v>797</v>
      </c>
      <c r="D381" s="932"/>
      <c r="E381" s="842"/>
      <c r="F381" s="828"/>
      <c r="G381" s="829"/>
      <c r="H381" s="542">
        <f>SUM(H382:H384)</f>
        <v>18.100000000000001</v>
      </c>
      <c r="I381" s="533"/>
      <c r="J381" s="533"/>
      <c r="K381" s="533">
        <f>SUM(K382:K385)</f>
        <v>17</v>
      </c>
      <c r="L381" s="533"/>
      <c r="M381" s="533"/>
      <c r="N381" s="533">
        <f>SUM(N382:N385)</f>
        <v>17</v>
      </c>
      <c r="O381" s="533"/>
      <c r="P381" s="533"/>
      <c r="Q381" s="533">
        <f>SUM(Q382:Q386)</f>
        <v>15</v>
      </c>
      <c r="R381" s="533">
        <f>Q381-5</f>
        <v>10</v>
      </c>
      <c r="S381" s="533"/>
      <c r="T381" s="533"/>
      <c r="U381" s="533"/>
      <c r="V381" s="533">
        <f>SUM(V382:V386)-5</f>
        <v>10</v>
      </c>
      <c r="W381" s="533"/>
      <c r="X381" s="533"/>
      <c r="Y381" s="533">
        <f>SUM(Y382:Y386)-5</f>
        <v>10</v>
      </c>
      <c r="Z381" s="542">
        <f t="shared" si="63"/>
        <v>-2</v>
      </c>
      <c r="AA381" s="542">
        <f t="shared" si="64"/>
        <v>88.2</v>
      </c>
      <c r="AB381" s="901"/>
      <c r="AC381" s="491" t="s">
        <v>1665</v>
      </c>
      <c r="AF381" s="466"/>
      <c r="AG381" s="466"/>
      <c r="AH381" s="466"/>
    </row>
    <row r="382" spans="1:34" s="498" customFormat="1" hidden="1" x14ac:dyDescent="0.25">
      <c r="A382" s="962"/>
      <c r="B382" s="502" t="s">
        <v>1977</v>
      </c>
      <c r="C382" s="503"/>
      <c r="D382" s="903"/>
      <c r="E382" s="842" t="s">
        <v>227</v>
      </c>
      <c r="F382" s="557">
        <v>36</v>
      </c>
      <c r="G382" s="558">
        <v>0.25</v>
      </c>
      <c r="H382" s="559">
        <f>F382*G382</f>
        <v>9</v>
      </c>
      <c r="I382" s="857">
        <v>36</v>
      </c>
      <c r="J382" s="857">
        <v>0.3</v>
      </c>
      <c r="K382" s="857">
        <f>I382*J382</f>
        <v>10.8</v>
      </c>
      <c r="L382" s="857">
        <v>36</v>
      </c>
      <c r="M382" s="857">
        <v>0.3</v>
      </c>
      <c r="N382" s="857">
        <f>L382*M382</f>
        <v>10.8</v>
      </c>
      <c r="O382" s="857"/>
      <c r="P382" s="857"/>
      <c r="Q382" s="857"/>
      <c r="R382" s="857">
        <f t="shared" si="62"/>
        <v>0</v>
      </c>
      <c r="S382" s="857"/>
      <c r="T382" s="857"/>
      <c r="U382" s="857"/>
      <c r="V382" s="857"/>
      <c r="W382" s="857"/>
      <c r="X382" s="857"/>
      <c r="Y382" s="857"/>
      <c r="Z382" s="559">
        <f t="shared" si="63"/>
        <v>-10.8</v>
      </c>
      <c r="AA382" s="559">
        <f t="shared" si="64"/>
        <v>0</v>
      </c>
      <c r="AB382" s="901"/>
      <c r="AC382" s="491" t="s">
        <v>1665</v>
      </c>
      <c r="AF382" s="466"/>
      <c r="AG382" s="465"/>
      <c r="AH382" s="465"/>
    </row>
    <row r="383" spans="1:34" s="498" customFormat="1" hidden="1" x14ac:dyDescent="0.25">
      <c r="A383" s="962"/>
      <c r="B383" s="502" t="s">
        <v>1978</v>
      </c>
      <c r="C383" s="503"/>
      <c r="D383" s="903"/>
      <c r="E383" s="842" t="s">
        <v>1240</v>
      </c>
      <c r="F383" s="557">
        <v>23</v>
      </c>
      <c r="G383" s="558">
        <v>0.2</v>
      </c>
      <c r="H383" s="559">
        <f>F383*G383</f>
        <v>4.5999999999999996</v>
      </c>
      <c r="I383" s="857">
        <v>42</v>
      </c>
      <c r="J383" s="857">
        <v>0.1</v>
      </c>
      <c r="K383" s="857">
        <f>I383*J383</f>
        <v>4.2</v>
      </c>
      <c r="L383" s="857">
        <v>42</v>
      </c>
      <c r="M383" s="857">
        <v>0.1</v>
      </c>
      <c r="N383" s="857">
        <f>L383*M383</f>
        <v>4.2</v>
      </c>
      <c r="O383" s="857"/>
      <c r="P383" s="857"/>
      <c r="Q383" s="857"/>
      <c r="R383" s="857">
        <f t="shared" si="62"/>
        <v>0</v>
      </c>
      <c r="S383" s="857"/>
      <c r="T383" s="857"/>
      <c r="U383" s="857"/>
      <c r="V383" s="857"/>
      <c r="W383" s="857"/>
      <c r="X383" s="857"/>
      <c r="Y383" s="857"/>
      <c r="Z383" s="559">
        <f t="shared" si="63"/>
        <v>-4.2</v>
      </c>
      <c r="AA383" s="559">
        <f t="shared" si="64"/>
        <v>0</v>
      </c>
      <c r="AB383" s="893"/>
      <c r="AC383" s="491" t="s">
        <v>1665</v>
      </c>
      <c r="AF383" s="466"/>
      <c r="AG383" s="465"/>
      <c r="AH383" s="465"/>
    </row>
    <row r="384" spans="1:34" s="498" customFormat="1" hidden="1" x14ac:dyDescent="0.25">
      <c r="A384" s="962"/>
      <c r="B384" s="502" t="s">
        <v>1979</v>
      </c>
      <c r="C384" s="503"/>
      <c r="D384" s="903"/>
      <c r="E384" s="842" t="s">
        <v>227</v>
      </c>
      <c r="F384" s="557">
        <v>9</v>
      </c>
      <c r="G384" s="558">
        <v>0.5</v>
      </c>
      <c r="H384" s="559">
        <f>F384*G384</f>
        <v>4.5</v>
      </c>
      <c r="I384" s="857"/>
      <c r="J384" s="857"/>
      <c r="K384" s="857"/>
      <c r="L384" s="857"/>
      <c r="M384" s="857"/>
      <c r="N384" s="857"/>
      <c r="O384" s="857"/>
      <c r="P384" s="857"/>
      <c r="Q384" s="857"/>
      <c r="R384" s="857">
        <f t="shared" si="62"/>
        <v>0</v>
      </c>
      <c r="S384" s="857"/>
      <c r="T384" s="857"/>
      <c r="U384" s="857"/>
      <c r="V384" s="857"/>
      <c r="W384" s="857"/>
      <c r="X384" s="857"/>
      <c r="Y384" s="857"/>
      <c r="Z384" s="559">
        <f t="shared" si="63"/>
        <v>0</v>
      </c>
      <c r="AA384" s="559" t="str">
        <f t="shared" si="64"/>
        <v>-</v>
      </c>
      <c r="AB384" s="1943"/>
      <c r="AC384" s="491" t="s">
        <v>1665</v>
      </c>
      <c r="AF384" s="466"/>
      <c r="AG384" s="465"/>
      <c r="AH384" s="465"/>
    </row>
    <row r="385" spans="1:34" s="498" customFormat="1" hidden="1" x14ac:dyDescent="0.25">
      <c r="A385" s="962"/>
      <c r="B385" s="502" t="s">
        <v>1833</v>
      </c>
      <c r="C385" s="503"/>
      <c r="D385" s="903"/>
      <c r="E385" s="842"/>
      <c r="F385" s="557"/>
      <c r="G385" s="558"/>
      <c r="H385" s="559"/>
      <c r="I385" s="857">
        <v>2</v>
      </c>
      <c r="J385" s="857">
        <v>1</v>
      </c>
      <c r="K385" s="857">
        <f>I385*J385</f>
        <v>2</v>
      </c>
      <c r="L385" s="857">
        <v>2</v>
      </c>
      <c r="M385" s="857">
        <v>1</v>
      </c>
      <c r="N385" s="857">
        <f>L385*M385</f>
        <v>2</v>
      </c>
      <c r="O385" s="857"/>
      <c r="P385" s="857"/>
      <c r="Q385" s="857"/>
      <c r="R385" s="857">
        <f t="shared" si="62"/>
        <v>0</v>
      </c>
      <c r="S385" s="857"/>
      <c r="T385" s="857"/>
      <c r="U385" s="857"/>
      <c r="V385" s="857"/>
      <c r="W385" s="857"/>
      <c r="X385" s="857"/>
      <c r="Y385" s="857"/>
      <c r="Z385" s="559">
        <f t="shared" si="63"/>
        <v>-2</v>
      </c>
      <c r="AA385" s="559">
        <f t="shared" si="64"/>
        <v>0</v>
      </c>
      <c r="AB385" s="1943"/>
      <c r="AC385" s="491" t="s">
        <v>1665</v>
      </c>
      <c r="AF385" s="466"/>
      <c r="AG385" s="465"/>
      <c r="AH385" s="465"/>
    </row>
    <row r="386" spans="1:34" s="498" customFormat="1" ht="83.25" hidden="1" customHeight="1" x14ac:dyDescent="0.25">
      <c r="A386" s="962"/>
      <c r="B386" s="502" t="s">
        <v>1980</v>
      </c>
      <c r="C386" s="503"/>
      <c r="D386" s="903"/>
      <c r="E386" s="842"/>
      <c r="F386" s="557"/>
      <c r="G386" s="558"/>
      <c r="H386" s="559"/>
      <c r="I386" s="857"/>
      <c r="J386" s="857"/>
      <c r="K386" s="857"/>
      <c r="L386" s="857"/>
      <c r="M386" s="857"/>
      <c r="N386" s="857"/>
      <c r="O386" s="857"/>
      <c r="P386" s="857"/>
      <c r="Q386" s="857">
        <v>15</v>
      </c>
      <c r="R386" s="857">
        <f t="shared" si="62"/>
        <v>15</v>
      </c>
      <c r="S386" s="857"/>
      <c r="T386" s="857"/>
      <c r="U386" s="857"/>
      <c r="V386" s="857">
        <v>15</v>
      </c>
      <c r="W386" s="857"/>
      <c r="X386" s="857"/>
      <c r="Y386" s="857">
        <v>15</v>
      </c>
      <c r="Z386" s="559">
        <f t="shared" si="63"/>
        <v>15</v>
      </c>
      <c r="AA386" s="559" t="str">
        <f t="shared" si="64"/>
        <v>-</v>
      </c>
      <c r="AB386" s="901" t="s">
        <v>1981</v>
      </c>
      <c r="AC386" s="491" t="s">
        <v>1665</v>
      </c>
      <c r="AF386" s="466"/>
      <c r="AG386" s="465"/>
      <c r="AH386" s="465"/>
    </row>
    <row r="387" spans="1:34" s="492" customFormat="1" ht="25.5" x14ac:dyDescent="0.2">
      <c r="A387" s="1240"/>
      <c r="B387" s="500" t="s">
        <v>1239</v>
      </c>
      <c r="C387" s="501" t="s">
        <v>797</v>
      </c>
      <c r="D387" s="932"/>
      <c r="E387" s="842"/>
      <c r="F387" s="828"/>
      <c r="G387" s="829"/>
      <c r="H387" s="542">
        <f>SUM(H388:H392)</f>
        <v>19.8</v>
      </c>
      <c r="I387" s="533"/>
      <c r="J387" s="533"/>
      <c r="K387" s="533">
        <f>SUM(K388:K392)</f>
        <v>2.2000000000000002</v>
      </c>
      <c r="L387" s="533"/>
      <c r="M387" s="533"/>
      <c r="N387" s="533">
        <f>SUM(N388:N392)</f>
        <v>2.2000000000000002</v>
      </c>
      <c r="O387" s="533"/>
      <c r="P387" s="533"/>
      <c r="Q387" s="533">
        <f>SUM(Q388:Q392)</f>
        <v>5.5</v>
      </c>
      <c r="R387" s="2683">
        <f t="shared" si="62"/>
        <v>5.5</v>
      </c>
      <c r="S387" s="533"/>
      <c r="T387" s="533"/>
      <c r="U387" s="533"/>
      <c r="V387" s="533">
        <f>SUM(V388:V392)</f>
        <v>5.5</v>
      </c>
      <c r="W387" s="533"/>
      <c r="X387" s="533"/>
      <c r="Y387" s="533">
        <f>SUM(Y388:Y392)</f>
        <v>5.5</v>
      </c>
      <c r="Z387" s="542">
        <f t="shared" si="63"/>
        <v>3.3</v>
      </c>
      <c r="AA387" s="542">
        <f t="shared" si="64"/>
        <v>250</v>
      </c>
      <c r="AB387" s="1943"/>
      <c r="AC387" s="491" t="s">
        <v>1665</v>
      </c>
      <c r="AF387" s="466"/>
      <c r="AG387" s="466"/>
      <c r="AH387" s="466"/>
    </row>
    <row r="388" spans="1:34" s="498" customFormat="1" ht="114.75" hidden="1" x14ac:dyDescent="0.25">
      <c r="A388" s="962"/>
      <c r="B388" s="502" t="s">
        <v>1962</v>
      </c>
      <c r="C388" s="503"/>
      <c r="D388" s="903"/>
      <c r="E388" s="1031" t="s">
        <v>227</v>
      </c>
      <c r="F388" s="557">
        <v>40</v>
      </c>
      <c r="G388" s="558">
        <v>0.1</v>
      </c>
      <c r="H388" s="559">
        <f t="shared" ref="H388:H395" si="65">F388*G388</f>
        <v>4</v>
      </c>
      <c r="I388" s="857">
        <v>22</v>
      </c>
      <c r="J388" s="862">
        <v>0.1</v>
      </c>
      <c r="K388" s="857">
        <f t="shared" ref="K388:K394" si="66">I388*J388</f>
        <v>2.2000000000000002</v>
      </c>
      <c r="L388" s="857">
        <v>22</v>
      </c>
      <c r="M388" s="862">
        <v>0.1</v>
      </c>
      <c r="N388" s="857">
        <f>L388*M388</f>
        <v>2.2000000000000002</v>
      </c>
      <c r="O388" s="857">
        <v>25</v>
      </c>
      <c r="P388" s="857">
        <v>0.1</v>
      </c>
      <c r="Q388" s="857">
        <f>O388*P388</f>
        <v>2.5</v>
      </c>
      <c r="R388" s="857">
        <f t="shared" si="62"/>
        <v>2.5</v>
      </c>
      <c r="S388" s="857"/>
      <c r="T388" s="857">
        <v>25</v>
      </c>
      <c r="U388" s="857">
        <v>0.1</v>
      </c>
      <c r="V388" s="857">
        <f>T388*U388</f>
        <v>2.5</v>
      </c>
      <c r="W388" s="857">
        <v>25</v>
      </c>
      <c r="X388" s="857">
        <v>0.1</v>
      </c>
      <c r="Y388" s="857">
        <f>W388*X388</f>
        <v>2.5</v>
      </c>
      <c r="Z388" s="559">
        <f t="shared" si="63"/>
        <v>0.3</v>
      </c>
      <c r="AA388" s="559">
        <f t="shared" si="64"/>
        <v>113.6</v>
      </c>
      <c r="AB388" s="843" t="s">
        <v>1982</v>
      </c>
      <c r="AC388" s="491" t="s">
        <v>1665</v>
      </c>
      <c r="AF388" s="466"/>
      <c r="AG388" s="465"/>
      <c r="AH388" s="465"/>
    </row>
    <row r="389" spans="1:34" s="498" customFormat="1" hidden="1" x14ac:dyDescent="0.25">
      <c r="A389" s="962"/>
      <c r="B389" s="856" t="s">
        <v>1369</v>
      </c>
      <c r="C389" s="499"/>
      <c r="D389" s="903"/>
      <c r="E389" s="1031" t="s">
        <v>227</v>
      </c>
      <c r="F389" s="557">
        <v>4</v>
      </c>
      <c r="G389" s="558">
        <v>0.75</v>
      </c>
      <c r="H389" s="559">
        <f t="shared" si="65"/>
        <v>3</v>
      </c>
      <c r="I389" s="857"/>
      <c r="J389" s="857"/>
      <c r="K389" s="857"/>
      <c r="L389" s="857"/>
      <c r="M389" s="857"/>
      <c r="N389" s="857"/>
      <c r="O389" s="857"/>
      <c r="P389" s="857"/>
      <c r="Q389" s="857"/>
      <c r="R389" s="857">
        <f t="shared" si="62"/>
        <v>0</v>
      </c>
      <c r="S389" s="857"/>
      <c r="T389" s="857"/>
      <c r="U389" s="857"/>
      <c r="V389" s="857"/>
      <c r="W389" s="857"/>
      <c r="X389" s="857"/>
      <c r="Y389" s="857"/>
      <c r="Z389" s="559">
        <f t="shared" si="63"/>
        <v>0</v>
      </c>
      <c r="AA389" s="559" t="str">
        <f t="shared" si="64"/>
        <v>-</v>
      </c>
      <c r="AB389" s="893"/>
      <c r="AC389" s="491" t="s">
        <v>1665</v>
      </c>
      <c r="AF389" s="466"/>
      <c r="AG389" s="465"/>
      <c r="AH389" s="465"/>
    </row>
    <row r="390" spans="1:34" s="498" customFormat="1" ht="26.25" hidden="1" x14ac:dyDescent="0.25">
      <c r="A390" s="962"/>
      <c r="B390" s="856" t="s">
        <v>1692</v>
      </c>
      <c r="C390" s="499"/>
      <c r="D390" s="903"/>
      <c r="E390" s="1031" t="s">
        <v>227</v>
      </c>
      <c r="F390" s="557">
        <v>8</v>
      </c>
      <c r="G390" s="558">
        <v>0.35</v>
      </c>
      <c r="H390" s="559">
        <f t="shared" si="65"/>
        <v>2.8</v>
      </c>
      <c r="I390" s="857"/>
      <c r="J390" s="857"/>
      <c r="K390" s="857">
        <f t="shared" si="66"/>
        <v>0</v>
      </c>
      <c r="L390" s="857"/>
      <c r="M390" s="857"/>
      <c r="N390" s="857">
        <f>L390*M390</f>
        <v>0</v>
      </c>
      <c r="O390" s="857">
        <v>10</v>
      </c>
      <c r="P390" s="857">
        <v>0.3</v>
      </c>
      <c r="Q390" s="857">
        <f>O390*P390</f>
        <v>3</v>
      </c>
      <c r="R390" s="857">
        <f t="shared" si="62"/>
        <v>3</v>
      </c>
      <c r="S390" s="857"/>
      <c r="T390" s="857">
        <v>10</v>
      </c>
      <c r="U390" s="857">
        <v>0.3</v>
      </c>
      <c r="V390" s="857">
        <f>T390*U390</f>
        <v>3</v>
      </c>
      <c r="W390" s="857">
        <v>10</v>
      </c>
      <c r="X390" s="857">
        <v>0.3</v>
      </c>
      <c r="Y390" s="857">
        <f>W390*X390</f>
        <v>3</v>
      </c>
      <c r="Z390" s="559">
        <f t="shared" si="63"/>
        <v>3</v>
      </c>
      <c r="AA390" s="559" t="str">
        <f t="shared" si="64"/>
        <v>-</v>
      </c>
      <c r="AB390" s="893" t="s">
        <v>1983</v>
      </c>
      <c r="AC390" s="491" t="s">
        <v>1665</v>
      </c>
      <c r="AF390" s="466"/>
      <c r="AG390" s="465"/>
      <c r="AH390" s="465"/>
    </row>
    <row r="391" spans="1:34" s="498" customFormat="1" hidden="1" x14ac:dyDescent="0.25">
      <c r="A391" s="962"/>
      <c r="B391" s="856" t="s">
        <v>1673</v>
      </c>
      <c r="C391" s="499"/>
      <c r="D391" s="903"/>
      <c r="E391" s="1031" t="s">
        <v>227</v>
      </c>
      <c r="F391" s="557">
        <v>4</v>
      </c>
      <c r="G391" s="558">
        <v>1</v>
      </c>
      <c r="H391" s="559">
        <f t="shared" si="65"/>
        <v>4</v>
      </c>
      <c r="I391" s="857"/>
      <c r="J391" s="857"/>
      <c r="K391" s="857">
        <f t="shared" si="66"/>
        <v>0</v>
      </c>
      <c r="L391" s="857"/>
      <c r="M391" s="857"/>
      <c r="N391" s="857">
        <f>L391*M391</f>
        <v>0</v>
      </c>
      <c r="O391" s="857"/>
      <c r="P391" s="857"/>
      <c r="Q391" s="857"/>
      <c r="R391" s="857">
        <f t="shared" si="62"/>
        <v>0</v>
      </c>
      <c r="S391" s="857"/>
      <c r="T391" s="857"/>
      <c r="U391" s="857"/>
      <c r="V391" s="857"/>
      <c r="W391" s="857"/>
      <c r="X391" s="857"/>
      <c r="Y391" s="857"/>
      <c r="Z391" s="559">
        <f t="shared" si="63"/>
        <v>0</v>
      </c>
      <c r="AA391" s="559" t="str">
        <f t="shared" si="64"/>
        <v>-</v>
      </c>
      <c r="AB391" s="893"/>
      <c r="AC391" s="491" t="s">
        <v>1665</v>
      </c>
      <c r="AF391" s="466"/>
      <c r="AG391" s="465"/>
      <c r="AH391" s="465"/>
    </row>
    <row r="392" spans="1:34" s="498" customFormat="1" hidden="1" x14ac:dyDescent="0.25">
      <c r="A392" s="962"/>
      <c r="B392" s="856" t="s">
        <v>1673</v>
      </c>
      <c r="C392" s="499"/>
      <c r="D392" s="903"/>
      <c r="E392" s="1031" t="s">
        <v>227</v>
      </c>
      <c r="F392" s="557">
        <v>3</v>
      </c>
      <c r="G392" s="558">
        <v>2</v>
      </c>
      <c r="H392" s="559">
        <f t="shared" si="65"/>
        <v>6</v>
      </c>
      <c r="I392" s="857"/>
      <c r="J392" s="857"/>
      <c r="K392" s="857">
        <f t="shared" si="66"/>
        <v>0</v>
      </c>
      <c r="L392" s="857"/>
      <c r="M392" s="857"/>
      <c r="N392" s="857">
        <f>L392*M392</f>
        <v>0</v>
      </c>
      <c r="O392" s="857"/>
      <c r="P392" s="857"/>
      <c r="Q392" s="857"/>
      <c r="R392" s="857">
        <f t="shared" si="62"/>
        <v>0</v>
      </c>
      <c r="S392" s="857"/>
      <c r="T392" s="857"/>
      <c r="U392" s="857"/>
      <c r="V392" s="857"/>
      <c r="W392" s="857"/>
      <c r="X392" s="857"/>
      <c r="Y392" s="857"/>
      <c r="Z392" s="559">
        <f t="shared" si="63"/>
        <v>0</v>
      </c>
      <c r="AA392" s="559" t="str">
        <f t="shared" si="64"/>
        <v>-</v>
      </c>
      <c r="AB392" s="893"/>
      <c r="AC392" s="491" t="s">
        <v>1665</v>
      </c>
      <c r="AF392" s="466"/>
      <c r="AG392" s="465"/>
      <c r="AH392" s="465"/>
    </row>
    <row r="393" spans="1:34" s="492" customFormat="1" ht="76.5" hidden="1" x14ac:dyDescent="0.2">
      <c r="A393" s="1240"/>
      <c r="B393" s="865" t="s">
        <v>1984</v>
      </c>
      <c r="C393" s="508" t="s">
        <v>796</v>
      </c>
      <c r="D393" s="932"/>
      <c r="E393" s="842" t="s">
        <v>227</v>
      </c>
      <c r="F393" s="828">
        <v>568</v>
      </c>
      <c r="G393" s="829">
        <v>0.05</v>
      </c>
      <c r="H393" s="542">
        <f t="shared" si="65"/>
        <v>28.4</v>
      </c>
      <c r="I393" s="533">
        <v>292</v>
      </c>
      <c r="J393" s="533">
        <v>0.1</v>
      </c>
      <c r="K393" s="533">
        <f>I393*J393</f>
        <v>29.2</v>
      </c>
      <c r="L393" s="533">
        <v>292</v>
      </c>
      <c r="M393" s="533">
        <v>0.1</v>
      </c>
      <c r="N393" s="533">
        <f>L393*M393</f>
        <v>29.2</v>
      </c>
      <c r="O393" s="533">
        <v>200</v>
      </c>
      <c r="P393" s="533">
        <v>0.2</v>
      </c>
      <c r="Q393" s="533">
        <f>O393*P393</f>
        <v>40</v>
      </c>
      <c r="R393" s="533">
        <f t="shared" si="62"/>
        <v>40</v>
      </c>
      <c r="S393" s="533"/>
      <c r="T393" s="533">
        <v>200</v>
      </c>
      <c r="U393" s="533">
        <v>0.2</v>
      </c>
      <c r="V393" s="533">
        <f>T393*U393</f>
        <v>40</v>
      </c>
      <c r="W393" s="533">
        <v>200</v>
      </c>
      <c r="X393" s="533">
        <v>0.2</v>
      </c>
      <c r="Y393" s="533">
        <f>W393*X393</f>
        <v>40</v>
      </c>
      <c r="Z393" s="542">
        <f t="shared" si="63"/>
        <v>10.8</v>
      </c>
      <c r="AA393" s="542">
        <f t="shared" si="64"/>
        <v>137</v>
      </c>
      <c r="AB393" s="893" t="s">
        <v>1985</v>
      </c>
      <c r="AC393" s="491" t="s">
        <v>1665</v>
      </c>
      <c r="AF393" s="466"/>
      <c r="AG393" s="466"/>
      <c r="AH393" s="466"/>
    </row>
    <row r="394" spans="1:34" s="492" customFormat="1" ht="14.25" x14ac:dyDescent="0.2">
      <c r="A394" s="1240"/>
      <c r="B394" s="865" t="s">
        <v>1986</v>
      </c>
      <c r="C394" s="508" t="s">
        <v>797</v>
      </c>
      <c r="D394" s="932"/>
      <c r="E394" s="842" t="s">
        <v>227</v>
      </c>
      <c r="F394" s="828">
        <v>150</v>
      </c>
      <c r="G394" s="829">
        <v>0.1</v>
      </c>
      <c r="H394" s="542">
        <f t="shared" si="65"/>
        <v>15</v>
      </c>
      <c r="I394" s="533">
        <v>150</v>
      </c>
      <c r="J394" s="533">
        <v>0.1</v>
      </c>
      <c r="K394" s="533">
        <f t="shared" si="66"/>
        <v>15</v>
      </c>
      <c r="L394" s="533">
        <v>150</v>
      </c>
      <c r="M394" s="533">
        <v>0.1</v>
      </c>
      <c r="N394" s="533">
        <f>L394*M394</f>
        <v>15</v>
      </c>
      <c r="O394" s="533">
        <v>150</v>
      </c>
      <c r="P394" s="533">
        <v>0.1</v>
      </c>
      <c r="Q394" s="533">
        <f>O394*P394</f>
        <v>15</v>
      </c>
      <c r="R394" s="2683">
        <f>Q394-5</f>
        <v>10</v>
      </c>
      <c r="S394" s="533"/>
      <c r="T394" s="533">
        <v>150</v>
      </c>
      <c r="U394" s="533">
        <v>0.1</v>
      </c>
      <c r="V394" s="533">
        <f>T394*U394-5</f>
        <v>10</v>
      </c>
      <c r="W394" s="533">
        <v>150</v>
      </c>
      <c r="X394" s="533">
        <v>0.1</v>
      </c>
      <c r="Y394" s="533">
        <f>W394*X394-5</f>
        <v>10</v>
      </c>
      <c r="Z394" s="542">
        <f t="shared" si="63"/>
        <v>0</v>
      </c>
      <c r="AA394" s="542">
        <f t="shared" si="64"/>
        <v>100</v>
      </c>
      <c r="AB394" s="893"/>
      <c r="AC394" s="491" t="s">
        <v>1665</v>
      </c>
      <c r="AF394" s="466"/>
      <c r="AG394" s="466"/>
      <c r="AH394" s="466"/>
    </row>
    <row r="395" spans="1:34" s="492" customFormat="1" ht="38.25" hidden="1" x14ac:dyDescent="0.2">
      <c r="A395" s="1240"/>
      <c r="B395" s="865" t="s">
        <v>1245</v>
      </c>
      <c r="C395" s="508" t="s">
        <v>800</v>
      </c>
      <c r="D395" s="932"/>
      <c r="E395" s="842" t="s">
        <v>227</v>
      </c>
      <c r="F395" s="828">
        <v>2</v>
      </c>
      <c r="G395" s="829">
        <v>14.45</v>
      </c>
      <c r="H395" s="542">
        <f t="shared" si="65"/>
        <v>28.9</v>
      </c>
      <c r="I395" s="533">
        <v>1</v>
      </c>
      <c r="J395" s="533">
        <v>29</v>
      </c>
      <c r="K395" s="533"/>
      <c r="L395" s="533">
        <v>1</v>
      </c>
      <c r="M395" s="533">
        <v>29</v>
      </c>
      <c r="N395" s="533"/>
      <c r="O395" s="533">
        <v>2</v>
      </c>
      <c r="P395" s="533">
        <v>25</v>
      </c>
      <c r="Q395" s="533">
        <f>P395*O395</f>
        <v>50</v>
      </c>
      <c r="R395" s="533">
        <f t="shared" si="62"/>
        <v>50</v>
      </c>
      <c r="S395" s="533"/>
      <c r="T395" s="533">
        <v>2</v>
      </c>
      <c r="U395" s="533">
        <v>25</v>
      </c>
      <c r="V395" s="533">
        <f>U395*T395</f>
        <v>50</v>
      </c>
      <c r="W395" s="533">
        <v>2</v>
      </c>
      <c r="X395" s="533">
        <v>25</v>
      </c>
      <c r="Y395" s="533">
        <f>X395*W395</f>
        <v>50</v>
      </c>
      <c r="Z395" s="542">
        <f t="shared" si="63"/>
        <v>50</v>
      </c>
      <c r="AA395" s="542" t="str">
        <f t="shared" si="64"/>
        <v>-</v>
      </c>
      <c r="AB395" s="893" t="s">
        <v>1987</v>
      </c>
      <c r="AC395" s="491" t="s">
        <v>1665</v>
      </c>
      <c r="AF395" s="466"/>
      <c r="AG395" s="466"/>
      <c r="AH395" s="466"/>
    </row>
    <row r="396" spans="1:34" s="492" customFormat="1" ht="14.25" x14ac:dyDescent="0.2">
      <c r="A396" s="1240"/>
      <c r="B396" s="500" t="s">
        <v>1696</v>
      </c>
      <c r="C396" s="501" t="s">
        <v>797</v>
      </c>
      <c r="D396" s="932"/>
      <c r="E396" s="842" t="s">
        <v>227</v>
      </c>
      <c r="F396" s="828">
        <v>30</v>
      </c>
      <c r="G396" s="829">
        <v>0.21</v>
      </c>
      <c r="H396" s="542">
        <f>F396*G396</f>
        <v>6.3</v>
      </c>
      <c r="I396" s="533">
        <v>600</v>
      </c>
      <c r="J396" s="906">
        <v>0.01</v>
      </c>
      <c r="K396" s="533">
        <f>I396*J396</f>
        <v>6</v>
      </c>
      <c r="L396" s="533">
        <v>600</v>
      </c>
      <c r="M396" s="906">
        <v>0.01</v>
      </c>
      <c r="N396" s="533">
        <f>L396*M396</f>
        <v>6</v>
      </c>
      <c r="O396" s="533">
        <v>300</v>
      </c>
      <c r="P396" s="906">
        <v>0.02</v>
      </c>
      <c r="Q396" s="533">
        <f>O396*P396</f>
        <v>6</v>
      </c>
      <c r="R396" s="533">
        <f t="shared" si="62"/>
        <v>6</v>
      </c>
      <c r="S396" s="533"/>
      <c r="T396" s="533">
        <v>300</v>
      </c>
      <c r="U396" s="906">
        <v>0.02</v>
      </c>
      <c r="V396" s="533">
        <f>T396*U396</f>
        <v>6</v>
      </c>
      <c r="W396" s="533">
        <v>300</v>
      </c>
      <c r="X396" s="906">
        <v>0.02</v>
      </c>
      <c r="Y396" s="533">
        <f>W396*X396</f>
        <v>6</v>
      </c>
      <c r="Z396" s="542">
        <f t="shared" si="63"/>
        <v>0</v>
      </c>
      <c r="AA396" s="542">
        <f t="shared" si="64"/>
        <v>100</v>
      </c>
      <c r="AB396" s="893"/>
      <c r="AC396" s="491" t="s">
        <v>1665</v>
      </c>
      <c r="AF396" s="466"/>
      <c r="AG396" s="466"/>
      <c r="AH396" s="466"/>
    </row>
    <row r="397" spans="1:34" s="539" customFormat="1" ht="38.25" hidden="1" x14ac:dyDescent="0.25">
      <c r="A397" s="536"/>
      <c r="B397" s="1944" t="s">
        <v>1988</v>
      </c>
      <c r="C397" s="1945"/>
      <c r="D397" s="1918" t="s">
        <v>1444</v>
      </c>
      <c r="E397" s="1946"/>
      <c r="F397" s="1947"/>
      <c r="G397" s="1947"/>
      <c r="H397" s="1947"/>
      <c r="I397" s="1947"/>
      <c r="J397" s="1947"/>
      <c r="K397" s="1947"/>
      <c r="L397" s="1947"/>
      <c r="M397" s="1947"/>
      <c r="N397" s="1947"/>
      <c r="O397" s="1947"/>
      <c r="P397" s="1947"/>
      <c r="Q397" s="1948">
        <f>Q398</f>
        <v>30.5</v>
      </c>
      <c r="R397" s="1948">
        <f t="shared" si="62"/>
        <v>30.5</v>
      </c>
      <c r="S397" s="1948"/>
      <c r="T397" s="1947"/>
      <c r="U397" s="1947"/>
      <c r="V397" s="1947"/>
      <c r="W397" s="1947"/>
      <c r="X397" s="1947"/>
      <c r="Y397" s="1947"/>
      <c r="Z397" s="1947"/>
      <c r="AA397" s="1947"/>
      <c r="AB397" s="3523" t="s">
        <v>1916</v>
      </c>
      <c r="AC397" s="515" t="s">
        <v>1665</v>
      </c>
      <c r="AF397" s="519"/>
      <c r="AG397" s="540"/>
      <c r="AH397" s="540"/>
    </row>
    <row r="398" spans="1:34" s="498" customFormat="1" hidden="1" x14ac:dyDescent="0.25">
      <c r="A398" s="962"/>
      <c r="B398" s="500" t="s">
        <v>1233</v>
      </c>
      <c r="C398" s="529" t="s">
        <v>1230</v>
      </c>
      <c r="D398" s="903"/>
      <c r="E398" s="1245"/>
      <c r="F398" s="857"/>
      <c r="G398" s="857"/>
      <c r="H398" s="857"/>
      <c r="I398" s="857"/>
      <c r="J398" s="857"/>
      <c r="K398" s="857"/>
      <c r="L398" s="857"/>
      <c r="M398" s="857"/>
      <c r="N398" s="857"/>
      <c r="O398" s="857"/>
      <c r="P398" s="857"/>
      <c r="Q398" s="533">
        <f>SUM(Q399:Q404)</f>
        <v>30.5</v>
      </c>
      <c r="R398" s="533">
        <f t="shared" si="62"/>
        <v>30.5</v>
      </c>
      <c r="S398" s="533"/>
      <c r="T398" s="857"/>
      <c r="U398" s="857"/>
      <c r="V398" s="857"/>
      <c r="W398" s="857"/>
      <c r="X398" s="857"/>
      <c r="Y398" s="857"/>
      <c r="Z398" s="857"/>
      <c r="AA398" s="857"/>
      <c r="AB398" s="3524"/>
      <c r="AC398" s="491" t="s">
        <v>1665</v>
      </c>
      <c r="AF398" s="466"/>
      <c r="AG398" s="465"/>
      <c r="AH398" s="465"/>
    </row>
    <row r="399" spans="1:34" s="498" customFormat="1" hidden="1" x14ac:dyDescent="0.25">
      <c r="A399" s="962"/>
      <c r="B399" s="1885" t="s">
        <v>1933</v>
      </c>
      <c r="C399" s="553"/>
      <c r="D399" s="903"/>
      <c r="E399" s="1245" t="s">
        <v>318</v>
      </c>
      <c r="F399" s="857"/>
      <c r="G399" s="857"/>
      <c r="H399" s="857"/>
      <c r="I399" s="857"/>
      <c r="J399" s="857"/>
      <c r="K399" s="857"/>
      <c r="L399" s="857"/>
      <c r="M399" s="857"/>
      <c r="N399" s="857"/>
      <c r="O399" s="857">
        <v>1</v>
      </c>
      <c r="P399" s="857">
        <v>3.5</v>
      </c>
      <c r="Q399" s="857">
        <f>O399*P399</f>
        <v>3.5</v>
      </c>
      <c r="R399" s="857">
        <f t="shared" si="62"/>
        <v>3.5</v>
      </c>
      <c r="S399" s="857"/>
      <c r="T399" s="857"/>
      <c r="U399" s="857"/>
      <c r="V399" s="857"/>
      <c r="W399" s="857"/>
      <c r="X399" s="857"/>
      <c r="Y399" s="857"/>
      <c r="Z399" s="857"/>
      <c r="AA399" s="857"/>
      <c r="AB399" s="3524"/>
      <c r="AC399" s="491" t="s">
        <v>1665</v>
      </c>
      <c r="AF399" s="466"/>
      <c r="AG399" s="465"/>
      <c r="AH399" s="465"/>
    </row>
    <row r="400" spans="1:34" s="498" customFormat="1" hidden="1" x14ac:dyDescent="0.25">
      <c r="A400" s="962"/>
      <c r="B400" s="1885" t="s">
        <v>1404</v>
      </c>
      <c r="C400" s="553"/>
      <c r="D400" s="903"/>
      <c r="E400" s="1245" t="s">
        <v>318</v>
      </c>
      <c r="F400" s="857"/>
      <c r="G400" s="857"/>
      <c r="H400" s="857"/>
      <c r="I400" s="857"/>
      <c r="J400" s="857"/>
      <c r="K400" s="857"/>
      <c r="L400" s="857"/>
      <c r="M400" s="857"/>
      <c r="N400" s="857"/>
      <c r="O400" s="857">
        <v>2</v>
      </c>
      <c r="P400" s="857">
        <v>2.2999999999999998</v>
      </c>
      <c r="Q400" s="857">
        <f t="shared" ref="Q400:Q403" si="67">O400*P400</f>
        <v>4.5999999999999996</v>
      </c>
      <c r="R400" s="857">
        <f t="shared" si="62"/>
        <v>4.5999999999999996</v>
      </c>
      <c r="S400" s="857"/>
      <c r="T400" s="857"/>
      <c r="U400" s="857"/>
      <c r="V400" s="857"/>
      <c r="W400" s="857"/>
      <c r="X400" s="857"/>
      <c r="Y400" s="857"/>
      <c r="Z400" s="857"/>
      <c r="AA400" s="857"/>
      <c r="AB400" s="3524"/>
      <c r="AC400" s="491" t="s">
        <v>1665</v>
      </c>
      <c r="AF400" s="466"/>
      <c r="AG400" s="465"/>
      <c r="AH400" s="465"/>
    </row>
    <row r="401" spans="1:34" s="498" customFormat="1" hidden="1" x14ac:dyDescent="0.25">
      <c r="A401" s="962"/>
      <c r="B401" s="1885" t="s">
        <v>1934</v>
      </c>
      <c r="C401" s="553"/>
      <c r="D401" s="903"/>
      <c r="E401" s="1245" t="s">
        <v>318</v>
      </c>
      <c r="F401" s="857"/>
      <c r="G401" s="857"/>
      <c r="H401" s="857"/>
      <c r="I401" s="857"/>
      <c r="J401" s="857"/>
      <c r="K401" s="857"/>
      <c r="L401" s="857"/>
      <c r="M401" s="857"/>
      <c r="N401" s="857"/>
      <c r="O401" s="857">
        <v>3</v>
      </c>
      <c r="P401" s="857">
        <v>2.2999999999999998</v>
      </c>
      <c r="Q401" s="857">
        <f t="shared" si="67"/>
        <v>6.9</v>
      </c>
      <c r="R401" s="857">
        <f t="shared" si="62"/>
        <v>6.9</v>
      </c>
      <c r="S401" s="857"/>
      <c r="T401" s="857"/>
      <c r="U401" s="857"/>
      <c r="V401" s="857"/>
      <c r="W401" s="857"/>
      <c r="X401" s="857"/>
      <c r="Y401" s="857"/>
      <c r="Z401" s="857"/>
      <c r="AA401" s="857"/>
      <c r="AB401" s="3524"/>
      <c r="AC401" s="491" t="s">
        <v>1665</v>
      </c>
      <c r="AF401" s="466"/>
      <c r="AG401" s="465"/>
      <c r="AH401" s="465"/>
    </row>
    <row r="402" spans="1:34" s="498" customFormat="1" hidden="1" x14ac:dyDescent="0.25">
      <c r="A402" s="962"/>
      <c r="B402" s="1885" t="s">
        <v>1807</v>
      </c>
      <c r="C402" s="553"/>
      <c r="D402" s="903"/>
      <c r="E402" s="1245" t="s">
        <v>318</v>
      </c>
      <c r="F402" s="857"/>
      <c r="G402" s="857"/>
      <c r="H402" s="857"/>
      <c r="I402" s="857"/>
      <c r="J402" s="857"/>
      <c r="K402" s="857"/>
      <c r="L402" s="857"/>
      <c r="M402" s="857"/>
      <c r="N402" s="857"/>
      <c r="O402" s="857">
        <v>1</v>
      </c>
      <c r="P402" s="857">
        <v>4</v>
      </c>
      <c r="Q402" s="857">
        <f t="shared" si="67"/>
        <v>4</v>
      </c>
      <c r="R402" s="857">
        <f t="shared" si="62"/>
        <v>4</v>
      </c>
      <c r="S402" s="857"/>
      <c r="T402" s="857"/>
      <c r="U402" s="857"/>
      <c r="V402" s="857"/>
      <c r="W402" s="857"/>
      <c r="X402" s="857"/>
      <c r="Y402" s="857"/>
      <c r="Z402" s="857"/>
      <c r="AA402" s="857"/>
      <c r="AB402" s="3524"/>
      <c r="AC402" s="491" t="s">
        <v>1665</v>
      </c>
      <c r="AF402" s="466"/>
      <c r="AG402" s="465"/>
      <c r="AH402" s="465"/>
    </row>
    <row r="403" spans="1:34" s="498" customFormat="1" hidden="1" x14ac:dyDescent="0.25">
      <c r="A403" s="962"/>
      <c r="B403" s="1885" t="s">
        <v>1989</v>
      </c>
      <c r="C403" s="553"/>
      <c r="D403" s="903"/>
      <c r="E403" s="1245" t="s">
        <v>318</v>
      </c>
      <c r="F403" s="857"/>
      <c r="G403" s="857"/>
      <c r="H403" s="857"/>
      <c r="I403" s="857"/>
      <c r="J403" s="857"/>
      <c r="K403" s="857"/>
      <c r="L403" s="857"/>
      <c r="M403" s="857"/>
      <c r="N403" s="857"/>
      <c r="O403" s="857">
        <v>2</v>
      </c>
      <c r="P403" s="857">
        <v>2.5</v>
      </c>
      <c r="Q403" s="857">
        <f t="shared" si="67"/>
        <v>5</v>
      </c>
      <c r="R403" s="857">
        <f t="shared" si="62"/>
        <v>5</v>
      </c>
      <c r="S403" s="857"/>
      <c r="T403" s="857"/>
      <c r="U403" s="857"/>
      <c r="V403" s="857"/>
      <c r="W403" s="857"/>
      <c r="X403" s="857"/>
      <c r="Y403" s="857"/>
      <c r="Z403" s="857"/>
      <c r="AA403" s="857"/>
      <c r="AB403" s="3524"/>
      <c r="AC403" s="491" t="s">
        <v>1665</v>
      </c>
      <c r="AF403" s="466"/>
      <c r="AG403" s="465"/>
      <c r="AH403" s="465"/>
    </row>
    <row r="404" spans="1:34" s="498" customFormat="1" hidden="1" x14ac:dyDescent="0.25">
      <c r="A404" s="962"/>
      <c r="B404" s="502" t="s">
        <v>1971</v>
      </c>
      <c r="C404" s="553"/>
      <c r="D404" s="903"/>
      <c r="E404" s="1245"/>
      <c r="F404" s="857"/>
      <c r="G404" s="857"/>
      <c r="H404" s="857"/>
      <c r="I404" s="857"/>
      <c r="J404" s="857"/>
      <c r="K404" s="857"/>
      <c r="L404" s="857"/>
      <c r="M404" s="857"/>
      <c r="N404" s="857"/>
      <c r="O404" s="857"/>
      <c r="P404" s="857"/>
      <c r="Q404" s="857">
        <f>SUM(Q399:Q403)*0.271</f>
        <v>6.5</v>
      </c>
      <c r="R404" s="857">
        <f t="shared" ref="R404:R417" si="68">Q404</f>
        <v>6.5</v>
      </c>
      <c r="S404" s="857"/>
      <c r="T404" s="857"/>
      <c r="U404" s="857"/>
      <c r="V404" s="857"/>
      <c r="W404" s="857"/>
      <c r="X404" s="857"/>
      <c r="Y404" s="857"/>
      <c r="Z404" s="857"/>
      <c r="AA404" s="857"/>
      <c r="AB404" s="3525"/>
      <c r="AC404" s="491" t="s">
        <v>1665</v>
      </c>
      <c r="AF404" s="466"/>
      <c r="AG404" s="465"/>
      <c r="AH404" s="465"/>
    </row>
    <row r="405" spans="1:34" s="539" customFormat="1" ht="38.25" hidden="1" x14ac:dyDescent="0.25">
      <c r="A405" s="536"/>
      <c r="B405" s="1949" t="s">
        <v>1990</v>
      </c>
      <c r="C405" s="1945"/>
      <c r="D405" s="1918" t="s">
        <v>1444</v>
      </c>
      <c r="E405" s="1946"/>
      <c r="F405" s="1947"/>
      <c r="G405" s="1947"/>
      <c r="H405" s="1947"/>
      <c r="I405" s="1947"/>
      <c r="J405" s="1947"/>
      <c r="K405" s="1947"/>
      <c r="L405" s="1947"/>
      <c r="M405" s="1947"/>
      <c r="N405" s="1947"/>
      <c r="O405" s="1947"/>
      <c r="P405" s="1947"/>
      <c r="Q405" s="1948">
        <f>Q406</f>
        <v>27.6</v>
      </c>
      <c r="R405" s="1948">
        <f t="shared" si="68"/>
        <v>27.6</v>
      </c>
      <c r="S405" s="1948"/>
      <c r="T405" s="1947"/>
      <c r="U405" s="1947"/>
      <c r="V405" s="1947"/>
      <c r="W405" s="1947"/>
      <c r="X405" s="1947"/>
      <c r="Y405" s="1947"/>
      <c r="Z405" s="1947"/>
      <c r="AA405" s="1947"/>
      <c r="AB405" s="3523" t="s">
        <v>1916</v>
      </c>
      <c r="AC405" s="515" t="s">
        <v>1665</v>
      </c>
      <c r="AF405" s="519"/>
      <c r="AG405" s="540"/>
      <c r="AH405" s="540"/>
    </row>
    <row r="406" spans="1:34" s="498" customFormat="1" hidden="1" x14ac:dyDescent="0.25">
      <c r="A406" s="962"/>
      <c r="B406" s="500" t="s">
        <v>1233</v>
      </c>
      <c r="C406" s="529" t="s">
        <v>1230</v>
      </c>
      <c r="D406" s="903"/>
      <c r="E406" s="1245"/>
      <c r="F406" s="857"/>
      <c r="G406" s="857"/>
      <c r="H406" s="857"/>
      <c r="I406" s="857"/>
      <c r="J406" s="857"/>
      <c r="K406" s="857"/>
      <c r="L406" s="857"/>
      <c r="M406" s="857"/>
      <c r="N406" s="857"/>
      <c r="O406" s="857"/>
      <c r="P406" s="857"/>
      <c r="Q406" s="533">
        <f>SUM(Q407:Q412)</f>
        <v>27.6</v>
      </c>
      <c r="R406" s="533">
        <f t="shared" si="68"/>
        <v>27.6</v>
      </c>
      <c r="S406" s="533"/>
      <c r="T406" s="857"/>
      <c r="U406" s="857"/>
      <c r="V406" s="857"/>
      <c r="W406" s="857"/>
      <c r="X406" s="857"/>
      <c r="Y406" s="857"/>
      <c r="Z406" s="857"/>
      <c r="AA406" s="857"/>
      <c r="AB406" s="3524"/>
      <c r="AC406" s="491" t="s">
        <v>1665</v>
      </c>
      <c r="AF406" s="466"/>
      <c r="AG406" s="465"/>
      <c r="AH406" s="465"/>
    </row>
    <row r="407" spans="1:34" s="498" customFormat="1" hidden="1" x14ac:dyDescent="0.25">
      <c r="A407" s="962"/>
      <c r="B407" s="1885" t="s">
        <v>1933</v>
      </c>
      <c r="C407" s="553"/>
      <c r="D407" s="903"/>
      <c r="E407" s="1245"/>
      <c r="F407" s="857"/>
      <c r="G407" s="857"/>
      <c r="H407" s="857"/>
      <c r="I407" s="857"/>
      <c r="J407" s="857"/>
      <c r="K407" s="857"/>
      <c r="L407" s="857"/>
      <c r="M407" s="857"/>
      <c r="N407" s="857"/>
      <c r="O407" s="857">
        <v>1</v>
      </c>
      <c r="P407" s="857">
        <v>3.5</v>
      </c>
      <c r="Q407" s="857">
        <f t="shared" ref="Q407:Q411" si="69">O407*P407</f>
        <v>3.5</v>
      </c>
      <c r="R407" s="857">
        <f t="shared" si="68"/>
        <v>3.5</v>
      </c>
      <c r="S407" s="857"/>
      <c r="T407" s="857"/>
      <c r="U407" s="857"/>
      <c r="V407" s="857"/>
      <c r="W407" s="857"/>
      <c r="X407" s="857"/>
      <c r="Y407" s="857"/>
      <c r="Z407" s="857"/>
      <c r="AA407" s="857"/>
      <c r="AB407" s="3524"/>
      <c r="AC407" s="491" t="s">
        <v>1665</v>
      </c>
      <c r="AF407" s="466"/>
      <c r="AG407" s="465"/>
      <c r="AH407" s="465"/>
    </row>
    <row r="408" spans="1:34" s="498" customFormat="1" hidden="1" x14ac:dyDescent="0.25">
      <c r="A408" s="962"/>
      <c r="B408" s="1885" t="s">
        <v>1404</v>
      </c>
      <c r="C408" s="553"/>
      <c r="D408" s="903"/>
      <c r="E408" s="1245"/>
      <c r="F408" s="857"/>
      <c r="G408" s="857"/>
      <c r="H408" s="857"/>
      <c r="I408" s="857"/>
      <c r="J408" s="857"/>
      <c r="K408" s="857"/>
      <c r="L408" s="857"/>
      <c r="M408" s="857"/>
      <c r="N408" s="857"/>
      <c r="O408" s="857">
        <v>2</v>
      </c>
      <c r="P408" s="857">
        <v>2.2999999999999998</v>
      </c>
      <c r="Q408" s="857">
        <f t="shared" si="69"/>
        <v>4.5999999999999996</v>
      </c>
      <c r="R408" s="857">
        <f t="shared" si="68"/>
        <v>4.5999999999999996</v>
      </c>
      <c r="S408" s="857"/>
      <c r="T408" s="857"/>
      <c r="U408" s="857"/>
      <c r="V408" s="857"/>
      <c r="W408" s="857"/>
      <c r="X408" s="857"/>
      <c r="Y408" s="857"/>
      <c r="Z408" s="857"/>
      <c r="AA408" s="857"/>
      <c r="AB408" s="3524"/>
      <c r="AC408" s="491" t="s">
        <v>1665</v>
      </c>
      <c r="AF408" s="466"/>
      <c r="AG408" s="465"/>
      <c r="AH408" s="465"/>
    </row>
    <row r="409" spans="1:34" s="498" customFormat="1" hidden="1" x14ac:dyDescent="0.25">
      <c r="A409" s="962"/>
      <c r="B409" s="1885" t="s">
        <v>1934</v>
      </c>
      <c r="C409" s="553"/>
      <c r="D409" s="903"/>
      <c r="E409" s="1245"/>
      <c r="F409" s="857"/>
      <c r="G409" s="857"/>
      <c r="H409" s="857"/>
      <c r="I409" s="857"/>
      <c r="J409" s="857"/>
      <c r="K409" s="857"/>
      <c r="L409" s="857"/>
      <c r="M409" s="857"/>
      <c r="N409" s="857"/>
      <c r="O409" s="857">
        <v>2</v>
      </c>
      <c r="P409" s="857">
        <v>2.2999999999999998</v>
      </c>
      <c r="Q409" s="857">
        <f t="shared" si="69"/>
        <v>4.5999999999999996</v>
      </c>
      <c r="R409" s="857">
        <f t="shared" si="68"/>
        <v>4.5999999999999996</v>
      </c>
      <c r="S409" s="857"/>
      <c r="T409" s="857"/>
      <c r="U409" s="857"/>
      <c r="V409" s="857"/>
      <c r="W409" s="857"/>
      <c r="X409" s="857"/>
      <c r="Y409" s="857"/>
      <c r="Z409" s="857"/>
      <c r="AA409" s="857"/>
      <c r="AB409" s="3524"/>
      <c r="AC409" s="491" t="s">
        <v>1665</v>
      </c>
      <c r="AF409" s="466"/>
      <c r="AG409" s="465"/>
      <c r="AH409" s="465"/>
    </row>
    <row r="410" spans="1:34" s="498" customFormat="1" hidden="1" x14ac:dyDescent="0.25">
      <c r="A410" s="962"/>
      <c r="B410" s="1885" t="s">
        <v>1807</v>
      </c>
      <c r="C410" s="553"/>
      <c r="D410" s="903"/>
      <c r="E410" s="1245"/>
      <c r="F410" s="857"/>
      <c r="G410" s="857"/>
      <c r="H410" s="857"/>
      <c r="I410" s="857"/>
      <c r="J410" s="857"/>
      <c r="K410" s="857"/>
      <c r="L410" s="857"/>
      <c r="M410" s="857"/>
      <c r="N410" s="857"/>
      <c r="O410" s="857">
        <v>1</v>
      </c>
      <c r="P410" s="857">
        <v>4</v>
      </c>
      <c r="Q410" s="857">
        <f t="shared" si="69"/>
        <v>4</v>
      </c>
      <c r="R410" s="857">
        <f t="shared" si="68"/>
        <v>4</v>
      </c>
      <c r="S410" s="857"/>
      <c r="T410" s="857"/>
      <c r="U410" s="857"/>
      <c r="V410" s="857"/>
      <c r="W410" s="857"/>
      <c r="X410" s="857"/>
      <c r="Y410" s="857"/>
      <c r="Z410" s="857"/>
      <c r="AA410" s="857"/>
      <c r="AB410" s="3524"/>
      <c r="AC410" s="491" t="s">
        <v>1665</v>
      </c>
      <c r="AF410" s="466"/>
      <c r="AG410" s="465"/>
      <c r="AH410" s="465"/>
    </row>
    <row r="411" spans="1:34" s="498" customFormat="1" hidden="1" x14ac:dyDescent="0.25">
      <c r="A411" s="962"/>
      <c r="B411" s="1885" t="s">
        <v>1989</v>
      </c>
      <c r="C411" s="553"/>
      <c r="D411" s="903"/>
      <c r="E411" s="1245"/>
      <c r="F411" s="857"/>
      <c r="G411" s="857"/>
      <c r="H411" s="857"/>
      <c r="I411" s="857"/>
      <c r="J411" s="857"/>
      <c r="K411" s="857"/>
      <c r="L411" s="857"/>
      <c r="M411" s="857"/>
      <c r="N411" s="857"/>
      <c r="O411" s="857">
        <v>2</v>
      </c>
      <c r="P411" s="857">
        <v>2.5</v>
      </c>
      <c r="Q411" s="857">
        <f t="shared" si="69"/>
        <v>5</v>
      </c>
      <c r="R411" s="857">
        <f t="shared" si="68"/>
        <v>5</v>
      </c>
      <c r="S411" s="857"/>
      <c r="T411" s="857"/>
      <c r="U411" s="857"/>
      <c r="V411" s="857"/>
      <c r="W411" s="857"/>
      <c r="X411" s="857"/>
      <c r="Y411" s="857"/>
      <c r="Z411" s="857"/>
      <c r="AA411" s="857"/>
      <c r="AB411" s="3524"/>
      <c r="AC411" s="491" t="s">
        <v>1665</v>
      </c>
      <c r="AF411" s="466"/>
      <c r="AG411" s="465"/>
      <c r="AH411" s="465"/>
    </row>
    <row r="412" spans="1:34" s="498" customFormat="1" hidden="1" x14ac:dyDescent="0.25">
      <c r="A412" s="962"/>
      <c r="B412" s="1885" t="s">
        <v>1991</v>
      </c>
      <c r="C412" s="553"/>
      <c r="D412" s="903"/>
      <c r="E412" s="1245"/>
      <c r="F412" s="857"/>
      <c r="G412" s="857"/>
      <c r="H412" s="857"/>
      <c r="I412" s="857"/>
      <c r="J412" s="857"/>
      <c r="K412" s="857"/>
      <c r="L412" s="857"/>
      <c r="M412" s="857"/>
      <c r="N412" s="857"/>
      <c r="O412" s="857"/>
      <c r="P412" s="857"/>
      <c r="Q412" s="857">
        <f>SUM(Q407:Q411)*0.271</f>
        <v>5.9</v>
      </c>
      <c r="R412" s="857">
        <f t="shared" si="68"/>
        <v>5.9</v>
      </c>
      <c r="S412" s="857"/>
      <c r="T412" s="857"/>
      <c r="U412" s="857"/>
      <c r="V412" s="857"/>
      <c r="W412" s="857"/>
      <c r="X412" s="857"/>
      <c r="Y412" s="857"/>
      <c r="Z412" s="857"/>
      <c r="AA412" s="857"/>
      <c r="AB412" s="3525"/>
      <c r="AC412" s="491" t="s">
        <v>1665</v>
      </c>
      <c r="AF412" s="466"/>
      <c r="AG412" s="465"/>
      <c r="AH412" s="465"/>
    </row>
    <row r="413" spans="1:34" s="539" customFormat="1" hidden="1" x14ac:dyDescent="0.25">
      <c r="A413" s="536"/>
      <c r="B413" s="510" t="s">
        <v>1992</v>
      </c>
      <c r="C413" s="1918"/>
      <c r="D413" s="536"/>
      <c r="E413" s="536"/>
      <c r="F413" s="1950"/>
      <c r="G413" s="1951"/>
      <c r="H413" s="490" t="e">
        <f>#REF!+H414</f>
        <v>#REF!</v>
      </c>
      <c r="I413" s="1952"/>
      <c r="J413" s="1952"/>
      <c r="K413" s="490">
        <f>K414</f>
        <v>0</v>
      </c>
      <c r="L413" s="1952"/>
      <c r="M413" s="1952"/>
      <c r="N413" s="490">
        <f>N414</f>
        <v>0</v>
      </c>
      <c r="O413" s="1952"/>
      <c r="P413" s="1952"/>
      <c r="Q413" s="490">
        <f>Q414</f>
        <v>0</v>
      </c>
      <c r="R413" s="490">
        <f t="shared" si="68"/>
        <v>0</v>
      </c>
      <c r="S413" s="490"/>
      <c r="T413" s="1952"/>
      <c r="U413" s="1952"/>
      <c r="V413" s="490">
        <f>V414</f>
        <v>150</v>
      </c>
      <c r="W413" s="490"/>
      <c r="X413" s="490"/>
      <c r="Y413" s="490">
        <f>Y414</f>
        <v>150</v>
      </c>
      <c r="Z413" s="490">
        <f t="shared" ref="Z413:Z417" si="70">Q413-K413</f>
        <v>0</v>
      </c>
      <c r="AA413" s="490" t="str">
        <f t="shared" ref="AA413:AA417" si="71">IFERROR(Q413/K413*100,"-")</f>
        <v>-</v>
      </c>
      <c r="AB413" s="555"/>
      <c r="AC413" s="538"/>
      <c r="AF413" s="519"/>
      <c r="AG413" s="540"/>
      <c r="AH413" s="540"/>
    </row>
    <row r="414" spans="1:34" s="871" customFormat="1" ht="38.25" hidden="1" x14ac:dyDescent="0.2">
      <c r="A414" s="869"/>
      <c r="B414" s="922" t="s">
        <v>1993</v>
      </c>
      <c r="C414" s="923"/>
      <c r="D414" s="869" t="s">
        <v>1444</v>
      </c>
      <c r="E414" s="869"/>
      <c r="F414" s="918"/>
      <c r="G414" s="919"/>
      <c r="H414" s="886">
        <f>H415</f>
        <v>90</v>
      </c>
      <c r="I414" s="891"/>
      <c r="J414" s="891"/>
      <c r="K414" s="891">
        <f>K415</f>
        <v>0</v>
      </c>
      <c r="L414" s="891"/>
      <c r="M414" s="891"/>
      <c r="N414" s="891">
        <f>N415</f>
        <v>0</v>
      </c>
      <c r="O414" s="891"/>
      <c r="P414" s="891"/>
      <c r="Q414" s="891">
        <f>Q415</f>
        <v>0</v>
      </c>
      <c r="R414" s="891">
        <f t="shared" si="68"/>
        <v>0</v>
      </c>
      <c r="S414" s="891"/>
      <c r="T414" s="891"/>
      <c r="U414" s="891"/>
      <c r="V414" s="891">
        <f>V415</f>
        <v>150</v>
      </c>
      <c r="W414" s="891"/>
      <c r="X414" s="891"/>
      <c r="Y414" s="891">
        <f>Y415</f>
        <v>150</v>
      </c>
      <c r="Z414" s="886">
        <f t="shared" si="70"/>
        <v>0</v>
      </c>
      <c r="AA414" s="886" t="str">
        <f t="shared" si="71"/>
        <v>-</v>
      </c>
      <c r="AB414" s="1953"/>
      <c r="AC414" s="920" t="s">
        <v>1665</v>
      </c>
      <c r="AF414" s="872"/>
      <c r="AG414" s="872"/>
      <c r="AH414" s="872"/>
    </row>
    <row r="415" spans="1:34" s="492" customFormat="1" ht="14.25" hidden="1" x14ac:dyDescent="0.2">
      <c r="A415" s="1240"/>
      <c r="B415" s="866" t="s">
        <v>1245</v>
      </c>
      <c r="C415" s="529" t="s">
        <v>800</v>
      </c>
      <c r="D415" s="932"/>
      <c r="E415" s="1240"/>
      <c r="F415" s="828"/>
      <c r="G415" s="829"/>
      <c r="H415" s="542">
        <f>H416+H417</f>
        <v>90</v>
      </c>
      <c r="I415" s="533"/>
      <c r="J415" s="533"/>
      <c r="K415" s="533">
        <f>K416</f>
        <v>0</v>
      </c>
      <c r="L415" s="533"/>
      <c r="M415" s="533"/>
      <c r="N415" s="533">
        <f>N416</f>
        <v>0</v>
      </c>
      <c r="O415" s="533"/>
      <c r="P415" s="533"/>
      <c r="Q415" s="533">
        <f>Q416</f>
        <v>0</v>
      </c>
      <c r="R415" s="533">
        <f t="shared" si="68"/>
        <v>0</v>
      </c>
      <c r="S415" s="533"/>
      <c r="T415" s="533"/>
      <c r="U415" s="533"/>
      <c r="V415" s="533">
        <f>V416</f>
        <v>150</v>
      </c>
      <c r="W415" s="533"/>
      <c r="X415" s="533"/>
      <c r="Y415" s="533">
        <f>Y416</f>
        <v>150</v>
      </c>
      <c r="Z415" s="542">
        <f t="shared" si="70"/>
        <v>0</v>
      </c>
      <c r="AA415" s="542" t="str">
        <f t="shared" si="71"/>
        <v>-</v>
      </c>
      <c r="AB415" s="1893"/>
      <c r="AC415" s="491" t="s">
        <v>1665</v>
      </c>
      <c r="AF415" s="466"/>
      <c r="AG415" s="466"/>
      <c r="AH415" s="466"/>
    </row>
    <row r="416" spans="1:34" s="498" customFormat="1" ht="89.25" hidden="1" x14ac:dyDescent="0.25">
      <c r="A416" s="962"/>
      <c r="B416" s="1863" t="s">
        <v>1994</v>
      </c>
      <c r="C416" s="553"/>
      <c r="D416" s="903"/>
      <c r="E416" s="1245" t="s">
        <v>1995</v>
      </c>
      <c r="F416" s="557">
        <v>6</v>
      </c>
      <c r="G416" s="558">
        <v>12.2</v>
      </c>
      <c r="H416" s="559">
        <f>F416*G416</f>
        <v>73.2</v>
      </c>
      <c r="I416" s="857"/>
      <c r="J416" s="857"/>
      <c r="K416" s="857"/>
      <c r="L416" s="857"/>
      <c r="M416" s="857"/>
      <c r="N416" s="857"/>
      <c r="O416" s="857"/>
      <c r="P416" s="857"/>
      <c r="Q416" s="857"/>
      <c r="R416" s="857">
        <f t="shared" si="68"/>
        <v>0</v>
      </c>
      <c r="S416" s="857"/>
      <c r="T416" s="857">
        <v>10</v>
      </c>
      <c r="U416" s="857">
        <v>15</v>
      </c>
      <c r="V416" s="857">
        <f>T416*U416</f>
        <v>150</v>
      </c>
      <c r="W416" s="857">
        <v>10</v>
      </c>
      <c r="X416" s="857">
        <v>15</v>
      </c>
      <c r="Y416" s="857">
        <f>W416*X416</f>
        <v>150</v>
      </c>
      <c r="Z416" s="559">
        <f t="shared" si="70"/>
        <v>0</v>
      </c>
      <c r="AA416" s="559" t="str">
        <f t="shared" si="71"/>
        <v>-</v>
      </c>
      <c r="AB416" s="1954" t="s">
        <v>1996</v>
      </c>
      <c r="AC416" s="491" t="s">
        <v>1665</v>
      </c>
      <c r="AF416" s="466"/>
      <c r="AG416" s="465"/>
      <c r="AH416" s="465"/>
    </row>
    <row r="417" spans="1:35" s="498" customFormat="1" hidden="1" x14ac:dyDescent="0.25">
      <c r="A417" s="962"/>
      <c r="B417" s="1863" t="s">
        <v>1997</v>
      </c>
      <c r="C417" s="553"/>
      <c r="D417" s="903"/>
      <c r="E417" s="1245" t="s">
        <v>227</v>
      </c>
      <c r="F417" s="557">
        <v>14</v>
      </c>
      <c r="G417" s="558">
        <v>1.2</v>
      </c>
      <c r="H417" s="559">
        <f>F417*G417</f>
        <v>16.8</v>
      </c>
      <c r="I417" s="857"/>
      <c r="J417" s="857"/>
      <c r="K417" s="857"/>
      <c r="L417" s="857"/>
      <c r="M417" s="857"/>
      <c r="N417" s="857"/>
      <c r="O417" s="857"/>
      <c r="P417" s="857"/>
      <c r="Q417" s="857"/>
      <c r="R417" s="857">
        <f t="shared" si="68"/>
        <v>0</v>
      </c>
      <c r="S417" s="857"/>
      <c r="T417" s="857"/>
      <c r="U417" s="857"/>
      <c r="V417" s="857"/>
      <c r="W417" s="857"/>
      <c r="X417" s="857"/>
      <c r="Y417" s="857"/>
      <c r="Z417" s="559">
        <f t="shared" si="70"/>
        <v>0</v>
      </c>
      <c r="AA417" s="559" t="str">
        <f t="shared" si="71"/>
        <v>-</v>
      </c>
      <c r="AB417" s="1954"/>
      <c r="AC417" s="491" t="s">
        <v>1665</v>
      </c>
      <c r="AF417" s="466"/>
      <c r="AG417" s="465"/>
      <c r="AH417" s="465"/>
    </row>
    <row r="418" spans="1:35" s="561" customFormat="1" x14ac:dyDescent="0.25">
      <c r="A418" s="560"/>
      <c r="C418" s="562"/>
      <c r="D418" s="560"/>
      <c r="E418" s="560"/>
      <c r="F418" s="563"/>
      <c r="G418" s="564"/>
      <c r="H418" s="565"/>
      <c r="I418" s="470"/>
      <c r="J418" s="470"/>
      <c r="K418" s="470"/>
      <c r="L418" s="470"/>
      <c r="M418" s="470"/>
      <c r="N418" s="470"/>
      <c r="O418" s="470"/>
      <c r="P418" s="470"/>
      <c r="Q418" s="470"/>
      <c r="R418" s="470"/>
      <c r="S418" s="470"/>
      <c r="T418" s="470"/>
      <c r="U418" s="470"/>
      <c r="V418" s="470"/>
      <c r="W418" s="470"/>
      <c r="X418" s="470"/>
      <c r="Y418" s="470"/>
      <c r="Z418" s="566"/>
      <c r="AA418" s="566"/>
      <c r="AB418" s="470"/>
      <c r="AC418" s="567"/>
      <c r="AF418" s="568"/>
    </row>
    <row r="419" spans="1:35" s="576" customFormat="1" ht="17.25" customHeight="1" x14ac:dyDescent="0.25">
      <c r="A419" s="571"/>
      <c r="B419" s="606"/>
      <c r="C419" s="606"/>
      <c r="D419" s="571"/>
      <c r="E419" s="571"/>
      <c r="F419" s="924"/>
      <c r="G419" s="925"/>
      <c r="H419" s="571"/>
      <c r="I419" s="571"/>
      <c r="J419" s="571"/>
      <c r="K419" s="575"/>
      <c r="L419" s="571"/>
      <c r="M419" s="571"/>
      <c r="N419" s="575"/>
      <c r="O419" s="571"/>
      <c r="P419" s="571"/>
      <c r="Q419" s="575"/>
      <c r="R419" s="575"/>
      <c r="S419" s="575"/>
      <c r="T419" s="571"/>
      <c r="U419" s="571"/>
      <c r="V419" s="575"/>
      <c r="W419" s="571"/>
      <c r="X419" s="571"/>
      <c r="Y419" s="575"/>
      <c r="Z419" s="575"/>
      <c r="AA419" s="575"/>
      <c r="AC419" s="926"/>
      <c r="AD419" s="562"/>
      <c r="AE419" s="562"/>
      <c r="AF419" s="568"/>
      <c r="AG419" s="561"/>
      <c r="AH419" s="561"/>
      <c r="AI419" s="927"/>
    </row>
    <row r="420" spans="1:35" s="1959" customFormat="1" ht="14.25" x14ac:dyDescent="0.2">
      <c r="A420" s="1955"/>
      <c r="B420" s="1955"/>
      <c r="C420" s="572" t="s">
        <v>1665</v>
      </c>
      <c r="D420" s="572"/>
      <c r="E420" s="572"/>
      <c r="F420" s="573"/>
      <c r="G420" s="574"/>
      <c r="H420" s="572">
        <f>H421+H422+H423+H424+H425+H426+H427</f>
        <v>1329.4</v>
      </c>
      <c r="I420" s="572"/>
      <c r="J420" s="572"/>
      <c r="K420" s="572">
        <f>K421+K422+K423+K424+K425+K426+K427</f>
        <v>891.2</v>
      </c>
      <c r="L420" s="572"/>
      <c r="M420" s="572"/>
      <c r="N420" s="572">
        <f>N421+N422+N423+N424+N425+N426+N427</f>
        <v>891.2</v>
      </c>
      <c r="O420" s="572"/>
      <c r="P420" s="572"/>
      <c r="Q420" s="572">
        <f>Q421+Q422+Q423+Q424+Q425+Q426+Q427</f>
        <v>1421.5</v>
      </c>
      <c r="R420" s="572">
        <f t="shared" ref="R420:S420" si="72">R421+R422+R423+R424+R425+R426+R427</f>
        <v>1162.4000000000001</v>
      </c>
      <c r="S420" s="572">
        <f t="shared" si="72"/>
        <v>233.9</v>
      </c>
      <c r="T420" s="572"/>
      <c r="U420" s="572"/>
      <c r="V420" s="572">
        <f>V421+V422+V423+V424+V425+V426+V427</f>
        <v>1217.9000000000001</v>
      </c>
      <c r="W420" s="572"/>
      <c r="X420" s="572"/>
      <c r="Y420" s="572">
        <f>Y421+Y422+Y423+Y424+Y425+Y426+Y427</f>
        <v>1217.9000000000001</v>
      </c>
      <c r="Z420" s="579"/>
      <c r="AA420" s="579"/>
      <c r="AB420" s="576"/>
      <c r="AC420" s="1956"/>
      <c r="AD420" s="1957"/>
      <c r="AE420" s="1957"/>
      <c r="AF420" s="1958"/>
      <c r="AG420" s="1958"/>
      <c r="AH420" s="1958"/>
    </row>
    <row r="421" spans="1:35" s="1961" customFormat="1" x14ac:dyDescent="0.25">
      <c r="A421" s="571"/>
      <c r="B421" s="571"/>
      <c r="C421" s="578" t="s">
        <v>1237</v>
      </c>
      <c r="D421" s="578"/>
      <c r="E421" s="578"/>
      <c r="F421" s="1241"/>
      <c r="G421" s="1242"/>
      <c r="H421" s="1243">
        <f>H73+H97+H119+H181+H249+H281+H375</f>
        <v>92.5</v>
      </c>
      <c r="I421" s="1243"/>
      <c r="J421" s="1243"/>
      <c r="K421" s="1243">
        <f>K73+K97+K119+K181+K249+K281+K375</f>
        <v>91.3</v>
      </c>
      <c r="L421" s="1243"/>
      <c r="M421" s="1243"/>
      <c r="N421" s="1243">
        <f>N73+N97+N119+N181+N249+N281+N375</f>
        <v>91.3</v>
      </c>
      <c r="O421" s="1243"/>
      <c r="P421" s="1243"/>
      <c r="Q421" s="1243">
        <f>Q73+Q97+Q119+Q181+Q249+Q281+Q375</f>
        <v>85</v>
      </c>
      <c r="R421" s="1243">
        <f>R73+R97+R119+R181+R249+R281+R375</f>
        <v>77.5</v>
      </c>
      <c r="S421" s="1243">
        <f>S73+S97+S119+S181+S249+S281+S375</f>
        <v>7.5</v>
      </c>
      <c r="T421" s="1243"/>
      <c r="U421" s="1243"/>
      <c r="V421" s="1243">
        <f>V73+V97+V119+V181+V249+V281+V375</f>
        <v>85</v>
      </c>
      <c r="W421" s="1243"/>
      <c r="X421" s="1243"/>
      <c r="Y421" s="1243">
        <f>Y73+Y97+Y119+Y181+Y249+Y281+Y375</f>
        <v>85</v>
      </c>
      <c r="Z421" s="575"/>
      <c r="AA421" s="575"/>
      <c r="AB421" s="576"/>
      <c r="AC421" s="577"/>
      <c r="AD421" s="1960"/>
      <c r="AE421" s="1960"/>
      <c r="AF421" s="1958"/>
      <c r="AG421" s="560"/>
      <c r="AH421" s="560"/>
    </row>
    <row r="422" spans="1:35" s="1961" customFormat="1" x14ac:dyDescent="0.25">
      <c r="A422" s="571"/>
      <c r="B422" s="571"/>
      <c r="C422" s="578" t="s">
        <v>1230</v>
      </c>
      <c r="D422" s="578"/>
      <c r="E422" s="578"/>
      <c r="F422" s="1241"/>
      <c r="G422" s="1242"/>
      <c r="H422" s="1243">
        <f>H27+H47+H54+H77+H87+H105+H136+H149+H170+H193+H231+H267+H296+H305+H319+H339+H362+H377</f>
        <v>272.60000000000002</v>
      </c>
      <c r="I422" s="1243"/>
      <c r="J422" s="1243"/>
      <c r="K422" s="1243">
        <f>K27+K47+K54+K77+K87+K105+K136+K149+K170+K193+K231+K267+K296+K305+K319+K339+K362+K377</f>
        <v>259</v>
      </c>
      <c r="L422" s="1243"/>
      <c r="M422" s="1243"/>
      <c r="N422" s="1243">
        <f>N27+N47+N54+N77+N87+N105+N136+N149+N170+N193+N231+N267+N296+N305+N319+N339+N362+N377</f>
        <v>259</v>
      </c>
      <c r="O422" s="1243"/>
      <c r="P422" s="1243"/>
      <c r="Q422" s="1036">
        <f>Q27+Q47+Q54+Q77+Q87+Q105+Q136+Q149+Q170+Q193+Q231+Q267+Q296+Q305+Q319+Q339+Q362+Q377+Q398+Q406</f>
        <v>508.7</v>
      </c>
      <c r="R422" s="1962">
        <f>R27+R47+R54+R77+R87+R105+R136+R149+R170+R193+R231+R267+R296+R305+R319+R339+R362+R377+R398+R406</f>
        <v>460.1</v>
      </c>
      <c r="S422" s="1036">
        <f>S27+S47+S54+S77+S87+S105+S136+S149+S170+S193+S231+S267+S296+S305+S319+S339+S362+S377+S398+S406</f>
        <v>48.5</v>
      </c>
      <c r="T422" s="1243"/>
      <c r="U422" s="1243"/>
      <c r="V422" s="1243">
        <f>V27+V47+V54+V77+V87+V105+V136+V149+V170+V193+V231+V267+V296+V305+V319+V339+V362+V377</f>
        <v>396.4</v>
      </c>
      <c r="W422" s="1243"/>
      <c r="X422" s="1243"/>
      <c r="Y422" s="1243">
        <f>Y27+Y47+Y54+Y77+Y87+Y105+Y136+Y149+Y170+Y193+Y231+Y267+Y296+Y305+Y319+Y339+Y362+Y377</f>
        <v>396.4</v>
      </c>
      <c r="Z422" s="575"/>
      <c r="AA422" s="575"/>
      <c r="AB422" s="576"/>
      <c r="AC422" s="577"/>
      <c r="AD422" s="1960"/>
      <c r="AE422" s="1960"/>
      <c r="AF422" s="1958"/>
      <c r="AG422" s="560"/>
      <c r="AH422" s="560"/>
    </row>
    <row r="423" spans="1:35" s="2570" customFormat="1" x14ac:dyDescent="0.25">
      <c r="A423" s="377"/>
      <c r="B423" s="377"/>
      <c r="C423" s="1036" t="s">
        <v>796</v>
      </c>
      <c r="D423" s="1036"/>
      <c r="E423" s="1036"/>
      <c r="F423" s="1241"/>
      <c r="G423" s="1242"/>
      <c r="H423" s="1243">
        <f>H21+H23+H24+H25+H44+H45+H66+H96+H115+H143+H155+H167+H184+H210+H243+H280+H295+H316+H336+H344+H393</f>
        <v>201.4</v>
      </c>
      <c r="I423" s="1243"/>
      <c r="J423" s="1243"/>
      <c r="K423" s="1243">
        <f>K21+K23+K24+K25+K44+K45+K66+K96+K115+K143+K155+K167+K184+K210+K243+K280+K295+K316+K336+K344+K393</f>
        <v>176.5</v>
      </c>
      <c r="L423" s="1243"/>
      <c r="M423" s="1243"/>
      <c r="N423" s="1243">
        <f>N21+N23+N24+N25+N44+N45+N66+N96+N115+N143+N155+N167+N184+N210+N243+N280+N295+N316+N336+N344+N393</f>
        <v>176.5</v>
      </c>
      <c r="O423" s="1036"/>
      <c r="P423" s="1036"/>
      <c r="Q423" s="1036">
        <f>Q21+Q23+Q24+Q25+Q44+Q45+Q66+Q96+Q115+Q143+Q155+Q167+Q184+Q210+Q243+Q280+Q295+Q316+Q336+Q344+Q393</f>
        <v>159.30000000000001</v>
      </c>
      <c r="R423" s="1036">
        <f>R21+R23+R24+R25+R44+R45+R66+R96+R115+R143+R155+R167+R184+R210+R243+R280+R295+R316+R336+R344+R393</f>
        <v>129.30000000000001</v>
      </c>
      <c r="S423" s="1036">
        <f>S21+S23+S24+S25+S44+S45+S66+S96+S115+S143+S155+S167+S184+S210+S243+S280+S295+S316+S336+S344+S393</f>
        <v>30</v>
      </c>
      <c r="T423" s="1036"/>
      <c r="U423" s="1036"/>
      <c r="V423" s="1036">
        <f>V21+V23+V24+V25+V44+V45+V66+V96+V115+V143+V155+V167+V184+V210+V243+V280+V295+V316+V336+V344+V393</f>
        <v>129.30000000000001</v>
      </c>
      <c r="W423" s="1036"/>
      <c r="X423" s="1036"/>
      <c r="Y423" s="1036">
        <f>Y21+Y23+Y24+Y25+Y44+Y45+Y66+Y96+Y115+Y143+Y155+Y167+Y184+Y210+Y243+Y280+Y295+Y316+Y336+Y344+Y393</f>
        <v>129.30000000000001</v>
      </c>
      <c r="Z423" s="377"/>
      <c r="AA423" s="377"/>
      <c r="AB423" s="2568"/>
      <c r="AC423" s="2569"/>
      <c r="AF423" s="2571"/>
      <c r="AG423" s="2572"/>
      <c r="AH423" s="2572"/>
    </row>
    <row r="424" spans="1:35" s="2570" customFormat="1" x14ac:dyDescent="0.25">
      <c r="A424" s="377"/>
      <c r="B424" s="377"/>
      <c r="C424" s="1036" t="s">
        <v>800</v>
      </c>
      <c r="D424" s="1036"/>
      <c r="E424" s="1036"/>
      <c r="F424" s="1241"/>
      <c r="G424" s="1242"/>
      <c r="H424" s="1243">
        <f>H127+H245+H359+H370+H395+H415</f>
        <v>242.9</v>
      </c>
      <c r="I424" s="1243"/>
      <c r="J424" s="1243"/>
      <c r="K424" s="1243">
        <f>K127+K245+K248+K359+K370+K395+K415</f>
        <v>3.5</v>
      </c>
      <c r="L424" s="1243"/>
      <c r="M424" s="1243"/>
      <c r="N424" s="1243">
        <f>N127+N245+N248+N359+N370+N395+N415</f>
        <v>3.5</v>
      </c>
      <c r="O424" s="1036"/>
      <c r="P424" s="1036"/>
      <c r="Q424" s="1036">
        <f>Q127+Q245+Q248+Q359+Q370+Q395+Q415</f>
        <v>172.4</v>
      </c>
      <c r="R424" s="1036">
        <f>R127+R245+R248+R359+R370+R395+R415</f>
        <v>115.7</v>
      </c>
      <c r="S424" s="1036">
        <f>S127+S245+S248+S359+S370+S395+S415</f>
        <v>56.7</v>
      </c>
      <c r="T424" s="1036"/>
      <c r="U424" s="1036"/>
      <c r="V424" s="1036">
        <f>V127+V245+V248+V359+V370+V395+V415</f>
        <v>213.5</v>
      </c>
      <c r="W424" s="1036"/>
      <c r="X424" s="1036"/>
      <c r="Y424" s="1036">
        <f>Y127+Y245+Y248+Y359+Y370+Y395+Y415</f>
        <v>213.5</v>
      </c>
      <c r="Z424" s="377"/>
      <c r="AA424" s="377"/>
      <c r="AB424" s="2568"/>
      <c r="AC424" s="2569"/>
      <c r="AF424" s="2571"/>
      <c r="AG424" s="2572"/>
      <c r="AH424" s="2572"/>
    </row>
    <row r="425" spans="1:35" s="1975" customFormat="1" x14ac:dyDescent="0.25">
      <c r="A425" s="1971"/>
      <c r="B425" s="1971"/>
      <c r="C425" s="1972" t="s">
        <v>797</v>
      </c>
      <c r="D425" s="1972"/>
      <c r="E425" s="1972"/>
      <c r="F425" s="1241"/>
      <c r="G425" s="1242"/>
      <c r="H425" s="1243">
        <f>H13+H17+H22+H35+H39+H61+H65+H69+H82+H84+H92+H99+H116+H120+H121+H142+H145+H156+H157+H160+H164+H180+H186+H189+H202+H204+H208+H211+H216+H223+H224+H228+H250+H255+H259+H266+H288+H284+H289+H294+H310+H313+H325+H330+H335+H345+H346+H350+H356+H371+H372+H381+H387+H394+H396</f>
        <v>385</v>
      </c>
      <c r="I425" s="1243"/>
      <c r="J425" s="1243"/>
      <c r="K425" s="1243">
        <f>K13+K17+K22+K35+K39+K61+K65+K69+K82+K84+K92+K99+K116+K120+K121+K142+K145+K156+K157+K160+K164+K180+K186+K189+K202+K204+K208+K211+K216+K223+K224+K228+K250+K255+K259+K266+K288+K284+K289+K294+K310+K313+K325+K330+K335+K345+K346+K350+K356+K371+K372+K381+K387+K394+K396</f>
        <v>225.9</v>
      </c>
      <c r="L425" s="1243"/>
      <c r="M425" s="1243"/>
      <c r="N425" s="1243">
        <f>N13+N17+N22+N35+N39+N61+N65+N69+N82+N84+N92+N99+N116+N120+N121+N142+N145+N156+N157+N160+N164+N180+N186+N189+N202+N204+N208+N211+N216+N223+N224+N228+N250+N255+N259+N266+N288+N284+N289+N294+N310+N313+N325+N330+N335+N345+N346+N350+N356+N371+N372+N381+N387+N394+N396</f>
        <v>240.9</v>
      </c>
      <c r="O425" s="1972"/>
      <c r="P425" s="1972"/>
      <c r="Q425" s="1972">
        <f>Q13+Q17+Q22+Q35+Q39+Q61+Q65+Q69+Q82+Q84+Q92+Q99+Q116+Q120+Q121+Q142+Q145+Q156+Q157+Q160+Q164+Q180+Q186+Q189+Q202+Q204+Q208+Q211+Q216+Q223+Q224+Q228+Q250+Q255+Q259+Q266+Q288+Q284+Q289+Q294+Q310+Q313+Q325+Q330+Q335+Q345+Q346+Q350+Q356+Q371+Q372+Q381+Q387+Q394+Q396</f>
        <v>360.1</v>
      </c>
      <c r="R425" s="1972">
        <f>R13+R17+R22+R35+R39+R61+R65+R69+R82+R84+R92+R99+R116+R120+R121+R142+R145+R156+R157+R160+R164+R180+R186+R189+R202+R204+R208+R211+R216+R223+R224+R228+R250+R255+R259+R266+R288+R284+R289+R294+R310+R313+R325+R330+R335+R345+R346+R350+R356+R371+R372+R381+R387+R394+R396</f>
        <v>250.8</v>
      </c>
      <c r="S425" s="1972">
        <f>S13+S17+S22+S35+S39+S61+S65+S69+S82+S84+S92+S99+S116+S120+S121+S142+S145+S156+S157+S160+S164+S180+S186+S189+S202+S204+S208+S211+S216+S223+S224+S228+S250+S255+S259+S266+S288+S284+S289+S294+S310+S313+S325+S330+S335+S345+S346+S350+S356+S371+S372+S381+S387+S394+S396</f>
        <v>85.2</v>
      </c>
      <c r="T425" s="1972"/>
      <c r="U425" s="1972"/>
      <c r="V425" s="1972">
        <f>V13+V17+V22+V35+V39+V61+V65+V69+V82+V84+V92+V99+V116+V120+V121+V142+V145+V156+V157+V160+V164+V180+V186+V189+V202+V204+V208+V211+V216+V223+V224+V228+V250+V255+V259+V266+V288+V284+V289+V294+V310+V313+V325+V330+V335+V345+V346+V350+V356+V371+V372+V381+V387+V394+V396</f>
        <v>264.7</v>
      </c>
      <c r="W425" s="1972"/>
      <c r="X425" s="1972"/>
      <c r="Y425" s="1972">
        <f>Y13+Y17+Y22+Y35+Y39+Y61+Y65+Y69+Y82+Y84+Y92+Y99+Y116+Y120+Y121+Y142+Y145+Y156+Y157+Y160+Y164+Y180+Y186+Y189+Y202+Y204+Y208+Y211+Y216+Y223+Y224+Y228+Y250+Y255+Y259+Y266+Y288+Y284+Y289+Y294+Y310+Y313+Y325+Y330+Y335+Y345+Y346+Y350+Y356+Y371+Y372+Y381+Y387+Y394+Y396</f>
        <v>264.7</v>
      </c>
      <c r="Z425" s="1971"/>
      <c r="AA425" s="1971"/>
      <c r="AB425" s="1973"/>
      <c r="AC425" s="1974"/>
      <c r="AF425" s="1976"/>
      <c r="AG425" s="1977"/>
      <c r="AH425" s="1977"/>
    </row>
    <row r="426" spans="1:35" s="1975" customFormat="1" x14ac:dyDescent="0.25">
      <c r="A426" s="1971"/>
      <c r="B426" s="1971"/>
      <c r="C426" s="2670">
        <v>981</v>
      </c>
      <c r="D426" s="1972"/>
      <c r="E426" s="1972"/>
      <c r="F426" s="1241"/>
      <c r="G426" s="1242"/>
      <c r="H426" s="1243">
        <f>H81+H98</f>
        <v>135</v>
      </c>
      <c r="I426" s="1243"/>
      <c r="J426" s="1243"/>
      <c r="K426" s="1243">
        <f>K81+K98</f>
        <v>135</v>
      </c>
      <c r="L426" s="1243"/>
      <c r="M426" s="1243"/>
      <c r="N426" s="1243">
        <f>N81+N98</f>
        <v>120</v>
      </c>
      <c r="O426" s="1972"/>
      <c r="P426" s="1972"/>
      <c r="Q426" s="1972">
        <f>Q81+Q98</f>
        <v>120</v>
      </c>
      <c r="R426" s="1972">
        <f>R81+R98</f>
        <v>120</v>
      </c>
      <c r="S426" s="1972">
        <f>S81+S98</f>
        <v>0</v>
      </c>
      <c r="T426" s="1972"/>
      <c r="U426" s="1972"/>
      <c r="V426" s="1972">
        <f>V81+V98</f>
        <v>120</v>
      </c>
      <c r="W426" s="1972"/>
      <c r="X426" s="1972"/>
      <c r="Y426" s="1972">
        <f>Y81+Y98</f>
        <v>120</v>
      </c>
      <c r="Z426" s="1971"/>
      <c r="AA426" s="1971"/>
      <c r="AB426" s="1973"/>
      <c r="AC426" s="1974"/>
      <c r="AF426" s="1976"/>
      <c r="AG426" s="1977"/>
      <c r="AH426" s="1977"/>
    </row>
    <row r="427" spans="1:35" s="1975" customFormat="1" x14ac:dyDescent="0.25">
      <c r="A427" s="1971"/>
      <c r="B427" s="1971"/>
      <c r="C427" s="2670">
        <v>981</v>
      </c>
      <c r="D427" s="1972"/>
      <c r="E427" s="1972"/>
      <c r="F427" s="1241"/>
      <c r="G427" s="1242"/>
      <c r="H427" s="1243">
        <f>H72+H126+H209+H265</f>
        <v>0</v>
      </c>
      <c r="I427" s="1243"/>
      <c r="J427" s="1243"/>
      <c r="K427" s="1243">
        <f>K72+K126+K209+K265</f>
        <v>0</v>
      </c>
      <c r="L427" s="1243"/>
      <c r="M427" s="1243"/>
      <c r="N427" s="1243">
        <f>N72+N126+N209+N265</f>
        <v>0</v>
      </c>
      <c r="O427" s="1972"/>
      <c r="P427" s="1972"/>
      <c r="Q427" s="1972">
        <f>Q72+Q126+Q209+Q265</f>
        <v>16</v>
      </c>
      <c r="R427" s="1972">
        <f>R72+R126+R209+R265</f>
        <v>9</v>
      </c>
      <c r="S427" s="1972">
        <f>S72+S126+S209+S265</f>
        <v>6</v>
      </c>
      <c r="T427" s="1972"/>
      <c r="U427" s="1972"/>
      <c r="V427" s="1972">
        <f>V72+V126+V209+V265</f>
        <v>9</v>
      </c>
      <c r="W427" s="1972"/>
      <c r="X427" s="1972"/>
      <c r="Y427" s="1972">
        <f>Y72+Y126+Y209+Y265</f>
        <v>9</v>
      </c>
      <c r="Z427" s="1971"/>
      <c r="AA427" s="1971"/>
      <c r="AB427" s="1973"/>
      <c r="AC427" s="1974"/>
      <c r="AF427" s="1976"/>
      <c r="AG427" s="1977"/>
      <c r="AH427" s="1977"/>
    </row>
    <row r="428" spans="1:35" s="1961" customFormat="1" x14ac:dyDescent="0.25">
      <c r="A428" s="571"/>
      <c r="B428" s="571"/>
      <c r="C428" s="580" t="s">
        <v>217</v>
      </c>
      <c r="D428" s="580"/>
      <c r="E428" s="580"/>
      <c r="F428" s="581"/>
      <c r="G428" s="582"/>
      <c r="H428" s="580">
        <f>H12+H34+H53+H75+H148+H159+H183+H192+H215+H254+H283+H304+H318+H338+H354+H414</f>
        <v>1329.4</v>
      </c>
      <c r="I428" s="580"/>
      <c r="J428" s="580"/>
      <c r="K428" s="580">
        <f>K12+K34+K53+K75+K148+K159+K183+K192+K215+K254+K283+K304+K318+K338+K354+K414</f>
        <v>891.2</v>
      </c>
      <c r="L428" s="580"/>
      <c r="M428" s="580"/>
      <c r="N428" s="580">
        <f>N12+N34+N53+N75+N148+N159+N183+N192+N215+N254+N283+N304+N318+N338+N354+N414</f>
        <v>891.2</v>
      </c>
      <c r="O428" s="580"/>
      <c r="P428" s="580"/>
      <c r="Q428" s="580">
        <f>Q12+Q34+Q53+Q75+Q148+Q159+Q183+Q192+Q215+Q254+Q283+Q304+Q318+Q338+Q354+Q414+Q405+Q397</f>
        <v>1421.5</v>
      </c>
      <c r="R428" s="580">
        <f>R12+R34+R53+R75+R148+R159+R183+R192+R215+R254+R283+R304+R318+R338+R354+R414+R405+R397</f>
        <v>1187.4000000000001</v>
      </c>
      <c r="S428" s="580">
        <f>S12+S34+S53+S75+S148+S159+S183+S192+S215+S254+S283+S304+S318+S338+S354+S414+S405+S397</f>
        <v>233.9</v>
      </c>
      <c r="T428" s="580"/>
      <c r="U428" s="580"/>
      <c r="V428" s="580">
        <f>V12+V34+V53+V75+V148+V159+V183+V192+V215+V254+V283+V304+V318+V338+V354+V414</f>
        <v>1217.9000000000001</v>
      </c>
      <c r="W428" s="580"/>
      <c r="X428" s="580"/>
      <c r="Y428" s="580">
        <f>Y12+Y34+Y53+Y75+Y148+Y159+Y183+Y192+Y215+Y254+Y283+Y304+Y318+Y338+Y354+Y414</f>
        <v>1217.9000000000001</v>
      </c>
      <c r="Z428" s="575"/>
      <c r="AA428" s="575"/>
      <c r="AB428" s="576"/>
      <c r="AC428" s="577"/>
      <c r="AD428" s="1960"/>
      <c r="AE428" s="1960"/>
      <c r="AF428" s="1958"/>
      <c r="AG428" s="560"/>
      <c r="AH428" s="560"/>
    </row>
    <row r="429" spans="1:35" s="1961" customFormat="1" x14ac:dyDescent="0.25">
      <c r="A429" s="571"/>
      <c r="B429" s="571"/>
      <c r="C429" s="578"/>
      <c r="D429" s="578"/>
      <c r="E429" s="578"/>
      <c r="F429" s="1241"/>
      <c r="G429" s="1242"/>
      <c r="H429" s="1243">
        <f t="shared" ref="H429:Y429" si="73">H428-H420</f>
        <v>0</v>
      </c>
      <c r="I429" s="1243">
        <f t="shared" si="73"/>
        <v>0</v>
      </c>
      <c r="J429" s="1243">
        <f t="shared" si="73"/>
        <v>0</v>
      </c>
      <c r="K429" s="1243">
        <f t="shared" si="73"/>
        <v>0</v>
      </c>
      <c r="L429" s="1243">
        <f t="shared" si="73"/>
        <v>0</v>
      </c>
      <c r="M429" s="1243">
        <f t="shared" si="73"/>
        <v>0</v>
      </c>
      <c r="N429" s="1243">
        <f t="shared" si="73"/>
        <v>0</v>
      </c>
      <c r="O429" s="1243">
        <f t="shared" si="73"/>
        <v>0</v>
      </c>
      <c r="P429" s="1243">
        <f t="shared" si="73"/>
        <v>0</v>
      </c>
      <c r="Q429" s="1243">
        <f t="shared" si="73"/>
        <v>0</v>
      </c>
      <c r="R429" s="1243">
        <f t="shared" si="73"/>
        <v>25</v>
      </c>
      <c r="S429" s="1243">
        <f t="shared" si="73"/>
        <v>0</v>
      </c>
      <c r="T429" s="1243">
        <f t="shared" si="73"/>
        <v>0</v>
      </c>
      <c r="U429" s="1243">
        <f t="shared" si="73"/>
        <v>0</v>
      </c>
      <c r="V429" s="1243">
        <f t="shared" si="73"/>
        <v>0</v>
      </c>
      <c r="W429" s="1243">
        <f t="shared" si="73"/>
        <v>0</v>
      </c>
      <c r="X429" s="1243">
        <f t="shared" si="73"/>
        <v>0</v>
      </c>
      <c r="Y429" s="1243">
        <f t="shared" si="73"/>
        <v>0</v>
      </c>
      <c r="Z429" s="575"/>
      <c r="AA429" s="575"/>
      <c r="AB429" s="576"/>
      <c r="AC429" s="577"/>
      <c r="AD429" s="1960"/>
      <c r="AE429" s="1960"/>
      <c r="AF429" s="1958"/>
      <c r="AG429" s="560"/>
      <c r="AH429" s="560"/>
    </row>
    <row r="431" spans="1:35" x14ac:dyDescent="0.25">
      <c r="R431" s="470">
        <f>R425-250.8</f>
        <v>0</v>
      </c>
      <c r="V431" s="470">
        <f>264.7-V425</f>
        <v>0</v>
      </c>
      <c r="Y431" s="470">
        <f>264.7-Y425</f>
        <v>0</v>
      </c>
    </row>
    <row r="432" spans="1:35" x14ac:dyDescent="0.25">
      <c r="R432" s="1963"/>
    </row>
  </sheetData>
  <autoFilter ref="A9:AN417">
    <filterColumn colId="2">
      <filters>
        <filter val="981"/>
      </filters>
    </filterColumn>
  </autoFilter>
  <mergeCells count="45">
    <mergeCell ref="A4:AB4"/>
    <mergeCell ref="A6:A8"/>
    <mergeCell ref="B6:B8"/>
    <mergeCell ref="C6:C8"/>
    <mergeCell ref="D6:D8"/>
    <mergeCell ref="E6:E8"/>
    <mergeCell ref="F6:H6"/>
    <mergeCell ref="I6:K6"/>
    <mergeCell ref="L6:N6"/>
    <mergeCell ref="O6:Q6"/>
    <mergeCell ref="F7:F8"/>
    <mergeCell ref="G7:G8"/>
    <mergeCell ref="H7:H8"/>
    <mergeCell ref="I7:I8"/>
    <mergeCell ref="J7:J8"/>
    <mergeCell ref="P7:P8"/>
    <mergeCell ref="R6:S6"/>
    <mergeCell ref="T6:V6"/>
    <mergeCell ref="W6:Y6"/>
    <mergeCell ref="Z6:AA6"/>
    <mergeCell ref="AB397:AB404"/>
    <mergeCell ref="AB405:AB412"/>
    <mergeCell ref="Y7:Y8"/>
    <mergeCell ref="Z7:Z8"/>
    <mergeCell ref="AA7:AA8"/>
    <mergeCell ref="AB137:AB139"/>
    <mergeCell ref="AB143:AB144"/>
    <mergeCell ref="AB175:AB178"/>
    <mergeCell ref="AB6:AB8"/>
    <mergeCell ref="A2:AB2"/>
    <mergeCell ref="AB239:AB241"/>
    <mergeCell ref="AB274:AB278"/>
    <mergeCell ref="AB305:AB309"/>
    <mergeCell ref="AB367:AB368"/>
    <mergeCell ref="Q7:Q8"/>
    <mergeCell ref="T7:T8"/>
    <mergeCell ref="U7:U8"/>
    <mergeCell ref="V7:V8"/>
    <mergeCell ref="W7:W8"/>
    <mergeCell ref="X7:X8"/>
    <mergeCell ref="K7:K8"/>
    <mergeCell ref="L7:L8"/>
    <mergeCell ref="M7:M8"/>
    <mergeCell ref="N7:N8"/>
    <mergeCell ref="O7:O8"/>
  </mergeCells>
  <pageMargins left="0.70866141732283472" right="0.70866141732283472" top="0.74803149606299213" bottom="0.74803149606299213" header="0.31496062992125984" footer="0.31496062992125984"/>
  <pageSetup paperSize="9" scale="2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sheetPr>
  <dimension ref="A1:BF110"/>
  <sheetViews>
    <sheetView view="pageBreakPreview" topLeftCell="B1" zoomScale="60" zoomScaleNormal="100" workbookViewId="0">
      <selection activeCell="J11" sqref="J11"/>
    </sheetView>
  </sheetViews>
  <sheetFormatPr defaultRowHeight="15.75" x14ac:dyDescent="0.2"/>
  <cols>
    <col min="1" max="1" width="77.33203125" style="691" customWidth="1"/>
    <col min="2" max="2" width="9.33203125" style="692" customWidth="1"/>
    <col min="3" max="3" width="16.33203125" style="691" customWidth="1"/>
    <col min="4" max="4" width="23.33203125" style="691" customWidth="1"/>
    <col min="5" max="5" width="24.5" style="691" customWidth="1"/>
    <col min="6" max="6" width="21.1640625" style="691" customWidth="1"/>
    <col min="7" max="7" width="24.83203125" style="691" customWidth="1"/>
    <col min="8" max="8" width="19.33203125" style="691" customWidth="1"/>
    <col min="9" max="10" width="30.1640625" style="691" customWidth="1"/>
    <col min="11" max="11" width="24.33203125" style="691" customWidth="1"/>
    <col min="12" max="12" width="26.83203125" style="691" customWidth="1"/>
    <col min="13" max="14" width="23.1640625" style="691" customWidth="1"/>
    <col min="15" max="15" width="24.1640625" style="691" customWidth="1"/>
    <col min="16" max="17" width="21.1640625" style="691" customWidth="1"/>
    <col min="18" max="18" width="24.83203125" style="691" customWidth="1"/>
    <col min="19" max="19" width="19.33203125" style="691" customWidth="1"/>
    <col min="20" max="20" width="30.1640625" style="691" customWidth="1"/>
    <col min="21" max="21" width="24.33203125" style="691" customWidth="1"/>
    <col min="22" max="22" width="26.83203125" style="691" customWidth="1"/>
    <col min="23" max="25" width="23.1640625" style="691" customWidth="1"/>
    <col min="26" max="26" width="23.6640625" style="691" customWidth="1"/>
    <col min="27" max="27" width="21.1640625" style="691" customWidth="1"/>
    <col min="28" max="28" width="24.83203125" style="691" customWidth="1"/>
    <col min="29" max="29" width="19.33203125" style="691" customWidth="1"/>
    <col min="30" max="30" width="30.1640625" style="691" customWidth="1"/>
    <col min="31" max="31" width="24.33203125" style="691" customWidth="1"/>
    <col min="32" max="32" width="26.83203125" style="691" customWidth="1"/>
    <col min="33" max="35" width="23.1640625" style="691" customWidth="1"/>
    <col min="36" max="36" width="23.6640625" style="691" customWidth="1"/>
    <col min="37" max="37" width="21.1640625" style="691" customWidth="1"/>
    <col min="38" max="38" width="24.83203125" style="691" customWidth="1"/>
    <col min="39" max="39" width="19.33203125" style="691" customWidth="1"/>
    <col min="40" max="40" width="30.1640625" style="691" customWidth="1"/>
    <col min="41" max="41" width="24.33203125" style="691" customWidth="1"/>
    <col min="42" max="42" width="26.83203125" style="691" customWidth="1"/>
    <col min="43" max="44" width="23.1640625" style="691" customWidth="1"/>
    <col min="45" max="45" width="19.33203125" style="691" bestFit="1" customWidth="1"/>
    <col min="46" max="16384" width="9.33203125" style="691"/>
  </cols>
  <sheetData>
    <row r="1" spans="1:44" x14ac:dyDescent="0.2">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3"/>
      <c r="AO1" s="693"/>
      <c r="AP1" s="693"/>
      <c r="AQ1" s="693"/>
      <c r="AR1" s="693"/>
    </row>
    <row r="2" spans="1:44" x14ac:dyDescent="0.2">
      <c r="J2" s="3216" t="s">
        <v>984</v>
      </c>
      <c r="K2" s="3216"/>
      <c r="L2" s="3216"/>
      <c r="M2" s="3216"/>
      <c r="N2" s="3216"/>
      <c r="O2" s="693"/>
      <c r="P2" s="693"/>
      <c r="Q2" s="693"/>
      <c r="R2" s="693"/>
      <c r="S2" s="693"/>
      <c r="T2" s="693"/>
      <c r="U2" s="3210"/>
      <c r="V2" s="3210"/>
      <c r="W2" s="3210"/>
      <c r="X2" s="3210"/>
      <c r="Y2" s="693"/>
      <c r="Z2" s="693"/>
      <c r="AA2" s="693"/>
      <c r="AB2" s="693"/>
      <c r="AC2" s="693"/>
      <c r="AD2" s="693"/>
      <c r="AE2" s="3210"/>
      <c r="AF2" s="3210"/>
      <c r="AG2" s="3210"/>
      <c r="AH2" s="3210"/>
      <c r="AI2" s="693"/>
      <c r="AJ2" s="693"/>
      <c r="AK2" s="693"/>
      <c r="AL2" s="693"/>
      <c r="AM2" s="693"/>
      <c r="AN2" s="693"/>
      <c r="AO2" s="3210"/>
      <c r="AP2" s="3210"/>
      <c r="AQ2" s="3210"/>
      <c r="AR2" s="3210"/>
    </row>
    <row r="3" spans="1:44" x14ac:dyDescent="0.2">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row>
    <row r="4" spans="1:44" x14ac:dyDescent="0.2">
      <c r="J4" s="3230" t="s">
        <v>1439</v>
      </c>
      <c r="K4" s="3230"/>
      <c r="L4" s="3230"/>
      <c r="M4" s="3230"/>
      <c r="N4" s="3230"/>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row>
    <row r="5" spans="1:44" x14ac:dyDescent="0.2">
      <c r="J5" s="3231" t="s">
        <v>985</v>
      </c>
      <c r="K5" s="3231"/>
      <c r="L5" s="3231"/>
      <c r="M5" s="3231"/>
      <c r="N5" s="3231"/>
      <c r="O5" s="693"/>
      <c r="P5" s="693"/>
      <c r="Q5" s="693"/>
      <c r="R5" s="693"/>
      <c r="S5" s="693"/>
      <c r="T5" s="693"/>
      <c r="U5" s="3210"/>
      <c r="V5" s="3210"/>
      <c r="W5" s="3210"/>
      <c r="X5" s="3210"/>
      <c r="Y5" s="693"/>
      <c r="Z5" s="693"/>
      <c r="AA5" s="693"/>
      <c r="AB5" s="693"/>
      <c r="AC5" s="693"/>
      <c r="AD5" s="693"/>
      <c r="AE5" s="3210"/>
      <c r="AF5" s="3210"/>
      <c r="AG5" s="3210"/>
      <c r="AH5" s="3210"/>
      <c r="AI5" s="693"/>
      <c r="AJ5" s="693"/>
      <c r="AK5" s="693"/>
      <c r="AL5" s="693"/>
      <c r="AM5" s="693"/>
      <c r="AN5" s="693"/>
      <c r="AO5" s="3210"/>
      <c r="AP5" s="3210"/>
      <c r="AQ5" s="3210"/>
      <c r="AR5" s="3210"/>
    </row>
    <row r="6" spans="1:44" x14ac:dyDescent="0.2">
      <c r="J6" s="3230"/>
      <c r="K6" s="3230"/>
      <c r="L6" s="3230"/>
      <c r="M6" s="3230"/>
      <c r="N6" s="3230"/>
      <c r="O6" s="693"/>
      <c r="P6" s="693"/>
      <c r="Q6" s="693"/>
      <c r="R6" s="693"/>
      <c r="S6" s="693"/>
      <c r="T6" s="693"/>
      <c r="U6" s="3210"/>
      <c r="V6" s="3210"/>
      <c r="W6" s="3210"/>
      <c r="X6" s="3210"/>
      <c r="Y6" s="693"/>
      <c r="Z6" s="693"/>
      <c r="AA6" s="693"/>
      <c r="AB6" s="693"/>
      <c r="AC6" s="693"/>
      <c r="AD6" s="693"/>
      <c r="AE6" s="3210"/>
      <c r="AF6" s="3210"/>
      <c r="AG6" s="3210"/>
      <c r="AH6" s="3210"/>
      <c r="AI6" s="693"/>
      <c r="AJ6" s="693"/>
      <c r="AK6" s="693"/>
      <c r="AL6" s="693"/>
      <c r="AM6" s="693"/>
      <c r="AN6" s="693"/>
      <c r="AO6" s="3210"/>
      <c r="AP6" s="3210"/>
      <c r="AQ6" s="3210"/>
      <c r="AR6" s="3210"/>
    </row>
    <row r="7" spans="1:44" x14ac:dyDescent="0.2">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row>
    <row r="8" spans="1:44" x14ac:dyDescent="0.2">
      <c r="J8" s="694"/>
      <c r="K8" s="694"/>
      <c r="M8" s="3230" t="s">
        <v>1440</v>
      </c>
      <c r="N8" s="3230"/>
      <c r="O8" s="693"/>
      <c r="P8" s="693"/>
      <c r="Q8" s="693"/>
      <c r="R8" s="693"/>
      <c r="S8" s="693"/>
      <c r="T8" s="693"/>
      <c r="U8" s="693"/>
      <c r="V8" s="693"/>
      <c r="W8" s="3210"/>
      <c r="X8" s="3210"/>
      <c r="Y8" s="693"/>
      <c r="Z8" s="693"/>
      <c r="AA8" s="693"/>
      <c r="AB8" s="693"/>
      <c r="AC8" s="693"/>
      <c r="AD8" s="693"/>
      <c r="AE8" s="693"/>
      <c r="AF8" s="693"/>
      <c r="AG8" s="3210"/>
      <c r="AH8" s="3210"/>
      <c r="AI8" s="693"/>
      <c r="AJ8" s="693"/>
      <c r="AK8" s="693"/>
      <c r="AL8" s="693"/>
      <c r="AM8" s="693"/>
      <c r="AN8" s="693"/>
      <c r="AO8" s="693"/>
      <c r="AP8" s="693"/>
      <c r="AQ8" s="3210"/>
      <c r="AR8" s="3210"/>
    </row>
    <row r="9" spans="1:44" ht="21" customHeight="1" x14ac:dyDescent="0.2">
      <c r="J9" s="692" t="s">
        <v>189</v>
      </c>
      <c r="K9" s="692" t="s">
        <v>189</v>
      </c>
      <c r="M9" s="695" t="s">
        <v>986</v>
      </c>
      <c r="N9" s="695"/>
      <c r="O9" s="693"/>
      <c r="P9" s="693"/>
      <c r="Q9" s="693"/>
      <c r="R9" s="693"/>
      <c r="S9" s="693"/>
      <c r="T9" s="693"/>
      <c r="U9" s="696"/>
      <c r="V9" s="693"/>
      <c r="W9" s="697"/>
      <c r="X9" s="697"/>
      <c r="Y9" s="693"/>
      <c r="Z9" s="693"/>
      <c r="AA9" s="693"/>
      <c r="AB9" s="693"/>
      <c r="AC9" s="693"/>
      <c r="AD9" s="693"/>
      <c r="AE9" s="696"/>
      <c r="AF9" s="693"/>
      <c r="AG9" s="697"/>
      <c r="AH9" s="697"/>
      <c r="AI9" s="693"/>
      <c r="AJ9" s="693"/>
      <c r="AK9" s="693"/>
      <c r="AL9" s="693"/>
      <c r="AM9" s="693"/>
      <c r="AN9" s="693"/>
      <c r="AO9" s="976"/>
      <c r="AP9" s="693"/>
      <c r="AQ9" s="697"/>
      <c r="AR9" s="697"/>
    </row>
    <row r="10" spans="1:44" ht="38.25" customHeight="1" x14ac:dyDescent="0.2">
      <c r="J10" s="3216" t="s">
        <v>1212</v>
      </c>
      <c r="K10" s="3216"/>
      <c r="L10" s="3216"/>
      <c r="M10" s="3216"/>
      <c r="N10" s="3216"/>
      <c r="O10" s="693"/>
      <c r="P10" s="693"/>
      <c r="Q10" s="693"/>
      <c r="R10" s="693"/>
      <c r="S10" s="693"/>
      <c r="T10" s="693"/>
      <c r="U10" s="3210"/>
      <c r="V10" s="3210"/>
      <c r="W10" s="3210"/>
      <c r="X10" s="3210"/>
      <c r="Y10" s="693"/>
      <c r="Z10" s="693"/>
      <c r="AA10" s="693"/>
      <c r="AB10" s="693"/>
      <c r="AC10" s="693"/>
      <c r="AD10" s="693"/>
      <c r="AE10" s="3210"/>
      <c r="AF10" s="3210"/>
      <c r="AG10" s="3210"/>
      <c r="AH10" s="3210"/>
      <c r="AI10" s="693"/>
      <c r="AJ10" s="693"/>
      <c r="AK10" s="693"/>
      <c r="AL10" s="693"/>
      <c r="AM10" s="693"/>
      <c r="AN10" s="693"/>
      <c r="AO10" s="3210"/>
      <c r="AP10" s="3210"/>
      <c r="AQ10" s="3210"/>
      <c r="AR10" s="3210"/>
    </row>
    <row r="11" spans="1:44" x14ac:dyDescent="0.2">
      <c r="O11" s="693"/>
      <c r="P11" s="693"/>
      <c r="Q11" s="693"/>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row>
    <row r="12" spans="1:44" s="699" customFormat="1" ht="18.75" x14ac:dyDescent="0.2">
      <c r="A12" s="3227" t="s">
        <v>987</v>
      </c>
      <c r="B12" s="3227"/>
      <c r="C12" s="3227"/>
      <c r="D12" s="3227"/>
      <c r="E12" s="3227"/>
      <c r="F12" s="3227"/>
      <c r="G12" s="3227"/>
      <c r="H12" s="3227"/>
      <c r="I12" s="3227"/>
      <c r="J12" s="3227"/>
      <c r="K12" s="3227"/>
      <c r="L12" s="3227"/>
      <c r="M12" s="3227"/>
      <c r="N12" s="3227"/>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8"/>
      <c r="AL12" s="698"/>
      <c r="AM12" s="698"/>
      <c r="AN12" s="698"/>
      <c r="AO12" s="698"/>
      <c r="AP12" s="698"/>
      <c r="AQ12" s="698"/>
      <c r="AR12" s="698"/>
    </row>
    <row r="13" spans="1:44" s="699" customFormat="1" ht="18.75" x14ac:dyDescent="0.2">
      <c r="A13" s="3227" t="s">
        <v>1214</v>
      </c>
      <c r="B13" s="3227"/>
      <c r="C13" s="3227"/>
      <c r="D13" s="3227"/>
      <c r="E13" s="3227"/>
      <c r="F13" s="3227"/>
      <c r="G13" s="3227"/>
      <c r="H13" s="3227"/>
      <c r="I13" s="3227"/>
      <c r="J13" s="3227"/>
      <c r="K13" s="3227"/>
      <c r="L13" s="3227"/>
      <c r="M13" s="3227"/>
      <c r="N13" s="3227"/>
      <c r="O13" s="698"/>
      <c r="P13" s="698"/>
      <c r="Q13" s="698"/>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row>
    <row r="14" spans="1:44" ht="12.75" customHeight="1" x14ac:dyDescent="0.2">
      <c r="A14" s="3228" t="s">
        <v>1213</v>
      </c>
      <c r="B14" s="3228"/>
      <c r="C14" s="3228"/>
      <c r="D14" s="3228"/>
      <c r="E14" s="3228"/>
      <c r="F14" s="3228"/>
      <c r="G14" s="3228"/>
      <c r="H14" s="3228"/>
      <c r="I14" s="3228"/>
      <c r="J14" s="3228"/>
      <c r="K14" s="3228"/>
      <c r="L14" s="3228"/>
      <c r="M14" s="3228"/>
      <c r="N14" s="3228"/>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row>
    <row r="15" spans="1:44" ht="18.75" hidden="1" x14ac:dyDescent="0.2">
      <c r="E15" s="3216" t="s">
        <v>988</v>
      </c>
      <c r="F15" s="3216"/>
      <c r="G15" s="3216"/>
      <c r="H15" s="3216"/>
      <c r="I15" s="3216"/>
      <c r="O15" s="693"/>
      <c r="P15" s="3210"/>
      <c r="Q15" s="3210"/>
      <c r="R15" s="3210"/>
      <c r="S15" s="3210"/>
      <c r="T15" s="3210"/>
      <c r="U15" s="693"/>
      <c r="V15" s="693"/>
      <c r="W15" s="693"/>
      <c r="X15" s="693"/>
      <c r="Y15" s="693"/>
      <c r="Z15" s="3210"/>
      <c r="AA15" s="3210"/>
      <c r="AB15" s="3210"/>
      <c r="AC15" s="3210"/>
      <c r="AD15" s="3210"/>
      <c r="AE15" s="693"/>
      <c r="AF15" s="693"/>
      <c r="AG15" s="693"/>
      <c r="AH15" s="693"/>
      <c r="AI15" s="693"/>
      <c r="AJ15" s="3210"/>
      <c r="AK15" s="3210"/>
      <c r="AL15" s="3210"/>
      <c r="AM15" s="3210"/>
      <c r="AN15" s="3210"/>
      <c r="AO15" s="693"/>
      <c r="AP15" s="693"/>
      <c r="AQ15" s="693"/>
      <c r="AR15" s="693"/>
    </row>
    <row r="16" spans="1:44" ht="40.5" customHeight="1" thickBot="1" x14ac:dyDescent="0.25">
      <c r="N16" s="701" t="s">
        <v>989</v>
      </c>
      <c r="O16" s="693"/>
      <c r="P16" s="693"/>
      <c r="Q16" s="693"/>
      <c r="R16" s="693"/>
      <c r="S16" s="693"/>
      <c r="T16" s="693"/>
      <c r="U16" s="693"/>
      <c r="V16" s="693"/>
      <c r="W16" s="693"/>
      <c r="X16" s="696"/>
      <c r="Y16" s="693"/>
      <c r="Z16" s="693"/>
      <c r="AA16" s="693"/>
      <c r="AB16" s="693"/>
      <c r="AC16" s="693"/>
      <c r="AD16" s="693"/>
      <c r="AE16" s="693"/>
      <c r="AF16" s="693"/>
      <c r="AG16" s="693"/>
      <c r="AH16" s="696"/>
      <c r="AI16" s="693"/>
      <c r="AJ16" s="693"/>
      <c r="AK16" s="693"/>
      <c r="AL16" s="693"/>
      <c r="AM16" s="693"/>
      <c r="AN16" s="693"/>
      <c r="AO16" s="693"/>
      <c r="AP16" s="693"/>
      <c r="AQ16" s="693"/>
      <c r="AR16" s="976"/>
    </row>
    <row r="17" spans="1:45" x14ac:dyDescent="0.2">
      <c r="A17" s="691" t="s">
        <v>990</v>
      </c>
      <c r="L17" s="3229" t="s">
        <v>767</v>
      </c>
      <c r="M17" s="3211"/>
      <c r="N17" s="702"/>
      <c r="O17" s="693"/>
      <c r="P17" s="693"/>
      <c r="Q17" s="693"/>
      <c r="R17" s="693"/>
      <c r="S17" s="693"/>
      <c r="T17" s="693"/>
      <c r="U17" s="693"/>
      <c r="V17" s="3211"/>
      <c r="W17" s="3211"/>
      <c r="X17" s="693"/>
      <c r="Y17" s="693"/>
      <c r="Z17" s="693"/>
      <c r="AA17" s="693"/>
      <c r="AB17" s="693"/>
      <c r="AC17" s="693"/>
      <c r="AD17" s="693"/>
      <c r="AE17" s="693"/>
      <c r="AF17" s="3211"/>
      <c r="AG17" s="3211"/>
      <c r="AH17" s="693"/>
      <c r="AI17" s="693"/>
      <c r="AJ17" s="693"/>
      <c r="AK17" s="693"/>
      <c r="AL17" s="693"/>
      <c r="AM17" s="693"/>
      <c r="AN17" s="693"/>
      <c r="AO17" s="693"/>
      <c r="AP17" s="3211"/>
      <c r="AQ17" s="3211"/>
      <c r="AR17" s="693"/>
    </row>
    <row r="18" spans="1:45" x14ac:dyDescent="0.2">
      <c r="A18" s="691" t="s">
        <v>2858</v>
      </c>
      <c r="B18" s="693"/>
      <c r="C18" s="693"/>
      <c r="D18" s="693"/>
      <c r="E18" s="693"/>
      <c r="F18" s="693"/>
      <c r="G18" s="693"/>
      <c r="H18" s="693"/>
      <c r="I18" s="693"/>
      <c r="J18" s="693"/>
      <c r="K18" s="693"/>
      <c r="L18" s="3211" t="s">
        <v>991</v>
      </c>
      <c r="M18" s="3211"/>
      <c r="N18" s="703"/>
      <c r="O18" s="693"/>
      <c r="P18" s="693"/>
      <c r="Q18" s="693"/>
      <c r="R18" s="693"/>
      <c r="S18" s="693"/>
      <c r="T18" s="693"/>
      <c r="U18" s="693"/>
      <c r="V18" s="3211"/>
      <c r="W18" s="3211"/>
      <c r="X18" s="693"/>
      <c r="Y18" s="693"/>
      <c r="Z18" s="693"/>
      <c r="AA18" s="693"/>
      <c r="AB18" s="693"/>
      <c r="AC18" s="693"/>
      <c r="AD18" s="693"/>
      <c r="AE18" s="693"/>
      <c r="AF18" s="3211"/>
      <c r="AG18" s="3211"/>
      <c r="AH18" s="693"/>
      <c r="AI18" s="693"/>
      <c r="AJ18" s="693"/>
      <c r="AK18" s="693"/>
      <c r="AL18" s="693"/>
      <c r="AM18" s="693"/>
      <c r="AN18" s="693"/>
      <c r="AO18" s="693"/>
      <c r="AP18" s="3211"/>
      <c r="AQ18" s="3211"/>
      <c r="AR18" s="693"/>
    </row>
    <row r="19" spans="1:45" x14ac:dyDescent="0.2">
      <c r="M19" s="704" t="s">
        <v>992</v>
      </c>
      <c r="N19" s="703"/>
      <c r="O19" s="693"/>
      <c r="P19" s="693"/>
      <c r="Q19" s="693"/>
      <c r="R19" s="693"/>
      <c r="S19" s="693"/>
      <c r="T19" s="693"/>
      <c r="U19" s="693"/>
      <c r="V19" s="693"/>
      <c r="W19" s="705"/>
      <c r="X19" s="693"/>
      <c r="Y19" s="693"/>
      <c r="Z19" s="693"/>
      <c r="AA19" s="693"/>
      <c r="AB19" s="693"/>
      <c r="AC19" s="693"/>
      <c r="AD19" s="693"/>
      <c r="AE19" s="693"/>
      <c r="AF19" s="693"/>
      <c r="AG19" s="705"/>
      <c r="AH19" s="693"/>
      <c r="AI19" s="693"/>
      <c r="AJ19" s="693"/>
      <c r="AK19" s="693"/>
      <c r="AL19" s="693"/>
      <c r="AM19" s="693"/>
      <c r="AN19" s="693"/>
      <c r="AO19" s="693"/>
      <c r="AP19" s="693"/>
      <c r="AQ19" s="974"/>
      <c r="AR19" s="693"/>
    </row>
    <row r="20" spans="1:45" x14ac:dyDescent="0.2">
      <c r="B20" s="966"/>
      <c r="M20" s="968" t="s">
        <v>991</v>
      </c>
      <c r="N20" s="703"/>
      <c r="O20" s="693"/>
      <c r="P20" s="693"/>
      <c r="Q20" s="693"/>
      <c r="R20" s="693"/>
      <c r="S20" s="693"/>
      <c r="T20" s="693"/>
      <c r="U20" s="693"/>
      <c r="V20" s="693"/>
      <c r="W20" s="967"/>
      <c r="X20" s="693"/>
      <c r="Y20" s="693"/>
      <c r="Z20" s="693"/>
      <c r="AA20" s="693"/>
      <c r="AB20" s="693"/>
      <c r="AC20" s="693"/>
      <c r="AD20" s="693"/>
      <c r="AE20" s="693"/>
      <c r="AF20" s="693"/>
      <c r="AG20" s="967"/>
      <c r="AH20" s="693"/>
      <c r="AI20" s="693"/>
      <c r="AJ20" s="693"/>
      <c r="AK20" s="693"/>
      <c r="AL20" s="693"/>
      <c r="AM20" s="693"/>
      <c r="AN20" s="693"/>
      <c r="AO20" s="693"/>
      <c r="AP20" s="693"/>
      <c r="AQ20" s="974"/>
      <c r="AR20" s="693"/>
    </row>
    <row r="21" spans="1:45" x14ac:dyDescent="0.2">
      <c r="A21" s="691" t="s">
        <v>2857</v>
      </c>
      <c r="B21" s="693"/>
      <c r="C21" s="693"/>
      <c r="D21" s="693"/>
      <c r="E21" s="693"/>
      <c r="F21" s="693"/>
      <c r="G21" s="693"/>
      <c r="H21" s="693"/>
      <c r="I21" s="693"/>
      <c r="J21" s="693"/>
      <c r="K21" s="693"/>
      <c r="L21" s="693"/>
      <c r="M21" s="1192" t="s">
        <v>993</v>
      </c>
      <c r="N21" s="703"/>
      <c r="O21" s="693"/>
      <c r="P21" s="693"/>
      <c r="Q21" s="693"/>
      <c r="R21" s="693"/>
      <c r="S21" s="693"/>
      <c r="T21" s="693"/>
      <c r="U21" s="693"/>
      <c r="V21" s="693"/>
      <c r="W21" s="1192"/>
      <c r="X21" s="693"/>
      <c r="Y21" s="693"/>
      <c r="Z21" s="693"/>
      <c r="AA21" s="693"/>
      <c r="AB21" s="693"/>
      <c r="AC21" s="693"/>
      <c r="AD21" s="693"/>
      <c r="AE21" s="693"/>
      <c r="AF21" s="693"/>
      <c r="AG21" s="1192"/>
      <c r="AH21" s="693"/>
      <c r="AI21" s="693"/>
      <c r="AJ21" s="693"/>
      <c r="AK21" s="693"/>
      <c r="AL21" s="693"/>
      <c r="AM21" s="693"/>
      <c r="AN21" s="693"/>
      <c r="AO21" s="693"/>
      <c r="AP21" s="693"/>
      <c r="AQ21" s="1192"/>
      <c r="AR21" s="693"/>
    </row>
    <row r="22" spans="1:45" x14ac:dyDescent="0.2">
      <c r="A22" s="691" t="s">
        <v>994</v>
      </c>
      <c r="B22" s="1190"/>
      <c r="D22" s="3092">
        <f>D34-D58</f>
        <v>0</v>
      </c>
      <c r="E22" s="3092">
        <f>E34-E58</f>
        <v>0</v>
      </c>
      <c r="F22" s="3092">
        <f t="shared" ref="F22:L22" si="0">F34-F58</f>
        <v>0</v>
      </c>
      <c r="G22" s="3092">
        <f t="shared" si="0"/>
        <v>0</v>
      </c>
      <c r="H22" s="3092">
        <f t="shared" si="0"/>
        <v>0</v>
      </c>
      <c r="I22" s="3092">
        <f t="shared" si="0"/>
        <v>0</v>
      </c>
      <c r="J22" s="3092">
        <f t="shared" si="0"/>
        <v>0</v>
      </c>
      <c r="K22" s="3092">
        <f t="shared" si="0"/>
        <v>0</v>
      </c>
      <c r="L22" s="3092">
        <f t="shared" si="0"/>
        <v>0</v>
      </c>
      <c r="M22" s="1193" t="s">
        <v>995</v>
      </c>
      <c r="N22" s="703"/>
      <c r="O22" s="693"/>
      <c r="P22" s="693"/>
      <c r="Q22" s="693"/>
      <c r="R22" s="693"/>
      <c r="S22" s="693"/>
      <c r="T22" s="693"/>
      <c r="U22" s="693"/>
      <c r="V22" s="693"/>
      <c r="W22" s="1192"/>
      <c r="X22" s="693"/>
      <c r="Y22" s="693"/>
      <c r="Z22" s="693"/>
      <c r="AA22" s="693"/>
      <c r="AB22" s="693"/>
      <c r="AC22" s="693"/>
      <c r="AD22" s="693"/>
      <c r="AE22" s="693"/>
      <c r="AF22" s="693"/>
      <c r="AG22" s="1192"/>
      <c r="AH22" s="693"/>
      <c r="AI22" s="693"/>
      <c r="AJ22" s="693"/>
      <c r="AK22" s="693"/>
      <c r="AL22" s="693"/>
      <c r="AM22" s="693"/>
      <c r="AN22" s="693"/>
      <c r="AO22" s="693"/>
      <c r="AP22" s="693"/>
      <c r="AQ22" s="1192"/>
      <c r="AR22" s="693"/>
    </row>
    <row r="23" spans="1:45" ht="16.5" thickBot="1" x14ac:dyDescent="0.25">
      <c r="B23" s="1190"/>
      <c r="D23" s="3092">
        <f>E34+F34+G34+H34+J34+L34+M34-D34+I34+K34</f>
        <v>0</v>
      </c>
      <c r="E23" s="3092">
        <f>38510500-E34</f>
        <v>0</v>
      </c>
      <c r="F23" s="3092">
        <f>103100-F34</f>
        <v>0</v>
      </c>
      <c r="G23" s="3092">
        <f>448500-G34</f>
        <v>0</v>
      </c>
      <c r="H23" s="3092">
        <f>0-H34</f>
        <v>0</v>
      </c>
      <c r="I23" s="3093"/>
      <c r="J23" s="3092">
        <f>224900-J34</f>
        <v>0</v>
      </c>
      <c r="K23" s="3092">
        <f>0-K34</f>
        <v>0</v>
      </c>
      <c r="L23" s="3092">
        <f>60900-L34</f>
        <v>0</v>
      </c>
      <c r="M23" s="1193" t="s">
        <v>996</v>
      </c>
      <c r="N23" s="706">
        <v>383</v>
      </c>
      <c r="O23" s="3094">
        <f>O34-O58</f>
        <v>0</v>
      </c>
      <c r="P23" s="3094">
        <f>P34-P58</f>
        <v>0</v>
      </c>
      <c r="Q23" s="3094">
        <f t="shared" ref="Q23:V23" si="1">Q34-Q58</f>
        <v>0</v>
      </c>
      <c r="R23" s="3094">
        <f t="shared" si="1"/>
        <v>0</v>
      </c>
      <c r="S23" s="3094">
        <f t="shared" si="1"/>
        <v>0</v>
      </c>
      <c r="T23" s="3094">
        <f t="shared" si="1"/>
        <v>0</v>
      </c>
      <c r="U23" s="3094">
        <f t="shared" si="1"/>
        <v>0</v>
      </c>
      <c r="V23" s="3094">
        <f t="shared" si="1"/>
        <v>0</v>
      </c>
      <c r="W23" s="3094">
        <f>W34-W58</f>
        <v>0</v>
      </c>
      <c r="X23" s="3095"/>
      <c r="Y23" s="3094">
        <f>Y34-Y58</f>
        <v>0</v>
      </c>
      <c r="Z23" s="3094">
        <f>Z34-Z58</f>
        <v>0</v>
      </c>
      <c r="AA23" s="3094">
        <f t="shared" ref="AA23:AH23" si="2">AA34-AA58</f>
        <v>0</v>
      </c>
      <c r="AB23" s="3094">
        <f t="shared" si="2"/>
        <v>0</v>
      </c>
      <c r="AC23" s="3094">
        <f t="shared" si="2"/>
        <v>0</v>
      </c>
      <c r="AD23" s="3094">
        <f t="shared" si="2"/>
        <v>0</v>
      </c>
      <c r="AE23" s="3094">
        <f t="shared" si="2"/>
        <v>0</v>
      </c>
      <c r="AF23" s="3094">
        <f t="shared" si="2"/>
        <v>0</v>
      </c>
      <c r="AG23" s="3094">
        <f t="shared" si="2"/>
        <v>0</v>
      </c>
      <c r="AH23" s="3094">
        <f t="shared" si="2"/>
        <v>0</v>
      </c>
      <c r="AI23" s="3094"/>
      <c r="AJ23" s="3094"/>
      <c r="AK23" s="3094"/>
      <c r="AL23" s="3094"/>
      <c r="AM23" s="3094"/>
      <c r="AN23" s="3094"/>
      <c r="AO23" s="3094"/>
      <c r="AP23" s="3094"/>
      <c r="AQ23" s="3094"/>
      <c r="AR23" s="3094">
        <f t="shared" ref="AR23" si="3">AR34-AR58</f>
        <v>0</v>
      </c>
    </row>
    <row r="24" spans="1:45" x14ac:dyDescent="0.2">
      <c r="B24" s="1190"/>
      <c r="D24" s="1253"/>
      <c r="E24" s="1253"/>
      <c r="F24" s="1253"/>
      <c r="G24" s="1253"/>
      <c r="H24" s="1253"/>
      <c r="J24" s="1253"/>
      <c r="L24" s="1253"/>
      <c r="M24" s="3092">
        <f>12800000-M34</f>
        <v>0</v>
      </c>
      <c r="N24" s="1191"/>
      <c r="O24" s="3094">
        <f>P35+Q35+R35+S35+U35+W35+X35-O35+T35+V35</f>
        <v>0</v>
      </c>
      <c r="P24" s="3096">
        <f>38379800-P34</f>
        <v>0</v>
      </c>
      <c r="Q24" s="3094">
        <f>103100-Q34</f>
        <v>0</v>
      </c>
      <c r="R24" s="3094">
        <f>448500-R34</f>
        <v>0</v>
      </c>
      <c r="S24" s="3094">
        <f>0-S34</f>
        <v>0</v>
      </c>
      <c r="T24" s="3097"/>
      <c r="U24" s="3097"/>
      <c r="V24" s="3094">
        <f>0-V34</f>
        <v>0</v>
      </c>
      <c r="W24" s="3098">
        <f>12800000-W34</f>
        <v>0</v>
      </c>
      <c r="X24" s="3095"/>
      <c r="Y24" s="3094">
        <f>Z35+AA35+AB35+AC35+AE35+AG35+AH35-Y35+AD35+AF35</f>
        <v>0</v>
      </c>
      <c r="Z24" s="3094">
        <f>38440200-Z34</f>
        <v>0</v>
      </c>
      <c r="AA24" s="3094">
        <f>103100-AA34</f>
        <v>0</v>
      </c>
      <c r="AB24" s="3094">
        <f>448500-AB34</f>
        <v>0</v>
      </c>
      <c r="AC24" s="3094">
        <f>0-AC34</f>
        <v>0</v>
      </c>
      <c r="AD24" s="3097"/>
      <c r="AE24" s="3097"/>
      <c r="AF24" s="3094">
        <f>0-AF34</f>
        <v>0</v>
      </c>
      <c r="AG24" s="3098">
        <f>12800000-AG34</f>
        <v>0</v>
      </c>
      <c r="AH24" s="3095"/>
      <c r="AI24" s="3094">
        <f>0-AI34</f>
        <v>0</v>
      </c>
      <c r="AJ24" s="3094"/>
      <c r="AK24" s="3094"/>
      <c r="AL24" s="3094"/>
      <c r="AM24" s="3094"/>
      <c r="AN24" s="3097"/>
      <c r="AO24" s="3097"/>
      <c r="AP24" s="3094"/>
      <c r="AQ24" s="3098">
        <f>0-AQ34</f>
        <v>0</v>
      </c>
      <c r="AR24" s="3095"/>
    </row>
    <row r="25" spans="1:45" x14ac:dyDescent="0.2">
      <c r="B25" s="1190"/>
      <c r="M25" s="3092">
        <f>M34-M58</f>
        <v>0</v>
      </c>
      <c r="O25" s="3097"/>
      <c r="P25" s="3097"/>
      <c r="Q25" s="3097"/>
      <c r="R25" s="3097"/>
      <c r="S25" s="3097"/>
      <c r="T25" s="3097"/>
      <c r="U25" s="3097"/>
      <c r="V25" s="3097"/>
      <c r="W25" s="3097"/>
      <c r="X25" s="3097"/>
      <c r="Y25" s="693"/>
      <c r="Z25" s="693"/>
      <c r="AA25" s="693"/>
      <c r="AB25" s="693"/>
      <c r="AC25" s="693"/>
      <c r="AD25" s="693"/>
      <c r="AE25" s="693"/>
      <c r="AF25" s="693"/>
      <c r="AG25" s="693"/>
      <c r="AH25" s="693"/>
      <c r="AI25" s="3097"/>
      <c r="AJ25" s="3097"/>
      <c r="AK25" s="3097"/>
      <c r="AL25" s="3097"/>
      <c r="AM25" s="3097"/>
      <c r="AN25" s="3097"/>
      <c r="AO25" s="3097"/>
      <c r="AP25" s="3097"/>
      <c r="AQ25" s="3097"/>
      <c r="AR25" s="3097"/>
    </row>
    <row r="26" spans="1:45" ht="31.5" customHeight="1" x14ac:dyDescent="0.2">
      <c r="A26" s="3216" t="s">
        <v>997</v>
      </c>
      <c r="B26" s="3216"/>
      <c r="C26" s="3216"/>
      <c r="D26" s="3216"/>
      <c r="E26" s="3216"/>
      <c r="F26" s="3216"/>
      <c r="G26" s="3216"/>
      <c r="H26" s="3216"/>
      <c r="I26" s="3216"/>
      <c r="J26" s="3216"/>
      <c r="K26" s="3216"/>
      <c r="L26" s="3216"/>
      <c r="M26" s="3216"/>
      <c r="N26" s="3216"/>
      <c r="O26" s="1191"/>
      <c r="P26" s="1191"/>
      <c r="Q26" s="1191"/>
      <c r="R26" s="1191"/>
      <c r="S26" s="1191"/>
      <c r="T26" s="1191"/>
      <c r="U26" s="1191"/>
      <c r="V26" s="1191"/>
      <c r="W26" s="1191"/>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191"/>
    </row>
    <row r="27" spans="1:45" ht="17.25" customHeight="1" x14ac:dyDescent="0.2">
      <c r="A27" s="3221" t="s">
        <v>386</v>
      </c>
      <c r="B27" s="3224" t="s">
        <v>387</v>
      </c>
      <c r="C27" s="3224" t="s">
        <v>998</v>
      </c>
      <c r="D27" s="3212" t="s">
        <v>999</v>
      </c>
      <c r="E27" s="3212"/>
      <c r="F27" s="3212"/>
      <c r="G27" s="3212"/>
      <c r="H27" s="3212"/>
      <c r="I27" s="3212"/>
      <c r="J27" s="3212"/>
      <c r="K27" s="3212"/>
      <c r="L27" s="3212"/>
      <c r="M27" s="3212"/>
      <c r="N27" s="3212"/>
      <c r="O27" s="3212" t="s">
        <v>999</v>
      </c>
      <c r="P27" s="3212"/>
      <c r="Q27" s="3212"/>
      <c r="R27" s="3212"/>
      <c r="S27" s="3212"/>
      <c r="T27" s="3212"/>
      <c r="U27" s="3212"/>
      <c r="V27" s="3212"/>
      <c r="W27" s="3212"/>
      <c r="X27" s="3212"/>
      <c r="Y27" s="3212" t="s">
        <v>999</v>
      </c>
      <c r="Z27" s="3212"/>
      <c r="AA27" s="3212"/>
      <c r="AB27" s="3212"/>
      <c r="AC27" s="3212"/>
      <c r="AD27" s="3212"/>
      <c r="AE27" s="3212"/>
      <c r="AF27" s="3212"/>
      <c r="AG27" s="3212"/>
      <c r="AH27" s="3212"/>
      <c r="AI27" s="3212" t="s">
        <v>999</v>
      </c>
      <c r="AJ27" s="3212"/>
      <c r="AK27" s="3212"/>
      <c r="AL27" s="3212"/>
      <c r="AM27" s="3212"/>
      <c r="AN27" s="3212"/>
      <c r="AO27" s="3212"/>
      <c r="AP27" s="3212"/>
      <c r="AQ27" s="3212"/>
      <c r="AR27" s="3212"/>
    </row>
    <row r="28" spans="1:45" ht="30" customHeight="1" x14ac:dyDescent="0.2">
      <c r="A28" s="3222"/>
      <c r="B28" s="3225"/>
      <c r="C28" s="3225"/>
      <c r="D28" s="3207" t="s">
        <v>1000</v>
      </c>
      <c r="E28" s="3208"/>
      <c r="F28" s="3208"/>
      <c r="G28" s="3208"/>
      <c r="H28" s="3208"/>
      <c r="I28" s="3208"/>
      <c r="J28" s="3208"/>
      <c r="K28" s="3208"/>
      <c r="L28" s="3208"/>
      <c r="M28" s="3208"/>
      <c r="N28" s="3209"/>
      <c r="O28" s="3207" t="s">
        <v>1001</v>
      </c>
      <c r="P28" s="3208"/>
      <c r="Q28" s="3208"/>
      <c r="R28" s="3208"/>
      <c r="S28" s="3208"/>
      <c r="T28" s="3208"/>
      <c r="U28" s="3208"/>
      <c r="V28" s="3208"/>
      <c r="W28" s="3208"/>
      <c r="X28" s="3209"/>
      <c r="Y28" s="3207" t="s">
        <v>1002</v>
      </c>
      <c r="Z28" s="3208"/>
      <c r="AA28" s="3208"/>
      <c r="AB28" s="3208"/>
      <c r="AC28" s="3208"/>
      <c r="AD28" s="3208"/>
      <c r="AE28" s="3208"/>
      <c r="AF28" s="3208"/>
      <c r="AG28" s="3208"/>
      <c r="AH28" s="3209"/>
      <c r="AI28" s="3207" t="s">
        <v>874</v>
      </c>
      <c r="AJ28" s="3208"/>
      <c r="AK28" s="3208"/>
      <c r="AL28" s="3208"/>
      <c r="AM28" s="3208"/>
      <c r="AN28" s="3208"/>
      <c r="AO28" s="3208"/>
      <c r="AP28" s="3208"/>
      <c r="AQ28" s="3208"/>
      <c r="AR28" s="3209"/>
    </row>
    <row r="29" spans="1:45" ht="24.75" customHeight="1" x14ac:dyDescent="0.2">
      <c r="A29" s="3222"/>
      <c r="B29" s="3225"/>
      <c r="C29" s="3225"/>
      <c r="D29" s="3207" t="s">
        <v>1003</v>
      </c>
      <c r="E29" s="3208"/>
      <c r="F29" s="3208"/>
      <c r="G29" s="3208"/>
      <c r="H29" s="3208"/>
      <c r="I29" s="3208"/>
      <c r="J29" s="3208"/>
      <c r="K29" s="3208"/>
      <c r="L29" s="3208"/>
      <c r="M29" s="3208"/>
      <c r="N29" s="3209"/>
      <c r="O29" s="3207" t="s">
        <v>1003</v>
      </c>
      <c r="P29" s="3208"/>
      <c r="Q29" s="3208"/>
      <c r="R29" s="3208"/>
      <c r="S29" s="3208"/>
      <c r="T29" s="3208"/>
      <c r="U29" s="3208"/>
      <c r="V29" s="3208"/>
      <c r="W29" s="3208"/>
      <c r="X29" s="3209"/>
      <c r="Y29" s="3207" t="s">
        <v>1003</v>
      </c>
      <c r="Z29" s="3208"/>
      <c r="AA29" s="3208"/>
      <c r="AB29" s="3208"/>
      <c r="AC29" s="3208"/>
      <c r="AD29" s="3208"/>
      <c r="AE29" s="3208"/>
      <c r="AF29" s="3208"/>
      <c r="AG29" s="3208"/>
      <c r="AH29" s="3209"/>
      <c r="AI29" s="3207" t="s">
        <v>1003</v>
      </c>
      <c r="AJ29" s="3208"/>
      <c r="AK29" s="3208"/>
      <c r="AL29" s="3208"/>
      <c r="AM29" s="3208"/>
      <c r="AN29" s="3208"/>
      <c r="AO29" s="3208"/>
      <c r="AP29" s="3208"/>
      <c r="AQ29" s="3208"/>
      <c r="AR29" s="3209"/>
    </row>
    <row r="30" spans="1:45" ht="179.25" customHeight="1" x14ac:dyDescent="0.2">
      <c r="A30" s="3223"/>
      <c r="B30" s="3226"/>
      <c r="C30" s="3226"/>
      <c r="D30" s="1763" t="s">
        <v>216</v>
      </c>
      <c r="E30" s="1763" t="s">
        <v>1004</v>
      </c>
      <c r="F30" s="1763" t="s">
        <v>1005</v>
      </c>
      <c r="G30" s="1763" t="s">
        <v>948</v>
      </c>
      <c r="H30" s="1763" t="s">
        <v>949</v>
      </c>
      <c r="I30" s="1763" t="s">
        <v>950</v>
      </c>
      <c r="J30" s="1763" t="s">
        <v>951</v>
      </c>
      <c r="K30" s="1763" t="s">
        <v>952</v>
      </c>
      <c r="L30" s="1763" t="s">
        <v>954</v>
      </c>
      <c r="M30" s="1763" t="s">
        <v>973</v>
      </c>
      <c r="N30" s="708" t="s">
        <v>974</v>
      </c>
      <c r="O30" s="1763" t="s">
        <v>216</v>
      </c>
      <c r="P30" s="1763" t="s">
        <v>1004</v>
      </c>
      <c r="Q30" s="1763" t="s">
        <v>1005</v>
      </c>
      <c r="R30" s="1763" t="s">
        <v>948</v>
      </c>
      <c r="S30" s="1763" t="s">
        <v>949</v>
      </c>
      <c r="T30" s="1763" t="s">
        <v>950</v>
      </c>
      <c r="U30" s="1763" t="s">
        <v>952</v>
      </c>
      <c r="V30" s="1763" t="s">
        <v>954</v>
      </c>
      <c r="W30" s="1763" t="s">
        <v>973</v>
      </c>
      <c r="X30" s="708" t="s">
        <v>974</v>
      </c>
      <c r="Y30" s="1763" t="s">
        <v>216</v>
      </c>
      <c r="Z30" s="1763" t="s">
        <v>1004</v>
      </c>
      <c r="AA30" s="1763" t="s">
        <v>1005</v>
      </c>
      <c r="AB30" s="1763" t="s">
        <v>948</v>
      </c>
      <c r="AC30" s="1763" t="s">
        <v>949</v>
      </c>
      <c r="AD30" s="1763" t="s">
        <v>950</v>
      </c>
      <c r="AE30" s="1763" t="s">
        <v>952</v>
      </c>
      <c r="AF30" s="1763" t="s">
        <v>954</v>
      </c>
      <c r="AG30" s="1763" t="s">
        <v>973</v>
      </c>
      <c r="AH30" s="708" t="s">
        <v>974</v>
      </c>
      <c r="AI30" s="1763" t="s">
        <v>216</v>
      </c>
      <c r="AJ30" s="1763" t="s">
        <v>1004</v>
      </c>
      <c r="AK30" s="1763" t="s">
        <v>1005</v>
      </c>
      <c r="AL30" s="1763" t="s">
        <v>948</v>
      </c>
      <c r="AM30" s="1763" t="s">
        <v>949</v>
      </c>
      <c r="AN30" s="1763" t="s">
        <v>950</v>
      </c>
      <c r="AO30" s="1763" t="s">
        <v>952</v>
      </c>
      <c r="AP30" s="1763" t="s">
        <v>954</v>
      </c>
      <c r="AQ30" s="1763" t="s">
        <v>973</v>
      </c>
      <c r="AR30" s="708" t="s">
        <v>974</v>
      </c>
    </row>
    <row r="31" spans="1:45" ht="17.25" customHeight="1" x14ac:dyDescent="0.2">
      <c r="A31" s="709">
        <v>1</v>
      </c>
      <c r="B31" s="707">
        <v>2</v>
      </c>
      <c r="C31" s="707">
        <v>3</v>
      </c>
      <c r="D31" s="707">
        <v>4</v>
      </c>
      <c r="E31" s="707">
        <v>5</v>
      </c>
      <c r="F31" s="707">
        <v>6</v>
      </c>
      <c r="G31" s="707">
        <v>7</v>
      </c>
      <c r="H31" s="707">
        <v>8</v>
      </c>
      <c r="I31" s="707">
        <v>9</v>
      </c>
      <c r="J31" s="707">
        <v>10</v>
      </c>
      <c r="K31" s="707">
        <v>11</v>
      </c>
      <c r="L31" s="707">
        <v>12</v>
      </c>
      <c r="M31" s="707">
        <v>13</v>
      </c>
      <c r="N31" s="707">
        <v>14</v>
      </c>
      <c r="O31" s="707">
        <v>15</v>
      </c>
      <c r="P31" s="707">
        <v>16</v>
      </c>
      <c r="Q31" s="707">
        <v>17</v>
      </c>
      <c r="R31" s="707">
        <v>18</v>
      </c>
      <c r="S31" s="707">
        <v>19</v>
      </c>
      <c r="T31" s="707">
        <v>20</v>
      </c>
      <c r="U31" s="707">
        <v>22</v>
      </c>
      <c r="V31" s="707">
        <v>23</v>
      </c>
      <c r="W31" s="707">
        <v>24</v>
      </c>
      <c r="X31" s="707">
        <v>25</v>
      </c>
      <c r="Y31" s="707">
        <v>26</v>
      </c>
      <c r="Z31" s="707">
        <v>27</v>
      </c>
      <c r="AA31" s="707">
        <v>28</v>
      </c>
      <c r="AB31" s="707">
        <v>29</v>
      </c>
      <c r="AC31" s="707">
        <v>30</v>
      </c>
      <c r="AD31" s="707">
        <v>31</v>
      </c>
      <c r="AE31" s="707">
        <v>33</v>
      </c>
      <c r="AF31" s="707">
        <v>34</v>
      </c>
      <c r="AG31" s="707">
        <v>35</v>
      </c>
      <c r="AH31" s="707">
        <v>36</v>
      </c>
      <c r="AI31" s="975">
        <v>26</v>
      </c>
      <c r="AJ31" s="975">
        <v>27</v>
      </c>
      <c r="AK31" s="975">
        <v>28</v>
      </c>
      <c r="AL31" s="975">
        <v>29</v>
      </c>
      <c r="AM31" s="975">
        <v>30</v>
      </c>
      <c r="AN31" s="975">
        <v>31</v>
      </c>
      <c r="AO31" s="975">
        <v>33</v>
      </c>
      <c r="AP31" s="975">
        <v>34</v>
      </c>
      <c r="AQ31" s="975">
        <v>35</v>
      </c>
      <c r="AR31" s="975">
        <v>36</v>
      </c>
    </row>
    <row r="32" spans="1:45" ht="22.5" customHeight="1" x14ac:dyDescent="0.3">
      <c r="A32" s="710" t="s">
        <v>1006</v>
      </c>
      <c r="B32" s="707" t="s">
        <v>1007</v>
      </c>
      <c r="C32" s="707" t="s">
        <v>898</v>
      </c>
      <c r="D32" s="711"/>
      <c r="E32" s="712"/>
      <c r="F32" s="712"/>
      <c r="G32" s="712"/>
      <c r="H32" s="712"/>
      <c r="I32" s="712"/>
      <c r="J32" s="712"/>
      <c r="K32" s="712"/>
      <c r="L32" s="713"/>
      <c r="M32" s="712"/>
      <c r="N32" s="712"/>
      <c r="O32" s="711"/>
      <c r="P32" s="712"/>
      <c r="Q32" s="712"/>
      <c r="R32" s="712"/>
      <c r="S32" s="712"/>
      <c r="T32" s="712"/>
      <c r="U32" s="712"/>
      <c r="V32" s="713"/>
      <c r="W32" s="712"/>
      <c r="X32" s="712"/>
      <c r="Y32" s="711"/>
      <c r="Z32" s="712"/>
      <c r="AA32" s="712"/>
      <c r="AB32" s="712"/>
      <c r="AC32" s="712"/>
      <c r="AD32" s="712"/>
      <c r="AE32" s="712"/>
      <c r="AF32" s="713"/>
      <c r="AG32" s="712"/>
      <c r="AH32" s="712"/>
      <c r="AI32" s="711"/>
      <c r="AJ32" s="712"/>
      <c r="AK32" s="712"/>
      <c r="AL32" s="712"/>
      <c r="AM32" s="712"/>
      <c r="AN32" s="712"/>
      <c r="AO32" s="712"/>
      <c r="AP32" s="713"/>
      <c r="AQ32" s="712"/>
      <c r="AR32" s="712"/>
      <c r="AS32" s="714"/>
    </row>
    <row r="33" spans="1:58" ht="31.5" customHeight="1" x14ac:dyDescent="0.2">
      <c r="A33" s="710" t="s">
        <v>1008</v>
      </c>
      <c r="B33" s="707" t="s">
        <v>1009</v>
      </c>
      <c r="C33" s="707" t="s">
        <v>898</v>
      </c>
      <c r="D33" s="711"/>
      <c r="E33" s="713"/>
      <c r="F33" s="713"/>
      <c r="G33" s="713"/>
      <c r="H33" s="713"/>
      <c r="I33" s="713"/>
      <c r="J33" s="713"/>
      <c r="K33" s="713"/>
      <c r="M33" s="713"/>
      <c r="N33" s="713"/>
      <c r="O33" s="711"/>
      <c r="P33" s="713"/>
      <c r="Q33" s="713"/>
      <c r="R33" s="713"/>
      <c r="S33" s="713"/>
      <c r="T33" s="713"/>
      <c r="U33" s="713"/>
      <c r="W33" s="713"/>
      <c r="X33" s="713"/>
      <c r="Y33" s="711"/>
      <c r="Z33" s="713"/>
      <c r="AA33" s="713"/>
      <c r="AB33" s="713"/>
      <c r="AC33" s="713"/>
      <c r="AD33" s="713"/>
      <c r="AE33" s="713"/>
      <c r="AG33" s="713"/>
      <c r="AH33" s="713"/>
      <c r="AI33" s="711"/>
      <c r="AJ33" s="713"/>
      <c r="AK33" s="713"/>
      <c r="AL33" s="713"/>
      <c r="AM33" s="713"/>
      <c r="AN33" s="713"/>
      <c r="AO33" s="713"/>
      <c r="AQ33" s="713"/>
      <c r="AR33" s="713"/>
    </row>
    <row r="34" spans="1:58" s="719" customFormat="1" ht="27" customHeight="1" x14ac:dyDescent="0.2">
      <c r="A34" s="715" t="s">
        <v>1010</v>
      </c>
      <c r="B34" s="716" t="s">
        <v>1011</v>
      </c>
      <c r="C34" s="716"/>
      <c r="D34" s="718">
        <f>SUM(E34:N34)</f>
        <v>52147900</v>
      </c>
      <c r="E34" s="718">
        <f>E35+E38+E44+E47+E50+E54</f>
        <v>38510500</v>
      </c>
      <c r="F34" s="718">
        <f t="shared" ref="F34:N34" si="4">F35+F38+F44+F47+F50+F54</f>
        <v>103100</v>
      </c>
      <c r="G34" s="718">
        <f t="shared" si="4"/>
        <v>448500</v>
      </c>
      <c r="H34" s="718">
        <f t="shared" si="4"/>
        <v>0</v>
      </c>
      <c r="I34" s="718">
        <f t="shared" si="4"/>
        <v>0</v>
      </c>
      <c r="J34" s="718">
        <f t="shared" si="4"/>
        <v>224900</v>
      </c>
      <c r="K34" s="718">
        <f t="shared" si="4"/>
        <v>0</v>
      </c>
      <c r="L34" s="718">
        <f t="shared" si="4"/>
        <v>60900</v>
      </c>
      <c r="M34" s="718">
        <f>M35+M38+M44+M47+M50+M54</f>
        <v>12800000</v>
      </c>
      <c r="N34" s="718">
        <f t="shared" si="4"/>
        <v>0</v>
      </c>
      <c r="O34" s="717">
        <f>SUM(P34:X34)</f>
        <v>51731400</v>
      </c>
      <c r="P34" s="718">
        <f>P35+P38+P44+P47+P50+P54</f>
        <v>38379800</v>
      </c>
      <c r="Q34" s="718">
        <f t="shared" ref="Q34:X34" si="5">Q35+Q38+Q44+Q47+Q50+Q54</f>
        <v>103100</v>
      </c>
      <c r="R34" s="718">
        <f t="shared" si="5"/>
        <v>448500</v>
      </c>
      <c r="S34" s="718">
        <f t="shared" si="5"/>
        <v>0</v>
      </c>
      <c r="T34" s="718">
        <f t="shared" si="5"/>
        <v>0</v>
      </c>
      <c r="U34" s="718">
        <f t="shared" si="5"/>
        <v>0</v>
      </c>
      <c r="V34" s="718">
        <f t="shared" si="5"/>
        <v>0</v>
      </c>
      <c r="W34" s="718">
        <f t="shared" si="5"/>
        <v>12800000</v>
      </c>
      <c r="X34" s="718">
        <f t="shared" si="5"/>
        <v>0</v>
      </c>
      <c r="Y34" s="717">
        <f>SUM(Z34:AH34)</f>
        <v>51791800</v>
      </c>
      <c r="Z34" s="718">
        <f>Z35+Z38+Z44+Z47+Z50+Z54</f>
        <v>38440200</v>
      </c>
      <c r="AA34" s="718">
        <f t="shared" ref="AA34:AH34" si="6">AA35+AA38+AA44+AA47+AA50+AA54</f>
        <v>103100</v>
      </c>
      <c r="AB34" s="718">
        <f t="shared" si="6"/>
        <v>448500</v>
      </c>
      <c r="AC34" s="718">
        <f t="shared" si="6"/>
        <v>0</v>
      </c>
      <c r="AD34" s="718">
        <f t="shared" si="6"/>
        <v>0</v>
      </c>
      <c r="AE34" s="718">
        <f t="shared" si="6"/>
        <v>0</v>
      </c>
      <c r="AF34" s="718">
        <f t="shared" si="6"/>
        <v>0</v>
      </c>
      <c r="AG34" s="718">
        <f t="shared" si="6"/>
        <v>12800000</v>
      </c>
      <c r="AH34" s="718">
        <f t="shared" si="6"/>
        <v>0</v>
      </c>
      <c r="AI34" s="717">
        <f>SUM(AJ34:AR34)</f>
        <v>0</v>
      </c>
      <c r="AJ34" s="718">
        <f>AJ35+AJ38+AJ44+AJ47+AJ50+AJ54</f>
        <v>0</v>
      </c>
      <c r="AK34" s="718">
        <f t="shared" ref="AK34:AR34" si="7">AK35+AK38+AK44+AK47+AK50+AK54</f>
        <v>0</v>
      </c>
      <c r="AL34" s="718">
        <f t="shared" si="7"/>
        <v>0</v>
      </c>
      <c r="AM34" s="718">
        <f t="shared" si="7"/>
        <v>0</v>
      </c>
      <c r="AN34" s="718">
        <f t="shared" si="7"/>
        <v>0</v>
      </c>
      <c r="AO34" s="718">
        <f t="shared" si="7"/>
        <v>0</v>
      </c>
      <c r="AP34" s="718">
        <f t="shared" si="7"/>
        <v>0</v>
      </c>
      <c r="AQ34" s="718">
        <f t="shared" si="7"/>
        <v>0</v>
      </c>
      <c r="AR34" s="718">
        <f t="shared" si="7"/>
        <v>0</v>
      </c>
    </row>
    <row r="35" spans="1:58" s="724" customFormat="1" ht="31.5" x14ac:dyDescent="0.2">
      <c r="A35" s="720" t="s">
        <v>1012</v>
      </c>
      <c r="B35" s="721" t="s">
        <v>1013</v>
      </c>
      <c r="C35" s="721">
        <v>120</v>
      </c>
      <c r="D35" s="722">
        <f>SUM(E35:N35)</f>
        <v>112200</v>
      </c>
      <c r="E35" s="722">
        <f>E37</f>
        <v>0</v>
      </c>
      <c r="F35" s="722">
        <f t="shared" ref="F35:AH35" si="8">F37</f>
        <v>0</v>
      </c>
      <c r="G35" s="722">
        <f t="shared" si="8"/>
        <v>0</v>
      </c>
      <c r="H35" s="722">
        <f t="shared" si="8"/>
        <v>0</v>
      </c>
      <c r="I35" s="722">
        <f t="shared" si="8"/>
        <v>0</v>
      </c>
      <c r="J35" s="722">
        <f t="shared" si="8"/>
        <v>0</v>
      </c>
      <c r="K35" s="722">
        <f t="shared" si="8"/>
        <v>0</v>
      </c>
      <c r="L35" s="722">
        <f t="shared" si="8"/>
        <v>0</v>
      </c>
      <c r="M35" s="722">
        <f t="shared" si="8"/>
        <v>112200</v>
      </c>
      <c r="N35" s="722">
        <f t="shared" si="8"/>
        <v>0</v>
      </c>
      <c r="O35" s="722">
        <f>SUM(P35:X35)</f>
        <v>112200</v>
      </c>
      <c r="P35" s="722">
        <f>P37</f>
        <v>0</v>
      </c>
      <c r="Q35" s="722">
        <f t="shared" si="8"/>
        <v>0</v>
      </c>
      <c r="R35" s="722">
        <f t="shared" si="8"/>
        <v>0</v>
      </c>
      <c r="S35" s="722">
        <f t="shared" si="8"/>
        <v>0</v>
      </c>
      <c r="T35" s="722">
        <f t="shared" si="8"/>
        <v>0</v>
      </c>
      <c r="U35" s="722">
        <f t="shared" si="8"/>
        <v>0</v>
      </c>
      <c r="V35" s="722">
        <f t="shared" si="8"/>
        <v>0</v>
      </c>
      <c r="W35" s="722">
        <f t="shared" si="8"/>
        <v>112200</v>
      </c>
      <c r="X35" s="722">
        <f t="shared" si="8"/>
        <v>0</v>
      </c>
      <c r="Y35" s="722">
        <f>SUM(Z35:AH35)</f>
        <v>112200</v>
      </c>
      <c r="Z35" s="722">
        <f>Z37</f>
        <v>0</v>
      </c>
      <c r="AA35" s="722">
        <f t="shared" si="8"/>
        <v>0</v>
      </c>
      <c r="AB35" s="722">
        <f t="shared" si="8"/>
        <v>0</v>
      </c>
      <c r="AC35" s="722">
        <f t="shared" si="8"/>
        <v>0</v>
      </c>
      <c r="AD35" s="722">
        <f t="shared" si="8"/>
        <v>0</v>
      </c>
      <c r="AE35" s="722">
        <f t="shared" si="8"/>
        <v>0</v>
      </c>
      <c r="AF35" s="722">
        <f t="shared" si="8"/>
        <v>0</v>
      </c>
      <c r="AG35" s="722">
        <f t="shared" si="8"/>
        <v>112200</v>
      </c>
      <c r="AH35" s="722">
        <f t="shared" si="8"/>
        <v>0</v>
      </c>
      <c r="AI35" s="722">
        <f>SUM(AJ35:AR35)</f>
        <v>0</v>
      </c>
      <c r="AJ35" s="722">
        <f>AJ37</f>
        <v>0</v>
      </c>
      <c r="AK35" s="722">
        <f t="shared" ref="AK35:AR35" si="9">AK37</f>
        <v>0</v>
      </c>
      <c r="AL35" s="722">
        <f t="shared" si="9"/>
        <v>0</v>
      </c>
      <c r="AM35" s="722">
        <f t="shared" si="9"/>
        <v>0</v>
      </c>
      <c r="AN35" s="722">
        <f t="shared" si="9"/>
        <v>0</v>
      </c>
      <c r="AO35" s="722">
        <f t="shared" si="9"/>
        <v>0</v>
      </c>
      <c r="AP35" s="722">
        <f t="shared" si="9"/>
        <v>0</v>
      </c>
      <c r="AQ35" s="722">
        <f t="shared" si="9"/>
        <v>0</v>
      </c>
      <c r="AR35" s="722">
        <f t="shared" si="9"/>
        <v>0</v>
      </c>
      <c r="AS35" s="723"/>
      <c r="AT35" s="723"/>
      <c r="AU35" s="723"/>
      <c r="AV35" s="723"/>
      <c r="AW35" s="723"/>
      <c r="AX35" s="723"/>
    </row>
    <row r="36" spans="1:58" s="727" customFormat="1" ht="22.5" customHeight="1" x14ac:dyDescent="0.2">
      <c r="A36" s="710" t="s">
        <v>408</v>
      </c>
      <c r="B36" s="709"/>
      <c r="C36" s="709"/>
      <c r="D36" s="712">
        <f t="shared" ref="D36:D57" si="10">SUM(E36:N36)</f>
        <v>0</v>
      </c>
      <c r="E36" s="713"/>
      <c r="F36" s="713"/>
      <c r="G36" s="713"/>
      <c r="H36" s="713"/>
      <c r="I36" s="713"/>
      <c r="J36" s="713"/>
      <c r="K36" s="713"/>
      <c r="L36" s="713"/>
      <c r="M36" s="713"/>
      <c r="N36" s="713"/>
      <c r="O36" s="712"/>
      <c r="P36" s="713"/>
      <c r="Q36" s="713"/>
      <c r="R36" s="713"/>
      <c r="S36" s="713"/>
      <c r="T36" s="713"/>
      <c r="U36" s="713"/>
      <c r="V36" s="713"/>
      <c r="W36" s="713"/>
      <c r="X36" s="713"/>
      <c r="Y36" s="712"/>
      <c r="Z36" s="713"/>
      <c r="AA36" s="713"/>
      <c r="AB36" s="713"/>
      <c r="AC36" s="713"/>
      <c r="AD36" s="713"/>
      <c r="AE36" s="713"/>
      <c r="AF36" s="713"/>
      <c r="AG36" s="713"/>
      <c r="AH36" s="713"/>
      <c r="AI36" s="712"/>
      <c r="AJ36" s="713"/>
      <c r="AK36" s="713"/>
      <c r="AL36" s="713"/>
      <c r="AM36" s="713"/>
      <c r="AN36" s="713"/>
      <c r="AO36" s="713"/>
      <c r="AP36" s="713"/>
      <c r="AQ36" s="713"/>
      <c r="AR36" s="713"/>
      <c r="AS36" s="725"/>
      <c r="AT36" s="725"/>
      <c r="AU36" s="725"/>
      <c r="AV36" s="725"/>
      <c r="AW36" s="726"/>
      <c r="AX36" s="726"/>
    </row>
    <row r="37" spans="1:58" s="727" customFormat="1" x14ac:dyDescent="0.2">
      <c r="A37" s="710" t="s">
        <v>1014</v>
      </c>
      <c r="B37" s="709" t="s">
        <v>1015</v>
      </c>
      <c r="C37" s="728" t="s">
        <v>1016</v>
      </c>
      <c r="D37" s="712">
        <f t="shared" si="10"/>
        <v>112200</v>
      </c>
      <c r="E37" s="713"/>
      <c r="F37" s="713"/>
      <c r="G37" s="712"/>
      <c r="H37" s="712"/>
      <c r="I37" s="712"/>
      <c r="J37" s="712"/>
      <c r="K37" s="712"/>
      <c r="L37" s="712"/>
      <c r="M37" s="712">
        <f>'строка 1100 (120)+'!C13</f>
        <v>112200</v>
      </c>
      <c r="N37" s="712"/>
      <c r="O37" s="712">
        <f>SUM(P37:X37)</f>
        <v>112200</v>
      </c>
      <c r="P37" s="713"/>
      <c r="Q37" s="713"/>
      <c r="R37" s="712"/>
      <c r="S37" s="712"/>
      <c r="T37" s="712"/>
      <c r="U37" s="712"/>
      <c r="V37" s="712"/>
      <c r="W37" s="712">
        <f>'строка 1100 (120)+'!D13</f>
        <v>112200</v>
      </c>
      <c r="X37" s="712"/>
      <c r="Y37" s="712">
        <f>SUM(Z37:AH37)</f>
        <v>112200</v>
      </c>
      <c r="Z37" s="713"/>
      <c r="AA37" s="713"/>
      <c r="AB37" s="712"/>
      <c r="AC37" s="712"/>
      <c r="AD37" s="712"/>
      <c r="AE37" s="712"/>
      <c r="AF37" s="712"/>
      <c r="AG37" s="712">
        <f>'строка 1100 (120)+'!E13</f>
        <v>112200</v>
      </c>
      <c r="AH37" s="712"/>
      <c r="AI37" s="712">
        <f>SUM(AJ37:AR37)</f>
        <v>0</v>
      </c>
      <c r="AJ37" s="713"/>
      <c r="AK37" s="713"/>
      <c r="AL37" s="712"/>
      <c r="AM37" s="712"/>
      <c r="AN37" s="712"/>
      <c r="AO37" s="712"/>
      <c r="AP37" s="712"/>
      <c r="AQ37" s="712">
        <f>'строка 1100 (120)+'!F13</f>
        <v>0</v>
      </c>
      <c r="AR37" s="712"/>
      <c r="AS37" s="726"/>
      <c r="AT37" s="725"/>
      <c r="AU37" s="726"/>
      <c r="AV37" s="725"/>
      <c r="AW37" s="726"/>
      <c r="AX37" s="726"/>
    </row>
    <row r="38" spans="1:58" s="734" customFormat="1" ht="31.5" x14ac:dyDescent="0.2">
      <c r="A38" s="720" t="s">
        <v>1017</v>
      </c>
      <c r="B38" s="729">
        <v>1200</v>
      </c>
      <c r="C38" s="730" t="s">
        <v>1018</v>
      </c>
      <c r="D38" s="722">
        <f t="shared" si="10"/>
        <v>51301400</v>
      </c>
      <c r="E38" s="722">
        <f>E40+E41+E42+E43</f>
        <v>38510500</v>
      </c>
      <c r="F38" s="722">
        <f t="shared" ref="F38:N38" si="11">F40+F41+F42+F43</f>
        <v>103100</v>
      </c>
      <c r="G38" s="722">
        <f t="shared" si="11"/>
        <v>0</v>
      </c>
      <c r="H38" s="722">
        <f t="shared" si="11"/>
        <v>0</v>
      </c>
      <c r="I38" s="722">
        <f t="shared" si="11"/>
        <v>0</v>
      </c>
      <c r="J38" s="722">
        <f t="shared" si="11"/>
        <v>0</v>
      </c>
      <c r="K38" s="722">
        <f t="shared" si="11"/>
        <v>0</v>
      </c>
      <c r="L38" s="722">
        <f t="shared" si="11"/>
        <v>0</v>
      </c>
      <c r="M38" s="722">
        <f t="shared" si="11"/>
        <v>12687800</v>
      </c>
      <c r="N38" s="722">
        <f t="shared" si="11"/>
        <v>0</v>
      </c>
      <c r="O38" s="731">
        <f>SUM(P38:X38)</f>
        <v>51170700</v>
      </c>
      <c r="P38" s="722">
        <f>P40+P41+P42+P43</f>
        <v>38379800</v>
      </c>
      <c r="Q38" s="722">
        <f t="shared" ref="Q38:X38" si="12">Q40+Q41+Q42+Q43</f>
        <v>103100</v>
      </c>
      <c r="R38" s="722">
        <f t="shared" si="12"/>
        <v>0</v>
      </c>
      <c r="S38" s="722">
        <f t="shared" si="12"/>
        <v>0</v>
      </c>
      <c r="T38" s="722">
        <f t="shared" si="12"/>
        <v>0</v>
      </c>
      <c r="U38" s="722">
        <f t="shared" si="12"/>
        <v>0</v>
      </c>
      <c r="V38" s="722">
        <f t="shared" si="12"/>
        <v>0</v>
      </c>
      <c r="W38" s="722">
        <f t="shared" si="12"/>
        <v>12687800</v>
      </c>
      <c r="X38" s="722">
        <f t="shared" si="12"/>
        <v>0</v>
      </c>
      <c r="Y38" s="731">
        <f>SUM(Z38:AH38)</f>
        <v>51231100</v>
      </c>
      <c r="Z38" s="722">
        <f>Z40+Z41+Z42+Z43</f>
        <v>38440200</v>
      </c>
      <c r="AA38" s="722">
        <f t="shared" ref="AA38:AH38" si="13">AA40+AA41+AA42+AA43</f>
        <v>103100</v>
      </c>
      <c r="AB38" s="722">
        <f t="shared" si="13"/>
        <v>0</v>
      </c>
      <c r="AC38" s="722">
        <f t="shared" si="13"/>
        <v>0</v>
      </c>
      <c r="AD38" s="722">
        <f t="shared" si="13"/>
        <v>0</v>
      </c>
      <c r="AE38" s="722">
        <f t="shared" si="13"/>
        <v>0</v>
      </c>
      <c r="AF38" s="722">
        <f t="shared" si="13"/>
        <v>0</v>
      </c>
      <c r="AG38" s="722">
        <f t="shared" si="13"/>
        <v>12687800</v>
      </c>
      <c r="AH38" s="722">
        <f t="shared" si="13"/>
        <v>0</v>
      </c>
      <c r="AI38" s="731">
        <f>SUM(AJ38:AR38)</f>
        <v>0</v>
      </c>
      <c r="AJ38" s="722">
        <f>AJ40+AJ41+AJ42+AJ43</f>
        <v>0</v>
      </c>
      <c r="AK38" s="722">
        <f t="shared" ref="AK38:AR38" si="14">AK40+AK41+AK42+AK43</f>
        <v>0</v>
      </c>
      <c r="AL38" s="722">
        <f t="shared" si="14"/>
        <v>0</v>
      </c>
      <c r="AM38" s="722">
        <f t="shared" si="14"/>
        <v>0</v>
      </c>
      <c r="AN38" s="722">
        <f t="shared" si="14"/>
        <v>0</v>
      </c>
      <c r="AO38" s="722">
        <f t="shared" si="14"/>
        <v>0</v>
      </c>
      <c r="AP38" s="722">
        <f t="shared" si="14"/>
        <v>0</v>
      </c>
      <c r="AQ38" s="722">
        <f t="shared" si="14"/>
        <v>0</v>
      </c>
      <c r="AR38" s="722">
        <f t="shared" si="14"/>
        <v>0</v>
      </c>
      <c r="AS38" s="723"/>
      <c r="AT38" s="732"/>
      <c r="AU38" s="723"/>
      <c r="AV38" s="732"/>
      <c r="AW38" s="723"/>
      <c r="AX38" s="733"/>
    </row>
    <row r="39" spans="1:58" s="737" customFormat="1" ht="15.75" customHeight="1" x14ac:dyDescent="0.2">
      <c r="A39" s="710" t="s">
        <v>408</v>
      </c>
      <c r="B39" s="709"/>
      <c r="C39" s="735"/>
      <c r="D39" s="712">
        <f t="shared" si="10"/>
        <v>0</v>
      </c>
      <c r="E39" s="713"/>
      <c r="F39" s="713"/>
      <c r="G39" s="713"/>
      <c r="H39" s="713"/>
      <c r="I39" s="713"/>
      <c r="J39" s="713"/>
      <c r="K39" s="713"/>
      <c r="L39" s="713"/>
      <c r="M39" s="713"/>
      <c r="N39" s="713"/>
      <c r="O39" s="712"/>
      <c r="P39" s="713"/>
      <c r="Q39" s="713"/>
      <c r="R39" s="713"/>
      <c r="S39" s="713"/>
      <c r="T39" s="713"/>
      <c r="U39" s="713"/>
      <c r="V39" s="713"/>
      <c r="W39" s="713"/>
      <c r="X39" s="713"/>
      <c r="Y39" s="712"/>
      <c r="Z39" s="713"/>
      <c r="AA39" s="713"/>
      <c r="AB39" s="713"/>
      <c r="AC39" s="713"/>
      <c r="AD39" s="713"/>
      <c r="AE39" s="713"/>
      <c r="AF39" s="713"/>
      <c r="AG39" s="713"/>
      <c r="AH39" s="713"/>
      <c r="AI39" s="712"/>
      <c r="AJ39" s="713"/>
      <c r="AK39" s="713"/>
      <c r="AL39" s="713"/>
      <c r="AM39" s="713"/>
      <c r="AN39" s="713"/>
      <c r="AO39" s="713"/>
      <c r="AP39" s="713"/>
      <c r="AQ39" s="713"/>
      <c r="AR39" s="713"/>
      <c r="AS39" s="726"/>
      <c r="AT39" s="725"/>
      <c r="AU39" s="726"/>
      <c r="AV39" s="725"/>
      <c r="AW39" s="726"/>
      <c r="AX39" s="736"/>
    </row>
    <row r="40" spans="1:58" s="737" customFormat="1" ht="68.25" customHeight="1" x14ac:dyDescent="0.2">
      <c r="A40" s="710" t="s">
        <v>1019</v>
      </c>
      <c r="B40" s="709">
        <v>1210</v>
      </c>
      <c r="C40" s="728" t="s">
        <v>1018</v>
      </c>
      <c r="D40" s="712">
        <f t="shared" si="10"/>
        <v>38613600</v>
      </c>
      <c r="E40" s="713">
        <f>'строка 1200(130)'!C12</f>
        <v>38510500</v>
      </c>
      <c r="F40" s="713">
        <f>'строка 1200(130)'!C13</f>
        <v>103100</v>
      </c>
      <c r="G40" s="713"/>
      <c r="H40" s="713"/>
      <c r="I40" s="713"/>
      <c r="J40" s="713"/>
      <c r="K40" s="713"/>
      <c r="L40" s="713"/>
      <c r="M40" s="713"/>
      <c r="N40" s="713"/>
      <c r="O40" s="712">
        <f>SUM(P40:X40)</f>
        <v>38482900</v>
      </c>
      <c r="P40" s="713">
        <f>'строка 1200(130)'!D12</f>
        <v>38379800</v>
      </c>
      <c r="Q40" s="713">
        <f>'строка 1200(130)'!D13</f>
        <v>103100</v>
      </c>
      <c r="R40" s="713"/>
      <c r="S40" s="713"/>
      <c r="T40" s="713"/>
      <c r="U40" s="713"/>
      <c r="V40" s="713"/>
      <c r="W40" s="713"/>
      <c r="X40" s="713"/>
      <c r="Y40" s="712">
        <f>SUM(Z40:AH40)</f>
        <v>38543300</v>
      </c>
      <c r="Z40" s="713">
        <f>'строка 1200(130)'!E12</f>
        <v>38440200</v>
      </c>
      <c r="AA40" s="713">
        <f>'строка 1200(130)'!E13</f>
        <v>103100</v>
      </c>
      <c r="AB40" s="713"/>
      <c r="AC40" s="713"/>
      <c r="AD40" s="713"/>
      <c r="AE40" s="713"/>
      <c r="AF40" s="713"/>
      <c r="AH40" s="713"/>
      <c r="AI40" s="712">
        <f>SUM(AJ40:AR40)</f>
        <v>0</v>
      </c>
      <c r="AJ40" s="713">
        <f>'строка 1200(130)'!O12</f>
        <v>0</v>
      </c>
      <c r="AK40" s="713">
        <f>'строка 1200(130)'!O13</f>
        <v>0</v>
      </c>
      <c r="AL40" s="713"/>
      <c r="AM40" s="713"/>
      <c r="AN40" s="713"/>
      <c r="AO40" s="713"/>
      <c r="AP40" s="713"/>
      <c r="AR40" s="713"/>
      <c r="AS40" s="726"/>
      <c r="AT40" s="725"/>
      <c r="AU40" s="726"/>
      <c r="AV40" s="725"/>
      <c r="AW40" s="726"/>
      <c r="AX40" s="736"/>
    </row>
    <row r="41" spans="1:58" x14ac:dyDescent="0.2">
      <c r="A41" s="710" t="s">
        <v>1020</v>
      </c>
      <c r="B41" s="709">
        <v>1220</v>
      </c>
      <c r="C41" s="728" t="s">
        <v>1021</v>
      </c>
      <c r="D41" s="738">
        <f t="shared" si="10"/>
        <v>12664600</v>
      </c>
      <c r="E41" s="738"/>
      <c r="F41" s="738"/>
      <c r="G41" s="738"/>
      <c r="H41" s="738"/>
      <c r="I41" s="738"/>
      <c r="J41" s="738"/>
      <c r="K41" s="738"/>
      <c r="L41" s="738"/>
      <c r="M41" s="738">
        <f>'строка 1200(130)'!C14</f>
        <v>12664600</v>
      </c>
      <c r="N41" s="738"/>
      <c r="O41" s="738">
        <f>SUM(P41:X41)</f>
        <v>12664600</v>
      </c>
      <c r="P41" s="738"/>
      <c r="Q41" s="738"/>
      <c r="R41" s="738"/>
      <c r="S41" s="738"/>
      <c r="T41" s="738"/>
      <c r="U41" s="738"/>
      <c r="V41" s="738"/>
      <c r="W41" s="738">
        <f>'строка 1200(130)'!D14</f>
        <v>12664600</v>
      </c>
      <c r="X41" s="738"/>
      <c r="Y41" s="738">
        <f>SUM(Z41:AH41)</f>
        <v>12664600</v>
      </c>
      <c r="Z41" s="738"/>
      <c r="AA41" s="738"/>
      <c r="AB41" s="738"/>
      <c r="AC41" s="738"/>
      <c r="AD41" s="738"/>
      <c r="AE41" s="738"/>
      <c r="AF41" s="738"/>
      <c r="AG41" s="713">
        <f>'строка 1200(130)'!E14</f>
        <v>12664600</v>
      </c>
      <c r="AH41" s="738"/>
      <c r="AI41" s="738">
        <f>SUM(AJ41:AR41)</f>
        <v>0</v>
      </c>
      <c r="AJ41" s="738"/>
      <c r="AK41" s="738"/>
      <c r="AL41" s="738"/>
      <c r="AM41" s="738"/>
      <c r="AN41" s="738"/>
      <c r="AO41" s="738"/>
      <c r="AP41" s="738"/>
      <c r="AQ41" s="713">
        <f>'строка 1200(130)'!O14</f>
        <v>0</v>
      </c>
      <c r="AR41" s="738"/>
      <c r="AS41" s="3217"/>
      <c r="AT41" s="3218"/>
      <c r="AU41" s="3218"/>
      <c r="AV41" s="3218"/>
      <c r="AW41" s="3218"/>
      <c r="AX41" s="3218"/>
      <c r="AY41" s="3218"/>
      <c r="AZ41" s="3218"/>
      <c r="BA41" s="3218"/>
    </row>
    <row r="42" spans="1:58" ht="15.75" customHeight="1" x14ac:dyDescent="0.2">
      <c r="A42" s="710" t="s">
        <v>1022</v>
      </c>
      <c r="B42" s="709">
        <v>1230</v>
      </c>
      <c r="C42" s="709">
        <v>135</v>
      </c>
      <c r="D42" s="738">
        <f t="shared" si="10"/>
        <v>23200</v>
      </c>
      <c r="E42" s="738"/>
      <c r="F42" s="738"/>
      <c r="G42" s="738"/>
      <c r="H42" s="738"/>
      <c r="I42" s="738"/>
      <c r="J42" s="738"/>
      <c r="K42" s="738"/>
      <c r="L42" s="738"/>
      <c r="M42" s="738">
        <f>'строка 1200(130)'!C16</f>
        <v>23200</v>
      </c>
      <c r="N42" s="738"/>
      <c r="O42" s="738">
        <f>SUM(P42:X42)</f>
        <v>23200</v>
      </c>
      <c r="P42" s="738"/>
      <c r="Q42" s="738"/>
      <c r="R42" s="738"/>
      <c r="S42" s="738"/>
      <c r="T42" s="738"/>
      <c r="U42" s="738"/>
      <c r="V42" s="738"/>
      <c r="W42" s="738">
        <f>'строка 1200(130)'!D16</f>
        <v>23200</v>
      </c>
      <c r="X42" s="738"/>
      <c r="Y42" s="738"/>
      <c r="Z42" s="738"/>
      <c r="AA42" s="738"/>
      <c r="AB42" s="738"/>
      <c r="AC42" s="738"/>
      <c r="AD42" s="738"/>
      <c r="AE42" s="738"/>
      <c r="AF42" s="738"/>
      <c r="AG42" s="738">
        <f>'строка 1200(130)'!E16</f>
        <v>23200</v>
      </c>
      <c r="AH42" s="738"/>
      <c r="AI42" s="738"/>
      <c r="AJ42" s="738"/>
      <c r="AK42" s="738"/>
      <c r="AL42" s="738"/>
      <c r="AM42" s="738"/>
      <c r="AN42" s="738"/>
      <c r="AO42" s="738"/>
      <c r="AP42" s="738"/>
      <c r="AQ42" s="738">
        <f>'строка 1200(130)'!F16</f>
        <v>0</v>
      </c>
      <c r="AR42" s="738"/>
      <c r="AS42" s="739"/>
      <c r="AT42" s="740"/>
      <c r="AU42" s="740"/>
      <c r="AV42" s="740"/>
      <c r="AW42" s="740"/>
      <c r="AX42" s="740"/>
      <c r="AY42" s="740"/>
      <c r="AZ42" s="740"/>
      <c r="BA42" s="740"/>
      <c r="BB42" s="740"/>
      <c r="BC42" s="740"/>
      <c r="BD42" s="740"/>
      <c r="BE42" s="740"/>
      <c r="BF42" s="740"/>
    </row>
    <row r="43" spans="1:58" ht="31.5" x14ac:dyDescent="0.2">
      <c r="A43" s="710" t="s">
        <v>1023</v>
      </c>
      <c r="B43" s="709">
        <v>1240</v>
      </c>
      <c r="C43" s="709">
        <v>136</v>
      </c>
      <c r="D43" s="738">
        <f t="shared" si="10"/>
        <v>0</v>
      </c>
      <c r="E43" s="738"/>
      <c r="F43" s="738"/>
      <c r="G43" s="738"/>
      <c r="H43" s="738"/>
      <c r="I43" s="738"/>
      <c r="J43" s="738"/>
      <c r="K43" s="738"/>
      <c r="L43" s="738"/>
      <c r="M43" s="738"/>
      <c r="N43" s="738"/>
      <c r="O43" s="738">
        <f>SUM(P43:X43)</f>
        <v>0</v>
      </c>
      <c r="P43" s="738"/>
      <c r="Q43" s="738"/>
      <c r="R43" s="738"/>
      <c r="S43" s="738"/>
      <c r="T43" s="738"/>
      <c r="U43" s="738"/>
      <c r="V43" s="738"/>
      <c r="W43" s="738"/>
      <c r="X43" s="738"/>
      <c r="Y43" s="738">
        <f>SUM(Z43:AH43)</f>
        <v>0</v>
      </c>
      <c r="Z43" s="738"/>
      <c r="AA43" s="738"/>
      <c r="AB43" s="738"/>
      <c r="AC43" s="738"/>
      <c r="AD43" s="738"/>
      <c r="AE43" s="738"/>
      <c r="AF43" s="738"/>
      <c r="AG43" s="738"/>
      <c r="AH43" s="738"/>
      <c r="AI43" s="738">
        <f>SUM(AJ43:AR43)</f>
        <v>0</v>
      </c>
      <c r="AJ43" s="738"/>
      <c r="AK43" s="738"/>
      <c r="AL43" s="738"/>
      <c r="AM43" s="738"/>
      <c r="AN43" s="738"/>
      <c r="AO43" s="738"/>
      <c r="AP43" s="738"/>
      <c r="AQ43" s="738"/>
      <c r="AR43" s="738"/>
      <c r="AS43" s="693"/>
      <c r="AT43" s="741"/>
      <c r="AU43" s="693"/>
      <c r="AV43" s="741"/>
      <c r="AW43" s="693"/>
      <c r="AX43" s="693"/>
    </row>
    <row r="44" spans="1:58" s="724" customFormat="1" ht="31.5" x14ac:dyDescent="0.2">
      <c r="A44" s="720" t="s">
        <v>1024</v>
      </c>
      <c r="B44" s="729">
        <v>1300</v>
      </c>
      <c r="C44" s="729">
        <v>140</v>
      </c>
      <c r="D44" s="742">
        <f t="shared" si="10"/>
        <v>0</v>
      </c>
      <c r="E44" s="742">
        <f>E46</f>
        <v>0</v>
      </c>
      <c r="F44" s="742">
        <f t="shared" ref="F44:N44" si="15">F46</f>
        <v>0</v>
      </c>
      <c r="G44" s="742">
        <f t="shared" si="15"/>
        <v>0</v>
      </c>
      <c r="H44" s="742">
        <f t="shared" si="15"/>
        <v>0</v>
      </c>
      <c r="I44" s="742">
        <f t="shared" si="15"/>
        <v>0</v>
      </c>
      <c r="J44" s="742">
        <f t="shared" si="15"/>
        <v>0</v>
      </c>
      <c r="K44" s="742">
        <f t="shared" si="15"/>
        <v>0</v>
      </c>
      <c r="L44" s="742">
        <f t="shared" si="15"/>
        <v>0</v>
      </c>
      <c r="M44" s="742">
        <f t="shared" si="15"/>
        <v>0</v>
      </c>
      <c r="N44" s="742">
        <f t="shared" si="15"/>
        <v>0</v>
      </c>
      <c r="O44" s="742">
        <f>SUM(P44:X44)</f>
        <v>0</v>
      </c>
      <c r="P44" s="742">
        <f>P46</f>
        <v>0</v>
      </c>
      <c r="Q44" s="742">
        <f t="shared" ref="Q44:X44" si="16">Q46</f>
        <v>0</v>
      </c>
      <c r="R44" s="742">
        <f t="shared" si="16"/>
        <v>0</v>
      </c>
      <c r="S44" s="742">
        <f t="shared" si="16"/>
        <v>0</v>
      </c>
      <c r="T44" s="742">
        <f t="shared" si="16"/>
        <v>0</v>
      </c>
      <c r="U44" s="742">
        <f t="shared" si="16"/>
        <v>0</v>
      </c>
      <c r="V44" s="742">
        <f t="shared" si="16"/>
        <v>0</v>
      </c>
      <c r="W44" s="742">
        <f t="shared" si="16"/>
        <v>0</v>
      </c>
      <c r="X44" s="742">
        <f t="shared" si="16"/>
        <v>0</v>
      </c>
      <c r="Y44" s="742">
        <f>SUM(Z44:AH44)</f>
        <v>0</v>
      </c>
      <c r="Z44" s="742">
        <f>Z46</f>
        <v>0</v>
      </c>
      <c r="AA44" s="742">
        <f t="shared" ref="AA44:AH44" si="17">AA46</f>
        <v>0</v>
      </c>
      <c r="AB44" s="742">
        <f t="shared" si="17"/>
        <v>0</v>
      </c>
      <c r="AC44" s="742">
        <f t="shared" si="17"/>
        <v>0</v>
      </c>
      <c r="AD44" s="742">
        <f t="shared" si="17"/>
        <v>0</v>
      </c>
      <c r="AE44" s="742">
        <f t="shared" si="17"/>
        <v>0</v>
      </c>
      <c r="AF44" s="742">
        <f t="shared" si="17"/>
        <v>0</v>
      </c>
      <c r="AG44" s="742">
        <f t="shared" si="17"/>
        <v>0</v>
      </c>
      <c r="AH44" s="742">
        <f t="shared" si="17"/>
        <v>0</v>
      </c>
      <c r="AI44" s="742">
        <f>SUM(AJ44:AR44)</f>
        <v>0</v>
      </c>
      <c r="AJ44" s="742">
        <f>AJ46</f>
        <v>0</v>
      </c>
      <c r="AK44" s="742">
        <f t="shared" ref="AK44:AR44" si="18">AK46</f>
        <v>0</v>
      </c>
      <c r="AL44" s="742">
        <f t="shared" si="18"/>
        <v>0</v>
      </c>
      <c r="AM44" s="742">
        <f t="shared" si="18"/>
        <v>0</v>
      </c>
      <c r="AN44" s="742">
        <f t="shared" si="18"/>
        <v>0</v>
      </c>
      <c r="AO44" s="742">
        <f t="shared" si="18"/>
        <v>0</v>
      </c>
      <c r="AP44" s="742">
        <f t="shared" si="18"/>
        <v>0</v>
      </c>
      <c r="AQ44" s="742">
        <f t="shared" si="18"/>
        <v>0</v>
      </c>
      <c r="AR44" s="742">
        <f t="shared" si="18"/>
        <v>0</v>
      </c>
      <c r="AS44" s="743"/>
      <c r="AT44" s="732"/>
      <c r="AU44" s="723"/>
      <c r="AV44" s="732"/>
      <c r="AW44" s="723"/>
      <c r="AX44" s="723"/>
    </row>
    <row r="45" spans="1:58" x14ac:dyDescent="0.2">
      <c r="A45" s="744" t="s">
        <v>408</v>
      </c>
      <c r="B45" s="709"/>
      <c r="C45" s="709"/>
      <c r="D45" s="738">
        <f t="shared" si="10"/>
        <v>0</v>
      </c>
      <c r="E45" s="738"/>
      <c r="F45" s="738"/>
      <c r="G45" s="738"/>
      <c r="H45" s="738"/>
      <c r="I45" s="738"/>
      <c r="J45" s="738"/>
      <c r="K45" s="738"/>
      <c r="L45" s="738"/>
      <c r="M45" s="738"/>
      <c r="N45" s="738"/>
      <c r="O45" s="738"/>
      <c r="P45" s="738"/>
      <c r="Q45" s="738"/>
      <c r="R45" s="738"/>
      <c r="S45" s="738"/>
      <c r="T45" s="738"/>
      <c r="U45" s="738"/>
      <c r="V45" s="738"/>
      <c r="W45" s="738"/>
      <c r="X45" s="738"/>
      <c r="Y45" s="738"/>
      <c r="Z45" s="738"/>
      <c r="AA45" s="738"/>
      <c r="AB45" s="738"/>
      <c r="AC45" s="738"/>
      <c r="AD45" s="738"/>
      <c r="AE45" s="738"/>
      <c r="AF45" s="738"/>
      <c r="AG45" s="738"/>
      <c r="AH45" s="738"/>
      <c r="AI45" s="738"/>
      <c r="AJ45" s="738"/>
      <c r="AK45" s="738"/>
      <c r="AL45" s="738"/>
      <c r="AM45" s="738"/>
      <c r="AN45" s="738"/>
      <c r="AO45" s="738"/>
      <c r="AP45" s="738"/>
      <c r="AQ45" s="738"/>
      <c r="AR45" s="738"/>
      <c r="AS45" s="693"/>
      <c r="AT45" s="741"/>
      <c r="AU45" s="693"/>
      <c r="AV45" s="741"/>
      <c r="AW45" s="693"/>
      <c r="AX45" s="693"/>
    </row>
    <row r="46" spans="1:58" x14ac:dyDescent="0.2">
      <c r="A46" s="744"/>
      <c r="B46" s="709">
        <v>1310</v>
      </c>
      <c r="C46" s="709">
        <v>140</v>
      </c>
      <c r="D46" s="738">
        <f t="shared" si="10"/>
        <v>0</v>
      </c>
      <c r="E46" s="738"/>
      <c r="F46" s="738"/>
      <c r="G46" s="738"/>
      <c r="H46" s="738"/>
      <c r="I46" s="738"/>
      <c r="J46" s="738"/>
      <c r="K46" s="738"/>
      <c r="L46" s="738"/>
      <c r="M46" s="738"/>
      <c r="N46" s="738"/>
      <c r="O46" s="738">
        <f>SUM(P46:X46)</f>
        <v>0</v>
      </c>
      <c r="P46" s="738"/>
      <c r="Q46" s="738"/>
      <c r="R46" s="738"/>
      <c r="S46" s="738"/>
      <c r="T46" s="738"/>
      <c r="U46" s="738"/>
      <c r="V46" s="738"/>
      <c r="W46" s="738"/>
      <c r="X46" s="738"/>
      <c r="Y46" s="738">
        <f>SUM(Z46:AH46)</f>
        <v>0</v>
      </c>
      <c r="Z46" s="738"/>
      <c r="AA46" s="738"/>
      <c r="AB46" s="738"/>
      <c r="AC46" s="738"/>
      <c r="AD46" s="738"/>
      <c r="AE46" s="738"/>
      <c r="AF46" s="738"/>
      <c r="AG46" s="738"/>
      <c r="AH46" s="738"/>
      <c r="AI46" s="738">
        <f>SUM(AJ46:AR46)</f>
        <v>0</v>
      </c>
      <c r="AJ46" s="738"/>
      <c r="AK46" s="738"/>
      <c r="AL46" s="738"/>
      <c r="AM46" s="738"/>
      <c r="AN46" s="738"/>
      <c r="AO46" s="738"/>
      <c r="AP46" s="738"/>
      <c r="AQ46" s="738"/>
      <c r="AR46" s="738"/>
      <c r="AS46" s="693"/>
      <c r="AT46" s="741"/>
      <c r="AU46" s="693"/>
      <c r="AV46" s="741"/>
      <c r="AW46" s="693"/>
      <c r="AX46" s="693"/>
    </row>
    <row r="47" spans="1:58" s="724" customFormat="1" x14ac:dyDescent="0.2">
      <c r="A47" s="720" t="s">
        <v>1025</v>
      </c>
      <c r="B47" s="729">
        <v>1400</v>
      </c>
      <c r="C47" s="729">
        <v>150</v>
      </c>
      <c r="D47" s="742">
        <f t="shared" si="10"/>
        <v>0</v>
      </c>
      <c r="E47" s="742">
        <f>E49</f>
        <v>0</v>
      </c>
      <c r="F47" s="742">
        <f t="shared" ref="F47:N47" si="19">F49</f>
        <v>0</v>
      </c>
      <c r="G47" s="742">
        <f t="shared" si="19"/>
        <v>0</v>
      </c>
      <c r="H47" s="742">
        <f t="shared" si="19"/>
        <v>0</v>
      </c>
      <c r="I47" s="742">
        <f t="shared" si="19"/>
        <v>0</v>
      </c>
      <c r="J47" s="742">
        <f t="shared" si="19"/>
        <v>0</v>
      </c>
      <c r="K47" s="742">
        <f t="shared" si="19"/>
        <v>0</v>
      </c>
      <c r="L47" s="742">
        <f t="shared" si="19"/>
        <v>0</v>
      </c>
      <c r="M47" s="742">
        <f t="shared" si="19"/>
        <v>0</v>
      </c>
      <c r="N47" s="742">
        <f t="shared" si="19"/>
        <v>0</v>
      </c>
      <c r="O47" s="742">
        <f>SUM(P47:X47)</f>
        <v>0</v>
      </c>
      <c r="P47" s="742">
        <f>P49</f>
        <v>0</v>
      </c>
      <c r="Q47" s="742">
        <f t="shared" ref="Q47:X47" si="20">Q49</f>
        <v>0</v>
      </c>
      <c r="R47" s="742">
        <f t="shared" si="20"/>
        <v>0</v>
      </c>
      <c r="S47" s="742">
        <f t="shared" si="20"/>
        <v>0</v>
      </c>
      <c r="T47" s="742">
        <f t="shared" si="20"/>
        <v>0</v>
      </c>
      <c r="U47" s="742">
        <f t="shared" si="20"/>
        <v>0</v>
      </c>
      <c r="V47" s="742">
        <f t="shared" si="20"/>
        <v>0</v>
      </c>
      <c r="W47" s="742">
        <f t="shared" si="20"/>
        <v>0</v>
      </c>
      <c r="X47" s="742">
        <f t="shared" si="20"/>
        <v>0</v>
      </c>
      <c r="Y47" s="742">
        <f>SUM(Z47:AH47)</f>
        <v>0</v>
      </c>
      <c r="Z47" s="742">
        <f>Z49</f>
        <v>0</v>
      </c>
      <c r="AA47" s="742">
        <f t="shared" ref="AA47:AH47" si="21">AA49</f>
        <v>0</v>
      </c>
      <c r="AB47" s="742">
        <f t="shared" si="21"/>
        <v>0</v>
      </c>
      <c r="AC47" s="742">
        <f t="shared" si="21"/>
        <v>0</v>
      </c>
      <c r="AD47" s="742">
        <f t="shared" si="21"/>
        <v>0</v>
      </c>
      <c r="AE47" s="742">
        <f t="shared" si="21"/>
        <v>0</v>
      </c>
      <c r="AF47" s="742">
        <f t="shared" si="21"/>
        <v>0</v>
      </c>
      <c r="AG47" s="742">
        <f t="shared" si="21"/>
        <v>0</v>
      </c>
      <c r="AH47" s="742">
        <f t="shared" si="21"/>
        <v>0</v>
      </c>
      <c r="AI47" s="742">
        <f>SUM(AJ47:AR47)</f>
        <v>0</v>
      </c>
      <c r="AJ47" s="742">
        <f>AJ49</f>
        <v>0</v>
      </c>
      <c r="AK47" s="742">
        <f t="shared" ref="AK47:AR47" si="22">AK49</f>
        <v>0</v>
      </c>
      <c r="AL47" s="742">
        <f t="shared" si="22"/>
        <v>0</v>
      </c>
      <c r="AM47" s="742">
        <f t="shared" si="22"/>
        <v>0</v>
      </c>
      <c r="AN47" s="742">
        <f t="shared" si="22"/>
        <v>0</v>
      </c>
      <c r="AO47" s="742">
        <f t="shared" si="22"/>
        <v>0</v>
      </c>
      <c r="AP47" s="742">
        <f t="shared" si="22"/>
        <v>0</v>
      </c>
      <c r="AQ47" s="742">
        <f t="shared" si="22"/>
        <v>0</v>
      </c>
      <c r="AR47" s="742">
        <f t="shared" si="22"/>
        <v>0</v>
      </c>
      <c r="AS47" s="723"/>
      <c r="AT47" s="732"/>
      <c r="AU47" s="723"/>
      <c r="AV47" s="732"/>
      <c r="AW47" s="723"/>
      <c r="AX47" s="723"/>
    </row>
    <row r="48" spans="1:58" x14ac:dyDescent="0.2">
      <c r="A48" s="710" t="s">
        <v>408</v>
      </c>
      <c r="B48" s="709"/>
      <c r="C48" s="709"/>
      <c r="D48" s="738">
        <f t="shared" si="10"/>
        <v>0</v>
      </c>
      <c r="E48" s="738"/>
      <c r="F48" s="738"/>
      <c r="G48" s="738"/>
      <c r="H48" s="738"/>
      <c r="I48" s="738"/>
      <c r="J48" s="738"/>
      <c r="K48" s="738"/>
      <c r="L48" s="738"/>
      <c r="M48" s="738"/>
      <c r="N48" s="738"/>
      <c r="O48" s="738"/>
      <c r="P48" s="738"/>
      <c r="Q48" s="738"/>
      <c r="R48" s="738"/>
      <c r="S48" s="738"/>
      <c r="T48" s="738"/>
      <c r="U48" s="738"/>
      <c r="V48" s="738"/>
      <c r="W48" s="738"/>
      <c r="X48" s="738"/>
      <c r="Y48" s="738"/>
      <c r="Z48" s="738"/>
      <c r="AA48" s="738"/>
      <c r="AB48" s="738"/>
      <c r="AC48" s="738"/>
      <c r="AD48" s="738"/>
      <c r="AE48" s="738"/>
      <c r="AF48" s="738"/>
      <c r="AG48" s="738"/>
      <c r="AH48" s="738"/>
      <c r="AI48" s="738"/>
      <c r="AJ48" s="738"/>
      <c r="AK48" s="738"/>
      <c r="AL48" s="738"/>
      <c r="AM48" s="738"/>
      <c r="AN48" s="738"/>
      <c r="AO48" s="738"/>
      <c r="AP48" s="738"/>
      <c r="AQ48" s="738"/>
      <c r="AR48" s="738"/>
      <c r="AS48" s="693"/>
      <c r="AT48" s="741"/>
      <c r="AU48" s="693"/>
      <c r="AV48" s="741"/>
      <c r="AW48" s="693"/>
      <c r="AX48" s="693"/>
    </row>
    <row r="49" spans="1:50" s="727" customFormat="1" x14ac:dyDescent="0.2">
      <c r="A49" s="710" t="s">
        <v>1026</v>
      </c>
      <c r="B49" s="709">
        <v>1410</v>
      </c>
      <c r="C49" s="728" t="s">
        <v>1027</v>
      </c>
      <c r="D49" s="738">
        <f t="shared" si="10"/>
        <v>0</v>
      </c>
      <c r="E49" s="738"/>
      <c r="F49" s="738"/>
      <c r="G49" s="738"/>
      <c r="H49" s="738"/>
      <c r="I49" s="738"/>
      <c r="J49" s="738"/>
      <c r="K49" s="738"/>
      <c r="L49" s="738"/>
      <c r="M49" s="738"/>
      <c r="N49" s="738"/>
      <c r="O49" s="738">
        <f>SUM(P49:X49)</f>
        <v>0</v>
      </c>
      <c r="P49" s="738"/>
      <c r="Q49" s="738"/>
      <c r="R49" s="738"/>
      <c r="S49" s="738"/>
      <c r="T49" s="738"/>
      <c r="U49" s="738"/>
      <c r="V49" s="738"/>
      <c r="W49" s="738"/>
      <c r="X49" s="738"/>
      <c r="Y49" s="738">
        <f>SUM(Z49:AH49)</f>
        <v>0</v>
      </c>
      <c r="Z49" s="738"/>
      <c r="AA49" s="738"/>
      <c r="AB49" s="738"/>
      <c r="AC49" s="738"/>
      <c r="AD49" s="738"/>
      <c r="AE49" s="738"/>
      <c r="AF49" s="738"/>
      <c r="AG49" s="738"/>
      <c r="AH49" s="738"/>
      <c r="AI49" s="738">
        <f>SUM(AJ49:AR49)</f>
        <v>0</v>
      </c>
      <c r="AJ49" s="738"/>
      <c r="AK49" s="738"/>
      <c r="AL49" s="738"/>
      <c r="AM49" s="738"/>
      <c r="AN49" s="738"/>
      <c r="AO49" s="738"/>
      <c r="AP49" s="738"/>
      <c r="AQ49" s="738"/>
      <c r="AR49" s="738"/>
      <c r="AS49" s="726"/>
      <c r="AT49" s="725"/>
      <c r="AU49" s="726"/>
      <c r="AV49" s="725"/>
      <c r="AW49" s="726"/>
      <c r="AX49" s="726"/>
    </row>
    <row r="50" spans="1:50" s="724" customFormat="1" x14ac:dyDescent="0.2">
      <c r="A50" s="720" t="s">
        <v>1028</v>
      </c>
      <c r="B50" s="729">
        <v>1500</v>
      </c>
      <c r="C50" s="730" t="s">
        <v>1029</v>
      </c>
      <c r="D50" s="742">
        <f t="shared" si="10"/>
        <v>734300</v>
      </c>
      <c r="E50" s="742">
        <f>E52+E53</f>
        <v>0</v>
      </c>
      <c r="F50" s="742">
        <f t="shared" ref="F50:N50" si="23">F52+F53</f>
        <v>0</v>
      </c>
      <c r="G50" s="742">
        <f t="shared" si="23"/>
        <v>448500</v>
      </c>
      <c r="H50" s="742">
        <f t="shared" si="23"/>
        <v>0</v>
      </c>
      <c r="I50" s="742">
        <f t="shared" si="23"/>
        <v>0</v>
      </c>
      <c r="J50" s="742">
        <f t="shared" si="23"/>
        <v>224900</v>
      </c>
      <c r="K50" s="742">
        <f t="shared" si="23"/>
        <v>0</v>
      </c>
      <c r="L50" s="742">
        <f t="shared" si="23"/>
        <v>60900</v>
      </c>
      <c r="M50" s="742">
        <f t="shared" si="23"/>
        <v>0</v>
      </c>
      <c r="N50" s="742">
        <f t="shared" si="23"/>
        <v>0</v>
      </c>
      <c r="O50" s="742">
        <f>SUM(P50:X50)</f>
        <v>448500</v>
      </c>
      <c r="P50" s="742">
        <f>P52+P53</f>
        <v>0</v>
      </c>
      <c r="Q50" s="742">
        <f t="shared" ref="Q50:X50" si="24">Q52+Q53</f>
        <v>0</v>
      </c>
      <c r="R50" s="742">
        <f t="shared" si="24"/>
        <v>448500</v>
      </c>
      <c r="S50" s="742">
        <f t="shared" si="24"/>
        <v>0</v>
      </c>
      <c r="T50" s="742">
        <f t="shared" si="24"/>
        <v>0</v>
      </c>
      <c r="U50" s="742">
        <f t="shared" si="24"/>
        <v>0</v>
      </c>
      <c r="V50" s="742">
        <f t="shared" si="24"/>
        <v>0</v>
      </c>
      <c r="W50" s="742">
        <f t="shared" si="24"/>
        <v>0</v>
      </c>
      <c r="X50" s="742">
        <f t="shared" si="24"/>
        <v>0</v>
      </c>
      <c r="Y50" s="742">
        <f>SUM(Z50:AH50)</f>
        <v>448500</v>
      </c>
      <c r="Z50" s="742">
        <f>Z52+Z53</f>
        <v>0</v>
      </c>
      <c r="AA50" s="742">
        <f t="shared" ref="AA50:AH50" si="25">AA52+AA53</f>
        <v>0</v>
      </c>
      <c r="AB50" s="742">
        <f t="shared" si="25"/>
        <v>448500</v>
      </c>
      <c r="AC50" s="742">
        <f t="shared" si="25"/>
        <v>0</v>
      </c>
      <c r="AD50" s="742">
        <f t="shared" si="25"/>
        <v>0</v>
      </c>
      <c r="AE50" s="742">
        <f t="shared" si="25"/>
        <v>0</v>
      </c>
      <c r="AF50" s="742">
        <f t="shared" si="25"/>
        <v>0</v>
      </c>
      <c r="AG50" s="742">
        <f t="shared" si="25"/>
        <v>0</v>
      </c>
      <c r="AH50" s="742">
        <f t="shared" si="25"/>
        <v>0</v>
      </c>
      <c r="AI50" s="742">
        <f>SUM(AJ50:AR50)</f>
        <v>0</v>
      </c>
      <c r="AJ50" s="742">
        <f>AJ52+AJ53</f>
        <v>0</v>
      </c>
      <c r="AK50" s="742">
        <f t="shared" ref="AK50:AR50" si="26">AK52+AK53</f>
        <v>0</v>
      </c>
      <c r="AL50" s="742">
        <f t="shared" si="26"/>
        <v>0</v>
      </c>
      <c r="AM50" s="742">
        <f t="shared" si="26"/>
        <v>0</v>
      </c>
      <c r="AN50" s="742">
        <f t="shared" si="26"/>
        <v>0</v>
      </c>
      <c r="AO50" s="742">
        <f t="shared" si="26"/>
        <v>0</v>
      </c>
      <c r="AP50" s="742">
        <f t="shared" si="26"/>
        <v>0</v>
      </c>
      <c r="AQ50" s="742">
        <f t="shared" si="26"/>
        <v>0</v>
      </c>
      <c r="AR50" s="742">
        <f t="shared" si="26"/>
        <v>0</v>
      </c>
      <c r="AS50" s="723"/>
      <c r="AT50" s="732"/>
      <c r="AU50" s="723"/>
      <c r="AV50" s="732"/>
      <c r="AW50" s="723"/>
      <c r="AX50" s="723"/>
    </row>
    <row r="51" spans="1:50" s="727" customFormat="1" x14ac:dyDescent="0.2">
      <c r="A51" s="710" t="s">
        <v>408</v>
      </c>
      <c r="B51" s="709"/>
      <c r="C51" s="728"/>
      <c r="D51" s="738">
        <f t="shared" si="10"/>
        <v>0</v>
      </c>
      <c r="E51" s="738"/>
      <c r="F51" s="738"/>
      <c r="G51" s="745"/>
      <c r="H51" s="745"/>
      <c r="I51" s="745"/>
      <c r="J51" s="745"/>
      <c r="K51" s="745"/>
      <c r="L51" s="745"/>
      <c r="M51" s="745"/>
      <c r="N51" s="745"/>
      <c r="O51" s="738"/>
      <c r="P51" s="738"/>
      <c r="Q51" s="738"/>
      <c r="R51" s="745"/>
      <c r="S51" s="745"/>
      <c r="T51" s="745"/>
      <c r="U51" s="745"/>
      <c r="V51" s="745"/>
      <c r="W51" s="745"/>
      <c r="X51" s="745"/>
      <c r="Y51" s="738"/>
      <c r="Z51" s="738"/>
      <c r="AA51" s="738"/>
      <c r="AB51" s="745"/>
      <c r="AC51" s="745"/>
      <c r="AD51" s="745"/>
      <c r="AE51" s="745"/>
      <c r="AF51" s="745"/>
      <c r="AG51" s="745"/>
      <c r="AH51" s="745"/>
      <c r="AI51" s="738"/>
      <c r="AJ51" s="738"/>
      <c r="AK51" s="738"/>
      <c r="AL51" s="745"/>
      <c r="AM51" s="745"/>
      <c r="AN51" s="745"/>
      <c r="AO51" s="745"/>
      <c r="AP51" s="745"/>
      <c r="AQ51" s="745"/>
      <c r="AR51" s="745"/>
      <c r="AS51" s="726"/>
      <c r="AT51" s="725"/>
      <c r="AU51" s="726"/>
      <c r="AV51" s="725"/>
      <c r="AW51" s="726"/>
      <c r="AX51" s="726"/>
    </row>
    <row r="52" spans="1:50" ht="20.25" customHeight="1" x14ac:dyDescent="0.2">
      <c r="A52" s="710" t="s">
        <v>947</v>
      </c>
      <c r="B52" s="709">
        <v>1510</v>
      </c>
      <c r="C52" s="728" t="s">
        <v>1029</v>
      </c>
      <c r="D52" s="738">
        <f t="shared" si="10"/>
        <v>673400</v>
      </c>
      <c r="E52" s="738"/>
      <c r="F52" s="738"/>
      <c r="G52" s="738">
        <f>'прочие строка 1500 (150)'!C13</f>
        <v>448500</v>
      </c>
      <c r="H52" s="738">
        <f>'прочие строка 1500 (150)'!C14</f>
        <v>0</v>
      </c>
      <c r="I52" s="738"/>
      <c r="J52" s="738">
        <f>'прочие строка 1500 (150)'!C16</f>
        <v>224900</v>
      </c>
      <c r="K52" s="738">
        <f>'иные стр1210(130)культ'!B12</f>
        <v>0</v>
      </c>
      <c r="M52" s="738"/>
      <c r="N52" s="738"/>
      <c r="O52" s="738">
        <f>SUM(P52:X52)</f>
        <v>448500</v>
      </c>
      <c r="P52" s="738"/>
      <c r="Q52" s="738"/>
      <c r="R52" s="738">
        <f>'прочие строка 1500 (150)'!D13</f>
        <v>448500</v>
      </c>
      <c r="S52" s="738">
        <f>'прочие строка 1500 (150)'!D14</f>
        <v>0</v>
      </c>
      <c r="T52" s="738">
        <v>0</v>
      </c>
      <c r="U52" s="738"/>
      <c r="W52" s="738"/>
      <c r="X52" s="738"/>
      <c r="Y52" s="738">
        <f>SUM(Z52:AH52)</f>
        <v>448500</v>
      </c>
      <c r="Z52" s="738"/>
      <c r="AA52" s="738"/>
      <c r="AB52" s="738">
        <f>'прочие строка 1500 (150)'!E13</f>
        <v>448500</v>
      </c>
      <c r="AC52" s="738">
        <f>'прочие строка 1500 (150)'!E14</f>
        <v>0</v>
      </c>
      <c r="AD52" s="738">
        <v>0</v>
      </c>
      <c r="AE52" s="738"/>
      <c r="AG52" s="738"/>
      <c r="AH52" s="738"/>
      <c r="AI52" s="738">
        <f>SUM(AJ52:AR52)</f>
        <v>0</v>
      </c>
      <c r="AJ52" s="738"/>
      <c r="AK52" s="738"/>
      <c r="AL52" s="738">
        <f>'прочие строка 1500 (150)'!O13</f>
        <v>0</v>
      </c>
      <c r="AM52" s="738">
        <f>'прочие строка 1500 (150)'!O14</f>
        <v>0</v>
      </c>
      <c r="AN52" s="738">
        <v>0</v>
      </c>
      <c r="AO52" s="738"/>
      <c r="AQ52" s="738"/>
      <c r="AR52" s="738"/>
      <c r="AS52" s="693"/>
      <c r="AT52" s="741"/>
      <c r="AU52" s="693"/>
      <c r="AV52" s="741"/>
      <c r="AW52" s="693"/>
      <c r="AX52" s="693"/>
    </row>
    <row r="53" spans="1:50" s="727" customFormat="1" x14ac:dyDescent="0.2">
      <c r="A53" s="710" t="s">
        <v>953</v>
      </c>
      <c r="B53" s="709">
        <v>1520</v>
      </c>
      <c r="C53" s="728" t="s">
        <v>1029</v>
      </c>
      <c r="D53" s="738">
        <f t="shared" si="10"/>
        <v>60900</v>
      </c>
      <c r="E53" s="738"/>
      <c r="F53" s="738"/>
      <c r="G53" s="738"/>
      <c r="H53" s="738"/>
      <c r="I53" s="738"/>
      <c r="J53" s="738"/>
      <c r="K53" s="738"/>
      <c r="L53" s="738">
        <f>'прочие строка 1500 (150)'!C18</f>
        <v>60900</v>
      </c>
      <c r="M53" s="745"/>
      <c r="N53" s="745"/>
      <c r="O53" s="738">
        <f>SUM(P53:X53)</f>
        <v>0</v>
      </c>
      <c r="P53" s="738"/>
      <c r="Q53" s="738"/>
      <c r="R53" s="738"/>
      <c r="S53" s="738"/>
      <c r="T53" s="738"/>
      <c r="U53" s="738"/>
      <c r="V53" s="738">
        <f>'прочие строка 1500 (150)'!D18</f>
        <v>0</v>
      </c>
      <c r="W53" s="745"/>
      <c r="X53" s="745"/>
      <c r="Y53" s="738">
        <f>SUM(Z53:AH53)</f>
        <v>0</v>
      </c>
      <c r="Z53" s="738"/>
      <c r="AA53" s="738"/>
      <c r="AB53" s="738"/>
      <c r="AC53" s="738"/>
      <c r="AD53" s="738"/>
      <c r="AE53" s="738"/>
      <c r="AF53" s="738">
        <f>'прочие строка 1500 (150)'!E18</f>
        <v>0</v>
      </c>
      <c r="AG53" s="745"/>
      <c r="AH53" s="745"/>
      <c r="AI53" s="738">
        <f>SUM(AJ53:AR53)</f>
        <v>0</v>
      </c>
      <c r="AJ53" s="738"/>
      <c r="AK53" s="738"/>
      <c r="AL53" s="738"/>
      <c r="AM53" s="738"/>
      <c r="AN53" s="738"/>
      <c r="AO53" s="738"/>
      <c r="AP53" s="738">
        <f>'прочие строка 1500 (150)'!O18</f>
        <v>0</v>
      </c>
      <c r="AQ53" s="745"/>
      <c r="AR53" s="745"/>
      <c r="AS53" s="726"/>
      <c r="AT53" s="725"/>
      <c r="AU53" s="726"/>
      <c r="AV53" s="725"/>
      <c r="AW53" s="726"/>
      <c r="AX53" s="726"/>
    </row>
    <row r="54" spans="1:50" s="724" customFormat="1" ht="18.75" x14ac:dyDescent="0.2">
      <c r="A54" s="720" t="s">
        <v>1030</v>
      </c>
      <c r="B54" s="729">
        <v>1980</v>
      </c>
      <c r="C54" s="729" t="s">
        <v>898</v>
      </c>
      <c r="D54" s="742">
        <f t="shared" si="10"/>
        <v>0</v>
      </c>
      <c r="E54" s="742">
        <f>E56</f>
        <v>0</v>
      </c>
      <c r="F54" s="742">
        <f t="shared" ref="F54:N54" si="27">F56</f>
        <v>0</v>
      </c>
      <c r="G54" s="742">
        <f t="shared" si="27"/>
        <v>0</v>
      </c>
      <c r="H54" s="742">
        <f t="shared" si="27"/>
        <v>0</v>
      </c>
      <c r="I54" s="742">
        <f t="shared" si="27"/>
        <v>0</v>
      </c>
      <c r="J54" s="742">
        <f t="shared" si="27"/>
        <v>0</v>
      </c>
      <c r="K54" s="742">
        <f t="shared" si="27"/>
        <v>0</v>
      </c>
      <c r="L54" s="742">
        <f t="shared" si="27"/>
        <v>0</v>
      </c>
      <c r="M54" s="742">
        <f t="shared" si="27"/>
        <v>0</v>
      </c>
      <c r="N54" s="742">
        <f t="shared" si="27"/>
        <v>0</v>
      </c>
      <c r="O54" s="742">
        <f>SUM(P54:X54)</f>
        <v>0</v>
      </c>
      <c r="P54" s="742"/>
      <c r="Q54" s="742"/>
      <c r="R54" s="742"/>
      <c r="S54" s="742"/>
      <c r="T54" s="742"/>
      <c r="U54" s="742"/>
      <c r="V54" s="742"/>
      <c r="W54" s="742"/>
      <c r="X54" s="746"/>
      <c r="Y54" s="742">
        <f>SUM(Z54:AH54)</f>
        <v>0</v>
      </c>
      <c r="Z54" s="742">
        <f>Z56</f>
        <v>0</v>
      </c>
      <c r="AA54" s="742">
        <f t="shared" ref="AA54:AH54" si="28">AA56</f>
        <v>0</v>
      </c>
      <c r="AB54" s="742">
        <f t="shared" si="28"/>
        <v>0</v>
      </c>
      <c r="AC54" s="742">
        <f t="shared" si="28"/>
        <v>0</v>
      </c>
      <c r="AD54" s="742">
        <f t="shared" si="28"/>
        <v>0</v>
      </c>
      <c r="AE54" s="742">
        <f t="shared" si="28"/>
        <v>0</v>
      </c>
      <c r="AF54" s="742">
        <f t="shared" si="28"/>
        <v>0</v>
      </c>
      <c r="AG54" s="742">
        <f t="shared" si="28"/>
        <v>0</v>
      </c>
      <c r="AH54" s="742">
        <f t="shared" si="28"/>
        <v>0</v>
      </c>
      <c r="AI54" s="742">
        <f>SUM(AJ54:AR54)</f>
        <v>0</v>
      </c>
      <c r="AJ54" s="742">
        <f>AJ56</f>
        <v>0</v>
      </c>
      <c r="AK54" s="742">
        <f t="shared" ref="AK54:AR54" si="29">AK56</f>
        <v>0</v>
      </c>
      <c r="AL54" s="742">
        <f t="shared" si="29"/>
        <v>0</v>
      </c>
      <c r="AM54" s="742">
        <f t="shared" si="29"/>
        <v>0</v>
      </c>
      <c r="AN54" s="742">
        <f t="shared" si="29"/>
        <v>0</v>
      </c>
      <c r="AO54" s="742">
        <f t="shared" si="29"/>
        <v>0</v>
      </c>
      <c r="AP54" s="742">
        <f t="shared" si="29"/>
        <v>0</v>
      </c>
      <c r="AQ54" s="742">
        <f t="shared" si="29"/>
        <v>0</v>
      </c>
      <c r="AR54" s="742">
        <f t="shared" si="29"/>
        <v>0</v>
      </c>
      <c r="AS54" s="743"/>
      <c r="AT54" s="732"/>
      <c r="AU54" s="723"/>
      <c r="AV54" s="732"/>
      <c r="AW54" s="723"/>
      <c r="AX54" s="723"/>
    </row>
    <row r="55" spans="1:50" x14ac:dyDescent="0.2">
      <c r="A55" s="710" t="s">
        <v>835</v>
      </c>
      <c r="B55" s="709"/>
      <c r="C55" s="709"/>
      <c r="D55" s="713">
        <f t="shared" si="10"/>
        <v>0</v>
      </c>
      <c r="E55" s="712"/>
      <c r="F55" s="712"/>
      <c r="G55" s="712"/>
      <c r="H55" s="712"/>
      <c r="I55" s="712"/>
      <c r="J55" s="712"/>
      <c r="K55" s="712"/>
      <c r="L55" s="712"/>
      <c r="M55" s="712"/>
      <c r="N55" s="712"/>
      <c r="O55" s="712"/>
      <c r="P55" s="712"/>
      <c r="Q55" s="712"/>
      <c r="R55" s="712"/>
      <c r="S55" s="712"/>
      <c r="T55" s="712"/>
      <c r="U55" s="712"/>
      <c r="V55" s="712"/>
      <c r="W55" s="712"/>
      <c r="X55" s="712"/>
      <c r="Y55" s="712"/>
      <c r="Z55" s="712"/>
      <c r="AA55" s="712"/>
      <c r="AB55" s="712"/>
      <c r="AC55" s="712"/>
      <c r="AD55" s="712"/>
      <c r="AE55" s="712"/>
      <c r="AF55" s="712"/>
      <c r="AG55" s="712"/>
      <c r="AH55" s="712"/>
      <c r="AI55" s="712"/>
      <c r="AJ55" s="712"/>
      <c r="AK55" s="712"/>
      <c r="AL55" s="712"/>
      <c r="AM55" s="712"/>
      <c r="AN55" s="712"/>
      <c r="AO55" s="712"/>
      <c r="AP55" s="712"/>
      <c r="AQ55" s="712"/>
      <c r="AR55" s="712"/>
      <c r="AS55" s="693"/>
      <c r="AT55" s="741"/>
      <c r="AU55" s="693"/>
      <c r="AV55" s="741"/>
      <c r="AW55" s="693"/>
      <c r="AX55" s="693"/>
    </row>
    <row r="56" spans="1:50" s="727" customFormat="1" ht="36.75" customHeight="1" x14ac:dyDescent="0.2">
      <c r="A56" s="710" t="s">
        <v>1031</v>
      </c>
      <c r="B56" s="709">
        <v>1981</v>
      </c>
      <c r="C56" s="728" t="s">
        <v>1032</v>
      </c>
      <c r="D56" s="786">
        <f t="shared" si="10"/>
        <v>0</v>
      </c>
      <c r="E56" s="747"/>
      <c r="F56" s="747"/>
      <c r="G56" s="747"/>
      <c r="H56" s="747"/>
      <c r="I56" s="747"/>
      <c r="J56" s="747"/>
      <c r="K56" s="747"/>
      <c r="L56" s="747"/>
      <c r="M56" s="747"/>
      <c r="N56" s="747"/>
      <c r="O56" s="747">
        <f>SUM(P56:X56)</f>
        <v>0</v>
      </c>
      <c r="P56" s="747"/>
      <c r="Q56" s="747"/>
      <c r="R56" s="747"/>
      <c r="S56" s="747"/>
      <c r="T56" s="747"/>
      <c r="U56" s="747"/>
      <c r="V56" s="747"/>
      <c r="W56" s="747"/>
      <c r="X56" s="747"/>
      <c r="Y56" s="747">
        <f>SUM(Z56:AH56)</f>
        <v>0</v>
      </c>
      <c r="Z56" s="747"/>
      <c r="AA56" s="747"/>
      <c r="AB56" s="747"/>
      <c r="AC56" s="747"/>
      <c r="AD56" s="747"/>
      <c r="AE56" s="747"/>
      <c r="AF56" s="747"/>
      <c r="AG56" s="747"/>
      <c r="AH56" s="747"/>
      <c r="AI56" s="747">
        <f>SUM(AJ56:AR56)</f>
        <v>0</v>
      </c>
      <c r="AJ56" s="747"/>
      <c r="AK56" s="747"/>
      <c r="AL56" s="747"/>
      <c r="AM56" s="747"/>
      <c r="AN56" s="747"/>
      <c r="AO56" s="747"/>
      <c r="AP56" s="747"/>
      <c r="AQ56" s="747"/>
      <c r="AR56" s="747"/>
      <c r="AS56" s="726"/>
      <c r="AT56" s="725"/>
      <c r="AU56" s="726"/>
      <c r="AV56" s="725"/>
      <c r="AW56" s="726"/>
      <c r="AX56" s="726"/>
    </row>
    <row r="57" spans="1:50" x14ac:dyDescent="0.2">
      <c r="A57" s="710"/>
      <c r="B57" s="709"/>
      <c r="C57" s="709"/>
      <c r="D57" s="713">
        <f t="shared" si="10"/>
        <v>0</v>
      </c>
      <c r="E57" s="712"/>
      <c r="F57" s="712"/>
      <c r="G57" s="712"/>
      <c r="H57" s="712"/>
      <c r="I57" s="712"/>
      <c r="J57" s="712"/>
      <c r="K57" s="712"/>
      <c r="L57" s="712"/>
      <c r="M57" s="712"/>
      <c r="N57" s="712"/>
      <c r="O57" s="712"/>
      <c r="P57" s="712"/>
      <c r="Q57" s="712"/>
      <c r="R57" s="712"/>
      <c r="S57" s="712"/>
      <c r="T57" s="712"/>
      <c r="U57" s="712"/>
      <c r="V57" s="712"/>
      <c r="W57" s="712"/>
      <c r="X57" s="712"/>
      <c r="Y57" s="712"/>
      <c r="Z57" s="712"/>
      <c r="AA57" s="712"/>
      <c r="AB57" s="712"/>
      <c r="AC57" s="712"/>
      <c r="AD57" s="712"/>
      <c r="AE57" s="712"/>
      <c r="AF57" s="712"/>
      <c r="AG57" s="712"/>
      <c r="AH57" s="712"/>
      <c r="AI57" s="712"/>
      <c r="AJ57" s="712"/>
      <c r="AK57" s="712"/>
      <c r="AL57" s="712"/>
      <c r="AM57" s="712"/>
      <c r="AN57" s="712"/>
      <c r="AO57" s="712"/>
      <c r="AP57" s="712"/>
      <c r="AQ57" s="712"/>
      <c r="AR57" s="712"/>
      <c r="AS57" s="693"/>
      <c r="AT57" s="741"/>
      <c r="AU57" s="693"/>
      <c r="AV57" s="741"/>
      <c r="AW57" s="693"/>
      <c r="AX57" s="693"/>
    </row>
    <row r="58" spans="1:50" s="719" customFormat="1" x14ac:dyDescent="0.2">
      <c r="A58" s="715" t="s">
        <v>1033</v>
      </c>
      <c r="B58" s="748">
        <v>2000</v>
      </c>
      <c r="C58" s="748" t="s">
        <v>898</v>
      </c>
      <c r="D58" s="749">
        <f>SUM(E58:N58)</f>
        <v>52147900</v>
      </c>
      <c r="E58" s="749">
        <f>E60+E69+E73+E77+E80+E82+E91+E95</f>
        <v>38510500</v>
      </c>
      <c r="F58" s="749">
        <f t="shared" ref="F58:N58" si="30">F60+F69+F73+F77+F80+F82+F91+F95</f>
        <v>103100</v>
      </c>
      <c r="G58" s="749">
        <f t="shared" si="30"/>
        <v>448500</v>
      </c>
      <c r="H58" s="749">
        <f t="shared" si="30"/>
        <v>0</v>
      </c>
      <c r="I58" s="749">
        <f t="shared" si="30"/>
        <v>0</v>
      </c>
      <c r="J58" s="749">
        <f t="shared" si="30"/>
        <v>224900</v>
      </c>
      <c r="K58" s="749">
        <f t="shared" si="30"/>
        <v>0</v>
      </c>
      <c r="L58" s="749">
        <f t="shared" si="30"/>
        <v>60900</v>
      </c>
      <c r="M58" s="749">
        <f t="shared" si="30"/>
        <v>12800000</v>
      </c>
      <c r="N58" s="749">
        <f t="shared" si="30"/>
        <v>0</v>
      </c>
      <c r="O58" s="749">
        <f>SUM(P58:X58)</f>
        <v>51731400</v>
      </c>
      <c r="P58" s="749">
        <f>P60+P69+P73+P77+P80+P82+P91+P95</f>
        <v>38379800</v>
      </c>
      <c r="Q58" s="749">
        <f t="shared" ref="Q58:X58" si="31">Q60+Q69+Q73+Q77+Q80+Q82+Q91+Q95</f>
        <v>103100</v>
      </c>
      <c r="R58" s="749">
        <f t="shared" si="31"/>
        <v>448500</v>
      </c>
      <c r="S58" s="749">
        <f t="shared" si="31"/>
        <v>0</v>
      </c>
      <c r="T58" s="749">
        <f t="shared" si="31"/>
        <v>0</v>
      </c>
      <c r="U58" s="749">
        <f t="shared" si="31"/>
        <v>0</v>
      </c>
      <c r="V58" s="749">
        <f t="shared" si="31"/>
        <v>0</v>
      </c>
      <c r="W58" s="749">
        <f t="shared" si="31"/>
        <v>12800000</v>
      </c>
      <c r="X58" s="749">
        <f t="shared" si="31"/>
        <v>0</v>
      </c>
      <c r="Y58" s="749">
        <f>SUM(Z58:AH58)</f>
        <v>51791800</v>
      </c>
      <c r="Z58" s="749">
        <f>Z60+Z69+Z73+Z77+Z80+Z82+Z91+Z95</f>
        <v>38440200</v>
      </c>
      <c r="AA58" s="749">
        <f t="shared" ref="AA58:AH58" si="32">AA60+AA69+AA73+AA77+AA80+AA82+AA91+AA95</f>
        <v>103100</v>
      </c>
      <c r="AB58" s="749">
        <f t="shared" si="32"/>
        <v>448500</v>
      </c>
      <c r="AC58" s="749">
        <f t="shared" si="32"/>
        <v>0</v>
      </c>
      <c r="AD58" s="749">
        <f t="shared" si="32"/>
        <v>0</v>
      </c>
      <c r="AE58" s="749">
        <f t="shared" si="32"/>
        <v>0</v>
      </c>
      <c r="AF58" s="749">
        <f t="shared" si="32"/>
        <v>0</v>
      </c>
      <c r="AG58" s="749">
        <f t="shared" si="32"/>
        <v>12800000</v>
      </c>
      <c r="AH58" s="749">
        <f t="shared" si="32"/>
        <v>0</v>
      </c>
      <c r="AI58" s="749"/>
      <c r="AJ58" s="749"/>
      <c r="AK58" s="749"/>
      <c r="AL58" s="749"/>
      <c r="AM58" s="749"/>
      <c r="AN58" s="749"/>
      <c r="AO58" s="749"/>
      <c r="AP58" s="749"/>
      <c r="AQ58" s="749"/>
      <c r="AR58" s="749">
        <f t="shared" ref="AR58" si="33">AR60+AR69+AR73+AR77+AR80+AR82+AR91+AR95</f>
        <v>0</v>
      </c>
      <c r="AS58" s="750"/>
      <c r="AT58" s="751"/>
      <c r="AU58" s="750"/>
      <c r="AV58" s="751"/>
      <c r="AW58" s="750"/>
      <c r="AX58" s="750"/>
    </row>
    <row r="59" spans="1:50" x14ac:dyDescent="0.2">
      <c r="A59" s="710" t="s">
        <v>408</v>
      </c>
      <c r="B59" s="709"/>
      <c r="C59" s="709"/>
      <c r="D59" s="712"/>
      <c r="E59" s="712"/>
      <c r="F59" s="712"/>
      <c r="G59" s="712"/>
      <c r="H59" s="712"/>
      <c r="I59" s="712"/>
      <c r="J59" s="712"/>
      <c r="K59" s="712"/>
      <c r="L59" s="712"/>
      <c r="M59" s="712"/>
      <c r="N59" s="712"/>
      <c r="O59" s="712"/>
      <c r="P59" s="712"/>
      <c r="Q59" s="712"/>
      <c r="R59" s="712"/>
      <c r="S59" s="712"/>
      <c r="T59" s="712"/>
      <c r="U59" s="712"/>
      <c r="V59" s="712"/>
      <c r="W59" s="712"/>
      <c r="X59" s="712"/>
      <c r="Y59" s="712"/>
      <c r="Z59" s="712"/>
      <c r="AA59" s="712"/>
      <c r="AB59" s="712"/>
      <c r="AC59" s="712"/>
      <c r="AD59" s="712"/>
      <c r="AE59" s="712"/>
      <c r="AF59" s="712"/>
      <c r="AG59" s="712"/>
      <c r="AH59" s="712"/>
      <c r="AI59" s="712"/>
      <c r="AJ59" s="712"/>
      <c r="AK59" s="712"/>
      <c r="AL59" s="712"/>
      <c r="AM59" s="712"/>
      <c r="AN59" s="712"/>
      <c r="AO59" s="712"/>
      <c r="AP59" s="712"/>
      <c r="AQ59" s="712"/>
      <c r="AR59" s="712"/>
      <c r="AS59" s="693"/>
      <c r="AT59" s="741"/>
      <c r="AU59" s="693"/>
      <c r="AV59" s="741"/>
      <c r="AW59" s="693"/>
      <c r="AX59" s="693"/>
    </row>
    <row r="60" spans="1:50" s="724" customFormat="1" ht="36.75" customHeight="1" x14ac:dyDescent="0.2">
      <c r="A60" s="720" t="s">
        <v>1034</v>
      </c>
      <c r="B60" s="729">
        <v>2100</v>
      </c>
      <c r="C60" s="729" t="s">
        <v>898</v>
      </c>
      <c r="D60" s="731">
        <f>SUM(E60:N60)</f>
        <v>35817900</v>
      </c>
      <c r="E60" s="731">
        <f>E62+E63+E64+E65</f>
        <v>31540600</v>
      </c>
      <c r="F60" s="731">
        <f t="shared" ref="F60:N60" si="34">F62+F63+F64+F65</f>
        <v>0</v>
      </c>
      <c r="G60" s="731">
        <f t="shared" si="34"/>
        <v>448500</v>
      </c>
      <c r="H60" s="731">
        <f t="shared" si="34"/>
        <v>0</v>
      </c>
      <c r="I60" s="731">
        <f t="shared" si="34"/>
        <v>0</v>
      </c>
      <c r="J60" s="731">
        <f t="shared" si="34"/>
        <v>0</v>
      </c>
      <c r="K60" s="731">
        <f t="shared" si="34"/>
        <v>0</v>
      </c>
      <c r="L60" s="731">
        <f t="shared" si="34"/>
        <v>0</v>
      </c>
      <c r="M60" s="731">
        <f t="shared" si="34"/>
        <v>3828800</v>
      </c>
      <c r="N60" s="731">
        <f t="shared" si="34"/>
        <v>0</v>
      </c>
      <c r="O60" s="731">
        <f>SUM(P60:X60)</f>
        <v>35779900</v>
      </c>
      <c r="P60" s="731">
        <f>P62+P63+P64+P65</f>
        <v>31502600</v>
      </c>
      <c r="Q60" s="731">
        <f t="shared" ref="Q60:X60" si="35">Q62+Q63+Q64+Q65</f>
        <v>0</v>
      </c>
      <c r="R60" s="731">
        <f t="shared" si="35"/>
        <v>448500</v>
      </c>
      <c r="S60" s="731">
        <f t="shared" si="35"/>
        <v>0</v>
      </c>
      <c r="T60" s="731">
        <f t="shared" si="35"/>
        <v>0</v>
      </c>
      <c r="U60" s="731">
        <f t="shared" si="35"/>
        <v>0</v>
      </c>
      <c r="V60" s="731">
        <f t="shared" si="35"/>
        <v>0</v>
      </c>
      <c r="W60" s="731">
        <f>W62+W63+W64+W65</f>
        <v>3828800</v>
      </c>
      <c r="X60" s="731">
        <f t="shared" si="35"/>
        <v>0</v>
      </c>
      <c r="Y60" s="731">
        <f>SUM(Z60:AH60)</f>
        <v>35779900</v>
      </c>
      <c r="Z60" s="731">
        <f>+Z62+Z63+Z64+Z65</f>
        <v>31502600</v>
      </c>
      <c r="AA60" s="731">
        <f t="shared" ref="AA60:AH60" si="36">+AA62+AA63+AA64+AA65</f>
        <v>0</v>
      </c>
      <c r="AB60" s="731">
        <f t="shared" si="36"/>
        <v>448500</v>
      </c>
      <c r="AC60" s="731">
        <f t="shared" si="36"/>
        <v>0</v>
      </c>
      <c r="AD60" s="731">
        <f t="shared" si="36"/>
        <v>0</v>
      </c>
      <c r="AE60" s="731">
        <f t="shared" si="36"/>
        <v>0</v>
      </c>
      <c r="AF60" s="731">
        <f t="shared" si="36"/>
        <v>0</v>
      </c>
      <c r="AG60" s="731">
        <f t="shared" si="36"/>
        <v>3828800</v>
      </c>
      <c r="AH60" s="731">
        <f t="shared" si="36"/>
        <v>0</v>
      </c>
      <c r="AI60" s="731"/>
      <c r="AJ60" s="731"/>
      <c r="AK60" s="731"/>
      <c r="AL60" s="731"/>
      <c r="AM60" s="731"/>
      <c r="AN60" s="731"/>
      <c r="AO60" s="731"/>
      <c r="AP60" s="731"/>
      <c r="AQ60" s="731"/>
      <c r="AR60" s="731">
        <f t="shared" ref="AR60" si="37">+AR62+AR63+AR64+AR65</f>
        <v>0</v>
      </c>
      <c r="AS60" s="723"/>
      <c r="AT60" s="732"/>
      <c r="AU60" s="723"/>
      <c r="AV60" s="732"/>
      <c r="AW60" s="723"/>
      <c r="AX60" s="723"/>
    </row>
    <row r="61" spans="1:50" ht="20.25" customHeight="1" x14ac:dyDescent="0.2">
      <c r="A61" s="710" t="s">
        <v>408</v>
      </c>
      <c r="B61" s="709"/>
      <c r="C61" s="709"/>
      <c r="D61" s="712"/>
      <c r="E61" s="712"/>
      <c r="F61" s="712"/>
      <c r="G61" s="712"/>
      <c r="H61" s="712"/>
      <c r="I61" s="712"/>
      <c r="J61" s="712"/>
      <c r="K61" s="712"/>
      <c r="L61" s="712"/>
      <c r="M61" s="712"/>
      <c r="N61" s="712"/>
      <c r="O61" s="712"/>
      <c r="P61" s="712"/>
      <c r="Q61" s="712"/>
      <c r="R61" s="712"/>
      <c r="S61" s="712"/>
      <c r="T61" s="712"/>
      <c r="U61" s="712"/>
      <c r="V61" s="712"/>
      <c r="W61" s="712"/>
      <c r="X61" s="712"/>
      <c r="Y61" s="712"/>
      <c r="Z61" s="712"/>
      <c r="AA61" s="712"/>
      <c r="AB61" s="712"/>
      <c r="AC61" s="712"/>
      <c r="AD61" s="712"/>
      <c r="AE61" s="712"/>
      <c r="AF61" s="712"/>
      <c r="AG61" s="712"/>
      <c r="AH61" s="712"/>
      <c r="AI61" s="712"/>
      <c r="AJ61" s="712"/>
      <c r="AK61" s="712"/>
      <c r="AL61" s="712"/>
      <c r="AM61" s="712"/>
      <c r="AN61" s="712"/>
      <c r="AO61" s="712"/>
      <c r="AP61" s="712"/>
      <c r="AQ61" s="712"/>
      <c r="AR61" s="712"/>
      <c r="AS61" s="693"/>
      <c r="AT61" s="741"/>
      <c r="AU61" s="693"/>
      <c r="AV61" s="741"/>
      <c r="AW61" s="693"/>
      <c r="AX61" s="693"/>
    </row>
    <row r="62" spans="1:50" ht="20.25" customHeight="1" x14ac:dyDescent="0.2">
      <c r="A62" s="710" t="s">
        <v>1035</v>
      </c>
      <c r="B62" s="709">
        <v>2110</v>
      </c>
      <c r="C62" s="709">
        <v>111</v>
      </c>
      <c r="D62" s="712">
        <f>SUM(E62:N62)</f>
        <v>26757700</v>
      </c>
      <c r="E62" s="712">
        <f>'субс РК КВР 111 (01.01.20)'!C13</f>
        <v>24115000</v>
      </c>
      <c r="F62" s="712"/>
      <c r="G62" s="712"/>
      <c r="H62" s="712"/>
      <c r="I62" s="712"/>
      <c r="J62" s="712"/>
      <c r="K62" s="712"/>
      <c r="L62" s="712"/>
      <c r="M62" s="712">
        <f>'внебКВР 111 (01.01.20)+'!C13</f>
        <v>2642700</v>
      </c>
      <c r="N62" s="712"/>
      <c r="O62" s="712">
        <f>SUM(P62:X62)</f>
        <v>26757700</v>
      </c>
      <c r="P62" s="712">
        <f>'субс РК КВР 111 (01.01.20)'!D13</f>
        <v>24115000</v>
      </c>
      <c r="Q62" s="712"/>
      <c r="R62" s="712"/>
      <c r="S62" s="712"/>
      <c r="T62" s="712"/>
      <c r="U62" s="712"/>
      <c r="V62" s="712"/>
      <c r="W62" s="712">
        <v>2642700</v>
      </c>
      <c r="X62" s="712"/>
      <c r="Y62" s="712">
        <f>SUM(Z62:AH62)</f>
        <v>26757700</v>
      </c>
      <c r="Z62" s="712">
        <f>'субс РК КВР 111 (01.01.20)'!E13</f>
        <v>24115000</v>
      </c>
      <c r="AA62" s="712"/>
      <c r="AB62" s="712"/>
      <c r="AC62" s="712"/>
      <c r="AD62" s="712"/>
      <c r="AE62" s="712"/>
      <c r="AF62" s="712"/>
      <c r="AG62" s="712">
        <v>2642700</v>
      </c>
      <c r="AH62" s="712"/>
      <c r="AI62" s="712"/>
      <c r="AJ62" s="712"/>
      <c r="AK62" s="712"/>
      <c r="AL62" s="712"/>
      <c r="AM62" s="712"/>
      <c r="AN62" s="712"/>
      <c r="AO62" s="712"/>
      <c r="AP62" s="712"/>
      <c r="AQ62" s="712"/>
      <c r="AR62" s="712"/>
      <c r="AS62" s="693"/>
      <c r="AT62" s="741"/>
      <c r="AU62" s="693"/>
      <c r="AV62" s="741"/>
      <c r="AW62" s="693"/>
      <c r="AX62" s="693"/>
    </row>
    <row r="63" spans="1:50" ht="33.75" customHeight="1" x14ac:dyDescent="0.2">
      <c r="A63" s="710" t="s">
        <v>1036</v>
      </c>
      <c r="B63" s="709">
        <v>2120</v>
      </c>
      <c r="C63" s="709">
        <v>112</v>
      </c>
      <c r="D63" s="712">
        <f>SUM(E63:N63)</f>
        <v>706500</v>
      </c>
      <c r="E63" s="712">
        <f>'субс РК КВР 112 (01.01.20)'!C22</f>
        <v>38000</v>
      </c>
      <c r="F63" s="712"/>
      <c r="G63" s="712">
        <f>'иные КВР 112 (01.01.20)'!C12</f>
        <v>448500</v>
      </c>
      <c r="H63" s="712"/>
      <c r="I63" s="712"/>
      <c r="J63" s="712"/>
      <c r="K63" s="712"/>
      <c r="L63" s="712"/>
      <c r="M63" s="712">
        <f>'внеб КВР 112 (01.01.20)'!C21</f>
        <v>220000</v>
      </c>
      <c r="N63" s="712"/>
      <c r="O63" s="712">
        <f>SUM(P63:X63)</f>
        <v>668500</v>
      </c>
      <c r="P63" s="712">
        <v>0</v>
      </c>
      <c r="Q63" s="712"/>
      <c r="R63" s="712">
        <f>'иные КВР 112 (01.01.20)'!D10</f>
        <v>448500</v>
      </c>
      <c r="S63" s="712"/>
      <c r="T63" s="712"/>
      <c r="U63" s="712"/>
      <c r="V63" s="712"/>
      <c r="W63" s="712">
        <v>220000</v>
      </c>
      <c r="X63" s="712"/>
      <c r="Y63" s="712">
        <f>SUM(Z63:AH63)</f>
        <v>668500</v>
      </c>
      <c r="Z63" s="712">
        <v>0</v>
      </c>
      <c r="AA63" s="712"/>
      <c r="AB63" s="712">
        <f>'иные КВР 112 (01.01.20)'!E12</f>
        <v>448500</v>
      </c>
      <c r="AC63" s="712"/>
      <c r="AD63" s="712"/>
      <c r="AE63" s="712"/>
      <c r="AF63" s="712"/>
      <c r="AG63" s="712">
        <v>220000</v>
      </c>
      <c r="AH63" s="712"/>
      <c r="AI63" s="712"/>
      <c r="AJ63" s="712"/>
      <c r="AK63" s="712"/>
      <c r="AL63" s="712"/>
      <c r="AM63" s="712"/>
      <c r="AN63" s="712"/>
      <c r="AO63" s="712"/>
      <c r="AP63" s="712"/>
      <c r="AQ63" s="712"/>
      <c r="AR63" s="712"/>
      <c r="AS63" s="693"/>
      <c r="AT63" s="741"/>
      <c r="AU63" s="693"/>
      <c r="AV63" s="741"/>
      <c r="AW63" s="693"/>
      <c r="AX63" s="693"/>
    </row>
    <row r="64" spans="1:50" ht="31.5" x14ac:dyDescent="0.2">
      <c r="A64" s="710" t="s">
        <v>1037</v>
      </c>
      <c r="B64" s="709">
        <v>2130</v>
      </c>
      <c r="C64" s="709">
        <v>113</v>
      </c>
      <c r="D64" s="712">
        <f>SUM(E64:N64)</f>
        <v>448000</v>
      </c>
      <c r="E64" s="712">
        <f>'субс РК КВР 113(01.01.20)'!C14</f>
        <v>280000</v>
      </c>
      <c r="F64" s="712">
        <f>'субс РТ КВР 113(01.01.20)'!C14</f>
        <v>0</v>
      </c>
      <c r="G64" s="712"/>
      <c r="H64" s="712"/>
      <c r="I64" s="712"/>
      <c r="J64" s="712">
        <f>'75 лет КВР 113(01.01.20)'!C14</f>
        <v>0</v>
      </c>
      <c r="K64" s="712"/>
      <c r="L64" s="712"/>
      <c r="M64" s="712">
        <f>'внеб КВР 113(01.01.20)'!C14</f>
        <v>168000</v>
      </c>
      <c r="N64" s="712"/>
      <c r="O64" s="712">
        <f>SUM(P64:X64)</f>
        <v>448000</v>
      </c>
      <c r="P64" s="712">
        <f>'субс РК КВР 113(01.01.20)'!D14</f>
        <v>280000</v>
      </c>
      <c r="Q64" s="712">
        <f>'субс РТ КВР 113(01.01.20)'!D14</f>
        <v>0</v>
      </c>
      <c r="R64" s="712"/>
      <c r="S64" s="712"/>
      <c r="T64" s="712"/>
      <c r="U64" s="712"/>
      <c r="V64" s="712"/>
      <c r="W64" s="712">
        <v>168000</v>
      </c>
      <c r="X64" s="712"/>
      <c r="Y64" s="712">
        <f>SUM(Z64:AH64)</f>
        <v>448000</v>
      </c>
      <c r="Z64" s="712">
        <f>'субс РК КВР 113(01.01.20)'!E14</f>
        <v>280000</v>
      </c>
      <c r="AA64" s="712">
        <f>'субс РТ КВР 113(01.01.20)'!E14</f>
        <v>0</v>
      </c>
      <c r="AB64" s="712"/>
      <c r="AC64" s="712"/>
      <c r="AD64" s="712"/>
      <c r="AE64" s="712"/>
      <c r="AF64" s="712"/>
      <c r="AG64" s="712">
        <v>168000</v>
      </c>
      <c r="AH64" s="712"/>
      <c r="AI64" s="712"/>
      <c r="AJ64" s="712"/>
      <c r="AK64" s="712"/>
      <c r="AL64" s="712"/>
      <c r="AM64" s="712"/>
      <c r="AN64" s="712"/>
      <c r="AO64" s="712"/>
      <c r="AP64" s="712"/>
      <c r="AQ64" s="712"/>
      <c r="AR64" s="712"/>
      <c r="AS64" s="693"/>
      <c r="AT64" s="741"/>
      <c r="AU64" s="693"/>
      <c r="AV64" s="741"/>
      <c r="AW64" s="693"/>
      <c r="AX64" s="693"/>
    </row>
    <row r="65" spans="1:50" ht="47.25" x14ac:dyDescent="0.2">
      <c r="A65" s="710" t="s">
        <v>1038</v>
      </c>
      <c r="B65" s="709">
        <v>2140</v>
      </c>
      <c r="C65" s="709">
        <v>119</v>
      </c>
      <c r="D65" s="712">
        <f>SUM(E65:N65)</f>
        <v>7905700</v>
      </c>
      <c r="E65" s="788">
        <f>E67+E68</f>
        <v>7107600</v>
      </c>
      <c r="F65" s="712"/>
      <c r="G65" s="712"/>
      <c r="H65" s="712"/>
      <c r="I65" s="712"/>
      <c r="J65" s="712"/>
      <c r="K65" s="712"/>
      <c r="L65" s="712"/>
      <c r="M65" s="712">
        <f>M67+M68</f>
        <v>798100</v>
      </c>
      <c r="N65" s="712"/>
      <c r="O65" s="712">
        <f>SUM(P65:X65)</f>
        <v>7905700</v>
      </c>
      <c r="P65" s="787">
        <f>P67</f>
        <v>7107600</v>
      </c>
      <c r="Q65" s="712"/>
      <c r="R65" s="712"/>
      <c r="S65" s="712"/>
      <c r="T65" s="712"/>
      <c r="U65" s="712"/>
      <c r="V65" s="712"/>
      <c r="W65" s="712">
        <v>798100</v>
      </c>
      <c r="X65" s="712"/>
      <c r="Y65" s="712">
        <f>SUM(Z65:AH65)</f>
        <v>7905700</v>
      </c>
      <c r="Z65" s="787">
        <f>Z67</f>
        <v>7107600</v>
      </c>
      <c r="AA65" s="712"/>
      <c r="AB65" s="712"/>
      <c r="AC65" s="712"/>
      <c r="AD65" s="712"/>
      <c r="AE65" s="712"/>
      <c r="AF65" s="712"/>
      <c r="AG65" s="712">
        <v>798100</v>
      </c>
      <c r="AH65" s="712"/>
      <c r="AI65" s="712"/>
      <c r="AJ65" s="787"/>
      <c r="AK65" s="712"/>
      <c r="AL65" s="712"/>
      <c r="AM65" s="712"/>
      <c r="AN65" s="712"/>
      <c r="AO65" s="712"/>
      <c r="AP65" s="712"/>
      <c r="AQ65" s="712"/>
      <c r="AR65" s="712"/>
      <c r="AS65" s="693"/>
      <c r="AT65" s="741"/>
      <c r="AU65" s="693"/>
      <c r="AV65" s="741"/>
      <c r="AW65" s="693"/>
      <c r="AX65" s="693"/>
    </row>
    <row r="66" spans="1:50" x14ac:dyDescent="0.2">
      <c r="A66" s="710" t="s">
        <v>408</v>
      </c>
      <c r="B66" s="709"/>
      <c r="C66" s="709"/>
      <c r="D66" s="712"/>
      <c r="E66" s="712"/>
      <c r="F66" s="712"/>
      <c r="G66" s="712"/>
      <c r="H66" s="712"/>
      <c r="I66" s="712"/>
      <c r="J66" s="712"/>
      <c r="K66" s="712"/>
      <c r="L66" s="712"/>
      <c r="M66" s="712"/>
      <c r="N66" s="712"/>
      <c r="O66" s="712"/>
      <c r="P66" s="712"/>
      <c r="Q66" s="712"/>
      <c r="R66" s="712"/>
      <c r="S66" s="712"/>
      <c r="T66" s="712"/>
      <c r="U66" s="712"/>
      <c r="V66" s="712"/>
      <c r="W66" s="712"/>
      <c r="X66" s="712"/>
      <c r="Y66" s="712"/>
      <c r="Z66" s="712"/>
      <c r="AA66" s="712"/>
      <c r="AB66" s="712"/>
      <c r="AC66" s="712"/>
      <c r="AD66" s="712"/>
      <c r="AE66" s="712"/>
      <c r="AF66" s="712"/>
      <c r="AG66" s="712"/>
      <c r="AH66" s="712"/>
      <c r="AI66" s="712"/>
      <c r="AJ66" s="712"/>
      <c r="AK66" s="712"/>
      <c r="AL66" s="712"/>
      <c r="AM66" s="712"/>
      <c r="AN66" s="712"/>
      <c r="AO66" s="712"/>
      <c r="AP66" s="712"/>
      <c r="AQ66" s="712"/>
      <c r="AR66" s="712"/>
      <c r="AS66" s="693"/>
      <c r="AT66" s="741"/>
      <c r="AU66" s="693"/>
      <c r="AV66" s="741"/>
      <c r="AW66" s="693"/>
      <c r="AX66" s="693"/>
    </row>
    <row r="67" spans="1:50" x14ac:dyDescent="0.2">
      <c r="A67" s="710" t="s">
        <v>1039</v>
      </c>
      <c r="B67" s="709">
        <v>2141</v>
      </c>
      <c r="C67" s="709">
        <v>119</v>
      </c>
      <c r="D67" s="712">
        <f>SUM(E67:N67)</f>
        <v>7905700</v>
      </c>
      <c r="E67" s="712">
        <f>'субс РК КВР 119 (01.01.20)'!C13</f>
        <v>7107600</v>
      </c>
      <c r="F67" s="712"/>
      <c r="G67" s="712"/>
      <c r="H67" s="712"/>
      <c r="I67" s="712"/>
      <c r="J67" s="712"/>
      <c r="K67" s="712"/>
      <c r="L67" s="712"/>
      <c r="M67" s="712">
        <f>'внебКВР 119 (01.01.20)+'!C13</f>
        <v>798100</v>
      </c>
      <c r="N67" s="712"/>
      <c r="O67" s="712">
        <f>SUM(P67:X67)</f>
        <v>7905700</v>
      </c>
      <c r="P67" s="712">
        <f>'субс РК КВР 119 (01.01.20)'!D13</f>
        <v>7107600</v>
      </c>
      <c r="Q67" s="712"/>
      <c r="R67" s="712"/>
      <c r="S67" s="712"/>
      <c r="T67" s="712"/>
      <c r="U67" s="712"/>
      <c r="V67" s="712"/>
      <c r="W67" s="712">
        <v>798100</v>
      </c>
      <c r="X67" s="712"/>
      <c r="Y67" s="712">
        <f>SUM(Z67:AH67)</f>
        <v>7905700</v>
      </c>
      <c r="Z67" s="712">
        <f>'субс РК КВР 119 (01.01.20)'!E13</f>
        <v>7107600</v>
      </c>
      <c r="AA67" s="712"/>
      <c r="AB67" s="712"/>
      <c r="AC67" s="712"/>
      <c r="AD67" s="712"/>
      <c r="AE67" s="712"/>
      <c r="AF67" s="712"/>
      <c r="AG67" s="712">
        <v>798100</v>
      </c>
      <c r="AH67" s="712"/>
      <c r="AI67" s="712"/>
      <c r="AJ67" s="712"/>
      <c r="AK67" s="712"/>
      <c r="AL67" s="712"/>
      <c r="AM67" s="712"/>
      <c r="AN67" s="712"/>
      <c r="AO67" s="712"/>
      <c r="AP67" s="712"/>
      <c r="AQ67" s="712"/>
      <c r="AR67" s="712"/>
      <c r="AS67" s="693"/>
      <c r="AT67" s="741"/>
      <c r="AU67" s="693"/>
      <c r="AV67" s="741"/>
      <c r="AW67" s="693"/>
      <c r="AX67" s="693"/>
    </row>
    <row r="68" spans="1:50" x14ac:dyDescent="0.2">
      <c r="A68" s="710" t="s">
        <v>1040</v>
      </c>
      <c r="B68" s="709">
        <v>2142</v>
      </c>
      <c r="C68" s="709">
        <v>119</v>
      </c>
      <c r="D68" s="712"/>
      <c r="E68" s="712"/>
      <c r="F68" s="712"/>
      <c r="G68" s="712"/>
      <c r="H68" s="712"/>
      <c r="I68" s="712"/>
      <c r="J68" s="712"/>
      <c r="K68" s="712"/>
      <c r="L68" s="712"/>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712"/>
      <c r="AP68" s="712"/>
      <c r="AQ68" s="712"/>
      <c r="AR68" s="712"/>
      <c r="AS68" s="693"/>
      <c r="AT68" s="741"/>
      <c r="AU68" s="693"/>
      <c r="AV68" s="741"/>
      <c r="AW68" s="693"/>
      <c r="AX68" s="693"/>
    </row>
    <row r="69" spans="1:50" s="724" customFormat="1" x14ac:dyDescent="0.2">
      <c r="A69" s="720" t="s">
        <v>1041</v>
      </c>
      <c r="B69" s="729">
        <v>2200</v>
      </c>
      <c r="C69" s="729">
        <v>300</v>
      </c>
      <c r="D69" s="731">
        <f>SUM(E69:N69)</f>
        <v>0</v>
      </c>
      <c r="E69" s="731">
        <f>E71</f>
        <v>0</v>
      </c>
      <c r="F69" s="731">
        <f t="shared" ref="F69:N69" si="38">F71</f>
        <v>0</v>
      </c>
      <c r="G69" s="731">
        <f t="shared" si="38"/>
        <v>0</v>
      </c>
      <c r="H69" s="731">
        <f t="shared" si="38"/>
        <v>0</v>
      </c>
      <c r="I69" s="731">
        <f t="shared" si="38"/>
        <v>0</v>
      </c>
      <c r="J69" s="731">
        <f t="shared" si="38"/>
        <v>0</v>
      </c>
      <c r="K69" s="731">
        <f t="shared" si="38"/>
        <v>0</v>
      </c>
      <c r="L69" s="731">
        <f t="shared" si="38"/>
        <v>0</v>
      </c>
      <c r="M69" s="731">
        <f t="shared" si="38"/>
        <v>0</v>
      </c>
      <c r="N69" s="731">
        <f t="shared" si="38"/>
        <v>0</v>
      </c>
      <c r="O69" s="731">
        <f>SUM(P69:X69)</f>
        <v>0</v>
      </c>
      <c r="P69" s="731">
        <f>P71+P72</f>
        <v>0</v>
      </c>
      <c r="Q69" s="731">
        <f t="shared" ref="Q69:X69" si="39">Q71+Q72</f>
        <v>0</v>
      </c>
      <c r="R69" s="731">
        <f t="shared" si="39"/>
        <v>0</v>
      </c>
      <c r="S69" s="731">
        <f t="shared" si="39"/>
        <v>0</v>
      </c>
      <c r="T69" s="731">
        <f t="shared" si="39"/>
        <v>0</v>
      </c>
      <c r="U69" s="731">
        <f t="shared" si="39"/>
        <v>0</v>
      </c>
      <c r="V69" s="731">
        <f t="shared" si="39"/>
        <v>0</v>
      </c>
      <c r="W69" s="731">
        <f t="shared" si="39"/>
        <v>0</v>
      </c>
      <c r="X69" s="731">
        <f t="shared" si="39"/>
        <v>0</v>
      </c>
      <c r="Y69" s="731">
        <f>SUM(Z69:AH69)</f>
        <v>0</v>
      </c>
      <c r="Z69" s="731">
        <f>Z71+Z72</f>
        <v>0</v>
      </c>
      <c r="AA69" s="731">
        <f t="shared" ref="AA69:AH69" si="40">AA71+AA72</f>
        <v>0</v>
      </c>
      <c r="AB69" s="731">
        <f t="shared" si="40"/>
        <v>0</v>
      </c>
      <c r="AC69" s="731">
        <f t="shared" si="40"/>
        <v>0</v>
      </c>
      <c r="AD69" s="731">
        <f t="shared" si="40"/>
        <v>0</v>
      </c>
      <c r="AE69" s="731">
        <f t="shared" si="40"/>
        <v>0</v>
      </c>
      <c r="AF69" s="731">
        <f t="shared" si="40"/>
        <v>0</v>
      </c>
      <c r="AG69" s="731">
        <f t="shared" si="40"/>
        <v>0</v>
      </c>
      <c r="AH69" s="731">
        <f t="shared" si="40"/>
        <v>0</v>
      </c>
      <c r="AI69" s="731"/>
      <c r="AJ69" s="731"/>
      <c r="AK69" s="731"/>
      <c r="AL69" s="731"/>
      <c r="AM69" s="731"/>
      <c r="AN69" s="731"/>
      <c r="AO69" s="731"/>
      <c r="AP69" s="731"/>
      <c r="AQ69" s="731"/>
      <c r="AR69" s="731">
        <f t="shared" ref="AR69" si="41">AR71+AR72</f>
        <v>0</v>
      </c>
      <c r="AS69" s="723"/>
      <c r="AT69" s="732"/>
      <c r="AU69" s="723"/>
      <c r="AV69" s="732"/>
      <c r="AW69" s="723"/>
      <c r="AX69" s="723"/>
    </row>
    <row r="70" spans="1:50" x14ac:dyDescent="0.2">
      <c r="A70" s="710" t="s">
        <v>408</v>
      </c>
      <c r="B70" s="709"/>
      <c r="C70" s="709"/>
      <c r="D70" s="712"/>
      <c r="E70" s="712"/>
      <c r="F70" s="712"/>
      <c r="G70" s="712"/>
      <c r="H70" s="712"/>
      <c r="I70" s="712"/>
      <c r="J70" s="712"/>
      <c r="K70" s="712"/>
      <c r="L70" s="712"/>
      <c r="M70" s="712"/>
      <c r="N70" s="712"/>
      <c r="O70" s="712"/>
      <c r="P70" s="712"/>
      <c r="Q70" s="712"/>
      <c r="R70" s="712"/>
      <c r="S70" s="712"/>
      <c r="T70" s="712"/>
      <c r="U70" s="712"/>
      <c r="V70" s="712"/>
      <c r="W70" s="712"/>
      <c r="X70" s="712"/>
      <c r="Y70" s="712"/>
      <c r="Z70" s="712"/>
      <c r="AA70" s="712"/>
      <c r="AB70" s="712"/>
      <c r="AC70" s="712"/>
      <c r="AD70" s="712"/>
      <c r="AE70" s="712"/>
      <c r="AF70" s="712"/>
      <c r="AG70" s="712"/>
      <c r="AH70" s="712"/>
      <c r="AI70" s="712"/>
      <c r="AJ70" s="712"/>
      <c r="AK70" s="712"/>
      <c r="AL70" s="712"/>
      <c r="AM70" s="712"/>
      <c r="AN70" s="712"/>
      <c r="AO70" s="712"/>
      <c r="AP70" s="712"/>
      <c r="AQ70" s="712"/>
      <c r="AR70" s="712"/>
      <c r="AS70" s="693"/>
      <c r="AT70" s="741"/>
      <c r="AU70" s="693"/>
      <c r="AV70" s="741"/>
      <c r="AW70" s="693"/>
      <c r="AX70" s="693"/>
    </row>
    <row r="71" spans="1:50" ht="31.5" x14ac:dyDescent="0.2">
      <c r="A71" s="710" t="s">
        <v>1042</v>
      </c>
      <c r="B71" s="709">
        <v>2210</v>
      </c>
      <c r="C71" s="709">
        <v>320</v>
      </c>
      <c r="D71" s="712">
        <f t="shared" ref="D71:D86" si="42">SUM(E71:N71)</f>
        <v>0</v>
      </c>
      <c r="E71" s="712">
        <f>E72</f>
        <v>0</v>
      </c>
      <c r="F71" s="712">
        <f t="shared" ref="F71:N71" si="43">F72</f>
        <v>0</v>
      </c>
      <c r="G71" s="712">
        <f t="shared" si="43"/>
        <v>0</v>
      </c>
      <c r="H71" s="712">
        <f t="shared" si="43"/>
        <v>0</v>
      </c>
      <c r="I71" s="712">
        <f t="shared" si="43"/>
        <v>0</v>
      </c>
      <c r="J71" s="712">
        <f t="shared" si="43"/>
        <v>0</v>
      </c>
      <c r="K71" s="712">
        <f t="shared" si="43"/>
        <v>0</v>
      </c>
      <c r="L71" s="712">
        <f t="shared" si="43"/>
        <v>0</v>
      </c>
      <c r="M71" s="712">
        <f t="shared" si="43"/>
        <v>0</v>
      </c>
      <c r="N71" s="712">
        <f t="shared" si="43"/>
        <v>0</v>
      </c>
      <c r="O71" s="712">
        <f t="shared" ref="O71:O86" si="44">SUM(P71:X71)</f>
        <v>0</v>
      </c>
      <c r="P71" s="712"/>
      <c r="Q71" s="712"/>
      <c r="R71" s="712"/>
      <c r="S71" s="712"/>
      <c r="T71" s="712"/>
      <c r="U71" s="712"/>
      <c r="V71" s="712"/>
      <c r="W71" s="712"/>
      <c r="X71" s="712"/>
      <c r="Y71" s="712">
        <f t="shared" ref="Y71:Y96" si="45">SUM(Z71:AH71)</f>
        <v>0</v>
      </c>
      <c r="Z71" s="712"/>
      <c r="AA71" s="712"/>
      <c r="AB71" s="712"/>
      <c r="AC71" s="712"/>
      <c r="AD71" s="712"/>
      <c r="AE71" s="712"/>
      <c r="AF71" s="712"/>
      <c r="AG71" s="712"/>
      <c r="AH71" s="712"/>
      <c r="AI71" s="712"/>
      <c r="AJ71" s="712"/>
      <c r="AK71" s="712"/>
      <c r="AL71" s="712"/>
      <c r="AM71" s="712"/>
      <c r="AN71" s="712"/>
      <c r="AO71" s="712"/>
      <c r="AP71" s="712"/>
      <c r="AQ71" s="712"/>
      <c r="AR71" s="712"/>
      <c r="AS71" s="693"/>
      <c r="AT71" s="741"/>
      <c r="AU71" s="693"/>
      <c r="AV71" s="741"/>
      <c r="AW71" s="693"/>
      <c r="AX71" s="693"/>
    </row>
    <row r="72" spans="1:50" ht="54.75" customHeight="1" x14ac:dyDescent="0.2">
      <c r="A72" s="710" t="s">
        <v>1043</v>
      </c>
      <c r="B72" s="709">
        <v>2211</v>
      </c>
      <c r="C72" s="709">
        <v>321</v>
      </c>
      <c r="D72" s="712">
        <f t="shared" si="42"/>
        <v>0</v>
      </c>
      <c r="E72" s="712"/>
      <c r="F72" s="712"/>
      <c r="G72" s="712">
        <f>'иные КВР 321(01.01.20)'!C17</f>
        <v>0</v>
      </c>
      <c r="H72" s="712"/>
      <c r="I72" s="712"/>
      <c r="J72" s="712"/>
      <c r="K72" s="712"/>
      <c r="L72" s="712"/>
      <c r="M72" s="712"/>
      <c r="N72" s="712"/>
      <c r="O72" s="712">
        <f t="shared" si="44"/>
        <v>0</v>
      </c>
      <c r="P72" s="712"/>
      <c r="Q72" s="712"/>
      <c r="R72" s="712">
        <v>0</v>
      </c>
      <c r="S72" s="712"/>
      <c r="T72" s="712"/>
      <c r="U72" s="712"/>
      <c r="V72" s="712"/>
      <c r="W72" s="712"/>
      <c r="X72" s="712"/>
      <c r="Y72" s="712">
        <f t="shared" si="45"/>
        <v>0</v>
      </c>
      <c r="Z72" s="712"/>
      <c r="AA72" s="712"/>
      <c r="AB72" s="712">
        <v>0</v>
      </c>
      <c r="AC72" s="712"/>
      <c r="AD72" s="712"/>
      <c r="AE72" s="712"/>
      <c r="AF72" s="712"/>
      <c r="AG72" s="712"/>
      <c r="AH72" s="712"/>
      <c r="AI72" s="712"/>
      <c r="AJ72" s="712"/>
      <c r="AK72" s="712"/>
      <c r="AL72" s="712"/>
      <c r="AM72" s="712"/>
      <c r="AN72" s="712"/>
      <c r="AO72" s="712"/>
      <c r="AP72" s="712"/>
      <c r="AQ72" s="712"/>
      <c r="AR72" s="712"/>
      <c r="AS72" s="693"/>
      <c r="AT72" s="741"/>
      <c r="AU72" s="693"/>
      <c r="AV72" s="741"/>
      <c r="AW72" s="693"/>
      <c r="AX72" s="693"/>
    </row>
    <row r="73" spans="1:50" s="724" customFormat="1" x14ac:dyDescent="0.2">
      <c r="A73" s="720" t="s">
        <v>1044</v>
      </c>
      <c r="B73" s="729">
        <v>2300</v>
      </c>
      <c r="C73" s="729">
        <v>850</v>
      </c>
      <c r="D73" s="731">
        <f t="shared" si="42"/>
        <v>50000</v>
      </c>
      <c r="E73" s="731">
        <f>E74+E75+E76</f>
        <v>0</v>
      </c>
      <c r="F73" s="731">
        <f t="shared" ref="F73:N73" si="46">F74+F75+F76</f>
        <v>0</v>
      </c>
      <c r="G73" s="731">
        <f t="shared" si="46"/>
        <v>0</v>
      </c>
      <c r="H73" s="731">
        <f t="shared" si="46"/>
        <v>0</v>
      </c>
      <c r="I73" s="731">
        <f t="shared" si="46"/>
        <v>0</v>
      </c>
      <c r="J73" s="731">
        <f t="shared" si="46"/>
        <v>0</v>
      </c>
      <c r="K73" s="731">
        <f t="shared" si="46"/>
        <v>0</v>
      </c>
      <c r="L73" s="731">
        <f t="shared" si="46"/>
        <v>0</v>
      </c>
      <c r="M73" s="731">
        <f t="shared" si="46"/>
        <v>50000</v>
      </c>
      <c r="N73" s="731">
        <f t="shared" si="46"/>
        <v>0</v>
      </c>
      <c r="O73" s="731">
        <f t="shared" si="44"/>
        <v>50000</v>
      </c>
      <c r="P73" s="731">
        <f>P74+P75+P76</f>
        <v>0</v>
      </c>
      <c r="Q73" s="731">
        <f t="shared" ref="Q73:X73" si="47">Q74+Q75+Q76</f>
        <v>0</v>
      </c>
      <c r="R73" s="731">
        <f t="shared" si="47"/>
        <v>0</v>
      </c>
      <c r="S73" s="731">
        <f t="shared" si="47"/>
        <v>0</v>
      </c>
      <c r="T73" s="731">
        <f t="shared" si="47"/>
        <v>0</v>
      </c>
      <c r="U73" s="731">
        <f t="shared" si="47"/>
        <v>0</v>
      </c>
      <c r="V73" s="731">
        <f t="shared" si="47"/>
        <v>0</v>
      </c>
      <c r="W73" s="731">
        <f t="shared" si="47"/>
        <v>50000</v>
      </c>
      <c r="X73" s="731">
        <f t="shared" si="47"/>
        <v>0</v>
      </c>
      <c r="Y73" s="731">
        <f t="shared" si="45"/>
        <v>50000</v>
      </c>
      <c r="Z73" s="731">
        <f>Z74+Z75+Z76</f>
        <v>0</v>
      </c>
      <c r="AA73" s="731">
        <f t="shared" ref="AA73:AH73" si="48">AA74+AA75+AA76</f>
        <v>0</v>
      </c>
      <c r="AB73" s="731">
        <f t="shared" si="48"/>
        <v>0</v>
      </c>
      <c r="AC73" s="731">
        <f t="shared" si="48"/>
        <v>0</v>
      </c>
      <c r="AD73" s="731">
        <f t="shared" si="48"/>
        <v>0</v>
      </c>
      <c r="AE73" s="731">
        <f t="shared" si="48"/>
        <v>0</v>
      </c>
      <c r="AF73" s="731">
        <f t="shared" si="48"/>
        <v>0</v>
      </c>
      <c r="AG73" s="731">
        <f t="shared" si="48"/>
        <v>50000</v>
      </c>
      <c r="AH73" s="731">
        <f t="shared" si="48"/>
        <v>0</v>
      </c>
      <c r="AI73" s="731"/>
      <c r="AJ73" s="731"/>
      <c r="AK73" s="731"/>
      <c r="AL73" s="731"/>
      <c r="AM73" s="731"/>
      <c r="AN73" s="731"/>
      <c r="AO73" s="731"/>
      <c r="AP73" s="731"/>
      <c r="AQ73" s="731"/>
      <c r="AR73" s="731">
        <f t="shared" ref="AR73" si="49">AR74+AR75+AR76</f>
        <v>0</v>
      </c>
      <c r="AS73" s="723"/>
      <c r="AT73" s="732"/>
      <c r="AU73" s="723"/>
      <c r="AV73" s="732"/>
      <c r="AW73" s="723"/>
      <c r="AX73" s="723"/>
    </row>
    <row r="74" spans="1:50" ht="31.5" x14ac:dyDescent="0.2">
      <c r="A74" s="710" t="s">
        <v>1045</v>
      </c>
      <c r="B74" s="709">
        <v>2310</v>
      </c>
      <c r="C74" s="709">
        <v>851</v>
      </c>
      <c r="D74" s="712">
        <f t="shared" si="42"/>
        <v>0</v>
      </c>
      <c r="E74" s="712"/>
      <c r="F74" s="712"/>
      <c r="G74" s="712"/>
      <c r="H74" s="712"/>
      <c r="I74" s="712"/>
      <c r="J74" s="712"/>
      <c r="K74" s="712"/>
      <c r="L74" s="712"/>
      <c r="M74" s="712"/>
      <c r="N74" s="712"/>
      <c r="O74" s="712">
        <f t="shared" si="44"/>
        <v>0</v>
      </c>
      <c r="P74" s="712"/>
      <c r="Q74" s="712"/>
      <c r="R74" s="712"/>
      <c r="S74" s="712"/>
      <c r="T74" s="712"/>
      <c r="U74" s="712"/>
      <c r="V74" s="712"/>
      <c r="W74" s="712"/>
      <c r="X74" s="712"/>
      <c r="Y74" s="712">
        <f t="shared" si="45"/>
        <v>0</v>
      </c>
      <c r="Z74" s="712"/>
      <c r="AA74" s="712"/>
      <c r="AB74" s="712"/>
      <c r="AC74" s="712"/>
      <c r="AD74" s="712"/>
      <c r="AE74" s="712"/>
      <c r="AF74" s="712"/>
      <c r="AG74" s="712"/>
      <c r="AH74" s="712"/>
      <c r="AI74" s="712"/>
      <c r="AJ74" s="712"/>
      <c r="AK74" s="712"/>
      <c r="AL74" s="712"/>
      <c r="AM74" s="712"/>
      <c r="AN74" s="712"/>
      <c r="AO74" s="712"/>
      <c r="AP74" s="712"/>
      <c r="AQ74" s="712"/>
      <c r="AR74" s="712"/>
      <c r="AS74" s="693"/>
      <c r="AT74" s="741"/>
      <c r="AU74" s="693"/>
      <c r="AV74" s="741"/>
      <c r="AW74" s="693"/>
      <c r="AX74" s="693"/>
    </row>
    <row r="75" spans="1:50" ht="47.25" x14ac:dyDescent="0.2">
      <c r="A75" s="710" t="s">
        <v>1046</v>
      </c>
      <c r="B75" s="709">
        <v>2320</v>
      </c>
      <c r="C75" s="709">
        <v>852</v>
      </c>
      <c r="D75" s="712">
        <f t="shared" si="42"/>
        <v>0</v>
      </c>
      <c r="E75" s="712"/>
      <c r="F75" s="712"/>
      <c r="G75" s="712"/>
      <c r="H75" s="712"/>
      <c r="I75" s="712"/>
      <c r="J75" s="712"/>
      <c r="K75" s="712"/>
      <c r="L75" s="712"/>
      <c r="M75" s="712"/>
      <c r="N75" s="712"/>
      <c r="O75" s="712">
        <f t="shared" si="44"/>
        <v>0</v>
      </c>
      <c r="P75" s="712"/>
      <c r="Q75" s="712"/>
      <c r="R75" s="712"/>
      <c r="S75" s="712"/>
      <c r="T75" s="712"/>
      <c r="U75" s="712"/>
      <c r="V75" s="712"/>
      <c r="W75" s="712"/>
      <c r="X75" s="712"/>
      <c r="Y75" s="712">
        <f t="shared" si="45"/>
        <v>0</v>
      </c>
      <c r="Z75" s="712"/>
      <c r="AA75" s="712"/>
      <c r="AB75" s="712"/>
      <c r="AC75" s="712"/>
      <c r="AD75" s="712"/>
      <c r="AE75" s="712"/>
      <c r="AF75" s="712"/>
      <c r="AG75" s="712"/>
      <c r="AH75" s="712"/>
      <c r="AI75" s="712"/>
      <c r="AJ75" s="712"/>
      <c r="AK75" s="712"/>
      <c r="AL75" s="712"/>
      <c r="AM75" s="712"/>
      <c r="AN75" s="712"/>
      <c r="AO75" s="712"/>
      <c r="AP75" s="712"/>
      <c r="AQ75" s="712"/>
      <c r="AR75" s="712"/>
      <c r="AS75" s="693"/>
      <c r="AT75" s="741"/>
      <c r="AU75" s="693"/>
      <c r="AV75" s="741"/>
      <c r="AW75" s="693"/>
      <c r="AX75" s="693"/>
    </row>
    <row r="76" spans="1:50" ht="31.5" x14ac:dyDescent="0.2">
      <c r="A76" s="710" t="s">
        <v>1047</v>
      </c>
      <c r="B76" s="709">
        <v>2330</v>
      </c>
      <c r="C76" s="709">
        <v>853</v>
      </c>
      <c r="D76" s="712">
        <f t="shared" si="42"/>
        <v>50000</v>
      </c>
      <c r="E76" s="712"/>
      <c r="F76" s="712"/>
      <c r="G76" s="712"/>
      <c r="H76" s="712"/>
      <c r="I76" s="712"/>
      <c r="J76" s="712"/>
      <c r="K76" s="712"/>
      <c r="L76" s="712"/>
      <c r="M76" s="712">
        <f>'КВР 850'!C18</f>
        <v>50000</v>
      </c>
      <c r="N76" s="712"/>
      <c r="O76" s="712">
        <f t="shared" si="44"/>
        <v>50000</v>
      </c>
      <c r="P76" s="712"/>
      <c r="Q76" s="712"/>
      <c r="R76" s="712"/>
      <c r="S76" s="712"/>
      <c r="T76" s="712"/>
      <c r="U76" s="712"/>
      <c r="V76" s="712"/>
      <c r="W76" s="712">
        <v>50000</v>
      </c>
      <c r="X76" s="712"/>
      <c r="Y76" s="712">
        <f t="shared" si="45"/>
        <v>50000</v>
      </c>
      <c r="Z76" s="712"/>
      <c r="AA76" s="712"/>
      <c r="AB76" s="712"/>
      <c r="AC76" s="712"/>
      <c r="AD76" s="712"/>
      <c r="AE76" s="712"/>
      <c r="AF76" s="712"/>
      <c r="AG76" s="712">
        <v>50000</v>
      </c>
      <c r="AH76" s="712"/>
      <c r="AI76" s="712"/>
      <c r="AJ76" s="712"/>
      <c r="AK76" s="712"/>
      <c r="AL76" s="712"/>
      <c r="AM76" s="712"/>
      <c r="AN76" s="712"/>
      <c r="AO76" s="712"/>
      <c r="AP76" s="712"/>
      <c r="AQ76" s="712"/>
      <c r="AR76" s="712"/>
      <c r="AS76" s="693"/>
      <c r="AT76" s="741"/>
      <c r="AU76" s="693"/>
      <c r="AV76" s="741"/>
      <c r="AW76" s="693"/>
      <c r="AX76" s="693"/>
    </row>
    <row r="77" spans="1:50" s="724" customFormat="1" ht="31.5" x14ac:dyDescent="0.2">
      <c r="A77" s="720" t="s">
        <v>1048</v>
      </c>
      <c r="B77" s="729">
        <v>2400</v>
      </c>
      <c r="C77" s="729" t="s">
        <v>898</v>
      </c>
      <c r="D77" s="731">
        <f t="shared" si="42"/>
        <v>0</v>
      </c>
      <c r="E77" s="731">
        <f>E78+E79</f>
        <v>0</v>
      </c>
      <c r="F77" s="731">
        <f t="shared" ref="F77:N77" si="50">F78+F79</f>
        <v>0</v>
      </c>
      <c r="G77" s="731">
        <f t="shared" si="50"/>
        <v>0</v>
      </c>
      <c r="H77" s="731">
        <f t="shared" si="50"/>
        <v>0</v>
      </c>
      <c r="I77" s="731">
        <f t="shared" si="50"/>
        <v>0</v>
      </c>
      <c r="J77" s="731">
        <f t="shared" si="50"/>
        <v>0</v>
      </c>
      <c r="K77" s="731">
        <f t="shared" si="50"/>
        <v>0</v>
      </c>
      <c r="L77" s="731">
        <f t="shared" si="50"/>
        <v>0</v>
      </c>
      <c r="M77" s="731">
        <f t="shared" si="50"/>
        <v>0</v>
      </c>
      <c r="N77" s="731">
        <f t="shared" si="50"/>
        <v>0</v>
      </c>
      <c r="O77" s="731">
        <f t="shared" si="44"/>
        <v>0</v>
      </c>
      <c r="P77" s="731">
        <f>P78+P79</f>
        <v>0</v>
      </c>
      <c r="Q77" s="731">
        <f t="shared" ref="Q77:X77" si="51">Q78+Q79</f>
        <v>0</v>
      </c>
      <c r="R77" s="731">
        <f t="shared" si="51"/>
        <v>0</v>
      </c>
      <c r="S77" s="731">
        <f t="shared" si="51"/>
        <v>0</v>
      </c>
      <c r="T77" s="731">
        <f t="shared" si="51"/>
        <v>0</v>
      </c>
      <c r="U77" s="731">
        <f t="shared" si="51"/>
        <v>0</v>
      </c>
      <c r="V77" s="731">
        <f t="shared" si="51"/>
        <v>0</v>
      </c>
      <c r="W77" s="731">
        <f t="shared" si="51"/>
        <v>0</v>
      </c>
      <c r="X77" s="731">
        <f t="shared" si="51"/>
        <v>0</v>
      </c>
      <c r="Y77" s="731">
        <f t="shared" si="45"/>
        <v>0</v>
      </c>
      <c r="Z77" s="731">
        <f>Z78+Z79</f>
        <v>0</v>
      </c>
      <c r="AA77" s="731">
        <f t="shared" ref="AA77:AH77" si="52">AA78+AA79</f>
        <v>0</v>
      </c>
      <c r="AB77" s="731">
        <f t="shared" si="52"/>
        <v>0</v>
      </c>
      <c r="AC77" s="731">
        <f t="shared" si="52"/>
        <v>0</v>
      </c>
      <c r="AD77" s="731">
        <f t="shared" si="52"/>
        <v>0</v>
      </c>
      <c r="AE77" s="731">
        <f t="shared" si="52"/>
        <v>0</v>
      </c>
      <c r="AF77" s="731">
        <f t="shared" si="52"/>
        <v>0</v>
      </c>
      <c r="AG77" s="731">
        <f t="shared" si="52"/>
        <v>0</v>
      </c>
      <c r="AH77" s="731">
        <f t="shared" si="52"/>
        <v>0</v>
      </c>
      <c r="AI77" s="731"/>
      <c r="AJ77" s="731"/>
      <c r="AK77" s="731"/>
      <c r="AL77" s="731"/>
      <c r="AM77" s="731"/>
      <c r="AN77" s="731"/>
      <c r="AO77" s="731"/>
      <c r="AP77" s="731"/>
      <c r="AQ77" s="731"/>
      <c r="AR77" s="731">
        <f t="shared" ref="AR77" si="53">AR78+AR79</f>
        <v>0</v>
      </c>
      <c r="AS77" s="723"/>
      <c r="AT77" s="732"/>
      <c r="AU77" s="723"/>
      <c r="AV77" s="732"/>
      <c r="AW77" s="723"/>
      <c r="AX77" s="723"/>
    </row>
    <row r="78" spans="1:50" ht="47.25" x14ac:dyDescent="0.2">
      <c r="A78" s="710" t="s">
        <v>1049</v>
      </c>
      <c r="B78" s="709">
        <v>2410</v>
      </c>
      <c r="C78" s="709">
        <v>810</v>
      </c>
      <c r="D78" s="712">
        <f t="shared" si="42"/>
        <v>0</v>
      </c>
      <c r="E78" s="712"/>
      <c r="F78" s="712"/>
      <c r="G78" s="712"/>
      <c r="H78" s="712"/>
      <c r="I78" s="712"/>
      <c r="J78" s="712"/>
      <c r="K78" s="712"/>
      <c r="L78" s="712"/>
      <c r="M78" s="712"/>
      <c r="N78" s="712"/>
      <c r="O78" s="712">
        <f t="shared" si="44"/>
        <v>0</v>
      </c>
      <c r="P78" s="712"/>
      <c r="Q78" s="712"/>
      <c r="R78" s="712"/>
      <c r="S78" s="712"/>
      <c r="T78" s="712"/>
      <c r="U78" s="712"/>
      <c r="V78" s="712"/>
      <c r="W78" s="712"/>
      <c r="X78" s="712"/>
      <c r="Y78" s="712">
        <f t="shared" si="45"/>
        <v>0</v>
      </c>
      <c r="Z78" s="712"/>
      <c r="AA78" s="712"/>
      <c r="AB78" s="712"/>
      <c r="AC78" s="712"/>
      <c r="AD78" s="712"/>
      <c r="AE78" s="712"/>
      <c r="AF78" s="712"/>
      <c r="AG78" s="712"/>
      <c r="AH78" s="712"/>
      <c r="AI78" s="712"/>
      <c r="AJ78" s="712"/>
      <c r="AK78" s="712"/>
      <c r="AL78" s="712"/>
      <c r="AM78" s="712"/>
      <c r="AN78" s="712"/>
      <c r="AO78" s="712"/>
      <c r="AP78" s="712"/>
      <c r="AQ78" s="712"/>
      <c r="AR78" s="712"/>
      <c r="AS78" s="693"/>
      <c r="AT78" s="741"/>
      <c r="AU78" s="693"/>
      <c r="AV78" s="741"/>
      <c r="AW78" s="693"/>
      <c r="AX78" s="693"/>
    </row>
    <row r="79" spans="1:50" x14ac:dyDescent="0.2">
      <c r="A79" s="710" t="s">
        <v>1050</v>
      </c>
      <c r="B79" s="709">
        <v>2420</v>
      </c>
      <c r="C79" s="709">
        <v>862</v>
      </c>
      <c r="D79" s="712">
        <f t="shared" si="42"/>
        <v>0</v>
      </c>
      <c r="E79" s="712"/>
      <c r="F79" s="712"/>
      <c r="G79" s="712"/>
      <c r="H79" s="712"/>
      <c r="I79" s="712"/>
      <c r="J79" s="712"/>
      <c r="K79" s="712"/>
      <c r="L79" s="712"/>
      <c r="M79" s="712"/>
      <c r="N79" s="712"/>
      <c r="O79" s="712">
        <f t="shared" si="44"/>
        <v>0</v>
      </c>
      <c r="P79" s="712"/>
      <c r="Q79" s="712"/>
      <c r="R79" s="712"/>
      <c r="S79" s="712"/>
      <c r="T79" s="712"/>
      <c r="U79" s="712"/>
      <c r="V79" s="712"/>
      <c r="W79" s="712"/>
      <c r="X79" s="712"/>
      <c r="Y79" s="712">
        <f t="shared" si="45"/>
        <v>0</v>
      </c>
      <c r="Z79" s="712"/>
      <c r="AA79" s="712"/>
      <c r="AB79" s="712"/>
      <c r="AC79" s="712"/>
      <c r="AD79" s="712"/>
      <c r="AE79" s="712"/>
      <c r="AF79" s="712"/>
      <c r="AG79" s="712"/>
      <c r="AH79" s="712"/>
      <c r="AI79" s="712"/>
      <c r="AJ79" s="712"/>
      <c r="AK79" s="712"/>
      <c r="AL79" s="712"/>
      <c r="AM79" s="712"/>
      <c r="AN79" s="712"/>
      <c r="AO79" s="712"/>
      <c r="AP79" s="712"/>
      <c r="AQ79" s="712"/>
      <c r="AR79" s="712"/>
      <c r="AS79" s="693"/>
      <c r="AT79" s="741"/>
      <c r="AU79" s="693"/>
      <c r="AV79" s="741"/>
      <c r="AW79" s="693"/>
      <c r="AX79" s="693"/>
    </row>
    <row r="80" spans="1:50" s="724" customFormat="1" ht="31.5" x14ac:dyDescent="0.2">
      <c r="A80" s="720" t="s">
        <v>1051</v>
      </c>
      <c r="B80" s="729">
        <v>2500</v>
      </c>
      <c r="C80" s="729" t="s">
        <v>898</v>
      </c>
      <c r="D80" s="731">
        <f t="shared" si="42"/>
        <v>0</v>
      </c>
      <c r="E80" s="731">
        <f>E81</f>
        <v>0</v>
      </c>
      <c r="F80" s="731">
        <f t="shared" ref="F80:N80" si="54">F81</f>
        <v>0</v>
      </c>
      <c r="G80" s="731">
        <f t="shared" si="54"/>
        <v>0</v>
      </c>
      <c r="H80" s="731">
        <f t="shared" si="54"/>
        <v>0</v>
      </c>
      <c r="I80" s="731">
        <f t="shared" si="54"/>
        <v>0</v>
      </c>
      <c r="J80" s="731">
        <f t="shared" si="54"/>
        <v>0</v>
      </c>
      <c r="K80" s="731">
        <f t="shared" si="54"/>
        <v>0</v>
      </c>
      <c r="L80" s="731">
        <f t="shared" si="54"/>
        <v>0</v>
      </c>
      <c r="M80" s="731">
        <f t="shared" si="54"/>
        <v>0</v>
      </c>
      <c r="N80" s="731">
        <f t="shared" si="54"/>
        <v>0</v>
      </c>
      <c r="O80" s="731">
        <f t="shared" si="44"/>
        <v>0</v>
      </c>
      <c r="P80" s="731">
        <f>P81</f>
        <v>0</v>
      </c>
      <c r="Q80" s="731">
        <f t="shared" ref="Q80:X80" si="55">Q81</f>
        <v>0</v>
      </c>
      <c r="R80" s="731">
        <f t="shared" si="55"/>
        <v>0</v>
      </c>
      <c r="S80" s="731">
        <f t="shared" si="55"/>
        <v>0</v>
      </c>
      <c r="T80" s="731">
        <f t="shared" si="55"/>
        <v>0</v>
      </c>
      <c r="U80" s="731">
        <f t="shared" si="55"/>
        <v>0</v>
      </c>
      <c r="V80" s="731">
        <f t="shared" si="55"/>
        <v>0</v>
      </c>
      <c r="W80" s="731">
        <f t="shared" si="55"/>
        <v>0</v>
      </c>
      <c r="X80" s="731">
        <f t="shared" si="55"/>
        <v>0</v>
      </c>
      <c r="Y80" s="731">
        <f t="shared" si="45"/>
        <v>0</v>
      </c>
      <c r="Z80" s="731">
        <f>Z81</f>
        <v>0</v>
      </c>
      <c r="AA80" s="731">
        <f t="shared" ref="AA80:AH80" si="56">AA81</f>
        <v>0</v>
      </c>
      <c r="AB80" s="731">
        <f t="shared" si="56"/>
        <v>0</v>
      </c>
      <c r="AC80" s="731">
        <f t="shared" si="56"/>
        <v>0</v>
      </c>
      <c r="AD80" s="731">
        <f t="shared" si="56"/>
        <v>0</v>
      </c>
      <c r="AE80" s="731">
        <f t="shared" si="56"/>
        <v>0</v>
      </c>
      <c r="AF80" s="731">
        <f t="shared" si="56"/>
        <v>0</v>
      </c>
      <c r="AG80" s="731">
        <f t="shared" si="56"/>
        <v>0</v>
      </c>
      <c r="AH80" s="731">
        <f t="shared" si="56"/>
        <v>0</v>
      </c>
      <c r="AI80" s="731"/>
      <c r="AJ80" s="731"/>
      <c r="AK80" s="731"/>
      <c r="AL80" s="731"/>
      <c r="AM80" s="731"/>
      <c r="AN80" s="731"/>
      <c r="AO80" s="731"/>
      <c r="AP80" s="731"/>
      <c r="AQ80" s="731"/>
      <c r="AR80" s="731">
        <f t="shared" ref="AR80" si="57">AR81</f>
        <v>0</v>
      </c>
      <c r="AS80" s="723"/>
      <c r="AT80" s="732"/>
      <c r="AU80" s="723"/>
      <c r="AV80" s="732"/>
      <c r="AW80" s="723"/>
      <c r="AX80" s="723"/>
    </row>
    <row r="81" spans="1:50" ht="47.25" x14ac:dyDescent="0.2">
      <c r="A81" s="710" t="s">
        <v>1052</v>
      </c>
      <c r="B81" s="709">
        <v>252</v>
      </c>
      <c r="C81" s="709">
        <v>831</v>
      </c>
      <c r="D81" s="712">
        <f t="shared" si="42"/>
        <v>0</v>
      </c>
      <c r="E81" s="712"/>
      <c r="F81" s="712"/>
      <c r="G81" s="712"/>
      <c r="H81" s="712"/>
      <c r="I81" s="712"/>
      <c r="J81" s="712"/>
      <c r="K81" s="712"/>
      <c r="L81" s="712"/>
      <c r="M81" s="712"/>
      <c r="N81" s="712"/>
      <c r="O81" s="712">
        <f t="shared" si="44"/>
        <v>0</v>
      </c>
      <c r="P81" s="712"/>
      <c r="Q81" s="712"/>
      <c r="R81" s="712"/>
      <c r="S81" s="712"/>
      <c r="T81" s="712"/>
      <c r="U81" s="712"/>
      <c r="V81" s="712"/>
      <c r="W81" s="712"/>
      <c r="X81" s="712"/>
      <c r="Y81" s="712">
        <f t="shared" si="45"/>
        <v>0</v>
      </c>
      <c r="Z81" s="712"/>
      <c r="AA81" s="712"/>
      <c r="AB81" s="712"/>
      <c r="AC81" s="712"/>
      <c r="AD81" s="712"/>
      <c r="AE81" s="712"/>
      <c r="AF81" s="712"/>
      <c r="AG81" s="712"/>
      <c r="AH81" s="712"/>
      <c r="AI81" s="712"/>
      <c r="AJ81" s="712"/>
      <c r="AK81" s="712"/>
      <c r="AL81" s="712"/>
      <c r="AM81" s="712"/>
      <c r="AN81" s="712"/>
      <c r="AO81" s="712"/>
      <c r="AP81" s="712"/>
      <c r="AQ81" s="712"/>
      <c r="AR81" s="712"/>
      <c r="AS81" s="693"/>
      <c r="AT81" s="741"/>
      <c r="AU81" s="693"/>
      <c r="AV81" s="741"/>
      <c r="AW81" s="693"/>
      <c r="AX81" s="693"/>
    </row>
    <row r="82" spans="1:50" s="724" customFormat="1" ht="18.75" x14ac:dyDescent="0.2">
      <c r="A82" s="720" t="s">
        <v>1053</v>
      </c>
      <c r="B82" s="729">
        <v>2600</v>
      </c>
      <c r="C82" s="729" t="s">
        <v>898</v>
      </c>
      <c r="D82" s="731">
        <f t="shared" si="42"/>
        <v>16280000</v>
      </c>
      <c r="E82" s="731">
        <f>E83+E84+E85+E86</f>
        <v>6969900</v>
      </c>
      <c r="F82" s="731">
        <f t="shared" ref="F82:N82" si="58">F83+F84+F85+F86</f>
        <v>103100</v>
      </c>
      <c r="G82" s="731">
        <f t="shared" si="58"/>
        <v>0</v>
      </c>
      <c r="H82" s="731">
        <f t="shared" si="58"/>
        <v>0</v>
      </c>
      <c r="I82" s="731">
        <f t="shared" si="58"/>
        <v>0</v>
      </c>
      <c r="J82" s="731">
        <f t="shared" si="58"/>
        <v>224900</v>
      </c>
      <c r="K82" s="731">
        <f t="shared" si="58"/>
        <v>0</v>
      </c>
      <c r="L82" s="731">
        <f t="shared" si="58"/>
        <v>60900</v>
      </c>
      <c r="M82" s="731">
        <f t="shared" si="58"/>
        <v>8921200</v>
      </c>
      <c r="N82" s="731">
        <f t="shared" si="58"/>
        <v>0</v>
      </c>
      <c r="O82" s="731">
        <f t="shared" si="44"/>
        <v>15901500</v>
      </c>
      <c r="P82" s="731">
        <f>P83+P84+P85+P86</f>
        <v>6877200</v>
      </c>
      <c r="Q82" s="731">
        <f t="shared" ref="Q82:X82" si="59">Q83+Q84+Q85+Q86</f>
        <v>103100</v>
      </c>
      <c r="R82" s="731">
        <f t="shared" si="59"/>
        <v>0</v>
      </c>
      <c r="S82" s="731">
        <f t="shared" si="59"/>
        <v>0</v>
      </c>
      <c r="T82" s="731">
        <f t="shared" si="59"/>
        <v>0</v>
      </c>
      <c r="U82" s="731">
        <f t="shared" si="59"/>
        <v>0</v>
      </c>
      <c r="V82" s="731">
        <f t="shared" si="59"/>
        <v>0</v>
      </c>
      <c r="W82" s="731">
        <f t="shared" si="59"/>
        <v>8921200</v>
      </c>
      <c r="X82" s="731">
        <f t="shared" si="59"/>
        <v>0</v>
      </c>
      <c r="Y82" s="731">
        <f t="shared" si="45"/>
        <v>15961900</v>
      </c>
      <c r="Z82" s="731">
        <f>Z83+Z84+Z85+Z86</f>
        <v>6937600</v>
      </c>
      <c r="AA82" s="731">
        <f t="shared" ref="AA82:AH82" si="60">AA83+AA84+AA85+AA86</f>
        <v>103100</v>
      </c>
      <c r="AB82" s="731">
        <f t="shared" si="60"/>
        <v>0</v>
      </c>
      <c r="AC82" s="731">
        <f t="shared" si="60"/>
        <v>0</v>
      </c>
      <c r="AD82" s="731">
        <f t="shared" si="60"/>
        <v>0</v>
      </c>
      <c r="AE82" s="731">
        <f t="shared" si="60"/>
        <v>0</v>
      </c>
      <c r="AF82" s="731">
        <f t="shared" si="60"/>
        <v>0</v>
      </c>
      <c r="AG82" s="731">
        <f t="shared" si="60"/>
        <v>8921200</v>
      </c>
      <c r="AH82" s="731">
        <f t="shared" si="60"/>
        <v>0</v>
      </c>
      <c r="AI82" s="731"/>
      <c r="AJ82" s="731"/>
      <c r="AK82" s="731"/>
      <c r="AL82" s="731"/>
      <c r="AM82" s="731"/>
      <c r="AN82" s="731"/>
      <c r="AO82" s="731"/>
      <c r="AP82" s="731"/>
      <c r="AQ82" s="731"/>
      <c r="AR82" s="731">
        <f t="shared" ref="AR82" si="61">AR83+AR84+AR85+AR86</f>
        <v>0</v>
      </c>
      <c r="AS82" s="723"/>
      <c r="AT82" s="732"/>
      <c r="AU82" s="723"/>
      <c r="AV82" s="732"/>
      <c r="AW82" s="723"/>
      <c r="AX82" s="723"/>
    </row>
    <row r="83" spans="1:50" ht="47.25" x14ac:dyDescent="0.2">
      <c r="A83" s="710" t="s">
        <v>1054</v>
      </c>
      <c r="B83" s="709">
        <v>2610</v>
      </c>
      <c r="C83" s="709">
        <v>241</v>
      </c>
      <c r="D83" s="712">
        <f t="shared" si="42"/>
        <v>0</v>
      </c>
      <c r="E83" s="712"/>
      <c r="F83" s="712"/>
      <c r="G83" s="712"/>
      <c r="H83" s="712"/>
      <c r="I83" s="712"/>
      <c r="J83" s="712"/>
      <c r="K83" s="712"/>
      <c r="L83" s="712"/>
      <c r="M83" s="712"/>
      <c r="N83" s="712"/>
      <c r="O83" s="712">
        <f t="shared" si="44"/>
        <v>0</v>
      </c>
      <c r="P83" s="712"/>
      <c r="Q83" s="712"/>
      <c r="R83" s="712"/>
      <c r="S83" s="712"/>
      <c r="T83" s="712"/>
      <c r="U83" s="712"/>
      <c r="V83" s="712"/>
      <c r="W83" s="712"/>
      <c r="X83" s="712"/>
      <c r="Y83" s="712">
        <f t="shared" si="45"/>
        <v>0</v>
      </c>
      <c r="Z83" s="712"/>
      <c r="AA83" s="712"/>
      <c r="AB83" s="712"/>
      <c r="AC83" s="712"/>
      <c r="AD83" s="712"/>
      <c r="AE83" s="712"/>
      <c r="AF83" s="712"/>
      <c r="AG83" s="712"/>
      <c r="AH83" s="712"/>
      <c r="AI83" s="712"/>
      <c r="AJ83" s="712"/>
      <c r="AK83" s="712"/>
      <c r="AL83" s="712"/>
      <c r="AM83" s="712"/>
      <c r="AN83" s="712"/>
      <c r="AO83" s="712"/>
      <c r="AP83" s="712"/>
      <c r="AQ83" s="712"/>
      <c r="AR83" s="712"/>
      <c r="AS83" s="693"/>
      <c r="AT83" s="741"/>
      <c r="AU83" s="693"/>
      <c r="AV83" s="741"/>
      <c r="AW83" s="693"/>
      <c r="AX83" s="693"/>
    </row>
    <row r="84" spans="1:50" ht="31.5" x14ac:dyDescent="0.2">
      <c r="A84" s="710" t="s">
        <v>1055</v>
      </c>
      <c r="B84" s="709">
        <v>2620</v>
      </c>
      <c r="C84" s="709">
        <v>242</v>
      </c>
      <c r="D84" s="712">
        <f t="shared" si="42"/>
        <v>0</v>
      </c>
      <c r="E84" s="712"/>
      <c r="F84" s="712"/>
      <c r="G84" s="712"/>
      <c r="H84" s="712"/>
      <c r="I84" s="712"/>
      <c r="J84" s="712"/>
      <c r="K84" s="712"/>
      <c r="L84" s="712"/>
      <c r="M84" s="712"/>
      <c r="N84" s="712"/>
      <c r="O84" s="712">
        <f t="shared" si="44"/>
        <v>0</v>
      </c>
      <c r="P84" s="712"/>
      <c r="Q84" s="712"/>
      <c r="R84" s="712"/>
      <c r="S84" s="712"/>
      <c r="T84" s="712"/>
      <c r="U84" s="712"/>
      <c r="V84" s="712"/>
      <c r="W84" s="712"/>
      <c r="X84" s="712"/>
      <c r="Y84" s="712">
        <f t="shared" si="45"/>
        <v>0</v>
      </c>
      <c r="Z84" s="712"/>
      <c r="AA84" s="712"/>
      <c r="AB84" s="712"/>
      <c r="AC84" s="712"/>
      <c r="AD84" s="712"/>
      <c r="AE84" s="712"/>
      <c r="AF84" s="712"/>
      <c r="AG84" s="712"/>
      <c r="AH84" s="712"/>
      <c r="AI84" s="712"/>
      <c r="AJ84" s="712"/>
      <c r="AK84" s="712"/>
      <c r="AL84" s="712"/>
      <c r="AM84" s="712"/>
      <c r="AN84" s="712"/>
      <c r="AO84" s="712"/>
      <c r="AP84" s="712"/>
      <c r="AQ84" s="712"/>
      <c r="AR84" s="712"/>
      <c r="AS84" s="693"/>
      <c r="AT84" s="741"/>
      <c r="AU84" s="693"/>
      <c r="AV84" s="741"/>
      <c r="AW84" s="693"/>
      <c r="AX84" s="693"/>
    </row>
    <row r="85" spans="1:50" ht="31.5" x14ac:dyDescent="0.2">
      <c r="A85" s="710" t="s">
        <v>1056</v>
      </c>
      <c r="B85" s="709">
        <v>2630</v>
      </c>
      <c r="C85" s="709">
        <v>243</v>
      </c>
      <c r="D85" s="712">
        <f t="shared" si="42"/>
        <v>0</v>
      </c>
      <c r="E85" s="712"/>
      <c r="F85" s="712"/>
      <c r="G85" s="712"/>
      <c r="H85" s="712"/>
      <c r="I85" s="712"/>
      <c r="J85" s="712"/>
      <c r="K85" s="712"/>
      <c r="L85" s="712"/>
      <c r="M85" s="712"/>
      <c r="N85" s="712"/>
      <c r="O85" s="712">
        <f t="shared" si="44"/>
        <v>0</v>
      </c>
      <c r="P85" s="712"/>
      <c r="Q85" s="712"/>
      <c r="R85" s="712"/>
      <c r="S85" s="712"/>
      <c r="T85" s="712"/>
      <c r="U85" s="712"/>
      <c r="V85" s="712"/>
      <c r="W85" s="712"/>
      <c r="X85" s="712"/>
      <c r="Y85" s="712">
        <f t="shared" si="45"/>
        <v>0</v>
      </c>
      <c r="Z85" s="712"/>
      <c r="AA85" s="712"/>
      <c r="AB85" s="712"/>
      <c r="AC85" s="712"/>
      <c r="AD85" s="712"/>
      <c r="AE85" s="712"/>
      <c r="AF85" s="712"/>
      <c r="AG85" s="712"/>
      <c r="AH85" s="712"/>
      <c r="AI85" s="712"/>
      <c r="AJ85" s="712"/>
      <c r="AK85" s="712"/>
      <c r="AL85" s="712"/>
      <c r="AM85" s="712"/>
      <c r="AN85" s="712"/>
      <c r="AO85" s="712"/>
      <c r="AP85" s="712"/>
      <c r="AQ85" s="712"/>
      <c r="AR85" s="712"/>
      <c r="AS85" s="693"/>
      <c r="AT85" s="741"/>
      <c r="AU85" s="693"/>
      <c r="AV85" s="741"/>
      <c r="AW85" s="693"/>
      <c r="AX85" s="693"/>
    </row>
    <row r="86" spans="1:50" x14ac:dyDescent="0.2">
      <c r="A86" s="710" t="s">
        <v>1057</v>
      </c>
      <c r="B86" s="709">
        <v>2640</v>
      </c>
      <c r="C86" s="709">
        <v>244</v>
      </c>
      <c r="D86" s="712">
        <f t="shared" si="42"/>
        <v>16280000</v>
      </c>
      <c r="E86" s="712">
        <f>'субс РК КВР 244 (01.01.20)'!C33</f>
        <v>6969900</v>
      </c>
      <c r="F86" s="712">
        <f>'субс РТ КВР 244 (01.01.20)'!C10</f>
        <v>103100</v>
      </c>
      <c r="G86" s="712"/>
      <c r="H86" s="712">
        <f>'СПЖ КВР 244 (01.01.20)'!C10</f>
        <v>0</v>
      </c>
      <c r="I86" s="712"/>
      <c r="J86" s="712">
        <f>'75 лет КВР 244 (01.01.20)'!C10</f>
        <v>224900</v>
      </c>
      <c r="K86" s="712">
        <f>'ЖКХ КВР 244 (01.01.20)'!C18</f>
        <v>0</v>
      </c>
      <c r="L86" s="712">
        <f>L88</f>
        <v>60900</v>
      </c>
      <c r="M86" s="712">
        <f>'внеб КВР 244'!C30</f>
        <v>8921200</v>
      </c>
      <c r="N86" s="712"/>
      <c r="O86" s="712">
        <f t="shared" si="44"/>
        <v>15901500</v>
      </c>
      <c r="P86" s="712">
        <f>'субс РК КВР 244 (01.01.20)'!D10</f>
        <v>6877200</v>
      </c>
      <c r="Q86" s="712">
        <f>'субс РТ КВР 244 (01.01.20)'!D10</f>
        <v>103100</v>
      </c>
      <c r="R86" s="712"/>
      <c r="S86" s="712">
        <f>'СПЖ КВР 244 (01.01.20)'!D10</f>
        <v>0</v>
      </c>
      <c r="T86" s="712"/>
      <c r="U86" s="712"/>
      <c r="V86" s="712">
        <f>V88</f>
        <v>0</v>
      </c>
      <c r="W86" s="712">
        <v>8921200</v>
      </c>
      <c r="X86" s="712"/>
      <c r="Y86" s="712">
        <f t="shared" si="45"/>
        <v>15961900</v>
      </c>
      <c r="Z86" s="712">
        <f>'субс РК КВР 244 (01.01.20)'!E33</f>
        <v>6937600</v>
      </c>
      <c r="AA86" s="712">
        <f>'субс РТ КВР 244 (01.01.20)'!D10</f>
        <v>103100</v>
      </c>
      <c r="AB86" s="712"/>
      <c r="AC86" s="712">
        <f>'СПЖ КВР 244 (01.01.20)'!E10</f>
        <v>0</v>
      </c>
      <c r="AD86" s="712"/>
      <c r="AE86" s="712"/>
      <c r="AF86" s="712">
        <f>AF88</f>
        <v>0</v>
      </c>
      <c r="AG86" s="712">
        <v>8921200</v>
      </c>
      <c r="AH86" s="712"/>
      <c r="AI86" s="712"/>
      <c r="AJ86" s="712"/>
      <c r="AK86" s="712"/>
      <c r="AL86" s="712"/>
      <c r="AM86" s="712"/>
      <c r="AN86" s="712"/>
      <c r="AO86" s="712"/>
      <c r="AP86" s="712"/>
      <c r="AQ86" s="712"/>
      <c r="AR86" s="712"/>
      <c r="AS86" s="693"/>
      <c r="AT86" s="741"/>
      <c r="AU86" s="693"/>
      <c r="AV86" s="741"/>
      <c r="AW86" s="693"/>
      <c r="AX86" s="693"/>
    </row>
    <row r="87" spans="1:50" x14ac:dyDescent="0.2">
      <c r="A87" s="710" t="s">
        <v>835</v>
      </c>
      <c r="B87" s="709"/>
      <c r="C87" s="709"/>
      <c r="D87" s="712"/>
      <c r="E87" s="712"/>
      <c r="F87" s="712"/>
      <c r="G87" s="712"/>
      <c r="H87" s="712"/>
      <c r="I87" s="712"/>
      <c r="J87" s="712"/>
      <c r="K87" s="712"/>
      <c r="L87" s="712"/>
      <c r="M87" s="712"/>
      <c r="N87" s="712"/>
      <c r="O87" s="712"/>
      <c r="P87" s="712"/>
      <c r="Q87" s="712"/>
      <c r="R87" s="712"/>
      <c r="S87" s="712"/>
      <c r="T87" s="712"/>
      <c r="U87" s="712"/>
      <c r="V87" s="712"/>
      <c r="W87" s="712"/>
      <c r="X87" s="712"/>
      <c r="Y87" s="712">
        <f t="shared" si="45"/>
        <v>0</v>
      </c>
      <c r="Z87" s="712"/>
      <c r="AA87" s="712"/>
      <c r="AB87" s="712"/>
      <c r="AC87" s="712"/>
      <c r="AD87" s="712"/>
      <c r="AE87" s="712"/>
      <c r="AF87" s="712"/>
      <c r="AG87" s="712"/>
      <c r="AH87" s="712"/>
      <c r="AI87" s="712"/>
      <c r="AJ87" s="712"/>
      <c r="AK87" s="712"/>
      <c r="AL87" s="712"/>
      <c r="AM87" s="712"/>
      <c r="AN87" s="712"/>
      <c r="AO87" s="712"/>
      <c r="AP87" s="712"/>
      <c r="AQ87" s="712"/>
      <c r="AR87" s="712"/>
      <c r="AS87" s="693"/>
      <c r="AT87" s="741"/>
      <c r="AU87" s="693"/>
      <c r="AV87" s="741"/>
      <c r="AW87" s="693"/>
      <c r="AX87" s="693"/>
    </row>
    <row r="88" spans="1:50" ht="31.5" x14ac:dyDescent="0.2">
      <c r="A88" s="3099" t="s">
        <v>1058</v>
      </c>
      <c r="B88" s="709">
        <v>2650</v>
      </c>
      <c r="C88" s="709">
        <v>400</v>
      </c>
      <c r="D88" s="712">
        <f>SUM(E88:N88)</f>
        <v>388000</v>
      </c>
      <c r="E88" s="712">
        <f>'субс РК КВР 244 (01.01.20)'!C28</f>
        <v>115600</v>
      </c>
      <c r="F88" s="712">
        <f>'субс РТ КВР 244 (01.01.20)'!C28</f>
        <v>0</v>
      </c>
      <c r="G88" s="712"/>
      <c r="H88" s="712"/>
      <c r="I88" s="712"/>
      <c r="J88" s="712">
        <f>'75 лет КВР 244 (01.01.20)'!C28</f>
        <v>56500</v>
      </c>
      <c r="K88" s="712"/>
      <c r="L88" s="712">
        <f>'(81600) КВР 244 (01.01.20)'!C10</f>
        <v>60900</v>
      </c>
      <c r="M88" s="712">
        <f>'внеб КВР 244'!C26</f>
        <v>155000</v>
      </c>
      <c r="N88" s="712"/>
      <c r="O88" s="712">
        <f t="shared" ref="O88:O97" si="62">SUM(P88:X88)</f>
        <v>155000</v>
      </c>
      <c r="P88" s="712">
        <f>'субс РК КВР 244 (01.01.20)'!D28</f>
        <v>0</v>
      </c>
      <c r="Q88" s="712">
        <f>'субс РТ КВР 244 (01.01.20)'!D28</f>
        <v>0</v>
      </c>
      <c r="R88" s="712"/>
      <c r="S88" s="712"/>
      <c r="T88" s="712"/>
      <c r="U88" s="712"/>
      <c r="V88" s="712">
        <f>'(81600) КВР 244 (01.01.20)'!D10</f>
        <v>0</v>
      </c>
      <c r="W88" s="712">
        <v>155000</v>
      </c>
      <c r="X88" s="712"/>
      <c r="Y88" s="712">
        <f t="shared" si="45"/>
        <v>155000</v>
      </c>
      <c r="Z88" s="712">
        <v>0</v>
      </c>
      <c r="AA88" s="712">
        <f>'субс РТ КВР 244 (01.01.20)'!E28</f>
        <v>0</v>
      </c>
      <c r="AB88" s="712"/>
      <c r="AC88" s="712"/>
      <c r="AD88" s="712"/>
      <c r="AE88" s="712"/>
      <c r="AF88" s="712">
        <f>'(81600) КВР 244 (01.01.20)'!E10</f>
        <v>0</v>
      </c>
      <c r="AG88" s="712">
        <v>155000</v>
      </c>
      <c r="AH88" s="712"/>
      <c r="AI88" s="712"/>
      <c r="AJ88" s="712"/>
      <c r="AK88" s="712"/>
      <c r="AL88" s="712"/>
      <c r="AM88" s="712"/>
      <c r="AN88" s="712"/>
      <c r="AO88" s="712"/>
      <c r="AP88" s="712"/>
      <c r="AQ88" s="712"/>
      <c r="AR88" s="712"/>
      <c r="AS88" s="693"/>
      <c r="AT88" s="741"/>
      <c r="AU88" s="693"/>
      <c r="AV88" s="741"/>
      <c r="AW88" s="693"/>
      <c r="AX88" s="693"/>
    </row>
    <row r="89" spans="1:50" ht="55.5" customHeight="1" x14ac:dyDescent="0.2">
      <c r="A89" s="752" t="s">
        <v>1059</v>
      </c>
      <c r="B89" s="709">
        <v>2651</v>
      </c>
      <c r="C89" s="709">
        <v>406</v>
      </c>
      <c r="D89" s="712"/>
      <c r="E89" s="712"/>
      <c r="F89" s="712"/>
      <c r="G89" s="712"/>
      <c r="H89" s="712"/>
      <c r="I89" s="712"/>
      <c r="J89" s="712"/>
      <c r="K89" s="712"/>
      <c r="L89" s="712"/>
      <c r="M89" s="712"/>
      <c r="N89" s="712"/>
      <c r="O89" s="712">
        <f t="shared" si="62"/>
        <v>0</v>
      </c>
      <c r="P89" s="712"/>
      <c r="Q89" s="712"/>
      <c r="R89" s="712"/>
      <c r="S89" s="712"/>
      <c r="T89" s="712"/>
      <c r="U89" s="712"/>
      <c r="V89" s="712"/>
      <c r="W89" s="712"/>
      <c r="X89" s="712"/>
      <c r="Y89" s="712">
        <f t="shared" si="45"/>
        <v>0</v>
      </c>
      <c r="Z89" s="712"/>
      <c r="AA89" s="712"/>
      <c r="AB89" s="712"/>
      <c r="AC89" s="712"/>
      <c r="AD89" s="712"/>
      <c r="AE89" s="712"/>
      <c r="AF89" s="712"/>
      <c r="AG89" s="712"/>
      <c r="AH89" s="712"/>
      <c r="AI89" s="712"/>
      <c r="AJ89" s="712"/>
      <c r="AK89" s="712"/>
      <c r="AL89" s="712"/>
      <c r="AM89" s="712"/>
      <c r="AN89" s="712"/>
      <c r="AO89" s="712"/>
      <c r="AP89" s="712"/>
      <c r="AQ89" s="712"/>
      <c r="AR89" s="712"/>
      <c r="AS89" s="693"/>
      <c r="AT89" s="741"/>
      <c r="AU89" s="693"/>
      <c r="AV89" s="741"/>
      <c r="AW89" s="693"/>
      <c r="AX89" s="693"/>
    </row>
    <row r="90" spans="1:50" ht="31.5" x14ac:dyDescent="0.2">
      <c r="A90" s="710" t="s">
        <v>1060</v>
      </c>
      <c r="B90" s="709">
        <v>2652</v>
      </c>
      <c r="C90" s="709">
        <v>407</v>
      </c>
      <c r="D90" s="712"/>
      <c r="E90" s="712"/>
      <c r="F90" s="712"/>
      <c r="G90" s="712"/>
      <c r="H90" s="712"/>
      <c r="I90" s="712"/>
      <c r="J90" s="712"/>
      <c r="K90" s="712"/>
      <c r="L90" s="712"/>
      <c r="M90" s="712"/>
      <c r="N90" s="712"/>
      <c r="O90" s="712">
        <f t="shared" si="62"/>
        <v>0</v>
      </c>
      <c r="P90" s="712"/>
      <c r="Q90" s="712"/>
      <c r="R90" s="712"/>
      <c r="S90" s="712"/>
      <c r="T90" s="712"/>
      <c r="U90" s="712"/>
      <c r="V90" s="712"/>
      <c r="W90" s="712"/>
      <c r="X90" s="712"/>
      <c r="Y90" s="712">
        <f t="shared" si="45"/>
        <v>0</v>
      </c>
      <c r="Z90" s="712"/>
      <c r="AA90" s="712"/>
      <c r="AB90" s="712"/>
      <c r="AC90" s="712"/>
      <c r="AD90" s="712"/>
      <c r="AE90" s="712"/>
      <c r="AF90" s="712"/>
      <c r="AG90" s="712"/>
      <c r="AH90" s="712"/>
      <c r="AI90" s="712"/>
      <c r="AJ90" s="712"/>
      <c r="AK90" s="712"/>
      <c r="AL90" s="712"/>
      <c r="AM90" s="712"/>
      <c r="AN90" s="712"/>
      <c r="AO90" s="712"/>
      <c r="AP90" s="712"/>
      <c r="AQ90" s="712"/>
      <c r="AR90" s="712"/>
      <c r="AS90" s="693"/>
      <c r="AT90" s="741"/>
      <c r="AU90" s="693"/>
      <c r="AV90" s="741"/>
      <c r="AW90" s="693"/>
      <c r="AX90" s="693"/>
    </row>
    <row r="91" spans="1:50" s="724" customFormat="1" ht="30.75" customHeight="1" x14ac:dyDescent="0.2">
      <c r="A91" s="720" t="s">
        <v>1061</v>
      </c>
      <c r="B91" s="729">
        <v>3000</v>
      </c>
      <c r="C91" s="729">
        <v>100</v>
      </c>
      <c r="D91" s="731">
        <f t="shared" ref="D91:D96" si="63">SUM(E91:N91)</f>
        <v>0</v>
      </c>
      <c r="E91" s="731">
        <f>E92+E93+E94</f>
        <v>0</v>
      </c>
      <c r="F91" s="731">
        <f t="shared" ref="F91:N91" si="64">F92+F93+F94</f>
        <v>0</v>
      </c>
      <c r="G91" s="731">
        <f t="shared" si="64"/>
        <v>0</v>
      </c>
      <c r="H91" s="731">
        <f t="shared" si="64"/>
        <v>0</v>
      </c>
      <c r="I91" s="731">
        <f t="shared" si="64"/>
        <v>0</v>
      </c>
      <c r="J91" s="731">
        <f t="shared" si="64"/>
        <v>0</v>
      </c>
      <c r="K91" s="731">
        <f t="shared" si="64"/>
        <v>0</v>
      </c>
      <c r="L91" s="731">
        <f t="shared" si="64"/>
        <v>0</v>
      </c>
      <c r="M91" s="731">
        <f t="shared" si="64"/>
        <v>0</v>
      </c>
      <c r="N91" s="731">
        <f t="shared" si="64"/>
        <v>0</v>
      </c>
      <c r="O91" s="731">
        <f t="shared" si="62"/>
        <v>0</v>
      </c>
      <c r="P91" s="731">
        <f>P92+P93+P94</f>
        <v>0</v>
      </c>
      <c r="Q91" s="731">
        <f t="shared" ref="Q91:X91" si="65">Q92+Q93+Q94</f>
        <v>0</v>
      </c>
      <c r="R91" s="731">
        <f t="shared" si="65"/>
        <v>0</v>
      </c>
      <c r="S91" s="731">
        <f t="shared" si="65"/>
        <v>0</v>
      </c>
      <c r="T91" s="731">
        <f t="shared" si="65"/>
        <v>0</v>
      </c>
      <c r="U91" s="731">
        <f t="shared" si="65"/>
        <v>0</v>
      </c>
      <c r="V91" s="731">
        <f t="shared" si="65"/>
        <v>0</v>
      </c>
      <c r="W91" s="731">
        <f t="shared" si="65"/>
        <v>0</v>
      </c>
      <c r="X91" s="731">
        <f t="shared" si="65"/>
        <v>0</v>
      </c>
      <c r="Y91" s="731">
        <f t="shared" si="45"/>
        <v>0</v>
      </c>
      <c r="Z91" s="731">
        <f>Z92+Z93+Z94</f>
        <v>0</v>
      </c>
      <c r="AA91" s="731">
        <f t="shared" ref="AA91:AH91" si="66">AA92+AA93+AA94</f>
        <v>0</v>
      </c>
      <c r="AB91" s="731">
        <f t="shared" si="66"/>
        <v>0</v>
      </c>
      <c r="AC91" s="731">
        <f t="shared" si="66"/>
        <v>0</v>
      </c>
      <c r="AD91" s="731">
        <f t="shared" si="66"/>
        <v>0</v>
      </c>
      <c r="AE91" s="731">
        <f t="shared" si="66"/>
        <v>0</v>
      </c>
      <c r="AF91" s="731">
        <f t="shared" si="66"/>
        <v>0</v>
      </c>
      <c r="AG91" s="731">
        <f t="shared" si="66"/>
        <v>0</v>
      </c>
      <c r="AH91" s="731">
        <f t="shared" si="66"/>
        <v>0</v>
      </c>
      <c r="AI91" s="731"/>
      <c r="AJ91" s="731"/>
      <c r="AK91" s="731"/>
      <c r="AL91" s="731"/>
      <c r="AM91" s="731"/>
      <c r="AN91" s="731"/>
      <c r="AO91" s="731"/>
      <c r="AP91" s="731"/>
      <c r="AQ91" s="731"/>
      <c r="AR91" s="731">
        <f t="shared" ref="AR91" si="67">AR92+AR93+AR94</f>
        <v>0</v>
      </c>
      <c r="AS91" s="723"/>
      <c r="AT91" s="732"/>
      <c r="AU91" s="723"/>
      <c r="AV91" s="732"/>
      <c r="AW91" s="723"/>
      <c r="AX91" s="723"/>
    </row>
    <row r="92" spans="1:50" ht="44.25" customHeight="1" x14ac:dyDescent="0.2">
      <c r="A92" s="710" t="s">
        <v>1062</v>
      </c>
      <c r="B92" s="709">
        <v>3010</v>
      </c>
      <c r="C92" s="709"/>
      <c r="D92" s="712">
        <f t="shared" si="63"/>
        <v>0</v>
      </c>
      <c r="E92" s="712"/>
      <c r="F92" s="712"/>
      <c r="G92" s="712"/>
      <c r="H92" s="712"/>
      <c r="I92" s="712"/>
      <c r="J92" s="712"/>
      <c r="K92" s="712"/>
      <c r="L92" s="712"/>
      <c r="M92" s="712"/>
      <c r="N92" s="712"/>
      <c r="O92" s="712">
        <f t="shared" si="62"/>
        <v>0</v>
      </c>
      <c r="P92" s="712"/>
      <c r="Q92" s="712"/>
      <c r="R92" s="712"/>
      <c r="S92" s="712"/>
      <c r="T92" s="712"/>
      <c r="U92" s="712"/>
      <c r="V92" s="712"/>
      <c r="W92" s="712"/>
      <c r="X92" s="712"/>
      <c r="Y92" s="712">
        <f t="shared" si="45"/>
        <v>0</v>
      </c>
      <c r="Z92" s="712"/>
      <c r="AA92" s="712"/>
      <c r="AB92" s="712"/>
      <c r="AC92" s="712"/>
      <c r="AD92" s="712"/>
      <c r="AE92" s="712"/>
      <c r="AF92" s="712"/>
      <c r="AG92" s="712"/>
      <c r="AH92" s="712"/>
      <c r="AI92" s="712">
        <f t="shared" ref="AI92:AI96" si="68">SUM(AJ92:AR92)</f>
        <v>0</v>
      </c>
      <c r="AJ92" s="712"/>
      <c r="AK92" s="712"/>
      <c r="AL92" s="712"/>
      <c r="AM92" s="712"/>
      <c r="AN92" s="712"/>
      <c r="AO92" s="712"/>
      <c r="AP92" s="712"/>
      <c r="AQ92" s="712"/>
      <c r="AR92" s="712"/>
      <c r="AS92" s="693"/>
      <c r="AT92" s="741"/>
      <c r="AU92" s="693"/>
      <c r="AV92" s="741"/>
      <c r="AW92" s="693"/>
      <c r="AX92" s="693"/>
    </row>
    <row r="93" spans="1:50" ht="43.5" customHeight="1" x14ac:dyDescent="0.2">
      <c r="A93" s="710" t="s">
        <v>1063</v>
      </c>
      <c r="B93" s="709">
        <v>3020</v>
      </c>
      <c r="C93" s="709"/>
      <c r="D93" s="712">
        <f t="shared" si="63"/>
        <v>0</v>
      </c>
      <c r="E93" s="712"/>
      <c r="F93" s="712"/>
      <c r="G93" s="712"/>
      <c r="H93" s="712"/>
      <c r="I93" s="712"/>
      <c r="J93" s="712"/>
      <c r="K93" s="712"/>
      <c r="L93" s="712"/>
      <c r="M93" s="712"/>
      <c r="N93" s="712"/>
      <c r="O93" s="712">
        <f t="shared" si="62"/>
        <v>0</v>
      </c>
      <c r="P93" s="712"/>
      <c r="Q93" s="712"/>
      <c r="R93" s="712"/>
      <c r="S93" s="712"/>
      <c r="T93" s="712"/>
      <c r="U93" s="712"/>
      <c r="V93" s="712"/>
      <c r="W93" s="712"/>
      <c r="X93" s="712"/>
      <c r="Y93" s="712">
        <f t="shared" si="45"/>
        <v>0</v>
      </c>
      <c r="Z93" s="712"/>
      <c r="AA93" s="712"/>
      <c r="AB93" s="712"/>
      <c r="AC93" s="712"/>
      <c r="AD93" s="712"/>
      <c r="AE93" s="712"/>
      <c r="AF93" s="712"/>
      <c r="AG93" s="712"/>
      <c r="AH93" s="712"/>
      <c r="AI93" s="712">
        <f t="shared" si="68"/>
        <v>0</v>
      </c>
      <c r="AJ93" s="712"/>
      <c r="AK93" s="712"/>
      <c r="AL93" s="712"/>
      <c r="AM93" s="712"/>
      <c r="AN93" s="712"/>
      <c r="AO93" s="712"/>
      <c r="AP93" s="712"/>
      <c r="AQ93" s="712"/>
      <c r="AR93" s="712"/>
      <c r="AS93" s="693"/>
      <c r="AT93" s="741"/>
      <c r="AU93" s="693"/>
      <c r="AV93" s="741"/>
      <c r="AW93" s="693"/>
      <c r="AX93" s="693"/>
    </row>
    <row r="94" spans="1:50" ht="15.75" customHeight="1" x14ac:dyDescent="0.2">
      <c r="A94" s="710" t="s">
        <v>1064</v>
      </c>
      <c r="B94" s="709">
        <v>3030</v>
      </c>
      <c r="C94" s="709"/>
      <c r="D94" s="712">
        <f t="shared" si="63"/>
        <v>0</v>
      </c>
      <c r="E94" s="712"/>
      <c r="F94" s="712"/>
      <c r="G94" s="712"/>
      <c r="H94" s="712"/>
      <c r="I94" s="712"/>
      <c r="J94" s="712"/>
      <c r="K94" s="712"/>
      <c r="L94" s="712"/>
      <c r="M94" s="712"/>
      <c r="N94" s="712"/>
      <c r="O94" s="712">
        <f t="shared" si="62"/>
        <v>0</v>
      </c>
      <c r="P94" s="712"/>
      <c r="Q94" s="712"/>
      <c r="R94" s="712"/>
      <c r="S94" s="712"/>
      <c r="T94" s="712"/>
      <c r="U94" s="712"/>
      <c r="V94" s="712"/>
      <c r="W94" s="712"/>
      <c r="X94" s="712"/>
      <c r="Y94" s="712">
        <f t="shared" si="45"/>
        <v>0</v>
      </c>
      <c r="Z94" s="712"/>
      <c r="AA94" s="712"/>
      <c r="AB94" s="712"/>
      <c r="AC94" s="712"/>
      <c r="AD94" s="712"/>
      <c r="AE94" s="712"/>
      <c r="AF94" s="712"/>
      <c r="AG94" s="712"/>
      <c r="AH94" s="712"/>
      <c r="AI94" s="712">
        <f t="shared" si="68"/>
        <v>0</v>
      </c>
      <c r="AJ94" s="712"/>
      <c r="AK94" s="712"/>
      <c r="AL94" s="712"/>
      <c r="AM94" s="712"/>
      <c r="AN94" s="712"/>
      <c r="AO94" s="712"/>
      <c r="AP94" s="712"/>
      <c r="AQ94" s="712"/>
      <c r="AR94" s="712"/>
      <c r="AS94" s="693"/>
      <c r="AT94" s="741"/>
      <c r="AU94" s="693"/>
      <c r="AV94" s="741"/>
      <c r="AW94" s="693"/>
      <c r="AX94" s="693"/>
    </row>
    <row r="95" spans="1:50" s="724" customFormat="1" ht="15.75" customHeight="1" x14ac:dyDescent="0.2">
      <c r="A95" s="720" t="s">
        <v>1065</v>
      </c>
      <c r="B95" s="729">
        <v>4000</v>
      </c>
      <c r="C95" s="729" t="s">
        <v>898</v>
      </c>
      <c r="D95" s="731">
        <f t="shared" si="63"/>
        <v>0</v>
      </c>
      <c r="E95" s="731">
        <f>E96</f>
        <v>0</v>
      </c>
      <c r="F95" s="731">
        <f t="shared" ref="F95:N95" si="69">F96</f>
        <v>0</v>
      </c>
      <c r="G95" s="731">
        <f t="shared" si="69"/>
        <v>0</v>
      </c>
      <c r="H95" s="731">
        <f t="shared" si="69"/>
        <v>0</v>
      </c>
      <c r="I95" s="731">
        <f t="shared" si="69"/>
        <v>0</v>
      </c>
      <c r="J95" s="731">
        <f t="shared" si="69"/>
        <v>0</v>
      </c>
      <c r="K95" s="731">
        <f t="shared" si="69"/>
        <v>0</v>
      </c>
      <c r="L95" s="731">
        <f t="shared" si="69"/>
        <v>0</v>
      </c>
      <c r="M95" s="731">
        <f t="shared" si="69"/>
        <v>0</v>
      </c>
      <c r="N95" s="731">
        <f t="shared" si="69"/>
        <v>0</v>
      </c>
      <c r="O95" s="731">
        <f t="shared" si="62"/>
        <v>0</v>
      </c>
      <c r="P95" s="731">
        <f>P96</f>
        <v>0</v>
      </c>
      <c r="Q95" s="731">
        <f t="shared" ref="Q95:X95" si="70">Q96</f>
        <v>0</v>
      </c>
      <c r="R95" s="731">
        <f t="shared" si="70"/>
        <v>0</v>
      </c>
      <c r="S95" s="731">
        <f t="shared" si="70"/>
        <v>0</v>
      </c>
      <c r="T95" s="731">
        <f t="shared" si="70"/>
        <v>0</v>
      </c>
      <c r="U95" s="731">
        <f t="shared" si="70"/>
        <v>0</v>
      </c>
      <c r="V95" s="731">
        <f t="shared" si="70"/>
        <v>0</v>
      </c>
      <c r="W95" s="731">
        <f t="shared" si="70"/>
        <v>0</v>
      </c>
      <c r="X95" s="731">
        <f t="shared" si="70"/>
        <v>0</v>
      </c>
      <c r="Y95" s="731">
        <f t="shared" si="45"/>
        <v>0</v>
      </c>
      <c r="Z95" s="731">
        <f>Z96</f>
        <v>0</v>
      </c>
      <c r="AA95" s="731">
        <f t="shared" ref="AA95:AH95" si="71">AA96</f>
        <v>0</v>
      </c>
      <c r="AB95" s="731">
        <f t="shared" si="71"/>
        <v>0</v>
      </c>
      <c r="AC95" s="731">
        <f t="shared" si="71"/>
        <v>0</v>
      </c>
      <c r="AD95" s="731">
        <f t="shared" si="71"/>
        <v>0</v>
      </c>
      <c r="AE95" s="731">
        <f t="shared" si="71"/>
        <v>0</v>
      </c>
      <c r="AF95" s="731">
        <f t="shared" si="71"/>
        <v>0</v>
      </c>
      <c r="AG95" s="731">
        <f t="shared" si="71"/>
        <v>0</v>
      </c>
      <c r="AH95" s="731">
        <f t="shared" si="71"/>
        <v>0</v>
      </c>
      <c r="AI95" s="731">
        <f t="shared" si="68"/>
        <v>0</v>
      </c>
      <c r="AJ95" s="731">
        <f>AJ96</f>
        <v>0</v>
      </c>
      <c r="AK95" s="731">
        <f t="shared" ref="AK95:AR95" si="72">AK96</f>
        <v>0</v>
      </c>
      <c r="AL95" s="731">
        <f t="shared" si="72"/>
        <v>0</v>
      </c>
      <c r="AM95" s="731">
        <f t="shared" si="72"/>
        <v>0</v>
      </c>
      <c r="AN95" s="731">
        <f t="shared" si="72"/>
        <v>0</v>
      </c>
      <c r="AO95" s="731">
        <f t="shared" si="72"/>
        <v>0</v>
      </c>
      <c r="AP95" s="731">
        <f t="shared" si="72"/>
        <v>0</v>
      </c>
      <c r="AQ95" s="731">
        <f t="shared" si="72"/>
        <v>0</v>
      </c>
      <c r="AR95" s="731">
        <f t="shared" si="72"/>
        <v>0</v>
      </c>
      <c r="AS95" s="723"/>
      <c r="AT95" s="732"/>
      <c r="AU95" s="723"/>
      <c r="AV95" s="732"/>
      <c r="AW95" s="723"/>
      <c r="AX95" s="723"/>
    </row>
    <row r="96" spans="1:50" ht="32.25" customHeight="1" x14ac:dyDescent="0.2">
      <c r="A96" s="710" t="s">
        <v>1066</v>
      </c>
      <c r="B96" s="709">
        <v>4010</v>
      </c>
      <c r="C96" s="709">
        <v>610</v>
      </c>
      <c r="D96" s="712">
        <f t="shared" si="63"/>
        <v>0</v>
      </c>
      <c r="E96" s="712"/>
      <c r="F96" s="712"/>
      <c r="G96" s="712"/>
      <c r="H96" s="712"/>
      <c r="I96" s="712"/>
      <c r="J96" s="712"/>
      <c r="K96" s="712"/>
      <c r="L96" s="712"/>
      <c r="M96" s="712"/>
      <c r="N96" s="712"/>
      <c r="O96" s="712">
        <f t="shared" si="62"/>
        <v>0</v>
      </c>
      <c r="P96" s="712"/>
      <c r="Q96" s="712"/>
      <c r="R96" s="712"/>
      <c r="S96" s="712"/>
      <c r="T96" s="712"/>
      <c r="U96" s="712"/>
      <c r="V96" s="712"/>
      <c r="W96" s="712"/>
      <c r="X96" s="712"/>
      <c r="Y96" s="712">
        <f t="shared" si="45"/>
        <v>0</v>
      </c>
      <c r="Z96" s="712"/>
      <c r="AA96" s="712"/>
      <c r="AB96" s="712"/>
      <c r="AC96" s="712"/>
      <c r="AD96" s="712"/>
      <c r="AE96" s="712"/>
      <c r="AF96" s="712"/>
      <c r="AG96" s="712"/>
      <c r="AH96" s="712"/>
      <c r="AI96" s="712">
        <f t="shared" si="68"/>
        <v>0</v>
      </c>
      <c r="AJ96" s="712"/>
      <c r="AK96" s="712"/>
      <c r="AL96" s="712"/>
      <c r="AM96" s="712"/>
      <c r="AN96" s="712"/>
      <c r="AO96" s="712"/>
      <c r="AP96" s="712"/>
      <c r="AQ96" s="712"/>
      <c r="AR96" s="712"/>
      <c r="AS96" s="693"/>
      <c r="AT96" s="741"/>
      <c r="AU96" s="693"/>
      <c r="AV96" s="741"/>
      <c r="AW96" s="693"/>
      <c r="AX96" s="693"/>
    </row>
    <row r="97" spans="1:50" ht="15.75" customHeight="1" x14ac:dyDescent="0.2">
      <c r="A97" s="710"/>
      <c r="B97" s="709"/>
      <c r="C97" s="709"/>
      <c r="D97" s="712"/>
      <c r="E97" s="712"/>
      <c r="F97" s="712"/>
      <c r="G97" s="712"/>
      <c r="H97" s="712"/>
      <c r="I97" s="712"/>
      <c r="J97" s="712"/>
      <c r="K97" s="712"/>
      <c r="L97" s="712"/>
      <c r="M97" s="712"/>
      <c r="N97" s="712"/>
      <c r="O97" s="712">
        <f t="shared" si="62"/>
        <v>0</v>
      </c>
      <c r="P97" s="712"/>
      <c r="Q97" s="712"/>
      <c r="R97" s="712"/>
      <c r="S97" s="712"/>
      <c r="T97" s="712"/>
      <c r="U97" s="712"/>
      <c r="V97" s="712"/>
      <c r="W97" s="712"/>
      <c r="X97" s="712"/>
      <c r="Y97" s="712"/>
      <c r="Z97" s="712"/>
      <c r="AA97" s="712"/>
      <c r="AB97" s="712"/>
      <c r="AC97" s="712"/>
      <c r="AD97" s="712"/>
      <c r="AE97" s="712"/>
      <c r="AF97" s="712"/>
      <c r="AG97" s="712"/>
      <c r="AH97" s="712"/>
      <c r="AI97" s="712"/>
      <c r="AJ97" s="712"/>
      <c r="AK97" s="712"/>
      <c r="AL97" s="712"/>
      <c r="AM97" s="712"/>
      <c r="AN97" s="712"/>
      <c r="AO97" s="712"/>
      <c r="AP97" s="712"/>
      <c r="AQ97" s="712"/>
      <c r="AR97" s="712"/>
      <c r="AS97" s="693"/>
      <c r="AT97" s="741"/>
      <c r="AU97" s="693"/>
      <c r="AV97" s="741"/>
      <c r="AW97" s="693"/>
      <c r="AX97" s="693"/>
    </row>
    <row r="98" spans="1:50" s="727" customFormat="1" ht="22.5" customHeight="1" x14ac:dyDescent="0.2">
      <c r="A98" s="3219" t="s">
        <v>1067</v>
      </c>
      <c r="B98" s="3219"/>
      <c r="C98" s="3219"/>
      <c r="D98" s="3219"/>
      <c r="E98" s="3219"/>
      <c r="F98" s="3219"/>
      <c r="G98" s="3219"/>
      <c r="H98" s="3219"/>
      <c r="I98" s="3219"/>
      <c r="J98" s="3219"/>
      <c r="K98" s="3219"/>
      <c r="L98" s="3219"/>
      <c r="M98" s="3219"/>
      <c r="N98" s="3219"/>
      <c r="O98" s="3219"/>
      <c r="P98" s="3219"/>
      <c r="Q98" s="3219"/>
      <c r="R98" s="3219"/>
      <c r="S98" s="3219"/>
      <c r="T98" s="3219"/>
      <c r="U98" s="3219"/>
      <c r="V98" s="3219"/>
      <c r="W98" s="3219"/>
      <c r="X98" s="3219"/>
      <c r="Y98" s="753"/>
      <c r="Z98" s="753"/>
      <c r="AA98" s="753"/>
      <c r="AB98" s="753"/>
      <c r="AC98" s="753"/>
      <c r="AD98" s="753"/>
      <c r="AE98" s="753"/>
      <c r="AF98" s="753"/>
      <c r="AG98" s="753"/>
      <c r="AH98" s="753"/>
      <c r="AI98" s="753"/>
      <c r="AJ98" s="753"/>
      <c r="AK98" s="753"/>
      <c r="AL98" s="753"/>
      <c r="AM98" s="753"/>
      <c r="AN98" s="753"/>
      <c r="AO98" s="753"/>
      <c r="AP98" s="753"/>
      <c r="AQ98" s="753"/>
      <c r="AR98" s="753"/>
      <c r="AS98" s="754"/>
      <c r="AT98" s="754"/>
      <c r="AU98" s="754"/>
      <c r="AV98" s="754"/>
      <c r="AW98" s="726"/>
      <c r="AX98" s="726"/>
    </row>
    <row r="99" spans="1:50" x14ac:dyDescent="0.2">
      <c r="A99" s="3215" t="s">
        <v>1068</v>
      </c>
      <c r="B99" s="3215"/>
      <c r="C99" s="3215"/>
      <c r="D99" s="3215"/>
      <c r="E99" s="3215"/>
      <c r="F99" s="3215"/>
      <c r="G99" s="3215"/>
      <c r="H99" s="3215"/>
      <c r="I99" s="3215"/>
      <c r="J99" s="3215"/>
      <c r="K99" s="3215"/>
      <c r="L99" s="3215"/>
      <c r="M99" s="3215"/>
      <c r="N99" s="3215"/>
      <c r="O99" s="3220"/>
      <c r="P99" s="3220"/>
      <c r="Q99" s="3220"/>
      <c r="R99" s="3220"/>
      <c r="S99" s="3220"/>
      <c r="T99" s="3220"/>
      <c r="U99" s="3220"/>
      <c r="V99" s="3220"/>
      <c r="W99" s="3220"/>
      <c r="X99" s="3220"/>
      <c r="Y99" s="755"/>
      <c r="AI99" s="973"/>
    </row>
    <row r="100" spans="1:50" x14ac:dyDescent="0.2">
      <c r="A100" s="3215" t="s">
        <v>1069</v>
      </c>
      <c r="B100" s="3215"/>
      <c r="C100" s="3215"/>
      <c r="D100" s="3215"/>
      <c r="E100" s="3215"/>
      <c r="F100" s="3215"/>
      <c r="G100" s="3215"/>
      <c r="H100" s="3215"/>
      <c r="I100" s="3215"/>
      <c r="J100" s="3215"/>
      <c r="K100" s="3215"/>
      <c r="L100" s="3215"/>
      <c r="M100" s="3215"/>
      <c r="N100" s="3215"/>
      <c r="O100" s="3215"/>
      <c r="P100" s="3215"/>
      <c r="Q100" s="3215"/>
      <c r="R100" s="3215"/>
      <c r="S100" s="3215"/>
      <c r="T100" s="3215"/>
      <c r="U100" s="3215"/>
      <c r="V100" s="3215"/>
      <c r="W100" s="3215"/>
      <c r="X100" s="3215"/>
      <c r="Y100" s="695"/>
      <c r="AI100" s="972"/>
    </row>
    <row r="101" spans="1:50" x14ac:dyDescent="0.2">
      <c r="A101" s="3215" t="s">
        <v>1070</v>
      </c>
      <c r="B101" s="3215"/>
      <c r="C101" s="3215"/>
      <c r="D101" s="3215"/>
      <c r="E101" s="3215"/>
      <c r="F101" s="3215"/>
      <c r="G101" s="3215"/>
      <c r="H101" s="3215"/>
      <c r="I101" s="3215"/>
      <c r="J101" s="3215"/>
      <c r="K101" s="3215"/>
      <c r="L101" s="3215"/>
      <c r="M101" s="3215"/>
      <c r="N101" s="3215"/>
      <c r="O101" s="3216"/>
      <c r="P101" s="3216"/>
      <c r="Q101" s="3216"/>
      <c r="R101" s="3216"/>
      <c r="S101" s="3216"/>
      <c r="T101" s="3216"/>
      <c r="U101" s="3216"/>
      <c r="V101" s="3216"/>
      <c r="W101" s="3216"/>
      <c r="X101" s="3216"/>
    </row>
    <row r="102" spans="1:50" x14ac:dyDescent="0.2">
      <c r="A102" s="3215" t="s">
        <v>1071</v>
      </c>
      <c r="B102" s="3215"/>
      <c r="C102" s="3215"/>
      <c r="D102" s="3215"/>
      <c r="E102" s="3215"/>
      <c r="F102" s="3215"/>
      <c r="G102" s="3215"/>
      <c r="H102" s="3215"/>
      <c r="I102" s="3215"/>
      <c r="J102" s="3215"/>
      <c r="K102" s="3215"/>
      <c r="L102" s="3215"/>
      <c r="M102" s="3215"/>
      <c r="N102" s="3215"/>
      <c r="O102" s="3216"/>
      <c r="P102" s="3216"/>
      <c r="Q102" s="3216"/>
      <c r="R102" s="3216"/>
      <c r="S102" s="3216"/>
      <c r="T102" s="3216"/>
      <c r="U102" s="3216"/>
      <c r="V102" s="3216"/>
      <c r="W102" s="3216"/>
      <c r="X102" s="3216"/>
    </row>
    <row r="103" spans="1:50" x14ac:dyDescent="0.2">
      <c r="A103" s="3215" t="s">
        <v>1072</v>
      </c>
      <c r="B103" s="3215"/>
      <c r="C103" s="3215"/>
      <c r="D103" s="3215"/>
      <c r="E103" s="3215"/>
      <c r="F103" s="3215"/>
      <c r="G103" s="3215"/>
      <c r="H103" s="3215"/>
      <c r="I103" s="3215"/>
      <c r="J103" s="3215"/>
      <c r="K103" s="3215"/>
      <c r="L103" s="3215"/>
      <c r="M103" s="3215"/>
      <c r="N103" s="3215"/>
      <c r="O103" s="3216"/>
      <c r="P103" s="3216"/>
      <c r="Q103" s="3216"/>
      <c r="R103" s="3216"/>
      <c r="S103" s="3216"/>
      <c r="T103" s="3216"/>
      <c r="U103" s="3216"/>
      <c r="V103" s="3216"/>
      <c r="W103" s="3216"/>
      <c r="X103" s="3216"/>
    </row>
    <row r="104" spans="1:50" ht="42" customHeight="1" x14ac:dyDescent="0.2">
      <c r="A104" s="3213" t="s">
        <v>1073</v>
      </c>
      <c r="B104" s="3213"/>
      <c r="C104" s="3213"/>
      <c r="D104" s="3213"/>
      <c r="E104" s="3213"/>
      <c r="F104" s="3213"/>
      <c r="G104" s="3213"/>
      <c r="H104" s="3213"/>
      <c r="I104" s="3213"/>
      <c r="J104" s="3213"/>
      <c r="K104" s="3213"/>
      <c r="L104" s="3213"/>
      <c r="M104" s="3213"/>
      <c r="N104" s="3213"/>
      <c r="O104" s="3214"/>
      <c r="P104" s="3214"/>
      <c r="Q104" s="3214"/>
      <c r="R104" s="3214"/>
      <c r="S104" s="3214"/>
      <c r="T104" s="3214"/>
      <c r="U104" s="3214"/>
      <c r="V104" s="3214"/>
      <c r="W104" s="3214"/>
      <c r="X104" s="3214"/>
      <c r="Y104" s="756"/>
      <c r="Z104" s="756"/>
      <c r="AA104" s="756"/>
      <c r="AB104" s="756"/>
      <c r="AC104" s="756"/>
      <c r="AD104" s="756"/>
      <c r="AE104" s="756"/>
      <c r="AF104" s="756"/>
      <c r="AG104" s="756"/>
      <c r="AH104" s="756"/>
      <c r="AI104" s="970"/>
      <c r="AJ104" s="970"/>
      <c r="AK104" s="970"/>
      <c r="AL104" s="970"/>
      <c r="AM104" s="970"/>
      <c r="AN104" s="970"/>
      <c r="AO104" s="970"/>
      <c r="AP104" s="970"/>
      <c r="AQ104" s="970"/>
      <c r="AR104" s="970"/>
    </row>
    <row r="105" spans="1:50" x14ac:dyDescent="0.2">
      <c r="A105" s="3215" t="s">
        <v>1074</v>
      </c>
      <c r="B105" s="3215"/>
      <c r="C105" s="3215"/>
      <c r="D105" s="3215"/>
      <c r="E105" s="3215"/>
      <c r="F105" s="3215"/>
      <c r="G105" s="3215"/>
      <c r="H105" s="3215"/>
      <c r="I105" s="3215"/>
      <c r="J105" s="3215"/>
      <c r="K105" s="3215"/>
      <c r="L105" s="3215"/>
      <c r="M105" s="3215"/>
      <c r="N105" s="3215"/>
      <c r="O105" s="3216"/>
      <c r="P105" s="3216"/>
      <c r="Q105" s="3216"/>
      <c r="R105" s="3216"/>
      <c r="S105" s="3216"/>
      <c r="T105" s="3216"/>
      <c r="U105" s="3216"/>
      <c r="V105" s="3216"/>
      <c r="W105" s="3216"/>
      <c r="X105" s="3216"/>
    </row>
    <row r="106" spans="1:50" ht="33" customHeight="1" x14ac:dyDescent="0.2">
      <c r="A106" s="3213" t="s">
        <v>1075</v>
      </c>
      <c r="B106" s="3213"/>
      <c r="C106" s="3213"/>
      <c r="D106" s="3213"/>
      <c r="E106" s="3213"/>
      <c r="F106" s="3213"/>
      <c r="G106" s="3213"/>
      <c r="H106" s="3213"/>
      <c r="I106" s="3213"/>
      <c r="J106" s="3213"/>
      <c r="K106" s="3213"/>
      <c r="L106" s="3213"/>
      <c r="M106" s="3213"/>
      <c r="N106" s="3213"/>
      <c r="O106" s="3214"/>
      <c r="P106" s="3214"/>
      <c r="Q106" s="3214"/>
      <c r="R106" s="3214"/>
      <c r="S106" s="3214"/>
      <c r="T106" s="3214"/>
      <c r="U106" s="3214"/>
      <c r="V106" s="3214"/>
      <c r="W106" s="3214"/>
      <c r="X106" s="3214"/>
      <c r="Y106" s="756"/>
      <c r="Z106" s="756"/>
      <c r="AA106" s="756"/>
      <c r="AB106" s="756"/>
      <c r="AC106" s="756"/>
      <c r="AD106" s="756"/>
      <c r="AE106" s="756"/>
      <c r="AF106" s="756"/>
      <c r="AG106" s="756"/>
      <c r="AH106" s="756"/>
      <c r="AI106" s="970"/>
      <c r="AJ106" s="970"/>
      <c r="AK106" s="970"/>
      <c r="AL106" s="970"/>
      <c r="AM106" s="970"/>
      <c r="AN106" s="970"/>
      <c r="AO106" s="970"/>
      <c r="AP106" s="970"/>
      <c r="AQ106" s="970"/>
      <c r="AR106" s="970"/>
    </row>
    <row r="107" spans="1:50" ht="30.75" customHeight="1" x14ac:dyDescent="0.2">
      <c r="A107" s="3213" t="s">
        <v>1076</v>
      </c>
      <c r="B107" s="3213"/>
      <c r="C107" s="3213"/>
      <c r="D107" s="3213"/>
      <c r="E107" s="3213"/>
      <c r="F107" s="3213"/>
      <c r="G107" s="3213"/>
      <c r="H107" s="3213"/>
      <c r="I107" s="3213"/>
      <c r="J107" s="3213"/>
      <c r="K107" s="3213"/>
      <c r="L107" s="3213"/>
      <c r="M107" s="3213"/>
      <c r="N107" s="3213"/>
      <c r="O107" s="3214"/>
      <c r="P107" s="3214"/>
      <c r="Q107" s="3214"/>
      <c r="R107" s="3214"/>
      <c r="S107" s="3214"/>
      <c r="T107" s="3214"/>
      <c r="U107" s="3214"/>
      <c r="V107" s="3214"/>
      <c r="W107" s="3214"/>
      <c r="X107" s="3214"/>
      <c r="Y107" s="756"/>
      <c r="Z107" s="756"/>
      <c r="AA107" s="756"/>
      <c r="AB107" s="756"/>
      <c r="AC107" s="756"/>
      <c r="AD107" s="756"/>
      <c r="AE107" s="756"/>
      <c r="AF107" s="756"/>
      <c r="AG107" s="756"/>
      <c r="AH107" s="756"/>
      <c r="AI107" s="970"/>
      <c r="AJ107" s="970"/>
      <c r="AK107" s="970"/>
      <c r="AL107" s="970"/>
      <c r="AM107" s="970"/>
      <c r="AN107" s="970"/>
      <c r="AO107" s="970"/>
      <c r="AP107" s="970"/>
      <c r="AQ107" s="970"/>
      <c r="AR107" s="970"/>
    </row>
    <row r="108" spans="1:50" x14ac:dyDescent="0.2">
      <c r="A108" s="3215" t="s">
        <v>1077</v>
      </c>
      <c r="B108" s="3215"/>
      <c r="C108" s="3215"/>
      <c r="D108" s="3215"/>
      <c r="E108" s="3215"/>
      <c r="F108" s="3215"/>
      <c r="G108" s="3215"/>
      <c r="H108" s="3215"/>
      <c r="I108" s="3215"/>
      <c r="J108" s="3215"/>
      <c r="K108" s="3215"/>
      <c r="L108" s="3215"/>
      <c r="M108" s="3215"/>
      <c r="N108" s="3215"/>
      <c r="O108" s="3216"/>
      <c r="P108" s="3216"/>
      <c r="Q108" s="3216"/>
      <c r="R108" s="3216"/>
      <c r="S108" s="3216"/>
      <c r="T108" s="3216"/>
      <c r="U108" s="3216"/>
      <c r="V108" s="3216"/>
      <c r="W108" s="3216"/>
      <c r="X108" s="3216"/>
    </row>
    <row r="109" spans="1:50" x14ac:dyDescent="0.2">
      <c r="A109" s="3215" t="s">
        <v>1078</v>
      </c>
      <c r="B109" s="3215"/>
      <c r="C109" s="3215"/>
      <c r="D109" s="3215"/>
      <c r="E109" s="3215"/>
      <c r="F109" s="3215"/>
      <c r="G109" s="3215"/>
      <c r="H109" s="3215"/>
      <c r="I109" s="3215"/>
      <c r="J109" s="3215"/>
      <c r="K109" s="3215"/>
      <c r="L109" s="3215"/>
      <c r="M109" s="3215"/>
      <c r="N109" s="3215"/>
      <c r="O109" s="3216"/>
      <c r="P109" s="3216"/>
      <c r="Q109" s="3216"/>
      <c r="R109" s="3216"/>
      <c r="S109" s="3216"/>
      <c r="T109" s="3216"/>
      <c r="U109" s="3216"/>
      <c r="V109" s="3216"/>
      <c r="W109" s="3216"/>
      <c r="X109" s="3216"/>
    </row>
    <row r="110" spans="1:50" ht="33.75" customHeight="1" x14ac:dyDescent="0.2">
      <c r="A110" s="3213" t="s">
        <v>1079</v>
      </c>
      <c r="B110" s="3213"/>
      <c r="C110" s="3213"/>
      <c r="D110" s="3213"/>
      <c r="E110" s="3213"/>
      <c r="F110" s="3213"/>
      <c r="G110" s="3213"/>
      <c r="H110" s="3213"/>
      <c r="I110" s="3213"/>
      <c r="J110" s="3213"/>
      <c r="K110" s="3213"/>
      <c r="L110" s="3213"/>
      <c r="M110" s="3213"/>
      <c r="N110" s="3213"/>
      <c r="O110" s="3214"/>
      <c r="P110" s="3214"/>
      <c r="Q110" s="3214"/>
      <c r="R110" s="3214"/>
      <c r="S110" s="3214"/>
      <c r="T110" s="3214"/>
      <c r="U110" s="3214"/>
      <c r="V110" s="3214"/>
      <c r="W110" s="3214"/>
      <c r="X110" s="3214"/>
      <c r="Y110" s="757"/>
      <c r="Z110" s="757"/>
      <c r="AA110" s="757"/>
      <c r="AB110" s="757"/>
      <c r="AC110" s="757"/>
      <c r="AD110" s="757"/>
      <c r="AE110" s="757"/>
      <c r="AF110" s="757"/>
      <c r="AG110" s="757"/>
      <c r="AH110" s="757"/>
      <c r="AI110" s="971"/>
      <c r="AJ110" s="971"/>
      <c r="AK110" s="971"/>
      <c r="AL110" s="971"/>
      <c r="AM110" s="971"/>
      <c r="AN110" s="971"/>
      <c r="AO110" s="971"/>
      <c r="AP110" s="971"/>
      <c r="AQ110" s="971"/>
      <c r="AR110" s="971"/>
    </row>
  </sheetData>
  <mergeCells count="79">
    <mergeCell ref="J2:N2"/>
    <mergeCell ref="U2:X2"/>
    <mergeCell ref="AE2:AH2"/>
    <mergeCell ref="J5:N5"/>
    <mergeCell ref="U5:X5"/>
    <mergeCell ref="AE5:AH5"/>
    <mergeCell ref="J4:N4"/>
    <mergeCell ref="J6:N6"/>
    <mergeCell ref="U6:X6"/>
    <mergeCell ref="AE6:AH6"/>
    <mergeCell ref="M8:N8"/>
    <mergeCell ref="W8:X8"/>
    <mergeCell ref="AG8:AH8"/>
    <mergeCell ref="AF17:AG17"/>
    <mergeCell ref="J10:N10"/>
    <mergeCell ref="U10:X10"/>
    <mergeCell ref="AE10:AH10"/>
    <mergeCell ref="A12:N12"/>
    <mergeCell ref="A13:N13"/>
    <mergeCell ref="A14:N14"/>
    <mergeCell ref="E15:I15"/>
    <mergeCell ref="P15:T15"/>
    <mergeCell ref="Z15:AD15"/>
    <mergeCell ref="L17:M17"/>
    <mergeCell ref="V17:W17"/>
    <mergeCell ref="L18:M18"/>
    <mergeCell ref="V18:W18"/>
    <mergeCell ref="AF18:AG18"/>
    <mergeCell ref="A26:N26"/>
    <mergeCell ref="A27:A30"/>
    <mergeCell ref="B27:B30"/>
    <mergeCell ref="C27:C30"/>
    <mergeCell ref="D27:N27"/>
    <mergeCell ref="O27:X27"/>
    <mergeCell ref="Y27:AH27"/>
    <mergeCell ref="A100:N100"/>
    <mergeCell ref="O100:X100"/>
    <mergeCell ref="D28:N28"/>
    <mergeCell ref="O28:X28"/>
    <mergeCell ref="Y28:AH28"/>
    <mergeCell ref="D29:N29"/>
    <mergeCell ref="O29:X29"/>
    <mergeCell ref="Y29:AH29"/>
    <mergeCell ref="AS41:BA41"/>
    <mergeCell ref="A98:N98"/>
    <mergeCell ref="O98:X98"/>
    <mergeCell ref="A99:N99"/>
    <mergeCell ref="O99:X99"/>
    <mergeCell ref="A101:N101"/>
    <mergeCell ref="O101:X101"/>
    <mergeCell ref="A102:N102"/>
    <mergeCell ref="O102:X102"/>
    <mergeCell ref="A103:N103"/>
    <mergeCell ref="O103:X103"/>
    <mergeCell ref="A104:N104"/>
    <mergeCell ref="O104:X104"/>
    <mergeCell ref="A105:N105"/>
    <mergeCell ref="O105:X105"/>
    <mergeCell ref="A106:N106"/>
    <mergeCell ref="O106:X106"/>
    <mergeCell ref="A110:N110"/>
    <mergeCell ref="O110:X110"/>
    <mergeCell ref="A107:N107"/>
    <mergeCell ref="O107:X107"/>
    <mergeCell ref="A108:N108"/>
    <mergeCell ref="O108:X108"/>
    <mergeCell ref="A109:N109"/>
    <mergeCell ref="O109:X109"/>
    <mergeCell ref="AO2:AR2"/>
    <mergeCell ref="AO5:AR5"/>
    <mergeCell ref="AO6:AR6"/>
    <mergeCell ref="AQ8:AR8"/>
    <mergeCell ref="AO10:AR10"/>
    <mergeCell ref="AI29:AR29"/>
    <mergeCell ref="AJ15:AN15"/>
    <mergeCell ref="AP17:AQ17"/>
    <mergeCell ref="AP18:AQ18"/>
    <mergeCell ref="AI27:AR27"/>
    <mergeCell ref="AI28:AR28"/>
  </mergeCells>
  <printOptions horizontalCentered="1"/>
  <pageMargins left="0.19685039370078741" right="0.15748031496062992" top="0.23622047244094491" bottom="0.31496062992125984" header="0.27559055118110237" footer="0"/>
  <pageSetup paperSize="9" scale="37" fitToHeight="2" orientation="landscape" r:id="rId1"/>
  <headerFooter alignWithMargins="0"/>
  <rowBreaks count="1" manualBreakCount="1">
    <brk id="64" max="43" man="1"/>
  </rowBreaks>
  <colBreaks count="3" manualBreakCount="3">
    <brk id="14" max="109" man="1"/>
    <brk id="24" max="109" man="1"/>
    <brk id="34" max="109"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XAZ219"/>
  <sheetViews>
    <sheetView showZeros="0" view="pageBreakPreview" zoomScale="60" zoomScaleNormal="60" workbookViewId="0">
      <pane ySplit="12" topLeftCell="A13" activePane="bottomLeft" state="frozen"/>
      <selection activeCell="R424" sqref="R424"/>
      <selection pane="bottomLeft" activeCell="W216" sqref="W216"/>
    </sheetView>
  </sheetViews>
  <sheetFormatPr defaultColWidth="10.6640625" defaultRowHeight="15.75" x14ac:dyDescent="0.25"/>
  <cols>
    <col min="1" max="1" width="7.33203125" style="2297" customWidth="1"/>
    <col min="2" max="2" width="17.6640625" style="2530" customWidth="1"/>
    <col min="3" max="3" width="42" style="2296" customWidth="1"/>
    <col min="4" max="4" width="17" style="2527" hidden="1" customWidth="1"/>
    <col min="5" max="5" width="19.5" style="2528" hidden="1" customWidth="1"/>
    <col min="6" max="15" width="19.5" style="2527" hidden="1" customWidth="1"/>
    <col min="16" max="18" width="19.5" style="2527" customWidth="1"/>
    <col min="19" max="19" width="24.1640625" style="2527" customWidth="1"/>
    <col min="20" max="21" width="19.5" style="2527" customWidth="1"/>
    <col min="22" max="22" width="14.83203125" style="2527" customWidth="1"/>
    <col min="23" max="23" width="17.33203125" style="2527" customWidth="1"/>
    <col min="24" max="24" width="15.33203125" style="2527" customWidth="1"/>
    <col min="25" max="25" width="17" style="2527" customWidth="1"/>
    <col min="26" max="26" width="57.6640625" style="2297" customWidth="1"/>
    <col min="27" max="27" width="10.6640625" style="2296" customWidth="1"/>
    <col min="28" max="29" width="10.6640625" style="2297"/>
    <col min="30" max="30" width="13.5" style="2297" customWidth="1"/>
    <col min="31" max="34" width="10.6640625" style="2297" customWidth="1"/>
    <col min="35" max="252" width="10.6640625" style="2297"/>
    <col min="253" max="253" width="7.33203125" style="2297" customWidth="1"/>
    <col min="254" max="254" width="14.1640625" style="2297" customWidth="1"/>
    <col min="255" max="255" width="40.83203125" style="2297" customWidth="1"/>
    <col min="256" max="256" width="10.1640625" style="2297" customWidth="1"/>
    <col min="257" max="257" width="24.1640625" style="2297" customWidth="1"/>
    <col min="258" max="259" width="13.1640625" style="2297" customWidth="1"/>
    <col min="260" max="260" width="14.5" style="2297" customWidth="1"/>
    <col min="261" max="261" width="10.1640625" style="2297" customWidth="1"/>
    <col min="262" max="262" width="13.1640625" style="2297" customWidth="1"/>
    <col min="263" max="263" width="14.5" style="2297" customWidth="1"/>
    <col min="264" max="264" width="13.1640625" style="2297" customWidth="1"/>
    <col min="265" max="265" width="12.6640625" style="2297" customWidth="1"/>
    <col min="266" max="266" width="10" style="2297" bestFit="1" customWidth="1"/>
    <col min="267" max="267" width="23.1640625" style="2297" bestFit="1" customWidth="1"/>
    <col min="268" max="269" width="11.5" style="2297" bestFit="1" customWidth="1"/>
    <col min="270" max="270" width="12.33203125" style="2297" bestFit="1" customWidth="1"/>
    <col min="271" max="271" width="15.83203125" style="2297" bestFit="1" customWidth="1"/>
    <col min="272" max="272" width="13" style="2297" bestFit="1" customWidth="1"/>
    <col min="273" max="273" width="14.33203125" style="2297" bestFit="1" customWidth="1"/>
    <col min="274" max="275" width="10.6640625" style="2297" customWidth="1"/>
    <col min="276" max="276" width="17.83203125" style="2297" bestFit="1" customWidth="1"/>
    <col min="277" max="279" width="10.6640625" style="2297" customWidth="1"/>
    <col min="280" max="285" width="10.6640625" style="2297"/>
    <col min="286" max="286" width="7.33203125" style="2297" customWidth="1"/>
    <col min="287" max="290" width="10.6640625" style="2297" customWidth="1"/>
    <col min="291" max="508" width="10.6640625" style="2297"/>
    <col min="509" max="509" width="7.33203125" style="2297" customWidth="1"/>
    <col min="510" max="510" width="14.1640625" style="2297" customWidth="1"/>
    <col min="511" max="511" width="40.83203125" style="2297" customWidth="1"/>
    <col min="512" max="512" width="10.1640625" style="2297" customWidth="1"/>
    <col min="513" max="513" width="24.1640625" style="2297" customWidth="1"/>
    <col min="514" max="515" width="13.1640625" style="2297" customWidth="1"/>
    <col min="516" max="516" width="14.5" style="2297" customWidth="1"/>
    <col min="517" max="517" width="10.1640625" style="2297" customWidth="1"/>
    <col min="518" max="518" width="13.1640625" style="2297" customWidth="1"/>
    <col min="519" max="519" width="14.5" style="2297" customWidth="1"/>
    <col min="520" max="520" width="13.1640625" style="2297" customWidth="1"/>
    <col min="521" max="521" width="12.6640625" style="2297" customWidth="1"/>
    <col min="522" max="522" width="10" style="2297" bestFit="1" customWidth="1"/>
    <col min="523" max="523" width="23.1640625" style="2297" bestFit="1" customWidth="1"/>
    <col min="524" max="525" width="11.5" style="2297" bestFit="1" customWidth="1"/>
    <col min="526" max="526" width="12.33203125" style="2297" bestFit="1" customWidth="1"/>
    <col min="527" max="527" width="15.83203125" style="2297" bestFit="1" customWidth="1"/>
    <col min="528" max="528" width="13" style="2297" bestFit="1" customWidth="1"/>
    <col min="529" max="529" width="14.33203125" style="2297" bestFit="1" customWidth="1"/>
    <col min="530" max="531" width="10.6640625" style="2297" customWidth="1"/>
    <col min="532" max="532" width="17.83203125" style="2297" bestFit="1" customWidth="1"/>
    <col min="533" max="535" width="10.6640625" style="2297" customWidth="1"/>
    <col min="536" max="541" width="10.6640625" style="2297"/>
    <col min="542" max="542" width="7.33203125" style="2297" customWidth="1"/>
    <col min="543" max="546" width="10.6640625" style="2297" customWidth="1"/>
    <col min="547" max="16384" width="10.6640625" style="2297"/>
  </cols>
  <sheetData>
    <row r="1" spans="1:29" s="2290" customFormat="1" x14ac:dyDescent="0.25">
      <c r="B1" s="2291"/>
      <c r="C1" s="2292"/>
      <c r="D1" s="2293"/>
      <c r="E1" s="2294"/>
      <c r="F1" s="2293"/>
      <c r="G1" s="2293"/>
      <c r="H1" s="2293"/>
      <c r="I1" s="2295"/>
      <c r="J1" s="2293"/>
      <c r="K1" s="2295"/>
      <c r="L1" s="2295"/>
      <c r="M1" s="2295"/>
      <c r="N1" s="2293"/>
      <c r="O1" s="2295"/>
      <c r="P1" s="2295"/>
      <c r="Q1" s="2295"/>
      <c r="R1" s="2293"/>
      <c r="S1" s="2293"/>
      <c r="T1" s="2293"/>
      <c r="U1" s="2295"/>
      <c r="V1" s="2293"/>
      <c r="W1" s="2293"/>
      <c r="X1" s="2293"/>
      <c r="Y1" s="2293"/>
      <c r="AA1" s="2292"/>
    </row>
    <row r="2" spans="1:29" s="2290" customFormat="1" x14ac:dyDescent="0.25">
      <c r="A2" s="3459" t="s">
        <v>2633</v>
      </c>
      <c r="B2" s="3459"/>
      <c r="C2" s="3459"/>
      <c r="D2" s="3459"/>
      <c r="E2" s="3459"/>
      <c r="F2" s="3459"/>
      <c r="G2" s="3459"/>
      <c r="H2" s="3459"/>
      <c r="I2" s="3459"/>
      <c r="J2" s="3459"/>
      <c r="K2" s="3459"/>
      <c r="L2" s="3459"/>
      <c r="M2" s="3459"/>
      <c r="N2" s="3459"/>
      <c r="O2" s="3459"/>
      <c r="P2" s="3459"/>
      <c r="Q2" s="3459"/>
      <c r="R2" s="3459"/>
      <c r="S2" s="3459"/>
      <c r="T2" s="3459"/>
      <c r="U2" s="3459"/>
      <c r="V2" s="3459"/>
      <c r="W2" s="3459"/>
      <c r="X2" s="3459"/>
      <c r="Y2" s="3459"/>
      <c r="Z2" s="3459"/>
      <c r="AA2" s="2292"/>
    </row>
    <row r="3" spans="1:29" s="2290" customFormat="1" x14ac:dyDescent="0.25">
      <c r="B3" s="2291"/>
      <c r="C3" s="2292"/>
      <c r="D3" s="2293"/>
      <c r="E3" s="2294"/>
      <c r="F3" s="2293"/>
      <c r="G3" s="2293"/>
      <c r="H3" s="2293"/>
      <c r="I3" s="2295"/>
      <c r="J3" s="2293"/>
      <c r="K3" s="2295"/>
      <c r="L3" s="2295"/>
      <c r="M3" s="2295"/>
      <c r="N3" s="2293"/>
      <c r="O3" s="2295"/>
      <c r="P3" s="2295"/>
      <c r="Q3" s="2295"/>
      <c r="R3" s="2293"/>
      <c r="S3" s="2293"/>
      <c r="T3" s="2293"/>
      <c r="U3" s="2295"/>
      <c r="V3" s="2293"/>
      <c r="W3" s="2293"/>
      <c r="X3" s="2293"/>
      <c r="Y3" s="2293"/>
      <c r="AA3" s="2292"/>
    </row>
    <row r="4" spans="1:29" s="2290" customFormat="1" x14ac:dyDescent="0.25">
      <c r="A4" s="3459" t="s">
        <v>2024</v>
      </c>
      <c r="B4" s="3459"/>
      <c r="C4" s="3459"/>
      <c r="D4" s="3459"/>
      <c r="E4" s="3459"/>
      <c r="F4" s="3459"/>
      <c r="G4" s="3459"/>
      <c r="H4" s="3459"/>
      <c r="I4" s="3459"/>
      <c r="J4" s="3459"/>
      <c r="K4" s="3459"/>
      <c r="L4" s="3459"/>
      <c r="M4" s="3459"/>
      <c r="N4" s="3459"/>
      <c r="O4" s="3459"/>
      <c r="P4" s="3459"/>
      <c r="Q4" s="3459"/>
      <c r="R4" s="3459"/>
      <c r="S4" s="3459"/>
      <c r="T4" s="3459"/>
      <c r="U4" s="3459"/>
      <c r="V4" s="3459"/>
      <c r="W4" s="3459"/>
      <c r="X4" s="3459"/>
      <c r="Y4" s="3459"/>
      <c r="Z4" s="3459"/>
      <c r="AA4" s="2292"/>
    </row>
    <row r="5" spans="1:29" s="2290" customFormat="1" x14ac:dyDescent="0.25">
      <c r="B5" s="2291"/>
      <c r="C5" s="2292"/>
      <c r="D5" s="2293"/>
      <c r="E5" s="2294"/>
      <c r="F5" s="2293"/>
      <c r="G5" s="2293"/>
      <c r="H5" s="2293"/>
      <c r="I5" s="2295"/>
      <c r="J5" s="2293"/>
      <c r="K5" s="2295"/>
      <c r="L5" s="2295"/>
      <c r="M5" s="2295"/>
      <c r="N5" s="2293"/>
      <c r="O5" s="2295"/>
      <c r="P5" s="2295"/>
      <c r="Q5" s="2295"/>
      <c r="R5" s="2293"/>
      <c r="S5" s="2293"/>
      <c r="T5" s="2293"/>
      <c r="U5" s="2295"/>
      <c r="V5" s="2293"/>
      <c r="W5" s="2293"/>
      <c r="X5" s="2293"/>
      <c r="Y5" s="2293"/>
      <c r="AA5" s="2292"/>
    </row>
    <row r="6" spans="1:29" s="2290" customFormat="1" x14ac:dyDescent="0.25">
      <c r="B6" s="2291"/>
      <c r="C6" s="2292"/>
      <c r="D6" s="2293"/>
      <c r="E6" s="2294"/>
      <c r="F6" s="2293"/>
      <c r="G6" s="2293"/>
      <c r="H6" s="2293"/>
      <c r="I6" s="2295"/>
      <c r="J6" s="2293"/>
      <c r="K6" s="2295"/>
      <c r="L6" s="2295"/>
      <c r="M6" s="2295"/>
      <c r="N6" s="2293"/>
      <c r="O6" s="2295"/>
      <c r="P6" s="2295"/>
      <c r="Q6" s="2295"/>
      <c r="R6" s="2293"/>
      <c r="S6" s="2293"/>
      <c r="T6" s="2293"/>
      <c r="U6" s="2295"/>
      <c r="V6" s="2293"/>
      <c r="W6" s="2293"/>
      <c r="X6" s="2293"/>
      <c r="Y6" s="2293"/>
      <c r="Z6" s="2550">
        <v>43831</v>
      </c>
      <c r="AA6" s="2292"/>
    </row>
    <row r="7" spans="1:29" x14ac:dyDescent="0.25">
      <c r="A7" s="3496" t="s">
        <v>78</v>
      </c>
      <c r="B7" s="3501" t="s">
        <v>824</v>
      </c>
      <c r="C7" s="3496" t="s">
        <v>386</v>
      </c>
      <c r="D7" s="3504" t="s">
        <v>344</v>
      </c>
      <c r="E7" s="3505"/>
      <c r="F7" s="3505"/>
      <c r="G7" s="3506"/>
      <c r="H7" s="3474" t="s">
        <v>825</v>
      </c>
      <c r="I7" s="3475"/>
      <c r="J7" s="3475"/>
      <c r="K7" s="3475"/>
      <c r="L7" s="3475"/>
      <c r="M7" s="3475"/>
      <c r="N7" s="3475"/>
      <c r="O7" s="3495"/>
      <c r="P7" s="3494" t="s">
        <v>826</v>
      </c>
      <c r="Q7" s="3494"/>
      <c r="R7" s="3494"/>
      <c r="S7" s="3494"/>
      <c r="T7" s="3494"/>
      <c r="U7" s="3494"/>
      <c r="V7" s="3485" t="s">
        <v>718</v>
      </c>
      <c r="W7" s="3485"/>
      <c r="X7" s="3493" t="s">
        <v>178</v>
      </c>
      <c r="Y7" s="3493" t="s">
        <v>179</v>
      </c>
      <c r="Z7" s="3494" t="s">
        <v>827</v>
      </c>
    </row>
    <row r="8" spans="1:29" x14ac:dyDescent="0.25">
      <c r="A8" s="3496"/>
      <c r="B8" s="3502"/>
      <c r="C8" s="3496"/>
      <c r="D8" s="3507"/>
      <c r="E8" s="3508"/>
      <c r="F8" s="3508"/>
      <c r="G8" s="3509"/>
      <c r="H8" s="3474" t="s">
        <v>828</v>
      </c>
      <c r="I8" s="3475"/>
      <c r="J8" s="3475"/>
      <c r="K8" s="3495"/>
      <c r="L8" s="3474" t="s">
        <v>829</v>
      </c>
      <c r="M8" s="3475"/>
      <c r="N8" s="3475"/>
      <c r="O8" s="3495"/>
      <c r="P8" s="3494" t="s">
        <v>331</v>
      </c>
      <c r="Q8" s="3494"/>
      <c r="R8" s="3494"/>
      <c r="S8" s="3494"/>
      <c r="T8" s="3494"/>
      <c r="U8" s="3494"/>
      <c r="V8" s="3485"/>
      <c r="W8" s="3485"/>
      <c r="X8" s="3493"/>
      <c r="Y8" s="3493"/>
      <c r="Z8" s="3494"/>
    </row>
    <row r="9" spans="1:29" x14ac:dyDescent="0.25">
      <c r="A9" s="3496"/>
      <c r="B9" s="3502"/>
      <c r="C9" s="3496"/>
      <c r="D9" s="3496" t="s">
        <v>332</v>
      </c>
      <c r="E9" s="3510" t="s">
        <v>830</v>
      </c>
      <c r="F9" s="3500" t="s">
        <v>831</v>
      </c>
      <c r="G9" s="3500"/>
      <c r="H9" s="3496" t="s">
        <v>332</v>
      </c>
      <c r="I9" s="3497" t="s">
        <v>830</v>
      </c>
      <c r="J9" s="3500" t="s">
        <v>831</v>
      </c>
      <c r="K9" s="3500"/>
      <c r="L9" s="3496" t="s">
        <v>332</v>
      </c>
      <c r="M9" s="3497" t="s">
        <v>830</v>
      </c>
      <c r="N9" s="3500" t="s">
        <v>831</v>
      </c>
      <c r="O9" s="3500"/>
      <c r="P9" s="3496" t="s">
        <v>332</v>
      </c>
      <c r="Q9" s="3497" t="s">
        <v>830</v>
      </c>
      <c r="R9" s="3500" t="s">
        <v>831</v>
      </c>
      <c r="S9" s="3500"/>
      <c r="T9" s="3500"/>
      <c r="U9" s="3500"/>
      <c r="V9" s="3484" t="s">
        <v>832</v>
      </c>
      <c r="W9" s="3484" t="s">
        <v>833</v>
      </c>
      <c r="X9" s="3485" t="s">
        <v>494</v>
      </c>
      <c r="Y9" s="3485"/>
      <c r="Z9" s="3494"/>
      <c r="AC9" s="2298"/>
    </row>
    <row r="10" spans="1:29" x14ac:dyDescent="0.25">
      <c r="A10" s="3496"/>
      <c r="B10" s="3502"/>
      <c r="C10" s="3496"/>
      <c r="D10" s="3496"/>
      <c r="E10" s="3510"/>
      <c r="F10" s="1251"/>
      <c r="G10" s="1251"/>
      <c r="H10" s="3496"/>
      <c r="I10" s="3498"/>
      <c r="J10" s="1251"/>
      <c r="K10" s="1251"/>
      <c r="L10" s="3496"/>
      <c r="M10" s="3498"/>
      <c r="N10" s="1251"/>
      <c r="O10" s="1251"/>
      <c r="P10" s="3496"/>
      <c r="Q10" s="3498"/>
      <c r="R10" s="3486" t="s">
        <v>834</v>
      </c>
      <c r="S10" s="3488" t="s">
        <v>835</v>
      </c>
      <c r="T10" s="3489"/>
      <c r="U10" s="3490" t="s">
        <v>836</v>
      </c>
      <c r="V10" s="3484"/>
      <c r="W10" s="3484"/>
      <c r="X10" s="2299"/>
      <c r="Y10" s="2299"/>
      <c r="Z10" s="3494"/>
      <c r="AC10" s="2298"/>
    </row>
    <row r="11" spans="1:29" ht="75" x14ac:dyDescent="0.25">
      <c r="A11" s="3496"/>
      <c r="B11" s="3503"/>
      <c r="C11" s="3496"/>
      <c r="D11" s="3496"/>
      <c r="E11" s="3510"/>
      <c r="F11" s="2300" t="s">
        <v>837</v>
      </c>
      <c r="G11" s="2301" t="s">
        <v>836</v>
      </c>
      <c r="H11" s="3496"/>
      <c r="I11" s="3499"/>
      <c r="J11" s="2300" t="s">
        <v>837</v>
      </c>
      <c r="K11" s="2301" t="s">
        <v>836</v>
      </c>
      <c r="L11" s="3496"/>
      <c r="M11" s="3499"/>
      <c r="N11" s="2300" t="s">
        <v>837</v>
      </c>
      <c r="O11" s="2301" t="s">
        <v>836</v>
      </c>
      <c r="P11" s="3496"/>
      <c r="Q11" s="3499"/>
      <c r="R11" s="3487"/>
      <c r="S11" s="2300" t="s">
        <v>838</v>
      </c>
      <c r="T11" s="2300" t="s">
        <v>496</v>
      </c>
      <c r="U11" s="3491"/>
      <c r="V11" s="3484"/>
      <c r="W11" s="3484"/>
      <c r="X11" s="3492" t="s">
        <v>208</v>
      </c>
      <c r="Y11" s="3492"/>
      <c r="Z11" s="3494"/>
    </row>
    <row r="12" spans="1:29" s="2308" customFormat="1" ht="16.5" x14ac:dyDescent="0.25">
      <c r="A12" s="2302">
        <v>1</v>
      </c>
      <c r="B12" s="2302">
        <v>2</v>
      </c>
      <c r="C12" s="2302">
        <v>3</v>
      </c>
      <c r="D12" s="2302">
        <v>4</v>
      </c>
      <c r="E12" s="2303">
        <v>5</v>
      </c>
      <c r="F12" s="2304">
        <v>6</v>
      </c>
      <c r="G12" s="2302">
        <v>7</v>
      </c>
      <c r="H12" s="2302">
        <v>8</v>
      </c>
      <c r="I12" s="2302">
        <v>9</v>
      </c>
      <c r="J12" s="2304">
        <v>10</v>
      </c>
      <c r="K12" s="2302">
        <v>11</v>
      </c>
      <c r="L12" s="2302">
        <v>12</v>
      </c>
      <c r="M12" s="2302">
        <v>13</v>
      </c>
      <c r="N12" s="2304">
        <v>14</v>
      </c>
      <c r="O12" s="2302">
        <v>15</v>
      </c>
      <c r="P12" s="2302">
        <v>16</v>
      </c>
      <c r="Q12" s="2302">
        <v>17</v>
      </c>
      <c r="R12" s="2305">
        <v>18</v>
      </c>
      <c r="S12" s="2306" t="s">
        <v>839</v>
      </c>
      <c r="T12" s="2306" t="s">
        <v>840</v>
      </c>
      <c r="U12" s="2307">
        <v>19</v>
      </c>
      <c r="V12" s="2302">
        <v>20</v>
      </c>
      <c r="W12" s="2302">
        <v>21</v>
      </c>
      <c r="X12" s="2304">
        <v>22</v>
      </c>
      <c r="Y12" s="2304">
        <v>23</v>
      </c>
      <c r="Z12" s="2302">
        <v>24</v>
      </c>
      <c r="AA12" s="2296"/>
    </row>
    <row r="13" spans="1:29" ht="23.25" hidden="1" x14ac:dyDescent="0.25">
      <c r="A13" s="3472" t="s">
        <v>1444</v>
      </c>
      <c r="B13" s="3473"/>
      <c r="C13" s="3473"/>
      <c r="D13" s="3473"/>
      <c r="E13" s="3473"/>
      <c r="F13" s="3473"/>
      <c r="G13" s="3473"/>
      <c r="H13" s="3473"/>
      <c r="I13" s="3473"/>
      <c r="J13" s="3473"/>
      <c r="K13" s="3473"/>
      <c r="L13" s="3473"/>
      <c r="M13" s="3473"/>
      <c r="N13" s="3473"/>
      <c r="O13" s="3473"/>
      <c r="P13" s="3473"/>
      <c r="Q13" s="3473"/>
      <c r="R13" s="3473"/>
      <c r="S13" s="3473"/>
      <c r="T13" s="3473"/>
      <c r="U13" s="3473"/>
      <c r="V13" s="3473"/>
      <c r="W13" s="3473"/>
      <c r="X13" s="3473"/>
      <c r="Y13" s="3473"/>
      <c r="Z13" s="2309"/>
      <c r="AA13" s="2296" t="s">
        <v>1665</v>
      </c>
    </row>
    <row r="14" spans="1:29" hidden="1" x14ac:dyDescent="0.25">
      <c r="A14" s="3474" t="s">
        <v>841</v>
      </c>
      <c r="B14" s="3475"/>
      <c r="C14" s="3475"/>
      <c r="D14" s="3475"/>
      <c r="E14" s="3475"/>
      <c r="F14" s="3475"/>
      <c r="G14" s="3475"/>
      <c r="H14" s="3475"/>
      <c r="I14" s="3475"/>
      <c r="J14" s="3475"/>
      <c r="K14" s="3475"/>
      <c r="L14" s="3475"/>
      <c r="M14" s="3475"/>
      <c r="N14" s="3475"/>
      <c r="O14" s="3475"/>
      <c r="P14" s="3476"/>
      <c r="Q14" s="3476"/>
      <c r="R14" s="3476"/>
      <c r="S14" s="3476"/>
      <c r="T14" s="3476"/>
      <c r="U14" s="3476"/>
      <c r="V14" s="3476"/>
      <c r="W14" s="3476"/>
      <c r="X14" s="3476"/>
      <c r="Y14" s="3476"/>
      <c r="Z14" s="2310"/>
      <c r="AA14" s="2296" t="s">
        <v>1665</v>
      </c>
    </row>
    <row r="15" spans="1:29" s="2317" customFormat="1" ht="31.5" hidden="1" x14ac:dyDescent="0.2">
      <c r="A15" s="2311">
        <v>1</v>
      </c>
      <c r="B15" s="2311"/>
      <c r="C15" s="2312" t="s">
        <v>2060</v>
      </c>
      <c r="D15" s="2313"/>
      <c r="E15" s="2314"/>
      <c r="F15" s="2313">
        <f>F16+F19+F26+F28</f>
        <v>45.1</v>
      </c>
      <c r="G15" s="2313">
        <f>G16+G19+G26+G28</f>
        <v>0</v>
      </c>
      <c r="H15" s="2313"/>
      <c r="I15" s="2313"/>
      <c r="J15" s="2313">
        <f>J16+J19+J26+J28</f>
        <v>33.4</v>
      </c>
      <c r="K15" s="2313"/>
      <c r="L15" s="2313"/>
      <c r="M15" s="2313"/>
      <c r="N15" s="2313">
        <f>N16+N19+N26+N28</f>
        <v>33.4</v>
      </c>
      <c r="O15" s="2315"/>
      <c r="P15" s="2313">
        <f>P16+P19+P25+P28</f>
        <v>0</v>
      </c>
      <c r="Q15" s="2313">
        <f>Q16+Q19+Q25+Q28</f>
        <v>0</v>
      </c>
      <c r="R15" s="2313">
        <f>R16+R19+R26+R28+R32</f>
        <v>33.9</v>
      </c>
      <c r="S15" s="2313">
        <f>R15</f>
        <v>33.9</v>
      </c>
      <c r="T15" s="2313"/>
      <c r="U15" s="2313">
        <f>U16+U19+U25+U24+U27+U31</f>
        <v>0</v>
      </c>
      <c r="V15" s="2313">
        <f t="shared" ref="V15:V78" si="0">R15-J15</f>
        <v>0.5</v>
      </c>
      <c r="W15" s="2313">
        <f t="shared" ref="W15:W78" si="1">IFERROR((R15)/J15*100,0)</f>
        <v>101.5</v>
      </c>
      <c r="X15" s="2313">
        <f>R15</f>
        <v>33.9</v>
      </c>
      <c r="Y15" s="2313">
        <f>X15</f>
        <v>33.9</v>
      </c>
      <c r="Z15" s="2316"/>
      <c r="AA15" s="2296" t="s">
        <v>1665</v>
      </c>
    </row>
    <row r="16" spans="1:29" s="2326" customFormat="1" ht="31.5" hidden="1" x14ac:dyDescent="0.25">
      <c r="A16" s="2318"/>
      <c r="B16" s="2319">
        <v>955</v>
      </c>
      <c r="C16" s="2320" t="s">
        <v>1401</v>
      </c>
      <c r="D16" s="2321"/>
      <c r="E16" s="2322"/>
      <c r="F16" s="2323"/>
      <c r="G16" s="2323"/>
      <c r="H16" s="2321"/>
      <c r="I16" s="2323"/>
      <c r="J16" s="2323"/>
      <c r="K16" s="2323"/>
      <c r="L16" s="2321"/>
      <c r="M16" s="2323"/>
      <c r="N16" s="2323"/>
      <c r="O16" s="2324"/>
      <c r="P16" s="2323"/>
      <c r="Q16" s="2323"/>
      <c r="R16" s="2323"/>
      <c r="S16" s="2323">
        <f t="shared" ref="S16:S79" si="2">R16</f>
        <v>0</v>
      </c>
      <c r="T16" s="2323"/>
      <c r="U16" s="2323"/>
      <c r="V16" s="2323">
        <f t="shared" si="0"/>
        <v>0</v>
      </c>
      <c r="W16" s="2323">
        <f t="shared" si="1"/>
        <v>0</v>
      </c>
      <c r="X16" s="2323"/>
      <c r="Y16" s="2323"/>
      <c r="Z16" s="2325"/>
      <c r="AA16" s="2296" t="s">
        <v>1665</v>
      </c>
    </row>
    <row r="17" spans="1:27" s="2290" customFormat="1" ht="31.5" hidden="1" x14ac:dyDescent="0.25">
      <c r="A17" s="2327"/>
      <c r="B17" s="2325"/>
      <c r="C17" s="2328" t="s">
        <v>1931</v>
      </c>
      <c r="D17" s="2329"/>
      <c r="E17" s="2330"/>
      <c r="F17" s="2331"/>
      <c r="G17" s="2331"/>
      <c r="H17" s="2329"/>
      <c r="I17" s="2331"/>
      <c r="J17" s="2331"/>
      <c r="K17" s="2331"/>
      <c r="L17" s="2329"/>
      <c r="M17" s="2331"/>
      <c r="N17" s="2331"/>
      <c r="O17" s="2332"/>
      <c r="P17" s="2331"/>
      <c r="Q17" s="2331"/>
      <c r="R17" s="2331"/>
      <c r="S17" s="2331">
        <f t="shared" si="2"/>
        <v>0</v>
      </c>
      <c r="T17" s="2331"/>
      <c r="U17" s="2331"/>
      <c r="V17" s="2333">
        <f t="shared" si="0"/>
        <v>0</v>
      </c>
      <c r="W17" s="2333">
        <f t="shared" si="1"/>
        <v>0</v>
      </c>
      <c r="X17" s="2331"/>
      <c r="Y17" s="2331"/>
      <c r="Z17" s="2334" t="s">
        <v>2061</v>
      </c>
      <c r="AA17" s="2296" t="s">
        <v>1665</v>
      </c>
    </row>
    <row r="18" spans="1:27" s="2290" customFormat="1" hidden="1" x14ac:dyDescent="0.25">
      <c r="A18" s="2327"/>
      <c r="B18" s="2325"/>
      <c r="C18" s="2328" t="s">
        <v>1234</v>
      </c>
      <c r="D18" s="2329"/>
      <c r="E18" s="2330"/>
      <c r="F18" s="2331"/>
      <c r="G18" s="2331"/>
      <c r="H18" s="2329"/>
      <c r="I18" s="2331"/>
      <c r="J18" s="2331"/>
      <c r="K18" s="2331"/>
      <c r="L18" s="2329"/>
      <c r="M18" s="2331"/>
      <c r="N18" s="2331"/>
      <c r="O18" s="2332"/>
      <c r="P18" s="2331"/>
      <c r="Q18" s="2331"/>
      <c r="R18" s="2331"/>
      <c r="S18" s="2331">
        <f t="shared" si="2"/>
        <v>0</v>
      </c>
      <c r="T18" s="2331"/>
      <c r="U18" s="2331"/>
      <c r="V18" s="2330">
        <f t="shared" si="0"/>
        <v>0</v>
      </c>
      <c r="W18" s="2330">
        <f t="shared" si="1"/>
        <v>0</v>
      </c>
      <c r="X18" s="2331"/>
      <c r="Y18" s="2331"/>
      <c r="Z18" s="2334"/>
      <c r="AA18" s="2296" t="s">
        <v>1665</v>
      </c>
    </row>
    <row r="19" spans="1:27" s="2326" customFormat="1" hidden="1" x14ac:dyDescent="0.25">
      <c r="A19" s="2318"/>
      <c r="B19" s="2319">
        <v>963</v>
      </c>
      <c r="C19" s="2320" t="s">
        <v>798</v>
      </c>
      <c r="D19" s="2321"/>
      <c r="E19" s="2322"/>
      <c r="F19" s="2323">
        <f>SUM(F21:F22)</f>
        <v>24.8</v>
      </c>
      <c r="G19" s="2323"/>
      <c r="H19" s="2321"/>
      <c r="I19" s="2323"/>
      <c r="J19" s="2323">
        <f>SUM(J21:J22)</f>
        <v>24.8</v>
      </c>
      <c r="K19" s="2323"/>
      <c r="L19" s="2321"/>
      <c r="M19" s="2323"/>
      <c r="N19" s="2323">
        <f>SUM(N21:N22)</f>
        <v>24.8</v>
      </c>
      <c r="O19" s="2324"/>
      <c r="P19" s="2323"/>
      <c r="Q19" s="2323"/>
      <c r="R19" s="2323">
        <f>SUM(R20:R24)</f>
        <v>19</v>
      </c>
      <c r="S19" s="2323">
        <f t="shared" si="2"/>
        <v>19</v>
      </c>
      <c r="T19" s="2323"/>
      <c r="U19" s="2323">
        <f>SUM(U20:U24)</f>
        <v>0</v>
      </c>
      <c r="V19" s="2323">
        <f t="shared" si="0"/>
        <v>-5.8</v>
      </c>
      <c r="W19" s="2323">
        <f t="shared" si="1"/>
        <v>76.599999999999994</v>
      </c>
      <c r="X19" s="2323">
        <f>SUM(X20:X23)</f>
        <v>24</v>
      </c>
      <c r="Y19" s="2323">
        <f>SUM(Y20:Y23)</f>
        <v>24</v>
      </c>
      <c r="Z19" s="2325"/>
      <c r="AA19" s="2296" t="s">
        <v>1665</v>
      </c>
    </row>
    <row r="20" spans="1:27" s="2326" customFormat="1" ht="45" hidden="1" x14ac:dyDescent="0.25">
      <c r="A20" s="2318"/>
      <c r="B20" s="2319"/>
      <c r="C20" s="2335" t="s">
        <v>2062</v>
      </c>
      <c r="D20" s="2329"/>
      <c r="E20" s="2330"/>
      <c r="F20" s="2331"/>
      <c r="G20" s="2331"/>
      <c r="H20" s="2329"/>
      <c r="I20" s="2331"/>
      <c r="J20" s="2331"/>
      <c r="K20" s="2331"/>
      <c r="L20" s="2329"/>
      <c r="M20" s="2331"/>
      <c r="N20" s="2331"/>
      <c r="O20" s="2332"/>
      <c r="P20" s="2331">
        <v>150</v>
      </c>
      <c r="Q20" s="2331">
        <v>100</v>
      </c>
      <c r="R20" s="2331">
        <f>(P20*Q20)/1000</f>
        <v>15</v>
      </c>
      <c r="S20" s="2331">
        <f t="shared" si="2"/>
        <v>15</v>
      </c>
      <c r="T20" s="2331"/>
      <c r="U20" s="2323"/>
      <c r="V20" s="2336">
        <f t="shared" si="0"/>
        <v>15</v>
      </c>
      <c r="W20" s="2336">
        <f t="shared" si="1"/>
        <v>0</v>
      </c>
      <c r="X20" s="2331">
        <v>15</v>
      </c>
      <c r="Y20" s="2331">
        <v>15</v>
      </c>
      <c r="Z20" s="2337" t="s">
        <v>2063</v>
      </c>
      <c r="AA20" s="2296" t="s">
        <v>1665</v>
      </c>
    </row>
    <row r="21" spans="1:27" s="2290" customFormat="1" ht="60" hidden="1" x14ac:dyDescent="0.25">
      <c r="A21" s="2327"/>
      <c r="B21" s="2325"/>
      <c r="C21" s="2335" t="s">
        <v>2064</v>
      </c>
      <c r="D21" s="2329">
        <v>33</v>
      </c>
      <c r="E21" s="2330">
        <v>200</v>
      </c>
      <c r="F21" s="2331">
        <f>D21*E21/1000</f>
        <v>6.6</v>
      </c>
      <c r="G21" s="2331"/>
      <c r="H21" s="2329">
        <v>33</v>
      </c>
      <c r="I21" s="2331">
        <v>200</v>
      </c>
      <c r="J21" s="2331">
        <f>H21*I21/1000</f>
        <v>6.6</v>
      </c>
      <c r="K21" s="2331"/>
      <c r="L21" s="2329">
        <v>33</v>
      </c>
      <c r="M21" s="2331">
        <v>200</v>
      </c>
      <c r="N21" s="2331">
        <f>L21*M21/1000</f>
        <v>6.6</v>
      </c>
      <c r="O21" s="2332"/>
      <c r="P21" s="2331"/>
      <c r="Q21" s="2331"/>
      <c r="R21" s="2331"/>
      <c r="S21" s="2331">
        <f t="shared" si="2"/>
        <v>0</v>
      </c>
      <c r="T21" s="2331"/>
      <c r="U21" s="2331"/>
      <c r="V21" s="2333">
        <f t="shared" si="0"/>
        <v>-6.6</v>
      </c>
      <c r="W21" s="2333">
        <f t="shared" si="1"/>
        <v>0</v>
      </c>
      <c r="X21" s="2331">
        <v>8</v>
      </c>
      <c r="Y21" s="2331">
        <v>8</v>
      </c>
      <c r="Z21" s="2337" t="s">
        <v>2065</v>
      </c>
      <c r="AA21" s="2296" t="s">
        <v>1665</v>
      </c>
    </row>
    <row r="22" spans="1:27" s="2290" customFormat="1" hidden="1" x14ac:dyDescent="0.25">
      <c r="A22" s="2327"/>
      <c r="B22" s="2325"/>
      <c r="C22" s="2335" t="s">
        <v>2066</v>
      </c>
      <c r="D22" s="2329">
        <v>91</v>
      </c>
      <c r="E22" s="2330">
        <v>200</v>
      </c>
      <c r="F22" s="2331">
        <v>18.2</v>
      </c>
      <c r="G22" s="2331"/>
      <c r="H22" s="2329">
        <v>91</v>
      </c>
      <c r="I22" s="2331">
        <v>200</v>
      </c>
      <c r="J22" s="2331">
        <v>18.2</v>
      </c>
      <c r="K22" s="2331"/>
      <c r="L22" s="2329">
        <v>91</v>
      </c>
      <c r="M22" s="2331">
        <v>200</v>
      </c>
      <c r="N22" s="2331">
        <v>18.2</v>
      </c>
      <c r="O22" s="2332"/>
      <c r="P22" s="2331">
        <v>40</v>
      </c>
      <c r="Q22" s="2331">
        <v>25</v>
      </c>
      <c r="R22" s="2331">
        <f t="shared" ref="R22:R30" si="3">P22*Q22/1000</f>
        <v>1</v>
      </c>
      <c r="S22" s="2331">
        <f t="shared" si="2"/>
        <v>1</v>
      </c>
      <c r="T22" s="2331"/>
      <c r="U22" s="2331"/>
      <c r="V22" s="2333">
        <f t="shared" si="0"/>
        <v>-17.2</v>
      </c>
      <c r="W22" s="2333">
        <f t="shared" si="1"/>
        <v>5.5</v>
      </c>
      <c r="X22" s="2331">
        <v>1</v>
      </c>
      <c r="Y22" s="2331">
        <v>1</v>
      </c>
      <c r="Z22" s="2337"/>
      <c r="AA22" s="2296" t="s">
        <v>1665</v>
      </c>
    </row>
    <row r="23" spans="1:27" s="2290" customFormat="1" ht="31.5" hidden="1" x14ac:dyDescent="0.25">
      <c r="A23" s="2327"/>
      <c r="B23" s="2319"/>
      <c r="C23" s="2338" t="s">
        <v>2067</v>
      </c>
      <c r="D23" s="2329"/>
      <c r="E23" s="2330"/>
      <c r="F23" s="2331"/>
      <c r="G23" s="2331"/>
      <c r="H23" s="2329"/>
      <c r="I23" s="2331"/>
      <c r="J23" s="2331"/>
      <c r="K23" s="2331"/>
      <c r="L23" s="2329"/>
      <c r="M23" s="2331"/>
      <c r="N23" s="2331"/>
      <c r="O23" s="2332"/>
      <c r="P23" s="2331">
        <v>0</v>
      </c>
      <c r="Q23" s="2331">
        <v>0</v>
      </c>
      <c r="R23" s="2331">
        <f t="shared" si="3"/>
        <v>0</v>
      </c>
      <c r="S23" s="2331">
        <f t="shared" si="2"/>
        <v>0</v>
      </c>
      <c r="T23" s="2331"/>
      <c r="U23" s="2331"/>
      <c r="V23" s="2333">
        <f t="shared" si="0"/>
        <v>0</v>
      </c>
      <c r="W23" s="2333">
        <f t="shared" si="1"/>
        <v>0</v>
      </c>
      <c r="X23" s="2331">
        <v>0</v>
      </c>
      <c r="Y23" s="2331">
        <v>0</v>
      </c>
      <c r="Z23" s="2337"/>
      <c r="AA23" s="2296" t="s">
        <v>1665</v>
      </c>
    </row>
    <row r="24" spans="1:27" s="2290" customFormat="1" ht="75" hidden="1" x14ac:dyDescent="0.25">
      <c r="A24" s="2327"/>
      <c r="B24" s="2325"/>
      <c r="C24" s="2338" t="s">
        <v>2068</v>
      </c>
      <c r="D24" s="2329"/>
      <c r="E24" s="2330"/>
      <c r="F24" s="2331"/>
      <c r="G24" s="2331"/>
      <c r="H24" s="2329"/>
      <c r="I24" s="2331"/>
      <c r="J24" s="2331"/>
      <c r="K24" s="2331"/>
      <c r="L24" s="2329"/>
      <c r="M24" s="2331"/>
      <c r="N24" s="2331"/>
      <c r="O24" s="2332"/>
      <c r="P24" s="2331">
        <v>150</v>
      </c>
      <c r="Q24" s="2331">
        <v>20</v>
      </c>
      <c r="R24" s="2331">
        <f t="shared" si="3"/>
        <v>3</v>
      </c>
      <c r="S24" s="2331">
        <f t="shared" si="2"/>
        <v>3</v>
      </c>
      <c r="T24" s="2331"/>
      <c r="U24" s="2331"/>
      <c r="V24" s="2333">
        <f t="shared" si="0"/>
        <v>3</v>
      </c>
      <c r="W24" s="2333">
        <f t="shared" si="1"/>
        <v>0</v>
      </c>
      <c r="X24" s="2331">
        <v>3</v>
      </c>
      <c r="Y24" s="2331">
        <v>3</v>
      </c>
      <c r="Z24" s="2337" t="s">
        <v>2069</v>
      </c>
      <c r="AA24" s="2296" t="s">
        <v>1665</v>
      </c>
    </row>
    <row r="25" spans="1:27" s="2290" customFormat="1" ht="31.5" hidden="1" x14ac:dyDescent="0.25">
      <c r="A25" s="2327"/>
      <c r="B25" s="2319">
        <v>963</v>
      </c>
      <c r="C25" s="2339" t="s">
        <v>1927</v>
      </c>
      <c r="D25" s="2329"/>
      <c r="E25" s="2330"/>
      <c r="F25" s="2331"/>
      <c r="G25" s="2331"/>
      <c r="H25" s="2329"/>
      <c r="I25" s="2331"/>
      <c r="J25" s="2331"/>
      <c r="K25" s="2331"/>
      <c r="L25" s="2329"/>
      <c r="M25" s="2331"/>
      <c r="N25" s="2331"/>
      <c r="O25" s="2332"/>
      <c r="P25" s="2323"/>
      <c r="Q25" s="2323"/>
      <c r="R25" s="2323"/>
      <c r="S25" s="2323">
        <f t="shared" si="2"/>
        <v>0</v>
      </c>
      <c r="T25" s="2323"/>
      <c r="U25" s="2323">
        <f>U26</f>
        <v>0</v>
      </c>
      <c r="V25" s="2323">
        <f t="shared" si="0"/>
        <v>0</v>
      </c>
      <c r="W25" s="2323">
        <f t="shared" si="1"/>
        <v>0</v>
      </c>
      <c r="X25" s="2323">
        <f>R25</f>
        <v>0</v>
      </c>
      <c r="Y25" s="2323">
        <f>X25</f>
        <v>0</v>
      </c>
      <c r="Z25" s="2337"/>
      <c r="AA25" s="2296" t="s">
        <v>1665</v>
      </c>
    </row>
    <row r="26" spans="1:27" s="2326" customFormat="1" x14ac:dyDescent="0.25">
      <c r="A26" s="2318"/>
      <c r="B26" s="2319">
        <v>981</v>
      </c>
      <c r="C26" s="2340" t="s">
        <v>1226</v>
      </c>
      <c r="D26" s="2321"/>
      <c r="E26" s="2322"/>
      <c r="F26" s="2323">
        <f>F27</f>
        <v>15</v>
      </c>
      <c r="G26" s="2323"/>
      <c r="H26" s="2321"/>
      <c r="I26" s="2323"/>
      <c r="J26" s="2323">
        <f>J27</f>
        <v>7.5</v>
      </c>
      <c r="K26" s="2323"/>
      <c r="L26" s="2321"/>
      <c r="M26" s="2323"/>
      <c r="N26" s="2323">
        <f>N27</f>
        <v>7.5</v>
      </c>
      <c r="O26" s="2324"/>
      <c r="P26" s="2323">
        <v>55</v>
      </c>
      <c r="Q26" s="2323">
        <v>150</v>
      </c>
      <c r="R26" s="2323">
        <f>P26*Q26/1000</f>
        <v>8.3000000000000007</v>
      </c>
      <c r="S26" s="2323">
        <f t="shared" si="2"/>
        <v>8.3000000000000007</v>
      </c>
      <c r="T26" s="2323"/>
      <c r="U26" s="2331"/>
      <c r="V26" s="2333">
        <f t="shared" si="0"/>
        <v>0.8</v>
      </c>
      <c r="W26" s="2333">
        <f t="shared" si="1"/>
        <v>110.7</v>
      </c>
      <c r="X26" s="2331">
        <f t="shared" ref="X26:X32" si="4">R26</f>
        <v>8.3000000000000007</v>
      </c>
      <c r="Y26" s="2331">
        <f t="shared" ref="Y26:Y32" si="5">X26</f>
        <v>8.3000000000000007</v>
      </c>
      <c r="Z26" s="2341" t="s">
        <v>2070</v>
      </c>
      <c r="AA26" s="2296" t="s">
        <v>1665</v>
      </c>
    </row>
    <row r="27" spans="1:27" s="2290" customFormat="1" hidden="1" x14ac:dyDescent="0.25">
      <c r="A27" s="2327"/>
      <c r="B27" s="2325"/>
      <c r="C27" s="2335" t="s">
        <v>2071</v>
      </c>
      <c r="D27" s="2329">
        <v>150</v>
      </c>
      <c r="E27" s="2330">
        <v>100</v>
      </c>
      <c r="F27" s="2331">
        <f>D27*E27/1000</f>
        <v>15</v>
      </c>
      <c r="G27" s="2331"/>
      <c r="H27" s="2329">
        <v>150</v>
      </c>
      <c r="I27" s="2331">
        <v>50</v>
      </c>
      <c r="J27" s="2331">
        <f>H27*I27/1000</f>
        <v>7.5</v>
      </c>
      <c r="K27" s="2331"/>
      <c r="L27" s="2329">
        <v>150</v>
      </c>
      <c r="M27" s="2331">
        <v>50</v>
      </c>
      <c r="N27" s="2331">
        <f>L27*M27/1000</f>
        <v>7.5</v>
      </c>
      <c r="O27" s="2332"/>
      <c r="P27" s="2342"/>
      <c r="Q27" s="2342"/>
      <c r="R27" s="2342"/>
      <c r="S27" s="2342">
        <f t="shared" si="2"/>
        <v>0</v>
      </c>
      <c r="T27" s="2342"/>
      <c r="U27" s="2323">
        <f>U28+U29+U30</f>
        <v>0</v>
      </c>
      <c r="V27" s="2323">
        <f t="shared" si="0"/>
        <v>-7.5</v>
      </c>
      <c r="W27" s="2323">
        <f t="shared" si="1"/>
        <v>0</v>
      </c>
      <c r="X27" s="2323">
        <f t="shared" si="4"/>
        <v>0</v>
      </c>
      <c r="Y27" s="2323">
        <f t="shared" si="5"/>
        <v>0</v>
      </c>
      <c r="Z27" s="2343"/>
      <c r="AA27" s="2296" t="s">
        <v>1665</v>
      </c>
    </row>
    <row r="28" spans="1:27" s="2326" customFormat="1" ht="120" x14ac:dyDescent="0.25">
      <c r="A28" s="2318"/>
      <c r="B28" s="2319">
        <v>981</v>
      </c>
      <c r="C28" s="2340" t="s">
        <v>2072</v>
      </c>
      <c r="D28" s="2321"/>
      <c r="E28" s="2322"/>
      <c r="F28" s="2323">
        <f>SUM(F29:F31)</f>
        <v>5.3</v>
      </c>
      <c r="G28" s="2323"/>
      <c r="H28" s="2321"/>
      <c r="I28" s="2323"/>
      <c r="J28" s="2323">
        <f>SUM(J29:J31)</f>
        <v>1.1000000000000001</v>
      </c>
      <c r="K28" s="2323"/>
      <c r="L28" s="2321"/>
      <c r="M28" s="2323"/>
      <c r="N28" s="2323">
        <f>SUM(N29:N31)</f>
        <v>1.1000000000000001</v>
      </c>
      <c r="O28" s="2324"/>
      <c r="P28" s="2323"/>
      <c r="Q28" s="2323"/>
      <c r="R28" s="2323">
        <f>R29+R30</f>
        <v>2.6</v>
      </c>
      <c r="S28" s="2323">
        <f t="shared" si="2"/>
        <v>2.6</v>
      </c>
      <c r="T28" s="2323"/>
      <c r="U28" s="2331"/>
      <c r="V28" s="2333">
        <f t="shared" si="0"/>
        <v>1.5</v>
      </c>
      <c r="W28" s="2333">
        <f t="shared" si="1"/>
        <v>236.4</v>
      </c>
      <c r="X28" s="2323">
        <f t="shared" si="4"/>
        <v>2.6</v>
      </c>
      <c r="Y28" s="2323">
        <f t="shared" si="5"/>
        <v>2.6</v>
      </c>
      <c r="Z28" s="2344" t="s">
        <v>2073</v>
      </c>
      <c r="AA28" s="2296" t="s">
        <v>1665</v>
      </c>
    </row>
    <row r="29" spans="1:27" s="2290" customFormat="1" hidden="1" x14ac:dyDescent="0.25">
      <c r="A29" s="2327"/>
      <c r="B29" s="2325"/>
      <c r="C29" s="2328" t="s">
        <v>1612</v>
      </c>
      <c r="D29" s="2329">
        <v>21</v>
      </c>
      <c r="E29" s="2330">
        <v>100</v>
      </c>
      <c r="F29" s="2331">
        <f>D29*E29/1000</f>
        <v>2.1</v>
      </c>
      <c r="G29" s="2331"/>
      <c r="H29" s="2329">
        <v>11</v>
      </c>
      <c r="I29" s="2331">
        <v>100</v>
      </c>
      <c r="J29" s="2331">
        <f>H29*I29/1000</f>
        <v>1.1000000000000001</v>
      </c>
      <c r="K29" s="2331"/>
      <c r="L29" s="2329">
        <v>11</v>
      </c>
      <c r="M29" s="2331">
        <v>100</v>
      </c>
      <c r="N29" s="2331">
        <f>L29*M29/1000</f>
        <v>1.1000000000000001</v>
      </c>
      <c r="O29" s="2332"/>
      <c r="P29" s="2331">
        <v>26</v>
      </c>
      <c r="Q29" s="2331">
        <v>100</v>
      </c>
      <c r="R29" s="2331">
        <f>P29*Q29/1000</f>
        <v>2.6</v>
      </c>
      <c r="S29" s="2331">
        <f t="shared" si="2"/>
        <v>2.6</v>
      </c>
      <c r="T29" s="2331"/>
      <c r="U29" s="2331"/>
      <c r="V29" s="2333">
        <f t="shared" si="0"/>
        <v>1.5</v>
      </c>
      <c r="W29" s="2333">
        <f t="shared" si="1"/>
        <v>236.4</v>
      </c>
      <c r="X29" s="2323">
        <f t="shared" si="4"/>
        <v>2.6</v>
      </c>
      <c r="Y29" s="2323">
        <f t="shared" si="5"/>
        <v>2.6</v>
      </c>
      <c r="Z29" s="2325"/>
      <c r="AA29" s="2296" t="s">
        <v>1665</v>
      </c>
    </row>
    <row r="30" spans="1:27" s="2290" customFormat="1" hidden="1" x14ac:dyDescent="0.25">
      <c r="A30" s="2327"/>
      <c r="B30" s="2325"/>
      <c r="C30" s="2335" t="s">
        <v>1412</v>
      </c>
      <c r="D30" s="2329">
        <v>1</v>
      </c>
      <c r="E30" s="2330">
        <v>2000</v>
      </c>
      <c r="F30" s="2331">
        <f>D30*E30/1000</f>
        <v>2</v>
      </c>
      <c r="G30" s="2331"/>
      <c r="H30" s="2329"/>
      <c r="I30" s="2331"/>
      <c r="J30" s="2331"/>
      <c r="K30" s="2331"/>
      <c r="L30" s="2329"/>
      <c r="M30" s="2331"/>
      <c r="N30" s="2331"/>
      <c r="O30" s="2332"/>
      <c r="P30" s="2331"/>
      <c r="Q30" s="2331"/>
      <c r="R30" s="2331">
        <f t="shared" si="3"/>
        <v>0</v>
      </c>
      <c r="S30" s="2331">
        <f t="shared" si="2"/>
        <v>0</v>
      </c>
      <c r="T30" s="2331"/>
      <c r="U30" s="2331"/>
      <c r="V30" s="2333">
        <f t="shared" si="0"/>
        <v>0</v>
      </c>
      <c r="W30" s="2333">
        <f t="shared" si="1"/>
        <v>0</v>
      </c>
      <c r="X30" s="2323">
        <f t="shared" si="4"/>
        <v>0</v>
      </c>
      <c r="Y30" s="2323">
        <f t="shared" si="5"/>
        <v>0</v>
      </c>
      <c r="Z30" s="2345"/>
      <c r="AA30" s="2296" t="s">
        <v>1665</v>
      </c>
    </row>
    <row r="31" spans="1:27" s="2290" customFormat="1" ht="78.75" hidden="1" x14ac:dyDescent="0.25">
      <c r="A31" s="2327"/>
      <c r="B31" s="2325"/>
      <c r="C31" s="2335" t="s">
        <v>2074</v>
      </c>
      <c r="D31" s="2329">
        <v>4</v>
      </c>
      <c r="E31" s="2330">
        <v>300</v>
      </c>
      <c r="F31" s="2331">
        <f>D31*E31/1000</f>
        <v>1.2</v>
      </c>
      <c r="G31" s="2331"/>
      <c r="H31" s="2329"/>
      <c r="I31" s="2331"/>
      <c r="J31" s="2331"/>
      <c r="K31" s="2331"/>
      <c r="L31" s="2329"/>
      <c r="M31" s="2331"/>
      <c r="N31" s="2331"/>
      <c r="O31" s="2332"/>
      <c r="P31" s="2331"/>
      <c r="Q31" s="2331"/>
      <c r="R31" s="2342"/>
      <c r="S31" s="2342">
        <f t="shared" si="2"/>
        <v>0</v>
      </c>
      <c r="T31" s="2342"/>
      <c r="U31" s="2331"/>
      <c r="V31" s="2333">
        <f t="shared" si="0"/>
        <v>0</v>
      </c>
      <c r="W31" s="2333">
        <f t="shared" si="1"/>
        <v>0</v>
      </c>
      <c r="X31" s="2323">
        <f t="shared" si="4"/>
        <v>0</v>
      </c>
      <c r="Y31" s="2323">
        <f t="shared" si="5"/>
        <v>0</v>
      </c>
      <c r="Z31" s="2346" t="s">
        <v>2075</v>
      </c>
      <c r="AA31" s="2296" t="s">
        <v>1665</v>
      </c>
    </row>
    <row r="32" spans="1:27" s="2290" customFormat="1" ht="31.5" x14ac:dyDescent="0.25">
      <c r="A32" s="2327"/>
      <c r="B32" s="2319">
        <v>981</v>
      </c>
      <c r="C32" s="2339" t="s">
        <v>2076</v>
      </c>
      <c r="D32" s="2329"/>
      <c r="E32" s="2330"/>
      <c r="F32" s="2331"/>
      <c r="G32" s="2331"/>
      <c r="H32" s="2329"/>
      <c r="I32" s="2331"/>
      <c r="J32" s="2331"/>
      <c r="K32" s="2331"/>
      <c r="L32" s="2329"/>
      <c r="M32" s="2331"/>
      <c r="N32" s="2331"/>
      <c r="O32" s="2332"/>
      <c r="P32" s="2331"/>
      <c r="Q32" s="2331"/>
      <c r="R32" s="2323">
        <v>4</v>
      </c>
      <c r="S32" s="2323">
        <f t="shared" si="2"/>
        <v>4</v>
      </c>
      <c r="T32" s="2323"/>
      <c r="U32" s="2331"/>
      <c r="V32" s="2333">
        <f t="shared" si="0"/>
        <v>4</v>
      </c>
      <c r="W32" s="2333">
        <f t="shared" si="1"/>
        <v>0</v>
      </c>
      <c r="X32" s="2323">
        <f t="shared" si="4"/>
        <v>4</v>
      </c>
      <c r="Y32" s="2323">
        <f t="shared" si="5"/>
        <v>4</v>
      </c>
      <c r="Z32" s="2345"/>
      <c r="AA32" s="2296" t="s">
        <v>1665</v>
      </c>
    </row>
    <row r="33" spans="1:27" s="2350" customFormat="1" ht="47.25" hidden="1" x14ac:dyDescent="0.2">
      <c r="A33" s="2311">
        <v>3</v>
      </c>
      <c r="B33" s="2347"/>
      <c r="C33" s="2312" t="s">
        <v>2077</v>
      </c>
      <c r="D33" s="2311"/>
      <c r="E33" s="2348"/>
      <c r="F33" s="2349">
        <f>F34+F40+F43+F46+F47</f>
        <v>105.6</v>
      </c>
      <c r="G33" s="2349"/>
      <c r="H33" s="2349"/>
      <c r="I33" s="2349"/>
      <c r="J33" s="2349"/>
      <c r="K33" s="2349"/>
      <c r="L33" s="2349"/>
      <c r="M33" s="2349"/>
      <c r="N33" s="2349"/>
      <c r="O33" s="2349"/>
      <c r="P33" s="2349"/>
      <c r="Q33" s="2349"/>
      <c r="R33" s="2349">
        <f>R34+R40+R43+R46+R47</f>
        <v>104.1</v>
      </c>
      <c r="S33" s="2349">
        <f t="shared" si="2"/>
        <v>104.1</v>
      </c>
      <c r="T33" s="2349"/>
      <c r="U33" s="2349"/>
      <c r="V33" s="2349">
        <f t="shared" si="0"/>
        <v>104.1</v>
      </c>
      <c r="W33" s="2349">
        <f t="shared" si="1"/>
        <v>0</v>
      </c>
      <c r="X33" s="2349">
        <f>X34+X40+X43+X46+X47</f>
        <v>21.5</v>
      </c>
      <c r="Y33" s="2349">
        <f>Y34+Y40+Y43+Y46+Y47</f>
        <v>104.1</v>
      </c>
      <c r="Z33" s="2316"/>
      <c r="AA33" s="2296" t="s">
        <v>1665</v>
      </c>
    </row>
    <row r="34" spans="1:27" s="2326" customFormat="1" ht="31.5" hidden="1" x14ac:dyDescent="0.25">
      <c r="A34" s="2318"/>
      <c r="B34" s="2319">
        <v>955</v>
      </c>
      <c r="C34" s="2320" t="s">
        <v>1401</v>
      </c>
      <c r="D34" s="2329"/>
      <c r="E34" s="2351"/>
      <c r="F34" s="2336">
        <f>SUM(F35:F39)</f>
        <v>18.600000000000001</v>
      </c>
      <c r="G34" s="2336"/>
      <c r="H34" s="2336"/>
      <c r="I34" s="2336"/>
      <c r="J34" s="2336"/>
      <c r="K34" s="2336"/>
      <c r="L34" s="2336"/>
      <c r="M34" s="2336"/>
      <c r="N34" s="2336"/>
      <c r="O34" s="2352"/>
      <c r="P34" s="2336"/>
      <c r="Q34" s="2336"/>
      <c r="R34" s="2336">
        <f>SUM(R35:R39)</f>
        <v>16</v>
      </c>
      <c r="S34" s="2336">
        <f t="shared" si="2"/>
        <v>16</v>
      </c>
      <c r="T34" s="2336"/>
      <c r="U34" s="2336"/>
      <c r="V34" s="2336">
        <f t="shared" si="0"/>
        <v>16</v>
      </c>
      <c r="W34" s="2336">
        <f t="shared" si="1"/>
        <v>0</v>
      </c>
      <c r="X34" s="2336"/>
      <c r="Y34" s="2336">
        <v>16</v>
      </c>
      <c r="Z34" s="2353"/>
      <c r="AA34" s="2296" t="s">
        <v>1665</v>
      </c>
    </row>
    <row r="35" spans="1:27" s="2290" customFormat="1" hidden="1" x14ac:dyDescent="0.25">
      <c r="A35" s="2327"/>
      <c r="B35" s="2325"/>
      <c r="C35" s="2328" t="s">
        <v>1519</v>
      </c>
      <c r="D35" s="2329">
        <v>1</v>
      </c>
      <c r="E35" s="2354">
        <v>3450</v>
      </c>
      <c r="F35" s="2333">
        <f>D35*E35/1000</f>
        <v>3.5</v>
      </c>
      <c r="G35" s="2333"/>
      <c r="H35" s="2333"/>
      <c r="I35" s="2333"/>
      <c r="J35" s="2333"/>
      <c r="K35" s="2333"/>
      <c r="L35" s="2333"/>
      <c r="M35" s="2333"/>
      <c r="N35" s="2333"/>
      <c r="O35" s="2355"/>
      <c r="P35" s="2333">
        <v>1</v>
      </c>
      <c r="Q35" s="2333">
        <v>3450</v>
      </c>
      <c r="R35" s="2333">
        <f>Q35*P35/1000</f>
        <v>3.5</v>
      </c>
      <c r="S35" s="2333">
        <f t="shared" si="2"/>
        <v>3.5</v>
      </c>
      <c r="T35" s="2333"/>
      <c r="U35" s="2333"/>
      <c r="V35" s="2333">
        <f t="shared" si="0"/>
        <v>3.5</v>
      </c>
      <c r="W35" s="2333">
        <f t="shared" si="1"/>
        <v>0</v>
      </c>
      <c r="X35" s="2333"/>
      <c r="Y35" s="2356">
        <v>3.45</v>
      </c>
      <c r="Z35" s="2353"/>
      <c r="AA35" s="2296" t="s">
        <v>1665</v>
      </c>
    </row>
    <row r="36" spans="1:27" s="2290" customFormat="1" hidden="1" x14ac:dyDescent="0.25">
      <c r="A36" s="2327"/>
      <c r="B36" s="2325"/>
      <c r="C36" s="2328" t="s">
        <v>1686</v>
      </c>
      <c r="D36" s="2329">
        <v>2</v>
      </c>
      <c r="E36" s="2354">
        <v>2300</v>
      </c>
      <c r="F36" s="2333">
        <f>D36*E36/1000</f>
        <v>4.5999999999999996</v>
      </c>
      <c r="G36" s="2333"/>
      <c r="H36" s="2333"/>
      <c r="I36" s="2333"/>
      <c r="J36" s="2333"/>
      <c r="K36" s="2333"/>
      <c r="L36" s="2333"/>
      <c r="M36" s="2333"/>
      <c r="N36" s="2333"/>
      <c r="O36" s="2355"/>
      <c r="P36" s="2333">
        <v>2</v>
      </c>
      <c r="Q36" s="2333">
        <v>2300</v>
      </c>
      <c r="R36" s="2333">
        <f>Q36*P36/1000</f>
        <v>4.5999999999999996</v>
      </c>
      <c r="S36" s="2333">
        <f t="shared" si="2"/>
        <v>4.5999999999999996</v>
      </c>
      <c r="T36" s="2333"/>
      <c r="U36" s="2333"/>
      <c r="V36" s="2333">
        <f t="shared" si="0"/>
        <v>4.5999999999999996</v>
      </c>
      <c r="W36" s="2333">
        <f t="shared" si="1"/>
        <v>0</v>
      </c>
      <c r="X36" s="2333"/>
      <c r="Y36" s="2333">
        <v>4.5999999999999996</v>
      </c>
      <c r="Z36" s="2353"/>
      <c r="AA36" s="2296" t="s">
        <v>1665</v>
      </c>
    </row>
    <row r="37" spans="1:27" s="2290" customFormat="1" ht="31.5" hidden="1" x14ac:dyDescent="0.25">
      <c r="A37" s="2327"/>
      <c r="B37" s="2325"/>
      <c r="C37" s="2328" t="s">
        <v>2078</v>
      </c>
      <c r="D37" s="2329">
        <v>1</v>
      </c>
      <c r="E37" s="2354">
        <v>2000</v>
      </c>
      <c r="F37" s="2333">
        <f>D37*E37/1000</f>
        <v>2</v>
      </c>
      <c r="G37" s="2333"/>
      <c r="H37" s="2333"/>
      <c r="I37" s="2333"/>
      <c r="J37" s="2333"/>
      <c r="K37" s="2333"/>
      <c r="L37" s="2333"/>
      <c r="M37" s="2333"/>
      <c r="N37" s="2333"/>
      <c r="O37" s="2355"/>
      <c r="P37" s="2333">
        <v>0</v>
      </c>
      <c r="Q37" s="2333">
        <v>0</v>
      </c>
      <c r="R37" s="2333">
        <f>Q37*P37/1000</f>
        <v>0</v>
      </c>
      <c r="S37" s="2333">
        <f t="shared" si="2"/>
        <v>0</v>
      </c>
      <c r="T37" s="2333"/>
      <c r="U37" s="2333"/>
      <c r="V37" s="2333">
        <f t="shared" si="0"/>
        <v>0</v>
      </c>
      <c r="W37" s="2333">
        <f t="shared" si="1"/>
        <v>0</v>
      </c>
      <c r="X37" s="2333"/>
      <c r="Y37" s="2333">
        <v>0</v>
      </c>
      <c r="Z37" s="2353"/>
      <c r="AA37" s="2296" t="s">
        <v>1665</v>
      </c>
    </row>
    <row r="38" spans="1:27" s="2290" customFormat="1" ht="110.25" hidden="1" x14ac:dyDescent="0.25">
      <c r="A38" s="2327"/>
      <c r="B38" s="2325"/>
      <c r="C38" s="2328" t="s">
        <v>1930</v>
      </c>
      <c r="D38" s="2329">
        <v>1</v>
      </c>
      <c r="E38" s="2354">
        <v>4500</v>
      </c>
      <c r="F38" s="2333">
        <f>D38*E38/1000</f>
        <v>4.5</v>
      </c>
      <c r="G38" s="2333"/>
      <c r="H38" s="2333"/>
      <c r="I38" s="2333"/>
      <c r="J38" s="2333"/>
      <c r="K38" s="2333"/>
      <c r="L38" s="2333"/>
      <c r="M38" s="2333"/>
      <c r="N38" s="2333"/>
      <c r="O38" s="2355"/>
      <c r="P38" s="2333">
        <v>1</v>
      </c>
      <c r="Q38" s="2333">
        <v>4500</v>
      </c>
      <c r="R38" s="2333">
        <f>Q38*P38/1000</f>
        <v>4.5</v>
      </c>
      <c r="S38" s="2333">
        <f t="shared" si="2"/>
        <v>4.5</v>
      </c>
      <c r="T38" s="2333"/>
      <c r="U38" s="2333"/>
      <c r="V38" s="2333">
        <f t="shared" si="0"/>
        <v>4.5</v>
      </c>
      <c r="W38" s="2333">
        <f t="shared" si="1"/>
        <v>0</v>
      </c>
      <c r="X38" s="2333"/>
      <c r="Y38" s="2333">
        <v>4.5</v>
      </c>
      <c r="Z38" s="2353" t="s">
        <v>2079</v>
      </c>
      <c r="AA38" s="2296" t="s">
        <v>1665</v>
      </c>
    </row>
    <row r="39" spans="1:27" s="2290" customFormat="1" hidden="1" x14ac:dyDescent="0.25">
      <c r="A39" s="2327"/>
      <c r="B39" s="2325"/>
      <c r="C39" s="2328" t="s">
        <v>1234</v>
      </c>
      <c r="D39" s="2329"/>
      <c r="E39" s="2354"/>
      <c r="F39" s="2333">
        <f>SUM(F35:F38)*0.271</f>
        <v>4</v>
      </c>
      <c r="G39" s="2333"/>
      <c r="H39" s="2333"/>
      <c r="I39" s="2333"/>
      <c r="J39" s="2333"/>
      <c r="K39" s="2333"/>
      <c r="L39" s="2333"/>
      <c r="M39" s="2333"/>
      <c r="N39" s="2333"/>
      <c r="O39" s="2355"/>
      <c r="P39" s="2333"/>
      <c r="Q39" s="2333"/>
      <c r="R39" s="2333">
        <f>(R35+R36+R37+R38)*0.271</f>
        <v>3.4</v>
      </c>
      <c r="S39" s="2333">
        <f t="shared" si="2"/>
        <v>3.4</v>
      </c>
      <c r="T39" s="2333"/>
      <c r="U39" s="2333"/>
      <c r="V39" s="2333">
        <f t="shared" si="0"/>
        <v>3.4</v>
      </c>
      <c r="W39" s="2333">
        <f t="shared" si="1"/>
        <v>0</v>
      </c>
      <c r="X39" s="2333"/>
      <c r="Y39" s="2333">
        <v>3.4</v>
      </c>
      <c r="Z39" s="2353"/>
      <c r="AA39" s="2296" t="s">
        <v>1665</v>
      </c>
    </row>
    <row r="40" spans="1:27" s="2326" customFormat="1" hidden="1" x14ac:dyDescent="0.25">
      <c r="A40" s="2318"/>
      <c r="B40" s="2319">
        <v>963</v>
      </c>
      <c r="C40" s="2320" t="s">
        <v>798</v>
      </c>
      <c r="D40" s="2329"/>
      <c r="E40" s="2351"/>
      <c r="F40" s="2336">
        <f>SUM(F41:F42)</f>
        <v>58</v>
      </c>
      <c r="G40" s="2336"/>
      <c r="H40" s="2336"/>
      <c r="I40" s="2336"/>
      <c r="J40" s="2336"/>
      <c r="K40" s="2336"/>
      <c r="L40" s="2336"/>
      <c r="M40" s="2336"/>
      <c r="N40" s="2336"/>
      <c r="O40" s="2352"/>
      <c r="P40" s="2336"/>
      <c r="Q40" s="2336"/>
      <c r="R40" s="2336">
        <f>SUM(R41:R42)</f>
        <v>66.599999999999994</v>
      </c>
      <c r="S40" s="2336">
        <f t="shared" si="2"/>
        <v>66.599999999999994</v>
      </c>
      <c r="T40" s="2336"/>
      <c r="U40" s="2336"/>
      <c r="V40" s="2336">
        <f t="shared" si="0"/>
        <v>66.599999999999994</v>
      </c>
      <c r="W40" s="2336">
        <f t="shared" si="1"/>
        <v>0</v>
      </c>
      <c r="X40" s="2336"/>
      <c r="Y40" s="2336">
        <f>SUM(Y41:Y42)</f>
        <v>66.599999999999994</v>
      </c>
      <c r="Z40" s="2353"/>
      <c r="AA40" s="2296" t="s">
        <v>1665</v>
      </c>
    </row>
    <row r="41" spans="1:27" s="2290" customFormat="1" ht="47.25" hidden="1" x14ac:dyDescent="0.25">
      <c r="A41" s="2327"/>
      <c r="B41" s="2325"/>
      <c r="C41" s="2328" t="s">
        <v>2080</v>
      </c>
      <c r="D41" s="2329">
        <v>80</v>
      </c>
      <c r="E41" s="2354">
        <v>725</v>
      </c>
      <c r="F41" s="2333">
        <v>58</v>
      </c>
      <c r="G41" s="2333"/>
      <c r="H41" s="2333"/>
      <c r="I41" s="2333"/>
      <c r="J41" s="2333"/>
      <c r="K41" s="2333"/>
      <c r="L41" s="2333"/>
      <c r="M41" s="2333"/>
      <c r="N41" s="2333"/>
      <c r="O41" s="2355"/>
      <c r="P41" s="2333">
        <v>65</v>
      </c>
      <c r="Q41" s="2333">
        <v>1000</v>
      </c>
      <c r="R41" s="2333">
        <f>Q41*P41/1000</f>
        <v>65</v>
      </c>
      <c r="S41" s="2333">
        <f t="shared" si="2"/>
        <v>65</v>
      </c>
      <c r="T41" s="2333"/>
      <c r="U41" s="2333"/>
      <c r="V41" s="2333">
        <f t="shared" si="0"/>
        <v>65</v>
      </c>
      <c r="W41" s="2333">
        <f t="shared" si="1"/>
        <v>0</v>
      </c>
      <c r="X41" s="2333"/>
      <c r="Y41" s="2333">
        <v>65</v>
      </c>
      <c r="Z41" s="2357" t="s">
        <v>2081</v>
      </c>
      <c r="AA41" s="2296" t="s">
        <v>1665</v>
      </c>
    </row>
    <row r="42" spans="1:27" s="2290" customFormat="1" ht="31.5" hidden="1" x14ac:dyDescent="0.25">
      <c r="A42" s="2327"/>
      <c r="B42" s="2325"/>
      <c r="C42" s="2358" t="s">
        <v>2067</v>
      </c>
      <c r="D42" s="2329"/>
      <c r="E42" s="2354"/>
      <c r="F42" s="2333"/>
      <c r="G42" s="2333"/>
      <c r="H42" s="2333"/>
      <c r="I42" s="2333"/>
      <c r="J42" s="2333"/>
      <c r="K42" s="2333"/>
      <c r="L42" s="2333"/>
      <c r="M42" s="2333"/>
      <c r="N42" s="2333"/>
      <c r="O42" s="2355"/>
      <c r="P42" s="2333">
        <v>65</v>
      </c>
      <c r="Q42" s="2333">
        <v>25</v>
      </c>
      <c r="R42" s="2333">
        <f>Q42*P42/1000</f>
        <v>1.6</v>
      </c>
      <c r="S42" s="2333">
        <f t="shared" si="2"/>
        <v>1.6</v>
      </c>
      <c r="T42" s="2333"/>
      <c r="U42" s="2333"/>
      <c r="V42" s="2333">
        <f t="shared" si="0"/>
        <v>1.6</v>
      </c>
      <c r="W42" s="2333">
        <f t="shared" si="1"/>
        <v>0</v>
      </c>
      <c r="X42" s="2333"/>
      <c r="Y42" s="2333">
        <v>1.6</v>
      </c>
      <c r="Z42" s="2359"/>
      <c r="AA42" s="2296" t="s">
        <v>1665</v>
      </c>
    </row>
    <row r="43" spans="1:27" s="2326" customFormat="1" x14ac:dyDescent="0.25">
      <c r="A43" s="2318"/>
      <c r="B43" s="2319">
        <v>981</v>
      </c>
      <c r="C43" s="2320" t="s">
        <v>1226</v>
      </c>
      <c r="D43" s="2329"/>
      <c r="E43" s="2351"/>
      <c r="F43" s="2336">
        <f>F44+F45</f>
        <v>19.2</v>
      </c>
      <c r="G43" s="2336"/>
      <c r="H43" s="2336"/>
      <c r="I43" s="2336"/>
      <c r="J43" s="2336"/>
      <c r="K43" s="2336"/>
      <c r="L43" s="2336"/>
      <c r="M43" s="2336"/>
      <c r="N43" s="2336"/>
      <c r="O43" s="2352"/>
      <c r="P43" s="2336"/>
      <c r="Q43" s="2336"/>
      <c r="R43" s="2336">
        <f>SUM(R44:R45)</f>
        <v>16.5</v>
      </c>
      <c r="S43" s="2336">
        <f t="shared" si="2"/>
        <v>16.5</v>
      </c>
      <c r="T43" s="2336"/>
      <c r="U43" s="2336"/>
      <c r="V43" s="2336">
        <f t="shared" si="0"/>
        <v>16.5</v>
      </c>
      <c r="W43" s="2336">
        <f t="shared" si="1"/>
        <v>0</v>
      </c>
      <c r="X43" s="2336">
        <v>16.5</v>
      </c>
      <c r="Y43" s="2336">
        <v>16.5</v>
      </c>
      <c r="Z43" s="2353"/>
      <c r="AA43" s="2296" t="s">
        <v>1665</v>
      </c>
    </row>
    <row r="44" spans="1:27" s="2290" customFormat="1" hidden="1" x14ac:dyDescent="0.25">
      <c r="A44" s="2327"/>
      <c r="B44" s="2325"/>
      <c r="C44" s="2328" t="s">
        <v>2082</v>
      </c>
      <c r="D44" s="2329">
        <v>72</v>
      </c>
      <c r="E44" s="2354">
        <v>100</v>
      </c>
      <c r="F44" s="2333">
        <f>D44*E44/1000</f>
        <v>7.2</v>
      </c>
      <c r="G44" s="2333"/>
      <c r="H44" s="2333"/>
      <c r="I44" s="2333"/>
      <c r="J44" s="2333"/>
      <c r="K44" s="2333"/>
      <c r="L44" s="2333"/>
      <c r="M44" s="2333"/>
      <c r="N44" s="2333"/>
      <c r="O44" s="2355"/>
      <c r="P44" s="2333">
        <v>70</v>
      </c>
      <c r="Q44" s="2333">
        <v>150</v>
      </c>
      <c r="R44" s="2333">
        <f>P44*Q44/1000</f>
        <v>10.5</v>
      </c>
      <c r="S44" s="2333">
        <f t="shared" si="2"/>
        <v>10.5</v>
      </c>
      <c r="T44" s="2333"/>
      <c r="U44" s="2333"/>
      <c r="V44" s="2333">
        <f t="shared" si="0"/>
        <v>10.5</v>
      </c>
      <c r="W44" s="2333">
        <f t="shared" si="1"/>
        <v>0</v>
      </c>
      <c r="X44" s="2333"/>
      <c r="Y44" s="2333">
        <v>10.5</v>
      </c>
      <c r="Z44" s="2353"/>
      <c r="AA44" s="2296" t="s">
        <v>1665</v>
      </c>
    </row>
    <row r="45" spans="1:27" s="2290" customFormat="1" hidden="1" x14ac:dyDescent="0.25">
      <c r="A45" s="2327"/>
      <c r="B45" s="2325"/>
      <c r="C45" s="2328" t="s">
        <v>2083</v>
      </c>
      <c r="D45" s="2329">
        <v>4</v>
      </c>
      <c r="E45" s="2354">
        <v>3000</v>
      </c>
      <c r="F45" s="2333">
        <f>D45*E45/1000</f>
        <v>12</v>
      </c>
      <c r="G45" s="2333"/>
      <c r="H45" s="2333"/>
      <c r="I45" s="2333"/>
      <c r="J45" s="2333"/>
      <c r="K45" s="2333"/>
      <c r="L45" s="2333"/>
      <c r="M45" s="2333"/>
      <c r="N45" s="2333"/>
      <c r="O45" s="2355"/>
      <c r="P45" s="2333">
        <v>3</v>
      </c>
      <c r="Q45" s="2333">
        <v>2000</v>
      </c>
      <c r="R45" s="2333">
        <f>P45*Q45/1000</f>
        <v>6</v>
      </c>
      <c r="S45" s="2333">
        <f t="shared" si="2"/>
        <v>6</v>
      </c>
      <c r="T45" s="2333"/>
      <c r="U45" s="2333"/>
      <c r="V45" s="2333">
        <f t="shared" si="0"/>
        <v>6</v>
      </c>
      <c r="W45" s="2333">
        <f t="shared" si="1"/>
        <v>0</v>
      </c>
      <c r="X45" s="2333"/>
      <c r="Y45" s="2333">
        <v>6</v>
      </c>
      <c r="Z45" s="2353"/>
      <c r="AA45" s="2296" t="s">
        <v>1665</v>
      </c>
    </row>
    <row r="46" spans="1:27" s="2326" customFormat="1" ht="31.5" x14ac:dyDescent="0.25">
      <c r="A46" s="2318"/>
      <c r="B46" s="2319">
        <v>981</v>
      </c>
      <c r="C46" s="2320" t="s">
        <v>2084</v>
      </c>
      <c r="D46" s="2321">
        <v>100</v>
      </c>
      <c r="E46" s="2351">
        <v>60</v>
      </c>
      <c r="F46" s="2336">
        <f>D46*E46/1000</f>
        <v>6</v>
      </c>
      <c r="G46" s="2336"/>
      <c r="H46" s="2336"/>
      <c r="I46" s="2336"/>
      <c r="J46" s="2336"/>
      <c r="K46" s="2336"/>
      <c r="L46" s="2336"/>
      <c r="M46" s="2336"/>
      <c r="N46" s="2336"/>
      <c r="O46" s="2352"/>
      <c r="P46" s="2336">
        <v>60</v>
      </c>
      <c r="Q46" s="2336">
        <v>50</v>
      </c>
      <c r="R46" s="2336">
        <f>P46*Q46/1000</f>
        <v>3</v>
      </c>
      <c r="S46" s="2336">
        <f t="shared" si="2"/>
        <v>3</v>
      </c>
      <c r="T46" s="2336"/>
      <c r="U46" s="2336"/>
      <c r="V46" s="2336">
        <f t="shared" si="0"/>
        <v>3</v>
      </c>
      <c r="W46" s="2336">
        <f t="shared" si="1"/>
        <v>0</v>
      </c>
      <c r="X46" s="2336">
        <v>3</v>
      </c>
      <c r="Y46" s="2336">
        <v>3</v>
      </c>
      <c r="Z46" s="2353" t="s">
        <v>2085</v>
      </c>
      <c r="AA46" s="2296" t="s">
        <v>1665</v>
      </c>
    </row>
    <row r="47" spans="1:27" s="2326" customFormat="1" ht="31.5" x14ac:dyDescent="0.25">
      <c r="A47" s="2318"/>
      <c r="B47" s="2319">
        <v>981</v>
      </c>
      <c r="C47" s="2320" t="s">
        <v>2072</v>
      </c>
      <c r="D47" s="2329"/>
      <c r="E47" s="2351"/>
      <c r="F47" s="2336">
        <f>F48+F49</f>
        <v>3.8</v>
      </c>
      <c r="G47" s="2336"/>
      <c r="H47" s="2336"/>
      <c r="I47" s="2336"/>
      <c r="J47" s="2336"/>
      <c r="K47" s="2336"/>
      <c r="L47" s="2336"/>
      <c r="M47" s="2336"/>
      <c r="N47" s="2336"/>
      <c r="O47" s="2352"/>
      <c r="P47" s="2336"/>
      <c r="Q47" s="2336"/>
      <c r="R47" s="2336">
        <f>SUM(R48:R49)</f>
        <v>2</v>
      </c>
      <c r="S47" s="2336">
        <f t="shared" si="2"/>
        <v>2</v>
      </c>
      <c r="T47" s="2336"/>
      <c r="U47" s="2336"/>
      <c r="V47" s="2336">
        <f t="shared" si="0"/>
        <v>2</v>
      </c>
      <c r="W47" s="2336">
        <f t="shared" si="1"/>
        <v>0</v>
      </c>
      <c r="X47" s="2336">
        <v>2</v>
      </c>
      <c r="Y47" s="2336">
        <v>2</v>
      </c>
      <c r="Z47" s="2353"/>
      <c r="AA47" s="2296" t="s">
        <v>1665</v>
      </c>
    </row>
    <row r="48" spans="1:27" s="2290" customFormat="1" ht="47.25" hidden="1" x14ac:dyDescent="0.25">
      <c r="A48" s="2327"/>
      <c r="B48" s="2325"/>
      <c r="C48" s="2328" t="s">
        <v>1612</v>
      </c>
      <c r="D48" s="2329">
        <v>20</v>
      </c>
      <c r="E48" s="2354">
        <v>100</v>
      </c>
      <c r="F48" s="2333">
        <f>D48*E48/1000</f>
        <v>2</v>
      </c>
      <c r="G48" s="2333"/>
      <c r="H48" s="2333"/>
      <c r="I48" s="2333"/>
      <c r="J48" s="2333"/>
      <c r="K48" s="2333"/>
      <c r="L48" s="2333"/>
      <c r="M48" s="2333"/>
      <c r="N48" s="2333"/>
      <c r="O48" s="2355"/>
      <c r="P48" s="2333">
        <v>20</v>
      </c>
      <c r="Q48" s="2333">
        <v>100</v>
      </c>
      <c r="R48" s="2333">
        <f>Q48*P48/1000</f>
        <v>2</v>
      </c>
      <c r="S48" s="2333">
        <f t="shared" si="2"/>
        <v>2</v>
      </c>
      <c r="T48" s="2333"/>
      <c r="U48" s="2333"/>
      <c r="V48" s="2333">
        <f t="shared" si="0"/>
        <v>2</v>
      </c>
      <c r="W48" s="2333">
        <f t="shared" si="1"/>
        <v>0</v>
      </c>
      <c r="X48" s="2333"/>
      <c r="Y48" s="2333">
        <v>2</v>
      </c>
      <c r="Z48" s="2353" t="s">
        <v>2086</v>
      </c>
      <c r="AA48" s="2296" t="s">
        <v>1665</v>
      </c>
    </row>
    <row r="49" spans="1:27" s="2290" customFormat="1" hidden="1" x14ac:dyDescent="0.25">
      <c r="A49" s="2327"/>
      <c r="B49" s="2325"/>
      <c r="C49" s="2328" t="s">
        <v>2087</v>
      </c>
      <c r="D49" s="2329">
        <v>6</v>
      </c>
      <c r="E49" s="2354">
        <v>300</v>
      </c>
      <c r="F49" s="2333">
        <f>D49*E49/1000</f>
        <v>1.8</v>
      </c>
      <c r="G49" s="2333"/>
      <c r="H49" s="2333"/>
      <c r="I49" s="2333"/>
      <c r="J49" s="2333"/>
      <c r="K49" s="2333"/>
      <c r="L49" s="2333"/>
      <c r="M49" s="2333"/>
      <c r="N49" s="2333"/>
      <c r="O49" s="2355"/>
      <c r="P49" s="2333"/>
      <c r="Q49" s="2333"/>
      <c r="R49" s="2333"/>
      <c r="S49" s="2333">
        <f t="shared" si="2"/>
        <v>0</v>
      </c>
      <c r="T49" s="2333"/>
      <c r="U49" s="2333"/>
      <c r="V49" s="2333">
        <f t="shared" si="0"/>
        <v>0</v>
      </c>
      <c r="W49" s="2333">
        <f t="shared" si="1"/>
        <v>0</v>
      </c>
      <c r="X49" s="2333"/>
      <c r="Y49" s="2333"/>
      <c r="Z49" s="2360"/>
      <c r="AA49" s="2296" t="s">
        <v>1665</v>
      </c>
    </row>
    <row r="50" spans="1:27" s="2317" customFormat="1" ht="31.5" hidden="1" x14ac:dyDescent="0.2">
      <c r="A50" s="2311">
        <v>4</v>
      </c>
      <c r="B50" s="2311"/>
      <c r="C50" s="2312" t="s">
        <v>2088</v>
      </c>
      <c r="D50" s="2349"/>
      <c r="E50" s="2348"/>
      <c r="F50" s="2349"/>
      <c r="G50" s="2349"/>
      <c r="H50" s="2311"/>
      <c r="I50" s="2313"/>
      <c r="J50" s="2313">
        <f>J51+J56+J60+J64+J69</f>
        <v>43.5</v>
      </c>
      <c r="K50" s="2313">
        <f>K51+K56+K60+K64+K69</f>
        <v>0</v>
      </c>
      <c r="L50" s="2311"/>
      <c r="M50" s="2313"/>
      <c r="N50" s="2313">
        <f>N51+N56+N60+N64+N69</f>
        <v>43.5</v>
      </c>
      <c r="O50" s="2313">
        <f>O51+O56+O60+O64+O69</f>
        <v>0</v>
      </c>
      <c r="P50" s="2311"/>
      <c r="Q50" s="2313"/>
      <c r="R50" s="2313">
        <f>R51+R56+R60+R64+R69</f>
        <v>0</v>
      </c>
      <c r="S50" s="2313">
        <f t="shared" si="2"/>
        <v>0</v>
      </c>
      <c r="T50" s="2313"/>
      <c r="U50" s="2313">
        <f>U51+U56+U60+U64+U69</f>
        <v>0</v>
      </c>
      <c r="V50" s="2349">
        <f t="shared" si="0"/>
        <v>-43.5</v>
      </c>
      <c r="W50" s="2349">
        <f t="shared" si="1"/>
        <v>0</v>
      </c>
      <c r="X50" s="2313">
        <f>X51+X56+X60+X64+X69</f>
        <v>24.1</v>
      </c>
      <c r="Y50" s="2313">
        <f>Y51+Y56+Y60+Y64+Y69</f>
        <v>0</v>
      </c>
      <c r="Z50" s="2316"/>
      <c r="AA50" s="2296" t="s">
        <v>1665</v>
      </c>
    </row>
    <row r="51" spans="1:27" s="2326" customFormat="1" ht="31.5" hidden="1" x14ac:dyDescent="0.25">
      <c r="A51" s="2318"/>
      <c r="B51" s="2319">
        <v>955</v>
      </c>
      <c r="C51" s="2320" t="s">
        <v>1401</v>
      </c>
      <c r="D51" s="2336"/>
      <c r="E51" s="2351"/>
      <c r="F51" s="2336"/>
      <c r="G51" s="2336"/>
      <c r="H51" s="2319"/>
      <c r="I51" s="2361"/>
      <c r="J51" s="2362">
        <f>SUM(J52:J55)</f>
        <v>12.8</v>
      </c>
      <c r="K51" s="2361"/>
      <c r="L51" s="2319"/>
      <c r="M51" s="2361"/>
      <c r="N51" s="2362">
        <f>SUM(N52:N55)</f>
        <v>12.8</v>
      </c>
      <c r="O51" s="2361"/>
      <c r="P51" s="2319"/>
      <c r="Q51" s="2361"/>
      <c r="R51" s="2361"/>
      <c r="S51" s="2361">
        <f t="shared" si="2"/>
        <v>0</v>
      </c>
      <c r="T51" s="2361"/>
      <c r="U51" s="2361"/>
      <c r="V51" s="2336">
        <f t="shared" si="0"/>
        <v>-12.8</v>
      </c>
      <c r="W51" s="2336">
        <f t="shared" si="1"/>
        <v>0</v>
      </c>
      <c r="X51" s="2322">
        <f>N51</f>
        <v>12.8</v>
      </c>
      <c r="Y51" s="2362"/>
      <c r="Z51" s="2363"/>
      <c r="AA51" s="2296" t="s">
        <v>1665</v>
      </c>
    </row>
    <row r="52" spans="1:27" s="2290" customFormat="1" hidden="1" x14ac:dyDescent="0.25">
      <c r="A52" s="2327"/>
      <c r="B52" s="2325"/>
      <c r="C52" s="2328" t="s">
        <v>2089</v>
      </c>
      <c r="D52" s="2333"/>
      <c r="E52" s="2354"/>
      <c r="F52" s="2333"/>
      <c r="G52" s="2333"/>
      <c r="H52" s="2325">
        <v>1</v>
      </c>
      <c r="I52" s="2364">
        <v>3450</v>
      </c>
      <c r="J52" s="2364">
        <f>H52*I52/1000</f>
        <v>3.5</v>
      </c>
      <c r="K52" s="2364"/>
      <c r="L52" s="2325">
        <v>1</v>
      </c>
      <c r="M52" s="2364">
        <v>3450</v>
      </c>
      <c r="N52" s="2364">
        <f>L52*M52/1000</f>
        <v>3.5</v>
      </c>
      <c r="O52" s="2364"/>
      <c r="P52" s="2325"/>
      <c r="Q52" s="2364"/>
      <c r="R52" s="2364"/>
      <c r="S52" s="2364">
        <f t="shared" si="2"/>
        <v>0</v>
      </c>
      <c r="T52" s="2364"/>
      <c r="U52" s="2364"/>
      <c r="V52" s="2333">
        <f t="shared" si="0"/>
        <v>-3.5</v>
      </c>
      <c r="W52" s="2333">
        <f t="shared" si="1"/>
        <v>0</v>
      </c>
      <c r="X52" s="2331">
        <f t="shared" ref="X52:X71" si="6">N52</f>
        <v>3.5</v>
      </c>
      <c r="Y52" s="2364"/>
      <c r="Z52" s="3477"/>
      <c r="AA52" s="2296" t="s">
        <v>1665</v>
      </c>
    </row>
    <row r="53" spans="1:27" s="2290" customFormat="1" ht="31.5" hidden="1" x14ac:dyDescent="0.25">
      <c r="A53" s="2327"/>
      <c r="B53" s="2325"/>
      <c r="C53" s="2328" t="s">
        <v>2078</v>
      </c>
      <c r="D53" s="2333"/>
      <c r="E53" s="2354"/>
      <c r="F53" s="2333"/>
      <c r="G53" s="2333"/>
      <c r="H53" s="2325">
        <v>1</v>
      </c>
      <c r="I53" s="2364">
        <v>2000</v>
      </c>
      <c r="J53" s="2364">
        <f>H53*I53/1000</f>
        <v>2</v>
      </c>
      <c r="K53" s="2364"/>
      <c r="L53" s="2325">
        <v>1</v>
      </c>
      <c r="M53" s="2364">
        <v>2000</v>
      </c>
      <c r="N53" s="2364">
        <f>L53*M53/1000</f>
        <v>2</v>
      </c>
      <c r="O53" s="2364"/>
      <c r="P53" s="2325"/>
      <c r="Q53" s="2364"/>
      <c r="R53" s="2364"/>
      <c r="S53" s="2364">
        <f t="shared" si="2"/>
        <v>0</v>
      </c>
      <c r="T53" s="2364"/>
      <c r="U53" s="2364"/>
      <c r="V53" s="2333">
        <f t="shared" si="0"/>
        <v>-2</v>
      </c>
      <c r="W53" s="2333">
        <f t="shared" si="1"/>
        <v>0</v>
      </c>
      <c r="X53" s="2331">
        <f t="shared" si="6"/>
        <v>2</v>
      </c>
      <c r="Y53" s="2364"/>
      <c r="Z53" s="3478"/>
      <c r="AA53" s="2296" t="s">
        <v>1665</v>
      </c>
    </row>
    <row r="54" spans="1:27" s="2290" customFormat="1" hidden="1" x14ac:dyDescent="0.25">
      <c r="A54" s="2327"/>
      <c r="B54" s="2325"/>
      <c r="C54" s="2328" t="s">
        <v>1686</v>
      </c>
      <c r="D54" s="2333"/>
      <c r="E54" s="2354"/>
      <c r="F54" s="2333"/>
      <c r="G54" s="2333"/>
      <c r="H54" s="2325">
        <v>2</v>
      </c>
      <c r="I54" s="2364">
        <v>2300</v>
      </c>
      <c r="J54" s="2364">
        <f>H54*I54/1000</f>
        <v>4.5999999999999996</v>
      </c>
      <c r="K54" s="2364"/>
      <c r="L54" s="2325">
        <v>2</v>
      </c>
      <c r="M54" s="2364">
        <v>2300</v>
      </c>
      <c r="N54" s="2364">
        <f>L54*M54/1000</f>
        <v>4.5999999999999996</v>
      </c>
      <c r="O54" s="2364"/>
      <c r="P54" s="2325"/>
      <c r="Q54" s="2364"/>
      <c r="R54" s="2364"/>
      <c r="S54" s="2364">
        <f t="shared" si="2"/>
        <v>0</v>
      </c>
      <c r="T54" s="2364"/>
      <c r="U54" s="2364"/>
      <c r="V54" s="2333">
        <f t="shared" si="0"/>
        <v>-4.5999999999999996</v>
      </c>
      <c r="W54" s="2333">
        <f t="shared" si="1"/>
        <v>0</v>
      </c>
      <c r="X54" s="2331">
        <f t="shared" si="6"/>
        <v>4.5999999999999996</v>
      </c>
      <c r="Y54" s="2364"/>
      <c r="Z54" s="3478"/>
      <c r="AA54" s="2296" t="s">
        <v>1665</v>
      </c>
    </row>
    <row r="55" spans="1:27" s="2290" customFormat="1" hidden="1" x14ac:dyDescent="0.25">
      <c r="A55" s="2327"/>
      <c r="B55" s="2325"/>
      <c r="C55" s="2328" t="s">
        <v>1234</v>
      </c>
      <c r="D55" s="2333"/>
      <c r="E55" s="2354"/>
      <c r="F55" s="2333"/>
      <c r="G55" s="2333"/>
      <c r="H55" s="2325"/>
      <c r="I55" s="2364"/>
      <c r="J55" s="2364">
        <f>SUM(J52:J54)*0.271</f>
        <v>2.7</v>
      </c>
      <c r="K55" s="2364"/>
      <c r="L55" s="2325"/>
      <c r="M55" s="2364"/>
      <c r="N55" s="2364">
        <f>SUM(N52:N54)*0.271</f>
        <v>2.7</v>
      </c>
      <c r="O55" s="2364"/>
      <c r="P55" s="2325"/>
      <c r="Q55" s="2364"/>
      <c r="R55" s="2364"/>
      <c r="S55" s="2364">
        <f t="shared" si="2"/>
        <v>0</v>
      </c>
      <c r="T55" s="2364"/>
      <c r="U55" s="2364"/>
      <c r="V55" s="2333">
        <f t="shared" si="0"/>
        <v>-2.7</v>
      </c>
      <c r="W55" s="2333">
        <f t="shared" si="1"/>
        <v>0</v>
      </c>
      <c r="X55" s="2331">
        <f t="shared" si="6"/>
        <v>2.7</v>
      </c>
      <c r="Y55" s="2364"/>
      <c r="Z55" s="3479"/>
      <c r="AA55" s="2296" t="s">
        <v>1665</v>
      </c>
    </row>
    <row r="56" spans="1:27" s="2326" customFormat="1" x14ac:dyDescent="0.25">
      <c r="A56" s="2318"/>
      <c r="B56" s="2319">
        <v>981</v>
      </c>
      <c r="C56" s="2320" t="s">
        <v>1226</v>
      </c>
      <c r="D56" s="2336"/>
      <c r="E56" s="2351"/>
      <c r="F56" s="2336"/>
      <c r="G56" s="2336"/>
      <c r="H56" s="2319"/>
      <c r="I56" s="2361"/>
      <c r="J56" s="2361">
        <f>SUM(J57:J59)</f>
        <v>16</v>
      </c>
      <c r="K56" s="2361"/>
      <c r="L56" s="2319"/>
      <c r="M56" s="2361"/>
      <c r="N56" s="2361">
        <f>SUM(N57:N59)</f>
        <v>16</v>
      </c>
      <c r="O56" s="2361"/>
      <c r="P56" s="2319"/>
      <c r="Q56" s="2361"/>
      <c r="R56" s="2361"/>
      <c r="S56" s="2361">
        <f t="shared" si="2"/>
        <v>0</v>
      </c>
      <c r="T56" s="2361"/>
      <c r="U56" s="2361"/>
      <c r="V56" s="2336">
        <f t="shared" si="0"/>
        <v>-16</v>
      </c>
      <c r="W56" s="2336">
        <f t="shared" si="1"/>
        <v>0</v>
      </c>
      <c r="X56" s="2323"/>
      <c r="Y56" s="2361"/>
      <c r="Z56" s="2363"/>
      <c r="AA56" s="2296" t="s">
        <v>1665</v>
      </c>
    </row>
    <row r="57" spans="1:27" s="2290" customFormat="1" hidden="1" x14ac:dyDescent="0.25">
      <c r="A57" s="2327"/>
      <c r="B57" s="2325"/>
      <c r="C57" s="2328" t="s">
        <v>2090</v>
      </c>
      <c r="D57" s="2333"/>
      <c r="E57" s="2354"/>
      <c r="F57" s="2333"/>
      <c r="G57" s="2333"/>
      <c r="H57" s="2325">
        <v>50</v>
      </c>
      <c r="I57" s="2364">
        <v>50</v>
      </c>
      <c r="J57" s="2364">
        <f>H57*I57/1000</f>
        <v>2.5</v>
      </c>
      <c r="K57" s="2364"/>
      <c r="L57" s="2325">
        <v>50</v>
      </c>
      <c r="M57" s="2364">
        <v>50</v>
      </c>
      <c r="N57" s="2364">
        <f>L57*M57/1000</f>
        <v>2.5</v>
      </c>
      <c r="O57" s="2364"/>
      <c r="P57" s="2325"/>
      <c r="Q57" s="2364"/>
      <c r="R57" s="2364"/>
      <c r="S57" s="2364">
        <f t="shared" si="2"/>
        <v>0</v>
      </c>
      <c r="T57" s="2364"/>
      <c r="U57" s="2364"/>
      <c r="V57" s="2333">
        <f t="shared" si="0"/>
        <v>-2.5</v>
      </c>
      <c r="W57" s="2333">
        <f t="shared" si="1"/>
        <v>0</v>
      </c>
      <c r="X57" s="2331">
        <f t="shared" si="6"/>
        <v>2.5</v>
      </c>
      <c r="Y57" s="2364"/>
      <c r="Z57" s="3477"/>
      <c r="AA57" s="2296" t="s">
        <v>1665</v>
      </c>
    </row>
    <row r="58" spans="1:27" s="2290" customFormat="1" hidden="1" x14ac:dyDescent="0.25">
      <c r="A58" s="2327"/>
      <c r="B58" s="2325"/>
      <c r="C58" s="2328" t="s">
        <v>1371</v>
      </c>
      <c r="D58" s="2333"/>
      <c r="E58" s="2354"/>
      <c r="F58" s="2333"/>
      <c r="G58" s="2333"/>
      <c r="H58" s="2325">
        <v>300</v>
      </c>
      <c r="I58" s="2364">
        <v>20</v>
      </c>
      <c r="J58" s="2364">
        <f t="shared" ref="J58:J63" si="7">H58*I58/1000</f>
        <v>6</v>
      </c>
      <c r="K58" s="2364"/>
      <c r="L58" s="2325">
        <v>300</v>
      </c>
      <c r="M58" s="2364">
        <v>20</v>
      </c>
      <c r="N58" s="2364">
        <f>L58*M58/1000</f>
        <v>6</v>
      </c>
      <c r="O58" s="2364"/>
      <c r="P58" s="2325"/>
      <c r="Q58" s="2364"/>
      <c r="R58" s="2364"/>
      <c r="S58" s="2364">
        <f t="shared" si="2"/>
        <v>0</v>
      </c>
      <c r="T58" s="2364"/>
      <c r="U58" s="2364"/>
      <c r="V58" s="2333">
        <f t="shared" si="0"/>
        <v>-6</v>
      </c>
      <c r="W58" s="2333">
        <f t="shared" si="1"/>
        <v>0</v>
      </c>
      <c r="X58" s="2331">
        <f t="shared" si="6"/>
        <v>6</v>
      </c>
      <c r="Y58" s="2364"/>
      <c r="Z58" s="3478"/>
      <c r="AA58" s="2296" t="s">
        <v>1665</v>
      </c>
    </row>
    <row r="59" spans="1:27" s="2290" customFormat="1" hidden="1" x14ac:dyDescent="0.25">
      <c r="A59" s="2327"/>
      <c r="B59" s="2325"/>
      <c r="C59" s="2328" t="s">
        <v>2091</v>
      </c>
      <c r="D59" s="2333"/>
      <c r="E59" s="2354"/>
      <c r="F59" s="2333"/>
      <c r="G59" s="2333"/>
      <c r="H59" s="2325">
        <v>150</v>
      </c>
      <c r="I59" s="2364">
        <v>50</v>
      </c>
      <c r="J59" s="2364">
        <f t="shared" si="7"/>
        <v>7.5</v>
      </c>
      <c r="K59" s="2364"/>
      <c r="L59" s="2325">
        <v>150</v>
      </c>
      <c r="M59" s="2364">
        <v>50</v>
      </c>
      <c r="N59" s="2364">
        <f>L59*M59/1000</f>
        <v>7.5</v>
      </c>
      <c r="O59" s="2364"/>
      <c r="P59" s="2325"/>
      <c r="Q59" s="2364"/>
      <c r="R59" s="2364"/>
      <c r="S59" s="2364">
        <f t="shared" si="2"/>
        <v>0</v>
      </c>
      <c r="T59" s="2364"/>
      <c r="U59" s="2364"/>
      <c r="V59" s="2333">
        <f t="shared" si="0"/>
        <v>-7.5</v>
      </c>
      <c r="W59" s="2333">
        <f t="shared" si="1"/>
        <v>0</v>
      </c>
      <c r="X59" s="2331">
        <f t="shared" si="6"/>
        <v>7.5</v>
      </c>
      <c r="Y59" s="2364"/>
      <c r="Z59" s="3479"/>
      <c r="AA59" s="2296" t="s">
        <v>1665</v>
      </c>
    </row>
    <row r="60" spans="1:27" s="2326" customFormat="1" x14ac:dyDescent="0.25">
      <c r="A60" s="2318"/>
      <c r="B60" s="2319">
        <v>981</v>
      </c>
      <c r="C60" s="2320" t="s">
        <v>1374</v>
      </c>
      <c r="D60" s="2336"/>
      <c r="E60" s="2351"/>
      <c r="F60" s="2336"/>
      <c r="G60" s="2336"/>
      <c r="H60" s="2319"/>
      <c r="I60" s="2361"/>
      <c r="J60" s="2361">
        <f>SUM(J61:J63)</f>
        <v>1.9</v>
      </c>
      <c r="K60" s="2361"/>
      <c r="L60" s="2319"/>
      <c r="M60" s="2361"/>
      <c r="N60" s="2361">
        <f>SUM(N61:N63)</f>
        <v>1.9</v>
      </c>
      <c r="O60" s="2361"/>
      <c r="P60" s="2319"/>
      <c r="Q60" s="2361"/>
      <c r="R60" s="2361"/>
      <c r="S60" s="2361">
        <f t="shared" si="2"/>
        <v>0</v>
      </c>
      <c r="T60" s="2361"/>
      <c r="U60" s="2361"/>
      <c r="V60" s="2336">
        <f t="shared" si="0"/>
        <v>-1.9</v>
      </c>
      <c r="W60" s="2336">
        <f t="shared" si="1"/>
        <v>0</v>
      </c>
      <c r="X60" s="2323"/>
      <c r="Y60" s="2361"/>
      <c r="Z60" s="3477"/>
      <c r="AA60" s="2296" t="s">
        <v>1665</v>
      </c>
    </row>
    <row r="61" spans="1:27" s="2290" customFormat="1" hidden="1" x14ac:dyDescent="0.25">
      <c r="A61" s="2327"/>
      <c r="B61" s="2325"/>
      <c r="C61" s="2328" t="s">
        <v>2092</v>
      </c>
      <c r="D61" s="2333"/>
      <c r="E61" s="2354"/>
      <c r="F61" s="2333"/>
      <c r="G61" s="2333"/>
      <c r="H61" s="2325">
        <v>50</v>
      </c>
      <c r="I61" s="2364">
        <v>25</v>
      </c>
      <c r="J61" s="2364">
        <f t="shared" si="7"/>
        <v>1.3</v>
      </c>
      <c r="K61" s="2364"/>
      <c r="L61" s="2325">
        <v>50</v>
      </c>
      <c r="M61" s="2364">
        <v>25</v>
      </c>
      <c r="N61" s="2364">
        <f>L61*M61/1000</f>
        <v>1.3</v>
      </c>
      <c r="O61" s="2364"/>
      <c r="P61" s="2325"/>
      <c r="Q61" s="2364"/>
      <c r="R61" s="2364"/>
      <c r="S61" s="2364">
        <f t="shared" si="2"/>
        <v>0</v>
      </c>
      <c r="T61" s="2364"/>
      <c r="U61" s="2364"/>
      <c r="V61" s="2333">
        <f t="shared" si="0"/>
        <v>-1.3</v>
      </c>
      <c r="W61" s="2333">
        <f t="shared" si="1"/>
        <v>0</v>
      </c>
      <c r="X61" s="2331">
        <f t="shared" si="6"/>
        <v>1.3</v>
      </c>
      <c r="Y61" s="2364"/>
      <c r="Z61" s="3478"/>
      <c r="AA61" s="2296" t="s">
        <v>1665</v>
      </c>
    </row>
    <row r="62" spans="1:27" s="2290" customFormat="1" hidden="1" x14ac:dyDescent="0.25">
      <c r="A62" s="2327"/>
      <c r="B62" s="2325"/>
      <c r="C62" s="2328" t="s">
        <v>2093</v>
      </c>
      <c r="D62" s="2333"/>
      <c r="E62" s="2354"/>
      <c r="F62" s="2333"/>
      <c r="G62" s="2333"/>
      <c r="H62" s="2325">
        <v>25</v>
      </c>
      <c r="I62" s="2364">
        <v>25</v>
      </c>
      <c r="J62" s="2364">
        <f t="shared" si="7"/>
        <v>0.6</v>
      </c>
      <c r="K62" s="2364"/>
      <c r="L62" s="2325">
        <v>25</v>
      </c>
      <c r="M62" s="2364">
        <v>25</v>
      </c>
      <c r="N62" s="2364">
        <f>L62*M62/1000</f>
        <v>0.6</v>
      </c>
      <c r="O62" s="2364"/>
      <c r="P62" s="2325"/>
      <c r="Q62" s="2364"/>
      <c r="R62" s="2364"/>
      <c r="S62" s="2364">
        <f t="shared" si="2"/>
        <v>0</v>
      </c>
      <c r="T62" s="2364"/>
      <c r="U62" s="2364"/>
      <c r="V62" s="2333">
        <f t="shared" si="0"/>
        <v>-0.6</v>
      </c>
      <c r="W62" s="2333">
        <f t="shared" si="1"/>
        <v>0</v>
      </c>
      <c r="X62" s="2331">
        <f t="shared" si="6"/>
        <v>0.6</v>
      </c>
      <c r="Y62" s="2364"/>
      <c r="Z62" s="3478"/>
      <c r="AA62" s="2296" t="s">
        <v>1665</v>
      </c>
    </row>
    <row r="63" spans="1:27" s="2290" customFormat="1" hidden="1" x14ac:dyDescent="0.25">
      <c r="A63" s="2327"/>
      <c r="B63" s="2325"/>
      <c r="C63" s="2328" t="s">
        <v>2094</v>
      </c>
      <c r="D63" s="2333"/>
      <c r="E63" s="2354"/>
      <c r="F63" s="2333"/>
      <c r="G63" s="2333"/>
      <c r="H63" s="2325"/>
      <c r="I63" s="2364"/>
      <c r="J63" s="2364">
        <f t="shared" si="7"/>
        <v>0</v>
      </c>
      <c r="K63" s="2364"/>
      <c r="L63" s="2325"/>
      <c r="M63" s="2364"/>
      <c r="N63" s="2364">
        <f>L63*M63/1000</f>
        <v>0</v>
      </c>
      <c r="O63" s="2364"/>
      <c r="P63" s="2325"/>
      <c r="Q63" s="2364"/>
      <c r="R63" s="2364"/>
      <c r="S63" s="2364">
        <f t="shared" si="2"/>
        <v>0</v>
      </c>
      <c r="T63" s="2364"/>
      <c r="U63" s="2364"/>
      <c r="V63" s="2333">
        <f t="shared" si="0"/>
        <v>0</v>
      </c>
      <c r="W63" s="2333">
        <f t="shared" si="1"/>
        <v>0</v>
      </c>
      <c r="X63" s="2331">
        <f t="shared" si="6"/>
        <v>0</v>
      </c>
      <c r="Y63" s="2364"/>
      <c r="Z63" s="3479"/>
      <c r="AA63" s="2296" t="s">
        <v>1665</v>
      </c>
    </row>
    <row r="64" spans="1:27" s="2326" customFormat="1" hidden="1" x14ac:dyDescent="0.25">
      <c r="A64" s="2318"/>
      <c r="B64" s="2319">
        <v>963</v>
      </c>
      <c r="C64" s="2320" t="s">
        <v>798</v>
      </c>
      <c r="D64" s="2336"/>
      <c r="E64" s="2351"/>
      <c r="F64" s="2336"/>
      <c r="G64" s="2336"/>
      <c r="H64" s="2319"/>
      <c r="I64" s="2361"/>
      <c r="J64" s="2361">
        <f>SUM(J67:J68)</f>
        <v>11.3</v>
      </c>
      <c r="K64" s="2361"/>
      <c r="L64" s="2319"/>
      <c r="M64" s="2361"/>
      <c r="N64" s="2361">
        <f>SUM(N67:N68)</f>
        <v>11.3</v>
      </c>
      <c r="O64" s="2361"/>
      <c r="P64" s="2319"/>
      <c r="Q64" s="2361"/>
      <c r="R64" s="2361"/>
      <c r="S64" s="2361">
        <f t="shared" si="2"/>
        <v>0</v>
      </c>
      <c r="T64" s="2361"/>
      <c r="U64" s="2361"/>
      <c r="V64" s="2336">
        <f t="shared" si="0"/>
        <v>-11.3</v>
      </c>
      <c r="W64" s="2336">
        <f t="shared" si="1"/>
        <v>0</v>
      </c>
      <c r="X64" s="2323">
        <f t="shared" si="6"/>
        <v>11.3</v>
      </c>
      <c r="Y64" s="2361"/>
      <c r="Z64" s="2363"/>
      <c r="AA64" s="2296" t="s">
        <v>1665</v>
      </c>
    </row>
    <row r="65" spans="1:27" s="2326" customFormat="1" hidden="1" x14ac:dyDescent="0.25">
      <c r="A65" s="2318"/>
      <c r="B65" s="2319"/>
      <c r="C65" s="2328" t="s">
        <v>1371</v>
      </c>
      <c r="D65" s="2336"/>
      <c r="E65" s="2351"/>
      <c r="F65" s="2336"/>
      <c r="G65" s="2336"/>
      <c r="H65" s="2319"/>
      <c r="I65" s="2361"/>
      <c r="J65" s="2361"/>
      <c r="K65" s="2361"/>
      <c r="L65" s="2319"/>
      <c r="M65" s="2361"/>
      <c r="N65" s="2361"/>
      <c r="O65" s="2361"/>
      <c r="P65" s="2319"/>
      <c r="Q65" s="2361"/>
      <c r="R65" s="2361"/>
      <c r="S65" s="2361">
        <f t="shared" si="2"/>
        <v>0</v>
      </c>
      <c r="T65" s="2361"/>
      <c r="U65" s="2361"/>
      <c r="V65" s="2333">
        <f t="shared" si="0"/>
        <v>0</v>
      </c>
      <c r="W65" s="2333">
        <f t="shared" si="1"/>
        <v>0</v>
      </c>
      <c r="X65" s="2323">
        <f t="shared" si="6"/>
        <v>0</v>
      </c>
      <c r="Y65" s="2361"/>
      <c r="Z65" s="2365"/>
      <c r="AA65" s="2296" t="s">
        <v>1665</v>
      </c>
    </row>
    <row r="66" spans="1:27" s="2326" customFormat="1" hidden="1" x14ac:dyDescent="0.25">
      <c r="A66" s="2318"/>
      <c r="B66" s="2319"/>
      <c r="C66" s="2328" t="s">
        <v>2095</v>
      </c>
      <c r="D66" s="2336"/>
      <c r="E66" s="2351"/>
      <c r="F66" s="2336"/>
      <c r="G66" s="2336"/>
      <c r="H66" s="2319"/>
      <c r="I66" s="2361"/>
      <c r="J66" s="2361"/>
      <c r="K66" s="2361"/>
      <c r="L66" s="2319"/>
      <c r="M66" s="2361"/>
      <c r="N66" s="2361"/>
      <c r="O66" s="2361"/>
      <c r="P66" s="2319"/>
      <c r="Q66" s="2361"/>
      <c r="R66" s="2361"/>
      <c r="S66" s="2361">
        <f t="shared" si="2"/>
        <v>0</v>
      </c>
      <c r="T66" s="2361"/>
      <c r="U66" s="2361"/>
      <c r="V66" s="2333">
        <f t="shared" si="0"/>
        <v>0</v>
      </c>
      <c r="W66" s="2333">
        <f t="shared" si="1"/>
        <v>0</v>
      </c>
      <c r="X66" s="2323">
        <f t="shared" si="6"/>
        <v>0</v>
      </c>
      <c r="Y66" s="2361"/>
      <c r="Z66" s="2365"/>
      <c r="AA66" s="2296" t="s">
        <v>1665</v>
      </c>
    </row>
    <row r="67" spans="1:27" s="2326" customFormat="1" hidden="1" x14ac:dyDescent="0.25">
      <c r="A67" s="2318"/>
      <c r="B67" s="2325"/>
      <c r="C67" s="2328" t="s">
        <v>2096</v>
      </c>
      <c r="D67" s="2336"/>
      <c r="E67" s="2351"/>
      <c r="F67" s="2336"/>
      <c r="G67" s="2336"/>
      <c r="H67" s="2325">
        <v>25</v>
      </c>
      <c r="I67" s="2364">
        <v>200</v>
      </c>
      <c r="J67" s="2364">
        <f>H67*I67/1000</f>
        <v>5</v>
      </c>
      <c r="K67" s="2364"/>
      <c r="L67" s="2325">
        <v>25</v>
      </c>
      <c r="M67" s="2364">
        <v>200</v>
      </c>
      <c r="N67" s="2364">
        <f>L67*M67/1000</f>
        <v>5</v>
      </c>
      <c r="O67" s="2364"/>
      <c r="P67" s="2325"/>
      <c r="Q67" s="2364"/>
      <c r="R67" s="2364"/>
      <c r="S67" s="2364">
        <f t="shared" si="2"/>
        <v>0</v>
      </c>
      <c r="T67" s="2364"/>
      <c r="U67" s="2364"/>
      <c r="V67" s="2333">
        <f t="shared" si="0"/>
        <v>-5</v>
      </c>
      <c r="W67" s="2336">
        <f t="shared" si="1"/>
        <v>0</v>
      </c>
      <c r="X67" s="2331">
        <f t="shared" si="6"/>
        <v>5</v>
      </c>
      <c r="Y67" s="2364"/>
      <c r="Z67" s="3477"/>
      <c r="AA67" s="2296" t="s">
        <v>1665</v>
      </c>
    </row>
    <row r="68" spans="1:27" s="2290" customFormat="1" hidden="1" x14ac:dyDescent="0.25">
      <c r="A68" s="2327"/>
      <c r="B68" s="2325"/>
      <c r="C68" s="2328" t="s">
        <v>2097</v>
      </c>
      <c r="D68" s="2333"/>
      <c r="E68" s="2354"/>
      <c r="F68" s="2333"/>
      <c r="G68" s="2333"/>
      <c r="H68" s="2325">
        <v>25</v>
      </c>
      <c r="I68" s="2364">
        <v>250</v>
      </c>
      <c r="J68" s="2364">
        <f>H68*I68/1000</f>
        <v>6.3</v>
      </c>
      <c r="K68" s="2364"/>
      <c r="L68" s="2325">
        <v>25</v>
      </c>
      <c r="M68" s="2364">
        <v>250</v>
      </c>
      <c r="N68" s="2364">
        <f>L68*M68/1000</f>
        <v>6.3</v>
      </c>
      <c r="O68" s="2364"/>
      <c r="P68" s="2325"/>
      <c r="Q68" s="2364"/>
      <c r="R68" s="2364"/>
      <c r="S68" s="2364">
        <f t="shared" si="2"/>
        <v>0</v>
      </c>
      <c r="T68" s="2364"/>
      <c r="U68" s="2364"/>
      <c r="V68" s="2333">
        <f t="shared" si="0"/>
        <v>-6.3</v>
      </c>
      <c r="W68" s="2333">
        <f t="shared" si="1"/>
        <v>0</v>
      </c>
      <c r="X68" s="2331">
        <f t="shared" si="6"/>
        <v>6.3</v>
      </c>
      <c r="Y68" s="2364"/>
      <c r="Z68" s="3479"/>
      <c r="AA68" s="2296" t="s">
        <v>1665</v>
      </c>
    </row>
    <row r="69" spans="1:27" s="2290" customFormat="1" ht="31.5" x14ac:dyDescent="0.25">
      <c r="A69" s="2327"/>
      <c r="B69" s="2319">
        <v>981</v>
      </c>
      <c r="C69" s="2320" t="s">
        <v>2072</v>
      </c>
      <c r="D69" s="2333"/>
      <c r="E69" s="2354"/>
      <c r="F69" s="2333"/>
      <c r="G69" s="2333"/>
      <c r="H69" s="2319"/>
      <c r="I69" s="2361"/>
      <c r="J69" s="2361">
        <f>SUM(J70:J71)</f>
        <v>1.5</v>
      </c>
      <c r="K69" s="2361"/>
      <c r="L69" s="2319"/>
      <c r="M69" s="2361"/>
      <c r="N69" s="2361">
        <f>SUM(N70:N71)</f>
        <v>1.5</v>
      </c>
      <c r="O69" s="2361"/>
      <c r="P69" s="2319"/>
      <c r="Q69" s="2361"/>
      <c r="R69" s="2361"/>
      <c r="S69" s="2361">
        <f t="shared" si="2"/>
        <v>0</v>
      </c>
      <c r="T69" s="2361"/>
      <c r="U69" s="2361"/>
      <c r="V69" s="2333">
        <f t="shared" si="0"/>
        <v>-1.5</v>
      </c>
      <c r="W69" s="2333">
        <f t="shared" si="1"/>
        <v>0</v>
      </c>
      <c r="X69" s="2323"/>
      <c r="Y69" s="2361"/>
      <c r="Z69" s="2363"/>
      <c r="AA69" s="2296" t="s">
        <v>1665</v>
      </c>
    </row>
    <row r="70" spans="1:27" s="2290" customFormat="1" ht="31.5" hidden="1" x14ac:dyDescent="0.25">
      <c r="A70" s="2327"/>
      <c r="B70" s="2319"/>
      <c r="C70" s="2328" t="s">
        <v>2098</v>
      </c>
      <c r="D70" s="2333"/>
      <c r="E70" s="2354"/>
      <c r="F70" s="2333"/>
      <c r="G70" s="2333"/>
      <c r="H70" s="2325"/>
      <c r="I70" s="2364"/>
      <c r="J70" s="2364">
        <f>H70*I70/1000</f>
        <v>0</v>
      </c>
      <c r="K70" s="2361"/>
      <c r="L70" s="2325"/>
      <c r="M70" s="2364"/>
      <c r="N70" s="2364">
        <f>L70*M70/1000</f>
        <v>0</v>
      </c>
      <c r="O70" s="2361"/>
      <c r="P70" s="2325"/>
      <c r="Q70" s="2364"/>
      <c r="R70" s="2364">
        <f>P70*Q70/1000</f>
        <v>0</v>
      </c>
      <c r="S70" s="2364">
        <f t="shared" si="2"/>
        <v>0</v>
      </c>
      <c r="T70" s="2364"/>
      <c r="U70" s="2361"/>
      <c r="V70" s="2333">
        <f t="shared" si="0"/>
        <v>0</v>
      </c>
      <c r="W70" s="2333">
        <f t="shared" si="1"/>
        <v>0</v>
      </c>
      <c r="X70" s="2331">
        <f t="shared" si="6"/>
        <v>0</v>
      </c>
      <c r="Y70" s="2361"/>
      <c r="Z70" s="2363"/>
      <c r="AA70" s="2296" t="s">
        <v>1665</v>
      </c>
    </row>
    <row r="71" spans="1:27" s="2326" customFormat="1" hidden="1" x14ac:dyDescent="0.25">
      <c r="A71" s="2318"/>
      <c r="B71" s="2325"/>
      <c r="C71" s="2328" t="s">
        <v>1962</v>
      </c>
      <c r="D71" s="2336"/>
      <c r="E71" s="2351"/>
      <c r="F71" s="2336"/>
      <c r="G71" s="2336"/>
      <c r="H71" s="2325">
        <v>15</v>
      </c>
      <c r="I71" s="2364">
        <v>100</v>
      </c>
      <c r="J71" s="2364">
        <f>H71*I71/1000</f>
        <v>1.5</v>
      </c>
      <c r="K71" s="2364"/>
      <c r="L71" s="2325">
        <v>15</v>
      </c>
      <c r="M71" s="2364">
        <v>100</v>
      </c>
      <c r="N71" s="2364">
        <f>L71*M71/1000</f>
        <v>1.5</v>
      </c>
      <c r="O71" s="2364"/>
      <c r="P71" s="2325"/>
      <c r="Q71" s="2364"/>
      <c r="R71" s="2364"/>
      <c r="S71" s="2364">
        <f t="shared" si="2"/>
        <v>0</v>
      </c>
      <c r="T71" s="2364"/>
      <c r="U71" s="2364"/>
      <c r="V71" s="2336">
        <f t="shared" si="0"/>
        <v>-1.5</v>
      </c>
      <c r="W71" s="2336">
        <f t="shared" si="1"/>
        <v>0</v>
      </c>
      <c r="X71" s="2331">
        <f t="shared" si="6"/>
        <v>1.5</v>
      </c>
      <c r="Y71" s="2364"/>
      <c r="Z71" s="2363"/>
      <c r="AA71" s="2296" t="s">
        <v>1665</v>
      </c>
    </row>
    <row r="72" spans="1:27" s="2317" customFormat="1" ht="31.5" hidden="1" x14ac:dyDescent="0.2">
      <c r="A72" s="2366">
        <v>6</v>
      </c>
      <c r="B72" s="2366"/>
      <c r="C72" s="2367" t="s">
        <v>2099</v>
      </c>
      <c r="D72" s="2349"/>
      <c r="E72" s="2348"/>
      <c r="F72" s="2368"/>
      <c r="G72" s="2349">
        <f>G77+G80</f>
        <v>6.5</v>
      </c>
      <c r="H72" s="2368"/>
      <c r="I72" s="2369"/>
      <c r="J72" s="2349">
        <v>0</v>
      </c>
      <c r="K72" s="2349">
        <f>K73+K77+K80+K82+K84</f>
        <v>27.5</v>
      </c>
      <c r="L72" s="2368"/>
      <c r="M72" s="2369"/>
      <c r="N72" s="2349">
        <v>0</v>
      </c>
      <c r="O72" s="2349">
        <f>O73+O77+O80+O82+O84</f>
        <v>27.5</v>
      </c>
      <c r="P72" s="2368"/>
      <c r="Q72" s="2369"/>
      <c r="R72" s="2349">
        <v>0</v>
      </c>
      <c r="S72" s="2349">
        <f t="shared" si="2"/>
        <v>0</v>
      </c>
      <c r="T72" s="2349"/>
      <c r="U72" s="2349">
        <f>U73+U77+U80+U82+U84</f>
        <v>23.7</v>
      </c>
      <c r="V72" s="2349">
        <f t="shared" si="0"/>
        <v>0</v>
      </c>
      <c r="W72" s="2349">
        <f t="shared" si="1"/>
        <v>0</v>
      </c>
      <c r="X72" s="2349"/>
      <c r="Y72" s="2349"/>
      <c r="Z72" s="2368"/>
      <c r="AA72" s="2296" t="s">
        <v>1665</v>
      </c>
    </row>
    <row r="73" spans="1:27" s="2326" customFormat="1" ht="31.5" hidden="1" x14ac:dyDescent="0.25">
      <c r="A73" s="2370"/>
      <c r="B73" s="2371">
        <v>955</v>
      </c>
      <c r="C73" s="2372" t="s">
        <v>1401</v>
      </c>
      <c r="D73" s="2373"/>
      <c r="E73" s="2374"/>
      <c r="F73" s="2373"/>
      <c r="G73" s="2373"/>
      <c r="H73" s="2375"/>
      <c r="I73" s="2376"/>
      <c r="J73" s="2373"/>
      <c r="K73" s="2377">
        <f>SUM(K74:K76)</f>
        <v>8.8000000000000007</v>
      </c>
      <c r="L73" s="2375"/>
      <c r="M73" s="2376"/>
      <c r="N73" s="2373"/>
      <c r="O73" s="2378">
        <f>SUM(O74:O76)</f>
        <v>8.8000000000000007</v>
      </c>
      <c r="P73" s="2375"/>
      <c r="Q73" s="2376"/>
      <c r="R73" s="2373"/>
      <c r="S73" s="2373">
        <f t="shared" si="2"/>
        <v>0</v>
      </c>
      <c r="T73" s="2373"/>
      <c r="U73" s="2377">
        <f>SUM(U74:U76)</f>
        <v>13.2</v>
      </c>
      <c r="V73" s="2379">
        <f t="shared" si="0"/>
        <v>0</v>
      </c>
      <c r="W73" s="2373">
        <f t="shared" si="1"/>
        <v>0</v>
      </c>
      <c r="X73" s="2342"/>
      <c r="Y73" s="2342"/>
      <c r="Z73" s="2375"/>
      <c r="AA73" s="2296" t="s">
        <v>1665</v>
      </c>
    </row>
    <row r="74" spans="1:27" s="2290" customFormat="1" hidden="1" x14ac:dyDescent="0.25">
      <c r="A74" s="2380"/>
      <c r="B74" s="2381"/>
      <c r="C74" s="2328" t="s">
        <v>1519</v>
      </c>
      <c r="D74" s="2342"/>
      <c r="E74" s="2382"/>
      <c r="F74" s="2342"/>
      <c r="G74" s="2342"/>
      <c r="H74" s="2383"/>
      <c r="I74" s="2333"/>
      <c r="J74" s="2342"/>
      <c r="K74" s="2384"/>
      <c r="L74" s="2383"/>
      <c r="M74" s="2333"/>
      <c r="N74" s="2342"/>
      <c r="O74" s="2385"/>
      <c r="P74" s="2383">
        <v>1</v>
      </c>
      <c r="Q74" s="2333">
        <v>3450</v>
      </c>
      <c r="R74" s="2342"/>
      <c r="S74" s="2342">
        <f t="shared" si="2"/>
        <v>0</v>
      </c>
      <c r="T74" s="2342"/>
      <c r="U74" s="2384">
        <f>P74*Q74/1000</f>
        <v>3.5</v>
      </c>
      <c r="V74" s="2386">
        <f t="shared" si="0"/>
        <v>0</v>
      </c>
      <c r="W74" s="2342">
        <f t="shared" si="1"/>
        <v>0</v>
      </c>
      <c r="X74" s="2342"/>
      <c r="Y74" s="2342"/>
      <c r="Z74" s="2387"/>
      <c r="AA74" s="2296" t="s">
        <v>1665</v>
      </c>
    </row>
    <row r="75" spans="1:27" s="2290" customFormat="1" hidden="1" x14ac:dyDescent="0.25">
      <c r="A75" s="2380"/>
      <c r="B75" s="2381"/>
      <c r="C75" s="2328" t="s">
        <v>1521</v>
      </c>
      <c r="D75" s="2342"/>
      <c r="E75" s="2382"/>
      <c r="F75" s="2342"/>
      <c r="G75" s="2342"/>
      <c r="H75" s="2388">
        <v>2</v>
      </c>
      <c r="I75" s="2333">
        <v>3450</v>
      </c>
      <c r="J75" s="2342"/>
      <c r="K75" s="2384">
        <f>H75*I75/1000</f>
        <v>6.9</v>
      </c>
      <c r="L75" s="2388">
        <v>2</v>
      </c>
      <c r="M75" s="2333">
        <v>3450</v>
      </c>
      <c r="N75" s="2342"/>
      <c r="O75" s="2385">
        <f>L75*M75/1000</f>
        <v>6.9</v>
      </c>
      <c r="P75" s="2388">
        <v>2</v>
      </c>
      <c r="Q75" s="2333">
        <v>3450</v>
      </c>
      <c r="R75" s="2342"/>
      <c r="S75" s="2342">
        <f t="shared" si="2"/>
        <v>0</v>
      </c>
      <c r="T75" s="2342"/>
      <c r="U75" s="2384">
        <f>P75*Q75/1000</f>
        <v>6.9</v>
      </c>
      <c r="V75" s="2386">
        <f t="shared" si="0"/>
        <v>0</v>
      </c>
      <c r="W75" s="2342">
        <f t="shared" si="1"/>
        <v>0</v>
      </c>
      <c r="X75" s="2342"/>
      <c r="Y75" s="2342"/>
      <c r="Z75" s="2363"/>
      <c r="AA75" s="2296" t="s">
        <v>1665</v>
      </c>
    </row>
    <row r="76" spans="1:27" s="2326" customFormat="1" hidden="1" x14ac:dyDescent="0.25">
      <c r="A76" s="2380"/>
      <c r="B76" s="2381"/>
      <c r="C76" s="2328" t="s">
        <v>1234</v>
      </c>
      <c r="D76" s="2373"/>
      <c r="E76" s="2374"/>
      <c r="F76" s="2373"/>
      <c r="G76" s="2373"/>
      <c r="H76" s="2388"/>
      <c r="I76" s="2333"/>
      <c r="J76" s="2342"/>
      <c r="K76" s="2384">
        <f>K75*0.271</f>
        <v>1.9</v>
      </c>
      <c r="L76" s="2388"/>
      <c r="M76" s="2333"/>
      <c r="N76" s="2342"/>
      <c r="O76" s="2385">
        <f>O75*0.271</f>
        <v>1.9</v>
      </c>
      <c r="P76" s="2388"/>
      <c r="Q76" s="2333"/>
      <c r="R76" s="2342"/>
      <c r="S76" s="2342">
        <f t="shared" si="2"/>
        <v>0</v>
      </c>
      <c r="T76" s="2342"/>
      <c r="U76" s="2384">
        <f>SUM(U74:U75)*0.271</f>
        <v>2.8</v>
      </c>
      <c r="V76" s="2379">
        <f t="shared" si="0"/>
        <v>0</v>
      </c>
      <c r="W76" s="2373">
        <f t="shared" si="1"/>
        <v>0</v>
      </c>
      <c r="X76" s="2342"/>
      <c r="Y76" s="2342"/>
      <c r="Z76" s="2387"/>
      <c r="AA76" s="2296" t="s">
        <v>1665</v>
      </c>
    </row>
    <row r="77" spans="1:27" s="2290" customFormat="1" ht="31.5" x14ac:dyDescent="0.25">
      <c r="A77" s="2370"/>
      <c r="B77" s="2371">
        <v>981</v>
      </c>
      <c r="C77" s="2372" t="s">
        <v>2072</v>
      </c>
      <c r="D77" s="2342"/>
      <c r="E77" s="2382"/>
      <c r="F77" s="2342"/>
      <c r="G77" s="2389">
        <f>G78+G79</f>
        <v>4.5</v>
      </c>
      <c r="H77" s="2390"/>
      <c r="I77" s="2336"/>
      <c r="J77" s="2373"/>
      <c r="K77" s="2377">
        <f>SUM(K78:K79)</f>
        <v>3.3</v>
      </c>
      <c r="L77" s="2390"/>
      <c r="M77" s="2336"/>
      <c r="N77" s="2373"/>
      <c r="O77" s="2378">
        <f>SUM(O78:O79)</f>
        <v>3.3</v>
      </c>
      <c r="P77" s="2390"/>
      <c r="Q77" s="2336"/>
      <c r="R77" s="2373"/>
      <c r="S77" s="2373">
        <f t="shared" si="2"/>
        <v>0</v>
      </c>
      <c r="T77" s="2373"/>
      <c r="U77" s="2377">
        <f>SUM(U78:U79)</f>
        <v>1.2</v>
      </c>
      <c r="V77" s="2386">
        <f t="shared" si="0"/>
        <v>0</v>
      </c>
      <c r="W77" s="2342">
        <f t="shared" si="1"/>
        <v>0</v>
      </c>
      <c r="X77" s="2342"/>
      <c r="Y77" s="2342"/>
      <c r="Z77" s="3461"/>
      <c r="AA77" s="2296" t="s">
        <v>1665</v>
      </c>
    </row>
    <row r="78" spans="1:27" s="2326" customFormat="1" hidden="1" x14ac:dyDescent="0.25">
      <c r="A78" s="2380"/>
      <c r="B78" s="2381"/>
      <c r="C78" s="2391" t="s">
        <v>2100</v>
      </c>
      <c r="D78" s="2387">
        <v>25</v>
      </c>
      <c r="E78" s="2392">
        <v>100</v>
      </c>
      <c r="F78" s="2387"/>
      <c r="G78" s="2387">
        <f>D78*E78/1000</f>
        <v>2.5</v>
      </c>
      <c r="H78" s="2388">
        <v>25</v>
      </c>
      <c r="I78" s="2333">
        <v>50</v>
      </c>
      <c r="J78" s="2342"/>
      <c r="K78" s="2384">
        <f>H78*I78/1000</f>
        <v>1.3</v>
      </c>
      <c r="L78" s="2388">
        <v>25</v>
      </c>
      <c r="M78" s="2333">
        <v>50</v>
      </c>
      <c r="N78" s="2342"/>
      <c r="O78" s="2385">
        <f>L78*M78/1000</f>
        <v>1.3</v>
      </c>
      <c r="P78" s="2388">
        <v>12</v>
      </c>
      <c r="Q78" s="2333">
        <v>100</v>
      </c>
      <c r="R78" s="2342"/>
      <c r="S78" s="2342">
        <f t="shared" si="2"/>
        <v>0</v>
      </c>
      <c r="T78" s="2342"/>
      <c r="U78" s="2384">
        <f>P78*Q78/1000</f>
        <v>1.2</v>
      </c>
      <c r="V78" s="2379">
        <f t="shared" si="0"/>
        <v>0</v>
      </c>
      <c r="W78" s="2373">
        <f t="shared" si="1"/>
        <v>0</v>
      </c>
      <c r="X78" s="2342"/>
      <c r="Y78" s="2342"/>
      <c r="Z78" s="3462"/>
      <c r="AA78" s="2296" t="s">
        <v>1665</v>
      </c>
    </row>
    <row r="79" spans="1:27" s="2290" customFormat="1" hidden="1" x14ac:dyDescent="0.25">
      <c r="A79" s="2380"/>
      <c r="B79" s="2381"/>
      <c r="C79" s="2391" t="s">
        <v>2101</v>
      </c>
      <c r="D79" s="2387">
        <v>2</v>
      </c>
      <c r="E79" s="2392">
        <v>1000</v>
      </c>
      <c r="F79" s="2387"/>
      <c r="G79" s="2392">
        <f>D79*E79/1000</f>
        <v>2</v>
      </c>
      <c r="H79" s="2388">
        <v>2</v>
      </c>
      <c r="I79" s="2333">
        <v>1000</v>
      </c>
      <c r="J79" s="2342"/>
      <c r="K79" s="2384">
        <f>H79*I79/1000</f>
        <v>2</v>
      </c>
      <c r="L79" s="2388">
        <v>2</v>
      </c>
      <c r="M79" s="2333">
        <v>1000</v>
      </c>
      <c r="N79" s="2342"/>
      <c r="O79" s="2385">
        <f>L79*M79/1000</f>
        <v>2</v>
      </c>
      <c r="P79" s="2388"/>
      <c r="Q79" s="2333"/>
      <c r="R79" s="2342"/>
      <c r="S79" s="2342">
        <f t="shared" si="2"/>
        <v>0</v>
      </c>
      <c r="T79" s="2342"/>
      <c r="U79" s="2384"/>
      <c r="V79" s="2386">
        <f t="shared" ref="V79:V121" si="8">R79-J79</f>
        <v>0</v>
      </c>
      <c r="W79" s="2342">
        <f t="shared" ref="W79:W121" si="9">IFERROR((R79)/J79*100,0)</f>
        <v>0</v>
      </c>
      <c r="X79" s="2342"/>
      <c r="Y79" s="2342"/>
      <c r="Z79" s="2393"/>
      <c r="AA79" s="2296" t="s">
        <v>1665</v>
      </c>
    </row>
    <row r="80" spans="1:27" s="2290" customFormat="1" ht="47.25" x14ac:dyDescent="0.25">
      <c r="A80" s="2380"/>
      <c r="B80" s="2371">
        <v>981</v>
      </c>
      <c r="C80" s="2372" t="s">
        <v>2102</v>
      </c>
      <c r="D80" s="2342"/>
      <c r="E80" s="2382"/>
      <c r="F80" s="2342"/>
      <c r="G80" s="2389">
        <f>G81</f>
        <v>2</v>
      </c>
      <c r="H80" s="2390"/>
      <c r="I80" s="2336"/>
      <c r="J80" s="2373"/>
      <c r="K80" s="2377">
        <f>K81</f>
        <v>5</v>
      </c>
      <c r="L80" s="2390"/>
      <c r="M80" s="2336"/>
      <c r="N80" s="2373"/>
      <c r="O80" s="2378">
        <f>O81</f>
        <v>5</v>
      </c>
      <c r="P80" s="2390"/>
      <c r="Q80" s="2336"/>
      <c r="R80" s="2373"/>
      <c r="S80" s="2373">
        <f t="shared" ref="S80:S121" si="10">R80</f>
        <v>0</v>
      </c>
      <c r="T80" s="2373"/>
      <c r="U80" s="2377"/>
      <c r="V80" s="2386">
        <f t="shared" si="8"/>
        <v>0</v>
      </c>
      <c r="W80" s="2342">
        <f t="shared" si="9"/>
        <v>0</v>
      </c>
      <c r="X80" s="2342"/>
      <c r="Y80" s="2342"/>
      <c r="Z80" s="2393"/>
      <c r="AA80" s="2296" t="s">
        <v>1665</v>
      </c>
    </row>
    <row r="81" spans="1:27" s="2326" customFormat="1" hidden="1" x14ac:dyDescent="0.25">
      <c r="A81" s="2380"/>
      <c r="B81" s="2381"/>
      <c r="C81" s="2391" t="s">
        <v>2103</v>
      </c>
      <c r="D81" s="2387">
        <v>2</v>
      </c>
      <c r="E81" s="2392">
        <v>1000</v>
      </c>
      <c r="F81" s="2387"/>
      <c r="G81" s="2392">
        <f>D81*E81/1000</f>
        <v>2</v>
      </c>
      <c r="H81" s="2388">
        <v>25</v>
      </c>
      <c r="I81" s="2333">
        <v>200</v>
      </c>
      <c r="J81" s="2342"/>
      <c r="K81" s="2384">
        <f>H81*I81/1000</f>
        <v>5</v>
      </c>
      <c r="L81" s="2388">
        <v>25</v>
      </c>
      <c r="M81" s="2333">
        <v>200</v>
      </c>
      <c r="N81" s="2342"/>
      <c r="O81" s="2385">
        <f>L81*M81/1000</f>
        <v>5</v>
      </c>
      <c r="P81" s="2388"/>
      <c r="Q81" s="2333"/>
      <c r="R81" s="2342"/>
      <c r="S81" s="2342">
        <f t="shared" si="10"/>
        <v>0</v>
      </c>
      <c r="T81" s="2342"/>
      <c r="U81" s="2384"/>
      <c r="V81" s="2379">
        <f t="shared" si="8"/>
        <v>0</v>
      </c>
      <c r="W81" s="2373">
        <f t="shared" si="9"/>
        <v>0</v>
      </c>
      <c r="X81" s="2342"/>
      <c r="Y81" s="2342"/>
      <c r="Z81" s="2393"/>
      <c r="AA81" s="2296" t="s">
        <v>1665</v>
      </c>
    </row>
    <row r="82" spans="1:27" s="2290" customFormat="1" x14ac:dyDescent="0.25">
      <c r="A82" s="2370"/>
      <c r="B82" s="2371">
        <v>981</v>
      </c>
      <c r="C82" s="2372" t="s">
        <v>2104</v>
      </c>
      <c r="D82" s="2342"/>
      <c r="E82" s="2382"/>
      <c r="F82" s="2342"/>
      <c r="G82" s="2342"/>
      <c r="H82" s="2390"/>
      <c r="I82" s="2336"/>
      <c r="J82" s="2373"/>
      <c r="K82" s="2377">
        <f>SUM(K83:K83)</f>
        <v>3.4</v>
      </c>
      <c r="L82" s="2390"/>
      <c r="M82" s="2336"/>
      <c r="N82" s="2373"/>
      <c r="O82" s="2378">
        <f>SUM(O83:O83)</f>
        <v>3.4</v>
      </c>
      <c r="P82" s="2390"/>
      <c r="Q82" s="2336"/>
      <c r="R82" s="2373"/>
      <c r="S82" s="2373">
        <f t="shared" si="10"/>
        <v>0</v>
      </c>
      <c r="T82" s="2373"/>
      <c r="U82" s="2377">
        <f>U83</f>
        <v>2.5</v>
      </c>
      <c r="V82" s="2386">
        <f t="shared" si="8"/>
        <v>0</v>
      </c>
      <c r="W82" s="2342">
        <f t="shared" si="9"/>
        <v>0</v>
      </c>
      <c r="X82" s="2342"/>
      <c r="Y82" s="2342"/>
      <c r="Z82" s="2375"/>
      <c r="AA82" s="2296" t="s">
        <v>1665</v>
      </c>
    </row>
    <row r="83" spans="1:27" s="2290" customFormat="1" hidden="1" x14ac:dyDescent="0.25">
      <c r="A83" s="2380"/>
      <c r="B83" s="2381"/>
      <c r="C83" s="2391" t="s">
        <v>2105</v>
      </c>
      <c r="D83" s="2394"/>
      <c r="E83" s="2395"/>
      <c r="F83" s="2394"/>
      <c r="G83" s="2394"/>
      <c r="H83" s="2388">
        <v>50</v>
      </c>
      <c r="I83" s="2333">
        <v>68</v>
      </c>
      <c r="J83" s="2342"/>
      <c r="K83" s="2384">
        <f>H83*I83/1000</f>
        <v>3.4</v>
      </c>
      <c r="L83" s="2388">
        <v>50</v>
      </c>
      <c r="M83" s="2333">
        <v>68</v>
      </c>
      <c r="N83" s="2342"/>
      <c r="O83" s="2385">
        <f>L83*M83/1000</f>
        <v>3.4</v>
      </c>
      <c r="P83" s="2388">
        <v>50</v>
      </c>
      <c r="Q83" s="2333">
        <v>50</v>
      </c>
      <c r="R83" s="2342"/>
      <c r="S83" s="2342">
        <f t="shared" si="10"/>
        <v>0</v>
      </c>
      <c r="T83" s="2342"/>
      <c r="U83" s="2384">
        <f>P83*Q83/1000</f>
        <v>2.5</v>
      </c>
      <c r="V83" s="2396">
        <f t="shared" si="8"/>
        <v>0</v>
      </c>
      <c r="W83" s="2394">
        <f t="shared" si="9"/>
        <v>0</v>
      </c>
      <c r="X83" s="2342"/>
      <c r="Y83" s="2342"/>
      <c r="Z83" s="2387"/>
      <c r="AA83" s="2296" t="s">
        <v>1665</v>
      </c>
    </row>
    <row r="84" spans="1:27" s="2398" customFormat="1" hidden="1" x14ac:dyDescent="0.25">
      <c r="A84" s="2370"/>
      <c r="B84" s="2371">
        <v>963</v>
      </c>
      <c r="C84" s="2372" t="s">
        <v>798</v>
      </c>
      <c r="D84" s="2389"/>
      <c r="E84" s="2397"/>
      <c r="H84" s="2399"/>
      <c r="I84" s="2336"/>
      <c r="J84" s="2373"/>
      <c r="K84" s="2377">
        <f>SUM(K85:K86)</f>
        <v>7</v>
      </c>
      <c r="L84" s="2399"/>
      <c r="M84" s="2336"/>
      <c r="N84" s="2373"/>
      <c r="O84" s="2378">
        <f>SUM(O85:O86)</f>
        <v>7</v>
      </c>
      <c r="P84" s="2399"/>
      <c r="Q84" s="2336"/>
      <c r="R84" s="2373"/>
      <c r="S84" s="2373">
        <f t="shared" si="10"/>
        <v>0</v>
      </c>
      <c r="T84" s="2373"/>
      <c r="U84" s="2377">
        <f>SUM(U85:U86)</f>
        <v>6.8</v>
      </c>
      <c r="V84" s="2396">
        <f t="shared" si="8"/>
        <v>0</v>
      </c>
      <c r="W84" s="2394">
        <f t="shared" si="9"/>
        <v>0</v>
      </c>
      <c r="X84" s="2342"/>
      <c r="Y84" s="2342"/>
      <c r="Z84" s="2375"/>
      <c r="AA84" s="2296" t="s">
        <v>1665</v>
      </c>
    </row>
    <row r="85" spans="1:27" s="2400" customFormat="1" hidden="1" x14ac:dyDescent="0.25">
      <c r="A85" s="2380"/>
      <c r="B85" s="2381"/>
      <c r="C85" s="2391" t="s">
        <v>2095</v>
      </c>
      <c r="D85" s="2373"/>
      <c r="E85" s="2374"/>
      <c r="H85" s="2383">
        <v>10</v>
      </c>
      <c r="I85" s="2333">
        <v>200</v>
      </c>
      <c r="J85" s="2342"/>
      <c r="K85" s="2384">
        <f>H85*I85/1000</f>
        <v>2</v>
      </c>
      <c r="L85" s="2383">
        <v>10</v>
      </c>
      <c r="M85" s="2333">
        <v>200</v>
      </c>
      <c r="N85" s="2342"/>
      <c r="O85" s="2385">
        <f>L85*M85/1000</f>
        <v>2</v>
      </c>
      <c r="P85" s="2383">
        <v>10</v>
      </c>
      <c r="Q85" s="2333">
        <v>180</v>
      </c>
      <c r="R85" s="2342"/>
      <c r="S85" s="2342">
        <f t="shared" si="10"/>
        <v>0</v>
      </c>
      <c r="T85" s="2342"/>
      <c r="U85" s="2384">
        <f>P85*Q85/1000</f>
        <v>1.8</v>
      </c>
      <c r="V85" s="2396">
        <f t="shared" si="8"/>
        <v>0</v>
      </c>
      <c r="W85" s="2394">
        <f t="shared" si="9"/>
        <v>0</v>
      </c>
      <c r="X85" s="2342"/>
      <c r="Y85" s="2342"/>
      <c r="Z85" s="2387"/>
      <c r="AA85" s="2296" t="s">
        <v>1665</v>
      </c>
    </row>
    <row r="86" spans="1:27" s="2345" customFormat="1" hidden="1" x14ac:dyDescent="0.25">
      <c r="A86" s="2380"/>
      <c r="B86" s="2381"/>
      <c r="C86" s="2391" t="s">
        <v>2106</v>
      </c>
      <c r="D86" s="2342"/>
      <c r="E86" s="2382"/>
      <c r="H86" s="2383">
        <v>10</v>
      </c>
      <c r="I86" s="2333">
        <v>500</v>
      </c>
      <c r="J86" s="2342"/>
      <c r="K86" s="2384">
        <f>H86*I86/1000</f>
        <v>5</v>
      </c>
      <c r="L86" s="2383">
        <v>10</v>
      </c>
      <c r="M86" s="2333">
        <v>500</v>
      </c>
      <c r="N86" s="2342"/>
      <c r="O86" s="2385">
        <f>L86*M86/1000</f>
        <v>5</v>
      </c>
      <c r="P86" s="2383">
        <v>10</v>
      </c>
      <c r="Q86" s="2333">
        <v>500</v>
      </c>
      <c r="R86" s="2342"/>
      <c r="S86" s="2342">
        <f t="shared" si="10"/>
        <v>0</v>
      </c>
      <c r="T86" s="2342"/>
      <c r="U86" s="2384">
        <f>P86*Q86/1000</f>
        <v>5</v>
      </c>
      <c r="V86" s="2396">
        <f t="shared" si="8"/>
        <v>0</v>
      </c>
      <c r="W86" s="2394">
        <f t="shared" si="9"/>
        <v>0</v>
      </c>
      <c r="X86" s="2342"/>
      <c r="Y86" s="2342"/>
      <c r="Z86" s="2387"/>
      <c r="AA86" s="2296" t="s">
        <v>1665</v>
      </c>
    </row>
    <row r="87" spans="1:27" s="2408" customFormat="1" ht="31.5" hidden="1" x14ac:dyDescent="0.25">
      <c r="A87" s="2366">
        <v>7</v>
      </c>
      <c r="B87" s="2401"/>
      <c r="C87" s="2367" t="s">
        <v>2107</v>
      </c>
      <c r="D87" s="2402"/>
      <c r="E87" s="2403"/>
      <c r="F87" s="2402">
        <f>F88+F93</f>
        <v>0</v>
      </c>
      <c r="G87" s="2404">
        <f>G88+G93</f>
        <v>0</v>
      </c>
      <c r="H87" s="2402"/>
      <c r="I87" s="2405"/>
      <c r="J87" s="2404">
        <f>J88+J93</f>
        <v>0</v>
      </c>
      <c r="K87" s="2404">
        <f>K88+K93</f>
        <v>10</v>
      </c>
      <c r="L87" s="2402"/>
      <c r="M87" s="2405"/>
      <c r="N87" s="2404">
        <f>N88+N93</f>
        <v>0</v>
      </c>
      <c r="O87" s="2406">
        <f>O88+O93</f>
        <v>10</v>
      </c>
      <c r="P87" s="2402"/>
      <c r="Q87" s="2405"/>
      <c r="R87" s="2404">
        <f>R88+R93</f>
        <v>0</v>
      </c>
      <c r="S87" s="2404">
        <f t="shared" si="10"/>
        <v>0</v>
      </c>
      <c r="T87" s="2404"/>
      <c r="U87" s="2404">
        <f>U88+U93</f>
        <v>6</v>
      </c>
      <c r="V87" s="2407">
        <f t="shared" si="8"/>
        <v>0</v>
      </c>
      <c r="W87" s="2349">
        <f t="shared" si="9"/>
        <v>0</v>
      </c>
      <c r="X87" s="2404"/>
      <c r="Y87" s="2404"/>
      <c r="Z87" s="2316"/>
      <c r="AA87" s="2296" t="s">
        <v>1665</v>
      </c>
    </row>
    <row r="88" spans="1:27" s="2290" customFormat="1" ht="31.5" x14ac:dyDescent="0.25">
      <c r="A88" s="2370"/>
      <c r="B88" s="2371">
        <v>981</v>
      </c>
      <c r="C88" s="2372" t="s">
        <v>2072</v>
      </c>
      <c r="D88" s="2323"/>
      <c r="E88" s="2409"/>
      <c r="F88" s="2409"/>
      <c r="G88" s="2323"/>
      <c r="H88" s="2323"/>
      <c r="I88" s="2409"/>
      <c r="J88" s="2409"/>
      <c r="K88" s="2389">
        <f>SUM(K89:K92)</f>
        <v>8.4</v>
      </c>
      <c r="L88" s="2323"/>
      <c r="M88" s="2409"/>
      <c r="N88" s="2409"/>
      <c r="O88" s="2410">
        <f>SUM(O89:O92)</f>
        <v>8.4</v>
      </c>
      <c r="P88" s="2323"/>
      <c r="Q88" s="2409"/>
      <c r="R88" s="2409"/>
      <c r="S88" s="2409">
        <f t="shared" si="10"/>
        <v>0</v>
      </c>
      <c r="T88" s="2409"/>
      <c r="U88" s="2389">
        <f>SUM(U89:U92)</f>
        <v>4.4000000000000004</v>
      </c>
      <c r="V88" s="2379">
        <f t="shared" si="8"/>
        <v>0</v>
      </c>
      <c r="W88" s="2373">
        <f t="shared" si="9"/>
        <v>0</v>
      </c>
      <c r="X88" s="2389"/>
      <c r="Y88" s="2389"/>
      <c r="Z88" s="2387"/>
      <c r="AA88" s="2296" t="s">
        <v>1665</v>
      </c>
    </row>
    <row r="89" spans="1:27" s="2290" customFormat="1" hidden="1" x14ac:dyDescent="0.25">
      <c r="A89" s="2380"/>
      <c r="B89" s="2381"/>
      <c r="C89" s="2328" t="s">
        <v>1612</v>
      </c>
      <c r="D89" s="2331"/>
      <c r="E89" s="2411"/>
      <c r="F89" s="2411"/>
      <c r="G89" s="2331"/>
      <c r="H89" s="2331">
        <v>16</v>
      </c>
      <c r="I89" s="2411">
        <v>100</v>
      </c>
      <c r="J89" s="2411"/>
      <c r="K89" s="2412">
        <f>H89*I89/1000</f>
        <v>1.6</v>
      </c>
      <c r="L89" s="2331">
        <v>16</v>
      </c>
      <c r="M89" s="2411">
        <v>100</v>
      </c>
      <c r="N89" s="2411"/>
      <c r="O89" s="2413">
        <f>L89*M89/1000</f>
        <v>1.6</v>
      </c>
      <c r="P89" s="2331">
        <v>14</v>
      </c>
      <c r="Q89" s="2411">
        <v>100</v>
      </c>
      <c r="R89" s="2411"/>
      <c r="S89" s="2411">
        <f t="shared" si="10"/>
        <v>0</v>
      </c>
      <c r="T89" s="2411"/>
      <c r="U89" s="2412">
        <f>P89*Q89/1000</f>
        <v>1.4</v>
      </c>
      <c r="V89" s="2386">
        <f t="shared" si="8"/>
        <v>0</v>
      </c>
      <c r="W89" s="2342">
        <f t="shared" si="9"/>
        <v>0</v>
      </c>
      <c r="X89" s="2412"/>
      <c r="Y89" s="2412"/>
      <c r="Z89" s="2387"/>
      <c r="AA89" s="2296" t="s">
        <v>1665</v>
      </c>
    </row>
    <row r="90" spans="1:27" s="2326" customFormat="1" hidden="1" x14ac:dyDescent="0.25">
      <c r="A90" s="2380"/>
      <c r="B90" s="2381"/>
      <c r="C90" s="2391" t="s">
        <v>1614</v>
      </c>
      <c r="D90" s="2331"/>
      <c r="E90" s="2411"/>
      <c r="F90" s="2411"/>
      <c r="G90" s="2331"/>
      <c r="H90" s="2331">
        <v>4</v>
      </c>
      <c r="I90" s="2411">
        <v>300</v>
      </c>
      <c r="J90" s="2411"/>
      <c r="K90" s="2412">
        <f>H90*I90/1000</f>
        <v>1.2</v>
      </c>
      <c r="L90" s="2331">
        <v>4</v>
      </c>
      <c r="M90" s="2411">
        <v>300</v>
      </c>
      <c r="N90" s="2411"/>
      <c r="O90" s="2413">
        <f>L90*M90/1000</f>
        <v>1.2</v>
      </c>
      <c r="P90" s="2331">
        <v>4</v>
      </c>
      <c r="Q90" s="2411">
        <v>380</v>
      </c>
      <c r="R90" s="2411"/>
      <c r="S90" s="2411">
        <f t="shared" si="10"/>
        <v>0</v>
      </c>
      <c r="T90" s="2411"/>
      <c r="U90" s="2412">
        <f>P90*Q90/1000</f>
        <v>1.5</v>
      </c>
      <c r="V90" s="2386">
        <f t="shared" si="8"/>
        <v>0</v>
      </c>
      <c r="W90" s="2342">
        <f t="shared" si="9"/>
        <v>0</v>
      </c>
      <c r="X90" s="2412"/>
      <c r="Y90" s="2412"/>
      <c r="Z90" s="2387"/>
      <c r="AA90" s="2296" t="s">
        <v>1665</v>
      </c>
    </row>
    <row r="91" spans="1:27" s="2326" customFormat="1" hidden="1" x14ac:dyDescent="0.25">
      <c r="A91" s="2380"/>
      <c r="B91" s="2381"/>
      <c r="C91" s="2391" t="s">
        <v>1615</v>
      </c>
      <c r="D91" s="2331"/>
      <c r="E91" s="2411"/>
      <c r="F91" s="2411"/>
      <c r="G91" s="2331"/>
      <c r="H91" s="2331">
        <v>4</v>
      </c>
      <c r="I91" s="2411">
        <v>300</v>
      </c>
      <c r="J91" s="2411"/>
      <c r="K91" s="2412">
        <f>H91*I91/1000</f>
        <v>1.2</v>
      </c>
      <c r="L91" s="2331">
        <v>4</v>
      </c>
      <c r="M91" s="2411">
        <v>300</v>
      </c>
      <c r="N91" s="2411"/>
      <c r="O91" s="2413">
        <f>L91*M91/1000</f>
        <v>1.2</v>
      </c>
      <c r="P91" s="2331">
        <v>4</v>
      </c>
      <c r="Q91" s="2411">
        <v>380</v>
      </c>
      <c r="R91" s="2411"/>
      <c r="S91" s="2411">
        <f t="shared" si="10"/>
        <v>0</v>
      </c>
      <c r="T91" s="2411"/>
      <c r="U91" s="2412">
        <f>P91*Q91/1000</f>
        <v>1.5</v>
      </c>
      <c r="V91" s="2386">
        <f t="shared" si="8"/>
        <v>0</v>
      </c>
      <c r="W91" s="2342">
        <f t="shared" si="9"/>
        <v>0</v>
      </c>
      <c r="X91" s="2412"/>
      <c r="Y91" s="2412"/>
      <c r="Z91" s="2387"/>
      <c r="AA91" s="2296" t="s">
        <v>1665</v>
      </c>
    </row>
    <row r="92" spans="1:27" s="2290" customFormat="1" ht="31.5" hidden="1" x14ac:dyDescent="0.25">
      <c r="A92" s="2380"/>
      <c r="B92" s="2381"/>
      <c r="C92" s="2391" t="s">
        <v>2108</v>
      </c>
      <c r="D92" s="2331"/>
      <c r="E92" s="2411"/>
      <c r="F92" s="2411"/>
      <c r="G92" s="2331"/>
      <c r="H92" s="2331">
        <v>2</v>
      </c>
      <c r="I92" s="2411">
        <v>2200</v>
      </c>
      <c r="J92" s="2411"/>
      <c r="K92" s="2412">
        <f>H92*I92/1000</f>
        <v>4.4000000000000004</v>
      </c>
      <c r="L92" s="2331">
        <v>2</v>
      </c>
      <c r="M92" s="2411">
        <v>2200</v>
      </c>
      <c r="N92" s="2411"/>
      <c r="O92" s="2413">
        <f>L92*M92/1000</f>
        <v>4.4000000000000004</v>
      </c>
      <c r="P92" s="2331"/>
      <c r="Q92" s="2411"/>
      <c r="R92" s="2411"/>
      <c r="S92" s="2411">
        <f t="shared" si="10"/>
        <v>0</v>
      </c>
      <c r="T92" s="2411"/>
      <c r="U92" s="2412">
        <f>P92*Q92/1000</f>
        <v>0</v>
      </c>
      <c r="V92" s="2386">
        <f t="shared" si="8"/>
        <v>0</v>
      </c>
      <c r="W92" s="2342">
        <f t="shared" si="9"/>
        <v>0</v>
      </c>
      <c r="X92" s="2412"/>
      <c r="Y92" s="2412"/>
      <c r="Z92" s="2387"/>
      <c r="AA92" s="2296" t="s">
        <v>1665</v>
      </c>
    </row>
    <row r="93" spans="1:27" s="2326" customFormat="1" hidden="1" x14ac:dyDescent="0.25">
      <c r="A93" s="2370"/>
      <c r="B93" s="2371">
        <v>963</v>
      </c>
      <c r="C93" s="2372" t="s">
        <v>798</v>
      </c>
      <c r="D93" s="2323"/>
      <c r="E93" s="2409"/>
      <c r="F93" s="2409"/>
      <c r="G93" s="2323"/>
      <c r="H93" s="2323"/>
      <c r="I93" s="2409"/>
      <c r="J93" s="2409"/>
      <c r="K93" s="2389">
        <f>K94</f>
        <v>1.6</v>
      </c>
      <c r="L93" s="2323"/>
      <c r="M93" s="2409"/>
      <c r="N93" s="2409"/>
      <c r="O93" s="2410">
        <f>O94</f>
        <v>1.6</v>
      </c>
      <c r="P93" s="2323"/>
      <c r="Q93" s="2409"/>
      <c r="R93" s="2409"/>
      <c r="S93" s="2409">
        <f t="shared" si="10"/>
        <v>0</v>
      </c>
      <c r="T93" s="2409"/>
      <c r="U93" s="2389">
        <f>U94</f>
        <v>1.6</v>
      </c>
      <c r="V93" s="2379">
        <f t="shared" si="8"/>
        <v>0</v>
      </c>
      <c r="W93" s="2373">
        <f t="shared" si="9"/>
        <v>0</v>
      </c>
      <c r="X93" s="2389"/>
      <c r="Y93" s="2389"/>
      <c r="Z93" s="2387"/>
      <c r="AA93" s="2296" t="s">
        <v>1665</v>
      </c>
    </row>
    <row r="94" spans="1:27" s="2290" customFormat="1" hidden="1" x14ac:dyDescent="0.25">
      <c r="A94" s="2380"/>
      <c r="B94" s="2381"/>
      <c r="C94" s="2391" t="s">
        <v>2095</v>
      </c>
      <c r="D94" s="2323"/>
      <c r="E94" s="2409"/>
      <c r="F94" s="2409"/>
      <c r="G94" s="2323"/>
      <c r="H94" s="2331">
        <v>16</v>
      </c>
      <c r="I94" s="2411">
        <v>100</v>
      </c>
      <c r="J94" s="2411"/>
      <c r="K94" s="2412">
        <f>H94*I94/1000</f>
        <v>1.6</v>
      </c>
      <c r="L94" s="2331">
        <v>16</v>
      </c>
      <c r="M94" s="2411">
        <v>100</v>
      </c>
      <c r="N94" s="2411"/>
      <c r="O94" s="2413">
        <f>L94*M94/1000</f>
        <v>1.6</v>
      </c>
      <c r="P94" s="2331">
        <v>20</v>
      </c>
      <c r="Q94" s="2411">
        <v>80</v>
      </c>
      <c r="R94" s="2411"/>
      <c r="S94" s="2411">
        <f t="shared" si="10"/>
        <v>0</v>
      </c>
      <c r="T94" s="2411"/>
      <c r="U94" s="2412">
        <f>P94*Q94/1000</f>
        <v>1.6</v>
      </c>
      <c r="V94" s="2386">
        <f t="shared" si="8"/>
        <v>0</v>
      </c>
      <c r="W94" s="2342">
        <f t="shared" si="9"/>
        <v>0</v>
      </c>
      <c r="X94" s="2412"/>
      <c r="Y94" s="2412"/>
      <c r="Z94" s="2387"/>
      <c r="AA94" s="2296" t="s">
        <v>1665</v>
      </c>
    </row>
    <row r="95" spans="1:27" s="2408" customFormat="1" ht="31.5" hidden="1" x14ac:dyDescent="0.25">
      <c r="A95" s="2366">
        <v>8</v>
      </c>
      <c r="B95" s="2401"/>
      <c r="C95" s="2367" t="s">
        <v>2109</v>
      </c>
      <c r="D95" s="2368"/>
      <c r="E95" s="2403"/>
      <c r="F95" s="2349">
        <f>F98+F104+F106+F111+F113+F115+F96+F108</f>
        <v>286.7</v>
      </c>
      <c r="G95" s="2349"/>
      <c r="H95" s="2349"/>
      <c r="I95" s="2349"/>
      <c r="J95" s="2349"/>
      <c r="K95" s="2349"/>
      <c r="L95" s="2349"/>
      <c r="M95" s="2349"/>
      <c r="N95" s="2349"/>
      <c r="O95" s="2414"/>
      <c r="P95" s="2349"/>
      <c r="Q95" s="2349"/>
      <c r="R95" s="2349"/>
      <c r="S95" s="2349">
        <f t="shared" si="10"/>
        <v>0</v>
      </c>
      <c r="T95" s="2349"/>
      <c r="U95" s="2349"/>
      <c r="V95" s="2407">
        <f t="shared" si="8"/>
        <v>0</v>
      </c>
      <c r="W95" s="2349">
        <f t="shared" si="9"/>
        <v>0</v>
      </c>
      <c r="X95" s="2349"/>
      <c r="Y95" s="2349"/>
      <c r="Z95" s="2368"/>
      <c r="AA95" s="2296" t="s">
        <v>1665</v>
      </c>
    </row>
    <row r="96" spans="1:27" s="2326" customFormat="1" ht="31.5" hidden="1" x14ac:dyDescent="0.25">
      <c r="A96" s="2371"/>
      <c r="B96" s="2371">
        <v>971</v>
      </c>
      <c r="C96" s="2372" t="s">
        <v>2110</v>
      </c>
      <c r="D96" s="2375"/>
      <c r="E96" s="2415"/>
      <c r="F96" s="2336">
        <f>F97</f>
        <v>190</v>
      </c>
      <c r="G96" s="2416"/>
      <c r="H96" s="2416"/>
      <c r="I96" s="2416"/>
      <c r="J96" s="2417"/>
      <c r="K96" s="2416"/>
      <c r="L96" s="2416"/>
      <c r="M96" s="2416"/>
      <c r="N96" s="2417"/>
      <c r="O96" s="2418"/>
      <c r="P96" s="2416"/>
      <c r="Q96" s="2416"/>
      <c r="R96" s="2417"/>
      <c r="S96" s="2417">
        <f t="shared" si="10"/>
        <v>0</v>
      </c>
      <c r="T96" s="2417"/>
      <c r="U96" s="2416"/>
      <c r="V96" s="2419">
        <f t="shared" si="8"/>
        <v>0</v>
      </c>
      <c r="W96" s="2416">
        <f t="shared" si="9"/>
        <v>0</v>
      </c>
      <c r="X96" s="2417"/>
      <c r="Y96" s="2416"/>
      <c r="Z96" s="2375"/>
      <c r="AA96" s="2296" t="s">
        <v>1665</v>
      </c>
    </row>
    <row r="97" spans="1:27" s="2290" customFormat="1" ht="47.25" hidden="1" x14ac:dyDescent="0.25">
      <c r="A97" s="2381"/>
      <c r="B97" s="2381"/>
      <c r="C97" s="2391" t="s">
        <v>2111</v>
      </c>
      <c r="D97" s="2387">
        <v>8</v>
      </c>
      <c r="E97" s="2420">
        <v>23750</v>
      </c>
      <c r="F97" s="2333">
        <f>D97*E97/1000</f>
        <v>190</v>
      </c>
      <c r="G97" s="2417"/>
      <c r="H97" s="2417"/>
      <c r="I97" s="2417"/>
      <c r="J97" s="2417"/>
      <c r="K97" s="2417"/>
      <c r="L97" s="2417"/>
      <c r="M97" s="2417"/>
      <c r="N97" s="2417"/>
      <c r="O97" s="2421"/>
      <c r="P97" s="2417"/>
      <c r="Q97" s="2417"/>
      <c r="R97" s="2417"/>
      <c r="S97" s="2417">
        <f t="shared" si="10"/>
        <v>0</v>
      </c>
      <c r="T97" s="2417"/>
      <c r="U97" s="2417"/>
      <c r="V97" s="2422">
        <f t="shared" si="8"/>
        <v>0</v>
      </c>
      <c r="W97" s="2417">
        <f t="shared" si="9"/>
        <v>0</v>
      </c>
      <c r="X97" s="2417"/>
      <c r="Y97" s="2417"/>
      <c r="Z97" s="2387"/>
      <c r="AA97" s="2296" t="s">
        <v>1665</v>
      </c>
    </row>
    <row r="98" spans="1:27" s="2326" customFormat="1" ht="31.5" hidden="1" x14ac:dyDescent="0.25">
      <c r="A98" s="2370"/>
      <c r="B98" s="2371">
        <v>955</v>
      </c>
      <c r="C98" s="2372" t="s">
        <v>1401</v>
      </c>
      <c r="D98" s="2390"/>
      <c r="E98" s="2351"/>
      <c r="F98" s="2336">
        <f>SUM(F99:F103)</f>
        <v>34.299999999999997</v>
      </c>
      <c r="G98" s="2336"/>
      <c r="H98" s="2336"/>
      <c r="I98" s="2336"/>
      <c r="J98" s="2336"/>
      <c r="K98" s="2336"/>
      <c r="L98" s="2336"/>
      <c r="M98" s="2336"/>
      <c r="N98" s="2336"/>
      <c r="O98" s="2352"/>
      <c r="P98" s="2336"/>
      <c r="Q98" s="2336"/>
      <c r="R98" s="2336"/>
      <c r="S98" s="2336">
        <f t="shared" si="10"/>
        <v>0</v>
      </c>
      <c r="T98" s="2336"/>
      <c r="U98" s="2336"/>
      <c r="V98" s="2419">
        <f t="shared" si="8"/>
        <v>0</v>
      </c>
      <c r="W98" s="2416">
        <f t="shared" si="9"/>
        <v>0</v>
      </c>
      <c r="X98" s="2417"/>
      <c r="Y98" s="2336"/>
      <c r="Z98" s="2423"/>
      <c r="AA98" s="2296" t="s">
        <v>1665</v>
      </c>
    </row>
    <row r="99" spans="1:27" s="2290" customFormat="1" hidden="1" x14ac:dyDescent="0.25">
      <c r="A99" s="2380"/>
      <c r="B99" s="2371"/>
      <c r="C99" s="2391" t="s">
        <v>2112</v>
      </c>
      <c r="D99" s="2388">
        <v>4</v>
      </c>
      <c r="E99" s="2354">
        <v>1725</v>
      </c>
      <c r="F99" s="2333">
        <f>D99*E99/1000</f>
        <v>6.9</v>
      </c>
      <c r="G99" s="2333"/>
      <c r="H99" s="2333"/>
      <c r="I99" s="2333"/>
      <c r="J99" s="2333"/>
      <c r="K99" s="2333"/>
      <c r="L99" s="2333"/>
      <c r="M99" s="2333"/>
      <c r="N99" s="2333"/>
      <c r="O99" s="2355"/>
      <c r="P99" s="2333"/>
      <c r="Q99" s="2333"/>
      <c r="R99" s="2333"/>
      <c r="S99" s="2333">
        <f t="shared" si="10"/>
        <v>0</v>
      </c>
      <c r="T99" s="2333"/>
      <c r="U99" s="2333"/>
      <c r="V99" s="2422">
        <f t="shared" si="8"/>
        <v>0</v>
      </c>
      <c r="W99" s="2417">
        <f t="shared" si="9"/>
        <v>0</v>
      </c>
      <c r="X99" s="2417"/>
      <c r="Y99" s="2333"/>
      <c r="Z99" s="2387"/>
      <c r="AA99" s="2296" t="s">
        <v>1665</v>
      </c>
    </row>
    <row r="100" spans="1:27" s="2290" customFormat="1" hidden="1" x14ac:dyDescent="0.25">
      <c r="A100" s="2380"/>
      <c r="B100" s="2371"/>
      <c r="C100" s="2391" t="s">
        <v>1737</v>
      </c>
      <c r="D100" s="2388">
        <v>1</v>
      </c>
      <c r="E100" s="2354">
        <v>3500</v>
      </c>
      <c r="F100" s="2333">
        <f>D100*E100/1000</f>
        <v>3.5</v>
      </c>
      <c r="G100" s="2333"/>
      <c r="H100" s="2333"/>
      <c r="I100" s="2333"/>
      <c r="J100" s="2333"/>
      <c r="K100" s="2333"/>
      <c r="L100" s="2333"/>
      <c r="M100" s="2333"/>
      <c r="N100" s="2333"/>
      <c r="O100" s="2355"/>
      <c r="P100" s="2333"/>
      <c r="Q100" s="2333"/>
      <c r="R100" s="2333"/>
      <c r="S100" s="2333">
        <f t="shared" si="10"/>
        <v>0</v>
      </c>
      <c r="T100" s="2333"/>
      <c r="U100" s="2333"/>
      <c r="V100" s="2422">
        <f t="shared" si="8"/>
        <v>0</v>
      </c>
      <c r="W100" s="2417">
        <f t="shared" si="9"/>
        <v>0</v>
      </c>
      <c r="X100" s="2417"/>
      <c r="Y100" s="2333"/>
      <c r="Z100" s="2387"/>
      <c r="AA100" s="2296" t="s">
        <v>1665</v>
      </c>
    </row>
    <row r="101" spans="1:27" s="2290" customFormat="1" hidden="1" x14ac:dyDescent="0.25">
      <c r="A101" s="2380"/>
      <c r="B101" s="2381"/>
      <c r="C101" s="2391" t="s">
        <v>2113</v>
      </c>
      <c r="D101" s="2388">
        <v>6</v>
      </c>
      <c r="E101" s="2354">
        <v>2000</v>
      </c>
      <c r="F101" s="2333">
        <f>D101*E101/1000</f>
        <v>12</v>
      </c>
      <c r="G101" s="2333"/>
      <c r="H101" s="2333"/>
      <c r="I101" s="2333"/>
      <c r="J101" s="2333"/>
      <c r="K101" s="2333"/>
      <c r="L101" s="2333"/>
      <c r="M101" s="2333"/>
      <c r="N101" s="2333"/>
      <c r="O101" s="2355"/>
      <c r="P101" s="2333"/>
      <c r="Q101" s="2333"/>
      <c r="R101" s="2333"/>
      <c r="S101" s="2333">
        <f t="shared" si="10"/>
        <v>0</v>
      </c>
      <c r="T101" s="2333"/>
      <c r="U101" s="2333"/>
      <c r="V101" s="2422">
        <f t="shared" si="8"/>
        <v>0</v>
      </c>
      <c r="W101" s="2417">
        <f t="shared" si="9"/>
        <v>0</v>
      </c>
      <c r="X101" s="2417"/>
      <c r="Y101" s="2333"/>
      <c r="Z101" s="2387"/>
      <c r="AA101" s="2296" t="s">
        <v>1665</v>
      </c>
    </row>
    <row r="102" spans="1:27" s="2290" customFormat="1" hidden="1" x14ac:dyDescent="0.25">
      <c r="A102" s="2380"/>
      <c r="B102" s="2381"/>
      <c r="C102" s="2391" t="s">
        <v>1754</v>
      </c>
      <c r="D102" s="2388">
        <v>2</v>
      </c>
      <c r="E102" s="2354">
        <v>2300</v>
      </c>
      <c r="F102" s="2333">
        <f>D102*E102/1000</f>
        <v>4.5999999999999996</v>
      </c>
      <c r="G102" s="2333"/>
      <c r="H102" s="2333"/>
      <c r="I102" s="2333"/>
      <c r="J102" s="2333"/>
      <c r="K102" s="2333"/>
      <c r="L102" s="2333"/>
      <c r="M102" s="2333"/>
      <c r="N102" s="2333"/>
      <c r="O102" s="2355"/>
      <c r="P102" s="2333"/>
      <c r="Q102" s="2333"/>
      <c r="R102" s="2333"/>
      <c r="S102" s="2333">
        <f t="shared" si="10"/>
        <v>0</v>
      </c>
      <c r="T102" s="2333"/>
      <c r="U102" s="2333"/>
      <c r="V102" s="2422">
        <f t="shared" si="8"/>
        <v>0</v>
      </c>
      <c r="W102" s="2417">
        <f t="shared" si="9"/>
        <v>0</v>
      </c>
      <c r="X102" s="2417"/>
      <c r="Y102" s="2333"/>
      <c r="Z102" s="2387"/>
      <c r="AA102" s="2296" t="s">
        <v>1665</v>
      </c>
    </row>
    <row r="103" spans="1:27" s="2290" customFormat="1" hidden="1" x14ac:dyDescent="0.25">
      <c r="A103" s="2380"/>
      <c r="B103" s="2381"/>
      <c r="C103" s="2328" t="s">
        <v>1234</v>
      </c>
      <c r="D103" s="2388"/>
      <c r="E103" s="2354"/>
      <c r="F103" s="2333">
        <f>SUM(F99:F102)*0.271</f>
        <v>7.3</v>
      </c>
      <c r="G103" s="2333"/>
      <c r="H103" s="2333"/>
      <c r="I103" s="2333"/>
      <c r="J103" s="2333"/>
      <c r="K103" s="2333"/>
      <c r="L103" s="2333"/>
      <c r="M103" s="2333"/>
      <c r="N103" s="2333"/>
      <c r="O103" s="2333"/>
      <c r="P103" s="2333"/>
      <c r="Q103" s="2333"/>
      <c r="R103" s="2333"/>
      <c r="S103" s="2333">
        <f t="shared" si="10"/>
        <v>0</v>
      </c>
      <c r="T103" s="2333"/>
      <c r="U103" s="2333"/>
      <c r="V103" s="2417">
        <f t="shared" si="8"/>
        <v>0</v>
      </c>
      <c r="W103" s="2417">
        <f t="shared" si="9"/>
        <v>0</v>
      </c>
      <c r="X103" s="2417"/>
      <c r="Y103" s="2333"/>
      <c r="Z103" s="2387"/>
      <c r="AA103" s="2296" t="s">
        <v>1665</v>
      </c>
    </row>
    <row r="104" spans="1:27" s="2326" customFormat="1" ht="31.5" x14ac:dyDescent="0.25">
      <c r="A104" s="2370"/>
      <c r="B104" s="2371">
        <v>981</v>
      </c>
      <c r="C104" s="2372" t="s">
        <v>2072</v>
      </c>
      <c r="D104" s="2390"/>
      <c r="E104" s="2351"/>
      <c r="F104" s="2336">
        <f>F105</f>
        <v>1.6</v>
      </c>
      <c r="G104" s="2336"/>
      <c r="H104" s="2336"/>
      <c r="I104" s="2336"/>
      <c r="J104" s="2336"/>
      <c r="K104" s="2336"/>
      <c r="L104" s="2336"/>
      <c r="M104" s="2336"/>
      <c r="N104" s="2336"/>
      <c r="O104" s="2336"/>
      <c r="P104" s="2336"/>
      <c r="Q104" s="2336"/>
      <c r="R104" s="2336"/>
      <c r="S104" s="2336">
        <f t="shared" si="10"/>
        <v>0</v>
      </c>
      <c r="T104" s="2336"/>
      <c r="U104" s="2336"/>
      <c r="V104" s="2416">
        <f t="shared" si="8"/>
        <v>0</v>
      </c>
      <c r="W104" s="2416">
        <f t="shared" si="9"/>
        <v>0</v>
      </c>
      <c r="X104" s="2417"/>
      <c r="Y104" s="2336"/>
      <c r="Z104" s="3461"/>
      <c r="AA104" s="2296" t="s">
        <v>1665</v>
      </c>
    </row>
    <row r="105" spans="1:27" s="2290" customFormat="1" hidden="1" x14ac:dyDescent="0.25">
      <c r="A105" s="2380"/>
      <c r="B105" s="2381"/>
      <c r="C105" s="2328" t="s">
        <v>1935</v>
      </c>
      <c r="D105" s="2388">
        <v>16</v>
      </c>
      <c r="E105" s="2354">
        <v>100</v>
      </c>
      <c r="F105" s="2333">
        <f>D105*E105/1000</f>
        <v>1.6</v>
      </c>
      <c r="G105" s="2333"/>
      <c r="H105" s="2333"/>
      <c r="I105" s="2333"/>
      <c r="J105" s="2333"/>
      <c r="K105" s="2333"/>
      <c r="L105" s="2333"/>
      <c r="M105" s="2333"/>
      <c r="N105" s="2333"/>
      <c r="O105" s="2333"/>
      <c r="P105" s="2333"/>
      <c r="Q105" s="2333"/>
      <c r="R105" s="2333"/>
      <c r="S105" s="2333">
        <f t="shared" si="10"/>
        <v>0</v>
      </c>
      <c r="T105" s="2333"/>
      <c r="U105" s="2333"/>
      <c r="V105" s="2417">
        <f t="shared" si="8"/>
        <v>0</v>
      </c>
      <c r="W105" s="2417">
        <f t="shared" si="9"/>
        <v>0</v>
      </c>
      <c r="X105" s="2417"/>
      <c r="Y105" s="2333"/>
      <c r="Z105" s="3462"/>
      <c r="AA105" s="2296" t="s">
        <v>1665</v>
      </c>
    </row>
    <row r="106" spans="1:27" s="2326" customFormat="1" hidden="1" x14ac:dyDescent="0.25">
      <c r="A106" s="2370"/>
      <c r="B106" s="2371">
        <v>963</v>
      </c>
      <c r="C106" s="2372" t="s">
        <v>798</v>
      </c>
      <c r="D106" s="2390"/>
      <c r="E106" s="2351"/>
      <c r="F106" s="2336">
        <f>SUM(F107:F107)</f>
        <v>25</v>
      </c>
      <c r="G106" s="2336"/>
      <c r="H106" s="2336"/>
      <c r="I106" s="2336"/>
      <c r="J106" s="2336"/>
      <c r="K106" s="2336"/>
      <c r="L106" s="2336"/>
      <c r="M106" s="2336"/>
      <c r="N106" s="2336"/>
      <c r="O106" s="2336"/>
      <c r="P106" s="2336"/>
      <c r="Q106" s="2336"/>
      <c r="R106" s="2336"/>
      <c r="S106" s="2336">
        <f t="shared" si="10"/>
        <v>0</v>
      </c>
      <c r="T106" s="2336"/>
      <c r="U106" s="2336"/>
      <c r="V106" s="2416">
        <f t="shared" si="8"/>
        <v>0</v>
      </c>
      <c r="W106" s="2416">
        <f t="shared" si="9"/>
        <v>0</v>
      </c>
      <c r="X106" s="2417"/>
      <c r="Y106" s="2336"/>
      <c r="Z106" s="3461"/>
      <c r="AA106" s="2296" t="s">
        <v>1665</v>
      </c>
    </row>
    <row r="107" spans="1:27" s="2290" customFormat="1" ht="31.5" hidden="1" x14ac:dyDescent="0.25">
      <c r="A107" s="2380"/>
      <c r="B107" s="2381"/>
      <c r="C107" s="2391" t="s">
        <v>2114</v>
      </c>
      <c r="D107" s="2388">
        <v>50</v>
      </c>
      <c r="E107" s="2354">
        <v>500</v>
      </c>
      <c r="F107" s="2333">
        <f>D107*E107/1000</f>
        <v>25</v>
      </c>
      <c r="G107" s="2333"/>
      <c r="H107" s="2333"/>
      <c r="I107" s="2333"/>
      <c r="J107" s="2333"/>
      <c r="K107" s="2333"/>
      <c r="L107" s="2333"/>
      <c r="M107" s="2333"/>
      <c r="N107" s="2333"/>
      <c r="O107" s="2333"/>
      <c r="P107" s="2333"/>
      <c r="Q107" s="2333"/>
      <c r="R107" s="2333"/>
      <c r="S107" s="2333">
        <f t="shared" si="10"/>
        <v>0</v>
      </c>
      <c r="T107" s="2333"/>
      <c r="U107" s="2333"/>
      <c r="V107" s="2417">
        <f t="shared" si="8"/>
        <v>0</v>
      </c>
      <c r="W107" s="2417">
        <f t="shared" si="9"/>
        <v>0</v>
      </c>
      <c r="X107" s="2417"/>
      <c r="Y107" s="2333"/>
      <c r="Z107" s="3462"/>
      <c r="AA107" s="2296" t="s">
        <v>1665</v>
      </c>
    </row>
    <row r="108" spans="1:27" s="2326" customFormat="1" ht="31.5" x14ac:dyDescent="0.25">
      <c r="A108" s="2370"/>
      <c r="B108" s="2371">
        <v>981</v>
      </c>
      <c r="C108" s="2372" t="s">
        <v>2115</v>
      </c>
      <c r="D108" s="2390"/>
      <c r="E108" s="2351"/>
      <c r="F108" s="2336">
        <f>F109+F110</f>
        <v>10</v>
      </c>
      <c r="G108" s="2336"/>
      <c r="H108" s="2336"/>
      <c r="I108" s="2336"/>
      <c r="J108" s="2336"/>
      <c r="K108" s="2336"/>
      <c r="L108" s="2336"/>
      <c r="M108" s="2336"/>
      <c r="N108" s="2336"/>
      <c r="O108" s="2336"/>
      <c r="P108" s="2336"/>
      <c r="Q108" s="2336"/>
      <c r="R108" s="2336"/>
      <c r="S108" s="2336">
        <f t="shared" si="10"/>
        <v>0</v>
      </c>
      <c r="T108" s="2336"/>
      <c r="U108" s="2336"/>
      <c r="V108" s="2416">
        <f t="shared" si="8"/>
        <v>0</v>
      </c>
      <c r="W108" s="2416">
        <f t="shared" si="9"/>
        <v>0</v>
      </c>
      <c r="X108" s="2416"/>
      <c r="Y108" s="2336"/>
      <c r="Z108" s="2424"/>
      <c r="AA108" s="2296" t="s">
        <v>1665</v>
      </c>
    </row>
    <row r="109" spans="1:27" s="2290" customFormat="1" hidden="1" x14ac:dyDescent="0.25">
      <c r="A109" s="2380"/>
      <c r="B109" s="2381"/>
      <c r="C109" s="2391" t="s">
        <v>2116</v>
      </c>
      <c r="D109" s="2388">
        <v>50</v>
      </c>
      <c r="E109" s="2354">
        <v>100</v>
      </c>
      <c r="F109" s="2333">
        <f>D109*E109/1000</f>
        <v>5</v>
      </c>
      <c r="G109" s="2333"/>
      <c r="H109" s="2333"/>
      <c r="I109" s="2333"/>
      <c r="J109" s="2333"/>
      <c r="K109" s="2333"/>
      <c r="L109" s="2333"/>
      <c r="M109" s="2333"/>
      <c r="N109" s="2333"/>
      <c r="O109" s="2333"/>
      <c r="P109" s="2333"/>
      <c r="Q109" s="2333"/>
      <c r="R109" s="2333"/>
      <c r="S109" s="2333">
        <f t="shared" si="10"/>
        <v>0</v>
      </c>
      <c r="T109" s="2333"/>
      <c r="U109" s="2333"/>
      <c r="V109" s="2417">
        <f t="shared" si="8"/>
        <v>0</v>
      </c>
      <c r="W109" s="2417">
        <f t="shared" si="9"/>
        <v>0</v>
      </c>
      <c r="X109" s="2417"/>
      <c r="Y109" s="2333"/>
      <c r="Z109" s="2424"/>
      <c r="AA109" s="2296" t="s">
        <v>1665</v>
      </c>
    </row>
    <row r="110" spans="1:27" s="2290" customFormat="1" hidden="1" x14ac:dyDescent="0.25">
      <c r="A110" s="2380"/>
      <c r="B110" s="2381"/>
      <c r="C110" s="2391" t="s">
        <v>2117</v>
      </c>
      <c r="D110" s="2388">
        <v>50</v>
      </c>
      <c r="E110" s="2354">
        <v>100</v>
      </c>
      <c r="F110" s="2333">
        <f>D110*E110/1000</f>
        <v>5</v>
      </c>
      <c r="G110" s="2333"/>
      <c r="H110" s="2333"/>
      <c r="I110" s="2333"/>
      <c r="J110" s="2333"/>
      <c r="K110" s="2333"/>
      <c r="L110" s="2333"/>
      <c r="M110" s="2333"/>
      <c r="N110" s="2333"/>
      <c r="O110" s="2333"/>
      <c r="P110" s="2333"/>
      <c r="Q110" s="2333"/>
      <c r="R110" s="2333"/>
      <c r="S110" s="2333">
        <f t="shared" si="10"/>
        <v>0</v>
      </c>
      <c r="T110" s="2333"/>
      <c r="U110" s="2333"/>
      <c r="V110" s="2417">
        <f t="shared" si="8"/>
        <v>0</v>
      </c>
      <c r="W110" s="2417">
        <f t="shared" si="9"/>
        <v>0</v>
      </c>
      <c r="X110" s="2417"/>
      <c r="Y110" s="2333"/>
      <c r="Z110" s="2424"/>
      <c r="AA110" s="2296" t="s">
        <v>1665</v>
      </c>
    </row>
    <row r="111" spans="1:27" s="2326" customFormat="1" x14ac:dyDescent="0.25">
      <c r="A111" s="2370"/>
      <c r="B111" s="2371">
        <v>981</v>
      </c>
      <c r="C111" s="2372" t="s">
        <v>1226</v>
      </c>
      <c r="D111" s="2390"/>
      <c r="E111" s="2351"/>
      <c r="F111" s="2336">
        <f>F112</f>
        <v>6</v>
      </c>
      <c r="G111" s="2336"/>
      <c r="H111" s="2336"/>
      <c r="I111" s="2336"/>
      <c r="J111" s="2336"/>
      <c r="K111" s="2336"/>
      <c r="L111" s="2336"/>
      <c r="M111" s="2336"/>
      <c r="N111" s="2336"/>
      <c r="O111" s="2336"/>
      <c r="P111" s="2336"/>
      <c r="Q111" s="2336"/>
      <c r="R111" s="2336"/>
      <c r="S111" s="2336">
        <f t="shared" si="10"/>
        <v>0</v>
      </c>
      <c r="T111" s="2336"/>
      <c r="U111" s="2336"/>
      <c r="V111" s="2416">
        <f t="shared" si="8"/>
        <v>0</v>
      </c>
      <c r="W111" s="2416">
        <f t="shared" si="9"/>
        <v>0</v>
      </c>
      <c r="X111" s="2417"/>
      <c r="Y111" s="2336"/>
      <c r="Z111" s="3461"/>
      <c r="AA111" s="2296" t="s">
        <v>1665</v>
      </c>
    </row>
    <row r="112" spans="1:27" s="2290" customFormat="1" hidden="1" x14ac:dyDescent="0.25">
      <c r="A112" s="2380"/>
      <c r="B112" s="2381"/>
      <c r="C112" s="2391" t="s">
        <v>2058</v>
      </c>
      <c r="D112" s="2388">
        <v>1</v>
      </c>
      <c r="E112" s="2354">
        <v>6000</v>
      </c>
      <c r="F112" s="2333">
        <f>D112*E112/1000</f>
        <v>6</v>
      </c>
      <c r="G112" s="2333"/>
      <c r="H112" s="2333"/>
      <c r="I112" s="2333"/>
      <c r="J112" s="2333"/>
      <c r="K112" s="2333"/>
      <c r="L112" s="2333"/>
      <c r="M112" s="2333"/>
      <c r="N112" s="2333"/>
      <c r="O112" s="2333"/>
      <c r="P112" s="2333"/>
      <c r="Q112" s="2333"/>
      <c r="R112" s="2333"/>
      <c r="S112" s="2333">
        <f t="shared" si="10"/>
        <v>0</v>
      </c>
      <c r="T112" s="2333"/>
      <c r="U112" s="2333"/>
      <c r="V112" s="2417">
        <f t="shared" si="8"/>
        <v>0</v>
      </c>
      <c r="W112" s="2417">
        <f t="shared" si="9"/>
        <v>0</v>
      </c>
      <c r="X112" s="2417"/>
      <c r="Y112" s="2333"/>
      <c r="Z112" s="3463"/>
      <c r="AA112" s="2296" t="s">
        <v>1665</v>
      </c>
    </row>
    <row r="113" spans="1:27" s="2326" customFormat="1" x14ac:dyDescent="0.25">
      <c r="A113" s="2370"/>
      <c r="B113" s="2371">
        <v>981</v>
      </c>
      <c r="C113" s="2372" t="s">
        <v>2104</v>
      </c>
      <c r="D113" s="2390"/>
      <c r="E113" s="2351"/>
      <c r="F113" s="2336">
        <f>F114</f>
        <v>4.8</v>
      </c>
      <c r="G113" s="2336"/>
      <c r="H113" s="2336"/>
      <c r="I113" s="2336"/>
      <c r="J113" s="2336"/>
      <c r="K113" s="2336"/>
      <c r="L113" s="2336"/>
      <c r="M113" s="2336"/>
      <c r="N113" s="2336"/>
      <c r="O113" s="2336"/>
      <c r="P113" s="2336"/>
      <c r="Q113" s="2336"/>
      <c r="R113" s="2336"/>
      <c r="S113" s="2336">
        <f t="shared" si="10"/>
        <v>0</v>
      </c>
      <c r="T113" s="2336"/>
      <c r="U113" s="2336"/>
      <c r="V113" s="2416">
        <f t="shared" si="8"/>
        <v>0</v>
      </c>
      <c r="W113" s="2416">
        <f t="shared" si="9"/>
        <v>0</v>
      </c>
      <c r="X113" s="2417"/>
      <c r="Y113" s="2336"/>
      <c r="Z113" s="3463"/>
      <c r="AA113" s="2296" t="s">
        <v>1665</v>
      </c>
    </row>
    <row r="114" spans="1:27" s="2290" customFormat="1" hidden="1" x14ac:dyDescent="0.25">
      <c r="A114" s="2380"/>
      <c r="B114" s="2381"/>
      <c r="C114" s="2391" t="s">
        <v>2105</v>
      </c>
      <c r="D114" s="2388">
        <v>80</v>
      </c>
      <c r="E114" s="2354">
        <v>60</v>
      </c>
      <c r="F114" s="2333">
        <f>D114*E114/1000</f>
        <v>4.8</v>
      </c>
      <c r="G114" s="2333"/>
      <c r="H114" s="2333"/>
      <c r="I114" s="2333"/>
      <c r="J114" s="2333"/>
      <c r="K114" s="2333"/>
      <c r="L114" s="2333"/>
      <c r="M114" s="2333"/>
      <c r="N114" s="2333"/>
      <c r="O114" s="2333"/>
      <c r="P114" s="2333"/>
      <c r="Q114" s="2333"/>
      <c r="R114" s="2333"/>
      <c r="S114" s="2333">
        <f t="shared" si="10"/>
        <v>0</v>
      </c>
      <c r="T114" s="2333"/>
      <c r="U114" s="2333"/>
      <c r="V114" s="2417">
        <f t="shared" si="8"/>
        <v>0</v>
      </c>
      <c r="W114" s="2417">
        <f t="shared" si="9"/>
        <v>0</v>
      </c>
      <c r="X114" s="2417"/>
      <c r="Y114" s="2333"/>
      <c r="Z114" s="3464"/>
      <c r="AA114" s="2296" t="s">
        <v>1665</v>
      </c>
    </row>
    <row r="115" spans="1:27" s="2326" customFormat="1" hidden="1" x14ac:dyDescent="0.25">
      <c r="A115" s="2370"/>
      <c r="B115" s="2371">
        <v>922</v>
      </c>
      <c r="C115" s="2372" t="s">
        <v>1227</v>
      </c>
      <c r="D115" s="2390">
        <v>6</v>
      </c>
      <c r="E115" s="2351">
        <v>2500</v>
      </c>
      <c r="F115" s="2336">
        <f>D115*E115/1000</f>
        <v>15</v>
      </c>
      <c r="G115" s="2336"/>
      <c r="H115" s="2336"/>
      <c r="I115" s="2336"/>
      <c r="J115" s="2336"/>
      <c r="K115" s="2336"/>
      <c r="L115" s="2336"/>
      <c r="M115" s="2336"/>
      <c r="N115" s="2336"/>
      <c r="O115" s="2336"/>
      <c r="P115" s="2336"/>
      <c r="Q115" s="2336"/>
      <c r="R115" s="2336"/>
      <c r="S115" s="2336">
        <f t="shared" si="10"/>
        <v>0</v>
      </c>
      <c r="T115" s="2336"/>
      <c r="U115" s="2336"/>
      <c r="V115" s="2416">
        <f t="shared" si="8"/>
        <v>0</v>
      </c>
      <c r="W115" s="2416">
        <f t="shared" si="9"/>
        <v>0</v>
      </c>
      <c r="X115" s="2417"/>
      <c r="Y115" s="2336"/>
      <c r="Z115" s="2387"/>
      <c r="AA115" s="2296" t="s">
        <v>1665</v>
      </c>
    </row>
    <row r="116" spans="1:27" s="2350" customFormat="1" ht="47.25" hidden="1" x14ac:dyDescent="0.2">
      <c r="A116" s="2366">
        <v>9</v>
      </c>
      <c r="B116" s="2401"/>
      <c r="C116" s="2367" t="s">
        <v>2118</v>
      </c>
      <c r="D116" s="2368"/>
      <c r="E116" s="2403"/>
      <c r="F116" s="2349">
        <f>SUM(F117:F121)</f>
        <v>301.3</v>
      </c>
      <c r="G116" s="2349">
        <f>SUM(G117:G121)</f>
        <v>0</v>
      </c>
      <c r="H116" s="2349"/>
      <c r="I116" s="2349"/>
      <c r="J116" s="2349">
        <f>SUM(J117:J121)</f>
        <v>280</v>
      </c>
      <c r="K116" s="2349">
        <f>SUM(K117:K121)</f>
        <v>271</v>
      </c>
      <c r="L116" s="2349"/>
      <c r="M116" s="2349"/>
      <c r="N116" s="2349">
        <f>SUM(N117:N121)</f>
        <v>280</v>
      </c>
      <c r="O116" s="2414">
        <f>SUM(O117:O121)</f>
        <v>271</v>
      </c>
      <c r="P116" s="2349"/>
      <c r="Q116" s="2349"/>
      <c r="R116" s="2349">
        <f>SUM(R117:R121)</f>
        <v>280</v>
      </c>
      <c r="S116" s="2349">
        <f t="shared" si="10"/>
        <v>280</v>
      </c>
      <c r="T116" s="2349"/>
      <c r="U116" s="2349">
        <f>SUM(U117:U121)</f>
        <v>271</v>
      </c>
      <c r="V116" s="2349">
        <f t="shared" si="8"/>
        <v>0</v>
      </c>
      <c r="W116" s="2349">
        <f t="shared" si="9"/>
        <v>100</v>
      </c>
      <c r="X116" s="2349">
        <f>SUM(X117:X121)</f>
        <v>300</v>
      </c>
      <c r="Y116" s="2349">
        <f>SUM(Y117:Y121)</f>
        <v>300</v>
      </c>
      <c r="Z116" s="2425"/>
      <c r="AA116" s="2296" t="s">
        <v>1665</v>
      </c>
    </row>
    <row r="117" spans="1:27" s="2290" customFormat="1" hidden="1" x14ac:dyDescent="0.25">
      <c r="A117" s="2380"/>
      <c r="B117" s="2325">
        <v>966</v>
      </c>
      <c r="C117" s="2328" t="s">
        <v>2119</v>
      </c>
      <c r="D117" s="2329">
        <v>14</v>
      </c>
      <c r="E117" s="2330">
        <v>21518</v>
      </c>
      <c r="F117" s="2333">
        <f>D117*E117/1000</f>
        <v>301.3</v>
      </c>
      <c r="G117" s="2333"/>
      <c r="H117" s="2417">
        <v>12</v>
      </c>
      <c r="I117" s="2417">
        <f>J117/H117*1000</f>
        <v>23333.3</v>
      </c>
      <c r="J117" s="2417">
        <v>280</v>
      </c>
      <c r="K117" s="2417"/>
      <c r="L117" s="2417">
        <v>12</v>
      </c>
      <c r="M117" s="2417">
        <f>N117/L117*1000</f>
        <v>23333.3</v>
      </c>
      <c r="N117" s="2417">
        <v>280</v>
      </c>
      <c r="O117" s="2421"/>
      <c r="P117" s="2417">
        <v>10</v>
      </c>
      <c r="Q117" s="2417">
        <v>28000</v>
      </c>
      <c r="R117" s="2417">
        <f>P117*Q117/1000</f>
        <v>280</v>
      </c>
      <c r="S117" s="2417">
        <f t="shared" si="10"/>
        <v>280</v>
      </c>
      <c r="T117" s="2417"/>
      <c r="U117" s="2417"/>
      <c r="V117" s="2417">
        <f t="shared" si="8"/>
        <v>0</v>
      </c>
      <c r="W117" s="2417">
        <f t="shared" si="9"/>
        <v>100</v>
      </c>
      <c r="X117" s="2417">
        <v>300</v>
      </c>
      <c r="Y117" s="2417">
        <v>300</v>
      </c>
      <c r="Z117" s="3465"/>
      <c r="AA117" s="2296" t="s">
        <v>1665</v>
      </c>
    </row>
    <row r="118" spans="1:27" s="2290" customFormat="1" ht="31.5" hidden="1" x14ac:dyDescent="0.25">
      <c r="A118" s="2380"/>
      <c r="B118" s="2325">
        <v>966</v>
      </c>
      <c r="C118" s="2328" t="s">
        <v>2120</v>
      </c>
      <c r="D118" s="2329"/>
      <c r="E118" s="2330"/>
      <c r="F118" s="2333"/>
      <c r="G118" s="2333">
        <f>D118*E118/1000</f>
        <v>0</v>
      </c>
      <c r="H118" s="2417">
        <v>12</v>
      </c>
      <c r="I118" s="2417">
        <v>14000</v>
      </c>
      <c r="J118" s="2417"/>
      <c r="K118" s="2417">
        <v>168</v>
      </c>
      <c r="L118" s="2417">
        <v>12</v>
      </c>
      <c r="M118" s="2417">
        <v>14000</v>
      </c>
      <c r="N118" s="2417"/>
      <c r="O118" s="2421">
        <v>168</v>
      </c>
      <c r="P118" s="2417">
        <v>10</v>
      </c>
      <c r="Q118" s="2417">
        <v>28000</v>
      </c>
      <c r="R118" s="2417"/>
      <c r="S118" s="2417">
        <f t="shared" si="10"/>
        <v>0</v>
      </c>
      <c r="T118" s="2417"/>
      <c r="U118" s="2417">
        <v>168</v>
      </c>
      <c r="V118" s="2417">
        <f t="shared" si="8"/>
        <v>0</v>
      </c>
      <c r="W118" s="2417">
        <f t="shared" si="9"/>
        <v>0</v>
      </c>
      <c r="X118" s="2417"/>
      <c r="Y118" s="2417"/>
      <c r="Z118" s="3466"/>
      <c r="AA118" s="2296" t="s">
        <v>1665</v>
      </c>
    </row>
    <row r="119" spans="1:27" s="2290" customFormat="1" ht="31.5" hidden="1" x14ac:dyDescent="0.25">
      <c r="A119" s="2380"/>
      <c r="B119" s="2325">
        <v>912</v>
      </c>
      <c r="C119" s="2328" t="s">
        <v>2121</v>
      </c>
      <c r="D119" s="2329"/>
      <c r="E119" s="2330"/>
      <c r="F119" s="2333"/>
      <c r="G119" s="2333">
        <f>D119*E119/1000</f>
        <v>0</v>
      </c>
      <c r="H119" s="2417">
        <v>2</v>
      </c>
      <c r="I119" s="2417">
        <v>3500</v>
      </c>
      <c r="J119" s="2417"/>
      <c r="K119" s="2417">
        <v>7</v>
      </c>
      <c r="L119" s="2417">
        <v>2</v>
      </c>
      <c r="M119" s="2417">
        <v>3500</v>
      </c>
      <c r="N119" s="2417"/>
      <c r="O119" s="2421">
        <v>7</v>
      </c>
      <c r="P119" s="2417">
        <v>2</v>
      </c>
      <c r="Q119" s="2417">
        <v>3500</v>
      </c>
      <c r="R119" s="2417"/>
      <c r="S119" s="2417">
        <f t="shared" si="10"/>
        <v>0</v>
      </c>
      <c r="T119" s="2417"/>
      <c r="U119" s="2417">
        <v>7</v>
      </c>
      <c r="V119" s="2417">
        <f t="shared" si="8"/>
        <v>0</v>
      </c>
      <c r="W119" s="2417">
        <f t="shared" si="9"/>
        <v>0</v>
      </c>
      <c r="X119" s="2417"/>
      <c r="Y119" s="2417"/>
      <c r="Z119" s="3466"/>
      <c r="AA119" s="2296" t="s">
        <v>1665</v>
      </c>
    </row>
    <row r="120" spans="1:27" s="2559" customFormat="1" ht="31.5" hidden="1" x14ac:dyDescent="0.25">
      <c r="A120" s="2665"/>
      <c r="B120" s="2463">
        <v>921</v>
      </c>
      <c r="C120" s="2666" t="s">
        <v>2122</v>
      </c>
      <c r="D120" s="2667"/>
      <c r="E120" s="2668"/>
      <c r="F120" s="2669"/>
      <c r="G120" s="2669">
        <f>D120*E120/1000</f>
        <v>0</v>
      </c>
      <c r="H120" s="2469">
        <v>2</v>
      </c>
      <c r="I120" s="2469">
        <v>34000</v>
      </c>
      <c r="J120" s="2469"/>
      <c r="K120" s="2469">
        <v>68</v>
      </c>
      <c r="L120" s="2469">
        <v>2</v>
      </c>
      <c r="M120" s="2469">
        <v>34000</v>
      </c>
      <c r="N120" s="2469"/>
      <c r="O120" s="2470">
        <v>68</v>
      </c>
      <c r="P120" s="2469">
        <v>2</v>
      </c>
      <c r="Q120" s="2469">
        <v>34000</v>
      </c>
      <c r="R120" s="2469"/>
      <c r="S120" s="2469">
        <f t="shared" si="10"/>
        <v>0</v>
      </c>
      <c r="T120" s="2469"/>
      <c r="U120" s="2469">
        <v>68</v>
      </c>
      <c r="V120" s="2469">
        <f t="shared" si="8"/>
        <v>0</v>
      </c>
      <c r="W120" s="2469">
        <f t="shared" si="9"/>
        <v>0</v>
      </c>
      <c r="X120" s="2469"/>
      <c r="Y120" s="2469"/>
      <c r="Z120" s="3467"/>
      <c r="AA120" s="2562" t="s">
        <v>1665</v>
      </c>
    </row>
    <row r="121" spans="1:27" s="2290" customFormat="1" ht="31.5" hidden="1" x14ac:dyDescent="0.25">
      <c r="A121" s="2380"/>
      <c r="B121" s="2325">
        <v>952</v>
      </c>
      <c r="C121" s="2328" t="s">
        <v>2123</v>
      </c>
      <c r="D121" s="2329"/>
      <c r="E121" s="2330"/>
      <c r="F121" s="2333"/>
      <c r="G121" s="2333">
        <f>D121*E121/1000</f>
        <v>0</v>
      </c>
      <c r="H121" s="2417">
        <v>2</v>
      </c>
      <c r="I121" s="2417">
        <v>14000</v>
      </c>
      <c r="J121" s="2417"/>
      <c r="K121" s="2417">
        <v>28</v>
      </c>
      <c r="L121" s="2417">
        <v>2</v>
      </c>
      <c r="M121" s="2417">
        <v>14000</v>
      </c>
      <c r="N121" s="2417"/>
      <c r="O121" s="2421">
        <v>28</v>
      </c>
      <c r="P121" s="2417">
        <v>2</v>
      </c>
      <c r="Q121" s="2417">
        <v>14000</v>
      </c>
      <c r="R121" s="2417"/>
      <c r="S121" s="2417">
        <f t="shared" si="10"/>
        <v>0</v>
      </c>
      <c r="T121" s="2417"/>
      <c r="U121" s="2417">
        <v>28</v>
      </c>
      <c r="V121" s="2417">
        <f t="shared" si="8"/>
        <v>0</v>
      </c>
      <c r="W121" s="2417">
        <f t="shared" si="9"/>
        <v>0</v>
      </c>
      <c r="X121" s="2417"/>
      <c r="Y121" s="2417"/>
      <c r="Z121" s="3468"/>
      <c r="AA121" s="2296" t="s">
        <v>1665</v>
      </c>
    </row>
    <row r="122" spans="1:27" s="2408" customFormat="1" hidden="1" x14ac:dyDescent="0.25">
      <c r="A122" s="2311">
        <v>11</v>
      </c>
      <c r="B122" s="2311"/>
      <c r="C122" s="2312" t="s">
        <v>2152</v>
      </c>
      <c r="D122" s="2446"/>
      <c r="E122" s="2447"/>
      <c r="F122" s="2404"/>
      <c r="G122" s="2405"/>
      <c r="H122" s="2405"/>
      <c r="I122" s="2405"/>
      <c r="J122" s="2313">
        <f>J123+J129+J132+J136</f>
        <v>70.8</v>
      </c>
      <c r="K122" s="2313">
        <f>K123+K129+K132+K136</f>
        <v>0</v>
      </c>
      <c r="L122" s="2405"/>
      <c r="M122" s="2405"/>
      <c r="N122" s="2313">
        <f>N123+N129+N132+N136</f>
        <v>70.8</v>
      </c>
      <c r="O122" s="2315">
        <f>O123+O129+O132+O136</f>
        <v>0</v>
      </c>
      <c r="P122" s="2405"/>
      <c r="Q122" s="2405"/>
      <c r="R122" s="2313">
        <f>R123+R129+R132+R136</f>
        <v>70.3</v>
      </c>
      <c r="S122" s="2313">
        <f t="shared" ref="S122:S172" si="11">R122</f>
        <v>70.3</v>
      </c>
      <c r="T122" s="2313"/>
      <c r="U122" s="2313">
        <f>U123+U129+U132+U136</f>
        <v>24.6</v>
      </c>
      <c r="V122" s="2313">
        <f t="shared" ref="V122:V171" si="12">R122-J122</f>
        <v>-0.5</v>
      </c>
      <c r="W122" s="2313">
        <f t="shared" ref="W122:W171" si="13">IFERROR((R122)/J122*100,0)</f>
        <v>99.3</v>
      </c>
      <c r="X122" s="2313">
        <f>X123+X129+X132+X136</f>
        <v>92.2</v>
      </c>
      <c r="Y122" s="2313">
        <f>Y123+Y129+Y132+Y136</f>
        <v>92.2</v>
      </c>
      <c r="Z122" s="2448"/>
      <c r="AA122" s="2296" t="s">
        <v>1665</v>
      </c>
    </row>
    <row r="123" spans="1:27" s="2290" customFormat="1" ht="31.5" hidden="1" x14ac:dyDescent="0.25">
      <c r="A123" s="2380"/>
      <c r="B123" s="2319">
        <v>955</v>
      </c>
      <c r="C123" s="2340" t="s">
        <v>1401</v>
      </c>
      <c r="D123" s="2364"/>
      <c r="E123" s="2441"/>
      <c r="F123" s="2389"/>
      <c r="G123" s="2417"/>
      <c r="H123" s="2361"/>
      <c r="I123" s="2361"/>
      <c r="J123" s="2361">
        <f>SUM(J124:J128)</f>
        <v>15.3</v>
      </c>
      <c r="K123" s="2361"/>
      <c r="L123" s="2361"/>
      <c r="M123" s="2361"/>
      <c r="N123" s="2361">
        <f>SUM(N124:N128)</f>
        <v>15.3</v>
      </c>
      <c r="O123" s="2449"/>
      <c r="P123" s="2361"/>
      <c r="Q123" s="2361"/>
      <c r="R123" s="2361">
        <f>SUM(R124:R128)</f>
        <v>11.8</v>
      </c>
      <c r="S123" s="2361">
        <f t="shared" si="11"/>
        <v>11.8</v>
      </c>
      <c r="T123" s="2361"/>
      <c r="U123" s="2361"/>
      <c r="V123" s="2384">
        <f t="shared" si="12"/>
        <v>-3.5</v>
      </c>
      <c r="W123" s="2384">
        <f t="shared" si="13"/>
        <v>77.099999999999994</v>
      </c>
      <c r="X123" s="2361">
        <v>11.7</v>
      </c>
      <c r="Y123" s="2361">
        <v>11.7</v>
      </c>
      <c r="Z123" s="2450"/>
      <c r="AA123" s="2296" t="s">
        <v>1665</v>
      </c>
    </row>
    <row r="124" spans="1:27" s="2290" customFormat="1" ht="47.25" hidden="1" x14ac:dyDescent="0.25">
      <c r="A124" s="2380"/>
      <c r="B124" s="2343"/>
      <c r="C124" s="2335" t="s">
        <v>2153</v>
      </c>
      <c r="D124" s="2364"/>
      <c r="E124" s="2441"/>
      <c r="F124" s="2389"/>
      <c r="G124" s="2417"/>
      <c r="H124" s="2364">
        <v>1</v>
      </c>
      <c r="I124" s="2364">
        <v>3450</v>
      </c>
      <c r="J124" s="2364">
        <f>H124*I124/1000</f>
        <v>3.5</v>
      </c>
      <c r="K124" s="2364"/>
      <c r="L124" s="2364">
        <v>1</v>
      </c>
      <c r="M124" s="2364">
        <v>3450</v>
      </c>
      <c r="N124" s="2364">
        <f>L124*M124/1000</f>
        <v>3.5</v>
      </c>
      <c r="O124" s="2451"/>
      <c r="P124" s="2364">
        <v>1</v>
      </c>
      <c r="Q124" s="2364">
        <v>3450</v>
      </c>
      <c r="R124" s="2364">
        <f>Q124*P124/1000</f>
        <v>3.5</v>
      </c>
      <c r="S124" s="2364">
        <f t="shared" si="11"/>
        <v>3.5</v>
      </c>
      <c r="T124" s="2364"/>
      <c r="U124" s="2364"/>
      <c r="V124" s="2384">
        <f t="shared" si="12"/>
        <v>0</v>
      </c>
      <c r="W124" s="2384">
        <f t="shared" si="13"/>
        <v>100</v>
      </c>
      <c r="X124" s="2364">
        <v>3.5</v>
      </c>
      <c r="Y124" s="2364">
        <v>3.5</v>
      </c>
      <c r="Z124" s="3469"/>
      <c r="AA124" s="2296" t="s">
        <v>1665</v>
      </c>
    </row>
    <row r="125" spans="1:27" s="2290" customFormat="1" ht="47.25" hidden="1" x14ac:dyDescent="0.25">
      <c r="A125" s="2380"/>
      <c r="B125" s="2319"/>
      <c r="C125" s="2335" t="s">
        <v>2154</v>
      </c>
      <c r="D125" s="2364"/>
      <c r="E125" s="2441"/>
      <c r="F125" s="2389"/>
      <c r="G125" s="2417"/>
      <c r="H125" s="2364">
        <v>1</v>
      </c>
      <c r="I125" s="2364">
        <v>2300</v>
      </c>
      <c r="J125" s="2364">
        <f>H125*I125/1000</f>
        <v>2.2999999999999998</v>
      </c>
      <c r="K125" s="2361"/>
      <c r="L125" s="2364">
        <v>1</v>
      </c>
      <c r="M125" s="2364">
        <v>2300</v>
      </c>
      <c r="N125" s="2364">
        <f>L125*M125/1000</f>
        <v>2.2999999999999998</v>
      </c>
      <c r="O125" s="2449"/>
      <c r="P125" s="2364">
        <v>1</v>
      </c>
      <c r="Q125" s="2364">
        <v>2300</v>
      </c>
      <c r="R125" s="2364">
        <f>Q125*P125/1000</f>
        <v>2.2999999999999998</v>
      </c>
      <c r="S125" s="2364">
        <f t="shared" si="11"/>
        <v>2.2999999999999998</v>
      </c>
      <c r="T125" s="2364"/>
      <c r="U125" s="2361"/>
      <c r="V125" s="2417">
        <f t="shared" si="12"/>
        <v>0</v>
      </c>
      <c r="W125" s="2417">
        <f t="shared" si="13"/>
        <v>100</v>
      </c>
      <c r="X125" s="2364">
        <v>2.2999999999999998</v>
      </c>
      <c r="Y125" s="2364">
        <v>2.2999999999999998</v>
      </c>
      <c r="Z125" s="3470"/>
      <c r="AA125" s="2296" t="s">
        <v>1665</v>
      </c>
    </row>
    <row r="126" spans="1:27" s="2290" customFormat="1" ht="47.25" hidden="1" x14ac:dyDescent="0.25">
      <c r="A126" s="2380"/>
      <c r="B126" s="2343"/>
      <c r="C126" s="2335" t="s">
        <v>2155</v>
      </c>
      <c r="D126" s="2364"/>
      <c r="E126" s="2441"/>
      <c r="F126" s="2389"/>
      <c r="G126" s="2417"/>
      <c r="H126" s="2364">
        <v>1</v>
      </c>
      <c r="I126" s="2364">
        <v>3000</v>
      </c>
      <c r="J126" s="2364">
        <f>H126*I126/1000</f>
        <v>3</v>
      </c>
      <c r="K126" s="2364"/>
      <c r="L126" s="2364">
        <v>1</v>
      </c>
      <c r="M126" s="2364">
        <v>3000</v>
      </c>
      <c r="N126" s="2364">
        <f>L126*M126/1000</f>
        <v>3</v>
      </c>
      <c r="O126" s="2451"/>
      <c r="P126" s="2364"/>
      <c r="Q126" s="2364"/>
      <c r="R126" s="2364">
        <f>Q126*P126/1000</f>
        <v>0</v>
      </c>
      <c r="S126" s="2364">
        <f t="shared" si="11"/>
        <v>0</v>
      </c>
      <c r="T126" s="2364"/>
      <c r="U126" s="2364"/>
      <c r="V126" s="2417">
        <f t="shared" si="12"/>
        <v>-3</v>
      </c>
      <c r="W126" s="2417">
        <f t="shared" si="13"/>
        <v>0</v>
      </c>
      <c r="X126" s="2364">
        <v>0</v>
      </c>
      <c r="Y126" s="2364">
        <v>0</v>
      </c>
      <c r="Z126" s="3470"/>
      <c r="AA126" s="2296" t="s">
        <v>1665</v>
      </c>
    </row>
    <row r="127" spans="1:27" s="2290" customFormat="1" ht="63" hidden="1" x14ac:dyDescent="0.25">
      <c r="A127" s="2380"/>
      <c r="B127" s="2343"/>
      <c r="C127" s="2335" t="s">
        <v>2156</v>
      </c>
      <c r="D127" s="2364"/>
      <c r="E127" s="2441"/>
      <c r="F127" s="2389"/>
      <c r="G127" s="2417"/>
      <c r="H127" s="2364">
        <v>1</v>
      </c>
      <c r="I127" s="2364">
        <v>3150</v>
      </c>
      <c r="J127" s="2364">
        <f>H127*I127/1000</f>
        <v>3.2</v>
      </c>
      <c r="K127" s="2364"/>
      <c r="L127" s="2364">
        <v>1</v>
      </c>
      <c r="M127" s="2364">
        <v>3150</v>
      </c>
      <c r="N127" s="2364">
        <f>L127*M127/1000</f>
        <v>3.2</v>
      </c>
      <c r="O127" s="2451"/>
      <c r="P127" s="2364">
        <v>1</v>
      </c>
      <c r="Q127" s="2364">
        <v>3450</v>
      </c>
      <c r="R127" s="2364">
        <f>Q127*P127/1000</f>
        <v>3.5</v>
      </c>
      <c r="S127" s="2364">
        <f t="shared" si="11"/>
        <v>3.5</v>
      </c>
      <c r="T127" s="2364"/>
      <c r="U127" s="2364"/>
      <c r="V127" s="2417">
        <f t="shared" si="12"/>
        <v>0.3</v>
      </c>
      <c r="W127" s="2417">
        <f t="shared" si="13"/>
        <v>109.4</v>
      </c>
      <c r="X127" s="2364">
        <v>3.5</v>
      </c>
      <c r="Y127" s="2364">
        <v>3.5</v>
      </c>
      <c r="Z127" s="3471"/>
      <c r="AA127" s="2296" t="s">
        <v>1665</v>
      </c>
    </row>
    <row r="128" spans="1:27" s="2290" customFormat="1" hidden="1" x14ac:dyDescent="0.25">
      <c r="A128" s="2380"/>
      <c r="B128" s="2343"/>
      <c r="C128" s="2335" t="s">
        <v>1234</v>
      </c>
      <c r="D128" s="2364"/>
      <c r="E128" s="2441"/>
      <c r="F128" s="2389"/>
      <c r="G128" s="2417"/>
      <c r="H128" s="2364"/>
      <c r="I128" s="2364"/>
      <c r="J128" s="2364">
        <f>SUM(J124:J127)*0.271</f>
        <v>3.3</v>
      </c>
      <c r="K128" s="2364"/>
      <c r="L128" s="2364"/>
      <c r="M128" s="2364"/>
      <c r="N128" s="2364">
        <f>SUM(N124:N127)*0.271</f>
        <v>3.3</v>
      </c>
      <c r="O128" s="2451"/>
      <c r="P128" s="2364"/>
      <c r="Q128" s="2364"/>
      <c r="R128" s="2364">
        <f>SUM(R124:R127)*0.271</f>
        <v>2.5</v>
      </c>
      <c r="S128" s="2364">
        <f t="shared" si="11"/>
        <v>2.5</v>
      </c>
      <c r="T128" s="2364"/>
      <c r="U128" s="2364"/>
      <c r="V128" s="2417">
        <f t="shared" si="12"/>
        <v>-0.8</v>
      </c>
      <c r="W128" s="2417">
        <f t="shared" si="13"/>
        <v>75.8</v>
      </c>
      <c r="X128" s="2364">
        <v>2.5</v>
      </c>
      <c r="Y128" s="2364">
        <v>2.5</v>
      </c>
      <c r="Z128" s="2450"/>
      <c r="AA128" s="2296" t="s">
        <v>1665</v>
      </c>
    </row>
    <row r="129" spans="1:27" s="2290" customFormat="1" x14ac:dyDescent="0.25">
      <c r="A129" s="2380"/>
      <c r="B129" s="2452">
        <v>981</v>
      </c>
      <c r="C129" s="2340" t="s">
        <v>1226</v>
      </c>
      <c r="D129" s="2364"/>
      <c r="E129" s="2441"/>
      <c r="F129" s="2389"/>
      <c r="G129" s="2417"/>
      <c r="H129" s="2361"/>
      <c r="I129" s="2361"/>
      <c r="J129" s="2361">
        <f>J130</f>
        <v>2</v>
      </c>
      <c r="K129" s="2361"/>
      <c r="L129" s="2361"/>
      <c r="M129" s="2361"/>
      <c r="N129" s="2361">
        <f>N130</f>
        <v>2</v>
      </c>
      <c r="O129" s="2449"/>
      <c r="P129" s="2361"/>
      <c r="Q129" s="2361"/>
      <c r="R129" s="2361">
        <f>SUM(R130:R131)</f>
        <v>2</v>
      </c>
      <c r="S129" s="2361">
        <f t="shared" si="11"/>
        <v>2</v>
      </c>
      <c r="T129" s="2361"/>
      <c r="U129" s="2361">
        <f>SUM(U130:U131)</f>
        <v>9.6</v>
      </c>
      <c r="V129" s="2416">
        <f t="shared" si="12"/>
        <v>0</v>
      </c>
      <c r="W129" s="2416">
        <f t="shared" si="13"/>
        <v>100</v>
      </c>
      <c r="X129" s="2361">
        <v>2</v>
      </c>
      <c r="Y129" s="2361">
        <v>2</v>
      </c>
      <c r="Z129" s="2453"/>
      <c r="AA129" s="2296" t="s">
        <v>1665</v>
      </c>
    </row>
    <row r="130" spans="1:27" s="2290" customFormat="1" hidden="1" x14ac:dyDescent="0.25">
      <c r="A130" s="2380"/>
      <c r="B130" s="2325"/>
      <c r="C130" s="2335" t="s">
        <v>1958</v>
      </c>
      <c r="D130" s="2364"/>
      <c r="E130" s="2441"/>
      <c r="F130" s="2389"/>
      <c r="G130" s="2417"/>
      <c r="H130" s="2364">
        <v>2</v>
      </c>
      <c r="I130" s="2364">
        <v>1000</v>
      </c>
      <c r="J130" s="2364">
        <f>H130*I130/1000</f>
        <v>2</v>
      </c>
      <c r="K130" s="2364"/>
      <c r="L130" s="2364">
        <v>2</v>
      </c>
      <c r="M130" s="2364">
        <v>1000</v>
      </c>
      <c r="N130" s="2364">
        <f>L130*M130/1000</f>
        <v>2</v>
      </c>
      <c r="O130" s="2451"/>
      <c r="P130" s="2364">
        <v>1</v>
      </c>
      <c r="Q130" s="2364">
        <v>2000</v>
      </c>
      <c r="R130" s="2364">
        <f>Q130*P130/1000</f>
        <v>2</v>
      </c>
      <c r="S130" s="2364">
        <f t="shared" si="11"/>
        <v>2</v>
      </c>
      <c r="T130" s="2364"/>
      <c r="U130" s="2364"/>
      <c r="V130" s="2384">
        <f t="shared" si="12"/>
        <v>0</v>
      </c>
      <c r="W130" s="2384">
        <f t="shared" si="13"/>
        <v>100</v>
      </c>
      <c r="X130" s="2364">
        <v>2</v>
      </c>
      <c r="Y130" s="2364">
        <v>2</v>
      </c>
      <c r="Z130" s="2440"/>
      <c r="AA130" s="2296" t="s">
        <v>1665</v>
      </c>
    </row>
    <row r="131" spans="1:27" s="2290" customFormat="1" ht="47.25" hidden="1" x14ac:dyDescent="0.25">
      <c r="A131" s="2380"/>
      <c r="B131" s="2325"/>
      <c r="C131" s="2338" t="s">
        <v>1616</v>
      </c>
      <c r="D131" s="2364"/>
      <c r="E131" s="2441"/>
      <c r="F131" s="2389"/>
      <c r="G131" s="2417"/>
      <c r="H131" s="2364"/>
      <c r="I131" s="2364"/>
      <c r="J131" s="2364"/>
      <c r="K131" s="2364"/>
      <c r="L131" s="2364"/>
      <c r="M131" s="2364"/>
      <c r="N131" s="2364"/>
      <c r="O131" s="2451"/>
      <c r="P131" s="2364">
        <v>1</v>
      </c>
      <c r="Q131" s="2364">
        <v>9600</v>
      </c>
      <c r="R131" s="2364"/>
      <c r="S131" s="2364">
        <f t="shared" si="11"/>
        <v>0</v>
      </c>
      <c r="T131" s="2364"/>
      <c r="U131" s="2364">
        <v>9.6</v>
      </c>
      <c r="V131" s="2384">
        <f t="shared" si="12"/>
        <v>0</v>
      </c>
      <c r="W131" s="2384">
        <f t="shared" si="13"/>
        <v>0</v>
      </c>
      <c r="X131" s="2364">
        <v>9.6</v>
      </c>
      <c r="Y131" s="2364">
        <v>9.6</v>
      </c>
      <c r="Z131" s="2440" t="s">
        <v>2157</v>
      </c>
      <c r="AA131" s="2296" t="s">
        <v>1665</v>
      </c>
    </row>
    <row r="132" spans="1:27" s="2290" customFormat="1" x14ac:dyDescent="0.25">
      <c r="A132" s="2380"/>
      <c r="B132" s="2452">
        <v>981</v>
      </c>
      <c r="C132" s="2340" t="s">
        <v>2158</v>
      </c>
      <c r="D132" s="2364"/>
      <c r="E132" s="2441"/>
      <c r="F132" s="2389"/>
      <c r="G132" s="2417"/>
      <c r="H132" s="2361"/>
      <c r="I132" s="2361"/>
      <c r="J132" s="2361">
        <f>SUM(J133:J135)</f>
        <v>21</v>
      </c>
      <c r="K132" s="2361"/>
      <c r="L132" s="2361"/>
      <c r="M132" s="2361"/>
      <c r="N132" s="2361">
        <f>SUM(N133:N135)</f>
        <v>20.5</v>
      </c>
      <c r="O132" s="2449"/>
      <c r="P132" s="2361"/>
      <c r="Q132" s="2361"/>
      <c r="R132" s="2361">
        <f>SUM(R133:R135)</f>
        <v>20.5</v>
      </c>
      <c r="S132" s="2361">
        <f t="shared" si="11"/>
        <v>20.5</v>
      </c>
      <c r="T132" s="2361"/>
      <c r="U132" s="2361"/>
      <c r="V132" s="2377">
        <f t="shared" si="12"/>
        <v>-0.5</v>
      </c>
      <c r="W132" s="2377">
        <f t="shared" si="13"/>
        <v>97.6</v>
      </c>
      <c r="X132" s="2361">
        <v>20.5</v>
      </c>
      <c r="Y132" s="2361">
        <v>20.5</v>
      </c>
      <c r="Z132" s="2453"/>
      <c r="AA132" s="2296" t="s">
        <v>1665</v>
      </c>
    </row>
    <row r="133" spans="1:27" s="2290" customFormat="1" hidden="1" x14ac:dyDescent="0.25">
      <c r="A133" s="2380"/>
      <c r="B133" s="2343"/>
      <c r="C133" s="2335" t="s">
        <v>2090</v>
      </c>
      <c r="D133" s="2364"/>
      <c r="E133" s="2441"/>
      <c r="F133" s="2389"/>
      <c r="G133" s="2417"/>
      <c r="H133" s="2364">
        <v>100</v>
      </c>
      <c r="I133" s="2364">
        <v>50</v>
      </c>
      <c r="J133" s="2364">
        <f t="shared" ref="J133:J139" si="14">H133*I133/1000</f>
        <v>5</v>
      </c>
      <c r="K133" s="2364"/>
      <c r="L133" s="2364">
        <v>100</v>
      </c>
      <c r="M133" s="2364">
        <v>50</v>
      </c>
      <c r="N133" s="2364">
        <f>L133*M133/1000</f>
        <v>5</v>
      </c>
      <c r="O133" s="2451"/>
      <c r="P133" s="2364">
        <v>100</v>
      </c>
      <c r="Q133" s="2364">
        <v>50</v>
      </c>
      <c r="R133" s="2364">
        <f t="shared" ref="R133:R141" si="15">Q133*P133/1000</f>
        <v>5</v>
      </c>
      <c r="S133" s="2364">
        <f t="shared" si="11"/>
        <v>5</v>
      </c>
      <c r="T133" s="2364"/>
      <c r="U133" s="2364"/>
      <c r="V133" s="2384">
        <f t="shared" si="12"/>
        <v>0</v>
      </c>
      <c r="W133" s="2384">
        <f t="shared" si="13"/>
        <v>100</v>
      </c>
      <c r="X133" s="2364">
        <v>5</v>
      </c>
      <c r="Y133" s="2364">
        <v>5</v>
      </c>
      <c r="Z133" s="2454"/>
      <c r="AA133" s="2296" t="s">
        <v>1665</v>
      </c>
    </row>
    <row r="134" spans="1:27" s="2290" customFormat="1" ht="31.5" hidden="1" x14ac:dyDescent="0.25">
      <c r="A134" s="2380"/>
      <c r="B134" s="2343"/>
      <c r="C134" s="2335" t="s">
        <v>2067</v>
      </c>
      <c r="D134" s="2364"/>
      <c r="E134" s="2441"/>
      <c r="F134" s="2389"/>
      <c r="G134" s="2417"/>
      <c r="H134" s="2364">
        <v>20</v>
      </c>
      <c r="I134" s="2364">
        <v>25</v>
      </c>
      <c r="J134" s="2364">
        <f t="shared" si="14"/>
        <v>0.5</v>
      </c>
      <c r="K134" s="2364"/>
      <c r="L134" s="2364">
        <v>20</v>
      </c>
      <c r="M134" s="2364">
        <v>25</v>
      </c>
      <c r="N134" s="2364">
        <f>L134*M134/1000-0.5</f>
        <v>0</v>
      </c>
      <c r="O134" s="2451"/>
      <c r="P134" s="2364"/>
      <c r="Q134" s="2364"/>
      <c r="R134" s="2364"/>
      <c r="S134" s="2364">
        <f t="shared" si="11"/>
        <v>0</v>
      </c>
      <c r="T134" s="2364"/>
      <c r="U134" s="2364"/>
      <c r="V134" s="2384">
        <f t="shared" si="12"/>
        <v>-0.5</v>
      </c>
      <c r="W134" s="2384">
        <f t="shared" si="13"/>
        <v>0</v>
      </c>
      <c r="X134" s="2364"/>
      <c r="Y134" s="2364"/>
      <c r="Z134" s="2454"/>
      <c r="AA134" s="2296" t="s">
        <v>1665</v>
      </c>
    </row>
    <row r="135" spans="1:27" s="2290" customFormat="1" hidden="1" x14ac:dyDescent="0.25">
      <c r="A135" s="2380"/>
      <c r="B135" s="2343"/>
      <c r="C135" s="2335" t="s">
        <v>2159</v>
      </c>
      <c r="D135" s="2364"/>
      <c r="E135" s="2441"/>
      <c r="F135" s="2389"/>
      <c r="G135" s="2417"/>
      <c r="H135" s="2364">
        <v>155</v>
      </c>
      <c r="I135" s="2364">
        <v>100</v>
      </c>
      <c r="J135" s="2364">
        <f t="shared" si="14"/>
        <v>15.5</v>
      </c>
      <c r="K135" s="2364"/>
      <c r="L135" s="2364">
        <v>155</v>
      </c>
      <c r="M135" s="2364">
        <v>100</v>
      </c>
      <c r="N135" s="2364">
        <f>L135*M135/1000</f>
        <v>15.5</v>
      </c>
      <c r="O135" s="2451"/>
      <c r="P135" s="2364">
        <v>155</v>
      </c>
      <c r="Q135" s="2364">
        <v>100</v>
      </c>
      <c r="R135" s="2364">
        <f t="shared" si="15"/>
        <v>15.5</v>
      </c>
      <c r="S135" s="2364">
        <f t="shared" si="11"/>
        <v>15.5</v>
      </c>
      <c r="T135" s="2364"/>
      <c r="U135" s="2364"/>
      <c r="V135" s="2384">
        <f t="shared" si="12"/>
        <v>0</v>
      </c>
      <c r="W135" s="2384">
        <f t="shared" si="13"/>
        <v>100</v>
      </c>
      <c r="X135" s="2364">
        <v>15.5</v>
      </c>
      <c r="Y135" s="2364">
        <v>15.5</v>
      </c>
      <c r="Z135" s="2454"/>
      <c r="AA135" s="2296" t="s">
        <v>1665</v>
      </c>
    </row>
    <row r="136" spans="1:27" s="2290" customFormat="1" hidden="1" x14ac:dyDescent="0.25">
      <c r="A136" s="2380"/>
      <c r="B136" s="2452">
        <v>963</v>
      </c>
      <c r="C136" s="2340" t="s">
        <v>798</v>
      </c>
      <c r="D136" s="2364"/>
      <c r="E136" s="2441"/>
      <c r="F136" s="2389"/>
      <c r="G136" s="2417"/>
      <c r="H136" s="2361"/>
      <c r="I136" s="2361"/>
      <c r="J136" s="2361">
        <f>SUM(J137:J139)</f>
        <v>32.5</v>
      </c>
      <c r="K136" s="2361"/>
      <c r="L136" s="2361"/>
      <c r="M136" s="2361"/>
      <c r="N136" s="2361">
        <f>SUM(N137:N141)</f>
        <v>33</v>
      </c>
      <c r="O136" s="2449"/>
      <c r="P136" s="2361"/>
      <c r="Q136" s="2361"/>
      <c r="R136" s="2361">
        <f>SUM(R137:R141)</f>
        <v>36</v>
      </c>
      <c r="S136" s="2361">
        <f t="shared" si="11"/>
        <v>36</v>
      </c>
      <c r="T136" s="2361"/>
      <c r="U136" s="2361">
        <f>SUM(U137:U141)</f>
        <v>15</v>
      </c>
      <c r="V136" s="2377">
        <f t="shared" si="12"/>
        <v>3.5</v>
      </c>
      <c r="W136" s="2377">
        <f t="shared" si="13"/>
        <v>110.8</v>
      </c>
      <c r="X136" s="2361">
        <v>58</v>
      </c>
      <c r="Y136" s="2361">
        <v>58</v>
      </c>
      <c r="Z136" s="2453"/>
      <c r="AA136" s="2296" t="s">
        <v>1665</v>
      </c>
    </row>
    <row r="137" spans="1:27" s="2290" customFormat="1" hidden="1" x14ac:dyDescent="0.25">
      <c r="A137" s="2380"/>
      <c r="B137" s="2343"/>
      <c r="C137" s="2335" t="s">
        <v>2160</v>
      </c>
      <c r="D137" s="2364"/>
      <c r="E137" s="2441"/>
      <c r="F137" s="2389"/>
      <c r="G137" s="2417"/>
      <c r="H137" s="2364">
        <v>10</v>
      </c>
      <c r="I137" s="2364">
        <v>200</v>
      </c>
      <c r="J137" s="2364">
        <f t="shared" si="14"/>
        <v>2</v>
      </c>
      <c r="K137" s="2364"/>
      <c r="L137" s="2364">
        <v>10</v>
      </c>
      <c r="M137" s="2364">
        <v>200</v>
      </c>
      <c r="N137" s="2364">
        <f>L137*M137/1000</f>
        <v>2</v>
      </c>
      <c r="O137" s="2451"/>
      <c r="P137" s="2364"/>
      <c r="Q137" s="2364"/>
      <c r="R137" s="2364"/>
      <c r="S137" s="2364">
        <f t="shared" si="11"/>
        <v>0</v>
      </c>
      <c r="T137" s="2364"/>
      <c r="U137" s="2364"/>
      <c r="V137" s="2384">
        <f t="shared" si="12"/>
        <v>-2</v>
      </c>
      <c r="W137" s="2384">
        <f t="shared" si="13"/>
        <v>0</v>
      </c>
      <c r="X137" s="2364">
        <v>2</v>
      </c>
      <c r="Y137" s="2364">
        <v>2</v>
      </c>
      <c r="Z137" s="2454"/>
      <c r="AA137" s="2296" t="s">
        <v>1665</v>
      </c>
    </row>
    <row r="138" spans="1:27" s="2290" customFormat="1" hidden="1" x14ac:dyDescent="0.25">
      <c r="A138" s="2380"/>
      <c r="B138" s="2343"/>
      <c r="C138" s="2335" t="s">
        <v>2161</v>
      </c>
      <c r="D138" s="2364"/>
      <c r="E138" s="2441"/>
      <c r="F138" s="2389"/>
      <c r="G138" s="2417"/>
      <c r="H138" s="2364">
        <v>10</v>
      </c>
      <c r="I138" s="2364">
        <v>50</v>
      </c>
      <c r="J138" s="2364">
        <f t="shared" si="14"/>
        <v>0.5</v>
      </c>
      <c r="K138" s="2364"/>
      <c r="L138" s="2364">
        <v>10</v>
      </c>
      <c r="M138" s="2364">
        <v>50</v>
      </c>
      <c r="N138" s="2364">
        <f>L138*M138/1000</f>
        <v>0.5</v>
      </c>
      <c r="O138" s="2451"/>
      <c r="P138" s="2364">
        <v>10</v>
      </c>
      <c r="Q138" s="2364">
        <v>50</v>
      </c>
      <c r="R138" s="2364">
        <f t="shared" si="15"/>
        <v>0.5</v>
      </c>
      <c r="S138" s="2364">
        <f t="shared" si="11"/>
        <v>0.5</v>
      </c>
      <c r="T138" s="2364"/>
      <c r="U138" s="2364"/>
      <c r="V138" s="2384">
        <f t="shared" si="12"/>
        <v>0</v>
      </c>
      <c r="W138" s="2384">
        <f t="shared" si="13"/>
        <v>100</v>
      </c>
      <c r="X138" s="2364">
        <v>0.5</v>
      </c>
      <c r="Y138" s="2364">
        <v>0.5</v>
      </c>
      <c r="Z138" s="2454"/>
      <c r="AA138" s="2296" t="s">
        <v>1665</v>
      </c>
    </row>
    <row r="139" spans="1:27" s="2290" customFormat="1" ht="94.5" hidden="1" x14ac:dyDescent="0.25">
      <c r="A139" s="2380"/>
      <c r="B139" s="2343"/>
      <c r="C139" s="2335" t="s">
        <v>2162</v>
      </c>
      <c r="D139" s="2333"/>
      <c r="E139" s="2354"/>
      <c r="F139" s="2333"/>
      <c r="G139" s="2333"/>
      <c r="H139" s="2364">
        <v>10</v>
      </c>
      <c r="I139" s="2364">
        <v>3000</v>
      </c>
      <c r="J139" s="2364">
        <f t="shared" si="14"/>
        <v>30</v>
      </c>
      <c r="K139" s="2364"/>
      <c r="L139" s="2364">
        <v>10</v>
      </c>
      <c r="M139" s="2364">
        <v>3000</v>
      </c>
      <c r="N139" s="2364">
        <f>L139*M139/1000</f>
        <v>30</v>
      </c>
      <c r="O139" s="2451"/>
      <c r="P139" s="2364">
        <v>15</v>
      </c>
      <c r="Q139" s="2364">
        <v>3000</v>
      </c>
      <c r="R139" s="2364">
        <v>30</v>
      </c>
      <c r="S139" s="2364">
        <f t="shared" si="11"/>
        <v>30</v>
      </c>
      <c r="T139" s="2364"/>
      <c r="U139" s="2364">
        <v>15</v>
      </c>
      <c r="V139" s="2384">
        <f t="shared" si="12"/>
        <v>0</v>
      </c>
      <c r="W139" s="2384">
        <f t="shared" si="13"/>
        <v>100</v>
      </c>
      <c r="X139" s="2364">
        <v>45</v>
      </c>
      <c r="Y139" s="2364">
        <v>45</v>
      </c>
      <c r="Z139" s="2454" t="s">
        <v>2163</v>
      </c>
      <c r="AA139" s="2296" t="s">
        <v>1665</v>
      </c>
    </row>
    <row r="140" spans="1:27" s="2290" customFormat="1" ht="63" hidden="1" x14ac:dyDescent="0.25">
      <c r="A140" s="2380"/>
      <c r="B140" s="2343"/>
      <c r="C140" s="2338" t="s">
        <v>2164</v>
      </c>
      <c r="D140" s="2333"/>
      <c r="E140" s="2354"/>
      <c r="F140" s="2333"/>
      <c r="G140" s="2333"/>
      <c r="H140" s="2364"/>
      <c r="I140" s="2364"/>
      <c r="J140" s="2364"/>
      <c r="K140" s="2364"/>
      <c r="L140" s="2364"/>
      <c r="M140" s="2364"/>
      <c r="N140" s="2364"/>
      <c r="O140" s="2451"/>
      <c r="P140" s="2364">
        <v>10</v>
      </c>
      <c r="Q140" s="2364">
        <v>500</v>
      </c>
      <c r="R140" s="2364">
        <f t="shared" si="15"/>
        <v>5</v>
      </c>
      <c r="S140" s="2364">
        <f t="shared" si="11"/>
        <v>5</v>
      </c>
      <c r="T140" s="2364"/>
      <c r="U140" s="2364"/>
      <c r="V140" s="2384">
        <f t="shared" si="12"/>
        <v>5</v>
      </c>
      <c r="W140" s="2384">
        <f t="shared" si="13"/>
        <v>0</v>
      </c>
      <c r="X140" s="2364">
        <v>10</v>
      </c>
      <c r="Y140" s="2364">
        <v>10</v>
      </c>
      <c r="Z140" s="2359" t="s">
        <v>2165</v>
      </c>
      <c r="AA140" s="2296" t="s">
        <v>1665</v>
      </c>
    </row>
    <row r="141" spans="1:27" s="2290" customFormat="1" ht="31.5" hidden="1" x14ac:dyDescent="0.25">
      <c r="A141" s="2380"/>
      <c r="B141" s="2343"/>
      <c r="C141" s="2338" t="s">
        <v>2067</v>
      </c>
      <c r="D141" s="2333"/>
      <c r="E141" s="2354"/>
      <c r="F141" s="2333"/>
      <c r="G141" s="2333"/>
      <c r="H141" s="2364"/>
      <c r="I141" s="2364"/>
      <c r="J141" s="2364"/>
      <c r="K141" s="2364"/>
      <c r="L141" s="2364"/>
      <c r="M141" s="2364"/>
      <c r="N141" s="2364">
        <v>0.5</v>
      </c>
      <c r="O141" s="2451"/>
      <c r="P141" s="2364">
        <v>20</v>
      </c>
      <c r="Q141" s="2364">
        <v>25</v>
      </c>
      <c r="R141" s="2364">
        <f t="shared" si="15"/>
        <v>0.5</v>
      </c>
      <c r="S141" s="2364">
        <f t="shared" si="11"/>
        <v>0.5</v>
      </c>
      <c r="T141" s="2364"/>
      <c r="U141" s="2364"/>
      <c r="V141" s="2384">
        <f t="shared" si="12"/>
        <v>0.5</v>
      </c>
      <c r="W141" s="2384">
        <f t="shared" si="13"/>
        <v>0</v>
      </c>
      <c r="X141" s="2364">
        <v>0.5</v>
      </c>
      <c r="Y141" s="2364">
        <v>0.5</v>
      </c>
      <c r="Z141" s="2359" t="s">
        <v>2166</v>
      </c>
      <c r="AA141" s="2296" t="s">
        <v>1665</v>
      </c>
    </row>
    <row r="142" spans="1:27" s="2290" customFormat="1" ht="47.25" hidden="1" x14ac:dyDescent="0.25">
      <c r="A142" s="2455"/>
      <c r="B142" s="2347">
        <v>955</v>
      </c>
      <c r="C142" s="2456" t="s">
        <v>2167</v>
      </c>
      <c r="D142" s="2457">
        <v>955</v>
      </c>
      <c r="E142" s="2458"/>
      <c r="F142" s="2458"/>
      <c r="G142" s="2459"/>
      <c r="H142" s="2460"/>
      <c r="I142" s="2405"/>
      <c r="J142" s="2405"/>
      <c r="K142" s="2459"/>
      <c r="L142" s="2460"/>
      <c r="M142" s="2405"/>
      <c r="N142" s="2405"/>
      <c r="O142" s="2461"/>
      <c r="P142" s="2405"/>
      <c r="Q142" s="2405"/>
      <c r="R142" s="2349">
        <f>SUM(R144:R149)</f>
        <v>25.7</v>
      </c>
      <c r="S142" s="2313">
        <f t="shared" si="11"/>
        <v>25.7</v>
      </c>
      <c r="T142" s="2313"/>
      <c r="U142" s="2313">
        <f>U143+U149+U152+U156</f>
        <v>0</v>
      </c>
      <c r="V142" s="2313">
        <f t="shared" si="12"/>
        <v>25.7</v>
      </c>
      <c r="W142" s="2313">
        <f t="shared" si="13"/>
        <v>0</v>
      </c>
      <c r="X142" s="2313">
        <f>SUM(X144:X149)</f>
        <v>30</v>
      </c>
      <c r="Y142" s="2315">
        <f t="shared" ref="Y142" si="16">SUM(Y144:Y149)</f>
        <v>30</v>
      </c>
      <c r="Z142" s="3460" t="s">
        <v>2168</v>
      </c>
      <c r="AA142" s="2296" t="s">
        <v>1665</v>
      </c>
    </row>
    <row r="143" spans="1:27" s="2290" customFormat="1" ht="31.5" hidden="1" x14ac:dyDescent="0.25">
      <c r="A143" s="2462"/>
      <c r="B143" s="2463"/>
      <c r="C143" s="2464" t="s">
        <v>1401</v>
      </c>
      <c r="D143" s="2465"/>
      <c r="E143" s="2466"/>
      <c r="F143" s="2466"/>
      <c r="G143" s="2467"/>
      <c r="H143" s="2468"/>
      <c r="I143" s="2469"/>
      <c r="J143" s="2469"/>
      <c r="K143" s="2467"/>
      <c r="L143" s="2468"/>
      <c r="M143" s="2469"/>
      <c r="N143" s="2469"/>
      <c r="O143" s="2470"/>
      <c r="P143" s="2469"/>
      <c r="Q143" s="2469"/>
      <c r="R143" s="2471"/>
      <c r="S143" s="2364">
        <f t="shared" si="11"/>
        <v>0</v>
      </c>
      <c r="T143" s="2364"/>
      <c r="U143" s="2364"/>
      <c r="V143" s="2384">
        <f t="shared" si="12"/>
        <v>0</v>
      </c>
      <c r="W143" s="2384">
        <f t="shared" si="13"/>
        <v>0</v>
      </c>
      <c r="X143" s="2364"/>
      <c r="Y143" s="2451"/>
      <c r="Z143" s="3460"/>
      <c r="AA143" s="2296" t="s">
        <v>1665</v>
      </c>
    </row>
    <row r="144" spans="1:27" s="2290" customFormat="1" hidden="1" x14ac:dyDescent="0.25">
      <c r="A144" s="2462"/>
      <c r="B144" s="2463"/>
      <c r="C144" s="2472" t="s">
        <v>1933</v>
      </c>
      <c r="D144" s="2465"/>
      <c r="E144" s="2466"/>
      <c r="F144" s="2466"/>
      <c r="G144" s="2467"/>
      <c r="H144" s="2468"/>
      <c r="I144" s="2469"/>
      <c r="J144" s="2469"/>
      <c r="K144" s="2467"/>
      <c r="L144" s="2468"/>
      <c r="M144" s="2469"/>
      <c r="N144" s="2469"/>
      <c r="O144" s="2470"/>
      <c r="P144" s="2469">
        <v>1</v>
      </c>
      <c r="Q144" s="2469">
        <v>3.5</v>
      </c>
      <c r="R144" s="2469">
        <f>P144*Q144</f>
        <v>3.5</v>
      </c>
      <c r="S144" s="2364">
        <f t="shared" si="11"/>
        <v>3.5</v>
      </c>
      <c r="T144" s="2364"/>
      <c r="U144" s="2364"/>
      <c r="V144" s="2384">
        <f t="shared" si="12"/>
        <v>3.5</v>
      </c>
      <c r="W144" s="2384">
        <f t="shared" si="13"/>
        <v>0</v>
      </c>
      <c r="X144" s="2364">
        <v>3.5</v>
      </c>
      <c r="Y144" s="2451">
        <v>3.5</v>
      </c>
      <c r="Z144" s="3460"/>
      <c r="AA144" s="2296" t="s">
        <v>1665</v>
      </c>
    </row>
    <row r="145" spans="1:27" s="2290" customFormat="1" hidden="1" x14ac:dyDescent="0.25">
      <c r="A145" s="2462"/>
      <c r="B145" s="2463"/>
      <c r="C145" s="2472" t="s">
        <v>1404</v>
      </c>
      <c r="D145" s="2465"/>
      <c r="E145" s="2466"/>
      <c r="F145" s="2466"/>
      <c r="G145" s="2467"/>
      <c r="H145" s="2468"/>
      <c r="I145" s="2469"/>
      <c r="J145" s="2469"/>
      <c r="K145" s="2467"/>
      <c r="L145" s="2468"/>
      <c r="M145" s="2469"/>
      <c r="N145" s="2469"/>
      <c r="O145" s="2470"/>
      <c r="P145" s="2469">
        <v>2</v>
      </c>
      <c r="Q145" s="2469">
        <v>2.2999999999999998</v>
      </c>
      <c r="R145" s="2469">
        <f t="shared" ref="R145:R148" si="17">P145*Q145</f>
        <v>4.5999999999999996</v>
      </c>
      <c r="S145" s="2364">
        <f t="shared" si="11"/>
        <v>4.5999999999999996</v>
      </c>
      <c r="T145" s="2364"/>
      <c r="U145" s="2364"/>
      <c r="V145" s="2384">
        <f t="shared" si="12"/>
        <v>4.5999999999999996</v>
      </c>
      <c r="W145" s="2384">
        <f t="shared" si="13"/>
        <v>0</v>
      </c>
      <c r="X145" s="2364">
        <v>6.9</v>
      </c>
      <c r="Y145" s="2451">
        <v>6.9</v>
      </c>
      <c r="Z145" s="3460"/>
      <c r="AA145" s="2296" t="s">
        <v>1665</v>
      </c>
    </row>
    <row r="146" spans="1:27" s="2290" customFormat="1" ht="31.5" hidden="1" x14ac:dyDescent="0.25">
      <c r="A146" s="2462"/>
      <c r="B146" s="2463"/>
      <c r="C146" s="2472" t="s">
        <v>2169</v>
      </c>
      <c r="D146" s="2465"/>
      <c r="E146" s="2466"/>
      <c r="F146" s="2466"/>
      <c r="G146" s="2467"/>
      <c r="H146" s="2468"/>
      <c r="I146" s="2469"/>
      <c r="J146" s="2469"/>
      <c r="K146" s="2467"/>
      <c r="L146" s="2468"/>
      <c r="M146" s="2469"/>
      <c r="N146" s="2469"/>
      <c r="O146" s="2470"/>
      <c r="P146" s="2469">
        <v>1</v>
      </c>
      <c r="Q146" s="2469">
        <v>4.5999999999999996</v>
      </c>
      <c r="R146" s="2469">
        <f t="shared" si="17"/>
        <v>4.5999999999999996</v>
      </c>
      <c r="S146" s="2364">
        <f t="shared" si="11"/>
        <v>4.5999999999999996</v>
      </c>
      <c r="T146" s="2364"/>
      <c r="U146" s="2364"/>
      <c r="V146" s="2384">
        <f t="shared" si="12"/>
        <v>4.5999999999999996</v>
      </c>
      <c r="W146" s="2384">
        <f t="shared" si="13"/>
        <v>0</v>
      </c>
      <c r="X146" s="2364">
        <v>4.5999999999999996</v>
      </c>
      <c r="Y146" s="2451">
        <v>4.5999999999999996</v>
      </c>
      <c r="Z146" s="3460"/>
      <c r="AA146" s="2296" t="s">
        <v>1665</v>
      </c>
    </row>
    <row r="147" spans="1:27" s="2290" customFormat="1" ht="31.5" hidden="1" x14ac:dyDescent="0.25">
      <c r="A147" s="2462"/>
      <c r="B147" s="2463"/>
      <c r="C147" s="2472" t="s">
        <v>2170</v>
      </c>
      <c r="D147" s="2465"/>
      <c r="E147" s="2466"/>
      <c r="F147" s="2466"/>
      <c r="G147" s="2467"/>
      <c r="H147" s="2468"/>
      <c r="I147" s="2469"/>
      <c r="J147" s="2469"/>
      <c r="K147" s="2467"/>
      <c r="L147" s="2468"/>
      <c r="M147" s="2469"/>
      <c r="N147" s="2469"/>
      <c r="O147" s="2470"/>
      <c r="P147" s="2469">
        <v>1</v>
      </c>
      <c r="Q147" s="2469">
        <v>3.5</v>
      </c>
      <c r="R147" s="2469">
        <f t="shared" si="17"/>
        <v>3.5</v>
      </c>
      <c r="S147" s="2364">
        <f t="shared" si="11"/>
        <v>3.5</v>
      </c>
      <c r="T147" s="2364"/>
      <c r="U147" s="2364"/>
      <c r="V147" s="2384">
        <f t="shared" si="12"/>
        <v>3.5</v>
      </c>
      <c r="W147" s="2384">
        <f t="shared" si="13"/>
        <v>0</v>
      </c>
      <c r="X147" s="2364">
        <v>4.5999999999999996</v>
      </c>
      <c r="Y147" s="2451">
        <v>4.5999999999999996</v>
      </c>
      <c r="Z147" s="3460"/>
      <c r="AA147" s="2296" t="s">
        <v>1665</v>
      </c>
    </row>
    <row r="148" spans="1:27" s="2290" customFormat="1" hidden="1" x14ac:dyDescent="0.25">
      <c r="A148" s="2462"/>
      <c r="B148" s="2463"/>
      <c r="C148" s="2472" t="s">
        <v>1807</v>
      </c>
      <c r="D148" s="2465"/>
      <c r="E148" s="2466"/>
      <c r="F148" s="2466"/>
      <c r="G148" s="2467"/>
      <c r="H148" s="2468"/>
      <c r="I148" s="2469"/>
      <c r="J148" s="2469"/>
      <c r="K148" s="2467"/>
      <c r="L148" s="2468"/>
      <c r="M148" s="2469"/>
      <c r="N148" s="2469"/>
      <c r="O148" s="2470"/>
      <c r="P148" s="2469">
        <v>1</v>
      </c>
      <c r="Q148" s="2469">
        <v>4</v>
      </c>
      <c r="R148" s="2469">
        <f t="shared" si="17"/>
        <v>4</v>
      </c>
      <c r="S148" s="2364">
        <f t="shared" si="11"/>
        <v>4</v>
      </c>
      <c r="T148" s="2364"/>
      <c r="U148" s="2364"/>
      <c r="V148" s="2384">
        <f t="shared" si="12"/>
        <v>4</v>
      </c>
      <c r="W148" s="2384">
        <f t="shared" si="13"/>
        <v>0</v>
      </c>
      <c r="X148" s="2364">
        <v>4</v>
      </c>
      <c r="Y148" s="2451">
        <v>4</v>
      </c>
      <c r="Z148" s="3460"/>
      <c r="AA148" s="2296" t="s">
        <v>1665</v>
      </c>
    </row>
    <row r="149" spans="1:27" s="2290" customFormat="1" ht="31.5" hidden="1" x14ac:dyDescent="0.25">
      <c r="A149" s="2462"/>
      <c r="B149" s="2463"/>
      <c r="C149" s="2472" t="s">
        <v>1991</v>
      </c>
      <c r="D149" s="2465"/>
      <c r="E149" s="2466"/>
      <c r="F149" s="2466"/>
      <c r="G149" s="2467"/>
      <c r="H149" s="2468"/>
      <c r="I149" s="2469"/>
      <c r="J149" s="2469"/>
      <c r="K149" s="2467"/>
      <c r="L149" s="2468"/>
      <c r="M149" s="2469"/>
      <c r="N149" s="2469"/>
      <c r="O149" s="2470"/>
      <c r="P149" s="2469"/>
      <c r="Q149" s="2469"/>
      <c r="R149" s="2473">
        <f>SUM(R144:R148)*0.271</f>
        <v>5.5</v>
      </c>
      <c r="S149" s="2364">
        <f t="shared" si="11"/>
        <v>5.5</v>
      </c>
      <c r="T149" s="2364"/>
      <c r="U149" s="2364"/>
      <c r="V149" s="2384">
        <f t="shared" si="12"/>
        <v>5.5</v>
      </c>
      <c r="W149" s="2384">
        <f t="shared" si="13"/>
        <v>0</v>
      </c>
      <c r="X149" s="2364">
        <v>6.4</v>
      </c>
      <c r="Y149" s="2451">
        <v>6.4</v>
      </c>
      <c r="Z149" s="3460"/>
      <c r="AA149" s="2296" t="s">
        <v>1665</v>
      </c>
    </row>
    <row r="150" spans="1:27" s="2290" customFormat="1" hidden="1" x14ac:dyDescent="0.25">
      <c r="A150" s="2474"/>
      <c r="B150" s="2311">
        <v>955</v>
      </c>
      <c r="C150" s="2456" t="s">
        <v>2171</v>
      </c>
      <c r="D150" s="2475">
        <v>955</v>
      </c>
      <c r="E150" s="2404"/>
      <c r="F150" s="2404"/>
      <c r="G150" s="2476"/>
      <c r="H150" s="2477"/>
      <c r="I150" s="2349"/>
      <c r="J150" s="2349"/>
      <c r="K150" s="2476"/>
      <c r="L150" s="2477"/>
      <c r="M150" s="2349"/>
      <c r="N150" s="2349"/>
      <c r="O150" s="2414"/>
      <c r="P150" s="2349"/>
      <c r="Q150" s="2349"/>
      <c r="R150" s="2478">
        <f>SUM(R152:R155)</f>
        <v>15.4</v>
      </c>
      <c r="S150" s="2313">
        <f t="shared" si="11"/>
        <v>15.4</v>
      </c>
      <c r="T150" s="2313"/>
      <c r="U150" s="2313"/>
      <c r="V150" s="2479">
        <f t="shared" si="12"/>
        <v>15.4</v>
      </c>
      <c r="W150" s="2479">
        <f t="shared" si="13"/>
        <v>0</v>
      </c>
      <c r="X150" s="2313">
        <f>SUM(X152:X155)</f>
        <v>15.4</v>
      </c>
      <c r="Y150" s="2315">
        <f>SUM(Y152:Y155)</f>
        <v>15.4</v>
      </c>
      <c r="Z150" s="3460" t="s">
        <v>2172</v>
      </c>
      <c r="AA150" s="2296" t="s">
        <v>1665</v>
      </c>
    </row>
    <row r="151" spans="1:27" s="2290" customFormat="1" ht="31.5" hidden="1" x14ac:dyDescent="0.25">
      <c r="A151" s="2462"/>
      <c r="B151" s="2463"/>
      <c r="C151" s="2464" t="s">
        <v>1401</v>
      </c>
      <c r="D151" s="2465"/>
      <c r="E151" s="2466"/>
      <c r="F151" s="2466"/>
      <c r="G151" s="2467"/>
      <c r="H151" s="2468"/>
      <c r="I151" s="2469"/>
      <c r="J151" s="2469"/>
      <c r="K151" s="2467"/>
      <c r="L151" s="2468"/>
      <c r="M151" s="2469"/>
      <c r="N151" s="2469"/>
      <c r="O151" s="2470"/>
      <c r="P151" s="2469"/>
      <c r="Q151" s="2469"/>
      <c r="R151" s="2480"/>
      <c r="S151" s="2364">
        <f t="shared" si="11"/>
        <v>0</v>
      </c>
      <c r="T151" s="2364"/>
      <c r="U151" s="2364"/>
      <c r="V151" s="2384">
        <f t="shared" si="12"/>
        <v>0</v>
      </c>
      <c r="W151" s="2384">
        <f t="shared" si="13"/>
        <v>0</v>
      </c>
      <c r="X151" s="2364"/>
      <c r="Y151" s="2451"/>
      <c r="Z151" s="3460"/>
      <c r="AA151" s="2296" t="s">
        <v>1665</v>
      </c>
    </row>
    <row r="152" spans="1:27" s="2290" customFormat="1" hidden="1" x14ac:dyDescent="0.25">
      <c r="A152" s="2462"/>
      <c r="B152" s="2463"/>
      <c r="C152" s="2472" t="s">
        <v>1933</v>
      </c>
      <c r="D152" s="2465"/>
      <c r="E152" s="2466"/>
      <c r="F152" s="2466"/>
      <c r="G152" s="2467"/>
      <c r="H152" s="2468"/>
      <c r="I152" s="2469"/>
      <c r="J152" s="2469"/>
      <c r="K152" s="2467"/>
      <c r="L152" s="2468"/>
      <c r="M152" s="2469"/>
      <c r="N152" s="2469"/>
      <c r="O152" s="2470"/>
      <c r="P152" s="2469">
        <v>1</v>
      </c>
      <c r="Q152" s="2469">
        <v>3.5</v>
      </c>
      <c r="R152" s="2469">
        <v>3.5</v>
      </c>
      <c r="S152" s="2364">
        <f t="shared" si="11"/>
        <v>3.5</v>
      </c>
      <c r="T152" s="2364"/>
      <c r="U152" s="2364"/>
      <c r="V152" s="2384">
        <f t="shared" si="12"/>
        <v>3.5</v>
      </c>
      <c r="W152" s="2384">
        <f t="shared" si="13"/>
        <v>0</v>
      </c>
      <c r="X152" s="2364">
        <v>3.5</v>
      </c>
      <c r="Y152" s="2451">
        <v>3.5</v>
      </c>
      <c r="Z152" s="3460"/>
      <c r="AA152" s="2296" t="s">
        <v>1665</v>
      </c>
    </row>
    <row r="153" spans="1:27" s="2290" customFormat="1" ht="31.5" hidden="1" x14ac:dyDescent="0.25">
      <c r="A153" s="2462"/>
      <c r="B153" s="2463"/>
      <c r="C153" s="2472" t="s">
        <v>1934</v>
      </c>
      <c r="D153" s="2465"/>
      <c r="E153" s="2466"/>
      <c r="F153" s="2466"/>
      <c r="G153" s="2467"/>
      <c r="H153" s="2468"/>
      <c r="I153" s="2469"/>
      <c r="J153" s="2469"/>
      <c r="K153" s="2467"/>
      <c r="L153" s="2468"/>
      <c r="M153" s="2469"/>
      <c r="N153" s="2469"/>
      <c r="O153" s="2470"/>
      <c r="P153" s="2469">
        <v>2</v>
      </c>
      <c r="Q153" s="2469">
        <v>2.2999999999999998</v>
      </c>
      <c r="R153" s="2469">
        <v>4.5999999999999996</v>
      </c>
      <c r="S153" s="2364">
        <f t="shared" si="11"/>
        <v>4.5999999999999996</v>
      </c>
      <c r="T153" s="2364"/>
      <c r="U153" s="2364"/>
      <c r="V153" s="2384">
        <f t="shared" si="12"/>
        <v>4.5999999999999996</v>
      </c>
      <c r="W153" s="2384">
        <f t="shared" si="13"/>
        <v>0</v>
      </c>
      <c r="X153" s="2364">
        <v>4.5999999999999996</v>
      </c>
      <c r="Y153" s="2451">
        <v>4.5999999999999996</v>
      </c>
      <c r="Z153" s="3460"/>
      <c r="AA153" s="2296" t="s">
        <v>1665</v>
      </c>
    </row>
    <row r="154" spans="1:27" s="2290" customFormat="1" hidden="1" x14ac:dyDescent="0.25">
      <c r="A154" s="2462"/>
      <c r="B154" s="2463"/>
      <c r="C154" s="2472" t="s">
        <v>1807</v>
      </c>
      <c r="D154" s="2465"/>
      <c r="E154" s="2466"/>
      <c r="F154" s="2466"/>
      <c r="G154" s="2467"/>
      <c r="H154" s="2468"/>
      <c r="I154" s="2469"/>
      <c r="J154" s="2469"/>
      <c r="K154" s="2467"/>
      <c r="L154" s="2468"/>
      <c r="M154" s="2469"/>
      <c r="N154" s="2469"/>
      <c r="O154" s="2470"/>
      <c r="P154" s="2469">
        <v>1</v>
      </c>
      <c r="Q154" s="2469">
        <v>4</v>
      </c>
      <c r="R154" s="2469">
        <v>4</v>
      </c>
      <c r="S154" s="2364">
        <f t="shared" si="11"/>
        <v>4</v>
      </c>
      <c r="T154" s="2364"/>
      <c r="U154" s="2364"/>
      <c r="V154" s="2384">
        <f t="shared" si="12"/>
        <v>4</v>
      </c>
      <c r="W154" s="2384">
        <f t="shared" si="13"/>
        <v>0</v>
      </c>
      <c r="X154" s="2364">
        <v>4</v>
      </c>
      <c r="Y154" s="2451">
        <v>4</v>
      </c>
      <c r="Z154" s="3460"/>
      <c r="AA154" s="2296" t="s">
        <v>1665</v>
      </c>
    </row>
    <row r="155" spans="1:27" s="2290" customFormat="1" ht="31.5" hidden="1" x14ac:dyDescent="0.25">
      <c r="A155" s="2462"/>
      <c r="B155" s="2463"/>
      <c r="C155" s="2472" t="s">
        <v>1991</v>
      </c>
      <c r="D155" s="2465"/>
      <c r="E155" s="2466"/>
      <c r="F155" s="2466"/>
      <c r="G155" s="2467"/>
      <c r="H155" s="2468"/>
      <c r="I155" s="2469"/>
      <c r="J155" s="2469"/>
      <c r="K155" s="2467"/>
      <c r="L155" s="2468"/>
      <c r="M155" s="2469"/>
      <c r="N155" s="2469"/>
      <c r="O155" s="2470"/>
      <c r="P155" s="2469"/>
      <c r="Q155" s="2469"/>
      <c r="R155" s="2481">
        <f>SUM(R152:R154)/100*27.1</f>
        <v>3.3</v>
      </c>
      <c r="S155" s="2364">
        <f t="shared" si="11"/>
        <v>3.3</v>
      </c>
      <c r="T155" s="2364"/>
      <c r="U155" s="2364"/>
      <c r="V155" s="2384">
        <f t="shared" si="12"/>
        <v>3.3</v>
      </c>
      <c r="W155" s="2384">
        <f t="shared" si="13"/>
        <v>0</v>
      </c>
      <c r="X155" s="2364">
        <f>SUM(X152:X154)/100*27.1</f>
        <v>3.3</v>
      </c>
      <c r="Y155" s="2451">
        <f>SUM(Y152:Y154)/100*27.1</f>
        <v>3.3</v>
      </c>
      <c r="Z155" s="3460"/>
      <c r="AA155" s="2296" t="s">
        <v>1665</v>
      </c>
    </row>
    <row r="156" spans="1:27" s="2290" customFormat="1" ht="31.5" hidden="1" x14ac:dyDescent="0.25">
      <c r="A156" s="2482"/>
      <c r="B156" s="2311">
        <v>955</v>
      </c>
      <c r="C156" s="2483" t="s">
        <v>2173</v>
      </c>
      <c r="D156" s="2475">
        <v>955</v>
      </c>
      <c r="E156" s="2404"/>
      <c r="F156" s="2404"/>
      <c r="G156" s="2476"/>
      <c r="H156" s="2477"/>
      <c r="I156" s="2349"/>
      <c r="J156" s="2349"/>
      <c r="K156" s="2476"/>
      <c r="L156" s="2477"/>
      <c r="M156" s="2349"/>
      <c r="N156" s="2349"/>
      <c r="O156" s="2414"/>
      <c r="P156" s="2349"/>
      <c r="Q156" s="2349"/>
      <c r="R156" s="2484">
        <f>SUM(R158:R162)</f>
        <v>21.2</v>
      </c>
      <c r="S156" s="2313">
        <f t="shared" si="11"/>
        <v>21.2</v>
      </c>
      <c r="T156" s="2313"/>
      <c r="U156" s="2313"/>
      <c r="V156" s="2349">
        <f t="shared" si="12"/>
        <v>21.2</v>
      </c>
      <c r="W156" s="2349">
        <f t="shared" si="13"/>
        <v>0</v>
      </c>
      <c r="X156" s="2313">
        <v>21.2</v>
      </c>
      <c r="Y156" s="2315">
        <v>21.2</v>
      </c>
      <c r="Z156" s="3460" t="s">
        <v>2174</v>
      </c>
      <c r="AA156" s="2296" t="s">
        <v>1665</v>
      </c>
    </row>
    <row r="157" spans="1:27" s="2290" customFormat="1" ht="31.5" hidden="1" x14ac:dyDescent="0.25">
      <c r="A157" s="2462"/>
      <c r="B157" s="2463"/>
      <c r="C157" s="2464" t="s">
        <v>1401</v>
      </c>
      <c r="D157" s="2465"/>
      <c r="E157" s="2466"/>
      <c r="F157" s="2466"/>
      <c r="G157" s="2467"/>
      <c r="H157" s="2468"/>
      <c r="I157" s="2469"/>
      <c r="J157" s="2469"/>
      <c r="K157" s="2467"/>
      <c r="L157" s="2468"/>
      <c r="M157" s="2469"/>
      <c r="N157" s="2469"/>
      <c r="O157" s="2470"/>
      <c r="P157" s="2469"/>
      <c r="Q157" s="2469"/>
      <c r="R157" s="2480"/>
      <c r="S157" s="2364">
        <f t="shared" si="11"/>
        <v>0</v>
      </c>
      <c r="T157" s="2364"/>
      <c r="U157" s="2364"/>
      <c r="V157" s="2384">
        <f t="shared" si="12"/>
        <v>0</v>
      </c>
      <c r="W157" s="2384">
        <f t="shared" si="13"/>
        <v>0</v>
      </c>
      <c r="X157" s="2364"/>
      <c r="Y157" s="2451"/>
      <c r="Z157" s="3460"/>
      <c r="AA157" s="2296" t="s">
        <v>1665</v>
      </c>
    </row>
    <row r="158" spans="1:27" s="2290" customFormat="1" hidden="1" x14ac:dyDescent="0.25">
      <c r="A158" s="2462"/>
      <c r="B158" s="2463"/>
      <c r="C158" s="2472" t="s">
        <v>1933</v>
      </c>
      <c r="D158" s="2465"/>
      <c r="E158" s="2466"/>
      <c r="F158" s="2466"/>
      <c r="G158" s="2467"/>
      <c r="H158" s="2468"/>
      <c r="I158" s="2469"/>
      <c r="J158" s="2469"/>
      <c r="K158" s="2467"/>
      <c r="L158" s="2468"/>
      <c r="M158" s="2469"/>
      <c r="N158" s="2469"/>
      <c r="O158" s="2470"/>
      <c r="P158" s="2469">
        <v>1</v>
      </c>
      <c r="Q158" s="2469">
        <v>3.5</v>
      </c>
      <c r="R158" s="2481">
        <v>3.5</v>
      </c>
      <c r="S158" s="2364">
        <f t="shared" si="11"/>
        <v>3.5</v>
      </c>
      <c r="T158" s="2364"/>
      <c r="U158" s="2364"/>
      <c r="V158" s="2384">
        <f t="shared" si="12"/>
        <v>3.5</v>
      </c>
      <c r="W158" s="2384">
        <f t="shared" si="13"/>
        <v>0</v>
      </c>
      <c r="X158" s="2364">
        <v>3.5</v>
      </c>
      <c r="Y158" s="2451">
        <v>3.5</v>
      </c>
      <c r="Z158" s="3460"/>
      <c r="AA158" s="2296" t="s">
        <v>1665</v>
      </c>
    </row>
    <row r="159" spans="1:27" s="2290" customFormat="1" hidden="1" x14ac:dyDescent="0.25">
      <c r="A159" s="2462"/>
      <c r="B159" s="2463"/>
      <c r="C159" s="2472" t="s">
        <v>1404</v>
      </c>
      <c r="D159" s="2465"/>
      <c r="E159" s="2466"/>
      <c r="F159" s="2466"/>
      <c r="G159" s="2467"/>
      <c r="H159" s="2468"/>
      <c r="I159" s="2469"/>
      <c r="J159" s="2469"/>
      <c r="K159" s="2467"/>
      <c r="L159" s="2468"/>
      <c r="M159" s="2469"/>
      <c r="N159" s="2469"/>
      <c r="O159" s="2470"/>
      <c r="P159" s="2469">
        <v>2</v>
      </c>
      <c r="Q159" s="2469">
        <v>2.2999999999999998</v>
      </c>
      <c r="R159" s="2481">
        <v>4.5999999999999996</v>
      </c>
      <c r="S159" s="2364">
        <f t="shared" si="11"/>
        <v>4.5999999999999996</v>
      </c>
      <c r="T159" s="2364"/>
      <c r="U159" s="2364"/>
      <c r="V159" s="2384">
        <f t="shared" si="12"/>
        <v>4.5999999999999996</v>
      </c>
      <c r="W159" s="2384">
        <f t="shared" si="13"/>
        <v>0</v>
      </c>
      <c r="X159" s="2364">
        <v>4.5999999999999996</v>
      </c>
      <c r="Y159" s="2451">
        <v>4.5999999999999996</v>
      </c>
      <c r="Z159" s="3460"/>
      <c r="AA159" s="2296" t="s">
        <v>1665</v>
      </c>
    </row>
    <row r="160" spans="1:27" s="2290" customFormat="1" ht="31.5" hidden="1" x14ac:dyDescent="0.25">
      <c r="A160" s="2462"/>
      <c r="B160" s="2463"/>
      <c r="C160" s="2472" t="s">
        <v>1934</v>
      </c>
      <c r="D160" s="2465"/>
      <c r="E160" s="2466"/>
      <c r="F160" s="2466"/>
      <c r="G160" s="2467"/>
      <c r="H160" s="2468"/>
      <c r="I160" s="2469"/>
      <c r="J160" s="2469"/>
      <c r="K160" s="2467"/>
      <c r="L160" s="2468"/>
      <c r="M160" s="2469"/>
      <c r="N160" s="2469"/>
      <c r="O160" s="2470"/>
      <c r="P160" s="2469">
        <v>2</v>
      </c>
      <c r="Q160" s="2469">
        <v>2.2999999999999998</v>
      </c>
      <c r="R160" s="2481">
        <v>4.5999999999999996</v>
      </c>
      <c r="S160" s="2364">
        <f t="shared" si="11"/>
        <v>4.5999999999999996</v>
      </c>
      <c r="T160" s="2364"/>
      <c r="U160" s="2364"/>
      <c r="V160" s="2384">
        <f t="shared" si="12"/>
        <v>4.5999999999999996</v>
      </c>
      <c r="W160" s="2384">
        <f t="shared" si="13"/>
        <v>0</v>
      </c>
      <c r="X160" s="2364">
        <v>4.5999999999999996</v>
      </c>
      <c r="Y160" s="2451">
        <v>4.5999999999999996</v>
      </c>
      <c r="Z160" s="3460"/>
      <c r="AA160" s="2296" t="s">
        <v>1665</v>
      </c>
    </row>
    <row r="161" spans="1:546" s="2290" customFormat="1" hidden="1" x14ac:dyDescent="0.25">
      <c r="A161" s="2462"/>
      <c r="B161" s="2463"/>
      <c r="C161" s="2472" t="s">
        <v>1807</v>
      </c>
      <c r="D161" s="2465"/>
      <c r="E161" s="2466"/>
      <c r="F161" s="2466"/>
      <c r="G161" s="2467"/>
      <c r="H161" s="2468"/>
      <c r="I161" s="2469"/>
      <c r="J161" s="2469"/>
      <c r="K161" s="2467"/>
      <c r="L161" s="2468"/>
      <c r="M161" s="2469"/>
      <c r="N161" s="2469"/>
      <c r="O161" s="2470"/>
      <c r="P161" s="2469">
        <v>1</v>
      </c>
      <c r="Q161" s="2469">
        <v>4</v>
      </c>
      <c r="R161" s="2481">
        <v>4</v>
      </c>
      <c r="S161" s="2364">
        <f t="shared" si="11"/>
        <v>4</v>
      </c>
      <c r="T161" s="2364"/>
      <c r="U161" s="2364"/>
      <c r="V161" s="2384">
        <f t="shared" si="12"/>
        <v>4</v>
      </c>
      <c r="W161" s="2384">
        <f t="shared" si="13"/>
        <v>0</v>
      </c>
      <c r="X161" s="2364">
        <v>4</v>
      </c>
      <c r="Y161" s="2451">
        <v>4</v>
      </c>
      <c r="Z161" s="3460"/>
      <c r="AA161" s="2296" t="s">
        <v>1665</v>
      </c>
    </row>
    <row r="162" spans="1:546" s="2290" customFormat="1" ht="31.5" hidden="1" x14ac:dyDescent="0.25">
      <c r="A162" s="2462"/>
      <c r="B162" s="2463"/>
      <c r="C162" s="2472" t="s">
        <v>1991</v>
      </c>
      <c r="D162" s="2465"/>
      <c r="E162" s="2466"/>
      <c r="F162" s="2466"/>
      <c r="G162" s="2467"/>
      <c r="H162" s="2468"/>
      <c r="I162" s="2469"/>
      <c r="J162" s="2469"/>
      <c r="K162" s="2467"/>
      <c r="L162" s="2468"/>
      <c r="M162" s="2469"/>
      <c r="N162" s="2469"/>
      <c r="O162" s="2470"/>
      <c r="P162" s="2469"/>
      <c r="Q162" s="2469"/>
      <c r="R162" s="2481">
        <f>SUM(R158:R161)/100*27.1</f>
        <v>4.5</v>
      </c>
      <c r="S162" s="2364">
        <f t="shared" si="11"/>
        <v>4.5</v>
      </c>
      <c r="T162" s="2364"/>
      <c r="U162" s="2364"/>
      <c r="V162" s="2384">
        <f t="shared" si="12"/>
        <v>4.5</v>
      </c>
      <c r="W162" s="2384">
        <f t="shared" si="13"/>
        <v>0</v>
      </c>
      <c r="X162" s="2364">
        <f>SUM(X158:X161)/100*27.1</f>
        <v>4.5</v>
      </c>
      <c r="Y162" s="2451">
        <f>SUM(Y158:Y161)/100*27.1</f>
        <v>4.5</v>
      </c>
      <c r="Z162" s="3460"/>
      <c r="AA162" s="2296" t="s">
        <v>1665</v>
      </c>
    </row>
    <row r="163" spans="1:546" s="2290" customFormat="1" ht="31.5" hidden="1" x14ac:dyDescent="0.25">
      <c r="A163" s="2482"/>
      <c r="B163" s="2311">
        <v>955</v>
      </c>
      <c r="C163" s="2485" t="s">
        <v>2175</v>
      </c>
      <c r="D163" s="2475">
        <v>955</v>
      </c>
      <c r="E163" s="2404"/>
      <c r="F163" s="2404"/>
      <c r="G163" s="2476"/>
      <c r="H163" s="2477"/>
      <c r="I163" s="2349"/>
      <c r="J163" s="2349"/>
      <c r="K163" s="2476"/>
      <c r="L163" s="2477"/>
      <c r="M163" s="2349"/>
      <c r="N163" s="2349"/>
      <c r="O163" s="2414"/>
      <c r="P163" s="2349"/>
      <c r="Q163" s="2349"/>
      <c r="R163" s="2484">
        <f>SUM(R165:R168)</f>
        <v>16.100000000000001</v>
      </c>
      <c r="S163" s="2313">
        <f t="shared" si="11"/>
        <v>16.100000000000001</v>
      </c>
      <c r="T163" s="2313"/>
      <c r="U163" s="2313"/>
      <c r="V163" s="2349">
        <f t="shared" si="12"/>
        <v>16.100000000000001</v>
      </c>
      <c r="W163" s="2349">
        <f t="shared" si="13"/>
        <v>0</v>
      </c>
      <c r="X163" s="2313">
        <v>16.100000000000001</v>
      </c>
      <c r="Y163" s="2315">
        <v>16.100000000000001</v>
      </c>
      <c r="Z163" s="3480" t="s">
        <v>2176</v>
      </c>
      <c r="AA163" s="2296" t="s">
        <v>1665</v>
      </c>
    </row>
    <row r="164" spans="1:546" s="2290" customFormat="1" ht="31.5" hidden="1" x14ac:dyDescent="0.25">
      <c r="A164" s="2462"/>
      <c r="B164" s="2463"/>
      <c r="C164" s="2464" t="s">
        <v>1401</v>
      </c>
      <c r="D164" s="2465"/>
      <c r="E164" s="2466"/>
      <c r="F164" s="2466"/>
      <c r="G164" s="2467"/>
      <c r="H164" s="2468"/>
      <c r="I164" s="2469"/>
      <c r="J164" s="2469"/>
      <c r="K164" s="2467"/>
      <c r="L164" s="2468"/>
      <c r="M164" s="2469"/>
      <c r="N164" s="2469"/>
      <c r="O164" s="2470"/>
      <c r="P164" s="2469"/>
      <c r="Q164" s="2469"/>
      <c r="R164" s="2480"/>
      <c r="S164" s="2364">
        <f t="shared" si="11"/>
        <v>0</v>
      </c>
      <c r="T164" s="2364"/>
      <c r="U164" s="2364"/>
      <c r="V164" s="2384">
        <f t="shared" si="12"/>
        <v>0</v>
      </c>
      <c r="W164" s="2384">
        <f t="shared" si="13"/>
        <v>0</v>
      </c>
      <c r="X164" s="2364"/>
      <c r="Y164" s="2451"/>
      <c r="Z164" s="3480"/>
      <c r="AA164" s="2296" t="s">
        <v>1665</v>
      </c>
    </row>
    <row r="165" spans="1:546" s="2290" customFormat="1" hidden="1" x14ac:dyDescent="0.25">
      <c r="A165" s="2462"/>
      <c r="B165" s="2463"/>
      <c r="C165" s="2472" t="s">
        <v>1933</v>
      </c>
      <c r="D165" s="2486"/>
      <c r="E165" s="2466"/>
      <c r="F165" s="2466"/>
      <c r="G165" s="2467"/>
      <c r="H165" s="2468"/>
      <c r="I165" s="2469"/>
      <c r="J165" s="2469"/>
      <c r="K165" s="2467"/>
      <c r="L165" s="2468"/>
      <c r="M165" s="2469"/>
      <c r="N165" s="2469"/>
      <c r="O165" s="2470"/>
      <c r="P165" s="2469">
        <v>1</v>
      </c>
      <c r="Q165" s="2469">
        <v>3.5</v>
      </c>
      <c r="R165" s="2481">
        <v>3.5</v>
      </c>
      <c r="S165" s="2364">
        <f t="shared" si="11"/>
        <v>3.5</v>
      </c>
      <c r="T165" s="2364"/>
      <c r="U165" s="2364"/>
      <c r="V165" s="2384">
        <f t="shared" si="12"/>
        <v>3.5</v>
      </c>
      <c r="W165" s="2384">
        <f t="shared" si="13"/>
        <v>0</v>
      </c>
      <c r="X165" s="2364">
        <v>3.5</v>
      </c>
      <c r="Y165" s="2451">
        <v>3.5</v>
      </c>
      <c r="Z165" s="3480"/>
      <c r="AA165" s="2296" t="s">
        <v>1665</v>
      </c>
    </row>
    <row r="166" spans="1:546" s="2290" customFormat="1" hidden="1" x14ac:dyDescent="0.25">
      <c r="A166" s="2462"/>
      <c r="B166" s="2463"/>
      <c r="C166" s="2472" t="s">
        <v>1404</v>
      </c>
      <c r="D166" s="2486"/>
      <c r="E166" s="2466"/>
      <c r="F166" s="2466"/>
      <c r="G166" s="2467"/>
      <c r="H166" s="2468"/>
      <c r="I166" s="2469"/>
      <c r="J166" s="2469"/>
      <c r="K166" s="2467"/>
      <c r="L166" s="2468"/>
      <c r="M166" s="2469"/>
      <c r="N166" s="2469"/>
      <c r="O166" s="2470"/>
      <c r="P166" s="2469">
        <v>2</v>
      </c>
      <c r="Q166" s="2469">
        <v>2.2999999999999998</v>
      </c>
      <c r="R166" s="2481">
        <v>4.5999999999999996</v>
      </c>
      <c r="S166" s="2364">
        <f t="shared" si="11"/>
        <v>4.5999999999999996</v>
      </c>
      <c r="T166" s="2364"/>
      <c r="U166" s="2364"/>
      <c r="V166" s="2384">
        <f t="shared" si="12"/>
        <v>4.5999999999999996</v>
      </c>
      <c r="W166" s="2384">
        <f t="shared" si="13"/>
        <v>0</v>
      </c>
      <c r="X166" s="2364">
        <v>4.5999999999999996</v>
      </c>
      <c r="Y166" s="2451">
        <v>4.5999999999999996</v>
      </c>
      <c r="Z166" s="3480"/>
      <c r="AA166" s="2296" t="s">
        <v>1665</v>
      </c>
    </row>
    <row r="167" spans="1:546" s="2290" customFormat="1" ht="31.5" hidden="1" x14ac:dyDescent="0.25">
      <c r="A167" s="2462"/>
      <c r="B167" s="2463"/>
      <c r="C167" s="2472" t="s">
        <v>1934</v>
      </c>
      <c r="D167" s="2486"/>
      <c r="E167" s="2466"/>
      <c r="F167" s="2466"/>
      <c r="G167" s="2467"/>
      <c r="H167" s="2468"/>
      <c r="I167" s="2469"/>
      <c r="J167" s="2469"/>
      <c r="K167" s="2467"/>
      <c r="L167" s="2468"/>
      <c r="M167" s="2469"/>
      <c r="N167" s="2469"/>
      <c r="O167" s="2470"/>
      <c r="P167" s="2469">
        <v>2</v>
      </c>
      <c r="Q167" s="2469">
        <v>2.2999999999999998</v>
      </c>
      <c r="R167" s="2481">
        <v>4.5999999999999996</v>
      </c>
      <c r="S167" s="2364">
        <f t="shared" si="11"/>
        <v>4.5999999999999996</v>
      </c>
      <c r="T167" s="2364"/>
      <c r="U167" s="2364"/>
      <c r="V167" s="2384">
        <f t="shared" si="12"/>
        <v>4.5999999999999996</v>
      </c>
      <c r="W167" s="2384">
        <f t="shared" si="13"/>
        <v>0</v>
      </c>
      <c r="X167" s="2364">
        <v>4.5999999999999996</v>
      </c>
      <c r="Y167" s="2451">
        <v>4.5999999999999996</v>
      </c>
      <c r="Z167" s="3480"/>
      <c r="AA167" s="2296" t="s">
        <v>1665</v>
      </c>
    </row>
    <row r="168" spans="1:546" s="2290" customFormat="1" ht="31.5" hidden="1" x14ac:dyDescent="0.25">
      <c r="A168" s="2462"/>
      <c r="B168" s="2463"/>
      <c r="C168" s="2472" t="s">
        <v>1991</v>
      </c>
      <c r="D168" s="2486"/>
      <c r="E168" s="2466"/>
      <c r="F168" s="2466"/>
      <c r="G168" s="2467"/>
      <c r="H168" s="2468"/>
      <c r="I168" s="2469"/>
      <c r="J168" s="2469"/>
      <c r="K168" s="2467"/>
      <c r="L168" s="2468"/>
      <c r="M168" s="2469"/>
      <c r="N168" s="2469"/>
      <c r="O168" s="2470"/>
      <c r="P168" s="2469"/>
      <c r="Q168" s="2469"/>
      <c r="R168" s="2481">
        <f>SUM(R164:R167)/100*27.1</f>
        <v>3.4</v>
      </c>
      <c r="S168" s="2364">
        <f t="shared" si="11"/>
        <v>3.4</v>
      </c>
      <c r="T168" s="2364"/>
      <c r="U168" s="2364"/>
      <c r="V168" s="2384">
        <f t="shared" si="12"/>
        <v>3.4</v>
      </c>
      <c r="W168" s="2384">
        <f t="shared" si="13"/>
        <v>0</v>
      </c>
      <c r="X168" s="2364">
        <v>3.4</v>
      </c>
      <c r="Y168" s="2451">
        <v>3.4</v>
      </c>
      <c r="Z168" s="3480"/>
      <c r="AA168" s="2296" t="s">
        <v>1665</v>
      </c>
    </row>
    <row r="169" spans="1:546" s="2492" customFormat="1" hidden="1" x14ac:dyDescent="0.25">
      <c r="A169" s="2487"/>
      <c r="B169" s="2487"/>
      <c r="C169" s="2488" t="s">
        <v>202</v>
      </c>
      <c r="D169" s="2489"/>
      <c r="E169" s="2490"/>
      <c r="F169" s="2489" t="e">
        <f>F122+#REF!+F116+F95+F87+F72+F50+F33+F15</f>
        <v>#REF!</v>
      </c>
      <c r="G169" s="2489" t="e">
        <f>G122+#REF!+G116+G95+G87+G72+G50+G33+G15</f>
        <v>#REF!</v>
      </c>
      <c r="H169" s="2489" t="e">
        <f>H122+#REF!+H116+H95+H87+H72+H50+H33+H15</f>
        <v>#REF!</v>
      </c>
      <c r="I169" s="2489" t="e">
        <f>I122+#REF!+I116+I95+I87+I72+I50+I33+I15</f>
        <v>#REF!</v>
      </c>
      <c r="J169" s="2489" t="e">
        <f>J122+#REF!+J116+J95+J87+J72+J50+J33+J15</f>
        <v>#REF!</v>
      </c>
      <c r="K169" s="2489" t="e">
        <f>K122+#REF!+K116+K95+K87+K72+K50+K33+K15</f>
        <v>#REF!</v>
      </c>
      <c r="L169" s="2489" t="e">
        <f>L122+#REF!+L116+L95+L87+L72+L50+L33+L15</f>
        <v>#REF!</v>
      </c>
      <c r="M169" s="2489" t="e">
        <f>M122+#REF!+M116+M95+M87+M72+M50+M33+M15</f>
        <v>#REF!</v>
      </c>
      <c r="N169" s="2489" t="e">
        <f>N122+#REF!+N116+N95+N87+N72+N50+N33+N15</f>
        <v>#REF!</v>
      </c>
      <c r="O169" s="2489" t="e">
        <f>O122+#REF!+O116+O95+O87+O72+O50+O33+O15</f>
        <v>#REF!</v>
      </c>
      <c r="P169" s="2489" t="e">
        <f>P122+#REF!+P116+P95+P87+P72+P50+P33+P15</f>
        <v>#REF!</v>
      </c>
      <c r="Q169" s="2489" t="e">
        <f>Q122+#REF!+Q116+Q95+Q87+Q72+Q50+Q33+Q15</f>
        <v>#REF!</v>
      </c>
      <c r="R169" s="2489" t="e">
        <f>R122+#REF!+R116+R95+R87+R72+R50+R33+R15+R142+R150+R156+R163</f>
        <v>#REF!</v>
      </c>
      <c r="S169" s="2489" t="e">
        <f t="shared" si="11"/>
        <v>#REF!</v>
      </c>
      <c r="T169" s="2489"/>
      <c r="U169" s="2489" t="e">
        <f>U122+#REF!+U116+U95+U87+U72+U50+U33+U15+U142+U150+U156+U163</f>
        <v>#REF!</v>
      </c>
      <c r="V169" s="2489" t="e">
        <f t="shared" si="12"/>
        <v>#REF!</v>
      </c>
      <c r="W169" s="2489">
        <f t="shared" si="13"/>
        <v>0</v>
      </c>
      <c r="X169" s="2489" t="e">
        <f>X122+#REF!+X116+X95+X87+X72+X50+X33+X15+X142+X150+X156+X163</f>
        <v>#REF!</v>
      </c>
      <c r="Y169" s="2489" t="e">
        <f>Y122+#REF!+Y116+Y95+Y87+Y72+Y50+Y33+Y15+Y142+Y150+Y156+Y163</f>
        <v>#REF!</v>
      </c>
      <c r="Z169" s="2491"/>
      <c r="AA169" s="2296" t="s">
        <v>1665</v>
      </c>
      <c r="AC169" s="2493" t="e">
        <f>R169-N169</f>
        <v>#REF!</v>
      </c>
    </row>
    <row r="170" spans="1:546" s="2345" customFormat="1" ht="78.75" hidden="1" x14ac:dyDescent="0.25">
      <c r="A170" s="2311"/>
      <c r="B170" s="2311"/>
      <c r="C170" s="2312" t="s">
        <v>2177</v>
      </c>
      <c r="D170" s="2311"/>
      <c r="E170" s="2403"/>
      <c r="F170" s="2494"/>
      <c r="G170" s="2495"/>
      <c r="H170" s="2495"/>
      <c r="I170" s="2495"/>
      <c r="J170" s="2313"/>
      <c r="K170" s="2495"/>
      <c r="L170" s="2495"/>
      <c r="M170" s="2495"/>
      <c r="N170" s="2313"/>
      <c r="O170" s="2495"/>
      <c r="P170" s="2495"/>
      <c r="Q170" s="2495"/>
      <c r="R170" s="2313">
        <f>R171</f>
        <v>80.5</v>
      </c>
      <c r="S170" s="2313">
        <f t="shared" si="11"/>
        <v>80.5</v>
      </c>
      <c r="T170" s="2313"/>
      <c r="U170" s="2495"/>
      <c r="V170" s="2496">
        <f t="shared" si="12"/>
        <v>80.5</v>
      </c>
      <c r="W170" s="2496">
        <f t="shared" si="13"/>
        <v>0</v>
      </c>
      <c r="X170" s="2313">
        <f>R170</f>
        <v>80.5</v>
      </c>
      <c r="Y170" s="2313">
        <f>X170</f>
        <v>80.5</v>
      </c>
      <c r="Z170" s="2319"/>
      <c r="AA170" s="2292" t="s">
        <v>1653</v>
      </c>
    </row>
    <row r="171" spans="1:546" s="2326" customFormat="1" ht="31.5" hidden="1" x14ac:dyDescent="0.25">
      <c r="A171" s="2319"/>
      <c r="B171" s="2319">
        <v>963</v>
      </c>
      <c r="C171" s="2320" t="s">
        <v>1444</v>
      </c>
      <c r="D171" s="2373"/>
      <c r="E171" s="2374"/>
      <c r="F171" s="2323"/>
      <c r="G171" s="2323"/>
      <c r="H171" s="2323"/>
      <c r="I171" s="2323"/>
      <c r="J171" s="2323"/>
      <c r="K171" s="2323"/>
      <c r="L171" s="2323"/>
      <c r="M171" s="2323"/>
      <c r="N171" s="2323"/>
      <c r="O171" s="2323"/>
      <c r="P171" s="2323"/>
      <c r="Q171" s="2323"/>
      <c r="R171" s="2323">
        <f>R173+R172</f>
        <v>80.5</v>
      </c>
      <c r="S171" s="2323">
        <f t="shared" si="11"/>
        <v>80.5</v>
      </c>
      <c r="T171" s="2323"/>
      <c r="U171" s="2323"/>
      <c r="V171" s="2323">
        <f t="shared" si="12"/>
        <v>80.5</v>
      </c>
      <c r="W171" s="2323">
        <f t="shared" si="13"/>
        <v>0</v>
      </c>
      <c r="X171" s="2323">
        <f t="shared" ref="X171:X173" si="18">R171</f>
        <v>80.5</v>
      </c>
      <c r="Y171" s="2323">
        <f t="shared" ref="Y171:Y173" si="19">X171</f>
        <v>80.5</v>
      </c>
      <c r="Z171" s="2319"/>
      <c r="AA171" s="2497" t="s">
        <v>1665</v>
      </c>
    </row>
    <row r="172" spans="1:546" s="2290" customFormat="1" hidden="1" x14ac:dyDescent="0.25">
      <c r="A172" s="2325"/>
      <c r="B172" s="2325"/>
      <c r="C172" s="2328" t="s">
        <v>1229</v>
      </c>
      <c r="D172" s="2342"/>
      <c r="E172" s="2382"/>
      <c r="F172" s="2331"/>
      <c r="G172" s="2331"/>
      <c r="H172" s="2331"/>
      <c r="I172" s="2331"/>
      <c r="J172" s="2331"/>
      <c r="K172" s="2331"/>
      <c r="L172" s="2331"/>
      <c r="M172" s="2331"/>
      <c r="N172" s="2331"/>
      <c r="O172" s="2331"/>
      <c r="P172" s="2331">
        <v>100</v>
      </c>
      <c r="Q172" s="2331">
        <f>R172/P172*1000</f>
        <v>200</v>
      </c>
      <c r="R172" s="2331">
        <v>20</v>
      </c>
      <c r="S172" s="2331">
        <f t="shared" si="11"/>
        <v>20</v>
      </c>
      <c r="T172" s="2331"/>
      <c r="U172" s="2331"/>
      <c r="V172" s="2331">
        <f t="shared" ref="V172:V173" si="20">R172-J172</f>
        <v>20</v>
      </c>
      <c r="W172" s="2331">
        <f t="shared" ref="W172:W174" si="21">IFERROR((R172)/J172*100,0)</f>
        <v>0</v>
      </c>
      <c r="X172" s="2331">
        <f t="shared" si="18"/>
        <v>20</v>
      </c>
      <c r="Y172" s="2331">
        <f t="shared" si="19"/>
        <v>20</v>
      </c>
      <c r="Z172" s="2325"/>
      <c r="AA172" s="2292"/>
    </row>
    <row r="173" spans="1:546" s="2290" customFormat="1" hidden="1" x14ac:dyDescent="0.25">
      <c r="A173" s="2325"/>
      <c r="B173" s="2325"/>
      <c r="C173" s="2328" t="s">
        <v>2095</v>
      </c>
      <c r="D173" s="2342"/>
      <c r="E173" s="2382"/>
      <c r="F173" s="2331"/>
      <c r="G173" s="2331"/>
      <c r="H173" s="2331"/>
      <c r="I173" s="2331"/>
      <c r="J173" s="2331"/>
      <c r="K173" s="2331"/>
      <c r="L173" s="2331"/>
      <c r="M173" s="2331"/>
      <c r="N173" s="2331"/>
      <c r="O173" s="2331"/>
      <c r="P173" s="2331"/>
      <c r="Q173" s="2331"/>
      <c r="R173" s="2331">
        <v>60.5</v>
      </c>
      <c r="S173" s="2331">
        <f t="shared" ref="S173" si="22">R173</f>
        <v>60.5</v>
      </c>
      <c r="T173" s="2331"/>
      <c r="U173" s="2331"/>
      <c r="V173" s="2331">
        <f t="shared" si="20"/>
        <v>60.5</v>
      </c>
      <c r="W173" s="2331">
        <f t="shared" si="21"/>
        <v>0</v>
      </c>
      <c r="X173" s="2331">
        <f t="shared" si="18"/>
        <v>60.5</v>
      </c>
      <c r="Y173" s="2331">
        <f t="shared" si="19"/>
        <v>60.5</v>
      </c>
      <c r="Z173" s="2325"/>
      <c r="AA173" s="2292"/>
    </row>
    <row r="174" spans="1:546" s="2505" customFormat="1" ht="18.75" hidden="1" x14ac:dyDescent="0.3">
      <c r="A174" s="2498"/>
      <c r="B174" s="2499"/>
      <c r="C174" s="2500" t="s">
        <v>2178</v>
      </c>
      <c r="D174" s="2501"/>
      <c r="E174" s="2502"/>
      <c r="F174" s="2502" t="e">
        <f>#REF!+#REF!+#REF!+F169+#REF!+#REF!+#REF!+#REF!+#REF!+#REF!+#REF!+#REF!+#REF!</f>
        <v>#REF!</v>
      </c>
      <c r="G174" s="2502" t="e">
        <f>#REF!+#REF!+#REF!+G169+#REF!+#REF!+#REF!+#REF!+#REF!+#REF!+#REF!+#REF!+#REF!</f>
        <v>#REF!</v>
      </c>
      <c r="H174" s="2502" t="e">
        <f>#REF!+#REF!+#REF!+H169+#REF!+#REF!+#REF!+#REF!+#REF!+#REF!+#REF!+#REF!+#REF!</f>
        <v>#REF!</v>
      </c>
      <c r="I174" s="2502" t="e">
        <f>#REF!+#REF!+#REF!+I169+#REF!+#REF!+#REF!+#REF!+#REF!+#REF!+#REF!+#REF!+#REF!</f>
        <v>#REF!</v>
      </c>
      <c r="J174" s="2502" t="e">
        <f>#REF!+#REF!+#REF!+J169+#REF!+#REF!+#REF!+#REF!+#REF!+#REF!+#REF!+#REF!+#REF!</f>
        <v>#REF!</v>
      </c>
      <c r="K174" s="2502" t="e">
        <f>#REF!+#REF!+#REF!+K169+#REF!+#REF!+#REF!+#REF!+#REF!+#REF!+#REF!+#REF!+#REF!</f>
        <v>#REF!</v>
      </c>
      <c r="L174" s="2502" t="e">
        <f>#REF!+#REF!+#REF!+L169+#REF!+#REF!+#REF!+#REF!+#REF!+#REF!+#REF!+#REF!+#REF!</f>
        <v>#REF!</v>
      </c>
      <c r="M174" s="2502" t="e">
        <f>#REF!+#REF!+#REF!+M169+#REF!+#REF!+#REF!+#REF!+#REF!+#REF!+#REF!+#REF!+#REF!</f>
        <v>#REF!</v>
      </c>
      <c r="N174" s="2502" t="e">
        <f>#REF!+#REF!+#REF!+N169+#REF!+#REF!+#REF!+#REF!+#REF!+#REF!+#REF!+#REF!+#REF!</f>
        <v>#REF!</v>
      </c>
      <c r="O174" s="2502" t="e">
        <f>#REF!+#REF!+#REF!+O169+#REF!+#REF!+#REF!+#REF!+#REF!+#REF!+#REF!+#REF!+#REF!</f>
        <v>#REF!</v>
      </c>
      <c r="P174" s="2502"/>
      <c r="Q174" s="2502"/>
      <c r="R174" s="2501" t="e">
        <f>R169+R170</f>
        <v>#REF!</v>
      </c>
      <c r="S174" s="2501" t="e">
        <f t="shared" ref="S174:U174" si="23">S169+S170</f>
        <v>#REF!</v>
      </c>
      <c r="T174" s="2501">
        <f t="shared" si="23"/>
        <v>0</v>
      </c>
      <c r="U174" s="2501" t="e">
        <f t="shared" si="23"/>
        <v>#REF!</v>
      </c>
      <c r="V174" s="2502"/>
      <c r="W174" s="2502">
        <f t="shared" si="21"/>
        <v>0</v>
      </c>
      <c r="X174" s="2502" t="e">
        <f t="shared" ref="X174:Y174" si="24">X169+X170</f>
        <v>#REF!</v>
      </c>
      <c r="Y174" s="2502" t="e">
        <f t="shared" si="24"/>
        <v>#REF!</v>
      </c>
      <c r="Z174" s="2503"/>
      <c r="AA174" s="2504"/>
      <c r="AE174" s="2506"/>
      <c r="AF174" s="2507"/>
      <c r="AG174" s="2507"/>
      <c r="AH174" s="2507"/>
      <c r="JN174" s="2507"/>
      <c r="JO174" s="2507"/>
      <c r="JQ174" s="2507"/>
      <c r="JR174" s="2507"/>
      <c r="JS174" s="2507"/>
      <c r="KA174" s="2507"/>
      <c r="KB174" s="2507"/>
      <c r="KC174" s="2507"/>
      <c r="KD174" s="2507"/>
      <c r="TJ174" s="2507"/>
      <c r="TK174" s="2507"/>
      <c r="TM174" s="2507"/>
      <c r="TN174" s="2507"/>
      <c r="TO174" s="2507"/>
      <c r="TW174" s="2507"/>
      <c r="TX174" s="2507"/>
      <c r="TY174" s="2507"/>
      <c r="TZ174" s="2507"/>
    </row>
    <row r="175" spans="1:546" s="2508" customFormat="1" ht="18.75" x14ac:dyDescent="0.3">
      <c r="B175" s="2509"/>
      <c r="C175" s="2510"/>
      <c r="D175" s="2511"/>
      <c r="E175" s="2512"/>
      <c r="F175" s="2513"/>
      <c r="G175" s="2511"/>
      <c r="H175" s="2511"/>
      <c r="I175" s="2511"/>
      <c r="J175" s="2513"/>
      <c r="K175" s="2511"/>
      <c r="L175" s="2511"/>
      <c r="M175" s="2511"/>
      <c r="N175" s="2513"/>
      <c r="O175" s="2511"/>
      <c r="P175" s="2511"/>
      <c r="Q175" s="2511"/>
      <c r="R175" s="2513"/>
      <c r="S175" s="2513"/>
      <c r="T175" s="2513"/>
      <c r="U175" s="2511"/>
      <c r="V175" s="2511"/>
      <c r="W175" s="2511"/>
      <c r="X175" s="2513"/>
      <c r="Y175" s="2513"/>
      <c r="AA175" s="2510"/>
    </row>
    <row r="176" spans="1:546" s="2514" customFormat="1" ht="18.75" x14ac:dyDescent="0.3">
      <c r="B176" s="2515"/>
      <c r="C176" s="2516"/>
      <c r="D176" s="2517"/>
      <c r="E176" s="2518"/>
      <c r="F176" s="3481">
        <v>2018</v>
      </c>
      <c r="G176" s="3481"/>
      <c r="H176" s="2517"/>
      <c r="I176" s="2517"/>
      <c r="J176" s="3481" t="s">
        <v>845</v>
      </c>
      <c r="K176" s="3481"/>
      <c r="L176" s="2517"/>
      <c r="M176" s="2517"/>
      <c r="N176" s="3482" t="s">
        <v>846</v>
      </c>
      <c r="O176" s="3482"/>
      <c r="P176" s="2517"/>
      <c r="Q176" s="2517"/>
      <c r="R176" s="3483">
        <v>2020</v>
      </c>
      <c r="S176" s="3483"/>
      <c r="T176" s="3483"/>
      <c r="U176" s="3483"/>
      <c r="V176" s="2517"/>
      <c r="W176" s="2517"/>
      <c r="X176" s="2519">
        <v>2021</v>
      </c>
      <c r="Y176" s="2519">
        <v>2022</v>
      </c>
      <c r="AA176" s="2520"/>
    </row>
    <row r="177" spans="1:16276" s="2290" customFormat="1" x14ac:dyDescent="0.25">
      <c r="B177" s="2398">
        <v>1</v>
      </c>
      <c r="C177" s="2521">
        <v>1</v>
      </c>
      <c r="D177" s="2342">
        <v>1</v>
      </c>
      <c r="E177" s="2382">
        <v>1</v>
      </c>
      <c r="F177" s="2417" t="s">
        <v>345</v>
      </c>
      <c r="G177" s="2417" t="s">
        <v>847</v>
      </c>
      <c r="H177" s="2342">
        <v>1</v>
      </c>
      <c r="I177" s="2342">
        <v>1</v>
      </c>
      <c r="J177" s="2417" t="s">
        <v>345</v>
      </c>
      <c r="K177" s="2417" t="s">
        <v>847</v>
      </c>
      <c r="L177" s="2342">
        <v>1</v>
      </c>
      <c r="M177" s="2342">
        <v>1</v>
      </c>
      <c r="N177" s="2417" t="s">
        <v>345</v>
      </c>
      <c r="O177" s="2417" t="s">
        <v>847</v>
      </c>
      <c r="P177" s="2342">
        <v>1</v>
      </c>
      <c r="Q177" s="2342">
        <v>1</v>
      </c>
      <c r="R177" s="2417" t="s">
        <v>345</v>
      </c>
      <c r="S177" s="2417"/>
      <c r="T177" s="2417"/>
      <c r="U177" s="2417" t="s">
        <v>847</v>
      </c>
      <c r="V177" s="2342">
        <v>1</v>
      </c>
      <c r="W177" s="2342">
        <v>1</v>
      </c>
      <c r="X177" s="2417">
        <v>1</v>
      </c>
      <c r="Y177" s="2417">
        <v>1</v>
      </c>
      <c r="AA177" s="2292"/>
    </row>
    <row r="178" spans="1:16276" x14ac:dyDescent="0.25">
      <c r="A178" s="2522"/>
      <c r="B178" s="2523"/>
      <c r="C178" s="2523" t="s">
        <v>2179</v>
      </c>
      <c r="D178" s="2349"/>
      <c r="E178" s="2348"/>
      <c r="F178" s="2349" t="e">
        <f>F179+F180+F181+F182+F183+F184+F185+F186+F187+F188</f>
        <v>#REF!</v>
      </c>
      <c r="G178" s="2349" t="e">
        <f t="shared" ref="G178:Y178" si="25">G179+G180+G181+G182+G183+G184+G185+G186+G187+G188</f>
        <v>#REF!</v>
      </c>
      <c r="H178" s="2349">
        <f t="shared" si="25"/>
        <v>0</v>
      </c>
      <c r="I178" s="2349">
        <f t="shared" si="25"/>
        <v>0</v>
      </c>
      <c r="J178" s="2349" t="e">
        <f t="shared" si="25"/>
        <v>#REF!</v>
      </c>
      <c r="K178" s="2349" t="e">
        <f t="shared" si="25"/>
        <v>#REF!</v>
      </c>
      <c r="L178" s="2349">
        <f t="shared" si="25"/>
        <v>0</v>
      </c>
      <c r="M178" s="2349">
        <f t="shared" si="25"/>
        <v>0</v>
      </c>
      <c r="N178" s="2349" t="e">
        <f t="shared" si="25"/>
        <v>#REF!</v>
      </c>
      <c r="O178" s="2349" t="e">
        <f t="shared" si="25"/>
        <v>#REF!</v>
      </c>
      <c r="P178" s="2349">
        <f t="shared" si="25"/>
        <v>0</v>
      </c>
      <c r="Q178" s="2349">
        <f t="shared" si="25"/>
        <v>0</v>
      </c>
      <c r="R178" s="2349">
        <f t="shared" si="25"/>
        <v>647.20000000000005</v>
      </c>
      <c r="S178" s="2349">
        <f t="shared" si="25"/>
        <v>647.20000000000005</v>
      </c>
      <c r="T178" s="2349">
        <f t="shared" si="25"/>
        <v>0</v>
      </c>
      <c r="U178" s="2349">
        <f t="shared" si="25"/>
        <v>325.3</v>
      </c>
      <c r="V178" s="2349">
        <f t="shared" si="25"/>
        <v>141.1</v>
      </c>
      <c r="W178" s="2349">
        <f t="shared" si="25"/>
        <v>909.2</v>
      </c>
      <c r="X178" s="2349">
        <f t="shared" si="25"/>
        <v>639.9</v>
      </c>
      <c r="Y178" s="2349">
        <f t="shared" si="25"/>
        <v>698.4</v>
      </c>
      <c r="Z178" s="2522"/>
      <c r="AA178" s="2524"/>
      <c r="AB178" s="2522"/>
      <c r="AC178" s="2522"/>
      <c r="AD178" s="2522"/>
      <c r="AE178" s="2522"/>
      <c r="AF178" s="2522"/>
      <c r="AG178" s="2522"/>
      <c r="AH178" s="2522"/>
      <c r="AI178" s="2522"/>
      <c r="AJ178" s="2522"/>
      <c r="AK178" s="2522"/>
      <c r="AL178" s="2522"/>
      <c r="AM178" s="2522"/>
      <c r="AN178" s="2522"/>
      <c r="AO178" s="2522"/>
      <c r="AP178" s="2522"/>
      <c r="AQ178" s="2522"/>
      <c r="AR178" s="2522"/>
      <c r="AS178" s="2522"/>
      <c r="AT178" s="2522"/>
      <c r="AU178" s="2522"/>
      <c r="AV178" s="2522"/>
      <c r="AW178" s="2522"/>
      <c r="AX178" s="2522"/>
      <c r="AY178" s="2522"/>
      <c r="AZ178" s="2522"/>
      <c r="BA178" s="2522"/>
      <c r="BB178" s="2522"/>
      <c r="BC178" s="2522"/>
      <c r="BD178" s="2522"/>
      <c r="BE178" s="2522"/>
      <c r="BF178" s="2522"/>
      <c r="BG178" s="2522"/>
      <c r="BH178" s="2522"/>
      <c r="BI178" s="2522"/>
      <c r="BJ178" s="2522"/>
      <c r="BK178" s="2522"/>
      <c r="BL178" s="2522"/>
      <c r="BM178" s="2522"/>
      <c r="BN178" s="2522"/>
      <c r="BO178" s="2522"/>
      <c r="BP178" s="2522"/>
      <c r="BQ178" s="2522"/>
      <c r="BR178" s="2522"/>
      <c r="BS178" s="2522"/>
      <c r="BT178" s="2522"/>
      <c r="BU178" s="2522"/>
      <c r="BV178" s="2522"/>
      <c r="BW178" s="2522"/>
      <c r="BX178" s="2522"/>
      <c r="BY178" s="2522"/>
      <c r="BZ178" s="2522"/>
      <c r="CA178" s="2522"/>
      <c r="CB178" s="2522"/>
      <c r="CC178" s="2522"/>
      <c r="CD178" s="2522"/>
      <c r="CE178" s="2522"/>
      <c r="CF178" s="2522"/>
      <c r="CG178" s="2522"/>
      <c r="CH178" s="2522"/>
      <c r="CI178" s="2522"/>
      <c r="CJ178" s="2522"/>
      <c r="CK178" s="2522"/>
      <c r="CL178" s="2522"/>
      <c r="CM178" s="2522"/>
      <c r="CN178" s="2522"/>
      <c r="CO178" s="2522"/>
      <c r="CP178" s="2522"/>
      <c r="CQ178" s="2522"/>
      <c r="CR178" s="2522"/>
      <c r="CS178" s="2522"/>
      <c r="CT178" s="2522"/>
      <c r="CU178" s="2522"/>
      <c r="CV178" s="2522"/>
      <c r="CW178" s="2522"/>
      <c r="CX178" s="2522"/>
      <c r="CY178" s="2522"/>
      <c r="CZ178" s="2522"/>
      <c r="DA178" s="2522"/>
      <c r="DB178" s="2522"/>
      <c r="DC178" s="2522"/>
      <c r="DD178" s="2522"/>
      <c r="DE178" s="2522"/>
      <c r="DF178" s="2522"/>
      <c r="DG178" s="2522"/>
      <c r="DH178" s="2522"/>
      <c r="DI178" s="2522"/>
      <c r="DJ178" s="2522"/>
      <c r="DK178" s="2522"/>
      <c r="DL178" s="2522"/>
      <c r="DM178" s="2522"/>
      <c r="DN178" s="2522"/>
      <c r="DO178" s="2522"/>
      <c r="DP178" s="2522"/>
      <c r="DQ178" s="2522"/>
      <c r="DR178" s="2522"/>
      <c r="DS178" s="2522"/>
      <c r="DT178" s="2522"/>
      <c r="DU178" s="2522"/>
      <c r="DV178" s="2522"/>
      <c r="DW178" s="2522"/>
      <c r="DX178" s="2522"/>
      <c r="DY178" s="2522"/>
      <c r="DZ178" s="2522"/>
      <c r="EA178" s="2522"/>
      <c r="EB178" s="2522"/>
      <c r="EC178" s="2522"/>
      <c r="ED178" s="2522"/>
      <c r="EE178" s="2522"/>
      <c r="EF178" s="2522"/>
      <c r="EG178" s="2522"/>
      <c r="EH178" s="2522"/>
      <c r="EI178" s="2522"/>
      <c r="EJ178" s="2522"/>
      <c r="EK178" s="2522"/>
      <c r="EL178" s="2522"/>
      <c r="EM178" s="2522"/>
      <c r="EN178" s="2522"/>
      <c r="EO178" s="2522"/>
      <c r="EP178" s="2522"/>
      <c r="EQ178" s="2522"/>
      <c r="ER178" s="2522"/>
      <c r="ES178" s="2522"/>
      <c r="ET178" s="2522"/>
      <c r="EU178" s="2522"/>
      <c r="EV178" s="2522"/>
      <c r="EW178" s="2522"/>
      <c r="EX178" s="2522"/>
      <c r="EY178" s="2522"/>
      <c r="EZ178" s="2522"/>
      <c r="FA178" s="2522"/>
      <c r="FB178" s="2522"/>
      <c r="FC178" s="2522"/>
      <c r="FD178" s="2522"/>
      <c r="FE178" s="2522"/>
      <c r="FF178" s="2522"/>
      <c r="FG178" s="2522"/>
      <c r="FH178" s="2522"/>
      <c r="FI178" s="2522"/>
      <c r="FJ178" s="2522"/>
      <c r="FK178" s="2522"/>
      <c r="FL178" s="2522"/>
      <c r="FM178" s="2522"/>
      <c r="FN178" s="2522"/>
      <c r="FO178" s="2522"/>
      <c r="FP178" s="2522"/>
      <c r="FQ178" s="2522"/>
      <c r="FR178" s="2522"/>
      <c r="FS178" s="2522"/>
      <c r="FT178" s="2522"/>
      <c r="FU178" s="2522"/>
      <c r="FV178" s="2522"/>
      <c r="FW178" s="2522"/>
      <c r="FX178" s="2522"/>
      <c r="FY178" s="2522"/>
      <c r="FZ178" s="2522"/>
      <c r="GA178" s="2522"/>
      <c r="GB178" s="2522"/>
      <c r="GC178" s="2522"/>
      <c r="GD178" s="2522"/>
      <c r="GE178" s="2522"/>
      <c r="GF178" s="2522"/>
      <c r="GG178" s="2522"/>
      <c r="GH178" s="2522"/>
      <c r="GI178" s="2522"/>
      <c r="GJ178" s="2522"/>
      <c r="GK178" s="2522"/>
      <c r="GL178" s="2522"/>
      <c r="GM178" s="2522"/>
      <c r="GN178" s="2522"/>
      <c r="GO178" s="2522"/>
      <c r="GP178" s="2522"/>
      <c r="GQ178" s="2522"/>
      <c r="GR178" s="2522"/>
      <c r="GS178" s="2522"/>
      <c r="GT178" s="2522"/>
      <c r="GU178" s="2522"/>
      <c r="GV178" s="2522"/>
      <c r="GW178" s="2522"/>
      <c r="GX178" s="2522"/>
      <c r="GY178" s="2522"/>
      <c r="GZ178" s="2522"/>
      <c r="HA178" s="2522"/>
      <c r="HB178" s="2522"/>
      <c r="HC178" s="2522"/>
      <c r="HD178" s="2522"/>
      <c r="HE178" s="2522"/>
      <c r="HF178" s="2522"/>
      <c r="HG178" s="2522"/>
      <c r="HH178" s="2522"/>
      <c r="HI178" s="2522"/>
      <c r="HJ178" s="2522"/>
      <c r="HK178" s="2522"/>
      <c r="HL178" s="2522"/>
      <c r="HM178" s="2522"/>
      <c r="HN178" s="2522"/>
      <c r="HO178" s="2522"/>
      <c r="HP178" s="2522"/>
      <c r="HQ178" s="2522"/>
      <c r="HR178" s="2522"/>
      <c r="HS178" s="2522"/>
      <c r="HT178" s="2522"/>
      <c r="HU178" s="2522"/>
      <c r="HV178" s="2522"/>
      <c r="HW178" s="2522"/>
      <c r="HX178" s="2522"/>
      <c r="HY178" s="2522"/>
      <c r="HZ178" s="2522"/>
      <c r="IA178" s="2522"/>
      <c r="IB178" s="2522"/>
      <c r="IC178" s="2522"/>
      <c r="ID178" s="2522"/>
      <c r="IE178" s="2522"/>
      <c r="IF178" s="2522"/>
      <c r="IG178" s="2522"/>
      <c r="IH178" s="2522"/>
      <c r="II178" s="2522"/>
      <c r="IJ178" s="2522"/>
      <c r="IK178" s="2522"/>
      <c r="IL178" s="2522"/>
      <c r="IM178" s="2522"/>
      <c r="IN178" s="2522"/>
      <c r="IO178" s="2522"/>
      <c r="IP178" s="2522"/>
      <c r="IQ178" s="2522"/>
      <c r="IR178" s="2522"/>
      <c r="IS178" s="2522"/>
      <c r="IT178" s="2522"/>
      <c r="IU178" s="2522"/>
      <c r="IV178" s="2522"/>
      <c r="IW178" s="2522"/>
      <c r="IX178" s="2522"/>
      <c r="IY178" s="2522"/>
      <c r="IZ178" s="2522"/>
      <c r="JA178" s="2522"/>
      <c r="JB178" s="2522"/>
      <c r="JC178" s="2522"/>
      <c r="JD178" s="2522"/>
      <c r="JE178" s="2522"/>
      <c r="JF178" s="2522"/>
      <c r="JG178" s="2522"/>
      <c r="JH178" s="2522"/>
      <c r="JI178" s="2522"/>
      <c r="JJ178" s="2522"/>
      <c r="JK178" s="2522"/>
      <c r="JL178" s="2522"/>
      <c r="JM178" s="2522"/>
      <c r="JN178" s="2522"/>
      <c r="JO178" s="2522"/>
      <c r="JP178" s="2522"/>
      <c r="JQ178" s="2522"/>
      <c r="JR178" s="2522"/>
      <c r="JS178" s="2522"/>
      <c r="JT178" s="2522"/>
      <c r="JU178" s="2522"/>
      <c r="JV178" s="2522"/>
      <c r="JW178" s="2522"/>
      <c r="JX178" s="2522"/>
      <c r="JY178" s="2522"/>
      <c r="JZ178" s="2522"/>
      <c r="KA178" s="2522"/>
      <c r="KB178" s="2522"/>
      <c r="KC178" s="2522"/>
      <c r="KD178" s="2522"/>
      <c r="KE178" s="2522"/>
      <c r="KF178" s="2522"/>
      <c r="KG178" s="2522"/>
      <c r="KH178" s="2522"/>
      <c r="KI178" s="2522"/>
      <c r="KJ178" s="2522"/>
      <c r="KK178" s="2522"/>
      <c r="KL178" s="2522"/>
      <c r="KM178" s="2522"/>
      <c r="KN178" s="2522"/>
      <c r="KO178" s="2522"/>
      <c r="KP178" s="2522"/>
      <c r="KQ178" s="2522"/>
      <c r="KR178" s="2522"/>
      <c r="KS178" s="2522"/>
      <c r="KT178" s="2522"/>
      <c r="KU178" s="2522"/>
      <c r="KV178" s="2522"/>
      <c r="KW178" s="2522"/>
      <c r="KX178" s="2522"/>
      <c r="KY178" s="2522"/>
      <c r="KZ178" s="2522"/>
      <c r="LA178" s="2522"/>
      <c r="LB178" s="2522"/>
      <c r="LC178" s="2522"/>
      <c r="LD178" s="2522"/>
      <c r="LE178" s="2522"/>
      <c r="LF178" s="2522"/>
      <c r="LG178" s="2522"/>
      <c r="LH178" s="2522"/>
      <c r="LI178" s="2522"/>
      <c r="LJ178" s="2522"/>
      <c r="LK178" s="2522"/>
      <c r="LL178" s="2522"/>
      <c r="LM178" s="2522"/>
      <c r="LN178" s="2522"/>
      <c r="LO178" s="2522"/>
      <c r="LP178" s="2522"/>
      <c r="LQ178" s="2522"/>
      <c r="LR178" s="2522"/>
      <c r="LS178" s="2522"/>
      <c r="LT178" s="2522"/>
      <c r="LU178" s="2522"/>
      <c r="LV178" s="2522"/>
      <c r="LW178" s="2522"/>
      <c r="LX178" s="2522"/>
      <c r="LY178" s="2522"/>
      <c r="LZ178" s="2522"/>
      <c r="MA178" s="2522"/>
      <c r="MB178" s="2522"/>
      <c r="MC178" s="2522"/>
      <c r="MD178" s="2522"/>
      <c r="ME178" s="2522"/>
      <c r="MF178" s="2522"/>
      <c r="MG178" s="2522"/>
      <c r="MH178" s="2522"/>
      <c r="MI178" s="2522"/>
      <c r="MJ178" s="2522"/>
      <c r="MK178" s="2522"/>
      <c r="ML178" s="2522"/>
      <c r="MM178" s="2522"/>
      <c r="MN178" s="2522"/>
      <c r="MO178" s="2522"/>
      <c r="MP178" s="2522"/>
      <c r="MQ178" s="2522"/>
      <c r="MR178" s="2522"/>
      <c r="MS178" s="2522"/>
      <c r="MT178" s="2522"/>
      <c r="MU178" s="2522"/>
      <c r="MV178" s="2522"/>
      <c r="MW178" s="2522"/>
      <c r="MX178" s="2522"/>
      <c r="MY178" s="2522"/>
      <c r="MZ178" s="2522"/>
      <c r="NA178" s="2522"/>
      <c r="NB178" s="2522"/>
      <c r="NC178" s="2522"/>
      <c r="ND178" s="2522"/>
      <c r="NE178" s="2522"/>
      <c r="NF178" s="2522"/>
      <c r="NG178" s="2522"/>
      <c r="NH178" s="2522"/>
      <c r="NI178" s="2522"/>
      <c r="NJ178" s="2522"/>
      <c r="NK178" s="2522"/>
      <c r="NL178" s="2522"/>
      <c r="NM178" s="2522"/>
      <c r="NN178" s="2522"/>
      <c r="NO178" s="2522"/>
      <c r="NP178" s="2522"/>
      <c r="NQ178" s="2522"/>
      <c r="NR178" s="2522"/>
      <c r="NS178" s="2522"/>
      <c r="NT178" s="2522"/>
      <c r="NU178" s="2522"/>
      <c r="NV178" s="2522"/>
      <c r="NW178" s="2522"/>
      <c r="NX178" s="2522"/>
      <c r="NY178" s="2522"/>
      <c r="NZ178" s="2522"/>
      <c r="OA178" s="2522"/>
      <c r="OB178" s="2522"/>
      <c r="OC178" s="2522"/>
      <c r="OD178" s="2522"/>
      <c r="OE178" s="2522"/>
      <c r="OF178" s="2522"/>
      <c r="OG178" s="2522"/>
      <c r="OH178" s="2522"/>
      <c r="OI178" s="2522"/>
      <c r="OJ178" s="2522"/>
      <c r="OK178" s="2522"/>
      <c r="OL178" s="2522"/>
      <c r="OM178" s="2522"/>
      <c r="ON178" s="2522"/>
      <c r="OO178" s="2522"/>
      <c r="OP178" s="2522"/>
      <c r="OQ178" s="2522"/>
      <c r="OR178" s="2522"/>
      <c r="OS178" s="2522"/>
      <c r="OT178" s="2522"/>
      <c r="OU178" s="2522"/>
      <c r="OV178" s="2522"/>
      <c r="OW178" s="2522"/>
      <c r="OX178" s="2522"/>
      <c r="OY178" s="2522"/>
      <c r="OZ178" s="2522"/>
      <c r="PA178" s="2522"/>
      <c r="PB178" s="2522"/>
      <c r="PC178" s="2522"/>
      <c r="PD178" s="2522"/>
      <c r="PE178" s="2522"/>
      <c r="PF178" s="2522"/>
      <c r="PG178" s="2522"/>
      <c r="PH178" s="2522"/>
      <c r="PI178" s="2522"/>
      <c r="PJ178" s="2522"/>
      <c r="PK178" s="2522"/>
      <c r="PL178" s="2522"/>
      <c r="PM178" s="2522"/>
      <c r="PN178" s="2522"/>
      <c r="PO178" s="2522"/>
      <c r="PP178" s="2522"/>
      <c r="PQ178" s="2522"/>
      <c r="PR178" s="2522"/>
      <c r="PS178" s="2522"/>
      <c r="PT178" s="2522"/>
      <c r="PU178" s="2522"/>
      <c r="PV178" s="2522"/>
      <c r="PW178" s="2522"/>
      <c r="PX178" s="2522"/>
      <c r="PY178" s="2522"/>
      <c r="PZ178" s="2522"/>
      <c r="QA178" s="2522"/>
      <c r="QB178" s="2522"/>
      <c r="QC178" s="2522"/>
      <c r="QD178" s="2522"/>
      <c r="QE178" s="2522"/>
      <c r="QF178" s="2522"/>
      <c r="QG178" s="2522"/>
      <c r="QH178" s="2522"/>
      <c r="QI178" s="2522"/>
      <c r="QJ178" s="2522"/>
      <c r="QK178" s="2522"/>
      <c r="QL178" s="2522"/>
      <c r="QM178" s="2522"/>
      <c r="QN178" s="2522"/>
      <c r="QO178" s="2522"/>
      <c r="QP178" s="2522"/>
      <c r="QQ178" s="2522"/>
      <c r="QR178" s="2522"/>
      <c r="QS178" s="2522"/>
      <c r="QT178" s="2522"/>
      <c r="QU178" s="2522"/>
      <c r="QV178" s="2522"/>
      <c r="QW178" s="2522"/>
      <c r="QX178" s="2522"/>
      <c r="QY178" s="2522"/>
      <c r="QZ178" s="2522"/>
      <c r="RA178" s="2522"/>
      <c r="RB178" s="2522"/>
      <c r="RC178" s="2522"/>
      <c r="RD178" s="2522"/>
      <c r="RE178" s="2522"/>
      <c r="RF178" s="2522"/>
      <c r="RG178" s="2522"/>
      <c r="RH178" s="2522"/>
      <c r="RI178" s="2522"/>
      <c r="RJ178" s="2522"/>
      <c r="RK178" s="2522"/>
      <c r="RL178" s="2522"/>
      <c r="RM178" s="2522"/>
      <c r="RN178" s="2522"/>
      <c r="RO178" s="2522"/>
      <c r="RP178" s="2522"/>
      <c r="RQ178" s="2522"/>
      <c r="RR178" s="2522"/>
      <c r="RS178" s="2522"/>
      <c r="RT178" s="2522"/>
      <c r="RU178" s="2522"/>
      <c r="RV178" s="2522"/>
      <c r="RW178" s="2522"/>
      <c r="RX178" s="2522"/>
      <c r="RY178" s="2522"/>
      <c r="RZ178" s="2522"/>
      <c r="SA178" s="2522"/>
      <c r="SB178" s="2522"/>
      <c r="SC178" s="2522"/>
      <c r="SD178" s="2522"/>
      <c r="SE178" s="2522"/>
      <c r="SF178" s="2522"/>
      <c r="SG178" s="2522"/>
      <c r="SH178" s="2522"/>
      <c r="SI178" s="2522"/>
      <c r="SJ178" s="2522"/>
      <c r="SK178" s="2522"/>
      <c r="SL178" s="2522"/>
      <c r="SM178" s="2522"/>
      <c r="SN178" s="2522"/>
      <c r="SO178" s="2522"/>
      <c r="SP178" s="2522"/>
      <c r="SQ178" s="2522"/>
      <c r="SR178" s="2522"/>
      <c r="SS178" s="2522"/>
      <c r="ST178" s="2522"/>
      <c r="SU178" s="2522"/>
      <c r="SV178" s="2522"/>
      <c r="SW178" s="2522"/>
      <c r="SX178" s="2522"/>
      <c r="SY178" s="2522"/>
      <c r="SZ178" s="2522"/>
      <c r="TA178" s="2522"/>
      <c r="TB178" s="2522"/>
      <c r="TC178" s="2522"/>
      <c r="TD178" s="2522"/>
      <c r="TE178" s="2522"/>
      <c r="TF178" s="2522"/>
      <c r="TG178" s="2522"/>
      <c r="TH178" s="2522"/>
      <c r="TI178" s="2522"/>
      <c r="TJ178" s="2522"/>
      <c r="TK178" s="2522"/>
      <c r="TL178" s="2522"/>
      <c r="TM178" s="2522"/>
      <c r="TN178" s="2522"/>
      <c r="TO178" s="2522"/>
      <c r="TP178" s="2522"/>
      <c r="TQ178" s="2522"/>
      <c r="TR178" s="2522"/>
      <c r="TS178" s="2522"/>
      <c r="TT178" s="2522"/>
      <c r="TU178" s="2522"/>
      <c r="TV178" s="2522"/>
      <c r="TW178" s="2522"/>
      <c r="TX178" s="2522"/>
      <c r="TY178" s="2522"/>
      <c r="TZ178" s="2522"/>
      <c r="UA178" s="2522"/>
      <c r="UB178" s="2522"/>
      <c r="UC178" s="2522"/>
      <c r="UD178" s="2522"/>
      <c r="UE178" s="2522"/>
      <c r="UF178" s="2522"/>
      <c r="UG178" s="2522"/>
      <c r="UH178" s="2522"/>
      <c r="UI178" s="2522"/>
      <c r="UJ178" s="2522"/>
      <c r="UK178" s="2522"/>
      <c r="UL178" s="2522"/>
      <c r="UM178" s="2522"/>
      <c r="UN178" s="2522"/>
      <c r="UO178" s="2522"/>
      <c r="UP178" s="2522"/>
      <c r="UQ178" s="2522"/>
      <c r="UR178" s="2522"/>
      <c r="US178" s="2522"/>
      <c r="UT178" s="2522"/>
      <c r="UU178" s="2522"/>
      <c r="UV178" s="2522"/>
      <c r="UW178" s="2522"/>
      <c r="UX178" s="2522"/>
      <c r="UY178" s="2522"/>
      <c r="UZ178" s="2522"/>
      <c r="VA178" s="2522"/>
      <c r="VB178" s="2522"/>
      <c r="VC178" s="2522"/>
      <c r="VD178" s="2522"/>
      <c r="VE178" s="2522"/>
      <c r="VF178" s="2522"/>
      <c r="VG178" s="2522"/>
      <c r="VH178" s="2522"/>
      <c r="VI178" s="2522"/>
      <c r="VJ178" s="2522"/>
      <c r="VK178" s="2522"/>
      <c r="VL178" s="2522"/>
      <c r="VM178" s="2522"/>
      <c r="VN178" s="2522"/>
      <c r="VO178" s="2522"/>
      <c r="VP178" s="2522"/>
      <c r="VQ178" s="2522"/>
      <c r="VR178" s="2522"/>
      <c r="VS178" s="2522"/>
      <c r="VT178" s="2522"/>
      <c r="VU178" s="2522"/>
      <c r="VV178" s="2522"/>
      <c r="VW178" s="2522"/>
      <c r="VX178" s="2522"/>
      <c r="VY178" s="2522"/>
      <c r="VZ178" s="2522"/>
      <c r="WA178" s="2522"/>
      <c r="WB178" s="2522"/>
      <c r="WC178" s="2522"/>
      <c r="WD178" s="2522"/>
      <c r="WE178" s="2522"/>
      <c r="WF178" s="2522"/>
      <c r="WG178" s="2522"/>
      <c r="WH178" s="2522"/>
      <c r="WI178" s="2522"/>
      <c r="WJ178" s="2522"/>
      <c r="WK178" s="2522"/>
      <c r="WL178" s="2522"/>
      <c r="WM178" s="2522"/>
      <c r="WN178" s="2522"/>
      <c r="WO178" s="2522"/>
      <c r="WP178" s="2522"/>
      <c r="WQ178" s="2522"/>
      <c r="WR178" s="2522"/>
      <c r="WS178" s="2522"/>
      <c r="WT178" s="2522"/>
      <c r="WU178" s="2522"/>
      <c r="WV178" s="2522"/>
      <c r="WW178" s="2522"/>
      <c r="WX178" s="2522"/>
      <c r="WY178" s="2522"/>
      <c r="WZ178" s="2522"/>
      <c r="XA178" s="2522"/>
      <c r="XB178" s="2522"/>
      <c r="XC178" s="2522"/>
      <c r="XD178" s="2522"/>
      <c r="XE178" s="2522"/>
      <c r="XF178" s="2522"/>
      <c r="XG178" s="2522"/>
      <c r="XH178" s="2522"/>
      <c r="XI178" s="2522"/>
      <c r="XJ178" s="2522"/>
      <c r="XK178" s="2522"/>
      <c r="XL178" s="2522"/>
      <c r="XM178" s="2522"/>
      <c r="XN178" s="2522"/>
      <c r="XO178" s="2522"/>
      <c r="XP178" s="2522"/>
      <c r="XQ178" s="2522"/>
      <c r="XR178" s="2522"/>
      <c r="XS178" s="2522"/>
      <c r="XT178" s="2522"/>
      <c r="XU178" s="2522"/>
      <c r="XV178" s="2522"/>
      <c r="XW178" s="2522"/>
      <c r="XX178" s="2522"/>
      <c r="XY178" s="2522"/>
      <c r="XZ178" s="2522"/>
      <c r="YA178" s="2522"/>
      <c r="YB178" s="2522"/>
      <c r="YC178" s="2522"/>
      <c r="YD178" s="2522"/>
      <c r="YE178" s="2522"/>
      <c r="YF178" s="2522"/>
      <c r="YG178" s="2522"/>
      <c r="YH178" s="2522"/>
      <c r="YI178" s="2522"/>
      <c r="YJ178" s="2522"/>
      <c r="YK178" s="2522"/>
      <c r="YL178" s="2522"/>
      <c r="YM178" s="2522"/>
      <c r="YN178" s="2522"/>
      <c r="YO178" s="2522"/>
      <c r="YP178" s="2522"/>
      <c r="YQ178" s="2522"/>
      <c r="YR178" s="2522"/>
      <c r="YS178" s="2522"/>
      <c r="YT178" s="2522"/>
      <c r="YU178" s="2522"/>
      <c r="YV178" s="2522"/>
      <c r="YW178" s="2522"/>
      <c r="YX178" s="2522"/>
      <c r="YY178" s="2522"/>
      <c r="YZ178" s="2522"/>
      <c r="ZA178" s="2522"/>
      <c r="ZB178" s="2522"/>
      <c r="ZC178" s="2522"/>
      <c r="ZD178" s="2522"/>
      <c r="ZE178" s="2522"/>
      <c r="ZF178" s="2522"/>
      <c r="ZG178" s="2522"/>
      <c r="ZH178" s="2522"/>
      <c r="ZI178" s="2522"/>
      <c r="ZJ178" s="2522"/>
      <c r="ZK178" s="2522"/>
      <c r="ZL178" s="2522"/>
      <c r="ZM178" s="2522"/>
      <c r="ZN178" s="2522"/>
      <c r="ZO178" s="2522"/>
      <c r="ZP178" s="2522"/>
      <c r="ZQ178" s="2522"/>
      <c r="ZR178" s="2522"/>
      <c r="ZS178" s="2522"/>
      <c r="ZT178" s="2522"/>
      <c r="ZU178" s="2522"/>
      <c r="ZV178" s="2522"/>
      <c r="ZW178" s="2522"/>
      <c r="ZX178" s="2522"/>
      <c r="ZY178" s="2522"/>
      <c r="ZZ178" s="2522"/>
      <c r="AAA178" s="2522"/>
      <c r="AAB178" s="2522"/>
      <c r="AAC178" s="2522"/>
      <c r="AAD178" s="2522"/>
      <c r="AAE178" s="2522"/>
      <c r="AAF178" s="2522"/>
      <c r="AAG178" s="2522"/>
      <c r="AAH178" s="2522"/>
      <c r="AAI178" s="2522"/>
      <c r="AAJ178" s="2522"/>
      <c r="AAK178" s="2522"/>
      <c r="AAL178" s="2522"/>
      <c r="AAM178" s="2522"/>
      <c r="AAN178" s="2522"/>
      <c r="AAO178" s="2522"/>
      <c r="AAP178" s="2522"/>
      <c r="AAQ178" s="2522"/>
      <c r="AAR178" s="2522"/>
      <c r="AAS178" s="2522"/>
      <c r="AAT178" s="2522"/>
      <c r="AAU178" s="2522"/>
      <c r="AAV178" s="2522"/>
      <c r="AAW178" s="2522"/>
      <c r="AAX178" s="2522"/>
      <c r="AAY178" s="2522"/>
      <c r="AAZ178" s="2522"/>
      <c r="ABA178" s="2522"/>
      <c r="ABB178" s="2522"/>
      <c r="ABC178" s="2522"/>
      <c r="ABD178" s="2522"/>
      <c r="ABE178" s="2522"/>
      <c r="ABF178" s="2522"/>
      <c r="ABG178" s="2522"/>
      <c r="ABH178" s="2522"/>
      <c r="ABI178" s="2522"/>
      <c r="ABJ178" s="2522"/>
      <c r="ABK178" s="2522"/>
      <c r="ABL178" s="2522"/>
      <c r="ABM178" s="2522"/>
      <c r="ABN178" s="2522"/>
      <c r="ABO178" s="2522"/>
      <c r="ABP178" s="2522"/>
      <c r="ABQ178" s="2522"/>
      <c r="ABR178" s="2522"/>
      <c r="ABS178" s="2522"/>
      <c r="ABT178" s="2522"/>
      <c r="ABU178" s="2522"/>
      <c r="ABV178" s="2522"/>
      <c r="ABW178" s="2522"/>
      <c r="ABX178" s="2522"/>
      <c r="ABY178" s="2522"/>
      <c r="ABZ178" s="2522"/>
      <c r="ACA178" s="2522"/>
      <c r="ACB178" s="2522"/>
      <c r="ACC178" s="2522"/>
      <c r="ACD178" s="2522"/>
      <c r="ACE178" s="2522"/>
      <c r="ACF178" s="2522"/>
      <c r="ACG178" s="2522"/>
      <c r="ACH178" s="2522"/>
      <c r="ACI178" s="2522"/>
      <c r="ACJ178" s="2522"/>
      <c r="ACK178" s="2522"/>
      <c r="ACL178" s="2522"/>
      <c r="ACM178" s="2522"/>
      <c r="ACN178" s="2522"/>
      <c r="ACO178" s="2522"/>
      <c r="ACP178" s="2522"/>
      <c r="ACQ178" s="2522"/>
      <c r="ACR178" s="2522"/>
      <c r="ACS178" s="2522"/>
      <c r="ACT178" s="2522"/>
      <c r="ACU178" s="2522"/>
      <c r="ACV178" s="2522"/>
      <c r="ACW178" s="2522"/>
      <c r="ACX178" s="2522"/>
      <c r="ACY178" s="2522"/>
      <c r="ACZ178" s="2522"/>
      <c r="ADA178" s="2522"/>
      <c r="ADB178" s="2522"/>
      <c r="ADC178" s="2522"/>
      <c r="ADD178" s="2522"/>
      <c r="ADE178" s="2522"/>
      <c r="ADF178" s="2522"/>
      <c r="ADG178" s="2522"/>
      <c r="ADH178" s="2522"/>
      <c r="ADI178" s="2522"/>
      <c r="ADJ178" s="2522"/>
      <c r="ADK178" s="2522"/>
      <c r="ADL178" s="2522"/>
      <c r="ADM178" s="2522"/>
      <c r="ADN178" s="2522"/>
      <c r="ADO178" s="2522"/>
      <c r="ADP178" s="2522"/>
      <c r="ADQ178" s="2522"/>
      <c r="ADR178" s="2522"/>
      <c r="ADS178" s="2522"/>
      <c r="ADT178" s="2522"/>
      <c r="ADU178" s="2522"/>
      <c r="ADV178" s="2522"/>
      <c r="ADW178" s="2522"/>
      <c r="ADX178" s="2522"/>
      <c r="ADY178" s="2522"/>
      <c r="ADZ178" s="2522"/>
      <c r="AEA178" s="2522"/>
      <c r="AEB178" s="2522"/>
      <c r="AEC178" s="2522"/>
      <c r="AED178" s="2522"/>
      <c r="AEE178" s="2522"/>
      <c r="AEF178" s="2522"/>
      <c r="AEG178" s="2522"/>
      <c r="AEH178" s="2522"/>
      <c r="AEI178" s="2522"/>
      <c r="AEJ178" s="2522"/>
      <c r="AEK178" s="2522"/>
      <c r="AEL178" s="2522"/>
      <c r="AEM178" s="2522"/>
      <c r="AEN178" s="2522"/>
      <c r="AEO178" s="2522"/>
      <c r="AEP178" s="2522"/>
      <c r="AEQ178" s="2522"/>
      <c r="AER178" s="2522"/>
      <c r="AES178" s="2522"/>
      <c r="AET178" s="2522"/>
      <c r="AEU178" s="2522"/>
      <c r="AEV178" s="2522"/>
      <c r="AEW178" s="2522"/>
      <c r="AEX178" s="2522"/>
      <c r="AEY178" s="2522"/>
      <c r="AEZ178" s="2522"/>
      <c r="AFA178" s="2522"/>
      <c r="AFB178" s="2522"/>
      <c r="AFC178" s="2522"/>
      <c r="AFD178" s="2522"/>
      <c r="AFE178" s="2522"/>
      <c r="AFF178" s="2522"/>
      <c r="AFG178" s="2522"/>
      <c r="AFH178" s="2522"/>
      <c r="AFI178" s="2522"/>
      <c r="AFJ178" s="2522"/>
      <c r="AFK178" s="2522"/>
      <c r="AFL178" s="2522"/>
      <c r="AFM178" s="2522"/>
      <c r="AFN178" s="2522"/>
      <c r="AFO178" s="2522"/>
      <c r="AFP178" s="2522"/>
      <c r="AFQ178" s="2522"/>
      <c r="AFR178" s="2522"/>
      <c r="AFS178" s="2522"/>
      <c r="AFT178" s="2522"/>
      <c r="AFU178" s="2522"/>
      <c r="AFV178" s="2522"/>
      <c r="AFW178" s="2522"/>
      <c r="AFX178" s="2522"/>
      <c r="AFY178" s="2522"/>
      <c r="AFZ178" s="2522"/>
      <c r="AGA178" s="2522"/>
      <c r="AGB178" s="2522"/>
      <c r="AGC178" s="2522"/>
      <c r="AGD178" s="2522"/>
      <c r="AGE178" s="2522"/>
      <c r="AGF178" s="2522"/>
      <c r="AGG178" s="2522"/>
      <c r="AGH178" s="2522"/>
      <c r="AGI178" s="2522"/>
      <c r="AGJ178" s="2522"/>
      <c r="AGK178" s="2522"/>
      <c r="AGL178" s="2522"/>
      <c r="AGM178" s="2522"/>
      <c r="AGN178" s="2522"/>
      <c r="AGO178" s="2522"/>
      <c r="AGP178" s="2522"/>
      <c r="AGQ178" s="2522"/>
      <c r="AGR178" s="2522"/>
      <c r="AGS178" s="2522"/>
      <c r="AGT178" s="2522"/>
      <c r="AGU178" s="2522"/>
      <c r="AGV178" s="2522"/>
      <c r="AGW178" s="2522"/>
      <c r="AGX178" s="2522"/>
      <c r="AGY178" s="2522"/>
      <c r="AGZ178" s="2522"/>
      <c r="AHA178" s="2522"/>
      <c r="AHB178" s="2522"/>
      <c r="AHC178" s="2522"/>
      <c r="AHD178" s="2522"/>
      <c r="AHE178" s="2522"/>
      <c r="AHF178" s="2522"/>
      <c r="AHG178" s="2522"/>
      <c r="AHH178" s="2522"/>
      <c r="AHI178" s="2522"/>
      <c r="AHJ178" s="2522"/>
      <c r="AHK178" s="2522"/>
      <c r="AHL178" s="2522"/>
      <c r="AHM178" s="2522"/>
      <c r="AHN178" s="2522"/>
      <c r="AHO178" s="2522"/>
      <c r="AHP178" s="2522"/>
      <c r="AHQ178" s="2522"/>
      <c r="AHR178" s="2522"/>
      <c r="AHS178" s="2522"/>
      <c r="AHT178" s="2522"/>
      <c r="AHU178" s="2522"/>
      <c r="AHV178" s="2522"/>
      <c r="AHW178" s="2522"/>
      <c r="AHX178" s="2522"/>
      <c r="AHY178" s="2522"/>
      <c r="AHZ178" s="2522"/>
      <c r="AIA178" s="2522"/>
      <c r="AIB178" s="2522"/>
      <c r="AIC178" s="2522"/>
      <c r="AID178" s="2522"/>
      <c r="AIE178" s="2522"/>
      <c r="AIF178" s="2522"/>
      <c r="AIG178" s="2522"/>
      <c r="AIH178" s="2522"/>
      <c r="AII178" s="2522"/>
      <c r="AIJ178" s="2522"/>
      <c r="AIK178" s="2522"/>
      <c r="AIL178" s="2522"/>
      <c r="AIM178" s="2522"/>
      <c r="AIN178" s="2522"/>
      <c r="AIO178" s="2522"/>
      <c r="AIP178" s="2522"/>
      <c r="AIQ178" s="2522"/>
      <c r="AIR178" s="2522"/>
      <c r="AIS178" s="2522"/>
      <c r="AIT178" s="2522"/>
      <c r="AIU178" s="2522"/>
      <c r="AIV178" s="2522"/>
      <c r="AIW178" s="2522"/>
      <c r="AIX178" s="2522"/>
      <c r="AIY178" s="2522"/>
      <c r="AIZ178" s="2522"/>
      <c r="AJA178" s="2522"/>
      <c r="AJB178" s="2522"/>
      <c r="AJC178" s="2522"/>
      <c r="AJD178" s="2522"/>
      <c r="AJE178" s="2522"/>
      <c r="AJF178" s="2522"/>
      <c r="AJG178" s="2522"/>
      <c r="AJH178" s="2522"/>
      <c r="AJI178" s="2522"/>
      <c r="AJJ178" s="2522"/>
      <c r="AJK178" s="2522"/>
      <c r="AJL178" s="2522"/>
      <c r="AJM178" s="2522"/>
      <c r="AJN178" s="2522"/>
      <c r="AJO178" s="2522"/>
      <c r="AJP178" s="2522"/>
      <c r="AJQ178" s="2522"/>
      <c r="AJR178" s="2522"/>
      <c r="AJS178" s="2522"/>
      <c r="AJT178" s="2522"/>
      <c r="AJU178" s="2522"/>
      <c r="AJV178" s="2522"/>
      <c r="AJW178" s="2522"/>
      <c r="AJX178" s="2522"/>
      <c r="AJY178" s="2522"/>
      <c r="AJZ178" s="2522"/>
      <c r="AKA178" s="2522"/>
      <c r="AKB178" s="2522"/>
      <c r="AKC178" s="2522"/>
      <c r="AKD178" s="2522"/>
      <c r="AKE178" s="2522"/>
      <c r="AKF178" s="2522"/>
      <c r="AKG178" s="2522"/>
      <c r="AKH178" s="2522"/>
      <c r="AKI178" s="2522"/>
      <c r="AKJ178" s="2522"/>
      <c r="AKK178" s="2522"/>
      <c r="AKL178" s="2522"/>
      <c r="AKM178" s="2522"/>
      <c r="AKN178" s="2522"/>
      <c r="AKO178" s="2522"/>
      <c r="AKP178" s="2522"/>
      <c r="AKQ178" s="2522"/>
      <c r="AKR178" s="2522"/>
      <c r="AKS178" s="2522"/>
      <c r="AKT178" s="2522"/>
      <c r="AKU178" s="2522"/>
      <c r="AKV178" s="2522"/>
      <c r="AKW178" s="2522"/>
      <c r="AKX178" s="2522"/>
      <c r="AKY178" s="2522"/>
      <c r="AKZ178" s="2522"/>
      <c r="ALA178" s="2522"/>
      <c r="ALB178" s="2522"/>
      <c r="ALC178" s="2522"/>
      <c r="ALD178" s="2522"/>
      <c r="ALE178" s="2522"/>
      <c r="ALF178" s="2522"/>
      <c r="ALG178" s="2522"/>
      <c r="ALH178" s="2522"/>
      <c r="ALI178" s="2522"/>
      <c r="ALJ178" s="2522"/>
      <c r="ALK178" s="2522"/>
      <c r="ALL178" s="2522"/>
      <c r="ALM178" s="2522"/>
      <c r="ALN178" s="2522"/>
      <c r="ALO178" s="2522"/>
      <c r="ALP178" s="2522"/>
      <c r="ALQ178" s="2522"/>
      <c r="ALR178" s="2522"/>
      <c r="ALS178" s="2522"/>
      <c r="ALT178" s="2522"/>
      <c r="ALU178" s="2522"/>
      <c r="ALV178" s="2522"/>
      <c r="ALW178" s="2522"/>
      <c r="ALX178" s="2522"/>
      <c r="ALY178" s="2522"/>
      <c r="ALZ178" s="2522"/>
      <c r="AMA178" s="2522"/>
      <c r="AMB178" s="2522"/>
      <c r="AMC178" s="2522"/>
      <c r="AMD178" s="2522"/>
      <c r="AME178" s="2522"/>
      <c r="AMF178" s="2522"/>
      <c r="AMG178" s="2522"/>
      <c r="AMH178" s="2522"/>
      <c r="AMI178" s="2522"/>
      <c r="AMJ178" s="2522"/>
      <c r="AMK178" s="2522"/>
      <c r="AML178" s="2522"/>
      <c r="AMM178" s="2522"/>
      <c r="AMN178" s="2522"/>
      <c r="AMO178" s="2522"/>
      <c r="AMP178" s="2522"/>
      <c r="AMQ178" s="2522"/>
      <c r="AMR178" s="2522"/>
      <c r="AMS178" s="2522"/>
      <c r="AMT178" s="2522"/>
      <c r="AMU178" s="2522"/>
      <c r="AMV178" s="2522"/>
      <c r="AMW178" s="2522"/>
      <c r="AMX178" s="2522"/>
      <c r="AMY178" s="2522"/>
      <c r="AMZ178" s="2522"/>
      <c r="ANA178" s="2522"/>
      <c r="ANB178" s="2522"/>
      <c r="ANC178" s="2522"/>
      <c r="AND178" s="2522"/>
      <c r="ANE178" s="2522"/>
      <c r="ANF178" s="2522"/>
      <c r="ANG178" s="2522"/>
      <c r="ANH178" s="2522"/>
      <c r="ANI178" s="2522"/>
      <c r="ANJ178" s="2522"/>
      <c r="ANK178" s="2522"/>
      <c r="ANL178" s="2522"/>
      <c r="ANM178" s="2522"/>
      <c r="ANN178" s="2522"/>
      <c r="ANO178" s="2522"/>
      <c r="ANP178" s="2522"/>
      <c r="ANQ178" s="2522"/>
      <c r="ANR178" s="2522"/>
      <c r="ANS178" s="2522"/>
      <c r="ANT178" s="2522"/>
      <c r="ANU178" s="2522"/>
      <c r="ANV178" s="2522"/>
      <c r="ANW178" s="2522"/>
      <c r="ANX178" s="2522"/>
      <c r="ANY178" s="2522"/>
      <c r="ANZ178" s="2522"/>
      <c r="AOA178" s="2522"/>
      <c r="AOB178" s="2522"/>
      <c r="AOC178" s="2522"/>
      <c r="AOD178" s="2522"/>
      <c r="AOE178" s="2522"/>
      <c r="AOF178" s="2522"/>
      <c r="AOG178" s="2522"/>
      <c r="AOH178" s="2522"/>
      <c r="AOI178" s="2522"/>
      <c r="AOJ178" s="2522"/>
      <c r="AOK178" s="2522"/>
      <c r="AOL178" s="2522"/>
      <c r="AOM178" s="2522"/>
      <c r="AON178" s="2522"/>
      <c r="AOO178" s="2522"/>
      <c r="AOP178" s="2522"/>
      <c r="AOQ178" s="2522"/>
      <c r="AOR178" s="2522"/>
      <c r="AOS178" s="2522"/>
      <c r="AOT178" s="2522"/>
      <c r="AOU178" s="2522"/>
      <c r="AOV178" s="2522"/>
      <c r="AOW178" s="2522"/>
      <c r="AOX178" s="2522"/>
      <c r="AOY178" s="2522"/>
      <c r="AOZ178" s="2522"/>
      <c r="APA178" s="2522"/>
      <c r="APB178" s="2522"/>
      <c r="APC178" s="2522"/>
      <c r="APD178" s="2522"/>
      <c r="APE178" s="2522"/>
      <c r="APF178" s="2522"/>
      <c r="APG178" s="2522"/>
      <c r="APH178" s="2522"/>
      <c r="API178" s="2522"/>
      <c r="APJ178" s="2522"/>
      <c r="APK178" s="2522"/>
      <c r="APL178" s="2522"/>
      <c r="APM178" s="2522"/>
      <c r="APN178" s="2522"/>
      <c r="APO178" s="2522"/>
      <c r="APP178" s="2522"/>
      <c r="APQ178" s="2522"/>
      <c r="APR178" s="2522"/>
      <c r="APS178" s="2522"/>
      <c r="APT178" s="2522"/>
      <c r="APU178" s="2522"/>
      <c r="APV178" s="2522"/>
      <c r="APW178" s="2522"/>
      <c r="APX178" s="2522"/>
      <c r="APY178" s="2522"/>
      <c r="APZ178" s="2522"/>
      <c r="AQA178" s="2522"/>
      <c r="AQB178" s="2522"/>
      <c r="AQC178" s="2522"/>
      <c r="AQD178" s="2522"/>
      <c r="AQE178" s="2522"/>
      <c r="AQF178" s="2522"/>
      <c r="AQG178" s="2522"/>
      <c r="AQH178" s="2522"/>
      <c r="AQI178" s="2522"/>
      <c r="AQJ178" s="2522"/>
      <c r="AQK178" s="2522"/>
      <c r="AQL178" s="2522"/>
      <c r="AQM178" s="2522"/>
      <c r="AQN178" s="2522"/>
      <c r="AQO178" s="2522"/>
      <c r="AQP178" s="2522"/>
      <c r="AQQ178" s="2522"/>
      <c r="AQR178" s="2522"/>
      <c r="AQS178" s="2522"/>
      <c r="AQT178" s="2522"/>
      <c r="AQU178" s="2522"/>
      <c r="AQV178" s="2522"/>
      <c r="AQW178" s="2522"/>
      <c r="AQX178" s="2522"/>
      <c r="AQY178" s="2522"/>
      <c r="AQZ178" s="2522"/>
      <c r="ARA178" s="2522"/>
      <c r="ARB178" s="2522"/>
      <c r="ARC178" s="2522"/>
      <c r="ARD178" s="2522"/>
      <c r="ARE178" s="2522"/>
      <c r="ARF178" s="2522"/>
      <c r="ARG178" s="2522"/>
      <c r="ARH178" s="2522"/>
      <c r="ARI178" s="2522"/>
      <c r="ARJ178" s="2522"/>
      <c r="ARK178" s="2522"/>
      <c r="ARL178" s="2522"/>
      <c r="ARM178" s="2522"/>
      <c r="ARN178" s="2522"/>
      <c r="ARO178" s="2522"/>
      <c r="ARP178" s="2522"/>
      <c r="ARQ178" s="2522"/>
      <c r="ARR178" s="2522"/>
      <c r="ARS178" s="2522"/>
      <c r="ART178" s="2522"/>
      <c r="ARU178" s="2522"/>
      <c r="ARV178" s="2522"/>
      <c r="ARW178" s="2522"/>
      <c r="ARX178" s="2522"/>
      <c r="ARY178" s="2522"/>
      <c r="ARZ178" s="2522"/>
      <c r="ASA178" s="2522"/>
      <c r="ASB178" s="2522"/>
      <c r="ASC178" s="2522"/>
      <c r="ASD178" s="2522"/>
      <c r="ASE178" s="2522"/>
      <c r="ASF178" s="2522"/>
      <c r="ASG178" s="2522"/>
      <c r="ASH178" s="2522"/>
      <c r="ASI178" s="2522"/>
      <c r="ASJ178" s="2522"/>
      <c r="ASK178" s="2522"/>
      <c r="ASL178" s="2522"/>
      <c r="ASM178" s="2522"/>
      <c r="ASN178" s="2522"/>
      <c r="ASO178" s="2522"/>
      <c r="ASP178" s="2522"/>
      <c r="ASQ178" s="2522"/>
      <c r="ASR178" s="2522"/>
      <c r="ASS178" s="2522"/>
      <c r="AST178" s="2522"/>
      <c r="ASU178" s="2522"/>
      <c r="ASV178" s="2522"/>
      <c r="ASW178" s="2522"/>
      <c r="ASX178" s="2522"/>
      <c r="ASY178" s="2522"/>
      <c r="ASZ178" s="2522"/>
      <c r="ATA178" s="2522"/>
      <c r="ATB178" s="2522"/>
      <c r="ATC178" s="2522"/>
      <c r="ATD178" s="2522"/>
      <c r="ATE178" s="2522"/>
      <c r="ATF178" s="2522"/>
      <c r="ATG178" s="2522"/>
      <c r="ATH178" s="2522"/>
      <c r="ATI178" s="2522"/>
      <c r="ATJ178" s="2522"/>
      <c r="ATK178" s="2522"/>
      <c r="ATL178" s="2522"/>
      <c r="ATM178" s="2522"/>
      <c r="ATN178" s="2522"/>
      <c r="ATO178" s="2522"/>
      <c r="ATP178" s="2522"/>
      <c r="ATQ178" s="2522"/>
      <c r="ATR178" s="2522"/>
      <c r="ATS178" s="2522"/>
      <c r="ATT178" s="2522"/>
      <c r="ATU178" s="2522"/>
      <c r="ATV178" s="2522"/>
      <c r="ATW178" s="2522"/>
      <c r="ATX178" s="2522"/>
      <c r="ATY178" s="2522"/>
      <c r="ATZ178" s="2522"/>
      <c r="AUA178" s="2522"/>
      <c r="AUB178" s="2522"/>
      <c r="AUC178" s="2522"/>
      <c r="AUD178" s="2522"/>
      <c r="AUE178" s="2522"/>
      <c r="AUF178" s="2522"/>
      <c r="AUG178" s="2522"/>
      <c r="AUH178" s="2522"/>
      <c r="AUI178" s="2522"/>
      <c r="AUJ178" s="2522"/>
      <c r="AUK178" s="2522"/>
      <c r="AUL178" s="2522"/>
      <c r="AUM178" s="2522"/>
      <c r="AUN178" s="2522"/>
      <c r="AUO178" s="2522"/>
      <c r="AUP178" s="2522"/>
      <c r="AUQ178" s="2522"/>
      <c r="AUR178" s="2522"/>
      <c r="AUS178" s="2522"/>
      <c r="AUT178" s="2522"/>
      <c r="AUU178" s="2522"/>
      <c r="AUV178" s="2522"/>
      <c r="AUW178" s="2522"/>
      <c r="AUX178" s="2522"/>
      <c r="AUY178" s="2522"/>
      <c r="AUZ178" s="2522"/>
      <c r="AVA178" s="2522"/>
      <c r="AVB178" s="2522"/>
      <c r="AVC178" s="2522"/>
      <c r="AVD178" s="2522"/>
      <c r="AVE178" s="2522"/>
      <c r="AVF178" s="2522"/>
      <c r="AVG178" s="2522"/>
      <c r="AVH178" s="2522"/>
      <c r="AVI178" s="2522"/>
      <c r="AVJ178" s="2522"/>
      <c r="AVK178" s="2522"/>
      <c r="AVL178" s="2522"/>
      <c r="AVM178" s="2522"/>
      <c r="AVN178" s="2522"/>
      <c r="AVO178" s="2522"/>
      <c r="AVP178" s="2522"/>
      <c r="AVQ178" s="2522"/>
      <c r="AVR178" s="2522"/>
      <c r="AVS178" s="2522"/>
      <c r="AVT178" s="2522"/>
      <c r="AVU178" s="2522"/>
      <c r="AVV178" s="2522"/>
      <c r="AVW178" s="2522"/>
      <c r="AVX178" s="2522"/>
      <c r="AVY178" s="2522"/>
      <c r="AVZ178" s="2522"/>
      <c r="AWA178" s="2522"/>
      <c r="AWB178" s="2522"/>
      <c r="AWC178" s="2522"/>
      <c r="AWD178" s="2522"/>
      <c r="AWE178" s="2522"/>
      <c r="AWF178" s="2522"/>
      <c r="AWG178" s="2522"/>
      <c r="AWH178" s="2522"/>
      <c r="AWI178" s="2522"/>
      <c r="AWJ178" s="2522"/>
      <c r="AWK178" s="2522"/>
      <c r="AWL178" s="2522"/>
      <c r="AWM178" s="2522"/>
      <c r="AWN178" s="2522"/>
      <c r="AWO178" s="2522"/>
      <c r="AWP178" s="2522"/>
      <c r="AWQ178" s="2522"/>
      <c r="AWR178" s="2522"/>
      <c r="AWS178" s="2522"/>
      <c r="AWT178" s="2522"/>
      <c r="AWU178" s="2522"/>
      <c r="AWV178" s="2522"/>
      <c r="AWW178" s="2522"/>
      <c r="AWX178" s="2522"/>
      <c r="AWY178" s="2522"/>
      <c r="AWZ178" s="2522"/>
      <c r="AXA178" s="2522"/>
      <c r="AXB178" s="2522"/>
      <c r="AXC178" s="2522"/>
      <c r="AXD178" s="2522"/>
      <c r="AXE178" s="2522"/>
      <c r="AXF178" s="2522"/>
      <c r="AXG178" s="2522"/>
      <c r="AXH178" s="2522"/>
      <c r="AXI178" s="2522"/>
      <c r="AXJ178" s="2522"/>
      <c r="AXK178" s="2522"/>
      <c r="AXL178" s="2522"/>
      <c r="AXM178" s="2522"/>
      <c r="AXN178" s="2522"/>
      <c r="AXO178" s="2522"/>
      <c r="AXP178" s="2522"/>
      <c r="AXQ178" s="2522"/>
      <c r="AXR178" s="2522"/>
      <c r="AXS178" s="2522"/>
      <c r="AXT178" s="2522"/>
      <c r="AXU178" s="2522"/>
      <c r="AXV178" s="2522"/>
      <c r="AXW178" s="2522"/>
      <c r="AXX178" s="2522"/>
      <c r="AXY178" s="2522"/>
      <c r="AXZ178" s="2522"/>
      <c r="AYA178" s="2522"/>
      <c r="AYB178" s="2522"/>
      <c r="AYC178" s="2522"/>
      <c r="AYD178" s="2522"/>
      <c r="AYE178" s="2522"/>
      <c r="AYF178" s="2522"/>
      <c r="AYG178" s="2522"/>
      <c r="AYH178" s="2522"/>
      <c r="AYI178" s="2522"/>
      <c r="AYJ178" s="2522"/>
      <c r="AYK178" s="2522"/>
      <c r="AYL178" s="2522"/>
      <c r="AYM178" s="2522"/>
      <c r="AYN178" s="2522"/>
      <c r="AYO178" s="2522"/>
      <c r="AYP178" s="2522"/>
      <c r="AYQ178" s="2522"/>
      <c r="AYR178" s="2522"/>
      <c r="AYS178" s="2522"/>
      <c r="AYT178" s="2522"/>
      <c r="AYU178" s="2522"/>
      <c r="AYV178" s="2522"/>
      <c r="AYW178" s="2522"/>
      <c r="AYX178" s="2522"/>
      <c r="AYY178" s="2522"/>
      <c r="AYZ178" s="2522"/>
      <c r="AZA178" s="2522"/>
      <c r="AZB178" s="2522"/>
      <c r="AZC178" s="2522"/>
      <c r="AZD178" s="2522"/>
      <c r="AZE178" s="2522"/>
      <c r="AZF178" s="2522"/>
      <c r="AZG178" s="2522"/>
      <c r="AZH178" s="2522"/>
      <c r="AZI178" s="2522"/>
      <c r="AZJ178" s="2522"/>
      <c r="AZK178" s="2522"/>
      <c r="AZL178" s="2522"/>
      <c r="AZM178" s="2522"/>
      <c r="AZN178" s="2522"/>
      <c r="AZO178" s="2522"/>
      <c r="AZP178" s="2522"/>
      <c r="AZQ178" s="2522"/>
      <c r="AZR178" s="2522"/>
      <c r="AZS178" s="2522"/>
      <c r="AZT178" s="2522"/>
      <c r="AZU178" s="2522"/>
      <c r="AZV178" s="2522"/>
      <c r="AZW178" s="2522"/>
      <c r="AZX178" s="2522"/>
      <c r="AZY178" s="2522"/>
      <c r="AZZ178" s="2522"/>
      <c r="BAA178" s="2522"/>
      <c r="BAB178" s="2522"/>
      <c r="BAC178" s="2522"/>
      <c r="BAD178" s="2522"/>
      <c r="BAE178" s="2522"/>
      <c r="BAF178" s="2522"/>
      <c r="BAG178" s="2522"/>
      <c r="BAH178" s="2522"/>
      <c r="BAI178" s="2522"/>
      <c r="BAJ178" s="2522"/>
      <c r="BAK178" s="2522"/>
      <c r="BAL178" s="2522"/>
      <c r="BAM178" s="2522"/>
      <c r="BAN178" s="2522"/>
      <c r="BAO178" s="2522"/>
      <c r="BAP178" s="2522"/>
      <c r="BAQ178" s="2522"/>
      <c r="BAR178" s="2522"/>
      <c r="BAS178" s="2522"/>
      <c r="BAT178" s="2522"/>
      <c r="BAU178" s="2522"/>
      <c r="BAV178" s="2522"/>
      <c r="BAW178" s="2522"/>
      <c r="BAX178" s="2522"/>
      <c r="BAY178" s="2522"/>
      <c r="BAZ178" s="2522"/>
      <c r="BBA178" s="2522"/>
      <c r="BBB178" s="2522"/>
      <c r="BBC178" s="2522"/>
      <c r="BBD178" s="2522"/>
      <c r="BBE178" s="2522"/>
      <c r="BBF178" s="2522"/>
      <c r="BBG178" s="2522"/>
      <c r="BBH178" s="2522"/>
      <c r="BBI178" s="2522"/>
      <c r="BBJ178" s="2522"/>
      <c r="BBK178" s="2522"/>
      <c r="BBL178" s="2522"/>
      <c r="BBM178" s="2522"/>
      <c r="BBN178" s="2522"/>
      <c r="BBO178" s="2522"/>
      <c r="BBP178" s="2522"/>
      <c r="BBQ178" s="2522"/>
      <c r="BBR178" s="2522"/>
      <c r="BBS178" s="2522"/>
      <c r="BBT178" s="2522"/>
      <c r="BBU178" s="2522"/>
      <c r="BBV178" s="2522"/>
      <c r="BBW178" s="2522"/>
      <c r="BBX178" s="2522"/>
      <c r="BBY178" s="2522"/>
      <c r="BBZ178" s="2522"/>
      <c r="BCA178" s="2522"/>
      <c r="BCB178" s="2522"/>
      <c r="BCC178" s="2522"/>
      <c r="BCD178" s="2522"/>
      <c r="BCE178" s="2522"/>
      <c r="BCF178" s="2522"/>
      <c r="BCG178" s="2522"/>
      <c r="BCH178" s="2522"/>
      <c r="BCI178" s="2522"/>
      <c r="BCJ178" s="2522"/>
      <c r="BCK178" s="2522"/>
      <c r="BCL178" s="2522"/>
      <c r="BCM178" s="2522"/>
      <c r="BCN178" s="2522"/>
      <c r="BCO178" s="2522"/>
      <c r="BCP178" s="2522"/>
      <c r="BCQ178" s="2522"/>
      <c r="BCR178" s="2522"/>
      <c r="BCS178" s="2522"/>
      <c r="BCT178" s="2522"/>
      <c r="BCU178" s="2522"/>
      <c r="BCV178" s="2522"/>
      <c r="BCW178" s="2522"/>
      <c r="BCX178" s="2522"/>
      <c r="BCY178" s="2522"/>
      <c r="BCZ178" s="2522"/>
      <c r="BDA178" s="2522"/>
      <c r="BDB178" s="2522"/>
      <c r="BDC178" s="2522"/>
      <c r="BDD178" s="2522"/>
      <c r="BDE178" s="2522"/>
      <c r="BDF178" s="2522"/>
      <c r="BDG178" s="2522"/>
      <c r="BDH178" s="2522"/>
      <c r="BDI178" s="2522"/>
      <c r="BDJ178" s="2522"/>
      <c r="BDK178" s="2522"/>
      <c r="BDL178" s="2522"/>
      <c r="BDM178" s="2522"/>
      <c r="BDN178" s="2522"/>
      <c r="BDO178" s="2522"/>
      <c r="BDP178" s="2522"/>
      <c r="BDQ178" s="2522"/>
      <c r="BDR178" s="2522"/>
      <c r="BDS178" s="2522"/>
      <c r="BDT178" s="2522"/>
      <c r="BDU178" s="2522"/>
      <c r="BDV178" s="2522"/>
      <c r="BDW178" s="2522"/>
      <c r="BDX178" s="2522"/>
      <c r="BDY178" s="2522"/>
      <c r="BDZ178" s="2522"/>
      <c r="BEA178" s="2522"/>
      <c r="BEB178" s="2522"/>
      <c r="BEC178" s="2522"/>
      <c r="BED178" s="2522"/>
      <c r="BEE178" s="2522"/>
      <c r="BEF178" s="2522"/>
      <c r="BEG178" s="2522"/>
      <c r="BEH178" s="2522"/>
      <c r="BEI178" s="2522"/>
      <c r="BEJ178" s="2522"/>
      <c r="BEK178" s="2522"/>
      <c r="BEL178" s="2522"/>
      <c r="BEM178" s="2522"/>
      <c r="BEN178" s="2522"/>
      <c r="BEO178" s="2522"/>
      <c r="BEP178" s="2522"/>
      <c r="BEQ178" s="2522"/>
      <c r="BER178" s="2522"/>
      <c r="BES178" s="2522"/>
      <c r="BET178" s="2522"/>
      <c r="BEU178" s="2522"/>
      <c r="BEV178" s="2522"/>
      <c r="BEW178" s="2522"/>
      <c r="BEX178" s="2522"/>
      <c r="BEY178" s="2522"/>
      <c r="BEZ178" s="2522"/>
      <c r="BFA178" s="2522"/>
      <c r="BFB178" s="2522"/>
      <c r="BFC178" s="2522"/>
      <c r="BFD178" s="2522"/>
      <c r="BFE178" s="2522"/>
      <c r="BFF178" s="2522"/>
      <c r="BFG178" s="2522"/>
      <c r="BFH178" s="2522"/>
      <c r="BFI178" s="2522"/>
      <c r="BFJ178" s="2522"/>
      <c r="BFK178" s="2522"/>
      <c r="BFL178" s="2522"/>
      <c r="BFM178" s="2522"/>
      <c r="BFN178" s="2522"/>
      <c r="BFO178" s="2522"/>
      <c r="BFP178" s="2522"/>
      <c r="BFQ178" s="2522"/>
      <c r="BFR178" s="2522"/>
      <c r="BFS178" s="2522"/>
      <c r="BFT178" s="2522"/>
      <c r="BFU178" s="2522"/>
      <c r="BFV178" s="2522"/>
      <c r="BFW178" s="2522"/>
      <c r="BFX178" s="2522"/>
      <c r="BFY178" s="2522"/>
      <c r="BFZ178" s="2522"/>
      <c r="BGA178" s="2522"/>
      <c r="BGB178" s="2522"/>
      <c r="BGC178" s="2522"/>
      <c r="BGD178" s="2522"/>
      <c r="BGE178" s="2522"/>
      <c r="BGF178" s="2522"/>
      <c r="BGG178" s="2522"/>
      <c r="BGH178" s="2522"/>
      <c r="BGI178" s="2522"/>
      <c r="BGJ178" s="2522"/>
      <c r="BGK178" s="2522"/>
      <c r="BGL178" s="2522"/>
      <c r="BGM178" s="2522"/>
      <c r="BGN178" s="2522"/>
      <c r="BGO178" s="2522"/>
      <c r="BGP178" s="2522"/>
      <c r="BGQ178" s="2522"/>
      <c r="BGR178" s="2522"/>
      <c r="BGS178" s="2522"/>
      <c r="BGT178" s="2522"/>
      <c r="BGU178" s="2522"/>
      <c r="BGV178" s="2522"/>
      <c r="BGW178" s="2522"/>
      <c r="BGX178" s="2522"/>
      <c r="BGY178" s="2522"/>
      <c r="BGZ178" s="2522"/>
      <c r="BHA178" s="2522"/>
      <c r="BHB178" s="2522"/>
      <c r="BHC178" s="2522"/>
      <c r="BHD178" s="2522"/>
      <c r="BHE178" s="2522"/>
      <c r="BHF178" s="2522"/>
      <c r="BHG178" s="2522"/>
      <c r="BHH178" s="2522"/>
      <c r="BHI178" s="2522"/>
      <c r="BHJ178" s="2522"/>
      <c r="BHK178" s="2522"/>
      <c r="BHL178" s="2522"/>
      <c r="BHM178" s="2522"/>
      <c r="BHN178" s="2522"/>
      <c r="BHO178" s="2522"/>
      <c r="BHP178" s="2522"/>
      <c r="BHQ178" s="2522"/>
      <c r="BHR178" s="2522"/>
      <c r="BHS178" s="2522"/>
      <c r="BHT178" s="2522"/>
      <c r="BHU178" s="2522"/>
      <c r="BHV178" s="2522"/>
      <c r="BHW178" s="2522"/>
      <c r="BHX178" s="2522"/>
      <c r="BHY178" s="2522"/>
      <c r="BHZ178" s="2522"/>
      <c r="BIA178" s="2522"/>
      <c r="BIB178" s="2522"/>
      <c r="BIC178" s="2522"/>
      <c r="BID178" s="2522"/>
      <c r="BIE178" s="2522"/>
      <c r="BIF178" s="2522"/>
      <c r="BIG178" s="2522"/>
      <c r="BIH178" s="2522"/>
      <c r="BII178" s="2522"/>
      <c r="BIJ178" s="2522"/>
      <c r="BIK178" s="2522"/>
      <c r="BIL178" s="2522"/>
      <c r="BIM178" s="2522"/>
      <c r="BIN178" s="2522"/>
      <c r="BIO178" s="2522"/>
      <c r="BIP178" s="2522"/>
      <c r="BIQ178" s="2522"/>
      <c r="BIR178" s="2522"/>
      <c r="BIS178" s="2522"/>
      <c r="BIT178" s="2522"/>
      <c r="BIU178" s="2522"/>
      <c r="BIV178" s="2522"/>
      <c r="BIW178" s="2522"/>
      <c r="BIX178" s="2522"/>
      <c r="BIY178" s="2522"/>
      <c r="BIZ178" s="2522"/>
      <c r="BJA178" s="2522"/>
      <c r="BJB178" s="2522"/>
      <c r="BJC178" s="2522"/>
      <c r="BJD178" s="2522"/>
      <c r="BJE178" s="2522"/>
      <c r="BJF178" s="2522"/>
      <c r="BJG178" s="2522"/>
      <c r="BJH178" s="2522"/>
      <c r="BJI178" s="2522"/>
      <c r="BJJ178" s="2522"/>
      <c r="BJK178" s="2522"/>
      <c r="BJL178" s="2522"/>
      <c r="BJM178" s="2522"/>
      <c r="BJN178" s="2522"/>
      <c r="BJO178" s="2522"/>
      <c r="BJP178" s="2522"/>
      <c r="BJQ178" s="2522"/>
      <c r="BJR178" s="2522"/>
      <c r="BJS178" s="2522"/>
      <c r="BJT178" s="2522"/>
      <c r="BJU178" s="2522"/>
      <c r="BJV178" s="2522"/>
      <c r="BJW178" s="2522"/>
      <c r="BJX178" s="2522"/>
      <c r="BJY178" s="2522"/>
      <c r="BJZ178" s="2522"/>
      <c r="BKA178" s="2522"/>
      <c r="BKB178" s="2522"/>
      <c r="BKC178" s="2522"/>
      <c r="BKD178" s="2522"/>
      <c r="BKE178" s="2522"/>
      <c r="BKF178" s="2522"/>
      <c r="BKG178" s="2522"/>
      <c r="BKH178" s="2522"/>
      <c r="BKI178" s="2522"/>
      <c r="BKJ178" s="2522"/>
      <c r="BKK178" s="2522"/>
      <c r="BKL178" s="2522"/>
      <c r="BKM178" s="2522"/>
      <c r="BKN178" s="2522"/>
      <c r="BKO178" s="2522"/>
      <c r="BKP178" s="2522"/>
      <c r="BKQ178" s="2522"/>
      <c r="BKR178" s="2522"/>
      <c r="BKS178" s="2522"/>
      <c r="BKT178" s="2522"/>
      <c r="BKU178" s="2522"/>
      <c r="BKV178" s="2522"/>
      <c r="BKW178" s="2522"/>
      <c r="BKX178" s="2522"/>
      <c r="BKY178" s="2522"/>
      <c r="BKZ178" s="2522"/>
      <c r="BLA178" s="2522"/>
      <c r="BLB178" s="2522"/>
      <c r="BLC178" s="2522"/>
      <c r="BLD178" s="2522"/>
      <c r="BLE178" s="2522"/>
      <c r="BLF178" s="2522"/>
      <c r="BLG178" s="2522"/>
      <c r="BLH178" s="2522"/>
      <c r="BLI178" s="2522"/>
      <c r="BLJ178" s="2522"/>
      <c r="BLK178" s="2522"/>
      <c r="BLL178" s="2522"/>
      <c r="BLM178" s="2522"/>
      <c r="BLN178" s="2522"/>
      <c r="BLO178" s="2522"/>
      <c r="BLP178" s="2522"/>
      <c r="BLQ178" s="2522"/>
      <c r="BLR178" s="2522"/>
      <c r="BLS178" s="2522"/>
      <c r="BLT178" s="2522"/>
      <c r="BLU178" s="2522"/>
      <c r="BLV178" s="2522"/>
      <c r="BLW178" s="2522"/>
      <c r="BLX178" s="2522"/>
      <c r="BLY178" s="2522"/>
      <c r="BLZ178" s="2522"/>
      <c r="BMA178" s="2522"/>
      <c r="BMB178" s="2522"/>
      <c r="BMC178" s="2522"/>
      <c r="BMD178" s="2522"/>
      <c r="BME178" s="2522"/>
      <c r="BMF178" s="2522"/>
      <c r="BMG178" s="2522"/>
      <c r="BMH178" s="2522"/>
      <c r="BMI178" s="2522"/>
      <c r="BMJ178" s="2522"/>
      <c r="BMK178" s="2522"/>
      <c r="BML178" s="2522"/>
      <c r="BMM178" s="2522"/>
      <c r="BMN178" s="2522"/>
      <c r="BMO178" s="2522"/>
      <c r="BMP178" s="2522"/>
      <c r="BMQ178" s="2522"/>
      <c r="BMR178" s="2522"/>
      <c r="BMS178" s="2522"/>
      <c r="BMT178" s="2522"/>
      <c r="BMU178" s="2522"/>
      <c r="BMV178" s="2522"/>
      <c r="BMW178" s="2522"/>
      <c r="BMX178" s="2522"/>
      <c r="BMY178" s="2522"/>
      <c r="BMZ178" s="2522"/>
      <c r="BNA178" s="2522"/>
      <c r="BNB178" s="2522"/>
      <c r="BNC178" s="2522"/>
      <c r="BND178" s="2522"/>
      <c r="BNE178" s="2522"/>
      <c r="BNF178" s="2522"/>
      <c r="BNG178" s="2522"/>
      <c r="BNH178" s="2522"/>
      <c r="BNI178" s="2522"/>
      <c r="BNJ178" s="2522"/>
      <c r="BNK178" s="2522"/>
      <c r="BNL178" s="2522"/>
      <c r="BNM178" s="2522"/>
      <c r="BNN178" s="2522"/>
      <c r="BNO178" s="2522"/>
      <c r="BNP178" s="2522"/>
      <c r="BNQ178" s="2522"/>
      <c r="BNR178" s="2522"/>
      <c r="BNS178" s="2522"/>
      <c r="BNT178" s="2522"/>
      <c r="BNU178" s="2522"/>
      <c r="BNV178" s="2522"/>
      <c r="BNW178" s="2522"/>
      <c r="BNX178" s="2522"/>
      <c r="BNY178" s="2522"/>
      <c r="BNZ178" s="2522"/>
      <c r="BOA178" s="2522"/>
      <c r="BOB178" s="2522"/>
      <c r="BOC178" s="2522"/>
      <c r="BOD178" s="2522"/>
      <c r="BOE178" s="2522"/>
      <c r="BOF178" s="2522"/>
      <c r="BOG178" s="2522"/>
      <c r="BOH178" s="2522"/>
      <c r="BOI178" s="2522"/>
      <c r="BOJ178" s="2522"/>
      <c r="BOK178" s="2522"/>
      <c r="BOL178" s="2522"/>
      <c r="BOM178" s="2522"/>
      <c r="BON178" s="2522"/>
      <c r="BOO178" s="2522"/>
      <c r="BOP178" s="2522"/>
      <c r="BOQ178" s="2522"/>
      <c r="BOR178" s="2522"/>
      <c r="BOS178" s="2522"/>
      <c r="BOT178" s="2522"/>
      <c r="BOU178" s="2522"/>
      <c r="BOV178" s="2522"/>
      <c r="BOW178" s="2522"/>
      <c r="BOX178" s="2522"/>
      <c r="BOY178" s="2522"/>
      <c r="BOZ178" s="2522"/>
      <c r="BPA178" s="2522"/>
      <c r="BPB178" s="2522"/>
      <c r="BPC178" s="2522"/>
      <c r="BPD178" s="2522"/>
      <c r="BPE178" s="2522"/>
      <c r="BPF178" s="2522"/>
      <c r="BPG178" s="2522"/>
      <c r="BPH178" s="2522"/>
      <c r="BPI178" s="2522"/>
      <c r="BPJ178" s="2522"/>
      <c r="BPK178" s="2522"/>
      <c r="BPL178" s="2522"/>
      <c r="BPM178" s="2522"/>
      <c r="BPN178" s="2522"/>
      <c r="BPO178" s="2522"/>
      <c r="BPP178" s="2522"/>
      <c r="BPQ178" s="2522"/>
      <c r="BPR178" s="2522"/>
      <c r="BPS178" s="2522"/>
      <c r="BPT178" s="2522"/>
      <c r="BPU178" s="2522"/>
      <c r="BPV178" s="2522"/>
      <c r="BPW178" s="2522"/>
      <c r="BPX178" s="2522"/>
      <c r="BPY178" s="2522"/>
      <c r="BPZ178" s="2522"/>
      <c r="BQA178" s="2522"/>
      <c r="BQB178" s="2522"/>
      <c r="BQC178" s="2522"/>
      <c r="BQD178" s="2522"/>
      <c r="BQE178" s="2522"/>
      <c r="BQF178" s="2522"/>
      <c r="BQG178" s="2522"/>
      <c r="BQH178" s="2522"/>
      <c r="BQI178" s="2522"/>
      <c r="BQJ178" s="2522"/>
      <c r="BQK178" s="2522"/>
      <c r="BQL178" s="2522"/>
      <c r="BQM178" s="2522"/>
      <c r="BQN178" s="2522"/>
      <c r="BQO178" s="2522"/>
      <c r="BQP178" s="2522"/>
      <c r="BQQ178" s="2522"/>
      <c r="BQR178" s="2522"/>
      <c r="BQS178" s="2522"/>
      <c r="BQT178" s="2522"/>
      <c r="BQU178" s="2522"/>
      <c r="BQV178" s="2522"/>
      <c r="BQW178" s="2522"/>
      <c r="BQX178" s="2522"/>
      <c r="BQY178" s="2522"/>
      <c r="BQZ178" s="2522"/>
      <c r="BRA178" s="2522"/>
      <c r="BRB178" s="2522"/>
      <c r="BRC178" s="2522"/>
      <c r="BRD178" s="2522"/>
      <c r="BRE178" s="2522"/>
      <c r="BRF178" s="2522"/>
      <c r="BRG178" s="2522"/>
      <c r="BRH178" s="2522"/>
      <c r="BRI178" s="2522"/>
      <c r="BRJ178" s="2522"/>
      <c r="BRK178" s="2522"/>
      <c r="BRL178" s="2522"/>
      <c r="BRM178" s="2522"/>
      <c r="BRN178" s="2522"/>
      <c r="BRO178" s="2522"/>
      <c r="BRP178" s="2522"/>
      <c r="BRQ178" s="2522"/>
      <c r="BRR178" s="2522"/>
      <c r="BRS178" s="2522"/>
      <c r="BRT178" s="2522"/>
      <c r="BRU178" s="2522"/>
      <c r="BRV178" s="2522"/>
      <c r="BRW178" s="2522"/>
      <c r="BRX178" s="2522"/>
      <c r="BRY178" s="2522"/>
      <c r="BRZ178" s="2522"/>
      <c r="BSA178" s="2522"/>
      <c r="BSB178" s="2522"/>
      <c r="BSC178" s="2522"/>
      <c r="BSD178" s="2522"/>
      <c r="BSE178" s="2522"/>
      <c r="BSF178" s="2522"/>
      <c r="BSG178" s="2522"/>
      <c r="BSH178" s="2522"/>
      <c r="BSI178" s="2522"/>
      <c r="BSJ178" s="2522"/>
      <c r="BSK178" s="2522"/>
      <c r="BSL178" s="2522"/>
      <c r="BSM178" s="2522"/>
      <c r="BSN178" s="2522"/>
      <c r="BSO178" s="2522"/>
      <c r="BSP178" s="2522"/>
      <c r="BSQ178" s="2522"/>
      <c r="BSR178" s="2522"/>
      <c r="BSS178" s="2522"/>
      <c r="BST178" s="2522"/>
      <c r="BSU178" s="2522"/>
      <c r="BSV178" s="2522"/>
      <c r="BSW178" s="2522"/>
      <c r="BSX178" s="2522"/>
      <c r="BSY178" s="2522"/>
      <c r="BSZ178" s="2522"/>
      <c r="BTA178" s="2522"/>
      <c r="BTB178" s="2522"/>
      <c r="BTC178" s="2522"/>
      <c r="BTD178" s="2522"/>
      <c r="BTE178" s="2522"/>
      <c r="BTF178" s="2522"/>
      <c r="BTG178" s="2522"/>
      <c r="BTH178" s="2522"/>
      <c r="BTI178" s="2522"/>
      <c r="BTJ178" s="2522"/>
      <c r="BTK178" s="2522"/>
      <c r="BTL178" s="2522"/>
      <c r="BTM178" s="2522"/>
      <c r="BTN178" s="2522"/>
      <c r="BTO178" s="2522"/>
      <c r="BTP178" s="2522"/>
      <c r="BTQ178" s="2522"/>
      <c r="BTR178" s="2522"/>
      <c r="BTS178" s="2522"/>
      <c r="BTT178" s="2522"/>
      <c r="BTU178" s="2522"/>
      <c r="BTV178" s="2522"/>
      <c r="BTW178" s="2522"/>
      <c r="BTX178" s="2522"/>
      <c r="BTY178" s="2522"/>
      <c r="BTZ178" s="2522"/>
      <c r="BUA178" s="2522"/>
      <c r="BUB178" s="2522"/>
      <c r="BUC178" s="2522"/>
      <c r="BUD178" s="2522"/>
      <c r="BUE178" s="2522"/>
      <c r="BUF178" s="2522"/>
      <c r="BUG178" s="2522"/>
      <c r="BUH178" s="2522"/>
      <c r="BUI178" s="2522"/>
      <c r="BUJ178" s="2522"/>
      <c r="BUK178" s="2522"/>
      <c r="BUL178" s="2522"/>
      <c r="BUM178" s="2522"/>
      <c r="BUN178" s="2522"/>
      <c r="BUO178" s="2522"/>
      <c r="BUP178" s="2522"/>
      <c r="BUQ178" s="2522"/>
      <c r="BUR178" s="2522"/>
      <c r="BUS178" s="2522"/>
      <c r="BUT178" s="2522"/>
      <c r="BUU178" s="2522"/>
      <c r="BUV178" s="2522"/>
      <c r="BUW178" s="2522"/>
      <c r="BUX178" s="2522"/>
      <c r="BUY178" s="2522"/>
      <c r="BUZ178" s="2522"/>
      <c r="BVA178" s="2522"/>
      <c r="BVB178" s="2522"/>
      <c r="BVC178" s="2522"/>
      <c r="BVD178" s="2522"/>
      <c r="BVE178" s="2522"/>
      <c r="BVF178" s="2522"/>
      <c r="BVG178" s="2522"/>
      <c r="BVH178" s="2522"/>
      <c r="BVI178" s="2522"/>
      <c r="BVJ178" s="2522"/>
      <c r="BVK178" s="2522"/>
      <c r="BVL178" s="2522"/>
      <c r="BVM178" s="2522"/>
      <c r="BVN178" s="2522"/>
      <c r="BVO178" s="2522"/>
      <c r="BVP178" s="2522"/>
      <c r="BVQ178" s="2522"/>
      <c r="BVR178" s="2522"/>
      <c r="BVS178" s="2522"/>
      <c r="BVT178" s="2522"/>
      <c r="BVU178" s="2522"/>
      <c r="BVV178" s="2522"/>
      <c r="BVW178" s="2522"/>
      <c r="BVX178" s="2522"/>
      <c r="BVY178" s="2522"/>
      <c r="BVZ178" s="2522"/>
      <c r="BWA178" s="2522"/>
      <c r="BWB178" s="2522"/>
      <c r="BWC178" s="2522"/>
      <c r="BWD178" s="2522"/>
      <c r="BWE178" s="2522"/>
      <c r="BWF178" s="2522"/>
      <c r="BWG178" s="2522"/>
      <c r="BWH178" s="2522"/>
      <c r="BWI178" s="2522"/>
      <c r="BWJ178" s="2522"/>
      <c r="BWK178" s="2522"/>
      <c r="BWL178" s="2522"/>
      <c r="BWM178" s="2522"/>
      <c r="BWN178" s="2522"/>
      <c r="BWO178" s="2522"/>
      <c r="BWP178" s="2522"/>
      <c r="BWQ178" s="2522"/>
      <c r="BWR178" s="2522"/>
      <c r="BWS178" s="2522"/>
      <c r="BWT178" s="2522"/>
      <c r="BWU178" s="2522"/>
      <c r="BWV178" s="2522"/>
      <c r="BWW178" s="2522"/>
      <c r="BWX178" s="2522"/>
      <c r="BWY178" s="2522"/>
      <c r="BWZ178" s="2522"/>
      <c r="BXA178" s="2522"/>
      <c r="BXB178" s="2522"/>
      <c r="BXC178" s="2522"/>
      <c r="BXD178" s="2522"/>
      <c r="BXE178" s="2522"/>
      <c r="BXF178" s="2522"/>
      <c r="BXG178" s="2522"/>
      <c r="BXH178" s="2522"/>
      <c r="BXI178" s="2522"/>
      <c r="BXJ178" s="2522"/>
      <c r="BXK178" s="2522"/>
      <c r="BXL178" s="2522"/>
      <c r="BXM178" s="2522"/>
      <c r="BXN178" s="2522"/>
      <c r="BXO178" s="2522"/>
      <c r="BXP178" s="2522"/>
      <c r="BXQ178" s="2522"/>
      <c r="BXR178" s="2522"/>
      <c r="BXS178" s="2522"/>
      <c r="BXT178" s="2522"/>
      <c r="BXU178" s="2522"/>
      <c r="BXV178" s="2522"/>
      <c r="BXW178" s="2522"/>
      <c r="BXX178" s="2522"/>
      <c r="BXY178" s="2522"/>
      <c r="BXZ178" s="2522"/>
      <c r="BYA178" s="2522"/>
      <c r="BYB178" s="2522"/>
      <c r="BYC178" s="2522"/>
      <c r="BYD178" s="2522"/>
      <c r="BYE178" s="2522"/>
      <c r="BYF178" s="2522"/>
      <c r="BYG178" s="2522"/>
      <c r="BYH178" s="2522"/>
      <c r="BYI178" s="2522"/>
      <c r="BYJ178" s="2522"/>
      <c r="BYK178" s="2522"/>
      <c r="BYL178" s="2522"/>
      <c r="BYM178" s="2522"/>
      <c r="BYN178" s="2522"/>
      <c r="BYO178" s="2522"/>
      <c r="BYP178" s="2522"/>
      <c r="BYQ178" s="2522"/>
      <c r="BYR178" s="2522"/>
      <c r="BYS178" s="2522"/>
      <c r="BYT178" s="2522"/>
      <c r="BYU178" s="2522"/>
      <c r="BYV178" s="2522"/>
      <c r="BYW178" s="2522"/>
      <c r="BYX178" s="2522"/>
      <c r="BYY178" s="2522"/>
      <c r="BYZ178" s="2522"/>
      <c r="BZA178" s="2522"/>
      <c r="BZB178" s="2522"/>
      <c r="BZC178" s="2522"/>
      <c r="BZD178" s="2522"/>
      <c r="BZE178" s="2522"/>
      <c r="BZF178" s="2522"/>
      <c r="BZG178" s="2522"/>
      <c r="BZH178" s="2522"/>
      <c r="BZI178" s="2522"/>
      <c r="BZJ178" s="2522"/>
      <c r="BZK178" s="2522"/>
      <c r="BZL178" s="2522"/>
      <c r="BZM178" s="2522"/>
      <c r="BZN178" s="2522"/>
      <c r="BZO178" s="2522"/>
      <c r="BZP178" s="2522"/>
      <c r="BZQ178" s="2522"/>
      <c r="BZR178" s="2522"/>
      <c r="BZS178" s="2522"/>
      <c r="BZT178" s="2522"/>
      <c r="BZU178" s="2522"/>
      <c r="BZV178" s="2522"/>
      <c r="BZW178" s="2522"/>
      <c r="BZX178" s="2522"/>
      <c r="BZY178" s="2522"/>
      <c r="BZZ178" s="2522"/>
      <c r="CAA178" s="2522"/>
      <c r="CAB178" s="2522"/>
      <c r="CAC178" s="2522"/>
      <c r="CAD178" s="2522"/>
      <c r="CAE178" s="2522"/>
      <c r="CAF178" s="2522"/>
      <c r="CAG178" s="2522"/>
      <c r="CAH178" s="2522"/>
      <c r="CAI178" s="2522"/>
      <c r="CAJ178" s="2522"/>
      <c r="CAK178" s="2522"/>
      <c r="CAL178" s="2522"/>
      <c r="CAM178" s="2522"/>
      <c r="CAN178" s="2522"/>
      <c r="CAO178" s="2522"/>
      <c r="CAP178" s="2522"/>
      <c r="CAQ178" s="2522"/>
      <c r="CAR178" s="2522"/>
      <c r="CAS178" s="2522"/>
      <c r="CAT178" s="2522"/>
      <c r="CAU178" s="2522"/>
      <c r="CAV178" s="2522"/>
      <c r="CAW178" s="2522"/>
      <c r="CAX178" s="2522"/>
      <c r="CAY178" s="2522"/>
      <c r="CAZ178" s="2522"/>
      <c r="CBA178" s="2522"/>
      <c r="CBB178" s="2522"/>
      <c r="CBC178" s="2522"/>
      <c r="CBD178" s="2522"/>
      <c r="CBE178" s="2522"/>
      <c r="CBF178" s="2522"/>
      <c r="CBG178" s="2522"/>
      <c r="CBH178" s="2522"/>
      <c r="CBI178" s="2522"/>
      <c r="CBJ178" s="2522"/>
      <c r="CBK178" s="2522"/>
      <c r="CBL178" s="2522"/>
      <c r="CBM178" s="2522"/>
      <c r="CBN178" s="2522"/>
      <c r="CBO178" s="2522"/>
      <c r="CBP178" s="2522"/>
      <c r="CBQ178" s="2522"/>
      <c r="CBR178" s="2522"/>
      <c r="CBS178" s="2522"/>
      <c r="CBT178" s="2522"/>
      <c r="CBU178" s="2522"/>
      <c r="CBV178" s="2522"/>
      <c r="CBW178" s="2522"/>
      <c r="CBX178" s="2522"/>
      <c r="CBY178" s="2522"/>
      <c r="CBZ178" s="2522"/>
      <c r="CCA178" s="2522"/>
      <c r="CCB178" s="2522"/>
      <c r="CCC178" s="2522"/>
      <c r="CCD178" s="2522"/>
      <c r="CCE178" s="2522"/>
      <c r="CCF178" s="2522"/>
      <c r="CCG178" s="2522"/>
      <c r="CCH178" s="2522"/>
      <c r="CCI178" s="2522"/>
      <c r="CCJ178" s="2522"/>
      <c r="CCK178" s="2522"/>
      <c r="CCL178" s="2522"/>
      <c r="CCM178" s="2522"/>
      <c r="CCN178" s="2522"/>
      <c r="CCO178" s="2522"/>
      <c r="CCP178" s="2522"/>
      <c r="CCQ178" s="2522"/>
      <c r="CCR178" s="2522"/>
      <c r="CCS178" s="2522"/>
      <c r="CCT178" s="2522"/>
      <c r="CCU178" s="2522"/>
      <c r="CCV178" s="2522"/>
      <c r="CCW178" s="2522"/>
      <c r="CCX178" s="2522"/>
      <c r="CCY178" s="2522"/>
      <c r="CCZ178" s="2522"/>
      <c r="CDA178" s="2522"/>
      <c r="CDB178" s="2522"/>
      <c r="CDC178" s="2522"/>
      <c r="CDD178" s="2522"/>
      <c r="CDE178" s="2522"/>
      <c r="CDF178" s="2522"/>
      <c r="CDG178" s="2522"/>
      <c r="CDH178" s="2522"/>
      <c r="CDI178" s="2522"/>
      <c r="CDJ178" s="2522"/>
      <c r="CDK178" s="2522"/>
      <c r="CDL178" s="2522"/>
      <c r="CDM178" s="2522"/>
      <c r="CDN178" s="2522"/>
      <c r="CDO178" s="2522"/>
      <c r="CDP178" s="2522"/>
      <c r="CDQ178" s="2522"/>
      <c r="CDR178" s="2522"/>
      <c r="CDS178" s="2522"/>
      <c r="CDT178" s="2522"/>
      <c r="CDU178" s="2522"/>
      <c r="CDV178" s="2522"/>
      <c r="CDW178" s="2522"/>
      <c r="CDX178" s="2522"/>
      <c r="CDY178" s="2522"/>
      <c r="CDZ178" s="2522"/>
      <c r="CEA178" s="2522"/>
      <c r="CEB178" s="2522"/>
      <c r="CEC178" s="2522"/>
      <c r="CED178" s="2522"/>
      <c r="CEE178" s="2522"/>
      <c r="CEF178" s="2522"/>
      <c r="CEG178" s="2522"/>
      <c r="CEH178" s="2522"/>
      <c r="CEI178" s="2522"/>
      <c r="CEJ178" s="2522"/>
      <c r="CEK178" s="2522"/>
      <c r="CEL178" s="2522"/>
      <c r="CEM178" s="2522"/>
      <c r="CEN178" s="2522"/>
      <c r="CEO178" s="2522"/>
      <c r="CEP178" s="2522"/>
      <c r="CEQ178" s="2522"/>
      <c r="CER178" s="2522"/>
      <c r="CES178" s="2522"/>
      <c r="CET178" s="2522"/>
      <c r="CEU178" s="2522"/>
      <c r="CEV178" s="2522"/>
      <c r="CEW178" s="2522"/>
      <c r="CEX178" s="2522"/>
      <c r="CEY178" s="2522"/>
      <c r="CEZ178" s="2522"/>
      <c r="CFA178" s="2522"/>
      <c r="CFB178" s="2522"/>
      <c r="CFC178" s="2522"/>
      <c r="CFD178" s="2522"/>
      <c r="CFE178" s="2522"/>
      <c r="CFF178" s="2522"/>
      <c r="CFG178" s="2522"/>
      <c r="CFH178" s="2522"/>
      <c r="CFI178" s="2522"/>
      <c r="CFJ178" s="2522"/>
      <c r="CFK178" s="2522"/>
      <c r="CFL178" s="2522"/>
      <c r="CFM178" s="2522"/>
      <c r="CFN178" s="2522"/>
      <c r="CFO178" s="2522"/>
      <c r="CFP178" s="2522"/>
      <c r="CFQ178" s="2522"/>
      <c r="CFR178" s="2522"/>
      <c r="CFS178" s="2522"/>
      <c r="CFT178" s="2522"/>
      <c r="CFU178" s="2522"/>
      <c r="CFV178" s="2522"/>
      <c r="CFW178" s="2522"/>
      <c r="CFX178" s="2522"/>
      <c r="CFY178" s="2522"/>
      <c r="CFZ178" s="2522"/>
      <c r="CGA178" s="2522"/>
      <c r="CGB178" s="2522"/>
      <c r="CGC178" s="2522"/>
      <c r="CGD178" s="2522"/>
      <c r="CGE178" s="2522"/>
      <c r="CGF178" s="2522"/>
      <c r="CGG178" s="2522"/>
      <c r="CGH178" s="2522"/>
      <c r="CGI178" s="2522"/>
      <c r="CGJ178" s="2522"/>
      <c r="CGK178" s="2522"/>
      <c r="CGL178" s="2522"/>
      <c r="CGM178" s="2522"/>
      <c r="CGN178" s="2522"/>
      <c r="CGO178" s="2522"/>
      <c r="CGP178" s="2522"/>
      <c r="CGQ178" s="2522"/>
      <c r="CGR178" s="2522"/>
      <c r="CGS178" s="2522"/>
      <c r="CGT178" s="2522"/>
      <c r="CGU178" s="2522"/>
      <c r="CGV178" s="2522"/>
      <c r="CGW178" s="2522"/>
      <c r="CGX178" s="2522"/>
      <c r="CGY178" s="2522"/>
      <c r="CGZ178" s="2522"/>
      <c r="CHA178" s="2522"/>
      <c r="CHB178" s="2522"/>
      <c r="CHC178" s="2522"/>
      <c r="CHD178" s="2522"/>
      <c r="CHE178" s="2522"/>
      <c r="CHF178" s="2522"/>
      <c r="CHG178" s="2522"/>
      <c r="CHH178" s="2522"/>
      <c r="CHI178" s="2522"/>
      <c r="CHJ178" s="2522"/>
      <c r="CHK178" s="2522"/>
      <c r="CHL178" s="2522"/>
      <c r="CHM178" s="2522"/>
      <c r="CHN178" s="2522"/>
      <c r="CHO178" s="2522"/>
      <c r="CHP178" s="2522"/>
      <c r="CHQ178" s="2522"/>
      <c r="CHR178" s="2522"/>
      <c r="CHS178" s="2522"/>
      <c r="CHT178" s="2522"/>
      <c r="CHU178" s="2522"/>
      <c r="CHV178" s="2522"/>
      <c r="CHW178" s="2522"/>
      <c r="CHX178" s="2522"/>
      <c r="CHY178" s="2522"/>
      <c r="CHZ178" s="2522"/>
      <c r="CIA178" s="2522"/>
      <c r="CIB178" s="2522"/>
      <c r="CIC178" s="2522"/>
      <c r="CID178" s="2522"/>
      <c r="CIE178" s="2522"/>
      <c r="CIF178" s="2522"/>
      <c r="CIG178" s="2522"/>
      <c r="CIH178" s="2522"/>
      <c r="CII178" s="2522"/>
      <c r="CIJ178" s="2522"/>
      <c r="CIK178" s="2522"/>
      <c r="CIL178" s="2522"/>
      <c r="CIM178" s="2522"/>
      <c r="CIN178" s="2522"/>
      <c r="CIO178" s="2522"/>
      <c r="CIP178" s="2522"/>
      <c r="CIQ178" s="2522"/>
      <c r="CIR178" s="2522"/>
      <c r="CIS178" s="2522"/>
      <c r="CIT178" s="2522"/>
      <c r="CIU178" s="2522"/>
      <c r="CIV178" s="2522"/>
      <c r="CIW178" s="2522"/>
      <c r="CIX178" s="2522"/>
      <c r="CIY178" s="2522"/>
      <c r="CIZ178" s="2522"/>
      <c r="CJA178" s="2522"/>
      <c r="CJB178" s="2522"/>
      <c r="CJC178" s="2522"/>
      <c r="CJD178" s="2522"/>
      <c r="CJE178" s="2522"/>
      <c r="CJF178" s="2522"/>
      <c r="CJG178" s="2522"/>
      <c r="CJH178" s="2522"/>
      <c r="CJI178" s="2522"/>
      <c r="CJJ178" s="2522"/>
      <c r="CJK178" s="2522"/>
      <c r="CJL178" s="2522"/>
      <c r="CJM178" s="2522"/>
      <c r="CJN178" s="2522"/>
      <c r="CJO178" s="2522"/>
      <c r="CJP178" s="2522"/>
      <c r="CJQ178" s="2522"/>
      <c r="CJR178" s="2522"/>
      <c r="CJS178" s="2522"/>
      <c r="CJT178" s="2522"/>
      <c r="CJU178" s="2522"/>
      <c r="CJV178" s="2522"/>
      <c r="CJW178" s="2522"/>
      <c r="CJX178" s="2522"/>
      <c r="CJY178" s="2522"/>
      <c r="CJZ178" s="2522"/>
      <c r="CKA178" s="2522"/>
      <c r="CKB178" s="2522"/>
      <c r="CKC178" s="2522"/>
      <c r="CKD178" s="2522"/>
      <c r="CKE178" s="2522"/>
      <c r="CKF178" s="2522"/>
      <c r="CKG178" s="2522"/>
      <c r="CKH178" s="2522"/>
      <c r="CKI178" s="2522"/>
      <c r="CKJ178" s="2522"/>
      <c r="CKK178" s="2522"/>
      <c r="CKL178" s="2522"/>
      <c r="CKM178" s="2522"/>
      <c r="CKN178" s="2522"/>
      <c r="CKO178" s="2522"/>
      <c r="CKP178" s="2522"/>
      <c r="CKQ178" s="2522"/>
      <c r="CKR178" s="2522"/>
      <c r="CKS178" s="2522"/>
      <c r="CKT178" s="2522"/>
      <c r="CKU178" s="2522"/>
      <c r="CKV178" s="2522"/>
      <c r="CKW178" s="2522"/>
      <c r="CKX178" s="2522"/>
      <c r="CKY178" s="2522"/>
      <c r="CKZ178" s="2522"/>
      <c r="CLA178" s="2522"/>
      <c r="CLB178" s="2522"/>
      <c r="CLC178" s="2522"/>
      <c r="CLD178" s="2522"/>
      <c r="CLE178" s="2522"/>
      <c r="CLF178" s="2522"/>
      <c r="CLG178" s="2522"/>
      <c r="CLH178" s="2522"/>
      <c r="CLI178" s="2522"/>
      <c r="CLJ178" s="2522"/>
      <c r="CLK178" s="2522"/>
      <c r="CLL178" s="2522"/>
      <c r="CLM178" s="2522"/>
      <c r="CLN178" s="2522"/>
      <c r="CLO178" s="2522"/>
      <c r="CLP178" s="2522"/>
      <c r="CLQ178" s="2522"/>
      <c r="CLR178" s="2522"/>
      <c r="CLS178" s="2522"/>
      <c r="CLT178" s="2522"/>
      <c r="CLU178" s="2522"/>
      <c r="CLV178" s="2522"/>
      <c r="CLW178" s="2522"/>
      <c r="CLX178" s="2522"/>
      <c r="CLY178" s="2522"/>
      <c r="CLZ178" s="2522"/>
      <c r="CMA178" s="2522"/>
      <c r="CMB178" s="2522"/>
      <c r="CMC178" s="2522"/>
      <c r="CMD178" s="2522"/>
      <c r="CME178" s="2522"/>
      <c r="CMF178" s="2522"/>
      <c r="CMG178" s="2522"/>
      <c r="CMH178" s="2522"/>
      <c r="CMI178" s="2522"/>
      <c r="CMJ178" s="2522"/>
      <c r="CMK178" s="2522"/>
      <c r="CML178" s="2522"/>
      <c r="CMM178" s="2522"/>
      <c r="CMN178" s="2522"/>
      <c r="CMO178" s="2522"/>
      <c r="CMP178" s="2522"/>
      <c r="CMQ178" s="2522"/>
      <c r="CMR178" s="2522"/>
      <c r="CMS178" s="2522"/>
      <c r="CMT178" s="2522"/>
      <c r="CMU178" s="2522"/>
      <c r="CMV178" s="2522"/>
      <c r="CMW178" s="2522"/>
      <c r="CMX178" s="2522"/>
      <c r="CMY178" s="2522"/>
      <c r="CMZ178" s="2522"/>
      <c r="CNA178" s="2522"/>
      <c r="CNB178" s="2522"/>
      <c r="CNC178" s="2522"/>
      <c r="CND178" s="2522"/>
      <c r="CNE178" s="2522"/>
      <c r="CNF178" s="2522"/>
      <c r="CNG178" s="2522"/>
      <c r="CNH178" s="2522"/>
      <c r="CNI178" s="2522"/>
      <c r="CNJ178" s="2522"/>
      <c r="CNK178" s="2522"/>
      <c r="CNL178" s="2522"/>
      <c r="CNM178" s="2522"/>
      <c r="CNN178" s="2522"/>
      <c r="CNO178" s="2522"/>
      <c r="CNP178" s="2522"/>
      <c r="CNQ178" s="2522"/>
      <c r="CNR178" s="2522"/>
      <c r="CNS178" s="2522"/>
      <c r="CNT178" s="2522"/>
      <c r="CNU178" s="2522"/>
      <c r="CNV178" s="2522"/>
      <c r="CNW178" s="2522"/>
      <c r="CNX178" s="2522"/>
      <c r="CNY178" s="2522"/>
      <c r="CNZ178" s="2522"/>
      <c r="COA178" s="2522"/>
      <c r="COB178" s="2522"/>
      <c r="COC178" s="2522"/>
      <c r="COD178" s="2522"/>
      <c r="COE178" s="2522"/>
      <c r="COF178" s="2522"/>
      <c r="COG178" s="2522"/>
      <c r="COH178" s="2522"/>
      <c r="COI178" s="2522"/>
      <c r="COJ178" s="2522"/>
      <c r="COK178" s="2522"/>
      <c r="COL178" s="2522"/>
      <c r="COM178" s="2522"/>
      <c r="CON178" s="2522"/>
      <c r="COO178" s="2522"/>
      <c r="COP178" s="2522"/>
      <c r="COQ178" s="2522"/>
      <c r="COR178" s="2522"/>
      <c r="COS178" s="2522"/>
      <c r="COT178" s="2522"/>
      <c r="COU178" s="2522"/>
      <c r="COV178" s="2522"/>
      <c r="COW178" s="2522"/>
      <c r="COX178" s="2522"/>
      <c r="COY178" s="2522"/>
      <c r="COZ178" s="2522"/>
      <c r="CPA178" s="2522"/>
      <c r="CPB178" s="2522"/>
      <c r="CPC178" s="2522"/>
      <c r="CPD178" s="2522"/>
      <c r="CPE178" s="2522"/>
      <c r="CPF178" s="2522"/>
      <c r="CPG178" s="2522"/>
      <c r="CPH178" s="2522"/>
      <c r="CPI178" s="2522"/>
      <c r="CPJ178" s="2522"/>
      <c r="CPK178" s="2522"/>
      <c r="CPL178" s="2522"/>
      <c r="CPM178" s="2522"/>
      <c r="CPN178" s="2522"/>
      <c r="CPO178" s="2522"/>
      <c r="CPP178" s="2522"/>
      <c r="CPQ178" s="2522"/>
      <c r="CPR178" s="2522"/>
      <c r="CPS178" s="2522"/>
      <c r="CPT178" s="2522"/>
      <c r="CPU178" s="2522"/>
      <c r="CPV178" s="2522"/>
      <c r="CPW178" s="2522"/>
      <c r="CPX178" s="2522"/>
      <c r="CPY178" s="2522"/>
      <c r="CPZ178" s="2522"/>
      <c r="CQA178" s="2522"/>
      <c r="CQB178" s="2522"/>
      <c r="CQC178" s="2522"/>
      <c r="CQD178" s="2522"/>
      <c r="CQE178" s="2522"/>
      <c r="CQF178" s="2522"/>
      <c r="CQG178" s="2522"/>
      <c r="CQH178" s="2522"/>
      <c r="CQI178" s="2522"/>
      <c r="CQJ178" s="2522"/>
      <c r="CQK178" s="2522"/>
      <c r="CQL178" s="2522"/>
      <c r="CQM178" s="2522"/>
      <c r="CQN178" s="2522"/>
      <c r="CQO178" s="2522"/>
      <c r="CQP178" s="2522"/>
      <c r="CQQ178" s="2522"/>
      <c r="CQR178" s="2522"/>
      <c r="CQS178" s="2522"/>
      <c r="CQT178" s="2522"/>
      <c r="CQU178" s="2522"/>
      <c r="CQV178" s="2522"/>
      <c r="CQW178" s="2522"/>
      <c r="CQX178" s="2522"/>
      <c r="CQY178" s="2522"/>
      <c r="CQZ178" s="2522"/>
      <c r="CRA178" s="2522"/>
      <c r="CRB178" s="2522"/>
      <c r="CRC178" s="2522"/>
      <c r="CRD178" s="2522"/>
      <c r="CRE178" s="2522"/>
      <c r="CRF178" s="2522"/>
      <c r="CRG178" s="2522"/>
      <c r="CRH178" s="2522"/>
      <c r="CRI178" s="2522"/>
      <c r="CRJ178" s="2522"/>
      <c r="CRK178" s="2522"/>
      <c r="CRL178" s="2522"/>
      <c r="CRM178" s="2522"/>
      <c r="CRN178" s="2522"/>
      <c r="CRO178" s="2522"/>
      <c r="CRP178" s="2522"/>
      <c r="CRQ178" s="2522"/>
      <c r="CRR178" s="2522"/>
      <c r="CRS178" s="2522"/>
      <c r="CRT178" s="2522"/>
      <c r="CRU178" s="2522"/>
      <c r="CRV178" s="2522"/>
      <c r="CRW178" s="2522"/>
      <c r="CRX178" s="2522"/>
      <c r="CRY178" s="2522"/>
      <c r="CRZ178" s="2522"/>
      <c r="CSA178" s="2522"/>
      <c r="CSB178" s="2522"/>
      <c r="CSC178" s="2522"/>
      <c r="CSD178" s="2522"/>
      <c r="CSE178" s="2522"/>
      <c r="CSF178" s="2522"/>
      <c r="CSG178" s="2522"/>
      <c r="CSH178" s="2522"/>
      <c r="CSI178" s="2522"/>
      <c r="CSJ178" s="2522"/>
      <c r="CSK178" s="2522"/>
      <c r="CSL178" s="2522"/>
      <c r="CSM178" s="2522"/>
      <c r="CSN178" s="2522"/>
      <c r="CSO178" s="2522"/>
      <c r="CSP178" s="2522"/>
      <c r="CSQ178" s="2522"/>
      <c r="CSR178" s="2522"/>
      <c r="CSS178" s="2522"/>
      <c r="CST178" s="2522"/>
      <c r="CSU178" s="2522"/>
      <c r="CSV178" s="2522"/>
      <c r="CSW178" s="2522"/>
      <c r="CSX178" s="2522"/>
      <c r="CSY178" s="2522"/>
      <c r="CSZ178" s="2522"/>
      <c r="CTA178" s="2522"/>
      <c r="CTB178" s="2522"/>
      <c r="CTC178" s="2522"/>
      <c r="CTD178" s="2522"/>
      <c r="CTE178" s="2522"/>
      <c r="CTF178" s="2522"/>
      <c r="CTG178" s="2522"/>
      <c r="CTH178" s="2522"/>
      <c r="CTI178" s="2522"/>
      <c r="CTJ178" s="2522"/>
      <c r="CTK178" s="2522"/>
      <c r="CTL178" s="2522"/>
      <c r="CTM178" s="2522"/>
      <c r="CTN178" s="2522"/>
      <c r="CTO178" s="2522"/>
      <c r="CTP178" s="2522"/>
      <c r="CTQ178" s="2522"/>
      <c r="CTR178" s="2522"/>
      <c r="CTS178" s="2522"/>
      <c r="CTT178" s="2522"/>
      <c r="CTU178" s="2522"/>
      <c r="CTV178" s="2522"/>
      <c r="CTW178" s="2522"/>
      <c r="CTX178" s="2522"/>
      <c r="CTY178" s="2522"/>
      <c r="CTZ178" s="2522"/>
      <c r="CUA178" s="2522"/>
      <c r="CUB178" s="2522"/>
      <c r="CUC178" s="2522"/>
      <c r="CUD178" s="2522"/>
      <c r="CUE178" s="2522"/>
      <c r="CUF178" s="2522"/>
      <c r="CUG178" s="2522"/>
      <c r="CUH178" s="2522"/>
      <c r="CUI178" s="2522"/>
      <c r="CUJ178" s="2522"/>
      <c r="CUK178" s="2522"/>
      <c r="CUL178" s="2522"/>
      <c r="CUM178" s="2522"/>
      <c r="CUN178" s="2522"/>
      <c r="CUO178" s="2522"/>
      <c r="CUP178" s="2522"/>
      <c r="CUQ178" s="2522"/>
      <c r="CUR178" s="2522"/>
      <c r="CUS178" s="2522"/>
      <c r="CUT178" s="2522"/>
      <c r="CUU178" s="2522"/>
      <c r="CUV178" s="2522"/>
      <c r="CUW178" s="2522"/>
      <c r="CUX178" s="2522"/>
      <c r="CUY178" s="2522"/>
      <c r="CUZ178" s="2522"/>
      <c r="CVA178" s="2522"/>
      <c r="CVB178" s="2522"/>
      <c r="CVC178" s="2522"/>
      <c r="CVD178" s="2522"/>
      <c r="CVE178" s="2522"/>
      <c r="CVF178" s="2522"/>
      <c r="CVG178" s="2522"/>
      <c r="CVH178" s="2522"/>
      <c r="CVI178" s="2522"/>
      <c r="CVJ178" s="2522"/>
      <c r="CVK178" s="2522"/>
      <c r="CVL178" s="2522"/>
      <c r="CVM178" s="2522"/>
      <c r="CVN178" s="2522"/>
      <c r="CVO178" s="2522"/>
      <c r="CVP178" s="2522"/>
      <c r="CVQ178" s="2522"/>
      <c r="CVR178" s="2522"/>
      <c r="CVS178" s="2522"/>
      <c r="CVT178" s="2522"/>
      <c r="CVU178" s="2522"/>
      <c r="CVV178" s="2522"/>
      <c r="CVW178" s="2522"/>
      <c r="CVX178" s="2522"/>
      <c r="CVY178" s="2522"/>
      <c r="CVZ178" s="2522"/>
      <c r="CWA178" s="2522"/>
      <c r="CWB178" s="2522"/>
      <c r="CWC178" s="2522"/>
      <c r="CWD178" s="2522"/>
      <c r="CWE178" s="2522"/>
      <c r="CWF178" s="2522"/>
      <c r="CWG178" s="2522"/>
      <c r="CWH178" s="2522"/>
      <c r="CWI178" s="2522"/>
      <c r="CWJ178" s="2522"/>
      <c r="CWK178" s="2522"/>
      <c r="CWL178" s="2522"/>
      <c r="CWM178" s="2522"/>
      <c r="CWN178" s="2522"/>
      <c r="CWO178" s="2522"/>
      <c r="CWP178" s="2522"/>
      <c r="CWQ178" s="2522"/>
      <c r="CWR178" s="2522"/>
      <c r="CWS178" s="2522"/>
      <c r="CWT178" s="2522"/>
      <c r="CWU178" s="2522"/>
      <c r="CWV178" s="2522"/>
      <c r="CWW178" s="2522"/>
      <c r="CWX178" s="2522"/>
      <c r="CWY178" s="2522"/>
      <c r="CWZ178" s="2522"/>
      <c r="CXA178" s="2522"/>
      <c r="CXB178" s="2522"/>
      <c r="CXC178" s="2522"/>
      <c r="CXD178" s="2522"/>
      <c r="CXE178" s="2522"/>
      <c r="CXF178" s="2522"/>
      <c r="CXG178" s="2522"/>
      <c r="CXH178" s="2522"/>
      <c r="CXI178" s="2522"/>
      <c r="CXJ178" s="2522"/>
      <c r="CXK178" s="2522"/>
      <c r="CXL178" s="2522"/>
      <c r="CXM178" s="2522"/>
      <c r="CXN178" s="2522"/>
      <c r="CXO178" s="2522"/>
      <c r="CXP178" s="2522"/>
      <c r="CXQ178" s="2522"/>
      <c r="CXR178" s="2522"/>
      <c r="CXS178" s="2522"/>
      <c r="CXT178" s="2522"/>
      <c r="CXU178" s="2522"/>
      <c r="CXV178" s="2522"/>
      <c r="CXW178" s="2522"/>
      <c r="CXX178" s="2522"/>
      <c r="CXY178" s="2522"/>
      <c r="CXZ178" s="2522"/>
      <c r="CYA178" s="2522"/>
      <c r="CYB178" s="2522"/>
      <c r="CYC178" s="2522"/>
      <c r="CYD178" s="2522"/>
      <c r="CYE178" s="2522"/>
      <c r="CYF178" s="2522"/>
      <c r="CYG178" s="2522"/>
      <c r="CYH178" s="2522"/>
      <c r="CYI178" s="2522"/>
      <c r="CYJ178" s="2522"/>
      <c r="CYK178" s="2522"/>
      <c r="CYL178" s="2522"/>
      <c r="CYM178" s="2522"/>
      <c r="CYN178" s="2522"/>
      <c r="CYO178" s="2522"/>
      <c r="CYP178" s="2522"/>
      <c r="CYQ178" s="2522"/>
      <c r="CYR178" s="2522"/>
      <c r="CYS178" s="2522"/>
      <c r="CYT178" s="2522"/>
      <c r="CYU178" s="2522"/>
      <c r="CYV178" s="2522"/>
      <c r="CYW178" s="2522"/>
      <c r="CYX178" s="2522"/>
      <c r="CYY178" s="2522"/>
      <c r="CYZ178" s="2522"/>
      <c r="CZA178" s="2522"/>
      <c r="CZB178" s="2522"/>
      <c r="CZC178" s="2522"/>
      <c r="CZD178" s="2522"/>
      <c r="CZE178" s="2522"/>
      <c r="CZF178" s="2522"/>
      <c r="CZG178" s="2522"/>
      <c r="CZH178" s="2522"/>
      <c r="CZI178" s="2522"/>
      <c r="CZJ178" s="2522"/>
      <c r="CZK178" s="2522"/>
      <c r="CZL178" s="2522"/>
      <c r="CZM178" s="2522"/>
      <c r="CZN178" s="2522"/>
      <c r="CZO178" s="2522"/>
      <c r="CZP178" s="2522"/>
      <c r="CZQ178" s="2522"/>
      <c r="CZR178" s="2522"/>
      <c r="CZS178" s="2522"/>
      <c r="CZT178" s="2522"/>
      <c r="CZU178" s="2522"/>
      <c r="CZV178" s="2522"/>
      <c r="CZW178" s="2522"/>
      <c r="CZX178" s="2522"/>
      <c r="CZY178" s="2522"/>
      <c r="CZZ178" s="2522"/>
      <c r="DAA178" s="2522"/>
      <c r="DAB178" s="2522"/>
      <c r="DAC178" s="2522"/>
      <c r="DAD178" s="2522"/>
      <c r="DAE178" s="2522"/>
      <c r="DAF178" s="2522"/>
      <c r="DAG178" s="2522"/>
      <c r="DAH178" s="2522"/>
      <c r="DAI178" s="2522"/>
      <c r="DAJ178" s="2522"/>
      <c r="DAK178" s="2522"/>
      <c r="DAL178" s="2522"/>
      <c r="DAM178" s="2522"/>
      <c r="DAN178" s="2522"/>
      <c r="DAO178" s="2522"/>
      <c r="DAP178" s="2522"/>
      <c r="DAQ178" s="2522"/>
      <c r="DAR178" s="2522"/>
      <c r="DAS178" s="2522"/>
      <c r="DAT178" s="2522"/>
      <c r="DAU178" s="2522"/>
      <c r="DAV178" s="2522"/>
      <c r="DAW178" s="2522"/>
      <c r="DAX178" s="2522"/>
      <c r="DAY178" s="2522"/>
      <c r="DAZ178" s="2522"/>
      <c r="DBA178" s="2522"/>
      <c r="DBB178" s="2522"/>
      <c r="DBC178" s="2522"/>
      <c r="DBD178" s="2522"/>
      <c r="DBE178" s="2522"/>
      <c r="DBF178" s="2522"/>
      <c r="DBG178" s="2522"/>
      <c r="DBH178" s="2522"/>
      <c r="DBI178" s="2522"/>
      <c r="DBJ178" s="2522"/>
      <c r="DBK178" s="2522"/>
      <c r="DBL178" s="2522"/>
      <c r="DBM178" s="2522"/>
      <c r="DBN178" s="2522"/>
      <c r="DBO178" s="2522"/>
      <c r="DBP178" s="2522"/>
      <c r="DBQ178" s="2522"/>
      <c r="DBR178" s="2522"/>
      <c r="DBS178" s="2522"/>
      <c r="DBT178" s="2522"/>
      <c r="DBU178" s="2522"/>
      <c r="DBV178" s="2522"/>
      <c r="DBW178" s="2522"/>
      <c r="DBX178" s="2522"/>
      <c r="DBY178" s="2522"/>
      <c r="DBZ178" s="2522"/>
      <c r="DCA178" s="2522"/>
      <c r="DCB178" s="2522"/>
      <c r="DCC178" s="2522"/>
      <c r="DCD178" s="2522"/>
      <c r="DCE178" s="2522"/>
      <c r="DCF178" s="2522"/>
      <c r="DCG178" s="2522"/>
      <c r="DCH178" s="2522"/>
      <c r="DCI178" s="2522"/>
      <c r="DCJ178" s="2522"/>
      <c r="DCK178" s="2522"/>
      <c r="DCL178" s="2522"/>
      <c r="DCM178" s="2522"/>
      <c r="DCN178" s="2522"/>
      <c r="DCO178" s="2522"/>
      <c r="DCP178" s="2522"/>
      <c r="DCQ178" s="2522"/>
      <c r="DCR178" s="2522"/>
      <c r="DCS178" s="2522"/>
      <c r="DCT178" s="2522"/>
      <c r="DCU178" s="2522"/>
      <c r="DCV178" s="2522"/>
      <c r="DCW178" s="2522"/>
      <c r="DCX178" s="2522"/>
      <c r="DCY178" s="2522"/>
      <c r="DCZ178" s="2522"/>
      <c r="DDA178" s="2522"/>
      <c r="DDB178" s="2522"/>
      <c r="DDC178" s="2522"/>
      <c r="DDD178" s="2522"/>
      <c r="DDE178" s="2522"/>
      <c r="DDF178" s="2522"/>
      <c r="DDG178" s="2522"/>
      <c r="DDH178" s="2522"/>
      <c r="DDI178" s="2522"/>
      <c r="DDJ178" s="2522"/>
      <c r="DDK178" s="2522"/>
      <c r="DDL178" s="2522"/>
      <c r="DDM178" s="2522"/>
      <c r="DDN178" s="2522"/>
      <c r="DDO178" s="2522"/>
      <c r="DDP178" s="2522"/>
      <c r="DDQ178" s="2522"/>
      <c r="DDR178" s="2522"/>
      <c r="DDS178" s="2522"/>
      <c r="DDT178" s="2522"/>
      <c r="DDU178" s="2522"/>
      <c r="DDV178" s="2522"/>
      <c r="DDW178" s="2522"/>
      <c r="DDX178" s="2522"/>
      <c r="DDY178" s="2522"/>
      <c r="DDZ178" s="2522"/>
      <c r="DEA178" s="2522"/>
      <c r="DEB178" s="2522"/>
      <c r="DEC178" s="2522"/>
      <c r="DED178" s="2522"/>
      <c r="DEE178" s="2522"/>
      <c r="DEF178" s="2522"/>
      <c r="DEG178" s="2522"/>
      <c r="DEH178" s="2522"/>
      <c r="DEI178" s="2522"/>
      <c r="DEJ178" s="2522"/>
      <c r="DEK178" s="2522"/>
      <c r="DEL178" s="2522"/>
      <c r="DEM178" s="2522"/>
      <c r="DEN178" s="2522"/>
      <c r="DEO178" s="2522"/>
      <c r="DEP178" s="2522"/>
      <c r="DEQ178" s="2522"/>
      <c r="DER178" s="2522"/>
      <c r="DES178" s="2522"/>
      <c r="DET178" s="2522"/>
      <c r="DEU178" s="2522"/>
      <c r="DEV178" s="2522"/>
      <c r="DEW178" s="2522"/>
      <c r="DEX178" s="2522"/>
      <c r="DEY178" s="2522"/>
      <c r="DEZ178" s="2522"/>
      <c r="DFA178" s="2522"/>
      <c r="DFB178" s="2522"/>
      <c r="DFC178" s="2522"/>
      <c r="DFD178" s="2522"/>
      <c r="DFE178" s="2522"/>
      <c r="DFF178" s="2522"/>
      <c r="DFG178" s="2522"/>
      <c r="DFH178" s="2522"/>
      <c r="DFI178" s="2522"/>
      <c r="DFJ178" s="2522"/>
      <c r="DFK178" s="2522"/>
      <c r="DFL178" s="2522"/>
      <c r="DFM178" s="2522"/>
      <c r="DFN178" s="2522"/>
      <c r="DFO178" s="2522"/>
      <c r="DFP178" s="2522"/>
      <c r="DFQ178" s="2522"/>
      <c r="DFR178" s="2522"/>
      <c r="DFS178" s="2522"/>
      <c r="DFT178" s="2522"/>
      <c r="DFU178" s="2522"/>
      <c r="DFV178" s="2522"/>
      <c r="DFW178" s="2522"/>
      <c r="DFX178" s="2522"/>
      <c r="DFY178" s="2522"/>
      <c r="DFZ178" s="2522"/>
      <c r="DGA178" s="2522"/>
      <c r="DGB178" s="2522"/>
      <c r="DGC178" s="2522"/>
      <c r="DGD178" s="2522"/>
      <c r="DGE178" s="2522"/>
      <c r="DGF178" s="2522"/>
      <c r="DGG178" s="2522"/>
      <c r="DGH178" s="2522"/>
      <c r="DGI178" s="2522"/>
      <c r="DGJ178" s="2522"/>
      <c r="DGK178" s="2522"/>
      <c r="DGL178" s="2522"/>
      <c r="DGM178" s="2522"/>
      <c r="DGN178" s="2522"/>
      <c r="DGO178" s="2522"/>
      <c r="DGP178" s="2522"/>
      <c r="DGQ178" s="2522"/>
      <c r="DGR178" s="2522"/>
      <c r="DGS178" s="2522"/>
      <c r="DGT178" s="2522"/>
      <c r="DGU178" s="2522"/>
      <c r="DGV178" s="2522"/>
      <c r="DGW178" s="2522"/>
      <c r="DGX178" s="2522"/>
      <c r="DGY178" s="2522"/>
      <c r="DGZ178" s="2522"/>
      <c r="DHA178" s="2522"/>
      <c r="DHB178" s="2522"/>
      <c r="DHC178" s="2522"/>
      <c r="DHD178" s="2522"/>
      <c r="DHE178" s="2522"/>
      <c r="DHF178" s="2522"/>
      <c r="DHG178" s="2522"/>
      <c r="DHH178" s="2522"/>
      <c r="DHI178" s="2522"/>
      <c r="DHJ178" s="2522"/>
      <c r="DHK178" s="2522"/>
      <c r="DHL178" s="2522"/>
      <c r="DHM178" s="2522"/>
      <c r="DHN178" s="2522"/>
      <c r="DHO178" s="2522"/>
      <c r="DHP178" s="2522"/>
      <c r="DHQ178" s="2522"/>
      <c r="DHR178" s="2522"/>
      <c r="DHS178" s="2522"/>
      <c r="DHT178" s="2522"/>
      <c r="DHU178" s="2522"/>
      <c r="DHV178" s="2522"/>
      <c r="DHW178" s="2522"/>
      <c r="DHX178" s="2522"/>
      <c r="DHY178" s="2522"/>
      <c r="DHZ178" s="2522"/>
      <c r="DIA178" s="2522"/>
      <c r="DIB178" s="2522"/>
      <c r="DIC178" s="2522"/>
      <c r="DID178" s="2522"/>
      <c r="DIE178" s="2522"/>
      <c r="DIF178" s="2522"/>
      <c r="DIG178" s="2522"/>
      <c r="DIH178" s="2522"/>
      <c r="DII178" s="2522"/>
      <c r="DIJ178" s="2522"/>
      <c r="DIK178" s="2522"/>
      <c r="DIL178" s="2522"/>
      <c r="DIM178" s="2522"/>
      <c r="DIN178" s="2522"/>
      <c r="DIO178" s="2522"/>
      <c r="DIP178" s="2522"/>
      <c r="DIQ178" s="2522"/>
      <c r="DIR178" s="2522"/>
      <c r="DIS178" s="2522"/>
      <c r="DIT178" s="2522"/>
      <c r="DIU178" s="2522"/>
      <c r="DIV178" s="2522"/>
      <c r="DIW178" s="2522"/>
      <c r="DIX178" s="2522"/>
      <c r="DIY178" s="2522"/>
      <c r="DIZ178" s="2522"/>
      <c r="DJA178" s="2522"/>
      <c r="DJB178" s="2522"/>
      <c r="DJC178" s="2522"/>
      <c r="DJD178" s="2522"/>
      <c r="DJE178" s="2522"/>
      <c r="DJF178" s="2522"/>
      <c r="DJG178" s="2522"/>
      <c r="DJH178" s="2522"/>
      <c r="DJI178" s="2522"/>
      <c r="DJJ178" s="2522"/>
      <c r="DJK178" s="2522"/>
      <c r="DJL178" s="2522"/>
      <c r="DJM178" s="2522"/>
      <c r="DJN178" s="2522"/>
      <c r="DJO178" s="2522"/>
      <c r="DJP178" s="2522"/>
      <c r="DJQ178" s="2522"/>
      <c r="DJR178" s="2522"/>
      <c r="DJS178" s="2522"/>
      <c r="DJT178" s="2522"/>
      <c r="DJU178" s="2522"/>
      <c r="DJV178" s="2522"/>
      <c r="DJW178" s="2522"/>
      <c r="DJX178" s="2522"/>
      <c r="DJY178" s="2522"/>
      <c r="DJZ178" s="2522"/>
      <c r="DKA178" s="2522"/>
      <c r="DKB178" s="2522"/>
      <c r="DKC178" s="2522"/>
      <c r="DKD178" s="2522"/>
      <c r="DKE178" s="2522"/>
      <c r="DKF178" s="2522"/>
      <c r="DKG178" s="2522"/>
      <c r="DKH178" s="2522"/>
      <c r="DKI178" s="2522"/>
      <c r="DKJ178" s="2522"/>
      <c r="DKK178" s="2522"/>
      <c r="DKL178" s="2522"/>
      <c r="DKM178" s="2522"/>
      <c r="DKN178" s="2522"/>
      <c r="DKO178" s="2522"/>
      <c r="DKP178" s="2522"/>
      <c r="DKQ178" s="2522"/>
      <c r="DKR178" s="2522"/>
      <c r="DKS178" s="2522"/>
      <c r="DKT178" s="2522"/>
      <c r="DKU178" s="2522"/>
      <c r="DKV178" s="2522"/>
      <c r="DKW178" s="2522"/>
      <c r="DKX178" s="2522"/>
      <c r="DKY178" s="2522"/>
      <c r="DKZ178" s="2522"/>
      <c r="DLA178" s="2522"/>
      <c r="DLB178" s="2522"/>
      <c r="DLC178" s="2522"/>
      <c r="DLD178" s="2522"/>
      <c r="DLE178" s="2522"/>
      <c r="DLF178" s="2522"/>
      <c r="DLG178" s="2522"/>
      <c r="DLH178" s="2522"/>
      <c r="DLI178" s="2522"/>
      <c r="DLJ178" s="2522"/>
      <c r="DLK178" s="2522"/>
      <c r="DLL178" s="2522"/>
      <c r="DLM178" s="2522"/>
      <c r="DLN178" s="2522"/>
      <c r="DLO178" s="2522"/>
      <c r="DLP178" s="2522"/>
      <c r="DLQ178" s="2522"/>
      <c r="DLR178" s="2522"/>
      <c r="DLS178" s="2522"/>
      <c r="DLT178" s="2522"/>
      <c r="DLU178" s="2522"/>
      <c r="DLV178" s="2522"/>
      <c r="DLW178" s="2522"/>
      <c r="DLX178" s="2522"/>
      <c r="DLY178" s="2522"/>
      <c r="DLZ178" s="2522"/>
      <c r="DMA178" s="2522"/>
      <c r="DMB178" s="2522"/>
      <c r="DMC178" s="2522"/>
      <c r="DMD178" s="2522"/>
      <c r="DME178" s="2522"/>
      <c r="DMF178" s="2522"/>
      <c r="DMG178" s="2522"/>
      <c r="DMH178" s="2522"/>
      <c r="DMI178" s="2522"/>
      <c r="DMJ178" s="2522"/>
      <c r="DMK178" s="2522"/>
      <c r="DML178" s="2522"/>
      <c r="DMM178" s="2522"/>
      <c r="DMN178" s="2522"/>
      <c r="DMO178" s="2522"/>
      <c r="DMP178" s="2522"/>
      <c r="DMQ178" s="2522"/>
      <c r="DMR178" s="2522"/>
      <c r="DMS178" s="2522"/>
      <c r="DMT178" s="2522"/>
      <c r="DMU178" s="2522"/>
      <c r="DMV178" s="2522"/>
      <c r="DMW178" s="2522"/>
      <c r="DMX178" s="2522"/>
      <c r="DMY178" s="2522"/>
      <c r="DMZ178" s="2522"/>
      <c r="DNA178" s="2522"/>
      <c r="DNB178" s="2522"/>
      <c r="DNC178" s="2522"/>
      <c r="DND178" s="2522"/>
      <c r="DNE178" s="2522"/>
      <c r="DNF178" s="2522"/>
      <c r="DNG178" s="2522"/>
      <c r="DNH178" s="2522"/>
      <c r="DNI178" s="2522"/>
      <c r="DNJ178" s="2522"/>
      <c r="DNK178" s="2522"/>
      <c r="DNL178" s="2522"/>
      <c r="DNM178" s="2522"/>
      <c r="DNN178" s="2522"/>
      <c r="DNO178" s="2522"/>
      <c r="DNP178" s="2522"/>
      <c r="DNQ178" s="2522"/>
      <c r="DNR178" s="2522"/>
      <c r="DNS178" s="2522"/>
      <c r="DNT178" s="2522"/>
      <c r="DNU178" s="2522"/>
      <c r="DNV178" s="2522"/>
      <c r="DNW178" s="2522"/>
      <c r="DNX178" s="2522"/>
      <c r="DNY178" s="2522"/>
      <c r="DNZ178" s="2522"/>
      <c r="DOA178" s="2522"/>
      <c r="DOB178" s="2522"/>
      <c r="DOC178" s="2522"/>
      <c r="DOD178" s="2522"/>
      <c r="DOE178" s="2522"/>
      <c r="DOF178" s="2522"/>
      <c r="DOG178" s="2522"/>
      <c r="DOH178" s="2522"/>
      <c r="DOI178" s="2522"/>
      <c r="DOJ178" s="2522"/>
      <c r="DOK178" s="2522"/>
      <c r="DOL178" s="2522"/>
      <c r="DOM178" s="2522"/>
      <c r="DON178" s="2522"/>
      <c r="DOO178" s="2522"/>
      <c r="DOP178" s="2522"/>
      <c r="DOQ178" s="2522"/>
      <c r="DOR178" s="2522"/>
      <c r="DOS178" s="2522"/>
      <c r="DOT178" s="2522"/>
      <c r="DOU178" s="2522"/>
      <c r="DOV178" s="2522"/>
      <c r="DOW178" s="2522"/>
      <c r="DOX178" s="2522"/>
      <c r="DOY178" s="2522"/>
      <c r="DOZ178" s="2522"/>
      <c r="DPA178" s="2522"/>
      <c r="DPB178" s="2522"/>
      <c r="DPC178" s="2522"/>
      <c r="DPD178" s="2522"/>
      <c r="DPE178" s="2522"/>
      <c r="DPF178" s="2522"/>
      <c r="DPG178" s="2522"/>
      <c r="DPH178" s="2522"/>
      <c r="DPI178" s="2522"/>
      <c r="DPJ178" s="2522"/>
      <c r="DPK178" s="2522"/>
      <c r="DPL178" s="2522"/>
      <c r="DPM178" s="2522"/>
      <c r="DPN178" s="2522"/>
      <c r="DPO178" s="2522"/>
      <c r="DPP178" s="2522"/>
      <c r="DPQ178" s="2522"/>
      <c r="DPR178" s="2522"/>
      <c r="DPS178" s="2522"/>
      <c r="DPT178" s="2522"/>
      <c r="DPU178" s="2522"/>
      <c r="DPV178" s="2522"/>
      <c r="DPW178" s="2522"/>
      <c r="DPX178" s="2522"/>
      <c r="DPY178" s="2522"/>
      <c r="DPZ178" s="2522"/>
      <c r="DQA178" s="2522"/>
      <c r="DQB178" s="2522"/>
      <c r="DQC178" s="2522"/>
      <c r="DQD178" s="2522"/>
      <c r="DQE178" s="2522"/>
      <c r="DQF178" s="2522"/>
      <c r="DQG178" s="2522"/>
      <c r="DQH178" s="2522"/>
      <c r="DQI178" s="2522"/>
      <c r="DQJ178" s="2522"/>
      <c r="DQK178" s="2522"/>
      <c r="DQL178" s="2522"/>
      <c r="DQM178" s="2522"/>
      <c r="DQN178" s="2522"/>
      <c r="DQO178" s="2522"/>
      <c r="DQP178" s="2522"/>
      <c r="DQQ178" s="2522"/>
      <c r="DQR178" s="2522"/>
      <c r="DQS178" s="2522"/>
      <c r="DQT178" s="2522"/>
      <c r="DQU178" s="2522"/>
      <c r="DQV178" s="2522"/>
      <c r="DQW178" s="2522"/>
      <c r="DQX178" s="2522"/>
      <c r="DQY178" s="2522"/>
      <c r="DQZ178" s="2522"/>
      <c r="DRA178" s="2522"/>
      <c r="DRB178" s="2522"/>
      <c r="DRC178" s="2522"/>
      <c r="DRD178" s="2522"/>
      <c r="DRE178" s="2522"/>
      <c r="DRF178" s="2522"/>
      <c r="DRG178" s="2522"/>
      <c r="DRH178" s="2522"/>
      <c r="DRI178" s="2522"/>
      <c r="DRJ178" s="2522"/>
      <c r="DRK178" s="2522"/>
      <c r="DRL178" s="2522"/>
      <c r="DRM178" s="2522"/>
      <c r="DRN178" s="2522"/>
      <c r="DRO178" s="2522"/>
      <c r="DRP178" s="2522"/>
      <c r="DRQ178" s="2522"/>
      <c r="DRR178" s="2522"/>
      <c r="DRS178" s="2522"/>
      <c r="DRT178" s="2522"/>
      <c r="DRU178" s="2522"/>
      <c r="DRV178" s="2522"/>
      <c r="DRW178" s="2522"/>
      <c r="DRX178" s="2522"/>
      <c r="DRY178" s="2522"/>
      <c r="DRZ178" s="2522"/>
      <c r="DSA178" s="2522"/>
      <c r="DSB178" s="2522"/>
      <c r="DSC178" s="2522"/>
      <c r="DSD178" s="2522"/>
      <c r="DSE178" s="2522"/>
      <c r="DSF178" s="2522"/>
      <c r="DSG178" s="2522"/>
      <c r="DSH178" s="2522"/>
      <c r="DSI178" s="2522"/>
      <c r="DSJ178" s="2522"/>
      <c r="DSK178" s="2522"/>
      <c r="DSL178" s="2522"/>
      <c r="DSM178" s="2522"/>
      <c r="DSN178" s="2522"/>
      <c r="DSO178" s="2522"/>
      <c r="DSP178" s="2522"/>
      <c r="DSQ178" s="2522"/>
      <c r="DSR178" s="2522"/>
      <c r="DSS178" s="2522"/>
      <c r="DST178" s="2522"/>
      <c r="DSU178" s="2522"/>
      <c r="DSV178" s="2522"/>
      <c r="DSW178" s="2522"/>
      <c r="DSX178" s="2522"/>
      <c r="DSY178" s="2522"/>
      <c r="DSZ178" s="2522"/>
      <c r="DTA178" s="2522"/>
      <c r="DTB178" s="2522"/>
      <c r="DTC178" s="2522"/>
      <c r="DTD178" s="2522"/>
      <c r="DTE178" s="2522"/>
      <c r="DTF178" s="2522"/>
      <c r="DTG178" s="2522"/>
      <c r="DTH178" s="2522"/>
      <c r="DTI178" s="2522"/>
      <c r="DTJ178" s="2522"/>
      <c r="DTK178" s="2522"/>
      <c r="DTL178" s="2522"/>
      <c r="DTM178" s="2522"/>
      <c r="DTN178" s="2522"/>
      <c r="DTO178" s="2522"/>
      <c r="DTP178" s="2522"/>
      <c r="DTQ178" s="2522"/>
      <c r="DTR178" s="2522"/>
      <c r="DTS178" s="2522"/>
      <c r="DTT178" s="2522"/>
      <c r="DTU178" s="2522"/>
      <c r="DTV178" s="2522"/>
      <c r="DTW178" s="2522"/>
      <c r="DTX178" s="2522"/>
      <c r="DTY178" s="2522"/>
      <c r="DTZ178" s="2522"/>
      <c r="DUA178" s="2522"/>
      <c r="DUB178" s="2522"/>
      <c r="DUC178" s="2522"/>
      <c r="DUD178" s="2522"/>
      <c r="DUE178" s="2522"/>
      <c r="DUF178" s="2522"/>
      <c r="DUG178" s="2522"/>
      <c r="DUH178" s="2522"/>
      <c r="DUI178" s="2522"/>
      <c r="DUJ178" s="2522"/>
      <c r="DUK178" s="2522"/>
      <c r="DUL178" s="2522"/>
      <c r="DUM178" s="2522"/>
      <c r="DUN178" s="2522"/>
      <c r="DUO178" s="2522"/>
      <c r="DUP178" s="2522"/>
      <c r="DUQ178" s="2522"/>
      <c r="DUR178" s="2522"/>
      <c r="DUS178" s="2522"/>
      <c r="DUT178" s="2522"/>
      <c r="DUU178" s="2522"/>
      <c r="DUV178" s="2522"/>
      <c r="DUW178" s="2522"/>
      <c r="DUX178" s="2522"/>
      <c r="DUY178" s="2522"/>
      <c r="DUZ178" s="2522"/>
      <c r="DVA178" s="2522"/>
      <c r="DVB178" s="2522"/>
      <c r="DVC178" s="2522"/>
      <c r="DVD178" s="2522"/>
      <c r="DVE178" s="2522"/>
      <c r="DVF178" s="2522"/>
      <c r="DVG178" s="2522"/>
      <c r="DVH178" s="2522"/>
      <c r="DVI178" s="2522"/>
      <c r="DVJ178" s="2522"/>
      <c r="DVK178" s="2522"/>
      <c r="DVL178" s="2522"/>
      <c r="DVM178" s="2522"/>
      <c r="DVN178" s="2522"/>
      <c r="DVO178" s="2522"/>
      <c r="DVP178" s="2522"/>
      <c r="DVQ178" s="2522"/>
      <c r="DVR178" s="2522"/>
      <c r="DVS178" s="2522"/>
      <c r="DVT178" s="2522"/>
      <c r="DVU178" s="2522"/>
      <c r="DVV178" s="2522"/>
      <c r="DVW178" s="2522"/>
      <c r="DVX178" s="2522"/>
      <c r="DVY178" s="2522"/>
      <c r="DVZ178" s="2522"/>
      <c r="DWA178" s="2522"/>
      <c r="DWB178" s="2522"/>
      <c r="DWC178" s="2522"/>
      <c r="DWD178" s="2522"/>
      <c r="DWE178" s="2522"/>
      <c r="DWF178" s="2522"/>
      <c r="DWG178" s="2522"/>
      <c r="DWH178" s="2522"/>
      <c r="DWI178" s="2522"/>
      <c r="DWJ178" s="2522"/>
      <c r="DWK178" s="2522"/>
      <c r="DWL178" s="2522"/>
      <c r="DWM178" s="2522"/>
      <c r="DWN178" s="2522"/>
      <c r="DWO178" s="2522"/>
      <c r="DWP178" s="2522"/>
      <c r="DWQ178" s="2522"/>
      <c r="DWR178" s="2522"/>
      <c r="DWS178" s="2522"/>
      <c r="DWT178" s="2522"/>
      <c r="DWU178" s="2522"/>
      <c r="DWV178" s="2522"/>
      <c r="DWW178" s="2522"/>
      <c r="DWX178" s="2522"/>
      <c r="DWY178" s="2522"/>
      <c r="DWZ178" s="2522"/>
      <c r="DXA178" s="2522"/>
      <c r="DXB178" s="2522"/>
      <c r="DXC178" s="2522"/>
      <c r="DXD178" s="2522"/>
      <c r="DXE178" s="2522"/>
      <c r="DXF178" s="2522"/>
      <c r="DXG178" s="2522"/>
      <c r="DXH178" s="2522"/>
      <c r="DXI178" s="2522"/>
      <c r="DXJ178" s="2522"/>
      <c r="DXK178" s="2522"/>
      <c r="DXL178" s="2522"/>
      <c r="DXM178" s="2522"/>
      <c r="DXN178" s="2522"/>
      <c r="DXO178" s="2522"/>
      <c r="DXP178" s="2522"/>
      <c r="DXQ178" s="2522"/>
      <c r="DXR178" s="2522"/>
      <c r="DXS178" s="2522"/>
      <c r="DXT178" s="2522"/>
      <c r="DXU178" s="2522"/>
      <c r="DXV178" s="2522"/>
      <c r="DXW178" s="2522"/>
      <c r="DXX178" s="2522"/>
      <c r="DXY178" s="2522"/>
      <c r="DXZ178" s="2522"/>
      <c r="DYA178" s="2522"/>
      <c r="DYB178" s="2522"/>
      <c r="DYC178" s="2522"/>
      <c r="DYD178" s="2522"/>
      <c r="DYE178" s="2522"/>
      <c r="DYF178" s="2522"/>
      <c r="DYG178" s="2522"/>
      <c r="DYH178" s="2522"/>
      <c r="DYI178" s="2522"/>
      <c r="DYJ178" s="2522"/>
      <c r="DYK178" s="2522"/>
      <c r="DYL178" s="2522"/>
      <c r="DYM178" s="2522"/>
      <c r="DYN178" s="2522"/>
      <c r="DYO178" s="2522"/>
      <c r="DYP178" s="2522"/>
      <c r="DYQ178" s="2522"/>
      <c r="DYR178" s="2522"/>
      <c r="DYS178" s="2522"/>
      <c r="DYT178" s="2522"/>
      <c r="DYU178" s="2522"/>
      <c r="DYV178" s="2522"/>
      <c r="DYW178" s="2522"/>
      <c r="DYX178" s="2522"/>
      <c r="DYY178" s="2522"/>
      <c r="DYZ178" s="2522"/>
      <c r="DZA178" s="2522"/>
      <c r="DZB178" s="2522"/>
      <c r="DZC178" s="2522"/>
      <c r="DZD178" s="2522"/>
      <c r="DZE178" s="2522"/>
      <c r="DZF178" s="2522"/>
      <c r="DZG178" s="2522"/>
      <c r="DZH178" s="2522"/>
      <c r="DZI178" s="2522"/>
      <c r="DZJ178" s="2522"/>
      <c r="DZK178" s="2522"/>
      <c r="DZL178" s="2522"/>
      <c r="DZM178" s="2522"/>
      <c r="DZN178" s="2522"/>
      <c r="DZO178" s="2522"/>
      <c r="DZP178" s="2522"/>
      <c r="DZQ178" s="2522"/>
      <c r="DZR178" s="2522"/>
      <c r="DZS178" s="2522"/>
      <c r="DZT178" s="2522"/>
      <c r="DZU178" s="2522"/>
      <c r="DZV178" s="2522"/>
      <c r="DZW178" s="2522"/>
      <c r="DZX178" s="2522"/>
      <c r="DZY178" s="2522"/>
      <c r="DZZ178" s="2522"/>
      <c r="EAA178" s="2522"/>
      <c r="EAB178" s="2522"/>
      <c r="EAC178" s="2522"/>
      <c r="EAD178" s="2522"/>
      <c r="EAE178" s="2522"/>
      <c r="EAF178" s="2522"/>
      <c r="EAG178" s="2522"/>
      <c r="EAH178" s="2522"/>
      <c r="EAI178" s="2522"/>
      <c r="EAJ178" s="2522"/>
      <c r="EAK178" s="2522"/>
      <c r="EAL178" s="2522"/>
      <c r="EAM178" s="2522"/>
      <c r="EAN178" s="2522"/>
      <c r="EAO178" s="2522"/>
      <c r="EAP178" s="2522"/>
      <c r="EAQ178" s="2522"/>
      <c r="EAR178" s="2522"/>
      <c r="EAS178" s="2522"/>
      <c r="EAT178" s="2522"/>
      <c r="EAU178" s="2522"/>
      <c r="EAV178" s="2522"/>
      <c r="EAW178" s="2522"/>
      <c r="EAX178" s="2522"/>
      <c r="EAY178" s="2522"/>
      <c r="EAZ178" s="2522"/>
      <c r="EBA178" s="2522"/>
      <c r="EBB178" s="2522"/>
      <c r="EBC178" s="2522"/>
      <c r="EBD178" s="2522"/>
      <c r="EBE178" s="2522"/>
      <c r="EBF178" s="2522"/>
      <c r="EBG178" s="2522"/>
      <c r="EBH178" s="2522"/>
      <c r="EBI178" s="2522"/>
      <c r="EBJ178" s="2522"/>
      <c r="EBK178" s="2522"/>
      <c r="EBL178" s="2522"/>
      <c r="EBM178" s="2522"/>
      <c r="EBN178" s="2522"/>
      <c r="EBO178" s="2522"/>
      <c r="EBP178" s="2522"/>
      <c r="EBQ178" s="2522"/>
      <c r="EBR178" s="2522"/>
      <c r="EBS178" s="2522"/>
      <c r="EBT178" s="2522"/>
      <c r="EBU178" s="2522"/>
      <c r="EBV178" s="2522"/>
      <c r="EBW178" s="2522"/>
      <c r="EBX178" s="2522"/>
      <c r="EBY178" s="2522"/>
      <c r="EBZ178" s="2522"/>
      <c r="ECA178" s="2522"/>
      <c r="ECB178" s="2522"/>
      <c r="ECC178" s="2522"/>
      <c r="ECD178" s="2522"/>
      <c r="ECE178" s="2522"/>
      <c r="ECF178" s="2522"/>
      <c r="ECG178" s="2522"/>
      <c r="ECH178" s="2522"/>
      <c r="ECI178" s="2522"/>
      <c r="ECJ178" s="2522"/>
      <c r="ECK178" s="2522"/>
      <c r="ECL178" s="2522"/>
      <c r="ECM178" s="2522"/>
      <c r="ECN178" s="2522"/>
      <c r="ECO178" s="2522"/>
      <c r="ECP178" s="2522"/>
      <c r="ECQ178" s="2522"/>
      <c r="ECR178" s="2522"/>
      <c r="ECS178" s="2522"/>
      <c r="ECT178" s="2522"/>
      <c r="ECU178" s="2522"/>
      <c r="ECV178" s="2522"/>
      <c r="ECW178" s="2522"/>
      <c r="ECX178" s="2522"/>
      <c r="ECY178" s="2522"/>
      <c r="ECZ178" s="2522"/>
      <c r="EDA178" s="2522"/>
      <c r="EDB178" s="2522"/>
      <c r="EDC178" s="2522"/>
      <c r="EDD178" s="2522"/>
      <c r="EDE178" s="2522"/>
      <c r="EDF178" s="2522"/>
      <c r="EDG178" s="2522"/>
      <c r="EDH178" s="2522"/>
      <c r="EDI178" s="2522"/>
      <c r="EDJ178" s="2522"/>
      <c r="EDK178" s="2522"/>
      <c r="EDL178" s="2522"/>
      <c r="EDM178" s="2522"/>
      <c r="EDN178" s="2522"/>
      <c r="EDO178" s="2522"/>
      <c r="EDP178" s="2522"/>
      <c r="EDQ178" s="2522"/>
      <c r="EDR178" s="2522"/>
      <c r="EDS178" s="2522"/>
      <c r="EDT178" s="2522"/>
      <c r="EDU178" s="2522"/>
      <c r="EDV178" s="2522"/>
      <c r="EDW178" s="2522"/>
      <c r="EDX178" s="2522"/>
      <c r="EDY178" s="2522"/>
      <c r="EDZ178" s="2522"/>
      <c r="EEA178" s="2522"/>
      <c r="EEB178" s="2522"/>
      <c r="EEC178" s="2522"/>
      <c r="EED178" s="2522"/>
      <c r="EEE178" s="2522"/>
      <c r="EEF178" s="2522"/>
      <c r="EEG178" s="2522"/>
      <c r="EEH178" s="2522"/>
      <c r="EEI178" s="2522"/>
      <c r="EEJ178" s="2522"/>
      <c r="EEK178" s="2522"/>
      <c r="EEL178" s="2522"/>
      <c r="EEM178" s="2522"/>
      <c r="EEN178" s="2522"/>
      <c r="EEO178" s="2522"/>
      <c r="EEP178" s="2522"/>
      <c r="EEQ178" s="2522"/>
      <c r="EER178" s="2522"/>
      <c r="EES178" s="2522"/>
      <c r="EET178" s="2522"/>
      <c r="EEU178" s="2522"/>
      <c r="EEV178" s="2522"/>
      <c r="EEW178" s="2522"/>
      <c r="EEX178" s="2522"/>
      <c r="EEY178" s="2522"/>
      <c r="EEZ178" s="2522"/>
      <c r="EFA178" s="2522"/>
      <c r="EFB178" s="2522"/>
      <c r="EFC178" s="2522"/>
      <c r="EFD178" s="2522"/>
      <c r="EFE178" s="2522"/>
      <c r="EFF178" s="2522"/>
      <c r="EFG178" s="2522"/>
      <c r="EFH178" s="2522"/>
      <c r="EFI178" s="2522"/>
      <c r="EFJ178" s="2522"/>
      <c r="EFK178" s="2522"/>
      <c r="EFL178" s="2522"/>
      <c r="EFM178" s="2522"/>
      <c r="EFN178" s="2522"/>
      <c r="EFO178" s="2522"/>
      <c r="EFP178" s="2522"/>
      <c r="EFQ178" s="2522"/>
      <c r="EFR178" s="2522"/>
      <c r="EFS178" s="2522"/>
      <c r="EFT178" s="2522"/>
      <c r="EFU178" s="2522"/>
      <c r="EFV178" s="2522"/>
      <c r="EFW178" s="2522"/>
      <c r="EFX178" s="2522"/>
      <c r="EFY178" s="2522"/>
      <c r="EFZ178" s="2522"/>
      <c r="EGA178" s="2522"/>
      <c r="EGB178" s="2522"/>
      <c r="EGC178" s="2522"/>
      <c r="EGD178" s="2522"/>
      <c r="EGE178" s="2522"/>
      <c r="EGF178" s="2522"/>
      <c r="EGG178" s="2522"/>
      <c r="EGH178" s="2522"/>
      <c r="EGI178" s="2522"/>
      <c r="EGJ178" s="2522"/>
      <c r="EGK178" s="2522"/>
      <c r="EGL178" s="2522"/>
      <c r="EGM178" s="2522"/>
      <c r="EGN178" s="2522"/>
      <c r="EGO178" s="2522"/>
      <c r="EGP178" s="2522"/>
      <c r="EGQ178" s="2522"/>
      <c r="EGR178" s="2522"/>
      <c r="EGS178" s="2522"/>
      <c r="EGT178" s="2522"/>
      <c r="EGU178" s="2522"/>
      <c r="EGV178" s="2522"/>
      <c r="EGW178" s="2522"/>
      <c r="EGX178" s="2522"/>
      <c r="EGY178" s="2522"/>
      <c r="EGZ178" s="2522"/>
      <c r="EHA178" s="2522"/>
      <c r="EHB178" s="2522"/>
      <c r="EHC178" s="2522"/>
      <c r="EHD178" s="2522"/>
      <c r="EHE178" s="2522"/>
      <c r="EHF178" s="2522"/>
      <c r="EHG178" s="2522"/>
      <c r="EHH178" s="2522"/>
      <c r="EHI178" s="2522"/>
      <c r="EHJ178" s="2522"/>
      <c r="EHK178" s="2522"/>
      <c r="EHL178" s="2522"/>
      <c r="EHM178" s="2522"/>
      <c r="EHN178" s="2522"/>
      <c r="EHO178" s="2522"/>
      <c r="EHP178" s="2522"/>
      <c r="EHQ178" s="2522"/>
      <c r="EHR178" s="2522"/>
      <c r="EHS178" s="2522"/>
      <c r="EHT178" s="2522"/>
      <c r="EHU178" s="2522"/>
      <c r="EHV178" s="2522"/>
      <c r="EHW178" s="2522"/>
      <c r="EHX178" s="2522"/>
      <c r="EHY178" s="2522"/>
      <c r="EHZ178" s="2522"/>
      <c r="EIA178" s="2522"/>
      <c r="EIB178" s="2522"/>
      <c r="EIC178" s="2522"/>
      <c r="EID178" s="2522"/>
      <c r="EIE178" s="2522"/>
      <c r="EIF178" s="2522"/>
      <c r="EIG178" s="2522"/>
      <c r="EIH178" s="2522"/>
      <c r="EII178" s="2522"/>
      <c r="EIJ178" s="2522"/>
      <c r="EIK178" s="2522"/>
      <c r="EIL178" s="2522"/>
      <c r="EIM178" s="2522"/>
      <c r="EIN178" s="2522"/>
      <c r="EIO178" s="2522"/>
      <c r="EIP178" s="2522"/>
      <c r="EIQ178" s="2522"/>
      <c r="EIR178" s="2522"/>
      <c r="EIS178" s="2522"/>
      <c r="EIT178" s="2522"/>
      <c r="EIU178" s="2522"/>
      <c r="EIV178" s="2522"/>
      <c r="EIW178" s="2522"/>
      <c r="EIX178" s="2522"/>
      <c r="EIY178" s="2522"/>
      <c r="EIZ178" s="2522"/>
      <c r="EJA178" s="2522"/>
      <c r="EJB178" s="2522"/>
      <c r="EJC178" s="2522"/>
      <c r="EJD178" s="2522"/>
      <c r="EJE178" s="2522"/>
      <c r="EJF178" s="2522"/>
      <c r="EJG178" s="2522"/>
      <c r="EJH178" s="2522"/>
      <c r="EJI178" s="2522"/>
      <c r="EJJ178" s="2522"/>
      <c r="EJK178" s="2522"/>
      <c r="EJL178" s="2522"/>
      <c r="EJM178" s="2522"/>
      <c r="EJN178" s="2522"/>
      <c r="EJO178" s="2522"/>
      <c r="EJP178" s="2522"/>
      <c r="EJQ178" s="2522"/>
      <c r="EJR178" s="2522"/>
      <c r="EJS178" s="2522"/>
      <c r="EJT178" s="2522"/>
      <c r="EJU178" s="2522"/>
      <c r="EJV178" s="2522"/>
      <c r="EJW178" s="2522"/>
      <c r="EJX178" s="2522"/>
      <c r="EJY178" s="2522"/>
      <c r="EJZ178" s="2522"/>
      <c r="EKA178" s="2522"/>
      <c r="EKB178" s="2522"/>
      <c r="EKC178" s="2522"/>
      <c r="EKD178" s="2522"/>
      <c r="EKE178" s="2522"/>
      <c r="EKF178" s="2522"/>
      <c r="EKG178" s="2522"/>
      <c r="EKH178" s="2522"/>
      <c r="EKI178" s="2522"/>
      <c r="EKJ178" s="2522"/>
      <c r="EKK178" s="2522"/>
      <c r="EKL178" s="2522"/>
      <c r="EKM178" s="2522"/>
      <c r="EKN178" s="2522"/>
      <c r="EKO178" s="2522"/>
      <c r="EKP178" s="2522"/>
      <c r="EKQ178" s="2522"/>
      <c r="EKR178" s="2522"/>
      <c r="EKS178" s="2522"/>
      <c r="EKT178" s="2522"/>
      <c r="EKU178" s="2522"/>
      <c r="EKV178" s="2522"/>
      <c r="EKW178" s="2522"/>
      <c r="EKX178" s="2522"/>
      <c r="EKY178" s="2522"/>
      <c r="EKZ178" s="2522"/>
      <c r="ELA178" s="2522"/>
      <c r="ELB178" s="2522"/>
      <c r="ELC178" s="2522"/>
      <c r="ELD178" s="2522"/>
      <c r="ELE178" s="2522"/>
      <c r="ELF178" s="2522"/>
      <c r="ELG178" s="2522"/>
      <c r="ELH178" s="2522"/>
      <c r="ELI178" s="2522"/>
      <c r="ELJ178" s="2522"/>
      <c r="ELK178" s="2522"/>
      <c r="ELL178" s="2522"/>
      <c r="ELM178" s="2522"/>
      <c r="ELN178" s="2522"/>
      <c r="ELO178" s="2522"/>
      <c r="ELP178" s="2522"/>
      <c r="ELQ178" s="2522"/>
      <c r="ELR178" s="2522"/>
      <c r="ELS178" s="2522"/>
      <c r="ELT178" s="2522"/>
      <c r="ELU178" s="2522"/>
      <c r="ELV178" s="2522"/>
      <c r="ELW178" s="2522"/>
      <c r="ELX178" s="2522"/>
      <c r="ELY178" s="2522"/>
      <c r="ELZ178" s="2522"/>
      <c r="EMA178" s="2522"/>
      <c r="EMB178" s="2522"/>
      <c r="EMC178" s="2522"/>
      <c r="EMD178" s="2522"/>
      <c r="EME178" s="2522"/>
      <c r="EMF178" s="2522"/>
      <c r="EMG178" s="2522"/>
      <c r="EMH178" s="2522"/>
      <c r="EMI178" s="2522"/>
      <c r="EMJ178" s="2522"/>
      <c r="EMK178" s="2522"/>
      <c r="EML178" s="2522"/>
      <c r="EMM178" s="2522"/>
      <c r="EMN178" s="2522"/>
      <c r="EMO178" s="2522"/>
      <c r="EMP178" s="2522"/>
      <c r="EMQ178" s="2522"/>
      <c r="EMR178" s="2522"/>
      <c r="EMS178" s="2522"/>
      <c r="EMT178" s="2522"/>
      <c r="EMU178" s="2522"/>
      <c r="EMV178" s="2522"/>
      <c r="EMW178" s="2522"/>
      <c r="EMX178" s="2522"/>
      <c r="EMY178" s="2522"/>
      <c r="EMZ178" s="2522"/>
      <c r="ENA178" s="2522"/>
      <c r="ENB178" s="2522"/>
      <c r="ENC178" s="2522"/>
      <c r="END178" s="2522"/>
      <c r="ENE178" s="2522"/>
      <c r="ENF178" s="2522"/>
      <c r="ENG178" s="2522"/>
      <c r="ENH178" s="2522"/>
      <c r="ENI178" s="2522"/>
      <c r="ENJ178" s="2522"/>
      <c r="ENK178" s="2522"/>
      <c r="ENL178" s="2522"/>
      <c r="ENM178" s="2522"/>
      <c r="ENN178" s="2522"/>
      <c r="ENO178" s="2522"/>
      <c r="ENP178" s="2522"/>
      <c r="ENQ178" s="2522"/>
      <c r="ENR178" s="2522"/>
      <c r="ENS178" s="2522"/>
      <c r="ENT178" s="2522"/>
      <c r="ENU178" s="2522"/>
      <c r="ENV178" s="2522"/>
      <c r="ENW178" s="2522"/>
      <c r="ENX178" s="2522"/>
      <c r="ENY178" s="2522"/>
      <c r="ENZ178" s="2522"/>
      <c r="EOA178" s="2522"/>
      <c r="EOB178" s="2522"/>
      <c r="EOC178" s="2522"/>
      <c r="EOD178" s="2522"/>
      <c r="EOE178" s="2522"/>
      <c r="EOF178" s="2522"/>
      <c r="EOG178" s="2522"/>
      <c r="EOH178" s="2522"/>
      <c r="EOI178" s="2522"/>
      <c r="EOJ178" s="2522"/>
      <c r="EOK178" s="2522"/>
      <c r="EOL178" s="2522"/>
      <c r="EOM178" s="2522"/>
      <c r="EON178" s="2522"/>
      <c r="EOO178" s="2522"/>
      <c r="EOP178" s="2522"/>
      <c r="EOQ178" s="2522"/>
      <c r="EOR178" s="2522"/>
      <c r="EOS178" s="2522"/>
      <c r="EOT178" s="2522"/>
      <c r="EOU178" s="2522"/>
      <c r="EOV178" s="2522"/>
      <c r="EOW178" s="2522"/>
      <c r="EOX178" s="2522"/>
      <c r="EOY178" s="2522"/>
      <c r="EOZ178" s="2522"/>
      <c r="EPA178" s="2522"/>
      <c r="EPB178" s="2522"/>
      <c r="EPC178" s="2522"/>
      <c r="EPD178" s="2522"/>
      <c r="EPE178" s="2522"/>
      <c r="EPF178" s="2522"/>
      <c r="EPG178" s="2522"/>
      <c r="EPH178" s="2522"/>
      <c r="EPI178" s="2522"/>
      <c r="EPJ178" s="2522"/>
      <c r="EPK178" s="2522"/>
      <c r="EPL178" s="2522"/>
      <c r="EPM178" s="2522"/>
      <c r="EPN178" s="2522"/>
      <c r="EPO178" s="2522"/>
      <c r="EPP178" s="2522"/>
      <c r="EPQ178" s="2522"/>
      <c r="EPR178" s="2522"/>
      <c r="EPS178" s="2522"/>
      <c r="EPT178" s="2522"/>
      <c r="EPU178" s="2522"/>
      <c r="EPV178" s="2522"/>
      <c r="EPW178" s="2522"/>
      <c r="EPX178" s="2522"/>
      <c r="EPY178" s="2522"/>
      <c r="EPZ178" s="2522"/>
      <c r="EQA178" s="2522"/>
      <c r="EQB178" s="2522"/>
      <c r="EQC178" s="2522"/>
      <c r="EQD178" s="2522"/>
      <c r="EQE178" s="2522"/>
      <c r="EQF178" s="2522"/>
      <c r="EQG178" s="2522"/>
      <c r="EQH178" s="2522"/>
      <c r="EQI178" s="2522"/>
      <c r="EQJ178" s="2522"/>
      <c r="EQK178" s="2522"/>
      <c r="EQL178" s="2522"/>
      <c r="EQM178" s="2522"/>
      <c r="EQN178" s="2522"/>
      <c r="EQO178" s="2522"/>
      <c r="EQP178" s="2522"/>
      <c r="EQQ178" s="2522"/>
      <c r="EQR178" s="2522"/>
      <c r="EQS178" s="2522"/>
      <c r="EQT178" s="2522"/>
      <c r="EQU178" s="2522"/>
      <c r="EQV178" s="2522"/>
      <c r="EQW178" s="2522"/>
      <c r="EQX178" s="2522"/>
      <c r="EQY178" s="2522"/>
      <c r="EQZ178" s="2522"/>
      <c r="ERA178" s="2522"/>
      <c r="ERB178" s="2522"/>
      <c r="ERC178" s="2522"/>
      <c r="ERD178" s="2522"/>
      <c r="ERE178" s="2522"/>
      <c r="ERF178" s="2522"/>
      <c r="ERG178" s="2522"/>
      <c r="ERH178" s="2522"/>
      <c r="ERI178" s="2522"/>
      <c r="ERJ178" s="2522"/>
      <c r="ERK178" s="2522"/>
      <c r="ERL178" s="2522"/>
      <c r="ERM178" s="2522"/>
      <c r="ERN178" s="2522"/>
      <c r="ERO178" s="2522"/>
      <c r="ERP178" s="2522"/>
      <c r="ERQ178" s="2522"/>
      <c r="ERR178" s="2522"/>
      <c r="ERS178" s="2522"/>
      <c r="ERT178" s="2522"/>
      <c r="ERU178" s="2522"/>
      <c r="ERV178" s="2522"/>
      <c r="ERW178" s="2522"/>
      <c r="ERX178" s="2522"/>
      <c r="ERY178" s="2522"/>
      <c r="ERZ178" s="2522"/>
      <c r="ESA178" s="2522"/>
      <c r="ESB178" s="2522"/>
      <c r="ESC178" s="2522"/>
      <c r="ESD178" s="2522"/>
      <c r="ESE178" s="2522"/>
      <c r="ESF178" s="2522"/>
      <c r="ESG178" s="2522"/>
      <c r="ESH178" s="2522"/>
      <c r="ESI178" s="2522"/>
      <c r="ESJ178" s="2522"/>
      <c r="ESK178" s="2522"/>
      <c r="ESL178" s="2522"/>
      <c r="ESM178" s="2522"/>
      <c r="ESN178" s="2522"/>
      <c r="ESO178" s="2522"/>
      <c r="ESP178" s="2522"/>
      <c r="ESQ178" s="2522"/>
      <c r="ESR178" s="2522"/>
      <c r="ESS178" s="2522"/>
      <c r="EST178" s="2522"/>
      <c r="ESU178" s="2522"/>
      <c r="ESV178" s="2522"/>
      <c r="ESW178" s="2522"/>
      <c r="ESX178" s="2522"/>
      <c r="ESY178" s="2522"/>
      <c r="ESZ178" s="2522"/>
      <c r="ETA178" s="2522"/>
      <c r="ETB178" s="2522"/>
      <c r="ETC178" s="2522"/>
      <c r="ETD178" s="2522"/>
      <c r="ETE178" s="2522"/>
      <c r="ETF178" s="2522"/>
      <c r="ETG178" s="2522"/>
      <c r="ETH178" s="2522"/>
      <c r="ETI178" s="2522"/>
      <c r="ETJ178" s="2522"/>
      <c r="ETK178" s="2522"/>
      <c r="ETL178" s="2522"/>
      <c r="ETM178" s="2522"/>
      <c r="ETN178" s="2522"/>
      <c r="ETO178" s="2522"/>
      <c r="ETP178" s="2522"/>
      <c r="ETQ178" s="2522"/>
      <c r="ETR178" s="2522"/>
      <c r="ETS178" s="2522"/>
      <c r="ETT178" s="2522"/>
      <c r="ETU178" s="2522"/>
      <c r="ETV178" s="2522"/>
      <c r="ETW178" s="2522"/>
      <c r="ETX178" s="2522"/>
      <c r="ETY178" s="2522"/>
      <c r="ETZ178" s="2522"/>
      <c r="EUA178" s="2522"/>
      <c r="EUB178" s="2522"/>
      <c r="EUC178" s="2522"/>
      <c r="EUD178" s="2522"/>
      <c r="EUE178" s="2522"/>
      <c r="EUF178" s="2522"/>
      <c r="EUG178" s="2522"/>
      <c r="EUH178" s="2522"/>
      <c r="EUI178" s="2522"/>
      <c r="EUJ178" s="2522"/>
      <c r="EUK178" s="2522"/>
      <c r="EUL178" s="2522"/>
      <c r="EUM178" s="2522"/>
      <c r="EUN178" s="2522"/>
      <c r="EUO178" s="2522"/>
      <c r="EUP178" s="2522"/>
      <c r="EUQ178" s="2522"/>
      <c r="EUR178" s="2522"/>
      <c r="EUS178" s="2522"/>
      <c r="EUT178" s="2522"/>
      <c r="EUU178" s="2522"/>
      <c r="EUV178" s="2522"/>
      <c r="EUW178" s="2522"/>
      <c r="EUX178" s="2522"/>
      <c r="EUY178" s="2522"/>
      <c r="EUZ178" s="2522"/>
      <c r="EVA178" s="2522"/>
      <c r="EVB178" s="2522"/>
      <c r="EVC178" s="2522"/>
      <c r="EVD178" s="2522"/>
      <c r="EVE178" s="2522"/>
      <c r="EVF178" s="2522"/>
      <c r="EVG178" s="2522"/>
      <c r="EVH178" s="2522"/>
      <c r="EVI178" s="2522"/>
      <c r="EVJ178" s="2522"/>
      <c r="EVK178" s="2522"/>
      <c r="EVL178" s="2522"/>
      <c r="EVM178" s="2522"/>
      <c r="EVN178" s="2522"/>
      <c r="EVO178" s="2522"/>
      <c r="EVP178" s="2522"/>
      <c r="EVQ178" s="2522"/>
      <c r="EVR178" s="2522"/>
      <c r="EVS178" s="2522"/>
      <c r="EVT178" s="2522"/>
      <c r="EVU178" s="2522"/>
      <c r="EVV178" s="2522"/>
      <c r="EVW178" s="2522"/>
      <c r="EVX178" s="2522"/>
      <c r="EVY178" s="2522"/>
      <c r="EVZ178" s="2522"/>
      <c r="EWA178" s="2522"/>
      <c r="EWB178" s="2522"/>
      <c r="EWC178" s="2522"/>
      <c r="EWD178" s="2522"/>
      <c r="EWE178" s="2522"/>
      <c r="EWF178" s="2522"/>
      <c r="EWG178" s="2522"/>
      <c r="EWH178" s="2522"/>
      <c r="EWI178" s="2522"/>
      <c r="EWJ178" s="2522"/>
      <c r="EWK178" s="2522"/>
      <c r="EWL178" s="2522"/>
      <c r="EWM178" s="2522"/>
      <c r="EWN178" s="2522"/>
      <c r="EWO178" s="2522"/>
      <c r="EWP178" s="2522"/>
      <c r="EWQ178" s="2522"/>
      <c r="EWR178" s="2522"/>
      <c r="EWS178" s="2522"/>
      <c r="EWT178" s="2522"/>
      <c r="EWU178" s="2522"/>
      <c r="EWV178" s="2522"/>
      <c r="EWW178" s="2522"/>
      <c r="EWX178" s="2522"/>
      <c r="EWY178" s="2522"/>
      <c r="EWZ178" s="2522"/>
      <c r="EXA178" s="2522"/>
      <c r="EXB178" s="2522"/>
      <c r="EXC178" s="2522"/>
      <c r="EXD178" s="2522"/>
      <c r="EXE178" s="2522"/>
      <c r="EXF178" s="2522"/>
      <c r="EXG178" s="2522"/>
      <c r="EXH178" s="2522"/>
      <c r="EXI178" s="2522"/>
      <c r="EXJ178" s="2522"/>
      <c r="EXK178" s="2522"/>
      <c r="EXL178" s="2522"/>
      <c r="EXM178" s="2522"/>
      <c r="EXN178" s="2522"/>
      <c r="EXO178" s="2522"/>
      <c r="EXP178" s="2522"/>
      <c r="EXQ178" s="2522"/>
      <c r="EXR178" s="2522"/>
      <c r="EXS178" s="2522"/>
      <c r="EXT178" s="2522"/>
      <c r="EXU178" s="2522"/>
      <c r="EXV178" s="2522"/>
      <c r="EXW178" s="2522"/>
      <c r="EXX178" s="2522"/>
      <c r="EXY178" s="2522"/>
      <c r="EXZ178" s="2522"/>
      <c r="EYA178" s="2522"/>
      <c r="EYB178" s="2522"/>
      <c r="EYC178" s="2522"/>
      <c r="EYD178" s="2522"/>
      <c r="EYE178" s="2522"/>
      <c r="EYF178" s="2522"/>
      <c r="EYG178" s="2522"/>
      <c r="EYH178" s="2522"/>
      <c r="EYI178" s="2522"/>
      <c r="EYJ178" s="2522"/>
      <c r="EYK178" s="2522"/>
      <c r="EYL178" s="2522"/>
      <c r="EYM178" s="2522"/>
      <c r="EYN178" s="2522"/>
      <c r="EYO178" s="2522"/>
      <c r="EYP178" s="2522"/>
      <c r="EYQ178" s="2522"/>
      <c r="EYR178" s="2522"/>
      <c r="EYS178" s="2522"/>
      <c r="EYT178" s="2522"/>
      <c r="EYU178" s="2522"/>
      <c r="EYV178" s="2522"/>
      <c r="EYW178" s="2522"/>
      <c r="EYX178" s="2522"/>
      <c r="EYY178" s="2522"/>
      <c r="EYZ178" s="2522"/>
      <c r="EZA178" s="2522"/>
      <c r="EZB178" s="2522"/>
      <c r="EZC178" s="2522"/>
      <c r="EZD178" s="2522"/>
      <c r="EZE178" s="2522"/>
      <c r="EZF178" s="2522"/>
      <c r="EZG178" s="2522"/>
      <c r="EZH178" s="2522"/>
      <c r="EZI178" s="2522"/>
      <c r="EZJ178" s="2522"/>
      <c r="EZK178" s="2522"/>
      <c r="EZL178" s="2522"/>
      <c r="EZM178" s="2522"/>
      <c r="EZN178" s="2522"/>
      <c r="EZO178" s="2522"/>
      <c r="EZP178" s="2522"/>
      <c r="EZQ178" s="2522"/>
      <c r="EZR178" s="2522"/>
      <c r="EZS178" s="2522"/>
      <c r="EZT178" s="2522"/>
      <c r="EZU178" s="2522"/>
      <c r="EZV178" s="2522"/>
      <c r="EZW178" s="2522"/>
      <c r="EZX178" s="2522"/>
      <c r="EZY178" s="2522"/>
      <c r="EZZ178" s="2522"/>
      <c r="FAA178" s="2522"/>
      <c r="FAB178" s="2522"/>
      <c r="FAC178" s="2522"/>
      <c r="FAD178" s="2522"/>
      <c r="FAE178" s="2522"/>
      <c r="FAF178" s="2522"/>
      <c r="FAG178" s="2522"/>
      <c r="FAH178" s="2522"/>
      <c r="FAI178" s="2522"/>
      <c r="FAJ178" s="2522"/>
      <c r="FAK178" s="2522"/>
      <c r="FAL178" s="2522"/>
      <c r="FAM178" s="2522"/>
      <c r="FAN178" s="2522"/>
      <c r="FAO178" s="2522"/>
      <c r="FAP178" s="2522"/>
      <c r="FAQ178" s="2522"/>
      <c r="FAR178" s="2522"/>
      <c r="FAS178" s="2522"/>
      <c r="FAT178" s="2522"/>
      <c r="FAU178" s="2522"/>
      <c r="FAV178" s="2522"/>
      <c r="FAW178" s="2522"/>
      <c r="FAX178" s="2522"/>
      <c r="FAY178" s="2522"/>
      <c r="FAZ178" s="2522"/>
      <c r="FBA178" s="2522"/>
      <c r="FBB178" s="2522"/>
      <c r="FBC178" s="2522"/>
      <c r="FBD178" s="2522"/>
      <c r="FBE178" s="2522"/>
      <c r="FBF178" s="2522"/>
      <c r="FBG178" s="2522"/>
      <c r="FBH178" s="2522"/>
      <c r="FBI178" s="2522"/>
      <c r="FBJ178" s="2522"/>
      <c r="FBK178" s="2522"/>
      <c r="FBL178" s="2522"/>
      <c r="FBM178" s="2522"/>
      <c r="FBN178" s="2522"/>
      <c r="FBO178" s="2522"/>
      <c r="FBP178" s="2522"/>
      <c r="FBQ178" s="2522"/>
      <c r="FBR178" s="2522"/>
      <c r="FBS178" s="2522"/>
      <c r="FBT178" s="2522"/>
      <c r="FBU178" s="2522"/>
      <c r="FBV178" s="2522"/>
      <c r="FBW178" s="2522"/>
      <c r="FBX178" s="2522"/>
      <c r="FBY178" s="2522"/>
      <c r="FBZ178" s="2522"/>
      <c r="FCA178" s="2522"/>
      <c r="FCB178" s="2522"/>
      <c r="FCC178" s="2522"/>
      <c r="FCD178" s="2522"/>
      <c r="FCE178" s="2522"/>
      <c r="FCF178" s="2522"/>
      <c r="FCG178" s="2522"/>
      <c r="FCH178" s="2522"/>
      <c r="FCI178" s="2522"/>
      <c r="FCJ178" s="2522"/>
      <c r="FCK178" s="2522"/>
      <c r="FCL178" s="2522"/>
      <c r="FCM178" s="2522"/>
      <c r="FCN178" s="2522"/>
      <c r="FCO178" s="2522"/>
      <c r="FCP178" s="2522"/>
      <c r="FCQ178" s="2522"/>
      <c r="FCR178" s="2522"/>
      <c r="FCS178" s="2522"/>
      <c r="FCT178" s="2522"/>
      <c r="FCU178" s="2522"/>
      <c r="FCV178" s="2522"/>
      <c r="FCW178" s="2522"/>
      <c r="FCX178" s="2522"/>
      <c r="FCY178" s="2522"/>
      <c r="FCZ178" s="2522"/>
      <c r="FDA178" s="2522"/>
      <c r="FDB178" s="2522"/>
      <c r="FDC178" s="2522"/>
      <c r="FDD178" s="2522"/>
      <c r="FDE178" s="2522"/>
      <c r="FDF178" s="2522"/>
      <c r="FDG178" s="2522"/>
      <c r="FDH178" s="2522"/>
      <c r="FDI178" s="2522"/>
      <c r="FDJ178" s="2522"/>
      <c r="FDK178" s="2522"/>
      <c r="FDL178" s="2522"/>
      <c r="FDM178" s="2522"/>
      <c r="FDN178" s="2522"/>
      <c r="FDO178" s="2522"/>
      <c r="FDP178" s="2522"/>
      <c r="FDQ178" s="2522"/>
      <c r="FDR178" s="2522"/>
      <c r="FDS178" s="2522"/>
      <c r="FDT178" s="2522"/>
      <c r="FDU178" s="2522"/>
      <c r="FDV178" s="2522"/>
      <c r="FDW178" s="2522"/>
      <c r="FDX178" s="2522"/>
      <c r="FDY178" s="2522"/>
      <c r="FDZ178" s="2522"/>
      <c r="FEA178" s="2522"/>
      <c r="FEB178" s="2522"/>
      <c r="FEC178" s="2522"/>
      <c r="FED178" s="2522"/>
      <c r="FEE178" s="2522"/>
      <c r="FEF178" s="2522"/>
      <c r="FEG178" s="2522"/>
      <c r="FEH178" s="2522"/>
      <c r="FEI178" s="2522"/>
      <c r="FEJ178" s="2522"/>
      <c r="FEK178" s="2522"/>
      <c r="FEL178" s="2522"/>
      <c r="FEM178" s="2522"/>
      <c r="FEN178" s="2522"/>
      <c r="FEO178" s="2522"/>
      <c r="FEP178" s="2522"/>
      <c r="FEQ178" s="2522"/>
      <c r="FER178" s="2522"/>
      <c r="FES178" s="2522"/>
      <c r="FET178" s="2522"/>
      <c r="FEU178" s="2522"/>
      <c r="FEV178" s="2522"/>
      <c r="FEW178" s="2522"/>
      <c r="FEX178" s="2522"/>
      <c r="FEY178" s="2522"/>
      <c r="FEZ178" s="2522"/>
      <c r="FFA178" s="2522"/>
      <c r="FFB178" s="2522"/>
      <c r="FFC178" s="2522"/>
      <c r="FFD178" s="2522"/>
      <c r="FFE178" s="2522"/>
      <c r="FFF178" s="2522"/>
      <c r="FFG178" s="2522"/>
      <c r="FFH178" s="2522"/>
      <c r="FFI178" s="2522"/>
      <c r="FFJ178" s="2522"/>
      <c r="FFK178" s="2522"/>
      <c r="FFL178" s="2522"/>
      <c r="FFM178" s="2522"/>
      <c r="FFN178" s="2522"/>
      <c r="FFO178" s="2522"/>
      <c r="FFP178" s="2522"/>
      <c r="FFQ178" s="2522"/>
      <c r="FFR178" s="2522"/>
      <c r="FFS178" s="2522"/>
      <c r="FFT178" s="2522"/>
      <c r="FFU178" s="2522"/>
      <c r="FFV178" s="2522"/>
      <c r="FFW178" s="2522"/>
      <c r="FFX178" s="2522"/>
      <c r="FFY178" s="2522"/>
      <c r="FFZ178" s="2522"/>
      <c r="FGA178" s="2522"/>
      <c r="FGB178" s="2522"/>
      <c r="FGC178" s="2522"/>
      <c r="FGD178" s="2522"/>
      <c r="FGE178" s="2522"/>
      <c r="FGF178" s="2522"/>
      <c r="FGG178" s="2522"/>
      <c r="FGH178" s="2522"/>
      <c r="FGI178" s="2522"/>
      <c r="FGJ178" s="2522"/>
      <c r="FGK178" s="2522"/>
      <c r="FGL178" s="2522"/>
      <c r="FGM178" s="2522"/>
      <c r="FGN178" s="2522"/>
      <c r="FGO178" s="2522"/>
      <c r="FGP178" s="2522"/>
      <c r="FGQ178" s="2522"/>
      <c r="FGR178" s="2522"/>
      <c r="FGS178" s="2522"/>
      <c r="FGT178" s="2522"/>
      <c r="FGU178" s="2522"/>
      <c r="FGV178" s="2522"/>
      <c r="FGW178" s="2522"/>
      <c r="FGX178" s="2522"/>
      <c r="FGY178" s="2522"/>
      <c r="FGZ178" s="2522"/>
      <c r="FHA178" s="2522"/>
      <c r="FHB178" s="2522"/>
      <c r="FHC178" s="2522"/>
      <c r="FHD178" s="2522"/>
      <c r="FHE178" s="2522"/>
      <c r="FHF178" s="2522"/>
      <c r="FHG178" s="2522"/>
      <c r="FHH178" s="2522"/>
      <c r="FHI178" s="2522"/>
      <c r="FHJ178" s="2522"/>
      <c r="FHK178" s="2522"/>
      <c r="FHL178" s="2522"/>
      <c r="FHM178" s="2522"/>
      <c r="FHN178" s="2522"/>
      <c r="FHO178" s="2522"/>
      <c r="FHP178" s="2522"/>
      <c r="FHQ178" s="2522"/>
      <c r="FHR178" s="2522"/>
      <c r="FHS178" s="2522"/>
      <c r="FHT178" s="2522"/>
      <c r="FHU178" s="2522"/>
      <c r="FHV178" s="2522"/>
      <c r="FHW178" s="2522"/>
      <c r="FHX178" s="2522"/>
      <c r="FHY178" s="2522"/>
      <c r="FHZ178" s="2522"/>
      <c r="FIA178" s="2522"/>
      <c r="FIB178" s="2522"/>
      <c r="FIC178" s="2522"/>
      <c r="FID178" s="2522"/>
      <c r="FIE178" s="2522"/>
      <c r="FIF178" s="2522"/>
      <c r="FIG178" s="2522"/>
      <c r="FIH178" s="2522"/>
      <c r="FII178" s="2522"/>
      <c r="FIJ178" s="2522"/>
      <c r="FIK178" s="2522"/>
      <c r="FIL178" s="2522"/>
      <c r="FIM178" s="2522"/>
      <c r="FIN178" s="2522"/>
      <c r="FIO178" s="2522"/>
      <c r="FIP178" s="2522"/>
      <c r="FIQ178" s="2522"/>
      <c r="FIR178" s="2522"/>
      <c r="FIS178" s="2522"/>
      <c r="FIT178" s="2522"/>
      <c r="FIU178" s="2522"/>
      <c r="FIV178" s="2522"/>
      <c r="FIW178" s="2522"/>
      <c r="FIX178" s="2522"/>
      <c r="FIY178" s="2522"/>
      <c r="FIZ178" s="2522"/>
      <c r="FJA178" s="2522"/>
      <c r="FJB178" s="2522"/>
      <c r="FJC178" s="2522"/>
      <c r="FJD178" s="2522"/>
      <c r="FJE178" s="2522"/>
      <c r="FJF178" s="2522"/>
      <c r="FJG178" s="2522"/>
      <c r="FJH178" s="2522"/>
      <c r="FJI178" s="2522"/>
      <c r="FJJ178" s="2522"/>
      <c r="FJK178" s="2522"/>
      <c r="FJL178" s="2522"/>
      <c r="FJM178" s="2522"/>
      <c r="FJN178" s="2522"/>
      <c r="FJO178" s="2522"/>
      <c r="FJP178" s="2522"/>
      <c r="FJQ178" s="2522"/>
      <c r="FJR178" s="2522"/>
      <c r="FJS178" s="2522"/>
      <c r="FJT178" s="2522"/>
      <c r="FJU178" s="2522"/>
      <c r="FJV178" s="2522"/>
      <c r="FJW178" s="2522"/>
      <c r="FJX178" s="2522"/>
      <c r="FJY178" s="2522"/>
      <c r="FJZ178" s="2522"/>
      <c r="FKA178" s="2522"/>
      <c r="FKB178" s="2522"/>
      <c r="FKC178" s="2522"/>
      <c r="FKD178" s="2522"/>
      <c r="FKE178" s="2522"/>
      <c r="FKF178" s="2522"/>
      <c r="FKG178" s="2522"/>
      <c r="FKH178" s="2522"/>
      <c r="FKI178" s="2522"/>
      <c r="FKJ178" s="2522"/>
      <c r="FKK178" s="2522"/>
      <c r="FKL178" s="2522"/>
      <c r="FKM178" s="2522"/>
      <c r="FKN178" s="2522"/>
      <c r="FKO178" s="2522"/>
      <c r="FKP178" s="2522"/>
      <c r="FKQ178" s="2522"/>
      <c r="FKR178" s="2522"/>
      <c r="FKS178" s="2522"/>
      <c r="FKT178" s="2522"/>
      <c r="FKU178" s="2522"/>
      <c r="FKV178" s="2522"/>
      <c r="FKW178" s="2522"/>
      <c r="FKX178" s="2522"/>
      <c r="FKY178" s="2522"/>
      <c r="FKZ178" s="2522"/>
      <c r="FLA178" s="2522"/>
      <c r="FLB178" s="2522"/>
      <c r="FLC178" s="2522"/>
      <c r="FLD178" s="2522"/>
      <c r="FLE178" s="2522"/>
      <c r="FLF178" s="2522"/>
      <c r="FLG178" s="2522"/>
      <c r="FLH178" s="2522"/>
      <c r="FLI178" s="2522"/>
      <c r="FLJ178" s="2522"/>
      <c r="FLK178" s="2522"/>
      <c r="FLL178" s="2522"/>
      <c r="FLM178" s="2522"/>
      <c r="FLN178" s="2522"/>
      <c r="FLO178" s="2522"/>
      <c r="FLP178" s="2522"/>
      <c r="FLQ178" s="2522"/>
      <c r="FLR178" s="2522"/>
      <c r="FLS178" s="2522"/>
      <c r="FLT178" s="2522"/>
      <c r="FLU178" s="2522"/>
      <c r="FLV178" s="2522"/>
      <c r="FLW178" s="2522"/>
      <c r="FLX178" s="2522"/>
      <c r="FLY178" s="2522"/>
      <c r="FLZ178" s="2522"/>
      <c r="FMA178" s="2522"/>
      <c r="FMB178" s="2522"/>
      <c r="FMC178" s="2522"/>
      <c r="FMD178" s="2522"/>
      <c r="FME178" s="2522"/>
      <c r="FMF178" s="2522"/>
      <c r="FMG178" s="2522"/>
      <c r="FMH178" s="2522"/>
      <c r="FMI178" s="2522"/>
      <c r="FMJ178" s="2522"/>
      <c r="FMK178" s="2522"/>
      <c r="FML178" s="2522"/>
      <c r="FMM178" s="2522"/>
      <c r="FMN178" s="2522"/>
      <c r="FMO178" s="2522"/>
      <c r="FMP178" s="2522"/>
      <c r="FMQ178" s="2522"/>
      <c r="FMR178" s="2522"/>
      <c r="FMS178" s="2522"/>
      <c r="FMT178" s="2522"/>
      <c r="FMU178" s="2522"/>
      <c r="FMV178" s="2522"/>
      <c r="FMW178" s="2522"/>
      <c r="FMX178" s="2522"/>
      <c r="FMY178" s="2522"/>
      <c r="FMZ178" s="2522"/>
      <c r="FNA178" s="2522"/>
      <c r="FNB178" s="2522"/>
      <c r="FNC178" s="2522"/>
      <c r="FND178" s="2522"/>
      <c r="FNE178" s="2522"/>
      <c r="FNF178" s="2522"/>
      <c r="FNG178" s="2522"/>
      <c r="FNH178" s="2522"/>
      <c r="FNI178" s="2522"/>
      <c r="FNJ178" s="2522"/>
      <c r="FNK178" s="2522"/>
      <c r="FNL178" s="2522"/>
      <c r="FNM178" s="2522"/>
      <c r="FNN178" s="2522"/>
      <c r="FNO178" s="2522"/>
      <c r="FNP178" s="2522"/>
      <c r="FNQ178" s="2522"/>
      <c r="FNR178" s="2522"/>
      <c r="FNS178" s="2522"/>
      <c r="FNT178" s="2522"/>
      <c r="FNU178" s="2522"/>
      <c r="FNV178" s="2522"/>
      <c r="FNW178" s="2522"/>
      <c r="FNX178" s="2522"/>
      <c r="FNY178" s="2522"/>
      <c r="FNZ178" s="2522"/>
      <c r="FOA178" s="2522"/>
      <c r="FOB178" s="2522"/>
      <c r="FOC178" s="2522"/>
      <c r="FOD178" s="2522"/>
      <c r="FOE178" s="2522"/>
      <c r="FOF178" s="2522"/>
      <c r="FOG178" s="2522"/>
      <c r="FOH178" s="2522"/>
      <c r="FOI178" s="2522"/>
      <c r="FOJ178" s="2522"/>
      <c r="FOK178" s="2522"/>
      <c r="FOL178" s="2522"/>
      <c r="FOM178" s="2522"/>
      <c r="FON178" s="2522"/>
      <c r="FOO178" s="2522"/>
      <c r="FOP178" s="2522"/>
      <c r="FOQ178" s="2522"/>
      <c r="FOR178" s="2522"/>
      <c r="FOS178" s="2522"/>
      <c r="FOT178" s="2522"/>
      <c r="FOU178" s="2522"/>
      <c r="FOV178" s="2522"/>
      <c r="FOW178" s="2522"/>
      <c r="FOX178" s="2522"/>
      <c r="FOY178" s="2522"/>
      <c r="FOZ178" s="2522"/>
      <c r="FPA178" s="2522"/>
      <c r="FPB178" s="2522"/>
      <c r="FPC178" s="2522"/>
      <c r="FPD178" s="2522"/>
      <c r="FPE178" s="2522"/>
      <c r="FPF178" s="2522"/>
      <c r="FPG178" s="2522"/>
      <c r="FPH178" s="2522"/>
      <c r="FPI178" s="2522"/>
      <c r="FPJ178" s="2522"/>
      <c r="FPK178" s="2522"/>
      <c r="FPL178" s="2522"/>
      <c r="FPM178" s="2522"/>
      <c r="FPN178" s="2522"/>
      <c r="FPO178" s="2522"/>
      <c r="FPP178" s="2522"/>
      <c r="FPQ178" s="2522"/>
      <c r="FPR178" s="2522"/>
      <c r="FPS178" s="2522"/>
      <c r="FPT178" s="2522"/>
      <c r="FPU178" s="2522"/>
      <c r="FPV178" s="2522"/>
      <c r="FPW178" s="2522"/>
      <c r="FPX178" s="2522"/>
      <c r="FPY178" s="2522"/>
      <c r="FPZ178" s="2522"/>
      <c r="FQA178" s="2522"/>
      <c r="FQB178" s="2522"/>
      <c r="FQC178" s="2522"/>
      <c r="FQD178" s="2522"/>
      <c r="FQE178" s="2522"/>
      <c r="FQF178" s="2522"/>
      <c r="FQG178" s="2522"/>
      <c r="FQH178" s="2522"/>
      <c r="FQI178" s="2522"/>
      <c r="FQJ178" s="2522"/>
      <c r="FQK178" s="2522"/>
      <c r="FQL178" s="2522"/>
      <c r="FQM178" s="2522"/>
      <c r="FQN178" s="2522"/>
      <c r="FQO178" s="2522"/>
      <c r="FQP178" s="2522"/>
      <c r="FQQ178" s="2522"/>
      <c r="FQR178" s="2522"/>
      <c r="FQS178" s="2522"/>
      <c r="FQT178" s="2522"/>
      <c r="FQU178" s="2522"/>
      <c r="FQV178" s="2522"/>
      <c r="FQW178" s="2522"/>
      <c r="FQX178" s="2522"/>
      <c r="FQY178" s="2522"/>
      <c r="FQZ178" s="2522"/>
      <c r="FRA178" s="2522"/>
      <c r="FRB178" s="2522"/>
      <c r="FRC178" s="2522"/>
      <c r="FRD178" s="2522"/>
      <c r="FRE178" s="2522"/>
      <c r="FRF178" s="2522"/>
      <c r="FRG178" s="2522"/>
      <c r="FRH178" s="2522"/>
      <c r="FRI178" s="2522"/>
      <c r="FRJ178" s="2522"/>
      <c r="FRK178" s="2522"/>
      <c r="FRL178" s="2522"/>
      <c r="FRM178" s="2522"/>
      <c r="FRN178" s="2522"/>
      <c r="FRO178" s="2522"/>
      <c r="FRP178" s="2522"/>
      <c r="FRQ178" s="2522"/>
      <c r="FRR178" s="2522"/>
      <c r="FRS178" s="2522"/>
      <c r="FRT178" s="2522"/>
      <c r="FRU178" s="2522"/>
      <c r="FRV178" s="2522"/>
      <c r="FRW178" s="2522"/>
      <c r="FRX178" s="2522"/>
      <c r="FRY178" s="2522"/>
      <c r="FRZ178" s="2522"/>
      <c r="FSA178" s="2522"/>
      <c r="FSB178" s="2522"/>
      <c r="FSC178" s="2522"/>
      <c r="FSD178" s="2522"/>
      <c r="FSE178" s="2522"/>
      <c r="FSF178" s="2522"/>
      <c r="FSG178" s="2522"/>
      <c r="FSH178" s="2522"/>
      <c r="FSI178" s="2522"/>
      <c r="FSJ178" s="2522"/>
      <c r="FSK178" s="2522"/>
      <c r="FSL178" s="2522"/>
      <c r="FSM178" s="2522"/>
      <c r="FSN178" s="2522"/>
      <c r="FSO178" s="2522"/>
      <c r="FSP178" s="2522"/>
      <c r="FSQ178" s="2522"/>
      <c r="FSR178" s="2522"/>
      <c r="FSS178" s="2522"/>
      <c r="FST178" s="2522"/>
      <c r="FSU178" s="2522"/>
      <c r="FSV178" s="2522"/>
      <c r="FSW178" s="2522"/>
      <c r="FSX178" s="2522"/>
      <c r="FSY178" s="2522"/>
      <c r="FSZ178" s="2522"/>
      <c r="FTA178" s="2522"/>
      <c r="FTB178" s="2522"/>
      <c r="FTC178" s="2522"/>
      <c r="FTD178" s="2522"/>
      <c r="FTE178" s="2522"/>
      <c r="FTF178" s="2522"/>
      <c r="FTG178" s="2522"/>
      <c r="FTH178" s="2522"/>
      <c r="FTI178" s="2522"/>
      <c r="FTJ178" s="2522"/>
      <c r="FTK178" s="2522"/>
      <c r="FTL178" s="2522"/>
      <c r="FTM178" s="2522"/>
      <c r="FTN178" s="2522"/>
      <c r="FTO178" s="2522"/>
      <c r="FTP178" s="2522"/>
      <c r="FTQ178" s="2522"/>
      <c r="FTR178" s="2522"/>
      <c r="FTS178" s="2522"/>
      <c r="FTT178" s="2522"/>
      <c r="FTU178" s="2522"/>
      <c r="FTV178" s="2522"/>
      <c r="FTW178" s="2522"/>
      <c r="FTX178" s="2522"/>
      <c r="FTY178" s="2522"/>
      <c r="FTZ178" s="2522"/>
      <c r="FUA178" s="2522"/>
      <c r="FUB178" s="2522"/>
      <c r="FUC178" s="2522"/>
      <c r="FUD178" s="2522"/>
      <c r="FUE178" s="2522"/>
      <c r="FUF178" s="2522"/>
      <c r="FUG178" s="2522"/>
      <c r="FUH178" s="2522"/>
      <c r="FUI178" s="2522"/>
      <c r="FUJ178" s="2522"/>
      <c r="FUK178" s="2522"/>
      <c r="FUL178" s="2522"/>
      <c r="FUM178" s="2522"/>
      <c r="FUN178" s="2522"/>
      <c r="FUO178" s="2522"/>
      <c r="FUP178" s="2522"/>
      <c r="FUQ178" s="2522"/>
      <c r="FUR178" s="2522"/>
      <c r="FUS178" s="2522"/>
      <c r="FUT178" s="2522"/>
      <c r="FUU178" s="2522"/>
      <c r="FUV178" s="2522"/>
      <c r="FUW178" s="2522"/>
      <c r="FUX178" s="2522"/>
      <c r="FUY178" s="2522"/>
      <c r="FUZ178" s="2522"/>
      <c r="FVA178" s="2522"/>
      <c r="FVB178" s="2522"/>
      <c r="FVC178" s="2522"/>
      <c r="FVD178" s="2522"/>
      <c r="FVE178" s="2522"/>
      <c r="FVF178" s="2522"/>
      <c r="FVG178" s="2522"/>
      <c r="FVH178" s="2522"/>
      <c r="FVI178" s="2522"/>
      <c r="FVJ178" s="2522"/>
      <c r="FVK178" s="2522"/>
      <c r="FVL178" s="2522"/>
      <c r="FVM178" s="2522"/>
      <c r="FVN178" s="2522"/>
      <c r="FVO178" s="2522"/>
      <c r="FVP178" s="2522"/>
      <c r="FVQ178" s="2522"/>
      <c r="FVR178" s="2522"/>
      <c r="FVS178" s="2522"/>
      <c r="FVT178" s="2522"/>
      <c r="FVU178" s="2522"/>
      <c r="FVV178" s="2522"/>
      <c r="FVW178" s="2522"/>
      <c r="FVX178" s="2522"/>
      <c r="FVY178" s="2522"/>
      <c r="FVZ178" s="2522"/>
      <c r="FWA178" s="2522"/>
      <c r="FWB178" s="2522"/>
      <c r="FWC178" s="2522"/>
      <c r="FWD178" s="2522"/>
      <c r="FWE178" s="2522"/>
      <c r="FWF178" s="2522"/>
      <c r="FWG178" s="2522"/>
      <c r="FWH178" s="2522"/>
      <c r="FWI178" s="2522"/>
      <c r="FWJ178" s="2522"/>
      <c r="FWK178" s="2522"/>
      <c r="FWL178" s="2522"/>
      <c r="FWM178" s="2522"/>
      <c r="FWN178" s="2522"/>
      <c r="FWO178" s="2522"/>
      <c r="FWP178" s="2522"/>
      <c r="FWQ178" s="2522"/>
      <c r="FWR178" s="2522"/>
      <c r="FWS178" s="2522"/>
      <c r="FWT178" s="2522"/>
      <c r="FWU178" s="2522"/>
      <c r="FWV178" s="2522"/>
      <c r="FWW178" s="2522"/>
      <c r="FWX178" s="2522"/>
      <c r="FWY178" s="2522"/>
      <c r="FWZ178" s="2522"/>
      <c r="FXA178" s="2522"/>
      <c r="FXB178" s="2522"/>
      <c r="FXC178" s="2522"/>
      <c r="FXD178" s="2522"/>
      <c r="FXE178" s="2522"/>
      <c r="FXF178" s="2522"/>
      <c r="FXG178" s="2522"/>
      <c r="FXH178" s="2522"/>
      <c r="FXI178" s="2522"/>
      <c r="FXJ178" s="2522"/>
      <c r="FXK178" s="2522"/>
      <c r="FXL178" s="2522"/>
      <c r="FXM178" s="2522"/>
      <c r="FXN178" s="2522"/>
      <c r="FXO178" s="2522"/>
      <c r="FXP178" s="2522"/>
      <c r="FXQ178" s="2522"/>
      <c r="FXR178" s="2522"/>
      <c r="FXS178" s="2522"/>
      <c r="FXT178" s="2522"/>
      <c r="FXU178" s="2522"/>
      <c r="FXV178" s="2522"/>
      <c r="FXW178" s="2522"/>
      <c r="FXX178" s="2522"/>
      <c r="FXY178" s="2522"/>
      <c r="FXZ178" s="2522"/>
      <c r="FYA178" s="2522"/>
      <c r="FYB178" s="2522"/>
      <c r="FYC178" s="2522"/>
      <c r="FYD178" s="2522"/>
      <c r="FYE178" s="2522"/>
      <c r="FYF178" s="2522"/>
      <c r="FYG178" s="2522"/>
      <c r="FYH178" s="2522"/>
      <c r="FYI178" s="2522"/>
      <c r="FYJ178" s="2522"/>
      <c r="FYK178" s="2522"/>
      <c r="FYL178" s="2522"/>
      <c r="FYM178" s="2522"/>
      <c r="FYN178" s="2522"/>
      <c r="FYO178" s="2522"/>
      <c r="FYP178" s="2522"/>
      <c r="FYQ178" s="2522"/>
      <c r="FYR178" s="2522"/>
      <c r="FYS178" s="2522"/>
      <c r="FYT178" s="2522"/>
      <c r="FYU178" s="2522"/>
      <c r="FYV178" s="2522"/>
      <c r="FYW178" s="2522"/>
      <c r="FYX178" s="2522"/>
      <c r="FYY178" s="2522"/>
      <c r="FYZ178" s="2522"/>
      <c r="FZA178" s="2522"/>
      <c r="FZB178" s="2522"/>
      <c r="FZC178" s="2522"/>
      <c r="FZD178" s="2522"/>
      <c r="FZE178" s="2522"/>
      <c r="FZF178" s="2522"/>
      <c r="FZG178" s="2522"/>
      <c r="FZH178" s="2522"/>
      <c r="FZI178" s="2522"/>
      <c r="FZJ178" s="2522"/>
      <c r="FZK178" s="2522"/>
      <c r="FZL178" s="2522"/>
      <c r="FZM178" s="2522"/>
      <c r="FZN178" s="2522"/>
      <c r="FZO178" s="2522"/>
      <c r="FZP178" s="2522"/>
      <c r="FZQ178" s="2522"/>
      <c r="FZR178" s="2522"/>
      <c r="FZS178" s="2522"/>
      <c r="FZT178" s="2522"/>
      <c r="FZU178" s="2522"/>
      <c r="FZV178" s="2522"/>
      <c r="FZW178" s="2522"/>
      <c r="FZX178" s="2522"/>
      <c r="FZY178" s="2522"/>
      <c r="FZZ178" s="2522"/>
      <c r="GAA178" s="2522"/>
      <c r="GAB178" s="2522"/>
      <c r="GAC178" s="2522"/>
      <c r="GAD178" s="2522"/>
      <c r="GAE178" s="2522"/>
      <c r="GAF178" s="2522"/>
      <c r="GAG178" s="2522"/>
      <c r="GAH178" s="2522"/>
      <c r="GAI178" s="2522"/>
      <c r="GAJ178" s="2522"/>
      <c r="GAK178" s="2522"/>
      <c r="GAL178" s="2522"/>
      <c r="GAM178" s="2522"/>
      <c r="GAN178" s="2522"/>
      <c r="GAO178" s="2522"/>
      <c r="GAP178" s="2522"/>
      <c r="GAQ178" s="2522"/>
      <c r="GAR178" s="2522"/>
      <c r="GAS178" s="2522"/>
      <c r="GAT178" s="2522"/>
      <c r="GAU178" s="2522"/>
      <c r="GAV178" s="2522"/>
      <c r="GAW178" s="2522"/>
      <c r="GAX178" s="2522"/>
      <c r="GAY178" s="2522"/>
      <c r="GAZ178" s="2522"/>
      <c r="GBA178" s="2522"/>
      <c r="GBB178" s="2522"/>
      <c r="GBC178" s="2522"/>
      <c r="GBD178" s="2522"/>
      <c r="GBE178" s="2522"/>
      <c r="GBF178" s="2522"/>
      <c r="GBG178" s="2522"/>
      <c r="GBH178" s="2522"/>
      <c r="GBI178" s="2522"/>
      <c r="GBJ178" s="2522"/>
      <c r="GBK178" s="2522"/>
      <c r="GBL178" s="2522"/>
      <c r="GBM178" s="2522"/>
      <c r="GBN178" s="2522"/>
      <c r="GBO178" s="2522"/>
      <c r="GBP178" s="2522"/>
      <c r="GBQ178" s="2522"/>
      <c r="GBR178" s="2522"/>
      <c r="GBS178" s="2522"/>
      <c r="GBT178" s="2522"/>
      <c r="GBU178" s="2522"/>
      <c r="GBV178" s="2522"/>
      <c r="GBW178" s="2522"/>
      <c r="GBX178" s="2522"/>
      <c r="GBY178" s="2522"/>
      <c r="GBZ178" s="2522"/>
      <c r="GCA178" s="2522"/>
      <c r="GCB178" s="2522"/>
      <c r="GCC178" s="2522"/>
      <c r="GCD178" s="2522"/>
      <c r="GCE178" s="2522"/>
      <c r="GCF178" s="2522"/>
      <c r="GCG178" s="2522"/>
      <c r="GCH178" s="2522"/>
      <c r="GCI178" s="2522"/>
      <c r="GCJ178" s="2522"/>
      <c r="GCK178" s="2522"/>
      <c r="GCL178" s="2522"/>
      <c r="GCM178" s="2522"/>
      <c r="GCN178" s="2522"/>
      <c r="GCO178" s="2522"/>
      <c r="GCP178" s="2522"/>
      <c r="GCQ178" s="2522"/>
      <c r="GCR178" s="2522"/>
      <c r="GCS178" s="2522"/>
      <c r="GCT178" s="2522"/>
      <c r="GCU178" s="2522"/>
      <c r="GCV178" s="2522"/>
      <c r="GCW178" s="2522"/>
      <c r="GCX178" s="2522"/>
      <c r="GCY178" s="2522"/>
      <c r="GCZ178" s="2522"/>
      <c r="GDA178" s="2522"/>
      <c r="GDB178" s="2522"/>
      <c r="GDC178" s="2522"/>
      <c r="GDD178" s="2522"/>
      <c r="GDE178" s="2522"/>
      <c r="GDF178" s="2522"/>
      <c r="GDG178" s="2522"/>
      <c r="GDH178" s="2522"/>
      <c r="GDI178" s="2522"/>
      <c r="GDJ178" s="2522"/>
      <c r="GDK178" s="2522"/>
      <c r="GDL178" s="2522"/>
      <c r="GDM178" s="2522"/>
      <c r="GDN178" s="2522"/>
      <c r="GDO178" s="2522"/>
      <c r="GDP178" s="2522"/>
      <c r="GDQ178" s="2522"/>
      <c r="GDR178" s="2522"/>
      <c r="GDS178" s="2522"/>
      <c r="GDT178" s="2522"/>
      <c r="GDU178" s="2522"/>
      <c r="GDV178" s="2522"/>
      <c r="GDW178" s="2522"/>
      <c r="GDX178" s="2522"/>
      <c r="GDY178" s="2522"/>
      <c r="GDZ178" s="2522"/>
      <c r="GEA178" s="2522"/>
      <c r="GEB178" s="2522"/>
      <c r="GEC178" s="2522"/>
      <c r="GED178" s="2522"/>
      <c r="GEE178" s="2522"/>
      <c r="GEF178" s="2522"/>
      <c r="GEG178" s="2522"/>
      <c r="GEH178" s="2522"/>
      <c r="GEI178" s="2522"/>
      <c r="GEJ178" s="2522"/>
      <c r="GEK178" s="2522"/>
      <c r="GEL178" s="2522"/>
      <c r="GEM178" s="2522"/>
      <c r="GEN178" s="2522"/>
      <c r="GEO178" s="2522"/>
      <c r="GEP178" s="2522"/>
      <c r="GEQ178" s="2522"/>
      <c r="GER178" s="2522"/>
      <c r="GES178" s="2522"/>
      <c r="GET178" s="2522"/>
      <c r="GEU178" s="2522"/>
      <c r="GEV178" s="2522"/>
      <c r="GEW178" s="2522"/>
      <c r="GEX178" s="2522"/>
      <c r="GEY178" s="2522"/>
      <c r="GEZ178" s="2522"/>
      <c r="GFA178" s="2522"/>
      <c r="GFB178" s="2522"/>
      <c r="GFC178" s="2522"/>
      <c r="GFD178" s="2522"/>
      <c r="GFE178" s="2522"/>
      <c r="GFF178" s="2522"/>
      <c r="GFG178" s="2522"/>
      <c r="GFH178" s="2522"/>
      <c r="GFI178" s="2522"/>
      <c r="GFJ178" s="2522"/>
      <c r="GFK178" s="2522"/>
      <c r="GFL178" s="2522"/>
      <c r="GFM178" s="2522"/>
      <c r="GFN178" s="2522"/>
      <c r="GFO178" s="2522"/>
      <c r="GFP178" s="2522"/>
      <c r="GFQ178" s="2522"/>
      <c r="GFR178" s="2522"/>
      <c r="GFS178" s="2522"/>
      <c r="GFT178" s="2522"/>
      <c r="GFU178" s="2522"/>
      <c r="GFV178" s="2522"/>
      <c r="GFW178" s="2522"/>
      <c r="GFX178" s="2522"/>
      <c r="GFY178" s="2522"/>
      <c r="GFZ178" s="2522"/>
      <c r="GGA178" s="2522"/>
      <c r="GGB178" s="2522"/>
      <c r="GGC178" s="2522"/>
      <c r="GGD178" s="2522"/>
      <c r="GGE178" s="2522"/>
      <c r="GGF178" s="2522"/>
      <c r="GGG178" s="2522"/>
      <c r="GGH178" s="2522"/>
      <c r="GGI178" s="2522"/>
      <c r="GGJ178" s="2522"/>
      <c r="GGK178" s="2522"/>
      <c r="GGL178" s="2522"/>
      <c r="GGM178" s="2522"/>
      <c r="GGN178" s="2522"/>
      <c r="GGO178" s="2522"/>
      <c r="GGP178" s="2522"/>
      <c r="GGQ178" s="2522"/>
      <c r="GGR178" s="2522"/>
      <c r="GGS178" s="2522"/>
      <c r="GGT178" s="2522"/>
      <c r="GGU178" s="2522"/>
      <c r="GGV178" s="2522"/>
      <c r="GGW178" s="2522"/>
      <c r="GGX178" s="2522"/>
      <c r="GGY178" s="2522"/>
      <c r="GGZ178" s="2522"/>
      <c r="GHA178" s="2522"/>
      <c r="GHB178" s="2522"/>
      <c r="GHC178" s="2522"/>
      <c r="GHD178" s="2522"/>
      <c r="GHE178" s="2522"/>
      <c r="GHF178" s="2522"/>
      <c r="GHG178" s="2522"/>
      <c r="GHH178" s="2522"/>
      <c r="GHI178" s="2522"/>
      <c r="GHJ178" s="2522"/>
      <c r="GHK178" s="2522"/>
      <c r="GHL178" s="2522"/>
      <c r="GHM178" s="2522"/>
      <c r="GHN178" s="2522"/>
      <c r="GHO178" s="2522"/>
      <c r="GHP178" s="2522"/>
      <c r="GHQ178" s="2522"/>
      <c r="GHR178" s="2522"/>
      <c r="GHS178" s="2522"/>
      <c r="GHT178" s="2522"/>
      <c r="GHU178" s="2522"/>
      <c r="GHV178" s="2522"/>
      <c r="GHW178" s="2522"/>
      <c r="GHX178" s="2522"/>
      <c r="GHY178" s="2522"/>
      <c r="GHZ178" s="2522"/>
      <c r="GIA178" s="2522"/>
      <c r="GIB178" s="2522"/>
      <c r="GIC178" s="2522"/>
      <c r="GID178" s="2522"/>
      <c r="GIE178" s="2522"/>
      <c r="GIF178" s="2522"/>
      <c r="GIG178" s="2522"/>
      <c r="GIH178" s="2522"/>
      <c r="GII178" s="2522"/>
      <c r="GIJ178" s="2522"/>
      <c r="GIK178" s="2522"/>
      <c r="GIL178" s="2522"/>
      <c r="GIM178" s="2522"/>
      <c r="GIN178" s="2522"/>
      <c r="GIO178" s="2522"/>
      <c r="GIP178" s="2522"/>
      <c r="GIQ178" s="2522"/>
      <c r="GIR178" s="2522"/>
      <c r="GIS178" s="2522"/>
      <c r="GIT178" s="2522"/>
      <c r="GIU178" s="2522"/>
      <c r="GIV178" s="2522"/>
      <c r="GIW178" s="2522"/>
      <c r="GIX178" s="2522"/>
      <c r="GIY178" s="2522"/>
      <c r="GIZ178" s="2522"/>
      <c r="GJA178" s="2522"/>
      <c r="GJB178" s="2522"/>
      <c r="GJC178" s="2522"/>
      <c r="GJD178" s="2522"/>
      <c r="GJE178" s="2522"/>
      <c r="GJF178" s="2522"/>
      <c r="GJG178" s="2522"/>
      <c r="GJH178" s="2522"/>
      <c r="GJI178" s="2522"/>
      <c r="GJJ178" s="2522"/>
      <c r="GJK178" s="2522"/>
      <c r="GJL178" s="2522"/>
      <c r="GJM178" s="2522"/>
      <c r="GJN178" s="2522"/>
      <c r="GJO178" s="2522"/>
      <c r="GJP178" s="2522"/>
      <c r="GJQ178" s="2522"/>
      <c r="GJR178" s="2522"/>
      <c r="GJS178" s="2522"/>
      <c r="GJT178" s="2522"/>
      <c r="GJU178" s="2522"/>
      <c r="GJV178" s="2522"/>
      <c r="GJW178" s="2522"/>
      <c r="GJX178" s="2522"/>
      <c r="GJY178" s="2522"/>
      <c r="GJZ178" s="2522"/>
      <c r="GKA178" s="2522"/>
      <c r="GKB178" s="2522"/>
      <c r="GKC178" s="2522"/>
      <c r="GKD178" s="2522"/>
      <c r="GKE178" s="2522"/>
      <c r="GKF178" s="2522"/>
      <c r="GKG178" s="2522"/>
      <c r="GKH178" s="2522"/>
      <c r="GKI178" s="2522"/>
      <c r="GKJ178" s="2522"/>
      <c r="GKK178" s="2522"/>
      <c r="GKL178" s="2522"/>
      <c r="GKM178" s="2522"/>
      <c r="GKN178" s="2522"/>
      <c r="GKO178" s="2522"/>
      <c r="GKP178" s="2522"/>
      <c r="GKQ178" s="2522"/>
      <c r="GKR178" s="2522"/>
      <c r="GKS178" s="2522"/>
      <c r="GKT178" s="2522"/>
      <c r="GKU178" s="2522"/>
      <c r="GKV178" s="2522"/>
      <c r="GKW178" s="2522"/>
      <c r="GKX178" s="2522"/>
      <c r="GKY178" s="2522"/>
      <c r="GKZ178" s="2522"/>
      <c r="GLA178" s="2522"/>
      <c r="GLB178" s="2522"/>
      <c r="GLC178" s="2522"/>
      <c r="GLD178" s="2522"/>
      <c r="GLE178" s="2522"/>
      <c r="GLF178" s="2522"/>
      <c r="GLG178" s="2522"/>
      <c r="GLH178" s="2522"/>
      <c r="GLI178" s="2522"/>
      <c r="GLJ178" s="2522"/>
      <c r="GLK178" s="2522"/>
      <c r="GLL178" s="2522"/>
      <c r="GLM178" s="2522"/>
      <c r="GLN178" s="2522"/>
      <c r="GLO178" s="2522"/>
      <c r="GLP178" s="2522"/>
      <c r="GLQ178" s="2522"/>
      <c r="GLR178" s="2522"/>
      <c r="GLS178" s="2522"/>
      <c r="GLT178" s="2522"/>
      <c r="GLU178" s="2522"/>
      <c r="GLV178" s="2522"/>
      <c r="GLW178" s="2522"/>
      <c r="GLX178" s="2522"/>
      <c r="GLY178" s="2522"/>
      <c r="GLZ178" s="2522"/>
      <c r="GMA178" s="2522"/>
      <c r="GMB178" s="2522"/>
      <c r="GMC178" s="2522"/>
      <c r="GMD178" s="2522"/>
      <c r="GME178" s="2522"/>
      <c r="GMF178" s="2522"/>
      <c r="GMG178" s="2522"/>
      <c r="GMH178" s="2522"/>
      <c r="GMI178" s="2522"/>
      <c r="GMJ178" s="2522"/>
      <c r="GMK178" s="2522"/>
      <c r="GML178" s="2522"/>
      <c r="GMM178" s="2522"/>
      <c r="GMN178" s="2522"/>
      <c r="GMO178" s="2522"/>
      <c r="GMP178" s="2522"/>
      <c r="GMQ178" s="2522"/>
      <c r="GMR178" s="2522"/>
      <c r="GMS178" s="2522"/>
      <c r="GMT178" s="2522"/>
      <c r="GMU178" s="2522"/>
      <c r="GMV178" s="2522"/>
      <c r="GMW178" s="2522"/>
      <c r="GMX178" s="2522"/>
      <c r="GMY178" s="2522"/>
      <c r="GMZ178" s="2522"/>
      <c r="GNA178" s="2522"/>
      <c r="GNB178" s="2522"/>
      <c r="GNC178" s="2522"/>
      <c r="GND178" s="2522"/>
      <c r="GNE178" s="2522"/>
      <c r="GNF178" s="2522"/>
      <c r="GNG178" s="2522"/>
      <c r="GNH178" s="2522"/>
      <c r="GNI178" s="2522"/>
      <c r="GNJ178" s="2522"/>
      <c r="GNK178" s="2522"/>
      <c r="GNL178" s="2522"/>
      <c r="GNM178" s="2522"/>
      <c r="GNN178" s="2522"/>
      <c r="GNO178" s="2522"/>
      <c r="GNP178" s="2522"/>
      <c r="GNQ178" s="2522"/>
      <c r="GNR178" s="2522"/>
      <c r="GNS178" s="2522"/>
      <c r="GNT178" s="2522"/>
      <c r="GNU178" s="2522"/>
      <c r="GNV178" s="2522"/>
      <c r="GNW178" s="2522"/>
      <c r="GNX178" s="2522"/>
      <c r="GNY178" s="2522"/>
      <c r="GNZ178" s="2522"/>
      <c r="GOA178" s="2522"/>
      <c r="GOB178" s="2522"/>
      <c r="GOC178" s="2522"/>
      <c r="GOD178" s="2522"/>
      <c r="GOE178" s="2522"/>
      <c r="GOF178" s="2522"/>
      <c r="GOG178" s="2522"/>
      <c r="GOH178" s="2522"/>
      <c r="GOI178" s="2522"/>
      <c r="GOJ178" s="2522"/>
      <c r="GOK178" s="2522"/>
      <c r="GOL178" s="2522"/>
      <c r="GOM178" s="2522"/>
      <c r="GON178" s="2522"/>
      <c r="GOO178" s="2522"/>
      <c r="GOP178" s="2522"/>
      <c r="GOQ178" s="2522"/>
      <c r="GOR178" s="2522"/>
      <c r="GOS178" s="2522"/>
      <c r="GOT178" s="2522"/>
      <c r="GOU178" s="2522"/>
      <c r="GOV178" s="2522"/>
      <c r="GOW178" s="2522"/>
      <c r="GOX178" s="2522"/>
      <c r="GOY178" s="2522"/>
      <c r="GOZ178" s="2522"/>
      <c r="GPA178" s="2522"/>
      <c r="GPB178" s="2522"/>
      <c r="GPC178" s="2522"/>
      <c r="GPD178" s="2522"/>
      <c r="GPE178" s="2522"/>
      <c r="GPF178" s="2522"/>
      <c r="GPG178" s="2522"/>
      <c r="GPH178" s="2522"/>
      <c r="GPI178" s="2522"/>
      <c r="GPJ178" s="2522"/>
      <c r="GPK178" s="2522"/>
      <c r="GPL178" s="2522"/>
      <c r="GPM178" s="2522"/>
      <c r="GPN178" s="2522"/>
      <c r="GPO178" s="2522"/>
      <c r="GPP178" s="2522"/>
      <c r="GPQ178" s="2522"/>
      <c r="GPR178" s="2522"/>
      <c r="GPS178" s="2522"/>
      <c r="GPT178" s="2522"/>
      <c r="GPU178" s="2522"/>
      <c r="GPV178" s="2522"/>
      <c r="GPW178" s="2522"/>
      <c r="GPX178" s="2522"/>
      <c r="GPY178" s="2522"/>
      <c r="GPZ178" s="2522"/>
      <c r="GQA178" s="2522"/>
      <c r="GQB178" s="2522"/>
      <c r="GQC178" s="2522"/>
      <c r="GQD178" s="2522"/>
      <c r="GQE178" s="2522"/>
      <c r="GQF178" s="2522"/>
      <c r="GQG178" s="2522"/>
      <c r="GQH178" s="2522"/>
      <c r="GQI178" s="2522"/>
      <c r="GQJ178" s="2522"/>
      <c r="GQK178" s="2522"/>
      <c r="GQL178" s="2522"/>
      <c r="GQM178" s="2522"/>
      <c r="GQN178" s="2522"/>
      <c r="GQO178" s="2522"/>
      <c r="GQP178" s="2522"/>
      <c r="GQQ178" s="2522"/>
      <c r="GQR178" s="2522"/>
      <c r="GQS178" s="2522"/>
      <c r="GQT178" s="2522"/>
      <c r="GQU178" s="2522"/>
      <c r="GQV178" s="2522"/>
      <c r="GQW178" s="2522"/>
      <c r="GQX178" s="2522"/>
      <c r="GQY178" s="2522"/>
      <c r="GQZ178" s="2522"/>
      <c r="GRA178" s="2522"/>
      <c r="GRB178" s="2522"/>
      <c r="GRC178" s="2522"/>
      <c r="GRD178" s="2522"/>
      <c r="GRE178" s="2522"/>
      <c r="GRF178" s="2522"/>
      <c r="GRG178" s="2522"/>
      <c r="GRH178" s="2522"/>
      <c r="GRI178" s="2522"/>
      <c r="GRJ178" s="2522"/>
      <c r="GRK178" s="2522"/>
      <c r="GRL178" s="2522"/>
      <c r="GRM178" s="2522"/>
      <c r="GRN178" s="2522"/>
      <c r="GRO178" s="2522"/>
      <c r="GRP178" s="2522"/>
      <c r="GRQ178" s="2522"/>
      <c r="GRR178" s="2522"/>
      <c r="GRS178" s="2522"/>
      <c r="GRT178" s="2522"/>
      <c r="GRU178" s="2522"/>
      <c r="GRV178" s="2522"/>
      <c r="GRW178" s="2522"/>
      <c r="GRX178" s="2522"/>
      <c r="GRY178" s="2522"/>
      <c r="GRZ178" s="2522"/>
      <c r="GSA178" s="2522"/>
      <c r="GSB178" s="2522"/>
      <c r="GSC178" s="2522"/>
      <c r="GSD178" s="2522"/>
      <c r="GSE178" s="2522"/>
      <c r="GSF178" s="2522"/>
      <c r="GSG178" s="2522"/>
      <c r="GSH178" s="2522"/>
      <c r="GSI178" s="2522"/>
      <c r="GSJ178" s="2522"/>
      <c r="GSK178" s="2522"/>
      <c r="GSL178" s="2522"/>
      <c r="GSM178" s="2522"/>
      <c r="GSN178" s="2522"/>
      <c r="GSO178" s="2522"/>
      <c r="GSP178" s="2522"/>
      <c r="GSQ178" s="2522"/>
      <c r="GSR178" s="2522"/>
      <c r="GSS178" s="2522"/>
      <c r="GST178" s="2522"/>
      <c r="GSU178" s="2522"/>
      <c r="GSV178" s="2522"/>
      <c r="GSW178" s="2522"/>
      <c r="GSX178" s="2522"/>
      <c r="GSY178" s="2522"/>
      <c r="GSZ178" s="2522"/>
      <c r="GTA178" s="2522"/>
      <c r="GTB178" s="2522"/>
      <c r="GTC178" s="2522"/>
      <c r="GTD178" s="2522"/>
      <c r="GTE178" s="2522"/>
      <c r="GTF178" s="2522"/>
      <c r="GTG178" s="2522"/>
      <c r="GTH178" s="2522"/>
      <c r="GTI178" s="2522"/>
      <c r="GTJ178" s="2522"/>
      <c r="GTK178" s="2522"/>
      <c r="GTL178" s="2522"/>
      <c r="GTM178" s="2522"/>
      <c r="GTN178" s="2522"/>
      <c r="GTO178" s="2522"/>
      <c r="GTP178" s="2522"/>
      <c r="GTQ178" s="2522"/>
      <c r="GTR178" s="2522"/>
      <c r="GTS178" s="2522"/>
      <c r="GTT178" s="2522"/>
      <c r="GTU178" s="2522"/>
      <c r="GTV178" s="2522"/>
      <c r="GTW178" s="2522"/>
      <c r="GTX178" s="2522"/>
      <c r="GTY178" s="2522"/>
      <c r="GTZ178" s="2522"/>
      <c r="GUA178" s="2522"/>
      <c r="GUB178" s="2522"/>
      <c r="GUC178" s="2522"/>
      <c r="GUD178" s="2522"/>
      <c r="GUE178" s="2522"/>
      <c r="GUF178" s="2522"/>
      <c r="GUG178" s="2522"/>
      <c r="GUH178" s="2522"/>
      <c r="GUI178" s="2522"/>
      <c r="GUJ178" s="2522"/>
      <c r="GUK178" s="2522"/>
      <c r="GUL178" s="2522"/>
      <c r="GUM178" s="2522"/>
      <c r="GUN178" s="2522"/>
      <c r="GUO178" s="2522"/>
      <c r="GUP178" s="2522"/>
      <c r="GUQ178" s="2522"/>
      <c r="GUR178" s="2522"/>
      <c r="GUS178" s="2522"/>
      <c r="GUT178" s="2522"/>
      <c r="GUU178" s="2522"/>
      <c r="GUV178" s="2522"/>
      <c r="GUW178" s="2522"/>
      <c r="GUX178" s="2522"/>
      <c r="GUY178" s="2522"/>
      <c r="GUZ178" s="2522"/>
      <c r="GVA178" s="2522"/>
      <c r="GVB178" s="2522"/>
      <c r="GVC178" s="2522"/>
      <c r="GVD178" s="2522"/>
      <c r="GVE178" s="2522"/>
      <c r="GVF178" s="2522"/>
      <c r="GVG178" s="2522"/>
      <c r="GVH178" s="2522"/>
      <c r="GVI178" s="2522"/>
      <c r="GVJ178" s="2522"/>
      <c r="GVK178" s="2522"/>
      <c r="GVL178" s="2522"/>
      <c r="GVM178" s="2522"/>
      <c r="GVN178" s="2522"/>
      <c r="GVO178" s="2522"/>
      <c r="GVP178" s="2522"/>
      <c r="GVQ178" s="2522"/>
      <c r="GVR178" s="2522"/>
      <c r="GVS178" s="2522"/>
      <c r="GVT178" s="2522"/>
      <c r="GVU178" s="2522"/>
      <c r="GVV178" s="2522"/>
      <c r="GVW178" s="2522"/>
      <c r="GVX178" s="2522"/>
      <c r="GVY178" s="2522"/>
      <c r="GVZ178" s="2522"/>
      <c r="GWA178" s="2522"/>
      <c r="GWB178" s="2522"/>
      <c r="GWC178" s="2522"/>
      <c r="GWD178" s="2522"/>
      <c r="GWE178" s="2522"/>
      <c r="GWF178" s="2522"/>
      <c r="GWG178" s="2522"/>
      <c r="GWH178" s="2522"/>
      <c r="GWI178" s="2522"/>
      <c r="GWJ178" s="2522"/>
      <c r="GWK178" s="2522"/>
      <c r="GWL178" s="2522"/>
      <c r="GWM178" s="2522"/>
      <c r="GWN178" s="2522"/>
      <c r="GWO178" s="2522"/>
      <c r="GWP178" s="2522"/>
      <c r="GWQ178" s="2522"/>
      <c r="GWR178" s="2522"/>
      <c r="GWS178" s="2522"/>
      <c r="GWT178" s="2522"/>
      <c r="GWU178" s="2522"/>
      <c r="GWV178" s="2522"/>
      <c r="GWW178" s="2522"/>
      <c r="GWX178" s="2522"/>
      <c r="GWY178" s="2522"/>
      <c r="GWZ178" s="2522"/>
      <c r="GXA178" s="2522"/>
      <c r="GXB178" s="2522"/>
      <c r="GXC178" s="2522"/>
      <c r="GXD178" s="2522"/>
      <c r="GXE178" s="2522"/>
      <c r="GXF178" s="2522"/>
      <c r="GXG178" s="2522"/>
      <c r="GXH178" s="2522"/>
      <c r="GXI178" s="2522"/>
      <c r="GXJ178" s="2522"/>
      <c r="GXK178" s="2522"/>
      <c r="GXL178" s="2522"/>
      <c r="GXM178" s="2522"/>
      <c r="GXN178" s="2522"/>
      <c r="GXO178" s="2522"/>
      <c r="GXP178" s="2522"/>
      <c r="GXQ178" s="2522"/>
      <c r="GXR178" s="2522"/>
      <c r="GXS178" s="2522"/>
      <c r="GXT178" s="2522"/>
      <c r="GXU178" s="2522"/>
      <c r="GXV178" s="2522"/>
      <c r="GXW178" s="2522"/>
      <c r="GXX178" s="2522"/>
      <c r="GXY178" s="2522"/>
      <c r="GXZ178" s="2522"/>
      <c r="GYA178" s="2522"/>
      <c r="GYB178" s="2522"/>
      <c r="GYC178" s="2522"/>
      <c r="GYD178" s="2522"/>
      <c r="GYE178" s="2522"/>
      <c r="GYF178" s="2522"/>
      <c r="GYG178" s="2522"/>
      <c r="GYH178" s="2522"/>
      <c r="GYI178" s="2522"/>
      <c r="GYJ178" s="2522"/>
      <c r="GYK178" s="2522"/>
      <c r="GYL178" s="2522"/>
      <c r="GYM178" s="2522"/>
      <c r="GYN178" s="2522"/>
      <c r="GYO178" s="2522"/>
      <c r="GYP178" s="2522"/>
      <c r="GYQ178" s="2522"/>
      <c r="GYR178" s="2522"/>
      <c r="GYS178" s="2522"/>
      <c r="GYT178" s="2522"/>
      <c r="GYU178" s="2522"/>
      <c r="GYV178" s="2522"/>
      <c r="GYW178" s="2522"/>
      <c r="GYX178" s="2522"/>
      <c r="GYY178" s="2522"/>
      <c r="GYZ178" s="2522"/>
      <c r="GZA178" s="2522"/>
      <c r="GZB178" s="2522"/>
      <c r="GZC178" s="2522"/>
      <c r="GZD178" s="2522"/>
      <c r="GZE178" s="2522"/>
      <c r="GZF178" s="2522"/>
      <c r="GZG178" s="2522"/>
      <c r="GZH178" s="2522"/>
      <c r="GZI178" s="2522"/>
      <c r="GZJ178" s="2522"/>
      <c r="GZK178" s="2522"/>
      <c r="GZL178" s="2522"/>
      <c r="GZM178" s="2522"/>
      <c r="GZN178" s="2522"/>
      <c r="GZO178" s="2522"/>
      <c r="GZP178" s="2522"/>
      <c r="GZQ178" s="2522"/>
      <c r="GZR178" s="2522"/>
      <c r="GZS178" s="2522"/>
      <c r="GZT178" s="2522"/>
      <c r="GZU178" s="2522"/>
      <c r="GZV178" s="2522"/>
      <c r="GZW178" s="2522"/>
      <c r="GZX178" s="2522"/>
      <c r="GZY178" s="2522"/>
      <c r="GZZ178" s="2522"/>
      <c r="HAA178" s="2522"/>
      <c r="HAB178" s="2522"/>
      <c r="HAC178" s="2522"/>
      <c r="HAD178" s="2522"/>
      <c r="HAE178" s="2522"/>
      <c r="HAF178" s="2522"/>
      <c r="HAG178" s="2522"/>
      <c r="HAH178" s="2522"/>
      <c r="HAI178" s="2522"/>
      <c r="HAJ178" s="2522"/>
      <c r="HAK178" s="2522"/>
      <c r="HAL178" s="2522"/>
      <c r="HAM178" s="2522"/>
      <c r="HAN178" s="2522"/>
      <c r="HAO178" s="2522"/>
      <c r="HAP178" s="2522"/>
      <c r="HAQ178" s="2522"/>
      <c r="HAR178" s="2522"/>
      <c r="HAS178" s="2522"/>
      <c r="HAT178" s="2522"/>
      <c r="HAU178" s="2522"/>
      <c r="HAV178" s="2522"/>
      <c r="HAW178" s="2522"/>
      <c r="HAX178" s="2522"/>
      <c r="HAY178" s="2522"/>
      <c r="HAZ178" s="2522"/>
      <c r="HBA178" s="2522"/>
      <c r="HBB178" s="2522"/>
      <c r="HBC178" s="2522"/>
      <c r="HBD178" s="2522"/>
      <c r="HBE178" s="2522"/>
      <c r="HBF178" s="2522"/>
      <c r="HBG178" s="2522"/>
      <c r="HBH178" s="2522"/>
      <c r="HBI178" s="2522"/>
      <c r="HBJ178" s="2522"/>
      <c r="HBK178" s="2522"/>
      <c r="HBL178" s="2522"/>
      <c r="HBM178" s="2522"/>
      <c r="HBN178" s="2522"/>
      <c r="HBO178" s="2522"/>
      <c r="HBP178" s="2522"/>
      <c r="HBQ178" s="2522"/>
      <c r="HBR178" s="2522"/>
      <c r="HBS178" s="2522"/>
      <c r="HBT178" s="2522"/>
      <c r="HBU178" s="2522"/>
      <c r="HBV178" s="2522"/>
      <c r="HBW178" s="2522"/>
      <c r="HBX178" s="2522"/>
      <c r="HBY178" s="2522"/>
      <c r="HBZ178" s="2522"/>
      <c r="HCA178" s="2522"/>
      <c r="HCB178" s="2522"/>
      <c r="HCC178" s="2522"/>
      <c r="HCD178" s="2522"/>
      <c r="HCE178" s="2522"/>
      <c r="HCF178" s="2522"/>
      <c r="HCG178" s="2522"/>
      <c r="HCH178" s="2522"/>
      <c r="HCI178" s="2522"/>
      <c r="HCJ178" s="2522"/>
      <c r="HCK178" s="2522"/>
      <c r="HCL178" s="2522"/>
      <c r="HCM178" s="2522"/>
      <c r="HCN178" s="2522"/>
      <c r="HCO178" s="2522"/>
      <c r="HCP178" s="2522"/>
      <c r="HCQ178" s="2522"/>
      <c r="HCR178" s="2522"/>
      <c r="HCS178" s="2522"/>
      <c r="HCT178" s="2522"/>
      <c r="HCU178" s="2522"/>
      <c r="HCV178" s="2522"/>
      <c r="HCW178" s="2522"/>
      <c r="HCX178" s="2522"/>
      <c r="HCY178" s="2522"/>
      <c r="HCZ178" s="2522"/>
      <c r="HDA178" s="2522"/>
      <c r="HDB178" s="2522"/>
      <c r="HDC178" s="2522"/>
      <c r="HDD178" s="2522"/>
      <c r="HDE178" s="2522"/>
      <c r="HDF178" s="2522"/>
      <c r="HDG178" s="2522"/>
      <c r="HDH178" s="2522"/>
      <c r="HDI178" s="2522"/>
      <c r="HDJ178" s="2522"/>
      <c r="HDK178" s="2522"/>
      <c r="HDL178" s="2522"/>
      <c r="HDM178" s="2522"/>
      <c r="HDN178" s="2522"/>
      <c r="HDO178" s="2522"/>
      <c r="HDP178" s="2522"/>
      <c r="HDQ178" s="2522"/>
      <c r="HDR178" s="2522"/>
      <c r="HDS178" s="2522"/>
      <c r="HDT178" s="2522"/>
      <c r="HDU178" s="2522"/>
      <c r="HDV178" s="2522"/>
      <c r="HDW178" s="2522"/>
      <c r="HDX178" s="2522"/>
      <c r="HDY178" s="2522"/>
      <c r="HDZ178" s="2522"/>
      <c r="HEA178" s="2522"/>
      <c r="HEB178" s="2522"/>
      <c r="HEC178" s="2522"/>
      <c r="HED178" s="2522"/>
      <c r="HEE178" s="2522"/>
      <c r="HEF178" s="2522"/>
      <c r="HEG178" s="2522"/>
      <c r="HEH178" s="2522"/>
      <c r="HEI178" s="2522"/>
      <c r="HEJ178" s="2522"/>
      <c r="HEK178" s="2522"/>
      <c r="HEL178" s="2522"/>
      <c r="HEM178" s="2522"/>
      <c r="HEN178" s="2522"/>
      <c r="HEO178" s="2522"/>
      <c r="HEP178" s="2522"/>
      <c r="HEQ178" s="2522"/>
      <c r="HER178" s="2522"/>
      <c r="HES178" s="2522"/>
      <c r="HET178" s="2522"/>
      <c r="HEU178" s="2522"/>
      <c r="HEV178" s="2522"/>
      <c r="HEW178" s="2522"/>
      <c r="HEX178" s="2522"/>
      <c r="HEY178" s="2522"/>
      <c r="HEZ178" s="2522"/>
      <c r="HFA178" s="2522"/>
      <c r="HFB178" s="2522"/>
      <c r="HFC178" s="2522"/>
      <c r="HFD178" s="2522"/>
      <c r="HFE178" s="2522"/>
      <c r="HFF178" s="2522"/>
      <c r="HFG178" s="2522"/>
      <c r="HFH178" s="2522"/>
      <c r="HFI178" s="2522"/>
      <c r="HFJ178" s="2522"/>
      <c r="HFK178" s="2522"/>
      <c r="HFL178" s="2522"/>
      <c r="HFM178" s="2522"/>
      <c r="HFN178" s="2522"/>
      <c r="HFO178" s="2522"/>
      <c r="HFP178" s="2522"/>
      <c r="HFQ178" s="2522"/>
      <c r="HFR178" s="2522"/>
      <c r="HFS178" s="2522"/>
      <c r="HFT178" s="2522"/>
      <c r="HFU178" s="2522"/>
      <c r="HFV178" s="2522"/>
      <c r="HFW178" s="2522"/>
      <c r="HFX178" s="2522"/>
      <c r="HFY178" s="2522"/>
      <c r="HFZ178" s="2522"/>
      <c r="HGA178" s="2522"/>
      <c r="HGB178" s="2522"/>
      <c r="HGC178" s="2522"/>
      <c r="HGD178" s="2522"/>
      <c r="HGE178" s="2522"/>
      <c r="HGF178" s="2522"/>
      <c r="HGG178" s="2522"/>
      <c r="HGH178" s="2522"/>
      <c r="HGI178" s="2522"/>
      <c r="HGJ178" s="2522"/>
      <c r="HGK178" s="2522"/>
      <c r="HGL178" s="2522"/>
      <c r="HGM178" s="2522"/>
      <c r="HGN178" s="2522"/>
      <c r="HGO178" s="2522"/>
      <c r="HGP178" s="2522"/>
      <c r="HGQ178" s="2522"/>
      <c r="HGR178" s="2522"/>
      <c r="HGS178" s="2522"/>
      <c r="HGT178" s="2522"/>
      <c r="HGU178" s="2522"/>
      <c r="HGV178" s="2522"/>
      <c r="HGW178" s="2522"/>
      <c r="HGX178" s="2522"/>
      <c r="HGY178" s="2522"/>
      <c r="HGZ178" s="2522"/>
      <c r="HHA178" s="2522"/>
      <c r="HHB178" s="2522"/>
      <c r="HHC178" s="2522"/>
      <c r="HHD178" s="2522"/>
      <c r="HHE178" s="2522"/>
      <c r="HHF178" s="2522"/>
      <c r="HHG178" s="2522"/>
      <c r="HHH178" s="2522"/>
      <c r="HHI178" s="2522"/>
      <c r="HHJ178" s="2522"/>
      <c r="HHK178" s="2522"/>
      <c r="HHL178" s="2522"/>
      <c r="HHM178" s="2522"/>
      <c r="HHN178" s="2522"/>
      <c r="HHO178" s="2522"/>
      <c r="HHP178" s="2522"/>
      <c r="HHQ178" s="2522"/>
      <c r="HHR178" s="2522"/>
      <c r="HHS178" s="2522"/>
      <c r="HHT178" s="2522"/>
      <c r="HHU178" s="2522"/>
      <c r="HHV178" s="2522"/>
      <c r="HHW178" s="2522"/>
      <c r="HHX178" s="2522"/>
      <c r="HHY178" s="2522"/>
      <c r="HHZ178" s="2522"/>
      <c r="HIA178" s="2522"/>
      <c r="HIB178" s="2522"/>
      <c r="HIC178" s="2522"/>
      <c r="HID178" s="2522"/>
      <c r="HIE178" s="2522"/>
      <c r="HIF178" s="2522"/>
      <c r="HIG178" s="2522"/>
      <c r="HIH178" s="2522"/>
      <c r="HII178" s="2522"/>
      <c r="HIJ178" s="2522"/>
      <c r="HIK178" s="2522"/>
      <c r="HIL178" s="2522"/>
      <c r="HIM178" s="2522"/>
      <c r="HIN178" s="2522"/>
      <c r="HIO178" s="2522"/>
      <c r="HIP178" s="2522"/>
      <c r="HIQ178" s="2522"/>
      <c r="HIR178" s="2522"/>
      <c r="HIS178" s="2522"/>
      <c r="HIT178" s="2522"/>
      <c r="HIU178" s="2522"/>
      <c r="HIV178" s="2522"/>
      <c r="HIW178" s="2522"/>
      <c r="HIX178" s="2522"/>
      <c r="HIY178" s="2522"/>
      <c r="HIZ178" s="2522"/>
      <c r="HJA178" s="2522"/>
      <c r="HJB178" s="2522"/>
      <c r="HJC178" s="2522"/>
      <c r="HJD178" s="2522"/>
      <c r="HJE178" s="2522"/>
      <c r="HJF178" s="2522"/>
      <c r="HJG178" s="2522"/>
      <c r="HJH178" s="2522"/>
      <c r="HJI178" s="2522"/>
      <c r="HJJ178" s="2522"/>
      <c r="HJK178" s="2522"/>
      <c r="HJL178" s="2522"/>
      <c r="HJM178" s="2522"/>
      <c r="HJN178" s="2522"/>
      <c r="HJO178" s="2522"/>
      <c r="HJP178" s="2522"/>
      <c r="HJQ178" s="2522"/>
      <c r="HJR178" s="2522"/>
      <c r="HJS178" s="2522"/>
      <c r="HJT178" s="2522"/>
      <c r="HJU178" s="2522"/>
      <c r="HJV178" s="2522"/>
      <c r="HJW178" s="2522"/>
      <c r="HJX178" s="2522"/>
      <c r="HJY178" s="2522"/>
      <c r="HJZ178" s="2522"/>
      <c r="HKA178" s="2522"/>
      <c r="HKB178" s="2522"/>
      <c r="HKC178" s="2522"/>
      <c r="HKD178" s="2522"/>
      <c r="HKE178" s="2522"/>
      <c r="HKF178" s="2522"/>
      <c r="HKG178" s="2522"/>
      <c r="HKH178" s="2522"/>
      <c r="HKI178" s="2522"/>
      <c r="HKJ178" s="2522"/>
      <c r="HKK178" s="2522"/>
      <c r="HKL178" s="2522"/>
      <c r="HKM178" s="2522"/>
      <c r="HKN178" s="2522"/>
      <c r="HKO178" s="2522"/>
      <c r="HKP178" s="2522"/>
      <c r="HKQ178" s="2522"/>
      <c r="HKR178" s="2522"/>
      <c r="HKS178" s="2522"/>
      <c r="HKT178" s="2522"/>
      <c r="HKU178" s="2522"/>
      <c r="HKV178" s="2522"/>
      <c r="HKW178" s="2522"/>
      <c r="HKX178" s="2522"/>
      <c r="HKY178" s="2522"/>
      <c r="HKZ178" s="2522"/>
      <c r="HLA178" s="2522"/>
      <c r="HLB178" s="2522"/>
      <c r="HLC178" s="2522"/>
      <c r="HLD178" s="2522"/>
      <c r="HLE178" s="2522"/>
      <c r="HLF178" s="2522"/>
      <c r="HLG178" s="2522"/>
      <c r="HLH178" s="2522"/>
      <c r="HLI178" s="2522"/>
      <c r="HLJ178" s="2522"/>
      <c r="HLK178" s="2522"/>
      <c r="HLL178" s="2522"/>
      <c r="HLM178" s="2522"/>
      <c r="HLN178" s="2522"/>
      <c r="HLO178" s="2522"/>
      <c r="HLP178" s="2522"/>
      <c r="HLQ178" s="2522"/>
      <c r="HLR178" s="2522"/>
      <c r="HLS178" s="2522"/>
      <c r="HLT178" s="2522"/>
      <c r="HLU178" s="2522"/>
      <c r="HLV178" s="2522"/>
      <c r="HLW178" s="2522"/>
      <c r="HLX178" s="2522"/>
      <c r="HLY178" s="2522"/>
      <c r="HLZ178" s="2522"/>
      <c r="HMA178" s="2522"/>
      <c r="HMB178" s="2522"/>
      <c r="HMC178" s="2522"/>
      <c r="HMD178" s="2522"/>
      <c r="HME178" s="2522"/>
      <c r="HMF178" s="2522"/>
      <c r="HMG178" s="2522"/>
      <c r="HMH178" s="2522"/>
      <c r="HMI178" s="2522"/>
      <c r="HMJ178" s="2522"/>
      <c r="HMK178" s="2522"/>
      <c r="HML178" s="2522"/>
      <c r="HMM178" s="2522"/>
      <c r="HMN178" s="2522"/>
      <c r="HMO178" s="2522"/>
      <c r="HMP178" s="2522"/>
      <c r="HMQ178" s="2522"/>
      <c r="HMR178" s="2522"/>
      <c r="HMS178" s="2522"/>
      <c r="HMT178" s="2522"/>
      <c r="HMU178" s="2522"/>
      <c r="HMV178" s="2522"/>
      <c r="HMW178" s="2522"/>
      <c r="HMX178" s="2522"/>
      <c r="HMY178" s="2522"/>
      <c r="HMZ178" s="2522"/>
      <c r="HNA178" s="2522"/>
      <c r="HNB178" s="2522"/>
      <c r="HNC178" s="2522"/>
      <c r="HND178" s="2522"/>
      <c r="HNE178" s="2522"/>
      <c r="HNF178" s="2522"/>
      <c r="HNG178" s="2522"/>
      <c r="HNH178" s="2522"/>
      <c r="HNI178" s="2522"/>
      <c r="HNJ178" s="2522"/>
      <c r="HNK178" s="2522"/>
      <c r="HNL178" s="2522"/>
      <c r="HNM178" s="2522"/>
      <c r="HNN178" s="2522"/>
      <c r="HNO178" s="2522"/>
      <c r="HNP178" s="2522"/>
      <c r="HNQ178" s="2522"/>
      <c r="HNR178" s="2522"/>
      <c r="HNS178" s="2522"/>
      <c r="HNT178" s="2522"/>
      <c r="HNU178" s="2522"/>
      <c r="HNV178" s="2522"/>
      <c r="HNW178" s="2522"/>
      <c r="HNX178" s="2522"/>
      <c r="HNY178" s="2522"/>
      <c r="HNZ178" s="2522"/>
      <c r="HOA178" s="2522"/>
      <c r="HOB178" s="2522"/>
      <c r="HOC178" s="2522"/>
      <c r="HOD178" s="2522"/>
      <c r="HOE178" s="2522"/>
      <c r="HOF178" s="2522"/>
      <c r="HOG178" s="2522"/>
      <c r="HOH178" s="2522"/>
      <c r="HOI178" s="2522"/>
      <c r="HOJ178" s="2522"/>
      <c r="HOK178" s="2522"/>
      <c r="HOL178" s="2522"/>
      <c r="HOM178" s="2522"/>
      <c r="HON178" s="2522"/>
      <c r="HOO178" s="2522"/>
      <c r="HOP178" s="2522"/>
      <c r="HOQ178" s="2522"/>
      <c r="HOR178" s="2522"/>
      <c r="HOS178" s="2522"/>
      <c r="HOT178" s="2522"/>
      <c r="HOU178" s="2522"/>
      <c r="HOV178" s="2522"/>
      <c r="HOW178" s="2522"/>
      <c r="HOX178" s="2522"/>
      <c r="HOY178" s="2522"/>
      <c r="HOZ178" s="2522"/>
      <c r="HPA178" s="2522"/>
      <c r="HPB178" s="2522"/>
      <c r="HPC178" s="2522"/>
      <c r="HPD178" s="2522"/>
      <c r="HPE178" s="2522"/>
      <c r="HPF178" s="2522"/>
      <c r="HPG178" s="2522"/>
      <c r="HPH178" s="2522"/>
      <c r="HPI178" s="2522"/>
      <c r="HPJ178" s="2522"/>
      <c r="HPK178" s="2522"/>
      <c r="HPL178" s="2522"/>
      <c r="HPM178" s="2522"/>
      <c r="HPN178" s="2522"/>
      <c r="HPO178" s="2522"/>
      <c r="HPP178" s="2522"/>
      <c r="HPQ178" s="2522"/>
      <c r="HPR178" s="2522"/>
      <c r="HPS178" s="2522"/>
      <c r="HPT178" s="2522"/>
      <c r="HPU178" s="2522"/>
      <c r="HPV178" s="2522"/>
      <c r="HPW178" s="2522"/>
      <c r="HPX178" s="2522"/>
      <c r="HPY178" s="2522"/>
      <c r="HPZ178" s="2522"/>
      <c r="HQA178" s="2522"/>
      <c r="HQB178" s="2522"/>
      <c r="HQC178" s="2522"/>
      <c r="HQD178" s="2522"/>
      <c r="HQE178" s="2522"/>
      <c r="HQF178" s="2522"/>
      <c r="HQG178" s="2522"/>
      <c r="HQH178" s="2522"/>
      <c r="HQI178" s="2522"/>
      <c r="HQJ178" s="2522"/>
      <c r="HQK178" s="2522"/>
      <c r="HQL178" s="2522"/>
      <c r="HQM178" s="2522"/>
      <c r="HQN178" s="2522"/>
      <c r="HQO178" s="2522"/>
      <c r="HQP178" s="2522"/>
      <c r="HQQ178" s="2522"/>
      <c r="HQR178" s="2522"/>
      <c r="HQS178" s="2522"/>
      <c r="HQT178" s="2522"/>
      <c r="HQU178" s="2522"/>
      <c r="HQV178" s="2522"/>
      <c r="HQW178" s="2522"/>
      <c r="HQX178" s="2522"/>
      <c r="HQY178" s="2522"/>
      <c r="HQZ178" s="2522"/>
      <c r="HRA178" s="2522"/>
      <c r="HRB178" s="2522"/>
      <c r="HRC178" s="2522"/>
      <c r="HRD178" s="2522"/>
      <c r="HRE178" s="2522"/>
      <c r="HRF178" s="2522"/>
      <c r="HRG178" s="2522"/>
      <c r="HRH178" s="2522"/>
      <c r="HRI178" s="2522"/>
      <c r="HRJ178" s="2522"/>
      <c r="HRK178" s="2522"/>
      <c r="HRL178" s="2522"/>
      <c r="HRM178" s="2522"/>
      <c r="HRN178" s="2522"/>
      <c r="HRO178" s="2522"/>
      <c r="HRP178" s="2522"/>
      <c r="HRQ178" s="2522"/>
      <c r="HRR178" s="2522"/>
      <c r="HRS178" s="2522"/>
      <c r="HRT178" s="2522"/>
      <c r="HRU178" s="2522"/>
      <c r="HRV178" s="2522"/>
      <c r="HRW178" s="2522"/>
      <c r="HRX178" s="2522"/>
      <c r="HRY178" s="2522"/>
      <c r="HRZ178" s="2522"/>
      <c r="HSA178" s="2522"/>
      <c r="HSB178" s="2522"/>
      <c r="HSC178" s="2522"/>
      <c r="HSD178" s="2522"/>
      <c r="HSE178" s="2522"/>
      <c r="HSF178" s="2522"/>
      <c r="HSG178" s="2522"/>
      <c r="HSH178" s="2522"/>
      <c r="HSI178" s="2522"/>
      <c r="HSJ178" s="2522"/>
      <c r="HSK178" s="2522"/>
      <c r="HSL178" s="2522"/>
      <c r="HSM178" s="2522"/>
      <c r="HSN178" s="2522"/>
      <c r="HSO178" s="2522"/>
      <c r="HSP178" s="2522"/>
      <c r="HSQ178" s="2522"/>
      <c r="HSR178" s="2522"/>
      <c r="HSS178" s="2522"/>
      <c r="HST178" s="2522"/>
      <c r="HSU178" s="2522"/>
      <c r="HSV178" s="2522"/>
      <c r="HSW178" s="2522"/>
      <c r="HSX178" s="2522"/>
      <c r="HSY178" s="2522"/>
      <c r="HSZ178" s="2522"/>
      <c r="HTA178" s="2522"/>
      <c r="HTB178" s="2522"/>
      <c r="HTC178" s="2522"/>
      <c r="HTD178" s="2522"/>
      <c r="HTE178" s="2522"/>
      <c r="HTF178" s="2522"/>
      <c r="HTG178" s="2522"/>
      <c r="HTH178" s="2522"/>
      <c r="HTI178" s="2522"/>
      <c r="HTJ178" s="2522"/>
      <c r="HTK178" s="2522"/>
      <c r="HTL178" s="2522"/>
      <c r="HTM178" s="2522"/>
      <c r="HTN178" s="2522"/>
      <c r="HTO178" s="2522"/>
      <c r="HTP178" s="2522"/>
      <c r="HTQ178" s="2522"/>
      <c r="HTR178" s="2522"/>
      <c r="HTS178" s="2522"/>
      <c r="HTT178" s="2522"/>
      <c r="HTU178" s="2522"/>
      <c r="HTV178" s="2522"/>
      <c r="HTW178" s="2522"/>
      <c r="HTX178" s="2522"/>
      <c r="HTY178" s="2522"/>
      <c r="HTZ178" s="2522"/>
      <c r="HUA178" s="2522"/>
      <c r="HUB178" s="2522"/>
      <c r="HUC178" s="2522"/>
      <c r="HUD178" s="2522"/>
      <c r="HUE178" s="2522"/>
      <c r="HUF178" s="2522"/>
      <c r="HUG178" s="2522"/>
      <c r="HUH178" s="2522"/>
      <c r="HUI178" s="2522"/>
      <c r="HUJ178" s="2522"/>
      <c r="HUK178" s="2522"/>
      <c r="HUL178" s="2522"/>
      <c r="HUM178" s="2522"/>
      <c r="HUN178" s="2522"/>
      <c r="HUO178" s="2522"/>
      <c r="HUP178" s="2522"/>
      <c r="HUQ178" s="2522"/>
      <c r="HUR178" s="2522"/>
      <c r="HUS178" s="2522"/>
      <c r="HUT178" s="2522"/>
      <c r="HUU178" s="2522"/>
      <c r="HUV178" s="2522"/>
      <c r="HUW178" s="2522"/>
      <c r="HUX178" s="2522"/>
      <c r="HUY178" s="2522"/>
      <c r="HUZ178" s="2522"/>
      <c r="HVA178" s="2522"/>
      <c r="HVB178" s="2522"/>
      <c r="HVC178" s="2522"/>
      <c r="HVD178" s="2522"/>
      <c r="HVE178" s="2522"/>
      <c r="HVF178" s="2522"/>
      <c r="HVG178" s="2522"/>
      <c r="HVH178" s="2522"/>
      <c r="HVI178" s="2522"/>
      <c r="HVJ178" s="2522"/>
      <c r="HVK178" s="2522"/>
      <c r="HVL178" s="2522"/>
      <c r="HVM178" s="2522"/>
      <c r="HVN178" s="2522"/>
      <c r="HVO178" s="2522"/>
      <c r="HVP178" s="2522"/>
      <c r="HVQ178" s="2522"/>
      <c r="HVR178" s="2522"/>
      <c r="HVS178" s="2522"/>
      <c r="HVT178" s="2522"/>
      <c r="HVU178" s="2522"/>
      <c r="HVV178" s="2522"/>
      <c r="HVW178" s="2522"/>
      <c r="HVX178" s="2522"/>
      <c r="HVY178" s="2522"/>
      <c r="HVZ178" s="2522"/>
      <c r="HWA178" s="2522"/>
      <c r="HWB178" s="2522"/>
      <c r="HWC178" s="2522"/>
      <c r="HWD178" s="2522"/>
      <c r="HWE178" s="2522"/>
      <c r="HWF178" s="2522"/>
      <c r="HWG178" s="2522"/>
      <c r="HWH178" s="2522"/>
      <c r="HWI178" s="2522"/>
      <c r="HWJ178" s="2522"/>
      <c r="HWK178" s="2522"/>
      <c r="HWL178" s="2522"/>
      <c r="HWM178" s="2522"/>
      <c r="HWN178" s="2522"/>
      <c r="HWO178" s="2522"/>
      <c r="HWP178" s="2522"/>
      <c r="HWQ178" s="2522"/>
      <c r="HWR178" s="2522"/>
      <c r="HWS178" s="2522"/>
      <c r="HWT178" s="2522"/>
      <c r="HWU178" s="2522"/>
      <c r="HWV178" s="2522"/>
      <c r="HWW178" s="2522"/>
      <c r="HWX178" s="2522"/>
      <c r="HWY178" s="2522"/>
      <c r="HWZ178" s="2522"/>
      <c r="HXA178" s="2522"/>
      <c r="HXB178" s="2522"/>
      <c r="HXC178" s="2522"/>
      <c r="HXD178" s="2522"/>
      <c r="HXE178" s="2522"/>
      <c r="HXF178" s="2522"/>
      <c r="HXG178" s="2522"/>
      <c r="HXH178" s="2522"/>
      <c r="HXI178" s="2522"/>
      <c r="HXJ178" s="2522"/>
      <c r="HXK178" s="2522"/>
      <c r="HXL178" s="2522"/>
      <c r="HXM178" s="2522"/>
      <c r="HXN178" s="2522"/>
      <c r="HXO178" s="2522"/>
      <c r="HXP178" s="2522"/>
      <c r="HXQ178" s="2522"/>
      <c r="HXR178" s="2522"/>
      <c r="HXS178" s="2522"/>
      <c r="HXT178" s="2522"/>
      <c r="HXU178" s="2522"/>
      <c r="HXV178" s="2522"/>
      <c r="HXW178" s="2522"/>
      <c r="HXX178" s="2522"/>
      <c r="HXY178" s="2522"/>
      <c r="HXZ178" s="2522"/>
      <c r="HYA178" s="2522"/>
      <c r="HYB178" s="2522"/>
      <c r="HYC178" s="2522"/>
      <c r="HYD178" s="2522"/>
      <c r="HYE178" s="2522"/>
      <c r="HYF178" s="2522"/>
      <c r="HYG178" s="2522"/>
      <c r="HYH178" s="2522"/>
      <c r="HYI178" s="2522"/>
      <c r="HYJ178" s="2522"/>
      <c r="HYK178" s="2522"/>
      <c r="HYL178" s="2522"/>
      <c r="HYM178" s="2522"/>
      <c r="HYN178" s="2522"/>
      <c r="HYO178" s="2522"/>
      <c r="HYP178" s="2522"/>
      <c r="HYQ178" s="2522"/>
      <c r="HYR178" s="2522"/>
      <c r="HYS178" s="2522"/>
      <c r="HYT178" s="2522"/>
      <c r="HYU178" s="2522"/>
      <c r="HYV178" s="2522"/>
      <c r="HYW178" s="2522"/>
      <c r="HYX178" s="2522"/>
      <c r="HYY178" s="2522"/>
      <c r="HYZ178" s="2522"/>
      <c r="HZA178" s="2522"/>
      <c r="HZB178" s="2522"/>
      <c r="HZC178" s="2522"/>
      <c r="HZD178" s="2522"/>
      <c r="HZE178" s="2522"/>
      <c r="HZF178" s="2522"/>
      <c r="HZG178" s="2522"/>
      <c r="HZH178" s="2522"/>
      <c r="HZI178" s="2522"/>
      <c r="HZJ178" s="2522"/>
      <c r="HZK178" s="2522"/>
      <c r="HZL178" s="2522"/>
      <c r="HZM178" s="2522"/>
      <c r="HZN178" s="2522"/>
      <c r="HZO178" s="2522"/>
      <c r="HZP178" s="2522"/>
      <c r="HZQ178" s="2522"/>
      <c r="HZR178" s="2522"/>
      <c r="HZS178" s="2522"/>
      <c r="HZT178" s="2522"/>
      <c r="HZU178" s="2522"/>
      <c r="HZV178" s="2522"/>
      <c r="HZW178" s="2522"/>
      <c r="HZX178" s="2522"/>
      <c r="HZY178" s="2522"/>
      <c r="HZZ178" s="2522"/>
      <c r="IAA178" s="2522"/>
      <c r="IAB178" s="2522"/>
      <c r="IAC178" s="2522"/>
      <c r="IAD178" s="2522"/>
      <c r="IAE178" s="2522"/>
      <c r="IAF178" s="2522"/>
      <c r="IAG178" s="2522"/>
      <c r="IAH178" s="2522"/>
      <c r="IAI178" s="2522"/>
      <c r="IAJ178" s="2522"/>
      <c r="IAK178" s="2522"/>
      <c r="IAL178" s="2522"/>
      <c r="IAM178" s="2522"/>
      <c r="IAN178" s="2522"/>
      <c r="IAO178" s="2522"/>
      <c r="IAP178" s="2522"/>
      <c r="IAQ178" s="2522"/>
      <c r="IAR178" s="2522"/>
      <c r="IAS178" s="2522"/>
      <c r="IAT178" s="2522"/>
      <c r="IAU178" s="2522"/>
      <c r="IAV178" s="2522"/>
      <c r="IAW178" s="2522"/>
      <c r="IAX178" s="2522"/>
      <c r="IAY178" s="2522"/>
      <c r="IAZ178" s="2522"/>
      <c r="IBA178" s="2522"/>
      <c r="IBB178" s="2522"/>
      <c r="IBC178" s="2522"/>
      <c r="IBD178" s="2522"/>
      <c r="IBE178" s="2522"/>
      <c r="IBF178" s="2522"/>
      <c r="IBG178" s="2522"/>
      <c r="IBH178" s="2522"/>
      <c r="IBI178" s="2522"/>
      <c r="IBJ178" s="2522"/>
      <c r="IBK178" s="2522"/>
      <c r="IBL178" s="2522"/>
      <c r="IBM178" s="2522"/>
      <c r="IBN178" s="2522"/>
      <c r="IBO178" s="2522"/>
      <c r="IBP178" s="2522"/>
      <c r="IBQ178" s="2522"/>
      <c r="IBR178" s="2522"/>
      <c r="IBS178" s="2522"/>
      <c r="IBT178" s="2522"/>
      <c r="IBU178" s="2522"/>
      <c r="IBV178" s="2522"/>
      <c r="IBW178" s="2522"/>
      <c r="IBX178" s="2522"/>
      <c r="IBY178" s="2522"/>
      <c r="IBZ178" s="2522"/>
      <c r="ICA178" s="2522"/>
      <c r="ICB178" s="2522"/>
      <c r="ICC178" s="2522"/>
      <c r="ICD178" s="2522"/>
      <c r="ICE178" s="2522"/>
      <c r="ICF178" s="2522"/>
      <c r="ICG178" s="2522"/>
      <c r="ICH178" s="2522"/>
      <c r="ICI178" s="2522"/>
      <c r="ICJ178" s="2522"/>
      <c r="ICK178" s="2522"/>
      <c r="ICL178" s="2522"/>
      <c r="ICM178" s="2522"/>
      <c r="ICN178" s="2522"/>
      <c r="ICO178" s="2522"/>
      <c r="ICP178" s="2522"/>
      <c r="ICQ178" s="2522"/>
      <c r="ICR178" s="2522"/>
      <c r="ICS178" s="2522"/>
      <c r="ICT178" s="2522"/>
      <c r="ICU178" s="2522"/>
      <c r="ICV178" s="2522"/>
      <c r="ICW178" s="2522"/>
      <c r="ICX178" s="2522"/>
      <c r="ICY178" s="2522"/>
      <c r="ICZ178" s="2522"/>
      <c r="IDA178" s="2522"/>
      <c r="IDB178" s="2522"/>
      <c r="IDC178" s="2522"/>
      <c r="IDD178" s="2522"/>
      <c r="IDE178" s="2522"/>
      <c r="IDF178" s="2522"/>
      <c r="IDG178" s="2522"/>
      <c r="IDH178" s="2522"/>
      <c r="IDI178" s="2522"/>
      <c r="IDJ178" s="2522"/>
      <c r="IDK178" s="2522"/>
      <c r="IDL178" s="2522"/>
      <c r="IDM178" s="2522"/>
      <c r="IDN178" s="2522"/>
      <c r="IDO178" s="2522"/>
      <c r="IDP178" s="2522"/>
      <c r="IDQ178" s="2522"/>
      <c r="IDR178" s="2522"/>
      <c r="IDS178" s="2522"/>
      <c r="IDT178" s="2522"/>
      <c r="IDU178" s="2522"/>
      <c r="IDV178" s="2522"/>
      <c r="IDW178" s="2522"/>
      <c r="IDX178" s="2522"/>
      <c r="IDY178" s="2522"/>
      <c r="IDZ178" s="2522"/>
      <c r="IEA178" s="2522"/>
      <c r="IEB178" s="2522"/>
      <c r="IEC178" s="2522"/>
      <c r="IED178" s="2522"/>
      <c r="IEE178" s="2522"/>
      <c r="IEF178" s="2522"/>
      <c r="IEG178" s="2522"/>
      <c r="IEH178" s="2522"/>
      <c r="IEI178" s="2522"/>
      <c r="IEJ178" s="2522"/>
      <c r="IEK178" s="2522"/>
      <c r="IEL178" s="2522"/>
      <c r="IEM178" s="2522"/>
      <c r="IEN178" s="2522"/>
      <c r="IEO178" s="2522"/>
      <c r="IEP178" s="2522"/>
      <c r="IEQ178" s="2522"/>
      <c r="IER178" s="2522"/>
      <c r="IES178" s="2522"/>
      <c r="IET178" s="2522"/>
      <c r="IEU178" s="2522"/>
      <c r="IEV178" s="2522"/>
      <c r="IEW178" s="2522"/>
      <c r="IEX178" s="2522"/>
      <c r="IEY178" s="2522"/>
      <c r="IEZ178" s="2522"/>
      <c r="IFA178" s="2522"/>
      <c r="IFB178" s="2522"/>
      <c r="IFC178" s="2522"/>
      <c r="IFD178" s="2522"/>
      <c r="IFE178" s="2522"/>
      <c r="IFF178" s="2522"/>
      <c r="IFG178" s="2522"/>
      <c r="IFH178" s="2522"/>
      <c r="IFI178" s="2522"/>
      <c r="IFJ178" s="2522"/>
      <c r="IFK178" s="2522"/>
      <c r="IFL178" s="2522"/>
      <c r="IFM178" s="2522"/>
      <c r="IFN178" s="2522"/>
      <c r="IFO178" s="2522"/>
      <c r="IFP178" s="2522"/>
      <c r="IFQ178" s="2522"/>
      <c r="IFR178" s="2522"/>
      <c r="IFS178" s="2522"/>
      <c r="IFT178" s="2522"/>
      <c r="IFU178" s="2522"/>
      <c r="IFV178" s="2522"/>
      <c r="IFW178" s="2522"/>
      <c r="IFX178" s="2522"/>
      <c r="IFY178" s="2522"/>
      <c r="IFZ178" s="2522"/>
      <c r="IGA178" s="2522"/>
      <c r="IGB178" s="2522"/>
      <c r="IGC178" s="2522"/>
      <c r="IGD178" s="2522"/>
      <c r="IGE178" s="2522"/>
      <c r="IGF178" s="2522"/>
      <c r="IGG178" s="2522"/>
      <c r="IGH178" s="2522"/>
      <c r="IGI178" s="2522"/>
      <c r="IGJ178" s="2522"/>
      <c r="IGK178" s="2522"/>
      <c r="IGL178" s="2522"/>
      <c r="IGM178" s="2522"/>
      <c r="IGN178" s="2522"/>
      <c r="IGO178" s="2522"/>
      <c r="IGP178" s="2522"/>
      <c r="IGQ178" s="2522"/>
      <c r="IGR178" s="2522"/>
      <c r="IGS178" s="2522"/>
      <c r="IGT178" s="2522"/>
      <c r="IGU178" s="2522"/>
      <c r="IGV178" s="2522"/>
      <c r="IGW178" s="2522"/>
      <c r="IGX178" s="2522"/>
      <c r="IGY178" s="2522"/>
      <c r="IGZ178" s="2522"/>
      <c r="IHA178" s="2522"/>
      <c r="IHB178" s="2522"/>
      <c r="IHC178" s="2522"/>
      <c r="IHD178" s="2522"/>
      <c r="IHE178" s="2522"/>
      <c r="IHF178" s="2522"/>
      <c r="IHG178" s="2522"/>
      <c r="IHH178" s="2522"/>
      <c r="IHI178" s="2522"/>
      <c r="IHJ178" s="2522"/>
      <c r="IHK178" s="2522"/>
      <c r="IHL178" s="2522"/>
      <c r="IHM178" s="2522"/>
      <c r="IHN178" s="2522"/>
      <c r="IHO178" s="2522"/>
      <c r="IHP178" s="2522"/>
      <c r="IHQ178" s="2522"/>
      <c r="IHR178" s="2522"/>
      <c r="IHS178" s="2522"/>
      <c r="IHT178" s="2522"/>
      <c r="IHU178" s="2522"/>
      <c r="IHV178" s="2522"/>
      <c r="IHW178" s="2522"/>
      <c r="IHX178" s="2522"/>
      <c r="IHY178" s="2522"/>
      <c r="IHZ178" s="2522"/>
      <c r="IIA178" s="2522"/>
      <c r="IIB178" s="2522"/>
      <c r="IIC178" s="2522"/>
      <c r="IID178" s="2522"/>
      <c r="IIE178" s="2522"/>
      <c r="IIF178" s="2522"/>
      <c r="IIG178" s="2522"/>
      <c r="IIH178" s="2522"/>
      <c r="III178" s="2522"/>
      <c r="IIJ178" s="2522"/>
      <c r="IIK178" s="2522"/>
      <c r="IIL178" s="2522"/>
      <c r="IIM178" s="2522"/>
      <c r="IIN178" s="2522"/>
      <c r="IIO178" s="2522"/>
      <c r="IIP178" s="2522"/>
      <c r="IIQ178" s="2522"/>
      <c r="IIR178" s="2522"/>
      <c r="IIS178" s="2522"/>
      <c r="IIT178" s="2522"/>
      <c r="IIU178" s="2522"/>
      <c r="IIV178" s="2522"/>
      <c r="IIW178" s="2522"/>
      <c r="IIX178" s="2522"/>
      <c r="IIY178" s="2522"/>
      <c r="IIZ178" s="2522"/>
      <c r="IJA178" s="2522"/>
      <c r="IJB178" s="2522"/>
      <c r="IJC178" s="2522"/>
      <c r="IJD178" s="2522"/>
      <c r="IJE178" s="2522"/>
      <c r="IJF178" s="2522"/>
      <c r="IJG178" s="2522"/>
      <c r="IJH178" s="2522"/>
      <c r="IJI178" s="2522"/>
      <c r="IJJ178" s="2522"/>
      <c r="IJK178" s="2522"/>
      <c r="IJL178" s="2522"/>
      <c r="IJM178" s="2522"/>
      <c r="IJN178" s="2522"/>
      <c r="IJO178" s="2522"/>
      <c r="IJP178" s="2522"/>
      <c r="IJQ178" s="2522"/>
      <c r="IJR178" s="2522"/>
      <c r="IJS178" s="2522"/>
      <c r="IJT178" s="2522"/>
      <c r="IJU178" s="2522"/>
      <c r="IJV178" s="2522"/>
      <c r="IJW178" s="2522"/>
      <c r="IJX178" s="2522"/>
      <c r="IJY178" s="2522"/>
      <c r="IJZ178" s="2522"/>
      <c r="IKA178" s="2522"/>
      <c r="IKB178" s="2522"/>
      <c r="IKC178" s="2522"/>
      <c r="IKD178" s="2522"/>
      <c r="IKE178" s="2522"/>
      <c r="IKF178" s="2522"/>
      <c r="IKG178" s="2522"/>
      <c r="IKH178" s="2522"/>
      <c r="IKI178" s="2522"/>
      <c r="IKJ178" s="2522"/>
      <c r="IKK178" s="2522"/>
      <c r="IKL178" s="2522"/>
      <c r="IKM178" s="2522"/>
      <c r="IKN178" s="2522"/>
      <c r="IKO178" s="2522"/>
      <c r="IKP178" s="2522"/>
      <c r="IKQ178" s="2522"/>
      <c r="IKR178" s="2522"/>
      <c r="IKS178" s="2522"/>
      <c r="IKT178" s="2522"/>
      <c r="IKU178" s="2522"/>
      <c r="IKV178" s="2522"/>
      <c r="IKW178" s="2522"/>
      <c r="IKX178" s="2522"/>
      <c r="IKY178" s="2522"/>
      <c r="IKZ178" s="2522"/>
      <c r="ILA178" s="2522"/>
      <c r="ILB178" s="2522"/>
      <c r="ILC178" s="2522"/>
      <c r="ILD178" s="2522"/>
      <c r="ILE178" s="2522"/>
      <c r="ILF178" s="2522"/>
      <c r="ILG178" s="2522"/>
      <c r="ILH178" s="2522"/>
      <c r="ILI178" s="2522"/>
      <c r="ILJ178" s="2522"/>
      <c r="ILK178" s="2522"/>
      <c r="ILL178" s="2522"/>
      <c r="ILM178" s="2522"/>
      <c r="ILN178" s="2522"/>
      <c r="ILO178" s="2522"/>
      <c r="ILP178" s="2522"/>
      <c r="ILQ178" s="2522"/>
      <c r="ILR178" s="2522"/>
      <c r="ILS178" s="2522"/>
      <c r="ILT178" s="2522"/>
      <c r="ILU178" s="2522"/>
      <c r="ILV178" s="2522"/>
      <c r="ILW178" s="2522"/>
      <c r="ILX178" s="2522"/>
      <c r="ILY178" s="2522"/>
      <c r="ILZ178" s="2522"/>
      <c r="IMA178" s="2522"/>
      <c r="IMB178" s="2522"/>
      <c r="IMC178" s="2522"/>
      <c r="IMD178" s="2522"/>
      <c r="IME178" s="2522"/>
      <c r="IMF178" s="2522"/>
      <c r="IMG178" s="2522"/>
      <c r="IMH178" s="2522"/>
      <c r="IMI178" s="2522"/>
      <c r="IMJ178" s="2522"/>
      <c r="IMK178" s="2522"/>
      <c r="IML178" s="2522"/>
      <c r="IMM178" s="2522"/>
      <c r="IMN178" s="2522"/>
      <c r="IMO178" s="2522"/>
      <c r="IMP178" s="2522"/>
      <c r="IMQ178" s="2522"/>
      <c r="IMR178" s="2522"/>
      <c r="IMS178" s="2522"/>
      <c r="IMT178" s="2522"/>
      <c r="IMU178" s="2522"/>
      <c r="IMV178" s="2522"/>
      <c r="IMW178" s="2522"/>
      <c r="IMX178" s="2522"/>
      <c r="IMY178" s="2522"/>
      <c r="IMZ178" s="2522"/>
      <c r="INA178" s="2522"/>
      <c r="INB178" s="2522"/>
      <c r="INC178" s="2522"/>
      <c r="IND178" s="2522"/>
      <c r="INE178" s="2522"/>
      <c r="INF178" s="2522"/>
      <c r="ING178" s="2522"/>
      <c r="INH178" s="2522"/>
      <c r="INI178" s="2522"/>
      <c r="INJ178" s="2522"/>
      <c r="INK178" s="2522"/>
      <c r="INL178" s="2522"/>
      <c r="INM178" s="2522"/>
      <c r="INN178" s="2522"/>
      <c r="INO178" s="2522"/>
      <c r="INP178" s="2522"/>
      <c r="INQ178" s="2522"/>
      <c r="INR178" s="2522"/>
      <c r="INS178" s="2522"/>
      <c r="INT178" s="2522"/>
      <c r="INU178" s="2522"/>
      <c r="INV178" s="2522"/>
      <c r="INW178" s="2522"/>
      <c r="INX178" s="2522"/>
      <c r="INY178" s="2522"/>
      <c r="INZ178" s="2522"/>
      <c r="IOA178" s="2522"/>
      <c r="IOB178" s="2522"/>
      <c r="IOC178" s="2522"/>
      <c r="IOD178" s="2522"/>
      <c r="IOE178" s="2522"/>
      <c r="IOF178" s="2522"/>
      <c r="IOG178" s="2522"/>
      <c r="IOH178" s="2522"/>
      <c r="IOI178" s="2522"/>
      <c r="IOJ178" s="2522"/>
      <c r="IOK178" s="2522"/>
      <c r="IOL178" s="2522"/>
      <c r="IOM178" s="2522"/>
      <c r="ION178" s="2522"/>
      <c r="IOO178" s="2522"/>
      <c r="IOP178" s="2522"/>
      <c r="IOQ178" s="2522"/>
      <c r="IOR178" s="2522"/>
      <c r="IOS178" s="2522"/>
      <c r="IOT178" s="2522"/>
      <c r="IOU178" s="2522"/>
      <c r="IOV178" s="2522"/>
      <c r="IOW178" s="2522"/>
      <c r="IOX178" s="2522"/>
      <c r="IOY178" s="2522"/>
      <c r="IOZ178" s="2522"/>
      <c r="IPA178" s="2522"/>
      <c r="IPB178" s="2522"/>
      <c r="IPC178" s="2522"/>
      <c r="IPD178" s="2522"/>
      <c r="IPE178" s="2522"/>
      <c r="IPF178" s="2522"/>
      <c r="IPG178" s="2522"/>
      <c r="IPH178" s="2522"/>
      <c r="IPI178" s="2522"/>
      <c r="IPJ178" s="2522"/>
      <c r="IPK178" s="2522"/>
      <c r="IPL178" s="2522"/>
      <c r="IPM178" s="2522"/>
      <c r="IPN178" s="2522"/>
      <c r="IPO178" s="2522"/>
      <c r="IPP178" s="2522"/>
      <c r="IPQ178" s="2522"/>
      <c r="IPR178" s="2522"/>
      <c r="IPS178" s="2522"/>
      <c r="IPT178" s="2522"/>
      <c r="IPU178" s="2522"/>
      <c r="IPV178" s="2522"/>
      <c r="IPW178" s="2522"/>
      <c r="IPX178" s="2522"/>
      <c r="IPY178" s="2522"/>
      <c r="IPZ178" s="2522"/>
      <c r="IQA178" s="2522"/>
      <c r="IQB178" s="2522"/>
      <c r="IQC178" s="2522"/>
      <c r="IQD178" s="2522"/>
      <c r="IQE178" s="2522"/>
      <c r="IQF178" s="2522"/>
      <c r="IQG178" s="2522"/>
      <c r="IQH178" s="2522"/>
      <c r="IQI178" s="2522"/>
      <c r="IQJ178" s="2522"/>
      <c r="IQK178" s="2522"/>
      <c r="IQL178" s="2522"/>
      <c r="IQM178" s="2522"/>
      <c r="IQN178" s="2522"/>
      <c r="IQO178" s="2522"/>
      <c r="IQP178" s="2522"/>
      <c r="IQQ178" s="2522"/>
      <c r="IQR178" s="2522"/>
      <c r="IQS178" s="2522"/>
      <c r="IQT178" s="2522"/>
      <c r="IQU178" s="2522"/>
      <c r="IQV178" s="2522"/>
      <c r="IQW178" s="2522"/>
      <c r="IQX178" s="2522"/>
      <c r="IQY178" s="2522"/>
      <c r="IQZ178" s="2522"/>
      <c r="IRA178" s="2522"/>
      <c r="IRB178" s="2522"/>
      <c r="IRC178" s="2522"/>
      <c r="IRD178" s="2522"/>
      <c r="IRE178" s="2522"/>
      <c r="IRF178" s="2522"/>
      <c r="IRG178" s="2522"/>
      <c r="IRH178" s="2522"/>
      <c r="IRI178" s="2522"/>
      <c r="IRJ178" s="2522"/>
      <c r="IRK178" s="2522"/>
      <c r="IRL178" s="2522"/>
      <c r="IRM178" s="2522"/>
      <c r="IRN178" s="2522"/>
      <c r="IRO178" s="2522"/>
      <c r="IRP178" s="2522"/>
      <c r="IRQ178" s="2522"/>
      <c r="IRR178" s="2522"/>
      <c r="IRS178" s="2522"/>
      <c r="IRT178" s="2522"/>
      <c r="IRU178" s="2522"/>
      <c r="IRV178" s="2522"/>
      <c r="IRW178" s="2522"/>
      <c r="IRX178" s="2522"/>
      <c r="IRY178" s="2522"/>
      <c r="IRZ178" s="2522"/>
      <c r="ISA178" s="2522"/>
      <c r="ISB178" s="2522"/>
      <c r="ISC178" s="2522"/>
      <c r="ISD178" s="2522"/>
      <c r="ISE178" s="2522"/>
      <c r="ISF178" s="2522"/>
      <c r="ISG178" s="2522"/>
      <c r="ISH178" s="2522"/>
      <c r="ISI178" s="2522"/>
      <c r="ISJ178" s="2522"/>
      <c r="ISK178" s="2522"/>
      <c r="ISL178" s="2522"/>
      <c r="ISM178" s="2522"/>
      <c r="ISN178" s="2522"/>
      <c r="ISO178" s="2522"/>
      <c r="ISP178" s="2522"/>
      <c r="ISQ178" s="2522"/>
      <c r="ISR178" s="2522"/>
      <c r="ISS178" s="2522"/>
      <c r="IST178" s="2522"/>
      <c r="ISU178" s="2522"/>
      <c r="ISV178" s="2522"/>
      <c r="ISW178" s="2522"/>
      <c r="ISX178" s="2522"/>
      <c r="ISY178" s="2522"/>
      <c r="ISZ178" s="2522"/>
      <c r="ITA178" s="2522"/>
      <c r="ITB178" s="2522"/>
      <c r="ITC178" s="2522"/>
      <c r="ITD178" s="2522"/>
      <c r="ITE178" s="2522"/>
      <c r="ITF178" s="2522"/>
      <c r="ITG178" s="2522"/>
      <c r="ITH178" s="2522"/>
      <c r="ITI178" s="2522"/>
      <c r="ITJ178" s="2522"/>
      <c r="ITK178" s="2522"/>
      <c r="ITL178" s="2522"/>
      <c r="ITM178" s="2522"/>
      <c r="ITN178" s="2522"/>
      <c r="ITO178" s="2522"/>
      <c r="ITP178" s="2522"/>
      <c r="ITQ178" s="2522"/>
      <c r="ITR178" s="2522"/>
      <c r="ITS178" s="2522"/>
      <c r="ITT178" s="2522"/>
      <c r="ITU178" s="2522"/>
      <c r="ITV178" s="2522"/>
      <c r="ITW178" s="2522"/>
      <c r="ITX178" s="2522"/>
      <c r="ITY178" s="2522"/>
      <c r="ITZ178" s="2522"/>
      <c r="IUA178" s="2522"/>
      <c r="IUB178" s="2522"/>
      <c r="IUC178" s="2522"/>
      <c r="IUD178" s="2522"/>
      <c r="IUE178" s="2522"/>
      <c r="IUF178" s="2522"/>
      <c r="IUG178" s="2522"/>
      <c r="IUH178" s="2522"/>
      <c r="IUI178" s="2522"/>
      <c r="IUJ178" s="2522"/>
      <c r="IUK178" s="2522"/>
      <c r="IUL178" s="2522"/>
      <c r="IUM178" s="2522"/>
      <c r="IUN178" s="2522"/>
      <c r="IUO178" s="2522"/>
      <c r="IUP178" s="2522"/>
      <c r="IUQ178" s="2522"/>
      <c r="IUR178" s="2522"/>
      <c r="IUS178" s="2522"/>
      <c r="IUT178" s="2522"/>
      <c r="IUU178" s="2522"/>
      <c r="IUV178" s="2522"/>
      <c r="IUW178" s="2522"/>
      <c r="IUX178" s="2522"/>
      <c r="IUY178" s="2522"/>
      <c r="IUZ178" s="2522"/>
      <c r="IVA178" s="2522"/>
      <c r="IVB178" s="2522"/>
      <c r="IVC178" s="2522"/>
      <c r="IVD178" s="2522"/>
      <c r="IVE178" s="2522"/>
      <c r="IVF178" s="2522"/>
      <c r="IVG178" s="2522"/>
      <c r="IVH178" s="2522"/>
      <c r="IVI178" s="2522"/>
      <c r="IVJ178" s="2522"/>
      <c r="IVK178" s="2522"/>
      <c r="IVL178" s="2522"/>
      <c r="IVM178" s="2522"/>
      <c r="IVN178" s="2522"/>
      <c r="IVO178" s="2522"/>
      <c r="IVP178" s="2522"/>
      <c r="IVQ178" s="2522"/>
      <c r="IVR178" s="2522"/>
      <c r="IVS178" s="2522"/>
      <c r="IVT178" s="2522"/>
      <c r="IVU178" s="2522"/>
      <c r="IVV178" s="2522"/>
      <c r="IVW178" s="2522"/>
      <c r="IVX178" s="2522"/>
      <c r="IVY178" s="2522"/>
      <c r="IVZ178" s="2522"/>
      <c r="IWA178" s="2522"/>
      <c r="IWB178" s="2522"/>
      <c r="IWC178" s="2522"/>
      <c r="IWD178" s="2522"/>
      <c r="IWE178" s="2522"/>
      <c r="IWF178" s="2522"/>
      <c r="IWG178" s="2522"/>
      <c r="IWH178" s="2522"/>
      <c r="IWI178" s="2522"/>
      <c r="IWJ178" s="2522"/>
      <c r="IWK178" s="2522"/>
      <c r="IWL178" s="2522"/>
      <c r="IWM178" s="2522"/>
      <c r="IWN178" s="2522"/>
      <c r="IWO178" s="2522"/>
      <c r="IWP178" s="2522"/>
      <c r="IWQ178" s="2522"/>
      <c r="IWR178" s="2522"/>
      <c r="IWS178" s="2522"/>
      <c r="IWT178" s="2522"/>
      <c r="IWU178" s="2522"/>
      <c r="IWV178" s="2522"/>
      <c r="IWW178" s="2522"/>
      <c r="IWX178" s="2522"/>
      <c r="IWY178" s="2522"/>
      <c r="IWZ178" s="2522"/>
      <c r="IXA178" s="2522"/>
      <c r="IXB178" s="2522"/>
      <c r="IXC178" s="2522"/>
      <c r="IXD178" s="2522"/>
      <c r="IXE178" s="2522"/>
      <c r="IXF178" s="2522"/>
      <c r="IXG178" s="2522"/>
      <c r="IXH178" s="2522"/>
      <c r="IXI178" s="2522"/>
      <c r="IXJ178" s="2522"/>
      <c r="IXK178" s="2522"/>
      <c r="IXL178" s="2522"/>
      <c r="IXM178" s="2522"/>
      <c r="IXN178" s="2522"/>
      <c r="IXO178" s="2522"/>
      <c r="IXP178" s="2522"/>
      <c r="IXQ178" s="2522"/>
      <c r="IXR178" s="2522"/>
      <c r="IXS178" s="2522"/>
      <c r="IXT178" s="2522"/>
      <c r="IXU178" s="2522"/>
      <c r="IXV178" s="2522"/>
      <c r="IXW178" s="2522"/>
      <c r="IXX178" s="2522"/>
      <c r="IXY178" s="2522"/>
      <c r="IXZ178" s="2522"/>
      <c r="IYA178" s="2522"/>
      <c r="IYB178" s="2522"/>
      <c r="IYC178" s="2522"/>
      <c r="IYD178" s="2522"/>
      <c r="IYE178" s="2522"/>
      <c r="IYF178" s="2522"/>
      <c r="IYG178" s="2522"/>
      <c r="IYH178" s="2522"/>
      <c r="IYI178" s="2522"/>
      <c r="IYJ178" s="2522"/>
      <c r="IYK178" s="2522"/>
      <c r="IYL178" s="2522"/>
      <c r="IYM178" s="2522"/>
      <c r="IYN178" s="2522"/>
      <c r="IYO178" s="2522"/>
      <c r="IYP178" s="2522"/>
      <c r="IYQ178" s="2522"/>
      <c r="IYR178" s="2522"/>
      <c r="IYS178" s="2522"/>
      <c r="IYT178" s="2522"/>
      <c r="IYU178" s="2522"/>
      <c r="IYV178" s="2522"/>
      <c r="IYW178" s="2522"/>
      <c r="IYX178" s="2522"/>
      <c r="IYY178" s="2522"/>
      <c r="IYZ178" s="2522"/>
      <c r="IZA178" s="2522"/>
      <c r="IZB178" s="2522"/>
      <c r="IZC178" s="2522"/>
      <c r="IZD178" s="2522"/>
      <c r="IZE178" s="2522"/>
      <c r="IZF178" s="2522"/>
      <c r="IZG178" s="2522"/>
      <c r="IZH178" s="2522"/>
      <c r="IZI178" s="2522"/>
      <c r="IZJ178" s="2522"/>
      <c r="IZK178" s="2522"/>
      <c r="IZL178" s="2522"/>
      <c r="IZM178" s="2522"/>
      <c r="IZN178" s="2522"/>
      <c r="IZO178" s="2522"/>
      <c r="IZP178" s="2522"/>
      <c r="IZQ178" s="2522"/>
      <c r="IZR178" s="2522"/>
      <c r="IZS178" s="2522"/>
      <c r="IZT178" s="2522"/>
      <c r="IZU178" s="2522"/>
      <c r="IZV178" s="2522"/>
      <c r="IZW178" s="2522"/>
      <c r="IZX178" s="2522"/>
      <c r="IZY178" s="2522"/>
      <c r="IZZ178" s="2522"/>
      <c r="JAA178" s="2522"/>
      <c r="JAB178" s="2522"/>
      <c r="JAC178" s="2522"/>
      <c r="JAD178" s="2522"/>
      <c r="JAE178" s="2522"/>
      <c r="JAF178" s="2522"/>
      <c r="JAG178" s="2522"/>
      <c r="JAH178" s="2522"/>
      <c r="JAI178" s="2522"/>
      <c r="JAJ178" s="2522"/>
      <c r="JAK178" s="2522"/>
      <c r="JAL178" s="2522"/>
      <c r="JAM178" s="2522"/>
      <c r="JAN178" s="2522"/>
      <c r="JAO178" s="2522"/>
      <c r="JAP178" s="2522"/>
      <c r="JAQ178" s="2522"/>
      <c r="JAR178" s="2522"/>
      <c r="JAS178" s="2522"/>
      <c r="JAT178" s="2522"/>
      <c r="JAU178" s="2522"/>
      <c r="JAV178" s="2522"/>
      <c r="JAW178" s="2522"/>
      <c r="JAX178" s="2522"/>
      <c r="JAY178" s="2522"/>
      <c r="JAZ178" s="2522"/>
      <c r="JBA178" s="2522"/>
      <c r="JBB178" s="2522"/>
      <c r="JBC178" s="2522"/>
      <c r="JBD178" s="2522"/>
      <c r="JBE178" s="2522"/>
      <c r="JBF178" s="2522"/>
      <c r="JBG178" s="2522"/>
      <c r="JBH178" s="2522"/>
      <c r="JBI178" s="2522"/>
      <c r="JBJ178" s="2522"/>
      <c r="JBK178" s="2522"/>
      <c r="JBL178" s="2522"/>
      <c r="JBM178" s="2522"/>
      <c r="JBN178" s="2522"/>
      <c r="JBO178" s="2522"/>
      <c r="JBP178" s="2522"/>
      <c r="JBQ178" s="2522"/>
      <c r="JBR178" s="2522"/>
      <c r="JBS178" s="2522"/>
      <c r="JBT178" s="2522"/>
      <c r="JBU178" s="2522"/>
      <c r="JBV178" s="2522"/>
      <c r="JBW178" s="2522"/>
      <c r="JBX178" s="2522"/>
      <c r="JBY178" s="2522"/>
      <c r="JBZ178" s="2522"/>
      <c r="JCA178" s="2522"/>
      <c r="JCB178" s="2522"/>
      <c r="JCC178" s="2522"/>
      <c r="JCD178" s="2522"/>
      <c r="JCE178" s="2522"/>
      <c r="JCF178" s="2522"/>
      <c r="JCG178" s="2522"/>
      <c r="JCH178" s="2522"/>
      <c r="JCI178" s="2522"/>
      <c r="JCJ178" s="2522"/>
      <c r="JCK178" s="2522"/>
      <c r="JCL178" s="2522"/>
      <c r="JCM178" s="2522"/>
      <c r="JCN178" s="2522"/>
      <c r="JCO178" s="2522"/>
      <c r="JCP178" s="2522"/>
      <c r="JCQ178" s="2522"/>
      <c r="JCR178" s="2522"/>
      <c r="JCS178" s="2522"/>
      <c r="JCT178" s="2522"/>
      <c r="JCU178" s="2522"/>
      <c r="JCV178" s="2522"/>
      <c r="JCW178" s="2522"/>
      <c r="JCX178" s="2522"/>
      <c r="JCY178" s="2522"/>
      <c r="JCZ178" s="2522"/>
      <c r="JDA178" s="2522"/>
      <c r="JDB178" s="2522"/>
      <c r="JDC178" s="2522"/>
      <c r="JDD178" s="2522"/>
      <c r="JDE178" s="2522"/>
      <c r="JDF178" s="2522"/>
      <c r="JDG178" s="2522"/>
      <c r="JDH178" s="2522"/>
      <c r="JDI178" s="2522"/>
      <c r="JDJ178" s="2522"/>
      <c r="JDK178" s="2522"/>
      <c r="JDL178" s="2522"/>
      <c r="JDM178" s="2522"/>
      <c r="JDN178" s="2522"/>
      <c r="JDO178" s="2522"/>
      <c r="JDP178" s="2522"/>
      <c r="JDQ178" s="2522"/>
      <c r="JDR178" s="2522"/>
      <c r="JDS178" s="2522"/>
      <c r="JDT178" s="2522"/>
      <c r="JDU178" s="2522"/>
      <c r="JDV178" s="2522"/>
      <c r="JDW178" s="2522"/>
      <c r="JDX178" s="2522"/>
      <c r="JDY178" s="2522"/>
      <c r="JDZ178" s="2522"/>
      <c r="JEA178" s="2522"/>
      <c r="JEB178" s="2522"/>
      <c r="JEC178" s="2522"/>
      <c r="JED178" s="2522"/>
      <c r="JEE178" s="2522"/>
      <c r="JEF178" s="2522"/>
      <c r="JEG178" s="2522"/>
      <c r="JEH178" s="2522"/>
      <c r="JEI178" s="2522"/>
      <c r="JEJ178" s="2522"/>
      <c r="JEK178" s="2522"/>
      <c r="JEL178" s="2522"/>
      <c r="JEM178" s="2522"/>
      <c r="JEN178" s="2522"/>
      <c r="JEO178" s="2522"/>
      <c r="JEP178" s="2522"/>
      <c r="JEQ178" s="2522"/>
      <c r="JER178" s="2522"/>
      <c r="JES178" s="2522"/>
      <c r="JET178" s="2522"/>
      <c r="JEU178" s="2522"/>
      <c r="JEV178" s="2522"/>
      <c r="JEW178" s="2522"/>
      <c r="JEX178" s="2522"/>
      <c r="JEY178" s="2522"/>
      <c r="JEZ178" s="2522"/>
      <c r="JFA178" s="2522"/>
      <c r="JFB178" s="2522"/>
      <c r="JFC178" s="2522"/>
      <c r="JFD178" s="2522"/>
      <c r="JFE178" s="2522"/>
      <c r="JFF178" s="2522"/>
      <c r="JFG178" s="2522"/>
      <c r="JFH178" s="2522"/>
      <c r="JFI178" s="2522"/>
      <c r="JFJ178" s="2522"/>
      <c r="JFK178" s="2522"/>
      <c r="JFL178" s="2522"/>
      <c r="JFM178" s="2522"/>
      <c r="JFN178" s="2522"/>
      <c r="JFO178" s="2522"/>
      <c r="JFP178" s="2522"/>
      <c r="JFQ178" s="2522"/>
      <c r="JFR178" s="2522"/>
      <c r="JFS178" s="2522"/>
      <c r="JFT178" s="2522"/>
      <c r="JFU178" s="2522"/>
      <c r="JFV178" s="2522"/>
      <c r="JFW178" s="2522"/>
      <c r="JFX178" s="2522"/>
      <c r="JFY178" s="2522"/>
      <c r="JFZ178" s="2522"/>
      <c r="JGA178" s="2522"/>
      <c r="JGB178" s="2522"/>
      <c r="JGC178" s="2522"/>
      <c r="JGD178" s="2522"/>
      <c r="JGE178" s="2522"/>
      <c r="JGF178" s="2522"/>
      <c r="JGG178" s="2522"/>
      <c r="JGH178" s="2522"/>
      <c r="JGI178" s="2522"/>
      <c r="JGJ178" s="2522"/>
      <c r="JGK178" s="2522"/>
      <c r="JGL178" s="2522"/>
      <c r="JGM178" s="2522"/>
      <c r="JGN178" s="2522"/>
      <c r="JGO178" s="2522"/>
      <c r="JGP178" s="2522"/>
      <c r="JGQ178" s="2522"/>
      <c r="JGR178" s="2522"/>
      <c r="JGS178" s="2522"/>
      <c r="JGT178" s="2522"/>
      <c r="JGU178" s="2522"/>
      <c r="JGV178" s="2522"/>
      <c r="JGW178" s="2522"/>
      <c r="JGX178" s="2522"/>
      <c r="JGY178" s="2522"/>
      <c r="JGZ178" s="2522"/>
      <c r="JHA178" s="2522"/>
      <c r="JHB178" s="2522"/>
      <c r="JHC178" s="2522"/>
      <c r="JHD178" s="2522"/>
      <c r="JHE178" s="2522"/>
      <c r="JHF178" s="2522"/>
      <c r="JHG178" s="2522"/>
      <c r="JHH178" s="2522"/>
      <c r="JHI178" s="2522"/>
      <c r="JHJ178" s="2522"/>
      <c r="JHK178" s="2522"/>
      <c r="JHL178" s="2522"/>
      <c r="JHM178" s="2522"/>
      <c r="JHN178" s="2522"/>
      <c r="JHO178" s="2522"/>
      <c r="JHP178" s="2522"/>
      <c r="JHQ178" s="2522"/>
      <c r="JHR178" s="2522"/>
      <c r="JHS178" s="2522"/>
      <c r="JHT178" s="2522"/>
      <c r="JHU178" s="2522"/>
      <c r="JHV178" s="2522"/>
      <c r="JHW178" s="2522"/>
      <c r="JHX178" s="2522"/>
      <c r="JHY178" s="2522"/>
      <c r="JHZ178" s="2522"/>
      <c r="JIA178" s="2522"/>
      <c r="JIB178" s="2522"/>
      <c r="JIC178" s="2522"/>
      <c r="JID178" s="2522"/>
      <c r="JIE178" s="2522"/>
      <c r="JIF178" s="2522"/>
      <c r="JIG178" s="2522"/>
      <c r="JIH178" s="2522"/>
      <c r="JII178" s="2522"/>
      <c r="JIJ178" s="2522"/>
      <c r="JIK178" s="2522"/>
      <c r="JIL178" s="2522"/>
      <c r="JIM178" s="2522"/>
      <c r="JIN178" s="2522"/>
      <c r="JIO178" s="2522"/>
      <c r="JIP178" s="2522"/>
      <c r="JIQ178" s="2522"/>
      <c r="JIR178" s="2522"/>
      <c r="JIS178" s="2522"/>
      <c r="JIT178" s="2522"/>
      <c r="JIU178" s="2522"/>
      <c r="JIV178" s="2522"/>
      <c r="JIW178" s="2522"/>
      <c r="JIX178" s="2522"/>
      <c r="JIY178" s="2522"/>
      <c r="JIZ178" s="2522"/>
      <c r="JJA178" s="2522"/>
      <c r="JJB178" s="2522"/>
      <c r="JJC178" s="2522"/>
      <c r="JJD178" s="2522"/>
      <c r="JJE178" s="2522"/>
      <c r="JJF178" s="2522"/>
      <c r="JJG178" s="2522"/>
      <c r="JJH178" s="2522"/>
      <c r="JJI178" s="2522"/>
      <c r="JJJ178" s="2522"/>
      <c r="JJK178" s="2522"/>
      <c r="JJL178" s="2522"/>
      <c r="JJM178" s="2522"/>
      <c r="JJN178" s="2522"/>
      <c r="JJO178" s="2522"/>
      <c r="JJP178" s="2522"/>
      <c r="JJQ178" s="2522"/>
      <c r="JJR178" s="2522"/>
      <c r="JJS178" s="2522"/>
      <c r="JJT178" s="2522"/>
      <c r="JJU178" s="2522"/>
      <c r="JJV178" s="2522"/>
      <c r="JJW178" s="2522"/>
      <c r="JJX178" s="2522"/>
      <c r="JJY178" s="2522"/>
      <c r="JJZ178" s="2522"/>
      <c r="JKA178" s="2522"/>
      <c r="JKB178" s="2522"/>
      <c r="JKC178" s="2522"/>
      <c r="JKD178" s="2522"/>
      <c r="JKE178" s="2522"/>
      <c r="JKF178" s="2522"/>
      <c r="JKG178" s="2522"/>
      <c r="JKH178" s="2522"/>
      <c r="JKI178" s="2522"/>
      <c r="JKJ178" s="2522"/>
      <c r="JKK178" s="2522"/>
      <c r="JKL178" s="2522"/>
      <c r="JKM178" s="2522"/>
      <c r="JKN178" s="2522"/>
      <c r="JKO178" s="2522"/>
      <c r="JKP178" s="2522"/>
      <c r="JKQ178" s="2522"/>
      <c r="JKR178" s="2522"/>
      <c r="JKS178" s="2522"/>
      <c r="JKT178" s="2522"/>
      <c r="JKU178" s="2522"/>
      <c r="JKV178" s="2522"/>
      <c r="JKW178" s="2522"/>
      <c r="JKX178" s="2522"/>
      <c r="JKY178" s="2522"/>
      <c r="JKZ178" s="2522"/>
      <c r="JLA178" s="2522"/>
      <c r="JLB178" s="2522"/>
      <c r="JLC178" s="2522"/>
      <c r="JLD178" s="2522"/>
      <c r="JLE178" s="2522"/>
      <c r="JLF178" s="2522"/>
      <c r="JLG178" s="2522"/>
      <c r="JLH178" s="2522"/>
      <c r="JLI178" s="2522"/>
      <c r="JLJ178" s="2522"/>
      <c r="JLK178" s="2522"/>
      <c r="JLL178" s="2522"/>
      <c r="JLM178" s="2522"/>
      <c r="JLN178" s="2522"/>
      <c r="JLO178" s="2522"/>
      <c r="JLP178" s="2522"/>
      <c r="JLQ178" s="2522"/>
      <c r="JLR178" s="2522"/>
      <c r="JLS178" s="2522"/>
      <c r="JLT178" s="2522"/>
      <c r="JLU178" s="2522"/>
      <c r="JLV178" s="2522"/>
      <c r="JLW178" s="2522"/>
      <c r="JLX178" s="2522"/>
      <c r="JLY178" s="2522"/>
      <c r="JLZ178" s="2522"/>
      <c r="JMA178" s="2522"/>
      <c r="JMB178" s="2522"/>
      <c r="JMC178" s="2522"/>
      <c r="JMD178" s="2522"/>
      <c r="JME178" s="2522"/>
      <c r="JMF178" s="2522"/>
      <c r="JMG178" s="2522"/>
      <c r="JMH178" s="2522"/>
      <c r="JMI178" s="2522"/>
      <c r="JMJ178" s="2522"/>
      <c r="JMK178" s="2522"/>
      <c r="JML178" s="2522"/>
      <c r="JMM178" s="2522"/>
      <c r="JMN178" s="2522"/>
      <c r="JMO178" s="2522"/>
      <c r="JMP178" s="2522"/>
      <c r="JMQ178" s="2522"/>
      <c r="JMR178" s="2522"/>
      <c r="JMS178" s="2522"/>
      <c r="JMT178" s="2522"/>
      <c r="JMU178" s="2522"/>
      <c r="JMV178" s="2522"/>
      <c r="JMW178" s="2522"/>
      <c r="JMX178" s="2522"/>
      <c r="JMY178" s="2522"/>
      <c r="JMZ178" s="2522"/>
      <c r="JNA178" s="2522"/>
      <c r="JNB178" s="2522"/>
      <c r="JNC178" s="2522"/>
      <c r="JND178" s="2522"/>
      <c r="JNE178" s="2522"/>
      <c r="JNF178" s="2522"/>
      <c r="JNG178" s="2522"/>
      <c r="JNH178" s="2522"/>
      <c r="JNI178" s="2522"/>
      <c r="JNJ178" s="2522"/>
      <c r="JNK178" s="2522"/>
      <c r="JNL178" s="2522"/>
      <c r="JNM178" s="2522"/>
      <c r="JNN178" s="2522"/>
      <c r="JNO178" s="2522"/>
      <c r="JNP178" s="2522"/>
      <c r="JNQ178" s="2522"/>
      <c r="JNR178" s="2522"/>
      <c r="JNS178" s="2522"/>
      <c r="JNT178" s="2522"/>
      <c r="JNU178" s="2522"/>
      <c r="JNV178" s="2522"/>
      <c r="JNW178" s="2522"/>
      <c r="JNX178" s="2522"/>
      <c r="JNY178" s="2522"/>
      <c r="JNZ178" s="2522"/>
      <c r="JOA178" s="2522"/>
      <c r="JOB178" s="2522"/>
      <c r="JOC178" s="2522"/>
      <c r="JOD178" s="2522"/>
      <c r="JOE178" s="2522"/>
      <c r="JOF178" s="2522"/>
      <c r="JOG178" s="2522"/>
      <c r="JOH178" s="2522"/>
      <c r="JOI178" s="2522"/>
      <c r="JOJ178" s="2522"/>
      <c r="JOK178" s="2522"/>
      <c r="JOL178" s="2522"/>
      <c r="JOM178" s="2522"/>
      <c r="JON178" s="2522"/>
      <c r="JOO178" s="2522"/>
      <c r="JOP178" s="2522"/>
      <c r="JOQ178" s="2522"/>
      <c r="JOR178" s="2522"/>
      <c r="JOS178" s="2522"/>
      <c r="JOT178" s="2522"/>
      <c r="JOU178" s="2522"/>
      <c r="JOV178" s="2522"/>
      <c r="JOW178" s="2522"/>
      <c r="JOX178" s="2522"/>
      <c r="JOY178" s="2522"/>
      <c r="JOZ178" s="2522"/>
      <c r="JPA178" s="2522"/>
      <c r="JPB178" s="2522"/>
      <c r="JPC178" s="2522"/>
      <c r="JPD178" s="2522"/>
      <c r="JPE178" s="2522"/>
      <c r="JPF178" s="2522"/>
      <c r="JPG178" s="2522"/>
      <c r="JPH178" s="2522"/>
      <c r="JPI178" s="2522"/>
      <c r="JPJ178" s="2522"/>
      <c r="JPK178" s="2522"/>
      <c r="JPL178" s="2522"/>
      <c r="JPM178" s="2522"/>
      <c r="JPN178" s="2522"/>
      <c r="JPO178" s="2522"/>
      <c r="JPP178" s="2522"/>
      <c r="JPQ178" s="2522"/>
      <c r="JPR178" s="2522"/>
      <c r="JPS178" s="2522"/>
      <c r="JPT178" s="2522"/>
      <c r="JPU178" s="2522"/>
      <c r="JPV178" s="2522"/>
      <c r="JPW178" s="2522"/>
      <c r="JPX178" s="2522"/>
      <c r="JPY178" s="2522"/>
      <c r="JPZ178" s="2522"/>
      <c r="JQA178" s="2522"/>
      <c r="JQB178" s="2522"/>
      <c r="JQC178" s="2522"/>
      <c r="JQD178" s="2522"/>
      <c r="JQE178" s="2522"/>
      <c r="JQF178" s="2522"/>
      <c r="JQG178" s="2522"/>
      <c r="JQH178" s="2522"/>
      <c r="JQI178" s="2522"/>
      <c r="JQJ178" s="2522"/>
      <c r="JQK178" s="2522"/>
      <c r="JQL178" s="2522"/>
      <c r="JQM178" s="2522"/>
      <c r="JQN178" s="2522"/>
      <c r="JQO178" s="2522"/>
      <c r="JQP178" s="2522"/>
      <c r="JQQ178" s="2522"/>
      <c r="JQR178" s="2522"/>
      <c r="JQS178" s="2522"/>
      <c r="JQT178" s="2522"/>
      <c r="JQU178" s="2522"/>
      <c r="JQV178" s="2522"/>
      <c r="JQW178" s="2522"/>
      <c r="JQX178" s="2522"/>
      <c r="JQY178" s="2522"/>
      <c r="JQZ178" s="2522"/>
      <c r="JRA178" s="2522"/>
      <c r="JRB178" s="2522"/>
      <c r="JRC178" s="2522"/>
      <c r="JRD178" s="2522"/>
      <c r="JRE178" s="2522"/>
      <c r="JRF178" s="2522"/>
      <c r="JRG178" s="2522"/>
      <c r="JRH178" s="2522"/>
      <c r="JRI178" s="2522"/>
      <c r="JRJ178" s="2522"/>
      <c r="JRK178" s="2522"/>
      <c r="JRL178" s="2522"/>
      <c r="JRM178" s="2522"/>
      <c r="JRN178" s="2522"/>
      <c r="JRO178" s="2522"/>
      <c r="JRP178" s="2522"/>
      <c r="JRQ178" s="2522"/>
      <c r="JRR178" s="2522"/>
      <c r="JRS178" s="2522"/>
      <c r="JRT178" s="2522"/>
      <c r="JRU178" s="2522"/>
      <c r="JRV178" s="2522"/>
      <c r="JRW178" s="2522"/>
      <c r="JRX178" s="2522"/>
      <c r="JRY178" s="2522"/>
      <c r="JRZ178" s="2522"/>
      <c r="JSA178" s="2522"/>
      <c r="JSB178" s="2522"/>
      <c r="JSC178" s="2522"/>
      <c r="JSD178" s="2522"/>
      <c r="JSE178" s="2522"/>
      <c r="JSF178" s="2522"/>
      <c r="JSG178" s="2522"/>
      <c r="JSH178" s="2522"/>
      <c r="JSI178" s="2522"/>
      <c r="JSJ178" s="2522"/>
      <c r="JSK178" s="2522"/>
      <c r="JSL178" s="2522"/>
      <c r="JSM178" s="2522"/>
      <c r="JSN178" s="2522"/>
      <c r="JSO178" s="2522"/>
      <c r="JSP178" s="2522"/>
      <c r="JSQ178" s="2522"/>
      <c r="JSR178" s="2522"/>
      <c r="JSS178" s="2522"/>
      <c r="JST178" s="2522"/>
      <c r="JSU178" s="2522"/>
      <c r="JSV178" s="2522"/>
      <c r="JSW178" s="2522"/>
      <c r="JSX178" s="2522"/>
      <c r="JSY178" s="2522"/>
      <c r="JSZ178" s="2522"/>
      <c r="JTA178" s="2522"/>
      <c r="JTB178" s="2522"/>
      <c r="JTC178" s="2522"/>
      <c r="JTD178" s="2522"/>
      <c r="JTE178" s="2522"/>
      <c r="JTF178" s="2522"/>
      <c r="JTG178" s="2522"/>
      <c r="JTH178" s="2522"/>
      <c r="JTI178" s="2522"/>
      <c r="JTJ178" s="2522"/>
      <c r="JTK178" s="2522"/>
      <c r="JTL178" s="2522"/>
      <c r="JTM178" s="2522"/>
      <c r="JTN178" s="2522"/>
      <c r="JTO178" s="2522"/>
      <c r="JTP178" s="2522"/>
      <c r="JTQ178" s="2522"/>
      <c r="JTR178" s="2522"/>
      <c r="JTS178" s="2522"/>
      <c r="JTT178" s="2522"/>
      <c r="JTU178" s="2522"/>
      <c r="JTV178" s="2522"/>
      <c r="JTW178" s="2522"/>
      <c r="JTX178" s="2522"/>
      <c r="JTY178" s="2522"/>
      <c r="JTZ178" s="2522"/>
      <c r="JUA178" s="2522"/>
      <c r="JUB178" s="2522"/>
      <c r="JUC178" s="2522"/>
      <c r="JUD178" s="2522"/>
      <c r="JUE178" s="2522"/>
      <c r="JUF178" s="2522"/>
      <c r="JUG178" s="2522"/>
      <c r="JUH178" s="2522"/>
      <c r="JUI178" s="2522"/>
      <c r="JUJ178" s="2522"/>
      <c r="JUK178" s="2522"/>
      <c r="JUL178" s="2522"/>
      <c r="JUM178" s="2522"/>
      <c r="JUN178" s="2522"/>
      <c r="JUO178" s="2522"/>
      <c r="JUP178" s="2522"/>
      <c r="JUQ178" s="2522"/>
      <c r="JUR178" s="2522"/>
      <c r="JUS178" s="2522"/>
      <c r="JUT178" s="2522"/>
      <c r="JUU178" s="2522"/>
      <c r="JUV178" s="2522"/>
      <c r="JUW178" s="2522"/>
      <c r="JUX178" s="2522"/>
      <c r="JUY178" s="2522"/>
      <c r="JUZ178" s="2522"/>
      <c r="JVA178" s="2522"/>
      <c r="JVB178" s="2522"/>
      <c r="JVC178" s="2522"/>
      <c r="JVD178" s="2522"/>
      <c r="JVE178" s="2522"/>
      <c r="JVF178" s="2522"/>
      <c r="JVG178" s="2522"/>
      <c r="JVH178" s="2522"/>
      <c r="JVI178" s="2522"/>
      <c r="JVJ178" s="2522"/>
      <c r="JVK178" s="2522"/>
      <c r="JVL178" s="2522"/>
      <c r="JVM178" s="2522"/>
      <c r="JVN178" s="2522"/>
      <c r="JVO178" s="2522"/>
      <c r="JVP178" s="2522"/>
      <c r="JVQ178" s="2522"/>
      <c r="JVR178" s="2522"/>
      <c r="JVS178" s="2522"/>
      <c r="JVT178" s="2522"/>
      <c r="JVU178" s="2522"/>
      <c r="JVV178" s="2522"/>
      <c r="JVW178" s="2522"/>
      <c r="JVX178" s="2522"/>
      <c r="JVY178" s="2522"/>
      <c r="JVZ178" s="2522"/>
      <c r="JWA178" s="2522"/>
      <c r="JWB178" s="2522"/>
      <c r="JWC178" s="2522"/>
      <c r="JWD178" s="2522"/>
      <c r="JWE178" s="2522"/>
      <c r="JWF178" s="2522"/>
      <c r="JWG178" s="2522"/>
      <c r="JWH178" s="2522"/>
      <c r="JWI178" s="2522"/>
      <c r="JWJ178" s="2522"/>
      <c r="JWK178" s="2522"/>
      <c r="JWL178" s="2522"/>
      <c r="JWM178" s="2522"/>
      <c r="JWN178" s="2522"/>
      <c r="JWO178" s="2522"/>
      <c r="JWP178" s="2522"/>
      <c r="JWQ178" s="2522"/>
      <c r="JWR178" s="2522"/>
      <c r="JWS178" s="2522"/>
      <c r="JWT178" s="2522"/>
      <c r="JWU178" s="2522"/>
      <c r="JWV178" s="2522"/>
      <c r="JWW178" s="2522"/>
      <c r="JWX178" s="2522"/>
      <c r="JWY178" s="2522"/>
      <c r="JWZ178" s="2522"/>
      <c r="JXA178" s="2522"/>
      <c r="JXB178" s="2522"/>
      <c r="JXC178" s="2522"/>
      <c r="JXD178" s="2522"/>
      <c r="JXE178" s="2522"/>
      <c r="JXF178" s="2522"/>
      <c r="JXG178" s="2522"/>
      <c r="JXH178" s="2522"/>
      <c r="JXI178" s="2522"/>
      <c r="JXJ178" s="2522"/>
      <c r="JXK178" s="2522"/>
      <c r="JXL178" s="2522"/>
      <c r="JXM178" s="2522"/>
      <c r="JXN178" s="2522"/>
      <c r="JXO178" s="2522"/>
      <c r="JXP178" s="2522"/>
      <c r="JXQ178" s="2522"/>
      <c r="JXR178" s="2522"/>
      <c r="JXS178" s="2522"/>
      <c r="JXT178" s="2522"/>
      <c r="JXU178" s="2522"/>
      <c r="JXV178" s="2522"/>
      <c r="JXW178" s="2522"/>
      <c r="JXX178" s="2522"/>
      <c r="JXY178" s="2522"/>
      <c r="JXZ178" s="2522"/>
      <c r="JYA178" s="2522"/>
      <c r="JYB178" s="2522"/>
      <c r="JYC178" s="2522"/>
      <c r="JYD178" s="2522"/>
      <c r="JYE178" s="2522"/>
      <c r="JYF178" s="2522"/>
      <c r="JYG178" s="2522"/>
      <c r="JYH178" s="2522"/>
      <c r="JYI178" s="2522"/>
      <c r="JYJ178" s="2522"/>
      <c r="JYK178" s="2522"/>
      <c r="JYL178" s="2522"/>
      <c r="JYM178" s="2522"/>
      <c r="JYN178" s="2522"/>
      <c r="JYO178" s="2522"/>
      <c r="JYP178" s="2522"/>
      <c r="JYQ178" s="2522"/>
      <c r="JYR178" s="2522"/>
      <c r="JYS178" s="2522"/>
      <c r="JYT178" s="2522"/>
      <c r="JYU178" s="2522"/>
      <c r="JYV178" s="2522"/>
      <c r="JYW178" s="2522"/>
      <c r="JYX178" s="2522"/>
      <c r="JYY178" s="2522"/>
      <c r="JYZ178" s="2522"/>
      <c r="JZA178" s="2522"/>
      <c r="JZB178" s="2522"/>
      <c r="JZC178" s="2522"/>
      <c r="JZD178" s="2522"/>
      <c r="JZE178" s="2522"/>
      <c r="JZF178" s="2522"/>
      <c r="JZG178" s="2522"/>
      <c r="JZH178" s="2522"/>
      <c r="JZI178" s="2522"/>
      <c r="JZJ178" s="2522"/>
      <c r="JZK178" s="2522"/>
      <c r="JZL178" s="2522"/>
      <c r="JZM178" s="2522"/>
      <c r="JZN178" s="2522"/>
      <c r="JZO178" s="2522"/>
      <c r="JZP178" s="2522"/>
      <c r="JZQ178" s="2522"/>
      <c r="JZR178" s="2522"/>
      <c r="JZS178" s="2522"/>
      <c r="JZT178" s="2522"/>
      <c r="JZU178" s="2522"/>
      <c r="JZV178" s="2522"/>
      <c r="JZW178" s="2522"/>
      <c r="JZX178" s="2522"/>
      <c r="JZY178" s="2522"/>
      <c r="JZZ178" s="2522"/>
      <c r="KAA178" s="2522"/>
      <c r="KAB178" s="2522"/>
      <c r="KAC178" s="2522"/>
      <c r="KAD178" s="2522"/>
      <c r="KAE178" s="2522"/>
      <c r="KAF178" s="2522"/>
      <c r="KAG178" s="2522"/>
      <c r="KAH178" s="2522"/>
      <c r="KAI178" s="2522"/>
      <c r="KAJ178" s="2522"/>
      <c r="KAK178" s="2522"/>
      <c r="KAL178" s="2522"/>
      <c r="KAM178" s="2522"/>
      <c r="KAN178" s="2522"/>
      <c r="KAO178" s="2522"/>
      <c r="KAP178" s="2522"/>
      <c r="KAQ178" s="2522"/>
      <c r="KAR178" s="2522"/>
      <c r="KAS178" s="2522"/>
      <c r="KAT178" s="2522"/>
      <c r="KAU178" s="2522"/>
      <c r="KAV178" s="2522"/>
      <c r="KAW178" s="2522"/>
      <c r="KAX178" s="2522"/>
      <c r="KAY178" s="2522"/>
      <c r="KAZ178" s="2522"/>
      <c r="KBA178" s="2522"/>
      <c r="KBB178" s="2522"/>
      <c r="KBC178" s="2522"/>
      <c r="KBD178" s="2522"/>
      <c r="KBE178" s="2522"/>
      <c r="KBF178" s="2522"/>
      <c r="KBG178" s="2522"/>
      <c r="KBH178" s="2522"/>
      <c r="KBI178" s="2522"/>
      <c r="KBJ178" s="2522"/>
      <c r="KBK178" s="2522"/>
      <c r="KBL178" s="2522"/>
      <c r="KBM178" s="2522"/>
      <c r="KBN178" s="2522"/>
      <c r="KBO178" s="2522"/>
      <c r="KBP178" s="2522"/>
      <c r="KBQ178" s="2522"/>
      <c r="KBR178" s="2522"/>
      <c r="KBS178" s="2522"/>
      <c r="KBT178" s="2522"/>
      <c r="KBU178" s="2522"/>
      <c r="KBV178" s="2522"/>
      <c r="KBW178" s="2522"/>
      <c r="KBX178" s="2522"/>
      <c r="KBY178" s="2522"/>
      <c r="KBZ178" s="2522"/>
      <c r="KCA178" s="2522"/>
      <c r="KCB178" s="2522"/>
      <c r="KCC178" s="2522"/>
      <c r="KCD178" s="2522"/>
      <c r="KCE178" s="2522"/>
      <c r="KCF178" s="2522"/>
      <c r="KCG178" s="2522"/>
      <c r="KCH178" s="2522"/>
      <c r="KCI178" s="2522"/>
      <c r="KCJ178" s="2522"/>
      <c r="KCK178" s="2522"/>
      <c r="KCL178" s="2522"/>
      <c r="KCM178" s="2522"/>
      <c r="KCN178" s="2522"/>
      <c r="KCO178" s="2522"/>
      <c r="KCP178" s="2522"/>
      <c r="KCQ178" s="2522"/>
      <c r="KCR178" s="2522"/>
      <c r="KCS178" s="2522"/>
      <c r="KCT178" s="2522"/>
      <c r="KCU178" s="2522"/>
      <c r="KCV178" s="2522"/>
      <c r="KCW178" s="2522"/>
      <c r="KCX178" s="2522"/>
      <c r="KCY178" s="2522"/>
      <c r="KCZ178" s="2522"/>
      <c r="KDA178" s="2522"/>
      <c r="KDB178" s="2522"/>
      <c r="KDC178" s="2522"/>
      <c r="KDD178" s="2522"/>
      <c r="KDE178" s="2522"/>
      <c r="KDF178" s="2522"/>
      <c r="KDG178" s="2522"/>
      <c r="KDH178" s="2522"/>
      <c r="KDI178" s="2522"/>
      <c r="KDJ178" s="2522"/>
      <c r="KDK178" s="2522"/>
      <c r="KDL178" s="2522"/>
      <c r="KDM178" s="2522"/>
      <c r="KDN178" s="2522"/>
      <c r="KDO178" s="2522"/>
      <c r="KDP178" s="2522"/>
      <c r="KDQ178" s="2522"/>
      <c r="KDR178" s="2522"/>
      <c r="KDS178" s="2522"/>
      <c r="KDT178" s="2522"/>
      <c r="KDU178" s="2522"/>
      <c r="KDV178" s="2522"/>
      <c r="KDW178" s="2522"/>
      <c r="KDX178" s="2522"/>
      <c r="KDY178" s="2522"/>
      <c r="KDZ178" s="2522"/>
      <c r="KEA178" s="2522"/>
      <c r="KEB178" s="2522"/>
      <c r="KEC178" s="2522"/>
      <c r="KED178" s="2522"/>
      <c r="KEE178" s="2522"/>
      <c r="KEF178" s="2522"/>
      <c r="KEG178" s="2522"/>
      <c r="KEH178" s="2522"/>
      <c r="KEI178" s="2522"/>
      <c r="KEJ178" s="2522"/>
      <c r="KEK178" s="2522"/>
      <c r="KEL178" s="2522"/>
      <c r="KEM178" s="2522"/>
      <c r="KEN178" s="2522"/>
      <c r="KEO178" s="2522"/>
      <c r="KEP178" s="2522"/>
      <c r="KEQ178" s="2522"/>
      <c r="KER178" s="2522"/>
      <c r="KES178" s="2522"/>
      <c r="KET178" s="2522"/>
      <c r="KEU178" s="2522"/>
      <c r="KEV178" s="2522"/>
      <c r="KEW178" s="2522"/>
      <c r="KEX178" s="2522"/>
      <c r="KEY178" s="2522"/>
      <c r="KEZ178" s="2522"/>
      <c r="KFA178" s="2522"/>
      <c r="KFB178" s="2522"/>
      <c r="KFC178" s="2522"/>
      <c r="KFD178" s="2522"/>
      <c r="KFE178" s="2522"/>
      <c r="KFF178" s="2522"/>
      <c r="KFG178" s="2522"/>
      <c r="KFH178" s="2522"/>
      <c r="KFI178" s="2522"/>
      <c r="KFJ178" s="2522"/>
      <c r="KFK178" s="2522"/>
      <c r="KFL178" s="2522"/>
      <c r="KFM178" s="2522"/>
      <c r="KFN178" s="2522"/>
      <c r="KFO178" s="2522"/>
      <c r="KFP178" s="2522"/>
      <c r="KFQ178" s="2522"/>
      <c r="KFR178" s="2522"/>
      <c r="KFS178" s="2522"/>
      <c r="KFT178" s="2522"/>
      <c r="KFU178" s="2522"/>
      <c r="KFV178" s="2522"/>
      <c r="KFW178" s="2522"/>
      <c r="KFX178" s="2522"/>
      <c r="KFY178" s="2522"/>
      <c r="KFZ178" s="2522"/>
      <c r="KGA178" s="2522"/>
      <c r="KGB178" s="2522"/>
      <c r="KGC178" s="2522"/>
      <c r="KGD178" s="2522"/>
      <c r="KGE178" s="2522"/>
      <c r="KGF178" s="2522"/>
      <c r="KGG178" s="2522"/>
      <c r="KGH178" s="2522"/>
      <c r="KGI178" s="2522"/>
      <c r="KGJ178" s="2522"/>
      <c r="KGK178" s="2522"/>
      <c r="KGL178" s="2522"/>
      <c r="KGM178" s="2522"/>
      <c r="KGN178" s="2522"/>
      <c r="KGO178" s="2522"/>
      <c r="KGP178" s="2522"/>
      <c r="KGQ178" s="2522"/>
      <c r="KGR178" s="2522"/>
      <c r="KGS178" s="2522"/>
      <c r="KGT178" s="2522"/>
      <c r="KGU178" s="2522"/>
      <c r="KGV178" s="2522"/>
      <c r="KGW178" s="2522"/>
      <c r="KGX178" s="2522"/>
      <c r="KGY178" s="2522"/>
      <c r="KGZ178" s="2522"/>
      <c r="KHA178" s="2522"/>
      <c r="KHB178" s="2522"/>
      <c r="KHC178" s="2522"/>
      <c r="KHD178" s="2522"/>
      <c r="KHE178" s="2522"/>
      <c r="KHF178" s="2522"/>
      <c r="KHG178" s="2522"/>
      <c r="KHH178" s="2522"/>
      <c r="KHI178" s="2522"/>
      <c r="KHJ178" s="2522"/>
      <c r="KHK178" s="2522"/>
      <c r="KHL178" s="2522"/>
      <c r="KHM178" s="2522"/>
      <c r="KHN178" s="2522"/>
      <c r="KHO178" s="2522"/>
      <c r="KHP178" s="2522"/>
      <c r="KHQ178" s="2522"/>
      <c r="KHR178" s="2522"/>
      <c r="KHS178" s="2522"/>
      <c r="KHT178" s="2522"/>
      <c r="KHU178" s="2522"/>
      <c r="KHV178" s="2522"/>
      <c r="KHW178" s="2522"/>
      <c r="KHX178" s="2522"/>
      <c r="KHY178" s="2522"/>
      <c r="KHZ178" s="2522"/>
      <c r="KIA178" s="2522"/>
      <c r="KIB178" s="2522"/>
      <c r="KIC178" s="2522"/>
      <c r="KID178" s="2522"/>
      <c r="KIE178" s="2522"/>
      <c r="KIF178" s="2522"/>
      <c r="KIG178" s="2522"/>
      <c r="KIH178" s="2522"/>
      <c r="KII178" s="2522"/>
      <c r="KIJ178" s="2522"/>
      <c r="KIK178" s="2522"/>
      <c r="KIL178" s="2522"/>
      <c r="KIM178" s="2522"/>
      <c r="KIN178" s="2522"/>
      <c r="KIO178" s="2522"/>
      <c r="KIP178" s="2522"/>
      <c r="KIQ178" s="2522"/>
      <c r="KIR178" s="2522"/>
      <c r="KIS178" s="2522"/>
      <c r="KIT178" s="2522"/>
      <c r="KIU178" s="2522"/>
      <c r="KIV178" s="2522"/>
      <c r="KIW178" s="2522"/>
      <c r="KIX178" s="2522"/>
      <c r="KIY178" s="2522"/>
      <c r="KIZ178" s="2522"/>
      <c r="KJA178" s="2522"/>
      <c r="KJB178" s="2522"/>
      <c r="KJC178" s="2522"/>
      <c r="KJD178" s="2522"/>
      <c r="KJE178" s="2522"/>
      <c r="KJF178" s="2522"/>
      <c r="KJG178" s="2522"/>
      <c r="KJH178" s="2522"/>
      <c r="KJI178" s="2522"/>
      <c r="KJJ178" s="2522"/>
      <c r="KJK178" s="2522"/>
      <c r="KJL178" s="2522"/>
      <c r="KJM178" s="2522"/>
      <c r="KJN178" s="2522"/>
      <c r="KJO178" s="2522"/>
      <c r="KJP178" s="2522"/>
      <c r="KJQ178" s="2522"/>
      <c r="KJR178" s="2522"/>
      <c r="KJS178" s="2522"/>
      <c r="KJT178" s="2522"/>
      <c r="KJU178" s="2522"/>
      <c r="KJV178" s="2522"/>
      <c r="KJW178" s="2522"/>
      <c r="KJX178" s="2522"/>
      <c r="KJY178" s="2522"/>
      <c r="KJZ178" s="2522"/>
      <c r="KKA178" s="2522"/>
      <c r="KKB178" s="2522"/>
      <c r="KKC178" s="2522"/>
      <c r="KKD178" s="2522"/>
      <c r="KKE178" s="2522"/>
      <c r="KKF178" s="2522"/>
      <c r="KKG178" s="2522"/>
      <c r="KKH178" s="2522"/>
      <c r="KKI178" s="2522"/>
      <c r="KKJ178" s="2522"/>
      <c r="KKK178" s="2522"/>
      <c r="KKL178" s="2522"/>
      <c r="KKM178" s="2522"/>
      <c r="KKN178" s="2522"/>
      <c r="KKO178" s="2522"/>
      <c r="KKP178" s="2522"/>
      <c r="KKQ178" s="2522"/>
      <c r="KKR178" s="2522"/>
      <c r="KKS178" s="2522"/>
      <c r="KKT178" s="2522"/>
      <c r="KKU178" s="2522"/>
      <c r="KKV178" s="2522"/>
      <c r="KKW178" s="2522"/>
      <c r="KKX178" s="2522"/>
      <c r="KKY178" s="2522"/>
      <c r="KKZ178" s="2522"/>
      <c r="KLA178" s="2522"/>
      <c r="KLB178" s="2522"/>
      <c r="KLC178" s="2522"/>
      <c r="KLD178" s="2522"/>
      <c r="KLE178" s="2522"/>
      <c r="KLF178" s="2522"/>
      <c r="KLG178" s="2522"/>
      <c r="KLH178" s="2522"/>
      <c r="KLI178" s="2522"/>
      <c r="KLJ178" s="2522"/>
      <c r="KLK178" s="2522"/>
      <c r="KLL178" s="2522"/>
      <c r="KLM178" s="2522"/>
      <c r="KLN178" s="2522"/>
      <c r="KLO178" s="2522"/>
      <c r="KLP178" s="2522"/>
      <c r="KLQ178" s="2522"/>
      <c r="KLR178" s="2522"/>
      <c r="KLS178" s="2522"/>
      <c r="KLT178" s="2522"/>
      <c r="KLU178" s="2522"/>
      <c r="KLV178" s="2522"/>
      <c r="KLW178" s="2522"/>
      <c r="KLX178" s="2522"/>
      <c r="KLY178" s="2522"/>
      <c r="KLZ178" s="2522"/>
      <c r="KMA178" s="2522"/>
      <c r="KMB178" s="2522"/>
      <c r="KMC178" s="2522"/>
      <c r="KMD178" s="2522"/>
      <c r="KME178" s="2522"/>
      <c r="KMF178" s="2522"/>
      <c r="KMG178" s="2522"/>
      <c r="KMH178" s="2522"/>
      <c r="KMI178" s="2522"/>
      <c r="KMJ178" s="2522"/>
      <c r="KMK178" s="2522"/>
      <c r="KML178" s="2522"/>
      <c r="KMM178" s="2522"/>
      <c r="KMN178" s="2522"/>
      <c r="KMO178" s="2522"/>
      <c r="KMP178" s="2522"/>
      <c r="KMQ178" s="2522"/>
      <c r="KMR178" s="2522"/>
      <c r="KMS178" s="2522"/>
      <c r="KMT178" s="2522"/>
      <c r="KMU178" s="2522"/>
      <c r="KMV178" s="2522"/>
      <c r="KMW178" s="2522"/>
      <c r="KMX178" s="2522"/>
      <c r="KMY178" s="2522"/>
      <c r="KMZ178" s="2522"/>
      <c r="KNA178" s="2522"/>
      <c r="KNB178" s="2522"/>
      <c r="KNC178" s="2522"/>
      <c r="KND178" s="2522"/>
      <c r="KNE178" s="2522"/>
      <c r="KNF178" s="2522"/>
      <c r="KNG178" s="2522"/>
      <c r="KNH178" s="2522"/>
      <c r="KNI178" s="2522"/>
      <c r="KNJ178" s="2522"/>
      <c r="KNK178" s="2522"/>
      <c r="KNL178" s="2522"/>
      <c r="KNM178" s="2522"/>
      <c r="KNN178" s="2522"/>
      <c r="KNO178" s="2522"/>
      <c r="KNP178" s="2522"/>
      <c r="KNQ178" s="2522"/>
      <c r="KNR178" s="2522"/>
      <c r="KNS178" s="2522"/>
      <c r="KNT178" s="2522"/>
      <c r="KNU178" s="2522"/>
      <c r="KNV178" s="2522"/>
      <c r="KNW178" s="2522"/>
      <c r="KNX178" s="2522"/>
      <c r="KNY178" s="2522"/>
      <c r="KNZ178" s="2522"/>
      <c r="KOA178" s="2522"/>
      <c r="KOB178" s="2522"/>
      <c r="KOC178" s="2522"/>
      <c r="KOD178" s="2522"/>
      <c r="KOE178" s="2522"/>
      <c r="KOF178" s="2522"/>
      <c r="KOG178" s="2522"/>
      <c r="KOH178" s="2522"/>
      <c r="KOI178" s="2522"/>
      <c r="KOJ178" s="2522"/>
      <c r="KOK178" s="2522"/>
      <c r="KOL178" s="2522"/>
      <c r="KOM178" s="2522"/>
      <c r="KON178" s="2522"/>
      <c r="KOO178" s="2522"/>
      <c r="KOP178" s="2522"/>
      <c r="KOQ178" s="2522"/>
      <c r="KOR178" s="2522"/>
      <c r="KOS178" s="2522"/>
      <c r="KOT178" s="2522"/>
      <c r="KOU178" s="2522"/>
      <c r="KOV178" s="2522"/>
      <c r="KOW178" s="2522"/>
      <c r="KOX178" s="2522"/>
      <c r="KOY178" s="2522"/>
      <c r="KOZ178" s="2522"/>
      <c r="KPA178" s="2522"/>
      <c r="KPB178" s="2522"/>
      <c r="KPC178" s="2522"/>
      <c r="KPD178" s="2522"/>
      <c r="KPE178" s="2522"/>
      <c r="KPF178" s="2522"/>
      <c r="KPG178" s="2522"/>
      <c r="KPH178" s="2522"/>
      <c r="KPI178" s="2522"/>
      <c r="KPJ178" s="2522"/>
      <c r="KPK178" s="2522"/>
      <c r="KPL178" s="2522"/>
      <c r="KPM178" s="2522"/>
      <c r="KPN178" s="2522"/>
      <c r="KPO178" s="2522"/>
      <c r="KPP178" s="2522"/>
      <c r="KPQ178" s="2522"/>
      <c r="KPR178" s="2522"/>
      <c r="KPS178" s="2522"/>
      <c r="KPT178" s="2522"/>
      <c r="KPU178" s="2522"/>
      <c r="KPV178" s="2522"/>
      <c r="KPW178" s="2522"/>
      <c r="KPX178" s="2522"/>
      <c r="KPY178" s="2522"/>
      <c r="KPZ178" s="2522"/>
      <c r="KQA178" s="2522"/>
      <c r="KQB178" s="2522"/>
      <c r="KQC178" s="2522"/>
      <c r="KQD178" s="2522"/>
      <c r="KQE178" s="2522"/>
      <c r="KQF178" s="2522"/>
      <c r="KQG178" s="2522"/>
      <c r="KQH178" s="2522"/>
      <c r="KQI178" s="2522"/>
      <c r="KQJ178" s="2522"/>
      <c r="KQK178" s="2522"/>
      <c r="KQL178" s="2522"/>
      <c r="KQM178" s="2522"/>
      <c r="KQN178" s="2522"/>
      <c r="KQO178" s="2522"/>
      <c r="KQP178" s="2522"/>
      <c r="KQQ178" s="2522"/>
      <c r="KQR178" s="2522"/>
      <c r="KQS178" s="2522"/>
      <c r="KQT178" s="2522"/>
      <c r="KQU178" s="2522"/>
      <c r="KQV178" s="2522"/>
      <c r="KQW178" s="2522"/>
      <c r="KQX178" s="2522"/>
      <c r="KQY178" s="2522"/>
      <c r="KQZ178" s="2522"/>
      <c r="KRA178" s="2522"/>
      <c r="KRB178" s="2522"/>
      <c r="KRC178" s="2522"/>
      <c r="KRD178" s="2522"/>
      <c r="KRE178" s="2522"/>
      <c r="KRF178" s="2522"/>
      <c r="KRG178" s="2522"/>
      <c r="KRH178" s="2522"/>
      <c r="KRI178" s="2522"/>
      <c r="KRJ178" s="2522"/>
      <c r="KRK178" s="2522"/>
      <c r="KRL178" s="2522"/>
      <c r="KRM178" s="2522"/>
      <c r="KRN178" s="2522"/>
      <c r="KRO178" s="2522"/>
      <c r="KRP178" s="2522"/>
      <c r="KRQ178" s="2522"/>
      <c r="KRR178" s="2522"/>
      <c r="KRS178" s="2522"/>
      <c r="KRT178" s="2522"/>
      <c r="KRU178" s="2522"/>
      <c r="KRV178" s="2522"/>
      <c r="KRW178" s="2522"/>
      <c r="KRX178" s="2522"/>
      <c r="KRY178" s="2522"/>
      <c r="KRZ178" s="2522"/>
      <c r="KSA178" s="2522"/>
      <c r="KSB178" s="2522"/>
      <c r="KSC178" s="2522"/>
      <c r="KSD178" s="2522"/>
      <c r="KSE178" s="2522"/>
      <c r="KSF178" s="2522"/>
      <c r="KSG178" s="2522"/>
      <c r="KSH178" s="2522"/>
      <c r="KSI178" s="2522"/>
      <c r="KSJ178" s="2522"/>
      <c r="KSK178" s="2522"/>
      <c r="KSL178" s="2522"/>
      <c r="KSM178" s="2522"/>
      <c r="KSN178" s="2522"/>
      <c r="KSO178" s="2522"/>
      <c r="KSP178" s="2522"/>
      <c r="KSQ178" s="2522"/>
      <c r="KSR178" s="2522"/>
      <c r="KSS178" s="2522"/>
      <c r="KST178" s="2522"/>
      <c r="KSU178" s="2522"/>
      <c r="KSV178" s="2522"/>
      <c r="KSW178" s="2522"/>
      <c r="KSX178" s="2522"/>
      <c r="KSY178" s="2522"/>
      <c r="KSZ178" s="2522"/>
      <c r="KTA178" s="2522"/>
      <c r="KTB178" s="2522"/>
      <c r="KTC178" s="2522"/>
      <c r="KTD178" s="2522"/>
      <c r="KTE178" s="2522"/>
      <c r="KTF178" s="2522"/>
      <c r="KTG178" s="2522"/>
      <c r="KTH178" s="2522"/>
      <c r="KTI178" s="2522"/>
      <c r="KTJ178" s="2522"/>
      <c r="KTK178" s="2522"/>
      <c r="KTL178" s="2522"/>
      <c r="KTM178" s="2522"/>
      <c r="KTN178" s="2522"/>
      <c r="KTO178" s="2522"/>
      <c r="KTP178" s="2522"/>
      <c r="KTQ178" s="2522"/>
      <c r="KTR178" s="2522"/>
      <c r="KTS178" s="2522"/>
      <c r="KTT178" s="2522"/>
      <c r="KTU178" s="2522"/>
      <c r="KTV178" s="2522"/>
      <c r="KTW178" s="2522"/>
      <c r="KTX178" s="2522"/>
      <c r="KTY178" s="2522"/>
      <c r="KTZ178" s="2522"/>
      <c r="KUA178" s="2522"/>
      <c r="KUB178" s="2522"/>
      <c r="KUC178" s="2522"/>
      <c r="KUD178" s="2522"/>
      <c r="KUE178" s="2522"/>
      <c r="KUF178" s="2522"/>
      <c r="KUG178" s="2522"/>
      <c r="KUH178" s="2522"/>
      <c r="KUI178" s="2522"/>
      <c r="KUJ178" s="2522"/>
      <c r="KUK178" s="2522"/>
      <c r="KUL178" s="2522"/>
      <c r="KUM178" s="2522"/>
      <c r="KUN178" s="2522"/>
      <c r="KUO178" s="2522"/>
      <c r="KUP178" s="2522"/>
      <c r="KUQ178" s="2522"/>
      <c r="KUR178" s="2522"/>
      <c r="KUS178" s="2522"/>
      <c r="KUT178" s="2522"/>
      <c r="KUU178" s="2522"/>
      <c r="KUV178" s="2522"/>
      <c r="KUW178" s="2522"/>
      <c r="KUX178" s="2522"/>
      <c r="KUY178" s="2522"/>
      <c r="KUZ178" s="2522"/>
      <c r="KVA178" s="2522"/>
      <c r="KVB178" s="2522"/>
      <c r="KVC178" s="2522"/>
      <c r="KVD178" s="2522"/>
      <c r="KVE178" s="2522"/>
      <c r="KVF178" s="2522"/>
      <c r="KVG178" s="2522"/>
      <c r="KVH178" s="2522"/>
      <c r="KVI178" s="2522"/>
      <c r="KVJ178" s="2522"/>
      <c r="KVK178" s="2522"/>
      <c r="KVL178" s="2522"/>
      <c r="KVM178" s="2522"/>
      <c r="KVN178" s="2522"/>
      <c r="KVO178" s="2522"/>
      <c r="KVP178" s="2522"/>
      <c r="KVQ178" s="2522"/>
      <c r="KVR178" s="2522"/>
      <c r="KVS178" s="2522"/>
      <c r="KVT178" s="2522"/>
      <c r="KVU178" s="2522"/>
      <c r="KVV178" s="2522"/>
      <c r="KVW178" s="2522"/>
      <c r="KVX178" s="2522"/>
      <c r="KVY178" s="2522"/>
      <c r="KVZ178" s="2522"/>
      <c r="KWA178" s="2522"/>
      <c r="KWB178" s="2522"/>
      <c r="KWC178" s="2522"/>
      <c r="KWD178" s="2522"/>
      <c r="KWE178" s="2522"/>
      <c r="KWF178" s="2522"/>
      <c r="KWG178" s="2522"/>
      <c r="KWH178" s="2522"/>
      <c r="KWI178" s="2522"/>
      <c r="KWJ178" s="2522"/>
      <c r="KWK178" s="2522"/>
      <c r="KWL178" s="2522"/>
      <c r="KWM178" s="2522"/>
      <c r="KWN178" s="2522"/>
      <c r="KWO178" s="2522"/>
      <c r="KWP178" s="2522"/>
      <c r="KWQ178" s="2522"/>
      <c r="KWR178" s="2522"/>
      <c r="KWS178" s="2522"/>
      <c r="KWT178" s="2522"/>
      <c r="KWU178" s="2522"/>
      <c r="KWV178" s="2522"/>
      <c r="KWW178" s="2522"/>
      <c r="KWX178" s="2522"/>
      <c r="KWY178" s="2522"/>
      <c r="KWZ178" s="2522"/>
      <c r="KXA178" s="2522"/>
      <c r="KXB178" s="2522"/>
      <c r="KXC178" s="2522"/>
      <c r="KXD178" s="2522"/>
      <c r="KXE178" s="2522"/>
      <c r="KXF178" s="2522"/>
      <c r="KXG178" s="2522"/>
      <c r="KXH178" s="2522"/>
      <c r="KXI178" s="2522"/>
      <c r="KXJ178" s="2522"/>
      <c r="KXK178" s="2522"/>
      <c r="KXL178" s="2522"/>
      <c r="KXM178" s="2522"/>
      <c r="KXN178" s="2522"/>
      <c r="KXO178" s="2522"/>
      <c r="KXP178" s="2522"/>
      <c r="KXQ178" s="2522"/>
      <c r="KXR178" s="2522"/>
      <c r="KXS178" s="2522"/>
      <c r="KXT178" s="2522"/>
      <c r="KXU178" s="2522"/>
      <c r="KXV178" s="2522"/>
      <c r="KXW178" s="2522"/>
      <c r="KXX178" s="2522"/>
      <c r="KXY178" s="2522"/>
      <c r="KXZ178" s="2522"/>
      <c r="KYA178" s="2522"/>
      <c r="KYB178" s="2522"/>
      <c r="KYC178" s="2522"/>
      <c r="KYD178" s="2522"/>
      <c r="KYE178" s="2522"/>
      <c r="KYF178" s="2522"/>
      <c r="KYG178" s="2522"/>
      <c r="KYH178" s="2522"/>
      <c r="KYI178" s="2522"/>
      <c r="KYJ178" s="2522"/>
      <c r="KYK178" s="2522"/>
      <c r="KYL178" s="2522"/>
      <c r="KYM178" s="2522"/>
      <c r="KYN178" s="2522"/>
      <c r="KYO178" s="2522"/>
      <c r="KYP178" s="2522"/>
      <c r="KYQ178" s="2522"/>
      <c r="KYR178" s="2522"/>
      <c r="KYS178" s="2522"/>
      <c r="KYT178" s="2522"/>
      <c r="KYU178" s="2522"/>
      <c r="KYV178" s="2522"/>
      <c r="KYW178" s="2522"/>
      <c r="KYX178" s="2522"/>
      <c r="KYY178" s="2522"/>
      <c r="KYZ178" s="2522"/>
      <c r="KZA178" s="2522"/>
      <c r="KZB178" s="2522"/>
      <c r="KZC178" s="2522"/>
      <c r="KZD178" s="2522"/>
      <c r="KZE178" s="2522"/>
      <c r="KZF178" s="2522"/>
      <c r="KZG178" s="2522"/>
      <c r="KZH178" s="2522"/>
      <c r="KZI178" s="2522"/>
      <c r="KZJ178" s="2522"/>
      <c r="KZK178" s="2522"/>
      <c r="KZL178" s="2522"/>
      <c r="KZM178" s="2522"/>
      <c r="KZN178" s="2522"/>
      <c r="KZO178" s="2522"/>
      <c r="KZP178" s="2522"/>
      <c r="KZQ178" s="2522"/>
      <c r="KZR178" s="2522"/>
      <c r="KZS178" s="2522"/>
      <c r="KZT178" s="2522"/>
      <c r="KZU178" s="2522"/>
      <c r="KZV178" s="2522"/>
      <c r="KZW178" s="2522"/>
      <c r="KZX178" s="2522"/>
      <c r="KZY178" s="2522"/>
      <c r="KZZ178" s="2522"/>
      <c r="LAA178" s="2522"/>
      <c r="LAB178" s="2522"/>
      <c r="LAC178" s="2522"/>
      <c r="LAD178" s="2522"/>
      <c r="LAE178" s="2522"/>
      <c r="LAF178" s="2522"/>
      <c r="LAG178" s="2522"/>
      <c r="LAH178" s="2522"/>
      <c r="LAI178" s="2522"/>
      <c r="LAJ178" s="2522"/>
      <c r="LAK178" s="2522"/>
      <c r="LAL178" s="2522"/>
      <c r="LAM178" s="2522"/>
      <c r="LAN178" s="2522"/>
      <c r="LAO178" s="2522"/>
      <c r="LAP178" s="2522"/>
      <c r="LAQ178" s="2522"/>
      <c r="LAR178" s="2522"/>
      <c r="LAS178" s="2522"/>
      <c r="LAT178" s="2522"/>
      <c r="LAU178" s="2522"/>
      <c r="LAV178" s="2522"/>
      <c r="LAW178" s="2522"/>
      <c r="LAX178" s="2522"/>
      <c r="LAY178" s="2522"/>
      <c r="LAZ178" s="2522"/>
      <c r="LBA178" s="2522"/>
      <c r="LBB178" s="2522"/>
      <c r="LBC178" s="2522"/>
      <c r="LBD178" s="2522"/>
      <c r="LBE178" s="2522"/>
      <c r="LBF178" s="2522"/>
      <c r="LBG178" s="2522"/>
      <c r="LBH178" s="2522"/>
      <c r="LBI178" s="2522"/>
      <c r="LBJ178" s="2522"/>
      <c r="LBK178" s="2522"/>
      <c r="LBL178" s="2522"/>
      <c r="LBM178" s="2522"/>
      <c r="LBN178" s="2522"/>
      <c r="LBO178" s="2522"/>
      <c r="LBP178" s="2522"/>
      <c r="LBQ178" s="2522"/>
      <c r="LBR178" s="2522"/>
      <c r="LBS178" s="2522"/>
      <c r="LBT178" s="2522"/>
      <c r="LBU178" s="2522"/>
      <c r="LBV178" s="2522"/>
      <c r="LBW178" s="2522"/>
      <c r="LBX178" s="2522"/>
      <c r="LBY178" s="2522"/>
      <c r="LBZ178" s="2522"/>
      <c r="LCA178" s="2522"/>
      <c r="LCB178" s="2522"/>
      <c r="LCC178" s="2522"/>
      <c r="LCD178" s="2522"/>
      <c r="LCE178" s="2522"/>
      <c r="LCF178" s="2522"/>
      <c r="LCG178" s="2522"/>
      <c r="LCH178" s="2522"/>
      <c r="LCI178" s="2522"/>
      <c r="LCJ178" s="2522"/>
      <c r="LCK178" s="2522"/>
      <c r="LCL178" s="2522"/>
      <c r="LCM178" s="2522"/>
      <c r="LCN178" s="2522"/>
      <c r="LCO178" s="2522"/>
      <c r="LCP178" s="2522"/>
      <c r="LCQ178" s="2522"/>
      <c r="LCR178" s="2522"/>
      <c r="LCS178" s="2522"/>
      <c r="LCT178" s="2522"/>
      <c r="LCU178" s="2522"/>
      <c r="LCV178" s="2522"/>
      <c r="LCW178" s="2522"/>
      <c r="LCX178" s="2522"/>
      <c r="LCY178" s="2522"/>
      <c r="LCZ178" s="2522"/>
      <c r="LDA178" s="2522"/>
      <c r="LDB178" s="2522"/>
      <c r="LDC178" s="2522"/>
      <c r="LDD178" s="2522"/>
      <c r="LDE178" s="2522"/>
      <c r="LDF178" s="2522"/>
      <c r="LDG178" s="2522"/>
      <c r="LDH178" s="2522"/>
      <c r="LDI178" s="2522"/>
      <c r="LDJ178" s="2522"/>
      <c r="LDK178" s="2522"/>
      <c r="LDL178" s="2522"/>
      <c r="LDM178" s="2522"/>
      <c r="LDN178" s="2522"/>
      <c r="LDO178" s="2522"/>
      <c r="LDP178" s="2522"/>
      <c r="LDQ178" s="2522"/>
      <c r="LDR178" s="2522"/>
      <c r="LDS178" s="2522"/>
      <c r="LDT178" s="2522"/>
      <c r="LDU178" s="2522"/>
      <c r="LDV178" s="2522"/>
      <c r="LDW178" s="2522"/>
      <c r="LDX178" s="2522"/>
      <c r="LDY178" s="2522"/>
      <c r="LDZ178" s="2522"/>
      <c r="LEA178" s="2522"/>
      <c r="LEB178" s="2522"/>
      <c r="LEC178" s="2522"/>
      <c r="LED178" s="2522"/>
      <c r="LEE178" s="2522"/>
      <c r="LEF178" s="2522"/>
      <c r="LEG178" s="2522"/>
      <c r="LEH178" s="2522"/>
      <c r="LEI178" s="2522"/>
      <c r="LEJ178" s="2522"/>
      <c r="LEK178" s="2522"/>
      <c r="LEL178" s="2522"/>
      <c r="LEM178" s="2522"/>
      <c r="LEN178" s="2522"/>
      <c r="LEO178" s="2522"/>
      <c r="LEP178" s="2522"/>
      <c r="LEQ178" s="2522"/>
      <c r="LER178" s="2522"/>
      <c r="LES178" s="2522"/>
      <c r="LET178" s="2522"/>
      <c r="LEU178" s="2522"/>
      <c r="LEV178" s="2522"/>
      <c r="LEW178" s="2522"/>
      <c r="LEX178" s="2522"/>
      <c r="LEY178" s="2522"/>
      <c r="LEZ178" s="2522"/>
      <c r="LFA178" s="2522"/>
      <c r="LFB178" s="2522"/>
      <c r="LFC178" s="2522"/>
      <c r="LFD178" s="2522"/>
      <c r="LFE178" s="2522"/>
      <c r="LFF178" s="2522"/>
      <c r="LFG178" s="2522"/>
      <c r="LFH178" s="2522"/>
      <c r="LFI178" s="2522"/>
      <c r="LFJ178" s="2522"/>
      <c r="LFK178" s="2522"/>
      <c r="LFL178" s="2522"/>
      <c r="LFM178" s="2522"/>
      <c r="LFN178" s="2522"/>
      <c r="LFO178" s="2522"/>
      <c r="LFP178" s="2522"/>
      <c r="LFQ178" s="2522"/>
      <c r="LFR178" s="2522"/>
      <c r="LFS178" s="2522"/>
      <c r="LFT178" s="2522"/>
      <c r="LFU178" s="2522"/>
      <c r="LFV178" s="2522"/>
      <c r="LFW178" s="2522"/>
      <c r="LFX178" s="2522"/>
      <c r="LFY178" s="2522"/>
      <c r="LFZ178" s="2522"/>
      <c r="LGA178" s="2522"/>
      <c r="LGB178" s="2522"/>
      <c r="LGC178" s="2522"/>
      <c r="LGD178" s="2522"/>
      <c r="LGE178" s="2522"/>
      <c r="LGF178" s="2522"/>
      <c r="LGG178" s="2522"/>
      <c r="LGH178" s="2522"/>
      <c r="LGI178" s="2522"/>
      <c r="LGJ178" s="2522"/>
      <c r="LGK178" s="2522"/>
      <c r="LGL178" s="2522"/>
      <c r="LGM178" s="2522"/>
      <c r="LGN178" s="2522"/>
      <c r="LGO178" s="2522"/>
      <c r="LGP178" s="2522"/>
      <c r="LGQ178" s="2522"/>
      <c r="LGR178" s="2522"/>
      <c r="LGS178" s="2522"/>
      <c r="LGT178" s="2522"/>
      <c r="LGU178" s="2522"/>
      <c r="LGV178" s="2522"/>
      <c r="LGW178" s="2522"/>
      <c r="LGX178" s="2522"/>
      <c r="LGY178" s="2522"/>
      <c r="LGZ178" s="2522"/>
      <c r="LHA178" s="2522"/>
      <c r="LHB178" s="2522"/>
      <c r="LHC178" s="2522"/>
      <c r="LHD178" s="2522"/>
      <c r="LHE178" s="2522"/>
      <c r="LHF178" s="2522"/>
      <c r="LHG178" s="2522"/>
      <c r="LHH178" s="2522"/>
      <c r="LHI178" s="2522"/>
      <c r="LHJ178" s="2522"/>
      <c r="LHK178" s="2522"/>
      <c r="LHL178" s="2522"/>
      <c r="LHM178" s="2522"/>
      <c r="LHN178" s="2522"/>
      <c r="LHO178" s="2522"/>
      <c r="LHP178" s="2522"/>
      <c r="LHQ178" s="2522"/>
      <c r="LHR178" s="2522"/>
      <c r="LHS178" s="2522"/>
      <c r="LHT178" s="2522"/>
      <c r="LHU178" s="2522"/>
      <c r="LHV178" s="2522"/>
      <c r="LHW178" s="2522"/>
      <c r="LHX178" s="2522"/>
      <c r="LHY178" s="2522"/>
      <c r="LHZ178" s="2522"/>
      <c r="LIA178" s="2522"/>
      <c r="LIB178" s="2522"/>
      <c r="LIC178" s="2522"/>
      <c r="LID178" s="2522"/>
      <c r="LIE178" s="2522"/>
      <c r="LIF178" s="2522"/>
      <c r="LIG178" s="2522"/>
      <c r="LIH178" s="2522"/>
      <c r="LII178" s="2522"/>
      <c r="LIJ178" s="2522"/>
      <c r="LIK178" s="2522"/>
      <c r="LIL178" s="2522"/>
      <c r="LIM178" s="2522"/>
      <c r="LIN178" s="2522"/>
      <c r="LIO178" s="2522"/>
      <c r="LIP178" s="2522"/>
      <c r="LIQ178" s="2522"/>
      <c r="LIR178" s="2522"/>
      <c r="LIS178" s="2522"/>
      <c r="LIT178" s="2522"/>
      <c r="LIU178" s="2522"/>
      <c r="LIV178" s="2522"/>
      <c r="LIW178" s="2522"/>
      <c r="LIX178" s="2522"/>
      <c r="LIY178" s="2522"/>
      <c r="LIZ178" s="2522"/>
      <c r="LJA178" s="2522"/>
      <c r="LJB178" s="2522"/>
      <c r="LJC178" s="2522"/>
      <c r="LJD178" s="2522"/>
      <c r="LJE178" s="2522"/>
      <c r="LJF178" s="2522"/>
      <c r="LJG178" s="2522"/>
      <c r="LJH178" s="2522"/>
      <c r="LJI178" s="2522"/>
      <c r="LJJ178" s="2522"/>
      <c r="LJK178" s="2522"/>
      <c r="LJL178" s="2522"/>
      <c r="LJM178" s="2522"/>
      <c r="LJN178" s="2522"/>
      <c r="LJO178" s="2522"/>
      <c r="LJP178" s="2522"/>
      <c r="LJQ178" s="2522"/>
      <c r="LJR178" s="2522"/>
      <c r="LJS178" s="2522"/>
      <c r="LJT178" s="2522"/>
      <c r="LJU178" s="2522"/>
      <c r="LJV178" s="2522"/>
      <c r="LJW178" s="2522"/>
      <c r="LJX178" s="2522"/>
      <c r="LJY178" s="2522"/>
      <c r="LJZ178" s="2522"/>
      <c r="LKA178" s="2522"/>
      <c r="LKB178" s="2522"/>
      <c r="LKC178" s="2522"/>
      <c r="LKD178" s="2522"/>
      <c r="LKE178" s="2522"/>
      <c r="LKF178" s="2522"/>
      <c r="LKG178" s="2522"/>
      <c r="LKH178" s="2522"/>
      <c r="LKI178" s="2522"/>
      <c r="LKJ178" s="2522"/>
      <c r="LKK178" s="2522"/>
      <c r="LKL178" s="2522"/>
      <c r="LKM178" s="2522"/>
      <c r="LKN178" s="2522"/>
      <c r="LKO178" s="2522"/>
      <c r="LKP178" s="2522"/>
      <c r="LKQ178" s="2522"/>
      <c r="LKR178" s="2522"/>
      <c r="LKS178" s="2522"/>
      <c r="LKT178" s="2522"/>
      <c r="LKU178" s="2522"/>
      <c r="LKV178" s="2522"/>
      <c r="LKW178" s="2522"/>
      <c r="LKX178" s="2522"/>
      <c r="LKY178" s="2522"/>
      <c r="LKZ178" s="2522"/>
      <c r="LLA178" s="2522"/>
      <c r="LLB178" s="2522"/>
      <c r="LLC178" s="2522"/>
      <c r="LLD178" s="2522"/>
      <c r="LLE178" s="2522"/>
      <c r="LLF178" s="2522"/>
      <c r="LLG178" s="2522"/>
      <c r="LLH178" s="2522"/>
      <c r="LLI178" s="2522"/>
      <c r="LLJ178" s="2522"/>
      <c r="LLK178" s="2522"/>
      <c r="LLL178" s="2522"/>
      <c r="LLM178" s="2522"/>
      <c r="LLN178" s="2522"/>
      <c r="LLO178" s="2522"/>
      <c r="LLP178" s="2522"/>
      <c r="LLQ178" s="2522"/>
      <c r="LLR178" s="2522"/>
      <c r="LLS178" s="2522"/>
      <c r="LLT178" s="2522"/>
      <c r="LLU178" s="2522"/>
      <c r="LLV178" s="2522"/>
      <c r="LLW178" s="2522"/>
      <c r="LLX178" s="2522"/>
      <c r="LLY178" s="2522"/>
      <c r="LLZ178" s="2522"/>
      <c r="LMA178" s="2522"/>
      <c r="LMB178" s="2522"/>
      <c r="LMC178" s="2522"/>
      <c r="LMD178" s="2522"/>
      <c r="LME178" s="2522"/>
      <c r="LMF178" s="2522"/>
      <c r="LMG178" s="2522"/>
      <c r="LMH178" s="2522"/>
      <c r="LMI178" s="2522"/>
      <c r="LMJ178" s="2522"/>
      <c r="LMK178" s="2522"/>
      <c r="LML178" s="2522"/>
      <c r="LMM178" s="2522"/>
      <c r="LMN178" s="2522"/>
      <c r="LMO178" s="2522"/>
      <c r="LMP178" s="2522"/>
      <c r="LMQ178" s="2522"/>
      <c r="LMR178" s="2522"/>
      <c r="LMS178" s="2522"/>
      <c r="LMT178" s="2522"/>
      <c r="LMU178" s="2522"/>
      <c r="LMV178" s="2522"/>
      <c r="LMW178" s="2522"/>
      <c r="LMX178" s="2522"/>
      <c r="LMY178" s="2522"/>
      <c r="LMZ178" s="2522"/>
      <c r="LNA178" s="2522"/>
      <c r="LNB178" s="2522"/>
      <c r="LNC178" s="2522"/>
      <c r="LND178" s="2522"/>
      <c r="LNE178" s="2522"/>
      <c r="LNF178" s="2522"/>
      <c r="LNG178" s="2522"/>
      <c r="LNH178" s="2522"/>
      <c r="LNI178" s="2522"/>
      <c r="LNJ178" s="2522"/>
      <c r="LNK178" s="2522"/>
      <c r="LNL178" s="2522"/>
      <c r="LNM178" s="2522"/>
      <c r="LNN178" s="2522"/>
      <c r="LNO178" s="2522"/>
      <c r="LNP178" s="2522"/>
      <c r="LNQ178" s="2522"/>
      <c r="LNR178" s="2522"/>
      <c r="LNS178" s="2522"/>
      <c r="LNT178" s="2522"/>
      <c r="LNU178" s="2522"/>
      <c r="LNV178" s="2522"/>
      <c r="LNW178" s="2522"/>
      <c r="LNX178" s="2522"/>
      <c r="LNY178" s="2522"/>
      <c r="LNZ178" s="2522"/>
      <c r="LOA178" s="2522"/>
      <c r="LOB178" s="2522"/>
      <c r="LOC178" s="2522"/>
      <c r="LOD178" s="2522"/>
      <c r="LOE178" s="2522"/>
      <c r="LOF178" s="2522"/>
      <c r="LOG178" s="2522"/>
      <c r="LOH178" s="2522"/>
      <c r="LOI178" s="2522"/>
      <c r="LOJ178" s="2522"/>
      <c r="LOK178" s="2522"/>
      <c r="LOL178" s="2522"/>
      <c r="LOM178" s="2522"/>
      <c r="LON178" s="2522"/>
      <c r="LOO178" s="2522"/>
      <c r="LOP178" s="2522"/>
      <c r="LOQ178" s="2522"/>
      <c r="LOR178" s="2522"/>
      <c r="LOS178" s="2522"/>
      <c r="LOT178" s="2522"/>
      <c r="LOU178" s="2522"/>
      <c r="LOV178" s="2522"/>
      <c r="LOW178" s="2522"/>
      <c r="LOX178" s="2522"/>
      <c r="LOY178" s="2522"/>
      <c r="LOZ178" s="2522"/>
      <c r="LPA178" s="2522"/>
      <c r="LPB178" s="2522"/>
      <c r="LPC178" s="2522"/>
      <c r="LPD178" s="2522"/>
      <c r="LPE178" s="2522"/>
      <c r="LPF178" s="2522"/>
      <c r="LPG178" s="2522"/>
      <c r="LPH178" s="2522"/>
      <c r="LPI178" s="2522"/>
      <c r="LPJ178" s="2522"/>
      <c r="LPK178" s="2522"/>
      <c r="LPL178" s="2522"/>
      <c r="LPM178" s="2522"/>
      <c r="LPN178" s="2522"/>
      <c r="LPO178" s="2522"/>
      <c r="LPP178" s="2522"/>
      <c r="LPQ178" s="2522"/>
      <c r="LPR178" s="2522"/>
      <c r="LPS178" s="2522"/>
      <c r="LPT178" s="2522"/>
      <c r="LPU178" s="2522"/>
      <c r="LPV178" s="2522"/>
      <c r="LPW178" s="2522"/>
      <c r="LPX178" s="2522"/>
      <c r="LPY178" s="2522"/>
      <c r="LPZ178" s="2522"/>
      <c r="LQA178" s="2522"/>
      <c r="LQB178" s="2522"/>
      <c r="LQC178" s="2522"/>
      <c r="LQD178" s="2522"/>
      <c r="LQE178" s="2522"/>
      <c r="LQF178" s="2522"/>
      <c r="LQG178" s="2522"/>
      <c r="LQH178" s="2522"/>
      <c r="LQI178" s="2522"/>
      <c r="LQJ178" s="2522"/>
      <c r="LQK178" s="2522"/>
      <c r="LQL178" s="2522"/>
      <c r="LQM178" s="2522"/>
      <c r="LQN178" s="2522"/>
      <c r="LQO178" s="2522"/>
      <c r="LQP178" s="2522"/>
      <c r="LQQ178" s="2522"/>
      <c r="LQR178" s="2522"/>
      <c r="LQS178" s="2522"/>
      <c r="LQT178" s="2522"/>
      <c r="LQU178" s="2522"/>
      <c r="LQV178" s="2522"/>
      <c r="LQW178" s="2522"/>
      <c r="LQX178" s="2522"/>
      <c r="LQY178" s="2522"/>
      <c r="LQZ178" s="2522"/>
      <c r="LRA178" s="2522"/>
      <c r="LRB178" s="2522"/>
      <c r="LRC178" s="2522"/>
      <c r="LRD178" s="2522"/>
      <c r="LRE178" s="2522"/>
      <c r="LRF178" s="2522"/>
      <c r="LRG178" s="2522"/>
      <c r="LRH178" s="2522"/>
      <c r="LRI178" s="2522"/>
      <c r="LRJ178" s="2522"/>
      <c r="LRK178" s="2522"/>
      <c r="LRL178" s="2522"/>
      <c r="LRM178" s="2522"/>
      <c r="LRN178" s="2522"/>
      <c r="LRO178" s="2522"/>
      <c r="LRP178" s="2522"/>
      <c r="LRQ178" s="2522"/>
      <c r="LRR178" s="2522"/>
      <c r="LRS178" s="2522"/>
      <c r="LRT178" s="2522"/>
      <c r="LRU178" s="2522"/>
      <c r="LRV178" s="2522"/>
      <c r="LRW178" s="2522"/>
      <c r="LRX178" s="2522"/>
      <c r="LRY178" s="2522"/>
      <c r="LRZ178" s="2522"/>
      <c r="LSA178" s="2522"/>
      <c r="LSB178" s="2522"/>
      <c r="LSC178" s="2522"/>
      <c r="LSD178" s="2522"/>
      <c r="LSE178" s="2522"/>
      <c r="LSF178" s="2522"/>
      <c r="LSG178" s="2522"/>
      <c r="LSH178" s="2522"/>
      <c r="LSI178" s="2522"/>
      <c r="LSJ178" s="2522"/>
      <c r="LSK178" s="2522"/>
      <c r="LSL178" s="2522"/>
      <c r="LSM178" s="2522"/>
      <c r="LSN178" s="2522"/>
      <c r="LSO178" s="2522"/>
      <c r="LSP178" s="2522"/>
      <c r="LSQ178" s="2522"/>
      <c r="LSR178" s="2522"/>
      <c r="LSS178" s="2522"/>
      <c r="LST178" s="2522"/>
      <c r="LSU178" s="2522"/>
      <c r="LSV178" s="2522"/>
      <c r="LSW178" s="2522"/>
      <c r="LSX178" s="2522"/>
      <c r="LSY178" s="2522"/>
      <c r="LSZ178" s="2522"/>
      <c r="LTA178" s="2522"/>
      <c r="LTB178" s="2522"/>
      <c r="LTC178" s="2522"/>
      <c r="LTD178" s="2522"/>
      <c r="LTE178" s="2522"/>
      <c r="LTF178" s="2522"/>
      <c r="LTG178" s="2522"/>
      <c r="LTH178" s="2522"/>
      <c r="LTI178" s="2522"/>
      <c r="LTJ178" s="2522"/>
      <c r="LTK178" s="2522"/>
      <c r="LTL178" s="2522"/>
      <c r="LTM178" s="2522"/>
      <c r="LTN178" s="2522"/>
      <c r="LTO178" s="2522"/>
      <c r="LTP178" s="2522"/>
      <c r="LTQ178" s="2522"/>
      <c r="LTR178" s="2522"/>
      <c r="LTS178" s="2522"/>
      <c r="LTT178" s="2522"/>
      <c r="LTU178" s="2522"/>
      <c r="LTV178" s="2522"/>
      <c r="LTW178" s="2522"/>
      <c r="LTX178" s="2522"/>
      <c r="LTY178" s="2522"/>
      <c r="LTZ178" s="2522"/>
      <c r="LUA178" s="2522"/>
      <c r="LUB178" s="2522"/>
      <c r="LUC178" s="2522"/>
      <c r="LUD178" s="2522"/>
      <c r="LUE178" s="2522"/>
      <c r="LUF178" s="2522"/>
      <c r="LUG178" s="2522"/>
      <c r="LUH178" s="2522"/>
      <c r="LUI178" s="2522"/>
      <c r="LUJ178" s="2522"/>
      <c r="LUK178" s="2522"/>
      <c r="LUL178" s="2522"/>
      <c r="LUM178" s="2522"/>
      <c r="LUN178" s="2522"/>
      <c r="LUO178" s="2522"/>
      <c r="LUP178" s="2522"/>
      <c r="LUQ178" s="2522"/>
      <c r="LUR178" s="2522"/>
      <c r="LUS178" s="2522"/>
      <c r="LUT178" s="2522"/>
      <c r="LUU178" s="2522"/>
      <c r="LUV178" s="2522"/>
      <c r="LUW178" s="2522"/>
      <c r="LUX178" s="2522"/>
      <c r="LUY178" s="2522"/>
      <c r="LUZ178" s="2522"/>
      <c r="LVA178" s="2522"/>
      <c r="LVB178" s="2522"/>
      <c r="LVC178" s="2522"/>
      <c r="LVD178" s="2522"/>
      <c r="LVE178" s="2522"/>
      <c r="LVF178" s="2522"/>
      <c r="LVG178" s="2522"/>
      <c r="LVH178" s="2522"/>
      <c r="LVI178" s="2522"/>
      <c r="LVJ178" s="2522"/>
      <c r="LVK178" s="2522"/>
      <c r="LVL178" s="2522"/>
      <c r="LVM178" s="2522"/>
      <c r="LVN178" s="2522"/>
      <c r="LVO178" s="2522"/>
      <c r="LVP178" s="2522"/>
      <c r="LVQ178" s="2522"/>
      <c r="LVR178" s="2522"/>
      <c r="LVS178" s="2522"/>
      <c r="LVT178" s="2522"/>
      <c r="LVU178" s="2522"/>
      <c r="LVV178" s="2522"/>
      <c r="LVW178" s="2522"/>
      <c r="LVX178" s="2522"/>
      <c r="LVY178" s="2522"/>
      <c r="LVZ178" s="2522"/>
      <c r="LWA178" s="2522"/>
      <c r="LWB178" s="2522"/>
      <c r="LWC178" s="2522"/>
      <c r="LWD178" s="2522"/>
      <c r="LWE178" s="2522"/>
      <c r="LWF178" s="2522"/>
      <c r="LWG178" s="2522"/>
      <c r="LWH178" s="2522"/>
      <c r="LWI178" s="2522"/>
      <c r="LWJ178" s="2522"/>
      <c r="LWK178" s="2522"/>
      <c r="LWL178" s="2522"/>
      <c r="LWM178" s="2522"/>
      <c r="LWN178" s="2522"/>
      <c r="LWO178" s="2522"/>
      <c r="LWP178" s="2522"/>
      <c r="LWQ178" s="2522"/>
      <c r="LWR178" s="2522"/>
      <c r="LWS178" s="2522"/>
      <c r="LWT178" s="2522"/>
      <c r="LWU178" s="2522"/>
      <c r="LWV178" s="2522"/>
      <c r="LWW178" s="2522"/>
      <c r="LWX178" s="2522"/>
      <c r="LWY178" s="2522"/>
      <c r="LWZ178" s="2522"/>
      <c r="LXA178" s="2522"/>
      <c r="LXB178" s="2522"/>
      <c r="LXC178" s="2522"/>
      <c r="LXD178" s="2522"/>
      <c r="LXE178" s="2522"/>
      <c r="LXF178" s="2522"/>
      <c r="LXG178" s="2522"/>
      <c r="LXH178" s="2522"/>
      <c r="LXI178" s="2522"/>
      <c r="LXJ178" s="2522"/>
      <c r="LXK178" s="2522"/>
      <c r="LXL178" s="2522"/>
      <c r="LXM178" s="2522"/>
      <c r="LXN178" s="2522"/>
      <c r="LXO178" s="2522"/>
      <c r="LXP178" s="2522"/>
      <c r="LXQ178" s="2522"/>
      <c r="LXR178" s="2522"/>
      <c r="LXS178" s="2522"/>
      <c r="LXT178" s="2522"/>
      <c r="LXU178" s="2522"/>
      <c r="LXV178" s="2522"/>
      <c r="LXW178" s="2522"/>
      <c r="LXX178" s="2522"/>
      <c r="LXY178" s="2522"/>
      <c r="LXZ178" s="2522"/>
      <c r="LYA178" s="2522"/>
      <c r="LYB178" s="2522"/>
      <c r="LYC178" s="2522"/>
      <c r="LYD178" s="2522"/>
      <c r="LYE178" s="2522"/>
      <c r="LYF178" s="2522"/>
      <c r="LYG178" s="2522"/>
      <c r="LYH178" s="2522"/>
      <c r="LYI178" s="2522"/>
      <c r="LYJ178" s="2522"/>
      <c r="LYK178" s="2522"/>
      <c r="LYL178" s="2522"/>
      <c r="LYM178" s="2522"/>
      <c r="LYN178" s="2522"/>
      <c r="LYO178" s="2522"/>
      <c r="LYP178" s="2522"/>
      <c r="LYQ178" s="2522"/>
      <c r="LYR178" s="2522"/>
      <c r="LYS178" s="2522"/>
      <c r="LYT178" s="2522"/>
      <c r="LYU178" s="2522"/>
      <c r="LYV178" s="2522"/>
      <c r="LYW178" s="2522"/>
      <c r="LYX178" s="2522"/>
      <c r="LYY178" s="2522"/>
      <c r="LYZ178" s="2522"/>
      <c r="LZA178" s="2522"/>
      <c r="LZB178" s="2522"/>
      <c r="LZC178" s="2522"/>
      <c r="LZD178" s="2522"/>
      <c r="LZE178" s="2522"/>
      <c r="LZF178" s="2522"/>
      <c r="LZG178" s="2522"/>
      <c r="LZH178" s="2522"/>
      <c r="LZI178" s="2522"/>
      <c r="LZJ178" s="2522"/>
      <c r="LZK178" s="2522"/>
      <c r="LZL178" s="2522"/>
      <c r="LZM178" s="2522"/>
      <c r="LZN178" s="2522"/>
      <c r="LZO178" s="2522"/>
      <c r="LZP178" s="2522"/>
      <c r="LZQ178" s="2522"/>
      <c r="LZR178" s="2522"/>
      <c r="LZS178" s="2522"/>
      <c r="LZT178" s="2522"/>
      <c r="LZU178" s="2522"/>
      <c r="LZV178" s="2522"/>
      <c r="LZW178" s="2522"/>
      <c r="LZX178" s="2522"/>
      <c r="LZY178" s="2522"/>
      <c r="LZZ178" s="2522"/>
      <c r="MAA178" s="2522"/>
      <c r="MAB178" s="2522"/>
      <c r="MAC178" s="2522"/>
      <c r="MAD178" s="2522"/>
      <c r="MAE178" s="2522"/>
      <c r="MAF178" s="2522"/>
      <c r="MAG178" s="2522"/>
      <c r="MAH178" s="2522"/>
      <c r="MAI178" s="2522"/>
      <c r="MAJ178" s="2522"/>
      <c r="MAK178" s="2522"/>
      <c r="MAL178" s="2522"/>
      <c r="MAM178" s="2522"/>
      <c r="MAN178" s="2522"/>
      <c r="MAO178" s="2522"/>
      <c r="MAP178" s="2522"/>
      <c r="MAQ178" s="2522"/>
      <c r="MAR178" s="2522"/>
      <c r="MAS178" s="2522"/>
      <c r="MAT178" s="2522"/>
      <c r="MAU178" s="2522"/>
      <c r="MAV178" s="2522"/>
      <c r="MAW178" s="2522"/>
      <c r="MAX178" s="2522"/>
      <c r="MAY178" s="2522"/>
      <c r="MAZ178" s="2522"/>
      <c r="MBA178" s="2522"/>
      <c r="MBB178" s="2522"/>
      <c r="MBC178" s="2522"/>
      <c r="MBD178" s="2522"/>
      <c r="MBE178" s="2522"/>
      <c r="MBF178" s="2522"/>
      <c r="MBG178" s="2522"/>
      <c r="MBH178" s="2522"/>
      <c r="MBI178" s="2522"/>
      <c r="MBJ178" s="2522"/>
      <c r="MBK178" s="2522"/>
      <c r="MBL178" s="2522"/>
      <c r="MBM178" s="2522"/>
      <c r="MBN178" s="2522"/>
      <c r="MBO178" s="2522"/>
      <c r="MBP178" s="2522"/>
      <c r="MBQ178" s="2522"/>
      <c r="MBR178" s="2522"/>
      <c r="MBS178" s="2522"/>
      <c r="MBT178" s="2522"/>
      <c r="MBU178" s="2522"/>
      <c r="MBV178" s="2522"/>
      <c r="MBW178" s="2522"/>
      <c r="MBX178" s="2522"/>
      <c r="MBY178" s="2522"/>
      <c r="MBZ178" s="2522"/>
      <c r="MCA178" s="2522"/>
      <c r="MCB178" s="2522"/>
      <c r="MCC178" s="2522"/>
      <c r="MCD178" s="2522"/>
      <c r="MCE178" s="2522"/>
      <c r="MCF178" s="2522"/>
      <c r="MCG178" s="2522"/>
      <c r="MCH178" s="2522"/>
      <c r="MCI178" s="2522"/>
      <c r="MCJ178" s="2522"/>
      <c r="MCK178" s="2522"/>
      <c r="MCL178" s="2522"/>
      <c r="MCM178" s="2522"/>
      <c r="MCN178" s="2522"/>
      <c r="MCO178" s="2522"/>
      <c r="MCP178" s="2522"/>
      <c r="MCQ178" s="2522"/>
      <c r="MCR178" s="2522"/>
      <c r="MCS178" s="2522"/>
      <c r="MCT178" s="2522"/>
      <c r="MCU178" s="2522"/>
      <c r="MCV178" s="2522"/>
      <c r="MCW178" s="2522"/>
      <c r="MCX178" s="2522"/>
      <c r="MCY178" s="2522"/>
      <c r="MCZ178" s="2522"/>
      <c r="MDA178" s="2522"/>
      <c r="MDB178" s="2522"/>
      <c r="MDC178" s="2522"/>
      <c r="MDD178" s="2522"/>
      <c r="MDE178" s="2522"/>
      <c r="MDF178" s="2522"/>
      <c r="MDG178" s="2522"/>
      <c r="MDH178" s="2522"/>
      <c r="MDI178" s="2522"/>
      <c r="MDJ178" s="2522"/>
      <c r="MDK178" s="2522"/>
      <c r="MDL178" s="2522"/>
      <c r="MDM178" s="2522"/>
      <c r="MDN178" s="2522"/>
      <c r="MDO178" s="2522"/>
      <c r="MDP178" s="2522"/>
      <c r="MDQ178" s="2522"/>
      <c r="MDR178" s="2522"/>
      <c r="MDS178" s="2522"/>
      <c r="MDT178" s="2522"/>
      <c r="MDU178" s="2522"/>
      <c r="MDV178" s="2522"/>
      <c r="MDW178" s="2522"/>
      <c r="MDX178" s="2522"/>
      <c r="MDY178" s="2522"/>
      <c r="MDZ178" s="2522"/>
      <c r="MEA178" s="2522"/>
      <c r="MEB178" s="2522"/>
      <c r="MEC178" s="2522"/>
      <c r="MED178" s="2522"/>
      <c r="MEE178" s="2522"/>
      <c r="MEF178" s="2522"/>
      <c r="MEG178" s="2522"/>
      <c r="MEH178" s="2522"/>
      <c r="MEI178" s="2522"/>
      <c r="MEJ178" s="2522"/>
      <c r="MEK178" s="2522"/>
      <c r="MEL178" s="2522"/>
      <c r="MEM178" s="2522"/>
      <c r="MEN178" s="2522"/>
      <c r="MEO178" s="2522"/>
      <c r="MEP178" s="2522"/>
      <c r="MEQ178" s="2522"/>
      <c r="MER178" s="2522"/>
      <c r="MES178" s="2522"/>
      <c r="MET178" s="2522"/>
      <c r="MEU178" s="2522"/>
      <c r="MEV178" s="2522"/>
      <c r="MEW178" s="2522"/>
      <c r="MEX178" s="2522"/>
      <c r="MEY178" s="2522"/>
      <c r="MEZ178" s="2522"/>
      <c r="MFA178" s="2522"/>
      <c r="MFB178" s="2522"/>
      <c r="MFC178" s="2522"/>
      <c r="MFD178" s="2522"/>
      <c r="MFE178" s="2522"/>
      <c r="MFF178" s="2522"/>
      <c r="MFG178" s="2522"/>
      <c r="MFH178" s="2522"/>
      <c r="MFI178" s="2522"/>
      <c r="MFJ178" s="2522"/>
      <c r="MFK178" s="2522"/>
      <c r="MFL178" s="2522"/>
      <c r="MFM178" s="2522"/>
      <c r="MFN178" s="2522"/>
      <c r="MFO178" s="2522"/>
      <c r="MFP178" s="2522"/>
      <c r="MFQ178" s="2522"/>
      <c r="MFR178" s="2522"/>
      <c r="MFS178" s="2522"/>
      <c r="MFT178" s="2522"/>
      <c r="MFU178" s="2522"/>
      <c r="MFV178" s="2522"/>
      <c r="MFW178" s="2522"/>
      <c r="MFX178" s="2522"/>
      <c r="MFY178" s="2522"/>
      <c r="MFZ178" s="2522"/>
      <c r="MGA178" s="2522"/>
      <c r="MGB178" s="2522"/>
      <c r="MGC178" s="2522"/>
      <c r="MGD178" s="2522"/>
      <c r="MGE178" s="2522"/>
      <c r="MGF178" s="2522"/>
      <c r="MGG178" s="2522"/>
      <c r="MGH178" s="2522"/>
      <c r="MGI178" s="2522"/>
      <c r="MGJ178" s="2522"/>
      <c r="MGK178" s="2522"/>
      <c r="MGL178" s="2522"/>
      <c r="MGM178" s="2522"/>
      <c r="MGN178" s="2522"/>
      <c r="MGO178" s="2522"/>
      <c r="MGP178" s="2522"/>
      <c r="MGQ178" s="2522"/>
      <c r="MGR178" s="2522"/>
      <c r="MGS178" s="2522"/>
      <c r="MGT178" s="2522"/>
      <c r="MGU178" s="2522"/>
      <c r="MGV178" s="2522"/>
      <c r="MGW178" s="2522"/>
      <c r="MGX178" s="2522"/>
      <c r="MGY178" s="2522"/>
      <c r="MGZ178" s="2522"/>
      <c r="MHA178" s="2522"/>
      <c r="MHB178" s="2522"/>
      <c r="MHC178" s="2522"/>
      <c r="MHD178" s="2522"/>
      <c r="MHE178" s="2522"/>
      <c r="MHF178" s="2522"/>
      <c r="MHG178" s="2522"/>
      <c r="MHH178" s="2522"/>
      <c r="MHI178" s="2522"/>
      <c r="MHJ178" s="2522"/>
      <c r="MHK178" s="2522"/>
      <c r="MHL178" s="2522"/>
      <c r="MHM178" s="2522"/>
      <c r="MHN178" s="2522"/>
      <c r="MHO178" s="2522"/>
      <c r="MHP178" s="2522"/>
      <c r="MHQ178" s="2522"/>
      <c r="MHR178" s="2522"/>
      <c r="MHS178" s="2522"/>
      <c r="MHT178" s="2522"/>
      <c r="MHU178" s="2522"/>
      <c r="MHV178" s="2522"/>
      <c r="MHW178" s="2522"/>
      <c r="MHX178" s="2522"/>
      <c r="MHY178" s="2522"/>
      <c r="MHZ178" s="2522"/>
      <c r="MIA178" s="2522"/>
      <c r="MIB178" s="2522"/>
      <c r="MIC178" s="2522"/>
      <c r="MID178" s="2522"/>
      <c r="MIE178" s="2522"/>
      <c r="MIF178" s="2522"/>
      <c r="MIG178" s="2522"/>
      <c r="MIH178" s="2522"/>
      <c r="MII178" s="2522"/>
      <c r="MIJ178" s="2522"/>
      <c r="MIK178" s="2522"/>
      <c r="MIL178" s="2522"/>
      <c r="MIM178" s="2522"/>
      <c r="MIN178" s="2522"/>
      <c r="MIO178" s="2522"/>
      <c r="MIP178" s="2522"/>
      <c r="MIQ178" s="2522"/>
      <c r="MIR178" s="2522"/>
      <c r="MIS178" s="2522"/>
      <c r="MIT178" s="2522"/>
      <c r="MIU178" s="2522"/>
      <c r="MIV178" s="2522"/>
      <c r="MIW178" s="2522"/>
      <c r="MIX178" s="2522"/>
      <c r="MIY178" s="2522"/>
      <c r="MIZ178" s="2522"/>
      <c r="MJA178" s="2522"/>
      <c r="MJB178" s="2522"/>
      <c r="MJC178" s="2522"/>
      <c r="MJD178" s="2522"/>
      <c r="MJE178" s="2522"/>
      <c r="MJF178" s="2522"/>
      <c r="MJG178" s="2522"/>
      <c r="MJH178" s="2522"/>
      <c r="MJI178" s="2522"/>
      <c r="MJJ178" s="2522"/>
      <c r="MJK178" s="2522"/>
      <c r="MJL178" s="2522"/>
      <c r="MJM178" s="2522"/>
      <c r="MJN178" s="2522"/>
      <c r="MJO178" s="2522"/>
      <c r="MJP178" s="2522"/>
      <c r="MJQ178" s="2522"/>
      <c r="MJR178" s="2522"/>
      <c r="MJS178" s="2522"/>
      <c r="MJT178" s="2522"/>
      <c r="MJU178" s="2522"/>
      <c r="MJV178" s="2522"/>
      <c r="MJW178" s="2522"/>
      <c r="MJX178" s="2522"/>
      <c r="MJY178" s="2522"/>
      <c r="MJZ178" s="2522"/>
      <c r="MKA178" s="2522"/>
      <c r="MKB178" s="2522"/>
      <c r="MKC178" s="2522"/>
      <c r="MKD178" s="2522"/>
      <c r="MKE178" s="2522"/>
      <c r="MKF178" s="2522"/>
      <c r="MKG178" s="2522"/>
      <c r="MKH178" s="2522"/>
      <c r="MKI178" s="2522"/>
      <c r="MKJ178" s="2522"/>
      <c r="MKK178" s="2522"/>
      <c r="MKL178" s="2522"/>
      <c r="MKM178" s="2522"/>
      <c r="MKN178" s="2522"/>
      <c r="MKO178" s="2522"/>
      <c r="MKP178" s="2522"/>
      <c r="MKQ178" s="2522"/>
      <c r="MKR178" s="2522"/>
      <c r="MKS178" s="2522"/>
      <c r="MKT178" s="2522"/>
      <c r="MKU178" s="2522"/>
      <c r="MKV178" s="2522"/>
      <c r="MKW178" s="2522"/>
      <c r="MKX178" s="2522"/>
      <c r="MKY178" s="2522"/>
      <c r="MKZ178" s="2522"/>
      <c r="MLA178" s="2522"/>
      <c r="MLB178" s="2522"/>
      <c r="MLC178" s="2522"/>
      <c r="MLD178" s="2522"/>
      <c r="MLE178" s="2522"/>
      <c r="MLF178" s="2522"/>
      <c r="MLG178" s="2522"/>
      <c r="MLH178" s="2522"/>
      <c r="MLI178" s="2522"/>
      <c r="MLJ178" s="2522"/>
      <c r="MLK178" s="2522"/>
      <c r="MLL178" s="2522"/>
      <c r="MLM178" s="2522"/>
      <c r="MLN178" s="2522"/>
      <c r="MLO178" s="2522"/>
      <c r="MLP178" s="2522"/>
      <c r="MLQ178" s="2522"/>
      <c r="MLR178" s="2522"/>
      <c r="MLS178" s="2522"/>
      <c r="MLT178" s="2522"/>
      <c r="MLU178" s="2522"/>
      <c r="MLV178" s="2522"/>
      <c r="MLW178" s="2522"/>
      <c r="MLX178" s="2522"/>
      <c r="MLY178" s="2522"/>
      <c r="MLZ178" s="2522"/>
      <c r="MMA178" s="2522"/>
      <c r="MMB178" s="2522"/>
      <c r="MMC178" s="2522"/>
      <c r="MMD178" s="2522"/>
      <c r="MME178" s="2522"/>
      <c r="MMF178" s="2522"/>
      <c r="MMG178" s="2522"/>
      <c r="MMH178" s="2522"/>
      <c r="MMI178" s="2522"/>
      <c r="MMJ178" s="2522"/>
      <c r="MMK178" s="2522"/>
      <c r="MML178" s="2522"/>
      <c r="MMM178" s="2522"/>
      <c r="MMN178" s="2522"/>
      <c r="MMO178" s="2522"/>
      <c r="MMP178" s="2522"/>
      <c r="MMQ178" s="2522"/>
      <c r="MMR178" s="2522"/>
      <c r="MMS178" s="2522"/>
      <c r="MMT178" s="2522"/>
      <c r="MMU178" s="2522"/>
      <c r="MMV178" s="2522"/>
      <c r="MMW178" s="2522"/>
      <c r="MMX178" s="2522"/>
      <c r="MMY178" s="2522"/>
      <c r="MMZ178" s="2522"/>
      <c r="MNA178" s="2522"/>
      <c r="MNB178" s="2522"/>
      <c r="MNC178" s="2522"/>
      <c r="MND178" s="2522"/>
      <c r="MNE178" s="2522"/>
      <c r="MNF178" s="2522"/>
      <c r="MNG178" s="2522"/>
      <c r="MNH178" s="2522"/>
      <c r="MNI178" s="2522"/>
      <c r="MNJ178" s="2522"/>
      <c r="MNK178" s="2522"/>
      <c r="MNL178" s="2522"/>
      <c r="MNM178" s="2522"/>
      <c r="MNN178" s="2522"/>
      <c r="MNO178" s="2522"/>
      <c r="MNP178" s="2522"/>
      <c r="MNQ178" s="2522"/>
      <c r="MNR178" s="2522"/>
      <c r="MNS178" s="2522"/>
      <c r="MNT178" s="2522"/>
      <c r="MNU178" s="2522"/>
      <c r="MNV178" s="2522"/>
      <c r="MNW178" s="2522"/>
      <c r="MNX178" s="2522"/>
      <c r="MNY178" s="2522"/>
      <c r="MNZ178" s="2522"/>
      <c r="MOA178" s="2522"/>
      <c r="MOB178" s="2522"/>
      <c r="MOC178" s="2522"/>
      <c r="MOD178" s="2522"/>
      <c r="MOE178" s="2522"/>
      <c r="MOF178" s="2522"/>
      <c r="MOG178" s="2522"/>
      <c r="MOH178" s="2522"/>
      <c r="MOI178" s="2522"/>
      <c r="MOJ178" s="2522"/>
      <c r="MOK178" s="2522"/>
      <c r="MOL178" s="2522"/>
      <c r="MOM178" s="2522"/>
      <c r="MON178" s="2522"/>
      <c r="MOO178" s="2522"/>
      <c r="MOP178" s="2522"/>
      <c r="MOQ178" s="2522"/>
      <c r="MOR178" s="2522"/>
      <c r="MOS178" s="2522"/>
      <c r="MOT178" s="2522"/>
      <c r="MOU178" s="2522"/>
      <c r="MOV178" s="2522"/>
      <c r="MOW178" s="2522"/>
      <c r="MOX178" s="2522"/>
      <c r="MOY178" s="2522"/>
      <c r="MOZ178" s="2522"/>
      <c r="MPA178" s="2522"/>
      <c r="MPB178" s="2522"/>
      <c r="MPC178" s="2522"/>
      <c r="MPD178" s="2522"/>
      <c r="MPE178" s="2522"/>
      <c r="MPF178" s="2522"/>
      <c r="MPG178" s="2522"/>
      <c r="MPH178" s="2522"/>
      <c r="MPI178" s="2522"/>
      <c r="MPJ178" s="2522"/>
      <c r="MPK178" s="2522"/>
      <c r="MPL178" s="2522"/>
      <c r="MPM178" s="2522"/>
      <c r="MPN178" s="2522"/>
      <c r="MPO178" s="2522"/>
      <c r="MPP178" s="2522"/>
      <c r="MPQ178" s="2522"/>
      <c r="MPR178" s="2522"/>
      <c r="MPS178" s="2522"/>
      <c r="MPT178" s="2522"/>
      <c r="MPU178" s="2522"/>
      <c r="MPV178" s="2522"/>
      <c r="MPW178" s="2522"/>
      <c r="MPX178" s="2522"/>
      <c r="MPY178" s="2522"/>
      <c r="MPZ178" s="2522"/>
      <c r="MQA178" s="2522"/>
      <c r="MQB178" s="2522"/>
      <c r="MQC178" s="2522"/>
      <c r="MQD178" s="2522"/>
      <c r="MQE178" s="2522"/>
      <c r="MQF178" s="2522"/>
      <c r="MQG178" s="2522"/>
      <c r="MQH178" s="2522"/>
      <c r="MQI178" s="2522"/>
      <c r="MQJ178" s="2522"/>
      <c r="MQK178" s="2522"/>
      <c r="MQL178" s="2522"/>
      <c r="MQM178" s="2522"/>
      <c r="MQN178" s="2522"/>
      <c r="MQO178" s="2522"/>
      <c r="MQP178" s="2522"/>
      <c r="MQQ178" s="2522"/>
      <c r="MQR178" s="2522"/>
      <c r="MQS178" s="2522"/>
      <c r="MQT178" s="2522"/>
      <c r="MQU178" s="2522"/>
      <c r="MQV178" s="2522"/>
      <c r="MQW178" s="2522"/>
      <c r="MQX178" s="2522"/>
      <c r="MQY178" s="2522"/>
      <c r="MQZ178" s="2522"/>
      <c r="MRA178" s="2522"/>
      <c r="MRB178" s="2522"/>
      <c r="MRC178" s="2522"/>
      <c r="MRD178" s="2522"/>
      <c r="MRE178" s="2522"/>
      <c r="MRF178" s="2522"/>
      <c r="MRG178" s="2522"/>
      <c r="MRH178" s="2522"/>
      <c r="MRI178" s="2522"/>
      <c r="MRJ178" s="2522"/>
      <c r="MRK178" s="2522"/>
      <c r="MRL178" s="2522"/>
      <c r="MRM178" s="2522"/>
      <c r="MRN178" s="2522"/>
      <c r="MRO178" s="2522"/>
      <c r="MRP178" s="2522"/>
      <c r="MRQ178" s="2522"/>
      <c r="MRR178" s="2522"/>
      <c r="MRS178" s="2522"/>
      <c r="MRT178" s="2522"/>
      <c r="MRU178" s="2522"/>
      <c r="MRV178" s="2522"/>
      <c r="MRW178" s="2522"/>
      <c r="MRX178" s="2522"/>
      <c r="MRY178" s="2522"/>
      <c r="MRZ178" s="2522"/>
      <c r="MSA178" s="2522"/>
      <c r="MSB178" s="2522"/>
      <c r="MSC178" s="2522"/>
      <c r="MSD178" s="2522"/>
      <c r="MSE178" s="2522"/>
      <c r="MSF178" s="2522"/>
      <c r="MSG178" s="2522"/>
      <c r="MSH178" s="2522"/>
      <c r="MSI178" s="2522"/>
      <c r="MSJ178" s="2522"/>
      <c r="MSK178" s="2522"/>
      <c r="MSL178" s="2522"/>
      <c r="MSM178" s="2522"/>
      <c r="MSN178" s="2522"/>
      <c r="MSO178" s="2522"/>
      <c r="MSP178" s="2522"/>
      <c r="MSQ178" s="2522"/>
      <c r="MSR178" s="2522"/>
      <c r="MSS178" s="2522"/>
      <c r="MST178" s="2522"/>
      <c r="MSU178" s="2522"/>
      <c r="MSV178" s="2522"/>
      <c r="MSW178" s="2522"/>
      <c r="MSX178" s="2522"/>
      <c r="MSY178" s="2522"/>
      <c r="MSZ178" s="2522"/>
      <c r="MTA178" s="2522"/>
      <c r="MTB178" s="2522"/>
      <c r="MTC178" s="2522"/>
      <c r="MTD178" s="2522"/>
      <c r="MTE178" s="2522"/>
      <c r="MTF178" s="2522"/>
      <c r="MTG178" s="2522"/>
      <c r="MTH178" s="2522"/>
      <c r="MTI178" s="2522"/>
      <c r="MTJ178" s="2522"/>
      <c r="MTK178" s="2522"/>
      <c r="MTL178" s="2522"/>
      <c r="MTM178" s="2522"/>
      <c r="MTN178" s="2522"/>
      <c r="MTO178" s="2522"/>
      <c r="MTP178" s="2522"/>
      <c r="MTQ178" s="2522"/>
      <c r="MTR178" s="2522"/>
      <c r="MTS178" s="2522"/>
      <c r="MTT178" s="2522"/>
      <c r="MTU178" s="2522"/>
      <c r="MTV178" s="2522"/>
      <c r="MTW178" s="2522"/>
      <c r="MTX178" s="2522"/>
      <c r="MTY178" s="2522"/>
      <c r="MTZ178" s="2522"/>
      <c r="MUA178" s="2522"/>
      <c r="MUB178" s="2522"/>
      <c r="MUC178" s="2522"/>
      <c r="MUD178" s="2522"/>
      <c r="MUE178" s="2522"/>
      <c r="MUF178" s="2522"/>
      <c r="MUG178" s="2522"/>
      <c r="MUH178" s="2522"/>
      <c r="MUI178" s="2522"/>
      <c r="MUJ178" s="2522"/>
      <c r="MUK178" s="2522"/>
      <c r="MUL178" s="2522"/>
      <c r="MUM178" s="2522"/>
      <c r="MUN178" s="2522"/>
      <c r="MUO178" s="2522"/>
      <c r="MUP178" s="2522"/>
      <c r="MUQ178" s="2522"/>
      <c r="MUR178" s="2522"/>
      <c r="MUS178" s="2522"/>
      <c r="MUT178" s="2522"/>
      <c r="MUU178" s="2522"/>
      <c r="MUV178" s="2522"/>
      <c r="MUW178" s="2522"/>
      <c r="MUX178" s="2522"/>
      <c r="MUY178" s="2522"/>
      <c r="MUZ178" s="2522"/>
      <c r="MVA178" s="2522"/>
      <c r="MVB178" s="2522"/>
      <c r="MVC178" s="2522"/>
      <c r="MVD178" s="2522"/>
      <c r="MVE178" s="2522"/>
      <c r="MVF178" s="2522"/>
      <c r="MVG178" s="2522"/>
      <c r="MVH178" s="2522"/>
      <c r="MVI178" s="2522"/>
      <c r="MVJ178" s="2522"/>
      <c r="MVK178" s="2522"/>
      <c r="MVL178" s="2522"/>
      <c r="MVM178" s="2522"/>
      <c r="MVN178" s="2522"/>
      <c r="MVO178" s="2522"/>
      <c r="MVP178" s="2522"/>
      <c r="MVQ178" s="2522"/>
      <c r="MVR178" s="2522"/>
      <c r="MVS178" s="2522"/>
      <c r="MVT178" s="2522"/>
      <c r="MVU178" s="2522"/>
      <c r="MVV178" s="2522"/>
      <c r="MVW178" s="2522"/>
      <c r="MVX178" s="2522"/>
      <c r="MVY178" s="2522"/>
      <c r="MVZ178" s="2522"/>
      <c r="MWA178" s="2522"/>
      <c r="MWB178" s="2522"/>
      <c r="MWC178" s="2522"/>
      <c r="MWD178" s="2522"/>
      <c r="MWE178" s="2522"/>
      <c r="MWF178" s="2522"/>
      <c r="MWG178" s="2522"/>
      <c r="MWH178" s="2522"/>
      <c r="MWI178" s="2522"/>
      <c r="MWJ178" s="2522"/>
      <c r="MWK178" s="2522"/>
      <c r="MWL178" s="2522"/>
      <c r="MWM178" s="2522"/>
      <c r="MWN178" s="2522"/>
      <c r="MWO178" s="2522"/>
      <c r="MWP178" s="2522"/>
      <c r="MWQ178" s="2522"/>
      <c r="MWR178" s="2522"/>
      <c r="MWS178" s="2522"/>
      <c r="MWT178" s="2522"/>
      <c r="MWU178" s="2522"/>
      <c r="MWV178" s="2522"/>
      <c r="MWW178" s="2522"/>
      <c r="MWX178" s="2522"/>
      <c r="MWY178" s="2522"/>
      <c r="MWZ178" s="2522"/>
      <c r="MXA178" s="2522"/>
      <c r="MXB178" s="2522"/>
      <c r="MXC178" s="2522"/>
      <c r="MXD178" s="2522"/>
      <c r="MXE178" s="2522"/>
      <c r="MXF178" s="2522"/>
      <c r="MXG178" s="2522"/>
      <c r="MXH178" s="2522"/>
      <c r="MXI178" s="2522"/>
      <c r="MXJ178" s="2522"/>
      <c r="MXK178" s="2522"/>
      <c r="MXL178" s="2522"/>
      <c r="MXM178" s="2522"/>
      <c r="MXN178" s="2522"/>
      <c r="MXO178" s="2522"/>
      <c r="MXP178" s="2522"/>
      <c r="MXQ178" s="2522"/>
      <c r="MXR178" s="2522"/>
      <c r="MXS178" s="2522"/>
      <c r="MXT178" s="2522"/>
      <c r="MXU178" s="2522"/>
      <c r="MXV178" s="2522"/>
      <c r="MXW178" s="2522"/>
      <c r="MXX178" s="2522"/>
      <c r="MXY178" s="2522"/>
      <c r="MXZ178" s="2522"/>
      <c r="MYA178" s="2522"/>
      <c r="MYB178" s="2522"/>
      <c r="MYC178" s="2522"/>
      <c r="MYD178" s="2522"/>
      <c r="MYE178" s="2522"/>
      <c r="MYF178" s="2522"/>
      <c r="MYG178" s="2522"/>
      <c r="MYH178" s="2522"/>
      <c r="MYI178" s="2522"/>
      <c r="MYJ178" s="2522"/>
      <c r="MYK178" s="2522"/>
      <c r="MYL178" s="2522"/>
      <c r="MYM178" s="2522"/>
      <c r="MYN178" s="2522"/>
      <c r="MYO178" s="2522"/>
      <c r="MYP178" s="2522"/>
      <c r="MYQ178" s="2522"/>
      <c r="MYR178" s="2522"/>
      <c r="MYS178" s="2522"/>
      <c r="MYT178" s="2522"/>
      <c r="MYU178" s="2522"/>
      <c r="MYV178" s="2522"/>
      <c r="MYW178" s="2522"/>
      <c r="MYX178" s="2522"/>
      <c r="MYY178" s="2522"/>
      <c r="MYZ178" s="2522"/>
      <c r="MZA178" s="2522"/>
      <c r="MZB178" s="2522"/>
      <c r="MZC178" s="2522"/>
      <c r="MZD178" s="2522"/>
      <c r="MZE178" s="2522"/>
      <c r="MZF178" s="2522"/>
      <c r="MZG178" s="2522"/>
      <c r="MZH178" s="2522"/>
      <c r="MZI178" s="2522"/>
      <c r="MZJ178" s="2522"/>
      <c r="MZK178" s="2522"/>
      <c r="MZL178" s="2522"/>
      <c r="MZM178" s="2522"/>
      <c r="MZN178" s="2522"/>
      <c r="MZO178" s="2522"/>
      <c r="MZP178" s="2522"/>
      <c r="MZQ178" s="2522"/>
      <c r="MZR178" s="2522"/>
      <c r="MZS178" s="2522"/>
      <c r="MZT178" s="2522"/>
      <c r="MZU178" s="2522"/>
      <c r="MZV178" s="2522"/>
      <c r="MZW178" s="2522"/>
      <c r="MZX178" s="2522"/>
      <c r="MZY178" s="2522"/>
      <c r="MZZ178" s="2522"/>
      <c r="NAA178" s="2522"/>
      <c r="NAB178" s="2522"/>
      <c r="NAC178" s="2522"/>
      <c r="NAD178" s="2522"/>
      <c r="NAE178" s="2522"/>
      <c r="NAF178" s="2522"/>
      <c r="NAG178" s="2522"/>
      <c r="NAH178" s="2522"/>
      <c r="NAI178" s="2522"/>
      <c r="NAJ178" s="2522"/>
      <c r="NAK178" s="2522"/>
      <c r="NAL178" s="2522"/>
      <c r="NAM178" s="2522"/>
      <c r="NAN178" s="2522"/>
      <c r="NAO178" s="2522"/>
      <c r="NAP178" s="2522"/>
      <c r="NAQ178" s="2522"/>
      <c r="NAR178" s="2522"/>
      <c r="NAS178" s="2522"/>
      <c r="NAT178" s="2522"/>
      <c r="NAU178" s="2522"/>
      <c r="NAV178" s="2522"/>
      <c r="NAW178" s="2522"/>
      <c r="NAX178" s="2522"/>
      <c r="NAY178" s="2522"/>
      <c r="NAZ178" s="2522"/>
      <c r="NBA178" s="2522"/>
      <c r="NBB178" s="2522"/>
      <c r="NBC178" s="2522"/>
      <c r="NBD178" s="2522"/>
      <c r="NBE178" s="2522"/>
      <c r="NBF178" s="2522"/>
      <c r="NBG178" s="2522"/>
      <c r="NBH178" s="2522"/>
      <c r="NBI178" s="2522"/>
      <c r="NBJ178" s="2522"/>
      <c r="NBK178" s="2522"/>
      <c r="NBL178" s="2522"/>
      <c r="NBM178" s="2522"/>
      <c r="NBN178" s="2522"/>
      <c r="NBO178" s="2522"/>
      <c r="NBP178" s="2522"/>
      <c r="NBQ178" s="2522"/>
      <c r="NBR178" s="2522"/>
      <c r="NBS178" s="2522"/>
      <c r="NBT178" s="2522"/>
      <c r="NBU178" s="2522"/>
      <c r="NBV178" s="2522"/>
      <c r="NBW178" s="2522"/>
      <c r="NBX178" s="2522"/>
      <c r="NBY178" s="2522"/>
      <c r="NBZ178" s="2522"/>
      <c r="NCA178" s="2522"/>
      <c r="NCB178" s="2522"/>
      <c r="NCC178" s="2522"/>
      <c r="NCD178" s="2522"/>
      <c r="NCE178" s="2522"/>
      <c r="NCF178" s="2522"/>
      <c r="NCG178" s="2522"/>
      <c r="NCH178" s="2522"/>
      <c r="NCI178" s="2522"/>
      <c r="NCJ178" s="2522"/>
      <c r="NCK178" s="2522"/>
      <c r="NCL178" s="2522"/>
      <c r="NCM178" s="2522"/>
      <c r="NCN178" s="2522"/>
      <c r="NCO178" s="2522"/>
      <c r="NCP178" s="2522"/>
      <c r="NCQ178" s="2522"/>
      <c r="NCR178" s="2522"/>
      <c r="NCS178" s="2522"/>
      <c r="NCT178" s="2522"/>
      <c r="NCU178" s="2522"/>
      <c r="NCV178" s="2522"/>
      <c r="NCW178" s="2522"/>
      <c r="NCX178" s="2522"/>
      <c r="NCY178" s="2522"/>
      <c r="NCZ178" s="2522"/>
      <c r="NDA178" s="2522"/>
      <c r="NDB178" s="2522"/>
      <c r="NDC178" s="2522"/>
      <c r="NDD178" s="2522"/>
      <c r="NDE178" s="2522"/>
      <c r="NDF178" s="2522"/>
      <c r="NDG178" s="2522"/>
      <c r="NDH178" s="2522"/>
      <c r="NDI178" s="2522"/>
      <c r="NDJ178" s="2522"/>
      <c r="NDK178" s="2522"/>
      <c r="NDL178" s="2522"/>
      <c r="NDM178" s="2522"/>
      <c r="NDN178" s="2522"/>
      <c r="NDO178" s="2522"/>
      <c r="NDP178" s="2522"/>
      <c r="NDQ178" s="2522"/>
      <c r="NDR178" s="2522"/>
      <c r="NDS178" s="2522"/>
      <c r="NDT178" s="2522"/>
      <c r="NDU178" s="2522"/>
      <c r="NDV178" s="2522"/>
      <c r="NDW178" s="2522"/>
      <c r="NDX178" s="2522"/>
      <c r="NDY178" s="2522"/>
      <c r="NDZ178" s="2522"/>
      <c r="NEA178" s="2522"/>
      <c r="NEB178" s="2522"/>
      <c r="NEC178" s="2522"/>
      <c r="NED178" s="2522"/>
      <c r="NEE178" s="2522"/>
      <c r="NEF178" s="2522"/>
      <c r="NEG178" s="2522"/>
      <c r="NEH178" s="2522"/>
      <c r="NEI178" s="2522"/>
      <c r="NEJ178" s="2522"/>
      <c r="NEK178" s="2522"/>
      <c r="NEL178" s="2522"/>
      <c r="NEM178" s="2522"/>
      <c r="NEN178" s="2522"/>
      <c r="NEO178" s="2522"/>
      <c r="NEP178" s="2522"/>
      <c r="NEQ178" s="2522"/>
      <c r="NER178" s="2522"/>
      <c r="NES178" s="2522"/>
      <c r="NET178" s="2522"/>
      <c r="NEU178" s="2522"/>
      <c r="NEV178" s="2522"/>
      <c r="NEW178" s="2522"/>
      <c r="NEX178" s="2522"/>
      <c r="NEY178" s="2522"/>
      <c r="NEZ178" s="2522"/>
      <c r="NFA178" s="2522"/>
      <c r="NFB178" s="2522"/>
      <c r="NFC178" s="2522"/>
      <c r="NFD178" s="2522"/>
      <c r="NFE178" s="2522"/>
      <c r="NFF178" s="2522"/>
      <c r="NFG178" s="2522"/>
      <c r="NFH178" s="2522"/>
      <c r="NFI178" s="2522"/>
      <c r="NFJ178" s="2522"/>
      <c r="NFK178" s="2522"/>
      <c r="NFL178" s="2522"/>
      <c r="NFM178" s="2522"/>
      <c r="NFN178" s="2522"/>
      <c r="NFO178" s="2522"/>
      <c r="NFP178" s="2522"/>
      <c r="NFQ178" s="2522"/>
      <c r="NFR178" s="2522"/>
      <c r="NFS178" s="2522"/>
      <c r="NFT178" s="2522"/>
      <c r="NFU178" s="2522"/>
      <c r="NFV178" s="2522"/>
      <c r="NFW178" s="2522"/>
      <c r="NFX178" s="2522"/>
      <c r="NFY178" s="2522"/>
      <c r="NFZ178" s="2522"/>
      <c r="NGA178" s="2522"/>
      <c r="NGB178" s="2522"/>
      <c r="NGC178" s="2522"/>
      <c r="NGD178" s="2522"/>
      <c r="NGE178" s="2522"/>
      <c r="NGF178" s="2522"/>
      <c r="NGG178" s="2522"/>
      <c r="NGH178" s="2522"/>
      <c r="NGI178" s="2522"/>
      <c r="NGJ178" s="2522"/>
      <c r="NGK178" s="2522"/>
      <c r="NGL178" s="2522"/>
      <c r="NGM178" s="2522"/>
      <c r="NGN178" s="2522"/>
      <c r="NGO178" s="2522"/>
      <c r="NGP178" s="2522"/>
      <c r="NGQ178" s="2522"/>
      <c r="NGR178" s="2522"/>
      <c r="NGS178" s="2522"/>
      <c r="NGT178" s="2522"/>
      <c r="NGU178" s="2522"/>
      <c r="NGV178" s="2522"/>
      <c r="NGW178" s="2522"/>
      <c r="NGX178" s="2522"/>
      <c r="NGY178" s="2522"/>
      <c r="NGZ178" s="2522"/>
      <c r="NHA178" s="2522"/>
      <c r="NHB178" s="2522"/>
      <c r="NHC178" s="2522"/>
      <c r="NHD178" s="2522"/>
      <c r="NHE178" s="2522"/>
      <c r="NHF178" s="2522"/>
      <c r="NHG178" s="2522"/>
      <c r="NHH178" s="2522"/>
      <c r="NHI178" s="2522"/>
      <c r="NHJ178" s="2522"/>
      <c r="NHK178" s="2522"/>
      <c r="NHL178" s="2522"/>
      <c r="NHM178" s="2522"/>
      <c r="NHN178" s="2522"/>
      <c r="NHO178" s="2522"/>
      <c r="NHP178" s="2522"/>
      <c r="NHQ178" s="2522"/>
      <c r="NHR178" s="2522"/>
      <c r="NHS178" s="2522"/>
      <c r="NHT178" s="2522"/>
      <c r="NHU178" s="2522"/>
      <c r="NHV178" s="2522"/>
      <c r="NHW178" s="2522"/>
      <c r="NHX178" s="2522"/>
      <c r="NHY178" s="2522"/>
      <c r="NHZ178" s="2522"/>
      <c r="NIA178" s="2522"/>
      <c r="NIB178" s="2522"/>
      <c r="NIC178" s="2522"/>
      <c r="NID178" s="2522"/>
      <c r="NIE178" s="2522"/>
      <c r="NIF178" s="2522"/>
      <c r="NIG178" s="2522"/>
      <c r="NIH178" s="2522"/>
      <c r="NII178" s="2522"/>
      <c r="NIJ178" s="2522"/>
      <c r="NIK178" s="2522"/>
      <c r="NIL178" s="2522"/>
      <c r="NIM178" s="2522"/>
      <c r="NIN178" s="2522"/>
      <c r="NIO178" s="2522"/>
      <c r="NIP178" s="2522"/>
      <c r="NIQ178" s="2522"/>
      <c r="NIR178" s="2522"/>
      <c r="NIS178" s="2522"/>
      <c r="NIT178" s="2522"/>
      <c r="NIU178" s="2522"/>
      <c r="NIV178" s="2522"/>
      <c r="NIW178" s="2522"/>
      <c r="NIX178" s="2522"/>
      <c r="NIY178" s="2522"/>
      <c r="NIZ178" s="2522"/>
      <c r="NJA178" s="2522"/>
      <c r="NJB178" s="2522"/>
      <c r="NJC178" s="2522"/>
      <c r="NJD178" s="2522"/>
      <c r="NJE178" s="2522"/>
      <c r="NJF178" s="2522"/>
      <c r="NJG178" s="2522"/>
      <c r="NJH178" s="2522"/>
      <c r="NJI178" s="2522"/>
      <c r="NJJ178" s="2522"/>
      <c r="NJK178" s="2522"/>
      <c r="NJL178" s="2522"/>
      <c r="NJM178" s="2522"/>
      <c r="NJN178" s="2522"/>
      <c r="NJO178" s="2522"/>
      <c r="NJP178" s="2522"/>
      <c r="NJQ178" s="2522"/>
      <c r="NJR178" s="2522"/>
      <c r="NJS178" s="2522"/>
      <c r="NJT178" s="2522"/>
      <c r="NJU178" s="2522"/>
      <c r="NJV178" s="2522"/>
      <c r="NJW178" s="2522"/>
      <c r="NJX178" s="2522"/>
      <c r="NJY178" s="2522"/>
      <c r="NJZ178" s="2522"/>
      <c r="NKA178" s="2522"/>
      <c r="NKB178" s="2522"/>
      <c r="NKC178" s="2522"/>
      <c r="NKD178" s="2522"/>
      <c r="NKE178" s="2522"/>
      <c r="NKF178" s="2522"/>
      <c r="NKG178" s="2522"/>
      <c r="NKH178" s="2522"/>
      <c r="NKI178" s="2522"/>
      <c r="NKJ178" s="2522"/>
      <c r="NKK178" s="2522"/>
      <c r="NKL178" s="2522"/>
      <c r="NKM178" s="2522"/>
      <c r="NKN178" s="2522"/>
      <c r="NKO178" s="2522"/>
      <c r="NKP178" s="2522"/>
      <c r="NKQ178" s="2522"/>
      <c r="NKR178" s="2522"/>
      <c r="NKS178" s="2522"/>
      <c r="NKT178" s="2522"/>
      <c r="NKU178" s="2522"/>
      <c r="NKV178" s="2522"/>
      <c r="NKW178" s="2522"/>
      <c r="NKX178" s="2522"/>
      <c r="NKY178" s="2522"/>
      <c r="NKZ178" s="2522"/>
      <c r="NLA178" s="2522"/>
      <c r="NLB178" s="2522"/>
      <c r="NLC178" s="2522"/>
      <c r="NLD178" s="2522"/>
      <c r="NLE178" s="2522"/>
      <c r="NLF178" s="2522"/>
      <c r="NLG178" s="2522"/>
      <c r="NLH178" s="2522"/>
      <c r="NLI178" s="2522"/>
      <c r="NLJ178" s="2522"/>
      <c r="NLK178" s="2522"/>
      <c r="NLL178" s="2522"/>
      <c r="NLM178" s="2522"/>
      <c r="NLN178" s="2522"/>
      <c r="NLO178" s="2522"/>
      <c r="NLP178" s="2522"/>
      <c r="NLQ178" s="2522"/>
      <c r="NLR178" s="2522"/>
      <c r="NLS178" s="2522"/>
      <c r="NLT178" s="2522"/>
      <c r="NLU178" s="2522"/>
      <c r="NLV178" s="2522"/>
      <c r="NLW178" s="2522"/>
      <c r="NLX178" s="2522"/>
      <c r="NLY178" s="2522"/>
      <c r="NLZ178" s="2522"/>
      <c r="NMA178" s="2522"/>
      <c r="NMB178" s="2522"/>
      <c r="NMC178" s="2522"/>
      <c r="NMD178" s="2522"/>
      <c r="NME178" s="2522"/>
      <c r="NMF178" s="2522"/>
      <c r="NMG178" s="2522"/>
      <c r="NMH178" s="2522"/>
      <c r="NMI178" s="2522"/>
      <c r="NMJ178" s="2522"/>
      <c r="NMK178" s="2522"/>
      <c r="NML178" s="2522"/>
      <c r="NMM178" s="2522"/>
      <c r="NMN178" s="2522"/>
      <c r="NMO178" s="2522"/>
      <c r="NMP178" s="2522"/>
      <c r="NMQ178" s="2522"/>
      <c r="NMR178" s="2522"/>
      <c r="NMS178" s="2522"/>
      <c r="NMT178" s="2522"/>
      <c r="NMU178" s="2522"/>
      <c r="NMV178" s="2522"/>
      <c r="NMW178" s="2522"/>
      <c r="NMX178" s="2522"/>
      <c r="NMY178" s="2522"/>
      <c r="NMZ178" s="2522"/>
      <c r="NNA178" s="2522"/>
      <c r="NNB178" s="2522"/>
      <c r="NNC178" s="2522"/>
      <c r="NND178" s="2522"/>
      <c r="NNE178" s="2522"/>
      <c r="NNF178" s="2522"/>
      <c r="NNG178" s="2522"/>
      <c r="NNH178" s="2522"/>
      <c r="NNI178" s="2522"/>
      <c r="NNJ178" s="2522"/>
      <c r="NNK178" s="2522"/>
      <c r="NNL178" s="2522"/>
      <c r="NNM178" s="2522"/>
      <c r="NNN178" s="2522"/>
      <c r="NNO178" s="2522"/>
      <c r="NNP178" s="2522"/>
      <c r="NNQ178" s="2522"/>
      <c r="NNR178" s="2522"/>
      <c r="NNS178" s="2522"/>
      <c r="NNT178" s="2522"/>
      <c r="NNU178" s="2522"/>
      <c r="NNV178" s="2522"/>
      <c r="NNW178" s="2522"/>
      <c r="NNX178" s="2522"/>
      <c r="NNY178" s="2522"/>
      <c r="NNZ178" s="2522"/>
      <c r="NOA178" s="2522"/>
      <c r="NOB178" s="2522"/>
      <c r="NOC178" s="2522"/>
      <c r="NOD178" s="2522"/>
      <c r="NOE178" s="2522"/>
      <c r="NOF178" s="2522"/>
      <c r="NOG178" s="2522"/>
      <c r="NOH178" s="2522"/>
      <c r="NOI178" s="2522"/>
      <c r="NOJ178" s="2522"/>
      <c r="NOK178" s="2522"/>
      <c r="NOL178" s="2522"/>
      <c r="NOM178" s="2522"/>
      <c r="NON178" s="2522"/>
      <c r="NOO178" s="2522"/>
      <c r="NOP178" s="2522"/>
      <c r="NOQ178" s="2522"/>
      <c r="NOR178" s="2522"/>
      <c r="NOS178" s="2522"/>
      <c r="NOT178" s="2522"/>
      <c r="NOU178" s="2522"/>
      <c r="NOV178" s="2522"/>
      <c r="NOW178" s="2522"/>
      <c r="NOX178" s="2522"/>
      <c r="NOY178" s="2522"/>
      <c r="NOZ178" s="2522"/>
      <c r="NPA178" s="2522"/>
      <c r="NPB178" s="2522"/>
      <c r="NPC178" s="2522"/>
      <c r="NPD178" s="2522"/>
      <c r="NPE178" s="2522"/>
      <c r="NPF178" s="2522"/>
      <c r="NPG178" s="2522"/>
      <c r="NPH178" s="2522"/>
      <c r="NPI178" s="2522"/>
      <c r="NPJ178" s="2522"/>
      <c r="NPK178" s="2522"/>
      <c r="NPL178" s="2522"/>
      <c r="NPM178" s="2522"/>
      <c r="NPN178" s="2522"/>
      <c r="NPO178" s="2522"/>
      <c r="NPP178" s="2522"/>
      <c r="NPQ178" s="2522"/>
      <c r="NPR178" s="2522"/>
      <c r="NPS178" s="2522"/>
      <c r="NPT178" s="2522"/>
      <c r="NPU178" s="2522"/>
      <c r="NPV178" s="2522"/>
      <c r="NPW178" s="2522"/>
      <c r="NPX178" s="2522"/>
      <c r="NPY178" s="2522"/>
      <c r="NPZ178" s="2522"/>
      <c r="NQA178" s="2522"/>
      <c r="NQB178" s="2522"/>
      <c r="NQC178" s="2522"/>
      <c r="NQD178" s="2522"/>
      <c r="NQE178" s="2522"/>
      <c r="NQF178" s="2522"/>
      <c r="NQG178" s="2522"/>
      <c r="NQH178" s="2522"/>
      <c r="NQI178" s="2522"/>
      <c r="NQJ178" s="2522"/>
      <c r="NQK178" s="2522"/>
      <c r="NQL178" s="2522"/>
      <c r="NQM178" s="2522"/>
      <c r="NQN178" s="2522"/>
      <c r="NQO178" s="2522"/>
      <c r="NQP178" s="2522"/>
      <c r="NQQ178" s="2522"/>
      <c r="NQR178" s="2522"/>
      <c r="NQS178" s="2522"/>
      <c r="NQT178" s="2522"/>
      <c r="NQU178" s="2522"/>
      <c r="NQV178" s="2522"/>
      <c r="NQW178" s="2522"/>
      <c r="NQX178" s="2522"/>
      <c r="NQY178" s="2522"/>
      <c r="NQZ178" s="2522"/>
      <c r="NRA178" s="2522"/>
      <c r="NRB178" s="2522"/>
      <c r="NRC178" s="2522"/>
      <c r="NRD178" s="2522"/>
      <c r="NRE178" s="2522"/>
      <c r="NRF178" s="2522"/>
      <c r="NRG178" s="2522"/>
      <c r="NRH178" s="2522"/>
      <c r="NRI178" s="2522"/>
      <c r="NRJ178" s="2522"/>
      <c r="NRK178" s="2522"/>
      <c r="NRL178" s="2522"/>
      <c r="NRM178" s="2522"/>
      <c r="NRN178" s="2522"/>
      <c r="NRO178" s="2522"/>
      <c r="NRP178" s="2522"/>
      <c r="NRQ178" s="2522"/>
      <c r="NRR178" s="2522"/>
      <c r="NRS178" s="2522"/>
      <c r="NRT178" s="2522"/>
      <c r="NRU178" s="2522"/>
      <c r="NRV178" s="2522"/>
      <c r="NRW178" s="2522"/>
      <c r="NRX178" s="2522"/>
      <c r="NRY178" s="2522"/>
      <c r="NRZ178" s="2522"/>
      <c r="NSA178" s="2522"/>
      <c r="NSB178" s="2522"/>
      <c r="NSC178" s="2522"/>
      <c r="NSD178" s="2522"/>
      <c r="NSE178" s="2522"/>
      <c r="NSF178" s="2522"/>
      <c r="NSG178" s="2522"/>
      <c r="NSH178" s="2522"/>
      <c r="NSI178" s="2522"/>
      <c r="NSJ178" s="2522"/>
      <c r="NSK178" s="2522"/>
      <c r="NSL178" s="2522"/>
      <c r="NSM178" s="2522"/>
      <c r="NSN178" s="2522"/>
      <c r="NSO178" s="2522"/>
      <c r="NSP178" s="2522"/>
      <c r="NSQ178" s="2522"/>
      <c r="NSR178" s="2522"/>
      <c r="NSS178" s="2522"/>
      <c r="NST178" s="2522"/>
      <c r="NSU178" s="2522"/>
      <c r="NSV178" s="2522"/>
      <c r="NSW178" s="2522"/>
      <c r="NSX178" s="2522"/>
      <c r="NSY178" s="2522"/>
      <c r="NSZ178" s="2522"/>
      <c r="NTA178" s="2522"/>
      <c r="NTB178" s="2522"/>
      <c r="NTC178" s="2522"/>
      <c r="NTD178" s="2522"/>
      <c r="NTE178" s="2522"/>
      <c r="NTF178" s="2522"/>
      <c r="NTG178" s="2522"/>
      <c r="NTH178" s="2522"/>
      <c r="NTI178" s="2522"/>
      <c r="NTJ178" s="2522"/>
      <c r="NTK178" s="2522"/>
      <c r="NTL178" s="2522"/>
      <c r="NTM178" s="2522"/>
      <c r="NTN178" s="2522"/>
      <c r="NTO178" s="2522"/>
      <c r="NTP178" s="2522"/>
      <c r="NTQ178" s="2522"/>
      <c r="NTR178" s="2522"/>
      <c r="NTS178" s="2522"/>
      <c r="NTT178" s="2522"/>
      <c r="NTU178" s="2522"/>
      <c r="NTV178" s="2522"/>
      <c r="NTW178" s="2522"/>
      <c r="NTX178" s="2522"/>
      <c r="NTY178" s="2522"/>
      <c r="NTZ178" s="2522"/>
      <c r="NUA178" s="2522"/>
      <c r="NUB178" s="2522"/>
      <c r="NUC178" s="2522"/>
      <c r="NUD178" s="2522"/>
      <c r="NUE178" s="2522"/>
      <c r="NUF178" s="2522"/>
      <c r="NUG178" s="2522"/>
      <c r="NUH178" s="2522"/>
      <c r="NUI178" s="2522"/>
      <c r="NUJ178" s="2522"/>
      <c r="NUK178" s="2522"/>
      <c r="NUL178" s="2522"/>
      <c r="NUM178" s="2522"/>
      <c r="NUN178" s="2522"/>
      <c r="NUO178" s="2522"/>
      <c r="NUP178" s="2522"/>
      <c r="NUQ178" s="2522"/>
      <c r="NUR178" s="2522"/>
      <c r="NUS178" s="2522"/>
      <c r="NUT178" s="2522"/>
      <c r="NUU178" s="2522"/>
      <c r="NUV178" s="2522"/>
      <c r="NUW178" s="2522"/>
      <c r="NUX178" s="2522"/>
      <c r="NUY178" s="2522"/>
      <c r="NUZ178" s="2522"/>
      <c r="NVA178" s="2522"/>
      <c r="NVB178" s="2522"/>
      <c r="NVC178" s="2522"/>
      <c r="NVD178" s="2522"/>
      <c r="NVE178" s="2522"/>
      <c r="NVF178" s="2522"/>
      <c r="NVG178" s="2522"/>
      <c r="NVH178" s="2522"/>
      <c r="NVI178" s="2522"/>
      <c r="NVJ178" s="2522"/>
      <c r="NVK178" s="2522"/>
      <c r="NVL178" s="2522"/>
      <c r="NVM178" s="2522"/>
      <c r="NVN178" s="2522"/>
      <c r="NVO178" s="2522"/>
      <c r="NVP178" s="2522"/>
      <c r="NVQ178" s="2522"/>
      <c r="NVR178" s="2522"/>
      <c r="NVS178" s="2522"/>
      <c r="NVT178" s="2522"/>
      <c r="NVU178" s="2522"/>
      <c r="NVV178" s="2522"/>
      <c r="NVW178" s="2522"/>
      <c r="NVX178" s="2522"/>
      <c r="NVY178" s="2522"/>
      <c r="NVZ178" s="2522"/>
      <c r="NWA178" s="2522"/>
      <c r="NWB178" s="2522"/>
      <c r="NWC178" s="2522"/>
      <c r="NWD178" s="2522"/>
      <c r="NWE178" s="2522"/>
      <c r="NWF178" s="2522"/>
      <c r="NWG178" s="2522"/>
      <c r="NWH178" s="2522"/>
      <c r="NWI178" s="2522"/>
      <c r="NWJ178" s="2522"/>
      <c r="NWK178" s="2522"/>
      <c r="NWL178" s="2522"/>
      <c r="NWM178" s="2522"/>
      <c r="NWN178" s="2522"/>
      <c r="NWO178" s="2522"/>
      <c r="NWP178" s="2522"/>
      <c r="NWQ178" s="2522"/>
      <c r="NWR178" s="2522"/>
      <c r="NWS178" s="2522"/>
      <c r="NWT178" s="2522"/>
      <c r="NWU178" s="2522"/>
      <c r="NWV178" s="2522"/>
      <c r="NWW178" s="2522"/>
      <c r="NWX178" s="2522"/>
      <c r="NWY178" s="2522"/>
      <c r="NWZ178" s="2522"/>
      <c r="NXA178" s="2522"/>
      <c r="NXB178" s="2522"/>
      <c r="NXC178" s="2522"/>
      <c r="NXD178" s="2522"/>
      <c r="NXE178" s="2522"/>
      <c r="NXF178" s="2522"/>
      <c r="NXG178" s="2522"/>
      <c r="NXH178" s="2522"/>
      <c r="NXI178" s="2522"/>
      <c r="NXJ178" s="2522"/>
      <c r="NXK178" s="2522"/>
      <c r="NXL178" s="2522"/>
      <c r="NXM178" s="2522"/>
      <c r="NXN178" s="2522"/>
      <c r="NXO178" s="2522"/>
      <c r="NXP178" s="2522"/>
      <c r="NXQ178" s="2522"/>
      <c r="NXR178" s="2522"/>
      <c r="NXS178" s="2522"/>
      <c r="NXT178" s="2522"/>
      <c r="NXU178" s="2522"/>
      <c r="NXV178" s="2522"/>
      <c r="NXW178" s="2522"/>
      <c r="NXX178" s="2522"/>
      <c r="NXY178" s="2522"/>
      <c r="NXZ178" s="2522"/>
      <c r="NYA178" s="2522"/>
      <c r="NYB178" s="2522"/>
      <c r="NYC178" s="2522"/>
      <c r="NYD178" s="2522"/>
      <c r="NYE178" s="2522"/>
      <c r="NYF178" s="2522"/>
      <c r="NYG178" s="2522"/>
      <c r="NYH178" s="2522"/>
      <c r="NYI178" s="2522"/>
      <c r="NYJ178" s="2522"/>
      <c r="NYK178" s="2522"/>
      <c r="NYL178" s="2522"/>
      <c r="NYM178" s="2522"/>
      <c r="NYN178" s="2522"/>
      <c r="NYO178" s="2522"/>
      <c r="NYP178" s="2522"/>
      <c r="NYQ178" s="2522"/>
      <c r="NYR178" s="2522"/>
      <c r="NYS178" s="2522"/>
      <c r="NYT178" s="2522"/>
      <c r="NYU178" s="2522"/>
      <c r="NYV178" s="2522"/>
      <c r="NYW178" s="2522"/>
      <c r="NYX178" s="2522"/>
      <c r="NYY178" s="2522"/>
      <c r="NYZ178" s="2522"/>
      <c r="NZA178" s="2522"/>
      <c r="NZB178" s="2522"/>
      <c r="NZC178" s="2522"/>
      <c r="NZD178" s="2522"/>
      <c r="NZE178" s="2522"/>
      <c r="NZF178" s="2522"/>
      <c r="NZG178" s="2522"/>
      <c r="NZH178" s="2522"/>
      <c r="NZI178" s="2522"/>
      <c r="NZJ178" s="2522"/>
      <c r="NZK178" s="2522"/>
      <c r="NZL178" s="2522"/>
      <c r="NZM178" s="2522"/>
      <c r="NZN178" s="2522"/>
      <c r="NZO178" s="2522"/>
      <c r="NZP178" s="2522"/>
      <c r="NZQ178" s="2522"/>
      <c r="NZR178" s="2522"/>
      <c r="NZS178" s="2522"/>
      <c r="NZT178" s="2522"/>
      <c r="NZU178" s="2522"/>
      <c r="NZV178" s="2522"/>
      <c r="NZW178" s="2522"/>
      <c r="NZX178" s="2522"/>
      <c r="NZY178" s="2522"/>
      <c r="NZZ178" s="2522"/>
      <c r="OAA178" s="2522"/>
      <c r="OAB178" s="2522"/>
      <c r="OAC178" s="2522"/>
      <c r="OAD178" s="2522"/>
      <c r="OAE178" s="2522"/>
      <c r="OAF178" s="2522"/>
      <c r="OAG178" s="2522"/>
      <c r="OAH178" s="2522"/>
      <c r="OAI178" s="2522"/>
      <c r="OAJ178" s="2522"/>
      <c r="OAK178" s="2522"/>
      <c r="OAL178" s="2522"/>
      <c r="OAM178" s="2522"/>
      <c r="OAN178" s="2522"/>
      <c r="OAO178" s="2522"/>
      <c r="OAP178" s="2522"/>
      <c r="OAQ178" s="2522"/>
      <c r="OAR178" s="2522"/>
      <c r="OAS178" s="2522"/>
      <c r="OAT178" s="2522"/>
      <c r="OAU178" s="2522"/>
      <c r="OAV178" s="2522"/>
      <c r="OAW178" s="2522"/>
      <c r="OAX178" s="2522"/>
      <c r="OAY178" s="2522"/>
      <c r="OAZ178" s="2522"/>
      <c r="OBA178" s="2522"/>
      <c r="OBB178" s="2522"/>
      <c r="OBC178" s="2522"/>
      <c r="OBD178" s="2522"/>
      <c r="OBE178" s="2522"/>
      <c r="OBF178" s="2522"/>
      <c r="OBG178" s="2522"/>
      <c r="OBH178" s="2522"/>
      <c r="OBI178" s="2522"/>
      <c r="OBJ178" s="2522"/>
      <c r="OBK178" s="2522"/>
      <c r="OBL178" s="2522"/>
      <c r="OBM178" s="2522"/>
      <c r="OBN178" s="2522"/>
      <c r="OBO178" s="2522"/>
      <c r="OBP178" s="2522"/>
      <c r="OBQ178" s="2522"/>
      <c r="OBR178" s="2522"/>
      <c r="OBS178" s="2522"/>
      <c r="OBT178" s="2522"/>
      <c r="OBU178" s="2522"/>
      <c r="OBV178" s="2522"/>
      <c r="OBW178" s="2522"/>
      <c r="OBX178" s="2522"/>
      <c r="OBY178" s="2522"/>
      <c r="OBZ178" s="2522"/>
      <c r="OCA178" s="2522"/>
      <c r="OCB178" s="2522"/>
      <c r="OCC178" s="2522"/>
      <c r="OCD178" s="2522"/>
      <c r="OCE178" s="2522"/>
      <c r="OCF178" s="2522"/>
      <c r="OCG178" s="2522"/>
      <c r="OCH178" s="2522"/>
      <c r="OCI178" s="2522"/>
      <c r="OCJ178" s="2522"/>
      <c r="OCK178" s="2522"/>
      <c r="OCL178" s="2522"/>
      <c r="OCM178" s="2522"/>
      <c r="OCN178" s="2522"/>
      <c r="OCO178" s="2522"/>
      <c r="OCP178" s="2522"/>
      <c r="OCQ178" s="2522"/>
      <c r="OCR178" s="2522"/>
      <c r="OCS178" s="2522"/>
      <c r="OCT178" s="2522"/>
      <c r="OCU178" s="2522"/>
      <c r="OCV178" s="2522"/>
      <c r="OCW178" s="2522"/>
      <c r="OCX178" s="2522"/>
      <c r="OCY178" s="2522"/>
      <c r="OCZ178" s="2522"/>
      <c r="ODA178" s="2522"/>
      <c r="ODB178" s="2522"/>
      <c r="ODC178" s="2522"/>
      <c r="ODD178" s="2522"/>
      <c r="ODE178" s="2522"/>
      <c r="ODF178" s="2522"/>
      <c r="ODG178" s="2522"/>
      <c r="ODH178" s="2522"/>
      <c r="ODI178" s="2522"/>
      <c r="ODJ178" s="2522"/>
      <c r="ODK178" s="2522"/>
      <c r="ODL178" s="2522"/>
      <c r="ODM178" s="2522"/>
      <c r="ODN178" s="2522"/>
      <c r="ODO178" s="2522"/>
      <c r="ODP178" s="2522"/>
      <c r="ODQ178" s="2522"/>
      <c r="ODR178" s="2522"/>
      <c r="ODS178" s="2522"/>
      <c r="ODT178" s="2522"/>
      <c r="ODU178" s="2522"/>
      <c r="ODV178" s="2522"/>
      <c r="ODW178" s="2522"/>
      <c r="ODX178" s="2522"/>
      <c r="ODY178" s="2522"/>
      <c r="ODZ178" s="2522"/>
      <c r="OEA178" s="2522"/>
      <c r="OEB178" s="2522"/>
      <c r="OEC178" s="2522"/>
      <c r="OED178" s="2522"/>
      <c r="OEE178" s="2522"/>
      <c r="OEF178" s="2522"/>
      <c r="OEG178" s="2522"/>
      <c r="OEH178" s="2522"/>
      <c r="OEI178" s="2522"/>
      <c r="OEJ178" s="2522"/>
      <c r="OEK178" s="2522"/>
      <c r="OEL178" s="2522"/>
      <c r="OEM178" s="2522"/>
      <c r="OEN178" s="2522"/>
      <c r="OEO178" s="2522"/>
      <c r="OEP178" s="2522"/>
      <c r="OEQ178" s="2522"/>
      <c r="OER178" s="2522"/>
      <c r="OES178" s="2522"/>
      <c r="OET178" s="2522"/>
      <c r="OEU178" s="2522"/>
      <c r="OEV178" s="2522"/>
      <c r="OEW178" s="2522"/>
      <c r="OEX178" s="2522"/>
      <c r="OEY178" s="2522"/>
      <c r="OEZ178" s="2522"/>
      <c r="OFA178" s="2522"/>
      <c r="OFB178" s="2522"/>
      <c r="OFC178" s="2522"/>
      <c r="OFD178" s="2522"/>
      <c r="OFE178" s="2522"/>
      <c r="OFF178" s="2522"/>
      <c r="OFG178" s="2522"/>
      <c r="OFH178" s="2522"/>
      <c r="OFI178" s="2522"/>
      <c r="OFJ178" s="2522"/>
      <c r="OFK178" s="2522"/>
      <c r="OFL178" s="2522"/>
      <c r="OFM178" s="2522"/>
      <c r="OFN178" s="2522"/>
      <c r="OFO178" s="2522"/>
      <c r="OFP178" s="2522"/>
      <c r="OFQ178" s="2522"/>
      <c r="OFR178" s="2522"/>
      <c r="OFS178" s="2522"/>
      <c r="OFT178" s="2522"/>
      <c r="OFU178" s="2522"/>
      <c r="OFV178" s="2522"/>
      <c r="OFW178" s="2522"/>
      <c r="OFX178" s="2522"/>
      <c r="OFY178" s="2522"/>
      <c r="OFZ178" s="2522"/>
      <c r="OGA178" s="2522"/>
      <c r="OGB178" s="2522"/>
      <c r="OGC178" s="2522"/>
      <c r="OGD178" s="2522"/>
      <c r="OGE178" s="2522"/>
      <c r="OGF178" s="2522"/>
      <c r="OGG178" s="2522"/>
      <c r="OGH178" s="2522"/>
      <c r="OGI178" s="2522"/>
      <c r="OGJ178" s="2522"/>
      <c r="OGK178" s="2522"/>
      <c r="OGL178" s="2522"/>
      <c r="OGM178" s="2522"/>
      <c r="OGN178" s="2522"/>
      <c r="OGO178" s="2522"/>
      <c r="OGP178" s="2522"/>
      <c r="OGQ178" s="2522"/>
      <c r="OGR178" s="2522"/>
      <c r="OGS178" s="2522"/>
      <c r="OGT178" s="2522"/>
      <c r="OGU178" s="2522"/>
      <c r="OGV178" s="2522"/>
      <c r="OGW178" s="2522"/>
      <c r="OGX178" s="2522"/>
      <c r="OGY178" s="2522"/>
      <c r="OGZ178" s="2522"/>
      <c r="OHA178" s="2522"/>
      <c r="OHB178" s="2522"/>
      <c r="OHC178" s="2522"/>
      <c r="OHD178" s="2522"/>
      <c r="OHE178" s="2522"/>
      <c r="OHF178" s="2522"/>
      <c r="OHG178" s="2522"/>
      <c r="OHH178" s="2522"/>
      <c r="OHI178" s="2522"/>
      <c r="OHJ178" s="2522"/>
      <c r="OHK178" s="2522"/>
      <c r="OHL178" s="2522"/>
      <c r="OHM178" s="2522"/>
      <c r="OHN178" s="2522"/>
      <c r="OHO178" s="2522"/>
      <c r="OHP178" s="2522"/>
      <c r="OHQ178" s="2522"/>
      <c r="OHR178" s="2522"/>
      <c r="OHS178" s="2522"/>
      <c r="OHT178" s="2522"/>
      <c r="OHU178" s="2522"/>
      <c r="OHV178" s="2522"/>
      <c r="OHW178" s="2522"/>
      <c r="OHX178" s="2522"/>
      <c r="OHY178" s="2522"/>
      <c r="OHZ178" s="2522"/>
      <c r="OIA178" s="2522"/>
      <c r="OIB178" s="2522"/>
      <c r="OIC178" s="2522"/>
      <c r="OID178" s="2522"/>
      <c r="OIE178" s="2522"/>
      <c r="OIF178" s="2522"/>
      <c r="OIG178" s="2522"/>
      <c r="OIH178" s="2522"/>
      <c r="OII178" s="2522"/>
      <c r="OIJ178" s="2522"/>
      <c r="OIK178" s="2522"/>
      <c r="OIL178" s="2522"/>
      <c r="OIM178" s="2522"/>
      <c r="OIN178" s="2522"/>
      <c r="OIO178" s="2522"/>
      <c r="OIP178" s="2522"/>
      <c r="OIQ178" s="2522"/>
      <c r="OIR178" s="2522"/>
      <c r="OIS178" s="2522"/>
      <c r="OIT178" s="2522"/>
      <c r="OIU178" s="2522"/>
      <c r="OIV178" s="2522"/>
      <c r="OIW178" s="2522"/>
      <c r="OIX178" s="2522"/>
      <c r="OIY178" s="2522"/>
      <c r="OIZ178" s="2522"/>
      <c r="OJA178" s="2522"/>
      <c r="OJB178" s="2522"/>
      <c r="OJC178" s="2522"/>
      <c r="OJD178" s="2522"/>
      <c r="OJE178" s="2522"/>
      <c r="OJF178" s="2522"/>
      <c r="OJG178" s="2522"/>
      <c r="OJH178" s="2522"/>
      <c r="OJI178" s="2522"/>
      <c r="OJJ178" s="2522"/>
      <c r="OJK178" s="2522"/>
      <c r="OJL178" s="2522"/>
      <c r="OJM178" s="2522"/>
      <c r="OJN178" s="2522"/>
      <c r="OJO178" s="2522"/>
      <c r="OJP178" s="2522"/>
      <c r="OJQ178" s="2522"/>
      <c r="OJR178" s="2522"/>
      <c r="OJS178" s="2522"/>
      <c r="OJT178" s="2522"/>
      <c r="OJU178" s="2522"/>
      <c r="OJV178" s="2522"/>
      <c r="OJW178" s="2522"/>
      <c r="OJX178" s="2522"/>
      <c r="OJY178" s="2522"/>
      <c r="OJZ178" s="2522"/>
      <c r="OKA178" s="2522"/>
      <c r="OKB178" s="2522"/>
      <c r="OKC178" s="2522"/>
      <c r="OKD178" s="2522"/>
      <c r="OKE178" s="2522"/>
      <c r="OKF178" s="2522"/>
      <c r="OKG178" s="2522"/>
      <c r="OKH178" s="2522"/>
      <c r="OKI178" s="2522"/>
      <c r="OKJ178" s="2522"/>
      <c r="OKK178" s="2522"/>
      <c r="OKL178" s="2522"/>
      <c r="OKM178" s="2522"/>
      <c r="OKN178" s="2522"/>
      <c r="OKO178" s="2522"/>
      <c r="OKP178" s="2522"/>
      <c r="OKQ178" s="2522"/>
      <c r="OKR178" s="2522"/>
      <c r="OKS178" s="2522"/>
      <c r="OKT178" s="2522"/>
      <c r="OKU178" s="2522"/>
      <c r="OKV178" s="2522"/>
      <c r="OKW178" s="2522"/>
      <c r="OKX178" s="2522"/>
      <c r="OKY178" s="2522"/>
      <c r="OKZ178" s="2522"/>
      <c r="OLA178" s="2522"/>
      <c r="OLB178" s="2522"/>
      <c r="OLC178" s="2522"/>
      <c r="OLD178" s="2522"/>
      <c r="OLE178" s="2522"/>
      <c r="OLF178" s="2522"/>
      <c r="OLG178" s="2522"/>
      <c r="OLH178" s="2522"/>
      <c r="OLI178" s="2522"/>
      <c r="OLJ178" s="2522"/>
      <c r="OLK178" s="2522"/>
      <c r="OLL178" s="2522"/>
      <c r="OLM178" s="2522"/>
      <c r="OLN178" s="2522"/>
      <c r="OLO178" s="2522"/>
      <c r="OLP178" s="2522"/>
      <c r="OLQ178" s="2522"/>
      <c r="OLR178" s="2522"/>
      <c r="OLS178" s="2522"/>
      <c r="OLT178" s="2522"/>
      <c r="OLU178" s="2522"/>
      <c r="OLV178" s="2522"/>
      <c r="OLW178" s="2522"/>
      <c r="OLX178" s="2522"/>
      <c r="OLY178" s="2522"/>
      <c r="OLZ178" s="2522"/>
      <c r="OMA178" s="2522"/>
      <c r="OMB178" s="2522"/>
      <c r="OMC178" s="2522"/>
      <c r="OMD178" s="2522"/>
      <c r="OME178" s="2522"/>
      <c r="OMF178" s="2522"/>
      <c r="OMG178" s="2522"/>
      <c r="OMH178" s="2522"/>
      <c r="OMI178" s="2522"/>
      <c r="OMJ178" s="2522"/>
      <c r="OMK178" s="2522"/>
      <c r="OML178" s="2522"/>
      <c r="OMM178" s="2522"/>
      <c r="OMN178" s="2522"/>
      <c r="OMO178" s="2522"/>
      <c r="OMP178" s="2522"/>
      <c r="OMQ178" s="2522"/>
      <c r="OMR178" s="2522"/>
      <c r="OMS178" s="2522"/>
      <c r="OMT178" s="2522"/>
      <c r="OMU178" s="2522"/>
      <c r="OMV178" s="2522"/>
      <c r="OMW178" s="2522"/>
      <c r="OMX178" s="2522"/>
      <c r="OMY178" s="2522"/>
      <c r="OMZ178" s="2522"/>
      <c r="ONA178" s="2522"/>
      <c r="ONB178" s="2522"/>
      <c r="ONC178" s="2522"/>
      <c r="OND178" s="2522"/>
      <c r="ONE178" s="2522"/>
      <c r="ONF178" s="2522"/>
      <c r="ONG178" s="2522"/>
      <c r="ONH178" s="2522"/>
      <c r="ONI178" s="2522"/>
      <c r="ONJ178" s="2522"/>
      <c r="ONK178" s="2522"/>
      <c r="ONL178" s="2522"/>
      <c r="ONM178" s="2522"/>
      <c r="ONN178" s="2522"/>
      <c r="ONO178" s="2522"/>
      <c r="ONP178" s="2522"/>
      <c r="ONQ178" s="2522"/>
      <c r="ONR178" s="2522"/>
      <c r="ONS178" s="2522"/>
      <c r="ONT178" s="2522"/>
      <c r="ONU178" s="2522"/>
      <c r="ONV178" s="2522"/>
      <c r="ONW178" s="2522"/>
      <c r="ONX178" s="2522"/>
      <c r="ONY178" s="2522"/>
      <c r="ONZ178" s="2522"/>
      <c r="OOA178" s="2522"/>
      <c r="OOB178" s="2522"/>
      <c r="OOC178" s="2522"/>
      <c r="OOD178" s="2522"/>
      <c r="OOE178" s="2522"/>
      <c r="OOF178" s="2522"/>
      <c r="OOG178" s="2522"/>
      <c r="OOH178" s="2522"/>
      <c r="OOI178" s="2522"/>
      <c r="OOJ178" s="2522"/>
      <c r="OOK178" s="2522"/>
      <c r="OOL178" s="2522"/>
      <c r="OOM178" s="2522"/>
      <c r="OON178" s="2522"/>
      <c r="OOO178" s="2522"/>
      <c r="OOP178" s="2522"/>
      <c r="OOQ178" s="2522"/>
      <c r="OOR178" s="2522"/>
      <c r="OOS178" s="2522"/>
      <c r="OOT178" s="2522"/>
      <c r="OOU178" s="2522"/>
      <c r="OOV178" s="2522"/>
      <c r="OOW178" s="2522"/>
      <c r="OOX178" s="2522"/>
      <c r="OOY178" s="2522"/>
      <c r="OOZ178" s="2522"/>
      <c r="OPA178" s="2522"/>
      <c r="OPB178" s="2522"/>
      <c r="OPC178" s="2522"/>
      <c r="OPD178" s="2522"/>
      <c r="OPE178" s="2522"/>
      <c r="OPF178" s="2522"/>
      <c r="OPG178" s="2522"/>
      <c r="OPH178" s="2522"/>
      <c r="OPI178" s="2522"/>
      <c r="OPJ178" s="2522"/>
      <c r="OPK178" s="2522"/>
      <c r="OPL178" s="2522"/>
      <c r="OPM178" s="2522"/>
      <c r="OPN178" s="2522"/>
      <c r="OPO178" s="2522"/>
      <c r="OPP178" s="2522"/>
      <c r="OPQ178" s="2522"/>
      <c r="OPR178" s="2522"/>
      <c r="OPS178" s="2522"/>
      <c r="OPT178" s="2522"/>
      <c r="OPU178" s="2522"/>
      <c r="OPV178" s="2522"/>
      <c r="OPW178" s="2522"/>
      <c r="OPX178" s="2522"/>
      <c r="OPY178" s="2522"/>
      <c r="OPZ178" s="2522"/>
      <c r="OQA178" s="2522"/>
      <c r="OQB178" s="2522"/>
      <c r="OQC178" s="2522"/>
      <c r="OQD178" s="2522"/>
      <c r="OQE178" s="2522"/>
      <c r="OQF178" s="2522"/>
      <c r="OQG178" s="2522"/>
      <c r="OQH178" s="2522"/>
      <c r="OQI178" s="2522"/>
      <c r="OQJ178" s="2522"/>
      <c r="OQK178" s="2522"/>
      <c r="OQL178" s="2522"/>
      <c r="OQM178" s="2522"/>
      <c r="OQN178" s="2522"/>
      <c r="OQO178" s="2522"/>
      <c r="OQP178" s="2522"/>
      <c r="OQQ178" s="2522"/>
      <c r="OQR178" s="2522"/>
      <c r="OQS178" s="2522"/>
      <c r="OQT178" s="2522"/>
      <c r="OQU178" s="2522"/>
      <c r="OQV178" s="2522"/>
      <c r="OQW178" s="2522"/>
      <c r="OQX178" s="2522"/>
      <c r="OQY178" s="2522"/>
      <c r="OQZ178" s="2522"/>
      <c r="ORA178" s="2522"/>
      <c r="ORB178" s="2522"/>
      <c r="ORC178" s="2522"/>
      <c r="ORD178" s="2522"/>
      <c r="ORE178" s="2522"/>
      <c r="ORF178" s="2522"/>
      <c r="ORG178" s="2522"/>
      <c r="ORH178" s="2522"/>
      <c r="ORI178" s="2522"/>
      <c r="ORJ178" s="2522"/>
      <c r="ORK178" s="2522"/>
      <c r="ORL178" s="2522"/>
      <c r="ORM178" s="2522"/>
      <c r="ORN178" s="2522"/>
      <c r="ORO178" s="2522"/>
      <c r="ORP178" s="2522"/>
      <c r="ORQ178" s="2522"/>
      <c r="ORR178" s="2522"/>
      <c r="ORS178" s="2522"/>
      <c r="ORT178" s="2522"/>
      <c r="ORU178" s="2522"/>
      <c r="ORV178" s="2522"/>
      <c r="ORW178" s="2522"/>
      <c r="ORX178" s="2522"/>
      <c r="ORY178" s="2522"/>
      <c r="ORZ178" s="2522"/>
      <c r="OSA178" s="2522"/>
      <c r="OSB178" s="2522"/>
      <c r="OSC178" s="2522"/>
      <c r="OSD178" s="2522"/>
      <c r="OSE178" s="2522"/>
      <c r="OSF178" s="2522"/>
      <c r="OSG178" s="2522"/>
      <c r="OSH178" s="2522"/>
      <c r="OSI178" s="2522"/>
      <c r="OSJ178" s="2522"/>
      <c r="OSK178" s="2522"/>
      <c r="OSL178" s="2522"/>
      <c r="OSM178" s="2522"/>
      <c r="OSN178" s="2522"/>
      <c r="OSO178" s="2522"/>
      <c r="OSP178" s="2522"/>
      <c r="OSQ178" s="2522"/>
      <c r="OSR178" s="2522"/>
      <c r="OSS178" s="2522"/>
      <c r="OST178" s="2522"/>
      <c r="OSU178" s="2522"/>
      <c r="OSV178" s="2522"/>
      <c r="OSW178" s="2522"/>
      <c r="OSX178" s="2522"/>
      <c r="OSY178" s="2522"/>
      <c r="OSZ178" s="2522"/>
      <c r="OTA178" s="2522"/>
      <c r="OTB178" s="2522"/>
      <c r="OTC178" s="2522"/>
      <c r="OTD178" s="2522"/>
      <c r="OTE178" s="2522"/>
      <c r="OTF178" s="2522"/>
      <c r="OTG178" s="2522"/>
      <c r="OTH178" s="2522"/>
      <c r="OTI178" s="2522"/>
      <c r="OTJ178" s="2522"/>
      <c r="OTK178" s="2522"/>
      <c r="OTL178" s="2522"/>
      <c r="OTM178" s="2522"/>
      <c r="OTN178" s="2522"/>
      <c r="OTO178" s="2522"/>
      <c r="OTP178" s="2522"/>
      <c r="OTQ178" s="2522"/>
      <c r="OTR178" s="2522"/>
      <c r="OTS178" s="2522"/>
      <c r="OTT178" s="2522"/>
      <c r="OTU178" s="2522"/>
      <c r="OTV178" s="2522"/>
      <c r="OTW178" s="2522"/>
      <c r="OTX178" s="2522"/>
      <c r="OTY178" s="2522"/>
      <c r="OTZ178" s="2522"/>
      <c r="OUA178" s="2522"/>
      <c r="OUB178" s="2522"/>
      <c r="OUC178" s="2522"/>
      <c r="OUD178" s="2522"/>
      <c r="OUE178" s="2522"/>
      <c r="OUF178" s="2522"/>
      <c r="OUG178" s="2522"/>
      <c r="OUH178" s="2522"/>
      <c r="OUI178" s="2522"/>
      <c r="OUJ178" s="2522"/>
      <c r="OUK178" s="2522"/>
      <c r="OUL178" s="2522"/>
      <c r="OUM178" s="2522"/>
      <c r="OUN178" s="2522"/>
      <c r="OUO178" s="2522"/>
      <c r="OUP178" s="2522"/>
      <c r="OUQ178" s="2522"/>
      <c r="OUR178" s="2522"/>
      <c r="OUS178" s="2522"/>
      <c r="OUT178" s="2522"/>
      <c r="OUU178" s="2522"/>
      <c r="OUV178" s="2522"/>
      <c r="OUW178" s="2522"/>
      <c r="OUX178" s="2522"/>
      <c r="OUY178" s="2522"/>
      <c r="OUZ178" s="2522"/>
      <c r="OVA178" s="2522"/>
      <c r="OVB178" s="2522"/>
      <c r="OVC178" s="2522"/>
      <c r="OVD178" s="2522"/>
      <c r="OVE178" s="2522"/>
      <c r="OVF178" s="2522"/>
      <c r="OVG178" s="2522"/>
      <c r="OVH178" s="2522"/>
      <c r="OVI178" s="2522"/>
      <c r="OVJ178" s="2522"/>
      <c r="OVK178" s="2522"/>
      <c r="OVL178" s="2522"/>
      <c r="OVM178" s="2522"/>
      <c r="OVN178" s="2522"/>
      <c r="OVO178" s="2522"/>
      <c r="OVP178" s="2522"/>
      <c r="OVQ178" s="2522"/>
      <c r="OVR178" s="2522"/>
      <c r="OVS178" s="2522"/>
      <c r="OVT178" s="2522"/>
      <c r="OVU178" s="2522"/>
      <c r="OVV178" s="2522"/>
      <c r="OVW178" s="2522"/>
      <c r="OVX178" s="2522"/>
      <c r="OVY178" s="2522"/>
      <c r="OVZ178" s="2522"/>
      <c r="OWA178" s="2522"/>
      <c r="OWB178" s="2522"/>
      <c r="OWC178" s="2522"/>
      <c r="OWD178" s="2522"/>
      <c r="OWE178" s="2522"/>
      <c r="OWF178" s="2522"/>
      <c r="OWG178" s="2522"/>
      <c r="OWH178" s="2522"/>
      <c r="OWI178" s="2522"/>
      <c r="OWJ178" s="2522"/>
      <c r="OWK178" s="2522"/>
      <c r="OWL178" s="2522"/>
      <c r="OWM178" s="2522"/>
      <c r="OWN178" s="2522"/>
      <c r="OWO178" s="2522"/>
      <c r="OWP178" s="2522"/>
      <c r="OWQ178" s="2522"/>
      <c r="OWR178" s="2522"/>
      <c r="OWS178" s="2522"/>
      <c r="OWT178" s="2522"/>
      <c r="OWU178" s="2522"/>
      <c r="OWV178" s="2522"/>
      <c r="OWW178" s="2522"/>
      <c r="OWX178" s="2522"/>
      <c r="OWY178" s="2522"/>
      <c r="OWZ178" s="2522"/>
      <c r="OXA178" s="2522"/>
      <c r="OXB178" s="2522"/>
      <c r="OXC178" s="2522"/>
      <c r="OXD178" s="2522"/>
      <c r="OXE178" s="2522"/>
      <c r="OXF178" s="2522"/>
      <c r="OXG178" s="2522"/>
      <c r="OXH178" s="2522"/>
      <c r="OXI178" s="2522"/>
      <c r="OXJ178" s="2522"/>
      <c r="OXK178" s="2522"/>
      <c r="OXL178" s="2522"/>
      <c r="OXM178" s="2522"/>
      <c r="OXN178" s="2522"/>
      <c r="OXO178" s="2522"/>
      <c r="OXP178" s="2522"/>
      <c r="OXQ178" s="2522"/>
      <c r="OXR178" s="2522"/>
      <c r="OXS178" s="2522"/>
      <c r="OXT178" s="2522"/>
      <c r="OXU178" s="2522"/>
      <c r="OXV178" s="2522"/>
      <c r="OXW178" s="2522"/>
      <c r="OXX178" s="2522"/>
      <c r="OXY178" s="2522"/>
      <c r="OXZ178" s="2522"/>
      <c r="OYA178" s="2522"/>
      <c r="OYB178" s="2522"/>
      <c r="OYC178" s="2522"/>
      <c r="OYD178" s="2522"/>
      <c r="OYE178" s="2522"/>
      <c r="OYF178" s="2522"/>
      <c r="OYG178" s="2522"/>
      <c r="OYH178" s="2522"/>
      <c r="OYI178" s="2522"/>
      <c r="OYJ178" s="2522"/>
      <c r="OYK178" s="2522"/>
      <c r="OYL178" s="2522"/>
      <c r="OYM178" s="2522"/>
      <c r="OYN178" s="2522"/>
      <c r="OYO178" s="2522"/>
      <c r="OYP178" s="2522"/>
      <c r="OYQ178" s="2522"/>
      <c r="OYR178" s="2522"/>
      <c r="OYS178" s="2522"/>
      <c r="OYT178" s="2522"/>
      <c r="OYU178" s="2522"/>
      <c r="OYV178" s="2522"/>
      <c r="OYW178" s="2522"/>
      <c r="OYX178" s="2522"/>
      <c r="OYY178" s="2522"/>
      <c r="OYZ178" s="2522"/>
      <c r="OZA178" s="2522"/>
      <c r="OZB178" s="2522"/>
      <c r="OZC178" s="2522"/>
      <c r="OZD178" s="2522"/>
      <c r="OZE178" s="2522"/>
      <c r="OZF178" s="2522"/>
      <c r="OZG178" s="2522"/>
      <c r="OZH178" s="2522"/>
      <c r="OZI178" s="2522"/>
      <c r="OZJ178" s="2522"/>
      <c r="OZK178" s="2522"/>
      <c r="OZL178" s="2522"/>
      <c r="OZM178" s="2522"/>
      <c r="OZN178" s="2522"/>
      <c r="OZO178" s="2522"/>
      <c r="OZP178" s="2522"/>
      <c r="OZQ178" s="2522"/>
      <c r="OZR178" s="2522"/>
      <c r="OZS178" s="2522"/>
      <c r="OZT178" s="2522"/>
      <c r="OZU178" s="2522"/>
      <c r="OZV178" s="2522"/>
      <c r="OZW178" s="2522"/>
      <c r="OZX178" s="2522"/>
      <c r="OZY178" s="2522"/>
      <c r="OZZ178" s="2522"/>
      <c r="PAA178" s="2522"/>
      <c r="PAB178" s="2522"/>
      <c r="PAC178" s="2522"/>
      <c r="PAD178" s="2522"/>
      <c r="PAE178" s="2522"/>
      <c r="PAF178" s="2522"/>
      <c r="PAG178" s="2522"/>
      <c r="PAH178" s="2522"/>
      <c r="PAI178" s="2522"/>
      <c r="PAJ178" s="2522"/>
      <c r="PAK178" s="2522"/>
      <c r="PAL178" s="2522"/>
      <c r="PAM178" s="2522"/>
      <c r="PAN178" s="2522"/>
      <c r="PAO178" s="2522"/>
      <c r="PAP178" s="2522"/>
      <c r="PAQ178" s="2522"/>
      <c r="PAR178" s="2522"/>
      <c r="PAS178" s="2522"/>
      <c r="PAT178" s="2522"/>
      <c r="PAU178" s="2522"/>
      <c r="PAV178" s="2522"/>
      <c r="PAW178" s="2522"/>
      <c r="PAX178" s="2522"/>
      <c r="PAY178" s="2522"/>
      <c r="PAZ178" s="2522"/>
      <c r="PBA178" s="2522"/>
      <c r="PBB178" s="2522"/>
      <c r="PBC178" s="2522"/>
      <c r="PBD178" s="2522"/>
      <c r="PBE178" s="2522"/>
      <c r="PBF178" s="2522"/>
      <c r="PBG178" s="2522"/>
      <c r="PBH178" s="2522"/>
      <c r="PBI178" s="2522"/>
      <c r="PBJ178" s="2522"/>
      <c r="PBK178" s="2522"/>
      <c r="PBL178" s="2522"/>
      <c r="PBM178" s="2522"/>
      <c r="PBN178" s="2522"/>
      <c r="PBO178" s="2522"/>
      <c r="PBP178" s="2522"/>
      <c r="PBQ178" s="2522"/>
      <c r="PBR178" s="2522"/>
      <c r="PBS178" s="2522"/>
      <c r="PBT178" s="2522"/>
      <c r="PBU178" s="2522"/>
      <c r="PBV178" s="2522"/>
      <c r="PBW178" s="2522"/>
      <c r="PBX178" s="2522"/>
      <c r="PBY178" s="2522"/>
      <c r="PBZ178" s="2522"/>
      <c r="PCA178" s="2522"/>
      <c r="PCB178" s="2522"/>
      <c r="PCC178" s="2522"/>
      <c r="PCD178" s="2522"/>
      <c r="PCE178" s="2522"/>
      <c r="PCF178" s="2522"/>
      <c r="PCG178" s="2522"/>
      <c r="PCH178" s="2522"/>
      <c r="PCI178" s="2522"/>
      <c r="PCJ178" s="2522"/>
      <c r="PCK178" s="2522"/>
      <c r="PCL178" s="2522"/>
      <c r="PCM178" s="2522"/>
      <c r="PCN178" s="2522"/>
      <c r="PCO178" s="2522"/>
      <c r="PCP178" s="2522"/>
      <c r="PCQ178" s="2522"/>
      <c r="PCR178" s="2522"/>
      <c r="PCS178" s="2522"/>
      <c r="PCT178" s="2522"/>
      <c r="PCU178" s="2522"/>
      <c r="PCV178" s="2522"/>
      <c r="PCW178" s="2522"/>
      <c r="PCX178" s="2522"/>
      <c r="PCY178" s="2522"/>
      <c r="PCZ178" s="2522"/>
      <c r="PDA178" s="2522"/>
      <c r="PDB178" s="2522"/>
      <c r="PDC178" s="2522"/>
      <c r="PDD178" s="2522"/>
      <c r="PDE178" s="2522"/>
      <c r="PDF178" s="2522"/>
      <c r="PDG178" s="2522"/>
      <c r="PDH178" s="2522"/>
      <c r="PDI178" s="2522"/>
      <c r="PDJ178" s="2522"/>
      <c r="PDK178" s="2522"/>
      <c r="PDL178" s="2522"/>
      <c r="PDM178" s="2522"/>
      <c r="PDN178" s="2522"/>
      <c r="PDO178" s="2522"/>
      <c r="PDP178" s="2522"/>
      <c r="PDQ178" s="2522"/>
      <c r="PDR178" s="2522"/>
      <c r="PDS178" s="2522"/>
      <c r="PDT178" s="2522"/>
      <c r="PDU178" s="2522"/>
      <c r="PDV178" s="2522"/>
      <c r="PDW178" s="2522"/>
      <c r="PDX178" s="2522"/>
      <c r="PDY178" s="2522"/>
      <c r="PDZ178" s="2522"/>
      <c r="PEA178" s="2522"/>
      <c r="PEB178" s="2522"/>
      <c r="PEC178" s="2522"/>
      <c r="PED178" s="2522"/>
      <c r="PEE178" s="2522"/>
      <c r="PEF178" s="2522"/>
      <c r="PEG178" s="2522"/>
      <c r="PEH178" s="2522"/>
      <c r="PEI178" s="2522"/>
      <c r="PEJ178" s="2522"/>
      <c r="PEK178" s="2522"/>
      <c r="PEL178" s="2522"/>
      <c r="PEM178" s="2522"/>
      <c r="PEN178" s="2522"/>
      <c r="PEO178" s="2522"/>
      <c r="PEP178" s="2522"/>
      <c r="PEQ178" s="2522"/>
      <c r="PER178" s="2522"/>
      <c r="PES178" s="2522"/>
      <c r="PET178" s="2522"/>
      <c r="PEU178" s="2522"/>
      <c r="PEV178" s="2522"/>
      <c r="PEW178" s="2522"/>
      <c r="PEX178" s="2522"/>
      <c r="PEY178" s="2522"/>
      <c r="PEZ178" s="2522"/>
      <c r="PFA178" s="2522"/>
      <c r="PFB178" s="2522"/>
      <c r="PFC178" s="2522"/>
      <c r="PFD178" s="2522"/>
      <c r="PFE178" s="2522"/>
      <c r="PFF178" s="2522"/>
      <c r="PFG178" s="2522"/>
      <c r="PFH178" s="2522"/>
      <c r="PFI178" s="2522"/>
      <c r="PFJ178" s="2522"/>
      <c r="PFK178" s="2522"/>
      <c r="PFL178" s="2522"/>
      <c r="PFM178" s="2522"/>
      <c r="PFN178" s="2522"/>
      <c r="PFO178" s="2522"/>
      <c r="PFP178" s="2522"/>
      <c r="PFQ178" s="2522"/>
      <c r="PFR178" s="2522"/>
      <c r="PFS178" s="2522"/>
      <c r="PFT178" s="2522"/>
      <c r="PFU178" s="2522"/>
      <c r="PFV178" s="2522"/>
      <c r="PFW178" s="2522"/>
      <c r="PFX178" s="2522"/>
      <c r="PFY178" s="2522"/>
      <c r="PFZ178" s="2522"/>
      <c r="PGA178" s="2522"/>
      <c r="PGB178" s="2522"/>
      <c r="PGC178" s="2522"/>
      <c r="PGD178" s="2522"/>
      <c r="PGE178" s="2522"/>
      <c r="PGF178" s="2522"/>
      <c r="PGG178" s="2522"/>
      <c r="PGH178" s="2522"/>
      <c r="PGI178" s="2522"/>
      <c r="PGJ178" s="2522"/>
      <c r="PGK178" s="2522"/>
      <c r="PGL178" s="2522"/>
      <c r="PGM178" s="2522"/>
      <c r="PGN178" s="2522"/>
      <c r="PGO178" s="2522"/>
      <c r="PGP178" s="2522"/>
      <c r="PGQ178" s="2522"/>
      <c r="PGR178" s="2522"/>
      <c r="PGS178" s="2522"/>
      <c r="PGT178" s="2522"/>
      <c r="PGU178" s="2522"/>
      <c r="PGV178" s="2522"/>
      <c r="PGW178" s="2522"/>
      <c r="PGX178" s="2522"/>
      <c r="PGY178" s="2522"/>
      <c r="PGZ178" s="2522"/>
      <c r="PHA178" s="2522"/>
      <c r="PHB178" s="2522"/>
      <c r="PHC178" s="2522"/>
      <c r="PHD178" s="2522"/>
      <c r="PHE178" s="2522"/>
      <c r="PHF178" s="2522"/>
      <c r="PHG178" s="2522"/>
      <c r="PHH178" s="2522"/>
      <c r="PHI178" s="2522"/>
      <c r="PHJ178" s="2522"/>
      <c r="PHK178" s="2522"/>
      <c r="PHL178" s="2522"/>
      <c r="PHM178" s="2522"/>
      <c r="PHN178" s="2522"/>
      <c r="PHO178" s="2522"/>
      <c r="PHP178" s="2522"/>
      <c r="PHQ178" s="2522"/>
      <c r="PHR178" s="2522"/>
      <c r="PHS178" s="2522"/>
      <c r="PHT178" s="2522"/>
      <c r="PHU178" s="2522"/>
      <c r="PHV178" s="2522"/>
      <c r="PHW178" s="2522"/>
      <c r="PHX178" s="2522"/>
      <c r="PHY178" s="2522"/>
      <c r="PHZ178" s="2522"/>
      <c r="PIA178" s="2522"/>
      <c r="PIB178" s="2522"/>
      <c r="PIC178" s="2522"/>
      <c r="PID178" s="2522"/>
      <c r="PIE178" s="2522"/>
      <c r="PIF178" s="2522"/>
      <c r="PIG178" s="2522"/>
      <c r="PIH178" s="2522"/>
      <c r="PII178" s="2522"/>
      <c r="PIJ178" s="2522"/>
      <c r="PIK178" s="2522"/>
      <c r="PIL178" s="2522"/>
      <c r="PIM178" s="2522"/>
      <c r="PIN178" s="2522"/>
      <c r="PIO178" s="2522"/>
      <c r="PIP178" s="2522"/>
      <c r="PIQ178" s="2522"/>
      <c r="PIR178" s="2522"/>
      <c r="PIS178" s="2522"/>
      <c r="PIT178" s="2522"/>
      <c r="PIU178" s="2522"/>
      <c r="PIV178" s="2522"/>
      <c r="PIW178" s="2522"/>
      <c r="PIX178" s="2522"/>
      <c r="PIY178" s="2522"/>
      <c r="PIZ178" s="2522"/>
      <c r="PJA178" s="2522"/>
      <c r="PJB178" s="2522"/>
      <c r="PJC178" s="2522"/>
      <c r="PJD178" s="2522"/>
      <c r="PJE178" s="2522"/>
      <c r="PJF178" s="2522"/>
      <c r="PJG178" s="2522"/>
      <c r="PJH178" s="2522"/>
      <c r="PJI178" s="2522"/>
      <c r="PJJ178" s="2522"/>
      <c r="PJK178" s="2522"/>
      <c r="PJL178" s="2522"/>
      <c r="PJM178" s="2522"/>
      <c r="PJN178" s="2522"/>
      <c r="PJO178" s="2522"/>
      <c r="PJP178" s="2522"/>
      <c r="PJQ178" s="2522"/>
      <c r="PJR178" s="2522"/>
      <c r="PJS178" s="2522"/>
      <c r="PJT178" s="2522"/>
      <c r="PJU178" s="2522"/>
      <c r="PJV178" s="2522"/>
      <c r="PJW178" s="2522"/>
      <c r="PJX178" s="2522"/>
      <c r="PJY178" s="2522"/>
      <c r="PJZ178" s="2522"/>
      <c r="PKA178" s="2522"/>
      <c r="PKB178" s="2522"/>
      <c r="PKC178" s="2522"/>
      <c r="PKD178" s="2522"/>
      <c r="PKE178" s="2522"/>
      <c r="PKF178" s="2522"/>
      <c r="PKG178" s="2522"/>
      <c r="PKH178" s="2522"/>
      <c r="PKI178" s="2522"/>
      <c r="PKJ178" s="2522"/>
      <c r="PKK178" s="2522"/>
      <c r="PKL178" s="2522"/>
      <c r="PKM178" s="2522"/>
      <c r="PKN178" s="2522"/>
      <c r="PKO178" s="2522"/>
      <c r="PKP178" s="2522"/>
      <c r="PKQ178" s="2522"/>
      <c r="PKR178" s="2522"/>
      <c r="PKS178" s="2522"/>
      <c r="PKT178" s="2522"/>
      <c r="PKU178" s="2522"/>
      <c r="PKV178" s="2522"/>
      <c r="PKW178" s="2522"/>
      <c r="PKX178" s="2522"/>
      <c r="PKY178" s="2522"/>
      <c r="PKZ178" s="2522"/>
      <c r="PLA178" s="2522"/>
      <c r="PLB178" s="2522"/>
      <c r="PLC178" s="2522"/>
      <c r="PLD178" s="2522"/>
      <c r="PLE178" s="2522"/>
      <c r="PLF178" s="2522"/>
      <c r="PLG178" s="2522"/>
      <c r="PLH178" s="2522"/>
      <c r="PLI178" s="2522"/>
      <c r="PLJ178" s="2522"/>
      <c r="PLK178" s="2522"/>
      <c r="PLL178" s="2522"/>
      <c r="PLM178" s="2522"/>
      <c r="PLN178" s="2522"/>
      <c r="PLO178" s="2522"/>
      <c r="PLP178" s="2522"/>
      <c r="PLQ178" s="2522"/>
      <c r="PLR178" s="2522"/>
      <c r="PLS178" s="2522"/>
      <c r="PLT178" s="2522"/>
      <c r="PLU178" s="2522"/>
      <c r="PLV178" s="2522"/>
      <c r="PLW178" s="2522"/>
      <c r="PLX178" s="2522"/>
      <c r="PLY178" s="2522"/>
      <c r="PLZ178" s="2522"/>
      <c r="PMA178" s="2522"/>
      <c r="PMB178" s="2522"/>
      <c r="PMC178" s="2522"/>
      <c r="PMD178" s="2522"/>
      <c r="PME178" s="2522"/>
      <c r="PMF178" s="2522"/>
      <c r="PMG178" s="2522"/>
      <c r="PMH178" s="2522"/>
      <c r="PMI178" s="2522"/>
      <c r="PMJ178" s="2522"/>
      <c r="PMK178" s="2522"/>
      <c r="PML178" s="2522"/>
      <c r="PMM178" s="2522"/>
      <c r="PMN178" s="2522"/>
      <c r="PMO178" s="2522"/>
      <c r="PMP178" s="2522"/>
      <c r="PMQ178" s="2522"/>
      <c r="PMR178" s="2522"/>
      <c r="PMS178" s="2522"/>
      <c r="PMT178" s="2522"/>
      <c r="PMU178" s="2522"/>
      <c r="PMV178" s="2522"/>
      <c r="PMW178" s="2522"/>
      <c r="PMX178" s="2522"/>
      <c r="PMY178" s="2522"/>
      <c r="PMZ178" s="2522"/>
      <c r="PNA178" s="2522"/>
      <c r="PNB178" s="2522"/>
      <c r="PNC178" s="2522"/>
      <c r="PND178" s="2522"/>
      <c r="PNE178" s="2522"/>
      <c r="PNF178" s="2522"/>
      <c r="PNG178" s="2522"/>
      <c r="PNH178" s="2522"/>
      <c r="PNI178" s="2522"/>
      <c r="PNJ178" s="2522"/>
      <c r="PNK178" s="2522"/>
      <c r="PNL178" s="2522"/>
      <c r="PNM178" s="2522"/>
      <c r="PNN178" s="2522"/>
      <c r="PNO178" s="2522"/>
      <c r="PNP178" s="2522"/>
      <c r="PNQ178" s="2522"/>
      <c r="PNR178" s="2522"/>
      <c r="PNS178" s="2522"/>
      <c r="PNT178" s="2522"/>
      <c r="PNU178" s="2522"/>
      <c r="PNV178" s="2522"/>
      <c r="PNW178" s="2522"/>
      <c r="PNX178" s="2522"/>
      <c r="PNY178" s="2522"/>
      <c r="PNZ178" s="2522"/>
      <c r="POA178" s="2522"/>
      <c r="POB178" s="2522"/>
      <c r="POC178" s="2522"/>
      <c r="POD178" s="2522"/>
      <c r="POE178" s="2522"/>
      <c r="POF178" s="2522"/>
      <c r="POG178" s="2522"/>
      <c r="POH178" s="2522"/>
      <c r="POI178" s="2522"/>
      <c r="POJ178" s="2522"/>
      <c r="POK178" s="2522"/>
      <c r="POL178" s="2522"/>
      <c r="POM178" s="2522"/>
      <c r="PON178" s="2522"/>
      <c r="POO178" s="2522"/>
      <c r="POP178" s="2522"/>
      <c r="POQ178" s="2522"/>
      <c r="POR178" s="2522"/>
      <c r="POS178" s="2522"/>
      <c r="POT178" s="2522"/>
      <c r="POU178" s="2522"/>
      <c r="POV178" s="2522"/>
      <c r="POW178" s="2522"/>
      <c r="POX178" s="2522"/>
      <c r="POY178" s="2522"/>
      <c r="POZ178" s="2522"/>
      <c r="PPA178" s="2522"/>
      <c r="PPB178" s="2522"/>
      <c r="PPC178" s="2522"/>
      <c r="PPD178" s="2522"/>
      <c r="PPE178" s="2522"/>
      <c r="PPF178" s="2522"/>
      <c r="PPG178" s="2522"/>
      <c r="PPH178" s="2522"/>
      <c r="PPI178" s="2522"/>
      <c r="PPJ178" s="2522"/>
      <c r="PPK178" s="2522"/>
      <c r="PPL178" s="2522"/>
      <c r="PPM178" s="2522"/>
      <c r="PPN178" s="2522"/>
      <c r="PPO178" s="2522"/>
      <c r="PPP178" s="2522"/>
      <c r="PPQ178" s="2522"/>
      <c r="PPR178" s="2522"/>
      <c r="PPS178" s="2522"/>
      <c r="PPT178" s="2522"/>
      <c r="PPU178" s="2522"/>
      <c r="PPV178" s="2522"/>
      <c r="PPW178" s="2522"/>
      <c r="PPX178" s="2522"/>
      <c r="PPY178" s="2522"/>
      <c r="PPZ178" s="2522"/>
      <c r="PQA178" s="2522"/>
      <c r="PQB178" s="2522"/>
      <c r="PQC178" s="2522"/>
      <c r="PQD178" s="2522"/>
      <c r="PQE178" s="2522"/>
      <c r="PQF178" s="2522"/>
      <c r="PQG178" s="2522"/>
      <c r="PQH178" s="2522"/>
      <c r="PQI178" s="2522"/>
      <c r="PQJ178" s="2522"/>
      <c r="PQK178" s="2522"/>
      <c r="PQL178" s="2522"/>
      <c r="PQM178" s="2522"/>
      <c r="PQN178" s="2522"/>
      <c r="PQO178" s="2522"/>
      <c r="PQP178" s="2522"/>
      <c r="PQQ178" s="2522"/>
      <c r="PQR178" s="2522"/>
      <c r="PQS178" s="2522"/>
      <c r="PQT178" s="2522"/>
      <c r="PQU178" s="2522"/>
      <c r="PQV178" s="2522"/>
      <c r="PQW178" s="2522"/>
      <c r="PQX178" s="2522"/>
      <c r="PQY178" s="2522"/>
      <c r="PQZ178" s="2522"/>
      <c r="PRA178" s="2522"/>
      <c r="PRB178" s="2522"/>
      <c r="PRC178" s="2522"/>
      <c r="PRD178" s="2522"/>
      <c r="PRE178" s="2522"/>
      <c r="PRF178" s="2522"/>
      <c r="PRG178" s="2522"/>
      <c r="PRH178" s="2522"/>
      <c r="PRI178" s="2522"/>
      <c r="PRJ178" s="2522"/>
      <c r="PRK178" s="2522"/>
      <c r="PRL178" s="2522"/>
      <c r="PRM178" s="2522"/>
      <c r="PRN178" s="2522"/>
      <c r="PRO178" s="2522"/>
      <c r="PRP178" s="2522"/>
      <c r="PRQ178" s="2522"/>
      <c r="PRR178" s="2522"/>
      <c r="PRS178" s="2522"/>
      <c r="PRT178" s="2522"/>
      <c r="PRU178" s="2522"/>
      <c r="PRV178" s="2522"/>
      <c r="PRW178" s="2522"/>
      <c r="PRX178" s="2522"/>
      <c r="PRY178" s="2522"/>
      <c r="PRZ178" s="2522"/>
      <c r="PSA178" s="2522"/>
      <c r="PSB178" s="2522"/>
      <c r="PSC178" s="2522"/>
      <c r="PSD178" s="2522"/>
      <c r="PSE178" s="2522"/>
      <c r="PSF178" s="2522"/>
      <c r="PSG178" s="2522"/>
      <c r="PSH178" s="2522"/>
      <c r="PSI178" s="2522"/>
      <c r="PSJ178" s="2522"/>
      <c r="PSK178" s="2522"/>
      <c r="PSL178" s="2522"/>
      <c r="PSM178" s="2522"/>
      <c r="PSN178" s="2522"/>
      <c r="PSO178" s="2522"/>
      <c r="PSP178" s="2522"/>
      <c r="PSQ178" s="2522"/>
      <c r="PSR178" s="2522"/>
      <c r="PSS178" s="2522"/>
      <c r="PST178" s="2522"/>
      <c r="PSU178" s="2522"/>
      <c r="PSV178" s="2522"/>
      <c r="PSW178" s="2522"/>
      <c r="PSX178" s="2522"/>
      <c r="PSY178" s="2522"/>
      <c r="PSZ178" s="2522"/>
      <c r="PTA178" s="2522"/>
      <c r="PTB178" s="2522"/>
      <c r="PTC178" s="2522"/>
      <c r="PTD178" s="2522"/>
      <c r="PTE178" s="2522"/>
      <c r="PTF178" s="2522"/>
      <c r="PTG178" s="2522"/>
      <c r="PTH178" s="2522"/>
      <c r="PTI178" s="2522"/>
      <c r="PTJ178" s="2522"/>
      <c r="PTK178" s="2522"/>
      <c r="PTL178" s="2522"/>
      <c r="PTM178" s="2522"/>
      <c r="PTN178" s="2522"/>
      <c r="PTO178" s="2522"/>
      <c r="PTP178" s="2522"/>
      <c r="PTQ178" s="2522"/>
      <c r="PTR178" s="2522"/>
      <c r="PTS178" s="2522"/>
      <c r="PTT178" s="2522"/>
      <c r="PTU178" s="2522"/>
      <c r="PTV178" s="2522"/>
      <c r="PTW178" s="2522"/>
      <c r="PTX178" s="2522"/>
      <c r="PTY178" s="2522"/>
      <c r="PTZ178" s="2522"/>
      <c r="PUA178" s="2522"/>
      <c r="PUB178" s="2522"/>
      <c r="PUC178" s="2522"/>
      <c r="PUD178" s="2522"/>
      <c r="PUE178" s="2522"/>
      <c r="PUF178" s="2522"/>
      <c r="PUG178" s="2522"/>
      <c r="PUH178" s="2522"/>
      <c r="PUI178" s="2522"/>
      <c r="PUJ178" s="2522"/>
      <c r="PUK178" s="2522"/>
      <c r="PUL178" s="2522"/>
      <c r="PUM178" s="2522"/>
      <c r="PUN178" s="2522"/>
      <c r="PUO178" s="2522"/>
      <c r="PUP178" s="2522"/>
      <c r="PUQ178" s="2522"/>
      <c r="PUR178" s="2522"/>
      <c r="PUS178" s="2522"/>
      <c r="PUT178" s="2522"/>
      <c r="PUU178" s="2522"/>
      <c r="PUV178" s="2522"/>
      <c r="PUW178" s="2522"/>
      <c r="PUX178" s="2522"/>
      <c r="PUY178" s="2522"/>
      <c r="PUZ178" s="2522"/>
      <c r="PVA178" s="2522"/>
      <c r="PVB178" s="2522"/>
      <c r="PVC178" s="2522"/>
      <c r="PVD178" s="2522"/>
      <c r="PVE178" s="2522"/>
      <c r="PVF178" s="2522"/>
      <c r="PVG178" s="2522"/>
      <c r="PVH178" s="2522"/>
      <c r="PVI178" s="2522"/>
      <c r="PVJ178" s="2522"/>
      <c r="PVK178" s="2522"/>
      <c r="PVL178" s="2522"/>
      <c r="PVM178" s="2522"/>
      <c r="PVN178" s="2522"/>
      <c r="PVO178" s="2522"/>
      <c r="PVP178" s="2522"/>
      <c r="PVQ178" s="2522"/>
      <c r="PVR178" s="2522"/>
      <c r="PVS178" s="2522"/>
      <c r="PVT178" s="2522"/>
      <c r="PVU178" s="2522"/>
      <c r="PVV178" s="2522"/>
      <c r="PVW178" s="2522"/>
      <c r="PVX178" s="2522"/>
      <c r="PVY178" s="2522"/>
      <c r="PVZ178" s="2522"/>
      <c r="PWA178" s="2522"/>
      <c r="PWB178" s="2522"/>
      <c r="PWC178" s="2522"/>
      <c r="PWD178" s="2522"/>
      <c r="PWE178" s="2522"/>
      <c r="PWF178" s="2522"/>
      <c r="PWG178" s="2522"/>
      <c r="PWH178" s="2522"/>
      <c r="PWI178" s="2522"/>
      <c r="PWJ178" s="2522"/>
      <c r="PWK178" s="2522"/>
      <c r="PWL178" s="2522"/>
      <c r="PWM178" s="2522"/>
      <c r="PWN178" s="2522"/>
      <c r="PWO178" s="2522"/>
      <c r="PWP178" s="2522"/>
      <c r="PWQ178" s="2522"/>
      <c r="PWR178" s="2522"/>
      <c r="PWS178" s="2522"/>
      <c r="PWT178" s="2522"/>
      <c r="PWU178" s="2522"/>
      <c r="PWV178" s="2522"/>
      <c r="PWW178" s="2522"/>
      <c r="PWX178" s="2522"/>
      <c r="PWY178" s="2522"/>
      <c r="PWZ178" s="2522"/>
      <c r="PXA178" s="2522"/>
      <c r="PXB178" s="2522"/>
      <c r="PXC178" s="2522"/>
      <c r="PXD178" s="2522"/>
      <c r="PXE178" s="2522"/>
      <c r="PXF178" s="2522"/>
      <c r="PXG178" s="2522"/>
      <c r="PXH178" s="2522"/>
      <c r="PXI178" s="2522"/>
      <c r="PXJ178" s="2522"/>
      <c r="PXK178" s="2522"/>
      <c r="PXL178" s="2522"/>
      <c r="PXM178" s="2522"/>
      <c r="PXN178" s="2522"/>
      <c r="PXO178" s="2522"/>
      <c r="PXP178" s="2522"/>
      <c r="PXQ178" s="2522"/>
      <c r="PXR178" s="2522"/>
      <c r="PXS178" s="2522"/>
      <c r="PXT178" s="2522"/>
      <c r="PXU178" s="2522"/>
      <c r="PXV178" s="2522"/>
      <c r="PXW178" s="2522"/>
      <c r="PXX178" s="2522"/>
      <c r="PXY178" s="2522"/>
      <c r="PXZ178" s="2522"/>
      <c r="PYA178" s="2522"/>
      <c r="PYB178" s="2522"/>
      <c r="PYC178" s="2522"/>
      <c r="PYD178" s="2522"/>
      <c r="PYE178" s="2522"/>
      <c r="PYF178" s="2522"/>
      <c r="PYG178" s="2522"/>
      <c r="PYH178" s="2522"/>
      <c r="PYI178" s="2522"/>
      <c r="PYJ178" s="2522"/>
      <c r="PYK178" s="2522"/>
      <c r="PYL178" s="2522"/>
      <c r="PYM178" s="2522"/>
      <c r="PYN178" s="2522"/>
      <c r="PYO178" s="2522"/>
      <c r="PYP178" s="2522"/>
      <c r="PYQ178" s="2522"/>
      <c r="PYR178" s="2522"/>
      <c r="PYS178" s="2522"/>
      <c r="PYT178" s="2522"/>
      <c r="PYU178" s="2522"/>
      <c r="PYV178" s="2522"/>
      <c r="PYW178" s="2522"/>
      <c r="PYX178" s="2522"/>
      <c r="PYY178" s="2522"/>
      <c r="PYZ178" s="2522"/>
      <c r="PZA178" s="2522"/>
      <c r="PZB178" s="2522"/>
      <c r="PZC178" s="2522"/>
      <c r="PZD178" s="2522"/>
      <c r="PZE178" s="2522"/>
      <c r="PZF178" s="2522"/>
      <c r="PZG178" s="2522"/>
      <c r="PZH178" s="2522"/>
      <c r="PZI178" s="2522"/>
      <c r="PZJ178" s="2522"/>
      <c r="PZK178" s="2522"/>
      <c r="PZL178" s="2522"/>
      <c r="PZM178" s="2522"/>
      <c r="PZN178" s="2522"/>
      <c r="PZO178" s="2522"/>
      <c r="PZP178" s="2522"/>
      <c r="PZQ178" s="2522"/>
      <c r="PZR178" s="2522"/>
      <c r="PZS178" s="2522"/>
      <c r="PZT178" s="2522"/>
      <c r="PZU178" s="2522"/>
      <c r="PZV178" s="2522"/>
      <c r="PZW178" s="2522"/>
      <c r="PZX178" s="2522"/>
      <c r="PZY178" s="2522"/>
      <c r="PZZ178" s="2522"/>
      <c r="QAA178" s="2522"/>
      <c r="QAB178" s="2522"/>
      <c r="QAC178" s="2522"/>
      <c r="QAD178" s="2522"/>
      <c r="QAE178" s="2522"/>
      <c r="QAF178" s="2522"/>
      <c r="QAG178" s="2522"/>
      <c r="QAH178" s="2522"/>
      <c r="QAI178" s="2522"/>
      <c r="QAJ178" s="2522"/>
      <c r="QAK178" s="2522"/>
      <c r="QAL178" s="2522"/>
      <c r="QAM178" s="2522"/>
      <c r="QAN178" s="2522"/>
      <c r="QAO178" s="2522"/>
      <c r="QAP178" s="2522"/>
      <c r="QAQ178" s="2522"/>
      <c r="QAR178" s="2522"/>
      <c r="QAS178" s="2522"/>
      <c r="QAT178" s="2522"/>
      <c r="QAU178" s="2522"/>
      <c r="QAV178" s="2522"/>
      <c r="QAW178" s="2522"/>
      <c r="QAX178" s="2522"/>
      <c r="QAY178" s="2522"/>
      <c r="QAZ178" s="2522"/>
      <c r="QBA178" s="2522"/>
      <c r="QBB178" s="2522"/>
      <c r="QBC178" s="2522"/>
      <c r="QBD178" s="2522"/>
      <c r="QBE178" s="2522"/>
      <c r="QBF178" s="2522"/>
      <c r="QBG178" s="2522"/>
      <c r="QBH178" s="2522"/>
      <c r="QBI178" s="2522"/>
      <c r="QBJ178" s="2522"/>
      <c r="QBK178" s="2522"/>
      <c r="QBL178" s="2522"/>
      <c r="QBM178" s="2522"/>
      <c r="QBN178" s="2522"/>
      <c r="QBO178" s="2522"/>
      <c r="QBP178" s="2522"/>
      <c r="QBQ178" s="2522"/>
      <c r="QBR178" s="2522"/>
      <c r="QBS178" s="2522"/>
      <c r="QBT178" s="2522"/>
      <c r="QBU178" s="2522"/>
      <c r="QBV178" s="2522"/>
      <c r="QBW178" s="2522"/>
      <c r="QBX178" s="2522"/>
      <c r="QBY178" s="2522"/>
      <c r="QBZ178" s="2522"/>
      <c r="QCA178" s="2522"/>
      <c r="QCB178" s="2522"/>
      <c r="QCC178" s="2522"/>
      <c r="QCD178" s="2522"/>
      <c r="QCE178" s="2522"/>
      <c r="QCF178" s="2522"/>
      <c r="QCG178" s="2522"/>
      <c r="QCH178" s="2522"/>
      <c r="QCI178" s="2522"/>
      <c r="QCJ178" s="2522"/>
      <c r="QCK178" s="2522"/>
      <c r="QCL178" s="2522"/>
      <c r="QCM178" s="2522"/>
      <c r="QCN178" s="2522"/>
      <c r="QCO178" s="2522"/>
      <c r="QCP178" s="2522"/>
      <c r="QCQ178" s="2522"/>
      <c r="QCR178" s="2522"/>
      <c r="QCS178" s="2522"/>
      <c r="QCT178" s="2522"/>
      <c r="QCU178" s="2522"/>
      <c r="QCV178" s="2522"/>
      <c r="QCW178" s="2522"/>
      <c r="QCX178" s="2522"/>
      <c r="QCY178" s="2522"/>
      <c r="QCZ178" s="2522"/>
      <c r="QDA178" s="2522"/>
      <c r="QDB178" s="2522"/>
      <c r="QDC178" s="2522"/>
      <c r="QDD178" s="2522"/>
      <c r="QDE178" s="2522"/>
      <c r="QDF178" s="2522"/>
      <c r="QDG178" s="2522"/>
      <c r="QDH178" s="2522"/>
      <c r="QDI178" s="2522"/>
      <c r="QDJ178" s="2522"/>
      <c r="QDK178" s="2522"/>
      <c r="QDL178" s="2522"/>
      <c r="QDM178" s="2522"/>
      <c r="QDN178" s="2522"/>
      <c r="QDO178" s="2522"/>
      <c r="QDP178" s="2522"/>
      <c r="QDQ178" s="2522"/>
      <c r="QDR178" s="2522"/>
      <c r="QDS178" s="2522"/>
      <c r="QDT178" s="2522"/>
      <c r="QDU178" s="2522"/>
      <c r="QDV178" s="2522"/>
      <c r="QDW178" s="2522"/>
      <c r="QDX178" s="2522"/>
      <c r="QDY178" s="2522"/>
      <c r="QDZ178" s="2522"/>
      <c r="QEA178" s="2522"/>
      <c r="QEB178" s="2522"/>
      <c r="QEC178" s="2522"/>
      <c r="QED178" s="2522"/>
      <c r="QEE178" s="2522"/>
      <c r="QEF178" s="2522"/>
      <c r="QEG178" s="2522"/>
      <c r="QEH178" s="2522"/>
      <c r="QEI178" s="2522"/>
      <c r="QEJ178" s="2522"/>
      <c r="QEK178" s="2522"/>
      <c r="QEL178" s="2522"/>
      <c r="QEM178" s="2522"/>
      <c r="QEN178" s="2522"/>
      <c r="QEO178" s="2522"/>
      <c r="QEP178" s="2522"/>
      <c r="QEQ178" s="2522"/>
      <c r="QER178" s="2522"/>
      <c r="QES178" s="2522"/>
      <c r="QET178" s="2522"/>
      <c r="QEU178" s="2522"/>
      <c r="QEV178" s="2522"/>
      <c r="QEW178" s="2522"/>
      <c r="QEX178" s="2522"/>
      <c r="QEY178" s="2522"/>
      <c r="QEZ178" s="2522"/>
      <c r="QFA178" s="2522"/>
      <c r="QFB178" s="2522"/>
      <c r="QFC178" s="2522"/>
      <c r="QFD178" s="2522"/>
      <c r="QFE178" s="2522"/>
      <c r="QFF178" s="2522"/>
      <c r="QFG178" s="2522"/>
      <c r="QFH178" s="2522"/>
      <c r="QFI178" s="2522"/>
      <c r="QFJ178" s="2522"/>
      <c r="QFK178" s="2522"/>
      <c r="QFL178" s="2522"/>
      <c r="QFM178" s="2522"/>
      <c r="QFN178" s="2522"/>
      <c r="QFO178" s="2522"/>
      <c r="QFP178" s="2522"/>
      <c r="QFQ178" s="2522"/>
      <c r="QFR178" s="2522"/>
      <c r="QFS178" s="2522"/>
      <c r="QFT178" s="2522"/>
      <c r="QFU178" s="2522"/>
      <c r="QFV178" s="2522"/>
      <c r="QFW178" s="2522"/>
      <c r="QFX178" s="2522"/>
      <c r="QFY178" s="2522"/>
      <c r="QFZ178" s="2522"/>
      <c r="QGA178" s="2522"/>
      <c r="QGB178" s="2522"/>
      <c r="QGC178" s="2522"/>
      <c r="QGD178" s="2522"/>
      <c r="QGE178" s="2522"/>
      <c r="QGF178" s="2522"/>
      <c r="QGG178" s="2522"/>
      <c r="QGH178" s="2522"/>
      <c r="QGI178" s="2522"/>
      <c r="QGJ178" s="2522"/>
      <c r="QGK178" s="2522"/>
      <c r="QGL178" s="2522"/>
      <c r="QGM178" s="2522"/>
      <c r="QGN178" s="2522"/>
      <c r="QGO178" s="2522"/>
      <c r="QGP178" s="2522"/>
      <c r="QGQ178" s="2522"/>
      <c r="QGR178" s="2522"/>
      <c r="QGS178" s="2522"/>
      <c r="QGT178" s="2522"/>
      <c r="QGU178" s="2522"/>
      <c r="QGV178" s="2522"/>
      <c r="QGW178" s="2522"/>
      <c r="QGX178" s="2522"/>
      <c r="QGY178" s="2522"/>
      <c r="QGZ178" s="2522"/>
      <c r="QHA178" s="2522"/>
      <c r="QHB178" s="2522"/>
      <c r="QHC178" s="2522"/>
      <c r="QHD178" s="2522"/>
      <c r="QHE178" s="2522"/>
      <c r="QHF178" s="2522"/>
      <c r="QHG178" s="2522"/>
      <c r="QHH178" s="2522"/>
      <c r="QHI178" s="2522"/>
      <c r="QHJ178" s="2522"/>
      <c r="QHK178" s="2522"/>
      <c r="QHL178" s="2522"/>
      <c r="QHM178" s="2522"/>
      <c r="QHN178" s="2522"/>
      <c r="QHO178" s="2522"/>
      <c r="QHP178" s="2522"/>
      <c r="QHQ178" s="2522"/>
      <c r="QHR178" s="2522"/>
      <c r="QHS178" s="2522"/>
      <c r="QHT178" s="2522"/>
      <c r="QHU178" s="2522"/>
      <c r="QHV178" s="2522"/>
      <c r="QHW178" s="2522"/>
      <c r="QHX178" s="2522"/>
      <c r="QHY178" s="2522"/>
      <c r="QHZ178" s="2522"/>
      <c r="QIA178" s="2522"/>
      <c r="QIB178" s="2522"/>
      <c r="QIC178" s="2522"/>
      <c r="QID178" s="2522"/>
      <c r="QIE178" s="2522"/>
      <c r="QIF178" s="2522"/>
      <c r="QIG178" s="2522"/>
      <c r="QIH178" s="2522"/>
      <c r="QII178" s="2522"/>
      <c r="QIJ178" s="2522"/>
      <c r="QIK178" s="2522"/>
      <c r="QIL178" s="2522"/>
      <c r="QIM178" s="2522"/>
      <c r="QIN178" s="2522"/>
      <c r="QIO178" s="2522"/>
      <c r="QIP178" s="2522"/>
      <c r="QIQ178" s="2522"/>
      <c r="QIR178" s="2522"/>
      <c r="QIS178" s="2522"/>
      <c r="QIT178" s="2522"/>
      <c r="QIU178" s="2522"/>
      <c r="QIV178" s="2522"/>
      <c r="QIW178" s="2522"/>
      <c r="QIX178" s="2522"/>
      <c r="QIY178" s="2522"/>
      <c r="QIZ178" s="2522"/>
      <c r="QJA178" s="2522"/>
      <c r="QJB178" s="2522"/>
      <c r="QJC178" s="2522"/>
      <c r="QJD178" s="2522"/>
      <c r="QJE178" s="2522"/>
      <c r="QJF178" s="2522"/>
      <c r="QJG178" s="2522"/>
      <c r="QJH178" s="2522"/>
      <c r="QJI178" s="2522"/>
      <c r="QJJ178" s="2522"/>
      <c r="QJK178" s="2522"/>
      <c r="QJL178" s="2522"/>
      <c r="QJM178" s="2522"/>
      <c r="QJN178" s="2522"/>
      <c r="QJO178" s="2522"/>
      <c r="QJP178" s="2522"/>
      <c r="QJQ178" s="2522"/>
      <c r="QJR178" s="2522"/>
      <c r="QJS178" s="2522"/>
      <c r="QJT178" s="2522"/>
      <c r="QJU178" s="2522"/>
      <c r="QJV178" s="2522"/>
      <c r="QJW178" s="2522"/>
      <c r="QJX178" s="2522"/>
      <c r="QJY178" s="2522"/>
      <c r="QJZ178" s="2522"/>
      <c r="QKA178" s="2522"/>
      <c r="QKB178" s="2522"/>
      <c r="QKC178" s="2522"/>
      <c r="QKD178" s="2522"/>
      <c r="QKE178" s="2522"/>
      <c r="QKF178" s="2522"/>
      <c r="QKG178" s="2522"/>
      <c r="QKH178" s="2522"/>
      <c r="QKI178" s="2522"/>
      <c r="QKJ178" s="2522"/>
      <c r="QKK178" s="2522"/>
      <c r="QKL178" s="2522"/>
      <c r="QKM178" s="2522"/>
      <c r="QKN178" s="2522"/>
      <c r="QKO178" s="2522"/>
      <c r="QKP178" s="2522"/>
      <c r="QKQ178" s="2522"/>
      <c r="QKR178" s="2522"/>
      <c r="QKS178" s="2522"/>
      <c r="QKT178" s="2522"/>
      <c r="QKU178" s="2522"/>
      <c r="QKV178" s="2522"/>
      <c r="QKW178" s="2522"/>
      <c r="QKX178" s="2522"/>
      <c r="QKY178" s="2522"/>
      <c r="QKZ178" s="2522"/>
      <c r="QLA178" s="2522"/>
      <c r="QLB178" s="2522"/>
      <c r="QLC178" s="2522"/>
      <c r="QLD178" s="2522"/>
      <c r="QLE178" s="2522"/>
      <c r="QLF178" s="2522"/>
      <c r="QLG178" s="2522"/>
      <c r="QLH178" s="2522"/>
      <c r="QLI178" s="2522"/>
      <c r="QLJ178" s="2522"/>
      <c r="QLK178" s="2522"/>
      <c r="QLL178" s="2522"/>
      <c r="QLM178" s="2522"/>
      <c r="QLN178" s="2522"/>
      <c r="QLO178" s="2522"/>
      <c r="QLP178" s="2522"/>
      <c r="QLQ178" s="2522"/>
      <c r="QLR178" s="2522"/>
      <c r="QLS178" s="2522"/>
      <c r="QLT178" s="2522"/>
      <c r="QLU178" s="2522"/>
      <c r="QLV178" s="2522"/>
      <c r="QLW178" s="2522"/>
      <c r="QLX178" s="2522"/>
      <c r="QLY178" s="2522"/>
      <c r="QLZ178" s="2522"/>
      <c r="QMA178" s="2522"/>
      <c r="QMB178" s="2522"/>
      <c r="QMC178" s="2522"/>
      <c r="QMD178" s="2522"/>
      <c r="QME178" s="2522"/>
      <c r="QMF178" s="2522"/>
      <c r="QMG178" s="2522"/>
      <c r="QMH178" s="2522"/>
      <c r="QMI178" s="2522"/>
      <c r="QMJ178" s="2522"/>
      <c r="QMK178" s="2522"/>
      <c r="QML178" s="2522"/>
      <c r="QMM178" s="2522"/>
      <c r="QMN178" s="2522"/>
      <c r="QMO178" s="2522"/>
      <c r="QMP178" s="2522"/>
      <c r="QMQ178" s="2522"/>
      <c r="QMR178" s="2522"/>
      <c r="QMS178" s="2522"/>
      <c r="QMT178" s="2522"/>
      <c r="QMU178" s="2522"/>
      <c r="QMV178" s="2522"/>
      <c r="QMW178" s="2522"/>
      <c r="QMX178" s="2522"/>
      <c r="QMY178" s="2522"/>
      <c r="QMZ178" s="2522"/>
      <c r="QNA178" s="2522"/>
      <c r="QNB178" s="2522"/>
      <c r="QNC178" s="2522"/>
      <c r="QND178" s="2522"/>
      <c r="QNE178" s="2522"/>
      <c r="QNF178" s="2522"/>
      <c r="QNG178" s="2522"/>
      <c r="QNH178" s="2522"/>
      <c r="QNI178" s="2522"/>
      <c r="QNJ178" s="2522"/>
      <c r="QNK178" s="2522"/>
      <c r="QNL178" s="2522"/>
      <c r="QNM178" s="2522"/>
      <c r="QNN178" s="2522"/>
      <c r="QNO178" s="2522"/>
      <c r="QNP178" s="2522"/>
      <c r="QNQ178" s="2522"/>
      <c r="QNR178" s="2522"/>
      <c r="QNS178" s="2522"/>
      <c r="QNT178" s="2522"/>
      <c r="QNU178" s="2522"/>
      <c r="QNV178" s="2522"/>
      <c r="QNW178" s="2522"/>
      <c r="QNX178" s="2522"/>
      <c r="QNY178" s="2522"/>
      <c r="QNZ178" s="2522"/>
      <c r="QOA178" s="2522"/>
      <c r="QOB178" s="2522"/>
      <c r="QOC178" s="2522"/>
      <c r="QOD178" s="2522"/>
      <c r="QOE178" s="2522"/>
      <c r="QOF178" s="2522"/>
      <c r="QOG178" s="2522"/>
      <c r="QOH178" s="2522"/>
      <c r="QOI178" s="2522"/>
      <c r="QOJ178" s="2522"/>
      <c r="QOK178" s="2522"/>
      <c r="QOL178" s="2522"/>
      <c r="QOM178" s="2522"/>
      <c r="QON178" s="2522"/>
      <c r="QOO178" s="2522"/>
      <c r="QOP178" s="2522"/>
      <c r="QOQ178" s="2522"/>
      <c r="QOR178" s="2522"/>
      <c r="QOS178" s="2522"/>
      <c r="QOT178" s="2522"/>
      <c r="QOU178" s="2522"/>
      <c r="QOV178" s="2522"/>
      <c r="QOW178" s="2522"/>
      <c r="QOX178" s="2522"/>
      <c r="QOY178" s="2522"/>
      <c r="QOZ178" s="2522"/>
      <c r="QPA178" s="2522"/>
      <c r="QPB178" s="2522"/>
      <c r="QPC178" s="2522"/>
      <c r="QPD178" s="2522"/>
      <c r="QPE178" s="2522"/>
      <c r="QPF178" s="2522"/>
      <c r="QPG178" s="2522"/>
      <c r="QPH178" s="2522"/>
      <c r="QPI178" s="2522"/>
      <c r="QPJ178" s="2522"/>
      <c r="QPK178" s="2522"/>
      <c r="QPL178" s="2522"/>
      <c r="QPM178" s="2522"/>
      <c r="QPN178" s="2522"/>
      <c r="QPO178" s="2522"/>
      <c r="QPP178" s="2522"/>
      <c r="QPQ178" s="2522"/>
      <c r="QPR178" s="2522"/>
      <c r="QPS178" s="2522"/>
      <c r="QPT178" s="2522"/>
      <c r="QPU178" s="2522"/>
      <c r="QPV178" s="2522"/>
      <c r="QPW178" s="2522"/>
      <c r="QPX178" s="2522"/>
      <c r="QPY178" s="2522"/>
      <c r="QPZ178" s="2522"/>
      <c r="QQA178" s="2522"/>
      <c r="QQB178" s="2522"/>
      <c r="QQC178" s="2522"/>
      <c r="QQD178" s="2522"/>
      <c r="QQE178" s="2522"/>
      <c r="QQF178" s="2522"/>
      <c r="QQG178" s="2522"/>
      <c r="QQH178" s="2522"/>
      <c r="QQI178" s="2522"/>
      <c r="QQJ178" s="2522"/>
      <c r="QQK178" s="2522"/>
      <c r="QQL178" s="2522"/>
      <c r="QQM178" s="2522"/>
      <c r="QQN178" s="2522"/>
      <c r="QQO178" s="2522"/>
      <c r="QQP178" s="2522"/>
      <c r="QQQ178" s="2522"/>
      <c r="QQR178" s="2522"/>
      <c r="QQS178" s="2522"/>
      <c r="QQT178" s="2522"/>
      <c r="QQU178" s="2522"/>
      <c r="QQV178" s="2522"/>
      <c r="QQW178" s="2522"/>
      <c r="QQX178" s="2522"/>
      <c r="QQY178" s="2522"/>
      <c r="QQZ178" s="2522"/>
      <c r="QRA178" s="2522"/>
      <c r="QRB178" s="2522"/>
      <c r="QRC178" s="2522"/>
      <c r="QRD178" s="2522"/>
      <c r="QRE178" s="2522"/>
      <c r="QRF178" s="2522"/>
      <c r="QRG178" s="2522"/>
      <c r="QRH178" s="2522"/>
      <c r="QRI178" s="2522"/>
      <c r="QRJ178" s="2522"/>
      <c r="QRK178" s="2522"/>
      <c r="QRL178" s="2522"/>
      <c r="QRM178" s="2522"/>
      <c r="QRN178" s="2522"/>
      <c r="QRO178" s="2522"/>
      <c r="QRP178" s="2522"/>
      <c r="QRQ178" s="2522"/>
      <c r="QRR178" s="2522"/>
      <c r="QRS178" s="2522"/>
      <c r="QRT178" s="2522"/>
      <c r="QRU178" s="2522"/>
      <c r="QRV178" s="2522"/>
      <c r="QRW178" s="2522"/>
      <c r="QRX178" s="2522"/>
      <c r="QRY178" s="2522"/>
      <c r="QRZ178" s="2522"/>
      <c r="QSA178" s="2522"/>
      <c r="QSB178" s="2522"/>
      <c r="QSC178" s="2522"/>
      <c r="QSD178" s="2522"/>
      <c r="QSE178" s="2522"/>
      <c r="QSF178" s="2522"/>
      <c r="QSG178" s="2522"/>
      <c r="QSH178" s="2522"/>
      <c r="QSI178" s="2522"/>
      <c r="QSJ178" s="2522"/>
      <c r="QSK178" s="2522"/>
      <c r="QSL178" s="2522"/>
      <c r="QSM178" s="2522"/>
      <c r="QSN178" s="2522"/>
      <c r="QSO178" s="2522"/>
      <c r="QSP178" s="2522"/>
      <c r="QSQ178" s="2522"/>
      <c r="QSR178" s="2522"/>
      <c r="QSS178" s="2522"/>
      <c r="QST178" s="2522"/>
      <c r="QSU178" s="2522"/>
      <c r="QSV178" s="2522"/>
      <c r="QSW178" s="2522"/>
      <c r="QSX178" s="2522"/>
      <c r="QSY178" s="2522"/>
      <c r="QSZ178" s="2522"/>
      <c r="QTA178" s="2522"/>
      <c r="QTB178" s="2522"/>
      <c r="QTC178" s="2522"/>
      <c r="QTD178" s="2522"/>
      <c r="QTE178" s="2522"/>
      <c r="QTF178" s="2522"/>
      <c r="QTG178" s="2522"/>
      <c r="QTH178" s="2522"/>
      <c r="QTI178" s="2522"/>
      <c r="QTJ178" s="2522"/>
      <c r="QTK178" s="2522"/>
      <c r="QTL178" s="2522"/>
      <c r="QTM178" s="2522"/>
      <c r="QTN178" s="2522"/>
      <c r="QTO178" s="2522"/>
      <c r="QTP178" s="2522"/>
      <c r="QTQ178" s="2522"/>
      <c r="QTR178" s="2522"/>
      <c r="QTS178" s="2522"/>
      <c r="QTT178" s="2522"/>
      <c r="QTU178" s="2522"/>
      <c r="QTV178" s="2522"/>
      <c r="QTW178" s="2522"/>
      <c r="QTX178" s="2522"/>
      <c r="QTY178" s="2522"/>
      <c r="QTZ178" s="2522"/>
      <c r="QUA178" s="2522"/>
      <c r="QUB178" s="2522"/>
      <c r="QUC178" s="2522"/>
      <c r="QUD178" s="2522"/>
      <c r="QUE178" s="2522"/>
      <c r="QUF178" s="2522"/>
      <c r="QUG178" s="2522"/>
      <c r="QUH178" s="2522"/>
      <c r="QUI178" s="2522"/>
      <c r="QUJ178" s="2522"/>
      <c r="QUK178" s="2522"/>
      <c r="QUL178" s="2522"/>
      <c r="QUM178" s="2522"/>
      <c r="QUN178" s="2522"/>
      <c r="QUO178" s="2522"/>
      <c r="QUP178" s="2522"/>
      <c r="QUQ178" s="2522"/>
      <c r="QUR178" s="2522"/>
      <c r="QUS178" s="2522"/>
      <c r="QUT178" s="2522"/>
      <c r="QUU178" s="2522"/>
      <c r="QUV178" s="2522"/>
      <c r="QUW178" s="2522"/>
      <c r="QUX178" s="2522"/>
      <c r="QUY178" s="2522"/>
      <c r="QUZ178" s="2522"/>
      <c r="QVA178" s="2522"/>
      <c r="QVB178" s="2522"/>
      <c r="QVC178" s="2522"/>
      <c r="QVD178" s="2522"/>
      <c r="QVE178" s="2522"/>
      <c r="QVF178" s="2522"/>
      <c r="QVG178" s="2522"/>
      <c r="QVH178" s="2522"/>
      <c r="QVI178" s="2522"/>
      <c r="QVJ178" s="2522"/>
      <c r="QVK178" s="2522"/>
      <c r="QVL178" s="2522"/>
      <c r="QVM178" s="2522"/>
      <c r="QVN178" s="2522"/>
      <c r="QVO178" s="2522"/>
      <c r="QVP178" s="2522"/>
      <c r="QVQ178" s="2522"/>
      <c r="QVR178" s="2522"/>
      <c r="QVS178" s="2522"/>
      <c r="QVT178" s="2522"/>
      <c r="QVU178" s="2522"/>
      <c r="QVV178" s="2522"/>
      <c r="QVW178" s="2522"/>
      <c r="QVX178" s="2522"/>
      <c r="QVY178" s="2522"/>
      <c r="QVZ178" s="2522"/>
      <c r="QWA178" s="2522"/>
      <c r="QWB178" s="2522"/>
      <c r="QWC178" s="2522"/>
      <c r="QWD178" s="2522"/>
      <c r="QWE178" s="2522"/>
      <c r="QWF178" s="2522"/>
      <c r="QWG178" s="2522"/>
      <c r="QWH178" s="2522"/>
      <c r="QWI178" s="2522"/>
      <c r="QWJ178" s="2522"/>
      <c r="QWK178" s="2522"/>
      <c r="QWL178" s="2522"/>
      <c r="QWM178" s="2522"/>
      <c r="QWN178" s="2522"/>
      <c r="QWO178" s="2522"/>
      <c r="QWP178" s="2522"/>
      <c r="QWQ178" s="2522"/>
      <c r="QWR178" s="2522"/>
      <c r="QWS178" s="2522"/>
      <c r="QWT178" s="2522"/>
      <c r="QWU178" s="2522"/>
      <c r="QWV178" s="2522"/>
      <c r="QWW178" s="2522"/>
      <c r="QWX178" s="2522"/>
      <c r="QWY178" s="2522"/>
      <c r="QWZ178" s="2522"/>
      <c r="QXA178" s="2522"/>
      <c r="QXB178" s="2522"/>
      <c r="QXC178" s="2522"/>
      <c r="QXD178" s="2522"/>
      <c r="QXE178" s="2522"/>
      <c r="QXF178" s="2522"/>
      <c r="QXG178" s="2522"/>
      <c r="QXH178" s="2522"/>
      <c r="QXI178" s="2522"/>
      <c r="QXJ178" s="2522"/>
      <c r="QXK178" s="2522"/>
      <c r="QXL178" s="2522"/>
      <c r="QXM178" s="2522"/>
      <c r="QXN178" s="2522"/>
      <c r="QXO178" s="2522"/>
      <c r="QXP178" s="2522"/>
      <c r="QXQ178" s="2522"/>
      <c r="QXR178" s="2522"/>
      <c r="QXS178" s="2522"/>
      <c r="QXT178" s="2522"/>
      <c r="QXU178" s="2522"/>
      <c r="QXV178" s="2522"/>
      <c r="QXW178" s="2522"/>
      <c r="QXX178" s="2522"/>
      <c r="QXY178" s="2522"/>
      <c r="QXZ178" s="2522"/>
      <c r="QYA178" s="2522"/>
      <c r="QYB178" s="2522"/>
      <c r="QYC178" s="2522"/>
      <c r="QYD178" s="2522"/>
      <c r="QYE178" s="2522"/>
      <c r="QYF178" s="2522"/>
      <c r="QYG178" s="2522"/>
      <c r="QYH178" s="2522"/>
      <c r="QYI178" s="2522"/>
      <c r="QYJ178" s="2522"/>
      <c r="QYK178" s="2522"/>
      <c r="QYL178" s="2522"/>
      <c r="QYM178" s="2522"/>
      <c r="QYN178" s="2522"/>
      <c r="QYO178" s="2522"/>
      <c r="QYP178" s="2522"/>
      <c r="QYQ178" s="2522"/>
      <c r="QYR178" s="2522"/>
      <c r="QYS178" s="2522"/>
      <c r="QYT178" s="2522"/>
      <c r="QYU178" s="2522"/>
      <c r="QYV178" s="2522"/>
      <c r="QYW178" s="2522"/>
      <c r="QYX178" s="2522"/>
      <c r="QYY178" s="2522"/>
      <c r="QYZ178" s="2522"/>
      <c r="QZA178" s="2522"/>
      <c r="QZB178" s="2522"/>
      <c r="QZC178" s="2522"/>
      <c r="QZD178" s="2522"/>
      <c r="QZE178" s="2522"/>
      <c r="QZF178" s="2522"/>
      <c r="QZG178" s="2522"/>
      <c r="QZH178" s="2522"/>
      <c r="QZI178" s="2522"/>
      <c r="QZJ178" s="2522"/>
      <c r="QZK178" s="2522"/>
      <c r="QZL178" s="2522"/>
      <c r="QZM178" s="2522"/>
      <c r="QZN178" s="2522"/>
      <c r="QZO178" s="2522"/>
      <c r="QZP178" s="2522"/>
      <c r="QZQ178" s="2522"/>
      <c r="QZR178" s="2522"/>
      <c r="QZS178" s="2522"/>
      <c r="QZT178" s="2522"/>
      <c r="QZU178" s="2522"/>
      <c r="QZV178" s="2522"/>
      <c r="QZW178" s="2522"/>
      <c r="QZX178" s="2522"/>
      <c r="QZY178" s="2522"/>
      <c r="QZZ178" s="2522"/>
      <c r="RAA178" s="2522"/>
      <c r="RAB178" s="2522"/>
      <c r="RAC178" s="2522"/>
      <c r="RAD178" s="2522"/>
      <c r="RAE178" s="2522"/>
      <c r="RAF178" s="2522"/>
      <c r="RAG178" s="2522"/>
      <c r="RAH178" s="2522"/>
      <c r="RAI178" s="2522"/>
      <c r="RAJ178" s="2522"/>
      <c r="RAK178" s="2522"/>
      <c r="RAL178" s="2522"/>
      <c r="RAM178" s="2522"/>
      <c r="RAN178" s="2522"/>
      <c r="RAO178" s="2522"/>
      <c r="RAP178" s="2522"/>
      <c r="RAQ178" s="2522"/>
      <c r="RAR178" s="2522"/>
      <c r="RAS178" s="2522"/>
      <c r="RAT178" s="2522"/>
      <c r="RAU178" s="2522"/>
      <c r="RAV178" s="2522"/>
      <c r="RAW178" s="2522"/>
      <c r="RAX178" s="2522"/>
      <c r="RAY178" s="2522"/>
      <c r="RAZ178" s="2522"/>
      <c r="RBA178" s="2522"/>
      <c r="RBB178" s="2522"/>
      <c r="RBC178" s="2522"/>
      <c r="RBD178" s="2522"/>
      <c r="RBE178" s="2522"/>
      <c r="RBF178" s="2522"/>
      <c r="RBG178" s="2522"/>
      <c r="RBH178" s="2522"/>
      <c r="RBI178" s="2522"/>
      <c r="RBJ178" s="2522"/>
      <c r="RBK178" s="2522"/>
      <c r="RBL178" s="2522"/>
      <c r="RBM178" s="2522"/>
      <c r="RBN178" s="2522"/>
      <c r="RBO178" s="2522"/>
      <c r="RBP178" s="2522"/>
      <c r="RBQ178" s="2522"/>
      <c r="RBR178" s="2522"/>
      <c r="RBS178" s="2522"/>
      <c r="RBT178" s="2522"/>
      <c r="RBU178" s="2522"/>
      <c r="RBV178" s="2522"/>
      <c r="RBW178" s="2522"/>
      <c r="RBX178" s="2522"/>
      <c r="RBY178" s="2522"/>
      <c r="RBZ178" s="2522"/>
      <c r="RCA178" s="2522"/>
      <c r="RCB178" s="2522"/>
      <c r="RCC178" s="2522"/>
      <c r="RCD178" s="2522"/>
      <c r="RCE178" s="2522"/>
      <c r="RCF178" s="2522"/>
      <c r="RCG178" s="2522"/>
      <c r="RCH178" s="2522"/>
      <c r="RCI178" s="2522"/>
      <c r="RCJ178" s="2522"/>
      <c r="RCK178" s="2522"/>
      <c r="RCL178" s="2522"/>
      <c r="RCM178" s="2522"/>
      <c r="RCN178" s="2522"/>
      <c r="RCO178" s="2522"/>
      <c r="RCP178" s="2522"/>
      <c r="RCQ178" s="2522"/>
      <c r="RCR178" s="2522"/>
      <c r="RCS178" s="2522"/>
      <c r="RCT178" s="2522"/>
      <c r="RCU178" s="2522"/>
      <c r="RCV178" s="2522"/>
      <c r="RCW178" s="2522"/>
      <c r="RCX178" s="2522"/>
      <c r="RCY178" s="2522"/>
      <c r="RCZ178" s="2522"/>
      <c r="RDA178" s="2522"/>
      <c r="RDB178" s="2522"/>
      <c r="RDC178" s="2522"/>
      <c r="RDD178" s="2522"/>
      <c r="RDE178" s="2522"/>
      <c r="RDF178" s="2522"/>
      <c r="RDG178" s="2522"/>
      <c r="RDH178" s="2522"/>
      <c r="RDI178" s="2522"/>
      <c r="RDJ178" s="2522"/>
      <c r="RDK178" s="2522"/>
      <c r="RDL178" s="2522"/>
      <c r="RDM178" s="2522"/>
      <c r="RDN178" s="2522"/>
      <c r="RDO178" s="2522"/>
      <c r="RDP178" s="2522"/>
      <c r="RDQ178" s="2522"/>
      <c r="RDR178" s="2522"/>
      <c r="RDS178" s="2522"/>
      <c r="RDT178" s="2522"/>
      <c r="RDU178" s="2522"/>
      <c r="RDV178" s="2522"/>
      <c r="RDW178" s="2522"/>
      <c r="RDX178" s="2522"/>
      <c r="RDY178" s="2522"/>
      <c r="RDZ178" s="2522"/>
      <c r="REA178" s="2522"/>
      <c r="REB178" s="2522"/>
      <c r="REC178" s="2522"/>
      <c r="RED178" s="2522"/>
      <c r="REE178" s="2522"/>
      <c r="REF178" s="2522"/>
      <c r="REG178" s="2522"/>
      <c r="REH178" s="2522"/>
      <c r="REI178" s="2522"/>
      <c r="REJ178" s="2522"/>
      <c r="REK178" s="2522"/>
      <c r="REL178" s="2522"/>
      <c r="REM178" s="2522"/>
      <c r="REN178" s="2522"/>
      <c r="REO178" s="2522"/>
      <c r="REP178" s="2522"/>
      <c r="REQ178" s="2522"/>
      <c r="RER178" s="2522"/>
      <c r="RES178" s="2522"/>
      <c r="RET178" s="2522"/>
      <c r="REU178" s="2522"/>
      <c r="REV178" s="2522"/>
      <c r="REW178" s="2522"/>
      <c r="REX178" s="2522"/>
      <c r="REY178" s="2522"/>
      <c r="REZ178" s="2522"/>
      <c r="RFA178" s="2522"/>
      <c r="RFB178" s="2522"/>
      <c r="RFC178" s="2522"/>
      <c r="RFD178" s="2522"/>
      <c r="RFE178" s="2522"/>
      <c r="RFF178" s="2522"/>
      <c r="RFG178" s="2522"/>
      <c r="RFH178" s="2522"/>
      <c r="RFI178" s="2522"/>
      <c r="RFJ178" s="2522"/>
      <c r="RFK178" s="2522"/>
      <c r="RFL178" s="2522"/>
      <c r="RFM178" s="2522"/>
      <c r="RFN178" s="2522"/>
      <c r="RFO178" s="2522"/>
      <c r="RFP178" s="2522"/>
      <c r="RFQ178" s="2522"/>
      <c r="RFR178" s="2522"/>
      <c r="RFS178" s="2522"/>
      <c r="RFT178" s="2522"/>
      <c r="RFU178" s="2522"/>
      <c r="RFV178" s="2522"/>
      <c r="RFW178" s="2522"/>
      <c r="RFX178" s="2522"/>
      <c r="RFY178" s="2522"/>
      <c r="RFZ178" s="2522"/>
      <c r="RGA178" s="2522"/>
      <c r="RGB178" s="2522"/>
      <c r="RGC178" s="2522"/>
      <c r="RGD178" s="2522"/>
      <c r="RGE178" s="2522"/>
      <c r="RGF178" s="2522"/>
      <c r="RGG178" s="2522"/>
      <c r="RGH178" s="2522"/>
      <c r="RGI178" s="2522"/>
      <c r="RGJ178" s="2522"/>
      <c r="RGK178" s="2522"/>
      <c r="RGL178" s="2522"/>
      <c r="RGM178" s="2522"/>
      <c r="RGN178" s="2522"/>
      <c r="RGO178" s="2522"/>
      <c r="RGP178" s="2522"/>
      <c r="RGQ178" s="2522"/>
      <c r="RGR178" s="2522"/>
      <c r="RGS178" s="2522"/>
      <c r="RGT178" s="2522"/>
      <c r="RGU178" s="2522"/>
      <c r="RGV178" s="2522"/>
      <c r="RGW178" s="2522"/>
      <c r="RGX178" s="2522"/>
      <c r="RGY178" s="2522"/>
      <c r="RGZ178" s="2522"/>
      <c r="RHA178" s="2522"/>
      <c r="RHB178" s="2522"/>
      <c r="RHC178" s="2522"/>
      <c r="RHD178" s="2522"/>
      <c r="RHE178" s="2522"/>
      <c r="RHF178" s="2522"/>
      <c r="RHG178" s="2522"/>
      <c r="RHH178" s="2522"/>
      <c r="RHI178" s="2522"/>
      <c r="RHJ178" s="2522"/>
      <c r="RHK178" s="2522"/>
      <c r="RHL178" s="2522"/>
      <c r="RHM178" s="2522"/>
      <c r="RHN178" s="2522"/>
      <c r="RHO178" s="2522"/>
      <c r="RHP178" s="2522"/>
      <c r="RHQ178" s="2522"/>
      <c r="RHR178" s="2522"/>
      <c r="RHS178" s="2522"/>
      <c r="RHT178" s="2522"/>
      <c r="RHU178" s="2522"/>
      <c r="RHV178" s="2522"/>
      <c r="RHW178" s="2522"/>
      <c r="RHX178" s="2522"/>
      <c r="RHY178" s="2522"/>
      <c r="RHZ178" s="2522"/>
      <c r="RIA178" s="2522"/>
      <c r="RIB178" s="2522"/>
      <c r="RIC178" s="2522"/>
      <c r="RID178" s="2522"/>
      <c r="RIE178" s="2522"/>
      <c r="RIF178" s="2522"/>
      <c r="RIG178" s="2522"/>
      <c r="RIH178" s="2522"/>
      <c r="RII178" s="2522"/>
      <c r="RIJ178" s="2522"/>
      <c r="RIK178" s="2522"/>
      <c r="RIL178" s="2522"/>
      <c r="RIM178" s="2522"/>
      <c r="RIN178" s="2522"/>
      <c r="RIO178" s="2522"/>
      <c r="RIP178" s="2522"/>
      <c r="RIQ178" s="2522"/>
      <c r="RIR178" s="2522"/>
      <c r="RIS178" s="2522"/>
      <c r="RIT178" s="2522"/>
      <c r="RIU178" s="2522"/>
      <c r="RIV178" s="2522"/>
      <c r="RIW178" s="2522"/>
      <c r="RIX178" s="2522"/>
      <c r="RIY178" s="2522"/>
      <c r="RIZ178" s="2522"/>
      <c r="RJA178" s="2522"/>
      <c r="RJB178" s="2522"/>
      <c r="RJC178" s="2522"/>
      <c r="RJD178" s="2522"/>
      <c r="RJE178" s="2522"/>
      <c r="RJF178" s="2522"/>
      <c r="RJG178" s="2522"/>
      <c r="RJH178" s="2522"/>
      <c r="RJI178" s="2522"/>
      <c r="RJJ178" s="2522"/>
      <c r="RJK178" s="2522"/>
      <c r="RJL178" s="2522"/>
      <c r="RJM178" s="2522"/>
      <c r="RJN178" s="2522"/>
      <c r="RJO178" s="2522"/>
      <c r="RJP178" s="2522"/>
      <c r="RJQ178" s="2522"/>
      <c r="RJR178" s="2522"/>
      <c r="RJS178" s="2522"/>
      <c r="RJT178" s="2522"/>
      <c r="RJU178" s="2522"/>
      <c r="RJV178" s="2522"/>
      <c r="RJW178" s="2522"/>
      <c r="RJX178" s="2522"/>
      <c r="RJY178" s="2522"/>
      <c r="RJZ178" s="2522"/>
      <c r="RKA178" s="2522"/>
      <c r="RKB178" s="2522"/>
      <c r="RKC178" s="2522"/>
      <c r="RKD178" s="2522"/>
      <c r="RKE178" s="2522"/>
      <c r="RKF178" s="2522"/>
      <c r="RKG178" s="2522"/>
      <c r="RKH178" s="2522"/>
      <c r="RKI178" s="2522"/>
      <c r="RKJ178" s="2522"/>
      <c r="RKK178" s="2522"/>
      <c r="RKL178" s="2522"/>
      <c r="RKM178" s="2522"/>
      <c r="RKN178" s="2522"/>
      <c r="RKO178" s="2522"/>
      <c r="RKP178" s="2522"/>
      <c r="RKQ178" s="2522"/>
      <c r="RKR178" s="2522"/>
      <c r="RKS178" s="2522"/>
      <c r="RKT178" s="2522"/>
      <c r="RKU178" s="2522"/>
      <c r="RKV178" s="2522"/>
      <c r="RKW178" s="2522"/>
      <c r="RKX178" s="2522"/>
      <c r="RKY178" s="2522"/>
      <c r="RKZ178" s="2522"/>
      <c r="RLA178" s="2522"/>
      <c r="RLB178" s="2522"/>
      <c r="RLC178" s="2522"/>
      <c r="RLD178" s="2522"/>
      <c r="RLE178" s="2522"/>
      <c r="RLF178" s="2522"/>
      <c r="RLG178" s="2522"/>
      <c r="RLH178" s="2522"/>
      <c r="RLI178" s="2522"/>
      <c r="RLJ178" s="2522"/>
      <c r="RLK178" s="2522"/>
      <c r="RLL178" s="2522"/>
      <c r="RLM178" s="2522"/>
      <c r="RLN178" s="2522"/>
      <c r="RLO178" s="2522"/>
      <c r="RLP178" s="2522"/>
      <c r="RLQ178" s="2522"/>
      <c r="RLR178" s="2522"/>
      <c r="RLS178" s="2522"/>
      <c r="RLT178" s="2522"/>
      <c r="RLU178" s="2522"/>
      <c r="RLV178" s="2522"/>
      <c r="RLW178" s="2522"/>
      <c r="RLX178" s="2522"/>
      <c r="RLY178" s="2522"/>
      <c r="RLZ178" s="2522"/>
      <c r="RMA178" s="2522"/>
      <c r="RMB178" s="2522"/>
      <c r="RMC178" s="2522"/>
      <c r="RMD178" s="2522"/>
      <c r="RME178" s="2522"/>
      <c r="RMF178" s="2522"/>
      <c r="RMG178" s="2522"/>
      <c r="RMH178" s="2522"/>
      <c r="RMI178" s="2522"/>
      <c r="RMJ178" s="2522"/>
      <c r="RMK178" s="2522"/>
      <c r="RML178" s="2522"/>
      <c r="RMM178" s="2522"/>
      <c r="RMN178" s="2522"/>
      <c r="RMO178" s="2522"/>
      <c r="RMP178" s="2522"/>
      <c r="RMQ178" s="2522"/>
      <c r="RMR178" s="2522"/>
      <c r="RMS178" s="2522"/>
      <c r="RMT178" s="2522"/>
      <c r="RMU178" s="2522"/>
      <c r="RMV178" s="2522"/>
      <c r="RMW178" s="2522"/>
      <c r="RMX178" s="2522"/>
      <c r="RMY178" s="2522"/>
      <c r="RMZ178" s="2522"/>
      <c r="RNA178" s="2522"/>
      <c r="RNB178" s="2522"/>
      <c r="RNC178" s="2522"/>
      <c r="RND178" s="2522"/>
      <c r="RNE178" s="2522"/>
      <c r="RNF178" s="2522"/>
      <c r="RNG178" s="2522"/>
      <c r="RNH178" s="2522"/>
      <c r="RNI178" s="2522"/>
      <c r="RNJ178" s="2522"/>
      <c r="RNK178" s="2522"/>
      <c r="RNL178" s="2522"/>
      <c r="RNM178" s="2522"/>
      <c r="RNN178" s="2522"/>
      <c r="RNO178" s="2522"/>
      <c r="RNP178" s="2522"/>
      <c r="RNQ178" s="2522"/>
      <c r="RNR178" s="2522"/>
      <c r="RNS178" s="2522"/>
      <c r="RNT178" s="2522"/>
      <c r="RNU178" s="2522"/>
      <c r="RNV178" s="2522"/>
      <c r="RNW178" s="2522"/>
      <c r="RNX178" s="2522"/>
      <c r="RNY178" s="2522"/>
      <c r="RNZ178" s="2522"/>
      <c r="ROA178" s="2522"/>
      <c r="ROB178" s="2522"/>
      <c r="ROC178" s="2522"/>
      <c r="ROD178" s="2522"/>
      <c r="ROE178" s="2522"/>
      <c r="ROF178" s="2522"/>
      <c r="ROG178" s="2522"/>
      <c r="ROH178" s="2522"/>
      <c r="ROI178" s="2522"/>
      <c r="ROJ178" s="2522"/>
      <c r="ROK178" s="2522"/>
      <c r="ROL178" s="2522"/>
      <c r="ROM178" s="2522"/>
      <c r="RON178" s="2522"/>
      <c r="ROO178" s="2522"/>
      <c r="ROP178" s="2522"/>
      <c r="ROQ178" s="2522"/>
      <c r="ROR178" s="2522"/>
      <c r="ROS178" s="2522"/>
      <c r="ROT178" s="2522"/>
      <c r="ROU178" s="2522"/>
      <c r="ROV178" s="2522"/>
      <c r="ROW178" s="2522"/>
      <c r="ROX178" s="2522"/>
      <c r="ROY178" s="2522"/>
      <c r="ROZ178" s="2522"/>
      <c r="RPA178" s="2522"/>
      <c r="RPB178" s="2522"/>
      <c r="RPC178" s="2522"/>
      <c r="RPD178" s="2522"/>
      <c r="RPE178" s="2522"/>
      <c r="RPF178" s="2522"/>
      <c r="RPG178" s="2522"/>
      <c r="RPH178" s="2522"/>
      <c r="RPI178" s="2522"/>
      <c r="RPJ178" s="2522"/>
      <c r="RPK178" s="2522"/>
      <c r="RPL178" s="2522"/>
      <c r="RPM178" s="2522"/>
      <c r="RPN178" s="2522"/>
      <c r="RPO178" s="2522"/>
      <c r="RPP178" s="2522"/>
      <c r="RPQ178" s="2522"/>
      <c r="RPR178" s="2522"/>
      <c r="RPS178" s="2522"/>
      <c r="RPT178" s="2522"/>
      <c r="RPU178" s="2522"/>
      <c r="RPV178" s="2522"/>
      <c r="RPW178" s="2522"/>
      <c r="RPX178" s="2522"/>
      <c r="RPY178" s="2522"/>
      <c r="RPZ178" s="2522"/>
      <c r="RQA178" s="2522"/>
      <c r="RQB178" s="2522"/>
      <c r="RQC178" s="2522"/>
      <c r="RQD178" s="2522"/>
      <c r="RQE178" s="2522"/>
      <c r="RQF178" s="2522"/>
      <c r="RQG178" s="2522"/>
      <c r="RQH178" s="2522"/>
      <c r="RQI178" s="2522"/>
      <c r="RQJ178" s="2522"/>
      <c r="RQK178" s="2522"/>
      <c r="RQL178" s="2522"/>
      <c r="RQM178" s="2522"/>
      <c r="RQN178" s="2522"/>
      <c r="RQO178" s="2522"/>
      <c r="RQP178" s="2522"/>
      <c r="RQQ178" s="2522"/>
      <c r="RQR178" s="2522"/>
      <c r="RQS178" s="2522"/>
      <c r="RQT178" s="2522"/>
      <c r="RQU178" s="2522"/>
      <c r="RQV178" s="2522"/>
      <c r="RQW178" s="2522"/>
      <c r="RQX178" s="2522"/>
      <c r="RQY178" s="2522"/>
      <c r="RQZ178" s="2522"/>
      <c r="RRA178" s="2522"/>
      <c r="RRB178" s="2522"/>
      <c r="RRC178" s="2522"/>
      <c r="RRD178" s="2522"/>
      <c r="RRE178" s="2522"/>
      <c r="RRF178" s="2522"/>
      <c r="RRG178" s="2522"/>
      <c r="RRH178" s="2522"/>
      <c r="RRI178" s="2522"/>
      <c r="RRJ178" s="2522"/>
      <c r="RRK178" s="2522"/>
      <c r="RRL178" s="2522"/>
      <c r="RRM178" s="2522"/>
      <c r="RRN178" s="2522"/>
      <c r="RRO178" s="2522"/>
      <c r="RRP178" s="2522"/>
      <c r="RRQ178" s="2522"/>
      <c r="RRR178" s="2522"/>
      <c r="RRS178" s="2522"/>
      <c r="RRT178" s="2522"/>
      <c r="RRU178" s="2522"/>
      <c r="RRV178" s="2522"/>
      <c r="RRW178" s="2522"/>
      <c r="RRX178" s="2522"/>
      <c r="RRY178" s="2522"/>
      <c r="RRZ178" s="2522"/>
      <c r="RSA178" s="2522"/>
      <c r="RSB178" s="2522"/>
      <c r="RSC178" s="2522"/>
      <c r="RSD178" s="2522"/>
      <c r="RSE178" s="2522"/>
      <c r="RSF178" s="2522"/>
      <c r="RSG178" s="2522"/>
      <c r="RSH178" s="2522"/>
      <c r="RSI178" s="2522"/>
      <c r="RSJ178" s="2522"/>
      <c r="RSK178" s="2522"/>
      <c r="RSL178" s="2522"/>
      <c r="RSM178" s="2522"/>
      <c r="RSN178" s="2522"/>
      <c r="RSO178" s="2522"/>
      <c r="RSP178" s="2522"/>
      <c r="RSQ178" s="2522"/>
      <c r="RSR178" s="2522"/>
      <c r="RSS178" s="2522"/>
      <c r="RST178" s="2522"/>
      <c r="RSU178" s="2522"/>
      <c r="RSV178" s="2522"/>
      <c r="RSW178" s="2522"/>
      <c r="RSX178" s="2522"/>
      <c r="RSY178" s="2522"/>
      <c r="RSZ178" s="2522"/>
      <c r="RTA178" s="2522"/>
      <c r="RTB178" s="2522"/>
      <c r="RTC178" s="2522"/>
      <c r="RTD178" s="2522"/>
      <c r="RTE178" s="2522"/>
      <c r="RTF178" s="2522"/>
      <c r="RTG178" s="2522"/>
      <c r="RTH178" s="2522"/>
      <c r="RTI178" s="2522"/>
      <c r="RTJ178" s="2522"/>
      <c r="RTK178" s="2522"/>
      <c r="RTL178" s="2522"/>
      <c r="RTM178" s="2522"/>
      <c r="RTN178" s="2522"/>
      <c r="RTO178" s="2522"/>
      <c r="RTP178" s="2522"/>
      <c r="RTQ178" s="2522"/>
      <c r="RTR178" s="2522"/>
      <c r="RTS178" s="2522"/>
      <c r="RTT178" s="2522"/>
      <c r="RTU178" s="2522"/>
      <c r="RTV178" s="2522"/>
      <c r="RTW178" s="2522"/>
      <c r="RTX178" s="2522"/>
      <c r="RTY178" s="2522"/>
      <c r="RTZ178" s="2522"/>
      <c r="RUA178" s="2522"/>
      <c r="RUB178" s="2522"/>
      <c r="RUC178" s="2522"/>
      <c r="RUD178" s="2522"/>
      <c r="RUE178" s="2522"/>
      <c r="RUF178" s="2522"/>
      <c r="RUG178" s="2522"/>
      <c r="RUH178" s="2522"/>
      <c r="RUI178" s="2522"/>
      <c r="RUJ178" s="2522"/>
      <c r="RUK178" s="2522"/>
      <c r="RUL178" s="2522"/>
      <c r="RUM178" s="2522"/>
      <c r="RUN178" s="2522"/>
      <c r="RUO178" s="2522"/>
      <c r="RUP178" s="2522"/>
      <c r="RUQ178" s="2522"/>
      <c r="RUR178" s="2522"/>
      <c r="RUS178" s="2522"/>
      <c r="RUT178" s="2522"/>
      <c r="RUU178" s="2522"/>
      <c r="RUV178" s="2522"/>
      <c r="RUW178" s="2522"/>
      <c r="RUX178" s="2522"/>
      <c r="RUY178" s="2522"/>
      <c r="RUZ178" s="2522"/>
      <c r="RVA178" s="2522"/>
      <c r="RVB178" s="2522"/>
      <c r="RVC178" s="2522"/>
      <c r="RVD178" s="2522"/>
      <c r="RVE178" s="2522"/>
      <c r="RVF178" s="2522"/>
      <c r="RVG178" s="2522"/>
      <c r="RVH178" s="2522"/>
      <c r="RVI178" s="2522"/>
      <c r="RVJ178" s="2522"/>
      <c r="RVK178" s="2522"/>
      <c r="RVL178" s="2522"/>
      <c r="RVM178" s="2522"/>
      <c r="RVN178" s="2522"/>
      <c r="RVO178" s="2522"/>
      <c r="RVP178" s="2522"/>
      <c r="RVQ178" s="2522"/>
      <c r="RVR178" s="2522"/>
      <c r="RVS178" s="2522"/>
      <c r="RVT178" s="2522"/>
      <c r="RVU178" s="2522"/>
      <c r="RVV178" s="2522"/>
      <c r="RVW178" s="2522"/>
      <c r="RVX178" s="2522"/>
      <c r="RVY178" s="2522"/>
      <c r="RVZ178" s="2522"/>
      <c r="RWA178" s="2522"/>
      <c r="RWB178" s="2522"/>
      <c r="RWC178" s="2522"/>
      <c r="RWD178" s="2522"/>
      <c r="RWE178" s="2522"/>
      <c r="RWF178" s="2522"/>
      <c r="RWG178" s="2522"/>
      <c r="RWH178" s="2522"/>
      <c r="RWI178" s="2522"/>
      <c r="RWJ178" s="2522"/>
      <c r="RWK178" s="2522"/>
      <c r="RWL178" s="2522"/>
      <c r="RWM178" s="2522"/>
      <c r="RWN178" s="2522"/>
      <c r="RWO178" s="2522"/>
      <c r="RWP178" s="2522"/>
      <c r="RWQ178" s="2522"/>
      <c r="RWR178" s="2522"/>
      <c r="RWS178" s="2522"/>
      <c r="RWT178" s="2522"/>
      <c r="RWU178" s="2522"/>
      <c r="RWV178" s="2522"/>
      <c r="RWW178" s="2522"/>
      <c r="RWX178" s="2522"/>
      <c r="RWY178" s="2522"/>
      <c r="RWZ178" s="2522"/>
      <c r="RXA178" s="2522"/>
      <c r="RXB178" s="2522"/>
      <c r="RXC178" s="2522"/>
      <c r="RXD178" s="2522"/>
      <c r="RXE178" s="2522"/>
      <c r="RXF178" s="2522"/>
      <c r="RXG178" s="2522"/>
      <c r="RXH178" s="2522"/>
      <c r="RXI178" s="2522"/>
      <c r="RXJ178" s="2522"/>
      <c r="RXK178" s="2522"/>
      <c r="RXL178" s="2522"/>
      <c r="RXM178" s="2522"/>
      <c r="RXN178" s="2522"/>
      <c r="RXO178" s="2522"/>
      <c r="RXP178" s="2522"/>
      <c r="RXQ178" s="2522"/>
      <c r="RXR178" s="2522"/>
      <c r="RXS178" s="2522"/>
      <c r="RXT178" s="2522"/>
      <c r="RXU178" s="2522"/>
      <c r="RXV178" s="2522"/>
      <c r="RXW178" s="2522"/>
      <c r="RXX178" s="2522"/>
      <c r="RXY178" s="2522"/>
      <c r="RXZ178" s="2522"/>
      <c r="RYA178" s="2522"/>
      <c r="RYB178" s="2522"/>
      <c r="RYC178" s="2522"/>
      <c r="RYD178" s="2522"/>
      <c r="RYE178" s="2522"/>
      <c r="RYF178" s="2522"/>
      <c r="RYG178" s="2522"/>
      <c r="RYH178" s="2522"/>
      <c r="RYI178" s="2522"/>
      <c r="RYJ178" s="2522"/>
      <c r="RYK178" s="2522"/>
      <c r="RYL178" s="2522"/>
      <c r="RYM178" s="2522"/>
      <c r="RYN178" s="2522"/>
      <c r="RYO178" s="2522"/>
      <c r="RYP178" s="2522"/>
      <c r="RYQ178" s="2522"/>
      <c r="RYR178" s="2522"/>
      <c r="RYS178" s="2522"/>
      <c r="RYT178" s="2522"/>
      <c r="RYU178" s="2522"/>
      <c r="RYV178" s="2522"/>
      <c r="RYW178" s="2522"/>
      <c r="RYX178" s="2522"/>
      <c r="RYY178" s="2522"/>
      <c r="RYZ178" s="2522"/>
      <c r="RZA178" s="2522"/>
      <c r="RZB178" s="2522"/>
      <c r="RZC178" s="2522"/>
      <c r="RZD178" s="2522"/>
      <c r="RZE178" s="2522"/>
      <c r="RZF178" s="2522"/>
      <c r="RZG178" s="2522"/>
      <c r="RZH178" s="2522"/>
      <c r="RZI178" s="2522"/>
      <c r="RZJ178" s="2522"/>
      <c r="RZK178" s="2522"/>
      <c r="RZL178" s="2522"/>
      <c r="RZM178" s="2522"/>
      <c r="RZN178" s="2522"/>
      <c r="RZO178" s="2522"/>
      <c r="RZP178" s="2522"/>
      <c r="RZQ178" s="2522"/>
      <c r="RZR178" s="2522"/>
      <c r="RZS178" s="2522"/>
      <c r="RZT178" s="2522"/>
      <c r="RZU178" s="2522"/>
      <c r="RZV178" s="2522"/>
      <c r="RZW178" s="2522"/>
      <c r="RZX178" s="2522"/>
      <c r="RZY178" s="2522"/>
      <c r="RZZ178" s="2522"/>
      <c r="SAA178" s="2522"/>
      <c r="SAB178" s="2522"/>
      <c r="SAC178" s="2522"/>
      <c r="SAD178" s="2522"/>
      <c r="SAE178" s="2522"/>
      <c r="SAF178" s="2522"/>
      <c r="SAG178" s="2522"/>
      <c r="SAH178" s="2522"/>
      <c r="SAI178" s="2522"/>
      <c r="SAJ178" s="2522"/>
      <c r="SAK178" s="2522"/>
      <c r="SAL178" s="2522"/>
      <c r="SAM178" s="2522"/>
      <c r="SAN178" s="2522"/>
      <c r="SAO178" s="2522"/>
      <c r="SAP178" s="2522"/>
      <c r="SAQ178" s="2522"/>
      <c r="SAR178" s="2522"/>
      <c r="SAS178" s="2522"/>
      <c r="SAT178" s="2522"/>
      <c r="SAU178" s="2522"/>
      <c r="SAV178" s="2522"/>
      <c r="SAW178" s="2522"/>
      <c r="SAX178" s="2522"/>
      <c r="SAY178" s="2522"/>
      <c r="SAZ178" s="2522"/>
      <c r="SBA178" s="2522"/>
      <c r="SBB178" s="2522"/>
      <c r="SBC178" s="2522"/>
      <c r="SBD178" s="2522"/>
      <c r="SBE178" s="2522"/>
      <c r="SBF178" s="2522"/>
      <c r="SBG178" s="2522"/>
      <c r="SBH178" s="2522"/>
      <c r="SBI178" s="2522"/>
      <c r="SBJ178" s="2522"/>
      <c r="SBK178" s="2522"/>
      <c r="SBL178" s="2522"/>
      <c r="SBM178" s="2522"/>
      <c r="SBN178" s="2522"/>
      <c r="SBO178" s="2522"/>
      <c r="SBP178" s="2522"/>
      <c r="SBQ178" s="2522"/>
      <c r="SBR178" s="2522"/>
      <c r="SBS178" s="2522"/>
      <c r="SBT178" s="2522"/>
      <c r="SBU178" s="2522"/>
      <c r="SBV178" s="2522"/>
      <c r="SBW178" s="2522"/>
      <c r="SBX178" s="2522"/>
      <c r="SBY178" s="2522"/>
      <c r="SBZ178" s="2522"/>
      <c r="SCA178" s="2522"/>
      <c r="SCB178" s="2522"/>
      <c r="SCC178" s="2522"/>
      <c r="SCD178" s="2522"/>
      <c r="SCE178" s="2522"/>
      <c r="SCF178" s="2522"/>
      <c r="SCG178" s="2522"/>
      <c r="SCH178" s="2522"/>
      <c r="SCI178" s="2522"/>
      <c r="SCJ178" s="2522"/>
      <c r="SCK178" s="2522"/>
      <c r="SCL178" s="2522"/>
      <c r="SCM178" s="2522"/>
      <c r="SCN178" s="2522"/>
      <c r="SCO178" s="2522"/>
      <c r="SCP178" s="2522"/>
      <c r="SCQ178" s="2522"/>
      <c r="SCR178" s="2522"/>
      <c r="SCS178" s="2522"/>
      <c r="SCT178" s="2522"/>
      <c r="SCU178" s="2522"/>
      <c r="SCV178" s="2522"/>
      <c r="SCW178" s="2522"/>
      <c r="SCX178" s="2522"/>
      <c r="SCY178" s="2522"/>
      <c r="SCZ178" s="2522"/>
      <c r="SDA178" s="2522"/>
      <c r="SDB178" s="2522"/>
      <c r="SDC178" s="2522"/>
      <c r="SDD178" s="2522"/>
      <c r="SDE178" s="2522"/>
      <c r="SDF178" s="2522"/>
      <c r="SDG178" s="2522"/>
      <c r="SDH178" s="2522"/>
      <c r="SDI178" s="2522"/>
      <c r="SDJ178" s="2522"/>
      <c r="SDK178" s="2522"/>
      <c r="SDL178" s="2522"/>
      <c r="SDM178" s="2522"/>
      <c r="SDN178" s="2522"/>
      <c r="SDO178" s="2522"/>
      <c r="SDP178" s="2522"/>
      <c r="SDQ178" s="2522"/>
      <c r="SDR178" s="2522"/>
      <c r="SDS178" s="2522"/>
      <c r="SDT178" s="2522"/>
      <c r="SDU178" s="2522"/>
      <c r="SDV178" s="2522"/>
      <c r="SDW178" s="2522"/>
      <c r="SDX178" s="2522"/>
      <c r="SDY178" s="2522"/>
      <c r="SDZ178" s="2522"/>
      <c r="SEA178" s="2522"/>
      <c r="SEB178" s="2522"/>
      <c r="SEC178" s="2522"/>
      <c r="SED178" s="2522"/>
      <c r="SEE178" s="2522"/>
      <c r="SEF178" s="2522"/>
      <c r="SEG178" s="2522"/>
      <c r="SEH178" s="2522"/>
      <c r="SEI178" s="2522"/>
      <c r="SEJ178" s="2522"/>
      <c r="SEK178" s="2522"/>
      <c r="SEL178" s="2522"/>
      <c r="SEM178" s="2522"/>
      <c r="SEN178" s="2522"/>
      <c r="SEO178" s="2522"/>
      <c r="SEP178" s="2522"/>
      <c r="SEQ178" s="2522"/>
      <c r="SER178" s="2522"/>
      <c r="SES178" s="2522"/>
      <c r="SET178" s="2522"/>
      <c r="SEU178" s="2522"/>
      <c r="SEV178" s="2522"/>
      <c r="SEW178" s="2522"/>
      <c r="SEX178" s="2522"/>
      <c r="SEY178" s="2522"/>
      <c r="SEZ178" s="2522"/>
      <c r="SFA178" s="2522"/>
      <c r="SFB178" s="2522"/>
      <c r="SFC178" s="2522"/>
      <c r="SFD178" s="2522"/>
      <c r="SFE178" s="2522"/>
      <c r="SFF178" s="2522"/>
      <c r="SFG178" s="2522"/>
      <c r="SFH178" s="2522"/>
      <c r="SFI178" s="2522"/>
      <c r="SFJ178" s="2522"/>
      <c r="SFK178" s="2522"/>
      <c r="SFL178" s="2522"/>
      <c r="SFM178" s="2522"/>
      <c r="SFN178" s="2522"/>
      <c r="SFO178" s="2522"/>
      <c r="SFP178" s="2522"/>
      <c r="SFQ178" s="2522"/>
      <c r="SFR178" s="2522"/>
      <c r="SFS178" s="2522"/>
      <c r="SFT178" s="2522"/>
      <c r="SFU178" s="2522"/>
      <c r="SFV178" s="2522"/>
      <c r="SFW178" s="2522"/>
      <c r="SFX178" s="2522"/>
      <c r="SFY178" s="2522"/>
      <c r="SFZ178" s="2522"/>
      <c r="SGA178" s="2522"/>
      <c r="SGB178" s="2522"/>
      <c r="SGC178" s="2522"/>
      <c r="SGD178" s="2522"/>
      <c r="SGE178" s="2522"/>
      <c r="SGF178" s="2522"/>
      <c r="SGG178" s="2522"/>
      <c r="SGH178" s="2522"/>
      <c r="SGI178" s="2522"/>
      <c r="SGJ178" s="2522"/>
      <c r="SGK178" s="2522"/>
      <c r="SGL178" s="2522"/>
      <c r="SGM178" s="2522"/>
      <c r="SGN178" s="2522"/>
      <c r="SGO178" s="2522"/>
      <c r="SGP178" s="2522"/>
      <c r="SGQ178" s="2522"/>
      <c r="SGR178" s="2522"/>
      <c r="SGS178" s="2522"/>
      <c r="SGT178" s="2522"/>
      <c r="SGU178" s="2522"/>
      <c r="SGV178" s="2522"/>
      <c r="SGW178" s="2522"/>
      <c r="SGX178" s="2522"/>
      <c r="SGY178" s="2522"/>
      <c r="SGZ178" s="2522"/>
      <c r="SHA178" s="2522"/>
      <c r="SHB178" s="2522"/>
      <c r="SHC178" s="2522"/>
      <c r="SHD178" s="2522"/>
      <c r="SHE178" s="2522"/>
      <c r="SHF178" s="2522"/>
      <c r="SHG178" s="2522"/>
      <c r="SHH178" s="2522"/>
      <c r="SHI178" s="2522"/>
      <c r="SHJ178" s="2522"/>
      <c r="SHK178" s="2522"/>
      <c r="SHL178" s="2522"/>
      <c r="SHM178" s="2522"/>
      <c r="SHN178" s="2522"/>
      <c r="SHO178" s="2522"/>
      <c r="SHP178" s="2522"/>
      <c r="SHQ178" s="2522"/>
      <c r="SHR178" s="2522"/>
      <c r="SHS178" s="2522"/>
      <c r="SHT178" s="2522"/>
      <c r="SHU178" s="2522"/>
      <c r="SHV178" s="2522"/>
      <c r="SHW178" s="2522"/>
      <c r="SHX178" s="2522"/>
      <c r="SHY178" s="2522"/>
      <c r="SHZ178" s="2522"/>
      <c r="SIA178" s="2522"/>
      <c r="SIB178" s="2522"/>
      <c r="SIC178" s="2522"/>
      <c r="SID178" s="2522"/>
      <c r="SIE178" s="2522"/>
      <c r="SIF178" s="2522"/>
      <c r="SIG178" s="2522"/>
      <c r="SIH178" s="2522"/>
      <c r="SII178" s="2522"/>
      <c r="SIJ178" s="2522"/>
      <c r="SIK178" s="2522"/>
      <c r="SIL178" s="2522"/>
      <c r="SIM178" s="2522"/>
      <c r="SIN178" s="2522"/>
      <c r="SIO178" s="2522"/>
      <c r="SIP178" s="2522"/>
      <c r="SIQ178" s="2522"/>
      <c r="SIR178" s="2522"/>
      <c r="SIS178" s="2522"/>
      <c r="SIT178" s="2522"/>
      <c r="SIU178" s="2522"/>
      <c r="SIV178" s="2522"/>
      <c r="SIW178" s="2522"/>
      <c r="SIX178" s="2522"/>
      <c r="SIY178" s="2522"/>
      <c r="SIZ178" s="2522"/>
      <c r="SJA178" s="2522"/>
      <c r="SJB178" s="2522"/>
      <c r="SJC178" s="2522"/>
      <c r="SJD178" s="2522"/>
      <c r="SJE178" s="2522"/>
      <c r="SJF178" s="2522"/>
      <c r="SJG178" s="2522"/>
      <c r="SJH178" s="2522"/>
      <c r="SJI178" s="2522"/>
      <c r="SJJ178" s="2522"/>
      <c r="SJK178" s="2522"/>
      <c r="SJL178" s="2522"/>
      <c r="SJM178" s="2522"/>
      <c r="SJN178" s="2522"/>
      <c r="SJO178" s="2522"/>
      <c r="SJP178" s="2522"/>
      <c r="SJQ178" s="2522"/>
      <c r="SJR178" s="2522"/>
      <c r="SJS178" s="2522"/>
      <c r="SJT178" s="2522"/>
      <c r="SJU178" s="2522"/>
      <c r="SJV178" s="2522"/>
      <c r="SJW178" s="2522"/>
      <c r="SJX178" s="2522"/>
      <c r="SJY178" s="2522"/>
      <c r="SJZ178" s="2522"/>
      <c r="SKA178" s="2522"/>
      <c r="SKB178" s="2522"/>
      <c r="SKC178" s="2522"/>
      <c r="SKD178" s="2522"/>
      <c r="SKE178" s="2522"/>
      <c r="SKF178" s="2522"/>
      <c r="SKG178" s="2522"/>
      <c r="SKH178" s="2522"/>
      <c r="SKI178" s="2522"/>
      <c r="SKJ178" s="2522"/>
      <c r="SKK178" s="2522"/>
      <c r="SKL178" s="2522"/>
      <c r="SKM178" s="2522"/>
      <c r="SKN178" s="2522"/>
      <c r="SKO178" s="2522"/>
      <c r="SKP178" s="2522"/>
      <c r="SKQ178" s="2522"/>
      <c r="SKR178" s="2522"/>
      <c r="SKS178" s="2522"/>
      <c r="SKT178" s="2522"/>
      <c r="SKU178" s="2522"/>
      <c r="SKV178" s="2522"/>
      <c r="SKW178" s="2522"/>
      <c r="SKX178" s="2522"/>
      <c r="SKY178" s="2522"/>
      <c r="SKZ178" s="2522"/>
      <c r="SLA178" s="2522"/>
      <c r="SLB178" s="2522"/>
      <c r="SLC178" s="2522"/>
      <c r="SLD178" s="2522"/>
      <c r="SLE178" s="2522"/>
      <c r="SLF178" s="2522"/>
      <c r="SLG178" s="2522"/>
      <c r="SLH178" s="2522"/>
      <c r="SLI178" s="2522"/>
      <c r="SLJ178" s="2522"/>
      <c r="SLK178" s="2522"/>
      <c r="SLL178" s="2522"/>
      <c r="SLM178" s="2522"/>
      <c r="SLN178" s="2522"/>
      <c r="SLO178" s="2522"/>
      <c r="SLP178" s="2522"/>
      <c r="SLQ178" s="2522"/>
      <c r="SLR178" s="2522"/>
      <c r="SLS178" s="2522"/>
      <c r="SLT178" s="2522"/>
      <c r="SLU178" s="2522"/>
      <c r="SLV178" s="2522"/>
      <c r="SLW178" s="2522"/>
      <c r="SLX178" s="2522"/>
      <c r="SLY178" s="2522"/>
      <c r="SLZ178" s="2522"/>
      <c r="SMA178" s="2522"/>
      <c r="SMB178" s="2522"/>
      <c r="SMC178" s="2522"/>
      <c r="SMD178" s="2522"/>
      <c r="SME178" s="2522"/>
      <c r="SMF178" s="2522"/>
      <c r="SMG178" s="2522"/>
      <c r="SMH178" s="2522"/>
      <c r="SMI178" s="2522"/>
      <c r="SMJ178" s="2522"/>
      <c r="SMK178" s="2522"/>
      <c r="SML178" s="2522"/>
      <c r="SMM178" s="2522"/>
      <c r="SMN178" s="2522"/>
      <c r="SMO178" s="2522"/>
      <c r="SMP178" s="2522"/>
      <c r="SMQ178" s="2522"/>
      <c r="SMR178" s="2522"/>
      <c r="SMS178" s="2522"/>
      <c r="SMT178" s="2522"/>
      <c r="SMU178" s="2522"/>
      <c r="SMV178" s="2522"/>
      <c r="SMW178" s="2522"/>
      <c r="SMX178" s="2522"/>
      <c r="SMY178" s="2522"/>
      <c r="SMZ178" s="2522"/>
      <c r="SNA178" s="2522"/>
      <c r="SNB178" s="2522"/>
      <c r="SNC178" s="2522"/>
      <c r="SND178" s="2522"/>
      <c r="SNE178" s="2522"/>
      <c r="SNF178" s="2522"/>
      <c r="SNG178" s="2522"/>
      <c r="SNH178" s="2522"/>
      <c r="SNI178" s="2522"/>
      <c r="SNJ178" s="2522"/>
      <c r="SNK178" s="2522"/>
      <c r="SNL178" s="2522"/>
      <c r="SNM178" s="2522"/>
      <c r="SNN178" s="2522"/>
      <c r="SNO178" s="2522"/>
      <c r="SNP178" s="2522"/>
      <c r="SNQ178" s="2522"/>
      <c r="SNR178" s="2522"/>
      <c r="SNS178" s="2522"/>
      <c r="SNT178" s="2522"/>
      <c r="SNU178" s="2522"/>
      <c r="SNV178" s="2522"/>
      <c r="SNW178" s="2522"/>
      <c r="SNX178" s="2522"/>
      <c r="SNY178" s="2522"/>
      <c r="SNZ178" s="2522"/>
      <c r="SOA178" s="2522"/>
      <c r="SOB178" s="2522"/>
      <c r="SOC178" s="2522"/>
      <c r="SOD178" s="2522"/>
      <c r="SOE178" s="2522"/>
      <c r="SOF178" s="2522"/>
      <c r="SOG178" s="2522"/>
      <c r="SOH178" s="2522"/>
      <c r="SOI178" s="2522"/>
      <c r="SOJ178" s="2522"/>
      <c r="SOK178" s="2522"/>
      <c r="SOL178" s="2522"/>
      <c r="SOM178" s="2522"/>
      <c r="SON178" s="2522"/>
      <c r="SOO178" s="2522"/>
      <c r="SOP178" s="2522"/>
      <c r="SOQ178" s="2522"/>
      <c r="SOR178" s="2522"/>
      <c r="SOS178" s="2522"/>
      <c r="SOT178" s="2522"/>
      <c r="SOU178" s="2522"/>
      <c r="SOV178" s="2522"/>
      <c r="SOW178" s="2522"/>
      <c r="SOX178" s="2522"/>
      <c r="SOY178" s="2522"/>
      <c r="SOZ178" s="2522"/>
      <c r="SPA178" s="2522"/>
      <c r="SPB178" s="2522"/>
      <c r="SPC178" s="2522"/>
      <c r="SPD178" s="2522"/>
      <c r="SPE178" s="2522"/>
      <c r="SPF178" s="2522"/>
      <c r="SPG178" s="2522"/>
      <c r="SPH178" s="2522"/>
      <c r="SPI178" s="2522"/>
      <c r="SPJ178" s="2522"/>
      <c r="SPK178" s="2522"/>
      <c r="SPL178" s="2522"/>
      <c r="SPM178" s="2522"/>
      <c r="SPN178" s="2522"/>
      <c r="SPO178" s="2522"/>
      <c r="SPP178" s="2522"/>
      <c r="SPQ178" s="2522"/>
      <c r="SPR178" s="2522"/>
      <c r="SPS178" s="2522"/>
      <c r="SPT178" s="2522"/>
      <c r="SPU178" s="2522"/>
      <c r="SPV178" s="2522"/>
      <c r="SPW178" s="2522"/>
      <c r="SPX178" s="2522"/>
      <c r="SPY178" s="2522"/>
      <c r="SPZ178" s="2522"/>
      <c r="SQA178" s="2522"/>
      <c r="SQB178" s="2522"/>
      <c r="SQC178" s="2522"/>
      <c r="SQD178" s="2522"/>
      <c r="SQE178" s="2522"/>
      <c r="SQF178" s="2522"/>
      <c r="SQG178" s="2522"/>
      <c r="SQH178" s="2522"/>
      <c r="SQI178" s="2522"/>
      <c r="SQJ178" s="2522"/>
      <c r="SQK178" s="2522"/>
      <c r="SQL178" s="2522"/>
      <c r="SQM178" s="2522"/>
      <c r="SQN178" s="2522"/>
      <c r="SQO178" s="2522"/>
      <c r="SQP178" s="2522"/>
      <c r="SQQ178" s="2522"/>
      <c r="SQR178" s="2522"/>
      <c r="SQS178" s="2522"/>
      <c r="SQT178" s="2522"/>
      <c r="SQU178" s="2522"/>
      <c r="SQV178" s="2522"/>
      <c r="SQW178" s="2522"/>
      <c r="SQX178" s="2522"/>
      <c r="SQY178" s="2522"/>
      <c r="SQZ178" s="2522"/>
      <c r="SRA178" s="2522"/>
      <c r="SRB178" s="2522"/>
      <c r="SRC178" s="2522"/>
      <c r="SRD178" s="2522"/>
      <c r="SRE178" s="2522"/>
      <c r="SRF178" s="2522"/>
      <c r="SRG178" s="2522"/>
      <c r="SRH178" s="2522"/>
      <c r="SRI178" s="2522"/>
      <c r="SRJ178" s="2522"/>
      <c r="SRK178" s="2522"/>
      <c r="SRL178" s="2522"/>
      <c r="SRM178" s="2522"/>
      <c r="SRN178" s="2522"/>
      <c r="SRO178" s="2522"/>
      <c r="SRP178" s="2522"/>
      <c r="SRQ178" s="2522"/>
      <c r="SRR178" s="2522"/>
      <c r="SRS178" s="2522"/>
      <c r="SRT178" s="2522"/>
      <c r="SRU178" s="2522"/>
      <c r="SRV178" s="2522"/>
      <c r="SRW178" s="2522"/>
      <c r="SRX178" s="2522"/>
      <c r="SRY178" s="2522"/>
      <c r="SRZ178" s="2522"/>
      <c r="SSA178" s="2522"/>
      <c r="SSB178" s="2522"/>
      <c r="SSC178" s="2522"/>
      <c r="SSD178" s="2522"/>
      <c r="SSE178" s="2522"/>
      <c r="SSF178" s="2522"/>
      <c r="SSG178" s="2522"/>
      <c r="SSH178" s="2522"/>
      <c r="SSI178" s="2522"/>
      <c r="SSJ178" s="2522"/>
      <c r="SSK178" s="2522"/>
      <c r="SSL178" s="2522"/>
      <c r="SSM178" s="2522"/>
      <c r="SSN178" s="2522"/>
      <c r="SSO178" s="2522"/>
      <c r="SSP178" s="2522"/>
      <c r="SSQ178" s="2522"/>
      <c r="SSR178" s="2522"/>
      <c r="SSS178" s="2522"/>
      <c r="SST178" s="2522"/>
      <c r="SSU178" s="2522"/>
      <c r="SSV178" s="2522"/>
      <c r="SSW178" s="2522"/>
      <c r="SSX178" s="2522"/>
      <c r="SSY178" s="2522"/>
      <c r="SSZ178" s="2522"/>
      <c r="STA178" s="2522"/>
      <c r="STB178" s="2522"/>
      <c r="STC178" s="2522"/>
      <c r="STD178" s="2522"/>
      <c r="STE178" s="2522"/>
      <c r="STF178" s="2522"/>
      <c r="STG178" s="2522"/>
      <c r="STH178" s="2522"/>
      <c r="STI178" s="2522"/>
      <c r="STJ178" s="2522"/>
      <c r="STK178" s="2522"/>
      <c r="STL178" s="2522"/>
      <c r="STM178" s="2522"/>
      <c r="STN178" s="2522"/>
      <c r="STO178" s="2522"/>
      <c r="STP178" s="2522"/>
      <c r="STQ178" s="2522"/>
      <c r="STR178" s="2522"/>
      <c r="STS178" s="2522"/>
      <c r="STT178" s="2522"/>
      <c r="STU178" s="2522"/>
      <c r="STV178" s="2522"/>
      <c r="STW178" s="2522"/>
      <c r="STX178" s="2522"/>
      <c r="STY178" s="2522"/>
      <c r="STZ178" s="2522"/>
      <c r="SUA178" s="2522"/>
      <c r="SUB178" s="2522"/>
      <c r="SUC178" s="2522"/>
      <c r="SUD178" s="2522"/>
      <c r="SUE178" s="2522"/>
      <c r="SUF178" s="2522"/>
      <c r="SUG178" s="2522"/>
      <c r="SUH178" s="2522"/>
      <c r="SUI178" s="2522"/>
      <c r="SUJ178" s="2522"/>
      <c r="SUK178" s="2522"/>
      <c r="SUL178" s="2522"/>
      <c r="SUM178" s="2522"/>
      <c r="SUN178" s="2522"/>
      <c r="SUO178" s="2522"/>
      <c r="SUP178" s="2522"/>
      <c r="SUQ178" s="2522"/>
      <c r="SUR178" s="2522"/>
      <c r="SUS178" s="2522"/>
      <c r="SUT178" s="2522"/>
      <c r="SUU178" s="2522"/>
      <c r="SUV178" s="2522"/>
      <c r="SUW178" s="2522"/>
      <c r="SUX178" s="2522"/>
      <c r="SUY178" s="2522"/>
      <c r="SUZ178" s="2522"/>
      <c r="SVA178" s="2522"/>
      <c r="SVB178" s="2522"/>
      <c r="SVC178" s="2522"/>
      <c r="SVD178" s="2522"/>
      <c r="SVE178" s="2522"/>
      <c r="SVF178" s="2522"/>
      <c r="SVG178" s="2522"/>
      <c r="SVH178" s="2522"/>
      <c r="SVI178" s="2522"/>
      <c r="SVJ178" s="2522"/>
      <c r="SVK178" s="2522"/>
      <c r="SVL178" s="2522"/>
      <c r="SVM178" s="2522"/>
      <c r="SVN178" s="2522"/>
      <c r="SVO178" s="2522"/>
      <c r="SVP178" s="2522"/>
      <c r="SVQ178" s="2522"/>
      <c r="SVR178" s="2522"/>
      <c r="SVS178" s="2522"/>
      <c r="SVT178" s="2522"/>
      <c r="SVU178" s="2522"/>
      <c r="SVV178" s="2522"/>
      <c r="SVW178" s="2522"/>
      <c r="SVX178" s="2522"/>
      <c r="SVY178" s="2522"/>
      <c r="SVZ178" s="2522"/>
      <c r="SWA178" s="2522"/>
      <c r="SWB178" s="2522"/>
      <c r="SWC178" s="2522"/>
      <c r="SWD178" s="2522"/>
      <c r="SWE178" s="2522"/>
      <c r="SWF178" s="2522"/>
      <c r="SWG178" s="2522"/>
      <c r="SWH178" s="2522"/>
      <c r="SWI178" s="2522"/>
      <c r="SWJ178" s="2522"/>
      <c r="SWK178" s="2522"/>
      <c r="SWL178" s="2522"/>
      <c r="SWM178" s="2522"/>
      <c r="SWN178" s="2522"/>
      <c r="SWO178" s="2522"/>
      <c r="SWP178" s="2522"/>
      <c r="SWQ178" s="2522"/>
      <c r="SWR178" s="2522"/>
      <c r="SWS178" s="2522"/>
      <c r="SWT178" s="2522"/>
      <c r="SWU178" s="2522"/>
      <c r="SWV178" s="2522"/>
      <c r="SWW178" s="2522"/>
      <c r="SWX178" s="2522"/>
      <c r="SWY178" s="2522"/>
      <c r="SWZ178" s="2522"/>
      <c r="SXA178" s="2522"/>
      <c r="SXB178" s="2522"/>
      <c r="SXC178" s="2522"/>
      <c r="SXD178" s="2522"/>
      <c r="SXE178" s="2522"/>
      <c r="SXF178" s="2522"/>
      <c r="SXG178" s="2522"/>
      <c r="SXH178" s="2522"/>
      <c r="SXI178" s="2522"/>
      <c r="SXJ178" s="2522"/>
      <c r="SXK178" s="2522"/>
      <c r="SXL178" s="2522"/>
      <c r="SXM178" s="2522"/>
      <c r="SXN178" s="2522"/>
      <c r="SXO178" s="2522"/>
      <c r="SXP178" s="2522"/>
      <c r="SXQ178" s="2522"/>
      <c r="SXR178" s="2522"/>
      <c r="SXS178" s="2522"/>
      <c r="SXT178" s="2522"/>
      <c r="SXU178" s="2522"/>
      <c r="SXV178" s="2522"/>
      <c r="SXW178" s="2522"/>
      <c r="SXX178" s="2522"/>
      <c r="SXY178" s="2522"/>
      <c r="SXZ178" s="2522"/>
      <c r="SYA178" s="2522"/>
      <c r="SYB178" s="2522"/>
      <c r="SYC178" s="2522"/>
      <c r="SYD178" s="2522"/>
      <c r="SYE178" s="2522"/>
      <c r="SYF178" s="2522"/>
      <c r="SYG178" s="2522"/>
      <c r="SYH178" s="2522"/>
      <c r="SYI178" s="2522"/>
      <c r="SYJ178" s="2522"/>
      <c r="SYK178" s="2522"/>
      <c r="SYL178" s="2522"/>
      <c r="SYM178" s="2522"/>
      <c r="SYN178" s="2522"/>
      <c r="SYO178" s="2522"/>
      <c r="SYP178" s="2522"/>
      <c r="SYQ178" s="2522"/>
      <c r="SYR178" s="2522"/>
      <c r="SYS178" s="2522"/>
      <c r="SYT178" s="2522"/>
      <c r="SYU178" s="2522"/>
      <c r="SYV178" s="2522"/>
      <c r="SYW178" s="2522"/>
      <c r="SYX178" s="2522"/>
      <c r="SYY178" s="2522"/>
      <c r="SYZ178" s="2522"/>
      <c r="SZA178" s="2522"/>
      <c r="SZB178" s="2522"/>
      <c r="SZC178" s="2522"/>
      <c r="SZD178" s="2522"/>
      <c r="SZE178" s="2522"/>
      <c r="SZF178" s="2522"/>
      <c r="SZG178" s="2522"/>
      <c r="SZH178" s="2522"/>
      <c r="SZI178" s="2522"/>
      <c r="SZJ178" s="2522"/>
      <c r="SZK178" s="2522"/>
      <c r="SZL178" s="2522"/>
      <c r="SZM178" s="2522"/>
      <c r="SZN178" s="2522"/>
      <c r="SZO178" s="2522"/>
      <c r="SZP178" s="2522"/>
      <c r="SZQ178" s="2522"/>
      <c r="SZR178" s="2522"/>
      <c r="SZS178" s="2522"/>
      <c r="SZT178" s="2522"/>
      <c r="SZU178" s="2522"/>
      <c r="SZV178" s="2522"/>
      <c r="SZW178" s="2522"/>
      <c r="SZX178" s="2522"/>
      <c r="SZY178" s="2522"/>
      <c r="SZZ178" s="2522"/>
      <c r="TAA178" s="2522"/>
      <c r="TAB178" s="2522"/>
      <c r="TAC178" s="2522"/>
      <c r="TAD178" s="2522"/>
      <c r="TAE178" s="2522"/>
      <c r="TAF178" s="2522"/>
      <c r="TAG178" s="2522"/>
      <c r="TAH178" s="2522"/>
      <c r="TAI178" s="2522"/>
      <c r="TAJ178" s="2522"/>
      <c r="TAK178" s="2522"/>
      <c r="TAL178" s="2522"/>
      <c r="TAM178" s="2522"/>
      <c r="TAN178" s="2522"/>
      <c r="TAO178" s="2522"/>
      <c r="TAP178" s="2522"/>
      <c r="TAQ178" s="2522"/>
      <c r="TAR178" s="2522"/>
      <c r="TAS178" s="2522"/>
      <c r="TAT178" s="2522"/>
      <c r="TAU178" s="2522"/>
      <c r="TAV178" s="2522"/>
      <c r="TAW178" s="2522"/>
      <c r="TAX178" s="2522"/>
      <c r="TAY178" s="2522"/>
      <c r="TAZ178" s="2522"/>
      <c r="TBA178" s="2522"/>
      <c r="TBB178" s="2522"/>
      <c r="TBC178" s="2522"/>
      <c r="TBD178" s="2522"/>
      <c r="TBE178" s="2522"/>
      <c r="TBF178" s="2522"/>
      <c r="TBG178" s="2522"/>
      <c r="TBH178" s="2522"/>
      <c r="TBI178" s="2522"/>
      <c r="TBJ178" s="2522"/>
      <c r="TBK178" s="2522"/>
      <c r="TBL178" s="2522"/>
      <c r="TBM178" s="2522"/>
      <c r="TBN178" s="2522"/>
      <c r="TBO178" s="2522"/>
      <c r="TBP178" s="2522"/>
      <c r="TBQ178" s="2522"/>
      <c r="TBR178" s="2522"/>
      <c r="TBS178" s="2522"/>
      <c r="TBT178" s="2522"/>
      <c r="TBU178" s="2522"/>
      <c r="TBV178" s="2522"/>
      <c r="TBW178" s="2522"/>
      <c r="TBX178" s="2522"/>
      <c r="TBY178" s="2522"/>
      <c r="TBZ178" s="2522"/>
      <c r="TCA178" s="2522"/>
      <c r="TCB178" s="2522"/>
      <c r="TCC178" s="2522"/>
      <c r="TCD178" s="2522"/>
      <c r="TCE178" s="2522"/>
      <c r="TCF178" s="2522"/>
      <c r="TCG178" s="2522"/>
      <c r="TCH178" s="2522"/>
      <c r="TCI178" s="2522"/>
      <c r="TCJ178" s="2522"/>
      <c r="TCK178" s="2522"/>
      <c r="TCL178" s="2522"/>
      <c r="TCM178" s="2522"/>
      <c r="TCN178" s="2522"/>
      <c r="TCO178" s="2522"/>
      <c r="TCP178" s="2522"/>
      <c r="TCQ178" s="2522"/>
      <c r="TCR178" s="2522"/>
      <c r="TCS178" s="2522"/>
      <c r="TCT178" s="2522"/>
      <c r="TCU178" s="2522"/>
      <c r="TCV178" s="2522"/>
      <c r="TCW178" s="2522"/>
      <c r="TCX178" s="2522"/>
      <c r="TCY178" s="2522"/>
      <c r="TCZ178" s="2522"/>
      <c r="TDA178" s="2522"/>
      <c r="TDB178" s="2522"/>
      <c r="TDC178" s="2522"/>
      <c r="TDD178" s="2522"/>
      <c r="TDE178" s="2522"/>
      <c r="TDF178" s="2522"/>
      <c r="TDG178" s="2522"/>
      <c r="TDH178" s="2522"/>
      <c r="TDI178" s="2522"/>
      <c r="TDJ178" s="2522"/>
      <c r="TDK178" s="2522"/>
      <c r="TDL178" s="2522"/>
      <c r="TDM178" s="2522"/>
      <c r="TDN178" s="2522"/>
      <c r="TDO178" s="2522"/>
      <c r="TDP178" s="2522"/>
      <c r="TDQ178" s="2522"/>
      <c r="TDR178" s="2522"/>
      <c r="TDS178" s="2522"/>
      <c r="TDT178" s="2522"/>
      <c r="TDU178" s="2522"/>
      <c r="TDV178" s="2522"/>
      <c r="TDW178" s="2522"/>
      <c r="TDX178" s="2522"/>
      <c r="TDY178" s="2522"/>
      <c r="TDZ178" s="2522"/>
      <c r="TEA178" s="2522"/>
      <c r="TEB178" s="2522"/>
      <c r="TEC178" s="2522"/>
      <c r="TED178" s="2522"/>
      <c r="TEE178" s="2522"/>
      <c r="TEF178" s="2522"/>
      <c r="TEG178" s="2522"/>
      <c r="TEH178" s="2522"/>
      <c r="TEI178" s="2522"/>
      <c r="TEJ178" s="2522"/>
      <c r="TEK178" s="2522"/>
      <c r="TEL178" s="2522"/>
      <c r="TEM178" s="2522"/>
      <c r="TEN178" s="2522"/>
      <c r="TEO178" s="2522"/>
      <c r="TEP178" s="2522"/>
      <c r="TEQ178" s="2522"/>
      <c r="TER178" s="2522"/>
      <c r="TES178" s="2522"/>
      <c r="TET178" s="2522"/>
      <c r="TEU178" s="2522"/>
      <c r="TEV178" s="2522"/>
      <c r="TEW178" s="2522"/>
      <c r="TEX178" s="2522"/>
      <c r="TEY178" s="2522"/>
      <c r="TEZ178" s="2522"/>
      <c r="TFA178" s="2522"/>
      <c r="TFB178" s="2522"/>
      <c r="TFC178" s="2522"/>
      <c r="TFD178" s="2522"/>
      <c r="TFE178" s="2522"/>
      <c r="TFF178" s="2522"/>
      <c r="TFG178" s="2522"/>
      <c r="TFH178" s="2522"/>
      <c r="TFI178" s="2522"/>
      <c r="TFJ178" s="2522"/>
      <c r="TFK178" s="2522"/>
      <c r="TFL178" s="2522"/>
      <c r="TFM178" s="2522"/>
      <c r="TFN178" s="2522"/>
      <c r="TFO178" s="2522"/>
      <c r="TFP178" s="2522"/>
      <c r="TFQ178" s="2522"/>
      <c r="TFR178" s="2522"/>
      <c r="TFS178" s="2522"/>
      <c r="TFT178" s="2522"/>
      <c r="TFU178" s="2522"/>
      <c r="TFV178" s="2522"/>
      <c r="TFW178" s="2522"/>
      <c r="TFX178" s="2522"/>
      <c r="TFY178" s="2522"/>
      <c r="TFZ178" s="2522"/>
      <c r="TGA178" s="2522"/>
      <c r="TGB178" s="2522"/>
      <c r="TGC178" s="2522"/>
      <c r="TGD178" s="2522"/>
      <c r="TGE178" s="2522"/>
      <c r="TGF178" s="2522"/>
      <c r="TGG178" s="2522"/>
      <c r="TGH178" s="2522"/>
      <c r="TGI178" s="2522"/>
      <c r="TGJ178" s="2522"/>
      <c r="TGK178" s="2522"/>
      <c r="TGL178" s="2522"/>
      <c r="TGM178" s="2522"/>
      <c r="TGN178" s="2522"/>
      <c r="TGO178" s="2522"/>
      <c r="TGP178" s="2522"/>
      <c r="TGQ178" s="2522"/>
      <c r="TGR178" s="2522"/>
      <c r="TGS178" s="2522"/>
      <c r="TGT178" s="2522"/>
      <c r="TGU178" s="2522"/>
      <c r="TGV178" s="2522"/>
      <c r="TGW178" s="2522"/>
      <c r="TGX178" s="2522"/>
      <c r="TGY178" s="2522"/>
      <c r="TGZ178" s="2522"/>
      <c r="THA178" s="2522"/>
      <c r="THB178" s="2522"/>
      <c r="THC178" s="2522"/>
      <c r="THD178" s="2522"/>
      <c r="THE178" s="2522"/>
      <c r="THF178" s="2522"/>
      <c r="THG178" s="2522"/>
      <c r="THH178" s="2522"/>
      <c r="THI178" s="2522"/>
      <c r="THJ178" s="2522"/>
      <c r="THK178" s="2522"/>
      <c r="THL178" s="2522"/>
      <c r="THM178" s="2522"/>
      <c r="THN178" s="2522"/>
      <c r="THO178" s="2522"/>
      <c r="THP178" s="2522"/>
      <c r="THQ178" s="2522"/>
      <c r="THR178" s="2522"/>
      <c r="THS178" s="2522"/>
      <c r="THT178" s="2522"/>
      <c r="THU178" s="2522"/>
      <c r="THV178" s="2522"/>
      <c r="THW178" s="2522"/>
      <c r="THX178" s="2522"/>
      <c r="THY178" s="2522"/>
      <c r="THZ178" s="2522"/>
      <c r="TIA178" s="2522"/>
      <c r="TIB178" s="2522"/>
      <c r="TIC178" s="2522"/>
      <c r="TID178" s="2522"/>
      <c r="TIE178" s="2522"/>
      <c r="TIF178" s="2522"/>
      <c r="TIG178" s="2522"/>
      <c r="TIH178" s="2522"/>
      <c r="TII178" s="2522"/>
      <c r="TIJ178" s="2522"/>
      <c r="TIK178" s="2522"/>
      <c r="TIL178" s="2522"/>
      <c r="TIM178" s="2522"/>
      <c r="TIN178" s="2522"/>
      <c r="TIO178" s="2522"/>
      <c r="TIP178" s="2522"/>
      <c r="TIQ178" s="2522"/>
      <c r="TIR178" s="2522"/>
      <c r="TIS178" s="2522"/>
      <c r="TIT178" s="2522"/>
      <c r="TIU178" s="2522"/>
      <c r="TIV178" s="2522"/>
      <c r="TIW178" s="2522"/>
      <c r="TIX178" s="2522"/>
      <c r="TIY178" s="2522"/>
      <c r="TIZ178" s="2522"/>
      <c r="TJA178" s="2522"/>
      <c r="TJB178" s="2522"/>
      <c r="TJC178" s="2522"/>
      <c r="TJD178" s="2522"/>
      <c r="TJE178" s="2522"/>
      <c r="TJF178" s="2522"/>
      <c r="TJG178" s="2522"/>
      <c r="TJH178" s="2522"/>
      <c r="TJI178" s="2522"/>
      <c r="TJJ178" s="2522"/>
      <c r="TJK178" s="2522"/>
      <c r="TJL178" s="2522"/>
      <c r="TJM178" s="2522"/>
      <c r="TJN178" s="2522"/>
      <c r="TJO178" s="2522"/>
      <c r="TJP178" s="2522"/>
      <c r="TJQ178" s="2522"/>
      <c r="TJR178" s="2522"/>
      <c r="TJS178" s="2522"/>
      <c r="TJT178" s="2522"/>
      <c r="TJU178" s="2522"/>
      <c r="TJV178" s="2522"/>
      <c r="TJW178" s="2522"/>
      <c r="TJX178" s="2522"/>
      <c r="TJY178" s="2522"/>
      <c r="TJZ178" s="2522"/>
      <c r="TKA178" s="2522"/>
      <c r="TKB178" s="2522"/>
      <c r="TKC178" s="2522"/>
      <c r="TKD178" s="2522"/>
      <c r="TKE178" s="2522"/>
      <c r="TKF178" s="2522"/>
      <c r="TKG178" s="2522"/>
      <c r="TKH178" s="2522"/>
      <c r="TKI178" s="2522"/>
      <c r="TKJ178" s="2522"/>
      <c r="TKK178" s="2522"/>
      <c r="TKL178" s="2522"/>
      <c r="TKM178" s="2522"/>
      <c r="TKN178" s="2522"/>
      <c r="TKO178" s="2522"/>
      <c r="TKP178" s="2522"/>
      <c r="TKQ178" s="2522"/>
      <c r="TKR178" s="2522"/>
      <c r="TKS178" s="2522"/>
      <c r="TKT178" s="2522"/>
      <c r="TKU178" s="2522"/>
      <c r="TKV178" s="2522"/>
      <c r="TKW178" s="2522"/>
      <c r="TKX178" s="2522"/>
      <c r="TKY178" s="2522"/>
      <c r="TKZ178" s="2522"/>
      <c r="TLA178" s="2522"/>
      <c r="TLB178" s="2522"/>
      <c r="TLC178" s="2522"/>
      <c r="TLD178" s="2522"/>
      <c r="TLE178" s="2522"/>
      <c r="TLF178" s="2522"/>
      <c r="TLG178" s="2522"/>
      <c r="TLH178" s="2522"/>
      <c r="TLI178" s="2522"/>
      <c r="TLJ178" s="2522"/>
      <c r="TLK178" s="2522"/>
      <c r="TLL178" s="2522"/>
      <c r="TLM178" s="2522"/>
      <c r="TLN178" s="2522"/>
      <c r="TLO178" s="2522"/>
      <c r="TLP178" s="2522"/>
      <c r="TLQ178" s="2522"/>
      <c r="TLR178" s="2522"/>
      <c r="TLS178" s="2522"/>
      <c r="TLT178" s="2522"/>
      <c r="TLU178" s="2522"/>
      <c r="TLV178" s="2522"/>
      <c r="TLW178" s="2522"/>
      <c r="TLX178" s="2522"/>
      <c r="TLY178" s="2522"/>
      <c r="TLZ178" s="2522"/>
      <c r="TMA178" s="2522"/>
      <c r="TMB178" s="2522"/>
      <c r="TMC178" s="2522"/>
      <c r="TMD178" s="2522"/>
      <c r="TME178" s="2522"/>
      <c r="TMF178" s="2522"/>
      <c r="TMG178" s="2522"/>
      <c r="TMH178" s="2522"/>
      <c r="TMI178" s="2522"/>
      <c r="TMJ178" s="2522"/>
      <c r="TMK178" s="2522"/>
      <c r="TML178" s="2522"/>
      <c r="TMM178" s="2522"/>
      <c r="TMN178" s="2522"/>
      <c r="TMO178" s="2522"/>
      <c r="TMP178" s="2522"/>
      <c r="TMQ178" s="2522"/>
      <c r="TMR178" s="2522"/>
      <c r="TMS178" s="2522"/>
      <c r="TMT178" s="2522"/>
      <c r="TMU178" s="2522"/>
      <c r="TMV178" s="2522"/>
      <c r="TMW178" s="2522"/>
      <c r="TMX178" s="2522"/>
      <c r="TMY178" s="2522"/>
      <c r="TMZ178" s="2522"/>
      <c r="TNA178" s="2522"/>
      <c r="TNB178" s="2522"/>
      <c r="TNC178" s="2522"/>
      <c r="TND178" s="2522"/>
      <c r="TNE178" s="2522"/>
      <c r="TNF178" s="2522"/>
      <c r="TNG178" s="2522"/>
      <c r="TNH178" s="2522"/>
      <c r="TNI178" s="2522"/>
      <c r="TNJ178" s="2522"/>
      <c r="TNK178" s="2522"/>
      <c r="TNL178" s="2522"/>
      <c r="TNM178" s="2522"/>
      <c r="TNN178" s="2522"/>
      <c r="TNO178" s="2522"/>
      <c r="TNP178" s="2522"/>
      <c r="TNQ178" s="2522"/>
      <c r="TNR178" s="2522"/>
      <c r="TNS178" s="2522"/>
      <c r="TNT178" s="2522"/>
      <c r="TNU178" s="2522"/>
      <c r="TNV178" s="2522"/>
      <c r="TNW178" s="2522"/>
      <c r="TNX178" s="2522"/>
      <c r="TNY178" s="2522"/>
      <c r="TNZ178" s="2522"/>
      <c r="TOA178" s="2522"/>
      <c r="TOB178" s="2522"/>
      <c r="TOC178" s="2522"/>
      <c r="TOD178" s="2522"/>
      <c r="TOE178" s="2522"/>
      <c r="TOF178" s="2522"/>
      <c r="TOG178" s="2522"/>
      <c r="TOH178" s="2522"/>
      <c r="TOI178" s="2522"/>
      <c r="TOJ178" s="2522"/>
      <c r="TOK178" s="2522"/>
      <c r="TOL178" s="2522"/>
      <c r="TOM178" s="2522"/>
      <c r="TON178" s="2522"/>
      <c r="TOO178" s="2522"/>
      <c r="TOP178" s="2522"/>
      <c r="TOQ178" s="2522"/>
      <c r="TOR178" s="2522"/>
      <c r="TOS178" s="2522"/>
      <c r="TOT178" s="2522"/>
      <c r="TOU178" s="2522"/>
      <c r="TOV178" s="2522"/>
      <c r="TOW178" s="2522"/>
      <c r="TOX178" s="2522"/>
      <c r="TOY178" s="2522"/>
      <c r="TOZ178" s="2522"/>
      <c r="TPA178" s="2522"/>
      <c r="TPB178" s="2522"/>
      <c r="TPC178" s="2522"/>
      <c r="TPD178" s="2522"/>
      <c r="TPE178" s="2522"/>
      <c r="TPF178" s="2522"/>
      <c r="TPG178" s="2522"/>
      <c r="TPH178" s="2522"/>
      <c r="TPI178" s="2522"/>
      <c r="TPJ178" s="2522"/>
      <c r="TPK178" s="2522"/>
      <c r="TPL178" s="2522"/>
      <c r="TPM178" s="2522"/>
      <c r="TPN178" s="2522"/>
      <c r="TPO178" s="2522"/>
      <c r="TPP178" s="2522"/>
      <c r="TPQ178" s="2522"/>
      <c r="TPR178" s="2522"/>
      <c r="TPS178" s="2522"/>
      <c r="TPT178" s="2522"/>
      <c r="TPU178" s="2522"/>
      <c r="TPV178" s="2522"/>
      <c r="TPW178" s="2522"/>
      <c r="TPX178" s="2522"/>
      <c r="TPY178" s="2522"/>
      <c r="TPZ178" s="2522"/>
      <c r="TQA178" s="2522"/>
      <c r="TQB178" s="2522"/>
      <c r="TQC178" s="2522"/>
      <c r="TQD178" s="2522"/>
      <c r="TQE178" s="2522"/>
      <c r="TQF178" s="2522"/>
      <c r="TQG178" s="2522"/>
      <c r="TQH178" s="2522"/>
      <c r="TQI178" s="2522"/>
      <c r="TQJ178" s="2522"/>
      <c r="TQK178" s="2522"/>
      <c r="TQL178" s="2522"/>
      <c r="TQM178" s="2522"/>
      <c r="TQN178" s="2522"/>
      <c r="TQO178" s="2522"/>
      <c r="TQP178" s="2522"/>
      <c r="TQQ178" s="2522"/>
      <c r="TQR178" s="2522"/>
      <c r="TQS178" s="2522"/>
      <c r="TQT178" s="2522"/>
      <c r="TQU178" s="2522"/>
      <c r="TQV178" s="2522"/>
      <c r="TQW178" s="2522"/>
      <c r="TQX178" s="2522"/>
      <c r="TQY178" s="2522"/>
      <c r="TQZ178" s="2522"/>
      <c r="TRA178" s="2522"/>
      <c r="TRB178" s="2522"/>
      <c r="TRC178" s="2522"/>
      <c r="TRD178" s="2522"/>
      <c r="TRE178" s="2522"/>
      <c r="TRF178" s="2522"/>
      <c r="TRG178" s="2522"/>
      <c r="TRH178" s="2522"/>
      <c r="TRI178" s="2522"/>
      <c r="TRJ178" s="2522"/>
      <c r="TRK178" s="2522"/>
      <c r="TRL178" s="2522"/>
      <c r="TRM178" s="2522"/>
      <c r="TRN178" s="2522"/>
      <c r="TRO178" s="2522"/>
      <c r="TRP178" s="2522"/>
      <c r="TRQ178" s="2522"/>
      <c r="TRR178" s="2522"/>
      <c r="TRS178" s="2522"/>
      <c r="TRT178" s="2522"/>
      <c r="TRU178" s="2522"/>
      <c r="TRV178" s="2522"/>
      <c r="TRW178" s="2522"/>
      <c r="TRX178" s="2522"/>
      <c r="TRY178" s="2522"/>
      <c r="TRZ178" s="2522"/>
      <c r="TSA178" s="2522"/>
      <c r="TSB178" s="2522"/>
      <c r="TSC178" s="2522"/>
      <c r="TSD178" s="2522"/>
      <c r="TSE178" s="2522"/>
      <c r="TSF178" s="2522"/>
      <c r="TSG178" s="2522"/>
      <c r="TSH178" s="2522"/>
      <c r="TSI178" s="2522"/>
      <c r="TSJ178" s="2522"/>
      <c r="TSK178" s="2522"/>
      <c r="TSL178" s="2522"/>
      <c r="TSM178" s="2522"/>
      <c r="TSN178" s="2522"/>
      <c r="TSO178" s="2522"/>
      <c r="TSP178" s="2522"/>
      <c r="TSQ178" s="2522"/>
      <c r="TSR178" s="2522"/>
      <c r="TSS178" s="2522"/>
      <c r="TST178" s="2522"/>
      <c r="TSU178" s="2522"/>
      <c r="TSV178" s="2522"/>
      <c r="TSW178" s="2522"/>
      <c r="TSX178" s="2522"/>
      <c r="TSY178" s="2522"/>
      <c r="TSZ178" s="2522"/>
      <c r="TTA178" s="2522"/>
      <c r="TTB178" s="2522"/>
      <c r="TTC178" s="2522"/>
      <c r="TTD178" s="2522"/>
      <c r="TTE178" s="2522"/>
      <c r="TTF178" s="2522"/>
      <c r="TTG178" s="2522"/>
      <c r="TTH178" s="2522"/>
      <c r="TTI178" s="2522"/>
      <c r="TTJ178" s="2522"/>
      <c r="TTK178" s="2522"/>
      <c r="TTL178" s="2522"/>
      <c r="TTM178" s="2522"/>
      <c r="TTN178" s="2522"/>
      <c r="TTO178" s="2522"/>
      <c r="TTP178" s="2522"/>
      <c r="TTQ178" s="2522"/>
      <c r="TTR178" s="2522"/>
      <c r="TTS178" s="2522"/>
      <c r="TTT178" s="2522"/>
      <c r="TTU178" s="2522"/>
      <c r="TTV178" s="2522"/>
      <c r="TTW178" s="2522"/>
      <c r="TTX178" s="2522"/>
      <c r="TTY178" s="2522"/>
      <c r="TTZ178" s="2522"/>
      <c r="TUA178" s="2522"/>
      <c r="TUB178" s="2522"/>
      <c r="TUC178" s="2522"/>
      <c r="TUD178" s="2522"/>
      <c r="TUE178" s="2522"/>
      <c r="TUF178" s="2522"/>
      <c r="TUG178" s="2522"/>
      <c r="TUH178" s="2522"/>
      <c r="TUI178" s="2522"/>
      <c r="TUJ178" s="2522"/>
      <c r="TUK178" s="2522"/>
      <c r="TUL178" s="2522"/>
      <c r="TUM178" s="2522"/>
      <c r="TUN178" s="2522"/>
      <c r="TUO178" s="2522"/>
      <c r="TUP178" s="2522"/>
      <c r="TUQ178" s="2522"/>
      <c r="TUR178" s="2522"/>
      <c r="TUS178" s="2522"/>
      <c r="TUT178" s="2522"/>
      <c r="TUU178" s="2522"/>
      <c r="TUV178" s="2522"/>
      <c r="TUW178" s="2522"/>
      <c r="TUX178" s="2522"/>
      <c r="TUY178" s="2522"/>
      <c r="TUZ178" s="2522"/>
      <c r="TVA178" s="2522"/>
      <c r="TVB178" s="2522"/>
      <c r="TVC178" s="2522"/>
      <c r="TVD178" s="2522"/>
      <c r="TVE178" s="2522"/>
      <c r="TVF178" s="2522"/>
      <c r="TVG178" s="2522"/>
      <c r="TVH178" s="2522"/>
      <c r="TVI178" s="2522"/>
      <c r="TVJ178" s="2522"/>
      <c r="TVK178" s="2522"/>
      <c r="TVL178" s="2522"/>
      <c r="TVM178" s="2522"/>
      <c r="TVN178" s="2522"/>
      <c r="TVO178" s="2522"/>
      <c r="TVP178" s="2522"/>
      <c r="TVQ178" s="2522"/>
      <c r="TVR178" s="2522"/>
      <c r="TVS178" s="2522"/>
      <c r="TVT178" s="2522"/>
      <c r="TVU178" s="2522"/>
      <c r="TVV178" s="2522"/>
      <c r="TVW178" s="2522"/>
      <c r="TVX178" s="2522"/>
      <c r="TVY178" s="2522"/>
      <c r="TVZ178" s="2522"/>
      <c r="TWA178" s="2522"/>
      <c r="TWB178" s="2522"/>
      <c r="TWC178" s="2522"/>
      <c r="TWD178" s="2522"/>
      <c r="TWE178" s="2522"/>
      <c r="TWF178" s="2522"/>
      <c r="TWG178" s="2522"/>
      <c r="TWH178" s="2522"/>
      <c r="TWI178" s="2522"/>
      <c r="TWJ178" s="2522"/>
      <c r="TWK178" s="2522"/>
      <c r="TWL178" s="2522"/>
      <c r="TWM178" s="2522"/>
      <c r="TWN178" s="2522"/>
      <c r="TWO178" s="2522"/>
      <c r="TWP178" s="2522"/>
      <c r="TWQ178" s="2522"/>
      <c r="TWR178" s="2522"/>
      <c r="TWS178" s="2522"/>
      <c r="TWT178" s="2522"/>
      <c r="TWU178" s="2522"/>
      <c r="TWV178" s="2522"/>
      <c r="TWW178" s="2522"/>
      <c r="TWX178" s="2522"/>
      <c r="TWY178" s="2522"/>
      <c r="TWZ178" s="2522"/>
      <c r="TXA178" s="2522"/>
      <c r="TXB178" s="2522"/>
      <c r="TXC178" s="2522"/>
      <c r="TXD178" s="2522"/>
      <c r="TXE178" s="2522"/>
      <c r="TXF178" s="2522"/>
      <c r="TXG178" s="2522"/>
      <c r="TXH178" s="2522"/>
      <c r="TXI178" s="2522"/>
      <c r="TXJ178" s="2522"/>
      <c r="TXK178" s="2522"/>
      <c r="TXL178" s="2522"/>
      <c r="TXM178" s="2522"/>
      <c r="TXN178" s="2522"/>
      <c r="TXO178" s="2522"/>
      <c r="TXP178" s="2522"/>
      <c r="TXQ178" s="2522"/>
      <c r="TXR178" s="2522"/>
      <c r="TXS178" s="2522"/>
      <c r="TXT178" s="2522"/>
      <c r="TXU178" s="2522"/>
      <c r="TXV178" s="2522"/>
      <c r="TXW178" s="2522"/>
      <c r="TXX178" s="2522"/>
      <c r="TXY178" s="2522"/>
      <c r="TXZ178" s="2522"/>
      <c r="TYA178" s="2522"/>
      <c r="TYB178" s="2522"/>
      <c r="TYC178" s="2522"/>
      <c r="TYD178" s="2522"/>
      <c r="TYE178" s="2522"/>
      <c r="TYF178" s="2522"/>
      <c r="TYG178" s="2522"/>
      <c r="TYH178" s="2522"/>
      <c r="TYI178" s="2522"/>
      <c r="TYJ178" s="2522"/>
      <c r="TYK178" s="2522"/>
      <c r="TYL178" s="2522"/>
      <c r="TYM178" s="2522"/>
      <c r="TYN178" s="2522"/>
      <c r="TYO178" s="2522"/>
      <c r="TYP178" s="2522"/>
      <c r="TYQ178" s="2522"/>
      <c r="TYR178" s="2522"/>
      <c r="TYS178" s="2522"/>
      <c r="TYT178" s="2522"/>
      <c r="TYU178" s="2522"/>
      <c r="TYV178" s="2522"/>
      <c r="TYW178" s="2522"/>
      <c r="TYX178" s="2522"/>
      <c r="TYY178" s="2522"/>
      <c r="TYZ178" s="2522"/>
      <c r="TZA178" s="2522"/>
      <c r="TZB178" s="2522"/>
      <c r="TZC178" s="2522"/>
      <c r="TZD178" s="2522"/>
      <c r="TZE178" s="2522"/>
      <c r="TZF178" s="2522"/>
      <c r="TZG178" s="2522"/>
      <c r="TZH178" s="2522"/>
      <c r="TZI178" s="2522"/>
      <c r="TZJ178" s="2522"/>
      <c r="TZK178" s="2522"/>
      <c r="TZL178" s="2522"/>
      <c r="TZM178" s="2522"/>
      <c r="TZN178" s="2522"/>
      <c r="TZO178" s="2522"/>
      <c r="TZP178" s="2522"/>
      <c r="TZQ178" s="2522"/>
      <c r="TZR178" s="2522"/>
      <c r="TZS178" s="2522"/>
      <c r="TZT178" s="2522"/>
      <c r="TZU178" s="2522"/>
      <c r="TZV178" s="2522"/>
      <c r="TZW178" s="2522"/>
      <c r="TZX178" s="2522"/>
      <c r="TZY178" s="2522"/>
      <c r="TZZ178" s="2522"/>
      <c r="UAA178" s="2522"/>
      <c r="UAB178" s="2522"/>
      <c r="UAC178" s="2522"/>
      <c r="UAD178" s="2522"/>
      <c r="UAE178" s="2522"/>
      <c r="UAF178" s="2522"/>
      <c r="UAG178" s="2522"/>
      <c r="UAH178" s="2522"/>
      <c r="UAI178" s="2522"/>
      <c r="UAJ178" s="2522"/>
      <c r="UAK178" s="2522"/>
      <c r="UAL178" s="2522"/>
      <c r="UAM178" s="2522"/>
      <c r="UAN178" s="2522"/>
      <c r="UAO178" s="2522"/>
      <c r="UAP178" s="2522"/>
      <c r="UAQ178" s="2522"/>
      <c r="UAR178" s="2522"/>
      <c r="UAS178" s="2522"/>
      <c r="UAT178" s="2522"/>
      <c r="UAU178" s="2522"/>
      <c r="UAV178" s="2522"/>
      <c r="UAW178" s="2522"/>
      <c r="UAX178" s="2522"/>
      <c r="UAY178" s="2522"/>
      <c r="UAZ178" s="2522"/>
      <c r="UBA178" s="2522"/>
      <c r="UBB178" s="2522"/>
      <c r="UBC178" s="2522"/>
      <c r="UBD178" s="2522"/>
      <c r="UBE178" s="2522"/>
      <c r="UBF178" s="2522"/>
      <c r="UBG178" s="2522"/>
      <c r="UBH178" s="2522"/>
      <c r="UBI178" s="2522"/>
      <c r="UBJ178" s="2522"/>
      <c r="UBK178" s="2522"/>
      <c r="UBL178" s="2522"/>
      <c r="UBM178" s="2522"/>
      <c r="UBN178" s="2522"/>
      <c r="UBO178" s="2522"/>
      <c r="UBP178" s="2522"/>
      <c r="UBQ178" s="2522"/>
      <c r="UBR178" s="2522"/>
      <c r="UBS178" s="2522"/>
      <c r="UBT178" s="2522"/>
      <c r="UBU178" s="2522"/>
      <c r="UBV178" s="2522"/>
      <c r="UBW178" s="2522"/>
      <c r="UBX178" s="2522"/>
      <c r="UBY178" s="2522"/>
      <c r="UBZ178" s="2522"/>
      <c r="UCA178" s="2522"/>
      <c r="UCB178" s="2522"/>
      <c r="UCC178" s="2522"/>
      <c r="UCD178" s="2522"/>
      <c r="UCE178" s="2522"/>
      <c r="UCF178" s="2522"/>
      <c r="UCG178" s="2522"/>
      <c r="UCH178" s="2522"/>
      <c r="UCI178" s="2522"/>
      <c r="UCJ178" s="2522"/>
      <c r="UCK178" s="2522"/>
      <c r="UCL178" s="2522"/>
      <c r="UCM178" s="2522"/>
      <c r="UCN178" s="2522"/>
      <c r="UCO178" s="2522"/>
      <c r="UCP178" s="2522"/>
      <c r="UCQ178" s="2522"/>
      <c r="UCR178" s="2522"/>
      <c r="UCS178" s="2522"/>
      <c r="UCT178" s="2522"/>
      <c r="UCU178" s="2522"/>
      <c r="UCV178" s="2522"/>
      <c r="UCW178" s="2522"/>
      <c r="UCX178" s="2522"/>
      <c r="UCY178" s="2522"/>
      <c r="UCZ178" s="2522"/>
      <c r="UDA178" s="2522"/>
      <c r="UDB178" s="2522"/>
      <c r="UDC178" s="2522"/>
      <c r="UDD178" s="2522"/>
      <c r="UDE178" s="2522"/>
      <c r="UDF178" s="2522"/>
      <c r="UDG178" s="2522"/>
      <c r="UDH178" s="2522"/>
      <c r="UDI178" s="2522"/>
      <c r="UDJ178" s="2522"/>
      <c r="UDK178" s="2522"/>
      <c r="UDL178" s="2522"/>
      <c r="UDM178" s="2522"/>
      <c r="UDN178" s="2522"/>
      <c r="UDO178" s="2522"/>
      <c r="UDP178" s="2522"/>
      <c r="UDQ178" s="2522"/>
      <c r="UDR178" s="2522"/>
      <c r="UDS178" s="2522"/>
      <c r="UDT178" s="2522"/>
      <c r="UDU178" s="2522"/>
      <c r="UDV178" s="2522"/>
      <c r="UDW178" s="2522"/>
      <c r="UDX178" s="2522"/>
      <c r="UDY178" s="2522"/>
      <c r="UDZ178" s="2522"/>
      <c r="UEA178" s="2522"/>
      <c r="UEB178" s="2522"/>
      <c r="UEC178" s="2522"/>
      <c r="UED178" s="2522"/>
      <c r="UEE178" s="2522"/>
      <c r="UEF178" s="2522"/>
      <c r="UEG178" s="2522"/>
      <c r="UEH178" s="2522"/>
      <c r="UEI178" s="2522"/>
      <c r="UEJ178" s="2522"/>
      <c r="UEK178" s="2522"/>
      <c r="UEL178" s="2522"/>
      <c r="UEM178" s="2522"/>
      <c r="UEN178" s="2522"/>
      <c r="UEO178" s="2522"/>
      <c r="UEP178" s="2522"/>
      <c r="UEQ178" s="2522"/>
      <c r="UER178" s="2522"/>
      <c r="UES178" s="2522"/>
      <c r="UET178" s="2522"/>
      <c r="UEU178" s="2522"/>
      <c r="UEV178" s="2522"/>
      <c r="UEW178" s="2522"/>
      <c r="UEX178" s="2522"/>
      <c r="UEY178" s="2522"/>
      <c r="UEZ178" s="2522"/>
      <c r="UFA178" s="2522"/>
      <c r="UFB178" s="2522"/>
      <c r="UFC178" s="2522"/>
      <c r="UFD178" s="2522"/>
      <c r="UFE178" s="2522"/>
      <c r="UFF178" s="2522"/>
      <c r="UFG178" s="2522"/>
      <c r="UFH178" s="2522"/>
      <c r="UFI178" s="2522"/>
      <c r="UFJ178" s="2522"/>
      <c r="UFK178" s="2522"/>
      <c r="UFL178" s="2522"/>
      <c r="UFM178" s="2522"/>
      <c r="UFN178" s="2522"/>
      <c r="UFO178" s="2522"/>
      <c r="UFP178" s="2522"/>
      <c r="UFQ178" s="2522"/>
      <c r="UFR178" s="2522"/>
      <c r="UFS178" s="2522"/>
      <c r="UFT178" s="2522"/>
      <c r="UFU178" s="2522"/>
      <c r="UFV178" s="2522"/>
      <c r="UFW178" s="2522"/>
      <c r="UFX178" s="2522"/>
      <c r="UFY178" s="2522"/>
      <c r="UFZ178" s="2522"/>
      <c r="UGA178" s="2522"/>
      <c r="UGB178" s="2522"/>
      <c r="UGC178" s="2522"/>
      <c r="UGD178" s="2522"/>
      <c r="UGE178" s="2522"/>
      <c r="UGF178" s="2522"/>
      <c r="UGG178" s="2522"/>
      <c r="UGH178" s="2522"/>
      <c r="UGI178" s="2522"/>
      <c r="UGJ178" s="2522"/>
      <c r="UGK178" s="2522"/>
      <c r="UGL178" s="2522"/>
      <c r="UGM178" s="2522"/>
      <c r="UGN178" s="2522"/>
      <c r="UGO178" s="2522"/>
      <c r="UGP178" s="2522"/>
      <c r="UGQ178" s="2522"/>
      <c r="UGR178" s="2522"/>
      <c r="UGS178" s="2522"/>
      <c r="UGT178" s="2522"/>
      <c r="UGU178" s="2522"/>
      <c r="UGV178" s="2522"/>
      <c r="UGW178" s="2522"/>
      <c r="UGX178" s="2522"/>
      <c r="UGY178" s="2522"/>
      <c r="UGZ178" s="2522"/>
      <c r="UHA178" s="2522"/>
      <c r="UHB178" s="2522"/>
      <c r="UHC178" s="2522"/>
      <c r="UHD178" s="2522"/>
      <c r="UHE178" s="2522"/>
      <c r="UHF178" s="2522"/>
      <c r="UHG178" s="2522"/>
      <c r="UHH178" s="2522"/>
      <c r="UHI178" s="2522"/>
      <c r="UHJ178" s="2522"/>
      <c r="UHK178" s="2522"/>
      <c r="UHL178" s="2522"/>
      <c r="UHM178" s="2522"/>
      <c r="UHN178" s="2522"/>
      <c r="UHO178" s="2522"/>
      <c r="UHP178" s="2522"/>
      <c r="UHQ178" s="2522"/>
      <c r="UHR178" s="2522"/>
      <c r="UHS178" s="2522"/>
      <c r="UHT178" s="2522"/>
      <c r="UHU178" s="2522"/>
      <c r="UHV178" s="2522"/>
      <c r="UHW178" s="2522"/>
      <c r="UHX178" s="2522"/>
      <c r="UHY178" s="2522"/>
      <c r="UHZ178" s="2522"/>
      <c r="UIA178" s="2522"/>
      <c r="UIB178" s="2522"/>
      <c r="UIC178" s="2522"/>
      <c r="UID178" s="2522"/>
      <c r="UIE178" s="2522"/>
      <c r="UIF178" s="2522"/>
      <c r="UIG178" s="2522"/>
      <c r="UIH178" s="2522"/>
      <c r="UII178" s="2522"/>
      <c r="UIJ178" s="2522"/>
      <c r="UIK178" s="2522"/>
      <c r="UIL178" s="2522"/>
      <c r="UIM178" s="2522"/>
      <c r="UIN178" s="2522"/>
      <c r="UIO178" s="2522"/>
      <c r="UIP178" s="2522"/>
      <c r="UIQ178" s="2522"/>
      <c r="UIR178" s="2522"/>
      <c r="UIS178" s="2522"/>
      <c r="UIT178" s="2522"/>
      <c r="UIU178" s="2522"/>
      <c r="UIV178" s="2522"/>
      <c r="UIW178" s="2522"/>
      <c r="UIX178" s="2522"/>
      <c r="UIY178" s="2522"/>
      <c r="UIZ178" s="2522"/>
      <c r="UJA178" s="2522"/>
      <c r="UJB178" s="2522"/>
      <c r="UJC178" s="2522"/>
      <c r="UJD178" s="2522"/>
      <c r="UJE178" s="2522"/>
      <c r="UJF178" s="2522"/>
      <c r="UJG178" s="2522"/>
      <c r="UJH178" s="2522"/>
      <c r="UJI178" s="2522"/>
      <c r="UJJ178" s="2522"/>
      <c r="UJK178" s="2522"/>
      <c r="UJL178" s="2522"/>
      <c r="UJM178" s="2522"/>
      <c r="UJN178" s="2522"/>
      <c r="UJO178" s="2522"/>
      <c r="UJP178" s="2522"/>
      <c r="UJQ178" s="2522"/>
      <c r="UJR178" s="2522"/>
      <c r="UJS178" s="2522"/>
      <c r="UJT178" s="2522"/>
      <c r="UJU178" s="2522"/>
      <c r="UJV178" s="2522"/>
      <c r="UJW178" s="2522"/>
      <c r="UJX178" s="2522"/>
      <c r="UJY178" s="2522"/>
      <c r="UJZ178" s="2522"/>
      <c r="UKA178" s="2522"/>
      <c r="UKB178" s="2522"/>
      <c r="UKC178" s="2522"/>
      <c r="UKD178" s="2522"/>
      <c r="UKE178" s="2522"/>
      <c r="UKF178" s="2522"/>
      <c r="UKG178" s="2522"/>
      <c r="UKH178" s="2522"/>
      <c r="UKI178" s="2522"/>
      <c r="UKJ178" s="2522"/>
      <c r="UKK178" s="2522"/>
      <c r="UKL178" s="2522"/>
      <c r="UKM178" s="2522"/>
      <c r="UKN178" s="2522"/>
      <c r="UKO178" s="2522"/>
      <c r="UKP178" s="2522"/>
      <c r="UKQ178" s="2522"/>
      <c r="UKR178" s="2522"/>
      <c r="UKS178" s="2522"/>
      <c r="UKT178" s="2522"/>
      <c r="UKU178" s="2522"/>
      <c r="UKV178" s="2522"/>
      <c r="UKW178" s="2522"/>
      <c r="UKX178" s="2522"/>
      <c r="UKY178" s="2522"/>
      <c r="UKZ178" s="2522"/>
      <c r="ULA178" s="2522"/>
      <c r="ULB178" s="2522"/>
      <c r="ULC178" s="2522"/>
      <c r="ULD178" s="2522"/>
      <c r="ULE178" s="2522"/>
      <c r="ULF178" s="2522"/>
      <c r="ULG178" s="2522"/>
      <c r="ULH178" s="2522"/>
      <c r="ULI178" s="2522"/>
      <c r="ULJ178" s="2522"/>
      <c r="ULK178" s="2522"/>
      <c r="ULL178" s="2522"/>
      <c r="ULM178" s="2522"/>
      <c r="ULN178" s="2522"/>
      <c r="ULO178" s="2522"/>
      <c r="ULP178" s="2522"/>
      <c r="ULQ178" s="2522"/>
      <c r="ULR178" s="2522"/>
      <c r="ULS178" s="2522"/>
      <c r="ULT178" s="2522"/>
      <c r="ULU178" s="2522"/>
      <c r="ULV178" s="2522"/>
      <c r="ULW178" s="2522"/>
      <c r="ULX178" s="2522"/>
      <c r="ULY178" s="2522"/>
      <c r="ULZ178" s="2522"/>
      <c r="UMA178" s="2522"/>
      <c r="UMB178" s="2522"/>
      <c r="UMC178" s="2522"/>
      <c r="UMD178" s="2522"/>
      <c r="UME178" s="2522"/>
      <c r="UMF178" s="2522"/>
      <c r="UMG178" s="2522"/>
      <c r="UMH178" s="2522"/>
      <c r="UMI178" s="2522"/>
      <c r="UMJ178" s="2522"/>
      <c r="UMK178" s="2522"/>
      <c r="UML178" s="2522"/>
      <c r="UMM178" s="2522"/>
      <c r="UMN178" s="2522"/>
      <c r="UMO178" s="2522"/>
      <c r="UMP178" s="2522"/>
      <c r="UMQ178" s="2522"/>
      <c r="UMR178" s="2522"/>
      <c r="UMS178" s="2522"/>
      <c r="UMT178" s="2522"/>
      <c r="UMU178" s="2522"/>
      <c r="UMV178" s="2522"/>
      <c r="UMW178" s="2522"/>
      <c r="UMX178" s="2522"/>
      <c r="UMY178" s="2522"/>
      <c r="UMZ178" s="2522"/>
      <c r="UNA178" s="2522"/>
      <c r="UNB178" s="2522"/>
      <c r="UNC178" s="2522"/>
      <c r="UND178" s="2522"/>
      <c r="UNE178" s="2522"/>
      <c r="UNF178" s="2522"/>
      <c r="UNG178" s="2522"/>
      <c r="UNH178" s="2522"/>
      <c r="UNI178" s="2522"/>
      <c r="UNJ178" s="2522"/>
      <c r="UNK178" s="2522"/>
      <c r="UNL178" s="2522"/>
      <c r="UNM178" s="2522"/>
      <c r="UNN178" s="2522"/>
      <c r="UNO178" s="2522"/>
      <c r="UNP178" s="2522"/>
      <c r="UNQ178" s="2522"/>
      <c r="UNR178" s="2522"/>
      <c r="UNS178" s="2522"/>
      <c r="UNT178" s="2522"/>
      <c r="UNU178" s="2522"/>
      <c r="UNV178" s="2522"/>
      <c r="UNW178" s="2522"/>
      <c r="UNX178" s="2522"/>
      <c r="UNY178" s="2522"/>
      <c r="UNZ178" s="2522"/>
      <c r="UOA178" s="2522"/>
      <c r="UOB178" s="2522"/>
      <c r="UOC178" s="2522"/>
      <c r="UOD178" s="2522"/>
      <c r="UOE178" s="2522"/>
      <c r="UOF178" s="2522"/>
      <c r="UOG178" s="2522"/>
      <c r="UOH178" s="2522"/>
      <c r="UOI178" s="2522"/>
      <c r="UOJ178" s="2522"/>
      <c r="UOK178" s="2522"/>
      <c r="UOL178" s="2522"/>
      <c r="UOM178" s="2522"/>
      <c r="UON178" s="2522"/>
      <c r="UOO178" s="2522"/>
      <c r="UOP178" s="2522"/>
      <c r="UOQ178" s="2522"/>
      <c r="UOR178" s="2522"/>
      <c r="UOS178" s="2522"/>
      <c r="UOT178" s="2522"/>
      <c r="UOU178" s="2522"/>
      <c r="UOV178" s="2522"/>
      <c r="UOW178" s="2522"/>
      <c r="UOX178" s="2522"/>
      <c r="UOY178" s="2522"/>
      <c r="UOZ178" s="2522"/>
      <c r="UPA178" s="2522"/>
      <c r="UPB178" s="2522"/>
      <c r="UPC178" s="2522"/>
      <c r="UPD178" s="2522"/>
      <c r="UPE178" s="2522"/>
      <c r="UPF178" s="2522"/>
      <c r="UPG178" s="2522"/>
      <c r="UPH178" s="2522"/>
      <c r="UPI178" s="2522"/>
      <c r="UPJ178" s="2522"/>
      <c r="UPK178" s="2522"/>
      <c r="UPL178" s="2522"/>
      <c r="UPM178" s="2522"/>
      <c r="UPN178" s="2522"/>
      <c r="UPO178" s="2522"/>
      <c r="UPP178" s="2522"/>
      <c r="UPQ178" s="2522"/>
      <c r="UPR178" s="2522"/>
      <c r="UPS178" s="2522"/>
      <c r="UPT178" s="2522"/>
      <c r="UPU178" s="2522"/>
      <c r="UPV178" s="2522"/>
      <c r="UPW178" s="2522"/>
      <c r="UPX178" s="2522"/>
      <c r="UPY178" s="2522"/>
      <c r="UPZ178" s="2522"/>
      <c r="UQA178" s="2522"/>
      <c r="UQB178" s="2522"/>
      <c r="UQC178" s="2522"/>
      <c r="UQD178" s="2522"/>
      <c r="UQE178" s="2522"/>
      <c r="UQF178" s="2522"/>
      <c r="UQG178" s="2522"/>
      <c r="UQH178" s="2522"/>
      <c r="UQI178" s="2522"/>
      <c r="UQJ178" s="2522"/>
      <c r="UQK178" s="2522"/>
      <c r="UQL178" s="2522"/>
      <c r="UQM178" s="2522"/>
      <c r="UQN178" s="2522"/>
      <c r="UQO178" s="2522"/>
      <c r="UQP178" s="2522"/>
      <c r="UQQ178" s="2522"/>
      <c r="UQR178" s="2522"/>
      <c r="UQS178" s="2522"/>
      <c r="UQT178" s="2522"/>
      <c r="UQU178" s="2522"/>
      <c r="UQV178" s="2522"/>
      <c r="UQW178" s="2522"/>
      <c r="UQX178" s="2522"/>
      <c r="UQY178" s="2522"/>
      <c r="UQZ178" s="2522"/>
      <c r="URA178" s="2522"/>
      <c r="URB178" s="2522"/>
      <c r="URC178" s="2522"/>
      <c r="URD178" s="2522"/>
      <c r="URE178" s="2522"/>
      <c r="URF178" s="2522"/>
      <c r="URG178" s="2522"/>
      <c r="URH178" s="2522"/>
      <c r="URI178" s="2522"/>
      <c r="URJ178" s="2522"/>
      <c r="URK178" s="2522"/>
      <c r="URL178" s="2522"/>
      <c r="URM178" s="2522"/>
      <c r="URN178" s="2522"/>
      <c r="URO178" s="2522"/>
      <c r="URP178" s="2522"/>
      <c r="URQ178" s="2522"/>
      <c r="URR178" s="2522"/>
      <c r="URS178" s="2522"/>
      <c r="URT178" s="2522"/>
      <c r="URU178" s="2522"/>
      <c r="URV178" s="2522"/>
      <c r="URW178" s="2522"/>
      <c r="URX178" s="2522"/>
      <c r="URY178" s="2522"/>
      <c r="URZ178" s="2522"/>
      <c r="USA178" s="2522"/>
      <c r="USB178" s="2522"/>
      <c r="USC178" s="2522"/>
      <c r="USD178" s="2522"/>
      <c r="USE178" s="2522"/>
      <c r="USF178" s="2522"/>
      <c r="USG178" s="2522"/>
      <c r="USH178" s="2522"/>
      <c r="USI178" s="2522"/>
      <c r="USJ178" s="2522"/>
      <c r="USK178" s="2522"/>
      <c r="USL178" s="2522"/>
      <c r="USM178" s="2522"/>
      <c r="USN178" s="2522"/>
      <c r="USO178" s="2522"/>
      <c r="USP178" s="2522"/>
      <c r="USQ178" s="2522"/>
      <c r="USR178" s="2522"/>
      <c r="USS178" s="2522"/>
      <c r="UST178" s="2522"/>
      <c r="USU178" s="2522"/>
      <c r="USV178" s="2522"/>
      <c r="USW178" s="2522"/>
      <c r="USX178" s="2522"/>
      <c r="USY178" s="2522"/>
      <c r="USZ178" s="2522"/>
      <c r="UTA178" s="2522"/>
      <c r="UTB178" s="2522"/>
      <c r="UTC178" s="2522"/>
      <c r="UTD178" s="2522"/>
      <c r="UTE178" s="2522"/>
      <c r="UTF178" s="2522"/>
      <c r="UTG178" s="2522"/>
      <c r="UTH178" s="2522"/>
      <c r="UTI178" s="2522"/>
      <c r="UTJ178" s="2522"/>
      <c r="UTK178" s="2522"/>
      <c r="UTL178" s="2522"/>
      <c r="UTM178" s="2522"/>
      <c r="UTN178" s="2522"/>
      <c r="UTO178" s="2522"/>
      <c r="UTP178" s="2522"/>
      <c r="UTQ178" s="2522"/>
      <c r="UTR178" s="2522"/>
      <c r="UTS178" s="2522"/>
      <c r="UTT178" s="2522"/>
      <c r="UTU178" s="2522"/>
      <c r="UTV178" s="2522"/>
      <c r="UTW178" s="2522"/>
      <c r="UTX178" s="2522"/>
      <c r="UTY178" s="2522"/>
      <c r="UTZ178" s="2522"/>
      <c r="UUA178" s="2522"/>
      <c r="UUB178" s="2522"/>
      <c r="UUC178" s="2522"/>
      <c r="UUD178" s="2522"/>
      <c r="UUE178" s="2522"/>
      <c r="UUF178" s="2522"/>
      <c r="UUG178" s="2522"/>
      <c r="UUH178" s="2522"/>
      <c r="UUI178" s="2522"/>
      <c r="UUJ178" s="2522"/>
      <c r="UUK178" s="2522"/>
      <c r="UUL178" s="2522"/>
      <c r="UUM178" s="2522"/>
      <c r="UUN178" s="2522"/>
      <c r="UUO178" s="2522"/>
      <c r="UUP178" s="2522"/>
      <c r="UUQ178" s="2522"/>
      <c r="UUR178" s="2522"/>
      <c r="UUS178" s="2522"/>
      <c r="UUT178" s="2522"/>
      <c r="UUU178" s="2522"/>
      <c r="UUV178" s="2522"/>
      <c r="UUW178" s="2522"/>
      <c r="UUX178" s="2522"/>
      <c r="UUY178" s="2522"/>
      <c r="UUZ178" s="2522"/>
      <c r="UVA178" s="2522"/>
      <c r="UVB178" s="2522"/>
      <c r="UVC178" s="2522"/>
      <c r="UVD178" s="2522"/>
      <c r="UVE178" s="2522"/>
      <c r="UVF178" s="2522"/>
      <c r="UVG178" s="2522"/>
      <c r="UVH178" s="2522"/>
      <c r="UVI178" s="2522"/>
      <c r="UVJ178" s="2522"/>
      <c r="UVK178" s="2522"/>
      <c r="UVL178" s="2522"/>
      <c r="UVM178" s="2522"/>
      <c r="UVN178" s="2522"/>
      <c r="UVO178" s="2522"/>
      <c r="UVP178" s="2522"/>
      <c r="UVQ178" s="2522"/>
      <c r="UVR178" s="2522"/>
      <c r="UVS178" s="2522"/>
      <c r="UVT178" s="2522"/>
      <c r="UVU178" s="2522"/>
      <c r="UVV178" s="2522"/>
      <c r="UVW178" s="2522"/>
      <c r="UVX178" s="2522"/>
      <c r="UVY178" s="2522"/>
      <c r="UVZ178" s="2522"/>
      <c r="UWA178" s="2522"/>
      <c r="UWB178" s="2522"/>
      <c r="UWC178" s="2522"/>
      <c r="UWD178" s="2522"/>
      <c r="UWE178" s="2522"/>
      <c r="UWF178" s="2522"/>
      <c r="UWG178" s="2522"/>
      <c r="UWH178" s="2522"/>
      <c r="UWI178" s="2522"/>
      <c r="UWJ178" s="2522"/>
      <c r="UWK178" s="2522"/>
      <c r="UWL178" s="2522"/>
      <c r="UWM178" s="2522"/>
      <c r="UWN178" s="2522"/>
      <c r="UWO178" s="2522"/>
      <c r="UWP178" s="2522"/>
      <c r="UWQ178" s="2522"/>
      <c r="UWR178" s="2522"/>
      <c r="UWS178" s="2522"/>
      <c r="UWT178" s="2522"/>
      <c r="UWU178" s="2522"/>
      <c r="UWV178" s="2522"/>
      <c r="UWW178" s="2522"/>
      <c r="UWX178" s="2522"/>
      <c r="UWY178" s="2522"/>
      <c r="UWZ178" s="2522"/>
      <c r="UXA178" s="2522"/>
      <c r="UXB178" s="2522"/>
      <c r="UXC178" s="2522"/>
      <c r="UXD178" s="2522"/>
      <c r="UXE178" s="2522"/>
      <c r="UXF178" s="2522"/>
      <c r="UXG178" s="2522"/>
      <c r="UXH178" s="2522"/>
      <c r="UXI178" s="2522"/>
      <c r="UXJ178" s="2522"/>
      <c r="UXK178" s="2522"/>
      <c r="UXL178" s="2522"/>
      <c r="UXM178" s="2522"/>
      <c r="UXN178" s="2522"/>
      <c r="UXO178" s="2522"/>
      <c r="UXP178" s="2522"/>
      <c r="UXQ178" s="2522"/>
      <c r="UXR178" s="2522"/>
      <c r="UXS178" s="2522"/>
      <c r="UXT178" s="2522"/>
      <c r="UXU178" s="2522"/>
      <c r="UXV178" s="2522"/>
      <c r="UXW178" s="2522"/>
      <c r="UXX178" s="2522"/>
      <c r="UXY178" s="2522"/>
      <c r="UXZ178" s="2522"/>
      <c r="UYA178" s="2522"/>
      <c r="UYB178" s="2522"/>
      <c r="UYC178" s="2522"/>
      <c r="UYD178" s="2522"/>
      <c r="UYE178" s="2522"/>
      <c r="UYF178" s="2522"/>
      <c r="UYG178" s="2522"/>
      <c r="UYH178" s="2522"/>
      <c r="UYI178" s="2522"/>
      <c r="UYJ178" s="2522"/>
      <c r="UYK178" s="2522"/>
      <c r="UYL178" s="2522"/>
      <c r="UYM178" s="2522"/>
      <c r="UYN178" s="2522"/>
      <c r="UYO178" s="2522"/>
      <c r="UYP178" s="2522"/>
      <c r="UYQ178" s="2522"/>
      <c r="UYR178" s="2522"/>
      <c r="UYS178" s="2522"/>
      <c r="UYT178" s="2522"/>
      <c r="UYU178" s="2522"/>
      <c r="UYV178" s="2522"/>
      <c r="UYW178" s="2522"/>
      <c r="UYX178" s="2522"/>
      <c r="UYY178" s="2522"/>
      <c r="UYZ178" s="2522"/>
      <c r="UZA178" s="2522"/>
      <c r="UZB178" s="2522"/>
      <c r="UZC178" s="2522"/>
      <c r="UZD178" s="2522"/>
      <c r="UZE178" s="2522"/>
      <c r="UZF178" s="2522"/>
      <c r="UZG178" s="2522"/>
      <c r="UZH178" s="2522"/>
      <c r="UZI178" s="2522"/>
      <c r="UZJ178" s="2522"/>
      <c r="UZK178" s="2522"/>
      <c r="UZL178" s="2522"/>
      <c r="UZM178" s="2522"/>
      <c r="UZN178" s="2522"/>
      <c r="UZO178" s="2522"/>
      <c r="UZP178" s="2522"/>
      <c r="UZQ178" s="2522"/>
      <c r="UZR178" s="2522"/>
      <c r="UZS178" s="2522"/>
      <c r="UZT178" s="2522"/>
      <c r="UZU178" s="2522"/>
      <c r="UZV178" s="2522"/>
      <c r="UZW178" s="2522"/>
      <c r="UZX178" s="2522"/>
      <c r="UZY178" s="2522"/>
      <c r="UZZ178" s="2522"/>
      <c r="VAA178" s="2522"/>
      <c r="VAB178" s="2522"/>
      <c r="VAC178" s="2522"/>
      <c r="VAD178" s="2522"/>
      <c r="VAE178" s="2522"/>
      <c r="VAF178" s="2522"/>
      <c r="VAG178" s="2522"/>
      <c r="VAH178" s="2522"/>
      <c r="VAI178" s="2522"/>
      <c r="VAJ178" s="2522"/>
      <c r="VAK178" s="2522"/>
      <c r="VAL178" s="2522"/>
      <c r="VAM178" s="2522"/>
      <c r="VAN178" s="2522"/>
      <c r="VAO178" s="2522"/>
      <c r="VAP178" s="2522"/>
      <c r="VAQ178" s="2522"/>
      <c r="VAR178" s="2522"/>
      <c r="VAS178" s="2522"/>
      <c r="VAT178" s="2522"/>
      <c r="VAU178" s="2522"/>
      <c r="VAV178" s="2522"/>
      <c r="VAW178" s="2522"/>
      <c r="VAX178" s="2522"/>
      <c r="VAY178" s="2522"/>
      <c r="VAZ178" s="2522"/>
      <c r="VBA178" s="2522"/>
      <c r="VBB178" s="2522"/>
      <c r="VBC178" s="2522"/>
      <c r="VBD178" s="2522"/>
      <c r="VBE178" s="2522"/>
      <c r="VBF178" s="2522"/>
      <c r="VBG178" s="2522"/>
      <c r="VBH178" s="2522"/>
      <c r="VBI178" s="2522"/>
      <c r="VBJ178" s="2522"/>
      <c r="VBK178" s="2522"/>
      <c r="VBL178" s="2522"/>
      <c r="VBM178" s="2522"/>
      <c r="VBN178" s="2522"/>
      <c r="VBO178" s="2522"/>
      <c r="VBP178" s="2522"/>
      <c r="VBQ178" s="2522"/>
      <c r="VBR178" s="2522"/>
      <c r="VBS178" s="2522"/>
      <c r="VBT178" s="2522"/>
      <c r="VBU178" s="2522"/>
      <c r="VBV178" s="2522"/>
      <c r="VBW178" s="2522"/>
      <c r="VBX178" s="2522"/>
      <c r="VBY178" s="2522"/>
      <c r="VBZ178" s="2522"/>
      <c r="VCA178" s="2522"/>
      <c r="VCB178" s="2522"/>
      <c r="VCC178" s="2522"/>
      <c r="VCD178" s="2522"/>
      <c r="VCE178" s="2522"/>
      <c r="VCF178" s="2522"/>
      <c r="VCG178" s="2522"/>
      <c r="VCH178" s="2522"/>
      <c r="VCI178" s="2522"/>
      <c r="VCJ178" s="2522"/>
      <c r="VCK178" s="2522"/>
      <c r="VCL178" s="2522"/>
      <c r="VCM178" s="2522"/>
      <c r="VCN178" s="2522"/>
      <c r="VCO178" s="2522"/>
      <c r="VCP178" s="2522"/>
      <c r="VCQ178" s="2522"/>
      <c r="VCR178" s="2522"/>
      <c r="VCS178" s="2522"/>
      <c r="VCT178" s="2522"/>
      <c r="VCU178" s="2522"/>
      <c r="VCV178" s="2522"/>
      <c r="VCW178" s="2522"/>
      <c r="VCX178" s="2522"/>
      <c r="VCY178" s="2522"/>
      <c r="VCZ178" s="2522"/>
      <c r="VDA178" s="2522"/>
      <c r="VDB178" s="2522"/>
      <c r="VDC178" s="2522"/>
      <c r="VDD178" s="2522"/>
      <c r="VDE178" s="2522"/>
      <c r="VDF178" s="2522"/>
      <c r="VDG178" s="2522"/>
      <c r="VDH178" s="2522"/>
      <c r="VDI178" s="2522"/>
      <c r="VDJ178" s="2522"/>
      <c r="VDK178" s="2522"/>
      <c r="VDL178" s="2522"/>
      <c r="VDM178" s="2522"/>
      <c r="VDN178" s="2522"/>
      <c r="VDO178" s="2522"/>
      <c r="VDP178" s="2522"/>
      <c r="VDQ178" s="2522"/>
      <c r="VDR178" s="2522"/>
      <c r="VDS178" s="2522"/>
      <c r="VDT178" s="2522"/>
      <c r="VDU178" s="2522"/>
      <c r="VDV178" s="2522"/>
      <c r="VDW178" s="2522"/>
      <c r="VDX178" s="2522"/>
      <c r="VDY178" s="2522"/>
      <c r="VDZ178" s="2522"/>
      <c r="VEA178" s="2522"/>
      <c r="VEB178" s="2522"/>
      <c r="VEC178" s="2522"/>
      <c r="VED178" s="2522"/>
      <c r="VEE178" s="2522"/>
      <c r="VEF178" s="2522"/>
      <c r="VEG178" s="2522"/>
      <c r="VEH178" s="2522"/>
      <c r="VEI178" s="2522"/>
      <c r="VEJ178" s="2522"/>
      <c r="VEK178" s="2522"/>
      <c r="VEL178" s="2522"/>
      <c r="VEM178" s="2522"/>
      <c r="VEN178" s="2522"/>
      <c r="VEO178" s="2522"/>
      <c r="VEP178" s="2522"/>
      <c r="VEQ178" s="2522"/>
      <c r="VER178" s="2522"/>
      <c r="VES178" s="2522"/>
      <c r="VET178" s="2522"/>
      <c r="VEU178" s="2522"/>
      <c r="VEV178" s="2522"/>
      <c r="VEW178" s="2522"/>
      <c r="VEX178" s="2522"/>
      <c r="VEY178" s="2522"/>
      <c r="VEZ178" s="2522"/>
      <c r="VFA178" s="2522"/>
      <c r="VFB178" s="2522"/>
      <c r="VFC178" s="2522"/>
      <c r="VFD178" s="2522"/>
      <c r="VFE178" s="2522"/>
      <c r="VFF178" s="2522"/>
      <c r="VFG178" s="2522"/>
      <c r="VFH178" s="2522"/>
      <c r="VFI178" s="2522"/>
      <c r="VFJ178" s="2522"/>
      <c r="VFK178" s="2522"/>
      <c r="VFL178" s="2522"/>
      <c r="VFM178" s="2522"/>
      <c r="VFN178" s="2522"/>
      <c r="VFO178" s="2522"/>
      <c r="VFP178" s="2522"/>
      <c r="VFQ178" s="2522"/>
      <c r="VFR178" s="2522"/>
      <c r="VFS178" s="2522"/>
      <c r="VFT178" s="2522"/>
      <c r="VFU178" s="2522"/>
      <c r="VFV178" s="2522"/>
      <c r="VFW178" s="2522"/>
      <c r="VFX178" s="2522"/>
      <c r="VFY178" s="2522"/>
      <c r="VFZ178" s="2522"/>
      <c r="VGA178" s="2522"/>
      <c r="VGB178" s="2522"/>
      <c r="VGC178" s="2522"/>
      <c r="VGD178" s="2522"/>
      <c r="VGE178" s="2522"/>
      <c r="VGF178" s="2522"/>
      <c r="VGG178" s="2522"/>
      <c r="VGH178" s="2522"/>
      <c r="VGI178" s="2522"/>
      <c r="VGJ178" s="2522"/>
      <c r="VGK178" s="2522"/>
      <c r="VGL178" s="2522"/>
      <c r="VGM178" s="2522"/>
      <c r="VGN178" s="2522"/>
      <c r="VGO178" s="2522"/>
      <c r="VGP178" s="2522"/>
      <c r="VGQ178" s="2522"/>
      <c r="VGR178" s="2522"/>
      <c r="VGS178" s="2522"/>
      <c r="VGT178" s="2522"/>
      <c r="VGU178" s="2522"/>
      <c r="VGV178" s="2522"/>
      <c r="VGW178" s="2522"/>
      <c r="VGX178" s="2522"/>
      <c r="VGY178" s="2522"/>
      <c r="VGZ178" s="2522"/>
      <c r="VHA178" s="2522"/>
      <c r="VHB178" s="2522"/>
      <c r="VHC178" s="2522"/>
      <c r="VHD178" s="2522"/>
      <c r="VHE178" s="2522"/>
      <c r="VHF178" s="2522"/>
      <c r="VHG178" s="2522"/>
      <c r="VHH178" s="2522"/>
      <c r="VHI178" s="2522"/>
      <c r="VHJ178" s="2522"/>
      <c r="VHK178" s="2522"/>
      <c r="VHL178" s="2522"/>
      <c r="VHM178" s="2522"/>
      <c r="VHN178" s="2522"/>
      <c r="VHO178" s="2522"/>
      <c r="VHP178" s="2522"/>
      <c r="VHQ178" s="2522"/>
      <c r="VHR178" s="2522"/>
      <c r="VHS178" s="2522"/>
      <c r="VHT178" s="2522"/>
      <c r="VHU178" s="2522"/>
      <c r="VHV178" s="2522"/>
      <c r="VHW178" s="2522"/>
      <c r="VHX178" s="2522"/>
      <c r="VHY178" s="2522"/>
      <c r="VHZ178" s="2522"/>
      <c r="VIA178" s="2522"/>
      <c r="VIB178" s="2522"/>
      <c r="VIC178" s="2522"/>
      <c r="VID178" s="2522"/>
      <c r="VIE178" s="2522"/>
      <c r="VIF178" s="2522"/>
      <c r="VIG178" s="2522"/>
      <c r="VIH178" s="2522"/>
      <c r="VII178" s="2522"/>
      <c r="VIJ178" s="2522"/>
      <c r="VIK178" s="2522"/>
      <c r="VIL178" s="2522"/>
      <c r="VIM178" s="2522"/>
      <c r="VIN178" s="2522"/>
      <c r="VIO178" s="2522"/>
      <c r="VIP178" s="2522"/>
      <c r="VIQ178" s="2522"/>
      <c r="VIR178" s="2522"/>
      <c r="VIS178" s="2522"/>
      <c r="VIT178" s="2522"/>
      <c r="VIU178" s="2522"/>
      <c r="VIV178" s="2522"/>
      <c r="VIW178" s="2522"/>
      <c r="VIX178" s="2522"/>
      <c r="VIY178" s="2522"/>
      <c r="VIZ178" s="2522"/>
      <c r="VJA178" s="2522"/>
      <c r="VJB178" s="2522"/>
      <c r="VJC178" s="2522"/>
      <c r="VJD178" s="2522"/>
      <c r="VJE178" s="2522"/>
      <c r="VJF178" s="2522"/>
      <c r="VJG178" s="2522"/>
      <c r="VJH178" s="2522"/>
      <c r="VJI178" s="2522"/>
      <c r="VJJ178" s="2522"/>
      <c r="VJK178" s="2522"/>
      <c r="VJL178" s="2522"/>
      <c r="VJM178" s="2522"/>
      <c r="VJN178" s="2522"/>
      <c r="VJO178" s="2522"/>
      <c r="VJP178" s="2522"/>
      <c r="VJQ178" s="2522"/>
      <c r="VJR178" s="2522"/>
      <c r="VJS178" s="2522"/>
      <c r="VJT178" s="2522"/>
      <c r="VJU178" s="2522"/>
      <c r="VJV178" s="2522"/>
      <c r="VJW178" s="2522"/>
      <c r="VJX178" s="2522"/>
      <c r="VJY178" s="2522"/>
      <c r="VJZ178" s="2522"/>
      <c r="VKA178" s="2522"/>
      <c r="VKB178" s="2522"/>
      <c r="VKC178" s="2522"/>
      <c r="VKD178" s="2522"/>
      <c r="VKE178" s="2522"/>
      <c r="VKF178" s="2522"/>
      <c r="VKG178" s="2522"/>
      <c r="VKH178" s="2522"/>
      <c r="VKI178" s="2522"/>
      <c r="VKJ178" s="2522"/>
      <c r="VKK178" s="2522"/>
      <c r="VKL178" s="2522"/>
      <c r="VKM178" s="2522"/>
      <c r="VKN178" s="2522"/>
      <c r="VKO178" s="2522"/>
      <c r="VKP178" s="2522"/>
      <c r="VKQ178" s="2522"/>
      <c r="VKR178" s="2522"/>
      <c r="VKS178" s="2522"/>
      <c r="VKT178" s="2522"/>
      <c r="VKU178" s="2522"/>
      <c r="VKV178" s="2522"/>
      <c r="VKW178" s="2522"/>
      <c r="VKX178" s="2522"/>
      <c r="VKY178" s="2522"/>
      <c r="VKZ178" s="2522"/>
      <c r="VLA178" s="2522"/>
      <c r="VLB178" s="2522"/>
      <c r="VLC178" s="2522"/>
      <c r="VLD178" s="2522"/>
      <c r="VLE178" s="2522"/>
      <c r="VLF178" s="2522"/>
      <c r="VLG178" s="2522"/>
      <c r="VLH178" s="2522"/>
      <c r="VLI178" s="2522"/>
      <c r="VLJ178" s="2522"/>
      <c r="VLK178" s="2522"/>
      <c r="VLL178" s="2522"/>
      <c r="VLM178" s="2522"/>
      <c r="VLN178" s="2522"/>
      <c r="VLO178" s="2522"/>
      <c r="VLP178" s="2522"/>
      <c r="VLQ178" s="2522"/>
      <c r="VLR178" s="2522"/>
      <c r="VLS178" s="2522"/>
      <c r="VLT178" s="2522"/>
      <c r="VLU178" s="2522"/>
      <c r="VLV178" s="2522"/>
      <c r="VLW178" s="2522"/>
      <c r="VLX178" s="2522"/>
      <c r="VLY178" s="2522"/>
      <c r="VLZ178" s="2522"/>
      <c r="VMA178" s="2522"/>
      <c r="VMB178" s="2522"/>
      <c r="VMC178" s="2522"/>
      <c r="VMD178" s="2522"/>
      <c r="VME178" s="2522"/>
      <c r="VMF178" s="2522"/>
      <c r="VMG178" s="2522"/>
      <c r="VMH178" s="2522"/>
      <c r="VMI178" s="2522"/>
      <c r="VMJ178" s="2522"/>
      <c r="VMK178" s="2522"/>
      <c r="VML178" s="2522"/>
      <c r="VMM178" s="2522"/>
      <c r="VMN178" s="2522"/>
      <c r="VMO178" s="2522"/>
      <c r="VMP178" s="2522"/>
      <c r="VMQ178" s="2522"/>
      <c r="VMR178" s="2522"/>
      <c r="VMS178" s="2522"/>
      <c r="VMT178" s="2522"/>
      <c r="VMU178" s="2522"/>
      <c r="VMV178" s="2522"/>
      <c r="VMW178" s="2522"/>
      <c r="VMX178" s="2522"/>
      <c r="VMY178" s="2522"/>
      <c r="VMZ178" s="2522"/>
      <c r="VNA178" s="2522"/>
      <c r="VNB178" s="2522"/>
      <c r="VNC178" s="2522"/>
      <c r="VND178" s="2522"/>
      <c r="VNE178" s="2522"/>
      <c r="VNF178" s="2522"/>
      <c r="VNG178" s="2522"/>
      <c r="VNH178" s="2522"/>
      <c r="VNI178" s="2522"/>
      <c r="VNJ178" s="2522"/>
      <c r="VNK178" s="2522"/>
      <c r="VNL178" s="2522"/>
      <c r="VNM178" s="2522"/>
      <c r="VNN178" s="2522"/>
      <c r="VNO178" s="2522"/>
      <c r="VNP178" s="2522"/>
      <c r="VNQ178" s="2522"/>
      <c r="VNR178" s="2522"/>
      <c r="VNS178" s="2522"/>
      <c r="VNT178" s="2522"/>
      <c r="VNU178" s="2522"/>
      <c r="VNV178" s="2522"/>
      <c r="VNW178" s="2522"/>
      <c r="VNX178" s="2522"/>
      <c r="VNY178" s="2522"/>
      <c r="VNZ178" s="2522"/>
      <c r="VOA178" s="2522"/>
      <c r="VOB178" s="2522"/>
      <c r="VOC178" s="2522"/>
      <c r="VOD178" s="2522"/>
      <c r="VOE178" s="2522"/>
      <c r="VOF178" s="2522"/>
      <c r="VOG178" s="2522"/>
      <c r="VOH178" s="2522"/>
      <c r="VOI178" s="2522"/>
      <c r="VOJ178" s="2522"/>
      <c r="VOK178" s="2522"/>
      <c r="VOL178" s="2522"/>
      <c r="VOM178" s="2522"/>
      <c r="VON178" s="2522"/>
      <c r="VOO178" s="2522"/>
      <c r="VOP178" s="2522"/>
      <c r="VOQ178" s="2522"/>
      <c r="VOR178" s="2522"/>
      <c r="VOS178" s="2522"/>
      <c r="VOT178" s="2522"/>
      <c r="VOU178" s="2522"/>
      <c r="VOV178" s="2522"/>
      <c r="VOW178" s="2522"/>
      <c r="VOX178" s="2522"/>
      <c r="VOY178" s="2522"/>
      <c r="VOZ178" s="2522"/>
      <c r="VPA178" s="2522"/>
      <c r="VPB178" s="2522"/>
      <c r="VPC178" s="2522"/>
      <c r="VPD178" s="2522"/>
      <c r="VPE178" s="2522"/>
      <c r="VPF178" s="2522"/>
      <c r="VPG178" s="2522"/>
      <c r="VPH178" s="2522"/>
      <c r="VPI178" s="2522"/>
      <c r="VPJ178" s="2522"/>
      <c r="VPK178" s="2522"/>
      <c r="VPL178" s="2522"/>
      <c r="VPM178" s="2522"/>
      <c r="VPN178" s="2522"/>
      <c r="VPO178" s="2522"/>
      <c r="VPP178" s="2522"/>
      <c r="VPQ178" s="2522"/>
      <c r="VPR178" s="2522"/>
      <c r="VPS178" s="2522"/>
      <c r="VPT178" s="2522"/>
      <c r="VPU178" s="2522"/>
      <c r="VPV178" s="2522"/>
      <c r="VPW178" s="2522"/>
      <c r="VPX178" s="2522"/>
      <c r="VPY178" s="2522"/>
      <c r="VPZ178" s="2522"/>
      <c r="VQA178" s="2522"/>
      <c r="VQB178" s="2522"/>
      <c r="VQC178" s="2522"/>
      <c r="VQD178" s="2522"/>
      <c r="VQE178" s="2522"/>
      <c r="VQF178" s="2522"/>
      <c r="VQG178" s="2522"/>
      <c r="VQH178" s="2522"/>
      <c r="VQI178" s="2522"/>
      <c r="VQJ178" s="2522"/>
      <c r="VQK178" s="2522"/>
      <c r="VQL178" s="2522"/>
      <c r="VQM178" s="2522"/>
      <c r="VQN178" s="2522"/>
      <c r="VQO178" s="2522"/>
      <c r="VQP178" s="2522"/>
      <c r="VQQ178" s="2522"/>
      <c r="VQR178" s="2522"/>
      <c r="VQS178" s="2522"/>
      <c r="VQT178" s="2522"/>
      <c r="VQU178" s="2522"/>
      <c r="VQV178" s="2522"/>
      <c r="VQW178" s="2522"/>
      <c r="VQX178" s="2522"/>
      <c r="VQY178" s="2522"/>
      <c r="VQZ178" s="2522"/>
      <c r="VRA178" s="2522"/>
      <c r="VRB178" s="2522"/>
      <c r="VRC178" s="2522"/>
      <c r="VRD178" s="2522"/>
      <c r="VRE178" s="2522"/>
      <c r="VRF178" s="2522"/>
      <c r="VRG178" s="2522"/>
      <c r="VRH178" s="2522"/>
      <c r="VRI178" s="2522"/>
      <c r="VRJ178" s="2522"/>
      <c r="VRK178" s="2522"/>
      <c r="VRL178" s="2522"/>
      <c r="VRM178" s="2522"/>
      <c r="VRN178" s="2522"/>
      <c r="VRO178" s="2522"/>
      <c r="VRP178" s="2522"/>
      <c r="VRQ178" s="2522"/>
      <c r="VRR178" s="2522"/>
      <c r="VRS178" s="2522"/>
      <c r="VRT178" s="2522"/>
      <c r="VRU178" s="2522"/>
      <c r="VRV178" s="2522"/>
      <c r="VRW178" s="2522"/>
      <c r="VRX178" s="2522"/>
      <c r="VRY178" s="2522"/>
      <c r="VRZ178" s="2522"/>
      <c r="VSA178" s="2522"/>
      <c r="VSB178" s="2522"/>
      <c r="VSC178" s="2522"/>
      <c r="VSD178" s="2522"/>
      <c r="VSE178" s="2522"/>
      <c r="VSF178" s="2522"/>
      <c r="VSG178" s="2522"/>
      <c r="VSH178" s="2522"/>
      <c r="VSI178" s="2522"/>
      <c r="VSJ178" s="2522"/>
      <c r="VSK178" s="2522"/>
      <c r="VSL178" s="2522"/>
      <c r="VSM178" s="2522"/>
      <c r="VSN178" s="2522"/>
      <c r="VSO178" s="2522"/>
      <c r="VSP178" s="2522"/>
      <c r="VSQ178" s="2522"/>
      <c r="VSR178" s="2522"/>
      <c r="VSS178" s="2522"/>
      <c r="VST178" s="2522"/>
      <c r="VSU178" s="2522"/>
      <c r="VSV178" s="2522"/>
      <c r="VSW178" s="2522"/>
      <c r="VSX178" s="2522"/>
      <c r="VSY178" s="2522"/>
      <c r="VSZ178" s="2522"/>
      <c r="VTA178" s="2522"/>
      <c r="VTB178" s="2522"/>
      <c r="VTC178" s="2522"/>
      <c r="VTD178" s="2522"/>
      <c r="VTE178" s="2522"/>
      <c r="VTF178" s="2522"/>
      <c r="VTG178" s="2522"/>
      <c r="VTH178" s="2522"/>
      <c r="VTI178" s="2522"/>
      <c r="VTJ178" s="2522"/>
      <c r="VTK178" s="2522"/>
      <c r="VTL178" s="2522"/>
      <c r="VTM178" s="2522"/>
      <c r="VTN178" s="2522"/>
      <c r="VTO178" s="2522"/>
      <c r="VTP178" s="2522"/>
      <c r="VTQ178" s="2522"/>
      <c r="VTR178" s="2522"/>
      <c r="VTS178" s="2522"/>
      <c r="VTT178" s="2522"/>
      <c r="VTU178" s="2522"/>
      <c r="VTV178" s="2522"/>
      <c r="VTW178" s="2522"/>
      <c r="VTX178" s="2522"/>
      <c r="VTY178" s="2522"/>
      <c r="VTZ178" s="2522"/>
      <c r="VUA178" s="2522"/>
      <c r="VUB178" s="2522"/>
      <c r="VUC178" s="2522"/>
      <c r="VUD178" s="2522"/>
      <c r="VUE178" s="2522"/>
      <c r="VUF178" s="2522"/>
      <c r="VUG178" s="2522"/>
      <c r="VUH178" s="2522"/>
      <c r="VUI178" s="2522"/>
      <c r="VUJ178" s="2522"/>
      <c r="VUK178" s="2522"/>
      <c r="VUL178" s="2522"/>
      <c r="VUM178" s="2522"/>
      <c r="VUN178" s="2522"/>
      <c r="VUO178" s="2522"/>
      <c r="VUP178" s="2522"/>
      <c r="VUQ178" s="2522"/>
      <c r="VUR178" s="2522"/>
      <c r="VUS178" s="2522"/>
      <c r="VUT178" s="2522"/>
      <c r="VUU178" s="2522"/>
      <c r="VUV178" s="2522"/>
      <c r="VUW178" s="2522"/>
      <c r="VUX178" s="2522"/>
      <c r="VUY178" s="2522"/>
      <c r="VUZ178" s="2522"/>
      <c r="VVA178" s="2522"/>
      <c r="VVB178" s="2522"/>
      <c r="VVC178" s="2522"/>
      <c r="VVD178" s="2522"/>
      <c r="VVE178" s="2522"/>
      <c r="VVF178" s="2522"/>
      <c r="VVG178" s="2522"/>
      <c r="VVH178" s="2522"/>
      <c r="VVI178" s="2522"/>
      <c r="VVJ178" s="2522"/>
      <c r="VVK178" s="2522"/>
      <c r="VVL178" s="2522"/>
      <c r="VVM178" s="2522"/>
      <c r="VVN178" s="2522"/>
      <c r="VVO178" s="2522"/>
      <c r="VVP178" s="2522"/>
      <c r="VVQ178" s="2522"/>
      <c r="VVR178" s="2522"/>
      <c r="VVS178" s="2522"/>
      <c r="VVT178" s="2522"/>
      <c r="VVU178" s="2522"/>
      <c r="VVV178" s="2522"/>
      <c r="VVW178" s="2522"/>
      <c r="VVX178" s="2522"/>
      <c r="VVY178" s="2522"/>
      <c r="VVZ178" s="2522"/>
      <c r="VWA178" s="2522"/>
      <c r="VWB178" s="2522"/>
      <c r="VWC178" s="2522"/>
      <c r="VWD178" s="2522"/>
      <c r="VWE178" s="2522"/>
      <c r="VWF178" s="2522"/>
      <c r="VWG178" s="2522"/>
      <c r="VWH178" s="2522"/>
      <c r="VWI178" s="2522"/>
      <c r="VWJ178" s="2522"/>
      <c r="VWK178" s="2522"/>
      <c r="VWL178" s="2522"/>
      <c r="VWM178" s="2522"/>
      <c r="VWN178" s="2522"/>
      <c r="VWO178" s="2522"/>
      <c r="VWP178" s="2522"/>
      <c r="VWQ178" s="2522"/>
      <c r="VWR178" s="2522"/>
      <c r="VWS178" s="2522"/>
      <c r="VWT178" s="2522"/>
      <c r="VWU178" s="2522"/>
      <c r="VWV178" s="2522"/>
      <c r="VWW178" s="2522"/>
      <c r="VWX178" s="2522"/>
      <c r="VWY178" s="2522"/>
      <c r="VWZ178" s="2522"/>
      <c r="VXA178" s="2522"/>
      <c r="VXB178" s="2522"/>
      <c r="VXC178" s="2522"/>
      <c r="VXD178" s="2522"/>
      <c r="VXE178" s="2522"/>
      <c r="VXF178" s="2522"/>
      <c r="VXG178" s="2522"/>
      <c r="VXH178" s="2522"/>
      <c r="VXI178" s="2522"/>
      <c r="VXJ178" s="2522"/>
      <c r="VXK178" s="2522"/>
      <c r="VXL178" s="2522"/>
      <c r="VXM178" s="2522"/>
      <c r="VXN178" s="2522"/>
      <c r="VXO178" s="2522"/>
      <c r="VXP178" s="2522"/>
      <c r="VXQ178" s="2522"/>
      <c r="VXR178" s="2522"/>
      <c r="VXS178" s="2522"/>
      <c r="VXT178" s="2522"/>
      <c r="VXU178" s="2522"/>
      <c r="VXV178" s="2522"/>
      <c r="VXW178" s="2522"/>
      <c r="VXX178" s="2522"/>
      <c r="VXY178" s="2522"/>
      <c r="VXZ178" s="2522"/>
      <c r="VYA178" s="2522"/>
      <c r="VYB178" s="2522"/>
      <c r="VYC178" s="2522"/>
      <c r="VYD178" s="2522"/>
      <c r="VYE178" s="2522"/>
      <c r="VYF178" s="2522"/>
      <c r="VYG178" s="2522"/>
      <c r="VYH178" s="2522"/>
      <c r="VYI178" s="2522"/>
      <c r="VYJ178" s="2522"/>
      <c r="VYK178" s="2522"/>
      <c r="VYL178" s="2522"/>
      <c r="VYM178" s="2522"/>
      <c r="VYN178" s="2522"/>
      <c r="VYO178" s="2522"/>
      <c r="VYP178" s="2522"/>
      <c r="VYQ178" s="2522"/>
      <c r="VYR178" s="2522"/>
      <c r="VYS178" s="2522"/>
      <c r="VYT178" s="2522"/>
      <c r="VYU178" s="2522"/>
      <c r="VYV178" s="2522"/>
      <c r="VYW178" s="2522"/>
      <c r="VYX178" s="2522"/>
      <c r="VYY178" s="2522"/>
      <c r="VYZ178" s="2522"/>
      <c r="VZA178" s="2522"/>
      <c r="VZB178" s="2522"/>
      <c r="VZC178" s="2522"/>
      <c r="VZD178" s="2522"/>
      <c r="VZE178" s="2522"/>
      <c r="VZF178" s="2522"/>
      <c r="VZG178" s="2522"/>
      <c r="VZH178" s="2522"/>
      <c r="VZI178" s="2522"/>
      <c r="VZJ178" s="2522"/>
      <c r="VZK178" s="2522"/>
      <c r="VZL178" s="2522"/>
      <c r="VZM178" s="2522"/>
      <c r="VZN178" s="2522"/>
      <c r="VZO178" s="2522"/>
      <c r="VZP178" s="2522"/>
      <c r="VZQ178" s="2522"/>
      <c r="VZR178" s="2522"/>
      <c r="VZS178" s="2522"/>
      <c r="VZT178" s="2522"/>
      <c r="VZU178" s="2522"/>
      <c r="VZV178" s="2522"/>
      <c r="VZW178" s="2522"/>
      <c r="VZX178" s="2522"/>
      <c r="VZY178" s="2522"/>
      <c r="VZZ178" s="2522"/>
      <c r="WAA178" s="2522"/>
      <c r="WAB178" s="2522"/>
      <c r="WAC178" s="2522"/>
      <c r="WAD178" s="2522"/>
      <c r="WAE178" s="2522"/>
      <c r="WAF178" s="2522"/>
      <c r="WAG178" s="2522"/>
      <c r="WAH178" s="2522"/>
      <c r="WAI178" s="2522"/>
      <c r="WAJ178" s="2522"/>
      <c r="WAK178" s="2522"/>
      <c r="WAL178" s="2522"/>
      <c r="WAM178" s="2522"/>
      <c r="WAN178" s="2522"/>
      <c r="WAO178" s="2522"/>
      <c r="WAP178" s="2522"/>
      <c r="WAQ178" s="2522"/>
      <c r="WAR178" s="2522"/>
      <c r="WAS178" s="2522"/>
      <c r="WAT178" s="2522"/>
      <c r="WAU178" s="2522"/>
      <c r="WAV178" s="2522"/>
      <c r="WAW178" s="2522"/>
      <c r="WAX178" s="2522"/>
      <c r="WAY178" s="2522"/>
      <c r="WAZ178" s="2522"/>
      <c r="WBA178" s="2522"/>
      <c r="WBB178" s="2522"/>
      <c r="WBC178" s="2522"/>
      <c r="WBD178" s="2522"/>
      <c r="WBE178" s="2522"/>
      <c r="WBF178" s="2522"/>
      <c r="WBG178" s="2522"/>
      <c r="WBH178" s="2522"/>
      <c r="WBI178" s="2522"/>
      <c r="WBJ178" s="2522"/>
      <c r="WBK178" s="2522"/>
      <c r="WBL178" s="2522"/>
      <c r="WBM178" s="2522"/>
      <c r="WBN178" s="2522"/>
      <c r="WBO178" s="2522"/>
      <c r="WBP178" s="2522"/>
      <c r="WBQ178" s="2522"/>
      <c r="WBR178" s="2522"/>
      <c r="WBS178" s="2522"/>
      <c r="WBT178" s="2522"/>
      <c r="WBU178" s="2522"/>
      <c r="WBV178" s="2522"/>
      <c r="WBW178" s="2522"/>
      <c r="WBX178" s="2522"/>
      <c r="WBY178" s="2522"/>
      <c r="WBZ178" s="2522"/>
      <c r="WCA178" s="2522"/>
      <c r="WCB178" s="2522"/>
      <c r="WCC178" s="2522"/>
      <c r="WCD178" s="2522"/>
      <c r="WCE178" s="2522"/>
      <c r="WCF178" s="2522"/>
      <c r="WCG178" s="2522"/>
      <c r="WCH178" s="2522"/>
      <c r="WCI178" s="2522"/>
      <c r="WCJ178" s="2522"/>
      <c r="WCK178" s="2522"/>
      <c r="WCL178" s="2522"/>
      <c r="WCM178" s="2522"/>
      <c r="WCN178" s="2522"/>
      <c r="WCO178" s="2522"/>
      <c r="WCP178" s="2522"/>
      <c r="WCQ178" s="2522"/>
      <c r="WCR178" s="2522"/>
      <c r="WCS178" s="2522"/>
      <c r="WCT178" s="2522"/>
      <c r="WCU178" s="2522"/>
      <c r="WCV178" s="2522"/>
      <c r="WCW178" s="2522"/>
      <c r="WCX178" s="2522"/>
      <c r="WCY178" s="2522"/>
      <c r="WCZ178" s="2522"/>
      <c r="WDA178" s="2522"/>
      <c r="WDB178" s="2522"/>
      <c r="WDC178" s="2522"/>
      <c r="WDD178" s="2522"/>
      <c r="WDE178" s="2522"/>
      <c r="WDF178" s="2522"/>
      <c r="WDG178" s="2522"/>
      <c r="WDH178" s="2522"/>
      <c r="WDI178" s="2522"/>
      <c r="WDJ178" s="2522"/>
      <c r="WDK178" s="2522"/>
      <c r="WDL178" s="2522"/>
      <c r="WDM178" s="2522"/>
      <c r="WDN178" s="2522"/>
      <c r="WDO178" s="2522"/>
      <c r="WDP178" s="2522"/>
      <c r="WDQ178" s="2522"/>
      <c r="WDR178" s="2522"/>
      <c r="WDS178" s="2522"/>
      <c r="WDT178" s="2522"/>
      <c r="WDU178" s="2522"/>
      <c r="WDV178" s="2522"/>
      <c r="WDW178" s="2522"/>
      <c r="WDX178" s="2522"/>
      <c r="WDY178" s="2522"/>
      <c r="WDZ178" s="2522"/>
      <c r="WEA178" s="2522"/>
      <c r="WEB178" s="2522"/>
      <c r="WEC178" s="2522"/>
      <c r="WED178" s="2522"/>
      <c r="WEE178" s="2522"/>
      <c r="WEF178" s="2522"/>
      <c r="WEG178" s="2522"/>
      <c r="WEH178" s="2522"/>
      <c r="WEI178" s="2522"/>
      <c r="WEJ178" s="2522"/>
      <c r="WEK178" s="2522"/>
      <c r="WEL178" s="2522"/>
      <c r="WEM178" s="2522"/>
      <c r="WEN178" s="2522"/>
      <c r="WEO178" s="2522"/>
      <c r="WEP178" s="2522"/>
      <c r="WEQ178" s="2522"/>
      <c r="WER178" s="2522"/>
      <c r="WES178" s="2522"/>
      <c r="WET178" s="2522"/>
      <c r="WEU178" s="2522"/>
      <c r="WEV178" s="2522"/>
      <c r="WEW178" s="2522"/>
      <c r="WEX178" s="2522"/>
      <c r="WEY178" s="2522"/>
      <c r="WEZ178" s="2522"/>
      <c r="WFA178" s="2522"/>
      <c r="WFB178" s="2522"/>
      <c r="WFC178" s="2522"/>
      <c r="WFD178" s="2522"/>
      <c r="WFE178" s="2522"/>
      <c r="WFF178" s="2522"/>
      <c r="WFG178" s="2522"/>
      <c r="WFH178" s="2522"/>
      <c r="WFI178" s="2522"/>
      <c r="WFJ178" s="2522"/>
      <c r="WFK178" s="2522"/>
      <c r="WFL178" s="2522"/>
      <c r="WFM178" s="2522"/>
      <c r="WFN178" s="2522"/>
      <c r="WFO178" s="2522"/>
      <c r="WFP178" s="2522"/>
      <c r="WFQ178" s="2522"/>
      <c r="WFR178" s="2522"/>
      <c r="WFS178" s="2522"/>
      <c r="WFT178" s="2522"/>
      <c r="WFU178" s="2522"/>
      <c r="WFV178" s="2522"/>
      <c r="WFW178" s="2522"/>
      <c r="WFX178" s="2522"/>
      <c r="WFY178" s="2522"/>
      <c r="WFZ178" s="2522"/>
      <c r="WGA178" s="2522"/>
      <c r="WGB178" s="2522"/>
      <c r="WGC178" s="2522"/>
      <c r="WGD178" s="2522"/>
      <c r="WGE178" s="2522"/>
      <c r="WGF178" s="2522"/>
      <c r="WGG178" s="2522"/>
      <c r="WGH178" s="2522"/>
      <c r="WGI178" s="2522"/>
      <c r="WGJ178" s="2522"/>
      <c r="WGK178" s="2522"/>
      <c r="WGL178" s="2522"/>
      <c r="WGM178" s="2522"/>
      <c r="WGN178" s="2522"/>
      <c r="WGO178" s="2522"/>
      <c r="WGP178" s="2522"/>
      <c r="WGQ178" s="2522"/>
      <c r="WGR178" s="2522"/>
      <c r="WGS178" s="2522"/>
      <c r="WGT178" s="2522"/>
      <c r="WGU178" s="2522"/>
      <c r="WGV178" s="2522"/>
      <c r="WGW178" s="2522"/>
      <c r="WGX178" s="2522"/>
      <c r="WGY178" s="2522"/>
      <c r="WGZ178" s="2522"/>
      <c r="WHA178" s="2522"/>
      <c r="WHB178" s="2522"/>
      <c r="WHC178" s="2522"/>
      <c r="WHD178" s="2522"/>
      <c r="WHE178" s="2522"/>
      <c r="WHF178" s="2522"/>
      <c r="WHG178" s="2522"/>
      <c r="WHH178" s="2522"/>
      <c r="WHI178" s="2522"/>
      <c r="WHJ178" s="2522"/>
      <c r="WHK178" s="2522"/>
      <c r="WHL178" s="2522"/>
      <c r="WHM178" s="2522"/>
      <c r="WHN178" s="2522"/>
      <c r="WHO178" s="2522"/>
      <c r="WHP178" s="2522"/>
      <c r="WHQ178" s="2522"/>
      <c r="WHR178" s="2522"/>
      <c r="WHS178" s="2522"/>
      <c r="WHT178" s="2522"/>
      <c r="WHU178" s="2522"/>
      <c r="WHV178" s="2522"/>
      <c r="WHW178" s="2522"/>
      <c r="WHX178" s="2522"/>
      <c r="WHY178" s="2522"/>
      <c r="WHZ178" s="2522"/>
      <c r="WIA178" s="2522"/>
      <c r="WIB178" s="2522"/>
      <c r="WIC178" s="2522"/>
      <c r="WID178" s="2522"/>
      <c r="WIE178" s="2522"/>
      <c r="WIF178" s="2522"/>
      <c r="WIG178" s="2522"/>
      <c r="WIH178" s="2522"/>
      <c r="WII178" s="2522"/>
      <c r="WIJ178" s="2522"/>
      <c r="WIK178" s="2522"/>
      <c r="WIL178" s="2522"/>
      <c r="WIM178" s="2522"/>
      <c r="WIN178" s="2522"/>
      <c r="WIO178" s="2522"/>
      <c r="WIP178" s="2522"/>
      <c r="WIQ178" s="2522"/>
      <c r="WIR178" s="2522"/>
      <c r="WIS178" s="2522"/>
      <c r="WIT178" s="2522"/>
      <c r="WIU178" s="2522"/>
      <c r="WIV178" s="2522"/>
      <c r="WIW178" s="2522"/>
      <c r="WIX178" s="2522"/>
      <c r="WIY178" s="2522"/>
      <c r="WIZ178" s="2522"/>
      <c r="WJA178" s="2522"/>
      <c r="WJB178" s="2522"/>
      <c r="WJC178" s="2522"/>
      <c r="WJD178" s="2522"/>
      <c r="WJE178" s="2522"/>
      <c r="WJF178" s="2522"/>
      <c r="WJG178" s="2522"/>
      <c r="WJH178" s="2522"/>
      <c r="WJI178" s="2522"/>
      <c r="WJJ178" s="2522"/>
      <c r="WJK178" s="2522"/>
      <c r="WJL178" s="2522"/>
      <c r="WJM178" s="2522"/>
      <c r="WJN178" s="2522"/>
      <c r="WJO178" s="2522"/>
      <c r="WJP178" s="2522"/>
      <c r="WJQ178" s="2522"/>
      <c r="WJR178" s="2522"/>
      <c r="WJS178" s="2522"/>
      <c r="WJT178" s="2522"/>
      <c r="WJU178" s="2522"/>
      <c r="WJV178" s="2522"/>
      <c r="WJW178" s="2522"/>
      <c r="WJX178" s="2522"/>
      <c r="WJY178" s="2522"/>
      <c r="WJZ178" s="2522"/>
      <c r="WKA178" s="2522"/>
      <c r="WKB178" s="2522"/>
      <c r="WKC178" s="2522"/>
      <c r="WKD178" s="2522"/>
      <c r="WKE178" s="2522"/>
      <c r="WKF178" s="2522"/>
      <c r="WKG178" s="2522"/>
      <c r="WKH178" s="2522"/>
      <c r="WKI178" s="2522"/>
      <c r="WKJ178" s="2522"/>
      <c r="WKK178" s="2522"/>
      <c r="WKL178" s="2522"/>
      <c r="WKM178" s="2522"/>
      <c r="WKN178" s="2522"/>
      <c r="WKO178" s="2522"/>
      <c r="WKP178" s="2522"/>
      <c r="WKQ178" s="2522"/>
      <c r="WKR178" s="2522"/>
      <c r="WKS178" s="2522"/>
      <c r="WKT178" s="2522"/>
      <c r="WKU178" s="2522"/>
      <c r="WKV178" s="2522"/>
      <c r="WKW178" s="2522"/>
      <c r="WKX178" s="2522"/>
      <c r="WKY178" s="2522"/>
      <c r="WKZ178" s="2522"/>
      <c r="WLA178" s="2522"/>
      <c r="WLB178" s="2522"/>
      <c r="WLC178" s="2522"/>
      <c r="WLD178" s="2522"/>
      <c r="WLE178" s="2522"/>
      <c r="WLF178" s="2522"/>
      <c r="WLG178" s="2522"/>
      <c r="WLH178" s="2522"/>
      <c r="WLI178" s="2522"/>
      <c r="WLJ178" s="2522"/>
      <c r="WLK178" s="2522"/>
      <c r="WLL178" s="2522"/>
      <c r="WLM178" s="2522"/>
      <c r="WLN178" s="2522"/>
      <c r="WLO178" s="2522"/>
      <c r="WLP178" s="2522"/>
      <c r="WLQ178" s="2522"/>
      <c r="WLR178" s="2522"/>
      <c r="WLS178" s="2522"/>
      <c r="WLT178" s="2522"/>
      <c r="WLU178" s="2522"/>
      <c r="WLV178" s="2522"/>
      <c r="WLW178" s="2522"/>
      <c r="WLX178" s="2522"/>
      <c r="WLY178" s="2522"/>
      <c r="WLZ178" s="2522"/>
      <c r="WMA178" s="2522"/>
      <c r="WMB178" s="2522"/>
      <c r="WMC178" s="2522"/>
      <c r="WMD178" s="2522"/>
      <c r="WME178" s="2522"/>
      <c r="WMF178" s="2522"/>
      <c r="WMG178" s="2522"/>
      <c r="WMH178" s="2522"/>
      <c r="WMI178" s="2522"/>
      <c r="WMJ178" s="2522"/>
      <c r="WMK178" s="2522"/>
      <c r="WML178" s="2522"/>
      <c r="WMM178" s="2522"/>
      <c r="WMN178" s="2522"/>
      <c r="WMO178" s="2522"/>
      <c r="WMP178" s="2522"/>
      <c r="WMQ178" s="2522"/>
      <c r="WMR178" s="2522"/>
      <c r="WMS178" s="2522"/>
      <c r="WMT178" s="2522"/>
      <c r="WMU178" s="2522"/>
      <c r="WMV178" s="2522"/>
      <c r="WMW178" s="2522"/>
      <c r="WMX178" s="2522"/>
      <c r="WMY178" s="2522"/>
      <c r="WMZ178" s="2522"/>
      <c r="WNA178" s="2522"/>
      <c r="WNB178" s="2522"/>
      <c r="WNC178" s="2522"/>
      <c r="WND178" s="2522"/>
      <c r="WNE178" s="2522"/>
      <c r="WNF178" s="2522"/>
      <c r="WNG178" s="2522"/>
      <c r="WNH178" s="2522"/>
      <c r="WNI178" s="2522"/>
      <c r="WNJ178" s="2522"/>
      <c r="WNK178" s="2522"/>
      <c r="WNL178" s="2522"/>
      <c r="WNM178" s="2522"/>
      <c r="WNN178" s="2522"/>
      <c r="WNO178" s="2522"/>
      <c r="WNP178" s="2522"/>
      <c r="WNQ178" s="2522"/>
      <c r="WNR178" s="2522"/>
      <c r="WNS178" s="2522"/>
      <c r="WNT178" s="2522"/>
      <c r="WNU178" s="2522"/>
      <c r="WNV178" s="2522"/>
      <c r="WNW178" s="2522"/>
      <c r="WNX178" s="2522"/>
      <c r="WNY178" s="2522"/>
      <c r="WNZ178" s="2522"/>
      <c r="WOA178" s="2522"/>
      <c r="WOB178" s="2522"/>
      <c r="WOC178" s="2522"/>
      <c r="WOD178" s="2522"/>
      <c r="WOE178" s="2522"/>
      <c r="WOF178" s="2522"/>
      <c r="WOG178" s="2522"/>
      <c r="WOH178" s="2522"/>
      <c r="WOI178" s="2522"/>
      <c r="WOJ178" s="2522"/>
      <c r="WOK178" s="2522"/>
      <c r="WOL178" s="2522"/>
      <c r="WOM178" s="2522"/>
      <c r="WON178" s="2522"/>
      <c r="WOO178" s="2522"/>
      <c r="WOP178" s="2522"/>
      <c r="WOQ178" s="2522"/>
      <c r="WOR178" s="2522"/>
      <c r="WOS178" s="2522"/>
      <c r="WOT178" s="2522"/>
      <c r="WOU178" s="2522"/>
      <c r="WOV178" s="2522"/>
      <c r="WOW178" s="2522"/>
      <c r="WOX178" s="2522"/>
      <c r="WOY178" s="2522"/>
      <c r="WOZ178" s="2522"/>
      <c r="WPA178" s="2522"/>
      <c r="WPB178" s="2522"/>
      <c r="WPC178" s="2522"/>
      <c r="WPD178" s="2522"/>
      <c r="WPE178" s="2522"/>
      <c r="WPF178" s="2522"/>
      <c r="WPG178" s="2522"/>
      <c r="WPH178" s="2522"/>
      <c r="WPI178" s="2522"/>
      <c r="WPJ178" s="2522"/>
      <c r="WPK178" s="2522"/>
      <c r="WPL178" s="2522"/>
      <c r="WPM178" s="2522"/>
      <c r="WPN178" s="2522"/>
      <c r="WPO178" s="2522"/>
      <c r="WPP178" s="2522"/>
      <c r="WPQ178" s="2522"/>
      <c r="WPR178" s="2522"/>
      <c r="WPS178" s="2522"/>
      <c r="WPT178" s="2522"/>
      <c r="WPU178" s="2522"/>
      <c r="WPV178" s="2522"/>
      <c r="WPW178" s="2522"/>
      <c r="WPX178" s="2522"/>
      <c r="WPY178" s="2522"/>
      <c r="WPZ178" s="2522"/>
      <c r="WQA178" s="2522"/>
      <c r="WQB178" s="2522"/>
      <c r="WQC178" s="2522"/>
      <c r="WQD178" s="2522"/>
      <c r="WQE178" s="2522"/>
      <c r="WQF178" s="2522"/>
      <c r="WQG178" s="2522"/>
      <c r="WQH178" s="2522"/>
      <c r="WQI178" s="2522"/>
      <c r="WQJ178" s="2522"/>
      <c r="WQK178" s="2522"/>
      <c r="WQL178" s="2522"/>
      <c r="WQM178" s="2522"/>
      <c r="WQN178" s="2522"/>
      <c r="WQO178" s="2522"/>
      <c r="WQP178" s="2522"/>
      <c r="WQQ178" s="2522"/>
      <c r="WQR178" s="2522"/>
      <c r="WQS178" s="2522"/>
      <c r="WQT178" s="2522"/>
      <c r="WQU178" s="2522"/>
      <c r="WQV178" s="2522"/>
      <c r="WQW178" s="2522"/>
      <c r="WQX178" s="2522"/>
      <c r="WQY178" s="2522"/>
      <c r="WQZ178" s="2522"/>
      <c r="WRA178" s="2522"/>
      <c r="WRB178" s="2522"/>
      <c r="WRC178" s="2522"/>
      <c r="WRD178" s="2522"/>
      <c r="WRE178" s="2522"/>
      <c r="WRF178" s="2522"/>
      <c r="WRG178" s="2522"/>
      <c r="WRH178" s="2522"/>
      <c r="WRI178" s="2522"/>
      <c r="WRJ178" s="2522"/>
      <c r="WRK178" s="2522"/>
      <c r="WRL178" s="2522"/>
      <c r="WRM178" s="2522"/>
      <c r="WRN178" s="2522"/>
      <c r="WRO178" s="2522"/>
      <c r="WRP178" s="2522"/>
      <c r="WRQ178" s="2522"/>
      <c r="WRR178" s="2522"/>
      <c r="WRS178" s="2522"/>
      <c r="WRT178" s="2522"/>
      <c r="WRU178" s="2522"/>
      <c r="WRV178" s="2522"/>
      <c r="WRW178" s="2522"/>
      <c r="WRX178" s="2522"/>
      <c r="WRY178" s="2522"/>
      <c r="WRZ178" s="2522"/>
      <c r="WSA178" s="2522"/>
      <c r="WSB178" s="2522"/>
      <c r="WSC178" s="2522"/>
      <c r="WSD178" s="2522"/>
      <c r="WSE178" s="2522"/>
      <c r="WSF178" s="2522"/>
      <c r="WSG178" s="2522"/>
      <c r="WSH178" s="2522"/>
      <c r="WSI178" s="2522"/>
      <c r="WSJ178" s="2522"/>
      <c r="WSK178" s="2522"/>
      <c r="WSL178" s="2522"/>
      <c r="WSM178" s="2522"/>
      <c r="WSN178" s="2522"/>
      <c r="WSO178" s="2522"/>
      <c r="WSP178" s="2522"/>
      <c r="WSQ178" s="2522"/>
      <c r="WSR178" s="2522"/>
      <c r="WSS178" s="2522"/>
      <c r="WST178" s="2522"/>
      <c r="WSU178" s="2522"/>
      <c r="WSV178" s="2522"/>
      <c r="WSW178" s="2522"/>
      <c r="WSX178" s="2522"/>
      <c r="WSY178" s="2522"/>
      <c r="WSZ178" s="2522"/>
      <c r="WTA178" s="2522"/>
      <c r="WTB178" s="2522"/>
      <c r="WTC178" s="2522"/>
      <c r="WTD178" s="2522"/>
      <c r="WTE178" s="2522"/>
      <c r="WTF178" s="2522"/>
      <c r="WTG178" s="2522"/>
      <c r="WTH178" s="2522"/>
      <c r="WTI178" s="2522"/>
      <c r="WTJ178" s="2522"/>
      <c r="WTK178" s="2522"/>
      <c r="WTL178" s="2522"/>
      <c r="WTM178" s="2522"/>
      <c r="WTN178" s="2522"/>
      <c r="WTO178" s="2522"/>
      <c r="WTP178" s="2522"/>
      <c r="WTQ178" s="2522"/>
      <c r="WTR178" s="2522"/>
      <c r="WTS178" s="2522"/>
      <c r="WTT178" s="2522"/>
      <c r="WTU178" s="2522"/>
      <c r="WTV178" s="2522"/>
      <c r="WTW178" s="2522"/>
      <c r="WTX178" s="2522"/>
      <c r="WTY178" s="2522"/>
      <c r="WTZ178" s="2522"/>
      <c r="WUA178" s="2522"/>
      <c r="WUB178" s="2522"/>
      <c r="WUC178" s="2522"/>
      <c r="WUD178" s="2522"/>
      <c r="WUE178" s="2522"/>
      <c r="WUF178" s="2522"/>
      <c r="WUG178" s="2522"/>
      <c r="WUH178" s="2522"/>
      <c r="WUI178" s="2522"/>
      <c r="WUJ178" s="2522"/>
      <c r="WUK178" s="2522"/>
      <c r="WUL178" s="2522"/>
      <c r="WUM178" s="2522"/>
      <c r="WUN178" s="2522"/>
      <c r="WUO178" s="2522"/>
      <c r="WUP178" s="2522"/>
      <c r="WUQ178" s="2522"/>
      <c r="WUR178" s="2522"/>
      <c r="WUS178" s="2522"/>
      <c r="WUT178" s="2522"/>
      <c r="WUU178" s="2522"/>
      <c r="WUV178" s="2522"/>
      <c r="WUW178" s="2522"/>
      <c r="WUX178" s="2522"/>
      <c r="WUY178" s="2522"/>
      <c r="WUZ178" s="2522"/>
      <c r="WVA178" s="2522"/>
      <c r="WVB178" s="2522"/>
      <c r="WVC178" s="2522"/>
      <c r="WVD178" s="2522"/>
      <c r="WVE178" s="2522"/>
      <c r="WVF178" s="2522"/>
      <c r="WVG178" s="2522"/>
      <c r="WVH178" s="2522"/>
      <c r="WVI178" s="2522"/>
      <c r="WVJ178" s="2522"/>
      <c r="WVK178" s="2522"/>
      <c r="WVL178" s="2522"/>
      <c r="WVM178" s="2522"/>
      <c r="WVN178" s="2522"/>
      <c r="WVO178" s="2522"/>
      <c r="WVP178" s="2522"/>
      <c r="WVQ178" s="2522"/>
      <c r="WVR178" s="2522"/>
      <c r="WVS178" s="2522"/>
      <c r="WVT178" s="2522"/>
      <c r="WVU178" s="2522"/>
      <c r="WVV178" s="2522"/>
      <c r="WVW178" s="2522"/>
      <c r="WVX178" s="2522"/>
      <c r="WVY178" s="2522"/>
      <c r="WVZ178" s="2522"/>
      <c r="WWA178" s="2522"/>
      <c r="WWB178" s="2522"/>
      <c r="WWC178" s="2522"/>
      <c r="WWD178" s="2522"/>
      <c r="WWE178" s="2522"/>
      <c r="WWF178" s="2522"/>
      <c r="WWG178" s="2522"/>
      <c r="WWH178" s="2522"/>
      <c r="WWI178" s="2522"/>
      <c r="WWJ178" s="2522"/>
      <c r="WWK178" s="2522"/>
      <c r="WWL178" s="2522"/>
      <c r="WWM178" s="2522"/>
      <c r="WWN178" s="2522"/>
      <c r="WWO178" s="2522"/>
      <c r="WWP178" s="2522"/>
      <c r="WWQ178" s="2522"/>
      <c r="WWR178" s="2522"/>
      <c r="WWS178" s="2522"/>
      <c r="WWT178" s="2522"/>
      <c r="WWU178" s="2522"/>
      <c r="WWV178" s="2522"/>
      <c r="WWW178" s="2522"/>
      <c r="WWX178" s="2522"/>
      <c r="WWY178" s="2522"/>
      <c r="WWZ178" s="2522"/>
      <c r="WXA178" s="2522"/>
      <c r="WXB178" s="2522"/>
      <c r="WXC178" s="2522"/>
      <c r="WXD178" s="2522"/>
      <c r="WXE178" s="2522"/>
      <c r="WXF178" s="2522"/>
      <c r="WXG178" s="2522"/>
      <c r="WXH178" s="2522"/>
      <c r="WXI178" s="2522"/>
      <c r="WXJ178" s="2522"/>
      <c r="WXK178" s="2522"/>
      <c r="WXL178" s="2522"/>
      <c r="WXM178" s="2522"/>
      <c r="WXN178" s="2522"/>
      <c r="WXO178" s="2522"/>
      <c r="WXP178" s="2522"/>
      <c r="WXQ178" s="2522"/>
      <c r="WXR178" s="2522"/>
      <c r="WXS178" s="2522"/>
      <c r="WXT178" s="2522"/>
      <c r="WXU178" s="2522"/>
      <c r="WXV178" s="2522"/>
      <c r="WXW178" s="2522"/>
      <c r="WXX178" s="2522"/>
      <c r="WXY178" s="2522"/>
      <c r="WXZ178" s="2522"/>
      <c r="WYA178" s="2522"/>
      <c r="WYB178" s="2522"/>
      <c r="WYC178" s="2522"/>
      <c r="WYD178" s="2522"/>
      <c r="WYE178" s="2522"/>
      <c r="WYF178" s="2522"/>
      <c r="WYG178" s="2522"/>
      <c r="WYH178" s="2522"/>
      <c r="WYI178" s="2522"/>
      <c r="WYJ178" s="2522"/>
      <c r="WYK178" s="2522"/>
      <c r="WYL178" s="2522"/>
      <c r="WYM178" s="2522"/>
      <c r="WYN178" s="2522"/>
      <c r="WYO178" s="2522"/>
      <c r="WYP178" s="2522"/>
      <c r="WYQ178" s="2522"/>
      <c r="WYR178" s="2522"/>
      <c r="WYS178" s="2522"/>
      <c r="WYT178" s="2522"/>
      <c r="WYU178" s="2522"/>
      <c r="WYV178" s="2522"/>
      <c r="WYW178" s="2522"/>
      <c r="WYX178" s="2522"/>
      <c r="WYY178" s="2522"/>
      <c r="WYZ178" s="2522"/>
      <c r="WZA178" s="2522"/>
      <c r="WZB178" s="2522"/>
      <c r="WZC178" s="2522"/>
      <c r="WZD178" s="2522"/>
      <c r="WZE178" s="2522"/>
      <c r="WZF178" s="2522"/>
      <c r="WZG178" s="2522"/>
      <c r="WZH178" s="2522"/>
      <c r="WZI178" s="2522"/>
      <c r="WZJ178" s="2522"/>
      <c r="WZK178" s="2522"/>
      <c r="WZL178" s="2522"/>
      <c r="WZM178" s="2522"/>
      <c r="WZN178" s="2522"/>
      <c r="WZO178" s="2522"/>
      <c r="WZP178" s="2522"/>
      <c r="WZQ178" s="2522"/>
      <c r="WZR178" s="2522"/>
      <c r="WZS178" s="2522"/>
      <c r="WZT178" s="2522"/>
      <c r="WZU178" s="2522"/>
      <c r="WZV178" s="2522"/>
      <c r="WZW178" s="2522"/>
      <c r="WZX178" s="2522"/>
      <c r="WZY178" s="2522"/>
      <c r="WZZ178" s="2522"/>
      <c r="XAA178" s="2522"/>
      <c r="XAB178" s="2522"/>
      <c r="XAC178" s="2522"/>
      <c r="XAD178" s="2522"/>
      <c r="XAE178" s="2522"/>
      <c r="XAF178" s="2522"/>
      <c r="XAG178" s="2522"/>
      <c r="XAH178" s="2522"/>
      <c r="XAI178" s="2522"/>
      <c r="XAJ178" s="2522"/>
      <c r="XAK178" s="2522"/>
      <c r="XAL178" s="2522"/>
      <c r="XAM178" s="2522"/>
      <c r="XAN178" s="2522"/>
      <c r="XAO178" s="2522"/>
      <c r="XAP178" s="2522"/>
      <c r="XAQ178" s="2522"/>
      <c r="XAR178" s="2522"/>
      <c r="XAS178" s="2522"/>
      <c r="XAT178" s="2522"/>
      <c r="XAU178" s="2522"/>
      <c r="XAV178" s="2522"/>
      <c r="XAW178" s="2522"/>
      <c r="XAX178" s="2522"/>
      <c r="XAY178" s="2522"/>
      <c r="XAZ178" s="2522"/>
    </row>
    <row r="179" spans="1:16276" s="2290" customFormat="1" x14ac:dyDescent="0.25">
      <c r="B179" s="2398">
        <v>912</v>
      </c>
      <c r="C179" s="2521"/>
      <c r="D179" s="2384"/>
      <c r="E179" s="2525"/>
      <c r="F179" s="2417">
        <f>F119</f>
        <v>0</v>
      </c>
      <c r="G179" s="2417">
        <f>G119</f>
        <v>0</v>
      </c>
      <c r="H179" s="2417"/>
      <c r="I179" s="2417"/>
      <c r="J179" s="2417">
        <f>J119</f>
        <v>0</v>
      </c>
      <c r="K179" s="2417">
        <f>K119</f>
        <v>7</v>
      </c>
      <c r="L179" s="2417"/>
      <c r="M179" s="2417"/>
      <c r="N179" s="2417">
        <f>N119</f>
        <v>0</v>
      </c>
      <c r="O179" s="2417">
        <f>O119</f>
        <v>7</v>
      </c>
      <c r="P179" s="2417"/>
      <c r="Q179" s="2417"/>
      <c r="R179" s="2417">
        <f t="shared" ref="R179:Y180" si="26">R119</f>
        <v>0</v>
      </c>
      <c r="S179" s="2417">
        <f t="shared" si="26"/>
        <v>0</v>
      </c>
      <c r="T179" s="2417">
        <f t="shared" si="26"/>
        <v>0</v>
      </c>
      <c r="U179" s="2417">
        <f t="shared" si="26"/>
        <v>7</v>
      </c>
      <c r="V179" s="2417">
        <f t="shared" si="26"/>
        <v>0</v>
      </c>
      <c r="W179" s="2417">
        <f t="shared" si="26"/>
        <v>0</v>
      </c>
      <c r="X179" s="2417">
        <f t="shared" si="26"/>
        <v>0</v>
      </c>
      <c r="Y179" s="2417">
        <f t="shared" si="26"/>
        <v>0</v>
      </c>
      <c r="AA179" s="2292"/>
    </row>
    <row r="180" spans="1:16276" s="2290" customFormat="1" x14ac:dyDescent="0.25">
      <c r="B180" s="2398">
        <v>921</v>
      </c>
      <c r="C180" s="2521"/>
      <c r="D180" s="2384"/>
      <c r="E180" s="2525"/>
      <c r="F180" s="2417">
        <f>F120</f>
        <v>0</v>
      </c>
      <c r="G180" s="2417">
        <f>G120</f>
        <v>0</v>
      </c>
      <c r="H180" s="2417"/>
      <c r="I180" s="2417"/>
      <c r="J180" s="2417">
        <f>J120</f>
        <v>0</v>
      </c>
      <c r="K180" s="2417">
        <f>K120</f>
        <v>68</v>
      </c>
      <c r="L180" s="2417"/>
      <c r="M180" s="2417"/>
      <c r="N180" s="2417">
        <f>N120</f>
        <v>0</v>
      </c>
      <c r="O180" s="2417">
        <f>O120</f>
        <v>68</v>
      </c>
      <c r="P180" s="2417"/>
      <c r="Q180" s="2417"/>
      <c r="R180" s="2417">
        <f t="shared" si="26"/>
        <v>0</v>
      </c>
      <c r="S180" s="2417">
        <f t="shared" si="26"/>
        <v>0</v>
      </c>
      <c r="T180" s="2417">
        <f t="shared" si="26"/>
        <v>0</v>
      </c>
      <c r="U180" s="2417">
        <f t="shared" si="26"/>
        <v>68</v>
      </c>
      <c r="V180" s="2417">
        <f t="shared" si="26"/>
        <v>0</v>
      </c>
      <c r="W180" s="2417">
        <f t="shared" si="26"/>
        <v>0</v>
      </c>
      <c r="X180" s="2417">
        <f t="shared" si="26"/>
        <v>0</v>
      </c>
      <c r="Y180" s="2417">
        <f t="shared" si="26"/>
        <v>0</v>
      </c>
      <c r="AA180" s="2292"/>
    </row>
    <row r="181" spans="1:16276" s="2290" customFormat="1" x14ac:dyDescent="0.25">
      <c r="B181" s="2398">
        <v>922</v>
      </c>
      <c r="C181" s="2521"/>
      <c r="D181" s="2384"/>
      <c r="E181" s="2525"/>
      <c r="F181" s="2417">
        <f>F115</f>
        <v>15</v>
      </c>
      <c r="G181" s="2417">
        <f>G115</f>
        <v>0</v>
      </c>
      <c r="H181" s="2417"/>
      <c r="I181" s="2417"/>
      <c r="J181" s="2417">
        <f>J115</f>
        <v>0</v>
      </c>
      <c r="K181" s="2417">
        <f>K115</f>
        <v>0</v>
      </c>
      <c r="L181" s="2417"/>
      <c r="M181" s="2417"/>
      <c r="N181" s="2417">
        <f>N115</f>
        <v>0</v>
      </c>
      <c r="O181" s="2417">
        <f>O115</f>
        <v>0</v>
      </c>
      <c r="P181" s="2417"/>
      <c r="Q181" s="2417"/>
      <c r="R181" s="2417">
        <f t="shared" ref="R181:Y181" si="27">R115</f>
        <v>0</v>
      </c>
      <c r="S181" s="2417">
        <f t="shared" si="27"/>
        <v>0</v>
      </c>
      <c r="T181" s="2417">
        <f t="shared" si="27"/>
        <v>0</v>
      </c>
      <c r="U181" s="2417">
        <f t="shared" si="27"/>
        <v>0</v>
      </c>
      <c r="V181" s="2417">
        <f t="shared" si="27"/>
        <v>0</v>
      </c>
      <c r="W181" s="2417">
        <f t="shared" si="27"/>
        <v>0</v>
      </c>
      <c r="X181" s="2417">
        <f t="shared" si="27"/>
        <v>0</v>
      </c>
      <c r="Y181" s="2417">
        <f t="shared" si="27"/>
        <v>0</v>
      </c>
      <c r="AA181" s="2292"/>
    </row>
    <row r="182" spans="1:16276" s="2290" customFormat="1" x14ac:dyDescent="0.25">
      <c r="B182" s="2398">
        <v>952</v>
      </c>
      <c r="C182" s="2521"/>
      <c r="D182" s="2384"/>
      <c r="E182" s="2525"/>
      <c r="F182" s="2417">
        <f>F121</f>
        <v>0</v>
      </c>
      <c r="G182" s="2417">
        <f>G121</f>
        <v>0</v>
      </c>
      <c r="H182" s="2417"/>
      <c r="I182" s="2417"/>
      <c r="J182" s="2417">
        <f>J121</f>
        <v>0</v>
      </c>
      <c r="K182" s="2417">
        <f>K121</f>
        <v>28</v>
      </c>
      <c r="L182" s="2417"/>
      <c r="M182" s="2417"/>
      <c r="N182" s="2417">
        <f>N121</f>
        <v>0</v>
      </c>
      <c r="O182" s="2417">
        <f>O121</f>
        <v>28</v>
      </c>
      <c r="P182" s="2417"/>
      <c r="Q182" s="2417"/>
      <c r="R182" s="2417">
        <f t="shared" ref="R182:Y182" si="28">R121</f>
        <v>0</v>
      </c>
      <c r="S182" s="2417">
        <f t="shared" si="28"/>
        <v>0</v>
      </c>
      <c r="T182" s="2417">
        <f t="shared" si="28"/>
        <v>0</v>
      </c>
      <c r="U182" s="2417">
        <f t="shared" si="28"/>
        <v>28</v>
      </c>
      <c r="V182" s="2417">
        <f t="shared" si="28"/>
        <v>0</v>
      </c>
      <c r="W182" s="2417">
        <f t="shared" si="28"/>
        <v>0</v>
      </c>
      <c r="X182" s="2417">
        <f t="shared" si="28"/>
        <v>0</v>
      </c>
      <c r="Y182" s="2417">
        <f t="shared" si="28"/>
        <v>0</v>
      </c>
      <c r="AA182" s="2292"/>
    </row>
    <row r="183" spans="1:16276" s="2290" customFormat="1" x14ac:dyDescent="0.25">
      <c r="B183" s="2398">
        <v>955</v>
      </c>
      <c r="C183" s="2521"/>
      <c r="D183" s="2384"/>
      <c r="E183" s="2525"/>
      <c r="F183" s="2417">
        <f>F16+F34+F73+F51+F98+F123</f>
        <v>52.9</v>
      </c>
      <c r="G183" s="2417">
        <f>G16+G34+G73+G51+G98+G123</f>
        <v>0</v>
      </c>
      <c r="H183" s="2417"/>
      <c r="I183" s="2417"/>
      <c r="J183" s="2417">
        <f>J16+J34+J73+J51+J98+J123</f>
        <v>28.1</v>
      </c>
      <c r="K183" s="2417">
        <f>K16+K34+K73+K51+K98+K123</f>
        <v>8.8000000000000007</v>
      </c>
      <c r="L183" s="2417"/>
      <c r="M183" s="2417"/>
      <c r="N183" s="2417">
        <f>N16+N34+N73+N51+N98+N123</f>
        <v>28.1</v>
      </c>
      <c r="O183" s="2417">
        <f>O16+O34+O73+O51+O98+O123</f>
        <v>8.8000000000000007</v>
      </c>
      <c r="P183" s="2417"/>
      <c r="Q183" s="2417"/>
      <c r="R183" s="2417">
        <f>R16+R34+R73+R51+R98+R123+R142+R150+R156+R163</f>
        <v>106.2</v>
      </c>
      <c r="S183" s="2526">
        <f>S16+S34+S73+S51+S98+S123+S142+S150+S156+S163</f>
        <v>106.2</v>
      </c>
      <c r="T183" s="2417">
        <f>T16+T34+T73+T51+T98+T123+T142+T150+T156+T163</f>
        <v>0</v>
      </c>
      <c r="U183" s="2417">
        <f>U16+U34+U73+U51+U98+U123</f>
        <v>13.2</v>
      </c>
      <c r="V183" s="2417">
        <f>V16+V34+V73+V51+V98+V123</f>
        <v>-0.3</v>
      </c>
      <c r="W183" s="2417">
        <f>W16+W34+W73+W51+W98+W123</f>
        <v>77.099999999999994</v>
      </c>
      <c r="X183" s="2417">
        <f>X16+X34+X73+X51+X98+X123+X142+X150+X156+X163</f>
        <v>107.2</v>
      </c>
      <c r="Y183" s="2417">
        <f>Y16+Y34+Y73+Y51+Y98+Y123+Y142+Y150+Y156+Y163</f>
        <v>110.4</v>
      </c>
      <c r="AA183" s="2292"/>
      <c r="AB183" s="2527"/>
    </row>
    <row r="184" spans="1:16276" s="2559" customFormat="1" x14ac:dyDescent="0.25">
      <c r="B184" s="2560">
        <v>963</v>
      </c>
      <c r="C184" s="2561"/>
      <c r="D184" s="2384"/>
      <c r="E184" s="2525"/>
      <c r="F184" s="2417" t="e">
        <f>F19+F23+F25+F40+F64+F84+F93+F106+#REF!+F136</f>
        <v>#REF!</v>
      </c>
      <c r="G184" s="2417" t="e">
        <f>G19+G23+G25+G40+G64+G84+G93+G106+#REF!+G136</f>
        <v>#REF!</v>
      </c>
      <c r="H184" s="2417"/>
      <c r="I184" s="2417"/>
      <c r="J184" s="2417" t="e">
        <f>J19+J23+J25+J40+J64+J84+J93+J106+#REF!+J136</f>
        <v>#REF!</v>
      </c>
      <c r="K184" s="2417" t="e">
        <f>K19+K23+K25+K40+K64+K84+K93+K106+#REF!+K136</f>
        <v>#REF!</v>
      </c>
      <c r="L184" s="2417"/>
      <c r="M184" s="2417"/>
      <c r="N184" s="2417" t="e">
        <f>N19+N23+N25+N40+N64+N84+N93+N106+#REF!+N136</f>
        <v>#REF!</v>
      </c>
      <c r="O184" s="2417" t="e">
        <f>O19+O23+O25+O40+O64+O84+O93+O106+#REF!+O136</f>
        <v>#REF!</v>
      </c>
      <c r="P184" s="2469"/>
      <c r="Q184" s="2469"/>
      <c r="R184" s="2469">
        <f>R19+R23+R25+R40+R64+R84+R93+R106+R136+R171</f>
        <v>202.1</v>
      </c>
      <c r="S184" s="2469">
        <f t="shared" ref="S184:Y184" si="29">S19+S23+S25+S40+S64+S84+S93+S106+S136+S171</f>
        <v>202.1</v>
      </c>
      <c r="T184" s="2469">
        <f t="shared" si="29"/>
        <v>0</v>
      </c>
      <c r="U184" s="2469">
        <f t="shared" si="29"/>
        <v>23.4</v>
      </c>
      <c r="V184" s="2469">
        <f t="shared" si="29"/>
        <v>133.5</v>
      </c>
      <c r="W184" s="2469">
        <f t="shared" si="29"/>
        <v>187.4</v>
      </c>
      <c r="X184" s="2469">
        <f t="shared" si="29"/>
        <v>173.8</v>
      </c>
      <c r="Y184" s="2469">
        <f t="shared" si="29"/>
        <v>229.1</v>
      </c>
      <c r="AA184" s="2562"/>
    </row>
    <row r="185" spans="1:16276" s="2290" customFormat="1" x14ac:dyDescent="0.25">
      <c r="B185" s="2398">
        <v>966</v>
      </c>
      <c r="C185" s="2521"/>
      <c r="D185" s="2384"/>
      <c r="E185" s="2525"/>
      <c r="F185" s="2417">
        <f>F117+F118</f>
        <v>301.3</v>
      </c>
      <c r="G185" s="2417">
        <f>G117+G118</f>
        <v>0</v>
      </c>
      <c r="H185" s="2417"/>
      <c r="I185" s="2417"/>
      <c r="J185" s="2417">
        <f>J117+J118</f>
        <v>280</v>
      </c>
      <c r="K185" s="2417">
        <f>K117+K118</f>
        <v>168</v>
      </c>
      <c r="L185" s="2417"/>
      <c r="M185" s="2417"/>
      <c r="N185" s="2417">
        <f>N117+N118</f>
        <v>280</v>
      </c>
      <c r="O185" s="2417">
        <f>O117+O118</f>
        <v>168</v>
      </c>
      <c r="P185" s="2417"/>
      <c r="Q185" s="2417"/>
      <c r="R185" s="2417">
        <f t="shared" ref="R185:Y185" si="30">R117+R118</f>
        <v>280</v>
      </c>
      <c r="S185" s="2417">
        <f t="shared" si="30"/>
        <v>280</v>
      </c>
      <c r="T185" s="2417">
        <f t="shared" si="30"/>
        <v>0</v>
      </c>
      <c r="U185" s="2417">
        <f t="shared" si="30"/>
        <v>168</v>
      </c>
      <c r="V185" s="2417">
        <f t="shared" si="30"/>
        <v>0</v>
      </c>
      <c r="W185" s="2417">
        <f t="shared" si="30"/>
        <v>100</v>
      </c>
      <c r="X185" s="2417">
        <f t="shared" si="30"/>
        <v>300</v>
      </c>
      <c r="Y185" s="2417">
        <f t="shared" si="30"/>
        <v>300</v>
      </c>
      <c r="AA185" s="2292"/>
    </row>
    <row r="186" spans="1:16276" s="2290" customFormat="1" x14ac:dyDescent="0.25">
      <c r="B186" s="2398">
        <v>971</v>
      </c>
      <c r="C186" s="2521"/>
      <c r="D186" s="2384"/>
      <c r="E186" s="2525"/>
      <c r="F186" s="2417">
        <f>F96</f>
        <v>190</v>
      </c>
      <c r="G186" s="2417"/>
      <c r="H186" s="2384"/>
      <c r="I186" s="2384"/>
      <c r="J186" s="2384"/>
      <c r="K186" s="2384"/>
      <c r="L186" s="2384"/>
      <c r="M186" s="2384"/>
      <c r="N186" s="2384"/>
      <c r="O186" s="2384"/>
      <c r="P186" s="2384"/>
      <c r="Q186" s="2384"/>
      <c r="R186" s="2384"/>
      <c r="S186" s="2384"/>
      <c r="T186" s="2384"/>
      <c r="U186" s="2384"/>
      <c r="V186" s="2384"/>
      <c r="W186" s="2384"/>
      <c r="X186" s="2384"/>
      <c r="Y186" s="2384"/>
      <c r="AA186" s="2292"/>
      <c r="AB186" s="2527"/>
    </row>
    <row r="187" spans="1:16276" s="2540" customFormat="1" x14ac:dyDescent="0.25">
      <c r="B187" s="2541">
        <v>981</v>
      </c>
      <c r="C187" s="2542"/>
      <c r="D187" s="2384"/>
      <c r="E187" s="2525"/>
      <c r="F187" s="2417" t="e">
        <f>F26+F28+F32+F43+F46+F47+F56+F60+F69+F77+F80+F82+F88+F104+F108+F111+#REF!+F113+#REF!+#REF!+#REF!+#REF!+#REF!+#REF!+#REF!+#REF!+#REF!+#REF!+#REF!+F129+F132</f>
        <v>#REF!</v>
      </c>
      <c r="G187" s="2417" t="e">
        <f>G26+G28+G32+G43+G46+G47+G56+G60+G69+G77+G80+G82+G88+G104+G108+G111+#REF!+G113+#REF!+#REF!+#REF!+#REF!+#REF!+#REF!+#REF!+#REF!+#REF!+#REF!+#REF!+G129+G132</f>
        <v>#REF!</v>
      </c>
      <c r="H187" s="2417"/>
      <c r="I187" s="2417"/>
      <c r="J187" s="2417" t="e">
        <f>J26+J28+J32+J43+J46+J47+J56+J60+J69+J77+J80+J82+J88+J104+J108+J111+#REF!+J113+#REF!+#REF!+#REF!+#REF!+#REF!+#REF!+#REF!+#REF!+#REF!+#REF!+#REF!+J129+J132</f>
        <v>#REF!</v>
      </c>
      <c r="K187" s="2417" t="e">
        <f>K26+K28+K32+K43+K46+K47+K56+K60+K69+K77+K80+K82+K88+K104+K108+K111+#REF!+K113+#REF!+#REF!+#REF!+#REF!+#REF!+#REF!+#REF!+#REF!+#REF!+#REF!+#REF!+K129+K132</f>
        <v>#REF!</v>
      </c>
      <c r="L187" s="2417"/>
      <c r="M187" s="2417"/>
      <c r="N187" s="2417" t="e">
        <f>N26+N28+N32+N43+N46+N47+N56+N60+N69+N77+N80+N82+N88+N104+N108+N111+#REF!+N113+#REF!+#REF!+#REF!+#REF!+#REF!+#REF!+#REF!+#REF!+#REF!+#REF!+#REF!+N129+N132</f>
        <v>#REF!</v>
      </c>
      <c r="O187" s="2417" t="e">
        <f>O26+O28+O32+O43+O46+O47+O56+O60+O69+O77+O80+O82+O88+O104+O108+O111+#REF!+O113+#REF!+#REF!+#REF!+#REF!+#REF!+#REF!+#REF!+#REF!+#REF!+#REF!+#REF!+O129+O132</f>
        <v>#REF!</v>
      </c>
      <c r="P187" s="2545"/>
      <c r="Q187" s="2545"/>
      <c r="R187" s="2545">
        <f>R26+R28+R32+R43+R46+R47+R56+R60+R69+R77+R80+R82+R88+R104+R108+R113+R111+R129+R132</f>
        <v>58.9</v>
      </c>
      <c r="S187" s="2545">
        <f t="shared" ref="S187:Y187" si="31">S26+S28+S32+S43+S46+S47+S56+S60+S69+S77+S80+S82+S88+S104+S108+S113+S111+S129+S132</f>
        <v>58.9</v>
      </c>
      <c r="T187" s="2545">
        <f t="shared" si="31"/>
        <v>0</v>
      </c>
      <c r="U187" s="2545">
        <f t="shared" si="31"/>
        <v>17.7</v>
      </c>
      <c r="V187" s="2545">
        <f t="shared" si="31"/>
        <v>7.9</v>
      </c>
      <c r="W187" s="2545">
        <f t="shared" si="31"/>
        <v>544.70000000000005</v>
      </c>
      <c r="X187" s="2545">
        <f t="shared" si="31"/>
        <v>58.9</v>
      </c>
      <c r="Y187" s="2545">
        <f t="shared" si="31"/>
        <v>58.9</v>
      </c>
      <c r="AA187" s="2546"/>
    </row>
    <row r="188" spans="1:16276" s="2290" customFormat="1" x14ac:dyDescent="0.25">
      <c r="B188" s="2398">
        <v>985</v>
      </c>
      <c r="C188" s="2521"/>
      <c r="D188" s="2384"/>
      <c r="E188" s="2525"/>
      <c r="F188" s="2417" t="e">
        <f>#REF!</f>
        <v>#REF!</v>
      </c>
      <c r="G188" s="2417" t="e">
        <f>#REF!</f>
        <v>#REF!</v>
      </c>
      <c r="H188" s="2417"/>
      <c r="I188" s="2417"/>
      <c r="J188" s="2417" t="e">
        <f>#REF!</f>
        <v>#REF!</v>
      </c>
      <c r="K188" s="2417" t="e">
        <f>#REF!</f>
        <v>#REF!</v>
      </c>
      <c r="L188" s="2417"/>
      <c r="M188" s="2417"/>
      <c r="N188" s="2417" t="e">
        <f>#REF!</f>
        <v>#REF!</v>
      </c>
      <c r="O188" s="2417" t="e">
        <f>#REF!</f>
        <v>#REF!</v>
      </c>
      <c r="P188" s="2417"/>
      <c r="Q188" s="2417"/>
      <c r="R188" s="2417"/>
      <c r="S188" s="2417"/>
      <c r="T188" s="2417"/>
      <c r="U188" s="2417"/>
      <c r="V188" s="2417"/>
      <c r="W188" s="2417"/>
      <c r="X188" s="2417"/>
      <c r="Y188" s="2417"/>
      <c r="AA188" s="2292"/>
    </row>
    <row r="189" spans="1:16276" s="2290" customFormat="1" hidden="1" x14ac:dyDescent="0.25">
      <c r="B189" s="2398">
        <v>912</v>
      </c>
      <c r="C189" s="2521"/>
      <c r="D189" s="2342"/>
      <c r="E189" s="2382"/>
      <c r="F189" s="2333" t="e">
        <f>F179+#REF!+#REF!</f>
        <v>#REF!</v>
      </c>
      <c r="G189" s="2333" t="e">
        <f>G179+#REF!+#REF!</f>
        <v>#REF!</v>
      </c>
      <c r="H189" s="2333" t="e">
        <f>H179+#REF!+#REF!</f>
        <v>#REF!</v>
      </c>
      <c r="I189" s="2333" t="e">
        <f>I179+#REF!+#REF!</f>
        <v>#REF!</v>
      </c>
      <c r="J189" s="2333" t="e">
        <f>J179+#REF!+#REF!</f>
        <v>#REF!</v>
      </c>
      <c r="K189" s="2333" t="e">
        <f>K179+#REF!+#REF!</f>
        <v>#REF!</v>
      </c>
      <c r="L189" s="2333" t="e">
        <f>L179+#REF!+#REF!</f>
        <v>#REF!</v>
      </c>
      <c r="M189" s="2333" t="e">
        <f>M179+#REF!+#REF!</f>
        <v>#REF!</v>
      </c>
      <c r="N189" s="2333" t="e">
        <f>N179+#REF!+#REF!</f>
        <v>#REF!</v>
      </c>
      <c r="O189" s="2333" t="e">
        <f>O179+#REF!+#REF!</f>
        <v>#REF!</v>
      </c>
      <c r="P189" s="2333" t="e">
        <f>P179+#REF!+#REF!</f>
        <v>#REF!</v>
      </c>
      <c r="Q189" s="2333" t="e">
        <f>Q179+#REF!+#REF!</f>
        <v>#REF!</v>
      </c>
      <c r="R189" s="2333" t="e">
        <f>R179+#REF!+#REF!</f>
        <v>#REF!</v>
      </c>
      <c r="S189" s="2333"/>
      <c r="T189" s="2333"/>
      <c r="U189" s="2333" t="e">
        <f>U179+#REF!+#REF!</f>
        <v>#REF!</v>
      </c>
      <c r="V189" s="2333" t="e">
        <f>V179+#REF!+#REF!</f>
        <v>#REF!</v>
      </c>
      <c r="W189" s="2333" t="e">
        <f>W179+#REF!+#REF!</f>
        <v>#REF!</v>
      </c>
      <c r="X189" s="2333" t="e">
        <f>X179+#REF!+#REF!</f>
        <v>#REF!</v>
      </c>
      <c r="Y189" s="2333" t="e">
        <f>Y179+#REF!+#REF!</f>
        <v>#REF!</v>
      </c>
      <c r="AA189" s="2292"/>
    </row>
    <row r="190" spans="1:16276" s="2290" customFormat="1" hidden="1" x14ac:dyDescent="0.25">
      <c r="B190" s="2398">
        <v>921</v>
      </c>
      <c r="C190" s="2521"/>
      <c r="D190" s="2342"/>
      <c r="E190" s="2382"/>
      <c r="F190" s="2333" t="e">
        <f>#REF!+F180+#REF!+#REF!</f>
        <v>#REF!</v>
      </c>
      <c r="G190" s="2333" t="e">
        <f>#REF!+G180+#REF!+#REF!</f>
        <v>#REF!</v>
      </c>
      <c r="H190" s="2333" t="e">
        <f>#REF!+H180+#REF!+#REF!</f>
        <v>#REF!</v>
      </c>
      <c r="I190" s="2333" t="e">
        <f>#REF!+I180+#REF!+#REF!</f>
        <v>#REF!</v>
      </c>
      <c r="J190" s="2333" t="e">
        <f>#REF!+J180+#REF!+#REF!</f>
        <v>#REF!</v>
      </c>
      <c r="K190" s="2333" t="e">
        <f>#REF!+K180+#REF!+#REF!</f>
        <v>#REF!</v>
      </c>
      <c r="L190" s="2333" t="e">
        <f>#REF!+L180+#REF!+#REF!</f>
        <v>#REF!</v>
      </c>
      <c r="M190" s="2333" t="e">
        <f>#REF!+M180+#REF!+#REF!</f>
        <v>#REF!</v>
      </c>
      <c r="N190" s="2333" t="e">
        <f>#REF!+N180+#REF!+#REF!</f>
        <v>#REF!</v>
      </c>
      <c r="O190" s="2333" t="e">
        <f>#REF!+O180+#REF!+#REF!</f>
        <v>#REF!</v>
      </c>
      <c r="P190" s="2333" t="e">
        <f>#REF!+P180+#REF!+#REF!</f>
        <v>#REF!</v>
      </c>
      <c r="Q190" s="2333" t="e">
        <f>#REF!+Q180+#REF!+#REF!</f>
        <v>#REF!</v>
      </c>
      <c r="R190" s="2333" t="e">
        <f>#REF!+R180+#REF!+#REF!</f>
        <v>#REF!</v>
      </c>
      <c r="S190" s="2333"/>
      <c r="T190" s="2333"/>
      <c r="U190" s="2333" t="e">
        <f>#REF!+U180+#REF!+#REF!</f>
        <v>#REF!</v>
      </c>
      <c r="V190" s="2333" t="e">
        <f>#REF!+V180+#REF!+#REF!</f>
        <v>#REF!</v>
      </c>
      <c r="W190" s="2333" t="e">
        <f>#REF!+W180+#REF!+#REF!</f>
        <v>#REF!</v>
      </c>
      <c r="X190" s="2333" t="e">
        <f>#REF!+X180+#REF!+#REF!</f>
        <v>#REF!</v>
      </c>
      <c r="Y190" s="2333" t="e">
        <f>#REF!+Y180+#REF!+#REF!</f>
        <v>#REF!</v>
      </c>
      <c r="AA190" s="2292"/>
    </row>
    <row r="191" spans="1:16276" s="2290" customFormat="1" hidden="1" x14ac:dyDescent="0.25">
      <c r="B191" s="2398">
        <v>922</v>
      </c>
      <c r="C191" s="2521"/>
      <c r="D191" s="2342"/>
      <c r="E191" s="2382"/>
      <c r="F191" s="2333" t="e">
        <f>F181+#REF!+#REF!+#REF!</f>
        <v>#REF!</v>
      </c>
      <c r="G191" s="2333" t="e">
        <f>G181+#REF!+#REF!+#REF!</f>
        <v>#REF!</v>
      </c>
      <c r="H191" s="2333" t="e">
        <f>H181+#REF!+#REF!+#REF!</f>
        <v>#REF!</v>
      </c>
      <c r="I191" s="2333" t="e">
        <f>I181+#REF!+#REF!+#REF!</f>
        <v>#REF!</v>
      </c>
      <c r="J191" s="2333" t="e">
        <f>J181+#REF!+#REF!+#REF!</f>
        <v>#REF!</v>
      </c>
      <c r="K191" s="2333" t="e">
        <f>K181+#REF!+#REF!+#REF!</f>
        <v>#REF!</v>
      </c>
      <c r="L191" s="2333" t="e">
        <f>L181+#REF!+#REF!+#REF!</f>
        <v>#REF!</v>
      </c>
      <c r="M191" s="2333" t="e">
        <f>M181+#REF!+#REF!+#REF!</f>
        <v>#REF!</v>
      </c>
      <c r="N191" s="2333" t="e">
        <f>N181+#REF!+#REF!+#REF!</f>
        <v>#REF!</v>
      </c>
      <c r="O191" s="2333" t="e">
        <f>O181+#REF!+#REF!+#REF!</f>
        <v>#REF!</v>
      </c>
      <c r="P191" s="2333" t="e">
        <f>P181+#REF!+#REF!+#REF!</f>
        <v>#REF!</v>
      </c>
      <c r="Q191" s="2333" t="e">
        <f>Q181+#REF!+#REF!+#REF!</f>
        <v>#REF!</v>
      </c>
      <c r="R191" s="2333" t="e">
        <f>R181+#REF!+#REF!+#REF!</f>
        <v>#REF!</v>
      </c>
      <c r="S191" s="2333"/>
      <c r="T191" s="2333"/>
      <c r="U191" s="2333" t="e">
        <f>U181+#REF!+#REF!+#REF!</f>
        <v>#REF!</v>
      </c>
      <c r="V191" s="2333" t="e">
        <f>V181+#REF!+#REF!+#REF!</f>
        <v>#REF!</v>
      </c>
      <c r="W191" s="2333" t="e">
        <f>W181+#REF!+#REF!+#REF!</f>
        <v>#REF!</v>
      </c>
      <c r="X191" s="2333" t="e">
        <f>X181+#REF!+#REF!+#REF!</f>
        <v>#REF!</v>
      </c>
      <c r="Y191" s="2333" t="e">
        <f>Y181+#REF!+#REF!+#REF!</f>
        <v>#REF!</v>
      </c>
      <c r="AA191" s="2292"/>
    </row>
    <row r="192" spans="1:16276" s="2290" customFormat="1" hidden="1" x14ac:dyDescent="0.25">
      <c r="B192" s="2398">
        <v>925</v>
      </c>
      <c r="C192" s="2521"/>
      <c r="D192" s="2342"/>
      <c r="E192" s="2382"/>
      <c r="F192" s="2333" t="e">
        <f>#REF!</f>
        <v>#REF!</v>
      </c>
      <c r="G192" s="2333" t="e">
        <f>#REF!</f>
        <v>#REF!</v>
      </c>
      <c r="H192" s="2333" t="e">
        <f>#REF!</f>
        <v>#REF!</v>
      </c>
      <c r="I192" s="2333" t="e">
        <f>#REF!</f>
        <v>#REF!</v>
      </c>
      <c r="J192" s="2333" t="e">
        <f>#REF!</f>
        <v>#REF!</v>
      </c>
      <c r="K192" s="2333" t="e">
        <f>#REF!</f>
        <v>#REF!</v>
      </c>
      <c r="L192" s="2333" t="e">
        <f>#REF!</f>
        <v>#REF!</v>
      </c>
      <c r="M192" s="2333" t="e">
        <f>#REF!</f>
        <v>#REF!</v>
      </c>
      <c r="N192" s="2333" t="e">
        <f>#REF!</f>
        <v>#REF!</v>
      </c>
      <c r="O192" s="2333" t="e">
        <f>#REF!</f>
        <v>#REF!</v>
      </c>
      <c r="P192" s="2333" t="e">
        <f>#REF!</f>
        <v>#REF!</v>
      </c>
      <c r="Q192" s="2333" t="e">
        <f>#REF!</f>
        <v>#REF!</v>
      </c>
      <c r="R192" s="2333" t="e">
        <f>#REF!</f>
        <v>#REF!</v>
      </c>
      <c r="S192" s="2333"/>
      <c r="T192" s="2333"/>
      <c r="U192" s="2333" t="e">
        <f>#REF!</f>
        <v>#REF!</v>
      </c>
      <c r="V192" s="2333" t="e">
        <f>#REF!</f>
        <v>#REF!</v>
      </c>
      <c r="W192" s="2333" t="e">
        <f>#REF!</f>
        <v>#REF!</v>
      </c>
      <c r="X192" s="2333" t="e">
        <f>#REF!</f>
        <v>#REF!</v>
      </c>
      <c r="Y192" s="2333" t="e">
        <f>#REF!</f>
        <v>#REF!</v>
      </c>
      <c r="AA192" s="2292"/>
    </row>
    <row r="193" spans="2:27" s="2290" customFormat="1" hidden="1" x14ac:dyDescent="0.25">
      <c r="B193" s="2398">
        <v>926</v>
      </c>
      <c r="C193" s="2521"/>
      <c r="D193" s="2342"/>
      <c r="E193" s="2382"/>
      <c r="F193" s="2333" t="e">
        <f>#REF!</f>
        <v>#REF!</v>
      </c>
      <c r="G193" s="2333" t="e">
        <f>#REF!</f>
        <v>#REF!</v>
      </c>
      <c r="H193" s="2333" t="e">
        <f>#REF!</f>
        <v>#REF!</v>
      </c>
      <c r="I193" s="2333" t="e">
        <f>#REF!</f>
        <v>#REF!</v>
      </c>
      <c r="J193" s="2333" t="e">
        <f>#REF!</f>
        <v>#REF!</v>
      </c>
      <c r="K193" s="2333" t="e">
        <f>#REF!</f>
        <v>#REF!</v>
      </c>
      <c r="L193" s="2333" t="e">
        <f>#REF!</f>
        <v>#REF!</v>
      </c>
      <c r="M193" s="2333" t="e">
        <f>#REF!</f>
        <v>#REF!</v>
      </c>
      <c r="N193" s="2333" t="e">
        <f>#REF!</f>
        <v>#REF!</v>
      </c>
      <c r="O193" s="2333" t="e">
        <f>#REF!</f>
        <v>#REF!</v>
      </c>
      <c r="P193" s="2333" t="e">
        <f>#REF!</f>
        <v>#REF!</v>
      </c>
      <c r="Q193" s="2333" t="e">
        <f>#REF!</f>
        <v>#REF!</v>
      </c>
      <c r="R193" s="2333" t="e">
        <f>#REF!</f>
        <v>#REF!</v>
      </c>
      <c r="S193" s="2333"/>
      <c r="T193" s="2333"/>
      <c r="U193" s="2333" t="e">
        <f>#REF!</f>
        <v>#REF!</v>
      </c>
      <c r="V193" s="2333" t="e">
        <f>#REF!</f>
        <v>#REF!</v>
      </c>
      <c r="W193" s="2333" t="e">
        <f>#REF!</f>
        <v>#REF!</v>
      </c>
      <c r="X193" s="2333" t="e">
        <f>#REF!</f>
        <v>#REF!</v>
      </c>
      <c r="Y193" s="2333" t="e">
        <f>#REF!</f>
        <v>#REF!</v>
      </c>
      <c r="AA193" s="2292"/>
    </row>
    <row r="194" spans="2:27" s="2290" customFormat="1" hidden="1" x14ac:dyDescent="0.25">
      <c r="B194" s="2398">
        <v>951</v>
      </c>
      <c r="C194" s="2521"/>
      <c r="D194" s="2342"/>
      <c r="E194" s="2382"/>
      <c r="F194" s="2333" t="e">
        <f>#REF!</f>
        <v>#REF!</v>
      </c>
      <c r="G194" s="2333" t="e">
        <f>#REF!</f>
        <v>#REF!</v>
      </c>
      <c r="H194" s="2333" t="e">
        <f>#REF!</f>
        <v>#REF!</v>
      </c>
      <c r="I194" s="2333" t="e">
        <f>#REF!</f>
        <v>#REF!</v>
      </c>
      <c r="J194" s="2333" t="e">
        <f>#REF!</f>
        <v>#REF!</v>
      </c>
      <c r="K194" s="2333" t="e">
        <f>#REF!</f>
        <v>#REF!</v>
      </c>
      <c r="L194" s="2333" t="e">
        <f>#REF!</f>
        <v>#REF!</v>
      </c>
      <c r="M194" s="2333" t="e">
        <f>#REF!</f>
        <v>#REF!</v>
      </c>
      <c r="N194" s="2333" t="e">
        <f>#REF!</f>
        <v>#REF!</v>
      </c>
      <c r="O194" s="2333" t="e">
        <f>#REF!</f>
        <v>#REF!</v>
      </c>
      <c r="P194" s="2333" t="e">
        <f>#REF!</f>
        <v>#REF!</v>
      </c>
      <c r="Q194" s="2333" t="e">
        <f>#REF!</f>
        <v>#REF!</v>
      </c>
      <c r="R194" s="2333" t="e">
        <f>#REF!</f>
        <v>#REF!</v>
      </c>
      <c r="S194" s="2333"/>
      <c r="T194" s="2333"/>
      <c r="U194" s="2333" t="e">
        <f>#REF!</f>
        <v>#REF!</v>
      </c>
      <c r="V194" s="2333" t="e">
        <f>#REF!</f>
        <v>#REF!</v>
      </c>
      <c r="W194" s="2333" t="e">
        <f>#REF!</f>
        <v>#REF!</v>
      </c>
      <c r="X194" s="2333" t="e">
        <f>#REF!</f>
        <v>#REF!</v>
      </c>
      <c r="Y194" s="2333" t="e">
        <f>#REF!</f>
        <v>#REF!</v>
      </c>
      <c r="AA194" s="2292"/>
    </row>
    <row r="195" spans="2:27" s="2290" customFormat="1" hidden="1" x14ac:dyDescent="0.25">
      <c r="B195" s="2398">
        <v>952</v>
      </c>
      <c r="C195" s="2521"/>
      <c r="D195" s="2342"/>
      <c r="E195" s="2382"/>
      <c r="F195" s="2333" t="e">
        <f>F182+#REF!+#REF!</f>
        <v>#REF!</v>
      </c>
      <c r="G195" s="2333" t="e">
        <f>G182+#REF!+#REF!</f>
        <v>#REF!</v>
      </c>
      <c r="H195" s="2333" t="e">
        <f>H182+#REF!+#REF!</f>
        <v>#REF!</v>
      </c>
      <c r="I195" s="2333" t="e">
        <f>I182+#REF!+#REF!</f>
        <v>#REF!</v>
      </c>
      <c r="J195" s="2333" t="e">
        <f>J182+#REF!+#REF!</f>
        <v>#REF!</v>
      </c>
      <c r="K195" s="2333" t="e">
        <f>K182+#REF!+#REF!</f>
        <v>#REF!</v>
      </c>
      <c r="L195" s="2333" t="e">
        <f>L182+#REF!+#REF!</f>
        <v>#REF!</v>
      </c>
      <c r="M195" s="2333" t="e">
        <f>M182+#REF!+#REF!</f>
        <v>#REF!</v>
      </c>
      <c r="N195" s="2333" t="e">
        <f>N182+#REF!+#REF!</f>
        <v>#REF!</v>
      </c>
      <c r="O195" s="2333" t="e">
        <f>O182+#REF!+#REF!</f>
        <v>#REF!</v>
      </c>
      <c r="P195" s="2333" t="e">
        <f>P182+#REF!+#REF!</f>
        <v>#REF!</v>
      </c>
      <c r="Q195" s="2333" t="e">
        <f>Q182+#REF!+#REF!</f>
        <v>#REF!</v>
      </c>
      <c r="R195" s="2333" t="e">
        <f>R182+#REF!+#REF!</f>
        <v>#REF!</v>
      </c>
      <c r="S195" s="2333"/>
      <c r="T195" s="2333"/>
      <c r="U195" s="2333" t="e">
        <f>U182+#REF!+#REF!</f>
        <v>#REF!</v>
      </c>
      <c r="V195" s="2333" t="e">
        <f>V182+#REF!+#REF!</f>
        <v>#REF!</v>
      </c>
      <c r="W195" s="2333" t="e">
        <f>W182+#REF!+#REF!</f>
        <v>#REF!</v>
      </c>
      <c r="X195" s="2333" t="e">
        <f>X182+#REF!+#REF!</f>
        <v>#REF!</v>
      </c>
      <c r="Y195" s="2333" t="e">
        <f>Y182+#REF!+#REF!</f>
        <v>#REF!</v>
      </c>
      <c r="AA195" s="2292"/>
    </row>
    <row r="196" spans="2:27" s="2290" customFormat="1" hidden="1" x14ac:dyDescent="0.25">
      <c r="B196" s="2398">
        <v>953</v>
      </c>
      <c r="C196" s="2521"/>
      <c r="D196" s="2342"/>
      <c r="E196" s="2382"/>
      <c r="F196" s="2333" t="e">
        <f>#REF!+#REF!</f>
        <v>#REF!</v>
      </c>
      <c r="G196" s="2333" t="e">
        <f>#REF!+#REF!</f>
        <v>#REF!</v>
      </c>
      <c r="H196" s="2333" t="e">
        <f>#REF!+#REF!</f>
        <v>#REF!</v>
      </c>
      <c r="I196" s="2333" t="e">
        <f>#REF!+#REF!</f>
        <v>#REF!</v>
      </c>
      <c r="J196" s="2333" t="e">
        <f>#REF!+#REF!</f>
        <v>#REF!</v>
      </c>
      <c r="K196" s="2333" t="e">
        <f>#REF!+#REF!</f>
        <v>#REF!</v>
      </c>
      <c r="L196" s="2333" t="e">
        <f>#REF!+#REF!</f>
        <v>#REF!</v>
      </c>
      <c r="M196" s="2333" t="e">
        <f>#REF!+#REF!</f>
        <v>#REF!</v>
      </c>
      <c r="N196" s="2333" t="e">
        <f>#REF!+#REF!</f>
        <v>#REF!</v>
      </c>
      <c r="O196" s="2333" t="e">
        <f>#REF!+#REF!</f>
        <v>#REF!</v>
      </c>
      <c r="P196" s="2333" t="e">
        <f>#REF!+#REF!</f>
        <v>#REF!</v>
      </c>
      <c r="Q196" s="2333" t="e">
        <f>#REF!+#REF!</f>
        <v>#REF!</v>
      </c>
      <c r="R196" s="2333" t="e">
        <f>#REF!+#REF!</f>
        <v>#REF!</v>
      </c>
      <c r="S196" s="2333"/>
      <c r="T196" s="2333"/>
      <c r="U196" s="2333" t="e">
        <f>#REF!+#REF!</f>
        <v>#REF!</v>
      </c>
      <c r="V196" s="2333" t="e">
        <f>#REF!+#REF!</f>
        <v>#REF!</v>
      </c>
      <c r="W196" s="2333" t="e">
        <f>#REF!+#REF!</f>
        <v>#REF!</v>
      </c>
      <c r="X196" s="2333" t="e">
        <f>#REF!+#REF!</f>
        <v>#REF!</v>
      </c>
      <c r="Y196" s="2333" t="e">
        <f>#REF!+#REF!</f>
        <v>#REF!</v>
      </c>
      <c r="AA196" s="2292"/>
    </row>
    <row r="197" spans="2:27" s="2290" customFormat="1" hidden="1" x14ac:dyDescent="0.25">
      <c r="B197" s="2398">
        <v>954</v>
      </c>
      <c r="C197" s="2521"/>
      <c r="D197" s="2342"/>
      <c r="E197" s="2382"/>
      <c r="F197" s="2333" t="e">
        <f>#REF!+#REF!+#REF!+#REF!+#REF!+#REF!+#REF!</f>
        <v>#REF!</v>
      </c>
      <c r="G197" s="2333" t="e">
        <f>#REF!+#REF!+#REF!+#REF!+#REF!+#REF!+#REF!</f>
        <v>#REF!</v>
      </c>
      <c r="H197" s="2333" t="e">
        <f>#REF!+#REF!+#REF!+#REF!+#REF!+#REF!+#REF!</f>
        <v>#REF!</v>
      </c>
      <c r="I197" s="2333" t="e">
        <f>#REF!+#REF!+#REF!+#REF!+#REF!+#REF!+#REF!</f>
        <v>#REF!</v>
      </c>
      <c r="J197" s="2333" t="e">
        <f>#REF!+#REF!+#REF!+#REF!+#REF!+#REF!+#REF!</f>
        <v>#REF!</v>
      </c>
      <c r="K197" s="2333" t="e">
        <f>#REF!+#REF!+#REF!+#REF!+#REF!+#REF!+#REF!</f>
        <v>#REF!</v>
      </c>
      <c r="L197" s="2333" t="e">
        <f>#REF!+#REF!+#REF!+#REF!+#REF!+#REF!+#REF!</f>
        <v>#REF!</v>
      </c>
      <c r="M197" s="2333" t="e">
        <f>#REF!+#REF!+#REF!+#REF!+#REF!+#REF!+#REF!</f>
        <v>#REF!</v>
      </c>
      <c r="N197" s="2333" t="e">
        <f>#REF!+#REF!+#REF!+#REF!+#REF!+#REF!+#REF!</f>
        <v>#REF!</v>
      </c>
      <c r="O197" s="2333" t="e">
        <f>#REF!+#REF!+#REF!+#REF!+#REF!+#REF!+#REF!</f>
        <v>#REF!</v>
      </c>
      <c r="P197" s="2333" t="e">
        <f>#REF!+#REF!+#REF!+#REF!+#REF!+#REF!+#REF!</f>
        <v>#REF!</v>
      </c>
      <c r="Q197" s="2333" t="e">
        <f>#REF!+#REF!+#REF!+#REF!+#REF!+#REF!+#REF!</f>
        <v>#REF!</v>
      </c>
      <c r="R197" s="2333" t="e">
        <f>#REF!+#REF!+#REF!+#REF!+#REF!+#REF!+#REF!+#REF!</f>
        <v>#REF!</v>
      </c>
      <c r="S197" s="2333"/>
      <c r="T197" s="2333"/>
      <c r="U197" s="2333" t="e">
        <f>#REF!+#REF!+#REF!+#REF!+#REF!+#REF!+#REF!</f>
        <v>#REF!</v>
      </c>
      <c r="V197" s="2333" t="e">
        <f>#REF!+#REF!+#REF!+#REF!+#REF!+#REF!+#REF!</f>
        <v>#REF!</v>
      </c>
      <c r="W197" s="2333" t="e">
        <f>#REF!+#REF!+#REF!+#REF!+#REF!+#REF!+#REF!</f>
        <v>#REF!</v>
      </c>
      <c r="X197" s="2333" t="e">
        <f>#REF!+#REF!+#REF!+#REF!+#REF!+#REF!+#REF!+#REF!</f>
        <v>#REF!</v>
      </c>
      <c r="Y197" s="2333" t="e">
        <f>#REF!+#REF!+#REF!+#REF!+#REF!+#REF!+#REF!+#REF!</f>
        <v>#REF!</v>
      </c>
      <c r="AA197" s="2292"/>
    </row>
    <row r="198" spans="2:27" s="2290" customFormat="1" hidden="1" x14ac:dyDescent="0.25">
      <c r="B198" s="2398">
        <v>955</v>
      </c>
      <c r="C198" s="2521"/>
      <c r="D198" s="2342"/>
      <c r="E198" s="2382"/>
      <c r="F198" s="2333" t="e">
        <f>#REF!+F183+#REF!+#REF!+#REF!+#REF!+#REF!</f>
        <v>#REF!</v>
      </c>
      <c r="G198" s="2333" t="e">
        <f>#REF!+G183+#REF!+#REF!+#REF!+#REF!+#REF!</f>
        <v>#REF!</v>
      </c>
      <c r="H198" s="2333" t="e">
        <f>#REF!+H183+#REF!+#REF!+#REF!+#REF!+#REF!</f>
        <v>#REF!</v>
      </c>
      <c r="I198" s="2333" t="e">
        <f>#REF!+I183+#REF!+#REF!+#REF!+#REF!+#REF!</f>
        <v>#REF!</v>
      </c>
      <c r="J198" s="2333" t="e">
        <f>#REF!+J183+#REF!+#REF!+#REF!+#REF!+#REF!</f>
        <v>#REF!</v>
      </c>
      <c r="K198" s="2333" t="e">
        <f>#REF!+K183+#REF!+#REF!+#REF!+#REF!+#REF!</f>
        <v>#REF!</v>
      </c>
      <c r="L198" s="2333" t="e">
        <f>#REF!+L183+#REF!+#REF!+#REF!+#REF!+#REF!</f>
        <v>#REF!</v>
      </c>
      <c r="M198" s="2333" t="e">
        <f>#REF!+M183+#REF!+#REF!+#REF!+#REF!+#REF!</f>
        <v>#REF!</v>
      </c>
      <c r="N198" s="2333" t="e">
        <f>#REF!+N183+#REF!+#REF!+#REF!+#REF!+#REF!</f>
        <v>#REF!</v>
      </c>
      <c r="O198" s="2333" t="e">
        <f>#REF!+O183+#REF!+#REF!+#REF!+#REF!+#REF!</f>
        <v>#REF!</v>
      </c>
      <c r="P198" s="2333" t="e">
        <f>#REF!+P183+#REF!+#REF!+#REF!+#REF!+#REF!</f>
        <v>#REF!</v>
      </c>
      <c r="Q198" s="2333" t="e">
        <f>#REF!+Q183+#REF!+#REF!+#REF!+#REF!+#REF!</f>
        <v>#REF!</v>
      </c>
      <c r="R198" s="2333" t="e">
        <f>#REF!+R183+#REF!+#REF!+#REF!+#REF!+#REF!</f>
        <v>#REF!</v>
      </c>
      <c r="S198" s="2333"/>
      <c r="T198" s="2333"/>
      <c r="U198" s="2333" t="e">
        <f>#REF!+U183+#REF!+#REF!+#REF!+#REF!+#REF!</f>
        <v>#REF!</v>
      </c>
      <c r="V198" s="2333" t="e">
        <f>#REF!+V183+#REF!+#REF!+#REF!+#REF!+#REF!</f>
        <v>#REF!</v>
      </c>
      <c r="W198" s="2333" t="e">
        <f>#REF!+W183+#REF!+#REF!+#REF!+#REF!+#REF!</f>
        <v>#REF!</v>
      </c>
      <c r="X198" s="2333" t="e">
        <f>X183+#REF!+#REF!+#REF!+#REF!+#REF!</f>
        <v>#REF!</v>
      </c>
      <c r="Y198" s="2333" t="e">
        <f>Y183+#REF!+#REF!+#REF!+#REF!+#REF!</f>
        <v>#REF!</v>
      </c>
      <c r="AA198" s="2292"/>
    </row>
    <row r="199" spans="2:27" s="2290" customFormat="1" hidden="1" x14ac:dyDescent="0.25">
      <c r="B199" s="2398">
        <v>958</v>
      </c>
      <c r="C199" s="2521"/>
      <c r="D199" s="2342"/>
      <c r="E199" s="2382"/>
      <c r="F199" s="2333" t="e">
        <f>#REF!</f>
        <v>#REF!</v>
      </c>
      <c r="G199" s="2333" t="e">
        <f>#REF!</f>
        <v>#REF!</v>
      </c>
      <c r="H199" s="2333" t="e">
        <f>#REF!</f>
        <v>#REF!</v>
      </c>
      <c r="I199" s="2333" t="e">
        <f>#REF!</f>
        <v>#REF!</v>
      </c>
      <c r="J199" s="2333" t="e">
        <f>#REF!</f>
        <v>#REF!</v>
      </c>
      <c r="K199" s="2333" t="e">
        <f>#REF!</f>
        <v>#REF!</v>
      </c>
      <c r="L199" s="2333" t="e">
        <f>#REF!</f>
        <v>#REF!</v>
      </c>
      <c r="M199" s="2333" t="e">
        <f>#REF!</f>
        <v>#REF!</v>
      </c>
      <c r="N199" s="2333" t="e">
        <f>#REF!</f>
        <v>#REF!</v>
      </c>
      <c r="O199" s="2333" t="e">
        <f>#REF!</f>
        <v>#REF!</v>
      </c>
      <c r="P199" s="2333" t="e">
        <f>#REF!</f>
        <v>#REF!</v>
      </c>
      <c r="Q199" s="2333" t="e">
        <f>#REF!</f>
        <v>#REF!</v>
      </c>
      <c r="R199" s="2333" t="e">
        <f>#REF!</f>
        <v>#REF!</v>
      </c>
      <c r="S199" s="2333"/>
      <c r="T199" s="2333"/>
      <c r="U199" s="2333" t="e">
        <f>#REF!</f>
        <v>#REF!</v>
      </c>
      <c r="V199" s="2333" t="e">
        <f>#REF!</f>
        <v>#REF!</v>
      </c>
      <c r="W199" s="2333" t="e">
        <f>#REF!</f>
        <v>#REF!</v>
      </c>
      <c r="X199" s="2333" t="e">
        <f>#REF!</f>
        <v>#REF!</v>
      </c>
      <c r="Y199" s="2333" t="e">
        <f>#REF!</f>
        <v>#REF!</v>
      </c>
      <c r="AA199" s="2292"/>
    </row>
    <row r="200" spans="2:27" s="2290" customFormat="1" hidden="1" x14ac:dyDescent="0.25">
      <c r="B200" s="2398">
        <v>963</v>
      </c>
      <c r="C200" s="2521"/>
      <c r="D200" s="2342"/>
      <c r="E200" s="2382"/>
      <c r="F200" s="2333" t="e">
        <f>#REF!+#REF!+#REF!+#REF!+#REF!+#REF!+#REF!+F184+#REF!+#REF!+#REF!+#REF!+#REF!</f>
        <v>#REF!</v>
      </c>
      <c r="G200" s="2333" t="e">
        <f>#REF!+#REF!+#REF!+#REF!+#REF!+#REF!+#REF!+G184+#REF!+#REF!+#REF!+#REF!+#REF!</f>
        <v>#REF!</v>
      </c>
      <c r="H200" s="2333" t="e">
        <f>#REF!+#REF!+#REF!+#REF!+#REF!+#REF!+#REF!+H184+#REF!+#REF!+#REF!+#REF!+#REF!</f>
        <v>#REF!</v>
      </c>
      <c r="I200" s="2333" t="e">
        <f>#REF!+#REF!+#REF!+#REF!+#REF!+#REF!+#REF!+I184+#REF!+#REF!+#REF!+#REF!+#REF!</f>
        <v>#REF!</v>
      </c>
      <c r="J200" s="2333" t="e">
        <f>#REF!+#REF!+#REF!+#REF!+#REF!+#REF!+#REF!+J184+#REF!+#REF!+#REF!+#REF!+#REF!</f>
        <v>#REF!</v>
      </c>
      <c r="K200" s="2333" t="e">
        <f>#REF!+#REF!+#REF!+#REF!+#REF!+#REF!+#REF!+K184+#REF!+#REF!+#REF!+#REF!+#REF!</f>
        <v>#REF!</v>
      </c>
      <c r="L200" s="2333" t="e">
        <f>#REF!+#REF!+#REF!+#REF!+#REF!+#REF!+#REF!+L184+#REF!+#REF!+#REF!+#REF!+#REF!</f>
        <v>#REF!</v>
      </c>
      <c r="M200" s="2333" t="e">
        <f>#REF!+#REF!+#REF!+#REF!+#REF!+#REF!+#REF!+M184+#REF!+#REF!+#REF!+#REF!+#REF!</f>
        <v>#REF!</v>
      </c>
      <c r="N200" s="2333" t="e">
        <f>#REF!+#REF!+#REF!+#REF!+#REF!+#REF!+#REF!+N184+#REF!+#REF!+#REF!+#REF!+#REF!</f>
        <v>#REF!</v>
      </c>
      <c r="O200" s="2333" t="e">
        <f>#REF!+#REF!+#REF!+#REF!+#REF!+#REF!+#REF!+O184+#REF!+#REF!+#REF!+#REF!+#REF!</f>
        <v>#REF!</v>
      </c>
      <c r="P200" s="2333" t="e">
        <f>#REF!+#REF!+#REF!+#REF!+#REF!+#REF!+#REF!+P184+#REF!+#REF!+#REF!+#REF!+#REF!</f>
        <v>#REF!</v>
      </c>
      <c r="Q200" s="2333" t="e">
        <f>#REF!+#REF!+#REF!+#REF!+#REF!+#REF!+#REF!+Q184+#REF!+#REF!+#REF!+#REF!+#REF!</f>
        <v>#REF!</v>
      </c>
      <c r="R200" s="2333" t="e">
        <f>#REF!+#REF!+#REF!+#REF!+#REF!+#REF!+#REF!+R184+#REF!+#REF!+#REF!+#REF!+#REF!</f>
        <v>#REF!</v>
      </c>
      <c r="S200" s="2333"/>
      <c r="T200" s="2333"/>
      <c r="U200" s="2333" t="e">
        <f>#REF!+#REF!+#REF!+#REF!+#REF!+#REF!+#REF!+U184+#REF!+#REF!+#REF!+#REF!+#REF!</f>
        <v>#REF!</v>
      </c>
      <c r="V200" s="2333" t="e">
        <f>#REF!+#REF!+#REF!+#REF!+#REF!+#REF!+#REF!+V184+#REF!+#REF!+#REF!+#REF!+#REF!</f>
        <v>#REF!</v>
      </c>
      <c r="W200" s="2333" t="e">
        <f>#REF!+#REF!+#REF!+#REF!+#REF!+#REF!+#REF!+W184+#REF!+#REF!+#REF!+#REF!+#REF!</f>
        <v>#REF!</v>
      </c>
      <c r="X200" s="2333" t="e">
        <f>#REF!+#REF!+#REF!+#REF!+#REF!+#REF!+#REF!+X184+#REF!+#REF!+#REF!+#REF!+#REF!</f>
        <v>#REF!</v>
      </c>
      <c r="Y200" s="2333" t="e">
        <f>#REF!+#REF!+#REF!+#REF!+#REF!+#REF!+#REF!+Y184+#REF!+#REF!+#REF!+#REF!+#REF!</f>
        <v>#REF!</v>
      </c>
      <c r="AA200" s="2292"/>
    </row>
    <row r="201" spans="2:27" s="2290" customFormat="1" hidden="1" x14ac:dyDescent="0.25">
      <c r="B201" s="2398">
        <v>966</v>
      </c>
      <c r="C201" s="2521"/>
      <c r="D201" s="2342"/>
      <c r="E201" s="2382"/>
      <c r="F201" s="2333" t="e">
        <f>#REF!+#REF!+#REF!+F185+#REF!+#REF!+#REF!</f>
        <v>#REF!</v>
      </c>
      <c r="G201" s="2333" t="e">
        <f>#REF!+#REF!+#REF!+G185+#REF!+#REF!+#REF!</f>
        <v>#REF!</v>
      </c>
      <c r="H201" s="2333" t="e">
        <f>#REF!+#REF!+#REF!+H185+#REF!+#REF!+#REF!</f>
        <v>#REF!</v>
      </c>
      <c r="I201" s="2333" t="e">
        <f>#REF!+#REF!+#REF!+I185+#REF!+#REF!+#REF!</f>
        <v>#REF!</v>
      </c>
      <c r="J201" s="2333" t="e">
        <f>#REF!+#REF!+#REF!+J185+#REF!+#REF!+#REF!</f>
        <v>#REF!</v>
      </c>
      <c r="K201" s="2333" t="e">
        <f>#REF!+#REF!+#REF!+K185+#REF!+#REF!+#REF!</f>
        <v>#REF!</v>
      </c>
      <c r="L201" s="2333" t="e">
        <f>#REF!+#REF!+#REF!+L185+#REF!+#REF!+#REF!</f>
        <v>#REF!</v>
      </c>
      <c r="M201" s="2333" t="e">
        <f>#REF!+#REF!+#REF!+M185+#REF!+#REF!+#REF!</f>
        <v>#REF!</v>
      </c>
      <c r="N201" s="2333" t="e">
        <f>#REF!+#REF!+#REF!+N185+#REF!+#REF!+#REF!</f>
        <v>#REF!</v>
      </c>
      <c r="O201" s="2333" t="e">
        <f>#REF!+#REF!+#REF!+O185+#REF!+#REF!+#REF!</f>
        <v>#REF!</v>
      </c>
      <c r="P201" s="2333" t="e">
        <f>#REF!+#REF!+#REF!+P185+#REF!+#REF!+#REF!</f>
        <v>#REF!</v>
      </c>
      <c r="Q201" s="2333" t="e">
        <f>#REF!+#REF!+#REF!+Q185+#REF!+#REF!+#REF!</f>
        <v>#REF!</v>
      </c>
      <c r="R201" s="2333" t="e">
        <f>#REF!+#REF!+#REF!+R185+#REF!+#REF!+#REF!</f>
        <v>#REF!</v>
      </c>
      <c r="S201" s="2333"/>
      <c r="T201" s="2333"/>
      <c r="U201" s="2333" t="e">
        <f>#REF!+#REF!+#REF!+U185+#REF!+#REF!+#REF!</f>
        <v>#REF!</v>
      </c>
      <c r="V201" s="2333" t="e">
        <f>#REF!+#REF!+#REF!+V185+#REF!+#REF!+#REF!</f>
        <v>#REF!</v>
      </c>
      <c r="W201" s="2333" t="e">
        <f>#REF!+#REF!+#REF!+W185+#REF!+#REF!+#REF!</f>
        <v>#REF!</v>
      </c>
      <c r="X201" s="2333" t="e">
        <f>#REF!+#REF!+#REF!+X185+#REF!+#REF!+#REF!</f>
        <v>#REF!</v>
      </c>
      <c r="Y201" s="2333" t="e">
        <f>#REF!+#REF!+#REF!+Y185+#REF!+#REF!+#REF!</f>
        <v>#REF!</v>
      </c>
      <c r="AA201" s="2292"/>
    </row>
    <row r="202" spans="2:27" s="2290" customFormat="1" hidden="1" x14ac:dyDescent="0.25">
      <c r="B202" s="2398">
        <v>971</v>
      </c>
      <c r="C202" s="2521"/>
      <c r="D202" s="2342"/>
      <c r="E202" s="2382"/>
      <c r="F202" s="2333" t="e">
        <f>F186+#REF!+#REF!+#REF!+#REF!+#REF!</f>
        <v>#REF!</v>
      </c>
      <c r="G202" s="2333" t="e">
        <f>G186+#REF!+#REF!+#REF!+#REF!+#REF!</f>
        <v>#REF!</v>
      </c>
      <c r="H202" s="2333" t="e">
        <f>H186+#REF!+#REF!+#REF!+#REF!+#REF!</f>
        <v>#REF!</v>
      </c>
      <c r="I202" s="2333" t="e">
        <f>I186+#REF!+#REF!+#REF!+#REF!+#REF!</f>
        <v>#REF!</v>
      </c>
      <c r="J202" s="2333" t="e">
        <f>J186+#REF!+#REF!+#REF!+#REF!+#REF!</f>
        <v>#REF!</v>
      </c>
      <c r="K202" s="2333" t="e">
        <f>K186+#REF!+#REF!+#REF!+#REF!+#REF!</f>
        <v>#REF!</v>
      </c>
      <c r="L202" s="2333" t="e">
        <f>L186+#REF!+#REF!+#REF!+#REF!+#REF!</f>
        <v>#REF!</v>
      </c>
      <c r="M202" s="2333" t="e">
        <f>M186+#REF!+#REF!+#REF!+#REF!+#REF!</f>
        <v>#REF!</v>
      </c>
      <c r="N202" s="2333" t="e">
        <f>N186+#REF!+#REF!+#REF!+#REF!+#REF!</f>
        <v>#REF!</v>
      </c>
      <c r="O202" s="2333" t="e">
        <f>O186+#REF!+#REF!+#REF!+#REF!+#REF!</f>
        <v>#REF!</v>
      </c>
      <c r="P202" s="2333" t="e">
        <f>P186+#REF!+#REF!+#REF!+#REF!+#REF!</f>
        <v>#REF!</v>
      </c>
      <c r="Q202" s="2333" t="e">
        <f>Q186+#REF!+#REF!+#REF!+#REF!+#REF!</f>
        <v>#REF!</v>
      </c>
      <c r="R202" s="2333" t="e">
        <f>R186+#REF!+#REF!+#REF!+#REF!+#REF!</f>
        <v>#REF!</v>
      </c>
      <c r="S202" s="2333"/>
      <c r="T202" s="2333"/>
      <c r="U202" s="2333" t="e">
        <f>U186+#REF!+#REF!+#REF!+#REF!+#REF!</f>
        <v>#REF!</v>
      </c>
      <c r="V202" s="2333" t="e">
        <f>V186+#REF!+#REF!+#REF!+#REF!+#REF!</f>
        <v>#REF!</v>
      </c>
      <c r="W202" s="2333" t="e">
        <f>W186+#REF!+#REF!+#REF!+#REF!+#REF!</f>
        <v>#REF!</v>
      </c>
      <c r="X202" s="2333" t="e">
        <f>X186+#REF!+#REF!+#REF!+#REF!+#REF!</f>
        <v>#REF!</v>
      </c>
      <c r="Y202" s="2333" t="e">
        <f>Y186+#REF!+#REF!+#REF!+#REF!+#REF!</f>
        <v>#REF!</v>
      </c>
      <c r="AA202" s="2292"/>
    </row>
    <row r="203" spans="2:27" s="2290" customFormat="1" hidden="1" x14ac:dyDescent="0.25">
      <c r="B203" s="2398">
        <v>981</v>
      </c>
      <c r="C203" s="2521"/>
      <c r="D203" s="2342"/>
      <c r="E203" s="2382"/>
      <c r="F203" s="2333" t="e">
        <f>#REF!+#REF!+#REF!+#REF!+#REF!+F187+#REF!+#REF!+#REF!+#REF!+#REF!</f>
        <v>#REF!</v>
      </c>
      <c r="G203" s="2333" t="e">
        <f>#REF!+#REF!+#REF!+#REF!+#REF!+G187+#REF!+#REF!+#REF!+#REF!+#REF!</f>
        <v>#REF!</v>
      </c>
      <c r="H203" s="2333" t="e">
        <f>#REF!+#REF!+#REF!+#REF!+#REF!+H187+#REF!+#REF!+#REF!+#REF!+#REF!</f>
        <v>#REF!</v>
      </c>
      <c r="I203" s="2333" t="e">
        <f>#REF!+#REF!+#REF!+#REF!+#REF!+I187+#REF!+#REF!+#REF!+#REF!+#REF!</f>
        <v>#REF!</v>
      </c>
      <c r="J203" s="2333" t="e">
        <f>#REF!+#REF!+#REF!+#REF!+#REF!+J187+#REF!+#REF!+#REF!+#REF!+#REF!</f>
        <v>#REF!</v>
      </c>
      <c r="K203" s="2333" t="e">
        <f>#REF!+#REF!+#REF!+#REF!+#REF!+K187+#REF!+#REF!+#REF!+#REF!+#REF!</f>
        <v>#REF!</v>
      </c>
      <c r="L203" s="2333" t="e">
        <f>#REF!+#REF!+#REF!+#REF!+#REF!+L187+#REF!+#REF!+#REF!+#REF!+#REF!</f>
        <v>#REF!</v>
      </c>
      <c r="M203" s="2333" t="e">
        <f>#REF!+#REF!+#REF!+#REF!+#REF!+M187+#REF!+#REF!+#REF!+#REF!+#REF!</f>
        <v>#REF!</v>
      </c>
      <c r="N203" s="2333" t="e">
        <f>#REF!+#REF!+#REF!+#REF!+#REF!+N187+#REF!+#REF!+#REF!+#REF!+#REF!</f>
        <v>#REF!</v>
      </c>
      <c r="O203" s="2333" t="e">
        <f>#REF!+#REF!+#REF!+#REF!+#REF!+O187+#REF!+#REF!+#REF!+#REF!+#REF!</f>
        <v>#REF!</v>
      </c>
      <c r="P203" s="2333" t="e">
        <f>#REF!+#REF!+#REF!+#REF!+#REF!+P187+#REF!+#REF!+#REF!+#REF!+#REF!</f>
        <v>#REF!</v>
      </c>
      <c r="Q203" s="2333" t="e">
        <f>#REF!+#REF!+#REF!+#REF!+#REF!+Q187+#REF!+#REF!+#REF!+#REF!+#REF!</f>
        <v>#REF!</v>
      </c>
      <c r="R203" s="2333" t="e">
        <f>#REF!+#REF!+#REF!+#REF!+#REF!+R187+#REF!+#REF!+#REF!+#REF!+#REF!</f>
        <v>#REF!</v>
      </c>
      <c r="S203" s="2333"/>
      <c r="T203" s="2333"/>
      <c r="U203" s="2333" t="e">
        <f>#REF!+#REF!+#REF!+#REF!+#REF!+U187+#REF!+#REF!+#REF!+#REF!+#REF!</f>
        <v>#REF!</v>
      </c>
      <c r="V203" s="2333" t="e">
        <f>#REF!+#REF!+#REF!+#REF!+#REF!+V187+#REF!+#REF!+#REF!+#REF!+#REF!</f>
        <v>#REF!</v>
      </c>
      <c r="W203" s="2333" t="e">
        <f>#REF!+#REF!+#REF!+#REF!+#REF!+W187+#REF!+#REF!+#REF!+#REF!+#REF!</f>
        <v>#REF!</v>
      </c>
      <c r="X203" s="2333" t="e">
        <f>#REF!+#REF!+#REF!+#REF!+#REF!+X187+#REF!+#REF!+#REF!+#REF!+#REF!</f>
        <v>#REF!</v>
      </c>
      <c r="Y203" s="2333" t="e">
        <f>#REF!+#REF!+#REF!+#REF!+#REF!+Y187+#REF!+#REF!+#REF!+#REF!+#REF!</f>
        <v>#REF!</v>
      </c>
      <c r="AA203" s="2292"/>
    </row>
    <row r="204" spans="2:27" s="2290" customFormat="1" hidden="1" x14ac:dyDescent="0.25">
      <c r="B204" s="2398">
        <v>982</v>
      </c>
      <c r="C204" s="2521"/>
      <c r="D204" s="2342"/>
      <c r="E204" s="2382"/>
      <c r="F204" s="2333" t="e">
        <f>#REF!</f>
        <v>#REF!</v>
      </c>
      <c r="G204" s="2333" t="e">
        <f>#REF!</f>
        <v>#REF!</v>
      </c>
      <c r="H204" s="2333" t="e">
        <f>#REF!</f>
        <v>#REF!</v>
      </c>
      <c r="I204" s="2333" t="e">
        <f>#REF!</f>
        <v>#REF!</v>
      </c>
      <c r="J204" s="2333" t="e">
        <f>#REF!</f>
        <v>#REF!</v>
      </c>
      <c r="K204" s="2333" t="e">
        <f>#REF!</f>
        <v>#REF!</v>
      </c>
      <c r="L204" s="2333" t="e">
        <f>#REF!</f>
        <v>#REF!</v>
      </c>
      <c r="M204" s="2333" t="e">
        <f>#REF!</f>
        <v>#REF!</v>
      </c>
      <c r="N204" s="2333" t="e">
        <f>#REF!</f>
        <v>#REF!</v>
      </c>
      <c r="O204" s="2333" t="e">
        <f>#REF!</f>
        <v>#REF!</v>
      </c>
      <c r="P204" s="2333" t="e">
        <f>#REF!</f>
        <v>#REF!</v>
      </c>
      <c r="Q204" s="2333" t="e">
        <f>#REF!</f>
        <v>#REF!</v>
      </c>
      <c r="R204" s="2333" t="e">
        <f>#REF!</f>
        <v>#REF!</v>
      </c>
      <c r="S204" s="2333"/>
      <c r="T204" s="2333"/>
      <c r="U204" s="2333" t="e">
        <f>#REF!</f>
        <v>#REF!</v>
      </c>
      <c r="V204" s="2333" t="e">
        <f>#REF!</f>
        <v>#REF!</v>
      </c>
      <c r="W204" s="2333" t="e">
        <f>#REF!</f>
        <v>#REF!</v>
      </c>
      <c r="X204" s="2333" t="e">
        <f>#REF!</f>
        <v>#REF!</v>
      </c>
      <c r="Y204" s="2333" t="e">
        <f>#REF!</f>
        <v>#REF!</v>
      </c>
      <c r="AA204" s="2292"/>
    </row>
    <row r="205" spans="2:27" s="2290" customFormat="1" hidden="1" x14ac:dyDescent="0.25">
      <c r="B205" s="2398">
        <v>983</v>
      </c>
      <c r="C205" s="2521"/>
      <c r="D205" s="2342"/>
      <c r="E205" s="2382"/>
      <c r="F205" s="2333" t="e">
        <f>#REF!+#REF!</f>
        <v>#REF!</v>
      </c>
      <c r="G205" s="2333" t="e">
        <f>#REF!+#REF!</f>
        <v>#REF!</v>
      </c>
      <c r="H205" s="2333" t="e">
        <f>#REF!+#REF!</f>
        <v>#REF!</v>
      </c>
      <c r="I205" s="2333" t="e">
        <f>#REF!+#REF!</f>
        <v>#REF!</v>
      </c>
      <c r="J205" s="2333" t="e">
        <f>#REF!+#REF!</f>
        <v>#REF!</v>
      </c>
      <c r="K205" s="2333" t="e">
        <f>#REF!+#REF!</f>
        <v>#REF!</v>
      </c>
      <c r="L205" s="2333" t="e">
        <f>#REF!+#REF!</f>
        <v>#REF!</v>
      </c>
      <c r="M205" s="2333" t="e">
        <f>#REF!+#REF!</f>
        <v>#REF!</v>
      </c>
      <c r="N205" s="2333" t="e">
        <f>#REF!+#REF!</f>
        <v>#REF!</v>
      </c>
      <c r="O205" s="2333" t="e">
        <f>#REF!+#REF!</f>
        <v>#REF!</v>
      </c>
      <c r="P205" s="2333" t="e">
        <f>#REF!+#REF!</f>
        <v>#REF!</v>
      </c>
      <c r="Q205" s="2333" t="e">
        <f>#REF!+#REF!</f>
        <v>#REF!</v>
      </c>
      <c r="R205" s="2333" t="e">
        <f>#REF!+#REF!</f>
        <v>#REF!</v>
      </c>
      <c r="S205" s="2333"/>
      <c r="T205" s="2333"/>
      <c r="U205" s="2333" t="e">
        <f>#REF!+#REF!</f>
        <v>#REF!</v>
      </c>
      <c r="V205" s="2333" t="e">
        <f>#REF!+#REF!</f>
        <v>#REF!</v>
      </c>
      <c r="W205" s="2333" t="e">
        <f>#REF!+#REF!</f>
        <v>#REF!</v>
      </c>
      <c r="X205" s="2333" t="e">
        <f>#REF!+#REF!</f>
        <v>#REF!</v>
      </c>
      <c r="Y205" s="2333" t="e">
        <f>#REF!+#REF!</f>
        <v>#REF!</v>
      </c>
      <c r="AA205" s="2292"/>
    </row>
    <row r="206" spans="2:27" s="2290" customFormat="1" hidden="1" x14ac:dyDescent="0.25">
      <c r="B206" s="2398">
        <v>985</v>
      </c>
      <c r="C206" s="2521"/>
      <c r="D206" s="2342"/>
      <c r="E206" s="2382"/>
      <c r="F206" s="2333" t="e">
        <f>F188+#REF!+#REF!+#REF!</f>
        <v>#REF!</v>
      </c>
      <c r="G206" s="2333" t="e">
        <f>G188+#REF!+#REF!+#REF!</f>
        <v>#REF!</v>
      </c>
      <c r="H206" s="2333" t="e">
        <f>H188+#REF!+#REF!+#REF!</f>
        <v>#REF!</v>
      </c>
      <c r="I206" s="2333" t="e">
        <f>I188+#REF!+#REF!+#REF!</f>
        <v>#REF!</v>
      </c>
      <c r="J206" s="2333" t="e">
        <f>J188+#REF!+#REF!+#REF!</f>
        <v>#REF!</v>
      </c>
      <c r="K206" s="2333" t="e">
        <f>K188+#REF!+#REF!+#REF!</f>
        <v>#REF!</v>
      </c>
      <c r="L206" s="2333" t="e">
        <f>L188+#REF!+#REF!+#REF!</f>
        <v>#REF!</v>
      </c>
      <c r="M206" s="2333" t="e">
        <f>M188+#REF!+#REF!+#REF!</f>
        <v>#REF!</v>
      </c>
      <c r="N206" s="2333" t="e">
        <f>N188+#REF!+#REF!+#REF!</f>
        <v>#REF!</v>
      </c>
      <c r="O206" s="2333" t="e">
        <f>O188+#REF!+#REF!+#REF!</f>
        <v>#REF!</v>
      </c>
      <c r="P206" s="2333" t="e">
        <f>P188+#REF!+#REF!+#REF!</f>
        <v>#REF!</v>
      </c>
      <c r="Q206" s="2333" t="e">
        <f>Q188+#REF!+#REF!+#REF!</f>
        <v>#REF!</v>
      </c>
      <c r="R206" s="2333" t="e">
        <f>R188+#REF!+#REF!+#REF!</f>
        <v>#REF!</v>
      </c>
      <c r="S206" s="2333"/>
      <c r="T206" s="2333"/>
      <c r="U206" s="2333" t="e">
        <f>U188+#REF!+#REF!+#REF!</f>
        <v>#REF!</v>
      </c>
      <c r="V206" s="2333" t="e">
        <f>V188+#REF!+#REF!+#REF!</f>
        <v>#REF!</v>
      </c>
      <c r="W206" s="2333" t="e">
        <f>W188+#REF!+#REF!+#REF!</f>
        <v>#REF!</v>
      </c>
      <c r="X206" s="2333" t="e">
        <f>X188+#REF!+#REF!+#REF!</f>
        <v>#REF!</v>
      </c>
      <c r="Y206" s="2333" t="e">
        <f>Y188+#REF!+#REF!+#REF!</f>
        <v>#REF!</v>
      </c>
      <c r="AA206" s="2292"/>
    </row>
    <row r="207" spans="2:27" s="2290" customFormat="1" hidden="1" x14ac:dyDescent="0.25">
      <c r="B207" s="2398">
        <v>986</v>
      </c>
      <c r="C207" s="2521"/>
      <c r="D207" s="2342"/>
      <c r="E207" s="2382"/>
      <c r="F207" s="2333" t="e">
        <f>#REF!</f>
        <v>#REF!</v>
      </c>
      <c r="G207" s="2333" t="e">
        <f>#REF!</f>
        <v>#REF!</v>
      </c>
      <c r="H207" s="2333" t="e">
        <f>#REF!</f>
        <v>#REF!</v>
      </c>
      <c r="I207" s="2333" t="e">
        <f>#REF!</f>
        <v>#REF!</v>
      </c>
      <c r="J207" s="2333" t="e">
        <f>#REF!</f>
        <v>#REF!</v>
      </c>
      <c r="K207" s="2333" t="e">
        <f>#REF!</f>
        <v>#REF!</v>
      </c>
      <c r="L207" s="2333" t="e">
        <f>#REF!</f>
        <v>#REF!</v>
      </c>
      <c r="M207" s="2333" t="e">
        <f>#REF!</f>
        <v>#REF!</v>
      </c>
      <c r="N207" s="2333" t="e">
        <f>#REF!</f>
        <v>#REF!</v>
      </c>
      <c r="O207" s="2333" t="e">
        <f>#REF!</f>
        <v>#REF!</v>
      </c>
      <c r="P207" s="2333" t="e">
        <f>#REF!</f>
        <v>#REF!</v>
      </c>
      <c r="Q207" s="2333" t="e">
        <f>#REF!</f>
        <v>#REF!</v>
      </c>
      <c r="R207" s="2333" t="e">
        <f>#REF!</f>
        <v>#REF!</v>
      </c>
      <c r="S207" s="2333"/>
      <c r="T207" s="2333"/>
      <c r="U207" s="2333" t="e">
        <f>#REF!</f>
        <v>#REF!</v>
      </c>
      <c r="V207" s="2333" t="e">
        <f>#REF!</f>
        <v>#REF!</v>
      </c>
      <c r="W207" s="2333" t="e">
        <f>#REF!</f>
        <v>#REF!</v>
      </c>
      <c r="X207" s="2333" t="e">
        <f>#REF!</f>
        <v>#REF!</v>
      </c>
      <c r="Y207" s="2333" t="e">
        <f>#REF!</f>
        <v>#REF!</v>
      </c>
      <c r="AA207" s="2292"/>
    </row>
    <row r="208" spans="2:27" s="2290" customFormat="1" hidden="1" x14ac:dyDescent="0.25">
      <c r="B208" s="2291"/>
      <c r="C208" s="2292"/>
      <c r="D208" s="2527"/>
      <c r="E208" s="2528"/>
      <c r="F208" s="2529" t="e">
        <f>SUM(F189:F207)</f>
        <v>#REF!</v>
      </c>
      <c r="G208" s="2529" t="e">
        <f t="shared" ref="G208:Y208" si="32">SUM(G189:G207)</f>
        <v>#REF!</v>
      </c>
      <c r="H208" s="2529" t="e">
        <f t="shared" si="32"/>
        <v>#REF!</v>
      </c>
      <c r="I208" s="2529" t="e">
        <f t="shared" si="32"/>
        <v>#REF!</v>
      </c>
      <c r="J208" s="2529" t="e">
        <f t="shared" si="32"/>
        <v>#REF!</v>
      </c>
      <c r="K208" s="2529" t="e">
        <f t="shared" si="32"/>
        <v>#REF!</v>
      </c>
      <c r="L208" s="2529" t="e">
        <f t="shared" si="32"/>
        <v>#REF!</v>
      </c>
      <c r="M208" s="2529" t="e">
        <f t="shared" si="32"/>
        <v>#REF!</v>
      </c>
      <c r="N208" s="2529" t="e">
        <f t="shared" si="32"/>
        <v>#REF!</v>
      </c>
      <c r="O208" s="2529" t="e">
        <f t="shared" si="32"/>
        <v>#REF!</v>
      </c>
      <c r="P208" s="2529" t="e">
        <f t="shared" si="32"/>
        <v>#REF!</v>
      </c>
      <c r="Q208" s="2529" t="e">
        <f t="shared" si="32"/>
        <v>#REF!</v>
      </c>
      <c r="R208" s="2529" t="e">
        <f>SUM(R189:R207)</f>
        <v>#REF!</v>
      </c>
      <c r="S208" s="2529"/>
      <c r="T208" s="2529"/>
      <c r="U208" s="2529" t="e">
        <f t="shared" si="32"/>
        <v>#REF!</v>
      </c>
      <c r="V208" s="2529" t="e">
        <f t="shared" si="32"/>
        <v>#REF!</v>
      </c>
      <c r="W208" s="2529" t="e">
        <f t="shared" si="32"/>
        <v>#REF!</v>
      </c>
      <c r="X208" s="2529" t="e">
        <f t="shared" si="32"/>
        <v>#REF!</v>
      </c>
      <c r="Y208" s="2529" t="e">
        <f t="shared" si="32"/>
        <v>#REF!</v>
      </c>
      <c r="AA208" s="2292"/>
    </row>
    <row r="209" spans="2:27" s="2290" customFormat="1" hidden="1" x14ac:dyDescent="0.25">
      <c r="B209" s="2291"/>
      <c r="C209" s="2292"/>
      <c r="D209" s="2527"/>
      <c r="E209" s="2528"/>
      <c r="F209" s="2529" t="e">
        <f>#REF!-F208</f>
        <v>#REF!</v>
      </c>
      <c r="G209" s="2529" t="e">
        <f>#REF!-G208</f>
        <v>#REF!</v>
      </c>
      <c r="H209" s="2529" t="e">
        <f>#REF!-H208</f>
        <v>#REF!</v>
      </c>
      <c r="I209" s="2529" t="e">
        <f>#REF!-I208</f>
        <v>#REF!</v>
      </c>
      <c r="J209" s="2529" t="e">
        <f>#REF!-J208</f>
        <v>#REF!</v>
      </c>
      <c r="K209" s="2529" t="e">
        <f>#REF!-K208</f>
        <v>#REF!</v>
      </c>
      <c r="L209" s="2529" t="e">
        <f>#REF!-L208</f>
        <v>#REF!</v>
      </c>
      <c r="M209" s="2529" t="e">
        <f>#REF!-M208</f>
        <v>#REF!</v>
      </c>
      <c r="N209" s="2529" t="e">
        <f>#REF!-N208</f>
        <v>#REF!</v>
      </c>
      <c r="O209" s="2529" t="e">
        <f>#REF!-O208</f>
        <v>#REF!</v>
      </c>
      <c r="P209" s="2529" t="e">
        <f>#REF!-P208</f>
        <v>#REF!</v>
      </c>
      <c r="Q209" s="2529" t="e">
        <f>#REF!-Q208</f>
        <v>#REF!</v>
      </c>
      <c r="R209" s="2529" t="e">
        <f>#REF!-R208</f>
        <v>#REF!</v>
      </c>
      <c r="S209" s="2529"/>
      <c r="T209" s="2529"/>
      <c r="U209" s="2529" t="e">
        <f>#REF!-U208</f>
        <v>#REF!</v>
      </c>
      <c r="V209" s="2529" t="e">
        <f>#REF!-V208</f>
        <v>#REF!</v>
      </c>
      <c r="W209" s="2529" t="e">
        <f>#REF!-W208</f>
        <v>#REF!</v>
      </c>
      <c r="X209" s="2529" t="e">
        <f>#REF!-X208</f>
        <v>#REF!</v>
      </c>
      <c r="Y209" s="2529" t="e">
        <f>#REF!-Y208</f>
        <v>#REF!</v>
      </c>
      <c r="AA209" s="2292"/>
    </row>
    <row r="210" spans="2:27" s="2290" customFormat="1" hidden="1" x14ac:dyDescent="0.25">
      <c r="B210" s="2291"/>
      <c r="C210" s="2292"/>
      <c r="D210" s="2527"/>
      <c r="E210" s="2528"/>
      <c r="F210" s="2527" t="e">
        <f>F209</f>
        <v>#REF!</v>
      </c>
      <c r="G210" s="2527"/>
      <c r="H210" s="2527"/>
      <c r="I210" s="2527"/>
      <c r="J210" s="2527"/>
      <c r="K210" s="2527"/>
      <c r="L210" s="2527"/>
      <c r="M210" s="2527"/>
      <c r="N210" s="2527"/>
      <c r="O210" s="2527"/>
      <c r="P210" s="2527"/>
      <c r="Q210" s="2527"/>
      <c r="R210" s="2527"/>
      <c r="S210" s="2527"/>
      <c r="T210" s="2527"/>
      <c r="U210" s="2527"/>
      <c r="V210" s="2527"/>
      <c r="W210" s="2527"/>
      <c r="X210" s="2527"/>
      <c r="Y210" s="2527"/>
      <c r="Z210" s="2527" t="e">
        <f>#REF!-Z209</f>
        <v>#REF!</v>
      </c>
      <c r="AA210" s="2292"/>
    </row>
    <row r="211" spans="2:27" x14ac:dyDescent="0.25">
      <c r="D211" s="2531"/>
      <c r="E211" s="2531"/>
      <c r="F211" s="2531"/>
      <c r="G211" s="2531"/>
      <c r="H211" s="2531"/>
      <c r="I211" s="2531"/>
      <c r="J211" s="2531"/>
      <c r="K211" s="2531"/>
      <c r="L211" s="2531"/>
      <c r="M211" s="2531"/>
      <c r="N211" s="2531"/>
      <c r="O211" s="2531"/>
      <c r="P211" s="2531"/>
      <c r="Q211" s="2531"/>
      <c r="R211" s="2531"/>
      <c r="S211" s="2531"/>
      <c r="T211" s="2531"/>
      <c r="U211" s="2531"/>
      <c r="V211" s="2531"/>
      <c r="W211" s="2531"/>
      <c r="X211" s="2531"/>
      <c r="Y211" s="2531"/>
      <c r="Z211" s="2531"/>
    </row>
    <row r="212" spans="2:27" x14ac:dyDescent="0.25">
      <c r="D212" s="2531"/>
      <c r="E212" s="2531"/>
      <c r="F212" s="2531"/>
      <c r="G212" s="2531"/>
      <c r="H212" s="2531"/>
      <c r="I212" s="2531"/>
      <c r="J212" s="2531"/>
      <c r="K212" s="2531"/>
      <c r="L212" s="2531"/>
      <c r="M212" s="2531"/>
      <c r="N212" s="2531"/>
      <c r="O212" s="2531"/>
      <c r="P212" s="2531"/>
      <c r="Q212" s="2531"/>
      <c r="R212" s="2531"/>
      <c r="S212" s="2531"/>
      <c r="T212" s="2531"/>
      <c r="U212" s="2531"/>
      <c r="V212" s="2531"/>
      <c r="W212" s="2531"/>
      <c r="X212" s="2531"/>
      <c r="Y212" s="2531"/>
      <c r="Z212" s="2531"/>
    </row>
    <row r="219" spans="2:27" x14ac:dyDescent="0.25">
      <c r="T219" s="2532"/>
    </row>
  </sheetData>
  <autoFilter ref="A12:XEJ174">
    <filterColumn colId="1">
      <filters>
        <filter val="981"/>
      </filters>
    </filterColumn>
  </autoFilter>
  <mergeCells count="54">
    <mergeCell ref="A7:A11"/>
    <mergeCell ref="B7:B11"/>
    <mergeCell ref="C7:C11"/>
    <mergeCell ref="D7:G8"/>
    <mergeCell ref="H7:O7"/>
    <mergeCell ref="D9:D11"/>
    <mergeCell ref="E9:E11"/>
    <mergeCell ref="F9:G9"/>
    <mergeCell ref="L9:L11"/>
    <mergeCell ref="V7:W8"/>
    <mergeCell ref="X7:X8"/>
    <mergeCell ref="Y7:Y8"/>
    <mergeCell ref="Z7:Z11"/>
    <mergeCell ref="H8:K8"/>
    <mergeCell ref="L8:O8"/>
    <mergeCell ref="P8:U8"/>
    <mergeCell ref="H9:H11"/>
    <mergeCell ref="I9:I11"/>
    <mergeCell ref="J9:K9"/>
    <mergeCell ref="P7:U7"/>
    <mergeCell ref="M9:M11"/>
    <mergeCell ref="N9:O9"/>
    <mergeCell ref="P9:P11"/>
    <mergeCell ref="Q9:Q11"/>
    <mergeCell ref="R9:U9"/>
    <mergeCell ref="Z67:Z68"/>
    <mergeCell ref="W9:W11"/>
    <mergeCell ref="X9:Y9"/>
    <mergeCell ref="R10:R11"/>
    <mergeCell ref="S10:T10"/>
    <mergeCell ref="U10:U11"/>
    <mergeCell ref="X11:Y11"/>
    <mergeCell ref="V9:V11"/>
    <mergeCell ref="Z163:Z168"/>
    <mergeCell ref="F176:G176"/>
    <mergeCell ref="J176:K176"/>
    <mergeCell ref="N176:O176"/>
    <mergeCell ref="R176:U176"/>
    <mergeCell ref="A2:Z2"/>
    <mergeCell ref="A4:Z4"/>
    <mergeCell ref="Z142:Z149"/>
    <mergeCell ref="Z150:Z155"/>
    <mergeCell ref="Z156:Z162"/>
    <mergeCell ref="Z77:Z78"/>
    <mergeCell ref="Z104:Z105"/>
    <mergeCell ref="Z106:Z107"/>
    <mergeCell ref="Z111:Z114"/>
    <mergeCell ref="Z117:Z121"/>
    <mergeCell ref="Z124:Z127"/>
    <mergeCell ref="A13:Y13"/>
    <mergeCell ref="A14:Y14"/>
    <mergeCell ref="Z52:Z55"/>
    <mergeCell ref="Z57:Z59"/>
    <mergeCell ref="Z60:Z63"/>
  </mergeCells>
  <pageMargins left="0.70866141732283472" right="0.70866141732283472" top="0.74803149606299213" bottom="0.74803149606299213" header="0.31496062992125984" footer="0.31496062992125984"/>
  <pageSetup paperSize="9" scale="40" orientation="landscape" r:id="rId1"/>
  <rowBreaks count="1" manualBreakCount="1">
    <brk id="27"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F54"/>
  <sheetViews>
    <sheetView showZeros="0" view="pageBreakPreview" topLeftCell="A3" zoomScale="70" zoomScaleNormal="80" zoomScaleSheetLayoutView="70" workbookViewId="0">
      <pane xSplit="4" ySplit="9" topLeftCell="E12" activePane="bottomRight" state="frozen"/>
      <selection activeCell="R424" sqref="R424"/>
      <selection pane="topRight" activeCell="R424" sqref="R424"/>
      <selection pane="bottomLeft" activeCell="R424" sqref="R424"/>
      <selection pane="bottomRight" activeCell="A5" sqref="A5:Z5"/>
    </sheetView>
  </sheetViews>
  <sheetFormatPr defaultColWidth="10.6640625" defaultRowHeight="15" x14ac:dyDescent="0.25"/>
  <cols>
    <col min="1" max="1" width="9.33203125" style="604" customWidth="1"/>
    <col min="2" max="2" width="66.33203125" style="592" customWidth="1"/>
    <col min="3" max="3" width="17.1640625" style="600" customWidth="1"/>
    <col min="4" max="4" width="16.83203125" style="592" customWidth="1"/>
    <col min="5" max="5" width="14.6640625" style="592" customWidth="1"/>
    <col min="6" max="8" width="16.5" style="605" hidden="1" customWidth="1"/>
    <col min="9" max="9" width="10.83203125" style="591" hidden="1" customWidth="1"/>
    <col min="10" max="10" width="17.33203125" style="591" hidden="1" customWidth="1"/>
    <col min="11" max="11" width="14.1640625" style="605" hidden="1" customWidth="1"/>
    <col min="12" max="12" width="10.83203125" style="591" hidden="1" customWidth="1"/>
    <col min="13" max="13" width="17.33203125" style="591" hidden="1" customWidth="1"/>
    <col min="14" max="14" width="14.1640625" style="605" hidden="1" customWidth="1"/>
    <col min="15" max="20" width="14.1640625" style="605" customWidth="1"/>
    <col min="21" max="21" width="11.6640625" style="591" customWidth="1"/>
    <col min="22" max="22" width="15" style="591" customWidth="1"/>
    <col min="23" max="23" width="12.5" style="591" customWidth="1"/>
    <col min="24" max="25" width="15.5" style="591" customWidth="1"/>
    <col min="26" max="26" width="44.83203125" style="591" customWidth="1"/>
    <col min="27" max="27" width="10.6640625" style="592"/>
    <col min="28" max="28" width="12.83203125" style="592" bestFit="1" customWidth="1"/>
    <col min="29" max="29" width="10.83203125" style="592" bestFit="1" customWidth="1"/>
    <col min="30" max="16384" width="10.6640625" style="592"/>
  </cols>
  <sheetData>
    <row r="1" spans="1:32" hidden="1" x14ac:dyDescent="0.25">
      <c r="A1" s="1035"/>
      <c r="B1" s="587"/>
      <c r="C1" s="587"/>
      <c r="D1" s="587"/>
      <c r="E1" s="587"/>
      <c r="F1" s="588"/>
      <c r="G1" s="588"/>
      <c r="H1" s="588"/>
      <c r="I1" s="588"/>
      <c r="J1" s="589"/>
      <c r="K1" s="588"/>
      <c r="L1" s="588"/>
      <c r="M1" s="589"/>
      <c r="N1" s="588"/>
      <c r="O1" s="588"/>
      <c r="P1" s="588"/>
      <c r="Q1" s="588"/>
      <c r="R1" s="588"/>
      <c r="S1" s="588"/>
      <c r="T1" s="588"/>
      <c r="U1" s="590"/>
      <c r="V1" s="590"/>
      <c r="W1" s="590"/>
      <c r="X1" s="590"/>
      <c r="Y1" s="590"/>
      <c r="AA1" s="591"/>
      <c r="AB1" s="591"/>
      <c r="AC1" s="591"/>
      <c r="AD1" s="591"/>
      <c r="AE1" s="591"/>
      <c r="AF1" s="591"/>
    </row>
    <row r="2" spans="1:32" ht="19.5" hidden="1" customHeight="1" x14ac:dyDescent="0.25">
      <c r="A2" s="1033"/>
      <c r="B2" s="1033"/>
      <c r="C2" s="1033"/>
      <c r="D2" s="1033"/>
      <c r="E2" s="1033"/>
      <c r="F2" s="1033"/>
      <c r="G2" s="1033"/>
      <c r="H2" s="1033"/>
      <c r="I2" s="1033"/>
      <c r="J2" s="1033"/>
      <c r="K2" s="1033"/>
      <c r="L2" s="1033"/>
      <c r="M2" s="1033"/>
      <c r="N2" s="1033"/>
      <c r="O2" s="1033"/>
      <c r="P2" s="1033"/>
      <c r="Q2" s="1033"/>
      <c r="R2" s="1033"/>
      <c r="S2" s="1033"/>
      <c r="T2" s="1033"/>
      <c r="U2" s="1033"/>
      <c r="V2" s="1033"/>
      <c r="W2" s="1033"/>
      <c r="X2" s="1033"/>
      <c r="Y2" s="1033"/>
      <c r="Z2" s="1033"/>
      <c r="AA2" s="591"/>
      <c r="AB2" s="591"/>
      <c r="AC2" s="591"/>
      <c r="AD2" s="591"/>
      <c r="AE2" s="591"/>
      <c r="AF2" s="591"/>
    </row>
    <row r="3" spans="1:32" ht="18.75" customHeight="1" x14ac:dyDescent="0.25">
      <c r="A3" s="1250"/>
      <c r="B3" s="1250"/>
      <c r="C3" s="1250"/>
      <c r="D3" s="1250"/>
      <c r="E3" s="1250"/>
      <c r="F3" s="1250"/>
      <c r="G3" s="1250"/>
      <c r="H3" s="1250"/>
      <c r="I3" s="1250"/>
      <c r="J3" s="1250"/>
      <c r="K3" s="1202"/>
      <c r="L3" s="1250"/>
      <c r="M3" s="1250"/>
      <c r="N3" s="1202"/>
      <c r="O3" s="1250"/>
      <c r="P3" s="1250"/>
      <c r="Q3" s="1250"/>
      <c r="R3" s="1250"/>
      <c r="S3" s="1250"/>
      <c r="T3" s="1250"/>
      <c r="U3" s="1250"/>
      <c r="V3" s="1250"/>
      <c r="W3" s="1250"/>
      <c r="X3" s="1250"/>
      <c r="Y3" s="1250"/>
      <c r="Z3" s="1250"/>
      <c r="AA3" s="591"/>
      <c r="AB3" s="591"/>
      <c r="AC3" s="591"/>
      <c r="AD3" s="591"/>
      <c r="AE3" s="591"/>
      <c r="AF3" s="591"/>
    </row>
    <row r="4" spans="1:32" ht="18.75" customHeight="1" x14ac:dyDescent="0.25">
      <c r="A4" s="3650" t="s">
        <v>2632</v>
      </c>
      <c r="B4" s="3650"/>
      <c r="C4" s="3650"/>
      <c r="D4" s="3650"/>
      <c r="E4" s="3650"/>
      <c r="F4" s="3650"/>
      <c r="G4" s="3650"/>
      <c r="H4" s="3650"/>
      <c r="I4" s="3650"/>
      <c r="J4" s="3650"/>
      <c r="K4" s="3650"/>
      <c r="L4" s="3650"/>
      <c r="M4" s="3650"/>
      <c r="N4" s="3650"/>
      <c r="O4" s="3650"/>
      <c r="P4" s="3650"/>
      <c r="Q4" s="3650"/>
      <c r="R4" s="3650"/>
      <c r="S4" s="3650"/>
      <c r="T4" s="3650"/>
      <c r="U4" s="3650"/>
      <c r="V4" s="3650"/>
      <c r="W4" s="3650"/>
      <c r="X4" s="3650"/>
      <c r="Y4" s="3650"/>
      <c r="Z4" s="3650"/>
      <c r="AA4" s="591"/>
      <c r="AB4" s="591"/>
      <c r="AC4" s="591"/>
      <c r="AD4" s="591"/>
      <c r="AE4" s="591"/>
      <c r="AF4" s="591"/>
    </row>
    <row r="5" spans="1:32" ht="18.75" customHeight="1" x14ac:dyDescent="0.25">
      <c r="A5" s="3650" t="s">
        <v>2024</v>
      </c>
      <c r="B5" s="3650"/>
      <c r="C5" s="3650"/>
      <c r="D5" s="3650"/>
      <c r="E5" s="3650"/>
      <c r="F5" s="3650"/>
      <c r="G5" s="3650"/>
      <c r="H5" s="3650"/>
      <c r="I5" s="3650"/>
      <c r="J5" s="3650"/>
      <c r="K5" s="3650"/>
      <c r="L5" s="3650"/>
      <c r="M5" s="3650"/>
      <c r="N5" s="3650"/>
      <c r="O5" s="3650"/>
      <c r="P5" s="3650"/>
      <c r="Q5" s="3650"/>
      <c r="R5" s="3650"/>
      <c r="S5" s="3650"/>
      <c r="T5" s="3650"/>
      <c r="U5" s="3650"/>
      <c r="V5" s="3650"/>
      <c r="W5" s="3650"/>
      <c r="X5" s="3650"/>
      <c r="Y5" s="3650"/>
      <c r="Z5" s="3650"/>
      <c r="AA5" s="591"/>
      <c r="AB5" s="591"/>
      <c r="AC5" s="591"/>
      <c r="AD5" s="591"/>
      <c r="AE5" s="591"/>
      <c r="AF5" s="591"/>
    </row>
    <row r="6" spans="1:32" x14ac:dyDescent="0.25">
      <c r="A6" s="1035"/>
      <c r="B6" s="587"/>
      <c r="C6" s="587"/>
      <c r="D6" s="587"/>
      <c r="E6" s="587"/>
      <c r="F6" s="588"/>
      <c r="G6" s="588"/>
      <c r="H6" s="588"/>
      <c r="I6" s="588"/>
      <c r="J6" s="588"/>
      <c r="K6" s="588"/>
      <c r="L6" s="588"/>
      <c r="M6" s="588"/>
      <c r="N6" s="588"/>
      <c r="O6" s="588"/>
      <c r="P6" s="588"/>
      <c r="Q6" s="588"/>
      <c r="R6" s="588"/>
      <c r="S6" s="588"/>
      <c r="T6" s="588"/>
      <c r="U6" s="590"/>
      <c r="V6" s="590"/>
      <c r="W6" s="590"/>
      <c r="X6" s="590"/>
      <c r="Y6" s="590"/>
      <c r="Z6" s="935">
        <v>43831</v>
      </c>
      <c r="AA6" s="591"/>
      <c r="AB6" s="591"/>
      <c r="AC6" s="591"/>
      <c r="AD6" s="591"/>
      <c r="AE6" s="591"/>
      <c r="AF6" s="591"/>
    </row>
    <row r="7" spans="1:32" s="591" customFormat="1" ht="48" customHeight="1" x14ac:dyDescent="0.25">
      <c r="A7" s="3652" t="s">
        <v>78</v>
      </c>
      <c r="B7" s="3652" t="s">
        <v>484</v>
      </c>
      <c r="C7" s="3652" t="s">
        <v>485</v>
      </c>
      <c r="D7" s="3652" t="s">
        <v>486</v>
      </c>
      <c r="E7" s="3652" t="s">
        <v>219</v>
      </c>
      <c r="F7" s="3653" t="s">
        <v>1393</v>
      </c>
      <c r="G7" s="3653"/>
      <c r="H7" s="3653"/>
      <c r="I7" s="3537" t="s">
        <v>487</v>
      </c>
      <c r="J7" s="3537"/>
      <c r="K7" s="3537"/>
      <c r="L7" s="3654" t="s">
        <v>488</v>
      </c>
      <c r="M7" s="3655"/>
      <c r="N7" s="3656"/>
      <c r="O7" s="3533" t="s">
        <v>204</v>
      </c>
      <c r="P7" s="3533"/>
      <c r="Q7" s="3533"/>
      <c r="R7" s="3533" t="s">
        <v>205</v>
      </c>
      <c r="S7" s="3533"/>
      <c r="T7" s="3533"/>
      <c r="U7" s="3534" t="s">
        <v>206</v>
      </c>
      <c r="V7" s="3535"/>
      <c r="W7" s="3536"/>
      <c r="X7" s="3649" t="s">
        <v>120</v>
      </c>
      <c r="Y7" s="3649"/>
      <c r="Z7" s="3651" t="s">
        <v>491</v>
      </c>
    </row>
    <row r="8" spans="1:32" s="591" customFormat="1" ht="15" customHeight="1" x14ac:dyDescent="0.25">
      <c r="A8" s="3652"/>
      <c r="B8" s="3652"/>
      <c r="C8" s="3652"/>
      <c r="D8" s="3652"/>
      <c r="E8" s="3652"/>
      <c r="F8" s="3646" t="s">
        <v>492</v>
      </c>
      <c r="G8" s="3646" t="s">
        <v>493</v>
      </c>
      <c r="H8" s="3647" t="s">
        <v>494</v>
      </c>
      <c r="I8" s="3646" t="s">
        <v>492</v>
      </c>
      <c r="J8" s="3646" t="s">
        <v>493</v>
      </c>
      <c r="K8" s="3647" t="s">
        <v>494</v>
      </c>
      <c r="L8" s="3646" t="s">
        <v>492</v>
      </c>
      <c r="M8" s="3646" t="s">
        <v>493</v>
      </c>
      <c r="N8" s="3647" t="s">
        <v>494</v>
      </c>
      <c r="O8" s="3646" t="s">
        <v>492</v>
      </c>
      <c r="P8" s="3646" t="s">
        <v>493</v>
      </c>
      <c r="Q8" s="3647" t="s">
        <v>494</v>
      </c>
      <c r="R8" s="3646" t="s">
        <v>492</v>
      </c>
      <c r="S8" s="3646" t="s">
        <v>493</v>
      </c>
      <c r="T8" s="3647" t="s">
        <v>494</v>
      </c>
      <c r="U8" s="3646" t="s">
        <v>492</v>
      </c>
      <c r="V8" s="3646" t="s">
        <v>493</v>
      </c>
      <c r="W8" s="3647" t="s">
        <v>494</v>
      </c>
      <c r="X8" s="3647" t="s">
        <v>497</v>
      </c>
      <c r="Y8" s="3648" t="s">
        <v>498</v>
      </c>
      <c r="Z8" s="3651"/>
    </row>
    <row r="9" spans="1:32" s="591" customFormat="1" ht="83.25" customHeight="1" x14ac:dyDescent="0.25">
      <c r="A9" s="3652"/>
      <c r="B9" s="3652"/>
      <c r="C9" s="3652"/>
      <c r="D9" s="3652"/>
      <c r="E9" s="3652"/>
      <c r="F9" s="3646"/>
      <c r="G9" s="3646"/>
      <c r="H9" s="3647"/>
      <c r="I9" s="3646"/>
      <c r="J9" s="3646"/>
      <c r="K9" s="3647"/>
      <c r="L9" s="3646"/>
      <c r="M9" s="3646"/>
      <c r="N9" s="3647"/>
      <c r="O9" s="3646"/>
      <c r="P9" s="3646"/>
      <c r="Q9" s="3647"/>
      <c r="R9" s="3646"/>
      <c r="S9" s="3646"/>
      <c r="T9" s="3647"/>
      <c r="U9" s="3646"/>
      <c r="V9" s="3646"/>
      <c r="W9" s="3647"/>
      <c r="X9" s="3647"/>
      <c r="Y9" s="3648"/>
      <c r="Z9" s="3651"/>
    </row>
    <row r="10" spans="1:32" x14ac:dyDescent="0.25">
      <c r="A10" s="1032">
        <v>1</v>
      </c>
      <c r="B10" s="1032">
        <v>2</v>
      </c>
      <c r="C10" s="1032">
        <v>3</v>
      </c>
      <c r="D10" s="1032">
        <v>4</v>
      </c>
      <c r="E10" s="1032">
        <v>5</v>
      </c>
      <c r="F10" s="1032">
        <v>12</v>
      </c>
      <c r="G10" s="1032">
        <v>13</v>
      </c>
      <c r="H10" s="1032">
        <v>14</v>
      </c>
      <c r="I10" s="1032">
        <v>15</v>
      </c>
      <c r="J10" s="1032">
        <v>16</v>
      </c>
      <c r="K10" s="1032">
        <v>17</v>
      </c>
      <c r="L10" s="1032">
        <v>15</v>
      </c>
      <c r="M10" s="1032">
        <v>16</v>
      </c>
      <c r="N10" s="1032">
        <v>17</v>
      </c>
      <c r="O10" s="1032">
        <v>18</v>
      </c>
      <c r="P10" s="1032">
        <v>19</v>
      </c>
      <c r="Q10" s="1032">
        <v>20</v>
      </c>
      <c r="R10" s="1032">
        <v>18</v>
      </c>
      <c r="S10" s="1032">
        <v>19</v>
      </c>
      <c r="T10" s="1032">
        <v>20</v>
      </c>
      <c r="U10" s="1032">
        <v>21</v>
      </c>
      <c r="V10" s="1032">
        <v>22</v>
      </c>
      <c r="W10" s="1032">
        <v>23</v>
      </c>
      <c r="X10" s="1032">
        <v>24</v>
      </c>
      <c r="Y10" s="1032">
        <v>25</v>
      </c>
      <c r="Z10" s="1032">
        <v>26</v>
      </c>
      <c r="AA10" s="591"/>
      <c r="AB10" s="591"/>
      <c r="AC10" s="591"/>
      <c r="AD10" s="591"/>
      <c r="AE10" s="591"/>
      <c r="AF10" s="591"/>
    </row>
    <row r="11" spans="1:32" s="1205" customFormat="1" ht="99" hidden="1" customHeight="1" x14ac:dyDescent="0.25">
      <c r="A11" s="593"/>
      <c r="B11" s="1203" t="s">
        <v>1394</v>
      </c>
      <c r="C11" s="593"/>
      <c r="D11" s="593"/>
      <c r="E11" s="593"/>
      <c r="F11" s="594"/>
      <c r="G11" s="594"/>
      <c r="H11" s="594">
        <f>H12+H29</f>
        <v>50.1</v>
      </c>
      <c r="I11" s="594"/>
      <c r="J11" s="594"/>
      <c r="K11" s="594">
        <f>K12+K29</f>
        <v>46.2</v>
      </c>
      <c r="L11" s="594"/>
      <c r="M11" s="594"/>
      <c r="N11" s="594">
        <f>N12+N29</f>
        <v>46.2</v>
      </c>
      <c r="O11" s="594"/>
      <c r="P11" s="594"/>
      <c r="Q11" s="594">
        <f>Q12+Q29</f>
        <v>45.7</v>
      </c>
      <c r="R11" s="594"/>
      <c r="S11" s="594"/>
      <c r="T11" s="594">
        <f>T12+T29</f>
        <v>45.7</v>
      </c>
      <c r="U11" s="594"/>
      <c r="V11" s="594"/>
      <c r="W11" s="594">
        <f>W12+W29</f>
        <v>45.7</v>
      </c>
      <c r="X11" s="594">
        <f>Q11-K11</f>
        <v>-0.5</v>
      </c>
      <c r="Y11" s="594">
        <f>IFERROR(Q11/K11*100,"-")</f>
        <v>98.9</v>
      </c>
      <c r="Z11" s="1204"/>
    </row>
    <row r="12" spans="1:32" s="596" customFormat="1" ht="38.25" hidden="1" x14ac:dyDescent="0.2">
      <c r="A12" s="595"/>
      <c r="B12" s="1206" t="s">
        <v>2041</v>
      </c>
      <c r="C12" s="2265"/>
      <c r="D12" s="595" t="s">
        <v>1444</v>
      </c>
      <c r="E12" s="1207"/>
      <c r="F12" s="1208"/>
      <c r="G12" s="1208"/>
      <c r="H12" s="1208">
        <f>H13+H19+H22+H25+H28</f>
        <v>29</v>
      </c>
      <c r="I12" s="1208"/>
      <c r="J12" s="1208"/>
      <c r="K12" s="1208">
        <f>K13+K19+K22+K25+K2+K26</f>
        <v>26.4</v>
      </c>
      <c r="L12" s="1208"/>
      <c r="M12" s="1208"/>
      <c r="N12" s="1208">
        <f>N13+N19+N22+N25+N2+N26</f>
        <v>26.4</v>
      </c>
      <c r="O12" s="1208"/>
      <c r="P12" s="1208"/>
      <c r="Q12" s="1208">
        <f>Q13+Q19+Q22+Q25+Q2+Q26</f>
        <v>26.3</v>
      </c>
      <c r="R12" s="1208"/>
      <c r="S12" s="1208"/>
      <c r="T12" s="1208">
        <f>T13+T19+T22+T25+T2+T26</f>
        <v>26.3</v>
      </c>
      <c r="U12" s="1208"/>
      <c r="V12" s="1208"/>
      <c r="W12" s="1208">
        <f>W13+W19+W22+W25+W2+W26</f>
        <v>26.3</v>
      </c>
      <c r="X12" s="1208">
        <f t="shared" ref="X12:X44" si="0">Q12-K12</f>
        <v>-0.1</v>
      </c>
      <c r="Y12" s="1208">
        <f t="shared" ref="Y12:Y44" si="1">IFERROR(Q12/K12*100,"-")</f>
        <v>99.6</v>
      </c>
      <c r="Z12" s="1209"/>
    </row>
    <row r="13" spans="1:32" s="492" customFormat="1" ht="13.5" hidden="1" x14ac:dyDescent="0.2">
      <c r="A13" s="1240"/>
      <c r="B13" s="550" t="s">
        <v>1395</v>
      </c>
      <c r="C13" s="530">
        <v>955</v>
      </c>
      <c r="D13" s="932"/>
      <c r="E13" s="2266"/>
      <c r="F13" s="493"/>
      <c r="G13" s="493"/>
      <c r="H13" s="493">
        <f>SUM(H14:H18)</f>
        <v>13.3</v>
      </c>
      <c r="I13" s="2267"/>
      <c r="J13" s="2267"/>
      <c r="K13" s="2268">
        <f>SUM(K14:K18)</f>
        <v>13.3</v>
      </c>
      <c r="L13" s="2267"/>
      <c r="M13" s="2267"/>
      <c r="N13" s="2268">
        <f>SUM(N14:N18)</f>
        <v>13.3</v>
      </c>
      <c r="O13" s="2267"/>
      <c r="P13" s="2267"/>
      <c r="Q13" s="2268">
        <f>SUM(Q14:Q18)</f>
        <v>13.2</v>
      </c>
      <c r="R13" s="2267"/>
      <c r="S13" s="2267"/>
      <c r="T13" s="2268">
        <f>SUM(T14:T18)</f>
        <v>13.2</v>
      </c>
      <c r="U13" s="2267"/>
      <c r="V13" s="2267"/>
      <c r="W13" s="2268">
        <f>SUM(W14:W18)</f>
        <v>13.2</v>
      </c>
      <c r="X13" s="493">
        <f t="shared" si="0"/>
        <v>-0.1</v>
      </c>
      <c r="Y13" s="493">
        <f t="shared" si="1"/>
        <v>99.2</v>
      </c>
      <c r="Z13" s="866"/>
      <c r="AA13" s="492" t="s">
        <v>1665</v>
      </c>
    </row>
    <row r="14" spans="1:32" s="498" customFormat="1" ht="12.75" hidden="1" x14ac:dyDescent="0.2">
      <c r="A14" s="962"/>
      <c r="B14" s="551" t="s">
        <v>2042</v>
      </c>
      <c r="C14" s="494"/>
      <c r="D14" s="903"/>
      <c r="E14" s="1211" t="s">
        <v>318</v>
      </c>
      <c r="F14" s="1245">
        <v>2</v>
      </c>
      <c r="G14" s="1245">
        <v>2.2999999999999998</v>
      </c>
      <c r="H14" s="1245">
        <f>F14*G14</f>
        <v>4.5999999999999996</v>
      </c>
      <c r="I14" s="1245">
        <v>2</v>
      </c>
      <c r="J14" s="1245">
        <v>2.2999999999999998</v>
      </c>
      <c r="K14" s="2269">
        <f>I14*J14</f>
        <v>4.5999999999999996</v>
      </c>
      <c r="L14" s="1245">
        <v>2</v>
      </c>
      <c r="M14" s="1245">
        <v>2.2999999999999998</v>
      </c>
      <c r="N14" s="2269">
        <f>L14*M14</f>
        <v>4.5999999999999996</v>
      </c>
      <c r="O14" s="1245">
        <v>2</v>
      </c>
      <c r="P14" s="1245">
        <v>2.2999999999999998</v>
      </c>
      <c r="Q14" s="2269">
        <f>O14*P14</f>
        <v>4.5999999999999996</v>
      </c>
      <c r="R14" s="1245">
        <v>2</v>
      </c>
      <c r="S14" s="1245">
        <v>2.2999999999999998</v>
      </c>
      <c r="T14" s="2269">
        <f>R14*S14</f>
        <v>4.5999999999999996</v>
      </c>
      <c r="U14" s="1245">
        <v>2</v>
      </c>
      <c r="V14" s="1245">
        <v>2.2999999999999998</v>
      </c>
      <c r="W14" s="2269">
        <f>U14*V14</f>
        <v>4.5999999999999996</v>
      </c>
      <c r="X14" s="1245">
        <f t="shared" si="0"/>
        <v>0</v>
      </c>
      <c r="Y14" s="1245">
        <f t="shared" si="1"/>
        <v>100</v>
      </c>
      <c r="Z14" s="867"/>
    </row>
    <row r="15" spans="1:32" s="498" customFormat="1" ht="12.75" hidden="1" x14ac:dyDescent="0.2">
      <c r="A15" s="962"/>
      <c r="B15" s="551" t="s">
        <v>1737</v>
      </c>
      <c r="C15" s="494"/>
      <c r="D15" s="903"/>
      <c r="E15" s="1211" t="s">
        <v>318</v>
      </c>
      <c r="F15" s="1245">
        <v>1</v>
      </c>
      <c r="G15" s="1245">
        <v>3.5</v>
      </c>
      <c r="H15" s="1245">
        <f>F15*G15</f>
        <v>3.5</v>
      </c>
      <c r="I15" s="1245">
        <v>1</v>
      </c>
      <c r="J15" s="1245">
        <v>3.5</v>
      </c>
      <c r="K15" s="2269">
        <f>I15*J15</f>
        <v>3.5</v>
      </c>
      <c r="L15" s="1245">
        <v>1</v>
      </c>
      <c r="M15" s="1245">
        <v>3.5</v>
      </c>
      <c r="N15" s="2269">
        <f>L15*M15</f>
        <v>3.5</v>
      </c>
      <c r="O15" s="1245">
        <v>1</v>
      </c>
      <c r="P15" s="795">
        <v>3.45</v>
      </c>
      <c r="Q15" s="2269">
        <f>O15*P15</f>
        <v>3.5</v>
      </c>
      <c r="R15" s="1245">
        <v>1</v>
      </c>
      <c r="S15" s="795">
        <v>3.45</v>
      </c>
      <c r="T15" s="2269">
        <f>R15*S15</f>
        <v>3.5</v>
      </c>
      <c r="U15" s="1245">
        <v>1</v>
      </c>
      <c r="V15" s="795">
        <v>3.45</v>
      </c>
      <c r="W15" s="2269">
        <f>U15*V15</f>
        <v>3.5</v>
      </c>
      <c r="X15" s="1245">
        <f t="shared" si="0"/>
        <v>0</v>
      </c>
      <c r="Y15" s="1245">
        <f t="shared" si="1"/>
        <v>100</v>
      </c>
      <c r="Z15" s="867"/>
    </row>
    <row r="16" spans="1:32" s="498" customFormat="1" ht="12.75" hidden="1" x14ac:dyDescent="0.2">
      <c r="A16" s="962"/>
      <c r="B16" s="551" t="s">
        <v>1968</v>
      </c>
      <c r="C16" s="494"/>
      <c r="D16" s="903"/>
      <c r="E16" s="1211" t="s">
        <v>318</v>
      </c>
      <c r="F16" s="1245">
        <v>2</v>
      </c>
      <c r="G16" s="1245">
        <v>1.2</v>
      </c>
      <c r="H16" s="1245">
        <f>F16*G16</f>
        <v>2.4</v>
      </c>
      <c r="I16" s="1245">
        <v>2</v>
      </c>
      <c r="J16" s="2270">
        <v>1.175</v>
      </c>
      <c r="K16" s="2269">
        <f>I16*J16</f>
        <v>2.4</v>
      </c>
      <c r="L16" s="1245">
        <v>2</v>
      </c>
      <c r="M16" s="2270">
        <v>1.175</v>
      </c>
      <c r="N16" s="2269">
        <f>L16*M16</f>
        <v>2.4</v>
      </c>
      <c r="O16" s="1245"/>
      <c r="P16" s="2270"/>
      <c r="Q16" s="2269"/>
      <c r="R16" s="1245"/>
      <c r="S16" s="2270"/>
      <c r="T16" s="2269"/>
      <c r="U16" s="1245"/>
      <c r="V16" s="2270"/>
      <c r="W16" s="2269"/>
      <c r="X16" s="1245">
        <f t="shared" si="0"/>
        <v>-2.4</v>
      </c>
      <c r="Y16" s="1245">
        <f t="shared" si="1"/>
        <v>0</v>
      </c>
      <c r="Z16" s="867"/>
    </row>
    <row r="17" spans="1:27" s="498" customFormat="1" ht="25.5" hidden="1" x14ac:dyDescent="0.2">
      <c r="A17" s="962"/>
      <c r="B17" s="551" t="s">
        <v>2043</v>
      </c>
      <c r="C17" s="494"/>
      <c r="D17" s="903"/>
      <c r="E17" s="1211"/>
      <c r="F17" s="1245"/>
      <c r="G17" s="1245"/>
      <c r="H17" s="1245"/>
      <c r="I17" s="1245"/>
      <c r="J17" s="2270"/>
      <c r="K17" s="2269"/>
      <c r="L17" s="1245"/>
      <c r="M17" s="2270"/>
      <c r="N17" s="2269"/>
      <c r="O17" s="1245">
        <v>1</v>
      </c>
      <c r="P17" s="795">
        <v>2.2999999999999998</v>
      </c>
      <c r="Q17" s="2269">
        <f>O17*P17</f>
        <v>2.2999999999999998</v>
      </c>
      <c r="R17" s="1245">
        <v>1</v>
      </c>
      <c r="S17" s="795">
        <v>2.2999999999999998</v>
      </c>
      <c r="T17" s="2269">
        <f>R17*S17</f>
        <v>2.2999999999999998</v>
      </c>
      <c r="U17" s="1245">
        <v>1</v>
      </c>
      <c r="V17" s="795">
        <v>2.2999999999999998</v>
      </c>
      <c r="W17" s="2269">
        <f>U17*V17</f>
        <v>2.2999999999999998</v>
      </c>
      <c r="X17" s="1245">
        <f t="shared" si="0"/>
        <v>2.2999999999999998</v>
      </c>
      <c r="Y17" s="1245" t="str">
        <f t="shared" si="1"/>
        <v>-</v>
      </c>
      <c r="Z17" s="867" t="s">
        <v>2044</v>
      </c>
    </row>
    <row r="18" spans="1:27" s="498" customFormat="1" ht="12.75" hidden="1" x14ac:dyDescent="0.2">
      <c r="A18" s="962"/>
      <c r="B18" s="1212" t="s">
        <v>1396</v>
      </c>
      <c r="C18" s="494"/>
      <c r="D18" s="903"/>
      <c r="E18" s="1211"/>
      <c r="F18" s="1245"/>
      <c r="G18" s="1245"/>
      <c r="H18" s="1245">
        <f>SUM(H14:H16)*0.271</f>
        <v>2.8</v>
      </c>
      <c r="I18" s="1245"/>
      <c r="J18" s="1245"/>
      <c r="K18" s="2271">
        <f>SUM(K14:K16)*0.271</f>
        <v>2.8</v>
      </c>
      <c r="L18" s="1245"/>
      <c r="M18" s="1245"/>
      <c r="N18" s="2271">
        <f>SUM(N14:N16)*0.271</f>
        <v>2.8</v>
      </c>
      <c r="O18" s="1245"/>
      <c r="P18" s="1245"/>
      <c r="Q18" s="1245">
        <f>SUM(Q14:Q17)*0.271</f>
        <v>2.8</v>
      </c>
      <c r="R18" s="1245"/>
      <c r="S18" s="1245"/>
      <c r="T18" s="1245">
        <f>SUM(T14:T17)*0.271</f>
        <v>2.8</v>
      </c>
      <c r="U18" s="1245"/>
      <c r="V18" s="1245"/>
      <c r="W18" s="1245">
        <f>SUM(W14:W17)*0.271</f>
        <v>2.8</v>
      </c>
      <c r="X18" s="1245">
        <f t="shared" si="0"/>
        <v>0</v>
      </c>
      <c r="Y18" s="1245">
        <f t="shared" si="1"/>
        <v>100</v>
      </c>
      <c r="Z18" s="867"/>
    </row>
    <row r="19" spans="1:27" s="492" customFormat="1" ht="25.5" x14ac:dyDescent="0.2">
      <c r="A19" s="1240"/>
      <c r="B19" s="2272" t="s">
        <v>2045</v>
      </c>
      <c r="C19" s="530">
        <v>981</v>
      </c>
      <c r="D19" s="932"/>
      <c r="E19" s="2266"/>
      <c r="F19" s="493"/>
      <c r="G19" s="493"/>
      <c r="H19" s="493">
        <f>H20+H21</f>
        <v>2.6</v>
      </c>
      <c r="I19" s="2267"/>
      <c r="J19" s="2267"/>
      <c r="K19" s="2268">
        <f>SUM(K20:K21)</f>
        <v>1</v>
      </c>
      <c r="L19" s="2267"/>
      <c r="M19" s="2267"/>
      <c r="N19" s="2268">
        <f>SUM(N20:N21)</f>
        <v>1</v>
      </c>
      <c r="O19" s="2268"/>
      <c r="P19" s="2268"/>
      <c r="Q19" s="2268">
        <f>SUM(Q20:Q21)</f>
        <v>1</v>
      </c>
      <c r="R19" s="2268"/>
      <c r="S19" s="2268"/>
      <c r="T19" s="2268">
        <f>SUM(T20:T21)</f>
        <v>1</v>
      </c>
      <c r="U19" s="2268"/>
      <c r="V19" s="2268"/>
      <c r="W19" s="2268">
        <f>SUM(W20:W21)</f>
        <v>1</v>
      </c>
      <c r="X19" s="493">
        <f t="shared" si="0"/>
        <v>0</v>
      </c>
      <c r="Y19" s="493">
        <f t="shared" si="1"/>
        <v>100</v>
      </c>
      <c r="Z19" s="866"/>
      <c r="AA19" s="492" t="s">
        <v>1665</v>
      </c>
    </row>
    <row r="20" spans="1:27" s="498" customFormat="1" ht="16.149999999999999" hidden="1" customHeight="1" x14ac:dyDescent="0.2">
      <c r="A20" s="962"/>
      <c r="B20" s="551" t="s">
        <v>2046</v>
      </c>
      <c r="C20" s="494"/>
      <c r="D20" s="903"/>
      <c r="E20" s="2273" t="s">
        <v>227</v>
      </c>
      <c r="F20" s="1245">
        <v>20</v>
      </c>
      <c r="G20" s="1245">
        <v>0.1</v>
      </c>
      <c r="H20" s="1245">
        <f>F20*G20</f>
        <v>2</v>
      </c>
      <c r="I20" s="1245">
        <v>10</v>
      </c>
      <c r="J20" s="795">
        <v>0.1</v>
      </c>
      <c r="K20" s="2269">
        <f>I20*J20</f>
        <v>1</v>
      </c>
      <c r="L20" s="1245">
        <v>10</v>
      </c>
      <c r="M20" s="795">
        <v>0.1</v>
      </c>
      <c r="N20" s="2269">
        <f>L20*M20</f>
        <v>1</v>
      </c>
      <c r="O20" s="1245">
        <v>10</v>
      </c>
      <c r="P20" s="795">
        <v>0.1</v>
      </c>
      <c r="Q20" s="498">
        <f>O20*P20</f>
        <v>1</v>
      </c>
      <c r="R20" s="1245">
        <v>10</v>
      </c>
      <c r="S20" s="795">
        <v>0.1</v>
      </c>
      <c r="T20" s="498">
        <f>R20*S20</f>
        <v>1</v>
      </c>
      <c r="U20" s="1245">
        <v>10</v>
      </c>
      <c r="V20" s="795">
        <v>0.1</v>
      </c>
      <c r="W20" s="498">
        <f>U20*V20</f>
        <v>1</v>
      </c>
      <c r="X20" s="1245">
        <f t="shared" si="0"/>
        <v>0</v>
      </c>
      <c r="Y20" s="1245">
        <f t="shared" si="1"/>
        <v>100</v>
      </c>
      <c r="Z20" s="2274"/>
    </row>
    <row r="21" spans="1:27" s="498" customFormat="1" ht="12.75" hidden="1" x14ac:dyDescent="0.2">
      <c r="A21" s="962"/>
      <c r="B21" s="551" t="s">
        <v>2047</v>
      </c>
      <c r="C21" s="494"/>
      <c r="D21" s="903"/>
      <c r="E21" s="2273" t="s">
        <v>227</v>
      </c>
      <c r="F21" s="1245">
        <v>2</v>
      </c>
      <c r="G21" s="1245">
        <v>0.3</v>
      </c>
      <c r="H21" s="1245">
        <f>F21*G21</f>
        <v>0.6</v>
      </c>
      <c r="I21" s="1245"/>
      <c r="J21" s="1245"/>
      <c r="K21" s="2269">
        <f>I21*J21</f>
        <v>0</v>
      </c>
      <c r="L21" s="1245"/>
      <c r="M21" s="1245"/>
      <c r="N21" s="2269">
        <f>L21*M21</f>
        <v>0</v>
      </c>
      <c r="O21" s="1245"/>
      <c r="P21" s="1245"/>
      <c r="Q21" s="2269"/>
      <c r="R21" s="1245"/>
      <c r="S21" s="1245"/>
      <c r="T21" s="2269"/>
      <c r="U21" s="1245"/>
      <c r="V21" s="1245"/>
      <c r="W21" s="2269"/>
      <c r="X21" s="1245">
        <f t="shared" si="0"/>
        <v>0</v>
      </c>
      <c r="Y21" s="1245" t="str">
        <f t="shared" si="1"/>
        <v>-</v>
      </c>
      <c r="Z21" s="867"/>
    </row>
    <row r="22" spans="1:27" s="492" customFormat="1" ht="13.5" x14ac:dyDescent="0.2">
      <c r="A22" s="1240"/>
      <c r="B22" s="550" t="s">
        <v>1397</v>
      </c>
      <c r="C22" s="529" t="s">
        <v>797</v>
      </c>
      <c r="D22" s="932"/>
      <c r="E22" s="2275"/>
      <c r="F22" s="493"/>
      <c r="G22" s="493"/>
      <c r="H22" s="493">
        <f>H23+H24</f>
        <v>4.7</v>
      </c>
      <c r="I22" s="2267"/>
      <c r="J22" s="2267"/>
      <c r="K22" s="2276">
        <f>SUM(K23:K24)</f>
        <v>3.7</v>
      </c>
      <c r="L22" s="2267"/>
      <c r="M22" s="2267"/>
      <c r="N22" s="2276">
        <f>SUM(N23:N24)</f>
        <v>3.7</v>
      </c>
      <c r="O22" s="2276"/>
      <c r="P22" s="2276"/>
      <c r="Q22" s="2276">
        <f>SUM(Q23:Q24)</f>
        <v>3.6</v>
      </c>
      <c r="R22" s="2276"/>
      <c r="S22" s="2276"/>
      <c r="T22" s="2276">
        <f>SUM(T23:T24)</f>
        <v>3.6</v>
      </c>
      <c r="U22" s="2276"/>
      <c r="V22" s="2276"/>
      <c r="W22" s="2276">
        <f>SUM(W23:W24)</f>
        <v>3.6</v>
      </c>
      <c r="X22" s="493">
        <f t="shared" si="0"/>
        <v>-0.1</v>
      </c>
      <c r="Y22" s="493">
        <f t="shared" si="1"/>
        <v>97.3</v>
      </c>
      <c r="Z22" s="866"/>
      <c r="AA22" s="492" t="s">
        <v>1665</v>
      </c>
    </row>
    <row r="23" spans="1:27" s="498" customFormat="1" ht="12.75" hidden="1" x14ac:dyDescent="0.2">
      <c r="A23" s="962"/>
      <c r="B23" s="551" t="s">
        <v>2048</v>
      </c>
      <c r="C23" s="494"/>
      <c r="D23" s="903"/>
      <c r="E23" s="1252" t="s">
        <v>1240</v>
      </c>
      <c r="F23" s="1245">
        <v>11</v>
      </c>
      <c r="G23" s="1245">
        <v>0.2</v>
      </c>
      <c r="H23" s="1245">
        <f t="shared" ref="H23:H28" si="2">F23*G23</f>
        <v>2.2000000000000002</v>
      </c>
      <c r="I23" s="1245">
        <v>11</v>
      </c>
      <c r="J23" s="1245">
        <v>0.2</v>
      </c>
      <c r="K23" s="2269">
        <f>I23*J23</f>
        <v>2.2000000000000002</v>
      </c>
      <c r="L23" s="1245">
        <v>11</v>
      </c>
      <c r="M23" s="1245">
        <v>0.2</v>
      </c>
      <c r="N23" s="2269">
        <f>L23*M23</f>
        <v>2.2000000000000002</v>
      </c>
      <c r="O23" s="1245"/>
      <c r="P23" s="1245"/>
      <c r="Q23" s="2269"/>
      <c r="R23" s="1245"/>
      <c r="S23" s="1245"/>
      <c r="T23" s="2269"/>
      <c r="U23" s="1245"/>
      <c r="V23" s="1245"/>
      <c r="W23" s="2269"/>
      <c r="X23" s="1245">
        <f t="shared" si="0"/>
        <v>-2.2000000000000002</v>
      </c>
      <c r="Y23" s="1245">
        <f t="shared" si="1"/>
        <v>0</v>
      </c>
      <c r="Z23" s="867"/>
    </row>
    <row r="24" spans="1:27" s="498" customFormat="1" ht="12.75" hidden="1" x14ac:dyDescent="0.2">
      <c r="A24" s="962"/>
      <c r="B24" s="551" t="s">
        <v>1846</v>
      </c>
      <c r="C24" s="494"/>
      <c r="D24" s="903"/>
      <c r="E24" s="1252" t="s">
        <v>227</v>
      </c>
      <c r="F24" s="1245">
        <v>25</v>
      </c>
      <c r="G24" s="1245">
        <v>0.1</v>
      </c>
      <c r="H24" s="1245">
        <f t="shared" si="2"/>
        <v>2.5</v>
      </c>
      <c r="I24" s="1245">
        <v>30</v>
      </c>
      <c r="J24" s="795">
        <v>0.05</v>
      </c>
      <c r="K24" s="2269">
        <f>I24*J24</f>
        <v>1.5</v>
      </c>
      <c r="L24" s="1245">
        <v>30</v>
      </c>
      <c r="M24" s="795">
        <v>0.05</v>
      </c>
      <c r="N24" s="2269">
        <f>L24*M24</f>
        <v>1.5</v>
      </c>
      <c r="O24" s="1245">
        <v>24</v>
      </c>
      <c r="P24" s="795">
        <v>0.15</v>
      </c>
      <c r="Q24" s="2269">
        <f>O24*P24</f>
        <v>3.6</v>
      </c>
      <c r="R24" s="1245">
        <v>24</v>
      </c>
      <c r="S24" s="795">
        <v>0.15</v>
      </c>
      <c r="T24" s="2269">
        <f>R24*S24</f>
        <v>3.6</v>
      </c>
      <c r="U24" s="1245">
        <v>24</v>
      </c>
      <c r="V24" s="795">
        <v>0.15</v>
      </c>
      <c r="W24" s="2269">
        <f>U24*V24</f>
        <v>3.6</v>
      </c>
      <c r="X24" s="1245">
        <f t="shared" si="0"/>
        <v>2.1</v>
      </c>
      <c r="Y24" s="1245">
        <f t="shared" si="1"/>
        <v>240</v>
      </c>
      <c r="Z24" s="867"/>
    </row>
    <row r="25" spans="1:27" s="492" customFormat="1" ht="12.75" hidden="1" x14ac:dyDescent="0.2">
      <c r="A25" s="1240"/>
      <c r="B25" s="550" t="s">
        <v>2049</v>
      </c>
      <c r="C25" s="530">
        <v>963</v>
      </c>
      <c r="D25" s="932"/>
      <c r="E25" s="2277"/>
      <c r="F25" s="493">
        <v>30</v>
      </c>
      <c r="G25" s="493">
        <v>0.1</v>
      </c>
      <c r="H25" s="493">
        <f t="shared" si="2"/>
        <v>3</v>
      </c>
      <c r="I25" s="493">
        <v>30</v>
      </c>
      <c r="J25" s="2278">
        <v>0.1</v>
      </c>
      <c r="K25" s="2279">
        <f>I25*J25</f>
        <v>3</v>
      </c>
      <c r="L25" s="493">
        <v>30</v>
      </c>
      <c r="M25" s="2278">
        <v>0.1</v>
      </c>
      <c r="N25" s="2279">
        <f>L25*M25</f>
        <v>3</v>
      </c>
      <c r="O25" s="493"/>
      <c r="P25" s="2278"/>
      <c r="Q25" s="2279"/>
      <c r="R25" s="493"/>
      <c r="S25" s="2278"/>
      <c r="T25" s="2279"/>
      <c r="U25" s="493"/>
      <c r="V25" s="2278"/>
      <c r="W25" s="2279"/>
      <c r="X25" s="493">
        <f t="shared" si="0"/>
        <v>-3</v>
      </c>
      <c r="Y25" s="493">
        <f t="shared" si="1"/>
        <v>0</v>
      </c>
      <c r="Z25" s="867"/>
      <c r="AA25" s="492" t="s">
        <v>1665</v>
      </c>
    </row>
    <row r="26" spans="1:27" s="492" customFormat="1" ht="12.75" hidden="1" x14ac:dyDescent="0.2">
      <c r="A26" s="1240"/>
      <c r="B26" s="550" t="s">
        <v>2050</v>
      </c>
      <c r="C26" s="530">
        <v>963</v>
      </c>
      <c r="D26" s="932"/>
      <c r="E26" s="2277"/>
      <c r="F26" s="493"/>
      <c r="G26" s="493"/>
      <c r="H26" s="493">
        <f>H28</f>
        <v>5.4</v>
      </c>
      <c r="I26" s="493"/>
      <c r="J26" s="2278"/>
      <c r="K26" s="2279">
        <f>SUM(K27:K28)</f>
        <v>5.4</v>
      </c>
      <c r="L26" s="493"/>
      <c r="M26" s="2278"/>
      <c r="N26" s="2279">
        <f>SUM(N27:N28)</f>
        <v>5.4</v>
      </c>
      <c r="O26" s="493"/>
      <c r="P26" s="2278"/>
      <c r="Q26" s="2279">
        <f>SUM(Q27:Q28)</f>
        <v>8.5</v>
      </c>
      <c r="R26" s="493"/>
      <c r="S26" s="2278"/>
      <c r="T26" s="2279">
        <f>SUM(T27:T28)</f>
        <v>8.5</v>
      </c>
      <c r="U26" s="493"/>
      <c r="V26" s="2278"/>
      <c r="W26" s="2279">
        <f>SUM(W27:W28)</f>
        <v>8.5</v>
      </c>
      <c r="X26" s="493">
        <f t="shared" si="0"/>
        <v>3.1</v>
      </c>
      <c r="Y26" s="493">
        <f t="shared" si="1"/>
        <v>157.4</v>
      </c>
      <c r="Z26" s="2280"/>
      <c r="AA26" s="492" t="s">
        <v>1665</v>
      </c>
    </row>
    <row r="27" spans="1:27" s="492" customFormat="1" ht="12.75" hidden="1" x14ac:dyDescent="0.2">
      <c r="A27" s="1240"/>
      <c r="B27" s="551" t="s">
        <v>2051</v>
      </c>
      <c r="C27" s="530"/>
      <c r="D27" s="932"/>
      <c r="E27" s="2277"/>
      <c r="F27" s="493"/>
      <c r="G27" s="493"/>
      <c r="H27" s="493"/>
      <c r="I27" s="1245">
        <v>10</v>
      </c>
      <c r="J27" s="2270">
        <v>0.35</v>
      </c>
      <c r="K27" s="2269">
        <f>I27*J27</f>
        <v>3.5</v>
      </c>
      <c r="L27" s="1245">
        <v>10</v>
      </c>
      <c r="M27" s="2270">
        <v>0.35</v>
      </c>
      <c r="N27" s="2269">
        <f>L27*M27</f>
        <v>3.5</v>
      </c>
      <c r="O27" s="1245">
        <v>20</v>
      </c>
      <c r="P27" s="2270">
        <v>0.35</v>
      </c>
      <c r="Q27" s="2269">
        <f>O27*P27</f>
        <v>7</v>
      </c>
      <c r="R27" s="1245">
        <v>20</v>
      </c>
      <c r="S27" s="2270">
        <v>0.35</v>
      </c>
      <c r="T27" s="2269">
        <f>R27*S27</f>
        <v>7</v>
      </c>
      <c r="U27" s="1245">
        <v>20</v>
      </c>
      <c r="V27" s="2270">
        <v>0.35</v>
      </c>
      <c r="W27" s="2269">
        <f>U27*V27</f>
        <v>7</v>
      </c>
      <c r="X27" s="493">
        <f t="shared" si="0"/>
        <v>3.5</v>
      </c>
      <c r="Y27" s="493">
        <f t="shared" si="1"/>
        <v>200</v>
      </c>
      <c r="Z27" s="2281"/>
    </row>
    <row r="28" spans="1:27" s="498" customFormat="1" ht="12.75" hidden="1" x14ac:dyDescent="0.2">
      <c r="A28" s="962"/>
      <c r="B28" s="551" t="s">
        <v>2052</v>
      </c>
      <c r="C28" s="530"/>
      <c r="D28" s="903"/>
      <c r="E28" s="2273" t="s">
        <v>227</v>
      </c>
      <c r="F28" s="1245">
        <v>54</v>
      </c>
      <c r="G28" s="1245">
        <v>0.1</v>
      </c>
      <c r="H28" s="1245">
        <f t="shared" si="2"/>
        <v>5.4</v>
      </c>
      <c r="I28" s="1245">
        <v>38</v>
      </c>
      <c r="J28" s="2270">
        <v>0.05</v>
      </c>
      <c r="K28" s="2269">
        <f>I28*J28</f>
        <v>1.9</v>
      </c>
      <c r="L28" s="1245">
        <v>38</v>
      </c>
      <c r="M28" s="2270">
        <v>0.05</v>
      </c>
      <c r="N28" s="2269">
        <f>L28*M28</f>
        <v>1.9</v>
      </c>
      <c r="O28" s="1245">
        <v>30</v>
      </c>
      <c r="P28" s="2270">
        <v>0.05</v>
      </c>
      <c r="Q28" s="2269">
        <f>O28*P28</f>
        <v>1.5</v>
      </c>
      <c r="R28" s="1245">
        <v>30</v>
      </c>
      <c r="S28" s="2270">
        <v>0.05</v>
      </c>
      <c r="T28" s="2269">
        <f>R28*S28</f>
        <v>1.5</v>
      </c>
      <c r="U28" s="1245">
        <v>30</v>
      </c>
      <c r="V28" s="2270">
        <v>0.05</v>
      </c>
      <c r="W28" s="2269">
        <f>U28*V28</f>
        <v>1.5</v>
      </c>
      <c r="X28" s="1245">
        <f t="shared" si="0"/>
        <v>-0.4</v>
      </c>
      <c r="Y28" s="1245">
        <f t="shared" si="1"/>
        <v>78.900000000000006</v>
      </c>
      <c r="Z28" s="2282"/>
    </row>
    <row r="29" spans="1:27" s="596" customFormat="1" ht="38.25" hidden="1" x14ac:dyDescent="0.2">
      <c r="A29" s="595"/>
      <c r="B29" s="1206" t="s">
        <v>2053</v>
      </c>
      <c r="C29" s="2283"/>
      <c r="D29" s="595" t="s">
        <v>1444</v>
      </c>
      <c r="E29" s="1207"/>
      <c r="F29" s="1208"/>
      <c r="G29" s="1208"/>
      <c r="H29" s="1208">
        <f>H30+H34+H37+H41+H42</f>
        <v>21.1</v>
      </c>
      <c r="I29" s="1208"/>
      <c r="J29" s="1208"/>
      <c r="K29" s="1208">
        <f>K30+K34+K37+K41+K42</f>
        <v>19.8</v>
      </c>
      <c r="L29" s="1208"/>
      <c r="M29" s="1208"/>
      <c r="N29" s="1208">
        <f>N30+N34+N37+N41+N42</f>
        <v>19.8</v>
      </c>
      <c r="O29" s="1208"/>
      <c r="P29" s="1208"/>
      <c r="Q29" s="1208">
        <f>Q30+Q34+Q37+Q41+Q42</f>
        <v>19.399999999999999</v>
      </c>
      <c r="R29" s="1208"/>
      <c r="S29" s="1208"/>
      <c r="T29" s="1208">
        <f>T30+T34+T37+T41+T42</f>
        <v>19.399999999999999</v>
      </c>
      <c r="U29" s="1208"/>
      <c r="V29" s="1208"/>
      <c r="W29" s="1208">
        <f>W30+W34+W37+W41+W42</f>
        <v>19.399999999999999</v>
      </c>
      <c r="X29" s="1208">
        <f t="shared" si="0"/>
        <v>-0.4</v>
      </c>
      <c r="Y29" s="1208">
        <f t="shared" si="1"/>
        <v>98</v>
      </c>
      <c r="Z29" s="1209"/>
    </row>
    <row r="30" spans="1:27" s="492" customFormat="1" ht="12.75" hidden="1" x14ac:dyDescent="0.2">
      <c r="A30" s="1240"/>
      <c r="B30" s="550" t="s">
        <v>1395</v>
      </c>
      <c r="C30" s="494">
        <v>955</v>
      </c>
      <c r="D30" s="932"/>
      <c r="E30" s="1210"/>
      <c r="F30" s="493"/>
      <c r="G30" s="493"/>
      <c r="H30" s="493">
        <f>H31+H32+H33</f>
        <v>7.1</v>
      </c>
      <c r="I30" s="493"/>
      <c r="J30" s="493"/>
      <c r="K30" s="2284">
        <f>K31+K32+K33</f>
        <v>7.4</v>
      </c>
      <c r="L30" s="493"/>
      <c r="M30" s="493"/>
      <c r="N30" s="2284">
        <f>N31+N32+N33</f>
        <v>7.4</v>
      </c>
      <c r="O30" s="2284"/>
      <c r="P30" s="2284"/>
      <c r="Q30" s="2284">
        <f>Q31+Q32+Q33</f>
        <v>7.4</v>
      </c>
      <c r="R30" s="2284"/>
      <c r="S30" s="2284"/>
      <c r="T30" s="2284">
        <f>T31+T32+T33</f>
        <v>7.4</v>
      </c>
      <c r="U30" s="2284"/>
      <c r="V30" s="2284"/>
      <c r="W30" s="2284">
        <f>W31+W32+W33</f>
        <v>7.4</v>
      </c>
      <c r="X30" s="493">
        <f t="shared" si="0"/>
        <v>0</v>
      </c>
      <c r="Y30" s="493">
        <f t="shared" si="1"/>
        <v>100</v>
      </c>
      <c r="Z30" s="867"/>
      <c r="AA30" s="492" t="s">
        <v>1665</v>
      </c>
    </row>
    <row r="31" spans="1:27" s="498" customFormat="1" ht="12.75" hidden="1" x14ac:dyDescent="0.2">
      <c r="A31" s="962"/>
      <c r="B31" s="551" t="s">
        <v>1836</v>
      </c>
      <c r="C31" s="494"/>
      <c r="D31" s="903"/>
      <c r="E31" s="1211" t="s">
        <v>318</v>
      </c>
      <c r="F31" s="1245">
        <v>1</v>
      </c>
      <c r="G31" s="1245">
        <v>2.2999999999999998</v>
      </c>
      <c r="H31" s="1245">
        <f>F31*G31</f>
        <v>2.2999999999999998</v>
      </c>
      <c r="I31" s="1245">
        <v>1</v>
      </c>
      <c r="J31" s="1245">
        <v>2.2999999999999998</v>
      </c>
      <c r="K31" s="2269">
        <f>I31*J31</f>
        <v>2.2999999999999998</v>
      </c>
      <c r="L31" s="1245">
        <v>1</v>
      </c>
      <c r="M31" s="1245">
        <v>2.2999999999999998</v>
      </c>
      <c r="N31" s="2269">
        <f>L31*M31</f>
        <v>2.2999999999999998</v>
      </c>
      <c r="O31" s="1245">
        <v>1</v>
      </c>
      <c r="P31" s="1245">
        <v>2.2999999999999998</v>
      </c>
      <c r="Q31" s="2269">
        <f>O31*P31</f>
        <v>2.2999999999999998</v>
      </c>
      <c r="R31" s="1245">
        <v>1</v>
      </c>
      <c r="S31" s="1245">
        <v>2.2999999999999998</v>
      </c>
      <c r="T31" s="2269">
        <f>R31*S31</f>
        <v>2.2999999999999998</v>
      </c>
      <c r="U31" s="1245">
        <v>1</v>
      </c>
      <c r="V31" s="1245">
        <v>2.2999999999999998</v>
      </c>
      <c r="W31" s="2269">
        <f>U31*V31</f>
        <v>2.2999999999999998</v>
      </c>
      <c r="X31" s="1245">
        <f t="shared" si="0"/>
        <v>0</v>
      </c>
      <c r="Y31" s="1245">
        <f t="shared" si="1"/>
        <v>100</v>
      </c>
      <c r="Z31" s="867"/>
    </row>
    <row r="32" spans="1:27" s="498" customFormat="1" ht="12.75" hidden="1" x14ac:dyDescent="0.2">
      <c r="A32" s="962"/>
      <c r="B32" s="551" t="s">
        <v>1519</v>
      </c>
      <c r="C32" s="494"/>
      <c r="D32" s="903"/>
      <c r="E32" s="1211" t="s">
        <v>318</v>
      </c>
      <c r="F32" s="1245">
        <v>1</v>
      </c>
      <c r="G32" s="1245">
        <v>3.5</v>
      </c>
      <c r="H32" s="1245">
        <f>F32*G32</f>
        <v>3.5</v>
      </c>
      <c r="I32" s="1245">
        <v>1</v>
      </c>
      <c r="J32" s="1245">
        <v>3.5</v>
      </c>
      <c r="K32" s="2269">
        <f>I32*J32</f>
        <v>3.5</v>
      </c>
      <c r="L32" s="1245">
        <v>1</v>
      </c>
      <c r="M32" s="1245">
        <v>3.5</v>
      </c>
      <c r="N32" s="2269">
        <f>L32*M32</f>
        <v>3.5</v>
      </c>
      <c r="O32" s="1245">
        <v>1</v>
      </c>
      <c r="P32" s="795">
        <v>3.45</v>
      </c>
      <c r="Q32" s="2285">
        <f>O32*P32</f>
        <v>3.45</v>
      </c>
      <c r="R32" s="1245">
        <v>1</v>
      </c>
      <c r="S32" s="1245">
        <v>3.5</v>
      </c>
      <c r="T32" s="2269">
        <f>R32*S32</f>
        <v>3.5</v>
      </c>
      <c r="U32" s="1245">
        <v>1</v>
      </c>
      <c r="V32" s="1245">
        <v>3.5</v>
      </c>
      <c r="W32" s="2269">
        <f>U32*V32</f>
        <v>3.5</v>
      </c>
      <c r="X32" s="1245">
        <f t="shared" si="0"/>
        <v>0</v>
      </c>
      <c r="Y32" s="1245">
        <f t="shared" si="1"/>
        <v>98.6</v>
      </c>
      <c r="Z32" s="867"/>
    </row>
    <row r="33" spans="1:32" s="498" customFormat="1" ht="12.75" hidden="1" x14ac:dyDescent="0.2">
      <c r="A33" s="962"/>
      <c r="B33" s="1212" t="s">
        <v>1396</v>
      </c>
      <c r="C33" s="494"/>
      <c r="D33" s="903"/>
      <c r="E33" s="1252"/>
      <c r="F33" s="1245"/>
      <c r="G33" s="1245"/>
      <c r="H33" s="1245">
        <v>1.3</v>
      </c>
      <c r="I33" s="1245"/>
      <c r="J33" s="1245"/>
      <c r="K33" s="2286">
        <f>SUM(K31:K32)*0.271</f>
        <v>1.6</v>
      </c>
      <c r="L33" s="1245"/>
      <c r="M33" s="1245"/>
      <c r="N33" s="2286">
        <f>SUM(N31:N32)*0.271</f>
        <v>1.6</v>
      </c>
      <c r="O33" s="1245"/>
      <c r="P33" s="1245"/>
      <c r="Q33" s="2286">
        <f>SUM(Q31:Q32)*0.271</f>
        <v>1.6</v>
      </c>
      <c r="R33" s="1245"/>
      <c r="S33" s="1245"/>
      <c r="T33" s="2286">
        <f>SUM(T31:T32)*0.271</f>
        <v>1.6</v>
      </c>
      <c r="U33" s="1245"/>
      <c r="V33" s="1245"/>
      <c r="W33" s="2286">
        <f>SUM(W31:W32)*0.271</f>
        <v>1.6</v>
      </c>
      <c r="X33" s="1245">
        <f t="shared" si="0"/>
        <v>0</v>
      </c>
      <c r="Y33" s="1245">
        <f t="shared" si="1"/>
        <v>100</v>
      </c>
      <c r="Z33" s="867"/>
    </row>
    <row r="34" spans="1:32" s="492" customFormat="1" ht="25.5" x14ac:dyDescent="0.2">
      <c r="A34" s="1240"/>
      <c r="B34" s="2272" t="s">
        <v>1842</v>
      </c>
      <c r="C34" s="530">
        <v>981</v>
      </c>
      <c r="D34" s="932"/>
      <c r="E34" s="1210"/>
      <c r="F34" s="493"/>
      <c r="G34" s="493"/>
      <c r="H34" s="493">
        <f>H35+H36</f>
        <v>3</v>
      </c>
      <c r="I34" s="493"/>
      <c r="J34" s="493"/>
      <c r="K34" s="2279">
        <f>K35+K36</f>
        <v>1</v>
      </c>
      <c r="L34" s="493"/>
      <c r="M34" s="493"/>
      <c r="N34" s="2279">
        <f>N35+N36</f>
        <v>1</v>
      </c>
      <c r="O34" s="2279"/>
      <c r="P34" s="2279"/>
      <c r="Q34" s="2279">
        <f>Q35+Q36</f>
        <v>1</v>
      </c>
      <c r="R34" s="2279"/>
      <c r="S34" s="2279"/>
      <c r="T34" s="2279">
        <f>T35+T36</f>
        <v>1</v>
      </c>
      <c r="U34" s="2279"/>
      <c r="V34" s="2279"/>
      <c r="W34" s="2279">
        <f>W35+W36</f>
        <v>1</v>
      </c>
      <c r="X34" s="493">
        <f t="shared" si="0"/>
        <v>0</v>
      </c>
      <c r="Y34" s="493">
        <f t="shared" si="1"/>
        <v>100</v>
      </c>
      <c r="Z34" s="866"/>
      <c r="AA34" s="492" t="s">
        <v>1665</v>
      </c>
    </row>
    <row r="35" spans="1:32" s="498" customFormat="1" ht="21.6" hidden="1" customHeight="1" x14ac:dyDescent="0.2">
      <c r="A35" s="962"/>
      <c r="B35" s="551" t="s">
        <v>2054</v>
      </c>
      <c r="C35" s="494"/>
      <c r="D35" s="903"/>
      <c r="E35" s="2273" t="s">
        <v>227</v>
      </c>
      <c r="F35" s="1245">
        <v>21</v>
      </c>
      <c r="G35" s="1245">
        <v>0.1</v>
      </c>
      <c r="H35" s="1245">
        <f>F35*G35</f>
        <v>2.1</v>
      </c>
      <c r="I35" s="1245">
        <v>10</v>
      </c>
      <c r="J35" s="795">
        <v>0.1</v>
      </c>
      <c r="K35" s="2269">
        <f>I35*J35</f>
        <v>1</v>
      </c>
      <c r="L35" s="1245">
        <v>10</v>
      </c>
      <c r="M35" s="795">
        <v>0.1</v>
      </c>
      <c r="N35" s="2269">
        <f>L35*M35</f>
        <v>1</v>
      </c>
      <c r="O35" s="1245">
        <v>10</v>
      </c>
      <c r="P35" s="795">
        <v>0.1</v>
      </c>
      <c r="Q35" s="2269">
        <f>O35*P35</f>
        <v>1</v>
      </c>
      <c r="R35" s="1245">
        <v>10</v>
      </c>
      <c r="S35" s="795">
        <v>0.1</v>
      </c>
      <c r="T35" s="2269">
        <f>R35*S35</f>
        <v>1</v>
      </c>
      <c r="U35" s="1245">
        <v>10</v>
      </c>
      <c r="V35" s="795">
        <v>0.1</v>
      </c>
      <c r="W35" s="2269">
        <f>U35*V35</f>
        <v>1</v>
      </c>
      <c r="X35" s="1245">
        <f t="shared" si="0"/>
        <v>0</v>
      </c>
      <c r="Y35" s="1245">
        <f t="shared" si="1"/>
        <v>100</v>
      </c>
      <c r="Z35" s="2274"/>
    </row>
    <row r="36" spans="1:32" s="498" customFormat="1" ht="12.75" hidden="1" x14ac:dyDescent="0.2">
      <c r="A36" s="962"/>
      <c r="B36" s="551" t="s">
        <v>2055</v>
      </c>
      <c r="C36" s="494"/>
      <c r="D36" s="903"/>
      <c r="E36" s="2273" t="s">
        <v>227</v>
      </c>
      <c r="F36" s="1245">
        <v>3</v>
      </c>
      <c r="G36" s="1245">
        <v>0.3</v>
      </c>
      <c r="H36" s="1245">
        <f>F36*G36</f>
        <v>0.9</v>
      </c>
      <c r="I36" s="1245"/>
      <c r="J36" s="1245"/>
      <c r="K36" s="2269">
        <f>I36*J36</f>
        <v>0</v>
      </c>
      <c r="L36" s="1245"/>
      <c r="M36" s="1245"/>
      <c r="N36" s="2269">
        <f>L36*M36</f>
        <v>0</v>
      </c>
      <c r="O36" s="1245"/>
      <c r="P36" s="1245"/>
      <c r="Q36" s="2269"/>
      <c r="R36" s="1245"/>
      <c r="S36" s="1245"/>
      <c r="T36" s="2269"/>
      <c r="U36" s="1245"/>
      <c r="V36" s="1245"/>
      <c r="W36" s="2269"/>
      <c r="X36" s="1245">
        <f t="shared" si="0"/>
        <v>0</v>
      </c>
      <c r="Y36" s="1245" t="str">
        <f t="shared" si="1"/>
        <v>-</v>
      </c>
      <c r="Z36" s="867"/>
    </row>
    <row r="37" spans="1:32" s="492" customFormat="1" ht="12.75" x14ac:dyDescent="0.2">
      <c r="A37" s="1240"/>
      <c r="B37" s="550" t="s">
        <v>1397</v>
      </c>
      <c r="C37" s="529" t="s">
        <v>797</v>
      </c>
      <c r="D37" s="932"/>
      <c r="E37" s="1210"/>
      <c r="F37" s="493"/>
      <c r="G37" s="493"/>
      <c r="H37" s="493">
        <f>SUM(H38:H40)</f>
        <v>5</v>
      </c>
      <c r="I37" s="493"/>
      <c r="J37" s="493"/>
      <c r="K37" s="2279">
        <f>SUM(K38:K39)</f>
        <v>5.4</v>
      </c>
      <c r="L37" s="493"/>
      <c r="M37" s="493"/>
      <c r="N37" s="2279">
        <f>SUM(N38:N39)</f>
        <v>5.4</v>
      </c>
      <c r="O37" s="2279"/>
      <c r="P37" s="2279"/>
      <c r="Q37" s="2279">
        <f>SUM(Q38:Q40)</f>
        <v>5</v>
      </c>
      <c r="R37" s="2279"/>
      <c r="S37" s="2279"/>
      <c r="T37" s="2279">
        <f>SUM(T38:T40)</f>
        <v>5</v>
      </c>
      <c r="U37" s="2279"/>
      <c r="V37" s="2279"/>
      <c r="W37" s="2279">
        <f>SUM(W38:W40)</f>
        <v>5</v>
      </c>
      <c r="X37" s="493">
        <f t="shared" si="0"/>
        <v>-0.4</v>
      </c>
      <c r="Y37" s="493">
        <f t="shared" si="1"/>
        <v>92.6</v>
      </c>
      <c r="Z37" s="866"/>
      <c r="AA37" s="492" t="s">
        <v>1665</v>
      </c>
    </row>
    <row r="38" spans="1:32" s="498" customFormat="1" ht="12.75" hidden="1" x14ac:dyDescent="0.2">
      <c r="A38" s="962"/>
      <c r="B38" s="551" t="s">
        <v>2056</v>
      </c>
      <c r="C38" s="494"/>
      <c r="D38" s="903"/>
      <c r="E38" s="1252" t="s">
        <v>1240</v>
      </c>
      <c r="F38" s="1245">
        <v>10</v>
      </c>
      <c r="G38" s="1245">
        <v>0.2</v>
      </c>
      <c r="H38" s="1245">
        <f>F38*G38</f>
        <v>2</v>
      </c>
      <c r="I38" s="1245">
        <v>12</v>
      </c>
      <c r="J38" s="1245">
        <v>0.2</v>
      </c>
      <c r="K38" s="2269">
        <f>I38*J38</f>
        <v>2.4</v>
      </c>
      <c r="L38" s="1245">
        <v>12</v>
      </c>
      <c r="M38" s="1245">
        <v>0.2</v>
      </c>
      <c r="N38" s="2269">
        <f>L38*M38</f>
        <v>2.4</v>
      </c>
      <c r="O38" s="1245"/>
      <c r="P38" s="1245"/>
      <c r="Q38" s="2269"/>
      <c r="R38" s="1245"/>
      <c r="S38" s="1245"/>
      <c r="T38" s="2269"/>
      <c r="U38" s="1245"/>
      <c r="V38" s="1245"/>
      <c r="W38" s="2269"/>
      <c r="X38" s="1245">
        <f t="shared" si="0"/>
        <v>-2.4</v>
      </c>
      <c r="Y38" s="1245">
        <f t="shared" si="1"/>
        <v>0</v>
      </c>
      <c r="Z38" s="2280"/>
    </row>
    <row r="39" spans="1:32" s="498" customFormat="1" ht="12.75" hidden="1" x14ac:dyDescent="0.2">
      <c r="A39" s="962"/>
      <c r="B39" s="551" t="s">
        <v>2057</v>
      </c>
      <c r="C39" s="494"/>
      <c r="D39" s="903"/>
      <c r="E39" s="1252" t="s">
        <v>227</v>
      </c>
      <c r="F39" s="1245"/>
      <c r="G39" s="1245"/>
      <c r="H39" s="1245">
        <f>F39*G39</f>
        <v>0</v>
      </c>
      <c r="I39" s="1245"/>
      <c r="J39" s="1245"/>
      <c r="K39" s="2269">
        <v>3</v>
      </c>
      <c r="L39" s="1245"/>
      <c r="M39" s="1245"/>
      <c r="N39" s="2269">
        <v>3</v>
      </c>
      <c r="O39" s="1245">
        <v>1</v>
      </c>
      <c r="P39" s="1245">
        <v>2</v>
      </c>
      <c r="Q39" s="2269">
        <f>O39*P39</f>
        <v>2</v>
      </c>
      <c r="R39" s="1245">
        <v>1</v>
      </c>
      <c r="S39" s="1245">
        <v>2</v>
      </c>
      <c r="T39" s="2269">
        <f>R39*S39</f>
        <v>2</v>
      </c>
      <c r="U39" s="1245">
        <v>1</v>
      </c>
      <c r="V39" s="1245">
        <v>2</v>
      </c>
      <c r="W39" s="2269">
        <f>U39*V39</f>
        <v>2</v>
      </c>
      <c r="X39" s="1245">
        <f t="shared" si="0"/>
        <v>-1</v>
      </c>
      <c r="Y39" s="1245">
        <f t="shared" si="1"/>
        <v>66.7</v>
      </c>
      <c r="Z39" s="2281"/>
    </row>
    <row r="40" spans="1:32" s="498" customFormat="1" ht="12.75" hidden="1" x14ac:dyDescent="0.2">
      <c r="A40" s="962"/>
      <c r="B40" s="551" t="s">
        <v>2058</v>
      </c>
      <c r="C40" s="494"/>
      <c r="D40" s="903"/>
      <c r="E40" s="1252" t="s">
        <v>227</v>
      </c>
      <c r="F40" s="1245">
        <v>2</v>
      </c>
      <c r="G40" s="1245">
        <v>1.5</v>
      </c>
      <c r="H40" s="1245">
        <f>F40*G40</f>
        <v>3</v>
      </c>
      <c r="I40" s="1245"/>
      <c r="J40" s="1245"/>
      <c r="K40" s="2269"/>
      <c r="L40" s="1245"/>
      <c r="M40" s="1245"/>
      <c r="N40" s="2269"/>
      <c r="O40" s="1245"/>
      <c r="P40" s="1245"/>
      <c r="Q40" s="2269">
        <v>3</v>
      </c>
      <c r="R40" s="1245"/>
      <c r="S40" s="1245"/>
      <c r="T40" s="2269">
        <v>3</v>
      </c>
      <c r="U40" s="1245"/>
      <c r="V40" s="1245"/>
      <c r="W40" s="2269">
        <v>3</v>
      </c>
      <c r="X40" s="1245">
        <f t="shared" si="0"/>
        <v>3</v>
      </c>
      <c r="Y40" s="1245" t="str">
        <f t="shared" si="1"/>
        <v>-</v>
      </c>
      <c r="Z40" s="2282"/>
    </row>
    <row r="41" spans="1:32" s="492" customFormat="1" ht="12.75" hidden="1" x14ac:dyDescent="0.2">
      <c r="A41" s="1240"/>
      <c r="B41" s="550" t="s">
        <v>2059</v>
      </c>
      <c r="C41" s="530">
        <v>963</v>
      </c>
      <c r="D41" s="932"/>
      <c r="E41" s="2277" t="s">
        <v>227</v>
      </c>
      <c r="F41" s="493">
        <v>10</v>
      </c>
      <c r="G41" s="493">
        <v>0.2</v>
      </c>
      <c r="H41" s="493">
        <f>F41*G41</f>
        <v>2</v>
      </c>
      <c r="I41" s="493">
        <v>10</v>
      </c>
      <c r="J41" s="493">
        <v>0.2</v>
      </c>
      <c r="K41" s="2279">
        <f>I41*J41</f>
        <v>2</v>
      </c>
      <c r="L41" s="493">
        <v>10</v>
      </c>
      <c r="M41" s="493">
        <v>0.2</v>
      </c>
      <c r="N41" s="2279">
        <f>L41*M41</f>
        <v>2</v>
      </c>
      <c r="O41" s="493"/>
      <c r="P41" s="493"/>
      <c r="Q41" s="2279"/>
      <c r="R41" s="493"/>
      <c r="S41" s="493"/>
      <c r="T41" s="2279"/>
      <c r="U41" s="493"/>
      <c r="V41" s="493"/>
      <c r="W41" s="2279"/>
      <c r="X41" s="493">
        <f t="shared" si="0"/>
        <v>-2</v>
      </c>
      <c r="Y41" s="493">
        <f t="shared" si="1"/>
        <v>0</v>
      </c>
      <c r="Z41" s="867"/>
      <c r="AA41" s="492" t="s">
        <v>1665</v>
      </c>
    </row>
    <row r="42" spans="1:32" s="492" customFormat="1" ht="12.75" hidden="1" x14ac:dyDescent="0.2">
      <c r="A42" s="1240"/>
      <c r="B42" s="550" t="s">
        <v>2050</v>
      </c>
      <c r="C42" s="530">
        <v>963</v>
      </c>
      <c r="D42" s="932"/>
      <c r="E42" s="1210"/>
      <c r="F42" s="493"/>
      <c r="G42" s="493"/>
      <c r="H42" s="493">
        <f>H43</f>
        <v>4</v>
      </c>
      <c r="I42" s="2278"/>
      <c r="J42" s="2278"/>
      <c r="K42" s="2279">
        <f>SUM(K43:K44)</f>
        <v>4</v>
      </c>
      <c r="L42" s="2278"/>
      <c r="M42" s="2278"/>
      <c r="N42" s="2279">
        <f>SUM(N43:N44)</f>
        <v>4</v>
      </c>
      <c r="O42" s="2279"/>
      <c r="P42" s="2279"/>
      <c r="Q42" s="2279">
        <f>SUM(Q43:Q44)</f>
        <v>6</v>
      </c>
      <c r="R42" s="2279"/>
      <c r="S42" s="2279"/>
      <c r="T42" s="2279">
        <f>SUM(T43:T44)</f>
        <v>6</v>
      </c>
      <c r="U42" s="2279"/>
      <c r="V42" s="2279"/>
      <c r="W42" s="2279">
        <f>SUM(W43:W44)</f>
        <v>6</v>
      </c>
      <c r="X42" s="493">
        <f t="shared" si="0"/>
        <v>2</v>
      </c>
      <c r="Y42" s="493">
        <f t="shared" si="1"/>
        <v>150</v>
      </c>
      <c r="Z42" s="866"/>
      <c r="AA42" s="492" t="s">
        <v>1665</v>
      </c>
    </row>
    <row r="43" spans="1:32" s="498" customFormat="1" ht="12.75" hidden="1" x14ac:dyDescent="0.2">
      <c r="A43" s="962"/>
      <c r="B43" s="551" t="s">
        <v>2051</v>
      </c>
      <c r="C43" s="494"/>
      <c r="D43" s="903"/>
      <c r="E43" s="2273" t="s">
        <v>227</v>
      </c>
      <c r="F43" s="1245">
        <v>40</v>
      </c>
      <c r="G43" s="1245">
        <v>0.1</v>
      </c>
      <c r="H43" s="1245">
        <f>F43*G43</f>
        <v>4</v>
      </c>
      <c r="I43" s="2270">
        <v>6</v>
      </c>
      <c r="J43" s="2270">
        <v>0.35</v>
      </c>
      <c r="K43" s="2269">
        <f>I43*J43</f>
        <v>2.1</v>
      </c>
      <c r="L43" s="2270">
        <v>6</v>
      </c>
      <c r="M43" s="2270">
        <v>0.35</v>
      </c>
      <c r="N43" s="2269">
        <f>L43*M43</f>
        <v>2.1</v>
      </c>
      <c r="O43" s="1245">
        <v>10</v>
      </c>
      <c r="P43" s="2270">
        <v>0.35</v>
      </c>
      <c r="Q43" s="2269">
        <f>O43*P43</f>
        <v>3.5</v>
      </c>
      <c r="R43" s="1245">
        <v>10</v>
      </c>
      <c r="S43" s="2270">
        <v>0.35</v>
      </c>
      <c r="T43" s="2269">
        <f>R43*S43</f>
        <v>3.5</v>
      </c>
      <c r="U43" s="1245">
        <v>10</v>
      </c>
      <c r="V43" s="2270">
        <v>0.35</v>
      </c>
      <c r="W43" s="2269">
        <f>U43*V43</f>
        <v>3.5</v>
      </c>
      <c r="X43" s="1245">
        <f t="shared" si="0"/>
        <v>1.4</v>
      </c>
      <c r="Y43" s="1245">
        <f t="shared" si="1"/>
        <v>166.7</v>
      </c>
      <c r="Z43" s="2280"/>
    </row>
    <row r="44" spans="1:32" s="498" customFormat="1" ht="12.75" hidden="1" x14ac:dyDescent="0.2">
      <c r="A44" s="962"/>
      <c r="B44" s="551" t="s">
        <v>2052</v>
      </c>
      <c r="C44" s="494"/>
      <c r="D44" s="903"/>
      <c r="E44" s="2273" t="s">
        <v>227</v>
      </c>
      <c r="F44" s="1245"/>
      <c r="G44" s="1245"/>
      <c r="H44" s="1245"/>
      <c r="I44" s="1245">
        <v>38</v>
      </c>
      <c r="J44" s="2270">
        <v>0.05</v>
      </c>
      <c r="K44" s="2269">
        <f>I44*J44</f>
        <v>1.9</v>
      </c>
      <c r="L44" s="1245">
        <v>38</v>
      </c>
      <c r="M44" s="2270">
        <v>0.05</v>
      </c>
      <c r="N44" s="2269">
        <f>L44*M44</f>
        <v>1.9</v>
      </c>
      <c r="O44" s="1245">
        <v>50</v>
      </c>
      <c r="P44" s="2270">
        <v>0.05</v>
      </c>
      <c r="Q44" s="2269">
        <f>O44*P44</f>
        <v>2.5</v>
      </c>
      <c r="R44" s="1245">
        <v>50</v>
      </c>
      <c r="S44" s="2270">
        <v>0.05</v>
      </c>
      <c r="T44" s="2269">
        <f>R44*S44</f>
        <v>2.5</v>
      </c>
      <c r="U44" s="1245">
        <v>50</v>
      </c>
      <c r="V44" s="2270">
        <v>0.05</v>
      </c>
      <c r="W44" s="2269">
        <f>U44*V44</f>
        <v>2.5</v>
      </c>
      <c r="X44" s="1245">
        <f t="shared" si="0"/>
        <v>0.6</v>
      </c>
      <c r="Y44" s="1245">
        <f t="shared" si="1"/>
        <v>131.6</v>
      </c>
      <c r="Z44" s="2282"/>
    </row>
    <row r="45" spans="1:32" s="597" customFormat="1" ht="12.75" x14ac:dyDescent="0.2">
      <c r="A45" s="603"/>
      <c r="B45" s="599"/>
      <c r="C45" s="599"/>
      <c r="D45" s="599"/>
      <c r="E45" s="599"/>
      <c r="F45" s="598"/>
      <c r="G45" s="598"/>
      <c r="H45" s="598"/>
      <c r="I45" s="599"/>
      <c r="J45" s="599"/>
      <c r="K45" s="598"/>
      <c r="L45" s="599"/>
      <c r="M45" s="599"/>
      <c r="N45" s="598"/>
      <c r="O45" s="598"/>
      <c r="P45" s="598"/>
      <c r="Q45" s="598"/>
      <c r="R45" s="598"/>
      <c r="S45" s="598"/>
      <c r="T45" s="598"/>
      <c r="U45" s="599"/>
      <c r="V45" s="599"/>
      <c r="W45" s="599"/>
      <c r="X45" s="599"/>
      <c r="Y45" s="599"/>
    </row>
    <row r="46" spans="1:32" s="933" customFormat="1" ht="12.75" x14ac:dyDescent="0.2">
      <c r="A46" s="601"/>
      <c r="B46" s="601"/>
      <c r="C46" s="1032" t="s">
        <v>1665</v>
      </c>
      <c r="D46" s="1032"/>
      <c r="E46" s="1032"/>
      <c r="F46" s="2287"/>
      <c r="G46" s="2287"/>
      <c r="H46" s="2287">
        <f>H47+H48+H49</f>
        <v>50.1</v>
      </c>
      <c r="I46" s="2287">
        <f t="shared" ref="I46:W46" si="3">I47+I48+I49</f>
        <v>0</v>
      </c>
      <c r="J46" s="2287">
        <f t="shared" si="3"/>
        <v>0</v>
      </c>
      <c r="K46" s="2287">
        <f t="shared" si="3"/>
        <v>46.2</v>
      </c>
      <c r="L46" s="2287">
        <f t="shared" si="3"/>
        <v>0</v>
      </c>
      <c r="M46" s="2287">
        <f t="shared" si="3"/>
        <v>0</v>
      </c>
      <c r="N46" s="2287">
        <f t="shared" si="3"/>
        <v>46.2</v>
      </c>
      <c r="O46" s="2287">
        <f t="shared" si="3"/>
        <v>0</v>
      </c>
      <c r="P46" s="2287">
        <f t="shared" si="3"/>
        <v>0</v>
      </c>
      <c r="Q46" s="2287">
        <f t="shared" si="3"/>
        <v>45.7</v>
      </c>
      <c r="R46" s="2287">
        <f t="shared" si="3"/>
        <v>0</v>
      </c>
      <c r="S46" s="2287">
        <f t="shared" si="3"/>
        <v>0</v>
      </c>
      <c r="T46" s="2287">
        <f t="shared" si="3"/>
        <v>45.7</v>
      </c>
      <c r="U46" s="2287">
        <f t="shared" si="3"/>
        <v>0</v>
      </c>
      <c r="V46" s="2287">
        <f t="shared" si="3"/>
        <v>0</v>
      </c>
      <c r="W46" s="2287">
        <f t="shared" si="3"/>
        <v>45.7</v>
      </c>
      <c r="X46" s="602"/>
      <c r="Y46" s="602"/>
      <c r="AA46" s="934"/>
      <c r="AB46" s="934"/>
      <c r="AC46" s="934"/>
      <c r="AD46" s="934"/>
      <c r="AE46" s="934"/>
      <c r="AF46" s="934"/>
    </row>
    <row r="47" spans="1:32" s="1217" customFormat="1" ht="12.75" x14ac:dyDescent="0.2">
      <c r="A47" s="1213"/>
      <c r="B47" s="1213"/>
      <c r="C47" s="2288">
        <v>955</v>
      </c>
      <c r="D47" s="1214"/>
      <c r="E47" s="1214"/>
      <c r="F47" s="1215"/>
      <c r="G47" s="1215"/>
      <c r="H47" s="1215">
        <f>H13+H30</f>
        <v>20.399999999999999</v>
      </c>
      <c r="I47" s="1215"/>
      <c r="J47" s="1215"/>
      <c r="K47" s="1215">
        <f>K13+K30</f>
        <v>20.7</v>
      </c>
      <c r="L47" s="1215"/>
      <c r="M47" s="1215"/>
      <c r="N47" s="1215">
        <f t="shared" ref="N47:W47" si="4">N13+N30</f>
        <v>20.7</v>
      </c>
      <c r="O47" s="1215">
        <f t="shared" si="4"/>
        <v>0</v>
      </c>
      <c r="P47" s="1215">
        <f t="shared" si="4"/>
        <v>0</v>
      </c>
      <c r="Q47" s="2289">
        <f t="shared" si="4"/>
        <v>20.6</v>
      </c>
      <c r="R47" s="1215">
        <f t="shared" si="4"/>
        <v>0</v>
      </c>
      <c r="S47" s="1215">
        <f t="shared" si="4"/>
        <v>0</v>
      </c>
      <c r="T47" s="1215">
        <f t="shared" si="4"/>
        <v>20.6</v>
      </c>
      <c r="U47" s="1215">
        <f t="shared" si="4"/>
        <v>0</v>
      </c>
      <c r="V47" s="1215">
        <f t="shared" si="4"/>
        <v>0</v>
      </c>
      <c r="W47" s="1215">
        <f t="shared" si="4"/>
        <v>20.6</v>
      </c>
      <c r="X47" s="1216"/>
      <c r="Y47" s="1216"/>
      <c r="AA47" s="1218"/>
      <c r="AB47" s="1218"/>
      <c r="AC47" s="1218"/>
      <c r="AD47" s="1218"/>
      <c r="AE47" s="1218"/>
      <c r="AF47" s="1218"/>
    </row>
    <row r="48" spans="1:32" s="1217" customFormat="1" ht="12.75" x14ac:dyDescent="0.2">
      <c r="A48" s="1213"/>
      <c r="B48" s="1213"/>
      <c r="C48" s="2288">
        <v>963</v>
      </c>
      <c r="D48" s="1214"/>
      <c r="E48" s="1214"/>
      <c r="F48" s="1215"/>
      <c r="G48" s="1215"/>
      <c r="H48" s="1215">
        <f>H25+H26+H41+H42</f>
        <v>14.4</v>
      </c>
      <c r="I48" s="1215"/>
      <c r="J48" s="1215"/>
      <c r="K48" s="1215">
        <f>K25+K26+K41+K42</f>
        <v>14.4</v>
      </c>
      <c r="L48" s="1215"/>
      <c r="M48" s="1215"/>
      <c r="N48" s="1215">
        <f t="shared" ref="N48:W48" si="5">N25+N26+N41+N42</f>
        <v>14.4</v>
      </c>
      <c r="O48" s="1215">
        <f t="shared" si="5"/>
        <v>0</v>
      </c>
      <c r="P48" s="1215">
        <f t="shared" si="5"/>
        <v>0</v>
      </c>
      <c r="Q48" s="1215">
        <f t="shared" si="5"/>
        <v>14.5</v>
      </c>
      <c r="R48" s="1215">
        <f t="shared" si="5"/>
        <v>0</v>
      </c>
      <c r="S48" s="1215">
        <f t="shared" si="5"/>
        <v>0</v>
      </c>
      <c r="T48" s="1215">
        <f t="shared" si="5"/>
        <v>14.5</v>
      </c>
      <c r="U48" s="1215">
        <f t="shared" si="5"/>
        <v>0</v>
      </c>
      <c r="V48" s="1215">
        <f t="shared" si="5"/>
        <v>0</v>
      </c>
      <c r="W48" s="1215">
        <f t="shared" si="5"/>
        <v>14.5</v>
      </c>
      <c r="X48" s="1216"/>
      <c r="Y48" s="1216"/>
      <c r="AA48" s="1218"/>
      <c r="AB48" s="1218"/>
      <c r="AC48" s="1218"/>
      <c r="AD48" s="1218"/>
      <c r="AE48" s="1218"/>
      <c r="AF48" s="1218"/>
    </row>
    <row r="49" spans="1:32" s="2539" customFormat="1" ht="12.75" x14ac:dyDescent="0.2">
      <c r="A49" s="2535"/>
      <c r="B49" s="2535"/>
      <c r="C49" s="2536">
        <v>981</v>
      </c>
      <c r="D49" s="2537"/>
      <c r="E49" s="2537"/>
      <c r="F49" s="1215"/>
      <c r="G49" s="1215"/>
      <c r="H49" s="1215">
        <f t="shared" ref="H49:W49" si="6">H19+H22+H34+H37</f>
        <v>15.3</v>
      </c>
      <c r="I49" s="1215">
        <f t="shared" si="6"/>
        <v>0</v>
      </c>
      <c r="J49" s="1215">
        <f t="shared" si="6"/>
        <v>0</v>
      </c>
      <c r="K49" s="1215">
        <f t="shared" si="6"/>
        <v>11.1</v>
      </c>
      <c r="L49" s="1215">
        <f t="shared" si="6"/>
        <v>0</v>
      </c>
      <c r="M49" s="1215">
        <f t="shared" si="6"/>
        <v>0</v>
      </c>
      <c r="N49" s="1215">
        <f t="shared" si="6"/>
        <v>11.1</v>
      </c>
      <c r="O49" s="2538">
        <f t="shared" si="6"/>
        <v>0</v>
      </c>
      <c r="P49" s="2538">
        <f t="shared" si="6"/>
        <v>0</v>
      </c>
      <c r="Q49" s="2671">
        <f t="shared" si="6"/>
        <v>10.6</v>
      </c>
      <c r="R49" s="2538">
        <f t="shared" si="6"/>
        <v>0</v>
      </c>
      <c r="S49" s="2538">
        <f t="shared" si="6"/>
        <v>0</v>
      </c>
      <c r="T49" s="2538">
        <f t="shared" si="6"/>
        <v>10.6</v>
      </c>
      <c r="U49" s="2538">
        <f t="shared" si="6"/>
        <v>0</v>
      </c>
      <c r="V49" s="2538">
        <f t="shared" si="6"/>
        <v>0</v>
      </c>
      <c r="W49" s="2538">
        <f t="shared" si="6"/>
        <v>10.6</v>
      </c>
      <c r="X49" s="2535"/>
      <c r="Y49" s="2535"/>
    </row>
    <row r="50" spans="1:32" s="591" customFormat="1" x14ac:dyDescent="0.25">
      <c r="A50" s="1035"/>
      <c r="B50" s="587"/>
      <c r="C50" s="587"/>
      <c r="D50" s="587"/>
      <c r="E50" s="587"/>
      <c r="F50" s="598"/>
      <c r="G50" s="598"/>
      <c r="H50" s="598"/>
      <c r="I50" s="599"/>
      <c r="J50" s="599"/>
      <c r="K50" s="598"/>
      <c r="L50" s="599"/>
      <c r="M50" s="599"/>
      <c r="N50" s="598"/>
      <c r="O50" s="598"/>
      <c r="P50" s="598"/>
      <c r="Q50" s="598"/>
      <c r="R50" s="598"/>
      <c r="S50" s="598"/>
      <c r="T50" s="598"/>
      <c r="U50" s="599"/>
      <c r="V50" s="599"/>
      <c r="W50" s="599"/>
      <c r="X50" s="599"/>
      <c r="Y50" s="599"/>
      <c r="AA50" s="592"/>
      <c r="AB50" s="592"/>
      <c r="AC50" s="592"/>
      <c r="AD50" s="592"/>
      <c r="AE50" s="592"/>
      <c r="AF50" s="592"/>
    </row>
    <row r="51" spans="1:32" s="591" customFormat="1" x14ac:dyDescent="0.25">
      <c r="A51" s="1035"/>
      <c r="B51" s="587"/>
      <c r="C51" s="587"/>
      <c r="D51" s="587"/>
      <c r="E51" s="587"/>
      <c r="F51" s="598"/>
      <c r="G51" s="598"/>
      <c r="H51" s="598"/>
      <c r="I51" s="599"/>
      <c r="J51" s="599"/>
      <c r="K51" s="598"/>
      <c r="L51" s="599"/>
      <c r="M51" s="599"/>
      <c r="N51" s="598"/>
      <c r="O51" s="598"/>
      <c r="P51" s="598"/>
      <c r="Q51" s="598"/>
      <c r="R51" s="598"/>
      <c r="S51" s="598"/>
      <c r="T51" s="598"/>
      <c r="U51" s="599"/>
      <c r="V51" s="599"/>
      <c r="W51" s="599"/>
      <c r="X51" s="599"/>
      <c r="Y51" s="599"/>
      <c r="AA51" s="592"/>
      <c r="AB51" s="592"/>
      <c r="AC51" s="592"/>
      <c r="AD51" s="592"/>
      <c r="AE51" s="592"/>
      <c r="AF51" s="592"/>
    </row>
    <row r="52" spans="1:32" s="591" customFormat="1" x14ac:dyDescent="0.25">
      <c r="A52" s="1035"/>
      <c r="B52" s="587"/>
      <c r="C52" s="587"/>
      <c r="D52" s="587"/>
      <c r="E52" s="587"/>
      <c r="F52" s="598"/>
      <c r="G52" s="598"/>
      <c r="H52" s="598"/>
      <c r="I52" s="599"/>
      <c r="J52" s="599"/>
      <c r="K52" s="598"/>
      <c r="L52" s="599"/>
      <c r="M52" s="599"/>
      <c r="N52" s="598"/>
      <c r="O52" s="598"/>
      <c r="P52" s="598"/>
      <c r="Q52" s="598"/>
      <c r="R52" s="598"/>
      <c r="S52" s="598"/>
      <c r="T52" s="598"/>
      <c r="U52" s="599"/>
      <c r="V52" s="599"/>
      <c r="W52" s="599"/>
      <c r="X52" s="599"/>
      <c r="Y52" s="599"/>
      <c r="AA52" s="592"/>
      <c r="AB52" s="592"/>
      <c r="AC52" s="592"/>
      <c r="AD52" s="592"/>
      <c r="AE52" s="592"/>
      <c r="AF52" s="592"/>
    </row>
    <row r="53" spans="1:32" s="591" customFormat="1" x14ac:dyDescent="0.25">
      <c r="A53" s="1035"/>
      <c r="B53" s="587"/>
      <c r="C53" s="587"/>
      <c r="D53" s="587"/>
      <c r="E53" s="587"/>
      <c r="F53" s="598"/>
      <c r="G53" s="598"/>
      <c r="H53" s="598"/>
      <c r="I53" s="599"/>
      <c r="J53" s="599"/>
      <c r="K53" s="598"/>
      <c r="L53" s="599"/>
      <c r="M53" s="599"/>
      <c r="N53" s="598"/>
      <c r="O53" s="598"/>
      <c r="P53" s="598"/>
      <c r="Q53" s="598"/>
      <c r="R53" s="598"/>
      <c r="S53" s="598"/>
      <c r="T53" s="598"/>
      <c r="U53" s="599"/>
      <c r="V53" s="599"/>
      <c r="W53" s="599"/>
      <c r="X53" s="599"/>
      <c r="Y53" s="599"/>
      <c r="AA53" s="592"/>
      <c r="AB53" s="592"/>
      <c r="AC53" s="592"/>
      <c r="AD53" s="592"/>
      <c r="AE53" s="592"/>
      <c r="AF53" s="592"/>
    </row>
    <row r="54" spans="1:32" s="591" customFormat="1" x14ac:dyDescent="0.25">
      <c r="A54" s="1035"/>
      <c r="B54" s="587"/>
      <c r="C54" s="587"/>
      <c r="D54" s="587"/>
      <c r="E54" s="587"/>
      <c r="F54" s="598"/>
      <c r="G54" s="598"/>
      <c r="H54" s="598"/>
      <c r="I54" s="599"/>
      <c r="J54" s="599"/>
      <c r="K54" s="598"/>
      <c r="L54" s="599"/>
      <c r="M54" s="599"/>
      <c r="N54" s="598"/>
      <c r="O54" s="598"/>
      <c r="P54" s="598"/>
      <c r="Q54" s="598"/>
      <c r="R54" s="598"/>
      <c r="S54" s="598"/>
      <c r="T54" s="598"/>
      <c r="U54" s="599"/>
      <c r="V54" s="599"/>
      <c r="W54" s="599"/>
      <c r="X54" s="599"/>
      <c r="Y54" s="599"/>
      <c r="AA54" s="592"/>
      <c r="AB54" s="592"/>
      <c r="AC54" s="592"/>
      <c r="AD54" s="592"/>
      <c r="AE54" s="592"/>
      <c r="AF54" s="592"/>
    </row>
  </sheetData>
  <autoFilter ref="A10:AF44">
    <filterColumn colId="2">
      <filters>
        <filter val="981"/>
      </filters>
    </filterColumn>
  </autoFilter>
  <mergeCells count="35">
    <mergeCell ref="F7:H7"/>
    <mergeCell ref="M8:M9"/>
    <mergeCell ref="N8:N9"/>
    <mergeCell ref="I7:K7"/>
    <mergeCell ref="L7:N7"/>
    <mergeCell ref="J8:J9"/>
    <mergeCell ref="A7:A9"/>
    <mergeCell ref="B7:B9"/>
    <mergeCell ref="C7:C9"/>
    <mergeCell ref="D7:D9"/>
    <mergeCell ref="E7:E9"/>
    <mergeCell ref="A4:Z4"/>
    <mergeCell ref="A5:Z5"/>
    <mergeCell ref="O8:O9"/>
    <mergeCell ref="P8:P9"/>
    <mergeCell ref="Q8:Q9"/>
    <mergeCell ref="R8:R9"/>
    <mergeCell ref="S8:S9"/>
    <mergeCell ref="T8:T9"/>
    <mergeCell ref="Z7:Z9"/>
    <mergeCell ref="F8:F9"/>
    <mergeCell ref="G8:G9"/>
    <mergeCell ref="H8:H9"/>
    <mergeCell ref="I8:I9"/>
    <mergeCell ref="K8:K9"/>
    <mergeCell ref="U7:W7"/>
    <mergeCell ref="L8:L9"/>
    <mergeCell ref="O7:Q7"/>
    <mergeCell ref="U8:U9"/>
    <mergeCell ref="R7:T7"/>
    <mergeCell ref="X8:X9"/>
    <mergeCell ref="Y8:Y9"/>
    <mergeCell ref="V8:V9"/>
    <mergeCell ref="W8:W9"/>
    <mergeCell ref="X7:Y7"/>
  </mergeCells>
  <printOptions horizontalCentered="1"/>
  <pageMargins left="0.23622047244094491" right="0.23622047244094491" top="0.47244094488188981" bottom="0.39370078740157483" header="0.31496062992125984" footer="0.31496062992125984"/>
  <pageSetup paperSize="9" scale="49" fitToHeight="0" orientation="landscape" r:id="rId1"/>
  <headerFooter>
    <oddFooter>Страница  &amp;P из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U28"/>
  <sheetViews>
    <sheetView view="pageBreakPreview" zoomScale="80" zoomScaleNormal="85" zoomScaleSheetLayoutView="80" workbookViewId="0">
      <pane xSplit="2" ySplit="7" topLeftCell="C8" activePane="bottomRight" state="frozen"/>
      <selection pane="topRight" activeCell="C1" sqref="C1"/>
      <selection pane="bottomLeft" activeCell="A27" sqref="A27"/>
      <selection pane="bottomRight" activeCell="M26" sqref="M26"/>
    </sheetView>
  </sheetViews>
  <sheetFormatPr defaultColWidth="12" defaultRowHeight="15" x14ac:dyDescent="0.25"/>
  <cols>
    <col min="1" max="1" width="4.6640625" style="425" customWidth="1"/>
    <col min="2" max="2" width="30.83203125" style="426" customWidth="1"/>
    <col min="3" max="3" width="7.6640625" style="426" customWidth="1"/>
    <col min="4" max="4" width="10" style="427" bestFit="1" customWidth="1"/>
    <col min="5" max="5" width="7.6640625" style="428" customWidth="1"/>
    <col min="6" max="6" width="10" style="427" customWidth="1"/>
    <col min="7" max="7" width="9.1640625" style="428" customWidth="1"/>
    <col min="8" max="8" width="11.1640625" style="427" customWidth="1"/>
    <col min="9" max="9" width="10" style="428" customWidth="1"/>
    <col min="10" max="10" width="10" style="427" bestFit="1" customWidth="1"/>
    <col min="11" max="11" width="7.6640625" style="428" customWidth="1"/>
    <col min="12" max="12" width="10.1640625" style="427" bestFit="1" customWidth="1"/>
    <col min="13" max="13" width="12.83203125" style="428" customWidth="1"/>
    <col min="14" max="14" width="13.83203125" style="428" customWidth="1"/>
    <col min="15" max="15" width="12.5" style="428" customWidth="1"/>
    <col min="16" max="16" width="13.5" style="427" customWidth="1"/>
    <col min="17" max="17" width="7.83203125" style="428" customWidth="1"/>
    <col min="18" max="18" width="10" style="427" bestFit="1" customWidth="1"/>
    <col min="19" max="19" width="53.33203125" style="428" customWidth="1"/>
    <col min="20" max="20" width="13.33203125" style="428" customWidth="1"/>
    <col min="21" max="16384" width="12" style="428"/>
  </cols>
  <sheetData>
    <row r="1" spans="1:21" ht="35.25" customHeight="1" x14ac:dyDescent="0.25">
      <c r="L1" s="3708" t="s">
        <v>778</v>
      </c>
      <c r="M1" s="3708"/>
      <c r="N1" s="3708"/>
      <c r="O1" s="3708"/>
      <c r="P1" s="3708"/>
      <c r="Q1" s="3708"/>
      <c r="R1" s="3708"/>
      <c r="S1" s="3708"/>
    </row>
    <row r="2" spans="1:21" ht="40.5" customHeight="1" x14ac:dyDescent="0.25">
      <c r="A2" s="3713" t="s">
        <v>795</v>
      </c>
      <c r="B2" s="3713"/>
      <c r="C2" s="3713"/>
      <c r="D2" s="3713"/>
      <c r="E2" s="3713"/>
      <c r="F2" s="3713"/>
      <c r="G2" s="3713"/>
      <c r="H2" s="3713"/>
      <c r="I2" s="3713"/>
      <c r="J2" s="3713"/>
      <c r="K2" s="3713"/>
      <c r="L2" s="3713"/>
      <c r="M2" s="3713"/>
      <c r="N2" s="3713"/>
      <c r="O2" s="3713"/>
      <c r="P2" s="3713"/>
      <c r="Q2" s="3713"/>
      <c r="R2" s="3713"/>
      <c r="S2" s="3713"/>
    </row>
    <row r="3" spans="1:21" ht="18" customHeight="1" x14ac:dyDescent="0.25">
      <c r="H3" s="3714" t="s">
        <v>2024</v>
      </c>
      <c r="I3" s="3714"/>
      <c r="J3" s="3714"/>
      <c r="K3" s="3714"/>
      <c r="L3" s="3714"/>
      <c r="M3" s="3714"/>
      <c r="N3" s="3714"/>
      <c r="O3" s="3714"/>
      <c r="P3" s="3714"/>
      <c r="S3" s="462">
        <v>43831</v>
      </c>
      <c r="T3" s="429"/>
    </row>
    <row r="4" spans="1:21" s="432" customFormat="1" ht="24" customHeight="1" x14ac:dyDescent="0.2">
      <c r="A4" s="3709" t="s">
        <v>191</v>
      </c>
      <c r="B4" s="3709" t="s">
        <v>203</v>
      </c>
      <c r="C4" s="3710" t="s">
        <v>779</v>
      </c>
      <c r="D4" s="3710"/>
      <c r="E4" s="3710" t="s">
        <v>780</v>
      </c>
      <c r="F4" s="3710"/>
      <c r="G4" s="3711" t="s">
        <v>781</v>
      </c>
      <c r="H4" s="3711"/>
      <c r="I4" s="3711"/>
      <c r="J4" s="3711"/>
      <c r="K4" s="3711" t="s">
        <v>782</v>
      </c>
      <c r="L4" s="3711"/>
      <c r="M4" s="3709" t="s">
        <v>718</v>
      </c>
      <c r="N4" s="3709"/>
      <c r="O4" s="3711" t="s">
        <v>783</v>
      </c>
      <c r="P4" s="3711"/>
      <c r="Q4" s="3711" t="s">
        <v>784</v>
      </c>
      <c r="R4" s="3711"/>
      <c r="S4" s="3709" t="s">
        <v>785</v>
      </c>
      <c r="T4" s="430"/>
      <c r="U4" s="431"/>
    </row>
    <row r="5" spans="1:21" s="432" customFormat="1" ht="36.75" customHeight="1" x14ac:dyDescent="0.2">
      <c r="A5" s="3709"/>
      <c r="B5" s="3709"/>
      <c r="C5" s="3709" t="s">
        <v>786</v>
      </c>
      <c r="D5" s="3709"/>
      <c r="E5" s="3709" t="s">
        <v>786</v>
      </c>
      <c r="F5" s="3709"/>
      <c r="G5" s="3709" t="s">
        <v>787</v>
      </c>
      <c r="H5" s="3709"/>
      <c r="I5" s="3709" t="s">
        <v>449</v>
      </c>
      <c r="J5" s="3709"/>
      <c r="K5" s="3709" t="s">
        <v>331</v>
      </c>
      <c r="L5" s="3709"/>
      <c r="M5" s="3709" t="s">
        <v>788</v>
      </c>
      <c r="N5" s="3709" t="s">
        <v>789</v>
      </c>
      <c r="O5" s="3709" t="s">
        <v>331</v>
      </c>
      <c r="P5" s="3709"/>
      <c r="Q5" s="3709" t="s">
        <v>331</v>
      </c>
      <c r="R5" s="3709"/>
      <c r="S5" s="3709"/>
      <c r="T5" s="430"/>
      <c r="U5" s="431"/>
    </row>
    <row r="6" spans="1:21" s="432" customFormat="1" ht="12.75" x14ac:dyDescent="0.2">
      <c r="A6" s="3709"/>
      <c r="B6" s="3709"/>
      <c r="C6" s="1776" t="s">
        <v>564</v>
      </c>
      <c r="D6" s="433" t="s">
        <v>790</v>
      </c>
      <c r="E6" s="1776" t="s">
        <v>564</v>
      </c>
      <c r="F6" s="433" t="s">
        <v>790</v>
      </c>
      <c r="G6" s="1776" t="s">
        <v>564</v>
      </c>
      <c r="H6" s="433" t="s">
        <v>790</v>
      </c>
      <c r="I6" s="1776" t="s">
        <v>564</v>
      </c>
      <c r="J6" s="433" t="s">
        <v>790</v>
      </c>
      <c r="K6" s="1776" t="s">
        <v>564</v>
      </c>
      <c r="L6" s="433" t="s">
        <v>790</v>
      </c>
      <c r="M6" s="3709"/>
      <c r="N6" s="3709"/>
      <c r="O6" s="1776" t="s">
        <v>564</v>
      </c>
      <c r="P6" s="433" t="s">
        <v>790</v>
      </c>
      <c r="Q6" s="1776" t="s">
        <v>564</v>
      </c>
      <c r="R6" s="433" t="s">
        <v>790</v>
      </c>
      <c r="S6" s="3709"/>
      <c r="T6" s="430"/>
      <c r="U6" s="431"/>
    </row>
    <row r="7" spans="1:21" s="432" customFormat="1" ht="12.75" x14ac:dyDescent="0.2">
      <c r="A7" s="1776">
        <v>1</v>
      </c>
      <c r="B7" s="1776">
        <v>2</v>
      </c>
      <c r="C7" s="1776">
        <v>3</v>
      </c>
      <c r="D7" s="434">
        <v>4</v>
      </c>
      <c r="E7" s="1776">
        <v>5</v>
      </c>
      <c r="F7" s="434">
        <v>6</v>
      </c>
      <c r="G7" s="1776">
        <v>7</v>
      </c>
      <c r="H7" s="434">
        <v>8</v>
      </c>
      <c r="I7" s="1776">
        <v>9</v>
      </c>
      <c r="J7" s="434">
        <v>10</v>
      </c>
      <c r="K7" s="1776">
        <v>11</v>
      </c>
      <c r="L7" s="434">
        <v>12</v>
      </c>
      <c r="M7" s="1776">
        <v>15</v>
      </c>
      <c r="N7" s="1776">
        <v>16</v>
      </c>
      <c r="O7" s="1776">
        <v>17</v>
      </c>
      <c r="P7" s="434">
        <v>18</v>
      </c>
      <c r="Q7" s="1776">
        <v>19</v>
      </c>
      <c r="R7" s="434">
        <v>20</v>
      </c>
      <c r="S7" s="435">
        <v>21</v>
      </c>
      <c r="T7" s="430"/>
      <c r="U7" s="431"/>
    </row>
    <row r="8" spans="1:21" s="432" customFormat="1" ht="24" x14ac:dyDescent="0.2">
      <c r="A8" s="436"/>
      <c r="B8" s="437" t="s">
        <v>2634</v>
      </c>
      <c r="C8" s="438">
        <f>SUM(C9:C12)</f>
        <v>32</v>
      </c>
      <c r="D8" s="438">
        <f>SUM(D9:D12)</f>
        <v>3999.93</v>
      </c>
      <c r="E8" s="439">
        <f>SUM(E9:E12)</f>
        <v>198</v>
      </c>
      <c r="F8" s="439">
        <f>SUM(F9:F12)</f>
        <v>3190</v>
      </c>
      <c r="G8" s="439">
        <f t="shared" ref="G8" si="0">SUM(G9:G12)</f>
        <v>5</v>
      </c>
      <c r="H8" s="439">
        <v>4000</v>
      </c>
      <c r="I8" s="443">
        <f t="shared" ref="I8:J9" si="1">G8</f>
        <v>5</v>
      </c>
      <c r="J8" s="443">
        <f t="shared" si="1"/>
        <v>4000</v>
      </c>
      <c r="K8" s="439">
        <f t="shared" ref="K8:R8" si="2">SUM(K9:K12)</f>
        <v>5</v>
      </c>
      <c r="L8" s="439">
        <f t="shared" si="2"/>
        <v>4000</v>
      </c>
      <c r="M8" s="440">
        <f t="shared" ref="M8" si="3">L8-H8</f>
        <v>0</v>
      </c>
      <c r="N8" s="440">
        <f t="shared" ref="N8:N18" si="4">IFERROR((L8)/H8*100,0)</f>
        <v>100</v>
      </c>
      <c r="O8" s="439">
        <f t="shared" si="2"/>
        <v>5</v>
      </c>
      <c r="P8" s="439">
        <f t="shared" si="2"/>
        <v>4000</v>
      </c>
      <c r="Q8" s="439">
        <f t="shared" si="2"/>
        <v>5</v>
      </c>
      <c r="R8" s="439">
        <f t="shared" si="2"/>
        <v>4000</v>
      </c>
      <c r="S8" s="1220"/>
      <c r="T8" s="430"/>
      <c r="U8" s="431"/>
    </row>
    <row r="9" spans="1:21" s="432" customFormat="1" ht="12" customHeight="1" x14ac:dyDescent="0.2">
      <c r="A9" s="435"/>
      <c r="B9" s="441" t="s">
        <v>791</v>
      </c>
      <c r="C9" s="442">
        <v>4</v>
      </c>
      <c r="D9" s="442">
        <v>2961.12</v>
      </c>
      <c r="E9" s="440">
        <v>2</v>
      </c>
      <c r="F9" s="440">
        <v>1226</v>
      </c>
      <c r="G9" s="440">
        <v>5</v>
      </c>
      <c r="H9" s="440">
        <v>4000</v>
      </c>
      <c r="I9" s="443">
        <f t="shared" si="1"/>
        <v>5</v>
      </c>
      <c r="J9" s="443">
        <f t="shared" si="1"/>
        <v>4000</v>
      </c>
      <c r="K9" s="440">
        <v>5</v>
      </c>
      <c r="L9" s="440">
        <v>4000</v>
      </c>
      <c r="M9" s="440">
        <f t="shared" ref="M9:M18" si="5">L9-H9</f>
        <v>0</v>
      </c>
      <c r="N9" s="440">
        <f t="shared" si="4"/>
        <v>100</v>
      </c>
      <c r="O9" s="440">
        <v>5</v>
      </c>
      <c r="P9" s="440">
        <v>4000</v>
      </c>
      <c r="Q9" s="440">
        <v>5</v>
      </c>
      <c r="R9" s="440">
        <v>4000</v>
      </c>
      <c r="S9" s="445"/>
      <c r="T9" s="430"/>
      <c r="U9" s="431"/>
    </row>
    <row r="10" spans="1:21" s="432" customFormat="1" ht="12" customHeight="1" x14ac:dyDescent="0.2">
      <c r="A10" s="435"/>
      <c r="B10" s="441" t="s">
        <v>792</v>
      </c>
      <c r="C10" s="442">
        <v>1</v>
      </c>
      <c r="D10" s="442">
        <v>79.05</v>
      </c>
      <c r="E10" s="440"/>
      <c r="F10" s="440"/>
      <c r="G10" s="442"/>
      <c r="H10" s="442"/>
      <c r="I10" s="446">
        <f t="shared" ref="I10:J18" si="6">G10</f>
        <v>0</v>
      </c>
      <c r="J10" s="446">
        <f t="shared" si="6"/>
        <v>0</v>
      </c>
      <c r="K10" s="442"/>
      <c r="L10" s="442"/>
      <c r="M10" s="442">
        <f t="shared" si="5"/>
        <v>0</v>
      </c>
      <c r="N10" s="442">
        <f t="shared" si="4"/>
        <v>0</v>
      </c>
      <c r="O10" s="442"/>
      <c r="P10" s="442"/>
      <c r="Q10" s="442"/>
      <c r="R10" s="442"/>
      <c r="S10" s="445"/>
      <c r="T10" s="430"/>
      <c r="U10" s="431"/>
    </row>
    <row r="11" spans="1:21" s="432" customFormat="1" ht="12" customHeight="1" x14ac:dyDescent="0.2">
      <c r="A11" s="435"/>
      <c r="B11" s="441" t="s">
        <v>793</v>
      </c>
      <c r="C11" s="442">
        <v>4</v>
      </c>
      <c r="D11" s="442">
        <v>11.16</v>
      </c>
      <c r="E11" s="440">
        <v>136</v>
      </c>
      <c r="F11" s="440">
        <v>1364</v>
      </c>
      <c r="G11" s="442"/>
      <c r="H11" s="442"/>
      <c r="I11" s="446">
        <f t="shared" si="6"/>
        <v>0</v>
      </c>
      <c r="J11" s="446">
        <f t="shared" si="6"/>
        <v>0</v>
      </c>
      <c r="K11" s="442"/>
      <c r="L11" s="442"/>
      <c r="M11" s="442">
        <f t="shared" si="5"/>
        <v>0</v>
      </c>
      <c r="N11" s="442">
        <f t="shared" si="4"/>
        <v>0</v>
      </c>
      <c r="O11" s="442"/>
      <c r="P11" s="442"/>
      <c r="Q11" s="442"/>
      <c r="R11" s="442"/>
      <c r="S11" s="445"/>
      <c r="T11" s="430"/>
      <c r="U11" s="431"/>
    </row>
    <row r="12" spans="1:21" s="432" customFormat="1" ht="12" customHeight="1" x14ac:dyDescent="0.2">
      <c r="A12" s="435"/>
      <c r="B12" s="444" t="s">
        <v>794</v>
      </c>
      <c r="C12" s="442">
        <f>SUM(C13:C17)</f>
        <v>23</v>
      </c>
      <c r="D12" s="442">
        <f t="shared" ref="D12" si="7">SUM(D13:D17)</f>
        <v>948.6</v>
      </c>
      <c r="E12" s="440">
        <f>SUM(E13:E17)</f>
        <v>60</v>
      </c>
      <c r="F12" s="440">
        <f>SUM(F13:F17)</f>
        <v>600</v>
      </c>
      <c r="G12" s="442">
        <f t="shared" ref="G12:H12" si="8">SUM(G13:G17)</f>
        <v>0</v>
      </c>
      <c r="H12" s="442">
        <f t="shared" si="8"/>
        <v>0</v>
      </c>
      <c r="I12" s="446">
        <f t="shared" si="6"/>
        <v>0</v>
      </c>
      <c r="J12" s="446">
        <f t="shared" si="6"/>
        <v>0</v>
      </c>
      <c r="K12" s="442">
        <f t="shared" ref="K12:R12" si="9">SUM(K13:K17)</f>
        <v>0</v>
      </c>
      <c r="L12" s="442">
        <f t="shared" si="9"/>
        <v>0</v>
      </c>
      <c r="M12" s="442">
        <f t="shared" si="5"/>
        <v>0</v>
      </c>
      <c r="N12" s="442">
        <f t="shared" si="4"/>
        <v>0</v>
      </c>
      <c r="O12" s="442">
        <f t="shared" si="9"/>
        <v>0</v>
      </c>
      <c r="P12" s="442">
        <f t="shared" si="9"/>
        <v>0</v>
      </c>
      <c r="Q12" s="442">
        <f t="shared" si="9"/>
        <v>0</v>
      </c>
      <c r="R12" s="442">
        <f t="shared" si="9"/>
        <v>0</v>
      </c>
      <c r="S12" s="445"/>
      <c r="T12" s="430"/>
      <c r="U12" s="431"/>
    </row>
    <row r="13" spans="1:21" s="1228" customFormat="1" ht="12" customHeight="1" x14ac:dyDescent="0.2">
      <c r="A13" s="1221"/>
      <c r="B13" s="2694" t="s">
        <v>2635</v>
      </c>
      <c r="C13" s="1223">
        <v>1</v>
      </c>
      <c r="D13" s="1223">
        <v>9.3000000000000007</v>
      </c>
      <c r="E13" s="1224">
        <v>60</v>
      </c>
      <c r="F13" s="1224">
        <v>600</v>
      </c>
      <c r="G13" s="1223"/>
      <c r="H13" s="1223"/>
      <c r="I13" s="446">
        <f t="shared" si="6"/>
        <v>0</v>
      </c>
      <c r="J13" s="446">
        <f t="shared" si="6"/>
        <v>0</v>
      </c>
      <c r="K13" s="1223"/>
      <c r="L13" s="1223"/>
      <c r="M13" s="442">
        <f t="shared" si="5"/>
        <v>0</v>
      </c>
      <c r="N13" s="442">
        <f t="shared" si="4"/>
        <v>0</v>
      </c>
      <c r="O13" s="1223"/>
      <c r="P13" s="1223"/>
      <c r="Q13" s="1223"/>
      <c r="R13" s="1223"/>
      <c r="S13" s="1225"/>
      <c r="T13" s="1226"/>
      <c r="U13" s="1227"/>
    </row>
    <row r="14" spans="1:21" s="1228" customFormat="1" ht="12" customHeight="1" x14ac:dyDescent="0.2">
      <c r="A14" s="1221"/>
      <c r="B14" s="2694" t="s">
        <v>2636</v>
      </c>
      <c r="C14" s="1223">
        <v>4</v>
      </c>
      <c r="D14" s="1223">
        <v>186</v>
      </c>
      <c r="E14" s="1224"/>
      <c r="F14" s="1224"/>
      <c r="G14" s="1223"/>
      <c r="H14" s="1223"/>
      <c r="I14" s="446">
        <f t="shared" si="6"/>
        <v>0</v>
      </c>
      <c r="J14" s="446">
        <f t="shared" si="6"/>
        <v>0</v>
      </c>
      <c r="K14" s="1223"/>
      <c r="L14" s="1223"/>
      <c r="M14" s="442">
        <f t="shared" si="5"/>
        <v>0</v>
      </c>
      <c r="N14" s="442">
        <f t="shared" si="4"/>
        <v>0</v>
      </c>
      <c r="O14" s="1223"/>
      <c r="P14" s="1223"/>
      <c r="Q14" s="1223"/>
      <c r="R14" s="1223"/>
      <c r="S14" s="1225"/>
      <c r="T14" s="1226"/>
      <c r="U14" s="1227"/>
    </row>
    <row r="15" spans="1:21" s="1228" customFormat="1" ht="12" customHeight="1" x14ac:dyDescent="0.2">
      <c r="A15" s="1221"/>
      <c r="B15" s="2694" t="s">
        <v>2637</v>
      </c>
      <c r="C15" s="1223">
        <v>4</v>
      </c>
      <c r="D15" s="1223">
        <v>74.400000000000006</v>
      </c>
      <c r="E15" s="1224"/>
      <c r="F15" s="1224"/>
      <c r="G15" s="1223"/>
      <c r="H15" s="1223"/>
      <c r="I15" s="446">
        <f t="shared" si="6"/>
        <v>0</v>
      </c>
      <c r="J15" s="446">
        <f t="shared" si="6"/>
        <v>0</v>
      </c>
      <c r="K15" s="1223"/>
      <c r="L15" s="1223"/>
      <c r="M15" s="442">
        <f t="shared" si="5"/>
        <v>0</v>
      </c>
      <c r="N15" s="442">
        <f t="shared" si="4"/>
        <v>0</v>
      </c>
      <c r="O15" s="1223"/>
      <c r="P15" s="1223"/>
      <c r="Q15" s="1223"/>
      <c r="R15" s="1223"/>
      <c r="S15" s="1225"/>
      <c r="T15" s="1226"/>
      <c r="U15" s="1227"/>
    </row>
    <row r="16" spans="1:21" s="1228" customFormat="1" ht="12" customHeight="1" x14ac:dyDescent="0.2">
      <c r="A16" s="1221"/>
      <c r="B16" s="2694" t="s">
        <v>2638</v>
      </c>
      <c r="C16" s="1223">
        <v>4</v>
      </c>
      <c r="D16" s="1223">
        <v>353.4</v>
      </c>
      <c r="E16" s="1224"/>
      <c r="F16" s="1224"/>
      <c r="G16" s="1223"/>
      <c r="H16" s="1223"/>
      <c r="I16" s="446">
        <f t="shared" si="6"/>
        <v>0</v>
      </c>
      <c r="J16" s="446">
        <f t="shared" si="6"/>
        <v>0</v>
      </c>
      <c r="K16" s="1223"/>
      <c r="L16" s="1223"/>
      <c r="M16" s="442">
        <f t="shared" si="5"/>
        <v>0</v>
      </c>
      <c r="N16" s="442">
        <f t="shared" si="4"/>
        <v>0</v>
      </c>
      <c r="O16" s="1223"/>
      <c r="P16" s="1223"/>
      <c r="Q16" s="1223"/>
      <c r="R16" s="1223"/>
      <c r="S16" s="1225"/>
      <c r="T16" s="1226"/>
      <c r="U16" s="1227"/>
    </row>
    <row r="17" spans="1:21" s="1228" customFormat="1" ht="12" customHeight="1" x14ac:dyDescent="0.2">
      <c r="A17" s="1221"/>
      <c r="B17" s="2694" t="s">
        <v>2639</v>
      </c>
      <c r="C17" s="1223">
        <v>10</v>
      </c>
      <c r="D17" s="1223">
        <v>325.5</v>
      </c>
      <c r="E17" s="1224"/>
      <c r="F17" s="1224"/>
      <c r="G17" s="1223"/>
      <c r="H17" s="1223"/>
      <c r="I17" s="446">
        <f t="shared" si="6"/>
        <v>0</v>
      </c>
      <c r="J17" s="446">
        <f t="shared" si="6"/>
        <v>0</v>
      </c>
      <c r="K17" s="1223"/>
      <c r="L17" s="1223"/>
      <c r="M17" s="442">
        <f t="shared" si="5"/>
        <v>0</v>
      </c>
      <c r="N17" s="442">
        <f t="shared" si="4"/>
        <v>0</v>
      </c>
      <c r="O17" s="1223"/>
      <c r="P17" s="1223"/>
      <c r="Q17" s="1223"/>
      <c r="R17" s="1223"/>
      <c r="S17" s="1225"/>
      <c r="T17" s="1226"/>
      <c r="U17" s="1227"/>
    </row>
    <row r="18" spans="1:21" s="1228" customFormat="1" ht="12" customHeight="1" x14ac:dyDescent="0.2">
      <c r="A18" s="1221"/>
      <c r="B18" s="1222"/>
      <c r="C18" s="1223"/>
      <c r="D18" s="1223"/>
      <c r="E18" s="1224"/>
      <c r="F18" s="1224"/>
      <c r="G18" s="1223"/>
      <c r="H18" s="1223"/>
      <c r="I18" s="446">
        <f t="shared" si="6"/>
        <v>0</v>
      </c>
      <c r="J18" s="446">
        <f t="shared" si="6"/>
        <v>0</v>
      </c>
      <c r="K18" s="1223"/>
      <c r="L18" s="1223"/>
      <c r="M18" s="442">
        <f t="shared" si="5"/>
        <v>0</v>
      </c>
      <c r="N18" s="442">
        <f t="shared" si="4"/>
        <v>0</v>
      </c>
      <c r="O18" s="1223"/>
      <c r="P18" s="1223"/>
      <c r="Q18" s="1223"/>
      <c r="R18" s="1223"/>
      <c r="S18" s="1225"/>
      <c r="T18" s="1226"/>
      <c r="U18" s="1227"/>
    </row>
    <row r="19" spans="1:21" s="432" customFormat="1" ht="12" customHeight="1" x14ac:dyDescent="0.2">
      <c r="A19" s="447"/>
      <c r="B19" s="1775"/>
      <c r="C19" s="1775"/>
      <c r="D19" s="448"/>
      <c r="E19" s="447"/>
      <c r="F19" s="448"/>
      <c r="G19" s="447"/>
      <c r="H19" s="448"/>
      <c r="I19" s="447"/>
      <c r="J19" s="448"/>
      <c r="K19" s="447"/>
      <c r="L19" s="448"/>
      <c r="M19" s="449"/>
      <c r="N19" s="450"/>
      <c r="O19" s="450"/>
      <c r="P19" s="451"/>
      <c r="Q19" s="452"/>
      <c r="R19" s="451"/>
      <c r="S19" s="453"/>
      <c r="T19" s="430"/>
      <c r="U19" s="431"/>
    </row>
    <row r="20" spans="1:21" s="432" customFormat="1" ht="12" customHeight="1" x14ac:dyDescent="0.2">
      <c r="A20" s="447"/>
      <c r="B20" s="3712"/>
      <c r="C20" s="3712"/>
      <c r="D20" s="3712"/>
      <c r="E20" s="3712"/>
      <c r="F20" s="3712"/>
      <c r="G20" s="3712"/>
      <c r="H20" s="3712"/>
      <c r="I20" s="3712"/>
      <c r="J20" s="3712"/>
      <c r="K20" s="3712"/>
      <c r="L20" s="3712"/>
      <c r="M20" s="3712"/>
      <c r="N20" s="3712"/>
      <c r="O20" s="3712"/>
      <c r="P20" s="451"/>
      <c r="Q20" s="452"/>
      <c r="R20" s="451"/>
      <c r="S20" s="453"/>
      <c r="T20" s="430"/>
      <c r="U20" s="431"/>
    </row>
    <row r="21" spans="1:21" s="432" customFormat="1" ht="12" customHeight="1" x14ac:dyDescent="0.2">
      <c r="A21" s="447"/>
      <c r="B21" s="1775"/>
      <c r="C21" s="1775"/>
      <c r="D21" s="1775"/>
      <c r="E21" s="1775"/>
      <c r="F21" s="1775"/>
      <c r="G21" s="1775"/>
      <c r="H21" s="1775"/>
      <c r="I21" s="1775"/>
      <c r="J21" s="1775"/>
      <c r="K21" s="1775"/>
      <c r="L21" s="1775"/>
      <c r="M21" s="1775"/>
      <c r="N21" s="1775"/>
      <c r="O21" s="1775"/>
      <c r="P21" s="451"/>
      <c r="Q21" s="452"/>
      <c r="R21" s="451"/>
      <c r="S21" s="453"/>
      <c r="T21" s="430"/>
      <c r="U21" s="431"/>
    </row>
    <row r="22" spans="1:21" s="432" customFormat="1" ht="12.75" x14ac:dyDescent="0.2">
      <c r="A22" s="447"/>
      <c r="B22" s="1775"/>
      <c r="C22" s="1775"/>
      <c r="D22" s="448"/>
      <c r="E22" s="447"/>
      <c r="F22" s="448"/>
      <c r="G22" s="447"/>
      <c r="H22" s="448"/>
      <c r="I22" s="447"/>
      <c r="J22" s="448"/>
      <c r="K22" s="447"/>
      <c r="L22" s="448"/>
      <c r="M22" s="449"/>
      <c r="N22" s="450"/>
      <c r="O22" s="450"/>
      <c r="P22" s="451"/>
      <c r="Q22" s="452"/>
      <c r="R22" s="451"/>
      <c r="S22" s="430"/>
      <c r="T22" s="430"/>
      <c r="U22" s="431"/>
    </row>
    <row r="23" spans="1:21" ht="15.75" customHeight="1" x14ac:dyDescent="0.25">
      <c r="B23" s="454"/>
      <c r="C23" s="455"/>
      <c r="D23" s="455"/>
      <c r="E23" s="455"/>
      <c r="F23" s="455"/>
      <c r="G23" s="455"/>
      <c r="H23" s="455"/>
      <c r="I23" s="454"/>
      <c r="J23" s="455"/>
      <c r="K23" s="455"/>
      <c r="L23" s="455"/>
      <c r="M23" s="455"/>
      <c r="N23" s="455"/>
      <c r="O23" s="455"/>
      <c r="P23" s="455"/>
      <c r="Q23" s="456"/>
    </row>
    <row r="24" spans="1:21" x14ac:dyDescent="0.25">
      <c r="B24" s="457"/>
      <c r="C24" s="457"/>
      <c r="D24" s="458"/>
      <c r="E24" s="457"/>
      <c r="F24" s="458"/>
      <c r="G24" s="457"/>
      <c r="H24" s="458"/>
      <c r="I24" s="457"/>
      <c r="J24" s="458"/>
      <c r="K24" s="457"/>
      <c r="L24" s="458"/>
      <c r="M24" s="457"/>
      <c r="N24" s="457"/>
      <c r="O24" s="457"/>
      <c r="P24" s="458"/>
      <c r="Q24" s="457"/>
    </row>
    <row r="25" spans="1:21" x14ac:dyDescent="0.25">
      <c r="B25" s="459"/>
      <c r="C25" s="460"/>
      <c r="D25" s="458"/>
      <c r="E25" s="457"/>
      <c r="F25" s="458"/>
      <c r="G25" s="457"/>
      <c r="H25" s="458"/>
      <c r="I25" s="457"/>
      <c r="J25" s="458"/>
      <c r="K25" s="457"/>
      <c r="L25" s="458"/>
      <c r="M25" s="457"/>
      <c r="N25" s="457"/>
      <c r="O25" s="457"/>
      <c r="P25" s="458"/>
      <c r="Q25" s="457"/>
    </row>
    <row r="26" spans="1:21" x14ac:dyDescent="0.25">
      <c r="B26" s="460"/>
      <c r="C26" s="460"/>
      <c r="D26" s="458"/>
      <c r="E26" s="457"/>
      <c r="F26" s="458"/>
      <c r="G26" s="457"/>
      <c r="H26" s="458"/>
      <c r="I26" s="457"/>
      <c r="J26" s="458"/>
      <c r="K26" s="457"/>
      <c r="L26" s="458"/>
      <c r="M26" s="457"/>
      <c r="N26" s="457"/>
      <c r="O26" s="457"/>
      <c r="P26" s="458"/>
      <c r="Q26" s="457"/>
    </row>
    <row r="27" spans="1:21" x14ac:dyDescent="0.25">
      <c r="C27" s="461"/>
      <c r="D27" s="461"/>
      <c r="E27" s="461"/>
      <c r="F27" s="461"/>
      <c r="G27" s="461"/>
      <c r="H27" s="461"/>
      <c r="I27" s="461"/>
      <c r="J27" s="461"/>
      <c r="K27" s="461"/>
      <c r="L27" s="461"/>
      <c r="M27" s="461"/>
      <c r="N27" s="461"/>
      <c r="O27" s="461"/>
      <c r="P27" s="461"/>
      <c r="Q27" s="461"/>
      <c r="R27" s="461"/>
    </row>
    <row r="28" spans="1:21" x14ac:dyDescent="0.25">
      <c r="C28" s="461"/>
      <c r="D28" s="461"/>
      <c r="E28" s="461"/>
      <c r="F28" s="461"/>
      <c r="G28" s="461"/>
      <c r="H28" s="461"/>
      <c r="I28" s="461"/>
      <c r="J28" s="461"/>
      <c r="K28" s="461"/>
      <c r="L28" s="461"/>
      <c r="M28" s="461"/>
      <c r="N28" s="461"/>
      <c r="O28" s="461"/>
      <c r="P28" s="461"/>
      <c r="Q28" s="461"/>
      <c r="R28" s="461"/>
    </row>
  </sheetData>
  <mergeCells count="23">
    <mergeCell ref="B20:O20"/>
    <mergeCell ref="A2:S2"/>
    <mergeCell ref="Q5:R5"/>
    <mergeCell ref="Q4:R4"/>
    <mergeCell ref="S4:S6"/>
    <mergeCell ref="C5:D5"/>
    <mergeCell ref="E5:F5"/>
    <mergeCell ref="G5:H5"/>
    <mergeCell ref="I5:J5"/>
    <mergeCell ref="K5:L5"/>
    <mergeCell ref="M5:M6"/>
    <mergeCell ref="N5:N6"/>
    <mergeCell ref="O5:P5"/>
    <mergeCell ref="H3:P3"/>
    <mergeCell ref="L1:S1"/>
    <mergeCell ref="A4:A6"/>
    <mergeCell ref="B4:B6"/>
    <mergeCell ref="C4:D4"/>
    <mergeCell ref="E4:F4"/>
    <mergeCell ref="G4:J4"/>
    <mergeCell ref="K4:L4"/>
    <mergeCell ref="M4:N4"/>
    <mergeCell ref="O4:P4"/>
  </mergeCells>
  <pageMargins left="0.59055118110236227" right="0.39370078740157483" top="0.78740157480314965" bottom="0.23622047244094491" header="0.19685039370078741" footer="0.15748031496062992"/>
  <pageSetup paperSize="9"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C38"/>
  <sheetViews>
    <sheetView view="pageBreakPreview" zoomScale="60" zoomScaleNormal="100" workbookViewId="0">
      <pane xSplit="2" ySplit="6" topLeftCell="C7" activePane="bottomRight" state="frozen"/>
      <selection pane="topRight" activeCell="C1" sqref="C1"/>
      <selection pane="bottomLeft" activeCell="A7" sqref="A7"/>
      <selection pane="bottomRight" activeCell="N3" sqref="N3"/>
    </sheetView>
  </sheetViews>
  <sheetFormatPr defaultRowHeight="15.75" x14ac:dyDescent="0.25"/>
  <cols>
    <col min="1" max="1" width="9.83203125" style="2695" customWidth="1"/>
    <col min="2" max="2" width="46.6640625" style="2695" customWidth="1"/>
    <col min="3" max="3" width="15.1640625" style="2696" customWidth="1"/>
    <col min="4" max="5" width="16.5" style="2696" customWidth="1"/>
    <col min="6" max="6" width="12" style="2696" customWidth="1"/>
    <col min="7" max="7" width="16.5" style="2697" customWidth="1"/>
    <col min="8" max="8" width="16" style="2696" customWidth="1"/>
    <col min="9" max="9" width="16.1640625" style="2696" customWidth="1"/>
    <col min="10" max="10" width="12.83203125" style="2696" customWidth="1"/>
    <col min="11" max="11" width="14.83203125" style="2696" customWidth="1"/>
    <col min="12" max="12" width="19.83203125" style="2697" customWidth="1"/>
    <col min="13" max="13" width="19.83203125" style="2696" customWidth="1"/>
    <col min="14" max="14" width="18.1640625" style="2696" customWidth="1"/>
    <col min="15" max="15" width="14.83203125" style="2696" customWidth="1"/>
    <col min="16" max="16" width="20.33203125" style="2696" customWidth="1"/>
    <col min="17" max="17" width="14.83203125" style="2696" customWidth="1"/>
    <col min="18" max="18" width="28.83203125" style="2696" customWidth="1"/>
    <col min="19" max="19" width="14.33203125" style="2696" customWidth="1"/>
    <col min="20" max="20" width="24.1640625" style="2696" customWidth="1"/>
    <col min="21" max="21" width="15.83203125" style="2696" customWidth="1"/>
    <col min="22" max="22" width="19.1640625" style="2696" customWidth="1"/>
    <col min="23" max="23" width="20.33203125" style="2697" customWidth="1"/>
    <col min="24" max="24" width="16.33203125" style="2696" customWidth="1"/>
    <col min="25" max="25" width="17.83203125" style="2696" customWidth="1"/>
    <col min="26" max="27" width="15.83203125" style="2696" customWidth="1"/>
    <col min="28" max="28" width="31.5" style="2695" customWidth="1"/>
    <col min="29" max="16384" width="9.33203125" style="2695"/>
  </cols>
  <sheetData>
    <row r="1" spans="1:29" ht="39.75" customHeight="1" x14ac:dyDescent="0.25">
      <c r="W1" s="3716" t="s">
        <v>2640</v>
      </c>
      <c r="X1" s="3717"/>
      <c r="Y1" s="3717"/>
      <c r="Z1" s="3717"/>
      <c r="AA1" s="3717"/>
      <c r="AB1" s="3718"/>
    </row>
    <row r="2" spans="1:29" x14ac:dyDescent="0.25">
      <c r="A2" s="3719" t="s">
        <v>2661</v>
      </c>
      <c r="B2" s="3719"/>
      <c r="C2" s="3720"/>
      <c r="D2" s="3720"/>
      <c r="E2" s="3720"/>
      <c r="F2" s="3720"/>
      <c r="G2" s="3720"/>
      <c r="H2" s="3720"/>
      <c r="I2" s="3720"/>
      <c r="J2" s="3720"/>
      <c r="K2" s="3720"/>
      <c r="L2" s="3720"/>
      <c r="M2" s="3720"/>
      <c r="N2" s="3720"/>
      <c r="O2" s="3720"/>
      <c r="P2" s="3720"/>
      <c r="Q2" s="3720"/>
      <c r="R2" s="3720"/>
      <c r="S2" s="3720"/>
      <c r="T2" s="3720"/>
      <c r="U2" s="3720"/>
      <c r="V2" s="3720"/>
      <c r="W2" s="3720"/>
      <c r="X2" s="3720"/>
      <c r="Y2" s="3720"/>
      <c r="Z2" s="3720"/>
      <c r="AA2" s="3720"/>
      <c r="AB2" s="3719"/>
    </row>
    <row r="3" spans="1:29" x14ac:dyDescent="0.25">
      <c r="N3" s="2697" t="s">
        <v>2024</v>
      </c>
      <c r="O3" s="2697"/>
      <c r="P3" s="2697"/>
      <c r="Q3" s="2697"/>
      <c r="AB3" s="2768">
        <v>43831</v>
      </c>
    </row>
    <row r="4" spans="1:29" ht="15.75" customHeight="1" x14ac:dyDescent="0.25">
      <c r="A4" s="3721" t="s">
        <v>78</v>
      </c>
      <c r="B4" s="3722" t="s">
        <v>185</v>
      </c>
      <c r="C4" s="3725" t="s">
        <v>743</v>
      </c>
      <c r="D4" s="3726"/>
      <c r="E4" s="3726"/>
      <c r="F4" s="3726"/>
      <c r="G4" s="3727"/>
      <c r="H4" s="3725" t="s">
        <v>744</v>
      </c>
      <c r="I4" s="3726"/>
      <c r="J4" s="3726"/>
      <c r="K4" s="3726"/>
      <c r="L4" s="3727"/>
      <c r="M4" s="3728" t="s">
        <v>714</v>
      </c>
      <c r="N4" s="3731" t="s">
        <v>715</v>
      </c>
      <c r="O4" s="3731" t="s">
        <v>2641</v>
      </c>
      <c r="P4" s="3731"/>
      <c r="Q4" s="3731" t="s">
        <v>717</v>
      </c>
      <c r="R4" s="3731"/>
      <c r="S4" s="3725" t="s">
        <v>181</v>
      </c>
      <c r="T4" s="3726"/>
      <c r="U4" s="3726"/>
      <c r="V4" s="3726"/>
      <c r="W4" s="3727"/>
      <c r="X4" s="3737" t="s">
        <v>745</v>
      </c>
      <c r="Y4" s="3738"/>
      <c r="Z4" s="2698" t="s">
        <v>178</v>
      </c>
      <c r="AA4" s="2698" t="s">
        <v>179</v>
      </c>
      <c r="AB4" s="3732" t="s">
        <v>180</v>
      </c>
    </row>
    <row r="5" spans="1:29" ht="34.5" customHeight="1" x14ac:dyDescent="0.25">
      <c r="A5" s="3721"/>
      <c r="B5" s="3723"/>
      <c r="C5" s="3735" t="s">
        <v>186</v>
      </c>
      <c r="D5" s="3735" t="s">
        <v>187</v>
      </c>
      <c r="E5" s="3715" t="s">
        <v>747</v>
      </c>
      <c r="F5" s="3715"/>
      <c r="G5" s="3715"/>
      <c r="H5" s="3735" t="s">
        <v>186</v>
      </c>
      <c r="I5" s="3735" t="s">
        <v>187</v>
      </c>
      <c r="J5" s="3715" t="s">
        <v>747</v>
      </c>
      <c r="K5" s="3715"/>
      <c r="L5" s="3715"/>
      <c r="M5" s="3729"/>
      <c r="N5" s="3731"/>
      <c r="O5" s="3731"/>
      <c r="P5" s="3731"/>
      <c r="Q5" s="3731"/>
      <c r="R5" s="3731"/>
      <c r="S5" s="3735" t="s">
        <v>186</v>
      </c>
      <c r="T5" s="3735" t="s">
        <v>187</v>
      </c>
      <c r="U5" s="3715" t="s">
        <v>747</v>
      </c>
      <c r="V5" s="3715"/>
      <c r="W5" s="3715"/>
      <c r="X5" s="3739"/>
      <c r="Y5" s="3740"/>
      <c r="Z5" s="3715" t="s">
        <v>747</v>
      </c>
      <c r="AA5" s="3715"/>
      <c r="AB5" s="3733"/>
    </row>
    <row r="6" spans="1:29" ht="47.25" x14ac:dyDescent="0.25">
      <c r="A6" s="3721"/>
      <c r="B6" s="3724"/>
      <c r="C6" s="3736"/>
      <c r="D6" s="3736"/>
      <c r="E6" s="2699" t="s">
        <v>748</v>
      </c>
      <c r="F6" s="2699" t="s">
        <v>753</v>
      </c>
      <c r="G6" s="2700" t="s">
        <v>750</v>
      </c>
      <c r="H6" s="3736"/>
      <c r="I6" s="3736"/>
      <c r="J6" s="2701" t="s">
        <v>748</v>
      </c>
      <c r="K6" s="2699" t="s">
        <v>753</v>
      </c>
      <c r="L6" s="2700" t="s">
        <v>751</v>
      </c>
      <c r="M6" s="3730"/>
      <c r="N6" s="3731"/>
      <c r="O6" s="2702" t="s">
        <v>564</v>
      </c>
      <c r="P6" s="2702" t="s">
        <v>723</v>
      </c>
      <c r="Q6" s="2702" t="s">
        <v>564</v>
      </c>
      <c r="R6" s="2702" t="s">
        <v>2642</v>
      </c>
      <c r="S6" s="3736"/>
      <c r="T6" s="3736"/>
      <c r="U6" s="2701" t="s">
        <v>748</v>
      </c>
      <c r="V6" s="2699" t="s">
        <v>753</v>
      </c>
      <c r="W6" s="2700" t="s">
        <v>754</v>
      </c>
      <c r="X6" s="2700" t="s">
        <v>755</v>
      </c>
      <c r="Y6" s="2700" t="s">
        <v>756</v>
      </c>
      <c r="Z6" s="3715" t="s">
        <v>748</v>
      </c>
      <c r="AA6" s="3715"/>
      <c r="AB6" s="3734"/>
    </row>
    <row r="7" spans="1:29" s="2705" customFormat="1" x14ac:dyDescent="0.25">
      <c r="A7" s="2703">
        <v>1</v>
      </c>
      <c r="B7" s="2703">
        <v>2</v>
      </c>
      <c r="C7" s="2703">
        <v>3</v>
      </c>
      <c r="D7" s="2703">
        <v>4</v>
      </c>
      <c r="E7" s="2703">
        <v>5</v>
      </c>
      <c r="F7" s="2703">
        <v>6</v>
      </c>
      <c r="G7" s="2704">
        <v>8</v>
      </c>
      <c r="H7" s="2703">
        <v>9</v>
      </c>
      <c r="I7" s="2703">
        <v>10</v>
      </c>
      <c r="J7" s="2703">
        <v>11</v>
      </c>
      <c r="K7" s="2703">
        <v>12</v>
      </c>
      <c r="L7" s="2704">
        <v>14</v>
      </c>
      <c r="M7" s="2703">
        <v>15</v>
      </c>
      <c r="N7" s="2703">
        <v>16</v>
      </c>
      <c r="O7" s="2703">
        <v>17</v>
      </c>
      <c r="P7" s="2703">
        <v>18</v>
      </c>
      <c r="Q7" s="2703">
        <v>19</v>
      </c>
      <c r="R7" s="2703">
        <v>20</v>
      </c>
      <c r="S7" s="2703">
        <v>21</v>
      </c>
      <c r="T7" s="2703">
        <v>22</v>
      </c>
      <c r="U7" s="2703">
        <v>23</v>
      </c>
      <c r="V7" s="2703">
        <v>24</v>
      </c>
      <c r="W7" s="2704">
        <v>25</v>
      </c>
      <c r="X7" s="2703">
        <v>26</v>
      </c>
      <c r="Y7" s="2703">
        <v>27</v>
      </c>
      <c r="Z7" s="2703">
        <v>28</v>
      </c>
      <c r="AA7" s="2703">
        <v>29</v>
      </c>
      <c r="AB7" s="2703">
        <v>30</v>
      </c>
    </row>
    <row r="8" spans="1:29" s="2709" customFormat="1" ht="69" customHeight="1" x14ac:dyDescent="0.25">
      <c r="A8" s="2706"/>
      <c r="B8" s="2706" t="s">
        <v>2643</v>
      </c>
      <c r="C8" s="2707">
        <f t="shared" ref="C8:AA8" si="0">C10+C21</f>
        <v>29.75</v>
      </c>
      <c r="D8" s="2707">
        <f t="shared" si="0"/>
        <v>8177</v>
      </c>
      <c r="E8" s="2707">
        <f t="shared" si="0"/>
        <v>0</v>
      </c>
      <c r="F8" s="2707">
        <f t="shared" si="0"/>
        <v>28.83</v>
      </c>
      <c r="G8" s="2707">
        <f t="shared" si="0"/>
        <v>28.83</v>
      </c>
      <c r="H8" s="2707">
        <f t="shared" si="0"/>
        <v>17</v>
      </c>
      <c r="I8" s="2707">
        <f t="shared" si="0"/>
        <v>2295.1999999999998</v>
      </c>
      <c r="J8" s="2707">
        <f t="shared" si="0"/>
        <v>0</v>
      </c>
      <c r="K8" s="2707">
        <f t="shared" si="0"/>
        <v>6</v>
      </c>
      <c r="L8" s="2707">
        <f t="shared" si="0"/>
        <v>6</v>
      </c>
      <c r="M8" s="2707">
        <f t="shared" si="0"/>
        <v>0</v>
      </c>
      <c r="N8" s="2707">
        <f t="shared" si="0"/>
        <v>0</v>
      </c>
      <c r="O8" s="2707">
        <f t="shared" si="0"/>
        <v>0</v>
      </c>
      <c r="P8" s="2707">
        <f t="shared" si="0"/>
        <v>0</v>
      </c>
      <c r="Q8" s="2707">
        <f t="shared" si="0"/>
        <v>0</v>
      </c>
      <c r="R8" s="2707">
        <f t="shared" si="0"/>
        <v>0</v>
      </c>
      <c r="S8" s="2707">
        <f t="shared" si="0"/>
        <v>25</v>
      </c>
      <c r="T8" s="2707">
        <f t="shared" si="0"/>
        <v>1500.84</v>
      </c>
      <c r="U8" s="2736">
        <f t="shared" si="0"/>
        <v>5.3</v>
      </c>
      <c r="V8" s="2707">
        <f t="shared" si="0"/>
        <v>0</v>
      </c>
      <c r="W8" s="2736">
        <f t="shared" si="0"/>
        <v>5.3</v>
      </c>
      <c r="X8" s="2736">
        <f t="shared" si="0"/>
        <v>5.3</v>
      </c>
      <c r="Y8" s="2736">
        <f t="shared" si="0"/>
        <v>5.3</v>
      </c>
      <c r="Z8" s="2736">
        <f t="shared" si="0"/>
        <v>5.3</v>
      </c>
      <c r="AA8" s="2736">
        <f t="shared" si="0"/>
        <v>5.3</v>
      </c>
      <c r="AB8" s="2708"/>
      <c r="AC8" s="2728"/>
    </row>
    <row r="9" spans="1:29" s="2709" customFormat="1" x14ac:dyDescent="0.25">
      <c r="A9" s="2710" t="s">
        <v>361</v>
      </c>
      <c r="B9" s="2711" t="s">
        <v>382</v>
      </c>
      <c r="C9" s="2712"/>
      <c r="D9" s="2712"/>
      <c r="E9" s="2713"/>
      <c r="F9" s="2713"/>
      <c r="G9" s="2713"/>
      <c r="H9" s="2712"/>
      <c r="I9" s="2712"/>
      <c r="J9" s="2713"/>
      <c r="K9" s="2713"/>
      <c r="L9" s="2713"/>
      <c r="M9" s="2713"/>
      <c r="N9" s="2713"/>
      <c r="O9" s="2713"/>
      <c r="P9" s="2713"/>
      <c r="Q9" s="2713"/>
      <c r="R9" s="2713"/>
      <c r="S9" s="2712"/>
      <c r="T9" s="2712"/>
      <c r="U9" s="2713"/>
      <c r="V9" s="2713"/>
      <c r="W9" s="2713"/>
      <c r="X9" s="2713">
        <f t="shared" ref="X9:X20" si="1">U9-J9</f>
        <v>0</v>
      </c>
      <c r="Y9" s="2770">
        <f t="shared" ref="Y9:Y20" si="2">IFERROR((U9)/J9*100,0)</f>
        <v>0</v>
      </c>
      <c r="Z9" s="2713"/>
      <c r="AA9" s="2713"/>
      <c r="AB9" s="2710"/>
    </row>
    <row r="10" spans="1:29" s="2709" customFormat="1" x14ac:dyDescent="0.25">
      <c r="A10" s="2710" t="s">
        <v>363</v>
      </c>
      <c r="B10" s="2711" t="s">
        <v>383</v>
      </c>
      <c r="C10" s="2712">
        <f t="shared" ref="C10:AA10" si="3">SUM(C11:C20)</f>
        <v>0</v>
      </c>
      <c r="D10" s="2712">
        <f t="shared" si="3"/>
        <v>0</v>
      </c>
      <c r="E10" s="2712">
        <f t="shared" si="3"/>
        <v>0</v>
      </c>
      <c r="F10" s="2712">
        <f t="shared" si="3"/>
        <v>0</v>
      </c>
      <c r="G10" s="2712">
        <f t="shared" si="3"/>
        <v>0</v>
      </c>
      <c r="H10" s="2712">
        <f t="shared" si="3"/>
        <v>11</v>
      </c>
      <c r="I10" s="2712">
        <f t="shared" si="3"/>
        <v>1726.2</v>
      </c>
      <c r="J10" s="2712">
        <f t="shared" si="3"/>
        <v>0</v>
      </c>
      <c r="K10" s="2712">
        <f t="shared" si="3"/>
        <v>2.59</v>
      </c>
      <c r="L10" s="2712">
        <f t="shared" si="3"/>
        <v>2.59</v>
      </c>
      <c r="M10" s="2712">
        <f t="shared" si="3"/>
        <v>0</v>
      </c>
      <c r="N10" s="2712">
        <f t="shared" si="3"/>
        <v>0</v>
      </c>
      <c r="O10" s="2712">
        <f t="shared" si="3"/>
        <v>0</v>
      </c>
      <c r="P10" s="2712">
        <f t="shared" si="3"/>
        <v>0</v>
      </c>
      <c r="Q10" s="2712">
        <f t="shared" si="3"/>
        <v>0</v>
      </c>
      <c r="R10" s="2712">
        <f t="shared" si="3"/>
        <v>0</v>
      </c>
      <c r="S10" s="2712">
        <f t="shared" si="3"/>
        <v>25</v>
      </c>
      <c r="T10" s="2712">
        <f t="shared" si="3"/>
        <v>1500.84</v>
      </c>
      <c r="U10" s="2769">
        <f t="shared" si="3"/>
        <v>5.3</v>
      </c>
      <c r="V10" s="2712">
        <f t="shared" si="3"/>
        <v>0</v>
      </c>
      <c r="W10" s="2769">
        <f t="shared" si="3"/>
        <v>5.3</v>
      </c>
      <c r="X10" s="2769">
        <f t="shared" si="3"/>
        <v>5.3</v>
      </c>
      <c r="Y10" s="2769">
        <f t="shared" si="3"/>
        <v>5.3</v>
      </c>
      <c r="Z10" s="2769">
        <f t="shared" si="3"/>
        <v>5.3</v>
      </c>
      <c r="AA10" s="2769">
        <f t="shared" si="3"/>
        <v>5.3</v>
      </c>
      <c r="AB10" s="2710"/>
    </row>
    <row r="11" spans="1:29" ht="93.75" customHeight="1" x14ac:dyDescent="0.25">
      <c r="A11" s="2731"/>
      <c r="B11" s="2725" t="s">
        <v>2644</v>
      </c>
      <c r="C11" s="2718"/>
      <c r="D11" s="2718"/>
      <c r="E11" s="2719"/>
      <c r="F11" s="2719"/>
      <c r="G11" s="2720"/>
      <c r="H11" s="2718"/>
      <c r="I11" s="2718"/>
      <c r="J11" s="2719"/>
      <c r="K11" s="2719"/>
      <c r="L11" s="2720"/>
      <c r="M11" s="2715"/>
      <c r="N11" s="2715"/>
      <c r="O11" s="2715"/>
      <c r="P11" s="2715"/>
      <c r="Q11" s="2715"/>
      <c r="R11" s="2730"/>
      <c r="S11" s="2718">
        <v>4</v>
      </c>
      <c r="T11" s="2718">
        <v>600</v>
      </c>
      <c r="U11" s="2719">
        <f>S11*T11/1000</f>
        <v>2.4</v>
      </c>
      <c r="V11" s="2719">
        <v>0</v>
      </c>
      <c r="W11" s="2720">
        <f>U11+V11</f>
        <v>2.4</v>
      </c>
      <c r="X11" s="2719">
        <f t="shared" si="1"/>
        <v>2.4</v>
      </c>
      <c r="Y11" s="2719">
        <v>2.4</v>
      </c>
      <c r="Z11" s="2719">
        <v>2.4</v>
      </c>
      <c r="AA11" s="2719">
        <v>2.4</v>
      </c>
      <c r="AB11" s="2732" t="s">
        <v>2645</v>
      </c>
    </row>
    <row r="12" spans="1:29" ht="84" customHeight="1" x14ac:dyDescent="0.25">
      <c r="A12" s="2731"/>
      <c r="B12" s="2725" t="s">
        <v>2646</v>
      </c>
      <c r="C12" s="2718"/>
      <c r="D12" s="2718"/>
      <c r="E12" s="2719"/>
      <c r="F12" s="2719"/>
      <c r="G12" s="2720"/>
      <c r="H12" s="2718"/>
      <c r="I12" s="2718"/>
      <c r="J12" s="2719"/>
      <c r="K12" s="2719"/>
      <c r="L12" s="2720"/>
      <c r="M12" s="2715"/>
      <c r="N12" s="2715"/>
      <c r="O12" s="2715"/>
      <c r="P12" s="2715"/>
      <c r="Q12" s="2715"/>
      <c r="R12" s="2730"/>
      <c r="S12" s="2718">
        <v>3</v>
      </c>
      <c r="T12" s="2718">
        <v>700</v>
      </c>
      <c r="U12" s="2719">
        <f t="shared" ref="U12:U15" si="4">S12*T12/1000</f>
        <v>2.1</v>
      </c>
      <c r="V12" s="2719">
        <v>0</v>
      </c>
      <c r="W12" s="2720">
        <f>U12+V12</f>
        <v>2.1</v>
      </c>
      <c r="X12" s="2719">
        <f t="shared" si="1"/>
        <v>2.1</v>
      </c>
      <c r="Y12" s="2719">
        <v>2.1</v>
      </c>
      <c r="Z12" s="2719">
        <v>2.1</v>
      </c>
      <c r="AA12" s="2719">
        <v>2.1</v>
      </c>
      <c r="AB12" s="2732" t="s">
        <v>2645</v>
      </c>
    </row>
    <row r="13" spans="1:29" ht="32.25" customHeight="1" x14ac:dyDescent="0.25">
      <c r="A13" s="2731"/>
      <c r="B13" s="2725" t="s">
        <v>2647</v>
      </c>
      <c r="C13" s="2718"/>
      <c r="D13" s="2718"/>
      <c r="E13" s="2719"/>
      <c r="F13" s="2719"/>
      <c r="G13" s="2720"/>
      <c r="H13" s="2718"/>
      <c r="I13" s="2718"/>
      <c r="J13" s="2719"/>
      <c r="K13" s="2719"/>
      <c r="L13" s="2720"/>
      <c r="M13" s="2715"/>
      <c r="N13" s="2715"/>
      <c r="O13" s="2715"/>
      <c r="P13" s="2715"/>
      <c r="Q13" s="2715"/>
      <c r="R13" s="2730"/>
      <c r="S13" s="2718">
        <v>12</v>
      </c>
      <c r="T13" s="2718">
        <v>30.66</v>
      </c>
      <c r="U13" s="2719">
        <f t="shared" si="4"/>
        <v>0.37</v>
      </c>
      <c r="V13" s="2719">
        <v>0</v>
      </c>
      <c r="W13" s="2720">
        <f t="shared" ref="W13:W15" si="5">U13+V13</f>
        <v>0.37</v>
      </c>
      <c r="X13" s="2719">
        <f t="shared" si="1"/>
        <v>0.37</v>
      </c>
      <c r="Y13" s="2719">
        <v>0.37</v>
      </c>
      <c r="Z13" s="2719">
        <f>U13</f>
        <v>0.37</v>
      </c>
      <c r="AA13" s="2719">
        <f>Z13</f>
        <v>0.37</v>
      </c>
      <c r="AB13" s="2732" t="s">
        <v>2648</v>
      </c>
    </row>
    <row r="14" spans="1:29" ht="40.5" customHeight="1" x14ac:dyDescent="0.25">
      <c r="A14" s="2731"/>
      <c r="B14" s="2725" t="s">
        <v>2649</v>
      </c>
      <c r="C14" s="2718"/>
      <c r="D14" s="2718"/>
      <c r="E14" s="2719"/>
      <c r="F14" s="2719"/>
      <c r="G14" s="2720"/>
      <c r="H14" s="2718"/>
      <c r="I14" s="2718"/>
      <c r="J14" s="2719"/>
      <c r="K14" s="2719"/>
      <c r="L14" s="2720"/>
      <c r="M14" s="2715"/>
      <c r="N14" s="2715"/>
      <c r="O14" s="2715"/>
      <c r="P14" s="2715"/>
      <c r="Q14" s="2715"/>
      <c r="R14" s="2730"/>
      <c r="S14" s="2718">
        <v>2</v>
      </c>
      <c r="T14" s="2718">
        <v>108.29</v>
      </c>
      <c r="U14" s="2719">
        <f t="shared" si="4"/>
        <v>0.22</v>
      </c>
      <c r="V14" s="2719">
        <v>0</v>
      </c>
      <c r="W14" s="2720">
        <f t="shared" si="5"/>
        <v>0.22</v>
      </c>
      <c r="X14" s="2719">
        <f t="shared" si="1"/>
        <v>0.22</v>
      </c>
      <c r="Y14" s="2719">
        <v>0.22</v>
      </c>
      <c r="Z14" s="2719">
        <f t="shared" ref="Z14:Z15" si="6">U14</f>
        <v>0.22</v>
      </c>
      <c r="AA14" s="2719">
        <f t="shared" ref="AA14:AA15" si="7">Z14</f>
        <v>0.22</v>
      </c>
      <c r="AB14" s="2732" t="s">
        <v>2650</v>
      </c>
    </row>
    <row r="15" spans="1:29" ht="35.25" customHeight="1" x14ac:dyDescent="0.25">
      <c r="A15" s="2731"/>
      <c r="B15" s="2725" t="s">
        <v>2651</v>
      </c>
      <c r="C15" s="2718"/>
      <c r="D15" s="2718"/>
      <c r="E15" s="2719"/>
      <c r="F15" s="2719"/>
      <c r="G15" s="2720"/>
      <c r="H15" s="2718"/>
      <c r="I15" s="2718"/>
      <c r="J15" s="2719"/>
      <c r="K15" s="2719"/>
      <c r="L15" s="2720"/>
      <c r="M15" s="2715"/>
      <c r="N15" s="2715"/>
      <c r="O15" s="2715"/>
      <c r="P15" s="2715"/>
      <c r="Q15" s="2715"/>
      <c r="R15" s="2730"/>
      <c r="S15" s="2718">
        <v>4</v>
      </c>
      <c r="T15" s="2718">
        <v>61.89</v>
      </c>
      <c r="U15" s="2719">
        <f t="shared" si="4"/>
        <v>0.25</v>
      </c>
      <c r="V15" s="2719">
        <v>0</v>
      </c>
      <c r="W15" s="2720">
        <f t="shared" si="5"/>
        <v>0.25</v>
      </c>
      <c r="X15" s="2719">
        <f t="shared" si="1"/>
        <v>0.25</v>
      </c>
      <c r="Y15" s="2719">
        <v>0.25</v>
      </c>
      <c r="Z15" s="2719">
        <f t="shared" si="6"/>
        <v>0.25</v>
      </c>
      <c r="AA15" s="2719">
        <f t="shared" si="7"/>
        <v>0.25</v>
      </c>
      <c r="AB15" s="2732" t="s">
        <v>2652</v>
      </c>
    </row>
    <row r="16" spans="1:29" ht="45.75" customHeight="1" x14ac:dyDescent="0.25">
      <c r="A16" s="2731"/>
      <c r="B16" s="2725" t="s">
        <v>2653</v>
      </c>
      <c r="C16" s="2718"/>
      <c r="D16" s="2718"/>
      <c r="E16" s="2719"/>
      <c r="F16" s="2719"/>
      <c r="G16" s="2720"/>
      <c r="H16" s="2718">
        <v>2</v>
      </c>
      <c r="I16" s="2718">
        <v>300</v>
      </c>
      <c r="J16" s="2719">
        <v>0</v>
      </c>
      <c r="K16" s="2719">
        <f>I16*H16/1000</f>
        <v>0.6</v>
      </c>
      <c r="L16" s="2720">
        <f>K16</f>
        <v>0.6</v>
      </c>
      <c r="M16" s="2715"/>
      <c r="N16" s="2715"/>
      <c r="O16" s="2715"/>
      <c r="P16" s="2715"/>
      <c r="Q16" s="2715"/>
      <c r="R16" s="2730"/>
      <c r="S16" s="2718"/>
      <c r="T16" s="2718"/>
      <c r="U16" s="2719"/>
      <c r="V16" s="2719"/>
      <c r="W16" s="2720"/>
      <c r="X16" s="2719">
        <f t="shared" si="1"/>
        <v>0</v>
      </c>
      <c r="Y16" s="2719">
        <f t="shared" si="2"/>
        <v>0</v>
      </c>
      <c r="Z16" s="2719"/>
      <c r="AA16" s="2719"/>
      <c r="AB16" s="2732" t="s">
        <v>2650</v>
      </c>
    </row>
    <row r="17" spans="1:28" ht="29.25" customHeight="1" x14ac:dyDescent="0.25">
      <c r="A17" s="2731"/>
      <c r="B17" s="2725" t="s">
        <v>2649</v>
      </c>
      <c r="C17" s="2718"/>
      <c r="D17" s="2718"/>
      <c r="E17" s="2719"/>
      <c r="F17" s="2719"/>
      <c r="G17" s="2720"/>
      <c r="H17" s="2718">
        <v>2</v>
      </c>
      <c r="I17" s="2718">
        <v>81.599999999999994</v>
      </c>
      <c r="J17" s="2719">
        <v>0</v>
      </c>
      <c r="K17" s="2719">
        <f t="shared" ref="K17:K20" si="8">I17*H17/1000</f>
        <v>0.16</v>
      </c>
      <c r="L17" s="2720">
        <f t="shared" ref="L17:L20" si="9">K17</f>
        <v>0.16</v>
      </c>
      <c r="M17" s="2715"/>
      <c r="N17" s="2715"/>
      <c r="O17" s="2715"/>
      <c r="P17" s="2715"/>
      <c r="Q17" s="2715"/>
      <c r="R17" s="2730"/>
      <c r="S17" s="2714"/>
      <c r="T17" s="2714"/>
      <c r="U17" s="2715"/>
      <c r="V17" s="2715"/>
      <c r="W17" s="2716"/>
      <c r="X17" s="2715">
        <f t="shared" si="1"/>
        <v>0</v>
      </c>
      <c r="Y17" s="2733">
        <f t="shared" si="2"/>
        <v>0</v>
      </c>
      <c r="Z17" s="2733"/>
      <c r="AA17" s="2733"/>
      <c r="AB17" s="2734"/>
    </row>
    <row r="18" spans="1:28" ht="33.75" customHeight="1" x14ac:dyDescent="0.25">
      <c r="A18" s="2731"/>
      <c r="B18" s="2725" t="s">
        <v>2651</v>
      </c>
      <c r="C18" s="2718"/>
      <c r="D18" s="2718"/>
      <c r="E18" s="2719"/>
      <c r="F18" s="2719"/>
      <c r="G18" s="2720"/>
      <c r="H18" s="2718">
        <v>4</v>
      </c>
      <c r="I18" s="2718">
        <v>50.1</v>
      </c>
      <c r="J18" s="2719">
        <v>0</v>
      </c>
      <c r="K18" s="2719">
        <f t="shared" si="8"/>
        <v>0.2</v>
      </c>
      <c r="L18" s="2720">
        <f t="shared" si="9"/>
        <v>0.2</v>
      </c>
      <c r="M18" s="2715"/>
      <c r="N18" s="2715"/>
      <c r="O18" s="2715"/>
      <c r="P18" s="2715"/>
      <c r="Q18" s="2715"/>
      <c r="R18" s="2730"/>
      <c r="S18" s="2714"/>
      <c r="T18" s="2714"/>
      <c r="U18" s="2715"/>
      <c r="V18" s="2715"/>
      <c r="W18" s="2716"/>
      <c r="X18" s="2715">
        <f t="shared" si="1"/>
        <v>0</v>
      </c>
      <c r="Y18" s="2733">
        <f t="shared" si="2"/>
        <v>0</v>
      </c>
      <c r="Z18" s="2733"/>
      <c r="AA18" s="2733"/>
      <c r="AB18" s="2734"/>
    </row>
    <row r="19" spans="1:28" ht="24.75" customHeight="1" x14ac:dyDescent="0.25">
      <c r="A19" s="2731"/>
      <c r="B19" s="2725" t="s">
        <v>2654</v>
      </c>
      <c r="C19" s="2718"/>
      <c r="D19" s="2718"/>
      <c r="E19" s="2719"/>
      <c r="F19" s="2719"/>
      <c r="G19" s="2720"/>
      <c r="H19" s="2718">
        <v>2</v>
      </c>
      <c r="I19" s="2718">
        <v>329.2</v>
      </c>
      <c r="J19" s="2719">
        <v>0</v>
      </c>
      <c r="K19" s="2719">
        <f t="shared" si="8"/>
        <v>0.66</v>
      </c>
      <c r="L19" s="2720">
        <f t="shared" si="9"/>
        <v>0.66</v>
      </c>
      <c r="M19" s="2715"/>
      <c r="N19" s="2715"/>
      <c r="O19" s="2715"/>
      <c r="P19" s="2715"/>
      <c r="Q19" s="2715"/>
      <c r="R19" s="2730"/>
      <c r="S19" s="2714"/>
      <c r="T19" s="2714"/>
      <c r="U19" s="2715"/>
      <c r="V19" s="2715"/>
      <c r="W19" s="2716"/>
      <c r="X19" s="2715">
        <f t="shared" si="1"/>
        <v>0</v>
      </c>
      <c r="Y19" s="2733">
        <f t="shared" si="2"/>
        <v>0</v>
      </c>
      <c r="Z19" s="2733"/>
      <c r="AA19" s="2733"/>
      <c r="AB19" s="2734"/>
    </row>
    <row r="20" spans="1:28" ht="33.75" customHeight="1" x14ac:dyDescent="0.25">
      <c r="A20" s="2731"/>
      <c r="B20" s="2725" t="s">
        <v>2655</v>
      </c>
      <c r="C20" s="2718"/>
      <c r="D20" s="2718"/>
      <c r="E20" s="2719"/>
      <c r="F20" s="2719"/>
      <c r="G20" s="2720"/>
      <c r="H20" s="2718">
        <v>1</v>
      </c>
      <c r="I20" s="2718">
        <v>965.3</v>
      </c>
      <c r="J20" s="2719">
        <v>0</v>
      </c>
      <c r="K20" s="2719">
        <f t="shared" si="8"/>
        <v>0.97</v>
      </c>
      <c r="L20" s="2720">
        <f t="shared" si="9"/>
        <v>0.97</v>
      </c>
      <c r="M20" s="2715"/>
      <c r="N20" s="2715"/>
      <c r="O20" s="2715"/>
      <c r="P20" s="2715"/>
      <c r="Q20" s="2715"/>
      <c r="R20" s="2730"/>
      <c r="S20" s="2714"/>
      <c r="T20" s="2714"/>
      <c r="U20" s="2715"/>
      <c r="V20" s="2715"/>
      <c r="W20" s="2716"/>
      <c r="X20" s="2715">
        <f t="shared" si="1"/>
        <v>0</v>
      </c>
      <c r="Y20" s="2733">
        <f t="shared" si="2"/>
        <v>0</v>
      </c>
      <c r="Z20" s="2733"/>
      <c r="AA20" s="2733"/>
      <c r="AB20" s="2734"/>
    </row>
    <row r="21" spans="1:28" s="2709" customFormat="1" x14ac:dyDescent="0.25">
      <c r="A21" s="2722" t="s">
        <v>365</v>
      </c>
      <c r="B21" s="2723" t="s">
        <v>377</v>
      </c>
      <c r="C21" s="2712">
        <f>SUM(C22:C26)</f>
        <v>29.75</v>
      </c>
      <c r="D21" s="2712">
        <f t="shared" ref="D21:AA21" si="10">SUM(D22:D26)</f>
        <v>8177</v>
      </c>
      <c r="E21" s="2712">
        <f t="shared" si="10"/>
        <v>0</v>
      </c>
      <c r="F21" s="2712">
        <f t="shared" si="10"/>
        <v>28.83</v>
      </c>
      <c r="G21" s="2712">
        <f t="shared" si="10"/>
        <v>28.83</v>
      </c>
      <c r="H21" s="2712">
        <f t="shared" si="10"/>
        <v>6</v>
      </c>
      <c r="I21" s="2712">
        <f t="shared" si="10"/>
        <v>569</v>
      </c>
      <c r="J21" s="2712">
        <f t="shared" si="10"/>
        <v>0</v>
      </c>
      <c r="K21" s="2712">
        <f t="shared" si="10"/>
        <v>3.41</v>
      </c>
      <c r="L21" s="2712">
        <f t="shared" si="10"/>
        <v>3.41</v>
      </c>
      <c r="M21" s="2712">
        <f t="shared" si="10"/>
        <v>0</v>
      </c>
      <c r="N21" s="2712">
        <f t="shared" si="10"/>
        <v>0</v>
      </c>
      <c r="O21" s="2712">
        <f t="shared" si="10"/>
        <v>0</v>
      </c>
      <c r="P21" s="2712">
        <f t="shared" si="10"/>
        <v>0</v>
      </c>
      <c r="Q21" s="2712">
        <f t="shared" si="10"/>
        <v>0</v>
      </c>
      <c r="R21" s="2712">
        <f t="shared" si="10"/>
        <v>0</v>
      </c>
      <c r="S21" s="2712">
        <f t="shared" si="10"/>
        <v>0</v>
      </c>
      <c r="T21" s="2712">
        <f t="shared" si="10"/>
        <v>0</v>
      </c>
      <c r="U21" s="2712">
        <f t="shared" si="10"/>
        <v>0</v>
      </c>
      <c r="V21" s="2712">
        <f t="shared" si="10"/>
        <v>0</v>
      </c>
      <c r="W21" s="2712">
        <f t="shared" si="10"/>
        <v>0</v>
      </c>
      <c r="X21" s="2712">
        <f t="shared" si="10"/>
        <v>0</v>
      </c>
      <c r="Y21" s="2712">
        <f t="shared" si="10"/>
        <v>0</v>
      </c>
      <c r="Z21" s="2712">
        <f t="shared" si="10"/>
        <v>0</v>
      </c>
      <c r="AA21" s="2712">
        <f t="shared" si="10"/>
        <v>0</v>
      </c>
      <c r="AB21" s="2710"/>
    </row>
    <row r="22" spans="1:28" ht="24" customHeight="1" x14ac:dyDescent="0.25">
      <c r="A22" s="2731"/>
      <c r="B22" s="2727" t="s">
        <v>2656</v>
      </c>
      <c r="C22" s="2718">
        <v>9</v>
      </c>
      <c r="D22" s="2718">
        <v>1272</v>
      </c>
      <c r="E22" s="2719"/>
      <c r="F22" s="2719">
        <f>C22*D22/1000</f>
        <v>11.45</v>
      </c>
      <c r="G22" s="2720">
        <f>E22+F22</f>
        <v>11.45</v>
      </c>
      <c r="H22" s="2718">
        <v>6</v>
      </c>
      <c r="I22" s="2718">
        <v>569</v>
      </c>
      <c r="J22" s="2719"/>
      <c r="K22" s="2719">
        <f t="shared" ref="K22" si="11">I22*H22/1000</f>
        <v>3.41</v>
      </c>
      <c r="L22" s="2720">
        <f>K22</f>
        <v>3.41</v>
      </c>
      <c r="M22" s="2715"/>
      <c r="N22" s="2715"/>
      <c r="O22" s="2715"/>
      <c r="P22" s="2715"/>
      <c r="Q22" s="2715"/>
      <c r="R22" s="2730"/>
      <c r="S22" s="2714"/>
      <c r="T22" s="2714"/>
      <c r="U22" s="2715"/>
      <c r="V22" s="2715"/>
      <c r="W22" s="2716"/>
      <c r="X22" s="2715">
        <f t="shared" ref="X22:X26" si="12">U22-J22</f>
        <v>0</v>
      </c>
      <c r="Y22" s="2733">
        <f t="shared" ref="Y22:Y26" si="13">IFERROR((U22)/J22*100,0)</f>
        <v>0</v>
      </c>
      <c r="Z22" s="2733"/>
      <c r="AA22" s="2733"/>
      <c r="AB22" s="2734"/>
    </row>
    <row r="23" spans="1:28" ht="24" customHeight="1" x14ac:dyDescent="0.25">
      <c r="A23" s="2731"/>
      <c r="B23" s="2727" t="s">
        <v>2657</v>
      </c>
      <c r="C23" s="2718">
        <v>10</v>
      </c>
      <c r="D23" s="2718">
        <v>297</v>
      </c>
      <c r="E23" s="2719"/>
      <c r="F23" s="2719">
        <f t="shared" ref="F23:F26" si="14">C23*D23/1000</f>
        <v>2.97</v>
      </c>
      <c r="G23" s="2720">
        <f t="shared" ref="G23:G26" si="15">E23+F23</f>
        <v>2.97</v>
      </c>
      <c r="H23" s="2718"/>
      <c r="I23" s="2718"/>
      <c r="J23" s="2719"/>
      <c r="K23" s="2719"/>
      <c r="L23" s="2720"/>
      <c r="M23" s="2715"/>
      <c r="N23" s="2715"/>
      <c r="O23" s="2715"/>
      <c r="P23" s="2715"/>
      <c r="Q23" s="2715"/>
      <c r="R23" s="2730"/>
      <c r="S23" s="2714"/>
      <c r="T23" s="2714"/>
      <c r="U23" s="2715"/>
      <c r="V23" s="2715"/>
      <c r="W23" s="2716"/>
      <c r="X23" s="2715">
        <f t="shared" si="12"/>
        <v>0</v>
      </c>
      <c r="Y23" s="2733">
        <f t="shared" si="13"/>
        <v>0</v>
      </c>
      <c r="Z23" s="2733"/>
      <c r="AA23" s="2733"/>
      <c r="AB23" s="2734"/>
    </row>
    <row r="24" spans="1:28" ht="24" customHeight="1" x14ac:dyDescent="0.25">
      <c r="A24" s="2731"/>
      <c r="B24" s="2727" t="s">
        <v>2658</v>
      </c>
      <c r="C24" s="2718">
        <v>1</v>
      </c>
      <c r="D24" s="2718">
        <v>2845</v>
      </c>
      <c r="E24" s="2719"/>
      <c r="F24" s="2719">
        <f t="shared" si="14"/>
        <v>2.85</v>
      </c>
      <c r="G24" s="2720">
        <f t="shared" si="15"/>
        <v>2.85</v>
      </c>
      <c r="H24" s="2718"/>
      <c r="I24" s="2718"/>
      <c r="J24" s="2719"/>
      <c r="K24" s="2719"/>
      <c r="L24" s="2720"/>
      <c r="M24" s="2715"/>
      <c r="N24" s="2715"/>
      <c r="O24" s="2715"/>
      <c r="P24" s="2715"/>
      <c r="Q24" s="2715"/>
      <c r="R24" s="2730"/>
      <c r="S24" s="2714"/>
      <c r="T24" s="2714"/>
      <c r="U24" s="2715"/>
      <c r="V24" s="2715"/>
      <c r="W24" s="2716"/>
      <c r="X24" s="2715">
        <f t="shared" si="12"/>
        <v>0</v>
      </c>
      <c r="Y24" s="2733">
        <f t="shared" si="13"/>
        <v>0</v>
      </c>
      <c r="Z24" s="2733"/>
      <c r="AA24" s="2733"/>
      <c r="AB24" s="2734"/>
    </row>
    <row r="25" spans="1:28" ht="24" customHeight="1" x14ac:dyDescent="0.25">
      <c r="A25" s="2731"/>
      <c r="B25" s="2727" t="s">
        <v>2659</v>
      </c>
      <c r="C25" s="2718">
        <v>2</v>
      </c>
      <c r="D25" s="2718">
        <v>3063</v>
      </c>
      <c r="E25" s="2719"/>
      <c r="F25" s="2719">
        <f t="shared" si="14"/>
        <v>6.13</v>
      </c>
      <c r="G25" s="2720">
        <f t="shared" si="15"/>
        <v>6.13</v>
      </c>
      <c r="H25" s="2718"/>
      <c r="I25" s="2718"/>
      <c r="J25" s="2719"/>
      <c r="K25" s="2719"/>
      <c r="L25" s="2720"/>
      <c r="M25" s="2715"/>
      <c r="N25" s="2715"/>
      <c r="O25" s="2715"/>
      <c r="P25" s="2715"/>
      <c r="Q25" s="2715"/>
      <c r="R25" s="2730"/>
      <c r="S25" s="2714"/>
      <c r="T25" s="2714"/>
      <c r="U25" s="2715"/>
      <c r="V25" s="2715"/>
      <c r="W25" s="2716"/>
      <c r="X25" s="2715">
        <f t="shared" si="12"/>
        <v>0</v>
      </c>
      <c r="Y25" s="2733">
        <f t="shared" si="13"/>
        <v>0</v>
      </c>
      <c r="Z25" s="2733"/>
      <c r="AA25" s="2733"/>
      <c r="AB25" s="2734"/>
    </row>
    <row r="26" spans="1:28" ht="24" customHeight="1" x14ac:dyDescent="0.25">
      <c r="A26" s="2731"/>
      <c r="B26" s="2727" t="s">
        <v>2660</v>
      </c>
      <c r="C26" s="2718">
        <v>7.75</v>
      </c>
      <c r="D26" s="2718">
        <v>700</v>
      </c>
      <c r="E26" s="2718"/>
      <c r="F26" s="2718">
        <f t="shared" si="14"/>
        <v>5.43</v>
      </c>
      <c r="G26" s="2726">
        <f t="shared" si="15"/>
        <v>5.43</v>
      </c>
      <c r="H26" s="2718"/>
      <c r="I26" s="2718"/>
      <c r="J26" s="2718"/>
      <c r="K26" s="2718"/>
      <c r="L26" s="2726"/>
      <c r="M26" s="2714"/>
      <c r="N26" s="2714"/>
      <c r="O26" s="2714"/>
      <c r="P26" s="2714"/>
      <c r="Q26" s="2714"/>
      <c r="R26" s="2766"/>
      <c r="S26" s="2714"/>
      <c r="T26" s="2714"/>
      <c r="U26" s="2714"/>
      <c r="V26" s="2714"/>
      <c r="W26" s="2735"/>
      <c r="X26" s="2714">
        <f t="shared" si="12"/>
        <v>0</v>
      </c>
      <c r="Y26" s="2767">
        <f t="shared" si="13"/>
        <v>0</v>
      </c>
      <c r="Z26" s="2767"/>
      <c r="AA26" s="2767"/>
      <c r="AB26" s="2734"/>
    </row>
    <row r="27" spans="1:28" x14ac:dyDescent="0.25">
      <c r="A27" s="2737"/>
      <c r="B27" s="2738"/>
      <c r="C27" s="2739"/>
      <c r="D27" s="2739"/>
      <c r="E27" s="2739"/>
      <c r="F27" s="2739"/>
      <c r="G27" s="2740"/>
      <c r="H27" s="2739"/>
      <c r="I27" s="2739"/>
      <c r="J27" s="2739"/>
      <c r="K27" s="2739"/>
      <c r="L27" s="2740"/>
      <c r="M27" s="2739"/>
      <c r="N27" s="2739"/>
      <c r="O27" s="2739"/>
      <c r="P27" s="2739"/>
      <c r="Q27" s="2739"/>
      <c r="R27" s="2739"/>
      <c r="S27" s="2739"/>
      <c r="T27" s="2739"/>
      <c r="U27" s="2739"/>
      <c r="V27" s="2739"/>
      <c r="W27" s="2740"/>
      <c r="X27" s="2739"/>
      <c r="Y27" s="2739"/>
      <c r="Z27" s="2739"/>
      <c r="AA27" s="2739"/>
      <c r="AB27" s="2737"/>
    </row>
    <row r="28" spans="1:28" s="2746" customFormat="1" ht="18.75" x14ac:dyDescent="0.3">
      <c r="A28" s="2741"/>
      <c r="B28" s="2742"/>
      <c r="C28" s="2743"/>
      <c r="D28" s="2743"/>
      <c r="E28" s="2743"/>
      <c r="F28" s="2743"/>
      <c r="G28" s="2744"/>
      <c r="H28" s="2743"/>
      <c r="I28" s="2743"/>
      <c r="J28" s="2743"/>
      <c r="K28" s="2743"/>
      <c r="L28" s="2744"/>
      <c r="M28" s="2743"/>
      <c r="N28" s="2743"/>
      <c r="O28" s="2743"/>
      <c r="P28" s="2743"/>
      <c r="Q28" s="2743"/>
      <c r="R28" s="2743"/>
      <c r="S28" s="2743"/>
      <c r="T28" s="2743"/>
      <c r="U28" s="2743"/>
      <c r="V28" s="2743"/>
      <c r="W28" s="2744"/>
      <c r="X28" s="2743"/>
      <c r="Y28" s="2743"/>
      <c r="Z28" s="2743"/>
      <c r="AA28" s="2743"/>
      <c r="AB28" s="2745"/>
    </row>
    <row r="29" spans="1:28" ht="18.75" x14ac:dyDescent="0.3">
      <c r="A29" s="2747"/>
      <c r="B29" s="2738"/>
      <c r="C29" s="2739"/>
      <c r="D29" s="2739"/>
      <c r="E29" s="2739"/>
      <c r="F29" s="2739"/>
      <c r="G29" s="2740"/>
      <c r="H29" s="2739"/>
      <c r="I29" s="2739"/>
      <c r="J29" s="2739"/>
      <c r="K29" s="2739"/>
      <c r="L29" s="2740"/>
      <c r="M29" s="2739"/>
      <c r="N29" s="2739"/>
      <c r="O29" s="2739"/>
      <c r="P29" s="2739"/>
      <c r="Q29" s="2739"/>
      <c r="R29" s="2739"/>
      <c r="S29" s="2739"/>
      <c r="T29" s="2739"/>
      <c r="U29" s="2739"/>
      <c r="V29" s="2739"/>
      <c r="W29" s="2740"/>
      <c r="X29" s="2739"/>
      <c r="Y29" s="2739"/>
      <c r="Z29" s="2739"/>
      <c r="AA29" s="2739"/>
      <c r="AB29" s="2737"/>
    </row>
    <row r="30" spans="1:28" ht="18.75" x14ac:dyDescent="0.3">
      <c r="A30" s="2748"/>
    </row>
    <row r="31" spans="1:28" ht="18.75" customHeight="1" x14ac:dyDescent="0.25"/>
    <row r="32" spans="1:28" s="2749" customFormat="1" ht="20.25" x14ac:dyDescent="0.3">
      <c r="B32" s="2750"/>
      <c r="C32" s="3741"/>
      <c r="D32" s="3741"/>
      <c r="E32" s="3741"/>
      <c r="F32" s="2751"/>
      <c r="G32" s="2752"/>
      <c r="H32" s="2751"/>
      <c r="I32" s="3741"/>
      <c r="J32" s="3741"/>
      <c r="K32" s="2753"/>
      <c r="L32" s="2754"/>
      <c r="M32" s="2753"/>
      <c r="N32" s="2753"/>
      <c r="O32" s="2753"/>
      <c r="P32" s="2753"/>
      <c r="Q32" s="2754"/>
      <c r="R32" s="2753"/>
      <c r="S32" s="2753"/>
      <c r="T32" s="2753"/>
      <c r="U32" s="2753"/>
      <c r="V32" s="2754"/>
      <c r="W32" s="2754"/>
      <c r="X32" s="2753"/>
      <c r="Y32" s="2753"/>
      <c r="Z32" s="2753"/>
      <c r="AA32" s="2753"/>
    </row>
    <row r="33" spans="1:29" s="2755" customFormat="1" ht="18.75" x14ac:dyDescent="0.3">
      <c r="B33" s="2756"/>
      <c r="C33" s="3742"/>
      <c r="D33" s="3742"/>
      <c r="E33" s="3742"/>
      <c r="F33" s="2757"/>
      <c r="G33" s="2758"/>
      <c r="H33" s="2757"/>
      <c r="I33" s="3742"/>
      <c r="J33" s="3742"/>
      <c r="K33" s="2759"/>
      <c r="L33" s="2760"/>
      <c r="M33" s="2759"/>
      <c r="N33" s="2759"/>
      <c r="O33" s="2759"/>
      <c r="P33" s="2759"/>
      <c r="Q33" s="2760"/>
      <c r="R33" s="2759"/>
      <c r="S33" s="2759"/>
      <c r="T33" s="2759"/>
      <c r="U33" s="2759"/>
      <c r="V33" s="2760"/>
      <c r="W33" s="2760"/>
      <c r="X33" s="2759"/>
      <c r="Y33" s="2759"/>
      <c r="Z33" s="2759"/>
      <c r="AA33" s="2759"/>
    </row>
    <row r="34" spans="1:29" s="2755" customFormat="1" ht="18.75" x14ac:dyDescent="0.3">
      <c r="B34" s="2756"/>
      <c r="C34" s="2761"/>
      <c r="D34" s="2762"/>
      <c r="E34" s="2757"/>
      <c r="F34" s="2757"/>
      <c r="G34" s="2758"/>
      <c r="H34" s="2757"/>
      <c r="I34" s="2757"/>
      <c r="J34" s="2757"/>
      <c r="K34" s="2759"/>
      <c r="L34" s="2760"/>
      <c r="M34" s="2759"/>
      <c r="N34" s="2759"/>
      <c r="O34" s="2759"/>
      <c r="P34" s="2759"/>
      <c r="Q34" s="2760"/>
      <c r="R34" s="2759"/>
      <c r="S34" s="2759"/>
      <c r="T34" s="2759"/>
      <c r="U34" s="2759"/>
      <c r="V34" s="2760"/>
      <c r="W34" s="2760"/>
      <c r="X34" s="2759"/>
      <c r="Y34" s="2759"/>
      <c r="Z34" s="2759"/>
      <c r="AA34" s="2759"/>
    </row>
    <row r="35" spans="1:29" ht="18.75" x14ac:dyDescent="0.3">
      <c r="B35" s="2763"/>
      <c r="C35" s="2761"/>
      <c r="D35" s="2762"/>
      <c r="Q35" s="2697"/>
      <c r="V35" s="2697"/>
    </row>
    <row r="36" spans="1:29" ht="18.75" x14ac:dyDescent="0.3">
      <c r="B36" s="2763"/>
      <c r="C36" s="2764"/>
      <c r="D36" s="2765"/>
    </row>
    <row r="38" spans="1:29" s="2696" customFormat="1" x14ac:dyDescent="0.25">
      <c r="A38" s="2695"/>
      <c r="B38" s="2695"/>
      <c r="AC38" s="2695"/>
    </row>
  </sheetData>
  <autoFilter ref="A6:AB26">
    <filterColumn colId="25" showButton="0"/>
  </autoFilter>
  <mergeCells count="28">
    <mergeCell ref="S4:W4"/>
    <mergeCell ref="X4:Y5"/>
    <mergeCell ref="C32:E32"/>
    <mergeCell ref="I32:J32"/>
    <mergeCell ref="C33:E33"/>
    <mergeCell ref="I33:J33"/>
    <mergeCell ref="T5:T6"/>
    <mergeCell ref="J5:L5"/>
    <mergeCell ref="S5:S6"/>
    <mergeCell ref="U5:W5"/>
    <mergeCell ref="H5:H6"/>
    <mergeCell ref="I5:I6"/>
    <mergeCell ref="Z5:AA5"/>
    <mergeCell ref="Z6:AA6"/>
    <mergeCell ref="W1:AB1"/>
    <mergeCell ref="A2:AB2"/>
    <mergeCell ref="A4:A6"/>
    <mergeCell ref="B4:B6"/>
    <mergeCell ref="C4:G4"/>
    <mergeCell ref="H4:L4"/>
    <mergeCell ref="M4:M6"/>
    <mergeCell ref="N4:N6"/>
    <mergeCell ref="O4:P5"/>
    <mergeCell ref="Q4:R5"/>
    <mergeCell ref="AB4:AB6"/>
    <mergeCell ref="C5:C6"/>
    <mergeCell ref="D5:D6"/>
    <mergeCell ref="E5:G5"/>
  </mergeCells>
  <pageMargins left="0.70866141732283472" right="0.70866141732283472" top="0.35433070866141736" bottom="0.35433070866141736" header="0.31496062992125984" footer="0.31496062992125984"/>
  <pageSetup paperSize="9" scale="2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D218"/>
  <sheetViews>
    <sheetView view="pageBreakPreview" zoomScale="60" zoomScaleNormal="50" workbookViewId="0">
      <pane xSplit="2" ySplit="7" topLeftCell="C8" activePane="bottomRight" state="frozen"/>
      <selection pane="topRight" activeCell="C1" sqref="C1"/>
      <selection pane="bottomLeft" activeCell="A8" sqref="A8"/>
      <selection pane="bottomRight" activeCell="A23" sqref="A23:L29"/>
    </sheetView>
  </sheetViews>
  <sheetFormatPr defaultRowHeight="15.75" x14ac:dyDescent="0.25"/>
  <cols>
    <col min="1" max="1" width="9.33203125" style="2695"/>
    <col min="2" max="2" width="45.33203125" style="2771" customWidth="1"/>
    <col min="3" max="3" width="15.6640625" style="2772" customWidth="1"/>
    <col min="4" max="7" width="16.5" style="2765" customWidth="1"/>
    <col min="8" max="8" width="16.5" style="2841" customWidth="1"/>
    <col min="9" max="9" width="16" style="2772" customWidth="1"/>
    <col min="10" max="10" width="16.1640625" style="2765" customWidth="1"/>
    <col min="11" max="11" width="17.33203125" style="2765" customWidth="1"/>
    <col min="12" max="13" width="15.83203125" style="2765" customWidth="1"/>
    <col min="14" max="14" width="17.1640625" style="2841" customWidth="1"/>
    <col min="15" max="15" width="16" style="2772" customWidth="1"/>
    <col min="16" max="16" width="16.83203125" style="2765" customWidth="1"/>
    <col min="17" max="17" width="17.33203125" style="2765" customWidth="1"/>
    <col min="18" max="19" width="14.83203125" style="2765" customWidth="1"/>
    <col min="20" max="20" width="14.83203125" style="2774" customWidth="1"/>
    <col min="21" max="21" width="14.33203125" style="2772" customWidth="1"/>
    <col min="22" max="23" width="15.83203125" style="2765" customWidth="1"/>
    <col min="24" max="24" width="14.6640625" style="2765" customWidth="1"/>
    <col min="25" max="25" width="19.83203125" style="2841" customWidth="1"/>
    <col min="26" max="26" width="16.1640625" style="2774" customWidth="1"/>
    <col min="27" max="27" width="16.83203125" style="2774" customWidth="1"/>
    <col min="28" max="28" width="19.83203125" style="2842" customWidth="1"/>
    <col min="29" max="29" width="18.83203125" style="2842" customWidth="1"/>
    <col min="30" max="30" width="70.6640625" style="2695" customWidth="1"/>
    <col min="31" max="16384" width="9.33203125" style="2695"/>
  </cols>
  <sheetData>
    <row r="1" spans="1:30" ht="31.5" x14ac:dyDescent="0.25">
      <c r="H1" s="2773"/>
      <c r="N1" s="2773"/>
      <c r="Y1" s="2773"/>
      <c r="AB1" s="2775"/>
      <c r="AC1" s="2775"/>
      <c r="AD1" s="2776" t="s">
        <v>741</v>
      </c>
    </row>
    <row r="2" spans="1:30" ht="16.5" x14ac:dyDescent="0.25">
      <c r="A2" s="3743" t="s">
        <v>2856</v>
      </c>
      <c r="B2" s="3743"/>
      <c r="C2" s="3743"/>
      <c r="D2" s="3744"/>
      <c r="E2" s="3744"/>
      <c r="F2" s="3744"/>
      <c r="G2" s="3744"/>
      <c r="H2" s="3744"/>
      <c r="I2" s="3743"/>
      <c r="J2" s="3744"/>
      <c r="K2" s="3744"/>
      <c r="L2" s="3744"/>
      <c r="M2" s="3744"/>
      <c r="N2" s="3744"/>
      <c r="O2" s="3743"/>
      <c r="P2" s="3744"/>
      <c r="Q2" s="3744"/>
      <c r="R2" s="3744"/>
      <c r="S2" s="3744"/>
      <c r="T2" s="3744"/>
      <c r="U2" s="3743"/>
      <c r="V2" s="3744"/>
      <c r="W2" s="3744"/>
      <c r="X2" s="3744"/>
      <c r="Y2" s="3744"/>
      <c r="Z2" s="3744"/>
      <c r="AA2" s="3744"/>
      <c r="AB2" s="3744"/>
      <c r="AC2" s="3744"/>
      <c r="AD2" s="3743"/>
    </row>
    <row r="3" spans="1:30" ht="16.5" x14ac:dyDescent="0.25">
      <c r="A3" s="3142" t="s">
        <v>742</v>
      </c>
      <c r="B3" s="3143"/>
      <c r="C3" s="3144"/>
      <c r="D3" s="3145"/>
      <c r="E3" s="3145"/>
      <c r="F3" s="3145"/>
      <c r="G3" s="3145"/>
      <c r="H3" s="3146"/>
      <c r="I3" s="3144"/>
      <c r="J3" s="3145"/>
      <c r="K3" s="3145"/>
      <c r="L3" s="3145"/>
      <c r="M3" s="3145"/>
      <c r="N3" s="3146" t="s">
        <v>2024</v>
      </c>
      <c r="O3" s="3144"/>
      <c r="P3" s="3145"/>
      <c r="Q3" s="3145"/>
      <c r="R3" s="3145"/>
      <c r="S3" s="3145"/>
      <c r="T3" s="3147"/>
      <c r="U3" s="3144"/>
      <c r="V3" s="3145"/>
      <c r="W3" s="3145"/>
      <c r="X3" s="3145"/>
      <c r="Y3" s="3146"/>
      <c r="Z3" s="3147"/>
      <c r="AA3" s="3147"/>
      <c r="AB3" s="3148"/>
      <c r="AC3" s="3148"/>
      <c r="AD3" s="3142"/>
    </row>
    <row r="4" spans="1:30" ht="15.75" customHeight="1" x14ac:dyDescent="0.25">
      <c r="A4" s="3721" t="s">
        <v>78</v>
      </c>
      <c r="B4" s="3722" t="s">
        <v>185</v>
      </c>
      <c r="C4" s="3745" t="s">
        <v>743</v>
      </c>
      <c r="D4" s="3746"/>
      <c r="E4" s="3746"/>
      <c r="F4" s="3746"/>
      <c r="G4" s="3746"/>
      <c r="H4" s="3747"/>
      <c r="I4" s="3748" t="s">
        <v>744</v>
      </c>
      <c r="J4" s="3749"/>
      <c r="K4" s="3749"/>
      <c r="L4" s="3749"/>
      <c r="M4" s="3749"/>
      <c r="N4" s="3750"/>
      <c r="O4" s="3748" t="s">
        <v>693</v>
      </c>
      <c r="P4" s="3749"/>
      <c r="Q4" s="3749"/>
      <c r="R4" s="3749"/>
      <c r="S4" s="3749"/>
      <c r="T4" s="3750"/>
      <c r="U4" s="3748" t="s">
        <v>181</v>
      </c>
      <c r="V4" s="3749"/>
      <c r="W4" s="3749"/>
      <c r="X4" s="3749"/>
      <c r="Y4" s="3750"/>
      <c r="Z4" s="3751" t="s">
        <v>745</v>
      </c>
      <c r="AA4" s="3752"/>
      <c r="AB4" s="2777" t="s">
        <v>178</v>
      </c>
      <c r="AC4" s="2777" t="s">
        <v>179</v>
      </c>
      <c r="AD4" s="3732" t="s">
        <v>746</v>
      </c>
    </row>
    <row r="5" spans="1:30" x14ac:dyDescent="0.25">
      <c r="A5" s="3721"/>
      <c r="B5" s="3723"/>
      <c r="C5" s="3755" t="s">
        <v>186</v>
      </c>
      <c r="D5" s="3759" t="s">
        <v>187</v>
      </c>
      <c r="E5" s="3761" t="s">
        <v>747</v>
      </c>
      <c r="F5" s="3761"/>
      <c r="G5" s="3761"/>
      <c r="H5" s="3762"/>
      <c r="I5" s="3763" t="s">
        <v>186</v>
      </c>
      <c r="J5" s="3765" t="s">
        <v>187</v>
      </c>
      <c r="K5" s="3767" t="s">
        <v>747</v>
      </c>
      <c r="L5" s="3767"/>
      <c r="M5" s="3767"/>
      <c r="N5" s="3768"/>
      <c r="O5" s="3763" t="s">
        <v>186</v>
      </c>
      <c r="P5" s="3765" t="s">
        <v>187</v>
      </c>
      <c r="Q5" s="3767" t="s">
        <v>747</v>
      </c>
      <c r="R5" s="3767"/>
      <c r="S5" s="3767"/>
      <c r="T5" s="3768"/>
      <c r="U5" s="3763" t="s">
        <v>186</v>
      </c>
      <c r="V5" s="3765" t="s">
        <v>187</v>
      </c>
      <c r="W5" s="3767" t="s">
        <v>747</v>
      </c>
      <c r="X5" s="3767"/>
      <c r="Y5" s="3768"/>
      <c r="Z5" s="3753"/>
      <c r="AA5" s="3754"/>
      <c r="AB5" s="3757" t="s">
        <v>747</v>
      </c>
      <c r="AC5" s="3758"/>
      <c r="AD5" s="3733"/>
    </row>
    <row r="6" spans="1:30" s="2721" customFormat="1" ht="47.25" x14ac:dyDescent="0.25">
      <c r="A6" s="3721"/>
      <c r="B6" s="3724"/>
      <c r="C6" s="3756"/>
      <c r="D6" s="3760"/>
      <c r="E6" s="2778" t="s">
        <v>748</v>
      </c>
      <c r="F6" s="2778" t="s">
        <v>749</v>
      </c>
      <c r="G6" s="2778" t="s">
        <v>346</v>
      </c>
      <c r="H6" s="2779" t="s">
        <v>750</v>
      </c>
      <c r="I6" s="3764"/>
      <c r="J6" s="3766"/>
      <c r="K6" s="2778" t="s">
        <v>748</v>
      </c>
      <c r="L6" s="2778" t="s">
        <v>749</v>
      </c>
      <c r="M6" s="2778" t="s">
        <v>346</v>
      </c>
      <c r="N6" s="2779" t="s">
        <v>751</v>
      </c>
      <c r="O6" s="3764"/>
      <c r="P6" s="3766"/>
      <c r="Q6" s="2778" t="s">
        <v>748</v>
      </c>
      <c r="R6" s="2778" t="s">
        <v>749</v>
      </c>
      <c r="S6" s="2778" t="s">
        <v>346</v>
      </c>
      <c r="T6" s="2780" t="s">
        <v>752</v>
      </c>
      <c r="U6" s="3764"/>
      <c r="V6" s="3766"/>
      <c r="W6" s="2897" t="s">
        <v>748</v>
      </c>
      <c r="X6" s="2778" t="s">
        <v>753</v>
      </c>
      <c r="Y6" s="2779" t="s">
        <v>754</v>
      </c>
      <c r="Z6" s="2781" t="s">
        <v>755</v>
      </c>
      <c r="AA6" s="2781" t="s">
        <v>756</v>
      </c>
      <c r="AB6" s="3757" t="s">
        <v>748</v>
      </c>
      <c r="AC6" s="3758"/>
      <c r="AD6" s="3734"/>
    </row>
    <row r="7" spans="1:30" s="2788" customFormat="1" x14ac:dyDescent="0.25">
      <c r="A7" s="2782">
        <v>1</v>
      </c>
      <c r="B7" s="2782">
        <v>2</v>
      </c>
      <c r="C7" s="2783">
        <v>3</v>
      </c>
      <c r="D7" s="2784">
        <v>4</v>
      </c>
      <c r="E7" s="2784">
        <v>5</v>
      </c>
      <c r="F7" s="2784">
        <v>6</v>
      </c>
      <c r="G7" s="2784">
        <v>7</v>
      </c>
      <c r="H7" s="2785">
        <v>8</v>
      </c>
      <c r="I7" s="2783">
        <v>9</v>
      </c>
      <c r="J7" s="2784">
        <v>10</v>
      </c>
      <c r="K7" s="2784">
        <v>11</v>
      </c>
      <c r="L7" s="2784">
        <v>12</v>
      </c>
      <c r="M7" s="2784">
        <v>13</v>
      </c>
      <c r="N7" s="2785">
        <v>14</v>
      </c>
      <c r="O7" s="2783">
        <v>15</v>
      </c>
      <c r="P7" s="2784">
        <v>16</v>
      </c>
      <c r="Q7" s="2784">
        <v>17</v>
      </c>
      <c r="R7" s="2784">
        <v>18</v>
      </c>
      <c r="S7" s="2784">
        <v>19</v>
      </c>
      <c r="T7" s="2786">
        <v>20</v>
      </c>
      <c r="U7" s="2783">
        <v>21</v>
      </c>
      <c r="V7" s="2784">
        <v>22</v>
      </c>
      <c r="W7" s="2784">
        <v>23</v>
      </c>
      <c r="X7" s="2784">
        <v>24</v>
      </c>
      <c r="Y7" s="2785">
        <v>25</v>
      </c>
      <c r="Z7" s="2786">
        <v>26</v>
      </c>
      <c r="AA7" s="2786">
        <v>27</v>
      </c>
      <c r="AB7" s="2787">
        <v>28</v>
      </c>
      <c r="AC7" s="2787">
        <v>29</v>
      </c>
      <c r="AD7" s="2704">
        <v>30</v>
      </c>
    </row>
    <row r="8" spans="1:30" ht="63" x14ac:dyDescent="0.25">
      <c r="A8" s="2795"/>
      <c r="B8" s="2796" t="s">
        <v>2238</v>
      </c>
      <c r="C8" s="2797"/>
      <c r="D8" s="2798"/>
      <c r="E8" s="2798"/>
      <c r="F8" s="2798"/>
      <c r="G8" s="2798"/>
      <c r="H8" s="2799"/>
      <c r="I8" s="2797"/>
      <c r="J8" s="2798"/>
      <c r="K8" s="2798"/>
      <c r="L8" s="2798"/>
      <c r="M8" s="2798"/>
      <c r="N8" s="2799"/>
      <c r="O8" s="2797"/>
      <c r="P8" s="2798"/>
      <c r="Q8" s="2798"/>
      <c r="R8" s="2798"/>
      <c r="S8" s="2798"/>
      <c r="T8" s="2799"/>
      <c r="U8" s="2797"/>
      <c r="V8" s="2798"/>
      <c r="W8" s="2798"/>
      <c r="X8" s="2798"/>
      <c r="Y8" s="2799"/>
      <c r="Z8" s="2799"/>
      <c r="AA8" s="2799"/>
      <c r="AB8" s="2799"/>
      <c r="AC8" s="2799"/>
      <c r="AD8" s="2807"/>
    </row>
    <row r="9" spans="1:30" s="2746" customFormat="1" ht="24.75" customHeight="1" x14ac:dyDescent="0.25">
      <c r="A9" s="3771" t="s">
        <v>2662</v>
      </c>
      <c r="B9" s="3772"/>
      <c r="C9" s="3772"/>
      <c r="D9" s="3773"/>
      <c r="E9" s="3773"/>
      <c r="F9" s="3773"/>
      <c r="G9" s="3773"/>
      <c r="H9" s="3774"/>
      <c r="I9" s="3772"/>
      <c r="J9" s="3773"/>
      <c r="K9" s="3773"/>
      <c r="L9" s="3773"/>
      <c r="M9" s="3773"/>
      <c r="N9" s="3774"/>
      <c r="O9" s="3772"/>
      <c r="P9" s="3773"/>
      <c r="Q9" s="3773"/>
      <c r="R9" s="3773"/>
      <c r="S9" s="3773"/>
      <c r="T9" s="3774"/>
      <c r="U9" s="3772"/>
      <c r="V9" s="3773"/>
      <c r="W9" s="3773"/>
      <c r="X9" s="3773"/>
      <c r="Y9" s="3774"/>
      <c r="Z9" s="3774"/>
      <c r="AA9" s="3774"/>
      <c r="AB9" s="3772"/>
      <c r="AC9" s="3772"/>
      <c r="AD9" s="3775"/>
    </row>
    <row r="10" spans="1:30" s="2746" customFormat="1" ht="32.25" customHeight="1" x14ac:dyDescent="0.25">
      <c r="A10" s="2722"/>
      <c r="B10" s="2723" t="s">
        <v>2663</v>
      </c>
      <c r="C10" s="2789">
        <f>SUM(C11:C19)</f>
        <v>0</v>
      </c>
      <c r="D10" s="2790">
        <f t="shared" ref="D10:AC10" si="0">SUM(D11:D19)</f>
        <v>0</v>
      </c>
      <c r="E10" s="2790">
        <f t="shared" si="0"/>
        <v>0</v>
      </c>
      <c r="F10" s="2790">
        <f t="shared" si="0"/>
        <v>0</v>
      </c>
      <c r="G10" s="2790">
        <f t="shared" si="0"/>
        <v>0</v>
      </c>
      <c r="H10" s="2769">
        <f t="shared" si="0"/>
        <v>0</v>
      </c>
      <c r="I10" s="2789">
        <f t="shared" si="0"/>
        <v>865</v>
      </c>
      <c r="J10" s="2790">
        <f t="shared" si="0"/>
        <v>1428.7</v>
      </c>
      <c r="K10" s="2790">
        <f t="shared" si="0"/>
        <v>0</v>
      </c>
      <c r="L10" s="2790">
        <f t="shared" si="0"/>
        <v>9.1</v>
      </c>
      <c r="M10" s="2790">
        <f t="shared" si="0"/>
        <v>0</v>
      </c>
      <c r="N10" s="2769">
        <f t="shared" si="0"/>
        <v>9.1</v>
      </c>
      <c r="O10" s="2789">
        <f t="shared" si="0"/>
        <v>677</v>
      </c>
      <c r="P10" s="2790">
        <f t="shared" si="0"/>
        <v>1251</v>
      </c>
      <c r="Q10" s="2790">
        <f t="shared" si="0"/>
        <v>0</v>
      </c>
      <c r="R10" s="2790">
        <f t="shared" si="0"/>
        <v>9.3000000000000007</v>
      </c>
      <c r="S10" s="2790">
        <f t="shared" si="0"/>
        <v>0</v>
      </c>
      <c r="T10" s="2769">
        <f t="shared" si="0"/>
        <v>9.3000000000000007</v>
      </c>
      <c r="U10" s="2789">
        <f t="shared" si="0"/>
        <v>697</v>
      </c>
      <c r="V10" s="2789">
        <f t="shared" si="0"/>
        <v>7301</v>
      </c>
      <c r="W10" s="2790">
        <f t="shared" si="0"/>
        <v>121</v>
      </c>
      <c r="X10" s="2790">
        <f t="shared" si="0"/>
        <v>9.3000000000000007</v>
      </c>
      <c r="Y10" s="2769">
        <f t="shared" ref="Y10:Y11" si="1">SUM(W10:X10)</f>
        <v>130.30000000000001</v>
      </c>
      <c r="Z10" s="2789">
        <f t="shared" ref="Z10:Z20" si="2">W10-K10</f>
        <v>121</v>
      </c>
      <c r="AA10" s="2789">
        <f t="shared" ref="AA10:AA20" si="3">IFERROR(W10/K10*100,0)</f>
        <v>0</v>
      </c>
      <c r="AB10" s="2789">
        <f t="shared" si="0"/>
        <v>121</v>
      </c>
      <c r="AC10" s="2789">
        <f t="shared" si="0"/>
        <v>121</v>
      </c>
      <c r="AD10" s="2806"/>
    </row>
    <row r="11" spans="1:30" s="2746" customFormat="1" ht="36.75" customHeight="1" x14ac:dyDescent="0.25">
      <c r="A11" s="2724"/>
      <c r="B11" s="2794" t="s">
        <v>2666</v>
      </c>
      <c r="C11" s="2717"/>
      <c r="D11" s="2791"/>
      <c r="E11" s="2791"/>
      <c r="F11" s="2791"/>
      <c r="G11" s="2791"/>
      <c r="H11" s="2785"/>
      <c r="I11" s="2717">
        <v>200</v>
      </c>
      <c r="J11" s="2791">
        <f t="shared" ref="J11:J18" si="4">(L11/I11*1000)+(K11/I11*1000)</f>
        <v>3</v>
      </c>
      <c r="K11" s="2791">
        <v>0</v>
      </c>
      <c r="L11" s="2791">
        <v>0.6</v>
      </c>
      <c r="M11" s="2791"/>
      <c r="N11" s="2785">
        <f t="shared" ref="N11:N18" si="5">SUM(K11:M11)</f>
        <v>0.6</v>
      </c>
      <c r="O11" s="2717">
        <v>200</v>
      </c>
      <c r="P11" s="2791">
        <f t="shared" ref="P11:P18" si="6">(R11/O11*1000)+(Q11/O11*1000)</f>
        <v>3</v>
      </c>
      <c r="Q11" s="2791"/>
      <c r="R11" s="2791">
        <v>0.6</v>
      </c>
      <c r="S11" s="2791"/>
      <c r="T11" s="2785">
        <f t="shared" ref="T11:T18" si="7">SUM(Q11:S11)</f>
        <v>0.6</v>
      </c>
      <c r="U11" s="2717">
        <v>200</v>
      </c>
      <c r="V11" s="2791">
        <f t="shared" ref="V11:V19" si="8">(X11/U11*1000)+(W11/U11*1000)</f>
        <v>3</v>
      </c>
      <c r="W11" s="2791"/>
      <c r="X11" s="2791">
        <v>0.6</v>
      </c>
      <c r="Y11" s="2785">
        <f t="shared" si="1"/>
        <v>0.6</v>
      </c>
      <c r="Z11" s="2717">
        <f t="shared" si="2"/>
        <v>0</v>
      </c>
      <c r="AA11" s="2717">
        <f t="shared" si="3"/>
        <v>0</v>
      </c>
      <c r="AB11" s="2724"/>
      <c r="AC11" s="2724"/>
      <c r="AD11" s="2808"/>
    </row>
    <row r="12" spans="1:30" s="2746" customFormat="1" ht="24.75" customHeight="1" x14ac:dyDescent="0.25">
      <c r="A12" s="2724"/>
      <c r="B12" s="2794" t="s">
        <v>2667</v>
      </c>
      <c r="C12" s="2717"/>
      <c r="D12" s="2791"/>
      <c r="E12" s="2791"/>
      <c r="F12" s="2791"/>
      <c r="G12" s="2791"/>
      <c r="H12" s="2785"/>
      <c r="I12" s="2717">
        <v>200</v>
      </c>
      <c r="J12" s="2791">
        <f t="shared" si="4"/>
        <v>2.5</v>
      </c>
      <c r="K12" s="2791">
        <v>0</v>
      </c>
      <c r="L12" s="2791">
        <v>0.5</v>
      </c>
      <c r="M12" s="2791"/>
      <c r="N12" s="2785">
        <f t="shared" si="5"/>
        <v>0.5</v>
      </c>
      <c r="O12" s="2717">
        <v>200</v>
      </c>
      <c r="P12" s="2791">
        <f t="shared" si="6"/>
        <v>2.5</v>
      </c>
      <c r="Q12" s="2791"/>
      <c r="R12" s="2791">
        <v>0.5</v>
      </c>
      <c r="S12" s="2791"/>
      <c r="T12" s="2785">
        <f t="shared" si="7"/>
        <v>0.5</v>
      </c>
      <c r="U12" s="2717">
        <v>200</v>
      </c>
      <c r="V12" s="2791">
        <f t="shared" si="8"/>
        <v>2.5</v>
      </c>
      <c r="W12" s="2791"/>
      <c r="X12" s="2791">
        <v>0.5</v>
      </c>
      <c r="Y12" s="2785">
        <f t="shared" ref="Y12:Y19" si="9">SUM(W12:X12)</f>
        <v>0.5</v>
      </c>
      <c r="Z12" s="2717">
        <f t="shared" si="2"/>
        <v>0</v>
      </c>
      <c r="AA12" s="2717">
        <f t="shared" si="3"/>
        <v>0</v>
      </c>
      <c r="AB12" s="2724"/>
      <c r="AC12" s="2724"/>
      <c r="AD12" s="2808"/>
    </row>
    <row r="13" spans="1:30" s="2746" customFormat="1" ht="24.75" customHeight="1" x14ac:dyDescent="0.25">
      <c r="A13" s="2724"/>
      <c r="B13" s="2794" t="s">
        <v>2665</v>
      </c>
      <c r="C13" s="2717"/>
      <c r="D13" s="2791"/>
      <c r="E13" s="2791"/>
      <c r="F13" s="2791"/>
      <c r="G13" s="2791"/>
      <c r="H13" s="2785"/>
      <c r="I13" s="2717">
        <v>200</v>
      </c>
      <c r="J13" s="2791">
        <f t="shared" si="4"/>
        <v>1.5</v>
      </c>
      <c r="K13" s="2791">
        <v>0</v>
      </c>
      <c r="L13" s="2791">
        <v>0.3</v>
      </c>
      <c r="M13" s="2791"/>
      <c r="N13" s="2785">
        <f t="shared" si="5"/>
        <v>0.3</v>
      </c>
      <c r="O13" s="2717">
        <v>200</v>
      </c>
      <c r="P13" s="2791">
        <f t="shared" si="6"/>
        <v>1.5</v>
      </c>
      <c r="Q13" s="2791"/>
      <c r="R13" s="2791">
        <v>0.3</v>
      </c>
      <c r="S13" s="2791"/>
      <c r="T13" s="2785">
        <f t="shared" si="7"/>
        <v>0.3</v>
      </c>
      <c r="U13" s="2717">
        <v>200</v>
      </c>
      <c r="V13" s="2791">
        <f t="shared" si="8"/>
        <v>1.5</v>
      </c>
      <c r="W13" s="2791"/>
      <c r="X13" s="2791">
        <v>0.3</v>
      </c>
      <c r="Y13" s="2785">
        <f t="shared" si="9"/>
        <v>0.3</v>
      </c>
      <c r="Z13" s="2717">
        <f t="shared" si="2"/>
        <v>0</v>
      </c>
      <c r="AA13" s="2717">
        <f t="shared" si="3"/>
        <v>0</v>
      </c>
      <c r="AB13" s="2724"/>
      <c r="AC13" s="2724"/>
      <c r="AD13" s="2808"/>
    </row>
    <row r="14" spans="1:30" s="2746" customFormat="1" ht="24.75" customHeight="1" x14ac:dyDescent="0.25">
      <c r="A14" s="2724"/>
      <c r="B14" s="2794" t="s">
        <v>2668</v>
      </c>
      <c r="C14" s="2717"/>
      <c r="D14" s="2791"/>
      <c r="E14" s="2791"/>
      <c r="F14" s="2791"/>
      <c r="G14" s="2791"/>
      <c r="H14" s="2785"/>
      <c r="I14" s="2717">
        <v>50</v>
      </c>
      <c r="J14" s="2791">
        <f t="shared" si="4"/>
        <v>4</v>
      </c>
      <c r="K14" s="2791">
        <v>0</v>
      </c>
      <c r="L14" s="2791">
        <v>0.2</v>
      </c>
      <c r="M14" s="2791"/>
      <c r="N14" s="2785">
        <f t="shared" si="5"/>
        <v>0.2</v>
      </c>
      <c r="O14" s="2717">
        <v>50</v>
      </c>
      <c r="P14" s="2791">
        <f t="shared" si="6"/>
        <v>4</v>
      </c>
      <c r="Q14" s="2791"/>
      <c r="R14" s="2791">
        <v>0.2</v>
      </c>
      <c r="S14" s="2791"/>
      <c r="T14" s="2785">
        <f t="shared" si="7"/>
        <v>0.2</v>
      </c>
      <c r="U14" s="2717">
        <v>50</v>
      </c>
      <c r="V14" s="2791">
        <f t="shared" si="8"/>
        <v>4</v>
      </c>
      <c r="W14" s="2791"/>
      <c r="X14" s="2791">
        <v>0.2</v>
      </c>
      <c r="Y14" s="2785">
        <f t="shared" si="9"/>
        <v>0.2</v>
      </c>
      <c r="Z14" s="2717">
        <f t="shared" si="2"/>
        <v>0</v>
      </c>
      <c r="AA14" s="2717">
        <f t="shared" si="3"/>
        <v>0</v>
      </c>
      <c r="AB14" s="2724"/>
      <c r="AC14" s="2724"/>
      <c r="AD14" s="2808"/>
    </row>
    <row r="15" spans="1:30" s="2746" customFormat="1" ht="24.75" customHeight="1" x14ac:dyDescent="0.25">
      <c r="A15" s="2724"/>
      <c r="B15" s="2794" t="s">
        <v>2669</v>
      </c>
      <c r="C15" s="2717"/>
      <c r="D15" s="2791"/>
      <c r="E15" s="2791"/>
      <c r="F15" s="2791"/>
      <c r="G15" s="2791"/>
      <c r="H15" s="2785"/>
      <c r="I15" s="2717">
        <v>1</v>
      </c>
      <c r="J15" s="2791">
        <f t="shared" si="4"/>
        <v>400</v>
      </c>
      <c r="K15" s="2791">
        <v>0</v>
      </c>
      <c r="L15" s="2791">
        <v>0.4</v>
      </c>
      <c r="M15" s="2791"/>
      <c r="N15" s="2785">
        <f t="shared" si="5"/>
        <v>0.4</v>
      </c>
      <c r="O15" s="2717">
        <v>2</v>
      </c>
      <c r="P15" s="2791">
        <f t="shared" si="6"/>
        <v>200</v>
      </c>
      <c r="Q15" s="2791"/>
      <c r="R15" s="2791">
        <v>0.4</v>
      </c>
      <c r="S15" s="2791"/>
      <c r="T15" s="2785">
        <f t="shared" si="7"/>
        <v>0.4</v>
      </c>
      <c r="U15" s="2717">
        <v>2</v>
      </c>
      <c r="V15" s="2791">
        <f t="shared" si="8"/>
        <v>200</v>
      </c>
      <c r="W15" s="2791"/>
      <c r="X15" s="2791">
        <v>0.4</v>
      </c>
      <c r="Y15" s="2785">
        <f t="shared" si="9"/>
        <v>0.4</v>
      </c>
      <c r="Z15" s="2717">
        <f t="shared" si="2"/>
        <v>0</v>
      </c>
      <c r="AA15" s="2717">
        <f t="shared" si="3"/>
        <v>0</v>
      </c>
      <c r="AB15" s="2724"/>
      <c r="AC15" s="2724"/>
      <c r="AD15" s="2808"/>
    </row>
    <row r="16" spans="1:30" s="2746" customFormat="1" ht="24.75" customHeight="1" x14ac:dyDescent="0.25">
      <c r="A16" s="2724"/>
      <c r="B16" s="2794" t="s">
        <v>2670</v>
      </c>
      <c r="C16" s="2717"/>
      <c r="D16" s="2791"/>
      <c r="E16" s="2791"/>
      <c r="F16" s="2791"/>
      <c r="G16" s="2791"/>
      <c r="H16" s="2785"/>
      <c r="I16" s="2717">
        <v>200</v>
      </c>
      <c r="J16" s="2791">
        <f t="shared" si="4"/>
        <v>1</v>
      </c>
      <c r="K16" s="2791">
        <v>0</v>
      </c>
      <c r="L16" s="2791">
        <v>0.2</v>
      </c>
      <c r="M16" s="2791"/>
      <c r="N16" s="2785">
        <f t="shared" si="5"/>
        <v>0.2</v>
      </c>
      <c r="O16" s="2717">
        <v>10</v>
      </c>
      <c r="P16" s="2791">
        <f t="shared" si="6"/>
        <v>20</v>
      </c>
      <c r="Q16" s="2791"/>
      <c r="R16" s="2791">
        <v>0.2</v>
      </c>
      <c r="S16" s="2791"/>
      <c r="T16" s="2785">
        <f t="shared" si="7"/>
        <v>0.2</v>
      </c>
      <c r="U16" s="2717">
        <v>10</v>
      </c>
      <c r="V16" s="2791">
        <f t="shared" si="8"/>
        <v>20</v>
      </c>
      <c r="W16" s="2791"/>
      <c r="X16" s="2791">
        <v>0.2</v>
      </c>
      <c r="Y16" s="2785">
        <f t="shared" si="9"/>
        <v>0.2</v>
      </c>
      <c r="Z16" s="2717">
        <f t="shared" si="2"/>
        <v>0</v>
      </c>
      <c r="AA16" s="2717">
        <f t="shared" si="3"/>
        <v>0</v>
      </c>
      <c r="AB16" s="2724"/>
      <c r="AC16" s="2724"/>
      <c r="AD16" s="2808"/>
    </row>
    <row r="17" spans="1:30" s="2746" customFormat="1" ht="24.75" customHeight="1" x14ac:dyDescent="0.25">
      <c r="A17" s="2724"/>
      <c r="B17" s="2794" t="s">
        <v>2671</v>
      </c>
      <c r="C17" s="2717"/>
      <c r="D17" s="2791"/>
      <c r="E17" s="2791"/>
      <c r="F17" s="2791"/>
      <c r="G17" s="2791"/>
      <c r="H17" s="2785"/>
      <c r="I17" s="2717">
        <v>8</v>
      </c>
      <c r="J17" s="2791">
        <f t="shared" si="4"/>
        <v>400</v>
      </c>
      <c r="K17" s="2791">
        <v>0</v>
      </c>
      <c r="L17" s="2791">
        <v>3.2</v>
      </c>
      <c r="M17" s="2791"/>
      <c r="N17" s="2785">
        <f t="shared" si="5"/>
        <v>3.2</v>
      </c>
      <c r="O17" s="2717">
        <v>10</v>
      </c>
      <c r="P17" s="2791">
        <f t="shared" si="6"/>
        <v>400</v>
      </c>
      <c r="Q17" s="2791"/>
      <c r="R17" s="2791">
        <v>4</v>
      </c>
      <c r="S17" s="2791"/>
      <c r="T17" s="2785">
        <f t="shared" si="7"/>
        <v>4</v>
      </c>
      <c r="U17" s="2717">
        <v>10</v>
      </c>
      <c r="V17" s="2791">
        <f t="shared" si="8"/>
        <v>400</v>
      </c>
      <c r="W17" s="2791"/>
      <c r="X17" s="2791">
        <v>4</v>
      </c>
      <c r="Y17" s="2785">
        <f t="shared" si="9"/>
        <v>4</v>
      </c>
      <c r="Z17" s="2717">
        <f t="shared" si="2"/>
        <v>0</v>
      </c>
      <c r="AA17" s="2717">
        <f t="shared" si="3"/>
        <v>0</v>
      </c>
      <c r="AB17" s="2724"/>
      <c r="AC17" s="2724"/>
      <c r="AD17" s="2808"/>
    </row>
    <row r="18" spans="1:30" s="2746" customFormat="1" ht="24.75" customHeight="1" x14ac:dyDescent="0.25">
      <c r="A18" s="2724"/>
      <c r="B18" s="2794" t="s">
        <v>2672</v>
      </c>
      <c r="C18" s="2717"/>
      <c r="D18" s="2791"/>
      <c r="E18" s="2791"/>
      <c r="F18" s="2791"/>
      <c r="G18" s="2791"/>
      <c r="H18" s="2785"/>
      <c r="I18" s="2717">
        <v>6</v>
      </c>
      <c r="J18" s="2791">
        <f t="shared" si="4"/>
        <v>616.70000000000005</v>
      </c>
      <c r="K18" s="2791">
        <v>0</v>
      </c>
      <c r="L18" s="2791">
        <v>3.7</v>
      </c>
      <c r="M18" s="2791"/>
      <c r="N18" s="2785">
        <f t="shared" si="5"/>
        <v>3.7</v>
      </c>
      <c r="O18" s="2717">
        <v>5</v>
      </c>
      <c r="P18" s="2791">
        <f t="shared" si="6"/>
        <v>620</v>
      </c>
      <c r="Q18" s="2791"/>
      <c r="R18" s="2791">
        <v>3.1</v>
      </c>
      <c r="S18" s="2791"/>
      <c r="T18" s="2785">
        <f t="shared" si="7"/>
        <v>3.1</v>
      </c>
      <c r="U18" s="2717">
        <v>5</v>
      </c>
      <c r="V18" s="2791">
        <f t="shared" si="8"/>
        <v>620</v>
      </c>
      <c r="W18" s="2791"/>
      <c r="X18" s="2791">
        <v>3.1</v>
      </c>
      <c r="Y18" s="2785">
        <f t="shared" si="9"/>
        <v>3.1</v>
      </c>
      <c r="Z18" s="2717">
        <f t="shared" si="2"/>
        <v>0</v>
      </c>
      <c r="AA18" s="2717">
        <f t="shared" si="3"/>
        <v>0</v>
      </c>
      <c r="AB18" s="2724"/>
      <c r="AC18" s="2724"/>
      <c r="AD18" s="2808"/>
    </row>
    <row r="19" spans="1:30" s="2746" customFormat="1" ht="71.25" customHeight="1" x14ac:dyDescent="0.25">
      <c r="A19" s="2724"/>
      <c r="B19" s="2794" t="s">
        <v>2673</v>
      </c>
      <c r="C19" s="2717"/>
      <c r="D19" s="2791"/>
      <c r="E19" s="2791"/>
      <c r="F19" s="2791"/>
      <c r="G19" s="2791"/>
      <c r="H19" s="2785"/>
      <c r="I19" s="2717"/>
      <c r="J19" s="2791"/>
      <c r="K19" s="2791"/>
      <c r="L19" s="2791"/>
      <c r="M19" s="2791"/>
      <c r="N19" s="2785"/>
      <c r="O19" s="2717"/>
      <c r="P19" s="2791"/>
      <c r="Q19" s="2791"/>
      <c r="R19" s="2791"/>
      <c r="S19" s="2791"/>
      <c r="T19" s="2785"/>
      <c r="U19" s="2717">
        <v>20</v>
      </c>
      <c r="V19" s="2791">
        <f t="shared" si="8"/>
        <v>6050</v>
      </c>
      <c r="W19" s="2791">
        <v>121</v>
      </c>
      <c r="X19" s="2791"/>
      <c r="Y19" s="2785">
        <f t="shared" si="9"/>
        <v>121</v>
      </c>
      <c r="Z19" s="2717">
        <f t="shared" si="2"/>
        <v>121</v>
      </c>
      <c r="AA19" s="2717">
        <f t="shared" si="3"/>
        <v>0</v>
      </c>
      <c r="AB19" s="2724">
        <v>121</v>
      </c>
      <c r="AC19" s="2724">
        <v>121</v>
      </c>
      <c r="AD19" s="2808" t="s">
        <v>2674</v>
      </c>
    </row>
    <row r="20" spans="1:30" s="2746" customFormat="1" ht="24.75" customHeight="1" x14ac:dyDescent="0.25">
      <c r="A20" s="2792"/>
      <c r="B20" s="2793" t="s">
        <v>2664</v>
      </c>
      <c r="C20" s="2802">
        <f t="shared" ref="C20:X20" si="10">C10</f>
        <v>0</v>
      </c>
      <c r="D20" s="2803">
        <f t="shared" si="10"/>
        <v>0</v>
      </c>
      <c r="E20" s="2803">
        <f t="shared" si="10"/>
        <v>0</v>
      </c>
      <c r="F20" s="2803">
        <f t="shared" si="10"/>
        <v>0</v>
      </c>
      <c r="G20" s="2803">
        <f t="shared" si="10"/>
        <v>0</v>
      </c>
      <c r="H20" s="2804">
        <f t="shared" si="10"/>
        <v>0</v>
      </c>
      <c r="I20" s="2802">
        <f t="shared" si="10"/>
        <v>865</v>
      </c>
      <c r="J20" s="2803">
        <f t="shared" si="10"/>
        <v>1428.7</v>
      </c>
      <c r="K20" s="2803">
        <f t="shared" si="10"/>
        <v>0</v>
      </c>
      <c r="L20" s="2803">
        <f t="shared" si="10"/>
        <v>9.1</v>
      </c>
      <c r="M20" s="2803">
        <f t="shared" si="10"/>
        <v>0</v>
      </c>
      <c r="N20" s="2804">
        <f t="shared" si="10"/>
        <v>9.1</v>
      </c>
      <c r="O20" s="2802">
        <f t="shared" si="10"/>
        <v>677</v>
      </c>
      <c r="P20" s="2803">
        <f t="shared" si="10"/>
        <v>1251</v>
      </c>
      <c r="Q20" s="2803">
        <f t="shared" si="10"/>
        <v>0</v>
      </c>
      <c r="R20" s="2803">
        <f t="shared" si="10"/>
        <v>9.3000000000000007</v>
      </c>
      <c r="S20" s="2803">
        <f t="shared" si="10"/>
        <v>0</v>
      </c>
      <c r="T20" s="2804">
        <f t="shared" si="10"/>
        <v>9.3000000000000007</v>
      </c>
      <c r="U20" s="2802">
        <f t="shared" si="10"/>
        <v>697</v>
      </c>
      <c r="V20" s="2803">
        <f t="shared" si="10"/>
        <v>7301</v>
      </c>
      <c r="W20" s="2803">
        <f t="shared" si="10"/>
        <v>121</v>
      </c>
      <c r="X20" s="3100">
        <f t="shared" si="10"/>
        <v>9.3000000000000007</v>
      </c>
      <c r="Y20" s="2804">
        <f t="shared" ref="Y20" si="11">SUM(W20:X20)</f>
        <v>130.30000000000001</v>
      </c>
      <c r="Z20" s="2804">
        <f t="shared" si="2"/>
        <v>121</v>
      </c>
      <c r="AA20" s="2804">
        <f t="shared" si="3"/>
        <v>0</v>
      </c>
      <c r="AB20" s="2804">
        <f>AB10</f>
        <v>121</v>
      </c>
      <c r="AC20" s="2804">
        <f>AC10</f>
        <v>121</v>
      </c>
      <c r="AD20" s="2805"/>
    </row>
    <row r="21" spans="1:30" s="2746" customFormat="1" x14ac:dyDescent="0.25">
      <c r="A21" s="2810"/>
      <c r="B21" s="2811"/>
      <c r="C21" s="2812"/>
      <c r="D21" s="2813"/>
      <c r="E21" s="2813"/>
      <c r="F21" s="2813"/>
      <c r="G21" s="2813"/>
      <c r="H21" s="2814"/>
      <c r="I21" s="2812"/>
      <c r="J21" s="2813"/>
      <c r="K21" s="2813"/>
      <c r="L21" s="2813"/>
      <c r="M21" s="2813"/>
      <c r="N21" s="2814"/>
      <c r="O21" s="2812"/>
      <c r="P21" s="2813"/>
      <c r="Q21" s="2813"/>
      <c r="R21" s="2813"/>
      <c r="S21" s="2813"/>
      <c r="T21" s="2814"/>
      <c r="U21" s="2812"/>
      <c r="V21" s="2813"/>
      <c r="W21" s="2813"/>
      <c r="X21" s="2813"/>
      <c r="Y21" s="2814"/>
      <c r="Z21" s="2814"/>
      <c r="AA21" s="2814"/>
      <c r="AB21" s="2814"/>
      <c r="AC21" s="2814"/>
      <c r="AD21" s="2815"/>
    </row>
    <row r="22" spans="1:30" s="2746" customFormat="1" x14ac:dyDescent="0.25">
      <c r="A22" s="2816"/>
      <c r="B22" s="2817"/>
      <c r="C22" s="2818"/>
      <c r="D22" s="2819"/>
      <c r="E22" s="2819"/>
      <c r="F22" s="2819"/>
      <c r="G22" s="2819"/>
      <c r="H22" s="2820"/>
      <c r="I22" s="2818"/>
      <c r="J22" s="2819"/>
      <c r="K22" s="2819"/>
      <c r="L22" s="2819"/>
      <c r="M22" s="2819"/>
      <c r="N22" s="2820"/>
      <c r="O22" s="2818"/>
      <c r="P22" s="2819"/>
      <c r="Q22" s="2819"/>
      <c r="R22" s="2819"/>
      <c r="S22" s="2819"/>
      <c r="T22" s="2820"/>
      <c r="U22" s="2818"/>
      <c r="V22" s="2819"/>
      <c r="W22" s="2819"/>
      <c r="X22" s="2819"/>
      <c r="Y22" s="2820"/>
      <c r="Z22" s="2820"/>
      <c r="AA22" s="2820"/>
      <c r="AB22" s="2820"/>
      <c r="AC22" s="2820"/>
      <c r="AD22" s="2821"/>
    </row>
    <row r="23" spans="1:30" s="2749" customFormat="1" ht="20.25" x14ac:dyDescent="0.3">
      <c r="B23" s="2750"/>
      <c r="C23" s="3741"/>
      <c r="D23" s="3770"/>
      <c r="E23" s="3770"/>
      <c r="F23" s="2822"/>
      <c r="G23" s="2822"/>
      <c r="H23" s="2823"/>
      <c r="I23" s="3741"/>
      <c r="J23" s="3770"/>
      <c r="K23" s="2824"/>
      <c r="L23" s="2824"/>
      <c r="M23" s="2824"/>
      <c r="N23" s="2825"/>
      <c r="O23" s="2826"/>
      <c r="P23" s="2824"/>
      <c r="Q23" s="2824"/>
      <c r="R23" s="2824"/>
      <c r="S23" s="2824"/>
      <c r="T23" s="2827"/>
      <c r="U23" s="2826"/>
      <c r="V23" s="2824"/>
      <c r="W23" s="2824"/>
      <c r="X23" s="2824"/>
      <c r="Y23" s="2825"/>
      <c r="Z23" s="2827"/>
      <c r="AA23" s="2827"/>
      <c r="AB23" s="2828"/>
      <c r="AC23" s="2828"/>
    </row>
    <row r="24" spans="1:30" s="2755" customFormat="1" ht="18.75" x14ac:dyDescent="0.3">
      <c r="B24" s="2756"/>
      <c r="C24" s="3742"/>
      <c r="D24" s="3769"/>
      <c r="E24" s="3769"/>
      <c r="F24" s="2762"/>
      <c r="G24" s="2762"/>
      <c r="H24" s="2829"/>
      <c r="I24" s="3742"/>
      <c r="J24" s="3769"/>
      <c r="K24" s="2830"/>
      <c r="L24" s="2830"/>
      <c r="M24" s="2830"/>
      <c r="N24" s="2831"/>
      <c r="O24" s="2832"/>
      <c r="P24" s="2830"/>
      <c r="Q24" s="2830"/>
      <c r="R24" s="2830"/>
      <c r="S24" s="2830"/>
      <c r="T24" s="2833"/>
      <c r="U24" s="2832"/>
      <c r="V24" s="2830"/>
      <c r="W24" s="2830"/>
      <c r="X24" s="2830"/>
      <c r="Y24" s="2831"/>
      <c r="Z24" s="2833"/>
      <c r="AA24" s="2833"/>
      <c r="AB24" s="2834"/>
      <c r="AC24" s="2834"/>
    </row>
    <row r="25" spans="1:30" x14ac:dyDescent="0.25">
      <c r="H25" s="2773"/>
      <c r="N25" s="2773"/>
      <c r="Y25" s="2773"/>
      <c r="AB25" s="2775"/>
      <c r="AC25" s="2775"/>
    </row>
    <row r="26" spans="1:30" s="2755" customFormat="1" ht="18.75" x14ac:dyDescent="0.3">
      <c r="B26" s="2756"/>
      <c r="C26" s="2835"/>
      <c r="D26" s="2762"/>
      <c r="E26" s="2762"/>
      <c r="F26" s="2762"/>
      <c r="G26" s="2762"/>
      <c r="H26" s="2829"/>
      <c r="I26" s="2835"/>
      <c r="J26" s="2762"/>
      <c r="K26" s="2762"/>
      <c r="L26" s="2830"/>
      <c r="M26" s="2830"/>
      <c r="N26" s="2831"/>
      <c r="O26" s="2836"/>
      <c r="P26" s="2837"/>
      <c r="Q26" s="2837"/>
      <c r="R26" s="2837"/>
      <c r="S26" s="2837"/>
      <c r="T26" s="2831"/>
      <c r="U26" s="2832"/>
      <c r="V26" s="2830"/>
      <c r="W26" s="2830"/>
      <c r="X26" s="2830"/>
      <c r="Y26" s="2831"/>
      <c r="Z26" s="2833"/>
      <c r="AA26" s="2833"/>
      <c r="AB26" s="2837"/>
      <c r="AC26" s="2837"/>
    </row>
    <row r="27" spans="1:30" s="2755" customFormat="1" ht="18.75" x14ac:dyDescent="0.3">
      <c r="B27" s="2838"/>
      <c r="C27" s="2839"/>
      <c r="D27" s="2840"/>
      <c r="E27" s="2762"/>
      <c r="F27" s="2762"/>
      <c r="G27" s="2762"/>
      <c r="H27" s="2829"/>
      <c r="I27" s="2835"/>
      <c r="J27" s="2762"/>
      <c r="K27" s="2762"/>
      <c r="L27" s="2830"/>
      <c r="M27" s="2830"/>
      <c r="N27" s="2831"/>
      <c r="O27" s="2832"/>
      <c r="P27" s="2830"/>
      <c r="Q27" s="2830"/>
      <c r="R27" s="2830"/>
      <c r="S27" s="2830"/>
      <c r="T27" s="2833"/>
      <c r="U27" s="2832"/>
      <c r="V27" s="2830"/>
      <c r="W27" s="2830"/>
      <c r="X27" s="2830"/>
      <c r="Y27" s="2831"/>
      <c r="Z27" s="2833"/>
      <c r="AA27" s="2833"/>
      <c r="AB27" s="2837"/>
      <c r="AC27" s="2837"/>
    </row>
    <row r="28" spans="1:30" ht="18.75" x14ac:dyDescent="0.3">
      <c r="B28" s="2763"/>
      <c r="H28" s="2773"/>
      <c r="N28" s="2773"/>
      <c r="Y28" s="2773"/>
      <c r="AB28" s="2775"/>
      <c r="AC28" s="2775"/>
    </row>
    <row r="29" spans="1:30" x14ac:dyDescent="0.25">
      <c r="H29" s="2773"/>
      <c r="N29" s="2773"/>
      <c r="Y29" s="2773"/>
      <c r="AB29" s="2775"/>
      <c r="AC29" s="2775"/>
    </row>
    <row r="30" spans="1:30" x14ac:dyDescent="0.25">
      <c r="H30" s="2773"/>
      <c r="N30" s="2773"/>
      <c r="Y30" s="2773"/>
      <c r="AB30" s="2775"/>
      <c r="AC30" s="2775"/>
    </row>
    <row r="31" spans="1:30" x14ac:dyDescent="0.25">
      <c r="H31" s="2773"/>
      <c r="N31" s="2773"/>
      <c r="Y31" s="2773"/>
      <c r="AB31" s="2775"/>
      <c r="AC31" s="2775"/>
    </row>
    <row r="32" spans="1:30" x14ac:dyDescent="0.25">
      <c r="H32" s="2773"/>
      <c r="N32" s="2773"/>
      <c r="Y32" s="2773"/>
      <c r="AB32" s="2775"/>
      <c r="AC32" s="2775"/>
    </row>
    <row r="33" spans="8:29" x14ac:dyDescent="0.25">
      <c r="H33" s="2773"/>
      <c r="N33" s="2773"/>
      <c r="Y33" s="2773"/>
      <c r="AB33" s="2775"/>
      <c r="AC33" s="2775"/>
    </row>
    <row r="34" spans="8:29" x14ac:dyDescent="0.25">
      <c r="H34" s="2773"/>
      <c r="N34" s="2773"/>
      <c r="Y34" s="2773"/>
      <c r="AB34" s="2775"/>
      <c r="AC34" s="2775"/>
    </row>
    <row r="35" spans="8:29" x14ac:dyDescent="0.25">
      <c r="H35" s="2773"/>
      <c r="N35" s="2773"/>
      <c r="Y35" s="2773"/>
      <c r="AB35" s="2775"/>
      <c r="AC35" s="2775"/>
    </row>
    <row r="36" spans="8:29" x14ac:dyDescent="0.25">
      <c r="H36" s="2773"/>
      <c r="N36" s="2773"/>
      <c r="Y36" s="2773"/>
      <c r="AB36" s="2775"/>
      <c r="AC36" s="2775"/>
    </row>
    <row r="37" spans="8:29" x14ac:dyDescent="0.25">
      <c r="H37" s="2773"/>
      <c r="N37" s="2773"/>
      <c r="Y37" s="2773"/>
      <c r="AB37" s="2775"/>
      <c r="AC37" s="2775"/>
    </row>
    <row r="38" spans="8:29" x14ac:dyDescent="0.25">
      <c r="H38" s="2773"/>
      <c r="N38" s="2773"/>
      <c r="Y38" s="2773"/>
      <c r="AB38" s="2775"/>
      <c r="AC38" s="2775"/>
    </row>
    <row r="39" spans="8:29" x14ac:dyDescent="0.25">
      <c r="H39" s="2773"/>
      <c r="N39" s="2773"/>
      <c r="Y39" s="2773"/>
      <c r="AB39" s="2775"/>
      <c r="AC39" s="2775"/>
    </row>
    <row r="40" spans="8:29" x14ac:dyDescent="0.25">
      <c r="H40" s="2773"/>
      <c r="N40" s="2773"/>
      <c r="Y40" s="2773"/>
      <c r="AB40" s="2775"/>
      <c r="AC40" s="2775"/>
    </row>
    <row r="41" spans="8:29" x14ac:dyDescent="0.25">
      <c r="H41" s="2773"/>
      <c r="N41" s="2773"/>
      <c r="Y41" s="2773"/>
      <c r="AB41" s="2775"/>
      <c r="AC41" s="2775"/>
    </row>
    <row r="42" spans="8:29" x14ac:dyDescent="0.25">
      <c r="H42" s="2773"/>
      <c r="N42" s="2773"/>
      <c r="Y42" s="2773"/>
      <c r="AB42" s="2775"/>
      <c r="AC42" s="2775"/>
    </row>
    <row r="43" spans="8:29" x14ac:dyDescent="0.25">
      <c r="H43" s="2773"/>
      <c r="N43" s="2773"/>
      <c r="Y43" s="2773"/>
      <c r="AB43" s="2775"/>
      <c r="AC43" s="2775"/>
    </row>
    <row r="44" spans="8:29" x14ac:dyDescent="0.25">
      <c r="H44" s="2773"/>
      <c r="N44" s="2773"/>
      <c r="Y44" s="2773"/>
      <c r="AB44" s="2775"/>
      <c r="AC44" s="2775"/>
    </row>
    <row r="45" spans="8:29" x14ac:dyDescent="0.25">
      <c r="H45" s="2773"/>
      <c r="N45" s="2773"/>
      <c r="Y45" s="2773"/>
      <c r="AB45" s="2775"/>
      <c r="AC45" s="2775"/>
    </row>
    <row r="46" spans="8:29" x14ac:dyDescent="0.25">
      <c r="H46" s="2773"/>
      <c r="N46" s="2773"/>
      <c r="Y46" s="2773"/>
      <c r="AB46" s="2775"/>
      <c r="AC46" s="2775"/>
    </row>
    <row r="47" spans="8:29" x14ac:dyDescent="0.25">
      <c r="H47" s="2773"/>
      <c r="N47" s="2773"/>
      <c r="Y47" s="2773"/>
      <c r="AB47" s="2775"/>
      <c r="AC47" s="2775"/>
    </row>
    <row r="48" spans="8:29" x14ac:dyDescent="0.25">
      <c r="H48" s="2773"/>
      <c r="N48" s="2773"/>
      <c r="Y48" s="2773"/>
      <c r="AB48" s="2775"/>
      <c r="AC48" s="2775"/>
    </row>
    <row r="49" spans="8:29" x14ac:dyDescent="0.25">
      <c r="H49" s="2773"/>
      <c r="N49" s="2773"/>
      <c r="Y49" s="2773"/>
      <c r="AB49" s="2775"/>
      <c r="AC49" s="2775"/>
    </row>
    <row r="50" spans="8:29" x14ac:dyDescent="0.25">
      <c r="H50" s="2773"/>
      <c r="N50" s="2773"/>
      <c r="Y50" s="2773"/>
      <c r="AB50" s="2775"/>
      <c r="AC50" s="2775"/>
    </row>
    <row r="51" spans="8:29" x14ac:dyDescent="0.25">
      <c r="H51" s="2773"/>
      <c r="N51" s="2773"/>
      <c r="Y51" s="2773"/>
      <c r="AB51" s="2775"/>
      <c r="AC51" s="2775"/>
    </row>
    <row r="52" spans="8:29" x14ac:dyDescent="0.25">
      <c r="H52" s="2773"/>
      <c r="N52" s="2773"/>
      <c r="Y52" s="2773"/>
      <c r="AB52" s="2775"/>
      <c r="AC52" s="2775"/>
    </row>
    <row r="53" spans="8:29" x14ac:dyDescent="0.25">
      <c r="H53" s="2773"/>
      <c r="N53" s="2773"/>
      <c r="Y53" s="2773"/>
      <c r="AB53" s="2775"/>
      <c r="AC53" s="2775"/>
    </row>
    <row r="54" spans="8:29" x14ac:dyDescent="0.25">
      <c r="H54" s="2773"/>
      <c r="N54" s="2773"/>
      <c r="Y54" s="2773"/>
      <c r="AB54" s="2775"/>
      <c r="AC54" s="2775"/>
    </row>
    <row r="55" spans="8:29" x14ac:dyDescent="0.25">
      <c r="H55" s="2773"/>
      <c r="N55" s="2773"/>
      <c r="Y55" s="2773"/>
      <c r="AB55" s="2775"/>
      <c r="AC55" s="2775"/>
    </row>
    <row r="56" spans="8:29" x14ac:dyDescent="0.25">
      <c r="H56" s="2773"/>
      <c r="N56" s="2773"/>
      <c r="Y56" s="2773"/>
      <c r="AB56" s="2775"/>
      <c r="AC56" s="2775"/>
    </row>
    <row r="57" spans="8:29" x14ac:dyDescent="0.25">
      <c r="H57" s="2773"/>
      <c r="N57" s="2773"/>
      <c r="Y57" s="2773"/>
      <c r="AB57" s="2775"/>
      <c r="AC57" s="2775"/>
    </row>
    <row r="58" spans="8:29" x14ac:dyDescent="0.25">
      <c r="H58" s="2773"/>
      <c r="N58" s="2773"/>
      <c r="Y58" s="2773"/>
      <c r="AB58" s="2775"/>
      <c r="AC58" s="2775"/>
    </row>
    <row r="59" spans="8:29" x14ac:dyDescent="0.25">
      <c r="H59" s="2773"/>
      <c r="N59" s="2773"/>
      <c r="Y59" s="2773"/>
      <c r="AB59" s="2775"/>
      <c r="AC59" s="2775"/>
    </row>
    <row r="60" spans="8:29" x14ac:dyDescent="0.25">
      <c r="H60" s="2773"/>
      <c r="N60" s="2773"/>
      <c r="Y60" s="2773"/>
      <c r="AB60" s="2775"/>
      <c r="AC60" s="2775"/>
    </row>
    <row r="61" spans="8:29" x14ac:dyDescent="0.25">
      <c r="H61" s="2773"/>
      <c r="N61" s="2773"/>
      <c r="Y61" s="2773"/>
      <c r="AB61" s="2775"/>
      <c r="AC61" s="2775"/>
    </row>
    <row r="62" spans="8:29" x14ac:dyDescent="0.25">
      <c r="H62" s="2773"/>
      <c r="N62" s="2773"/>
      <c r="Y62" s="2773"/>
      <c r="AB62" s="2775"/>
      <c r="AC62" s="2775"/>
    </row>
    <row r="63" spans="8:29" x14ac:dyDescent="0.25">
      <c r="H63" s="2773"/>
      <c r="N63" s="2773"/>
      <c r="Y63" s="2773"/>
      <c r="AB63" s="2775"/>
      <c r="AC63" s="2775"/>
    </row>
    <row r="64" spans="8:29" x14ac:dyDescent="0.25">
      <c r="H64" s="2773"/>
      <c r="N64" s="2773"/>
      <c r="Y64" s="2773"/>
      <c r="AB64" s="2775"/>
      <c r="AC64" s="2775"/>
    </row>
    <row r="65" spans="8:29" x14ac:dyDescent="0.25">
      <c r="H65" s="2773"/>
      <c r="N65" s="2773"/>
      <c r="Y65" s="2773"/>
      <c r="AB65" s="2775"/>
      <c r="AC65" s="2775"/>
    </row>
    <row r="66" spans="8:29" x14ac:dyDescent="0.25">
      <c r="H66" s="2773"/>
      <c r="N66" s="2773"/>
      <c r="Y66" s="2773"/>
      <c r="AB66" s="2775"/>
      <c r="AC66" s="2775"/>
    </row>
    <row r="67" spans="8:29" x14ac:dyDescent="0.25">
      <c r="H67" s="2773"/>
      <c r="N67" s="2773"/>
      <c r="Y67" s="2773"/>
      <c r="AB67" s="2775"/>
      <c r="AC67" s="2775"/>
    </row>
    <row r="68" spans="8:29" x14ac:dyDescent="0.25">
      <c r="H68" s="2773"/>
      <c r="N68" s="2773"/>
      <c r="Y68" s="2773"/>
      <c r="AB68" s="2775"/>
      <c r="AC68" s="2775"/>
    </row>
    <row r="69" spans="8:29" x14ac:dyDescent="0.25">
      <c r="H69" s="2773"/>
      <c r="N69" s="2773"/>
      <c r="Y69" s="2773"/>
      <c r="AB69" s="2775"/>
      <c r="AC69" s="2775"/>
    </row>
    <row r="70" spans="8:29" x14ac:dyDescent="0.25">
      <c r="H70" s="2773"/>
      <c r="N70" s="2773"/>
      <c r="Y70" s="2773"/>
      <c r="AB70" s="2775"/>
      <c r="AC70" s="2775"/>
    </row>
    <row r="71" spans="8:29" x14ac:dyDescent="0.25">
      <c r="H71" s="2773"/>
      <c r="N71" s="2773"/>
      <c r="Y71" s="2773"/>
      <c r="AB71" s="2775"/>
      <c r="AC71" s="2775"/>
    </row>
    <row r="72" spans="8:29" x14ac:dyDescent="0.25">
      <c r="H72" s="2773"/>
      <c r="N72" s="2773"/>
      <c r="Y72" s="2773"/>
      <c r="AB72" s="2775"/>
      <c r="AC72" s="2775"/>
    </row>
    <row r="73" spans="8:29" x14ac:dyDescent="0.25">
      <c r="H73" s="2773"/>
      <c r="N73" s="2773"/>
      <c r="Y73" s="2773"/>
      <c r="AB73" s="2775"/>
      <c r="AC73" s="2775"/>
    </row>
    <row r="74" spans="8:29" x14ac:dyDescent="0.25">
      <c r="H74" s="2773"/>
      <c r="N74" s="2773"/>
      <c r="Y74" s="2773"/>
      <c r="AB74" s="2775"/>
      <c r="AC74" s="2775"/>
    </row>
    <row r="75" spans="8:29" x14ac:dyDescent="0.25">
      <c r="H75" s="2773"/>
      <c r="N75" s="2773"/>
      <c r="Y75" s="2773"/>
      <c r="AB75" s="2775"/>
      <c r="AC75" s="2775"/>
    </row>
    <row r="76" spans="8:29" x14ac:dyDescent="0.25">
      <c r="H76" s="2773"/>
      <c r="N76" s="2773"/>
      <c r="Y76" s="2773"/>
      <c r="AB76" s="2775"/>
      <c r="AC76" s="2775"/>
    </row>
    <row r="77" spans="8:29" x14ac:dyDescent="0.25">
      <c r="H77" s="2773"/>
      <c r="N77" s="2773"/>
      <c r="Y77" s="2773"/>
      <c r="AB77" s="2775"/>
      <c r="AC77" s="2775"/>
    </row>
    <row r="78" spans="8:29" x14ac:dyDescent="0.25">
      <c r="H78" s="2773"/>
      <c r="N78" s="2773"/>
      <c r="Y78" s="2773"/>
      <c r="AB78" s="2775"/>
      <c r="AC78" s="2775"/>
    </row>
    <row r="79" spans="8:29" x14ac:dyDescent="0.25">
      <c r="H79" s="2773"/>
      <c r="N79" s="2773"/>
      <c r="Y79" s="2773"/>
      <c r="AB79" s="2775"/>
      <c r="AC79" s="2775"/>
    </row>
    <row r="80" spans="8:29" x14ac:dyDescent="0.25">
      <c r="H80" s="2773"/>
      <c r="N80" s="2773"/>
      <c r="Y80" s="2773"/>
      <c r="AB80" s="2775"/>
      <c r="AC80" s="2775"/>
    </row>
    <row r="81" spans="8:29" x14ac:dyDescent="0.25">
      <c r="H81" s="2773"/>
      <c r="N81" s="2773"/>
      <c r="Y81" s="2773"/>
      <c r="AB81" s="2775"/>
      <c r="AC81" s="2775"/>
    </row>
    <row r="82" spans="8:29" x14ac:dyDescent="0.25">
      <c r="H82" s="2773"/>
      <c r="N82" s="2773"/>
      <c r="Y82" s="2773"/>
      <c r="AB82" s="2775"/>
      <c r="AC82" s="2775"/>
    </row>
    <row r="83" spans="8:29" x14ac:dyDescent="0.25">
      <c r="H83" s="2773"/>
      <c r="N83" s="2773"/>
      <c r="Y83" s="2773"/>
      <c r="AB83" s="2775"/>
      <c r="AC83" s="2775"/>
    </row>
    <row r="84" spans="8:29" x14ac:dyDescent="0.25">
      <c r="H84" s="2773"/>
      <c r="N84" s="2773"/>
      <c r="Y84" s="2773"/>
      <c r="AB84" s="2775"/>
      <c r="AC84" s="2775"/>
    </row>
    <row r="85" spans="8:29" x14ac:dyDescent="0.25">
      <c r="H85" s="2773"/>
      <c r="N85" s="2773"/>
      <c r="Y85" s="2773"/>
      <c r="AB85" s="2775"/>
      <c r="AC85" s="2775"/>
    </row>
    <row r="86" spans="8:29" x14ac:dyDescent="0.25">
      <c r="H86" s="2773"/>
      <c r="N86" s="2773"/>
      <c r="Y86" s="2773"/>
      <c r="AB86" s="2775"/>
      <c r="AC86" s="2775"/>
    </row>
    <row r="87" spans="8:29" x14ac:dyDescent="0.25">
      <c r="H87" s="2773"/>
      <c r="N87" s="2773"/>
      <c r="Y87" s="2773"/>
      <c r="AB87" s="2775"/>
      <c r="AC87" s="2775"/>
    </row>
    <row r="88" spans="8:29" x14ac:dyDescent="0.25">
      <c r="H88" s="2773"/>
      <c r="N88" s="2773"/>
      <c r="Y88" s="2773"/>
      <c r="AB88" s="2775"/>
      <c r="AC88" s="2775"/>
    </row>
    <row r="89" spans="8:29" x14ac:dyDescent="0.25">
      <c r="H89" s="2773"/>
      <c r="N89" s="2773"/>
      <c r="Y89" s="2773"/>
      <c r="AB89" s="2775"/>
      <c r="AC89" s="2775"/>
    </row>
    <row r="90" spans="8:29" x14ac:dyDescent="0.25">
      <c r="H90" s="2773"/>
      <c r="N90" s="2773"/>
      <c r="Y90" s="2773"/>
      <c r="AB90" s="2775"/>
      <c r="AC90" s="2775"/>
    </row>
    <row r="91" spans="8:29" x14ac:dyDescent="0.25">
      <c r="H91" s="2773"/>
      <c r="N91" s="2773"/>
      <c r="Y91" s="2773"/>
      <c r="AB91" s="2775"/>
      <c r="AC91" s="2775"/>
    </row>
    <row r="92" spans="8:29" x14ac:dyDescent="0.25">
      <c r="H92" s="2773"/>
      <c r="N92" s="2773"/>
      <c r="Y92" s="2773"/>
      <c r="AB92" s="2775"/>
      <c r="AC92" s="2775"/>
    </row>
    <row r="93" spans="8:29" x14ac:dyDescent="0.25">
      <c r="H93" s="2773"/>
      <c r="N93" s="2773"/>
      <c r="Y93" s="2773"/>
      <c r="AB93" s="2775"/>
      <c r="AC93" s="2775"/>
    </row>
    <row r="94" spans="8:29" x14ac:dyDescent="0.25">
      <c r="H94" s="2773"/>
      <c r="N94" s="2773"/>
      <c r="Y94" s="2773"/>
      <c r="AB94" s="2775"/>
      <c r="AC94" s="2775"/>
    </row>
    <row r="95" spans="8:29" ht="18.75" customHeight="1" x14ac:dyDescent="0.25">
      <c r="H95" s="2773"/>
      <c r="N95" s="2773"/>
      <c r="Y95" s="2773"/>
      <c r="AB95" s="2775"/>
      <c r="AC95" s="2775"/>
    </row>
    <row r="96" spans="8:29" x14ac:dyDescent="0.25">
      <c r="H96" s="2773"/>
      <c r="N96" s="2773"/>
      <c r="Y96" s="2773"/>
      <c r="AB96" s="2775"/>
      <c r="AC96" s="2775"/>
    </row>
    <row r="97" spans="8:29" x14ac:dyDescent="0.25">
      <c r="H97" s="2773"/>
      <c r="N97" s="2773"/>
      <c r="Y97" s="2773"/>
      <c r="AB97" s="2775"/>
      <c r="AC97" s="2775"/>
    </row>
    <row r="98" spans="8:29" x14ac:dyDescent="0.25">
      <c r="H98" s="2773"/>
      <c r="N98" s="2773"/>
      <c r="Y98" s="2773"/>
      <c r="AB98" s="2775"/>
      <c r="AC98" s="2775"/>
    </row>
    <row r="99" spans="8:29" x14ac:dyDescent="0.25">
      <c r="H99" s="2773"/>
      <c r="N99" s="2773"/>
      <c r="Y99" s="2773"/>
      <c r="AB99" s="2775"/>
      <c r="AC99" s="2775"/>
    </row>
    <row r="100" spans="8:29" x14ac:dyDescent="0.25">
      <c r="H100" s="2773"/>
      <c r="N100" s="2773"/>
      <c r="Y100" s="2773"/>
      <c r="AB100" s="2775"/>
      <c r="AC100" s="2775"/>
    </row>
    <row r="101" spans="8:29" x14ac:dyDescent="0.25">
      <c r="H101" s="2773"/>
      <c r="N101" s="2773"/>
      <c r="Y101" s="2773"/>
      <c r="AB101" s="2775"/>
      <c r="AC101" s="2775"/>
    </row>
    <row r="102" spans="8:29" ht="31.5" customHeight="1" x14ac:dyDescent="0.25">
      <c r="H102" s="2773"/>
      <c r="N102" s="2773"/>
      <c r="Y102" s="2773"/>
      <c r="AB102" s="2775"/>
      <c r="AC102" s="2775"/>
    </row>
    <row r="103" spans="8:29" x14ac:dyDescent="0.25">
      <c r="H103" s="2773"/>
      <c r="N103" s="2773"/>
      <c r="Y103" s="2773"/>
      <c r="AB103" s="2775"/>
      <c r="AC103" s="2775"/>
    </row>
    <row r="104" spans="8:29" x14ac:dyDescent="0.25">
      <c r="H104" s="2773"/>
      <c r="N104" s="2773"/>
      <c r="Y104" s="2773"/>
      <c r="AB104" s="2775"/>
      <c r="AC104" s="2775"/>
    </row>
    <row r="105" spans="8:29" x14ac:dyDescent="0.25">
      <c r="H105" s="2773"/>
      <c r="N105" s="2773"/>
      <c r="Y105" s="2773"/>
      <c r="AB105" s="2775"/>
      <c r="AC105" s="2775"/>
    </row>
    <row r="106" spans="8:29" x14ac:dyDescent="0.25">
      <c r="H106" s="2773"/>
      <c r="N106" s="2773"/>
      <c r="Y106" s="2773"/>
      <c r="AB106" s="2775"/>
      <c r="AC106" s="2775"/>
    </row>
    <row r="107" spans="8:29" x14ac:dyDescent="0.25">
      <c r="H107" s="2773"/>
      <c r="N107" s="2773"/>
      <c r="Y107" s="2773"/>
      <c r="AB107" s="2775"/>
      <c r="AC107" s="2775"/>
    </row>
    <row r="108" spans="8:29" x14ac:dyDescent="0.25">
      <c r="H108" s="2773"/>
      <c r="N108" s="2773"/>
      <c r="Y108" s="2773"/>
      <c r="AB108" s="2775"/>
      <c r="AC108" s="2775"/>
    </row>
    <row r="109" spans="8:29" x14ac:dyDescent="0.25">
      <c r="H109" s="2773"/>
      <c r="N109" s="2773"/>
      <c r="Y109" s="2773"/>
      <c r="AB109" s="2775"/>
      <c r="AC109" s="2775"/>
    </row>
    <row r="110" spans="8:29" x14ac:dyDescent="0.25">
      <c r="H110" s="2773"/>
      <c r="N110" s="2773"/>
      <c r="Y110" s="2773"/>
      <c r="AB110" s="2775"/>
      <c r="AC110" s="2775"/>
    </row>
    <row r="111" spans="8:29" x14ac:dyDescent="0.25">
      <c r="H111" s="2773"/>
      <c r="N111" s="2773"/>
      <c r="Y111" s="2773"/>
      <c r="AB111" s="2775"/>
      <c r="AC111" s="2775"/>
    </row>
    <row r="112" spans="8:29" x14ac:dyDescent="0.25">
      <c r="H112" s="2773"/>
      <c r="N112" s="2773"/>
      <c r="Y112" s="2773"/>
      <c r="AB112" s="2775"/>
      <c r="AC112" s="2775"/>
    </row>
    <row r="113" spans="8:29" x14ac:dyDescent="0.25">
      <c r="H113" s="2773"/>
      <c r="N113" s="2773"/>
      <c r="Y113" s="2773"/>
      <c r="AB113" s="2775"/>
      <c r="AC113" s="2775"/>
    </row>
    <row r="114" spans="8:29" x14ac:dyDescent="0.25">
      <c r="H114" s="2773"/>
      <c r="N114" s="2773"/>
      <c r="Y114" s="2773"/>
      <c r="AB114" s="2775"/>
      <c r="AC114" s="2775"/>
    </row>
    <row r="115" spans="8:29" x14ac:dyDescent="0.25">
      <c r="H115" s="2773"/>
      <c r="N115" s="2773"/>
      <c r="Y115" s="2773"/>
      <c r="AB115" s="2775"/>
      <c r="AC115" s="2775"/>
    </row>
    <row r="116" spans="8:29" x14ac:dyDescent="0.25">
      <c r="H116" s="2773"/>
      <c r="N116" s="2773"/>
      <c r="Y116" s="2773"/>
      <c r="AB116" s="2775"/>
      <c r="AC116" s="2775"/>
    </row>
    <row r="117" spans="8:29" x14ac:dyDescent="0.25">
      <c r="H117" s="2773"/>
      <c r="N117" s="2773"/>
      <c r="Y117" s="2773"/>
      <c r="AB117" s="2775"/>
      <c r="AC117" s="2775"/>
    </row>
    <row r="118" spans="8:29" x14ac:dyDescent="0.25">
      <c r="H118" s="2773"/>
      <c r="N118" s="2773"/>
      <c r="Y118" s="2773"/>
      <c r="AB118" s="2775"/>
      <c r="AC118" s="2775"/>
    </row>
    <row r="119" spans="8:29" x14ac:dyDescent="0.25">
      <c r="H119" s="2773"/>
      <c r="N119" s="2773"/>
      <c r="Y119" s="2773"/>
      <c r="AB119" s="2775"/>
      <c r="AC119" s="2775"/>
    </row>
    <row r="120" spans="8:29" x14ac:dyDescent="0.25">
      <c r="H120" s="2773"/>
      <c r="N120" s="2773"/>
      <c r="Y120" s="2773"/>
      <c r="AB120" s="2775"/>
      <c r="AC120" s="2775"/>
    </row>
    <row r="121" spans="8:29" x14ac:dyDescent="0.25">
      <c r="H121" s="2773"/>
      <c r="N121" s="2773"/>
      <c r="Y121" s="2773"/>
      <c r="AB121" s="2775"/>
      <c r="AC121" s="2775"/>
    </row>
    <row r="122" spans="8:29" x14ac:dyDescent="0.25">
      <c r="H122" s="2773"/>
      <c r="N122" s="2773"/>
      <c r="Y122" s="2773"/>
      <c r="AB122" s="2775"/>
      <c r="AC122" s="2775"/>
    </row>
    <row r="123" spans="8:29" x14ac:dyDescent="0.25">
      <c r="H123" s="2773"/>
      <c r="N123" s="2773"/>
      <c r="Y123" s="2773"/>
      <c r="AB123" s="2775"/>
      <c r="AC123" s="2775"/>
    </row>
    <row r="124" spans="8:29" x14ac:dyDescent="0.25">
      <c r="H124" s="2773"/>
      <c r="N124" s="2773"/>
      <c r="Y124" s="2773"/>
      <c r="AB124" s="2775"/>
      <c r="AC124" s="2775"/>
    </row>
    <row r="125" spans="8:29" x14ac:dyDescent="0.25">
      <c r="H125" s="2773"/>
      <c r="N125" s="2773"/>
      <c r="Y125" s="2773"/>
      <c r="AB125" s="2775"/>
      <c r="AC125" s="2775"/>
    </row>
    <row r="126" spans="8:29" x14ac:dyDescent="0.25">
      <c r="H126" s="2773"/>
      <c r="N126" s="2773"/>
      <c r="Y126" s="2773"/>
      <c r="AB126" s="2775"/>
      <c r="AC126" s="2775"/>
    </row>
    <row r="127" spans="8:29" x14ac:dyDescent="0.25">
      <c r="H127" s="2773"/>
      <c r="N127" s="2773"/>
      <c r="Y127" s="2773"/>
      <c r="AB127" s="2775"/>
      <c r="AC127" s="2775"/>
    </row>
    <row r="128" spans="8:29" x14ac:dyDescent="0.25">
      <c r="H128" s="2773"/>
      <c r="N128" s="2773"/>
      <c r="Y128" s="2773"/>
      <c r="AB128" s="2775"/>
      <c r="AC128" s="2775"/>
    </row>
    <row r="129" spans="8:29" x14ac:dyDescent="0.25">
      <c r="H129" s="2773"/>
      <c r="N129" s="2773"/>
      <c r="Y129" s="2773"/>
      <c r="AB129" s="2775"/>
      <c r="AC129" s="2775"/>
    </row>
    <row r="130" spans="8:29" x14ac:dyDescent="0.25">
      <c r="H130" s="2773"/>
      <c r="N130" s="2773"/>
      <c r="Y130" s="2773"/>
      <c r="AB130" s="2775"/>
      <c r="AC130" s="2775"/>
    </row>
    <row r="131" spans="8:29" x14ac:dyDescent="0.25">
      <c r="H131" s="2773"/>
      <c r="N131" s="2773"/>
      <c r="Y131" s="2773"/>
      <c r="AB131" s="2775"/>
      <c r="AC131" s="2775"/>
    </row>
    <row r="132" spans="8:29" x14ac:dyDescent="0.25">
      <c r="H132" s="2773"/>
      <c r="N132" s="2773"/>
      <c r="Y132" s="2773"/>
      <c r="AB132" s="2775"/>
      <c r="AC132" s="2775"/>
    </row>
    <row r="133" spans="8:29" x14ac:dyDescent="0.25">
      <c r="H133" s="2773"/>
      <c r="N133" s="2773"/>
      <c r="Y133" s="2773"/>
      <c r="AB133" s="2775"/>
      <c r="AC133" s="2775"/>
    </row>
    <row r="134" spans="8:29" x14ac:dyDescent="0.25">
      <c r="H134" s="2773"/>
      <c r="N134" s="2773"/>
      <c r="Y134" s="2773"/>
      <c r="AB134" s="2775"/>
      <c r="AC134" s="2775"/>
    </row>
    <row r="135" spans="8:29" x14ac:dyDescent="0.25">
      <c r="H135" s="2773"/>
      <c r="N135" s="2773"/>
      <c r="Y135" s="2773"/>
      <c r="AB135" s="2775"/>
      <c r="AC135" s="2775"/>
    </row>
    <row r="136" spans="8:29" x14ac:dyDescent="0.25">
      <c r="H136" s="2773"/>
      <c r="N136" s="2773"/>
      <c r="Y136" s="2773"/>
      <c r="AB136" s="2775"/>
      <c r="AC136" s="2775"/>
    </row>
    <row r="137" spans="8:29" x14ac:dyDescent="0.25">
      <c r="H137" s="2773"/>
      <c r="N137" s="2773"/>
      <c r="Y137" s="2773"/>
      <c r="AB137" s="2775"/>
      <c r="AC137" s="2775"/>
    </row>
    <row r="138" spans="8:29" x14ac:dyDescent="0.25">
      <c r="H138" s="2773"/>
      <c r="N138" s="2773"/>
      <c r="Y138" s="2773"/>
      <c r="AB138" s="2775"/>
      <c r="AC138" s="2775"/>
    </row>
    <row r="139" spans="8:29" x14ac:dyDescent="0.25">
      <c r="H139" s="2773"/>
      <c r="N139" s="2773"/>
      <c r="Y139" s="2773"/>
      <c r="AB139" s="2775"/>
      <c r="AC139" s="2775"/>
    </row>
    <row r="140" spans="8:29" ht="15.75" customHeight="1" x14ac:dyDescent="0.25">
      <c r="H140" s="2773"/>
      <c r="N140" s="2773"/>
      <c r="Y140" s="2773"/>
      <c r="AB140" s="2775"/>
      <c r="AC140" s="2775"/>
    </row>
    <row r="141" spans="8:29" x14ac:dyDescent="0.25">
      <c r="H141" s="2773"/>
      <c r="N141" s="2773"/>
      <c r="Y141" s="2773"/>
      <c r="AB141" s="2775"/>
      <c r="AC141" s="2775"/>
    </row>
    <row r="142" spans="8:29" x14ac:dyDescent="0.25">
      <c r="H142" s="2773"/>
      <c r="N142" s="2773"/>
      <c r="Y142" s="2773"/>
      <c r="AB142" s="2775"/>
      <c r="AC142" s="2775"/>
    </row>
    <row r="143" spans="8:29" x14ac:dyDescent="0.25">
      <c r="H143" s="2773"/>
      <c r="N143" s="2773"/>
      <c r="Y143" s="2773"/>
      <c r="AB143" s="2775"/>
      <c r="AC143" s="2775"/>
    </row>
    <row r="144" spans="8:29" x14ac:dyDescent="0.25">
      <c r="H144" s="2773"/>
      <c r="N144" s="2773"/>
      <c r="Y144" s="2773"/>
      <c r="AB144" s="2775"/>
      <c r="AC144" s="2775"/>
    </row>
    <row r="145" spans="8:29" x14ac:dyDescent="0.25">
      <c r="H145" s="2773"/>
      <c r="N145" s="2773"/>
      <c r="Y145" s="2773"/>
      <c r="AB145" s="2775"/>
      <c r="AC145" s="2775"/>
    </row>
    <row r="146" spans="8:29" x14ac:dyDescent="0.25">
      <c r="H146" s="2773"/>
      <c r="N146" s="2773"/>
      <c r="Y146" s="2773"/>
      <c r="AB146" s="2775"/>
      <c r="AC146" s="2775"/>
    </row>
    <row r="147" spans="8:29" x14ac:dyDescent="0.25">
      <c r="H147" s="2773"/>
      <c r="N147" s="2773"/>
      <c r="Y147" s="2773"/>
      <c r="AB147" s="2775"/>
      <c r="AC147" s="2775"/>
    </row>
    <row r="148" spans="8:29" x14ac:dyDescent="0.25">
      <c r="H148" s="2773"/>
      <c r="N148" s="2773"/>
      <c r="Y148" s="2773"/>
      <c r="AB148" s="2775"/>
      <c r="AC148" s="2775"/>
    </row>
    <row r="149" spans="8:29" x14ac:dyDescent="0.25">
      <c r="H149" s="2773"/>
      <c r="N149" s="2773"/>
      <c r="Y149" s="2773"/>
      <c r="AB149" s="2775"/>
      <c r="AC149" s="2775"/>
    </row>
    <row r="150" spans="8:29" x14ac:dyDescent="0.25">
      <c r="H150" s="2773"/>
      <c r="N150" s="2773"/>
      <c r="Y150" s="2773"/>
      <c r="AB150" s="2775"/>
      <c r="AC150" s="2775"/>
    </row>
    <row r="151" spans="8:29" x14ac:dyDescent="0.25">
      <c r="H151" s="2773"/>
      <c r="N151" s="2773"/>
      <c r="Y151" s="2773"/>
      <c r="AB151" s="2775"/>
      <c r="AC151" s="2775"/>
    </row>
    <row r="152" spans="8:29" x14ac:dyDescent="0.25">
      <c r="H152" s="2773"/>
      <c r="N152" s="2773"/>
      <c r="Y152" s="2773"/>
      <c r="AB152" s="2775"/>
      <c r="AC152" s="2775"/>
    </row>
    <row r="153" spans="8:29" x14ac:dyDescent="0.25">
      <c r="H153" s="2773"/>
      <c r="N153" s="2773"/>
      <c r="Y153" s="2773"/>
      <c r="AB153" s="2775"/>
      <c r="AC153" s="2775"/>
    </row>
    <row r="154" spans="8:29" x14ac:dyDescent="0.25">
      <c r="H154" s="2773"/>
      <c r="N154" s="2773"/>
      <c r="Y154" s="2773"/>
      <c r="AB154" s="2775"/>
      <c r="AC154" s="2775"/>
    </row>
    <row r="155" spans="8:29" x14ac:dyDescent="0.25">
      <c r="H155" s="2773"/>
      <c r="N155" s="2773"/>
      <c r="Y155" s="2773"/>
      <c r="AB155" s="2775"/>
      <c r="AC155" s="2775"/>
    </row>
    <row r="156" spans="8:29" x14ac:dyDescent="0.25">
      <c r="H156" s="2773"/>
      <c r="N156" s="2773"/>
      <c r="Y156" s="2773"/>
      <c r="AB156" s="2775"/>
      <c r="AC156" s="2775"/>
    </row>
    <row r="157" spans="8:29" x14ac:dyDescent="0.25">
      <c r="H157" s="2773"/>
      <c r="N157" s="2773"/>
      <c r="Y157" s="2773"/>
      <c r="AB157" s="2775"/>
      <c r="AC157" s="2775"/>
    </row>
    <row r="158" spans="8:29" x14ac:dyDescent="0.25">
      <c r="H158" s="2773"/>
      <c r="N158" s="2773"/>
      <c r="Y158" s="2773"/>
      <c r="AB158" s="2775"/>
      <c r="AC158" s="2775"/>
    </row>
    <row r="159" spans="8:29" x14ac:dyDescent="0.25">
      <c r="H159" s="2773"/>
      <c r="N159" s="2773"/>
      <c r="Y159" s="2773"/>
      <c r="AB159" s="2775"/>
      <c r="AC159" s="2775"/>
    </row>
    <row r="160" spans="8:29" x14ac:dyDescent="0.25">
      <c r="H160" s="2773"/>
      <c r="N160" s="2773"/>
      <c r="Y160" s="2773"/>
      <c r="AB160" s="2775"/>
      <c r="AC160" s="2775"/>
    </row>
    <row r="161" spans="8:29" x14ac:dyDescent="0.25">
      <c r="H161" s="2773"/>
      <c r="N161" s="2773"/>
      <c r="Y161" s="2773"/>
      <c r="AB161" s="2775"/>
      <c r="AC161" s="2775"/>
    </row>
    <row r="162" spans="8:29" x14ac:dyDescent="0.25">
      <c r="H162" s="2773"/>
      <c r="N162" s="2773"/>
      <c r="Y162" s="2773"/>
      <c r="AB162" s="2775"/>
      <c r="AC162" s="2775"/>
    </row>
    <row r="163" spans="8:29" x14ac:dyDescent="0.25">
      <c r="H163" s="2773"/>
      <c r="N163" s="2773"/>
      <c r="Y163" s="2773"/>
      <c r="AB163" s="2775"/>
      <c r="AC163" s="2775"/>
    </row>
    <row r="164" spans="8:29" x14ac:dyDescent="0.25">
      <c r="H164" s="2773"/>
      <c r="N164" s="2773"/>
      <c r="Y164" s="2773"/>
      <c r="AB164" s="2775"/>
      <c r="AC164" s="2775"/>
    </row>
    <row r="165" spans="8:29" x14ac:dyDescent="0.25">
      <c r="H165" s="2773"/>
      <c r="N165" s="2773"/>
      <c r="Y165" s="2773"/>
      <c r="AB165" s="2775"/>
      <c r="AC165" s="2775"/>
    </row>
    <row r="166" spans="8:29" x14ac:dyDescent="0.25">
      <c r="H166" s="2773"/>
      <c r="N166" s="2773"/>
      <c r="Y166" s="2773"/>
      <c r="AB166" s="2775"/>
      <c r="AC166" s="2775"/>
    </row>
    <row r="167" spans="8:29" x14ac:dyDescent="0.25">
      <c r="H167" s="2773"/>
      <c r="N167" s="2773"/>
      <c r="Y167" s="2773"/>
      <c r="AB167" s="2775"/>
      <c r="AC167" s="2775"/>
    </row>
    <row r="168" spans="8:29" x14ac:dyDescent="0.25">
      <c r="H168" s="2773"/>
      <c r="N168" s="2773"/>
      <c r="Y168" s="2773"/>
      <c r="AB168" s="2775"/>
      <c r="AC168" s="2775"/>
    </row>
    <row r="169" spans="8:29" x14ac:dyDescent="0.25">
      <c r="H169" s="2773"/>
      <c r="N169" s="2773"/>
      <c r="Y169" s="2773"/>
      <c r="AB169" s="2775"/>
      <c r="AC169" s="2775"/>
    </row>
    <row r="170" spans="8:29" x14ac:dyDescent="0.25">
      <c r="H170" s="2773"/>
      <c r="N170" s="2773"/>
      <c r="Y170" s="2773"/>
      <c r="AB170" s="2775"/>
      <c r="AC170" s="2775"/>
    </row>
    <row r="171" spans="8:29" x14ac:dyDescent="0.25">
      <c r="H171" s="2773"/>
      <c r="N171" s="2773"/>
      <c r="Y171" s="2773"/>
      <c r="AB171" s="2775"/>
      <c r="AC171" s="2775"/>
    </row>
    <row r="172" spans="8:29" x14ac:dyDescent="0.25">
      <c r="H172" s="2773"/>
      <c r="N172" s="2773"/>
      <c r="Y172" s="2773"/>
      <c r="AB172" s="2775"/>
      <c r="AC172" s="2775"/>
    </row>
    <row r="173" spans="8:29" x14ac:dyDescent="0.25">
      <c r="H173" s="2773"/>
      <c r="N173" s="2773"/>
      <c r="Y173" s="2773"/>
      <c r="AB173" s="2775"/>
      <c r="AC173" s="2775"/>
    </row>
    <row r="174" spans="8:29" x14ac:dyDescent="0.25">
      <c r="H174" s="2773"/>
      <c r="N174" s="2773"/>
      <c r="Y174" s="2773"/>
      <c r="AB174" s="2775"/>
      <c r="AC174" s="2775"/>
    </row>
    <row r="175" spans="8:29" x14ac:dyDescent="0.25">
      <c r="H175" s="2773"/>
      <c r="N175" s="2773"/>
      <c r="Y175" s="2773"/>
      <c r="AB175" s="2775"/>
      <c r="AC175" s="2775"/>
    </row>
    <row r="176" spans="8:29" x14ac:dyDescent="0.25">
      <c r="H176" s="2773"/>
      <c r="N176" s="2773"/>
      <c r="Y176" s="2773"/>
      <c r="AB176" s="2775"/>
      <c r="AC176" s="2775"/>
    </row>
    <row r="177" spans="8:29" x14ac:dyDescent="0.25">
      <c r="H177" s="2773"/>
      <c r="N177" s="2773"/>
      <c r="Y177" s="2773"/>
      <c r="AB177" s="2775"/>
      <c r="AC177" s="2775"/>
    </row>
    <row r="178" spans="8:29" x14ac:dyDescent="0.25">
      <c r="H178" s="2773"/>
      <c r="N178" s="2773"/>
      <c r="Y178" s="2773"/>
      <c r="AB178" s="2775"/>
      <c r="AC178" s="2775"/>
    </row>
    <row r="179" spans="8:29" x14ac:dyDescent="0.25">
      <c r="H179" s="2773"/>
      <c r="N179" s="2773"/>
      <c r="Y179" s="2773"/>
      <c r="AB179" s="2775"/>
      <c r="AC179" s="2775"/>
    </row>
    <row r="180" spans="8:29" x14ac:dyDescent="0.25">
      <c r="H180" s="2773"/>
      <c r="N180" s="2773"/>
      <c r="Y180" s="2773"/>
      <c r="AB180" s="2775"/>
      <c r="AC180" s="2775"/>
    </row>
    <row r="181" spans="8:29" x14ac:dyDescent="0.25">
      <c r="H181" s="2773"/>
      <c r="N181" s="2773"/>
      <c r="Y181" s="2773"/>
      <c r="AB181" s="2775"/>
      <c r="AC181" s="2775"/>
    </row>
    <row r="182" spans="8:29" x14ac:dyDescent="0.25">
      <c r="H182" s="2773"/>
      <c r="N182" s="2773"/>
      <c r="Y182" s="2773"/>
      <c r="AB182" s="2775"/>
      <c r="AC182" s="2775"/>
    </row>
    <row r="183" spans="8:29" x14ac:dyDescent="0.25">
      <c r="H183" s="2773"/>
      <c r="N183" s="2773"/>
      <c r="Y183" s="2773"/>
      <c r="AB183" s="2775"/>
      <c r="AC183" s="2775"/>
    </row>
    <row r="184" spans="8:29" x14ac:dyDescent="0.25">
      <c r="H184" s="2773"/>
      <c r="N184" s="2773"/>
      <c r="Y184" s="2773"/>
      <c r="AB184" s="2775"/>
      <c r="AC184" s="2775"/>
    </row>
    <row r="185" spans="8:29" x14ac:dyDescent="0.25">
      <c r="H185" s="2773"/>
      <c r="N185" s="2773"/>
      <c r="Y185" s="2773"/>
      <c r="AB185" s="2775"/>
      <c r="AC185" s="2775"/>
    </row>
    <row r="186" spans="8:29" x14ac:dyDescent="0.25">
      <c r="H186" s="2773"/>
      <c r="N186" s="2773"/>
      <c r="Y186" s="2773"/>
      <c r="AB186" s="2775"/>
      <c r="AC186" s="2775"/>
    </row>
    <row r="187" spans="8:29" x14ac:dyDescent="0.25">
      <c r="H187" s="2773"/>
      <c r="N187" s="2773"/>
      <c r="Y187" s="2773"/>
      <c r="AB187" s="2775"/>
      <c r="AC187" s="2775"/>
    </row>
    <row r="188" spans="8:29" x14ac:dyDescent="0.25">
      <c r="H188" s="2773"/>
      <c r="N188" s="2773"/>
      <c r="Y188" s="2773"/>
      <c r="AB188" s="2775"/>
      <c r="AC188" s="2775"/>
    </row>
    <row r="189" spans="8:29" x14ac:dyDescent="0.25">
      <c r="H189" s="2773"/>
      <c r="N189" s="2773"/>
      <c r="Y189" s="2773"/>
      <c r="AB189" s="2775"/>
      <c r="AC189" s="2775"/>
    </row>
    <row r="190" spans="8:29" x14ac:dyDescent="0.25">
      <c r="H190" s="2773"/>
      <c r="N190" s="2773"/>
      <c r="Y190" s="2773"/>
      <c r="AB190" s="2775"/>
      <c r="AC190" s="2775"/>
    </row>
    <row r="191" spans="8:29" x14ac:dyDescent="0.25">
      <c r="H191" s="2773"/>
      <c r="N191" s="2773"/>
      <c r="Y191" s="2773"/>
      <c r="AB191" s="2775"/>
      <c r="AC191" s="2775"/>
    </row>
    <row r="192" spans="8:29" x14ac:dyDescent="0.25">
      <c r="H192" s="2773"/>
      <c r="N192" s="2773"/>
      <c r="Y192" s="2773"/>
      <c r="AB192" s="2775"/>
      <c r="AC192" s="2775"/>
    </row>
    <row r="193" spans="8:29" x14ac:dyDescent="0.25">
      <c r="H193" s="2773"/>
      <c r="N193" s="2773"/>
      <c r="Y193" s="2773"/>
      <c r="AB193" s="2775"/>
      <c r="AC193" s="2775"/>
    </row>
    <row r="194" spans="8:29" x14ac:dyDescent="0.25">
      <c r="H194" s="2773"/>
      <c r="N194" s="2773"/>
      <c r="Y194" s="2773"/>
      <c r="AB194" s="2775"/>
      <c r="AC194" s="2775"/>
    </row>
    <row r="195" spans="8:29" x14ac:dyDescent="0.25">
      <c r="H195" s="2773"/>
      <c r="N195" s="2773"/>
      <c r="Y195" s="2773"/>
      <c r="AB195" s="2775"/>
      <c r="AC195" s="2775"/>
    </row>
    <row r="196" spans="8:29" x14ac:dyDescent="0.25">
      <c r="H196" s="2773"/>
      <c r="N196" s="2773"/>
      <c r="Y196" s="2773"/>
      <c r="AB196" s="2775"/>
      <c r="AC196" s="2775"/>
    </row>
    <row r="197" spans="8:29" x14ac:dyDescent="0.25">
      <c r="H197" s="2773"/>
      <c r="N197" s="2773"/>
      <c r="Y197" s="2773"/>
      <c r="AB197" s="2775"/>
      <c r="AC197" s="2775"/>
    </row>
    <row r="198" spans="8:29" x14ac:dyDescent="0.25">
      <c r="H198" s="2773"/>
      <c r="N198" s="2773"/>
      <c r="Y198" s="2773"/>
      <c r="AB198" s="2775"/>
      <c r="AC198" s="2775"/>
    </row>
    <row r="199" spans="8:29" x14ac:dyDescent="0.25">
      <c r="H199" s="2773"/>
      <c r="N199" s="2773"/>
      <c r="Y199" s="2773"/>
      <c r="AB199" s="2775"/>
      <c r="AC199" s="2775"/>
    </row>
    <row r="200" spans="8:29" x14ac:dyDescent="0.25">
      <c r="H200" s="2773"/>
      <c r="N200" s="2773"/>
      <c r="Y200" s="2773"/>
      <c r="AB200" s="2775"/>
      <c r="AC200" s="2775"/>
    </row>
    <row r="201" spans="8:29" x14ac:dyDescent="0.25">
      <c r="H201" s="2773"/>
      <c r="N201" s="2773"/>
      <c r="Y201" s="2773"/>
      <c r="AB201" s="2775"/>
      <c r="AC201" s="2775"/>
    </row>
    <row r="202" spans="8:29" x14ac:dyDescent="0.25">
      <c r="H202" s="2773"/>
      <c r="N202" s="2773"/>
      <c r="Y202" s="2773"/>
      <c r="AB202" s="2775"/>
      <c r="AC202" s="2775"/>
    </row>
    <row r="203" spans="8:29" x14ac:dyDescent="0.25">
      <c r="H203" s="2773"/>
      <c r="N203" s="2773"/>
      <c r="Y203" s="2773"/>
      <c r="AB203" s="2775"/>
      <c r="AC203" s="2775"/>
    </row>
    <row r="204" spans="8:29" x14ac:dyDescent="0.25">
      <c r="H204" s="2773"/>
      <c r="N204" s="2773"/>
      <c r="Y204" s="2773"/>
      <c r="AB204" s="2775"/>
      <c r="AC204" s="2775"/>
    </row>
    <row r="205" spans="8:29" x14ac:dyDescent="0.25">
      <c r="H205" s="2773"/>
      <c r="N205" s="2773"/>
      <c r="Y205" s="2773"/>
      <c r="AB205" s="2775"/>
      <c r="AC205" s="2775"/>
    </row>
    <row r="206" spans="8:29" x14ac:dyDescent="0.25">
      <c r="H206" s="2773"/>
      <c r="N206" s="2773"/>
      <c r="Y206" s="2773"/>
      <c r="AB206" s="2775"/>
      <c r="AC206" s="2775"/>
    </row>
    <row r="207" spans="8:29" x14ac:dyDescent="0.25">
      <c r="H207" s="2773"/>
      <c r="N207" s="2773"/>
      <c r="Y207" s="2773"/>
      <c r="AB207" s="2775"/>
      <c r="AC207" s="2775"/>
    </row>
    <row r="208" spans="8:29" x14ac:dyDescent="0.25">
      <c r="H208" s="2773"/>
      <c r="N208" s="2773"/>
      <c r="Y208" s="2773"/>
      <c r="AB208" s="2775"/>
      <c r="AC208" s="2775"/>
    </row>
    <row r="209" spans="8:29" x14ac:dyDescent="0.25">
      <c r="H209" s="2773"/>
      <c r="N209" s="2773"/>
      <c r="Y209" s="2773"/>
      <c r="AB209" s="2775"/>
      <c r="AC209" s="2775"/>
    </row>
    <row r="210" spans="8:29" x14ac:dyDescent="0.25">
      <c r="H210" s="2773"/>
      <c r="N210" s="2773"/>
      <c r="Y210" s="2773"/>
      <c r="AB210" s="2775"/>
      <c r="AC210" s="2775"/>
    </row>
    <row r="211" spans="8:29" x14ac:dyDescent="0.25">
      <c r="H211" s="2773"/>
      <c r="N211" s="2773"/>
      <c r="Y211" s="2773"/>
      <c r="AB211" s="2775"/>
      <c r="AC211" s="2775"/>
    </row>
    <row r="212" spans="8:29" x14ac:dyDescent="0.25">
      <c r="H212" s="2773"/>
      <c r="N212" s="2773"/>
      <c r="Y212" s="2773"/>
      <c r="AB212" s="2775"/>
      <c r="AC212" s="2775"/>
    </row>
    <row r="213" spans="8:29" x14ac:dyDescent="0.25">
      <c r="H213" s="2773"/>
      <c r="N213" s="2773"/>
      <c r="Y213" s="2773"/>
      <c r="AB213" s="2775"/>
      <c r="AC213" s="2775"/>
    </row>
    <row r="214" spans="8:29" x14ac:dyDescent="0.25">
      <c r="H214" s="2773"/>
      <c r="N214" s="2773"/>
      <c r="Y214" s="2773"/>
      <c r="AB214" s="2775"/>
      <c r="AC214" s="2775"/>
    </row>
    <row r="215" spans="8:29" x14ac:dyDescent="0.25">
      <c r="H215" s="2773"/>
      <c r="N215" s="2773"/>
      <c r="Y215" s="2773"/>
      <c r="AB215" s="2775"/>
      <c r="AC215" s="2775"/>
    </row>
    <row r="216" spans="8:29" x14ac:dyDescent="0.25">
      <c r="H216" s="2773"/>
      <c r="N216" s="2773"/>
      <c r="Y216" s="2773"/>
      <c r="AB216" s="2775"/>
      <c r="AC216" s="2775"/>
    </row>
    <row r="217" spans="8:29" x14ac:dyDescent="0.25">
      <c r="H217" s="2773"/>
      <c r="N217" s="2773"/>
      <c r="Y217" s="2773"/>
      <c r="AB217" s="2775"/>
      <c r="AC217" s="2775"/>
    </row>
    <row r="218" spans="8:29" ht="18.75" customHeight="1" x14ac:dyDescent="0.25">
      <c r="H218" s="2773"/>
      <c r="N218" s="2773"/>
      <c r="Y218" s="2773"/>
      <c r="AB218" s="2775"/>
      <c r="AC218" s="2775"/>
    </row>
  </sheetData>
  <mergeCells count="28">
    <mergeCell ref="V5:V6"/>
    <mergeCell ref="W5:Y5"/>
    <mergeCell ref="C24:E24"/>
    <mergeCell ref="I24:J24"/>
    <mergeCell ref="C23:E23"/>
    <mergeCell ref="I23:J23"/>
    <mergeCell ref="A9:AD9"/>
    <mergeCell ref="K5:N5"/>
    <mergeCell ref="O5:O6"/>
    <mergeCell ref="P5:P6"/>
    <mergeCell ref="Q5:T5"/>
    <mergeCell ref="U5:U6"/>
    <mergeCell ref="A2:AD2"/>
    <mergeCell ref="A4:A6"/>
    <mergeCell ref="B4:B6"/>
    <mergeCell ref="C4:H4"/>
    <mergeCell ref="I4:N4"/>
    <mergeCell ref="O4:T4"/>
    <mergeCell ref="U4:Y4"/>
    <mergeCell ref="Z4:AA5"/>
    <mergeCell ref="AD4:AD6"/>
    <mergeCell ref="C5:C6"/>
    <mergeCell ref="AB5:AC5"/>
    <mergeCell ref="AB6:AC6"/>
    <mergeCell ref="D5:D6"/>
    <mergeCell ref="E5:H5"/>
    <mergeCell ref="I5:I6"/>
    <mergeCell ref="J5:J6"/>
  </mergeCells>
  <pageMargins left="0.70866141732283472" right="0.70866141732283472" top="0.74803149606299213" bottom="0.74803149606299213" header="0.31496062992125984" footer="0.31496062992125984"/>
  <pageSetup paperSize="9" scale="25" fitToHeight="0" orientation="landscape" r:id="rId1"/>
  <rowBreaks count="1" manualBreakCount="1">
    <brk id="29" max="29" man="1"/>
  </rowBreaks>
  <colBreaks count="1" manualBreakCount="1">
    <brk id="12" max="21"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S48"/>
  <sheetViews>
    <sheetView view="pageBreakPreview" topLeftCell="G1" zoomScale="62" zoomScaleNormal="61" zoomScaleSheetLayoutView="62" workbookViewId="0">
      <pane xSplit="4" ySplit="8" topLeftCell="K12" activePane="bottomRight" state="frozen"/>
      <selection activeCell="T58" sqref="T58"/>
      <selection pane="topRight" activeCell="T58" sqref="T58"/>
      <selection pane="bottomLeft" activeCell="T58" sqref="T58"/>
      <selection pane="bottomRight" activeCell="X62" sqref="X62"/>
    </sheetView>
  </sheetViews>
  <sheetFormatPr defaultRowHeight="14.25" x14ac:dyDescent="0.2"/>
  <cols>
    <col min="1" max="6" width="0" style="2843" hidden="1" customWidth="1"/>
    <col min="7" max="7" width="6.5" style="2843" customWidth="1"/>
    <col min="8" max="8" width="21" style="2843" customWidth="1"/>
    <col min="9" max="9" width="38" style="2843" customWidth="1"/>
    <col min="10" max="10" width="29.6640625" style="2843" customWidth="1"/>
    <col min="11" max="11" width="18" style="2843" customWidth="1"/>
    <col min="12" max="13" width="13.33203125" style="2843" customWidth="1"/>
    <col min="14" max="16" width="14.83203125" style="2843" customWidth="1"/>
    <col min="17" max="18" width="13.33203125" style="2843" customWidth="1"/>
    <col min="19" max="19" width="14.83203125" style="2844" customWidth="1"/>
    <col min="20" max="21" width="14.83203125" style="2843" customWidth="1"/>
    <col min="22" max="23" width="13.33203125" style="2843" customWidth="1"/>
    <col min="24" max="26" width="14.83203125" style="2843" customWidth="1"/>
    <col min="27" max="27" width="27.33203125" style="2843" customWidth="1"/>
    <col min="28" max="29" width="13.33203125" style="2843" customWidth="1"/>
    <col min="30" max="32" width="14.83203125" style="2843" customWidth="1"/>
    <col min="33" max="33" width="12.6640625" style="2843" customWidth="1"/>
    <col min="34" max="34" width="13.5" style="2843" customWidth="1"/>
    <col min="35" max="36" width="14" style="2843" customWidth="1"/>
    <col min="37" max="37" width="22.5" style="2843" customWidth="1"/>
    <col min="38" max="16384" width="9.33203125" style="2843"/>
  </cols>
  <sheetData>
    <row r="1" spans="1:44" ht="36.75" customHeight="1" x14ac:dyDescent="0.2">
      <c r="AF1" s="2845" t="s">
        <v>1271</v>
      </c>
    </row>
    <row r="2" spans="1:44" ht="30.75" customHeight="1" x14ac:dyDescent="0.2">
      <c r="G2" s="3776" t="s">
        <v>2689</v>
      </c>
      <c r="H2" s="3776"/>
      <c r="I2" s="3776"/>
      <c r="J2" s="3776"/>
      <c r="K2" s="3776"/>
      <c r="L2" s="3776"/>
      <c r="M2" s="3776"/>
      <c r="N2" s="3776"/>
      <c r="O2" s="3776"/>
      <c r="P2" s="3776"/>
      <c r="Q2" s="3776"/>
      <c r="R2" s="3776"/>
      <c r="S2" s="3776"/>
      <c r="T2" s="3776"/>
      <c r="U2" s="3776"/>
      <c r="V2" s="3776"/>
      <c r="W2" s="3776"/>
      <c r="X2" s="3776"/>
      <c r="Y2" s="3776"/>
      <c r="Z2" s="3776"/>
      <c r="AA2" s="3776"/>
      <c r="AB2" s="3776"/>
      <c r="AC2" s="3776"/>
      <c r="AD2" s="3776"/>
      <c r="AE2" s="3776"/>
      <c r="AF2" s="3776"/>
    </row>
    <row r="3" spans="1:44" ht="30.75" customHeight="1" x14ac:dyDescent="0.2">
      <c r="G3" s="3777" t="s">
        <v>1442</v>
      </c>
      <c r="H3" s="3777"/>
      <c r="I3" s="3777"/>
      <c r="J3" s="3777"/>
      <c r="K3" s="3777"/>
      <c r="L3" s="3777"/>
      <c r="M3" s="3777"/>
      <c r="N3" s="3777"/>
      <c r="O3" s="3777"/>
      <c r="P3" s="3777"/>
      <c r="Q3" s="3777"/>
      <c r="R3" s="3777"/>
      <c r="S3" s="3777"/>
      <c r="T3" s="3777"/>
      <c r="U3" s="3777"/>
      <c r="V3" s="3777"/>
      <c r="W3" s="3777"/>
      <c r="X3" s="3777"/>
      <c r="Y3" s="3777"/>
      <c r="Z3" s="3777"/>
      <c r="AA3" s="3777"/>
      <c r="AB3" s="3777"/>
      <c r="AC3" s="3777"/>
      <c r="AD3" s="3777"/>
      <c r="AE3" s="3777"/>
      <c r="AF3" s="3777"/>
    </row>
    <row r="4" spans="1:44" ht="18" customHeight="1" x14ac:dyDescent="0.2">
      <c r="G4" s="3778" t="s">
        <v>1272</v>
      </c>
      <c r="H4" s="3778"/>
      <c r="I4" s="3778"/>
      <c r="J4" s="3778"/>
      <c r="K4" s="3778"/>
      <c r="L4" s="3778"/>
      <c r="M4" s="3778"/>
      <c r="N4" s="3778"/>
      <c r="O4" s="3778"/>
      <c r="P4" s="3778"/>
      <c r="Q4" s="3778"/>
      <c r="AK4" s="2885">
        <v>43831</v>
      </c>
    </row>
    <row r="5" spans="1:44" s="2846" customFormat="1" ht="30" customHeight="1" x14ac:dyDescent="0.2">
      <c r="G5" s="3779" t="s">
        <v>78</v>
      </c>
      <c r="H5" s="3779" t="s">
        <v>182</v>
      </c>
      <c r="I5" s="3779" t="s">
        <v>1273</v>
      </c>
      <c r="J5" s="3779" t="s">
        <v>1274</v>
      </c>
      <c r="K5" s="3779" t="s">
        <v>1275</v>
      </c>
      <c r="L5" s="3780" t="s">
        <v>1269</v>
      </c>
      <c r="M5" s="3780"/>
      <c r="N5" s="3780"/>
      <c r="O5" s="3780"/>
      <c r="P5" s="3780"/>
      <c r="Q5" s="3780" t="s">
        <v>1270</v>
      </c>
      <c r="R5" s="3780"/>
      <c r="S5" s="3780"/>
      <c r="T5" s="3780"/>
      <c r="U5" s="3780"/>
      <c r="V5" s="3780" t="s">
        <v>1276</v>
      </c>
      <c r="W5" s="3780"/>
      <c r="X5" s="3780"/>
      <c r="Y5" s="3780"/>
      <c r="Z5" s="3780"/>
      <c r="AA5" s="3779" t="s">
        <v>1277</v>
      </c>
      <c r="AB5" s="3780" t="s">
        <v>1278</v>
      </c>
      <c r="AC5" s="3780"/>
      <c r="AD5" s="3780"/>
      <c r="AE5" s="3780"/>
      <c r="AF5" s="3780"/>
      <c r="AG5" s="3780" t="s">
        <v>1279</v>
      </c>
      <c r="AH5" s="3780"/>
      <c r="AI5" s="3780"/>
      <c r="AJ5" s="3780"/>
      <c r="AK5" s="3780"/>
    </row>
    <row r="6" spans="1:44" ht="15" customHeight="1" x14ac:dyDescent="0.2">
      <c r="G6" s="3779"/>
      <c r="H6" s="3779"/>
      <c r="I6" s="3779"/>
      <c r="J6" s="3779"/>
      <c r="K6" s="3779"/>
      <c r="L6" s="3780" t="s">
        <v>1280</v>
      </c>
      <c r="M6" s="3780"/>
      <c r="N6" s="3780"/>
      <c r="O6" s="3780" t="s">
        <v>1281</v>
      </c>
      <c r="P6" s="3780" t="s">
        <v>1282</v>
      </c>
      <c r="Q6" s="3779" t="s">
        <v>2675</v>
      </c>
      <c r="R6" s="3779"/>
      <c r="S6" s="3779"/>
      <c r="T6" s="3780" t="s">
        <v>1281</v>
      </c>
      <c r="U6" s="3780" t="s">
        <v>1282</v>
      </c>
      <c r="V6" s="3779" t="s">
        <v>1280</v>
      </c>
      <c r="W6" s="3779"/>
      <c r="X6" s="3779"/>
      <c r="Y6" s="3779" t="s">
        <v>1281</v>
      </c>
      <c r="Z6" s="3779" t="s">
        <v>1282</v>
      </c>
      <c r="AA6" s="3779"/>
      <c r="AB6" s="3779" t="s">
        <v>1280</v>
      </c>
      <c r="AC6" s="3779"/>
      <c r="AD6" s="3779"/>
      <c r="AE6" s="3779" t="s">
        <v>1281</v>
      </c>
      <c r="AF6" s="3779" t="s">
        <v>1282</v>
      </c>
      <c r="AG6" s="3779" t="s">
        <v>1280</v>
      </c>
      <c r="AH6" s="3779"/>
      <c r="AI6" s="3779"/>
      <c r="AJ6" s="3779" t="s">
        <v>1281</v>
      </c>
      <c r="AK6" s="3779" t="s">
        <v>1282</v>
      </c>
    </row>
    <row r="7" spans="1:44" ht="63.75" customHeight="1" x14ac:dyDescent="0.2">
      <c r="G7" s="3779"/>
      <c r="H7" s="3779"/>
      <c r="I7" s="3779"/>
      <c r="J7" s="3779"/>
      <c r="K7" s="3779"/>
      <c r="L7" s="1777" t="s">
        <v>1283</v>
      </c>
      <c r="M7" s="1777" t="s">
        <v>1284</v>
      </c>
      <c r="N7" s="1777" t="s">
        <v>1285</v>
      </c>
      <c r="O7" s="3780"/>
      <c r="P7" s="3780"/>
      <c r="Q7" s="1777" t="s">
        <v>1283</v>
      </c>
      <c r="R7" s="1777" t="s">
        <v>1286</v>
      </c>
      <c r="S7" s="2847" t="s">
        <v>1285</v>
      </c>
      <c r="T7" s="3780"/>
      <c r="U7" s="3780"/>
      <c r="V7" s="1229" t="s">
        <v>1283</v>
      </c>
      <c r="W7" s="1229" t="s">
        <v>1287</v>
      </c>
      <c r="X7" s="1229" t="s">
        <v>1285</v>
      </c>
      <c r="Y7" s="3779"/>
      <c r="Z7" s="3779"/>
      <c r="AA7" s="3779"/>
      <c r="AB7" s="1229" t="s">
        <v>1283</v>
      </c>
      <c r="AC7" s="1229" t="s">
        <v>1287</v>
      </c>
      <c r="AD7" s="1229" t="s">
        <v>1285</v>
      </c>
      <c r="AE7" s="3779"/>
      <c r="AF7" s="3779"/>
      <c r="AG7" s="1229" t="s">
        <v>1283</v>
      </c>
      <c r="AH7" s="1229" t="s">
        <v>1287</v>
      </c>
      <c r="AI7" s="1229" t="s">
        <v>1285</v>
      </c>
      <c r="AJ7" s="3779"/>
      <c r="AK7" s="3779"/>
    </row>
    <row r="8" spans="1:44" x14ac:dyDescent="0.2">
      <c r="G8" s="1229">
        <v>1</v>
      </c>
      <c r="H8" s="1229">
        <v>2</v>
      </c>
      <c r="I8" s="1229">
        <v>3</v>
      </c>
      <c r="J8" s="1229">
        <v>4</v>
      </c>
      <c r="K8" s="1229">
        <v>5</v>
      </c>
      <c r="L8" s="1229">
        <v>6</v>
      </c>
      <c r="M8" s="1229">
        <v>7</v>
      </c>
      <c r="N8" s="1229">
        <v>8</v>
      </c>
      <c r="O8" s="1229">
        <v>9</v>
      </c>
      <c r="P8" s="1229">
        <v>10</v>
      </c>
      <c r="Q8" s="1229">
        <v>11</v>
      </c>
      <c r="R8" s="1229">
        <v>12</v>
      </c>
      <c r="S8" s="2848">
        <v>13</v>
      </c>
      <c r="T8" s="1229">
        <v>14</v>
      </c>
      <c r="U8" s="1229">
        <v>15</v>
      </c>
      <c r="V8" s="1229">
        <v>16</v>
      </c>
      <c r="W8" s="1229">
        <v>17</v>
      </c>
      <c r="X8" s="1229">
        <v>18</v>
      </c>
      <c r="Y8" s="1229">
        <v>19</v>
      </c>
      <c r="Z8" s="1229">
        <v>20</v>
      </c>
      <c r="AA8" s="1229">
        <v>21</v>
      </c>
      <c r="AB8" s="1229">
        <v>22</v>
      </c>
      <c r="AC8" s="1229">
        <v>23</v>
      </c>
      <c r="AD8" s="1229">
        <v>24</v>
      </c>
      <c r="AE8" s="1229">
        <v>25</v>
      </c>
      <c r="AF8" s="1229">
        <v>26</v>
      </c>
      <c r="AG8" s="1229">
        <v>27</v>
      </c>
      <c r="AH8" s="1229">
        <v>28</v>
      </c>
      <c r="AI8" s="1229">
        <v>29</v>
      </c>
      <c r="AJ8" s="1229">
        <v>30</v>
      </c>
      <c r="AK8" s="1229">
        <v>31</v>
      </c>
    </row>
    <row r="9" spans="1:44" s="2854" customFormat="1" ht="44.25" customHeight="1" x14ac:dyDescent="0.2">
      <c r="A9" s="3781"/>
      <c r="B9" s="3781"/>
      <c r="C9" s="3781"/>
      <c r="D9" s="3781"/>
      <c r="E9" s="3781"/>
      <c r="F9" s="3781"/>
      <c r="G9" s="3782"/>
      <c r="H9" s="3783" t="s">
        <v>1442</v>
      </c>
      <c r="I9" s="2849" t="s">
        <v>2676</v>
      </c>
      <c r="J9" s="2850" t="s">
        <v>1288</v>
      </c>
      <c r="K9" s="2850" t="s">
        <v>1289</v>
      </c>
      <c r="L9" s="2851">
        <f>SUM(L10:L15)</f>
        <v>10</v>
      </c>
      <c r="M9" s="2851">
        <f>SUM(M10:M15)</f>
        <v>10</v>
      </c>
      <c r="N9" s="2851"/>
      <c r="O9" s="2852"/>
      <c r="P9" s="2852"/>
      <c r="Q9" s="2851">
        <f>SUM(Q10:Q15)</f>
        <v>10</v>
      </c>
      <c r="R9" s="2851">
        <f>SUM(R10:R15)</f>
        <v>10</v>
      </c>
      <c r="S9" s="2853">
        <f>SUM(S10:S15)</f>
        <v>1</v>
      </c>
      <c r="T9" s="2852">
        <f>U9/S9</f>
        <v>6.02</v>
      </c>
      <c r="U9" s="2852">
        <f>SUM(U10:U15)</f>
        <v>6.02</v>
      </c>
      <c r="V9" s="2851">
        <f>SUM(V10:V15)</f>
        <v>10</v>
      </c>
      <c r="W9" s="2851">
        <f>SUM(W10:W15)</f>
        <v>10</v>
      </c>
      <c r="X9" s="2851">
        <f>SUM(X10:X15)</f>
        <v>0</v>
      </c>
      <c r="Y9" s="2852" t="e">
        <f>Z9/X9</f>
        <v>#DIV/0!</v>
      </c>
      <c r="Z9" s="2852">
        <f>SUM(Z10:Z15)</f>
        <v>0</v>
      </c>
      <c r="AA9" s="2850"/>
      <c r="AB9" s="2851">
        <f>SUM(AB10:AB15)</f>
        <v>10</v>
      </c>
      <c r="AC9" s="2851">
        <f>SUM(AC10:AC15)</f>
        <v>10</v>
      </c>
      <c r="AD9" s="2853">
        <f>SUM(AD10:AD15)</f>
        <v>0</v>
      </c>
      <c r="AE9" s="2852" t="e">
        <f>AF9/AD9</f>
        <v>#DIV/0!</v>
      </c>
      <c r="AF9" s="2852">
        <f>SUM(AF10:AF15)</f>
        <v>0</v>
      </c>
      <c r="AG9" s="2851">
        <f>SUM(AG10:AG15)</f>
        <v>10</v>
      </c>
      <c r="AH9" s="2851">
        <f>SUM(AH10:AH15)</f>
        <v>10</v>
      </c>
      <c r="AI9" s="2851">
        <f>SUM(AI10:AI15)</f>
        <v>0</v>
      </c>
      <c r="AJ9" s="2852" t="e">
        <f>AK9/AI9</f>
        <v>#DIV/0!</v>
      </c>
      <c r="AK9" s="2852">
        <f>SUM(AK10:AK15)</f>
        <v>0</v>
      </c>
    </row>
    <row r="10" spans="1:44" x14ac:dyDescent="0.2">
      <c r="A10" s="3781"/>
      <c r="B10" s="3781"/>
      <c r="C10" s="3781"/>
      <c r="D10" s="3781"/>
      <c r="E10" s="3781"/>
      <c r="F10" s="3781"/>
      <c r="G10" s="3782"/>
      <c r="H10" s="3784"/>
      <c r="I10" s="1230"/>
      <c r="J10" s="1229" t="s">
        <v>14</v>
      </c>
      <c r="K10" s="1229"/>
      <c r="L10" s="2855">
        <v>1</v>
      </c>
      <c r="M10" s="2855">
        <v>1</v>
      </c>
      <c r="N10" s="2855"/>
      <c r="O10" s="2856"/>
      <c r="P10" s="2856"/>
      <c r="Q10" s="2855">
        <v>1</v>
      </c>
      <c r="R10" s="2855">
        <v>1</v>
      </c>
      <c r="T10" s="2856"/>
      <c r="U10" s="2856"/>
      <c r="V10" s="2855">
        <v>1</v>
      </c>
      <c r="W10" s="2855">
        <v>1</v>
      </c>
      <c r="X10" s="2855"/>
      <c r="Y10" s="2856"/>
      <c r="Z10" s="2856"/>
      <c r="AA10" s="1229"/>
      <c r="AB10" s="2855">
        <v>1</v>
      </c>
      <c r="AC10" s="2855">
        <v>1</v>
      </c>
      <c r="AD10" s="2844"/>
      <c r="AE10" s="2856"/>
      <c r="AF10" s="2856"/>
      <c r="AG10" s="2855">
        <v>1</v>
      </c>
      <c r="AH10" s="2855">
        <v>1</v>
      </c>
      <c r="AI10" s="2855"/>
      <c r="AJ10" s="2856"/>
      <c r="AK10" s="2856"/>
    </row>
    <row r="11" spans="1:44" ht="28.5" x14ac:dyDescent="0.2">
      <c r="A11" s="3781"/>
      <c r="B11" s="3781"/>
      <c r="C11" s="3781"/>
      <c r="D11" s="3781"/>
      <c r="E11" s="3781"/>
      <c r="F11" s="3781"/>
      <c r="G11" s="3782"/>
      <c r="H11" s="3784"/>
      <c r="I11" s="1230"/>
      <c r="J11" s="1229" t="s">
        <v>127</v>
      </c>
      <c r="K11" s="1229"/>
      <c r="L11" s="2855">
        <v>2</v>
      </c>
      <c r="M11" s="2855">
        <v>2</v>
      </c>
      <c r="N11" s="2855"/>
      <c r="O11" s="2856"/>
      <c r="P11" s="2856"/>
      <c r="Q11" s="2855">
        <v>2</v>
      </c>
      <c r="R11" s="2855">
        <v>2</v>
      </c>
      <c r="S11" s="2848"/>
      <c r="T11" s="2856"/>
      <c r="U11" s="2856"/>
      <c r="V11" s="2855">
        <v>2</v>
      </c>
      <c r="W11" s="2855">
        <v>2</v>
      </c>
      <c r="X11" s="2855"/>
      <c r="Y11" s="2856"/>
      <c r="Z11" s="2856"/>
      <c r="AA11" s="1229"/>
      <c r="AB11" s="2855">
        <v>2</v>
      </c>
      <c r="AC11" s="2855">
        <v>2</v>
      </c>
      <c r="AD11" s="2848"/>
      <c r="AE11" s="2856"/>
      <c r="AF11" s="2856"/>
      <c r="AG11" s="2855">
        <v>2</v>
      </c>
      <c r="AH11" s="2855">
        <v>2</v>
      </c>
      <c r="AI11" s="2855"/>
      <c r="AJ11" s="2856"/>
      <c r="AK11" s="2856"/>
    </row>
    <row r="12" spans="1:44" x14ac:dyDescent="0.2">
      <c r="A12" s="3781"/>
      <c r="B12" s="3781"/>
      <c r="C12" s="3781"/>
      <c r="D12" s="3781"/>
      <c r="E12" s="3781"/>
      <c r="F12" s="3781"/>
      <c r="G12" s="3782"/>
      <c r="H12" s="3784"/>
      <c r="I12" s="1230"/>
      <c r="J12" s="1229" t="s">
        <v>48</v>
      </c>
      <c r="K12" s="1229"/>
      <c r="L12" s="2855">
        <v>1</v>
      </c>
      <c r="M12" s="2855">
        <v>1</v>
      </c>
      <c r="N12" s="2855"/>
      <c r="O12" s="2856"/>
      <c r="P12" s="2856"/>
      <c r="Q12" s="2855">
        <v>1</v>
      </c>
      <c r="R12" s="2855">
        <v>1</v>
      </c>
      <c r="S12" s="2848"/>
      <c r="T12" s="2856"/>
      <c r="U12" s="2856"/>
      <c r="V12" s="2855">
        <v>1</v>
      </c>
      <c r="W12" s="2855">
        <v>1</v>
      </c>
      <c r="X12" s="2855"/>
      <c r="Y12" s="2856"/>
      <c r="Z12" s="2856"/>
      <c r="AA12" s="1229"/>
      <c r="AB12" s="2855">
        <v>1</v>
      </c>
      <c r="AC12" s="2855">
        <v>1</v>
      </c>
      <c r="AD12" s="2848"/>
      <c r="AE12" s="2856"/>
      <c r="AF12" s="2856"/>
      <c r="AG12" s="2855">
        <v>1</v>
      </c>
      <c r="AH12" s="2855">
        <v>1</v>
      </c>
      <c r="AI12" s="2855"/>
      <c r="AJ12" s="2856"/>
      <c r="AK12" s="2856"/>
    </row>
    <row r="13" spans="1:44" ht="28.5" x14ac:dyDescent="0.2">
      <c r="A13" s="3781"/>
      <c r="B13" s="3781"/>
      <c r="C13" s="3781"/>
      <c r="D13" s="3781"/>
      <c r="E13" s="3781"/>
      <c r="F13" s="3781"/>
      <c r="G13" s="3782"/>
      <c r="H13" s="3784"/>
      <c r="I13" s="2857" t="s">
        <v>2676</v>
      </c>
      <c r="J13" s="1229" t="s">
        <v>47</v>
      </c>
      <c r="K13" s="1229" t="s">
        <v>1289</v>
      </c>
      <c r="L13" s="2855">
        <v>1</v>
      </c>
      <c r="M13" s="2855">
        <v>1</v>
      </c>
      <c r="N13" s="2855"/>
      <c r="O13" s="2856"/>
      <c r="P13" s="2856"/>
      <c r="Q13" s="2855">
        <v>1</v>
      </c>
      <c r="R13" s="2855">
        <v>1</v>
      </c>
      <c r="S13" s="2848">
        <v>1</v>
      </c>
      <c r="T13" s="2856">
        <v>6.02</v>
      </c>
      <c r="U13" s="2856">
        <v>6.02</v>
      </c>
      <c r="V13" s="2855">
        <v>1</v>
      </c>
      <c r="W13" s="2855">
        <v>1</v>
      </c>
      <c r="X13" s="2855"/>
      <c r="Y13" s="2856"/>
      <c r="Z13" s="2856"/>
      <c r="AA13" s="1229"/>
      <c r="AB13" s="2855">
        <v>1</v>
      </c>
      <c r="AC13" s="2855">
        <v>1</v>
      </c>
      <c r="AD13" s="2848"/>
      <c r="AE13" s="2856"/>
      <c r="AF13" s="2856"/>
      <c r="AG13" s="2855">
        <v>1</v>
      </c>
      <c r="AH13" s="2855">
        <v>1</v>
      </c>
      <c r="AI13" s="2855"/>
      <c r="AJ13" s="2856"/>
      <c r="AK13" s="2856"/>
      <c r="AL13" s="3786" t="s">
        <v>2677</v>
      </c>
      <c r="AM13" s="3787"/>
      <c r="AN13" s="3787"/>
      <c r="AO13" s="3787"/>
      <c r="AP13" s="3787"/>
      <c r="AQ13" s="3787"/>
      <c r="AR13" s="3787"/>
    </row>
    <row r="14" spans="1:44" x14ac:dyDescent="0.2">
      <c r="A14" s="3781"/>
      <c r="B14" s="3781"/>
      <c r="C14" s="3781"/>
      <c r="D14" s="3781"/>
      <c r="E14" s="3781"/>
      <c r="F14" s="3781"/>
      <c r="G14" s="3782"/>
      <c r="H14" s="3784"/>
      <c r="I14" s="1230"/>
      <c r="J14" s="1229" t="s">
        <v>23</v>
      </c>
      <c r="K14" s="1229"/>
      <c r="L14" s="2855">
        <v>4</v>
      </c>
      <c r="M14" s="2855">
        <v>4</v>
      </c>
      <c r="N14" s="2855"/>
      <c r="O14" s="2856"/>
      <c r="P14" s="2856"/>
      <c r="Q14" s="2855">
        <v>4</v>
      </c>
      <c r="R14" s="2855">
        <v>4</v>
      </c>
      <c r="S14" s="2848"/>
      <c r="T14" s="2856"/>
      <c r="U14" s="2856"/>
      <c r="V14" s="2855">
        <v>4</v>
      </c>
      <c r="W14" s="2855">
        <v>4</v>
      </c>
      <c r="X14" s="2855"/>
      <c r="Y14" s="2856"/>
      <c r="Z14" s="2856"/>
      <c r="AA14" s="1229"/>
      <c r="AB14" s="2855">
        <v>4</v>
      </c>
      <c r="AC14" s="2855">
        <v>4</v>
      </c>
      <c r="AD14" s="2848"/>
      <c r="AE14" s="2856"/>
      <c r="AF14" s="2856"/>
      <c r="AG14" s="2855">
        <v>4</v>
      </c>
      <c r="AH14" s="2855">
        <v>4</v>
      </c>
      <c r="AI14" s="2855"/>
      <c r="AJ14" s="2856"/>
      <c r="AK14" s="2856"/>
    </row>
    <row r="15" spans="1:44" x14ac:dyDescent="0.2">
      <c r="A15" s="3781"/>
      <c r="B15" s="3781"/>
      <c r="C15" s="3781"/>
      <c r="D15" s="3781"/>
      <c r="E15" s="3781"/>
      <c r="F15" s="3781"/>
      <c r="G15" s="3782"/>
      <c r="H15" s="3784"/>
      <c r="I15" s="1230"/>
      <c r="J15" s="1229" t="s">
        <v>15</v>
      </c>
      <c r="K15" s="1229"/>
      <c r="L15" s="2855">
        <v>1</v>
      </c>
      <c r="M15" s="2855">
        <v>1</v>
      </c>
      <c r="N15" s="2855"/>
      <c r="O15" s="2856"/>
      <c r="P15" s="2856"/>
      <c r="Q15" s="2855">
        <v>1</v>
      </c>
      <c r="R15" s="2855">
        <v>1</v>
      </c>
      <c r="S15" s="2848"/>
      <c r="T15" s="2856"/>
      <c r="U15" s="2856"/>
      <c r="V15" s="2855">
        <v>1</v>
      </c>
      <c r="W15" s="2855">
        <v>1</v>
      </c>
      <c r="X15" s="2855"/>
      <c r="Y15" s="2856"/>
      <c r="Z15" s="2856"/>
      <c r="AA15" s="1229"/>
      <c r="AB15" s="2855">
        <v>1</v>
      </c>
      <c r="AC15" s="2855">
        <v>1</v>
      </c>
      <c r="AD15" s="2848"/>
      <c r="AE15" s="2856"/>
      <c r="AF15" s="2856"/>
      <c r="AG15" s="2855">
        <v>1</v>
      </c>
      <c r="AH15" s="2855">
        <v>1</v>
      </c>
      <c r="AI15" s="2855"/>
      <c r="AJ15" s="2856"/>
      <c r="AK15" s="2856"/>
    </row>
    <row r="16" spans="1:44" s="2860" customFormat="1" ht="55.5" customHeight="1" x14ac:dyDescent="0.2">
      <c r="A16" s="3781"/>
      <c r="B16" s="3781"/>
      <c r="C16" s="3781"/>
      <c r="D16" s="3781"/>
      <c r="E16" s="3781"/>
      <c r="F16" s="3781"/>
      <c r="G16" s="3782"/>
      <c r="H16" s="3784"/>
      <c r="I16" s="2858" t="s">
        <v>2678</v>
      </c>
      <c r="J16" s="2852" t="s">
        <v>1290</v>
      </c>
      <c r="K16" s="2852" t="s">
        <v>2679</v>
      </c>
      <c r="L16" s="2859">
        <f>SUM(L17:L25)</f>
        <v>10</v>
      </c>
      <c r="M16" s="2859">
        <f t="shared" ref="M16:N16" si="0">SUM(M17:M25)</f>
        <v>10</v>
      </c>
      <c r="N16" s="2859">
        <f t="shared" si="0"/>
        <v>2</v>
      </c>
      <c r="O16" s="2852">
        <f>'[21]995_1'!$F$78</f>
        <v>5.45</v>
      </c>
      <c r="P16" s="2852">
        <f>SUM(P17:P25)</f>
        <v>10.9</v>
      </c>
      <c r="Q16" s="2859">
        <f>SUM(Q17:Q25)</f>
        <v>10</v>
      </c>
      <c r="R16" s="2859">
        <f>SUM(R17:R25)</f>
        <v>10</v>
      </c>
      <c r="S16" s="2853">
        <f>SUM(S17:S25)</f>
        <v>3</v>
      </c>
      <c r="T16" s="2852">
        <f>U16/S16</f>
        <v>6.02</v>
      </c>
      <c r="U16" s="2852">
        <f>SUM(U17:U25)</f>
        <v>18.059999999999999</v>
      </c>
      <c r="V16" s="2859">
        <f>SUM(V17:V25)</f>
        <v>10</v>
      </c>
      <c r="W16" s="2859">
        <f>SUM(W17:W25)</f>
        <v>10</v>
      </c>
      <c r="X16" s="2859">
        <f>SUM(X22:X25)</f>
        <v>3</v>
      </c>
      <c r="Y16" s="2852">
        <f>Z16/X16</f>
        <v>5.69</v>
      </c>
      <c r="Z16" s="2852">
        <f>SUM(Z17:Z25)</f>
        <v>17.07</v>
      </c>
      <c r="AA16" s="2852"/>
      <c r="AB16" s="2859">
        <f>SUM(AB17:AB25)</f>
        <v>10</v>
      </c>
      <c r="AC16" s="2859">
        <f>SUM(AC17:AC25)</f>
        <v>10</v>
      </c>
      <c r="AD16" s="2853">
        <f>SUM(AD22:AD25)</f>
        <v>3</v>
      </c>
      <c r="AE16" s="2852">
        <f>AF16/AD16</f>
        <v>5.69</v>
      </c>
      <c r="AF16" s="2852">
        <f>SUM(AF22:AF25)</f>
        <v>17.07</v>
      </c>
      <c r="AG16" s="2859">
        <f>SUM(AG17:AG25)</f>
        <v>10</v>
      </c>
      <c r="AH16" s="2859">
        <f>SUM(AH17:AH25)</f>
        <v>10</v>
      </c>
      <c r="AI16" s="2859">
        <f>SUM(AI22:AI25)</f>
        <v>3</v>
      </c>
      <c r="AJ16" s="2852">
        <f>AK16/AI16</f>
        <v>5.69</v>
      </c>
      <c r="AK16" s="2852">
        <f>SUM(AK22:AK25)</f>
        <v>17.07</v>
      </c>
      <c r="AL16" s="3788"/>
      <c r="AM16" s="3789"/>
      <c r="AN16" s="3789"/>
      <c r="AO16" s="3789"/>
      <c r="AP16" s="3789"/>
      <c r="AQ16" s="3789"/>
    </row>
    <row r="17" spans="1:45" s="2864" customFormat="1" ht="27.75" customHeight="1" x14ac:dyDescent="0.2">
      <c r="A17" s="3781"/>
      <c r="B17" s="3781"/>
      <c r="C17" s="3781"/>
      <c r="D17" s="3781"/>
      <c r="E17" s="3781"/>
      <c r="F17" s="3781"/>
      <c r="G17" s="3782"/>
      <c r="H17" s="3784"/>
      <c r="I17" s="1230"/>
      <c r="J17" s="2856" t="s">
        <v>33</v>
      </c>
      <c r="K17" s="2861"/>
      <c r="L17" s="2861">
        <v>1</v>
      </c>
      <c r="M17" s="2861">
        <v>1</v>
      </c>
      <c r="N17" s="2861"/>
      <c r="O17" s="2856"/>
      <c r="P17" s="2856"/>
      <c r="Q17" s="2861">
        <v>1</v>
      </c>
      <c r="R17" s="2861">
        <v>1</v>
      </c>
      <c r="S17" s="2848"/>
      <c r="T17" s="2856"/>
      <c r="U17" s="2856"/>
      <c r="V17" s="2861">
        <v>1</v>
      </c>
      <c r="W17" s="2861">
        <v>1</v>
      </c>
      <c r="X17" s="2861"/>
      <c r="Y17" s="2856"/>
      <c r="Z17" s="2856"/>
      <c r="AA17" s="2856"/>
      <c r="AB17" s="2861">
        <v>1</v>
      </c>
      <c r="AC17" s="2861">
        <v>1</v>
      </c>
      <c r="AD17" s="2848"/>
      <c r="AE17" s="2856"/>
      <c r="AF17" s="2856"/>
      <c r="AG17" s="2861">
        <v>1</v>
      </c>
      <c r="AH17" s="2861">
        <v>1</v>
      </c>
      <c r="AI17" s="2861"/>
      <c r="AJ17" s="2856"/>
      <c r="AK17" s="2856"/>
      <c r="AL17" s="2862"/>
      <c r="AM17" s="2863"/>
      <c r="AN17" s="2863"/>
      <c r="AO17" s="2863"/>
      <c r="AP17" s="2863"/>
      <c r="AQ17" s="2863"/>
    </row>
    <row r="18" spans="1:45" s="2864" customFormat="1" ht="27.75" customHeight="1" x14ac:dyDescent="0.2">
      <c r="A18" s="3781"/>
      <c r="B18" s="3781"/>
      <c r="C18" s="3781"/>
      <c r="D18" s="3781"/>
      <c r="E18" s="3781"/>
      <c r="F18" s="3781"/>
      <c r="G18" s="3782"/>
      <c r="H18" s="3784"/>
      <c r="I18" s="1230"/>
      <c r="J18" s="2856" t="s">
        <v>130</v>
      </c>
      <c r="K18" s="2861"/>
      <c r="L18" s="2861">
        <v>1</v>
      </c>
      <c r="M18" s="2861">
        <v>1</v>
      </c>
      <c r="N18" s="2861"/>
      <c r="O18" s="2856"/>
      <c r="P18" s="2856"/>
      <c r="Q18" s="2861">
        <v>1</v>
      </c>
      <c r="R18" s="2861">
        <v>1</v>
      </c>
      <c r="S18" s="2848"/>
      <c r="T18" s="2856"/>
      <c r="U18" s="2856"/>
      <c r="V18" s="2861">
        <v>1</v>
      </c>
      <c r="W18" s="2861">
        <v>1</v>
      </c>
      <c r="X18" s="2861"/>
      <c r="Y18" s="2856"/>
      <c r="Z18" s="2856"/>
      <c r="AA18" s="2856"/>
      <c r="AB18" s="2861">
        <v>1</v>
      </c>
      <c r="AC18" s="2861">
        <v>1</v>
      </c>
      <c r="AD18" s="2848"/>
      <c r="AE18" s="2856"/>
      <c r="AF18" s="2856"/>
      <c r="AG18" s="2861">
        <v>1</v>
      </c>
      <c r="AH18" s="2861">
        <v>1</v>
      </c>
      <c r="AI18" s="2861"/>
      <c r="AJ18" s="2856"/>
      <c r="AK18" s="2856"/>
      <c r="AL18" s="2862"/>
      <c r="AM18" s="2863"/>
      <c r="AN18" s="2863"/>
      <c r="AO18" s="2863"/>
      <c r="AP18" s="2863"/>
      <c r="AQ18" s="2863"/>
    </row>
    <row r="19" spans="1:45" s="2864" customFormat="1" ht="27.75" customHeight="1" x14ac:dyDescent="0.2">
      <c r="A19" s="3781"/>
      <c r="B19" s="3781"/>
      <c r="C19" s="3781"/>
      <c r="D19" s="3781"/>
      <c r="E19" s="3781"/>
      <c r="F19" s="3781"/>
      <c r="G19" s="3782"/>
      <c r="H19" s="3784"/>
      <c r="I19" s="1230"/>
      <c r="J19" s="2856" t="s">
        <v>42</v>
      </c>
      <c r="K19" s="2861"/>
      <c r="L19" s="2861">
        <v>1</v>
      </c>
      <c r="M19" s="2861">
        <v>1</v>
      </c>
      <c r="N19" s="2861"/>
      <c r="O19" s="2856"/>
      <c r="P19" s="2856"/>
      <c r="Q19" s="2861">
        <v>1</v>
      </c>
      <c r="R19" s="2861">
        <v>1</v>
      </c>
      <c r="S19" s="2848"/>
      <c r="T19" s="2856"/>
      <c r="U19" s="2856"/>
      <c r="V19" s="2861">
        <v>1</v>
      </c>
      <c r="W19" s="2861">
        <v>1</v>
      </c>
      <c r="X19" s="2861"/>
      <c r="Y19" s="2856"/>
      <c r="Z19" s="2856"/>
      <c r="AA19" s="2856"/>
      <c r="AB19" s="2861">
        <v>1</v>
      </c>
      <c r="AC19" s="2861">
        <v>1</v>
      </c>
      <c r="AD19" s="2848"/>
      <c r="AE19" s="2856"/>
      <c r="AF19" s="2856"/>
      <c r="AG19" s="2861">
        <v>1</v>
      </c>
      <c r="AH19" s="2861">
        <v>1</v>
      </c>
      <c r="AI19" s="2861"/>
      <c r="AJ19" s="2856"/>
      <c r="AK19" s="2856"/>
      <c r="AL19" s="2862"/>
      <c r="AM19" s="2863"/>
      <c r="AN19" s="2863"/>
      <c r="AO19" s="2863"/>
      <c r="AP19" s="2863"/>
      <c r="AQ19" s="2863"/>
    </row>
    <row r="20" spans="1:45" s="2864" customFormat="1" ht="27.75" customHeight="1" x14ac:dyDescent="0.2">
      <c r="A20" s="3781"/>
      <c r="B20" s="3781"/>
      <c r="C20" s="3781"/>
      <c r="D20" s="3781"/>
      <c r="E20" s="3781"/>
      <c r="F20" s="3781"/>
      <c r="G20" s="3782"/>
      <c r="H20" s="3784"/>
      <c r="I20" s="1230"/>
      <c r="J20" s="2856" t="s">
        <v>49</v>
      </c>
      <c r="K20" s="2861"/>
      <c r="L20" s="2861">
        <v>1</v>
      </c>
      <c r="M20" s="2861">
        <v>1</v>
      </c>
      <c r="N20" s="2861"/>
      <c r="O20" s="2856"/>
      <c r="P20" s="2856"/>
      <c r="Q20" s="2861">
        <v>1</v>
      </c>
      <c r="R20" s="2861">
        <v>1</v>
      </c>
      <c r="S20" s="2848"/>
      <c r="T20" s="2856"/>
      <c r="U20" s="2856"/>
      <c r="V20" s="2861">
        <v>1</v>
      </c>
      <c r="W20" s="2861">
        <v>1</v>
      </c>
      <c r="X20" s="2861"/>
      <c r="Y20" s="2856"/>
      <c r="Z20" s="2856"/>
      <c r="AA20" s="2856"/>
      <c r="AB20" s="2861">
        <v>1</v>
      </c>
      <c r="AC20" s="2861">
        <v>1</v>
      </c>
      <c r="AD20" s="2848"/>
      <c r="AE20" s="2856"/>
      <c r="AF20" s="2856"/>
      <c r="AG20" s="2861">
        <v>1</v>
      </c>
      <c r="AH20" s="2861">
        <v>1</v>
      </c>
      <c r="AI20" s="2861"/>
      <c r="AJ20" s="2856"/>
      <c r="AK20" s="2856"/>
      <c r="AL20" s="2862"/>
      <c r="AM20" s="2863"/>
      <c r="AN20" s="2863"/>
      <c r="AO20" s="2863"/>
      <c r="AP20" s="2863"/>
      <c r="AQ20" s="2863"/>
    </row>
    <row r="21" spans="1:45" s="2864" customFormat="1" ht="27.75" customHeight="1" x14ac:dyDescent="0.2">
      <c r="A21" s="3781"/>
      <c r="B21" s="3781"/>
      <c r="C21" s="3781"/>
      <c r="D21" s="3781"/>
      <c r="E21" s="3781"/>
      <c r="F21" s="3781"/>
      <c r="G21" s="3782"/>
      <c r="H21" s="3784"/>
      <c r="I21" s="1230"/>
      <c r="J21" s="2856" t="s">
        <v>44</v>
      </c>
      <c r="K21" s="2861"/>
      <c r="L21" s="2861">
        <v>1</v>
      </c>
      <c r="M21" s="2861">
        <v>1</v>
      </c>
      <c r="N21" s="2861"/>
      <c r="O21" s="2856"/>
      <c r="P21" s="2856"/>
      <c r="Q21" s="2861">
        <v>1</v>
      </c>
      <c r="R21" s="2861">
        <v>1</v>
      </c>
      <c r="S21" s="2848"/>
      <c r="T21" s="2856"/>
      <c r="U21" s="2856"/>
      <c r="V21" s="2861">
        <v>1</v>
      </c>
      <c r="W21" s="2861">
        <v>1</v>
      </c>
      <c r="X21" s="2861"/>
      <c r="Y21" s="2856"/>
      <c r="Z21" s="2856"/>
      <c r="AA21" s="2856"/>
      <c r="AB21" s="2861">
        <v>1</v>
      </c>
      <c r="AC21" s="2861">
        <v>1</v>
      </c>
      <c r="AD21" s="2848"/>
      <c r="AE21" s="2856"/>
      <c r="AF21" s="2856"/>
      <c r="AG21" s="2861">
        <v>1</v>
      </c>
      <c r="AH21" s="2861">
        <v>1</v>
      </c>
      <c r="AI21" s="2861"/>
      <c r="AJ21" s="2856"/>
      <c r="AK21" s="2856"/>
      <c r="AL21" s="2862"/>
      <c r="AM21" s="2863"/>
      <c r="AN21" s="2863"/>
      <c r="AO21" s="2863"/>
      <c r="AP21" s="2863"/>
      <c r="AQ21" s="2863"/>
    </row>
    <row r="22" spans="1:45" s="2864" customFormat="1" ht="40.5" customHeight="1" x14ac:dyDescent="0.2">
      <c r="A22" s="3781"/>
      <c r="B22" s="3781"/>
      <c r="C22" s="3781"/>
      <c r="D22" s="3781"/>
      <c r="E22" s="3781"/>
      <c r="F22" s="3781"/>
      <c r="G22" s="3782"/>
      <c r="H22" s="3784"/>
      <c r="I22" s="2857" t="s">
        <v>2680</v>
      </c>
      <c r="J22" s="2856" t="s">
        <v>59</v>
      </c>
      <c r="K22" s="2861" t="s">
        <v>2679</v>
      </c>
      <c r="L22" s="2861">
        <v>1</v>
      </c>
      <c r="M22" s="2861">
        <v>1</v>
      </c>
      <c r="N22" s="2861">
        <v>1</v>
      </c>
      <c r="O22" s="2856">
        <f>'[21]995_1'!$F$78</f>
        <v>5.45</v>
      </c>
      <c r="P22" s="2856">
        <f>N22*O22</f>
        <v>5.45</v>
      </c>
      <c r="Q22" s="2861">
        <v>1</v>
      </c>
      <c r="R22" s="2861">
        <v>1</v>
      </c>
      <c r="S22" s="2848">
        <v>1</v>
      </c>
      <c r="T22" s="2856">
        <v>6.02</v>
      </c>
      <c r="U22" s="2856">
        <v>6.02</v>
      </c>
      <c r="V22" s="2861">
        <v>1</v>
      </c>
      <c r="W22" s="2861">
        <v>1</v>
      </c>
      <c r="X22" s="2861">
        <v>1</v>
      </c>
      <c r="Y22" s="2856">
        <v>5.69</v>
      </c>
      <c r="Z22" s="2856">
        <f t="shared" ref="Z22" si="1">X22*Y22</f>
        <v>5.69</v>
      </c>
      <c r="AA22" s="2856"/>
      <c r="AB22" s="2861">
        <v>1</v>
      </c>
      <c r="AC22" s="2861">
        <v>1</v>
      </c>
      <c r="AD22" s="2848">
        <v>1</v>
      </c>
      <c r="AE22" s="2856">
        <v>5.69</v>
      </c>
      <c r="AF22" s="2856">
        <f t="shared" ref="AF22" si="2">AD22*AE22</f>
        <v>5.69</v>
      </c>
      <c r="AG22" s="2861">
        <v>1</v>
      </c>
      <c r="AH22" s="2861">
        <v>1</v>
      </c>
      <c r="AI22" s="2861">
        <v>1</v>
      </c>
      <c r="AJ22" s="2856">
        <v>5.69</v>
      </c>
      <c r="AK22" s="2856">
        <f t="shared" ref="AK22" si="3">AI22*AJ22</f>
        <v>5.69</v>
      </c>
      <c r="AL22" s="3790" t="s">
        <v>2681</v>
      </c>
      <c r="AM22" s="3791"/>
      <c r="AN22" s="3791"/>
      <c r="AO22" s="3791"/>
      <c r="AP22" s="3791"/>
      <c r="AQ22" s="3791"/>
      <c r="AR22" s="3791"/>
    </row>
    <row r="23" spans="1:45" s="2864" customFormat="1" x14ac:dyDescent="0.2">
      <c r="A23" s="3781"/>
      <c r="B23" s="3781"/>
      <c r="C23" s="3781"/>
      <c r="D23" s="3781"/>
      <c r="E23" s="3781"/>
      <c r="F23" s="3781"/>
      <c r="G23" s="3782"/>
      <c r="H23" s="3784"/>
      <c r="I23" s="1230"/>
      <c r="J23" s="2856" t="s">
        <v>29</v>
      </c>
      <c r="K23" s="2861"/>
      <c r="L23" s="2861">
        <v>2</v>
      </c>
      <c r="M23" s="2861">
        <v>2</v>
      </c>
      <c r="N23" s="2861"/>
      <c r="O23" s="2856"/>
      <c r="P23" s="2856"/>
      <c r="Q23" s="2861">
        <v>2</v>
      </c>
      <c r="R23" s="2861">
        <v>2</v>
      </c>
      <c r="S23" s="2848"/>
      <c r="T23" s="2856"/>
      <c r="U23" s="2856"/>
      <c r="V23" s="2861">
        <v>2</v>
      </c>
      <c r="W23" s="2861">
        <v>2</v>
      </c>
      <c r="X23" s="2861"/>
      <c r="Y23" s="2856"/>
      <c r="Z23" s="2856"/>
      <c r="AA23" s="1229"/>
      <c r="AB23" s="2861">
        <v>2</v>
      </c>
      <c r="AC23" s="2861">
        <v>2</v>
      </c>
      <c r="AD23" s="2848"/>
      <c r="AE23" s="2856"/>
      <c r="AF23" s="2856"/>
      <c r="AG23" s="2861">
        <v>2</v>
      </c>
      <c r="AH23" s="2861">
        <v>2</v>
      </c>
      <c r="AI23" s="2861"/>
      <c r="AJ23" s="2856"/>
      <c r="AK23" s="2856"/>
      <c r="AL23" s="2862"/>
      <c r="AM23" s="2863"/>
      <c r="AN23" s="2863"/>
      <c r="AO23" s="2863"/>
      <c r="AP23" s="2863"/>
      <c r="AQ23" s="2863"/>
    </row>
    <row r="24" spans="1:45" s="2864" customFormat="1" ht="25.5" x14ac:dyDescent="0.2">
      <c r="A24" s="3781"/>
      <c r="B24" s="3781"/>
      <c r="C24" s="3781"/>
      <c r="D24" s="3781"/>
      <c r="E24" s="3781"/>
      <c r="F24" s="3781"/>
      <c r="G24" s="3782"/>
      <c r="H24" s="3784"/>
      <c r="I24" s="1230" t="s">
        <v>2682</v>
      </c>
      <c r="J24" s="2856" t="s">
        <v>58</v>
      </c>
      <c r="K24" s="2861" t="s">
        <v>2679</v>
      </c>
      <c r="L24" s="2861">
        <v>1</v>
      </c>
      <c r="M24" s="2861">
        <v>1</v>
      </c>
      <c r="N24" s="2861">
        <v>1</v>
      </c>
      <c r="O24" s="2856">
        <f>'[21]995_1'!$F$78</f>
        <v>5.45</v>
      </c>
      <c r="P24" s="2856">
        <f>N24*O24</f>
        <v>5.45</v>
      </c>
      <c r="Q24" s="2861">
        <v>1</v>
      </c>
      <c r="R24" s="2861">
        <v>1</v>
      </c>
      <c r="S24" s="2848">
        <v>1</v>
      </c>
      <c r="T24" s="2856">
        <v>6.02</v>
      </c>
      <c r="U24" s="2856">
        <v>6.02</v>
      </c>
      <c r="V24" s="2861">
        <v>1</v>
      </c>
      <c r="W24" s="2861">
        <v>1</v>
      </c>
      <c r="X24" s="2861">
        <v>1</v>
      </c>
      <c r="Y24" s="2856">
        <v>5.69</v>
      </c>
      <c r="Z24" s="2856">
        <f>X24*Y24</f>
        <v>5.69</v>
      </c>
      <c r="AA24" s="1229"/>
      <c r="AB24" s="2861">
        <v>1</v>
      </c>
      <c r="AC24" s="2861">
        <v>1</v>
      </c>
      <c r="AD24" s="2848">
        <v>1</v>
      </c>
      <c r="AE24" s="2856">
        <v>5.69</v>
      </c>
      <c r="AF24" s="2856">
        <f>AD24*AE24</f>
        <v>5.69</v>
      </c>
      <c r="AG24" s="2861">
        <v>1</v>
      </c>
      <c r="AH24" s="2861">
        <v>1</v>
      </c>
      <c r="AI24" s="2861">
        <v>1</v>
      </c>
      <c r="AJ24" s="2856">
        <v>5.69</v>
      </c>
      <c r="AK24" s="2856">
        <f>AI24*AJ24</f>
        <v>5.69</v>
      </c>
      <c r="AL24" s="3790" t="s">
        <v>2681</v>
      </c>
      <c r="AM24" s="3791"/>
      <c r="AN24" s="3791"/>
      <c r="AO24" s="3791"/>
      <c r="AP24" s="3791"/>
      <c r="AQ24" s="3791"/>
      <c r="AR24" s="3791"/>
    </row>
    <row r="25" spans="1:45" s="2864" customFormat="1" ht="25.5" x14ac:dyDescent="0.2">
      <c r="A25" s="3781"/>
      <c r="B25" s="3781"/>
      <c r="C25" s="3781"/>
      <c r="D25" s="3781"/>
      <c r="E25" s="3781"/>
      <c r="F25" s="3781"/>
      <c r="G25" s="3782"/>
      <c r="H25" s="3784"/>
      <c r="I25" s="1230" t="s">
        <v>2682</v>
      </c>
      <c r="J25" s="2856" t="s">
        <v>40</v>
      </c>
      <c r="K25" s="2861"/>
      <c r="L25" s="2861">
        <v>1</v>
      </c>
      <c r="M25" s="2861">
        <v>1</v>
      </c>
      <c r="N25" s="2861"/>
      <c r="O25" s="2856"/>
      <c r="P25" s="2856"/>
      <c r="Q25" s="2861">
        <v>1</v>
      </c>
      <c r="R25" s="2861">
        <v>1</v>
      </c>
      <c r="S25" s="2848">
        <v>1</v>
      </c>
      <c r="T25" s="2856">
        <v>6.02</v>
      </c>
      <c r="U25" s="2856">
        <v>6.02</v>
      </c>
      <c r="V25" s="2861">
        <v>1</v>
      </c>
      <c r="W25" s="2861">
        <v>1</v>
      </c>
      <c r="X25" s="2861">
        <v>1</v>
      </c>
      <c r="Y25" s="2856">
        <v>5.69</v>
      </c>
      <c r="Z25" s="2856">
        <f t="shared" ref="Z25" si="4">X25*Y25</f>
        <v>5.69</v>
      </c>
      <c r="AA25" s="1229"/>
      <c r="AB25" s="2861">
        <v>1</v>
      </c>
      <c r="AC25" s="2861">
        <v>1</v>
      </c>
      <c r="AD25" s="2848">
        <v>1</v>
      </c>
      <c r="AE25" s="2856">
        <v>5.69</v>
      </c>
      <c r="AF25" s="2856">
        <f t="shared" ref="AF25" si="5">AD25*AE25</f>
        <v>5.69</v>
      </c>
      <c r="AG25" s="2861">
        <v>1</v>
      </c>
      <c r="AH25" s="2861">
        <v>1</v>
      </c>
      <c r="AI25" s="2861">
        <v>1</v>
      </c>
      <c r="AJ25" s="2856">
        <v>5.69</v>
      </c>
      <c r="AK25" s="2856">
        <f t="shared" ref="AK25" si="6">AI25*AJ25</f>
        <v>5.69</v>
      </c>
      <c r="AL25" s="3790" t="s">
        <v>2681</v>
      </c>
      <c r="AM25" s="3791"/>
      <c r="AN25" s="3791"/>
      <c r="AO25" s="3791"/>
      <c r="AP25" s="3791"/>
      <c r="AQ25" s="3791"/>
      <c r="AR25" s="3791"/>
    </row>
    <row r="26" spans="1:45" s="2854" customFormat="1" ht="15" x14ac:dyDescent="0.2">
      <c r="A26" s="3781"/>
      <c r="B26" s="3781"/>
      <c r="C26" s="3781"/>
      <c r="D26" s="3781"/>
      <c r="E26" s="3781"/>
      <c r="F26" s="3781"/>
      <c r="G26" s="3782"/>
      <c r="H26" s="3784"/>
      <c r="I26" s="2865"/>
      <c r="J26" s="2850" t="s">
        <v>1291</v>
      </c>
      <c r="K26" s="2850"/>
      <c r="L26" s="2859"/>
      <c r="M26" s="2859"/>
      <c r="N26" s="2859"/>
      <c r="O26" s="2852"/>
      <c r="P26" s="2852"/>
      <c r="Q26" s="2859"/>
      <c r="R26" s="2859"/>
      <c r="S26" s="2866"/>
      <c r="T26" s="2852"/>
      <c r="U26" s="2852"/>
      <c r="V26" s="2859"/>
      <c r="W26" s="2859"/>
      <c r="X26" s="2859"/>
      <c r="Y26" s="2852"/>
      <c r="Z26" s="2852"/>
      <c r="AA26" s="2850"/>
      <c r="AB26" s="2859"/>
      <c r="AC26" s="2859"/>
      <c r="AD26" s="2866"/>
      <c r="AE26" s="2852"/>
      <c r="AF26" s="2852"/>
      <c r="AG26" s="2859"/>
      <c r="AH26" s="2859"/>
      <c r="AI26" s="2859"/>
      <c r="AJ26" s="2852"/>
      <c r="AK26" s="2852"/>
    </row>
    <row r="27" spans="1:45" s="2860" customFormat="1" ht="66.75" customHeight="1" x14ac:dyDescent="0.2">
      <c r="A27" s="3781"/>
      <c r="B27" s="3781"/>
      <c r="C27" s="3781"/>
      <c r="D27" s="3781"/>
      <c r="E27" s="3781"/>
      <c r="F27" s="3781"/>
      <c r="G27" s="3782"/>
      <c r="H27" s="3784"/>
      <c r="I27" s="2867" t="s">
        <v>2683</v>
      </c>
      <c r="J27" s="2852" t="s">
        <v>1292</v>
      </c>
      <c r="K27" s="2868" t="s">
        <v>2684</v>
      </c>
      <c r="L27" s="2859">
        <f>SUM(L28:L31)</f>
        <v>5</v>
      </c>
      <c r="M27" s="2859">
        <f t="shared" ref="M27:N27" si="7">SUM(M28:M31)</f>
        <v>4</v>
      </c>
      <c r="N27" s="2859">
        <f t="shared" si="7"/>
        <v>2</v>
      </c>
      <c r="O27" s="2852">
        <f>'[21]995_1'!$F$78</f>
        <v>5.45</v>
      </c>
      <c r="P27" s="2852">
        <f>P28+P29</f>
        <v>10.9</v>
      </c>
      <c r="Q27" s="2859">
        <f>SUM(Q28:Q31)</f>
        <v>5</v>
      </c>
      <c r="R27" s="2859">
        <f>SUM(R28:R31)</f>
        <v>4</v>
      </c>
      <c r="S27" s="2853">
        <f>S28+S29</f>
        <v>1</v>
      </c>
      <c r="T27" s="2852">
        <f>U27/S27</f>
        <v>6.02</v>
      </c>
      <c r="U27" s="2852">
        <f>SUM(U28:U31)</f>
        <v>6.02</v>
      </c>
      <c r="V27" s="2859">
        <f>SUM(V28:V31)</f>
        <v>5</v>
      </c>
      <c r="W27" s="2859">
        <f>SUM(W28:W31)</f>
        <v>4</v>
      </c>
      <c r="X27" s="2859">
        <f>X28+X29</f>
        <v>2</v>
      </c>
      <c r="Y27" s="2852">
        <f>Z27/X27</f>
        <v>5.69</v>
      </c>
      <c r="Z27" s="2852">
        <f>Z28+Z29</f>
        <v>11.38</v>
      </c>
      <c r="AA27" s="2852"/>
      <c r="AB27" s="2859">
        <f>SUM(AB28:AB31)</f>
        <v>5</v>
      </c>
      <c r="AC27" s="2859">
        <f>SUM(AC28:AC31)</f>
        <v>4</v>
      </c>
      <c r="AD27" s="2853">
        <f>AD28+AD29</f>
        <v>2</v>
      </c>
      <c r="AE27" s="2852">
        <f>AF27/AD27</f>
        <v>5.69</v>
      </c>
      <c r="AF27" s="2852">
        <f>AF28+AF29</f>
        <v>11.38</v>
      </c>
      <c r="AG27" s="2859">
        <f>SUM(AG28:AG31)</f>
        <v>5</v>
      </c>
      <c r="AH27" s="2859">
        <f>SUM(AH28:AH31)</f>
        <v>4</v>
      </c>
      <c r="AI27" s="2859">
        <f>AI28+AI29</f>
        <v>2</v>
      </c>
      <c r="AJ27" s="2852">
        <f>AK27/AI27</f>
        <v>5.69</v>
      </c>
      <c r="AK27" s="2852">
        <f>AK28+AK29</f>
        <v>11.38</v>
      </c>
    </row>
    <row r="28" spans="1:45" s="2864" customFormat="1" ht="36" customHeight="1" x14ac:dyDescent="0.2">
      <c r="A28" s="3781"/>
      <c r="B28" s="3781"/>
      <c r="C28" s="3781"/>
      <c r="D28" s="3781"/>
      <c r="E28" s="3781"/>
      <c r="F28" s="3781"/>
      <c r="G28" s="3782"/>
      <c r="H28" s="3784"/>
      <c r="I28" s="2857" t="s">
        <v>2685</v>
      </c>
      <c r="J28" s="2856" t="s">
        <v>2686</v>
      </c>
      <c r="K28" s="2856" t="s">
        <v>2679</v>
      </c>
      <c r="L28" s="2869">
        <v>0.5</v>
      </c>
      <c r="M28" s="2861">
        <v>0</v>
      </c>
      <c r="N28" s="2861">
        <v>1</v>
      </c>
      <c r="O28" s="2856">
        <f>'[21]995_1'!$F$78</f>
        <v>5.45</v>
      </c>
      <c r="P28" s="2856">
        <f t="shared" ref="P28:P29" si="8">N28*O28</f>
        <v>5.45</v>
      </c>
      <c r="Q28" s="2869">
        <v>0.5</v>
      </c>
      <c r="R28" s="2861">
        <v>0</v>
      </c>
      <c r="S28" s="2848">
        <v>1</v>
      </c>
      <c r="T28" s="2856"/>
      <c r="U28" s="2856">
        <v>6.02</v>
      </c>
      <c r="V28" s="2869">
        <v>0.5</v>
      </c>
      <c r="W28" s="2861">
        <v>0</v>
      </c>
      <c r="X28" s="2861">
        <v>1</v>
      </c>
      <c r="Y28" s="2856">
        <v>5.69</v>
      </c>
      <c r="Z28" s="2856">
        <f t="shared" ref="Z28:Z29" si="9">X28*Y28</f>
        <v>5.69</v>
      </c>
      <c r="AA28" s="2856"/>
      <c r="AB28" s="2869">
        <v>0.5</v>
      </c>
      <c r="AC28" s="2861">
        <v>0</v>
      </c>
      <c r="AD28" s="2848">
        <v>1</v>
      </c>
      <c r="AE28" s="2856">
        <v>5.69</v>
      </c>
      <c r="AF28" s="2856">
        <v>5.69</v>
      </c>
      <c r="AG28" s="2869">
        <v>0.5</v>
      </c>
      <c r="AH28" s="2861">
        <v>0</v>
      </c>
      <c r="AI28" s="2861">
        <v>1</v>
      </c>
      <c r="AJ28" s="2856"/>
      <c r="AK28" s="2856">
        <v>5.69</v>
      </c>
      <c r="AL28" s="3790" t="s">
        <v>2687</v>
      </c>
      <c r="AM28" s="3792"/>
      <c r="AN28" s="3792"/>
      <c r="AO28" s="3792"/>
      <c r="AP28" s="3792"/>
      <c r="AQ28" s="3792"/>
      <c r="AR28" s="3792"/>
      <c r="AS28" s="3792"/>
    </row>
    <row r="29" spans="1:45" s="2864" customFormat="1" ht="51" customHeight="1" x14ac:dyDescent="0.2">
      <c r="A29" s="3781"/>
      <c r="B29" s="3781"/>
      <c r="C29" s="3781"/>
      <c r="D29" s="3781"/>
      <c r="E29" s="3781"/>
      <c r="F29" s="3781"/>
      <c r="G29" s="3782"/>
      <c r="H29" s="3784"/>
      <c r="I29" s="2857" t="s">
        <v>2676</v>
      </c>
      <c r="J29" s="2856" t="s">
        <v>102</v>
      </c>
      <c r="K29" s="2856" t="s">
        <v>1289</v>
      </c>
      <c r="L29" s="2869">
        <v>0.5</v>
      </c>
      <c r="M29" s="2861">
        <v>0</v>
      </c>
      <c r="N29" s="2861">
        <v>1</v>
      </c>
      <c r="O29" s="2856">
        <f>'[21]995_1'!$F$78</f>
        <v>5.45</v>
      </c>
      <c r="P29" s="2856">
        <f t="shared" si="8"/>
        <v>5.45</v>
      </c>
      <c r="Q29" s="2869">
        <v>0.5</v>
      </c>
      <c r="R29" s="2861">
        <v>0</v>
      </c>
      <c r="S29" s="2848"/>
      <c r="T29" s="2856"/>
      <c r="U29" s="2856"/>
      <c r="V29" s="2869">
        <v>0.5</v>
      </c>
      <c r="W29" s="2861">
        <v>0</v>
      </c>
      <c r="X29" s="2861">
        <v>1</v>
      </c>
      <c r="Y29" s="2856">
        <v>5.69</v>
      </c>
      <c r="Z29" s="2856">
        <f t="shared" si="9"/>
        <v>5.69</v>
      </c>
      <c r="AA29" s="2856"/>
      <c r="AB29" s="2869">
        <v>0.5</v>
      </c>
      <c r="AC29" s="2861">
        <v>0</v>
      </c>
      <c r="AD29" s="2848">
        <v>1</v>
      </c>
      <c r="AE29" s="2856">
        <v>5.69</v>
      </c>
      <c r="AF29" s="2856">
        <v>5.69</v>
      </c>
      <c r="AG29" s="2869">
        <v>0.5</v>
      </c>
      <c r="AH29" s="2861">
        <v>0</v>
      </c>
      <c r="AI29" s="2861">
        <v>1</v>
      </c>
      <c r="AJ29" s="2856"/>
      <c r="AK29" s="2856">
        <v>5.69</v>
      </c>
      <c r="AL29" s="3790" t="s">
        <v>2681</v>
      </c>
      <c r="AM29" s="3792"/>
      <c r="AN29" s="3792"/>
      <c r="AO29" s="3792"/>
      <c r="AP29" s="3792"/>
      <c r="AQ29" s="3792"/>
      <c r="AR29" s="3792"/>
      <c r="AS29" s="3792"/>
    </row>
    <row r="30" spans="1:45" s="2864" customFormat="1" ht="21.75" customHeight="1" x14ac:dyDescent="0.2">
      <c r="A30" s="3781"/>
      <c r="B30" s="3781"/>
      <c r="C30" s="3781"/>
      <c r="D30" s="3781"/>
      <c r="E30" s="3781"/>
      <c r="F30" s="3781"/>
      <c r="G30" s="3782"/>
      <c r="H30" s="3784"/>
      <c r="I30" s="1230"/>
      <c r="J30" s="2856" t="s">
        <v>92</v>
      </c>
      <c r="K30" s="2856"/>
      <c r="L30" s="2861">
        <v>2</v>
      </c>
      <c r="M30" s="2861">
        <v>2</v>
      </c>
      <c r="N30" s="2861"/>
      <c r="O30" s="2856"/>
      <c r="P30" s="2856"/>
      <c r="Q30" s="2861">
        <v>2</v>
      </c>
      <c r="R30" s="2861">
        <v>2</v>
      </c>
      <c r="S30" s="2848"/>
      <c r="T30" s="2856"/>
      <c r="U30" s="2856">
        <f>S30*T30</f>
        <v>0</v>
      </c>
      <c r="V30" s="2861">
        <v>2</v>
      </c>
      <c r="W30" s="2861">
        <v>2</v>
      </c>
      <c r="X30" s="2861"/>
      <c r="Y30" s="2856"/>
      <c r="Z30" s="2856"/>
      <c r="AA30" s="2856"/>
      <c r="AB30" s="2861">
        <v>2</v>
      </c>
      <c r="AC30" s="2861">
        <v>2</v>
      </c>
      <c r="AD30" s="2848"/>
      <c r="AE30" s="2856"/>
      <c r="AF30" s="2856">
        <f>AD30*AE30</f>
        <v>0</v>
      </c>
      <c r="AG30" s="2861">
        <v>2</v>
      </c>
      <c r="AH30" s="2861">
        <v>2</v>
      </c>
      <c r="AI30" s="2861"/>
      <c r="AJ30" s="2856"/>
      <c r="AK30" s="2856"/>
    </row>
    <row r="31" spans="1:45" s="2864" customFormat="1" ht="24" customHeight="1" x14ac:dyDescent="0.2">
      <c r="A31" s="3781"/>
      <c r="B31" s="3781"/>
      <c r="C31" s="3781"/>
      <c r="D31" s="3781"/>
      <c r="E31" s="3781"/>
      <c r="F31" s="3781"/>
      <c r="G31" s="3782"/>
      <c r="H31" s="3784"/>
      <c r="I31" s="1230"/>
      <c r="J31" s="2856" t="s">
        <v>60</v>
      </c>
      <c r="K31" s="2856"/>
      <c r="L31" s="2861">
        <v>2</v>
      </c>
      <c r="M31" s="2861">
        <v>2</v>
      </c>
      <c r="N31" s="2861"/>
      <c r="O31" s="2856"/>
      <c r="P31" s="2856"/>
      <c r="Q31" s="2861">
        <v>2</v>
      </c>
      <c r="R31" s="2861">
        <v>2</v>
      </c>
      <c r="S31" s="2848"/>
      <c r="T31" s="2856"/>
      <c r="U31" s="2856">
        <f t="shared" ref="U31" si="10">S31*T31</f>
        <v>0</v>
      </c>
      <c r="V31" s="2861">
        <v>2</v>
      </c>
      <c r="W31" s="2861">
        <v>2</v>
      </c>
      <c r="X31" s="2861"/>
      <c r="Y31" s="2856"/>
      <c r="Z31" s="2856"/>
      <c r="AA31" s="2856"/>
      <c r="AB31" s="2861">
        <v>2</v>
      </c>
      <c r="AC31" s="2861">
        <v>2</v>
      </c>
      <c r="AD31" s="2848"/>
      <c r="AE31" s="2856"/>
      <c r="AF31" s="2856">
        <f t="shared" ref="AF31" si="11">AD31*AE31</f>
        <v>0</v>
      </c>
      <c r="AG31" s="2861">
        <v>2</v>
      </c>
      <c r="AH31" s="2861">
        <v>2</v>
      </c>
      <c r="AI31" s="2861"/>
      <c r="AJ31" s="2856"/>
      <c r="AK31" s="2856"/>
      <c r="AL31" s="3793"/>
      <c r="AM31" s="3794"/>
      <c r="AN31" s="3794"/>
      <c r="AO31" s="3794"/>
      <c r="AP31" s="3794"/>
      <c r="AQ31" s="3794"/>
    </row>
    <row r="32" spans="1:45" ht="145.5" customHeight="1" x14ac:dyDescent="0.2">
      <c r="A32" s="3781"/>
      <c r="B32" s="3781"/>
      <c r="C32" s="3781"/>
      <c r="D32" s="3781"/>
      <c r="E32" s="3781"/>
      <c r="F32" s="3781"/>
      <c r="G32" s="3782"/>
      <c r="H32" s="3784"/>
      <c r="I32" s="2870" t="s">
        <v>1425</v>
      </c>
      <c r="J32" s="1229" t="s">
        <v>1288</v>
      </c>
      <c r="K32" s="1229"/>
      <c r="L32" s="2855"/>
      <c r="M32" s="2855"/>
      <c r="N32" s="2855"/>
      <c r="O32" s="2856"/>
      <c r="P32" s="2856"/>
      <c r="Q32" s="1229"/>
      <c r="R32" s="1229"/>
      <c r="S32" s="2848"/>
      <c r="T32" s="2856"/>
      <c r="U32" s="2856"/>
      <c r="V32" s="1229"/>
      <c r="W32" s="1229"/>
      <c r="X32" s="2855"/>
      <c r="Y32" s="2856"/>
      <c r="Z32" s="2856"/>
      <c r="AA32" s="1229"/>
      <c r="AB32" s="1229"/>
      <c r="AC32" s="1229"/>
      <c r="AD32" s="2848"/>
      <c r="AE32" s="2856"/>
      <c r="AF32" s="2856"/>
      <c r="AG32" s="1229"/>
      <c r="AH32" s="1229"/>
      <c r="AI32" s="2855"/>
      <c r="AJ32" s="2856"/>
      <c r="AK32" s="2856"/>
    </row>
    <row r="33" spans="1:37" ht="102" x14ac:dyDescent="0.2">
      <c r="A33" s="3781"/>
      <c r="B33" s="3781"/>
      <c r="C33" s="3781"/>
      <c r="D33" s="3781"/>
      <c r="E33" s="3781"/>
      <c r="F33" s="3781"/>
      <c r="G33" s="3782"/>
      <c r="H33" s="3784"/>
      <c r="I33" s="1230" t="s">
        <v>1426</v>
      </c>
      <c r="J33" s="1229" t="s">
        <v>1290</v>
      </c>
      <c r="K33" s="1229"/>
      <c r="L33" s="1229"/>
      <c r="M33" s="1229"/>
      <c r="N33" s="2855"/>
      <c r="O33" s="2856"/>
      <c r="P33" s="2856"/>
      <c r="Q33" s="1229"/>
      <c r="R33" s="1229"/>
      <c r="S33" s="2848"/>
      <c r="T33" s="2856"/>
      <c r="U33" s="2856"/>
      <c r="V33" s="1229"/>
      <c r="W33" s="1229"/>
      <c r="X33" s="2855"/>
      <c r="Y33" s="2856"/>
      <c r="Z33" s="2856"/>
      <c r="AA33" s="1229"/>
      <c r="AB33" s="1229"/>
      <c r="AC33" s="1229"/>
      <c r="AD33" s="2848"/>
      <c r="AE33" s="2856"/>
      <c r="AF33" s="2856"/>
      <c r="AG33" s="1229"/>
      <c r="AH33" s="1229"/>
      <c r="AI33" s="2855"/>
      <c r="AJ33" s="2856"/>
      <c r="AK33" s="2856"/>
    </row>
    <row r="34" spans="1:37" x14ac:dyDescent="0.2">
      <c r="A34" s="3781"/>
      <c r="B34" s="3781"/>
      <c r="C34" s="3781"/>
      <c r="D34" s="3781"/>
      <c r="E34" s="3781"/>
      <c r="F34" s="3781"/>
      <c r="G34" s="3782"/>
      <c r="H34" s="3784"/>
      <c r="I34" s="2870"/>
      <c r="J34" s="1229" t="s">
        <v>1291</v>
      </c>
      <c r="K34" s="1229"/>
      <c r="L34" s="1229"/>
      <c r="M34" s="1229"/>
      <c r="N34" s="2855"/>
      <c r="O34" s="2856"/>
      <c r="P34" s="2856"/>
      <c r="Q34" s="1229"/>
      <c r="R34" s="1229"/>
      <c r="S34" s="2848"/>
      <c r="T34" s="2856"/>
      <c r="U34" s="2856"/>
      <c r="V34" s="1229"/>
      <c r="W34" s="1229"/>
      <c r="X34" s="2855"/>
      <c r="Y34" s="2856"/>
      <c r="Z34" s="2856"/>
      <c r="AA34" s="1229"/>
      <c r="AB34" s="1229"/>
      <c r="AC34" s="1229"/>
      <c r="AD34" s="2848"/>
      <c r="AE34" s="2856"/>
      <c r="AF34" s="2856"/>
      <c r="AG34" s="1229"/>
      <c r="AH34" s="1229"/>
      <c r="AI34" s="2855"/>
      <c r="AJ34" s="2856"/>
      <c r="AK34" s="2856"/>
    </row>
    <row r="35" spans="1:37" ht="102" x14ac:dyDescent="0.2">
      <c r="A35" s="3781"/>
      <c r="B35" s="3781"/>
      <c r="C35" s="3781"/>
      <c r="D35" s="3781"/>
      <c r="E35" s="3781"/>
      <c r="F35" s="3781"/>
      <c r="G35" s="3782"/>
      <c r="H35" s="3784"/>
      <c r="I35" s="1230" t="s">
        <v>1427</v>
      </c>
      <c r="J35" s="1229" t="s">
        <v>1292</v>
      </c>
      <c r="K35" s="1229"/>
      <c r="L35" s="2855"/>
      <c r="M35" s="2855"/>
      <c r="N35" s="2855"/>
      <c r="O35" s="2856"/>
      <c r="P35" s="2856"/>
      <c r="Q35" s="2855"/>
      <c r="R35" s="2855"/>
      <c r="S35" s="2848"/>
      <c r="T35" s="2856"/>
      <c r="U35" s="2856"/>
      <c r="V35" s="2855"/>
      <c r="W35" s="2855"/>
      <c r="X35" s="2855"/>
      <c r="Y35" s="2856"/>
      <c r="Z35" s="2856"/>
      <c r="AA35" s="2870"/>
      <c r="AB35" s="2855"/>
      <c r="AC35" s="2855"/>
      <c r="AD35" s="2848"/>
      <c r="AE35" s="2856"/>
      <c r="AF35" s="2856"/>
      <c r="AG35" s="2855"/>
      <c r="AH35" s="2855"/>
      <c r="AI35" s="2855"/>
      <c r="AJ35" s="2856"/>
      <c r="AK35" s="2856"/>
    </row>
    <row r="36" spans="1:37" s="2876" customFormat="1" ht="25.5" customHeight="1" x14ac:dyDescent="0.2">
      <c r="A36" s="2871"/>
      <c r="B36" s="2871"/>
      <c r="C36" s="2871"/>
      <c r="D36" s="2871"/>
      <c r="E36" s="2871"/>
      <c r="F36" s="2871"/>
      <c r="G36" s="2872"/>
      <c r="H36" s="3785"/>
      <c r="I36" s="2873" t="s">
        <v>97</v>
      </c>
      <c r="J36" s="2874"/>
      <c r="K36" s="2874"/>
      <c r="L36" s="2874">
        <f>L9+L16+L27</f>
        <v>25</v>
      </c>
      <c r="M36" s="2874">
        <f>M9+M16+M27</f>
        <v>24</v>
      </c>
      <c r="N36" s="2874">
        <f>N9+N16+N27</f>
        <v>4</v>
      </c>
      <c r="O36" s="2874"/>
      <c r="P36" s="2874">
        <f>P9+P16+P27</f>
        <v>21.8</v>
      </c>
      <c r="Q36" s="2874">
        <f>Q9+Q16+Q27</f>
        <v>25</v>
      </c>
      <c r="R36" s="2874">
        <f>R9+R16+R27</f>
        <v>24</v>
      </c>
      <c r="S36" s="2874">
        <f>S9+S16+S27</f>
        <v>5</v>
      </c>
      <c r="T36" s="2874"/>
      <c r="U36" s="2874">
        <f>U9+U16+U27</f>
        <v>30.1</v>
      </c>
      <c r="V36" s="2874">
        <f>V9+V16+V27</f>
        <v>25</v>
      </c>
      <c r="W36" s="2874">
        <f>W9+W16+W27</f>
        <v>24</v>
      </c>
      <c r="X36" s="2874">
        <f>X9+X16+X27</f>
        <v>5</v>
      </c>
      <c r="Y36" s="2874"/>
      <c r="Z36" s="2875">
        <f>Z9+Z16+Z27</f>
        <v>28.5</v>
      </c>
      <c r="AA36" s="2873"/>
      <c r="AB36" s="2874">
        <f>AB9+AB16+AB27</f>
        <v>25</v>
      </c>
      <c r="AC36" s="2874">
        <f>AC9+AC16+AC27</f>
        <v>24</v>
      </c>
      <c r="AD36" s="2874">
        <f>AD9+AD16+AD27</f>
        <v>5</v>
      </c>
      <c r="AE36" s="2874"/>
      <c r="AF36" s="2875">
        <f>AF9+AF16+AF27</f>
        <v>28.5</v>
      </c>
      <c r="AG36" s="2874">
        <f>AG9+AG16+AG27</f>
        <v>25</v>
      </c>
      <c r="AH36" s="2874">
        <f>AH9+AH16+AH27</f>
        <v>24</v>
      </c>
      <c r="AI36" s="2874">
        <f>AI9+AI16+AI27</f>
        <v>5</v>
      </c>
      <c r="AJ36" s="2874"/>
      <c r="AK36" s="2875">
        <f>AK9+AK16+AK27</f>
        <v>28.5</v>
      </c>
    </row>
    <row r="37" spans="1:37" ht="22.5" customHeight="1" x14ac:dyDescent="0.2">
      <c r="H37" s="3797" t="s">
        <v>2688</v>
      </c>
      <c r="I37" s="3797"/>
      <c r="J37" s="3797"/>
      <c r="K37" s="3797"/>
      <c r="L37" s="3797"/>
      <c r="M37" s="3797"/>
      <c r="N37" s="3797"/>
      <c r="O37" s="3797"/>
    </row>
    <row r="38" spans="1:37" x14ac:dyDescent="0.2">
      <c r="H38" s="2877"/>
      <c r="I38" s="2877"/>
      <c r="J38" s="2877"/>
      <c r="K38" s="2877"/>
      <c r="L38" s="2877"/>
      <c r="M38" s="2877"/>
      <c r="N38" s="2877"/>
      <c r="O38" s="2877"/>
    </row>
    <row r="39" spans="1:37" ht="15.75" x14ac:dyDescent="0.25">
      <c r="H39" s="2878"/>
      <c r="I39" s="2879"/>
      <c r="J39" s="2880"/>
      <c r="K39" s="2881"/>
      <c r="L39" s="2882"/>
      <c r="M39" s="2882"/>
      <c r="N39" s="3798"/>
      <c r="O39" s="3798"/>
      <c r="P39" s="3798"/>
    </row>
    <row r="40" spans="1:37" ht="15.75" x14ac:dyDescent="0.25">
      <c r="H40" s="2878"/>
      <c r="I40" s="2883"/>
      <c r="J40" s="3795"/>
      <c r="K40" s="3795"/>
      <c r="L40" s="2883"/>
      <c r="M40" s="2884"/>
      <c r="N40" s="3796"/>
      <c r="O40" s="3796"/>
      <c r="P40" s="3796"/>
    </row>
    <row r="41" spans="1:37" x14ac:dyDescent="0.2">
      <c r="L41" s="2877"/>
    </row>
    <row r="42" spans="1:37" ht="15.75" x14ac:dyDescent="0.25">
      <c r="H42" s="2878"/>
    </row>
    <row r="47" spans="1:37" x14ac:dyDescent="0.2">
      <c r="P47" s="2844"/>
      <c r="U47" s="2844"/>
      <c r="Z47" s="2844"/>
      <c r="AF47" s="2844"/>
      <c r="AK47" s="2844"/>
    </row>
    <row r="48" spans="1:37" x14ac:dyDescent="0.2">
      <c r="L48" s="2864"/>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2864"/>
      <c r="AJ48" s="2864"/>
      <c r="AK48" s="2864"/>
    </row>
  </sheetData>
  <mergeCells count="43">
    <mergeCell ref="J40:K40"/>
    <mergeCell ref="N40:P40"/>
    <mergeCell ref="AG6:AI6"/>
    <mergeCell ref="AJ6:AJ7"/>
    <mergeCell ref="AK6:AK7"/>
    <mergeCell ref="V6:X6"/>
    <mergeCell ref="Y6:Y7"/>
    <mergeCell ref="Z6:Z7"/>
    <mergeCell ref="AB6:AD6"/>
    <mergeCell ref="AE6:AE7"/>
    <mergeCell ref="AF6:AF7"/>
    <mergeCell ref="H37:O37"/>
    <mergeCell ref="N39:P39"/>
    <mergeCell ref="A9:G35"/>
    <mergeCell ref="H9:H36"/>
    <mergeCell ref="AL13:AR13"/>
    <mergeCell ref="AL16:AQ16"/>
    <mergeCell ref="AL22:AR22"/>
    <mergeCell ref="AL24:AR24"/>
    <mergeCell ref="AL25:AR25"/>
    <mergeCell ref="AL28:AS28"/>
    <mergeCell ref="AL29:AS29"/>
    <mergeCell ref="AL31:AQ31"/>
    <mergeCell ref="AG5:AK5"/>
    <mergeCell ref="L6:N6"/>
    <mergeCell ref="O6:O7"/>
    <mergeCell ref="P6:P7"/>
    <mergeCell ref="Q6:S6"/>
    <mergeCell ref="T6:T7"/>
    <mergeCell ref="U6:U7"/>
    <mergeCell ref="G2:AF2"/>
    <mergeCell ref="G3:AF3"/>
    <mergeCell ref="G4:Q4"/>
    <mergeCell ref="G5:G7"/>
    <mergeCell ref="H5:H7"/>
    <mergeCell ref="I5:I7"/>
    <mergeCell ref="J5:J7"/>
    <mergeCell ref="K5:K7"/>
    <mergeCell ref="L5:P5"/>
    <mergeCell ref="Q5:U5"/>
    <mergeCell ref="V5:Z5"/>
    <mergeCell ref="AA5:AA7"/>
    <mergeCell ref="AB5:AF5"/>
  </mergeCells>
  <printOptions horizontalCentered="1"/>
  <pageMargins left="0.11811023622047245" right="0.11811023622047245" top="0.74803149606299213" bottom="0.74803149606299213" header="0.11811023622047245" footer="0.11811023622047245"/>
  <pageSetup paperSize="9" scale="32"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R33"/>
  <sheetViews>
    <sheetView view="pageBreakPreview" zoomScale="60" zoomScaleNormal="60" workbookViewId="0">
      <pane ySplit="7" topLeftCell="A17" activePane="bottomLeft" state="frozen"/>
      <selection pane="bottomLeft" activeCell="P42" sqref="P42"/>
    </sheetView>
  </sheetViews>
  <sheetFormatPr defaultRowHeight="15.75" x14ac:dyDescent="0.25"/>
  <cols>
    <col min="1" max="1" width="5.83203125" style="2959" customWidth="1"/>
    <col min="2" max="2" width="23" style="2959" customWidth="1"/>
    <col min="3" max="3" width="13.1640625" style="2959" customWidth="1"/>
    <col min="4" max="4" width="15.1640625" style="2959" customWidth="1"/>
    <col min="5" max="5" width="13.1640625" style="2959" customWidth="1"/>
    <col min="6" max="6" width="12.83203125" style="2959" customWidth="1"/>
    <col min="7" max="7" width="9.5" style="2959" customWidth="1"/>
    <col min="8" max="8" width="12.83203125" style="2959" customWidth="1"/>
    <col min="9" max="9" width="13.33203125" style="2959" bestFit="1" customWidth="1"/>
    <col min="10" max="10" width="14.83203125" style="2959" customWidth="1"/>
    <col min="11" max="11" width="12.5" style="2960" customWidth="1"/>
    <col min="12" max="12" width="11.83203125" style="2959" customWidth="1"/>
    <col min="13" max="13" width="12.6640625" style="2959" customWidth="1"/>
    <col min="14" max="14" width="8.5" style="2959" customWidth="1"/>
    <col min="15" max="15" width="10.83203125" style="2959" customWidth="1"/>
    <col min="16" max="16" width="14.83203125" style="2959" customWidth="1"/>
    <col min="17" max="17" width="13.6640625" style="2959" customWidth="1"/>
    <col min="18" max="18" width="13" style="2960" customWidth="1"/>
    <col min="19" max="19" width="12" style="2959" customWidth="1"/>
    <col min="20" max="20" width="12.6640625" style="2959" customWidth="1"/>
    <col min="21" max="21" width="9.83203125" style="2959" customWidth="1"/>
    <col min="22" max="22" width="10.33203125" style="2959" customWidth="1"/>
    <col min="23" max="23" width="14.33203125" style="2959" customWidth="1"/>
    <col min="24" max="24" width="13.6640625" style="2959" customWidth="1"/>
    <col min="25" max="25" width="12.6640625" style="2960" customWidth="1"/>
    <col min="26" max="26" width="12.6640625" style="2959" customWidth="1"/>
    <col min="27" max="27" width="13.33203125" style="2959" customWidth="1"/>
    <col min="28" max="28" width="8.33203125" style="2959" customWidth="1"/>
    <col min="29" max="29" width="9.83203125" style="2959" bestFit="1" customWidth="1"/>
    <col min="30" max="30" width="12.6640625" style="2959" customWidth="1"/>
    <col min="31" max="31" width="13" style="2959" customWidth="1"/>
    <col min="32" max="32" width="13.5" style="2960" customWidth="1"/>
    <col min="33" max="33" width="12.6640625" style="2959" customWidth="1"/>
    <col min="34" max="34" width="13.1640625" style="2959" customWidth="1"/>
    <col min="35" max="35" width="8.33203125" style="2959" customWidth="1"/>
    <col min="36" max="36" width="10.5" style="2959" customWidth="1"/>
    <col min="37" max="37" width="12.5" style="2959" customWidth="1"/>
    <col min="38" max="38" width="13.33203125" style="2959" customWidth="1"/>
    <col min="39" max="39" width="13.1640625" style="2961" customWidth="1"/>
    <col min="40" max="40" width="12.83203125" style="2959" customWidth="1"/>
    <col min="41" max="41" width="13" style="2959" customWidth="1"/>
    <col min="42" max="42" width="10.6640625" style="2959" customWidth="1"/>
    <col min="43" max="43" width="14.33203125" style="2959" customWidth="1"/>
    <col min="44" max="44" width="15.5" style="2959" customWidth="1"/>
    <col min="45" max="16384" width="9.33203125" style="2959"/>
  </cols>
  <sheetData>
    <row r="1" spans="1:44" s="2898" customFormat="1" x14ac:dyDescent="0.2">
      <c r="B1" s="2899"/>
      <c r="C1" s="2899"/>
      <c r="D1" s="2899"/>
      <c r="E1" s="2899"/>
      <c r="F1" s="2899"/>
      <c r="G1" s="2899"/>
      <c r="H1" s="2899"/>
      <c r="I1" s="2899"/>
      <c r="J1" s="2899"/>
      <c r="K1" s="2900"/>
      <c r="L1" s="2899"/>
      <c r="M1" s="2899"/>
      <c r="N1" s="2899"/>
      <c r="O1" s="2899"/>
      <c r="P1" s="2899"/>
      <c r="Q1" s="2899"/>
      <c r="R1" s="2900"/>
      <c r="S1" s="2899"/>
      <c r="T1" s="2899"/>
      <c r="U1" s="2899"/>
      <c r="V1" s="2899"/>
      <c r="W1" s="2899"/>
      <c r="Y1" s="2901"/>
      <c r="AD1" s="2902"/>
      <c r="AE1" s="2903"/>
      <c r="AF1" s="2904"/>
      <c r="AI1" s="3806" t="s">
        <v>761</v>
      </c>
      <c r="AJ1" s="3806"/>
      <c r="AK1" s="3806"/>
      <c r="AL1" s="3806"/>
      <c r="AM1" s="3806"/>
      <c r="AN1" s="3806"/>
      <c r="AO1" s="3806"/>
      <c r="AP1" s="3806"/>
      <c r="AQ1" s="3806"/>
      <c r="AR1" s="3806"/>
    </row>
    <row r="2" spans="1:44" s="2898" customFormat="1" ht="39" customHeight="1" x14ac:dyDescent="0.2">
      <c r="A2" s="3807" t="s">
        <v>2732</v>
      </c>
      <c r="B2" s="3807"/>
      <c r="C2" s="3807"/>
      <c r="D2" s="3807"/>
      <c r="E2" s="3807"/>
      <c r="F2" s="3807"/>
      <c r="G2" s="3807"/>
      <c r="H2" s="3807"/>
      <c r="I2" s="3807"/>
      <c r="J2" s="3807"/>
      <c r="K2" s="3808"/>
      <c r="L2" s="3807"/>
      <c r="M2" s="3807"/>
      <c r="N2" s="3807"/>
      <c r="O2" s="3807"/>
      <c r="P2" s="3807"/>
      <c r="Q2" s="3807"/>
      <c r="R2" s="3808"/>
      <c r="S2" s="3807"/>
      <c r="T2" s="3807"/>
      <c r="U2" s="3807"/>
      <c r="V2" s="3807"/>
      <c r="W2" s="3807"/>
      <c r="X2" s="3807"/>
      <c r="Y2" s="3808"/>
      <c r="Z2" s="3807"/>
      <c r="AA2" s="3807"/>
      <c r="AB2" s="3807"/>
      <c r="AC2" s="3807"/>
      <c r="AD2" s="3807"/>
      <c r="AE2" s="3807"/>
      <c r="AF2" s="3808"/>
      <c r="AG2" s="3807"/>
      <c r="AH2" s="3807"/>
      <c r="AI2" s="3807"/>
      <c r="AJ2" s="3807"/>
      <c r="AK2" s="3807"/>
      <c r="AL2" s="3807"/>
      <c r="AM2" s="3807"/>
      <c r="AN2" s="3807"/>
      <c r="AO2" s="3807"/>
      <c r="AP2" s="3807"/>
      <c r="AQ2" s="3807"/>
      <c r="AR2" s="3807"/>
    </row>
    <row r="3" spans="1:44" s="2898" customFormat="1" x14ac:dyDescent="0.2">
      <c r="A3" s="3809" t="s">
        <v>1442</v>
      </c>
      <c r="B3" s="3809"/>
      <c r="C3" s="3809"/>
      <c r="D3" s="3809"/>
      <c r="E3" s="3809"/>
      <c r="F3" s="3809"/>
      <c r="G3" s="3809"/>
      <c r="H3" s="3809"/>
      <c r="I3" s="3809"/>
      <c r="J3" s="3809"/>
      <c r="K3" s="3810"/>
      <c r="L3" s="3809"/>
      <c r="M3" s="3809"/>
      <c r="N3" s="3809"/>
      <c r="O3" s="3809"/>
      <c r="P3" s="3809"/>
      <c r="Q3" s="3809"/>
      <c r="R3" s="3810"/>
      <c r="S3" s="3809"/>
      <c r="T3" s="3809"/>
      <c r="U3" s="3809"/>
      <c r="V3" s="3809"/>
      <c r="W3" s="3809"/>
      <c r="X3" s="3809"/>
      <c r="Y3" s="3810"/>
      <c r="Z3" s="3809"/>
      <c r="AA3" s="3809"/>
      <c r="AB3" s="3809"/>
      <c r="AC3" s="3809"/>
      <c r="AD3" s="3809"/>
      <c r="AE3" s="3809"/>
      <c r="AF3" s="3810"/>
      <c r="AG3" s="3809"/>
      <c r="AH3" s="3809"/>
      <c r="AI3" s="3809"/>
      <c r="AJ3" s="3809"/>
      <c r="AK3" s="3809"/>
      <c r="AL3" s="3809"/>
      <c r="AM3" s="3809"/>
      <c r="AN3" s="3809"/>
      <c r="AO3" s="3809"/>
      <c r="AP3" s="3809"/>
      <c r="AQ3" s="3809"/>
      <c r="AR3" s="3809"/>
    </row>
    <row r="4" spans="1:44" s="2898" customFormat="1" x14ac:dyDescent="0.2">
      <c r="A4" s="3811" t="s">
        <v>2690</v>
      </c>
      <c r="B4" s="3811"/>
      <c r="C4" s="3811"/>
      <c r="D4" s="3811"/>
      <c r="E4" s="3811"/>
      <c r="F4" s="3811"/>
      <c r="G4" s="3811"/>
      <c r="H4" s="3811"/>
      <c r="I4" s="3811"/>
      <c r="J4" s="3811"/>
      <c r="K4" s="3812"/>
      <c r="L4" s="3811"/>
      <c r="M4" s="3811"/>
      <c r="N4" s="3811"/>
      <c r="O4" s="3811"/>
      <c r="P4" s="3811"/>
      <c r="Q4" s="3811"/>
      <c r="R4" s="3812"/>
      <c r="S4" s="3811"/>
      <c r="T4" s="3811"/>
      <c r="U4" s="3811"/>
      <c r="V4" s="3811"/>
      <c r="W4" s="3811"/>
      <c r="X4" s="3811"/>
      <c r="Y4" s="3812"/>
      <c r="Z4" s="3811"/>
      <c r="AA4" s="3811"/>
      <c r="AB4" s="3811"/>
      <c r="AC4" s="3811"/>
      <c r="AD4" s="3811"/>
      <c r="AE4" s="3811"/>
      <c r="AF4" s="3812"/>
      <c r="AG4" s="3811"/>
      <c r="AH4" s="3811"/>
      <c r="AI4" s="3811"/>
      <c r="AJ4" s="3811"/>
      <c r="AK4" s="3811"/>
      <c r="AL4" s="3811"/>
      <c r="AM4" s="3811"/>
      <c r="AN4" s="3811"/>
      <c r="AO4" s="3811"/>
      <c r="AP4" s="3811"/>
      <c r="AQ4" s="3811"/>
      <c r="AR4" s="3811"/>
    </row>
    <row r="5" spans="1:44" s="2898" customFormat="1" ht="16.5" thickBot="1" x14ac:dyDescent="0.25">
      <c r="A5" s="2964"/>
      <c r="B5" s="2964"/>
      <c r="C5" s="2964"/>
      <c r="D5" s="2964"/>
      <c r="E5" s="2964"/>
      <c r="F5" s="2964"/>
      <c r="G5" s="2964"/>
      <c r="H5" s="2964"/>
      <c r="I5" s="2964"/>
      <c r="J5" s="2964"/>
      <c r="K5" s="2965"/>
      <c r="L5" s="2964"/>
      <c r="M5" s="2964"/>
      <c r="N5" s="2964"/>
      <c r="O5" s="2964"/>
      <c r="P5" s="2964"/>
      <c r="Q5" s="2964"/>
      <c r="R5" s="2965"/>
      <c r="S5" s="2964"/>
      <c r="T5" s="2964"/>
      <c r="U5" s="2964"/>
      <c r="V5" s="2964"/>
      <c r="W5" s="2964"/>
      <c r="X5" s="2964"/>
      <c r="Y5" s="2965"/>
      <c r="Z5" s="2964"/>
      <c r="AA5" s="2964"/>
      <c r="AB5" s="2964"/>
      <c r="AC5" s="2964"/>
      <c r="AD5" s="2964"/>
      <c r="AE5" s="2964"/>
      <c r="AF5" s="2965"/>
      <c r="AG5" s="2964"/>
      <c r="AH5" s="2964"/>
      <c r="AI5" s="2964"/>
      <c r="AJ5" s="2964"/>
      <c r="AK5" s="2964"/>
      <c r="AL5" s="2964"/>
      <c r="AM5" s="2964"/>
      <c r="AN5" s="2964"/>
      <c r="AO5" s="2964"/>
      <c r="AP5" s="2964"/>
      <c r="AQ5" s="2964"/>
      <c r="AR5" s="2966" t="s">
        <v>380</v>
      </c>
    </row>
    <row r="6" spans="1:44" s="2898" customFormat="1" x14ac:dyDescent="0.2">
      <c r="A6" s="3802" t="s">
        <v>78</v>
      </c>
      <c r="B6" s="3805" t="s">
        <v>762</v>
      </c>
      <c r="C6" s="3802" t="s">
        <v>763</v>
      </c>
      <c r="D6" s="3804"/>
      <c r="E6" s="3804"/>
      <c r="F6" s="3804"/>
      <c r="G6" s="3804"/>
      <c r="H6" s="3804"/>
      <c r="I6" s="3805"/>
      <c r="J6" s="3802" t="s">
        <v>764</v>
      </c>
      <c r="K6" s="3803"/>
      <c r="L6" s="3804"/>
      <c r="M6" s="3804"/>
      <c r="N6" s="3804"/>
      <c r="O6" s="3804"/>
      <c r="P6" s="3805"/>
      <c r="Q6" s="3802" t="s">
        <v>765</v>
      </c>
      <c r="R6" s="3803"/>
      <c r="S6" s="3804"/>
      <c r="T6" s="3804"/>
      <c r="U6" s="3804"/>
      <c r="V6" s="3804"/>
      <c r="W6" s="3805"/>
      <c r="X6" s="3802" t="s">
        <v>204</v>
      </c>
      <c r="Y6" s="3803"/>
      <c r="Z6" s="3804"/>
      <c r="AA6" s="3804"/>
      <c r="AB6" s="3804"/>
      <c r="AC6" s="3804"/>
      <c r="AD6" s="3805"/>
      <c r="AE6" s="3802" t="s">
        <v>205</v>
      </c>
      <c r="AF6" s="3803"/>
      <c r="AG6" s="3804"/>
      <c r="AH6" s="3804"/>
      <c r="AI6" s="3804"/>
      <c r="AJ6" s="3804"/>
      <c r="AK6" s="3805"/>
      <c r="AL6" s="3802" t="s">
        <v>206</v>
      </c>
      <c r="AM6" s="3804"/>
      <c r="AN6" s="3804"/>
      <c r="AO6" s="3804"/>
      <c r="AP6" s="3804"/>
      <c r="AQ6" s="3804"/>
      <c r="AR6" s="3805"/>
    </row>
    <row r="7" spans="1:44" s="2912" customFormat="1" ht="63.75" x14ac:dyDescent="0.2">
      <c r="A7" s="3813"/>
      <c r="B7" s="3814"/>
      <c r="C7" s="2905" t="s">
        <v>766</v>
      </c>
      <c r="D7" s="2906" t="s">
        <v>767</v>
      </c>
      <c r="E7" s="2906" t="s">
        <v>768</v>
      </c>
      <c r="F7" s="2906" t="s">
        <v>769</v>
      </c>
      <c r="G7" s="2906" t="s">
        <v>770</v>
      </c>
      <c r="H7" s="2906" t="s">
        <v>771</v>
      </c>
      <c r="I7" s="2907" t="s">
        <v>772</v>
      </c>
      <c r="J7" s="2905" t="s">
        <v>766</v>
      </c>
      <c r="K7" s="2908" t="s">
        <v>767</v>
      </c>
      <c r="L7" s="2906" t="s">
        <v>768</v>
      </c>
      <c r="M7" s="2906" t="s">
        <v>769</v>
      </c>
      <c r="N7" s="2906" t="s">
        <v>770</v>
      </c>
      <c r="O7" s="2906" t="s">
        <v>771</v>
      </c>
      <c r="P7" s="2907" t="s">
        <v>772</v>
      </c>
      <c r="Q7" s="2905" t="s">
        <v>766</v>
      </c>
      <c r="R7" s="2908" t="s">
        <v>767</v>
      </c>
      <c r="S7" s="2906" t="s">
        <v>768</v>
      </c>
      <c r="T7" s="2906" t="s">
        <v>769</v>
      </c>
      <c r="U7" s="2906" t="s">
        <v>770</v>
      </c>
      <c r="V7" s="2906" t="s">
        <v>771</v>
      </c>
      <c r="W7" s="2907" t="s">
        <v>772</v>
      </c>
      <c r="X7" s="2905" t="s">
        <v>766</v>
      </c>
      <c r="Y7" s="2908" t="s">
        <v>767</v>
      </c>
      <c r="Z7" s="2906" t="s">
        <v>768</v>
      </c>
      <c r="AA7" s="2906" t="s">
        <v>769</v>
      </c>
      <c r="AB7" s="2906" t="s">
        <v>770</v>
      </c>
      <c r="AC7" s="2906" t="s">
        <v>771</v>
      </c>
      <c r="AD7" s="2909" t="s">
        <v>772</v>
      </c>
      <c r="AE7" s="2905" t="s">
        <v>766</v>
      </c>
      <c r="AF7" s="2910" t="s">
        <v>767</v>
      </c>
      <c r="AG7" s="2906" t="s">
        <v>768</v>
      </c>
      <c r="AH7" s="2906" t="s">
        <v>769</v>
      </c>
      <c r="AI7" s="2906" t="s">
        <v>770</v>
      </c>
      <c r="AJ7" s="2906" t="s">
        <v>771</v>
      </c>
      <c r="AK7" s="2907" t="s">
        <v>772</v>
      </c>
      <c r="AL7" s="2905" t="s">
        <v>766</v>
      </c>
      <c r="AM7" s="2911" t="s">
        <v>767</v>
      </c>
      <c r="AN7" s="2906" t="s">
        <v>768</v>
      </c>
      <c r="AO7" s="2906" t="s">
        <v>769</v>
      </c>
      <c r="AP7" s="2906" t="s">
        <v>770</v>
      </c>
      <c r="AQ7" s="2906" t="s">
        <v>771</v>
      </c>
      <c r="AR7" s="2907" t="s">
        <v>772</v>
      </c>
    </row>
    <row r="8" spans="1:44" s="2919" customFormat="1" ht="25.5" x14ac:dyDescent="0.2">
      <c r="A8" s="2924">
        <v>5</v>
      </c>
      <c r="B8" s="2920" t="s">
        <v>1444</v>
      </c>
      <c r="C8" s="2925"/>
      <c r="D8" s="2926"/>
      <c r="E8" s="2926"/>
      <c r="F8" s="2926"/>
      <c r="G8" s="2926"/>
      <c r="H8" s="2926"/>
      <c r="I8" s="2920"/>
      <c r="J8" s="2925"/>
      <c r="K8" s="2927"/>
      <c r="L8" s="2921"/>
      <c r="M8" s="2921"/>
      <c r="N8" s="2921"/>
      <c r="O8" s="2921"/>
      <c r="P8" s="2920"/>
      <c r="Q8" s="2928"/>
      <c r="R8" s="2927"/>
      <c r="S8" s="2926"/>
      <c r="T8" s="2926"/>
      <c r="U8" s="2926"/>
      <c r="V8" s="2926"/>
      <c r="W8" s="2920"/>
      <c r="X8" s="2925"/>
      <c r="Y8" s="2927"/>
      <c r="Z8" s="2926"/>
      <c r="AA8" s="2926"/>
      <c r="AB8" s="2926"/>
      <c r="AC8" s="2926"/>
      <c r="AD8" s="2920"/>
      <c r="AE8" s="2928"/>
      <c r="AF8" s="2927"/>
      <c r="AG8" s="2926"/>
      <c r="AH8" s="2926"/>
      <c r="AI8" s="2926"/>
      <c r="AJ8" s="2926"/>
      <c r="AK8" s="2920"/>
      <c r="AL8" s="2928"/>
      <c r="AM8" s="2929"/>
      <c r="AN8" s="2926"/>
      <c r="AO8" s="2926"/>
      <c r="AP8" s="2926"/>
      <c r="AQ8" s="2926"/>
      <c r="AR8" s="2920"/>
    </row>
    <row r="9" spans="1:44" s="2912" customFormat="1" ht="38.25" x14ac:dyDescent="0.2">
      <c r="A9" s="2930"/>
      <c r="B9" s="2931" t="s">
        <v>2692</v>
      </c>
      <c r="C9" s="2932" t="s">
        <v>2693</v>
      </c>
      <c r="D9" s="2933">
        <v>43221</v>
      </c>
      <c r="E9" s="2934" t="s">
        <v>2694</v>
      </c>
      <c r="F9" s="2935">
        <v>1500</v>
      </c>
      <c r="G9" s="2936">
        <v>1</v>
      </c>
      <c r="H9" s="2936">
        <v>3840</v>
      </c>
      <c r="I9" s="2937">
        <f>G9*H9</f>
        <v>3840</v>
      </c>
      <c r="J9" s="2932" t="s">
        <v>2693</v>
      </c>
      <c r="K9" s="2933" t="s">
        <v>2695</v>
      </c>
      <c r="L9" s="2938" t="s">
        <v>2696</v>
      </c>
      <c r="M9" s="2915">
        <v>2000</v>
      </c>
      <c r="N9" s="2915">
        <v>2</v>
      </c>
      <c r="O9" s="2915">
        <v>3840</v>
      </c>
      <c r="P9" s="2937">
        <f>N9*O9</f>
        <v>7680</v>
      </c>
      <c r="Q9" s="2932" t="s">
        <v>2693</v>
      </c>
      <c r="R9" s="2933">
        <v>43586</v>
      </c>
      <c r="S9" s="2939" t="s">
        <v>2696</v>
      </c>
      <c r="T9" s="2940">
        <v>2000</v>
      </c>
      <c r="U9" s="2936">
        <v>2</v>
      </c>
      <c r="V9" s="2936">
        <v>3600</v>
      </c>
      <c r="W9" s="2937">
        <f t="shared" ref="W9:W12" si="0">U9*V9</f>
        <v>7200</v>
      </c>
      <c r="X9" s="2932" t="s">
        <v>2693</v>
      </c>
      <c r="Y9" s="2933">
        <v>43952</v>
      </c>
      <c r="Z9" s="2939" t="s">
        <v>2696</v>
      </c>
      <c r="AA9" s="2940">
        <v>2000</v>
      </c>
      <c r="AB9" s="2936">
        <v>2</v>
      </c>
      <c r="AC9" s="2936">
        <v>3600</v>
      </c>
      <c r="AD9" s="2937">
        <f t="shared" ref="AD9:AD19" si="1">AB9*AC9</f>
        <v>7200</v>
      </c>
      <c r="AE9" s="2932" t="s">
        <v>2693</v>
      </c>
      <c r="AF9" s="2933">
        <v>44317</v>
      </c>
      <c r="AG9" s="2939" t="s">
        <v>2696</v>
      </c>
      <c r="AH9" s="2940">
        <v>2000</v>
      </c>
      <c r="AI9" s="2936">
        <v>2</v>
      </c>
      <c r="AJ9" s="2936">
        <v>3600</v>
      </c>
      <c r="AK9" s="2937">
        <f t="shared" ref="AK9:AK19" si="2">AI9*AJ9</f>
        <v>7200</v>
      </c>
      <c r="AL9" s="2932" t="s">
        <v>2693</v>
      </c>
      <c r="AM9" s="2933">
        <v>44682</v>
      </c>
      <c r="AN9" s="2939" t="s">
        <v>2696</v>
      </c>
      <c r="AO9" s="2935">
        <v>2000</v>
      </c>
      <c r="AP9" s="2936">
        <v>2</v>
      </c>
      <c r="AQ9" s="2936">
        <v>3600</v>
      </c>
      <c r="AR9" s="2937">
        <f t="shared" ref="AR9:AR19" si="3">AP9*AQ9</f>
        <v>7200</v>
      </c>
    </row>
    <row r="10" spans="1:44" s="2912" customFormat="1" ht="63.75" x14ac:dyDescent="0.2">
      <c r="A10" s="2914"/>
      <c r="B10" s="2941" t="s">
        <v>773</v>
      </c>
      <c r="C10" s="2942" t="s">
        <v>2697</v>
      </c>
      <c r="D10" s="2943">
        <v>43229</v>
      </c>
      <c r="E10" s="2809" t="s">
        <v>2698</v>
      </c>
      <c r="F10" s="2729">
        <v>8000</v>
      </c>
      <c r="G10" s="2944">
        <v>4.5</v>
      </c>
      <c r="H10" s="2944">
        <v>3840</v>
      </c>
      <c r="I10" s="2937">
        <f t="shared" ref="I10:I16" si="4">G10*H10</f>
        <v>17280</v>
      </c>
      <c r="J10" s="2942" t="s">
        <v>2697</v>
      </c>
      <c r="K10" s="2945" t="s">
        <v>2699</v>
      </c>
      <c r="L10" s="2946" t="s">
        <v>2700</v>
      </c>
      <c r="M10" s="2922">
        <v>8000</v>
      </c>
      <c r="N10" s="2922">
        <v>4</v>
      </c>
      <c r="O10" s="2922">
        <v>3840</v>
      </c>
      <c r="P10" s="2947">
        <f>N10*O10</f>
        <v>15360</v>
      </c>
      <c r="Q10" s="2942" t="s">
        <v>2697</v>
      </c>
      <c r="R10" s="2943">
        <v>43594</v>
      </c>
      <c r="S10" s="2948" t="s">
        <v>2700</v>
      </c>
      <c r="T10" s="2949">
        <v>8000</v>
      </c>
      <c r="U10" s="2944">
        <v>4</v>
      </c>
      <c r="V10" s="2944">
        <v>3600</v>
      </c>
      <c r="W10" s="2947">
        <f t="shared" si="0"/>
        <v>14400</v>
      </c>
      <c r="X10" s="2942" t="s">
        <v>2697</v>
      </c>
      <c r="Y10" s="2943">
        <v>43960</v>
      </c>
      <c r="Z10" s="2948" t="s">
        <v>2700</v>
      </c>
      <c r="AA10" s="2949">
        <v>8000</v>
      </c>
      <c r="AB10" s="2944">
        <v>4</v>
      </c>
      <c r="AC10" s="2944">
        <v>3600</v>
      </c>
      <c r="AD10" s="2947">
        <f t="shared" si="1"/>
        <v>14400</v>
      </c>
      <c r="AE10" s="2942" t="s">
        <v>2697</v>
      </c>
      <c r="AF10" s="2943">
        <v>44325</v>
      </c>
      <c r="AG10" s="2948" t="s">
        <v>2700</v>
      </c>
      <c r="AH10" s="2949">
        <v>8000</v>
      </c>
      <c r="AI10" s="2944">
        <v>4</v>
      </c>
      <c r="AJ10" s="2944">
        <v>3600</v>
      </c>
      <c r="AK10" s="2947">
        <f t="shared" si="2"/>
        <v>14400</v>
      </c>
      <c r="AL10" s="2942" t="s">
        <v>2697</v>
      </c>
      <c r="AM10" s="2943">
        <v>44690</v>
      </c>
      <c r="AN10" s="2948" t="s">
        <v>2700</v>
      </c>
      <c r="AO10" s="2729">
        <v>5000</v>
      </c>
      <c r="AP10" s="2944">
        <v>4</v>
      </c>
      <c r="AQ10" s="2944">
        <v>3600</v>
      </c>
      <c r="AR10" s="2947">
        <f t="shared" si="3"/>
        <v>14400</v>
      </c>
    </row>
    <row r="11" spans="1:44" s="2912" customFormat="1" ht="38.25" x14ac:dyDescent="0.2">
      <c r="A11" s="2914"/>
      <c r="B11" s="2941" t="s">
        <v>2701</v>
      </c>
      <c r="C11" s="2942" t="s">
        <v>2693</v>
      </c>
      <c r="D11" s="2943">
        <v>43252</v>
      </c>
      <c r="E11" s="2809" t="s">
        <v>2702</v>
      </c>
      <c r="F11" s="2729">
        <v>3000</v>
      </c>
      <c r="G11" s="2944">
        <v>1.5</v>
      </c>
      <c r="H11" s="2944">
        <v>3120</v>
      </c>
      <c r="I11" s="2947">
        <f t="shared" si="4"/>
        <v>4680</v>
      </c>
      <c r="J11" s="2942" t="s">
        <v>2693</v>
      </c>
      <c r="K11" s="2945" t="s">
        <v>2703</v>
      </c>
      <c r="L11" s="2946" t="s">
        <v>2696</v>
      </c>
      <c r="M11" s="2922">
        <v>3000</v>
      </c>
      <c r="N11" s="2922">
        <v>2</v>
      </c>
      <c r="O11" s="2922">
        <v>3840</v>
      </c>
      <c r="P11" s="2947">
        <f>N11*O11</f>
        <v>7680</v>
      </c>
      <c r="Q11" s="2942" t="s">
        <v>2693</v>
      </c>
      <c r="R11" s="2943">
        <v>43617</v>
      </c>
      <c r="S11" s="2948" t="s">
        <v>2704</v>
      </c>
      <c r="T11" s="2949">
        <v>3000</v>
      </c>
      <c r="U11" s="2944">
        <v>2</v>
      </c>
      <c r="V11" s="2944">
        <v>3600</v>
      </c>
      <c r="W11" s="2947">
        <f t="shared" si="0"/>
        <v>7200</v>
      </c>
      <c r="X11" s="2942" t="s">
        <v>2693</v>
      </c>
      <c r="Y11" s="2943">
        <v>43983</v>
      </c>
      <c r="Z11" s="2948" t="s">
        <v>2704</v>
      </c>
      <c r="AA11" s="2949">
        <v>2500</v>
      </c>
      <c r="AB11" s="2944">
        <v>2</v>
      </c>
      <c r="AC11" s="2944">
        <v>3600</v>
      </c>
      <c r="AD11" s="2947">
        <f t="shared" si="1"/>
        <v>7200</v>
      </c>
      <c r="AE11" s="2942" t="s">
        <v>2693</v>
      </c>
      <c r="AF11" s="2943">
        <v>44348</v>
      </c>
      <c r="AG11" s="2948" t="s">
        <v>2704</v>
      </c>
      <c r="AH11" s="2949">
        <v>2500</v>
      </c>
      <c r="AI11" s="2944">
        <v>2</v>
      </c>
      <c r="AJ11" s="2944">
        <v>3600</v>
      </c>
      <c r="AK11" s="2947">
        <f t="shared" si="2"/>
        <v>7200</v>
      </c>
      <c r="AL11" s="2942" t="s">
        <v>2693</v>
      </c>
      <c r="AM11" s="2943">
        <v>44713</v>
      </c>
      <c r="AN11" s="2948" t="s">
        <v>2704</v>
      </c>
      <c r="AO11" s="2729">
        <v>1000</v>
      </c>
      <c r="AP11" s="2944">
        <v>2</v>
      </c>
      <c r="AQ11" s="2944">
        <v>3600</v>
      </c>
      <c r="AR11" s="2947">
        <f t="shared" si="3"/>
        <v>7200</v>
      </c>
    </row>
    <row r="12" spans="1:44" s="2912" customFormat="1" ht="38.25" x14ac:dyDescent="0.2">
      <c r="A12" s="2914"/>
      <c r="B12" s="2941" t="s">
        <v>2705</v>
      </c>
      <c r="C12" s="2942" t="s">
        <v>2693</v>
      </c>
      <c r="D12" s="2943">
        <v>43263</v>
      </c>
      <c r="E12" s="2809" t="s">
        <v>2706</v>
      </c>
      <c r="F12" s="2729">
        <v>5900</v>
      </c>
      <c r="G12" s="2944">
        <v>2</v>
      </c>
      <c r="H12" s="2944">
        <v>3840</v>
      </c>
      <c r="I12" s="2947">
        <f t="shared" si="4"/>
        <v>7680</v>
      </c>
      <c r="J12" s="2942" t="s">
        <v>2693</v>
      </c>
      <c r="K12" s="2945" t="s">
        <v>2707</v>
      </c>
      <c r="L12" s="2946" t="s">
        <v>2708</v>
      </c>
      <c r="M12" s="2922">
        <v>5000</v>
      </c>
      <c r="N12" s="2922">
        <v>4</v>
      </c>
      <c r="O12" s="2922">
        <v>3840</v>
      </c>
      <c r="P12" s="2947">
        <f>N12*O12</f>
        <v>15360</v>
      </c>
      <c r="Q12" s="2942" t="s">
        <v>2693</v>
      </c>
      <c r="R12" s="2943">
        <v>43628</v>
      </c>
      <c r="S12" s="2946" t="s">
        <v>2708</v>
      </c>
      <c r="T12" s="2949">
        <v>5000</v>
      </c>
      <c r="U12" s="2944">
        <v>4</v>
      </c>
      <c r="V12" s="2944">
        <v>3600</v>
      </c>
      <c r="W12" s="2947">
        <f t="shared" si="0"/>
        <v>14400</v>
      </c>
      <c r="X12" s="2942" t="s">
        <v>2693</v>
      </c>
      <c r="Y12" s="2943">
        <v>43994</v>
      </c>
      <c r="Z12" s="2946" t="s">
        <v>2708</v>
      </c>
      <c r="AA12" s="2949">
        <v>5000</v>
      </c>
      <c r="AB12" s="2944">
        <v>4</v>
      </c>
      <c r="AC12" s="2944">
        <v>3600</v>
      </c>
      <c r="AD12" s="2947">
        <f t="shared" si="1"/>
        <v>14400</v>
      </c>
      <c r="AE12" s="2942" t="s">
        <v>2693</v>
      </c>
      <c r="AF12" s="2943">
        <v>44359</v>
      </c>
      <c r="AG12" s="2946" t="s">
        <v>2708</v>
      </c>
      <c r="AH12" s="2949">
        <v>5000</v>
      </c>
      <c r="AI12" s="2944">
        <v>4</v>
      </c>
      <c r="AJ12" s="2944">
        <v>3600</v>
      </c>
      <c r="AK12" s="2947">
        <f t="shared" si="2"/>
        <v>14400</v>
      </c>
      <c r="AL12" s="2942" t="s">
        <v>2693</v>
      </c>
      <c r="AM12" s="2943">
        <v>44724</v>
      </c>
      <c r="AN12" s="2948" t="s">
        <v>2708</v>
      </c>
      <c r="AO12" s="2729">
        <v>4000</v>
      </c>
      <c r="AP12" s="2944">
        <v>4</v>
      </c>
      <c r="AQ12" s="2944">
        <v>3600</v>
      </c>
      <c r="AR12" s="2947">
        <f t="shared" si="3"/>
        <v>14400</v>
      </c>
    </row>
    <row r="13" spans="1:44" s="2913" customFormat="1" ht="38.25" x14ac:dyDescent="0.2">
      <c r="A13" s="2950"/>
      <c r="B13" s="2941" t="s">
        <v>2709</v>
      </c>
      <c r="C13" s="2942" t="s">
        <v>2693</v>
      </c>
      <c r="D13" s="2943">
        <v>43275</v>
      </c>
      <c r="E13" s="2809" t="s">
        <v>2694</v>
      </c>
      <c r="F13" s="2729">
        <v>2000</v>
      </c>
      <c r="G13" s="2944">
        <v>1</v>
      </c>
      <c r="H13" s="2944">
        <v>3840</v>
      </c>
      <c r="I13" s="2947">
        <f t="shared" si="4"/>
        <v>3840</v>
      </c>
      <c r="J13" s="2942" t="s">
        <v>2710</v>
      </c>
      <c r="K13" s="2943"/>
      <c r="L13" s="2948"/>
      <c r="M13" s="2729"/>
      <c r="N13" s="2944"/>
      <c r="O13" s="2944"/>
      <c r="P13" s="2947"/>
      <c r="Q13" s="2942" t="s">
        <v>2710</v>
      </c>
      <c r="R13" s="2943"/>
      <c r="S13" s="2948"/>
      <c r="T13" s="2949"/>
      <c r="U13" s="2944"/>
      <c r="V13" s="2944"/>
      <c r="W13" s="2947"/>
      <c r="X13" s="2942" t="s">
        <v>2693</v>
      </c>
      <c r="Y13" s="2943"/>
      <c r="Z13" s="2948"/>
      <c r="AA13" s="2949"/>
      <c r="AB13" s="2944"/>
      <c r="AC13" s="2944"/>
      <c r="AD13" s="2947"/>
      <c r="AE13" s="2942" t="s">
        <v>2710</v>
      </c>
      <c r="AF13" s="2943"/>
      <c r="AG13" s="2948"/>
      <c r="AH13" s="2949"/>
      <c r="AI13" s="2944"/>
      <c r="AJ13" s="2944"/>
      <c r="AK13" s="2947"/>
      <c r="AL13" s="2942" t="s">
        <v>2693</v>
      </c>
      <c r="AM13" s="2943"/>
      <c r="AN13" s="2948"/>
      <c r="AO13" s="2729"/>
      <c r="AP13" s="2944"/>
      <c r="AQ13" s="2944"/>
      <c r="AR13" s="2947"/>
    </row>
    <row r="14" spans="1:44" s="2912" customFormat="1" ht="25.5" x14ac:dyDescent="0.2">
      <c r="A14" s="2914"/>
      <c r="B14" s="2941" t="s">
        <v>2691</v>
      </c>
      <c r="C14" s="2942" t="s">
        <v>2711</v>
      </c>
      <c r="D14" s="2943">
        <v>43273</v>
      </c>
      <c r="E14" s="2809" t="s">
        <v>2712</v>
      </c>
      <c r="F14" s="2729">
        <v>500</v>
      </c>
      <c r="G14" s="2944">
        <v>0.5</v>
      </c>
      <c r="H14" s="2944">
        <v>3120</v>
      </c>
      <c r="I14" s="2947">
        <f t="shared" si="4"/>
        <v>1560</v>
      </c>
      <c r="J14" s="2942" t="s">
        <v>2713</v>
      </c>
      <c r="K14" s="2943">
        <v>43638</v>
      </c>
      <c r="L14" s="2946" t="s">
        <v>2714</v>
      </c>
      <c r="M14" s="2922">
        <v>500</v>
      </c>
      <c r="N14" s="2922">
        <v>1</v>
      </c>
      <c r="O14" s="2922">
        <v>3840</v>
      </c>
      <c r="P14" s="2947">
        <f>N14*O14</f>
        <v>3840</v>
      </c>
      <c r="Q14" s="2942" t="s">
        <v>2713</v>
      </c>
      <c r="R14" s="2943">
        <v>43638</v>
      </c>
      <c r="S14" s="2948" t="s">
        <v>2714</v>
      </c>
      <c r="T14" s="2949">
        <v>600</v>
      </c>
      <c r="U14" s="2944">
        <v>1</v>
      </c>
      <c r="V14" s="2944">
        <v>3600</v>
      </c>
      <c r="W14" s="2947">
        <f t="shared" ref="W14:W20" si="5">U14*V14</f>
        <v>3600</v>
      </c>
      <c r="X14" s="2942" t="s">
        <v>2713</v>
      </c>
      <c r="Y14" s="2943">
        <v>44004</v>
      </c>
      <c r="Z14" s="2948" t="s">
        <v>2714</v>
      </c>
      <c r="AA14" s="2949">
        <v>600</v>
      </c>
      <c r="AB14" s="2944">
        <v>1</v>
      </c>
      <c r="AC14" s="2944">
        <v>3600</v>
      </c>
      <c r="AD14" s="2947">
        <f t="shared" si="1"/>
        <v>3600</v>
      </c>
      <c r="AE14" s="2942" t="s">
        <v>2713</v>
      </c>
      <c r="AF14" s="2943">
        <v>44369</v>
      </c>
      <c r="AG14" s="2948" t="s">
        <v>2714</v>
      </c>
      <c r="AH14" s="2949">
        <v>1000</v>
      </c>
      <c r="AI14" s="2944">
        <v>1</v>
      </c>
      <c r="AJ14" s="2944">
        <v>3600</v>
      </c>
      <c r="AK14" s="2947">
        <f t="shared" si="2"/>
        <v>3600</v>
      </c>
      <c r="AL14" s="2942" t="s">
        <v>2713</v>
      </c>
      <c r="AM14" s="2943">
        <v>44734</v>
      </c>
      <c r="AN14" s="2948" t="s">
        <v>2714</v>
      </c>
      <c r="AO14" s="2729">
        <v>1000</v>
      </c>
      <c r="AP14" s="2944">
        <v>1</v>
      </c>
      <c r="AQ14" s="2944">
        <v>3600</v>
      </c>
      <c r="AR14" s="2947">
        <f t="shared" si="3"/>
        <v>3600</v>
      </c>
    </row>
    <row r="15" spans="1:44" s="2912" customFormat="1" ht="38.25" x14ac:dyDescent="0.2">
      <c r="A15" s="2914"/>
      <c r="B15" s="2941" t="s">
        <v>2715</v>
      </c>
      <c r="C15" s="2942" t="s">
        <v>2693</v>
      </c>
      <c r="D15" s="2943">
        <v>43289</v>
      </c>
      <c r="E15" s="2809" t="s">
        <v>2716</v>
      </c>
      <c r="F15" s="2729">
        <v>2700</v>
      </c>
      <c r="G15" s="2944">
        <v>2.5</v>
      </c>
      <c r="H15" s="2944">
        <v>3840</v>
      </c>
      <c r="I15" s="2947">
        <f t="shared" si="4"/>
        <v>9600</v>
      </c>
      <c r="J15" s="2942" t="s">
        <v>2693</v>
      </c>
      <c r="K15" s="2943">
        <v>43652</v>
      </c>
      <c r="L15" s="2946" t="s">
        <v>2708</v>
      </c>
      <c r="M15" s="2922">
        <v>2000</v>
      </c>
      <c r="N15" s="2922">
        <v>4</v>
      </c>
      <c r="O15" s="2922">
        <v>3120</v>
      </c>
      <c r="P15" s="2947">
        <f t="shared" ref="P15:P18" si="6">N15*O15</f>
        <v>12480</v>
      </c>
      <c r="Q15" s="2942" t="s">
        <v>2693</v>
      </c>
      <c r="R15" s="2943">
        <v>43652</v>
      </c>
      <c r="S15" s="2948" t="s">
        <v>2708</v>
      </c>
      <c r="T15" s="2949">
        <v>3000</v>
      </c>
      <c r="U15" s="2944">
        <v>4</v>
      </c>
      <c r="V15" s="2944">
        <v>3600</v>
      </c>
      <c r="W15" s="2947">
        <f t="shared" si="5"/>
        <v>14400</v>
      </c>
      <c r="X15" s="2942" t="s">
        <v>2693</v>
      </c>
      <c r="Y15" s="2943">
        <v>44020</v>
      </c>
      <c r="Z15" s="2948" t="s">
        <v>2708</v>
      </c>
      <c r="AA15" s="2949">
        <v>3000</v>
      </c>
      <c r="AB15" s="2944">
        <v>4</v>
      </c>
      <c r="AC15" s="2944">
        <v>3600</v>
      </c>
      <c r="AD15" s="2947">
        <f t="shared" si="1"/>
        <v>14400</v>
      </c>
      <c r="AE15" s="2942" t="s">
        <v>2693</v>
      </c>
      <c r="AF15" s="2943">
        <v>44385</v>
      </c>
      <c r="AG15" s="2948" t="s">
        <v>2708</v>
      </c>
      <c r="AH15" s="2949">
        <v>3000</v>
      </c>
      <c r="AI15" s="2944">
        <v>4</v>
      </c>
      <c r="AJ15" s="2944">
        <v>3600</v>
      </c>
      <c r="AK15" s="2947">
        <f t="shared" si="2"/>
        <v>14400</v>
      </c>
      <c r="AL15" s="2942" t="s">
        <v>2693</v>
      </c>
      <c r="AM15" s="2943">
        <v>44750</v>
      </c>
      <c r="AN15" s="2948" t="s">
        <v>2708</v>
      </c>
      <c r="AO15" s="2729">
        <v>5000</v>
      </c>
      <c r="AP15" s="2944">
        <v>4</v>
      </c>
      <c r="AQ15" s="2944">
        <v>3600</v>
      </c>
      <c r="AR15" s="2947">
        <f t="shared" si="3"/>
        <v>14400</v>
      </c>
    </row>
    <row r="16" spans="1:44" s="2912" customFormat="1" ht="38.25" x14ac:dyDescent="0.2">
      <c r="A16" s="2914"/>
      <c r="B16" s="2941" t="s">
        <v>2717</v>
      </c>
      <c r="C16" s="2942" t="s">
        <v>2693</v>
      </c>
      <c r="D16" s="2943">
        <v>43297</v>
      </c>
      <c r="E16" s="2809" t="s">
        <v>2718</v>
      </c>
      <c r="F16" s="2729">
        <v>6500</v>
      </c>
      <c r="G16" s="2944">
        <v>6</v>
      </c>
      <c r="H16" s="2944">
        <v>3840</v>
      </c>
      <c r="I16" s="2947">
        <f t="shared" si="4"/>
        <v>23040</v>
      </c>
      <c r="J16" s="2942" t="s">
        <v>2693</v>
      </c>
      <c r="K16" s="2943">
        <v>43659</v>
      </c>
      <c r="L16" s="2946" t="s">
        <v>2719</v>
      </c>
      <c r="M16" s="2922">
        <v>7000</v>
      </c>
      <c r="N16" s="2922">
        <v>8</v>
      </c>
      <c r="O16" s="2922">
        <v>3840</v>
      </c>
      <c r="P16" s="2947">
        <f t="shared" si="6"/>
        <v>30720</v>
      </c>
      <c r="Q16" s="2942" t="s">
        <v>2693</v>
      </c>
      <c r="R16" s="2943">
        <v>43659</v>
      </c>
      <c r="S16" s="2948" t="s">
        <v>2719</v>
      </c>
      <c r="T16" s="2949">
        <v>6000</v>
      </c>
      <c r="U16" s="2944">
        <v>8</v>
      </c>
      <c r="V16" s="2944">
        <v>3600</v>
      </c>
      <c r="W16" s="2947">
        <f t="shared" si="5"/>
        <v>28800</v>
      </c>
      <c r="X16" s="2942" t="s">
        <v>2693</v>
      </c>
      <c r="Y16" s="2943">
        <v>44025</v>
      </c>
      <c r="Z16" s="2948" t="s">
        <v>2719</v>
      </c>
      <c r="AA16" s="2949">
        <v>6000</v>
      </c>
      <c r="AB16" s="2944">
        <v>8</v>
      </c>
      <c r="AC16" s="2944">
        <v>3600</v>
      </c>
      <c r="AD16" s="2947">
        <f t="shared" si="1"/>
        <v>28800</v>
      </c>
      <c r="AE16" s="2942" t="s">
        <v>2693</v>
      </c>
      <c r="AF16" s="2943">
        <v>44390</v>
      </c>
      <c r="AG16" s="2948" t="s">
        <v>2719</v>
      </c>
      <c r="AH16" s="2949">
        <v>6000</v>
      </c>
      <c r="AI16" s="2944">
        <v>8</v>
      </c>
      <c r="AJ16" s="2944">
        <v>3600</v>
      </c>
      <c r="AK16" s="2947">
        <f t="shared" si="2"/>
        <v>28800</v>
      </c>
      <c r="AL16" s="2942" t="s">
        <v>2693</v>
      </c>
      <c r="AM16" s="2943">
        <v>44755</v>
      </c>
      <c r="AN16" s="2948" t="s">
        <v>2719</v>
      </c>
      <c r="AO16" s="2729">
        <v>5000</v>
      </c>
      <c r="AP16" s="2944">
        <v>8</v>
      </c>
      <c r="AQ16" s="2944">
        <v>3600</v>
      </c>
      <c r="AR16" s="2947">
        <f t="shared" si="3"/>
        <v>28800</v>
      </c>
    </row>
    <row r="17" spans="1:44" s="2912" customFormat="1" ht="25.5" x14ac:dyDescent="0.2">
      <c r="A17" s="2914"/>
      <c r="B17" s="2941" t="s">
        <v>2720</v>
      </c>
      <c r="C17" s="2942" t="s">
        <v>2710</v>
      </c>
      <c r="D17" s="2943"/>
      <c r="E17" s="2809"/>
      <c r="F17" s="2729"/>
      <c r="G17" s="2944"/>
      <c r="H17" s="2944"/>
      <c r="I17" s="2947"/>
      <c r="J17" s="2942"/>
      <c r="K17" s="2943"/>
      <c r="L17" s="2948"/>
      <c r="M17" s="2729"/>
      <c r="N17" s="2944"/>
      <c r="O17" s="2944"/>
      <c r="P17" s="2947"/>
      <c r="Q17" s="2942" t="s">
        <v>2710</v>
      </c>
      <c r="R17" s="2943">
        <v>43671</v>
      </c>
      <c r="S17" s="2948" t="s">
        <v>2721</v>
      </c>
      <c r="T17" s="2949">
        <v>1000</v>
      </c>
      <c r="U17" s="2944">
        <v>1</v>
      </c>
      <c r="V17" s="2944">
        <v>3600</v>
      </c>
      <c r="W17" s="2947">
        <f t="shared" si="5"/>
        <v>3600</v>
      </c>
      <c r="X17" s="2942" t="s">
        <v>2710</v>
      </c>
      <c r="Y17" s="2943">
        <v>44037</v>
      </c>
      <c r="Z17" s="2948" t="s">
        <v>2722</v>
      </c>
      <c r="AA17" s="2949">
        <v>1000</v>
      </c>
      <c r="AB17" s="2944">
        <v>1.5</v>
      </c>
      <c r="AC17" s="2944">
        <v>3600</v>
      </c>
      <c r="AD17" s="2947">
        <f t="shared" si="1"/>
        <v>5400</v>
      </c>
      <c r="AE17" s="2942" t="s">
        <v>2710</v>
      </c>
      <c r="AF17" s="2943">
        <v>44402</v>
      </c>
      <c r="AG17" s="2948" t="s">
        <v>2723</v>
      </c>
      <c r="AH17" s="2949">
        <v>1000</v>
      </c>
      <c r="AI17" s="2949">
        <v>1.5</v>
      </c>
      <c r="AJ17" s="2944">
        <v>3600</v>
      </c>
      <c r="AK17" s="2947">
        <f t="shared" si="2"/>
        <v>5400</v>
      </c>
      <c r="AL17" s="2942" t="s">
        <v>2710</v>
      </c>
      <c r="AM17" s="2943">
        <v>44767</v>
      </c>
      <c r="AN17" s="2948" t="s">
        <v>2722</v>
      </c>
      <c r="AO17" s="2729">
        <v>300</v>
      </c>
      <c r="AP17" s="2949">
        <v>1.5</v>
      </c>
      <c r="AQ17" s="2944">
        <v>3600</v>
      </c>
      <c r="AR17" s="2947">
        <f t="shared" si="3"/>
        <v>5400</v>
      </c>
    </row>
    <row r="18" spans="1:44" s="2912" customFormat="1" ht="38.25" x14ac:dyDescent="0.2">
      <c r="A18" s="2914"/>
      <c r="B18" s="2941" t="s">
        <v>2724</v>
      </c>
      <c r="C18" s="2942" t="s">
        <v>2693</v>
      </c>
      <c r="D18" s="2943">
        <v>43337</v>
      </c>
      <c r="E18" s="2809" t="s">
        <v>2718</v>
      </c>
      <c r="F18" s="2729">
        <v>8000</v>
      </c>
      <c r="G18" s="2944">
        <v>6</v>
      </c>
      <c r="H18" s="2944">
        <v>3840</v>
      </c>
      <c r="I18" s="2947">
        <f t="shared" ref="I18:I22" si="7">G18*H18</f>
        <v>23040</v>
      </c>
      <c r="J18" s="2942" t="s">
        <v>2693</v>
      </c>
      <c r="K18" s="2943">
        <v>43701</v>
      </c>
      <c r="L18" s="2946" t="s">
        <v>2725</v>
      </c>
      <c r="M18" s="2922">
        <v>10000</v>
      </c>
      <c r="N18" s="2922">
        <v>7</v>
      </c>
      <c r="O18" s="2922">
        <v>3840</v>
      </c>
      <c r="P18" s="2947">
        <f t="shared" si="6"/>
        <v>26880</v>
      </c>
      <c r="Q18" s="2942" t="s">
        <v>2693</v>
      </c>
      <c r="R18" s="2943">
        <v>43701</v>
      </c>
      <c r="S18" s="2948" t="s">
        <v>2725</v>
      </c>
      <c r="T18" s="2949">
        <v>8000</v>
      </c>
      <c r="U18" s="2944">
        <v>7</v>
      </c>
      <c r="V18" s="2944">
        <v>3600</v>
      </c>
      <c r="W18" s="2947">
        <f t="shared" si="5"/>
        <v>25200</v>
      </c>
      <c r="X18" s="2942" t="s">
        <v>2693</v>
      </c>
      <c r="Y18" s="2943">
        <v>44067</v>
      </c>
      <c r="Z18" s="2948" t="s">
        <v>2725</v>
      </c>
      <c r="AA18" s="2949">
        <v>8000</v>
      </c>
      <c r="AB18" s="2944">
        <v>7</v>
      </c>
      <c r="AC18" s="2944">
        <v>3600</v>
      </c>
      <c r="AD18" s="2947">
        <f t="shared" si="1"/>
        <v>25200</v>
      </c>
      <c r="AE18" s="2942" t="s">
        <v>2693</v>
      </c>
      <c r="AF18" s="2943">
        <v>44432</v>
      </c>
      <c r="AG18" s="2948" t="s">
        <v>2725</v>
      </c>
      <c r="AH18" s="2949">
        <v>8000</v>
      </c>
      <c r="AI18" s="2944">
        <v>7</v>
      </c>
      <c r="AJ18" s="2944">
        <v>3600</v>
      </c>
      <c r="AK18" s="2947">
        <f t="shared" si="2"/>
        <v>25200</v>
      </c>
      <c r="AL18" s="2942" t="s">
        <v>2693</v>
      </c>
      <c r="AM18" s="2943">
        <v>44797</v>
      </c>
      <c r="AN18" s="2948" t="s">
        <v>2725</v>
      </c>
      <c r="AO18" s="2729">
        <v>5000</v>
      </c>
      <c r="AP18" s="2944">
        <v>7</v>
      </c>
      <c r="AQ18" s="2944">
        <v>3600</v>
      </c>
      <c r="AR18" s="2947">
        <f t="shared" si="3"/>
        <v>25200</v>
      </c>
    </row>
    <row r="19" spans="1:44" s="2912" customFormat="1" ht="38.25" x14ac:dyDescent="0.2">
      <c r="A19" s="2914"/>
      <c r="B19" s="2941" t="s">
        <v>2726</v>
      </c>
      <c r="C19" s="2942"/>
      <c r="D19" s="2943"/>
      <c r="E19" s="2809"/>
      <c r="F19" s="2729"/>
      <c r="G19" s="2944"/>
      <c r="H19" s="2944"/>
      <c r="I19" s="2947"/>
      <c r="J19" s="2942" t="s">
        <v>2693</v>
      </c>
      <c r="K19" s="2943">
        <v>43819</v>
      </c>
      <c r="L19" s="2946" t="s">
        <v>2727</v>
      </c>
      <c r="M19" s="2922">
        <v>3500</v>
      </c>
      <c r="N19" s="2922">
        <v>1</v>
      </c>
      <c r="O19" s="2922">
        <v>3840</v>
      </c>
      <c r="P19" s="2947">
        <f>N19*O19-40</f>
        <v>3800</v>
      </c>
      <c r="Q19" s="2942" t="s">
        <v>2693</v>
      </c>
      <c r="R19" s="2943">
        <v>43819</v>
      </c>
      <c r="S19" s="2948" t="s">
        <v>2727</v>
      </c>
      <c r="T19" s="2949">
        <v>3500</v>
      </c>
      <c r="U19" s="2944">
        <v>1</v>
      </c>
      <c r="V19" s="2944">
        <v>3600</v>
      </c>
      <c r="W19" s="2947">
        <f t="shared" si="5"/>
        <v>3600</v>
      </c>
      <c r="X19" s="2942" t="s">
        <v>2693</v>
      </c>
      <c r="Y19" s="2943">
        <v>44185</v>
      </c>
      <c r="Z19" s="2948" t="s">
        <v>2727</v>
      </c>
      <c r="AA19" s="2949">
        <v>3500</v>
      </c>
      <c r="AB19" s="2944">
        <v>1</v>
      </c>
      <c r="AC19" s="2944">
        <v>3600</v>
      </c>
      <c r="AD19" s="2947">
        <f t="shared" si="1"/>
        <v>3600</v>
      </c>
      <c r="AE19" s="2942" t="s">
        <v>2693</v>
      </c>
      <c r="AF19" s="2943">
        <v>44550</v>
      </c>
      <c r="AG19" s="2948" t="s">
        <v>2727</v>
      </c>
      <c r="AH19" s="2949">
        <v>2500</v>
      </c>
      <c r="AI19" s="2944">
        <v>1</v>
      </c>
      <c r="AJ19" s="2944">
        <v>3600</v>
      </c>
      <c r="AK19" s="2947">
        <f t="shared" si="2"/>
        <v>3600</v>
      </c>
      <c r="AL19" s="2942" t="s">
        <v>2693</v>
      </c>
      <c r="AM19" s="2943">
        <v>44915</v>
      </c>
      <c r="AN19" s="2948" t="s">
        <v>2727</v>
      </c>
      <c r="AO19" s="2729">
        <v>1000</v>
      </c>
      <c r="AP19" s="2944">
        <v>1</v>
      </c>
      <c r="AQ19" s="2944">
        <v>3600</v>
      </c>
      <c r="AR19" s="2947">
        <f t="shared" si="3"/>
        <v>3600</v>
      </c>
    </row>
    <row r="20" spans="1:44" s="2912" customFormat="1" ht="25.5" x14ac:dyDescent="0.2">
      <c r="A20" s="2914"/>
      <c r="B20" s="2941" t="s">
        <v>2726</v>
      </c>
      <c r="C20" s="2942"/>
      <c r="D20" s="2943"/>
      <c r="E20" s="2809"/>
      <c r="F20" s="2729"/>
      <c r="G20" s="2944"/>
      <c r="H20" s="2944"/>
      <c r="I20" s="2947"/>
      <c r="J20" s="2942"/>
      <c r="K20" s="2951"/>
      <c r="L20" s="2922"/>
      <c r="M20" s="2922"/>
      <c r="N20" s="2922"/>
      <c r="O20" s="2922"/>
      <c r="P20" s="2947"/>
      <c r="Q20" s="2942" t="s">
        <v>2693</v>
      </c>
      <c r="R20" s="2943">
        <v>43508</v>
      </c>
      <c r="S20" s="2948" t="s">
        <v>2727</v>
      </c>
      <c r="T20" s="2729">
        <v>3500</v>
      </c>
      <c r="U20" s="2944">
        <v>1</v>
      </c>
      <c r="V20" s="2944">
        <v>3120</v>
      </c>
      <c r="W20" s="2947">
        <f t="shared" si="5"/>
        <v>3120</v>
      </c>
      <c r="X20" s="2942"/>
      <c r="Y20" s="2951"/>
      <c r="Z20" s="2729"/>
      <c r="AA20" s="2949"/>
      <c r="AB20" s="2944"/>
      <c r="AC20" s="2944"/>
      <c r="AD20" s="2947"/>
      <c r="AE20" s="2942"/>
      <c r="AF20" s="2951"/>
      <c r="AG20" s="2729"/>
      <c r="AH20" s="2949"/>
      <c r="AI20" s="2944"/>
      <c r="AJ20" s="2944"/>
      <c r="AK20" s="2947"/>
      <c r="AL20" s="2942"/>
      <c r="AM20" s="2943"/>
      <c r="AN20" s="2729"/>
      <c r="AO20" s="2729"/>
      <c r="AP20" s="2944"/>
      <c r="AQ20" s="2944"/>
      <c r="AR20" s="2947"/>
    </row>
    <row r="21" spans="1:44" s="2912" customFormat="1" ht="38.25" x14ac:dyDescent="0.2">
      <c r="A21" s="2914"/>
      <c r="B21" s="2941" t="s">
        <v>2728</v>
      </c>
      <c r="C21" s="2942" t="s">
        <v>2693</v>
      </c>
      <c r="D21" s="2943">
        <v>43177</v>
      </c>
      <c r="E21" s="2809" t="s">
        <v>2696</v>
      </c>
      <c r="F21" s="2729">
        <v>300</v>
      </c>
      <c r="G21" s="2944">
        <v>2</v>
      </c>
      <c r="H21" s="2952">
        <v>3840</v>
      </c>
      <c r="I21" s="2947">
        <f t="shared" si="7"/>
        <v>7680</v>
      </c>
      <c r="J21" s="2942"/>
      <c r="K21" s="2951"/>
      <c r="L21" s="2809"/>
      <c r="M21" s="2729"/>
      <c r="N21" s="2944"/>
      <c r="O21" s="2952"/>
      <c r="P21" s="2947"/>
      <c r="Q21" s="2942"/>
      <c r="R21" s="2951"/>
      <c r="S21" s="2809"/>
      <c r="T21" s="2729"/>
      <c r="U21" s="2944"/>
      <c r="V21" s="2952"/>
      <c r="W21" s="2947"/>
      <c r="X21" s="2942"/>
      <c r="Y21" s="2951"/>
      <c r="Z21" s="2809"/>
      <c r="AA21" s="2729"/>
      <c r="AB21" s="2944"/>
      <c r="AC21" s="2952"/>
      <c r="AD21" s="2947"/>
      <c r="AE21" s="2942"/>
      <c r="AF21" s="2951"/>
      <c r="AG21" s="2809"/>
      <c r="AH21" s="2729"/>
      <c r="AI21" s="2944"/>
      <c r="AJ21" s="2952"/>
      <c r="AK21" s="2947"/>
      <c r="AL21" s="2942"/>
      <c r="AM21" s="2943"/>
      <c r="AN21" s="2809"/>
      <c r="AO21" s="2729"/>
      <c r="AP21" s="2944"/>
      <c r="AQ21" s="2952"/>
      <c r="AR21" s="2947"/>
    </row>
    <row r="22" spans="1:44" s="2912" customFormat="1" ht="38.25" x14ac:dyDescent="0.2">
      <c r="A22" s="2914"/>
      <c r="B22" s="2941" t="s">
        <v>2729</v>
      </c>
      <c r="C22" s="2942" t="s">
        <v>2693</v>
      </c>
      <c r="D22" s="2943">
        <v>43361</v>
      </c>
      <c r="E22" s="2809" t="s">
        <v>2730</v>
      </c>
      <c r="F22" s="2729">
        <v>2000</v>
      </c>
      <c r="G22" s="2944">
        <v>2.5</v>
      </c>
      <c r="H22" s="2952">
        <v>3840</v>
      </c>
      <c r="I22" s="2947">
        <f t="shared" si="7"/>
        <v>9600</v>
      </c>
      <c r="J22" s="2942"/>
      <c r="K22" s="2951"/>
      <c r="L22" s="2953"/>
      <c r="M22" s="2729"/>
      <c r="N22" s="2944"/>
      <c r="O22" s="2952"/>
      <c r="P22" s="2947"/>
      <c r="Q22" s="2942"/>
      <c r="R22" s="2951"/>
      <c r="S22" s="2953"/>
      <c r="T22" s="2729"/>
      <c r="U22" s="2944"/>
      <c r="V22" s="2952"/>
      <c r="W22" s="2947"/>
      <c r="X22" s="2942"/>
      <c r="Y22" s="2943"/>
      <c r="Z22" s="2948"/>
      <c r="AA22" s="2729"/>
      <c r="AB22" s="2949"/>
      <c r="AC22" s="2952"/>
      <c r="AD22" s="2947"/>
      <c r="AE22" s="2942"/>
      <c r="AF22" s="2951"/>
      <c r="AG22" s="2953"/>
      <c r="AH22" s="2729"/>
      <c r="AI22" s="2944"/>
      <c r="AJ22" s="2952"/>
      <c r="AK22" s="2947"/>
      <c r="AL22" s="2942" t="s">
        <v>2693</v>
      </c>
      <c r="AM22" s="2943">
        <v>44822</v>
      </c>
      <c r="AN22" s="2809" t="s">
        <v>2730</v>
      </c>
      <c r="AO22" s="2729">
        <v>4000</v>
      </c>
      <c r="AP22" s="2949">
        <v>2.5</v>
      </c>
      <c r="AQ22" s="2952">
        <v>3600</v>
      </c>
      <c r="AR22" s="2947"/>
    </row>
    <row r="23" spans="1:44" s="2919" customFormat="1" ht="43.5" customHeight="1" x14ac:dyDescent="0.2">
      <c r="A23" s="2916"/>
      <c r="B23" s="2917" t="s">
        <v>2731</v>
      </c>
      <c r="C23" s="2967"/>
      <c r="D23" s="2968"/>
      <c r="E23" s="2968"/>
      <c r="F23" s="2918"/>
      <c r="G23" s="2918"/>
      <c r="H23" s="2918"/>
      <c r="I23" s="2969">
        <f>SUM(I9:I22)</f>
        <v>111840</v>
      </c>
      <c r="J23" s="2967"/>
      <c r="K23" s="2970"/>
      <c r="L23" s="2968"/>
      <c r="M23" s="2918"/>
      <c r="N23" s="2918"/>
      <c r="O23" s="2918"/>
      <c r="P23" s="2969">
        <f>SUM(P9:P19)</f>
        <v>123800</v>
      </c>
      <c r="Q23" s="2967"/>
      <c r="R23" s="2970"/>
      <c r="S23" s="2968"/>
      <c r="T23" s="2968"/>
      <c r="U23" s="2918"/>
      <c r="V23" s="2918"/>
      <c r="W23" s="2969">
        <f>SUM(W9:W20)</f>
        <v>125520</v>
      </c>
      <c r="X23" s="2967"/>
      <c r="Y23" s="2970"/>
      <c r="Z23" s="2968"/>
      <c r="AA23" s="2918"/>
      <c r="AB23" s="2918"/>
      <c r="AC23" s="2918"/>
      <c r="AD23" s="2969">
        <f>SUM(AD9:AD22)</f>
        <v>124200</v>
      </c>
      <c r="AE23" s="2967"/>
      <c r="AF23" s="2970"/>
      <c r="AG23" s="2968"/>
      <c r="AH23" s="2918"/>
      <c r="AI23" s="2918"/>
      <c r="AJ23" s="2918"/>
      <c r="AK23" s="2969">
        <f>SUM(AK9:AK19)</f>
        <v>124200</v>
      </c>
      <c r="AL23" s="2967"/>
      <c r="AM23" s="2971"/>
      <c r="AN23" s="2968"/>
      <c r="AO23" s="2968"/>
      <c r="AP23" s="2968"/>
      <c r="AQ23" s="2968"/>
      <c r="AR23" s="2969">
        <f>SUM(AR9:AR22)</f>
        <v>124200</v>
      </c>
    </row>
    <row r="24" spans="1:44" s="2954" customFormat="1" x14ac:dyDescent="0.2">
      <c r="B24" s="2954" t="s">
        <v>774</v>
      </c>
      <c r="K24" s="2955"/>
      <c r="R24" s="2955"/>
      <c r="Y24" s="2955"/>
      <c r="AF24" s="2955"/>
      <c r="AM24" s="2956"/>
    </row>
    <row r="26" spans="1:44" s="2898" customFormat="1" x14ac:dyDescent="0.2">
      <c r="A26" s="2954" t="s">
        <v>775</v>
      </c>
      <c r="B26" s="2899"/>
      <c r="C26" s="2899"/>
      <c r="D26" s="2899"/>
      <c r="E26" s="2899"/>
      <c r="F26" s="2899"/>
      <c r="G26" s="2899"/>
      <c r="H26" s="2899"/>
      <c r="I26" s="2899"/>
      <c r="J26" s="2899"/>
      <c r="K26" s="2900"/>
      <c r="L26" s="2899"/>
      <c r="M26" s="2899"/>
      <c r="N26" s="2899"/>
      <c r="O26" s="2899"/>
      <c r="P26" s="2899"/>
      <c r="Q26" s="2899"/>
      <c r="R26" s="2900"/>
      <c r="S26" s="2899"/>
      <c r="T26" s="2899"/>
      <c r="U26" s="2899"/>
      <c r="V26" s="2899"/>
      <c r="W26" s="2899"/>
      <c r="X26" s="2899"/>
      <c r="Y26" s="2900"/>
      <c r="Z26" s="2899"/>
      <c r="AF26" s="2901"/>
      <c r="AJ26" s="2903"/>
      <c r="AM26" s="2957"/>
    </row>
    <row r="27" spans="1:44" s="2898" customFormat="1" ht="33.75" customHeight="1" x14ac:dyDescent="0.2">
      <c r="A27" s="3799" t="s">
        <v>776</v>
      </c>
      <c r="B27" s="3799"/>
      <c r="C27" s="3799"/>
      <c r="D27" s="3799"/>
      <c r="E27" s="3799"/>
      <c r="F27" s="3799"/>
      <c r="G27" s="3799"/>
      <c r="H27" s="3799"/>
      <c r="I27" s="3799"/>
      <c r="J27" s="3799"/>
      <c r="K27" s="3800"/>
      <c r="L27" s="3799"/>
      <c r="M27" s="3799"/>
      <c r="N27" s="3799"/>
      <c r="O27" s="2899"/>
      <c r="P27" s="2899"/>
      <c r="Q27" s="2899"/>
      <c r="R27" s="2900"/>
      <c r="S27" s="2899"/>
      <c r="T27" s="2899"/>
      <c r="U27" s="2899"/>
      <c r="V27" s="2899"/>
      <c r="W27" s="2899"/>
      <c r="X27" s="2958"/>
      <c r="Y27" s="2900"/>
      <c r="Z27" s="2899"/>
      <c r="AF27" s="2901"/>
      <c r="AJ27" s="2903"/>
      <c r="AM27" s="2957"/>
    </row>
    <row r="28" spans="1:44" ht="18.75" customHeight="1" x14ac:dyDescent="0.25"/>
    <row r="29" spans="1:44" s="2962" customFormat="1" ht="18.75" x14ac:dyDescent="0.3">
      <c r="K29" s="2960"/>
      <c r="R29" s="2960"/>
      <c r="Y29" s="2960"/>
      <c r="AF29" s="2960"/>
      <c r="AM29" s="2963"/>
    </row>
    <row r="33" spans="2:3" ht="72.75" customHeight="1" x14ac:dyDescent="0.25">
      <c r="B33" s="3801"/>
      <c r="C33" s="3801"/>
    </row>
  </sheetData>
  <mergeCells count="14">
    <mergeCell ref="A27:N27"/>
    <mergeCell ref="B33:C33"/>
    <mergeCell ref="AE6:AK6"/>
    <mergeCell ref="AL6:AR6"/>
    <mergeCell ref="AI1:AR1"/>
    <mergeCell ref="A2:AR2"/>
    <mergeCell ref="A3:AR3"/>
    <mergeCell ref="A4:AR4"/>
    <mergeCell ref="A6:A7"/>
    <mergeCell ref="B6:B7"/>
    <mergeCell ref="C6:I6"/>
    <mergeCell ref="J6:P6"/>
    <mergeCell ref="Q6:W6"/>
    <mergeCell ref="X6:AD6"/>
  </mergeCells>
  <pageMargins left="0.31496062992125984" right="0.11811023622047245" top="0.74803149606299213" bottom="0.74803149606299213" header="0.31496062992125984" footer="0.31496062992125984"/>
  <pageSetup paperSize="9" scale="28" fitToHeight="0" orientation="landscape" r:id="rId1"/>
  <colBreaks count="1" manualBreakCount="1">
    <brk id="44"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tabColor rgb="FF00FFFF"/>
  </sheetPr>
  <dimension ref="A1:E14"/>
  <sheetViews>
    <sheetView view="pageBreakPreview" zoomScale="80" zoomScaleNormal="100" zoomScaleSheetLayoutView="80" workbookViewId="0">
      <selection activeCell="G15" sqref="G15"/>
    </sheetView>
  </sheetViews>
  <sheetFormatPr defaultRowHeight="39.75" customHeight="1" x14ac:dyDescent="0.25"/>
  <cols>
    <col min="1" max="1" width="81.33203125" style="380" customWidth="1"/>
    <col min="2" max="2" width="10" style="380" customWidth="1"/>
    <col min="3" max="5" width="25.83203125" style="380" customWidth="1"/>
    <col min="6" max="16384" width="9.33203125" style="380"/>
  </cols>
  <sheetData>
    <row r="1" spans="1:5" ht="55.5" customHeight="1" x14ac:dyDescent="0.25">
      <c r="A1" s="3425" t="s">
        <v>1296</v>
      </c>
      <c r="B1" s="3425"/>
      <c r="C1" s="3425"/>
      <c r="D1" s="3425"/>
      <c r="E1" s="3425"/>
    </row>
    <row r="2" spans="1:5" ht="34.5" customHeight="1" x14ac:dyDescent="0.25">
      <c r="A2" s="3425" t="s">
        <v>1442</v>
      </c>
      <c r="B2" s="3425"/>
      <c r="C2" s="3425"/>
      <c r="D2" s="3425"/>
      <c r="E2" s="3425"/>
    </row>
    <row r="3" spans="1:5" ht="13.5" customHeight="1" x14ac:dyDescent="0.25">
      <c r="A3" s="819"/>
      <c r="B3" s="819"/>
      <c r="C3" s="819"/>
      <c r="D3" s="819"/>
      <c r="E3" s="382">
        <v>43831</v>
      </c>
    </row>
    <row r="4" spans="1:5" ht="39.75" customHeight="1" x14ac:dyDescent="0.25">
      <c r="A4" s="3426" t="s">
        <v>386</v>
      </c>
      <c r="B4" s="3426" t="s">
        <v>387</v>
      </c>
      <c r="C4" s="3426" t="s">
        <v>388</v>
      </c>
      <c r="D4" s="3426"/>
      <c r="E4" s="3426"/>
    </row>
    <row r="5" spans="1:5" ht="39.75" customHeight="1" x14ac:dyDescent="0.25">
      <c r="A5" s="3426"/>
      <c r="B5" s="3426"/>
      <c r="C5" s="820" t="s">
        <v>397</v>
      </c>
      <c r="D5" s="820" t="s">
        <v>398</v>
      </c>
      <c r="E5" s="820" t="s">
        <v>399</v>
      </c>
    </row>
    <row r="6" spans="1:5" ht="39.75" customHeight="1" x14ac:dyDescent="0.25">
      <c r="A6" s="3426"/>
      <c r="B6" s="3426"/>
      <c r="C6" s="820" t="s">
        <v>389</v>
      </c>
      <c r="D6" s="820" t="s">
        <v>390</v>
      </c>
      <c r="E6" s="820" t="s">
        <v>391</v>
      </c>
    </row>
    <row r="7" spans="1:5" ht="16.5" customHeight="1" x14ac:dyDescent="0.25">
      <c r="A7" s="820">
        <v>1</v>
      </c>
      <c r="B7" s="820">
        <v>2</v>
      </c>
      <c r="C7" s="820">
        <v>3</v>
      </c>
      <c r="D7" s="820">
        <v>4</v>
      </c>
      <c r="E7" s="820">
        <v>5</v>
      </c>
    </row>
    <row r="8" spans="1:5" ht="17.25" customHeight="1" x14ac:dyDescent="0.25">
      <c r="A8" s="384" t="s">
        <v>478</v>
      </c>
      <c r="B8" s="820">
        <v>100</v>
      </c>
      <c r="C8" s="385"/>
      <c r="D8" s="385"/>
      <c r="E8" s="385"/>
    </row>
    <row r="9" spans="1:5" ht="17.25" customHeight="1" x14ac:dyDescent="0.25">
      <c r="A9" s="384" t="s">
        <v>479</v>
      </c>
      <c r="B9" s="820">
        <v>200</v>
      </c>
      <c r="C9" s="385"/>
      <c r="D9" s="385"/>
      <c r="E9" s="385"/>
    </row>
    <row r="10" spans="1:5" ht="44.25" customHeight="1" x14ac:dyDescent="0.25">
      <c r="A10" s="384" t="s">
        <v>480</v>
      </c>
      <c r="B10" s="820">
        <v>300</v>
      </c>
      <c r="C10" s="385">
        <f>C11</f>
        <v>0</v>
      </c>
      <c r="D10" s="385">
        <f t="shared" ref="D10:E10" si="0">D11</f>
        <v>0</v>
      </c>
      <c r="E10" s="385">
        <f t="shared" si="0"/>
        <v>0</v>
      </c>
    </row>
    <row r="11" spans="1:5" ht="104.25" customHeight="1" x14ac:dyDescent="0.25">
      <c r="A11" s="384" t="s">
        <v>481</v>
      </c>
      <c r="B11" s="820">
        <v>301</v>
      </c>
      <c r="C11" s="385"/>
      <c r="D11" s="385"/>
      <c r="E11" s="385"/>
    </row>
    <row r="12" spans="1:5" ht="18" customHeight="1" x14ac:dyDescent="0.25">
      <c r="A12" s="384" t="s">
        <v>482</v>
      </c>
      <c r="B12" s="820">
        <v>400</v>
      </c>
      <c r="C12" s="385"/>
      <c r="D12" s="385"/>
      <c r="E12" s="385"/>
    </row>
    <row r="13" spans="1:5" ht="18" customHeight="1" x14ac:dyDescent="0.25">
      <c r="A13" s="384" t="s">
        <v>483</v>
      </c>
      <c r="B13" s="820">
        <v>500</v>
      </c>
      <c r="C13" s="385"/>
      <c r="D13" s="385"/>
      <c r="E13" s="385"/>
    </row>
    <row r="14" spans="1:5" s="389" customFormat="1" ht="66.75" customHeight="1" x14ac:dyDescent="0.2">
      <c r="A14" s="386" t="s">
        <v>509</v>
      </c>
      <c r="B14" s="387">
        <v>600</v>
      </c>
      <c r="C14" s="388">
        <f>C8-C9+C10-C12+C13</f>
        <v>0</v>
      </c>
      <c r="D14" s="388">
        <f t="shared" ref="D14:E14" si="1">D8-D9+D10-D12+D13</f>
        <v>0</v>
      </c>
      <c r="E14" s="388">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tabColor rgb="FF00FFFF"/>
  </sheetPr>
  <dimension ref="A1:H35"/>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activeCell="G9" sqref="G9"/>
    </sheetView>
  </sheetViews>
  <sheetFormatPr defaultRowHeight="15" x14ac:dyDescent="0.25"/>
  <cols>
    <col min="1" max="1" width="67.83203125" style="319" customWidth="1"/>
    <col min="2" max="2" width="10.83203125" style="319" customWidth="1"/>
    <col min="3" max="5" width="29" style="319" customWidth="1"/>
    <col min="6" max="6" width="13" style="319" customWidth="1"/>
    <col min="7" max="7" width="10.83203125" style="319" bestFit="1" customWidth="1"/>
    <col min="8" max="16384" width="9.33203125" style="319"/>
  </cols>
  <sheetData>
    <row r="1" spans="1:5" x14ac:dyDescent="0.25">
      <c r="A1" s="3419" t="s">
        <v>1295</v>
      </c>
      <c r="B1" s="3419"/>
      <c r="C1" s="3419"/>
      <c r="D1" s="3419"/>
      <c r="E1" s="3419"/>
    </row>
    <row r="2" spans="1:5" x14ac:dyDescent="0.25">
      <c r="A2" s="3419" t="s">
        <v>1442</v>
      </c>
      <c r="B2" s="3419"/>
      <c r="C2" s="3419"/>
      <c r="D2" s="3419"/>
      <c r="E2" s="3419"/>
    </row>
    <row r="3" spans="1:5" x14ac:dyDescent="0.25">
      <c r="A3" s="3117"/>
      <c r="B3" s="3117"/>
      <c r="C3" s="3117"/>
      <c r="D3" s="3117"/>
      <c r="E3" s="957">
        <v>43831</v>
      </c>
    </row>
    <row r="4" spans="1:5" x14ac:dyDescent="0.25">
      <c r="A4" s="3422" t="s">
        <v>386</v>
      </c>
      <c r="B4" s="3422" t="s">
        <v>387</v>
      </c>
      <c r="C4" s="3422" t="s">
        <v>388</v>
      </c>
      <c r="D4" s="3422"/>
      <c r="E4" s="3422"/>
    </row>
    <row r="5" spans="1:5" ht="20.25" customHeight="1" x14ac:dyDescent="0.25">
      <c r="A5" s="3422"/>
      <c r="B5" s="3422"/>
      <c r="C5" s="3114" t="s">
        <v>397</v>
      </c>
      <c r="D5" s="3114" t="s">
        <v>398</v>
      </c>
      <c r="E5" s="3114" t="s">
        <v>399</v>
      </c>
    </row>
    <row r="6" spans="1:5" ht="47.25" customHeight="1" x14ac:dyDescent="0.25">
      <c r="A6" s="3422"/>
      <c r="B6" s="3422"/>
      <c r="C6" s="3114" t="s">
        <v>389</v>
      </c>
      <c r="D6" s="3114" t="s">
        <v>390</v>
      </c>
      <c r="E6" s="3114" t="s">
        <v>391</v>
      </c>
    </row>
    <row r="7" spans="1:5" x14ac:dyDescent="0.25">
      <c r="A7" s="3114">
        <v>1</v>
      </c>
      <c r="B7" s="3114">
        <v>2</v>
      </c>
      <c r="C7" s="3114">
        <v>3</v>
      </c>
      <c r="D7" s="3114">
        <v>4</v>
      </c>
      <c r="E7" s="3114">
        <v>5</v>
      </c>
    </row>
    <row r="8" spans="1:5" ht="60" customHeight="1" x14ac:dyDescent="0.25">
      <c r="A8" s="644" t="s">
        <v>405</v>
      </c>
      <c r="B8" s="3114">
        <v>100</v>
      </c>
      <c r="C8" s="645"/>
      <c r="D8" s="645"/>
      <c r="E8" s="645"/>
    </row>
    <row r="9" spans="1:5" ht="42" customHeight="1" x14ac:dyDescent="0.25">
      <c r="A9" s="644" t="s">
        <v>406</v>
      </c>
      <c r="B9" s="3114">
        <v>200</v>
      </c>
      <c r="C9" s="645"/>
      <c r="D9" s="645"/>
      <c r="E9" s="645"/>
    </row>
    <row r="10" spans="1:5" ht="19.5" customHeight="1" x14ac:dyDescent="0.25">
      <c r="A10" s="644" t="s">
        <v>407</v>
      </c>
      <c r="B10" s="3114">
        <v>300</v>
      </c>
      <c r="C10" s="645">
        <f>SUM(C12:C30)</f>
        <v>103100</v>
      </c>
      <c r="D10" s="645">
        <f t="shared" ref="D10:E10" si="0">SUM(D12:D30)</f>
        <v>103100</v>
      </c>
      <c r="E10" s="645">
        <f t="shared" si="0"/>
        <v>103100</v>
      </c>
    </row>
    <row r="11" spans="1:5" x14ac:dyDescent="0.25">
      <c r="A11" s="644" t="s">
        <v>408</v>
      </c>
      <c r="B11" s="644"/>
      <c r="C11" s="645"/>
      <c r="D11" s="645"/>
      <c r="E11" s="645"/>
    </row>
    <row r="12" spans="1:5" x14ac:dyDescent="0.25">
      <c r="A12" s="644" t="s">
        <v>410</v>
      </c>
      <c r="B12" s="3114">
        <v>301</v>
      </c>
      <c r="C12" s="645"/>
      <c r="D12" s="645"/>
      <c r="E12" s="645"/>
    </row>
    <row r="13" spans="1:5" x14ac:dyDescent="0.25">
      <c r="A13" s="644" t="s">
        <v>409</v>
      </c>
      <c r="B13" s="3114">
        <v>302</v>
      </c>
      <c r="C13" s="645"/>
      <c r="D13" s="645"/>
      <c r="E13" s="645"/>
    </row>
    <row r="14" spans="1:5" x14ac:dyDescent="0.25">
      <c r="A14" s="644" t="s">
        <v>411</v>
      </c>
      <c r="B14" s="3114">
        <v>303</v>
      </c>
      <c r="C14" s="645"/>
      <c r="D14" s="645"/>
      <c r="E14" s="645"/>
    </row>
    <row r="15" spans="1:5" x14ac:dyDescent="0.25">
      <c r="A15" s="644" t="s">
        <v>863</v>
      </c>
      <c r="B15" s="3114">
        <v>304</v>
      </c>
      <c r="C15" s="645"/>
      <c r="D15" s="645"/>
      <c r="E15" s="645"/>
    </row>
    <row r="16" spans="1:5" x14ac:dyDescent="0.25">
      <c r="A16" s="644" t="s">
        <v>546</v>
      </c>
      <c r="B16" s="3114">
        <v>305</v>
      </c>
      <c r="C16" s="645"/>
      <c r="D16" s="645"/>
      <c r="E16" s="645"/>
    </row>
    <row r="17" spans="1:8" x14ac:dyDescent="0.25">
      <c r="A17" s="644" t="s">
        <v>412</v>
      </c>
      <c r="B17" s="3114">
        <v>306</v>
      </c>
      <c r="C17" s="645"/>
      <c r="D17" s="645"/>
      <c r="E17" s="645"/>
    </row>
    <row r="18" spans="1:8" x14ac:dyDescent="0.25">
      <c r="A18" s="644" t="s">
        <v>413</v>
      </c>
      <c r="B18" s="3114">
        <v>307</v>
      </c>
      <c r="C18" s="645"/>
      <c r="D18" s="645"/>
      <c r="E18" s="645"/>
    </row>
    <row r="19" spans="1:8" ht="22.5" customHeight="1" x14ac:dyDescent="0.25">
      <c r="A19" s="644" t="s">
        <v>684</v>
      </c>
      <c r="B19" s="3114">
        <v>308</v>
      </c>
      <c r="C19" s="645"/>
      <c r="D19" s="645"/>
      <c r="E19" s="645"/>
    </row>
    <row r="20" spans="1:8" x14ac:dyDescent="0.25">
      <c r="A20" s="644" t="s">
        <v>414</v>
      </c>
      <c r="B20" s="3114">
        <v>309</v>
      </c>
      <c r="C20" s="645"/>
      <c r="D20" s="645"/>
      <c r="E20" s="645"/>
    </row>
    <row r="21" spans="1:8" x14ac:dyDescent="0.25">
      <c r="A21" s="644" t="s">
        <v>422</v>
      </c>
      <c r="B21" s="3114">
        <v>310</v>
      </c>
      <c r="C21" s="2972"/>
      <c r="D21" s="2972"/>
      <c r="E21" s="2972"/>
    </row>
    <row r="22" spans="1:8" ht="18" customHeight="1" x14ac:dyDescent="0.25">
      <c r="A22" s="644" t="s">
        <v>415</v>
      </c>
      <c r="B22" s="3114">
        <v>311</v>
      </c>
      <c r="C22" s="645"/>
      <c r="D22" s="645"/>
      <c r="E22" s="645"/>
    </row>
    <row r="23" spans="1:8" ht="26.25" customHeight="1" x14ac:dyDescent="0.25">
      <c r="A23" s="644" t="s">
        <v>710</v>
      </c>
      <c r="B23" s="3114">
        <v>312</v>
      </c>
      <c r="C23" s="645"/>
      <c r="D23" s="645"/>
      <c r="E23" s="645"/>
    </row>
    <row r="24" spans="1:8" ht="26.25" customHeight="1" x14ac:dyDescent="0.25">
      <c r="A24" s="644" t="s">
        <v>711</v>
      </c>
      <c r="B24" s="3114">
        <v>313</v>
      </c>
      <c r="C24" s="645"/>
      <c r="D24" s="645"/>
      <c r="E24" s="645"/>
    </row>
    <row r="25" spans="1:8" ht="28.5" customHeight="1" x14ac:dyDescent="0.25">
      <c r="A25" s="644" t="s">
        <v>423</v>
      </c>
      <c r="B25" s="3114">
        <v>314</v>
      </c>
      <c r="C25" s="645">
        <f>'субс РТ (01.01.20)'!S50*1000</f>
        <v>51000</v>
      </c>
      <c r="D25" s="645">
        <f>'субс РТ (01.01.20)'!X50*1000</f>
        <v>51000</v>
      </c>
      <c r="E25" s="645">
        <f>'субс РТ (01.01.20)'!Y50*1000</f>
        <v>51000</v>
      </c>
    </row>
    <row r="26" spans="1:8" ht="15" customHeight="1" x14ac:dyDescent="0.25">
      <c r="A26" s="644" t="s">
        <v>424</v>
      </c>
      <c r="B26" s="3114">
        <v>315</v>
      </c>
      <c r="C26" s="645"/>
      <c r="D26" s="645"/>
      <c r="E26" s="645"/>
    </row>
    <row r="27" spans="1:8" ht="63.75" customHeight="1" x14ac:dyDescent="0.25">
      <c r="A27" s="644" t="s">
        <v>416</v>
      </c>
      <c r="B27" s="3114">
        <v>316</v>
      </c>
      <c r="C27" s="645"/>
      <c r="D27" s="645"/>
      <c r="E27" s="645"/>
    </row>
    <row r="28" spans="1:8" ht="20.25" customHeight="1" x14ac:dyDescent="0.25">
      <c r="A28" s="644" t="s">
        <v>417</v>
      </c>
      <c r="B28" s="3114">
        <v>317</v>
      </c>
      <c r="C28" s="645"/>
      <c r="D28" s="645"/>
      <c r="E28" s="645"/>
    </row>
    <row r="29" spans="1:8" ht="20.25" customHeight="1" x14ac:dyDescent="0.25">
      <c r="A29" s="644" t="s">
        <v>418</v>
      </c>
      <c r="B29" s="3114">
        <v>318</v>
      </c>
      <c r="C29" s="645">
        <f>('субс РТ (01.01.20)'!S52+'субс РТ (01.01.20)'!S53)*1000</f>
        <v>52100</v>
      </c>
      <c r="D29" s="645">
        <f>('субс РТ (01.01.20)'!X52+'субс РТ (01.01.20)'!X53)*1000</f>
        <v>52100</v>
      </c>
      <c r="E29" s="645">
        <f>('субс РТ (01.01.20)'!Y52+'субс РТ (01.01.20)'!Y53)*1000</f>
        <v>52100</v>
      </c>
      <c r="F29" s="324"/>
      <c r="G29" s="324"/>
      <c r="H29" s="324"/>
    </row>
    <row r="30" spans="1:8" ht="20.25" customHeight="1" x14ac:dyDescent="0.25">
      <c r="A30" s="644" t="s">
        <v>777</v>
      </c>
      <c r="B30" s="3114">
        <v>319</v>
      </c>
      <c r="C30" s="645"/>
      <c r="D30" s="645"/>
      <c r="E30" s="645"/>
      <c r="G30" s="324"/>
    </row>
    <row r="31" spans="1:8" ht="59.25" customHeight="1" x14ac:dyDescent="0.25">
      <c r="A31" s="644" t="s">
        <v>419</v>
      </c>
      <c r="B31" s="3114">
        <v>400</v>
      </c>
      <c r="C31" s="645"/>
      <c r="D31" s="645"/>
      <c r="E31" s="645"/>
      <c r="F31" s="324"/>
    </row>
    <row r="32" spans="1:8" ht="49.5" customHeight="1" x14ac:dyDescent="0.25">
      <c r="A32" s="644" t="s">
        <v>420</v>
      </c>
      <c r="B32" s="3114">
        <v>500</v>
      </c>
      <c r="C32" s="645"/>
      <c r="D32" s="645"/>
      <c r="E32" s="645"/>
    </row>
    <row r="33" spans="1:6" s="328" customFormat="1" ht="31.5" customHeight="1" x14ac:dyDescent="0.25">
      <c r="A33" s="646" t="s">
        <v>1293</v>
      </c>
      <c r="B33" s="647">
        <v>600</v>
      </c>
      <c r="C33" s="648">
        <f>C8-C9+C10-C31+C32</f>
        <v>103100</v>
      </c>
      <c r="D33" s="648">
        <f>D8-D9+D10-D31+D32</f>
        <v>103100</v>
      </c>
      <c r="E33" s="648">
        <f>E8-E9+E10-E31+E32</f>
        <v>103100</v>
      </c>
    </row>
    <row r="34" spans="1:6" x14ac:dyDescent="0.25">
      <c r="A34" s="319" t="s">
        <v>183</v>
      </c>
      <c r="C34" s="324">
        <v>284800</v>
      </c>
      <c r="D34" s="324">
        <v>284800</v>
      </c>
      <c r="E34" s="324">
        <v>284800</v>
      </c>
      <c r="F34" s="324"/>
    </row>
    <row r="35" spans="1:6" x14ac:dyDescent="0.25">
      <c r="C35" s="324">
        <f>C33-C34</f>
        <v>-181700</v>
      </c>
      <c r="D35" s="324">
        <f>D33-D34</f>
        <v>-181700</v>
      </c>
      <c r="E35" s="324">
        <f>E33-E34</f>
        <v>-181700</v>
      </c>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AZ84"/>
  <sheetViews>
    <sheetView showZeros="0" view="pageBreakPreview" zoomScale="60" zoomScaleNormal="60" workbookViewId="0">
      <pane ySplit="10" topLeftCell="A11" activePane="bottomLeft" state="frozen"/>
      <selection activeCell="R424" sqref="R424"/>
      <selection pane="bottomLeft" activeCell="AH21" sqref="AH21"/>
    </sheetView>
  </sheetViews>
  <sheetFormatPr defaultColWidth="10.6640625" defaultRowHeight="15.75" x14ac:dyDescent="0.25"/>
  <cols>
    <col min="1" max="1" width="7.33203125" style="2980" customWidth="1"/>
    <col min="2" max="2" width="17.6640625" style="3050" customWidth="1"/>
    <col min="3" max="3" width="42" style="2979" customWidth="1"/>
    <col min="4" max="4" width="17" style="3047" hidden="1" customWidth="1"/>
    <col min="5" max="5" width="19.5" style="3048" hidden="1" customWidth="1"/>
    <col min="6" max="15" width="19.5" style="3047" hidden="1" customWidth="1"/>
    <col min="16" max="18" width="19.5" style="3047" customWidth="1"/>
    <col min="19" max="19" width="24.1640625" style="3047" customWidth="1"/>
    <col min="20" max="21" width="19.5" style="3047" customWidth="1"/>
    <col min="22" max="22" width="14.83203125" style="3047" customWidth="1"/>
    <col min="23" max="23" width="17.33203125" style="3047" customWidth="1"/>
    <col min="24" max="24" width="15.33203125" style="3047" customWidth="1"/>
    <col min="25" max="25" width="17" style="3047" customWidth="1"/>
    <col min="26" max="26" width="94.6640625" style="2980" customWidth="1"/>
    <col min="27" max="27" width="10.6640625" style="2979" customWidth="1"/>
    <col min="28" max="29" width="10.6640625" style="2980"/>
    <col min="30" max="30" width="13.5" style="2980" customWidth="1"/>
    <col min="31" max="34" width="10.6640625" style="2980" customWidth="1"/>
    <col min="35" max="252" width="10.6640625" style="2980"/>
    <col min="253" max="253" width="7.33203125" style="2980" customWidth="1"/>
    <col min="254" max="254" width="14.1640625" style="2980" customWidth="1"/>
    <col min="255" max="255" width="40.83203125" style="2980" customWidth="1"/>
    <col min="256" max="256" width="10.1640625" style="2980" customWidth="1"/>
    <col min="257" max="257" width="24.1640625" style="2980" customWidth="1"/>
    <col min="258" max="259" width="13.1640625" style="2980" customWidth="1"/>
    <col min="260" max="260" width="14.5" style="2980" customWidth="1"/>
    <col min="261" max="261" width="10.1640625" style="2980" customWidth="1"/>
    <col min="262" max="262" width="13.1640625" style="2980" customWidth="1"/>
    <col min="263" max="263" width="14.5" style="2980" customWidth="1"/>
    <col min="264" max="264" width="13.1640625" style="2980" customWidth="1"/>
    <col min="265" max="265" width="12.6640625" style="2980" customWidth="1"/>
    <col min="266" max="266" width="10" style="2980" bestFit="1" customWidth="1"/>
    <col min="267" max="267" width="23.1640625" style="2980" bestFit="1" customWidth="1"/>
    <col min="268" max="269" width="11.5" style="2980" bestFit="1" customWidth="1"/>
    <col min="270" max="270" width="12.33203125" style="2980" bestFit="1" customWidth="1"/>
    <col min="271" max="271" width="15.83203125" style="2980" bestFit="1" customWidth="1"/>
    <col min="272" max="272" width="13" style="2980" bestFit="1" customWidth="1"/>
    <col min="273" max="273" width="14.33203125" style="2980" bestFit="1" customWidth="1"/>
    <col min="274" max="275" width="10.6640625" style="2980" customWidth="1"/>
    <col min="276" max="276" width="17.83203125" style="2980" bestFit="1" customWidth="1"/>
    <col min="277" max="279" width="10.6640625" style="2980" customWidth="1"/>
    <col min="280" max="285" width="10.6640625" style="2980"/>
    <col min="286" max="286" width="7.33203125" style="2980" customWidth="1"/>
    <col min="287" max="290" width="10.6640625" style="2980" customWidth="1"/>
    <col min="291" max="508" width="10.6640625" style="2980"/>
    <col min="509" max="509" width="7.33203125" style="2980" customWidth="1"/>
    <col min="510" max="510" width="14.1640625" style="2980" customWidth="1"/>
    <col min="511" max="511" width="40.83203125" style="2980" customWidth="1"/>
    <col min="512" max="512" width="10.1640625" style="2980" customWidth="1"/>
    <col min="513" max="513" width="24.1640625" style="2980" customWidth="1"/>
    <col min="514" max="515" width="13.1640625" style="2980" customWidth="1"/>
    <col min="516" max="516" width="14.5" style="2980" customWidth="1"/>
    <col min="517" max="517" width="10.1640625" style="2980" customWidth="1"/>
    <col min="518" max="518" width="13.1640625" style="2980" customWidth="1"/>
    <col min="519" max="519" width="14.5" style="2980" customWidth="1"/>
    <col min="520" max="520" width="13.1640625" style="2980" customWidth="1"/>
    <col min="521" max="521" width="12.6640625" style="2980" customWidth="1"/>
    <col min="522" max="522" width="10" style="2980" bestFit="1" customWidth="1"/>
    <col min="523" max="523" width="23.1640625" style="2980" bestFit="1" customWidth="1"/>
    <col min="524" max="525" width="11.5" style="2980" bestFit="1" customWidth="1"/>
    <col min="526" max="526" width="12.33203125" style="2980" bestFit="1" customWidth="1"/>
    <col min="527" max="527" width="15.83203125" style="2980" bestFit="1" customWidth="1"/>
    <col min="528" max="528" width="13" style="2980" bestFit="1" customWidth="1"/>
    <col min="529" max="529" width="14.33203125" style="2980" bestFit="1" customWidth="1"/>
    <col min="530" max="531" width="10.6640625" style="2980" customWidth="1"/>
    <col min="532" max="532" width="17.83203125" style="2980" bestFit="1" customWidth="1"/>
    <col min="533" max="535" width="10.6640625" style="2980" customWidth="1"/>
    <col min="536" max="541" width="10.6640625" style="2980"/>
    <col min="542" max="542" width="7.33203125" style="2980" customWidth="1"/>
    <col min="543" max="546" width="10.6640625" style="2980" customWidth="1"/>
    <col min="547" max="16384" width="10.6640625" style="2980"/>
  </cols>
  <sheetData>
    <row r="1" spans="1:29" s="2973" customFormat="1" x14ac:dyDescent="0.25">
      <c r="B1" s="2974"/>
      <c r="C1" s="2975"/>
      <c r="D1" s="2976"/>
      <c r="E1" s="2977"/>
      <c r="F1" s="2976"/>
      <c r="G1" s="2976"/>
      <c r="H1" s="2976"/>
      <c r="I1" s="2978"/>
      <c r="J1" s="2976"/>
      <c r="K1" s="2978"/>
      <c r="L1" s="2978"/>
      <c r="M1" s="2978"/>
      <c r="N1" s="2976"/>
      <c r="O1" s="2978"/>
      <c r="P1" s="2978"/>
      <c r="Q1" s="2978"/>
      <c r="R1" s="2976"/>
      <c r="S1" s="2976"/>
      <c r="T1" s="2976"/>
      <c r="U1" s="2978"/>
      <c r="V1" s="2976"/>
      <c r="W1" s="2976"/>
      <c r="X1" s="2976"/>
      <c r="Y1" s="2976"/>
      <c r="AA1" s="2975"/>
    </row>
    <row r="2" spans="1:29" s="2973" customFormat="1" x14ac:dyDescent="0.25">
      <c r="A2" s="3835" t="s">
        <v>2733</v>
      </c>
      <c r="B2" s="3835"/>
      <c r="C2" s="3835"/>
      <c r="D2" s="3835"/>
      <c r="E2" s="3835"/>
      <c r="F2" s="3835"/>
      <c r="G2" s="3835"/>
      <c r="H2" s="3835"/>
      <c r="I2" s="3835"/>
      <c r="J2" s="3835"/>
      <c r="K2" s="3835"/>
      <c r="L2" s="3835"/>
      <c r="M2" s="3835"/>
      <c r="N2" s="3835"/>
      <c r="O2" s="3835"/>
      <c r="P2" s="3835"/>
      <c r="Q2" s="3835"/>
      <c r="R2" s="3835"/>
      <c r="S2" s="3835"/>
      <c r="T2" s="3835"/>
      <c r="U2" s="3835"/>
      <c r="V2" s="3835"/>
      <c r="W2" s="3835"/>
      <c r="X2" s="3835"/>
      <c r="Y2" s="3835"/>
      <c r="Z2" s="3835"/>
      <c r="AA2" s="2975"/>
    </row>
    <row r="3" spans="1:29" s="2973" customFormat="1" x14ac:dyDescent="0.25">
      <c r="A3" s="3835" t="s">
        <v>1442</v>
      </c>
      <c r="B3" s="3835"/>
      <c r="C3" s="3835"/>
      <c r="D3" s="3835"/>
      <c r="E3" s="3835"/>
      <c r="F3" s="3835"/>
      <c r="G3" s="3835"/>
      <c r="H3" s="3835"/>
      <c r="I3" s="3835"/>
      <c r="J3" s="3835"/>
      <c r="K3" s="3835"/>
      <c r="L3" s="3835"/>
      <c r="M3" s="3835"/>
      <c r="N3" s="3835"/>
      <c r="O3" s="3835"/>
      <c r="P3" s="3835"/>
      <c r="Q3" s="3835"/>
      <c r="R3" s="3835"/>
      <c r="S3" s="3835"/>
      <c r="T3" s="3835"/>
      <c r="U3" s="3835"/>
      <c r="V3" s="3835"/>
      <c r="W3" s="3835"/>
      <c r="X3" s="3835"/>
      <c r="Y3" s="3835"/>
      <c r="Z3" s="3835"/>
      <c r="AA3" s="2975"/>
    </row>
    <row r="4" spans="1:29" s="2973" customFormat="1" x14ac:dyDescent="0.25">
      <c r="B4" s="2974"/>
      <c r="C4" s="2975"/>
      <c r="D4" s="2976"/>
      <c r="E4" s="2977"/>
      <c r="F4" s="2976"/>
      <c r="G4" s="2976"/>
      <c r="H4" s="2976"/>
      <c r="I4" s="2978"/>
      <c r="J4" s="2976"/>
      <c r="K4" s="2978"/>
      <c r="L4" s="2978"/>
      <c r="M4" s="2978"/>
      <c r="N4" s="2976"/>
      <c r="O4" s="2978"/>
      <c r="P4" s="2978"/>
      <c r="Q4" s="2978"/>
      <c r="R4" s="2976"/>
      <c r="S4" s="2976"/>
      <c r="T4" s="2976"/>
      <c r="U4" s="2978"/>
      <c r="V4" s="2976"/>
      <c r="W4" s="2976"/>
      <c r="X4" s="2976"/>
      <c r="Y4" s="2976"/>
      <c r="Z4" s="3053">
        <v>43831</v>
      </c>
      <c r="AA4" s="2975"/>
    </row>
    <row r="5" spans="1:29" x14ac:dyDescent="0.25">
      <c r="A5" s="3815" t="s">
        <v>78</v>
      </c>
      <c r="B5" s="3816" t="s">
        <v>824</v>
      </c>
      <c r="C5" s="3815" t="s">
        <v>386</v>
      </c>
      <c r="D5" s="3819" t="s">
        <v>344</v>
      </c>
      <c r="E5" s="3820"/>
      <c r="F5" s="3820"/>
      <c r="G5" s="3821"/>
      <c r="H5" s="3825" t="s">
        <v>825</v>
      </c>
      <c r="I5" s="3826"/>
      <c r="J5" s="3826"/>
      <c r="K5" s="3826"/>
      <c r="L5" s="3826"/>
      <c r="M5" s="3826"/>
      <c r="N5" s="3826"/>
      <c r="O5" s="3827"/>
      <c r="P5" s="3829" t="s">
        <v>826</v>
      </c>
      <c r="Q5" s="3829"/>
      <c r="R5" s="3829"/>
      <c r="S5" s="3829"/>
      <c r="T5" s="3829"/>
      <c r="U5" s="3829"/>
      <c r="V5" s="3833" t="s">
        <v>718</v>
      </c>
      <c r="W5" s="3833"/>
      <c r="X5" s="3834" t="s">
        <v>178</v>
      </c>
      <c r="Y5" s="3834" t="s">
        <v>179</v>
      </c>
      <c r="Z5" s="3829" t="s">
        <v>827</v>
      </c>
    </row>
    <row r="6" spans="1:29" x14ac:dyDescent="0.25">
      <c r="A6" s="3815"/>
      <c r="B6" s="3817"/>
      <c r="C6" s="3815"/>
      <c r="D6" s="3822"/>
      <c r="E6" s="3823"/>
      <c r="F6" s="3823"/>
      <c r="G6" s="3824"/>
      <c r="H6" s="3825" t="s">
        <v>828</v>
      </c>
      <c r="I6" s="3826"/>
      <c r="J6" s="3826"/>
      <c r="K6" s="3827"/>
      <c r="L6" s="3825" t="s">
        <v>829</v>
      </c>
      <c r="M6" s="3826"/>
      <c r="N6" s="3826"/>
      <c r="O6" s="3827"/>
      <c r="P6" s="3829" t="s">
        <v>331</v>
      </c>
      <c r="Q6" s="3829"/>
      <c r="R6" s="3829"/>
      <c r="S6" s="3829"/>
      <c r="T6" s="3829"/>
      <c r="U6" s="3829"/>
      <c r="V6" s="3833"/>
      <c r="W6" s="3833"/>
      <c r="X6" s="3834"/>
      <c r="Y6" s="3834"/>
      <c r="Z6" s="3829"/>
    </row>
    <row r="7" spans="1:29" x14ac:dyDescent="0.25">
      <c r="A7" s="3815"/>
      <c r="B7" s="3817"/>
      <c r="C7" s="3815"/>
      <c r="D7" s="3815" t="s">
        <v>332</v>
      </c>
      <c r="E7" s="3828" t="s">
        <v>830</v>
      </c>
      <c r="F7" s="3500" t="s">
        <v>831</v>
      </c>
      <c r="G7" s="3500"/>
      <c r="H7" s="3815" t="s">
        <v>332</v>
      </c>
      <c r="I7" s="3830" t="s">
        <v>830</v>
      </c>
      <c r="J7" s="3500" t="s">
        <v>831</v>
      </c>
      <c r="K7" s="3500"/>
      <c r="L7" s="3815" t="s">
        <v>332</v>
      </c>
      <c r="M7" s="3830" t="s">
        <v>830</v>
      </c>
      <c r="N7" s="3500" t="s">
        <v>831</v>
      </c>
      <c r="O7" s="3500"/>
      <c r="P7" s="3815" t="s">
        <v>332</v>
      </c>
      <c r="Q7" s="3830" t="s">
        <v>830</v>
      </c>
      <c r="R7" s="3500" t="s">
        <v>831</v>
      </c>
      <c r="S7" s="3500"/>
      <c r="T7" s="3500"/>
      <c r="U7" s="3500"/>
      <c r="V7" s="3484" t="s">
        <v>832</v>
      </c>
      <c r="W7" s="3484" t="s">
        <v>833</v>
      </c>
      <c r="X7" s="3833" t="s">
        <v>494</v>
      </c>
      <c r="Y7" s="3833"/>
      <c r="Z7" s="3829"/>
      <c r="AC7" s="2981"/>
    </row>
    <row r="8" spans="1:29" x14ac:dyDescent="0.25">
      <c r="A8" s="3815"/>
      <c r="B8" s="3817"/>
      <c r="C8" s="3815"/>
      <c r="D8" s="3815"/>
      <c r="E8" s="3828"/>
      <c r="F8" s="1774"/>
      <c r="G8" s="1774"/>
      <c r="H8" s="3815"/>
      <c r="I8" s="3831"/>
      <c r="J8" s="1774"/>
      <c r="K8" s="1774"/>
      <c r="L8" s="3815"/>
      <c r="M8" s="3831"/>
      <c r="N8" s="1774"/>
      <c r="O8" s="1774"/>
      <c r="P8" s="3815"/>
      <c r="Q8" s="3831"/>
      <c r="R8" s="3839" t="s">
        <v>834</v>
      </c>
      <c r="S8" s="3488" t="s">
        <v>835</v>
      </c>
      <c r="T8" s="3489"/>
      <c r="U8" s="3841" t="s">
        <v>836</v>
      </c>
      <c r="V8" s="3484"/>
      <c r="W8" s="3484"/>
      <c r="X8" s="2982"/>
      <c r="Y8" s="2982"/>
      <c r="Z8" s="3829"/>
      <c r="AC8" s="2981"/>
    </row>
    <row r="9" spans="1:29" ht="75" x14ac:dyDescent="0.25">
      <c r="A9" s="3815"/>
      <c r="B9" s="3818"/>
      <c r="C9" s="3815"/>
      <c r="D9" s="3815"/>
      <c r="E9" s="3828"/>
      <c r="F9" s="2983" t="s">
        <v>837</v>
      </c>
      <c r="G9" s="2984" t="s">
        <v>836</v>
      </c>
      <c r="H9" s="3815"/>
      <c r="I9" s="3832"/>
      <c r="J9" s="2983" t="s">
        <v>837</v>
      </c>
      <c r="K9" s="2984" t="s">
        <v>836</v>
      </c>
      <c r="L9" s="3815"/>
      <c r="M9" s="3832"/>
      <c r="N9" s="2983" t="s">
        <v>837</v>
      </c>
      <c r="O9" s="2984" t="s">
        <v>836</v>
      </c>
      <c r="P9" s="3815"/>
      <c r="Q9" s="3832"/>
      <c r="R9" s="3840"/>
      <c r="S9" s="2983" t="s">
        <v>838</v>
      </c>
      <c r="T9" s="2983" t="s">
        <v>496</v>
      </c>
      <c r="U9" s="3842"/>
      <c r="V9" s="3484"/>
      <c r="W9" s="3484"/>
      <c r="X9" s="3843" t="s">
        <v>208</v>
      </c>
      <c r="Y9" s="3843"/>
      <c r="Z9" s="3829"/>
    </row>
    <row r="10" spans="1:29" s="2991" customFormat="1" ht="16.5" x14ac:dyDescent="0.25">
      <c r="A10" s="2985">
        <v>1</v>
      </c>
      <c r="B10" s="2985">
        <v>2</v>
      </c>
      <c r="C10" s="2985">
        <v>3</v>
      </c>
      <c r="D10" s="2985">
        <v>4</v>
      </c>
      <c r="E10" s="2986">
        <v>5</v>
      </c>
      <c r="F10" s="2987">
        <v>6</v>
      </c>
      <c r="G10" s="2985">
        <v>7</v>
      </c>
      <c r="H10" s="2985">
        <v>8</v>
      </c>
      <c r="I10" s="2985">
        <v>9</v>
      </c>
      <c r="J10" s="2987">
        <v>10</v>
      </c>
      <c r="K10" s="2985">
        <v>11</v>
      </c>
      <c r="L10" s="2985">
        <v>12</v>
      </c>
      <c r="M10" s="2985">
        <v>13</v>
      </c>
      <c r="N10" s="2987">
        <v>14</v>
      </c>
      <c r="O10" s="2985">
        <v>15</v>
      </c>
      <c r="P10" s="2985">
        <v>16</v>
      </c>
      <c r="Q10" s="2985">
        <v>17</v>
      </c>
      <c r="R10" s="2988">
        <v>18</v>
      </c>
      <c r="S10" s="2989" t="s">
        <v>839</v>
      </c>
      <c r="T10" s="2989" t="s">
        <v>840</v>
      </c>
      <c r="U10" s="2990">
        <v>19</v>
      </c>
      <c r="V10" s="2985">
        <v>20</v>
      </c>
      <c r="W10" s="2985">
        <v>21</v>
      </c>
      <c r="X10" s="2987">
        <v>22</v>
      </c>
      <c r="Y10" s="2987">
        <v>23</v>
      </c>
      <c r="Z10" s="2985">
        <v>24</v>
      </c>
      <c r="AA10" s="2979"/>
    </row>
    <row r="11" spans="1:29" s="3023" customFormat="1" ht="31.5" x14ac:dyDescent="0.2">
      <c r="A11" s="3016">
        <v>1</v>
      </c>
      <c r="B11" s="3017"/>
      <c r="C11" s="3018" t="s">
        <v>843</v>
      </c>
      <c r="D11" s="3019"/>
      <c r="E11" s="3020"/>
      <c r="F11" s="3019">
        <f>F12+F17+F21+F33</f>
        <v>102.1</v>
      </c>
      <c r="G11" s="3019">
        <v>0</v>
      </c>
      <c r="H11" s="3019"/>
      <c r="I11" s="3019"/>
      <c r="J11" s="3020">
        <f>J12+J17+J21+J33</f>
        <v>102.1</v>
      </c>
      <c r="K11" s="3019"/>
      <c r="L11" s="3019"/>
      <c r="M11" s="3019"/>
      <c r="N11" s="3020">
        <f>N12+N17+N21+N33</f>
        <v>102.1</v>
      </c>
      <c r="O11" s="3021"/>
      <c r="P11" s="3019"/>
      <c r="Q11" s="3019"/>
      <c r="R11" s="3019">
        <f>R12+R17+R21+R33</f>
        <v>103.1</v>
      </c>
      <c r="S11" s="3019">
        <f>R11</f>
        <v>103.1</v>
      </c>
      <c r="T11" s="3019"/>
      <c r="U11" s="3019">
        <f t="shared" ref="U11:Y11" si="0">U12+U17+U21+U33</f>
        <v>0</v>
      </c>
      <c r="V11" s="3020">
        <f t="shared" ref="V11:V31" si="1">R11-J11</f>
        <v>1</v>
      </c>
      <c r="W11" s="3020">
        <f t="shared" ref="W11:W31" si="2">IFERROR((R11)/J11*100,0)</f>
        <v>100.98</v>
      </c>
      <c r="X11" s="3020">
        <f>X12+X17+X21+X33</f>
        <v>103.1</v>
      </c>
      <c r="Y11" s="3020">
        <f t="shared" si="0"/>
        <v>103.1</v>
      </c>
      <c r="Z11" s="3022"/>
      <c r="AA11" s="2979" t="s">
        <v>1665</v>
      </c>
      <c r="AC11" s="3023" t="s">
        <v>844</v>
      </c>
    </row>
    <row r="12" spans="1:29" s="2995" customFormat="1" x14ac:dyDescent="0.25">
      <c r="A12" s="3004"/>
      <c r="B12" s="2992">
        <v>981</v>
      </c>
      <c r="C12" s="2993" t="s">
        <v>2124</v>
      </c>
      <c r="D12" s="3002"/>
      <c r="E12" s="3009"/>
      <c r="F12" s="3008">
        <f>SUM(F13:F16)</f>
        <v>71.5</v>
      </c>
      <c r="G12" s="3012"/>
      <c r="H12" s="3012"/>
      <c r="I12" s="3012"/>
      <c r="J12" s="3008">
        <f>SUM(J13:J16)</f>
        <v>71.5</v>
      </c>
      <c r="K12" s="3012"/>
      <c r="L12" s="3012"/>
      <c r="M12" s="3012"/>
      <c r="N12" s="3008">
        <f>SUM(N13:N16)</f>
        <v>71.5</v>
      </c>
      <c r="O12" s="3014"/>
      <c r="P12" s="3012"/>
      <c r="Q12" s="3012"/>
      <c r="R12" s="3008">
        <f>SUM(R13:R16)</f>
        <v>32.1</v>
      </c>
      <c r="S12" s="3008">
        <f t="shared" ref="S12:S32" si="3">R12</f>
        <v>32.1</v>
      </c>
      <c r="T12" s="3008"/>
      <c r="U12" s="3008">
        <f t="shared" ref="U12:Y12" si="4">SUM(U13:U16)</f>
        <v>0</v>
      </c>
      <c r="V12" s="3008">
        <f t="shared" si="1"/>
        <v>-39.4</v>
      </c>
      <c r="W12" s="3008">
        <f t="shared" si="2"/>
        <v>44.9</v>
      </c>
      <c r="X12" s="3008">
        <f>SUM(X13:X16)</f>
        <v>32.1</v>
      </c>
      <c r="Y12" s="3008">
        <f t="shared" si="4"/>
        <v>32.1</v>
      </c>
      <c r="Z12" s="3024"/>
      <c r="AA12" s="2979" t="s">
        <v>1665</v>
      </c>
    </row>
    <row r="13" spans="1:29" s="2973" customFormat="1" x14ac:dyDescent="0.25">
      <c r="A13" s="3005"/>
      <c r="B13" s="2994"/>
      <c r="C13" s="2996" t="s">
        <v>2125</v>
      </c>
      <c r="D13" s="3003">
        <v>1500</v>
      </c>
      <c r="E13" s="3025">
        <v>15</v>
      </c>
      <c r="F13" s="3011">
        <f>D13*E13/1000</f>
        <v>22.5</v>
      </c>
      <c r="G13" s="3013"/>
      <c r="H13" s="3013">
        <v>1500</v>
      </c>
      <c r="I13" s="3013">
        <v>15</v>
      </c>
      <c r="J13" s="3013">
        <f>H13*I13/1000</f>
        <v>22.5</v>
      </c>
      <c r="K13" s="3013"/>
      <c r="L13" s="3013">
        <v>1500</v>
      </c>
      <c r="M13" s="3013">
        <v>15</v>
      </c>
      <c r="N13" s="3013">
        <f>L13*M13/1000</f>
        <v>22.5</v>
      </c>
      <c r="O13" s="3015"/>
      <c r="P13" s="3013">
        <v>800</v>
      </c>
      <c r="Q13" s="3013">
        <v>15</v>
      </c>
      <c r="R13" s="3013">
        <f>P13*Q13/1000</f>
        <v>12</v>
      </c>
      <c r="S13" s="3013">
        <f t="shared" si="3"/>
        <v>12</v>
      </c>
      <c r="T13" s="3013"/>
      <c r="U13" s="3013"/>
      <c r="V13" s="3013">
        <f t="shared" si="1"/>
        <v>-10.5</v>
      </c>
      <c r="W13" s="3013">
        <f t="shared" si="2"/>
        <v>53.3</v>
      </c>
      <c r="X13" s="3013">
        <v>12</v>
      </c>
      <c r="Y13" s="3013">
        <v>12</v>
      </c>
      <c r="Z13" s="3024"/>
      <c r="AA13" s="2979" t="s">
        <v>1665</v>
      </c>
    </row>
    <row r="14" spans="1:29" s="2973" customFormat="1" ht="31.5" x14ac:dyDescent="0.25">
      <c r="A14" s="3005"/>
      <c r="B14" s="2994"/>
      <c r="C14" s="2996" t="s">
        <v>2126</v>
      </c>
      <c r="D14" s="3003">
        <v>700</v>
      </c>
      <c r="E14" s="3025">
        <v>50</v>
      </c>
      <c r="F14" s="3011">
        <f>D14*E14/1000</f>
        <v>35</v>
      </c>
      <c r="G14" s="3013"/>
      <c r="H14" s="3013">
        <v>700</v>
      </c>
      <c r="I14" s="3013">
        <v>50</v>
      </c>
      <c r="J14" s="3013">
        <f>H14*I14/1000</f>
        <v>35</v>
      </c>
      <c r="K14" s="3013"/>
      <c r="L14" s="3013">
        <v>700</v>
      </c>
      <c r="M14" s="3013">
        <v>50</v>
      </c>
      <c r="N14" s="3013">
        <f>L14*M14/1000</f>
        <v>35</v>
      </c>
      <c r="O14" s="3015"/>
      <c r="P14" s="3013">
        <v>880</v>
      </c>
      <c r="Q14" s="3013">
        <v>20</v>
      </c>
      <c r="R14" s="3013">
        <f>P14*Q14/1000</f>
        <v>17.600000000000001</v>
      </c>
      <c r="S14" s="3013">
        <f t="shared" si="3"/>
        <v>17.600000000000001</v>
      </c>
      <c r="T14" s="3013"/>
      <c r="U14" s="3013"/>
      <c r="V14" s="3013">
        <f t="shared" si="1"/>
        <v>-17.399999999999999</v>
      </c>
      <c r="W14" s="3013">
        <f t="shared" si="2"/>
        <v>50.3</v>
      </c>
      <c r="X14" s="3013">
        <v>17.600000000000001</v>
      </c>
      <c r="Y14" s="3013">
        <v>17.600000000000001</v>
      </c>
      <c r="Z14" s="2442"/>
      <c r="AA14" s="2979" t="s">
        <v>1665</v>
      </c>
    </row>
    <row r="15" spans="1:29" s="2973" customFormat="1" x14ac:dyDescent="0.25">
      <c r="A15" s="3005"/>
      <c r="B15" s="2994"/>
      <c r="C15" s="3001" t="s">
        <v>1828</v>
      </c>
      <c r="D15" s="3003"/>
      <c r="E15" s="3025"/>
      <c r="F15" s="3011"/>
      <c r="G15" s="3013"/>
      <c r="H15" s="3013"/>
      <c r="I15" s="3013"/>
      <c r="J15" s="3013"/>
      <c r="K15" s="3013"/>
      <c r="L15" s="3013"/>
      <c r="M15" s="3013"/>
      <c r="N15" s="3013"/>
      <c r="O15" s="3015"/>
      <c r="P15" s="3013">
        <v>50</v>
      </c>
      <c r="Q15" s="3013">
        <v>50</v>
      </c>
      <c r="R15" s="3013">
        <f>P15*Q15/1000</f>
        <v>2.5</v>
      </c>
      <c r="S15" s="3013">
        <f t="shared" si="3"/>
        <v>2.5</v>
      </c>
      <c r="T15" s="3013"/>
      <c r="U15" s="3013"/>
      <c r="V15" s="3013">
        <f t="shared" si="1"/>
        <v>2.5</v>
      </c>
      <c r="W15" s="3013">
        <f t="shared" si="2"/>
        <v>0</v>
      </c>
      <c r="X15" s="3013">
        <v>2.5</v>
      </c>
      <c r="Y15" s="3013">
        <v>2.5</v>
      </c>
      <c r="Z15" s="2442" t="s">
        <v>2085</v>
      </c>
      <c r="AA15" s="2979" t="s">
        <v>1665</v>
      </c>
    </row>
    <row r="16" spans="1:29" s="2973" customFormat="1" x14ac:dyDescent="0.25">
      <c r="A16" s="3005"/>
      <c r="B16" s="2994"/>
      <c r="C16" s="2996" t="s">
        <v>2127</v>
      </c>
      <c r="D16" s="3003">
        <v>4</v>
      </c>
      <c r="E16" s="3025">
        <v>3500</v>
      </c>
      <c r="F16" s="3011">
        <f>D16*E16/1000</f>
        <v>14</v>
      </c>
      <c r="G16" s="3013"/>
      <c r="H16" s="3013">
        <v>4</v>
      </c>
      <c r="I16" s="3013">
        <v>3500</v>
      </c>
      <c r="J16" s="3013">
        <f>H16*I16/1000</f>
        <v>14</v>
      </c>
      <c r="K16" s="3013"/>
      <c r="L16" s="3013">
        <v>4</v>
      </c>
      <c r="M16" s="3013">
        <v>3500</v>
      </c>
      <c r="N16" s="3013">
        <f>L16*M16/1000</f>
        <v>14</v>
      </c>
      <c r="O16" s="3015"/>
      <c r="P16" s="3013"/>
      <c r="Q16" s="3013"/>
      <c r="R16" s="3013">
        <f>P16*Q16/1000</f>
        <v>0</v>
      </c>
      <c r="S16" s="3013">
        <f t="shared" si="3"/>
        <v>0</v>
      </c>
      <c r="T16" s="3013"/>
      <c r="U16" s="3013"/>
      <c r="V16" s="3013">
        <f t="shared" si="1"/>
        <v>-14</v>
      </c>
      <c r="W16" s="3013">
        <f t="shared" si="2"/>
        <v>0</v>
      </c>
      <c r="X16" s="3013"/>
      <c r="Y16" s="3013"/>
      <c r="Z16" s="3024"/>
      <c r="AA16" s="2979" t="s">
        <v>1665</v>
      </c>
    </row>
    <row r="17" spans="1:27" s="2995" customFormat="1" x14ac:dyDescent="0.25">
      <c r="A17" s="3004"/>
      <c r="B17" s="2992">
        <v>963</v>
      </c>
      <c r="C17" s="2993" t="s">
        <v>798</v>
      </c>
      <c r="D17" s="3002"/>
      <c r="E17" s="3009"/>
      <c r="F17" s="3008">
        <f>F18</f>
        <v>10</v>
      </c>
      <c r="G17" s="3012"/>
      <c r="H17" s="3012"/>
      <c r="I17" s="3012"/>
      <c r="J17" s="3008">
        <f>J18</f>
        <v>10</v>
      </c>
      <c r="K17" s="3012"/>
      <c r="L17" s="3012"/>
      <c r="M17" s="3012"/>
      <c r="N17" s="3008">
        <f>N18</f>
        <v>10</v>
      </c>
      <c r="O17" s="3014"/>
      <c r="P17" s="3012"/>
      <c r="Q17" s="3012"/>
      <c r="R17" s="3008">
        <f>SUM(R18:R20)</f>
        <v>51</v>
      </c>
      <c r="S17" s="3008">
        <f t="shared" si="3"/>
        <v>51</v>
      </c>
      <c r="T17" s="3008"/>
      <c r="U17" s="3012"/>
      <c r="V17" s="3012">
        <f t="shared" si="1"/>
        <v>41</v>
      </c>
      <c r="W17" s="3012">
        <f t="shared" si="2"/>
        <v>510</v>
      </c>
      <c r="X17" s="3008">
        <v>51</v>
      </c>
      <c r="Y17" s="3008">
        <v>51</v>
      </c>
      <c r="Z17" s="3024"/>
      <c r="AA17" s="2979" t="s">
        <v>1665</v>
      </c>
    </row>
    <row r="18" spans="1:27" s="2973" customFormat="1" ht="31.5" x14ac:dyDescent="0.25">
      <c r="A18" s="3005"/>
      <c r="B18" s="2994"/>
      <c r="C18" s="2996" t="s">
        <v>2128</v>
      </c>
      <c r="D18" s="3003">
        <v>50</v>
      </c>
      <c r="E18" s="3025">
        <v>200</v>
      </c>
      <c r="F18" s="3011">
        <f>D18*E18/1000</f>
        <v>10</v>
      </c>
      <c r="G18" s="3013"/>
      <c r="H18" s="3013">
        <v>50</v>
      </c>
      <c r="I18" s="3013">
        <v>200</v>
      </c>
      <c r="J18" s="3013">
        <f>H18*I18/1000</f>
        <v>10</v>
      </c>
      <c r="K18" s="3013"/>
      <c r="L18" s="3013">
        <v>50</v>
      </c>
      <c r="M18" s="3013">
        <v>200</v>
      </c>
      <c r="N18" s="3013">
        <f>L18*M18/1000</f>
        <v>10</v>
      </c>
      <c r="O18" s="3015"/>
      <c r="P18" s="3013"/>
      <c r="Q18" s="3013"/>
      <c r="R18" s="3013"/>
      <c r="S18" s="3013">
        <f t="shared" si="3"/>
        <v>0</v>
      </c>
      <c r="T18" s="3013"/>
      <c r="U18" s="3013"/>
      <c r="V18" s="3013">
        <f t="shared" si="1"/>
        <v>-10</v>
      </c>
      <c r="W18" s="3013">
        <f t="shared" si="2"/>
        <v>0</v>
      </c>
      <c r="X18" s="3013">
        <v>10</v>
      </c>
      <c r="Y18" s="3013">
        <v>10</v>
      </c>
      <c r="Z18" s="2442"/>
      <c r="AA18" s="2979" t="s">
        <v>1665</v>
      </c>
    </row>
    <row r="19" spans="1:27" s="2973" customFormat="1" ht="31.5" x14ac:dyDescent="0.25">
      <c r="A19" s="3005"/>
      <c r="B19" s="2994"/>
      <c r="C19" s="2996" t="s">
        <v>1373</v>
      </c>
      <c r="D19" s="3003"/>
      <c r="E19" s="3025"/>
      <c r="F19" s="3011"/>
      <c r="G19" s="3013"/>
      <c r="H19" s="3013"/>
      <c r="I19" s="3013"/>
      <c r="J19" s="3013"/>
      <c r="K19" s="3013"/>
      <c r="L19" s="3013"/>
      <c r="M19" s="3013"/>
      <c r="N19" s="3013"/>
      <c r="O19" s="3015"/>
      <c r="P19" s="3013">
        <v>200</v>
      </c>
      <c r="Q19" s="3013">
        <v>230</v>
      </c>
      <c r="R19" s="3013">
        <f>P19*Q19/1000</f>
        <v>46</v>
      </c>
      <c r="S19" s="3013">
        <f t="shared" si="3"/>
        <v>46</v>
      </c>
      <c r="T19" s="3013"/>
      <c r="U19" s="3013"/>
      <c r="V19" s="3013">
        <f t="shared" si="1"/>
        <v>46</v>
      </c>
      <c r="W19" s="3013">
        <f t="shared" si="2"/>
        <v>0</v>
      </c>
      <c r="X19" s="3013">
        <v>40</v>
      </c>
      <c r="Y19" s="3013">
        <v>40</v>
      </c>
      <c r="Z19" s="2443" t="s">
        <v>2129</v>
      </c>
      <c r="AA19" s="2979" t="s">
        <v>1665</v>
      </c>
    </row>
    <row r="20" spans="1:27" s="2973" customFormat="1" x14ac:dyDescent="0.25">
      <c r="A20" s="3005"/>
      <c r="B20" s="2994"/>
      <c r="C20" s="2996" t="s">
        <v>2130</v>
      </c>
      <c r="D20" s="3003"/>
      <c r="E20" s="3025"/>
      <c r="F20" s="3011"/>
      <c r="G20" s="3013"/>
      <c r="H20" s="3013"/>
      <c r="I20" s="3013"/>
      <c r="J20" s="3013"/>
      <c r="K20" s="3013"/>
      <c r="L20" s="3013"/>
      <c r="M20" s="3013"/>
      <c r="N20" s="3013"/>
      <c r="O20" s="3015"/>
      <c r="P20" s="3013">
        <v>50</v>
      </c>
      <c r="Q20" s="3013">
        <v>0.1</v>
      </c>
      <c r="R20" s="3013">
        <f>P20*Q20</f>
        <v>5</v>
      </c>
      <c r="S20" s="3013">
        <f t="shared" si="3"/>
        <v>5</v>
      </c>
      <c r="T20" s="3013"/>
      <c r="U20" s="3013"/>
      <c r="V20" s="3013">
        <f t="shared" si="1"/>
        <v>5</v>
      </c>
      <c r="W20" s="3013">
        <f t="shared" si="2"/>
        <v>0</v>
      </c>
      <c r="X20" s="3013"/>
      <c r="Y20" s="3013"/>
      <c r="Z20" s="2443"/>
      <c r="AA20" s="2979" t="s">
        <v>1665</v>
      </c>
    </row>
    <row r="21" spans="1:27" s="2995" customFormat="1" ht="31.5" x14ac:dyDescent="0.25">
      <c r="A21" s="3004"/>
      <c r="B21" s="2992"/>
      <c r="C21" s="2993" t="s">
        <v>2131</v>
      </c>
      <c r="D21" s="3002"/>
      <c r="E21" s="3009"/>
      <c r="F21" s="3008">
        <f>SUM(F22:F32)</f>
        <v>10</v>
      </c>
      <c r="G21" s="3012"/>
      <c r="H21" s="3012"/>
      <c r="I21" s="3012"/>
      <c r="J21" s="3008">
        <f>SUM(J22:J32)</f>
        <v>10</v>
      </c>
      <c r="K21" s="3012"/>
      <c r="L21" s="3012"/>
      <c r="M21" s="3012"/>
      <c r="N21" s="3008">
        <f>SUM(N22:N32)</f>
        <v>10</v>
      </c>
      <c r="O21" s="3014"/>
      <c r="P21" s="3012"/>
      <c r="Q21" s="3012"/>
      <c r="R21" s="3008">
        <f>SUM(R22:R32)</f>
        <v>10</v>
      </c>
      <c r="S21" s="3008">
        <f t="shared" si="3"/>
        <v>10</v>
      </c>
      <c r="T21" s="3008"/>
      <c r="U21" s="3012"/>
      <c r="V21" s="3012">
        <f t="shared" si="1"/>
        <v>0</v>
      </c>
      <c r="W21" s="3012">
        <f t="shared" si="2"/>
        <v>100</v>
      </c>
      <c r="X21" s="3008">
        <v>10</v>
      </c>
      <c r="Y21" s="3008">
        <v>10</v>
      </c>
      <c r="Z21" s="3026"/>
      <c r="AA21" s="2979" t="s">
        <v>1665</v>
      </c>
    </row>
    <row r="22" spans="1:27" s="2973" customFormat="1" x14ac:dyDescent="0.25">
      <c r="A22" s="3005"/>
      <c r="B22" s="2994">
        <v>981</v>
      </c>
      <c r="C22" s="2996" t="s">
        <v>2132</v>
      </c>
      <c r="D22" s="3003">
        <v>10</v>
      </c>
      <c r="E22" s="3025">
        <v>80</v>
      </c>
      <c r="F22" s="3011">
        <f t="shared" ref="F22:F32" si="5">D22*E22/1000</f>
        <v>0.8</v>
      </c>
      <c r="G22" s="3013"/>
      <c r="H22" s="3013">
        <v>10</v>
      </c>
      <c r="I22" s="3013">
        <v>80</v>
      </c>
      <c r="J22" s="3013">
        <f t="shared" ref="J22:J45" si="6">H22*I22/1000</f>
        <v>0.8</v>
      </c>
      <c r="K22" s="3013"/>
      <c r="L22" s="3013">
        <v>10</v>
      </c>
      <c r="M22" s="3013">
        <v>80</v>
      </c>
      <c r="N22" s="3013">
        <f t="shared" ref="N22:N32" si="7">L22*M22/1000</f>
        <v>0.8</v>
      </c>
      <c r="O22" s="3015"/>
      <c r="P22" s="3013">
        <v>10</v>
      </c>
      <c r="Q22" s="3013">
        <v>80</v>
      </c>
      <c r="R22" s="3013">
        <f t="shared" ref="R22:R32" si="8">P22*Q22/1000</f>
        <v>0.8</v>
      </c>
      <c r="S22" s="3013">
        <f t="shared" si="3"/>
        <v>0.8</v>
      </c>
      <c r="T22" s="3013"/>
      <c r="U22" s="3013"/>
      <c r="V22" s="3013">
        <f t="shared" si="1"/>
        <v>0</v>
      </c>
      <c r="W22" s="3013">
        <f t="shared" si="2"/>
        <v>100</v>
      </c>
      <c r="X22" s="3013">
        <f>R22</f>
        <v>0.8</v>
      </c>
      <c r="Y22" s="3013">
        <f>X22</f>
        <v>0.8</v>
      </c>
      <c r="Z22" s="3026"/>
      <c r="AA22" s="2979" t="s">
        <v>1665</v>
      </c>
    </row>
    <row r="23" spans="1:27" s="2973" customFormat="1" x14ac:dyDescent="0.25">
      <c r="A23" s="3005"/>
      <c r="B23" s="2994">
        <v>981</v>
      </c>
      <c r="C23" s="2996" t="s">
        <v>2133</v>
      </c>
      <c r="D23" s="3003">
        <v>10</v>
      </c>
      <c r="E23" s="3025">
        <v>100</v>
      </c>
      <c r="F23" s="3011">
        <f t="shared" si="5"/>
        <v>1</v>
      </c>
      <c r="G23" s="3013"/>
      <c r="H23" s="3013">
        <v>10</v>
      </c>
      <c r="I23" s="3013">
        <v>100</v>
      </c>
      <c r="J23" s="3013">
        <f t="shared" si="6"/>
        <v>1</v>
      </c>
      <c r="K23" s="3013"/>
      <c r="L23" s="3013">
        <v>10</v>
      </c>
      <c r="M23" s="3013">
        <v>100</v>
      </c>
      <c r="N23" s="3013">
        <f t="shared" si="7"/>
        <v>1</v>
      </c>
      <c r="O23" s="3015"/>
      <c r="P23" s="3013">
        <v>10</v>
      </c>
      <c r="Q23" s="3013">
        <v>100</v>
      </c>
      <c r="R23" s="3013">
        <f t="shared" si="8"/>
        <v>1</v>
      </c>
      <c r="S23" s="3013">
        <f t="shared" si="3"/>
        <v>1</v>
      </c>
      <c r="T23" s="3013"/>
      <c r="U23" s="3013"/>
      <c r="V23" s="3013">
        <f t="shared" si="1"/>
        <v>0</v>
      </c>
      <c r="W23" s="3013">
        <f t="shared" si="2"/>
        <v>100</v>
      </c>
      <c r="X23" s="3013">
        <f t="shared" ref="X23:X32" si="9">R23</f>
        <v>1</v>
      </c>
      <c r="Y23" s="3013">
        <f t="shared" ref="Y23:Y32" si="10">X23</f>
        <v>1</v>
      </c>
      <c r="Z23" s="3026"/>
      <c r="AA23" s="2979" t="s">
        <v>1665</v>
      </c>
    </row>
    <row r="24" spans="1:27" s="2973" customFormat="1" x14ac:dyDescent="0.25">
      <c r="A24" s="3005"/>
      <c r="B24" s="2994">
        <v>981</v>
      </c>
      <c r="C24" s="2996" t="s">
        <v>2134</v>
      </c>
      <c r="D24" s="3003">
        <v>10</v>
      </c>
      <c r="E24" s="3025">
        <v>100</v>
      </c>
      <c r="F24" s="3011">
        <f t="shared" si="5"/>
        <v>1</v>
      </c>
      <c r="G24" s="3013"/>
      <c r="H24" s="3013">
        <v>10</v>
      </c>
      <c r="I24" s="3013">
        <v>100</v>
      </c>
      <c r="J24" s="3013">
        <f t="shared" si="6"/>
        <v>1</v>
      </c>
      <c r="K24" s="3013"/>
      <c r="L24" s="3013">
        <v>10</v>
      </c>
      <c r="M24" s="3013">
        <v>100</v>
      </c>
      <c r="N24" s="3013">
        <f t="shared" si="7"/>
        <v>1</v>
      </c>
      <c r="O24" s="3015"/>
      <c r="P24" s="3013">
        <v>10</v>
      </c>
      <c r="Q24" s="3013">
        <v>100</v>
      </c>
      <c r="R24" s="3013">
        <f t="shared" si="8"/>
        <v>1</v>
      </c>
      <c r="S24" s="3013">
        <f t="shared" si="3"/>
        <v>1</v>
      </c>
      <c r="T24" s="3013"/>
      <c r="U24" s="3013"/>
      <c r="V24" s="3013">
        <f t="shared" si="1"/>
        <v>0</v>
      </c>
      <c r="W24" s="3013">
        <f t="shared" si="2"/>
        <v>100</v>
      </c>
      <c r="X24" s="3013">
        <f t="shared" si="9"/>
        <v>1</v>
      </c>
      <c r="Y24" s="3013">
        <f t="shared" si="10"/>
        <v>1</v>
      </c>
      <c r="Z24" s="3026"/>
      <c r="AA24" s="2979" t="s">
        <v>1665</v>
      </c>
    </row>
    <row r="25" spans="1:27" s="2973" customFormat="1" x14ac:dyDescent="0.25">
      <c r="A25" s="3005"/>
      <c r="B25" s="2994">
        <v>981</v>
      </c>
      <c r="C25" s="2996" t="s">
        <v>2135</v>
      </c>
      <c r="D25" s="3003">
        <v>50</v>
      </c>
      <c r="E25" s="3025">
        <v>20</v>
      </c>
      <c r="F25" s="3011">
        <f t="shared" si="5"/>
        <v>1</v>
      </c>
      <c r="G25" s="3013"/>
      <c r="H25" s="3013">
        <v>50</v>
      </c>
      <c r="I25" s="3013">
        <v>20</v>
      </c>
      <c r="J25" s="3013">
        <f t="shared" si="6"/>
        <v>1</v>
      </c>
      <c r="K25" s="3013"/>
      <c r="L25" s="3013">
        <v>50</v>
      </c>
      <c r="M25" s="3013">
        <v>20</v>
      </c>
      <c r="N25" s="3013">
        <f t="shared" si="7"/>
        <v>1</v>
      </c>
      <c r="O25" s="3015"/>
      <c r="P25" s="3013">
        <v>50</v>
      </c>
      <c r="Q25" s="3013">
        <v>20</v>
      </c>
      <c r="R25" s="3013">
        <f t="shared" si="8"/>
        <v>1</v>
      </c>
      <c r="S25" s="3013">
        <f t="shared" si="3"/>
        <v>1</v>
      </c>
      <c r="T25" s="3013"/>
      <c r="U25" s="3013"/>
      <c r="V25" s="3013">
        <f t="shared" si="1"/>
        <v>0</v>
      </c>
      <c r="W25" s="3013">
        <f t="shared" si="2"/>
        <v>100</v>
      </c>
      <c r="X25" s="3013">
        <f t="shared" si="9"/>
        <v>1</v>
      </c>
      <c r="Y25" s="3013">
        <f t="shared" si="10"/>
        <v>1</v>
      </c>
      <c r="Z25" s="3026"/>
      <c r="AA25" s="2979" t="s">
        <v>1665</v>
      </c>
    </row>
    <row r="26" spans="1:27" s="2973" customFormat="1" x14ac:dyDescent="0.25">
      <c r="A26" s="3005"/>
      <c r="B26" s="2994">
        <v>981</v>
      </c>
      <c r="C26" s="2996" t="s">
        <v>2136</v>
      </c>
      <c r="D26" s="3003">
        <v>4</v>
      </c>
      <c r="E26" s="3025">
        <v>150</v>
      </c>
      <c r="F26" s="3011">
        <f t="shared" si="5"/>
        <v>0.6</v>
      </c>
      <c r="G26" s="3013"/>
      <c r="H26" s="3013">
        <v>4</v>
      </c>
      <c r="I26" s="3013">
        <v>150</v>
      </c>
      <c r="J26" s="3013">
        <f t="shared" si="6"/>
        <v>0.6</v>
      </c>
      <c r="K26" s="3013"/>
      <c r="L26" s="3013">
        <v>4</v>
      </c>
      <c r="M26" s="3013">
        <v>150</v>
      </c>
      <c r="N26" s="3013">
        <f t="shared" si="7"/>
        <v>0.6</v>
      </c>
      <c r="O26" s="3015"/>
      <c r="P26" s="3013">
        <v>4</v>
      </c>
      <c r="Q26" s="3013">
        <v>150</v>
      </c>
      <c r="R26" s="3013">
        <f t="shared" si="8"/>
        <v>0.6</v>
      </c>
      <c r="S26" s="3013">
        <f t="shared" si="3"/>
        <v>0.6</v>
      </c>
      <c r="T26" s="3013"/>
      <c r="U26" s="3013"/>
      <c r="V26" s="3013">
        <f t="shared" si="1"/>
        <v>0</v>
      </c>
      <c r="W26" s="3013">
        <f t="shared" si="2"/>
        <v>100</v>
      </c>
      <c r="X26" s="3013">
        <f t="shared" si="9"/>
        <v>0.6</v>
      </c>
      <c r="Y26" s="3013">
        <f t="shared" si="10"/>
        <v>0.6</v>
      </c>
      <c r="Z26" s="3026"/>
      <c r="AA26" s="2979" t="s">
        <v>1665</v>
      </c>
    </row>
    <row r="27" spans="1:27" s="2973" customFormat="1" x14ac:dyDescent="0.25">
      <c r="A27" s="3005"/>
      <c r="B27" s="2994">
        <v>981</v>
      </c>
      <c r="C27" s="2996" t="s">
        <v>2137</v>
      </c>
      <c r="D27" s="3003">
        <v>10</v>
      </c>
      <c r="E27" s="3025">
        <v>150</v>
      </c>
      <c r="F27" s="3011">
        <f t="shared" si="5"/>
        <v>1.5</v>
      </c>
      <c r="G27" s="3013"/>
      <c r="H27" s="3013">
        <v>10</v>
      </c>
      <c r="I27" s="3013">
        <v>150</v>
      </c>
      <c r="J27" s="3013">
        <f t="shared" si="6"/>
        <v>1.5</v>
      </c>
      <c r="K27" s="3013"/>
      <c r="L27" s="3013">
        <v>10</v>
      </c>
      <c r="M27" s="3013">
        <v>150</v>
      </c>
      <c r="N27" s="3013">
        <f t="shared" si="7"/>
        <v>1.5</v>
      </c>
      <c r="O27" s="3015"/>
      <c r="P27" s="3013">
        <v>10</v>
      </c>
      <c r="Q27" s="3013">
        <v>150</v>
      </c>
      <c r="R27" s="3013">
        <f t="shared" si="8"/>
        <v>1.5</v>
      </c>
      <c r="S27" s="3013">
        <f t="shared" si="3"/>
        <v>1.5</v>
      </c>
      <c r="T27" s="3013"/>
      <c r="U27" s="3013"/>
      <c r="V27" s="3013">
        <f t="shared" si="1"/>
        <v>0</v>
      </c>
      <c r="W27" s="3013">
        <f t="shared" si="2"/>
        <v>100</v>
      </c>
      <c r="X27" s="3013">
        <f t="shared" si="9"/>
        <v>1.5</v>
      </c>
      <c r="Y27" s="3013">
        <f t="shared" si="10"/>
        <v>1.5</v>
      </c>
      <c r="Z27" s="3026"/>
      <c r="AA27" s="2979" t="s">
        <v>1665</v>
      </c>
    </row>
    <row r="28" spans="1:27" s="2973" customFormat="1" x14ac:dyDescent="0.25">
      <c r="A28" s="3005"/>
      <c r="B28" s="2994">
        <v>985</v>
      </c>
      <c r="C28" s="2996" t="s">
        <v>2138</v>
      </c>
      <c r="D28" s="3003">
        <v>50</v>
      </c>
      <c r="E28" s="3025">
        <v>30</v>
      </c>
      <c r="F28" s="3011">
        <f t="shared" si="5"/>
        <v>1.5</v>
      </c>
      <c r="G28" s="3013"/>
      <c r="H28" s="3013">
        <v>50</v>
      </c>
      <c r="I28" s="3013">
        <v>30</v>
      </c>
      <c r="J28" s="3013">
        <f t="shared" si="6"/>
        <v>1.5</v>
      </c>
      <c r="K28" s="3013"/>
      <c r="L28" s="3013">
        <v>50</v>
      </c>
      <c r="M28" s="3013">
        <v>30</v>
      </c>
      <c r="N28" s="3013">
        <f t="shared" si="7"/>
        <v>1.5</v>
      </c>
      <c r="O28" s="3015"/>
      <c r="P28" s="3013">
        <v>50</v>
      </c>
      <c r="Q28" s="3013">
        <v>30</v>
      </c>
      <c r="R28" s="3013">
        <f t="shared" si="8"/>
        <v>1.5</v>
      </c>
      <c r="S28" s="3013">
        <f t="shared" si="3"/>
        <v>1.5</v>
      </c>
      <c r="T28" s="3013"/>
      <c r="U28" s="3013"/>
      <c r="V28" s="3013">
        <f t="shared" si="1"/>
        <v>0</v>
      </c>
      <c r="W28" s="3013">
        <f t="shared" si="2"/>
        <v>100</v>
      </c>
      <c r="X28" s="3013">
        <f t="shared" si="9"/>
        <v>1.5</v>
      </c>
      <c r="Y28" s="3013">
        <f t="shared" si="10"/>
        <v>1.5</v>
      </c>
      <c r="Z28" s="3026"/>
      <c r="AA28" s="2979" t="s">
        <v>1665</v>
      </c>
    </row>
    <row r="29" spans="1:27" s="2973" customFormat="1" x14ac:dyDescent="0.25">
      <c r="A29" s="3005"/>
      <c r="B29" s="2994">
        <v>981</v>
      </c>
      <c r="C29" s="2996" t="s">
        <v>2139</v>
      </c>
      <c r="D29" s="3003">
        <v>40</v>
      </c>
      <c r="E29" s="3025">
        <v>10</v>
      </c>
      <c r="F29" s="3011">
        <f t="shared" si="5"/>
        <v>0.4</v>
      </c>
      <c r="G29" s="3013"/>
      <c r="H29" s="3013">
        <v>40</v>
      </c>
      <c r="I29" s="3013">
        <v>10</v>
      </c>
      <c r="J29" s="3013">
        <f t="shared" si="6"/>
        <v>0.4</v>
      </c>
      <c r="K29" s="3013"/>
      <c r="L29" s="3013">
        <v>40</v>
      </c>
      <c r="M29" s="3013">
        <v>10</v>
      </c>
      <c r="N29" s="3013">
        <f t="shared" si="7"/>
        <v>0.4</v>
      </c>
      <c r="O29" s="3015"/>
      <c r="P29" s="3013">
        <v>40</v>
      </c>
      <c r="Q29" s="3013">
        <v>10</v>
      </c>
      <c r="R29" s="3013">
        <f t="shared" si="8"/>
        <v>0.4</v>
      </c>
      <c r="S29" s="3013">
        <f t="shared" si="3"/>
        <v>0.4</v>
      </c>
      <c r="T29" s="3013"/>
      <c r="U29" s="3013"/>
      <c r="V29" s="3013">
        <f t="shared" si="1"/>
        <v>0</v>
      </c>
      <c r="W29" s="3013">
        <f t="shared" si="2"/>
        <v>100</v>
      </c>
      <c r="X29" s="3013">
        <f t="shared" si="9"/>
        <v>0.4</v>
      </c>
      <c r="Y29" s="3013">
        <f t="shared" si="10"/>
        <v>0.4</v>
      </c>
      <c r="Z29" s="3026"/>
      <c r="AA29" s="2979" t="s">
        <v>1665</v>
      </c>
    </row>
    <row r="30" spans="1:27" s="2973" customFormat="1" x14ac:dyDescent="0.25">
      <c r="A30" s="3005"/>
      <c r="B30" s="2994">
        <v>981</v>
      </c>
      <c r="C30" s="2996" t="s">
        <v>2140</v>
      </c>
      <c r="D30" s="3003">
        <v>50</v>
      </c>
      <c r="E30" s="3025">
        <v>10</v>
      </c>
      <c r="F30" s="3011">
        <f t="shared" si="5"/>
        <v>0.5</v>
      </c>
      <c r="G30" s="3013"/>
      <c r="H30" s="3013">
        <v>50</v>
      </c>
      <c r="I30" s="3013">
        <v>10</v>
      </c>
      <c r="J30" s="3013">
        <f t="shared" si="6"/>
        <v>0.5</v>
      </c>
      <c r="K30" s="3013"/>
      <c r="L30" s="3013">
        <v>50</v>
      </c>
      <c r="M30" s="3013">
        <v>10</v>
      </c>
      <c r="N30" s="3013">
        <f t="shared" si="7"/>
        <v>0.5</v>
      </c>
      <c r="O30" s="3015"/>
      <c r="P30" s="3013">
        <v>50</v>
      </c>
      <c r="Q30" s="3013">
        <v>10</v>
      </c>
      <c r="R30" s="3013">
        <f t="shared" si="8"/>
        <v>0.5</v>
      </c>
      <c r="S30" s="3013">
        <f t="shared" si="3"/>
        <v>0.5</v>
      </c>
      <c r="T30" s="3013"/>
      <c r="U30" s="3013"/>
      <c r="V30" s="3013">
        <f t="shared" si="1"/>
        <v>0</v>
      </c>
      <c r="W30" s="3013">
        <f t="shared" si="2"/>
        <v>100</v>
      </c>
      <c r="X30" s="3013">
        <f t="shared" si="9"/>
        <v>0.5</v>
      </c>
      <c r="Y30" s="3013">
        <f t="shared" si="10"/>
        <v>0.5</v>
      </c>
      <c r="Z30" s="3026"/>
      <c r="AA30" s="2979" t="s">
        <v>1665</v>
      </c>
    </row>
    <row r="31" spans="1:27" s="2973" customFormat="1" x14ac:dyDescent="0.25">
      <c r="A31" s="3005"/>
      <c r="B31" s="2994">
        <v>981</v>
      </c>
      <c r="C31" s="2996" t="s">
        <v>2141</v>
      </c>
      <c r="D31" s="3003">
        <v>10</v>
      </c>
      <c r="E31" s="3025">
        <v>50</v>
      </c>
      <c r="F31" s="3011">
        <f t="shared" si="5"/>
        <v>0.5</v>
      </c>
      <c r="G31" s="3013"/>
      <c r="H31" s="3013">
        <v>10</v>
      </c>
      <c r="I31" s="3013">
        <v>50</v>
      </c>
      <c r="J31" s="3013">
        <f t="shared" si="6"/>
        <v>0.5</v>
      </c>
      <c r="K31" s="3013"/>
      <c r="L31" s="3013">
        <v>10</v>
      </c>
      <c r="M31" s="3013">
        <v>50</v>
      </c>
      <c r="N31" s="3013">
        <f t="shared" si="7"/>
        <v>0.5</v>
      </c>
      <c r="O31" s="3015"/>
      <c r="P31" s="3013">
        <v>10</v>
      </c>
      <c r="Q31" s="3013">
        <v>50</v>
      </c>
      <c r="R31" s="3013">
        <f t="shared" si="8"/>
        <v>0.5</v>
      </c>
      <c r="S31" s="3013">
        <f t="shared" si="3"/>
        <v>0.5</v>
      </c>
      <c r="T31" s="3013"/>
      <c r="U31" s="3013"/>
      <c r="V31" s="3013">
        <f t="shared" si="1"/>
        <v>0</v>
      </c>
      <c r="W31" s="3013">
        <f t="shared" si="2"/>
        <v>100</v>
      </c>
      <c r="X31" s="3013">
        <f t="shared" si="9"/>
        <v>0.5</v>
      </c>
      <c r="Y31" s="3013">
        <f t="shared" si="10"/>
        <v>0.5</v>
      </c>
      <c r="Z31" s="3026"/>
      <c r="AA31" s="2979" t="s">
        <v>1665</v>
      </c>
    </row>
    <row r="32" spans="1:27" s="2973" customFormat="1" x14ac:dyDescent="0.25">
      <c r="A32" s="3005"/>
      <c r="B32" s="2994">
        <v>981</v>
      </c>
      <c r="C32" s="2996" t="s">
        <v>2142</v>
      </c>
      <c r="D32" s="3003">
        <v>12</v>
      </c>
      <c r="E32" s="3025">
        <v>100</v>
      </c>
      <c r="F32" s="3011">
        <f t="shared" si="5"/>
        <v>1.2</v>
      </c>
      <c r="G32" s="3013"/>
      <c r="H32" s="3013">
        <v>12</v>
      </c>
      <c r="I32" s="3013">
        <v>100</v>
      </c>
      <c r="J32" s="3013">
        <f t="shared" si="6"/>
        <v>1.2</v>
      </c>
      <c r="K32" s="3013"/>
      <c r="L32" s="3013">
        <v>12</v>
      </c>
      <c r="M32" s="3013">
        <v>100</v>
      </c>
      <c r="N32" s="3013">
        <f t="shared" si="7"/>
        <v>1.2</v>
      </c>
      <c r="O32" s="3015"/>
      <c r="P32" s="3013">
        <v>12</v>
      </c>
      <c r="Q32" s="3013">
        <v>100</v>
      </c>
      <c r="R32" s="3013">
        <f t="shared" si="8"/>
        <v>1.2</v>
      </c>
      <c r="S32" s="3013">
        <f t="shared" si="3"/>
        <v>1.2</v>
      </c>
      <c r="T32" s="3013"/>
      <c r="U32" s="3013"/>
      <c r="V32" s="3013">
        <f t="shared" ref="V32:V45" si="11">R32-J32</f>
        <v>0</v>
      </c>
      <c r="W32" s="3013">
        <f t="shared" ref="W32:W45" si="12">IFERROR((R32)/J32*100,0)</f>
        <v>100</v>
      </c>
      <c r="X32" s="3013">
        <f t="shared" si="9"/>
        <v>1.2</v>
      </c>
      <c r="Y32" s="3013">
        <f t="shared" si="10"/>
        <v>1.2</v>
      </c>
      <c r="Z32" s="3026"/>
      <c r="AA32" s="2979" t="s">
        <v>1665</v>
      </c>
    </row>
    <row r="33" spans="1:27" s="2995" customFormat="1" ht="31.5" x14ac:dyDescent="0.25">
      <c r="A33" s="3004"/>
      <c r="B33" s="3027">
        <v>981</v>
      </c>
      <c r="C33" s="2993" t="s">
        <v>2143</v>
      </c>
      <c r="D33" s="3002"/>
      <c r="E33" s="3009"/>
      <c r="F33" s="3008">
        <f>SUM(F34:F45)</f>
        <v>10.6</v>
      </c>
      <c r="G33" s="3012"/>
      <c r="H33" s="3012"/>
      <c r="I33" s="3012"/>
      <c r="J33" s="3008">
        <f>SUM(J34:J45)</f>
        <v>10.6</v>
      </c>
      <c r="K33" s="3012"/>
      <c r="L33" s="3012"/>
      <c r="M33" s="3012"/>
      <c r="N33" s="3008">
        <f>SUM(N34:N45)</f>
        <v>10.6</v>
      </c>
      <c r="O33" s="3014"/>
      <c r="P33" s="3012"/>
      <c r="Q33" s="3012"/>
      <c r="R33" s="3008">
        <f>SUM(R34:R45)</f>
        <v>10</v>
      </c>
      <c r="S33" s="3008">
        <f t="shared" ref="S33:S45" si="13">R33</f>
        <v>10</v>
      </c>
      <c r="T33" s="3008"/>
      <c r="U33" s="3012"/>
      <c r="V33" s="3012">
        <f t="shared" si="11"/>
        <v>-0.6</v>
      </c>
      <c r="W33" s="3012">
        <f t="shared" si="12"/>
        <v>94.3</v>
      </c>
      <c r="X33" s="3008">
        <f>SUM(X34:X45)</f>
        <v>10</v>
      </c>
      <c r="Y33" s="3008">
        <f>SUM(Y34:Y45)</f>
        <v>10</v>
      </c>
      <c r="Z33" s="3026"/>
      <c r="AA33" s="2979" t="s">
        <v>1665</v>
      </c>
    </row>
    <row r="34" spans="1:27" s="2973" customFormat="1" x14ac:dyDescent="0.25">
      <c r="A34" s="3005"/>
      <c r="B34" s="2994"/>
      <c r="C34" s="2996" t="s">
        <v>2144</v>
      </c>
      <c r="D34" s="3003">
        <v>100</v>
      </c>
      <c r="E34" s="3025">
        <v>39</v>
      </c>
      <c r="F34" s="3011">
        <f t="shared" ref="F34:F45" si="14">D34*E34/1000</f>
        <v>3.9</v>
      </c>
      <c r="G34" s="3013"/>
      <c r="H34" s="3013">
        <v>100</v>
      </c>
      <c r="I34" s="3013">
        <v>39</v>
      </c>
      <c r="J34" s="3013">
        <f t="shared" si="6"/>
        <v>3.9</v>
      </c>
      <c r="K34" s="3013"/>
      <c r="L34" s="3013">
        <v>100</v>
      </c>
      <c r="M34" s="3013">
        <v>39</v>
      </c>
      <c r="N34" s="3013">
        <f t="shared" ref="N34:N45" si="15">L34*M34/1000</f>
        <v>3.9</v>
      </c>
      <c r="O34" s="3015"/>
      <c r="P34" s="3013">
        <v>100</v>
      </c>
      <c r="Q34" s="3013">
        <v>39</v>
      </c>
      <c r="R34" s="3013">
        <f t="shared" ref="R34:R45" si="16">P34*Q34/1000</f>
        <v>3.9</v>
      </c>
      <c r="S34" s="3013">
        <f t="shared" si="13"/>
        <v>3.9</v>
      </c>
      <c r="T34" s="3013"/>
      <c r="U34" s="3013"/>
      <c r="V34" s="3013">
        <f t="shared" si="11"/>
        <v>0</v>
      </c>
      <c r="W34" s="3013">
        <f t="shared" si="12"/>
        <v>100</v>
      </c>
      <c r="X34" s="3013">
        <f>R34</f>
        <v>3.9</v>
      </c>
      <c r="Y34" s="3013">
        <f>X34</f>
        <v>3.9</v>
      </c>
      <c r="Z34" s="3026"/>
      <c r="AA34" s="2979" t="s">
        <v>1665</v>
      </c>
    </row>
    <row r="35" spans="1:27" s="2973" customFormat="1" x14ac:dyDescent="0.25">
      <c r="A35" s="3005"/>
      <c r="B35" s="2994"/>
      <c r="C35" s="2996" t="s">
        <v>2134</v>
      </c>
      <c r="D35" s="3003">
        <v>10</v>
      </c>
      <c r="E35" s="3025">
        <v>100</v>
      </c>
      <c r="F35" s="3011">
        <f t="shared" si="14"/>
        <v>1</v>
      </c>
      <c r="G35" s="3013"/>
      <c r="H35" s="3013">
        <v>10</v>
      </c>
      <c r="I35" s="3013">
        <v>100</v>
      </c>
      <c r="J35" s="3013">
        <f t="shared" si="6"/>
        <v>1</v>
      </c>
      <c r="K35" s="3013"/>
      <c r="L35" s="3013">
        <v>10</v>
      </c>
      <c r="M35" s="3013">
        <v>100</v>
      </c>
      <c r="N35" s="3013">
        <f t="shared" si="15"/>
        <v>1</v>
      </c>
      <c r="O35" s="3015"/>
      <c r="P35" s="3013">
        <v>10</v>
      </c>
      <c r="Q35" s="3013">
        <v>100</v>
      </c>
      <c r="R35" s="3013">
        <f t="shared" si="16"/>
        <v>1</v>
      </c>
      <c r="S35" s="3013">
        <f t="shared" si="13"/>
        <v>1</v>
      </c>
      <c r="T35" s="3013"/>
      <c r="U35" s="3013"/>
      <c r="V35" s="3013">
        <f t="shared" si="11"/>
        <v>0</v>
      </c>
      <c r="W35" s="3013">
        <f t="shared" si="12"/>
        <v>100</v>
      </c>
      <c r="X35" s="3013">
        <f t="shared" ref="X35:X45" si="17">R35</f>
        <v>1</v>
      </c>
      <c r="Y35" s="3013">
        <f t="shared" ref="Y35:Y45" si="18">X35</f>
        <v>1</v>
      </c>
      <c r="Z35" s="3026"/>
      <c r="AA35" s="2979" t="s">
        <v>1665</v>
      </c>
    </row>
    <row r="36" spans="1:27" s="2973" customFormat="1" x14ac:dyDescent="0.25">
      <c r="A36" s="3005"/>
      <c r="B36" s="2994"/>
      <c r="C36" s="2996" t="s">
        <v>2145</v>
      </c>
      <c r="D36" s="3003">
        <v>15</v>
      </c>
      <c r="E36" s="3025">
        <v>56</v>
      </c>
      <c r="F36" s="3011">
        <f t="shared" si="14"/>
        <v>0.8</v>
      </c>
      <c r="G36" s="3013"/>
      <c r="H36" s="3013">
        <v>15</v>
      </c>
      <c r="I36" s="3013">
        <v>56</v>
      </c>
      <c r="J36" s="3013">
        <f t="shared" si="6"/>
        <v>0.8</v>
      </c>
      <c r="K36" s="3013"/>
      <c r="L36" s="3013">
        <v>15</v>
      </c>
      <c r="M36" s="3013">
        <v>56</v>
      </c>
      <c r="N36" s="3013">
        <f t="shared" si="15"/>
        <v>0.8</v>
      </c>
      <c r="O36" s="3015"/>
      <c r="P36" s="3013">
        <v>15</v>
      </c>
      <c r="Q36" s="3013">
        <v>56</v>
      </c>
      <c r="R36" s="3013">
        <f t="shared" si="16"/>
        <v>0.8</v>
      </c>
      <c r="S36" s="3013">
        <f t="shared" si="13"/>
        <v>0.8</v>
      </c>
      <c r="T36" s="3013"/>
      <c r="U36" s="3013"/>
      <c r="V36" s="3013">
        <f t="shared" si="11"/>
        <v>0</v>
      </c>
      <c r="W36" s="3013">
        <f t="shared" si="12"/>
        <v>100</v>
      </c>
      <c r="X36" s="3013">
        <f t="shared" si="17"/>
        <v>0.8</v>
      </c>
      <c r="Y36" s="3013">
        <f t="shared" si="18"/>
        <v>0.8</v>
      </c>
      <c r="Z36" s="3026"/>
      <c r="AA36" s="2979" t="s">
        <v>1665</v>
      </c>
    </row>
    <row r="37" spans="1:27" s="2973" customFormat="1" x14ac:dyDescent="0.25">
      <c r="A37" s="3005"/>
      <c r="B37" s="2994"/>
      <c r="C37" s="2996" t="s">
        <v>2133</v>
      </c>
      <c r="D37" s="3003">
        <v>10</v>
      </c>
      <c r="E37" s="3025">
        <v>70</v>
      </c>
      <c r="F37" s="3011">
        <f t="shared" si="14"/>
        <v>0.7</v>
      </c>
      <c r="G37" s="3013"/>
      <c r="H37" s="3013">
        <v>10</v>
      </c>
      <c r="I37" s="3013">
        <v>70</v>
      </c>
      <c r="J37" s="3013">
        <f t="shared" si="6"/>
        <v>0.7</v>
      </c>
      <c r="K37" s="3013"/>
      <c r="L37" s="3013">
        <v>10</v>
      </c>
      <c r="M37" s="3013">
        <v>70</v>
      </c>
      <c r="N37" s="3013">
        <f t="shared" si="15"/>
        <v>0.7</v>
      </c>
      <c r="O37" s="3015"/>
      <c r="P37" s="3013">
        <v>10</v>
      </c>
      <c r="Q37" s="3013">
        <v>70</v>
      </c>
      <c r="R37" s="3013">
        <f t="shared" si="16"/>
        <v>0.7</v>
      </c>
      <c r="S37" s="3013">
        <f t="shared" si="13"/>
        <v>0.7</v>
      </c>
      <c r="T37" s="3013"/>
      <c r="U37" s="3013"/>
      <c r="V37" s="3013">
        <f t="shared" si="11"/>
        <v>0</v>
      </c>
      <c r="W37" s="3013">
        <f t="shared" si="12"/>
        <v>100</v>
      </c>
      <c r="X37" s="3013">
        <f t="shared" si="17"/>
        <v>0.7</v>
      </c>
      <c r="Y37" s="3013">
        <f t="shared" si="18"/>
        <v>0.7</v>
      </c>
      <c r="Z37" s="3026"/>
      <c r="AA37" s="2979" t="s">
        <v>1665</v>
      </c>
    </row>
    <row r="38" spans="1:27" s="2973" customFormat="1" x14ac:dyDescent="0.25">
      <c r="A38" s="3005"/>
      <c r="B38" s="2994"/>
      <c r="C38" s="2996" t="s">
        <v>2146</v>
      </c>
      <c r="D38" s="3003">
        <v>100</v>
      </c>
      <c r="E38" s="3025">
        <v>25</v>
      </c>
      <c r="F38" s="3011">
        <f t="shared" si="14"/>
        <v>2.5</v>
      </c>
      <c r="G38" s="3013"/>
      <c r="H38" s="3013">
        <v>100</v>
      </c>
      <c r="I38" s="3013">
        <v>25</v>
      </c>
      <c r="J38" s="3013">
        <f t="shared" si="6"/>
        <v>2.5</v>
      </c>
      <c r="K38" s="3013"/>
      <c r="L38" s="3013">
        <v>100</v>
      </c>
      <c r="M38" s="3013">
        <v>25</v>
      </c>
      <c r="N38" s="3013">
        <f t="shared" si="15"/>
        <v>2.5</v>
      </c>
      <c r="O38" s="3015"/>
      <c r="P38" s="3013">
        <v>100</v>
      </c>
      <c r="Q38" s="3013">
        <v>25</v>
      </c>
      <c r="R38" s="3013">
        <f t="shared" si="16"/>
        <v>2.5</v>
      </c>
      <c r="S38" s="3013">
        <f t="shared" si="13"/>
        <v>2.5</v>
      </c>
      <c r="T38" s="3013"/>
      <c r="U38" s="3013"/>
      <c r="V38" s="3013">
        <f t="shared" si="11"/>
        <v>0</v>
      </c>
      <c r="W38" s="3013">
        <f t="shared" si="12"/>
        <v>100</v>
      </c>
      <c r="X38" s="3013">
        <f t="shared" si="17"/>
        <v>2.5</v>
      </c>
      <c r="Y38" s="3013">
        <f t="shared" si="18"/>
        <v>2.5</v>
      </c>
      <c r="Z38" s="3026"/>
      <c r="AA38" s="2979" t="s">
        <v>1665</v>
      </c>
    </row>
    <row r="39" spans="1:27" s="2973" customFormat="1" x14ac:dyDescent="0.25">
      <c r="A39" s="3005"/>
      <c r="B39" s="2994"/>
      <c r="C39" s="2996" t="s">
        <v>2147</v>
      </c>
      <c r="D39" s="3003">
        <v>10</v>
      </c>
      <c r="E39" s="3025">
        <v>30</v>
      </c>
      <c r="F39" s="3011">
        <f t="shared" si="14"/>
        <v>0.3</v>
      </c>
      <c r="G39" s="3013"/>
      <c r="H39" s="3013">
        <v>10</v>
      </c>
      <c r="I39" s="3013">
        <v>30</v>
      </c>
      <c r="J39" s="3013">
        <f t="shared" si="6"/>
        <v>0.3</v>
      </c>
      <c r="K39" s="3013"/>
      <c r="L39" s="3013">
        <v>10</v>
      </c>
      <c r="M39" s="3013">
        <v>30</v>
      </c>
      <c r="N39" s="3013">
        <f t="shared" si="15"/>
        <v>0.3</v>
      </c>
      <c r="O39" s="3015"/>
      <c r="P39" s="3013">
        <v>10</v>
      </c>
      <c r="Q39" s="3013">
        <v>30</v>
      </c>
      <c r="R39" s="3013">
        <f t="shared" si="16"/>
        <v>0.3</v>
      </c>
      <c r="S39" s="3013">
        <f t="shared" si="13"/>
        <v>0.3</v>
      </c>
      <c r="T39" s="3013"/>
      <c r="U39" s="3013"/>
      <c r="V39" s="3013">
        <f t="shared" si="11"/>
        <v>0</v>
      </c>
      <c r="W39" s="3013">
        <f t="shared" si="12"/>
        <v>100</v>
      </c>
      <c r="X39" s="3013">
        <f t="shared" si="17"/>
        <v>0.3</v>
      </c>
      <c r="Y39" s="3013">
        <f t="shared" si="18"/>
        <v>0.3</v>
      </c>
      <c r="Z39" s="3026"/>
      <c r="AA39" s="2979" t="s">
        <v>1665</v>
      </c>
    </row>
    <row r="40" spans="1:27" s="2973" customFormat="1" x14ac:dyDescent="0.25">
      <c r="A40" s="3005"/>
      <c r="B40" s="2994"/>
      <c r="C40" s="2996" t="s">
        <v>2148</v>
      </c>
      <c r="D40" s="3003">
        <v>10</v>
      </c>
      <c r="E40" s="3025">
        <v>20</v>
      </c>
      <c r="F40" s="3011">
        <f t="shared" si="14"/>
        <v>0.2</v>
      </c>
      <c r="G40" s="3013"/>
      <c r="H40" s="3013">
        <v>10</v>
      </c>
      <c r="I40" s="3013">
        <v>20</v>
      </c>
      <c r="J40" s="3013">
        <f t="shared" si="6"/>
        <v>0.2</v>
      </c>
      <c r="K40" s="3013"/>
      <c r="L40" s="3013">
        <v>10</v>
      </c>
      <c r="M40" s="3013">
        <v>20</v>
      </c>
      <c r="N40" s="3013">
        <f t="shared" si="15"/>
        <v>0.2</v>
      </c>
      <c r="O40" s="3015"/>
      <c r="P40" s="3013">
        <v>10</v>
      </c>
      <c r="Q40" s="3013">
        <v>20</v>
      </c>
      <c r="R40" s="3013">
        <f t="shared" si="16"/>
        <v>0.2</v>
      </c>
      <c r="S40" s="3013">
        <f t="shared" si="13"/>
        <v>0.2</v>
      </c>
      <c r="T40" s="3013"/>
      <c r="U40" s="3013"/>
      <c r="V40" s="3013">
        <f t="shared" si="11"/>
        <v>0</v>
      </c>
      <c r="W40" s="3013">
        <f t="shared" si="12"/>
        <v>100</v>
      </c>
      <c r="X40" s="3013">
        <f t="shared" si="17"/>
        <v>0.2</v>
      </c>
      <c r="Y40" s="3013">
        <f t="shared" si="18"/>
        <v>0.2</v>
      </c>
      <c r="Z40" s="3026"/>
      <c r="AA40" s="2979" t="s">
        <v>1665</v>
      </c>
    </row>
    <row r="41" spans="1:27" s="2973" customFormat="1" x14ac:dyDescent="0.25">
      <c r="A41" s="3005"/>
      <c r="B41" s="2994"/>
      <c r="C41" s="2996" t="s">
        <v>2149</v>
      </c>
      <c r="D41" s="3003">
        <v>3</v>
      </c>
      <c r="E41" s="3025">
        <v>60</v>
      </c>
      <c r="F41" s="3011">
        <f t="shared" si="14"/>
        <v>0.2</v>
      </c>
      <c r="G41" s="3013"/>
      <c r="H41" s="3013">
        <v>3</v>
      </c>
      <c r="I41" s="3013">
        <v>60</v>
      </c>
      <c r="J41" s="3013">
        <f t="shared" si="6"/>
        <v>0.2</v>
      </c>
      <c r="K41" s="3013"/>
      <c r="L41" s="3013">
        <v>3</v>
      </c>
      <c r="M41" s="3013">
        <v>60</v>
      </c>
      <c r="N41" s="3013">
        <f t="shared" si="15"/>
        <v>0.2</v>
      </c>
      <c r="O41" s="3015"/>
      <c r="P41" s="3013">
        <v>3</v>
      </c>
      <c r="Q41" s="3013">
        <v>60</v>
      </c>
      <c r="R41" s="3013">
        <f t="shared" si="16"/>
        <v>0.2</v>
      </c>
      <c r="S41" s="3013">
        <f t="shared" si="13"/>
        <v>0.2</v>
      </c>
      <c r="T41" s="3013"/>
      <c r="U41" s="3013"/>
      <c r="V41" s="3013">
        <f t="shared" si="11"/>
        <v>0</v>
      </c>
      <c r="W41" s="3013">
        <f t="shared" si="12"/>
        <v>100</v>
      </c>
      <c r="X41" s="3013">
        <f t="shared" si="17"/>
        <v>0.2</v>
      </c>
      <c r="Y41" s="3013">
        <f t="shared" si="18"/>
        <v>0.2</v>
      </c>
      <c r="Z41" s="3026"/>
      <c r="AA41" s="2979" t="s">
        <v>1665</v>
      </c>
    </row>
    <row r="42" spans="1:27" s="2973" customFormat="1" x14ac:dyDescent="0.25">
      <c r="A42" s="3005"/>
      <c r="B42" s="2994"/>
      <c r="C42" s="2996" t="s">
        <v>2150</v>
      </c>
      <c r="D42" s="3003">
        <v>5</v>
      </c>
      <c r="E42" s="3025">
        <v>15</v>
      </c>
      <c r="F42" s="3011">
        <f t="shared" si="14"/>
        <v>0.1</v>
      </c>
      <c r="G42" s="3013"/>
      <c r="H42" s="3013">
        <v>5</v>
      </c>
      <c r="I42" s="3013">
        <v>15</v>
      </c>
      <c r="J42" s="3013">
        <f t="shared" si="6"/>
        <v>0.1</v>
      </c>
      <c r="K42" s="3013"/>
      <c r="L42" s="3013">
        <v>5</v>
      </c>
      <c r="M42" s="3013">
        <v>15</v>
      </c>
      <c r="N42" s="3013">
        <f t="shared" si="15"/>
        <v>0.1</v>
      </c>
      <c r="O42" s="3015"/>
      <c r="P42" s="3013"/>
      <c r="Q42" s="3013"/>
      <c r="R42" s="3013">
        <f t="shared" si="16"/>
        <v>0</v>
      </c>
      <c r="S42" s="3013">
        <f t="shared" si="13"/>
        <v>0</v>
      </c>
      <c r="T42" s="3013"/>
      <c r="U42" s="3013"/>
      <c r="V42" s="3013">
        <f t="shared" si="11"/>
        <v>-0.1</v>
      </c>
      <c r="W42" s="3013">
        <f t="shared" si="12"/>
        <v>0</v>
      </c>
      <c r="X42" s="3013">
        <f t="shared" si="17"/>
        <v>0</v>
      </c>
      <c r="Y42" s="3013">
        <f t="shared" si="18"/>
        <v>0</v>
      </c>
      <c r="Z42" s="3026"/>
      <c r="AA42" s="2979" t="s">
        <v>1665</v>
      </c>
    </row>
    <row r="43" spans="1:27" s="2973" customFormat="1" x14ac:dyDescent="0.25">
      <c r="A43" s="3005"/>
      <c r="B43" s="2994"/>
      <c r="C43" s="2996" t="s">
        <v>1294</v>
      </c>
      <c r="D43" s="3003">
        <v>4</v>
      </c>
      <c r="E43" s="3025">
        <v>120</v>
      </c>
      <c r="F43" s="3011">
        <f t="shared" si="14"/>
        <v>0.5</v>
      </c>
      <c r="G43" s="3013"/>
      <c r="H43" s="3013">
        <v>4</v>
      </c>
      <c r="I43" s="3013">
        <v>120</v>
      </c>
      <c r="J43" s="3013">
        <f t="shared" si="6"/>
        <v>0.5</v>
      </c>
      <c r="K43" s="3013"/>
      <c r="L43" s="3013">
        <v>4</v>
      </c>
      <c r="M43" s="3013">
        <v>120</v>
      </c>
      <c r="N43" s="3013">
        <f t="shared" si="15"/>
        <v>0.5</v>
      </c>
      <c r="O43" s="3015"/>
      <c r="P43" s="3013"/>
      <c r="Q43" s="3013"/>
      <c r="R43" s="3013">
        <f t="shared" si="16"/>
        <v>0</v>
      </c>
      <c r="S43" s="3013">
        <f t="shared" si="13"/>
        <v>0</v>
      </c>
      <c r="T43" s="3013"/>
      <c r="U43" s="3013"/>
      <c r="V43" s="3013">
        <f t="shared" si="11"/>
        <v>-0.5</v>
      </c>
      <c r="W43" s="3013">
        <f t="shared" si="12"/>
        <v>0</v>
      </c>
      <c r="X43" s="3013">
        <f t="shared" si="17"/>
        <v>0</v>
      </c>
      <c r="Y43" s="3013">
        <f t="shared" si="18"/>
        <v>0</v>
      </c>
      <c r="Z43" s="3026"/>
      <c r="AA43" s="2979" t="s">
        <v>1665</v>
      </c>
    </row>
    <row r="44" spans="1:27" s="2973" customFormat="1" x14ac:dyDescent="0.25">
      <c r="A44" s="3005"/>
      <c r="B44" s="2994"/>
      <c r="C44" s="2996" t="s">
        <v>2151</v>
      </c>
      <c r="D44" s="3003">
        <v>10</v>
      </c>
      <c r="E44" s="3025">
        <v>28</v>
      </c>
      <c r="F44" s="3011">
        <f t="shared" si="14"/>
        <v>0.3</v>
      </c>
      <c r="G44" s="3013"/>
      <c r="H44" s="3013">
        <v>10</v>
      </c>
      <c r="I44" s="3013">
        <v>28</v>
      </c>
      <c r="J44" s="3013">
        <f t="shared" si="6"/>
        <v>0.3</v>
      </c>
      <c r="K44" s="3013"/>
      <c r="L44" s="3013">
        <v>10</v>
      </c>
      <c r="M44" s="3013">
        <v>28</v>
      </c>
      <c r="N44" s="3013">
        <f t="shared" si="15"/>
        <v>0.3</v>
      </c>
      <c r="O44" s="3015"/>
      <c r="P44" s="3013">
        <v>10</v>
      </c>
      <c r="Q44" s="3013">
        <v>28</v>
      </c>
      <c r="R44" s="3013">
        <f t="shared" si="16"/>
        <v>0.3</v>
      </c>
      <c r="S44" s="3013">
        <f t="shared" si="13"/>
        <v>0.3</v>
      </c>
      <c r="T44" s="3013"/>
      <c r="U44" s="3013"/>
      <c r="V44" s="3013">
        <f t="shared" si="11"/>
        <v>0</v>
      </c>
      <c r="W44" s="3013">
        <f t="shared" si="12"/>
        <v>100</v>
      </c>
      <c r="X44" s="3013">
        <f t="shared" si="17"/>
        <v>0.3</v>
      </c>
      <c r="Y44" s="3013">
        <f t="shared" si="18"/>
        <v>0.3</v>
      </c>
      <c r="Z44" s="3026"/>
      <c r="AA44" s="2979" t="s">
        <v>1665</v>
      </c>
    </row>
    <row r="45" spans="1:27" s="2973" customFormat="1" x14ac:dyDescent="0.25">
      <c r="A45" s="3005"/>
      <c r="B45" s="2994"/>
      <c r="C45" s="2996" t="s">
        <v>760</v>
      </c>
      <c r="D45" s="3003">
        <v>5</v>
      </c>
      <c r="E45" s="3025">
        <v>28</v>
      </c>
      <c r="F45" s="3011">
        <f t="shared" si="14"/>
        <v>0.1</v>
      </c>
      <c r="G45" s="3013"/>
      <c r="H45" s="3013">
        <v>5</v>
      </c>
      <c r="I45" s="3013">
        <v>28</v>
      </c>
      <c r="J45" s="3013">
        <f t="shared" si="6"/>
        <v>0.1</v>
      </c>
      <c r="K45" s="3013"/>
      <c r="L45" s="3013">
        <v>5</v>
      </c>
      <c r="M45" s="3013">
        <v>28</v>
      </c>
      <c r="N45" s="3013">
        <f t="shared" si="15"/>
        <v>0.1</v>
      </c>
      <c r="O45" s="3015"/>
      <c r="P45" s="3013">
        <v>5</v>
      </c>
      <c r="Q45" s="3013">
        <v>28</v>
      </c>
      <c r="R45" s="3013">
        <f t="shared" si="16"/>
        <v>0.1</v>
      </c>
      <c r="S45" s="3013">
        <f t="shared" si="13"/>
        <v>0.1</v>
      </c>
      <c r="T45" s="3013"/>
      <c r="U45" s="3013"/>
      <c r="V45" s="3013">
        <f t="shared" si="11"/>
        <v>0</v>
      </c>
      <c r="W45" s="3013">
        <f t="shared" si="12"/>
        <v>100</v>
      </c>
      <c r="X45" s="3013">
        <f t="shared" si="17"/>
        <v>0.1</v>
      </c>
      <c r="Y45" s="3013">
        <f t="shared" si="18"/>
        <v>0.1</v>
      </c>
      <c r="Z45" s="3026"/>
      <c r="AA45" s="2979" t="s">
        <v>1665</v>
      </c>
    </row>
    <row r="46" spans="1:27" s="3029" customFormat="1" ht="18.75" x14ac:dyDescent="0.3">
      <c r="B46" s="3030"/>
      <c r="C46" s="3031"/>
      <c r="D46" s="3032"/>
      <c r="E46" s="3033"/>
      <c r="F46" s="3034"/>
      <c r="G46" s="3032"/>
      <c r="H46" s="3032"/>
      <c r="I46" s="3032"/>
      <c r="J46" s="3034"/>
      <c r="K46" s="3032"/>
      <c r="L46" s="3032"/>
      <c r="M46" s="3032"/>
      <c r="N46" s="3034"/>
      <c r="O46" s="3032"/>
      <c r="P46" s="3032"/>
      <c r="Q46" s="3032"/>
      <c r="R46" s="3034"/>
      <c r="S46" s="3034"/>
      <c r="T46" s="3034"/>
      <c r="U46" s="3032"/>
      <c r="V46" s="3032"/>
      <c r="W46" s="3032"/>
      <c r="X46" s="3034"/>
      <c r="Y46" s="3034"/>
      <c r="AA46" s="3031"/>
    </row>
    <row r="47" spans="1:27" s="3035" customFormat="1" ht="18.75" x14ac:dyDescent="0.3">
      <c r="B47" s="3036"/>
      <c r="C47" s="3037"/>
      <c r="D47" s="3038"/>
      <c r="E47" s="3039"/>
      <c r="F47" s="3836">
        <v>2018</v>
      </c>
      <c r="G47" s="3836"/>
      <c r="H47" s="3038"/>
      <c r="I47" s="3038"/>
      <c r="J47" s="3836" t="s">
        <v>845</v>
      </c>
      <c r="K47" s="3836"/>
      <c r="L47" s="3038"/>
      <c r="M47" s="3038"/>
      <c r="N47" s="3837" t="s">
        <v>846</v>
      </c>
      <c r="O47" s="3837"/>
      <c r="P47" s="3038"/>
      <c r="Q47" s="3038"/>
      <c r="R47" s="3838">
        <v>2020</v>
      </c>
      <c r="S47" s="3838"/>
      <c r="T47" s="3838"/>
      <c r="U47" s="3838"/>
      <c r="V47" s="3038"/>
      <c r="W47" s="3038"/>
      <c r="X47" s="3040">
        <v>2021</v>
      </c>
      <c r="Y47" s="3040">
        <v>2022</v>
      </c>
      <c r="AA47" s="3041"/>
    </row>
    <row r="48" spans="1:27" s="2973" customFormat="1" x14ac:dyDescent="0.25">
      <c r="B48" s="3010">
        <v>1</v>
      </c>
      <c r="C48" s="3042">
        <v>1</v>
      </c>
      <c r="D48" s="2998">
        <v>1</v>
      </c>
      <c r="E48" s="3006">
        <v>1</v>
      </c>
      <c r="F48" s="3013" t="s">
        <v>345</v>
      </c>
      <c r="G48" s="3013" t="s">
        <v>847</v>
      </c>
      <c r="H48" s="2998">
        <v>1</v>
      </c>
      <c r="I48" s="2998">
        <v>1</v>
      </c>
      <c r="J48" s="3013" t="s">
        <v>345</v>
      </c>
      <c r="K48" s="3013" t="s">
        <v>847</v>
      </c>
      <c r="L48" s="2998">
        <v>1</v>
      </c>
      <c r="M48" s="2998">
        <v>1</v>
      </c>
      <c r="N48" s="3013" t="s">
        <v>345</v>
      </c>
      <c r="O48" s="3013" t="s">
        <v>847</v>
      </c>
      <c r="P48" s="2998">
        <v>1</v>
      </c>
      <c r="Q48" s="2998">
        <v>1</v>
      </c>
      <c r="R48" s="3013" t="s">
        <v>345</v>
      </c>
      <c r="S48" s="3013"/>
      <c r="T48" s="3013"/>
      <c r="U48" s="3013" t="s">
        <v>847</v>
      </c>
      <c r="V48" s="2998">
        <v>1</v>
      </c>
      <c r="W48" s="2998">
        <v>1</v>
      </c>
      <c r="X48" s="3013">
        <v>1</v>
      </c>
      <c r="Y48" s="3013">
        <v>1</v>
      </c>
      <c r="AA48" s="2975"/>
    </row>
    <row r="49" spans="1:16276" x14ac:dyDescent="0.25">
      <c r="A49" s="3043"/>
      <c r="B49" s="3044"/>
      <c r="C49" s="3044" t="s">
        <v>2179</v>
      </c>
      <c r="D49" s="3000"/>
      <c r="E49" s="2999"/>
      <c r="F49" s="3000" t="e">
        <f>#REF!+#REF!+#REF!+#REF!+#REF!+F50+#REF!+F51+F52+F53</f>
        <v>#REF!</v>
      </c>
      <c r="G49" s="3000" t="e">
        <f>#REF!+#REF!+#REF!+#REF!+#REF!+G50+#REF!+G51+G52+G53</f>
        <v>#REF!</v>
      </c>
      <c r="H49" s="3000" t="e">
        <f>#REF!+#REF!+#REF!+#REF!+#REF!+H50+#REF!+H51+H52+H53</f>
        <v>#REF!</v>
      </c>
      <c r="I49" s="3000" t="e">
        <f>#REF!+#REF!+#REF!+#REF!+#REF!+I50+#REF!+I51+I52+I53</f>
        <v>#REF!</v>
      </c>
      <c r="J49" s="3000" t="e">
        <f>#REF!+#REF!+#REF!+#REF!+#REF!+J50+#REF!+J51+J52+J53</f>
        <v>#REF!</v>
      </c>
      <c r="K49" s="3000" t="e">
        <f>#REF!+#REF!+#REF!+#REF!+#REF!+K50+#REF!+K51+K52+K53</f>
        <v>#REF!</v>
      </c>
      <c r="L49" s="3000" t="e">
        <f>#REF!+#REF!+#REF!+#REF!+#REF!+L50+#REF!+L51+L52+L53</f>
        <v>#REF!</v>
      </c>
      <c r="M49" s="3000" t="e">
        <f>#REF!+#REF!+#REF!+#REF!+#REF!+M50+#REF!+M51+M52+M53</f>
        <v>#REF!</v>
      </c>
      <c r="N49" s="3000" t="e">
        <f>#REF!+#REF!+#REF!+#REF!+#REF!+N50+#REF!+N51+N52+N53</f>
        <v>#REF!</v>
      </c>
      <c r="O49" s="3000" t="e">
        <f>#REF!+#REF!+#REF!+#REF!+#REF!+O50+#REF!+O51+O52+O53</f>
        <v>#REF!</v>
      </c>
      <c r="P49" s="3000">
        <f>P50+P51+P52+P53</f>
        <v>0</v>
      </c>
      <c r="Q49" s="3000">
        <f t="shared" ref="Q49:Y49" si="19">Q50+Q51+Q52+Q53</f>
        <v>0</v>
      </c>
      <c r="R49" s="3000">
        <f t="shared" si="19"/>
        <v>103.1</v>
      </c>
      <c r="S49" s="3000">
        <f t="shared" si="19"/>
        <v>103.1</v>
      </c>
      <c r="T49" s="3000">
        <f t="shared" si="19"/>
        <v>0</v>
      </c>
      <c r="U49" s="3000">
        <f t="shared" si="19"/>
        <v>0</v>
      </c>
      <c r="V49" s="3000">
        <f t="shared" si="19"/>
        <v>1</v>
      </c>
      <c r="W49" s="3000">
        <f t="shared" si="19"/>
        <v>1749.2</v>
      </c>
      <c r="X49" s="3000">
        <f t="shared" si="19"/>
        <v>103.1</v>
      </c>
      <c r="Y49" s="3000">
        <f t="shared" si="19"/>
        <v>103.1</v>
      </c>
      <c r="Z49" s="3043"/>
      <c r="AA49" s="3045"/>
      <c r="AB49" s="3043"/>
      <c r="AC49" s="3043"/>
      <c r="AD49" s="3043"/>
      <c r="AE49" s="3043"/>
      <c r="AF49" s="3043"/>
      <c r="AG49" s="3043"/>
      <c r="AH49" s="3043"/>
      <c r="AI49" s="3043"/>
      <c r="AJ49" s="3043"/>
      <c r="AK49" s="3043"/>
      <c r="AL49" s="3043"/>
      <c r="AM49" s="3043"/>
      <c r="AN49" s="3043"/>
      <c r="AO49" s="3043"/>
      <c r="AP49" s="3043"/>
      <c r="AQ49" s="3043"/>
      <c r="AR49" s="3043"/>
      <c r="AS49" s="3043"/>
      <c r="AT49" s="3043"/>
      <c r="AU49" s="3043"/>
      <c r="AV49" s="3043"/>
      <c r="AW49" s="3043"/>
      <c r="AX49" s="3043"/>
      <c r="AY49" s="3043"/>
      <c r="AZ49" s="3043"/>
      <c r="BA49" s="3043"/>
      <c r="BB49" s="3043"/>
      <c r="BC49" s="3043"/>
      <c r="BD49" s="3043"/>
      <c r="BE49" s="3043"/>
      <c r="BF49" s="3043"/>
      <c r="BG49" s="3043"/>
      <c r="BH49" s="3043"/>
      <c r="BI49" s="3043"/>
      <c r="BJ49" s="3043"/>
      <c r="BK49" s="3043"/>
      <c r="BL49" s="3043"/>
      <c r="BM49" s="3043"/>
      <c r="BN49" s="3043"/>
      <c r="BO49" s="3043"/>
      <c r="BP49" s="3043"/>
      <c r="BQ49" s="3043"/>
      <c r="BR49" s="3043"/>
      <c r="BS49" s="3043"/>
      <c r="BT49" s="3043"/>
      <c r="BU49" s="3043"/>
      <c r="BV49" s="3043"/>
      <c r="BW49" s="3043"/>
      <c r="BX49" s="3043"/>
      <c r="BY49" s="3043"/>
      <c r="BZ49" s="3043"/>
      <c r="CA49" s="3043"/>
      <c r="CB49" s="3043"/>
      <c r="CC49" s="3043"/>
      <c r="CD49" s="3043"/>
      <c r="CE49" s="3043"/>
      <c r="CF49" s="3043"/>
      <c r="CG49" s="3043"/>
      <c r="CH49" s="3043"/>
      <c r="CI49" s="3043"/>
      <c r="CJ49" s="3043"/>
      <c r="CK49" s="3043"/>
      <c r="CL49" s="3043"/>
      <c r="CM49" s="3043"/>
      <c r="CN49" s="3043"/>
      <c r="CO49" s="3043"/>
      <c r="CP49" s="3043"/>
      <c r="CQ49" s="3043"/>
      <c r="CR49" s="3043"/>
      <c r="CS49" s="3043"/>
      <c r="CT49" s="3043"/>
      <c r="CU49" s="3043"/>
      <c r="CV49" s="3043"/>
      <c r="CW49" s="3043"/>
      <c r="CX49" s="3043"/>
      <c r="CY49" s="3043"/>
      <c r="CZ49" s="3043"/>
      <c r="DA49" s="3043"/>
      <c r="DB49" s="3043"/>
      <c r="DC49" s="3043"/>
      <c r="DD49" s="3043"/>
      <c r="DE49" s="3043"/>
      <c r="DF49" s="3043"/>
      <c r="DG49" s="3043"/>
      <c r="DH49" s="3043"/>
      <c r="DI49" s="3043"/>
      <c r="DJ49" s="3043"/>
      <c r="DK49" s="3043"/>
      <c r="DL49" s="3043"/>
      <c r="DM49" s="3043"/>
      <c r="DN49" s="3043"/>
      <c r="DO49" s="3043"/>
      <c r="DP49" s="3043"/>
      <c r="DQ49" s="3043"/>
      <c r="DR49" s="3043"/>
      <c r="DS49" s="3043"/>
      <c r="DT49" s="3043"/>
      <c r="DU49" s="3043"/>
      <c r="DV49" s="3043"/>
      <c r="DW49" s="3043"/>
      <c r="DX49" s="3043"/>
      <c r="DY49" s="3043"/>
      <c r="DZ49" s="3043"/>
      <c r="EA49" s="3043"/>
      <c r="EB49" s="3043"/>
      <c r="EC49" s="3043"/>
      <c r="ED49" s="3043"/>
      <c r="EE49" s="3043"/>
      <c r="EF49" s="3043"/>
      <c r="EG49" s="3043"/>
      <c r="EH49" s="3043"/>
      <c r="EI49" s="3043"/>
      <c r="EJ49" s="3043"/>
      <c r="EK49" s="3043"/>
      <c r="EL49" s="3043"/>
      <c r="EM49" s="3043"/>
      <c r="EN49" s="3043"/>
      <c r="EO49" s="3043"/>
      <c r="EP49" s="3043"/>
      <c r="EQ49" s="3043"/>
      <c r="ER49" s="3043"/>
      <c r="ES49" s="3043"/>
      <c r="ET49" s="3043"/>
      <c r="EU49" s="3043"/>
      <c r="EV49" s="3043"/>
      <c r="EW49" s="3043"/>
      <c r="EX49" s="3043"/>
      <c r="EY49" s="3043"/>
      <c r="EZ49" s="3043"/>
      <c r="FA49" s="3043"/>
      <c r="FB49" s="3043"/>
      <c r="FC49" s="3043"/>
      <c r="FD49" s="3043"/>
      <c r="FE49" s="3043"/>
      <c r="FF49" s="3043"/>
      <c r="FG49" s="3043"/>
      <c r="FH49" s="3043"/>
      <c r="FI49" s="3043"/>
      <c r="FJ49" s="3043"/>
      <c r="FK49" s="3043"/>
      <c r="FL49" s="3043"/>
      <c r="FM49" s="3043"/>
      <c r="FN49" s="3043"/>
      <c r="FO49" s="3043"/>
      <c r="FP49" s="3043"/>
      <c r="FQ49" s="3043"/>
      <c r="FR49" s="3043"/>
      <c r="FS49" s="3043"/>
      <c r="FT49" s="3043"/>
      <c r="FU49" s="3043"/>
      <c r="FV49" s="3043"/>
      <c r="FW49" s="3043"/>
      <c r="FX49" s="3043"/>
      <c r="FY49" s="3043"/>
      <c r="FZ49" s="3043"/>
      <c r="GA49" s="3043"/>
      <c r="GB49" s="3043"/>
      <c r="GC49" s="3043"/>
      <c r="GD49" s="3043"/>
      <c r="GE49" s="3043"/>
      <c r="GF49" s="3043"/>
      <c r="GG49" s="3043"/>
      <c r="GH49" s="3043"/>
      <c r="GI49" s="3043"/>
      <c r="GJ49" s="3043"/>
      <c r="GK49" s="3043"/>
      <c r="GL49" s="3043"/>
      <c r="GM49" s="3043"/>
      <c r="GN49" s="3043"/>
      <c r="GO49" s="3043"/>
      <c r="GP49" s="3043"/>
      <c r="GQ49" s="3043"/>
      <c r="GR49" s="3043"/>
      <c r="GS49" s="3043"/>
      <c r="GT49" s="3043"/>
      <c r="GU49" s="3043"/>
      <c r="GV49" s="3043"/>
      <c r="GW49" s="3043"/>
      <c r="GX49" s="3043"/>
      <c r="GY49" s="3043"/>
      <c r="GZ49" s="3043"/>
      <c r="HA49" s="3043"/>
      <c r="HB49" s="3043"/>
      <c r="HC49" s="3043"/>
      <c r="HD49" s="3043"/>
      <c r="HE49" s="3043"/>
      <c r="HF49" s="3043"/>
      <c r="HG49" s="3043"/>
      <c r="HH49" s="3043"/>
      <c r="HI49" s="3043"/>
      <c r="HJ49" s="3043"/>
      <c r="HK49" s="3043"/>
      <c r="HL49" s="3043"/>
      <c r="HM49" s="3043"/>
      <c r="HN49" s="3043"/>
      <c r="HO49" s="3043"/>
      <c r="HP49" s="3043"/>
      <c r="HQ49" s="3043"/>
      <c r="HR49" s="3043"/>
      <c r="HS49" s="3043"/>
      <c r="HT49" s="3043"/>
      <c r="HU49" s="3043"/>
      <c r="HV49" s="3043"/>
      <c r="HW49" s="3043"/>
      <c r="HX49" s="3043"/>
      <c r="HY49" s="3043"/>
      <c r="HZ49" s="3043"/>
      <c r="IA49" s="3043"/>
      <c r="IB49" s="3043"/>
      <c r="IC49" s="3043"/>
      <c r="ID49" s="3043"/>
      <c r="IE49" s="3043"/>
      <c r="IF49" s="3043"/>
      <c r="IG49" s="3043"/>
      <c r="IH49" s="3043"/>
      <c r="II49" s="3043"/>
      <c r="IJ49" s="3043"/>
      <c r="IK49" s="3043"/>
      <c r="IL49" s="3043"/>
      <c r="IM49" s="3043"/>
      <c r="IN49" s="3043"/>
      <c r="IO49" s="3043"/>
      <c r="IP49" s="3043"/>
      <c r="IQ49" s="3043"/>
      <c r="IR49" s="3043"/>
      <c r="IS49" s="3043"/>
      <c r="IT49" s="3043"/>
      <c r="IU49" s="3043"/>
      <c r="IV49" s="3043"/>
      <c r="IW49" s="3043"/>
      <c r="IX49" s="3043"/>
      <c r="IY49" s="3043"/>
      <c r="IZ49" s="3043"/>
      <c r="JA49" s="3043"/>
      <c r="JB49" s="3043"/>
      <c r="JC49" s="3043"/>
      <c r="JD49" s="3043"/>
      <c r="JE49" s="3043"/>
      <c r="JF49" s="3043"/>
      <c r="JG49" s="3043"/>
      <c r="JH49" s="3043"/>
      <c r="JI49" s="3043"/>
      <c r="JJ49" s="3043"/>
      <c r="JK49" s="3043"/>
      <c r="JL49" s="3043"/>
      <c r="JM49" s="3043"/>
      <c r="JN49" s="3043"/>
      <c r="JO49" s="3043"/>
      <c r="JP49" s="3043"/>
      <c r="JQ49" s="3043"/>
      <c r="JR49" s="3043"/>
      <c r="JS49" s="3043"/>
      <c r="JT49" s="3043"/>
      <c r="JU49" s="3043"/>
      <c r="JV49" s="3043"/>
      <c r="JW49" s="3043"/>
      <c r="JX49" s="3043"/>
      <c r="JY49" s="3043"/>
      <c r="JZ49" s="3043"/>
      <c r="KA49" s="3043"/>
      <c r="KB49" s="3043"/>
      <c r="KC49" s="3043"/>
      <c r="KD49" s="3043"/>
      <c r="KE49" s="3043"/>
      <c r="KF49" s="3043"/>
      <c r="KG49" s="3043"/>
      <c r="KH49" s="3043"/>
      <c r="KI49" s="3043"/>
      <c r="KJ49" s="3043"/>
      <c r="KK49" s="3043"/>
      <c r="KL49" s="3043"/>
      <c r="KM49" s="3043"/>
      <c r="KN49" s="3043"/>
      <c r="KO49" s="3043"/>
      <c r="KP49" s="3043"/>
      <c r="KQ49" s="3043"/>
      <c r="KR49" s="3043"/>
      <c r="KS49" s="3043"/>
      <c r="KT49" s="3043"/>
      <c r="KU49" s="3043"/>
      <c r="KV49" s="3043"/>
      <c r="KW49" s="3043"/>
      <c r="KX49" s="3043"/>
      <c r="KY49" s="3043"/>
      <c r="KZ49" s="3043"/>
      <c r="LA49" s="3043"/>
      <c r="LB49" s="3043"/>
      <c r="LC49" s="3043"/>
      <c r="LD49" s="3043"/>
      <c r="LE49" s="3043"/>
      <c r="LF49" s="3043"/>
      <c r="LG49" s="3043"/>
      <c r="LH49" s="3043"/>
      <c r="LI49" s="3043"/>
      <c r="LJ49" s="3043"/>
      <c r="LK49" s="3043"/>
      <c r="LL49" s="3043"/>
      <c r="LM49" s="3043"/>
      <c r="LN49" s="3043"/>
      <c r="LO49" s="3043"/>
      <c r="LP49" s="3043"/>
      <c r="LQ49" s="3043"/>
      <c r="LR49" s="3043"/>
      <c r="LS49" s="3043"/>
      <c r="LT49" s="3043"/>
      <c r="LU49" s="3043"/>
      <c r="LV49" s="3043"/>
      <c r="LW49" s="3043"/>
      <c r="LX49" s="3043"/>
      <c r="LY49" s="3043"/>
      <c r="LZ49" s="3043"/>
      <c r="MA49" s="3043"/>
      <c r="MB49" s="3043"/>
      <c r="MC49" s="3043"/>
      <c r="MD49" s="3043"/>
      <c r="ME49" s="3043"/>
      <c r="MF49" s="3043"/>
      <c r="MG49" s="3043"/>
      <c r="MH49" s="3043"/>
      <c r="MI49" s="3043"/>
      <c r="MJ49" s="3043"/>
      <c r="MK49" s="3043"/>
      <c r="ML49" s="3043"/>
      <c r="MM49" s="3043"/>
      <c r="MN49" s="3043"/>
      <c r="MO49" s="3043"/>
      <c r="MP49" s="3043"/>
      <c r="MQ49" s="3043"/>
      <c r="MR49" s="3043"/>
      <c r="MS49" s="3043"/>
      <c r="MT49" s="3043"/>
      <c r="MU49" s="3043"/>
      <c r="MV49" s="3043"/>
      <c r="MW49" s="3043"/>
      <c r="MX49" s="3043"/>
      <c r="MY49" s="3043"/>
      <c r="MZ49" s="3043"/>
      <c r="NA49" s="3043"/>
      <c r="NB49" s="3043"/>
      <c r="NC49" s="3043"/>
      <c r="ND49" s="3043"/>
      <c r="NE49" s="3043"/>
      <c r="NF49" s="3043"/>
      <c r="NG49" s="3043"/>
      <c r="NH49" s="3043"/>
      <c r="NI49" s="3043"/>
      <c r="NJ49" s="3043"/>
      <c r="NK49" s="3043"/>
      <c r="NL49" s="3043"/>
      <c r="NM49" s="3043"/>
      <c r="NN49" s="3043"/>
      <c r="NO49" s="3043"/>
      <c r="NP49" s="3043"/>
      <c r="NQ49" s="3043"/>
      <c r="NR49" s="3043"/>
      <c r="NS49" s="3043"/>
      <c r="NT49" s="3043"/>
      <c r="NU49" s="3043"/>
      <c r="NV49" s="3043"/>
      <c r="NW49" s="3043"/>
      <c r="NX49" s="3043"/>
      <c r="NY49" s="3043"/>
      <c r="NZ49" s="3043"/>
      <c r="OA49" s="3043"/>
      <c r="OB49" s="3043"/>
      <c r="OC49" s="3043"/>
      <c r="OD49" s="3043"/>
      <c r="OE49" s="3043"/>
      <c r="OF49" s="3043"/>
      <c r="OG49" s="3043"/>
      <c r="OH49" s="3043"/>
      <c r="OI49" s="3043"/>
      <c r="OJ49" s="3043"/>
      <c r="OK49" s="3043"/>
      <c r="OL49" s="3043"/>
      <c r="OM49" s="3043"/>
      <c r="ON49" s="3043"/>
      <c r="OO49" s="3043"/>
      <c r="OP49" s="3043"/>
      <c r="OQ49" s="3043"/>
      <c r="OR49" s="3043"/>
      <c r="OS49" s="3043"/>
      <c r="OT49" s="3043"/>
      <c r="OU49" s="3043"/>
      <c r="OV49" s="3043"/>
      <c r="OW49" s="3043"/>
      <c r="OX49" s="3043"/>
      <c r="OY49" s="3043"/>
      <c r="OZ49" s="3043"/>
      <c r="PA49" s="3043"/>
      <c r="PB49" s="3043"/>
      <c r="PC49" s="3043"/>
      <c r="PD49" s="3043"/>
      <c r="PE49" s="3043"/>
      <c r="PF49" s="3043"/>
      <c r="PG49" s="3043"/>
      <c r="PH49" s="3043"/>
      <c r="PI49" s="3043"/>
      <c r="PJ49" s="3043"/>
      <c r="PK49" s="3043"/>
      <c r="PL49" s="3043"/>
      <c r="PM49" s="3043"/>
      <c r="PN49" s="3043"/>
      <c r="PO49" s="3043"/>
      <c r="PP49" s="3043"/>
      <c r="PQ49" s="3043"/>
      <c r="PR49" s="3043"/>
      <c r="PS49" s="3043"/>
      <c r="PT49" s="3043"/>
      <c r="PU49" s="3043"/>
      <c r="PV49" s="3043"/>
      <c r="PW49" s="3043"/>
      <c r="PX49" s="3043"/>
      <c r="PY49" s="3043"/>
      <c r="PZ49" s="3043"/>
      <c r="QA49" s="3043"/>
      <c r="QB49" s="3043"/>
      <c r="QC49" s="3043"/>
      <c r="QD49" s="3043"/>
      <c r="QE49" s="3043"/>
      <c r="QF49" s="3043"/>
      <c r="QG49" s="3043"/>
      <c r="QH49" s="3043"/>
      <c r="QI49" s="3043"/>
      <c r="QJ49" s="3043"/>
      <c r="QK49" s="3043"/>
      <c r="QL49" s="3043"/>
      <c r="QM49" s="3043"/>
      <c r="QN49" s="3043"/>
      <c r="QO49" s="3043"/>
      <c r="QP49" s="3043"/>
      <c r="QQ49" s="3043"/>
      <c r="QR49" s="3043"/>
      <c r="QS49" s="3043"/>
      <c r="QT49" s="3043"/>
      <c r="QU49" s="3043"/>
      <c r="QV49" s="3043"/>
      <c r="QW49" s="3043"/>
      <c r="QX49" s="3043"/>
      <c r="QY49" s="3043"/>
      <c r="QZ49" s="3043"/>
      <c r="RA49" s="3043"/>
      <c r="RB49" s="3043"/>
      <c r="RC49" s="3043"/>
      <c r="RD49" s="3043"/>
      <c r="RE49" s="3043"/>
      <c r="RF49" s="3043"/>
      <c r="RG49" s="3043"/>
      <c r="RH49" s="3043"/>
      <c r="RI49" s="3043"/>
      <c r="RJ49" s="3043"/>
      <c r="RK49" s="3043"/>
      <c r="RL49" s="3043"/>
      <c r="RM49" s="3043"/>
      <c r="RN49" s="3043"/>
      <c r="RO49" s="3043"/>
      <c r="RP49" s="3043"/>
      <c r="RQ49" s="3043"/>
      <c r="RR49" s="3043"/>
      <c r="RS49" s="3043"/>
      <c r="RT49" s="3043"/>
      <c r="RU49" s="3043"/>
      <c r="RV49" s="3043"/>
      <c r="RW49" s="3043"/>
      <c r="RX49" s="3043"/>
      <c r="RY49" s="3043"/>
      <c r="RZ49" s="3043"/>
      <c r="SA49" s="3043"/>
      <c r="SB49" s="3043"/>
      <c r="SC49" s="3043"/>
      <c r="SD49" s="3043"/>
      <c r="SE49" s="3043"/>
      <c r="SF49" s="3043"/>
      <c r="SG49" s="3043"/>
      <c r="SH49" s="3043"/>
      <c r="SI49" s="3043"/>
      <c r="SJ49" s="3043"/>
      <c r="SK49" s="3043"/>
      <c r="SL49" s="3043"/>
      <c r="SM49" s="3043"/>
      <c r="SN49" s="3043"/>
      <c r="SO49" s="3043"/>
      <c r="SP49" s="3043"/>
      <c r="SQ49" s="3043"/>
      <c r="SR49" s="3043"/>
      <c r="SS49" s="3043"/>
      <c r="ST49" s="3043"/>
      <c r="SU49" s="3043"/>
      <c r="SV49" s="3043"/>
      <c r="SW49" s="3043"/>
      <c r="SX49" s="3043"/>
      <c r="SY49" s="3043"/>
      <c r="SZ49" s="3043"/>
      <c r="TA49" s="3043"/>
      <c r="TB49" s="3043"/>
      <c r="TC49" s="3043"/>
      <c r="TD49" s="3043"/>
      <c r="TE49" s="3043"/>
      <c r="TF49" s="3043"/>
      <c r="TG49" s="3043"/>
      <c r="TH49" s="3043"/>
      <c r="TI49" s="3043"/>
      <c r="TJ49" s="3043"/>
      <c r="TK49" s="3043"/>
      <c r="TL49" s="3043"/>
      <c r="TM49" s="3043"/>
      <c r="TN49" s="3043"/>
      <c r="TO49" s="3043"/>
      <c r="TP49" s="3043"/>
      <c r="TQ49" s="3043"/>
      <c r="TR49" s="3043"/>
      <c r="TS49" s="3043"/>
      <c r="TT49" s="3043"/>
      <c r="TU49" s="3043"/>
      <c r="TV49" s="3043"/>
      <c r="TW49" s="3043"/>
      <c r="TX49" s="3043"/>
      <c r="TY49" s="3043"/>
      <c r="TZ49" s="3043"/>
      <c r="UA49" s="3043"/>
      <c r="UB49" s="3043"/>
      <c r="UC49" s="3043"/>
      <c r="UD49" s="3043"/>
      <c r="UE49" s="3043"/>
      <c r="UF49" s="3043"/>
      <c r="UG49" s="3043"/>
      <c r="UH49" s="3043"/>
      <c r="UI49" s="3043"/>
      <c r="UJ49" s="3043"/>
      <c r="UK49" s="3043"/>
      <c r="UL49" s="3043"/>
      <c r="UM49" s="3043"/>
      <c r="UN49" s="3043"/>
      <c r="UO49" s="3043"/>
      <c r="UP49" s="3043"/>
      <c r="UQ49" s="3043"/>
      <c r="UR49" s="3043"/>
      <c r="US49" s="3043"/>
      <c r="UT49" s="3043"/>
      <c r="UU49" s="3043"/>
      <c r="UV49" s="3043"/>
      <c r="UW49" s="3043"/>
      <c r="UX49" s="3043"/>
      <c r="UY49" s="3043"/>
      <c r="UZ49" s="3043"/>
      <c r="VA49" s="3043"/>
      <c r="VB49" s="3043"/>
      <c r="VC49" s="3043"/>
      <c r="VD49" s="3043"/>
      <c r="VE49" s="3043"/>
      <c r="VF49" s="3043"/>
      <c r="VG49" s="3043"/>
      <c r="VH49" s="3043"/>
      <c r="VI49" s="3043"/>
      <c r="VJ49" s="3043"/>
      <c r="VK49" s="3043"/>
      <c r="VL49" s="3043"/>
      <c r="VM49" s="3043"/>
      <c r="VN49" s="3043"/>
      <c r="VO49" s="3043"/>
      <c r="VP49" s="3043"/>
      <c r="VQ49" s="3043"/>
      <c r="VR49" s="3043"/>
      <c r="VS49" s="3043"/>
      <c r="VT49" s="3043"/>
      <c r="VU49" s="3043"/>
      <c r="VV49" s="3043"/>
      <c r="VW49" s="3043"/>
      <c r="VX49" s="3043"/>
      <c r="VY49" s="3043"/>
      <c r="VZ49" s="3043"/>
      <c r="WA49" s="3043"/>
      <c r="WB49" s="3043"/>
      <c r="WC49" s="3043"/>
      <c r="WD49" s="3043"/>
      <c r="WE49" s="3043"/>
      <c r="WF49" s="3043"/>
      <c r="WG49" s="3043"/>
      <c r="WH49" s="3043"/>
      <c r="WI49" s="3043"/>
      <c r="WJ49" s="3043"/>
      <c r="WK49" s="3043"/>
      <c r="WL49" s="3043"/>
      <c r="WM49" s="3043"/>
      <c r="WN49" s="3043"/>
      <c r="WO49" s="3043"/>
      <c r="WP49" s="3043"/>
      <c r="WQ49" s="3043"/>
      <c r="WR49" s="3043"/>
      <c r="WS49" s="3043"/>
      <c r="WT49" s="3043"/>
      <c r="WU49" s="3043"/>
      <c r="WV49" s="3043"/>
      <c r="WW49" s="3043"/>
      <c r="WX49" s="3043"/>
      <c r="WY49" s="3043"/>
      <c r="WZ49" s="3043"/>
      <c r="XA49" s="3043"/>
      <c r="XB49" s="3043"/>
      <c r="XC49" s="3043"/>
      <c r="XD49" s="3043"/>
      <c r="XE49" s="3043"/>
      <c r="XF49" s="3043"/>
      <c r="XG49" s="3043"/>
      <c r="XH49" s="3043"/>
      <c r="XI49" s="3043"/>
      <c r="XJ49" s="3043"/>
      <c r="XK49" s="3043"/>
      <c r="XL49" s="3043"/>
      <c r="XM49" s="3043"/>
      <c r="XN49" s="3043"/>
      <c r="XO49" s="3043"/>
      <c r="XP49" s="3043"/>
      <c r="XQ49" s="3043"/>
      <c r="XR49" s="3043"/>
      <c r="XS49" s="3043"/>
      <c r="XT49" s="3043"/>
      <c r="XU49" s="3043"/>
      <c r="XV49" s="3043"/>
      <c r="XW49" s="3043"/>
      <c r="XX49" s="3043"/>
      <c r="XY49" s="3043"/>
      <c r="XZ49" s="3043"/>
      <c r="YA49" s="3043"/>
      <c r="YB49" s="3043"/>
      <c r="YC49" s="3043"/>
      <c r="YD49" s="3043"/>
      <c r="YE49" s="3043"/>
      <c r="YF49" s="3043"/>
      <c r="YG49" s="3043"/>
      <c r="YH49" s="3043"/>
      <c r="YI49" s="3043"/>
      <c r="YJ49" s="3043"/>
      <c r="YK49" s="3043"/>
      <c r="YL49" s="3043"/>
      <c r="YM49" s="3043"/>
      <c r="YN49" s="3043"/>
      <c r="YO49" s="3043"/>
      <c r="YP49" s="3043"/>
      <c r="YQ49" s="3043"/>
      <c r="YR49" s="3043"/>
      <c r="YS49" s="3043"/>
      <c r="YT49" s="3043"/>
      <c r="YU49" s="3043"/>
      <c r="YV49" s="3043"/>
      <c r="YW49" s="3043"/>
      <c r="YX49" s="3043"/>
      <c r="YY49" s="3043"/>
      <c r="YZ49" s="3043"/>
      <c r="ZA49" s="3043"/>
      <c r="ZB49" s="3043"/>
      <c r="ZC49" s="3043"/>
      <c r="ZD49" s="3043"/>
      <c r="ZE49" s="3043"/>
      <c r="ZF49" s="3043"/>
      <c r="ZG49" s="3043"/>
      <c r="ZH49" s="3043"/>
      <c r="ZI49" s="3043"/>
      <c r="ZJ49" s="3043"/>
      <c r="ZK49" s="3043"/>
      <c r="ZL49" s="3043"/>
      <c r="ZM49" s="3043"/>
      <c r="ZN49" s="3043"/>
      <c r="ZO49" s="3043"/>
      <c r="ZP49" s="3043"/>
      <c r="ZQ49" s="3043"/>
      <c r="ZR49" s="3043"/>
      <c r="ZS49" s="3043"/>
      <c r="ZT49" s="3043"/>
      <c r="ZU49" s="3043"/>
      <c r="ZV49" s="3043"/>
      <c r="ZW49" s="3043"/>
      <c r="ZX49" s="3043"/>
      <c r="ZY49" s="3043"/>
      <c r="ZZ49" s="3043"/>
      <c r="AAA49" s="3043"/>
      <c r="AAB49" s="3043"/>
      <c r="AAC49" s="3043"/>
      <c r="AAD49" s="3043"/>
      <c r="AAE49" s="3043"/>
      <c r="AAF49" s="3043"/>
      <c r="AAG49" s="3043"/>
      <c r="AAH49" s="3043"/>
      <c r="AAI49" s="3043"/>
      <c r="AAJ49" s="3043"/>
      <c r="AAK49" s="3043"/>
      <c r="AAL49" s="3043"/>
      <c r="AAM49" s="3043"/>
      <c r="AAN49" s="3043"/>
      <c r="AAO49" s="3043"/>
      <c r="AAP49" s="3043"/>
      <c r="AAQ49" s="3043"/>
      <c r="AAR49" s="3043"/>
      <c r="AAS49" s="3043"/>
      <c r="AAT49" s="3043"/>
      <c r="AAU49" s="3043"/>
      <c r="AAV49" s="3043"/>
      <c r="AAW49" s="3043"/>
      <c r="AAX49" s="3043"/>
      <c r="AAY49" s="3043"/>
      <c r="AAZ49" s="3043"/>
      <c r="ABA49" s="3043"/>
      <c r="ABB49" s="3043"/>
      <c r="ABC49" s="3043"/>
      <c r="ABD49" s="3043"/>
      <c r="ABE49" s="3043"/>
      <c r="ABF49" s="3043"/>
      <c r="ABG49" s="3043"/>
      <c r="ABH49" s="3043"/>
      <c r="ABI49" s="3043"/>
      <c r="ABJ49" s="3043"/>
      <c r="ABK49" s="3043"/>
      <c r="ABL49" s="3043"/>
      <c r="ABM49" s="3043"/>
      <c r="ABN49" s="3043"/>
      <c r="ABO49" s="3043"/>
      <c r="ABP49" s="3043"/>
      <c r="ABQ49" s="3043"/>
      <c r="ABR49" s="3043"/>
      <c r="ABS49" s="3043"/>
      <c r="ABT49" s="3043"/>
      <c r="ABU49" s="3043"/>
      <c r="ABV49" s="3043"/>
      <c r="ABW49" s="3043"/>
      <c r="ABX49" s="3043"/>
      <c r="ABY49" s="3043"/>
      <c r="ABZ49" s="3043"/>
      <c r="ACA49" s="3043"/>
      <c r="ACB49" s="3043"/>
      <c r="ACC49" s="3043"/>
      <c r="ACD49" s="3043"/>
      <c r="ACE49" s="3043"/>
      <c r="ACF49" s="3043"/>
      <c r="ACG49" s="3043"/>
      <c r="ACH49" s="3043"/>
      <c r="ACI49" s="3043"/>
      <c r="ACJ49" s="3043"/>
      <c r="ACK49" s="3043"/>
      <c r="ACL49" s="3043"/>
      <c r="ACM49" s="3043"/>
      <c r="ACN49" s="3043"/>
      <c r="ACO49" s="3043"/>
      <c r="ACP49" s="3043"/>
      <c r="ACQ49" s="3043"/>
      <c r="ACR49" s="3043"/>
      <c r="ACS49" s="3043"/>
      <c r="ACT49" s="3043"/>
      <c r="ACU49" s="3043"/>
      <c r="ACV49" s="3043"/>
      <c r="ACW49" s="3043"/>
      <c r="ACX49" s="3043"/>
      <c r="ACY49" s="3043"/>
      <c r="ACZ49" s="3043"/>
      <c r="ADA49" s="3043"/>
      <c r="ADB49" s="3043"/>
      <c r="ADC49" s="3043"/>
      <c r="ADD49" s="3043"/>
      <c r="ADE49" s="3043"/>
      <c r="ADF49" s="3043"/>
      <c r="ADG49" s="3043"/>
      <c r="ADH49" s="3043"/>
      <c r="ADI49" s="3043"/>
      <c r="ADJ49" s="3043"/>
      <c r="ADK49" s="3043"/>
      <c r="ADL49" s="3043"/>
      <c r="ADM49" s="3043"/>
      <c r="ADN49" s="3043"/>
      <c r="ADO49" s="3043"/>
      <c r="ADP49" s="3043"/>
      <c r="ADQ49" s="3043"/>
      <c r="ADR49" s="3043"/>
      <c r="ADS49" s="3043"/>
      <c r="ADT49" s="3043"/>
      <c r="ADU49" s="3043"/>
      <c r="ADV49" s="3043"/>
      <c r="ADW49" s="3043"/>
      <c r="ADX49" s="3043"/>
      <c r="ADY49" s="3043"/>
      <c r="ADZ49" s="3043"/>
      <c r="AEA49" s="3043"/>
      <c r="AEB49" s="3043"/>
      <c r="AEC49" s="3043"/>
      <c r="AED49" s="3043"/>
      <c r="AEE49" s="3043"/>
      <c r="AEF49" s="3043"/>
      <c r="AEG49" s="3043"/>
      <c r="AEH49" s="3043"/>
      <c r="AEI49" s="3043"/>
      <c r="AEJ49" s="3043"/>
      <c r="AEK49" s="3043"/>
      <c r="AEL49" s="3043"/>
      <c r="AEM49" s="3043"/>
      <c r="AEN49" s="3043"/>
      <c r="AEO49" s="3043"/>
      <c r="AEP49" s="3043"/>
      <c r="AEQ49" s="3043"/>
      <c r="AER49" s="3043"/>
      <c r="AES49" s="3043"/>
      <c r="AET49" s="3043"/>
      <c r="AEU49" s="3043"/>
      <c r="AEV49" s="3043"/>
      <c r="AEW49" s="3043"/>
      <c r="AEX49" s="3043"/>
      <c r="AEY49" s="3043"/>
      <c r="AEZ49" s="3043"/>
      <c r="AFA49" s="3043"/>
      <c r="AFB49" s="3043"/>
      <c r="AFC49" s="3043"/>
      <c r="AFD49" s="3043"/>
      <c r="AFE49" s="3043"/>
      <c r="AFF49" s="3043"/>
      <c r="AFG49" s="3043"/>
      <c r="AFH49" s="3043"/>
      <c r="AFI49" s="3043"/>
      <c r="AFJ49" s="3043"/>
      <c r="AFK49" s="3043"/>
      <c r="AFL49" s="3043"/>
      <c r="AFM49" s="3043"/>
      <c r="AFN49" s="3043"/>
      <c r="AFO49" s="3043"/>
      <c r="AFP49" s="3043"/>
      <c r="AFQ49" s="3043"/>
      <c r="AFR49" s="3043"/>
      <c r="AFS49" s="3043"/>
      <c r="AFT49" s="3043"/>
      <c r="AFU49" s="3043"/>
      <c r="AFV49" s="3043"/>
      <c r="AFW49" s="3043"/>
      <c r="AFX49" s="3043"/>
      <c r="AFY49" s="3043"/>
      <c r="AFZ49" s="3043"/>
      <c r="AGA49" s="3043"/>
      <c r="AGB49" s="3043"/>
      <c r="AGC49" s="3043"/>
      <c r="AGD49" s="3043"/>
      <c r="AGE49" s="3043"/>
      <c r="AGF49" s="3043"/>
      <c r="AGG49" s="3043"/>
      <c r="AGH49" s="3043"/>
      <c r="AGI49" s="3043"/>
      <c r="AGJ49" s="3043"/>
      <c r="AGK49" s="3043"/>
      <c r="AGL49" s="3043"/>
      <c r="AGM49" s="3043"/>
      <c r="AGN49" s="3043"/>
      <c r="AGO49" s="3043"/>
      <c r="AGP49" s="3043"/>
      <c r="AGQ49" s="3043"/>
      <c r="AGR49" s="3043"/>
      <c r="AGS49" s="3043"/>
      <c r="AGT49" s="3043"/>
      <c r="AGU49" s="3043"/>
      <c r="AGV49" s="3043"/>
      <c r="AGW49" s="3043"/>
      <c r="AGX49" s="3043"/>
      <c r="AGY49" s="3043"/>
      <c r="AGZ49" s="3043"/>
      <c r="AHA49" s="3043"/>
      <c r="AHB49" s="3043"/>
      <c r="AHC49" s="3043"/>
      <c r="AHD49" s="3043"/>
      <c r="AHE49" s="3043"/>
      <c r="AHF49" s="3043"/>
      <c r="AHG49" s="3043"/>
      <c r="AHH49" s="3043"/>
      <c r="AHI49" s="3043"/>
      <c r="AHJ49" s="3043"/>
      <c r="AHK49" s="3043"/>
      <c r="AHL49" s="3043"/>
      <c r="AHM49" s="3043"/>
      <c r="AHN49" s="3043"/>
      <c r="AHO49" s="3043"/>
      <c r="AHP49" s="3043"/>
      <c r="AHQ49" s="3043"/>
      <c r="AHR49" s="3043"/>
      <c r="AHS49" s="3043"/>
      <c r="AHT49" s="3043"/>
      <c r="AHU49" s="3043"/>
      <c r="AHV49" s="3043"/>
      <c r="AHW49" s="3043"/>
      <c r="AHX49" s="3043"/>
      <c r="AHY49" s="3043"/>
      <c r="AHZ49" s="3043"/>
      <c r="AIA49" s="3043"/>
      <c r="AIB49" s="3043"/>
      <c r="AIC49" s="3043"/>
      <c r="AID49" s="3043"/>
      <c r="AIE49" s="3043"/>
      <c r="AIF49" s="3043"/>
      <c r="AIG49" s="3043"/>
      <c r="AIH49" s="3043"/>
      <c r="AII49" s="3043"/>
      <c r="AIJ49" s="3043"/>
      <c r="AIK49" s="3043"/>
      <c r="AIL49" s="3043"/>
      <c r="AIM49" s="3043"/>
      <c r="AIN49" s="3043"/>
      <c r="AIO49" s="3043"/>
      <c r="AIP49" s="3043"/>
      <c r="AIQ49" s="3043"/>
      <c r="AIR49" s="3043"/>
      <c r="AIS49" s="3043"/>
      <c r="AIT49" s="3043"/>
      <c r="AIU49" s="3043"/>
      <c r="AIV49" s="3043"/>
      <c r="AIW49" s="3043"/>
      <c r="AIX49" s="3043"/>
      <c r="AIY49" s="3043"/>
      <c r="AIZ49" s="3043"/>
      <c r="AJA49" s="3043"/>
      <c r="AJB49" s="3043"/>
      <c r="AJC49" s="3043"/>
      <c r="AJD49" s="3043"/>
      <c r="AJE49" s="3043"/>
      <c r="AJF49" s="3043"/>
      <c r="AJG49" s="3043"/>
      <c r="AJH49" s="3043"/>
      <c r="AJI49" s="3043"/>
      <c r="AJJ49" s="3043"/>
      <c r="AJK49" s="3043"/>
      <c r="AJL49" s="3043"/>
      <c r="AJM49" s="3043"/>
      <c r="AJN49" s="3043"/>
      <c r="AJO49" s="3043"/>
      <c r="AJP49" s="3043"/>
      <c r="AJQ49" s="3043"/>
      <c r="AJR49" s="3043"/>
      <c r="AJS49" s="3043"/>
      <c r="AJT49" s="3043"/>
      <c r="AJU49" s="3043"/>
      <c r="AJV49" s="3043"/>
      <c r="AJW49" s="3043"/>
      <c r="AJX49" s="3043"/>
      <c r="AJY49" s="3043"/>
      <c r="AJZ49" s="3043"/>
      <c r="AKA49" s="3043"/>
      <c r="AKB49" s="3043"/>
      <c r="AKC49" s="3043"/>
      <c r="AKD49" s="3043"/>
      <c r="AKE49" s="3043"/>
      <c r="AKF49" s="3043"/>
      <c r="AKG49" s="3043"/>
      <c r="AKH49" s="3043"/>
      <c r="AKI49" s="3043"/>
      <c r="AKJ49" s="3043"/>
      <c r="AKK49" s="3043"/>
      <c r="AKL49" s="3043"/>
      <c r="AKM49" s="3043"/>
      <c r="AKN49" s="3043"/>
      <c r="AKO49" s="3043"/>
      <c r="AKP49" s="3043"/>
      <c r="AKQ49" s="3043"/>
      <c r="AKR49" s="3043"/>
      <c r="AKS49" s="3043"/>
      <c r="AKT49" s="3043"/>
      <c r="AKU49" s="3043"/>
      <c r="AKV49" s="3043"/>
      <c r="AKW49" s="3043"/>
      <c r="AKX49" s="3043"/>
      <c r="AKY49" s="3043"/>
      <c r="AKZ49" s="3043"/>
      <c r="ALA49" s="3043"/>
      <c r="ALB49" s="3043"/>
      <c r="ALC49" s="3043"/>
      <c r="ALD49" s="3043"/>
      <c r="ALE49" s="3043"/>
      <c r="ALF49" s="3043"/>
      <c r="ALG49" s="3043"/>
      <c r="ALH49" s="3043"/>
      <c r="ALI49" s="3043"/>
      <c r="ALJ49" s="3043"/>
      <c r="ALK49" s="3043"/>
      <c r="ALL49" s="3043"/>
      <c r="ALM49" s="3043"/>
      <c r="ALN49" s="3043"/>
      <c r="ALO49" s="3043"/>
      <c r="ALP49" s="3043"/>
      <c r="ALQ49" s="3043"/>
      <c r="ALR49" s="3043"/>
      <c r="ALS49" s="3043"/>
      <c r="ALT49" s="3043"/>
      <c r="ALU49" s="3043"/>
      <c r="ALV49" s="3043"/>
      <c r="ALW49" s="3043"/>
      <c r="ALX49" s="3043"/>
      <c r="ALY49" s="3043"/>
      <c r="ALZ49" s="3043"/>
      <c r="AMA49" s="3043"/>
      <c r="AMB49" s="3043"/>
      <c r="AMC49" s="3043"/>
      <c r="AMD49" s="3043"/>
      <c r="AME49" s="3043"/>
      <c r="AMF49" s="3043"/>
      <c r="AMG49" s="3043"/>
      <c r="AMH49" s="3043"/>
      <c r="AMI49" s="3043"/>
      <c r="AMJ49" s="3043"/>
      <c r="AMK49" s="3043"/>
      <c r="AML49" s="3043"/>
      <c r="AMM49" s="3043"/>
      <c r="AMN49" s="3043"/>
      <c r="AMO49" s="3043"/>
      <c r="AMP49" s="3043"/>
      <c r="AMQ49" s="3043"/>
      <c r="AMR49" s="3043"/>
      <c r="AMS49" s="3043"/>
      <c r="AMT49" s="3043"/>
      <c r="AMU49" s="3043"/>
      <c r="AMV49" s="3043"/>
      <c r="AMW49" s="3043"/>
      <c r="AMX49" s="3043"/>
      <c r="AMY49" s="3043"/>
      <c r="AMZ49" s="3043"/>
      <c r="ANA49" s="3043"/>
      <c r="ANB49" s="3043"/>
      <c r="ANC49" s="3043"/>
      <c r="AND49" s="3043"/>
      <c r="ANE49" s="3043"/>
      <c r="ANF49" s="3043"/>
      <c r="ANG49" s="3043"/>
      <c r="ANH49" s="3043"/>
      <c r="ANI49" s="3043"/>
      <c r="ANJ49" s="3043"/>
      <c r="ANK49" s="3043"/>
      <c r="ANL49" s="3043"/>
      <c r="ANM49" s="3043"/>
      <c r="ANN49" s="3043"/>
      <c r="ANO49" s="3043"/>
      <c r="ANP49" s="3043"/>
      <c r="ANQ49" s="3043"/>
      <c r="ANR49" s="3043"/>
      <c r="ANS49" s="3043"/>
      <c r="ANT49" s="3043"/>
      <c r="ANU49" s="3043"/>
      <c r="ANV49" s="3043"/>
      <c r="ANW49" s="3043"/>
      <c r="ANX49" s="3043"/>
      <c r="ANY49" s="3043"/>
      <c r="ANZ49" s="3043"/>
      <c r="AOA49" s="3043"/>
      <c r="AOB49" s="3043"/>
      <c r="AOC49" s="3043"/>
      <c r="AOD49" s="3043"/>
      <c r="AOE49" s="3043"/>
      <c r="AOF49" s="3043"/>
      <c r="AOG49" s="3043"/>
      <c r="AOH49" s="3043"/>
      <c r="AOI49" s="3043"/>
      <c r="AOJ49" s="3043"/>
      <c r="AOK49" s="3043"/>
      <c r="AOL49" s="3043"/>
      <c r="AOM49" s="3043"/>
      <c r="AON49" s="3043"/>
      <c r="AOO49" s="3043"/>
      <c r="AOP49" s="3043"/>
      <c r="AOQ49" s="3043"/>
      <c r="AOR49" s="3043"/>
      <c r="AOS49" s="3043"/>
      <c r="AOT49" s="3043"/>
      <c r="AOU49" s="3043"/>
      <c r="AOV49" s="3043"/>
      <c r="AOW49" s="3043"/>
      <c r="AOX49" s="3043"/>
      <c r="AOY49" s="3043"/>
      <c r="AOZ49" s="3043"/>
      <c r="APA49" s="3043"/>
      <c r="APB49" s="3043"/>
      <c r="APC49" s="3043"/>
      <c r="APD49" s="3043"/>
      <c r="APE49" s="3043"/>
      <c r="APF49" s="3043"/>
      <c r="APG49" s="3043"/>
      <c r="APH49" s="3043"/>
      <c r="API49" s="3043"/>
      <c r="APJ49" s="3043"/>
      <c r="APK49" s="3043"/>
      <c r="APL49" s="3043"/>
      <c r="APM49" s="3043"/>
      <c r="APN49" s="3043"/>
      <c r="APO49" s="3043"/>
      <c r="APP49" s="3043"/>
      <c r="APQ49" s="3043"/>
      <c r="APR49" s="3043"/>
      <c r="APS49" s="3043"/>
      <c r="APT49" s="3043"/>
      <c r="APU49" s="3043"/>
      <c r="APV49" s="3043"/>
      <c r="APW49" s="3043"/>
      <c r="APX49" s="3043"/>
      <c r="APY49" s="3043"/>
      <c r="APZ49" s="3043"/>
      <c r="AQA49" s="3043"/>
      <c r="AQB49" s="3043"/>
      <c r="AQC49" s="3043"/>
      <c r="AQD49" s="3043"/>
      <c r="AQE49" s="3043"/>
      <c r="AQF49" s="3043"/>
      <c r="AQG49" s="3043"/>
      <c r="AQH49" s="3043"/>
      <c r="AQI49" s="3043"/>
      <c r="AQJ49" s="3043"/>
      <c r="AQK49" s="3043"/>
      <c r="AQL49" s="3043"/>
      <c r="AQM49" s="3043"/>
      <c r="AQN49" s="3043"/>
      <c r="AQO49" s="3043"/>
      <c r="AQP49" s="3043"/>
      <c r="AQQ49" s="3043"/>
      <c r="AQR49" s="3043"/>
      <c r="AQS49" s="3043"/>
      <c r="AQT49" s="3043"/>
      <c r="AQU49" s="3043"/>
      <c r="AQV49" s="3043"/>
      <c r="AQW49" s="3043"/>
      <c r="AQX49" s="3043"/>
      <c r="AQY49" s="3043"/>
      <c r="AQZ49" s="3043"/>
      <c r="ARA49" s="3043"/>
      <c r="ARB49" s="3043"/>
      <c r="ARC49" s="3043"/>
      <c r="ARD49" s="3043"/>
      <c r="ARE49" s="3043"/>
      <c r="ARF49" s="3043"/>
      <c r="ARG49" s="3043"/>
      <c r="ARH49" s="3043"/>
      <c r="ARI49" s="3043"/>
      <c r="ARJ49" s="3043"/>
      <c r="ARK49" s="3043"/>
      <c r="ARL49" s="3043"/>
      <c r="ARM49" s="3043"/>
      <c r="ARN49" s="3043"/>
      <c r="ARO49" s="3043"/>
      <c r="ARP49" s="3043"/>
      <c r="ARQ49" s="3043"/>
      <c r="ARR49" s="3043"/>
      <c r="ARS49" s="3043"/>
      <c r="ART49" s="3043"/>
      <c r="ARU49" s="3043"/>
      <c r="ARV49" s="3043"/>
      <c r="ARW49" s="3043"/>
      <c r="ARX49" s="3043"/>
      <c r="ARY49" s="3043"/>
      <c r="ARZ49" s="3043"/>
      <c r="ASA49" s="3043"/>
      <c r="ASB49" s="3043"/>
      <c r="ASC49" s="3043"/>
      <c r="ASD49" s="3043"/>
      <c r="ASE49" s="3043"/>
      <c r="ASF49" s="3043"/>
      <c r="ASG49" s="3043"/>
      <c r="ASH49" s="3043"/>
      <c r="ASI49" s="3043"/>
      <c r="ASJ49" s="3043"/>
      <c r="ASK49" s="3043"/>
      <c r="ASL49" s="3043"/>
      <c r="ASM49" s="3043"/>
      <c r="ASN49" s="3043"/>
      <c r="ASO49" s="3043"/>
      <c r="ASP49" s="3043"/>
      <c r="ASQ49" s="3043"/>
      <c r="ASR49" s="3043"/>
      <c r="ASS49" s="3043"/>
      <c r="AST49" s="3043"/>
      <c r="ASU49" s="3043"/>
      <c r="ASV49" s="3043"/>
      <c r="ASW49" s="3043"/>
      <c r="ASX49" s="3043"/>
      <c r="ASY49" s="3043"/>
      <c r="ASZ49" s="3043"/>
      <c r="ATA49" s="3043"/>
      <c r="ATB49" s="3043"/>
      <c r="ATC49" s="3043"/>
      <c r="ATD49" s="3043"/>
      <c r="ATE49" s="3043"/>
      <c r="ATF49" s="3043"/>
      <c r="ATG49" s="3043"/>
      <c r="ATH49" s="3043"/>
      <c r="ATI49" s="3043"/>
      <c r="ATJ49" s="3043"/>
      <c r="ATK49" s="3043"/>
      <c r="ATL49" s="3043"/>
      <c r="ATM49" s="3043"/>
      <c r="ATN49" s="3043"/>
      <c r="ATO49" s="3043"/>
      <c r="ATP49" s="3043"/>
      <c r="ATQ49" s="3043"/>
      <c r="ATR49" s="3043"/>
      <c r="ATS49" s="3043"/>
      <c r="ATT49" s="3043"/>
      <c r="ATU49" s="3043"/>
      <c r="ATV49" s="3043"/>
      <c r="ATW49" s="3043"/>
      <c r="ATX49" s="3043"/>
      <c r="ATY49" s="3043"/>
      <c r="ATZ49" s="3043"/>
      <c r="AUA49" s="3043"/>
      <c r="AUB49" s="3043"/>
      <c r="AUC49" s="3043"/>
      <c r="AUD49" s="3043"/>
      <c r="AUE49" s="3043"/>
      <c r="AUF49" s="3043"/>
      <c r="AUG49" s="3043"/>
      <c r="AUH49" s="3043"/>
      <c r="AUI49" s="3043"/>
      <c r="AUJ49" s="3043"/>
      <c r="AUK49" s="3043"/>
      <c r="AUL49" s="3043"/>
      <c r="AUM49" s="3043"/>
      <c r="AUN49" s="3043"/>
      <c r="AUO49" s="3043"/>
      <c r="AUP49" s="3043"/>
      <c r="AUQ49" s="3043"/>
      <c r="AUR49" s="3043"/>
      <c r="AUS49" s="3043"/>
      <c r="AUT49" s="3043"/>
      <c r="AUU49" s="3043"/>
      <c r="AUV49" s="3043"/>
      <c r="AUW49" s="3043"/>
      <c r="AUX49" s="3043"/>
      <c r="AUY49" s="3043"/>
      <c r="AUZ49" s="3043"/>
      <c r="AVA49" s="3043"/>
      <c r="AVB49" s="3043"/>
      <c r="AVC49" s="3043"/>
      <c r="AVD49" s="3043"/>
      <c r="AVE49" s="3043"/>
      <c r="AVF49" s="3043"/>
      <c r="AVG49" s="3043"/>
      <c r="AVH49" s="3043"/>
      <c r="AVI49" s="3043"/>
      <c r="AVJ49" s="3043"/>
      <c r="AVK49" s="3043"/>
      <c r="AVL49" s="3043"/>
      <c r="AVM49" s="3043"/>
      <c r="AVN49" s="3043"/>
      <c r="AVO49" s="3043"/>
      <c r="AVP49" s="3043"/>
      <c r="AVQ49" s="3043"/>
      <c r="AVR49" s="3043"/>
      <c r="AVS49" s="3043"/>
      <c r="AVT49" s="3043"/>
      <c r="AVU49" s="3043"/>
      <c r="AVV49" s="3043"/>
      <c r="AVW49" s="3043"/>
      <c r="AVX49" s="3043"/>
      <c r="AVY49" s="3043"/>
      <c r="AVZ49" s="3043"/>
      <c r="AWA49" s="3043"/>
      <c r="AWB49" s="3043"/>
      <c r="AWC49" s="3043"/>
      <c r="AWD49" s="3043"/>
      <c r="AWE49" s="3043"/>
      <c r="AWF49" s="3043"/>
      <c r="AWG49" s="3043"/>
      <c r="AWH49" s="3043"/>
      <c r="AWI49" s="3043"/>
      <c r="AWJ49" s="3043"/>
      <c r="AWK49" s="3043"/>
      <c r="AWL49" s="3043"/>
      <c r="AWM49" s="3043"/>
      <c r="AWN49" s="3043"/>
      <c r="AWO49" s="3043"/>
      <c r="AWP49" s="3043"/>
      <c r="AWQ49" s="3043"/>
      <c r="AWR49" s="3043"/>
      <c r="AWS49" s="3043"/>
      <c r="AWT49" s="3043"/>
      <c r="AWU49" s="3043"/>
      <c r="AWV49" s="3043"/>
      <c r="AWW49" s="3043"/>
      <c r="AWX49" s="3043"/>
      <c r="AWY49" s="3043"/>
      <c r="AWZ49" s="3043"/>
      <c r="AXA49" s="3043"/>
      <c r="AXB49" s="3043"/>
      <c r="AXC49" s="3043"/>
      <c r="AXD49" s="3043"/>
      <c r="AXE49" s="3043"/>
      <c r="AXF49" s="3043"/>
      <c r="AXG49" s="3043"/>
      <c r="AXH49" s="3043"/>
      <c r="AXI49" s="3043"/>
      <c r="AXJ49" s="3043"/>
      <c r="AXK49" s="3043"/>
      <c r="AXL49" s="3043"/>
      <c r="AXM49" s="3043"/>
      <c r="AXN49" s="3043"/>
      <c r="AXO49" s="3043"/>
      <c r="AXP49" s="3043"/>
      <c r="AXQ49" s="3043"/>
      <c r="AXR49" s="3043"/>
      <c r="AXS49" s="3043"/>
      <c r="AXT49" s="3043"/>
      <c r="AXU49" s="3043"/>
      <c r="AXV49" s="3043"/>
      <c r="AXW49" s="3043"/>
      <c r="AXX49" s="3043"/>
      <c r="AXY49" s="3043"/>
      <c r="AXZ49" s="3043"/>
      <c r="AYA49" s="3043"/>
      <c r="AYB49" s="3043"/>
      <c r="AYC49" s="3043"/>
      <c r="AYD49" s="3043"/>
      <c r="AYE49" s="3043"/>
      <c r="AYF49" s="3043"/>
      <c r="AYG49" s="3043"/>
      <c r="AYH49" s="3043"/>
      <c r="AYI49" s="3043"/>
      <c r="AYJ49" s="3043"/>
      <c r="AYK49" s="3043"/>
      <c r="AYL49" s="3043"/>
      <c r="AYM49" s="3043"/>
      <c r="AYN49" s="3043"/>
      <c r="AYO49" s="3043"/>
      <c r="AYP49" s="3043"/>
      <c r="AYQ49" s="3043"/>
      <c r="AYR49" s="3043"/>
      <c r="AYS49" s="3043"/>
      <c r="AYT49" s="3043"/>
      <c r="AYU49" s="3043"/>
      <c r="AYV49" s="3043"/>
      <c r="AYW49" s="3043"/>
      <c r="AYX49" s="3043"/>
      <c r="AYY49" s="3043"/>
      <c r="AYZ49" s="3043"/>
      <c r="AZA49" s="3043"/>
      <c r="AZB49" s="3043"/>
      <c r="AZC49" s="3043"/>
      <c r="AZD49" s="3043"/>
      <c r="AZE49" s="3043"/>
      <c r="AZF49" s="3043"/>
      <c r="AZG49" s="3043"/>
      <c r="AZH49" s="3043"/>
      <c r="AZI49" s="3043"/>
      <c r="AZJ49" s="3043"/>
      <c r="AZK49" s="3043"/>
      <c r="AZL49" s="3043"/>
      <c r="AZM49" s="3043"/>
      <c r="AZN49" s="3043"/>
      <c r="AZO49" s="3043"/>
      <c r="AZP49" s="3043"/>
      <c r="AZQ49" s="3043"/>
      <c r="AZR49" s="3043"/>
      <c r="AZS49" s="3043"/>
      <c r="AZT49" s="3043"/>
      <c r="AZU49" s="3043"/>
      <c r="AZV49" s="3043"/>
      <c r="AZW49" s="3043"/>
      <c r="AZX49" s="3043"/>
      <c r="AZY49" s="3043"/>
      <c r="AZZ49" s="3043"/>
      <c r="BAA49" s="3043"/>
      <c r="BAB49" s="3043"/>
      <c r="BAC49" s="3043"/>
      <c r="BAD49" s="3043"/>
      <c r="BAE49" s="3043"/>
      <c r="BAF49" s="3043"/>
      <c r="BAG49" s="3043"/>
      <c r="BAH49" s="3043"/>
      <c r="BAI49" s="3043"/>
      <c r="BAJ49" s="3043"/>
      <c r="BAK49" s="3043"/>
      <c r="BAL49" s="3043"/>
      <c r="BAM49" s="3043"/>
      <c r="BAN49" s="3043"/>
      <c r="BAO49" s="3043"/>
      <c r="BAP49" s="3043"/>
      <c r="BAQ49" s="3043"/>
      <c r="BAR49" s="3043"/>
      <c r="BAS49" s="3043"/>
      <c r="BAT49" s="3043"/>
      <c r="BAU49" s="3043"/>
      <c r="BAV49" s="3043"/>
      <c r="BAW49" s="3043"/>
      <c r="BAX49" s="3043"/>
      <c r="BAY49" s="3043"/>
      <c r="BAZ49" s="3043"/>
      <c r="BBA49" s="3043"/>
      <c r="BBB49" s="3043"/>
      <c r="BBC49" s="3043"/>
      <c r="BBD49" s="3043"/>
      <c r="BBE49" s="3043"/>
      <c r="BBF49" s="3043"/>
      <c r="BBG49" s="3043"/>
      <c r="BBH49" s="3043"/>
      <c r="BBI49" s="3043"/>
      <c r="BBJ49" s="3043"/>
      <c r="BBK49" s="3043"/>
      <c r="BBL49" s="3043"/>
      <c r="BBM49" s="3043"/>
      <c r="BBN49" s="3043"/>
      <c r="BBO49" s="3043"/>
      <c r="BBP49" s="3043"/>
      <c r="BBQ49" s="3043"/>
      <c r="BBR49" s="3043"/>
      <c r="BBS49" s="3043"/>
      <c r="BBT49" s="3043"/>
      <c r="BBU49" s="3043"/>
      <c r="BBV49" s="3043"/>
      <c r="BBW49" s="3043"/>
      <c r="BBX49" s="3043"/>
      <c r="BBY49" s="3043"/>
      <c r="BBZ49" s="3043"/>
      <c r="BCA49" s="3043"/>
      <c r="BCB49" s="3043"/>
      <c r="BCC49" s="3043"/>
      <c r="BCD49" s="3043"/>
      <c r="BCE49" s="3043"/>
      <c r="BCF49" s="3043"/>
      <c r="BCG49" s="3043"/>
      <c r="BCH49" s="3043"/>
      <c r="BCI49" s="3043"/>
      <c r="BCJ49" s="3043"/>
      <c r="BCK49" s="3043"/>
      <c r="BCL49" s="3043"/>
      <c r="BCM49" s="3043"/>
      <c r="BCN49" s="3043"/>
      <c r="BCO49" s="3043"/>
      <c r="BCP49" s="3043"/>
      <c r="BCQ49" s="3043"/>
      <c r="BCR49" s="3043"/>
      <c r="BCS49" s="3043"/>
      <c r="BCT49" s="3043"/>
      <c r="BCU49" s="3043"/>
      <c r="BCV49" s="3043"/>
      <c r="BCW49" s="3043"/>
      <c r="BCX49" s="3043"/>
      <c r="BCY49" s="3043"/>
      <c r="BCZ49" s="3043"/>
      <c r="BDA49" s="3043"/>
      <c r="BDB49" s="3043"/>
      <c r="BDC49" s="3043"/>
      <c r="BDD49" s="3043"/>
      <c r="BDE49" s="3043"/>
      <c r="BDF49" s="3043"/>
      <c r="BDG49" s="3043"/>
      <c r="BDH49" s="3043"/>
      <c r="BDI49" s="3043"/>
      <c r="BDJ49" s="3043"/>
      <c r="BDK49" s="3043"/>
      <c r="BDL49" s="3043"/>
      <c r="BDM49" s="3043"/>
      <c r="BDN49" s="3043"/>
      <c r="BDO49" s="3043"/>
      <c r="BDP49" s="3043"/>
      <c r="BDQ49" s="3043"/>
      <c r="BDR49" s="3043"/>
      <c r="BDS49" s="3043"/>
      <c r="BDT49" s="3043"/>
      <c r="BDU49" s="3043"/>
      <c r="BDV49" s="3043"/>
      <c r="BDW49" s="3043"/>
      <c r="BDX49" s="3043"/>
      <c r="BDY49" s="3043"/>
      <c r="BDZ49" s="3043"/>
      <c r="BEA49" s="3043"/>
      <c r="BEB49" s="3043"/>
      <c r="BEC49" s="3043"/>
      <c r="BED49" s="3043"/>
      <c r="BEE49" s="3043"/>
      <c r="BEF49" s="3043"/>
      <c r="BEG49" s="3043"/>
      <c r="BEH49" s="3043"/>
      <c r="BEI49" s="3043"/>
      <c r="BEJ49" s="3043"/>
      <c r="BEK49" s="3043"/>
      <c r="BEL49" s="3043"/>
      <c r="BEM49" s="3043"/>
      <c r="BEN49" s="3043"/>
      <c r="BEO49" s="3043"/>
      <c r="BEP49" s="3043"/>
      <c r="BEQ49" s="3043"/>
      <c r="BER49" s="3043"/>
      <c r="BES49" s="3043"/>
      <c r="BET49" s="3043"/>
      <c r="BEU49" s="3043"/>
      <c r="BEV49" s="3043"/>
      <c r="BEW49" s="3043"/>
      <c r="BEX49" s="3043"/>
      <c r="BEY49" s="3043"/>
      <c r="BEZ49" s="3043"/>
      <c r="BFA49" s="3043"/>
      <c r="BFB49" s="3043"/>
      <c r="BFC49" s="3043"/>
      <c r="BFD49" s="3043"/>
      <c r="BFE49" s="3043"/>
      <c r="BFF49" s="3043"/>
      <c r="BFG49" s="3043"/>
      <c r="BFH49" s="3043"/>
      <c r="BFI49" s="3043"/>
      <c r="BFJ49" s="3043"/>
      <c r="BFK49" s="3043"/>
      <c r="BFL49" s="3043"/>
      <c r="BFM49" s="3043"/>
      <c r="BFN49" s="3043"/>
      <c r="BFO49" s="3043"/>
      <c r="BFP49" s="3043"/>
      <c r="BFQ49" s="3043"/>
      <c r="BFR49" s="3043"/>
      <c r="BFS49" s="3043"/>
      <c r="BFT49" s="3043"/>
      <c r="BFU49" s="3043"/>
      <c r="BFV49" s="3043"/>
      <c r="BFW49" s="3043"/>
      <c r="BFX49" s="3043"/>
      <c r="BFY49" s="3043"/>
      <c r="BFZ49" s="3043"/>
      <c r="BGA49" s="3043"/>
      <c r="BGB49" s="3043"/>
      <c r="BGC49" s="3043"/>
      <c r="BGD49" s="3043"/>
      <c r="BGE49" s="3043"/>
      <c r="BGF49" s="3043"/>
      <c r="BGG49" s="3043"/>
      <c r="BGH49" s="3043"/>
      <c r="BGI49" s="3043"/>
      <c r="BGJ49" s="3043"/>
      <c r="BGK49" s="3043"/>
      <c r="BGL49" s="3043"/>
      <c r="BGM49" s="3043"/>
      <c r="BGN49" s="3043"/>
      <c r="BGO49" s="3043"/>
      <c r="BGP49" s="3043"/>
      <c r="BGQ49" s="3043"/>
      <c r="BGR49" s="3043"/>
      <c r="BGS49" s="3043"/>
      <c r="BGT49" s="3043"/>
      <c r="BGU49" s="3043"/>
      <c r="BGV49" s="3043"/>
      <c r="BGW49" s="3043"/>
      <c r="BGX49" s="3043"/>
      <c r="BGY49" s="3043"/>
      <c r="BGZ49" s="3043"/>
      <c r="BHA49" s="3043"/>
      <c r="BHB49" s="3043"/>
      <c r="BHC49" s="3043"/>
      <c r="BHD49" s="3043"/>
      <c r="BHE49" s="3043"/>
      <c r="BHF49" s="3043"/>
      <c r="BHG49" s="3043"/>
      <c r="BHH49" s="3043"/>
      <c r="BHI49" s="3043"/>
      <c r="BHJ49" s="3043"/>
      <c r="BHK49" s="3043"/>
      <c r="BHL49" s="3043"/>
      <c r="BHM49" s="3043"/>
      <c r="BHN49" s="3043"/>
      <c r="BHO49" s="3043"/>
      <c r="BHP49" s="3043"/>
      <c r="BHQ49" s="3043"/>
      <c r="BHR49" s="3043"/>
      <c r="BHS49" s="3043"/>
      <c r="BHT49" s="3043"/>
      <c r="BHU49" s="3043"/>
      <c r="BHV49" s="3043"/>
      <c r="BHW49" s="3043"/>
      <c r="BHX49" s="3043"/>
      <c r="BHY49" s="3043"/>
      <c r="BHZ49" s="3043"/>
      <c r="BIA49" s="3043"/>
      <c r="BIB49" s="3043"/>
      <c r="BIC49" s="3043"/>
      <c r="BID49" s="3043"/>
      <c r="BIE49" s="3043"/>
      <c r="BIF49" s="3043"/>
      <c r="BIG49" s="3043"/>
      <c r="BIH49" s="3043"/>
      <c r="BII49" s="3043"/>
      <c r="BIJ49" s="3043"/>
      <c r="BIK49" s="3043"/>
      <c r="BIL49" s="3043"/>
      <c r="BIM49" s="3043"/>
      <c r="BIN49" s="3043"/>
      <c r="BIO49" s="3043"/>
      <c r="BIP49" s="3043"/>
      <c r="BIQ49" s="3043"/>
      <c r="BIR49" s="3043"/>
      <c r="BIS49" s="3043"/>
      <c r="BIT49" s="3043"/>
      <c r="BIU49" s="3043"/>
      <c r="BIV49" s="3043"/>
      <c r="BIW49" s="3043"/>
      <c r="BIX49" s="3043"/>
      <c r="BIY49" s="3043"/>
      <c r="BIZ49" s="3043"/>
      <c r="BJA49" s="3043"/>
      <c r="BJB49" s="3043"/>
      <c r="BJC49" s="3043"/>
      <c r="BJD49" s="3043"/>
      <c r="BJE49" s="3043"/>
      <c r="BJF49" s="3043"/>
      <c r="BJG49" s="3043"/>
      <c r="BJH49" s="3043"/>
      <c r="BJI49" s="3043"/>
      <c r="BJJ49" s="3043"/>
      <c r="BJK49" s="3043"/>
      <c r="BJL49" s="3043"/>
      <c r="BJM49" s="3043"/>
      <c r="BJN49" s="3043"/>
      <c r="BJO49" s="3043"/>
      <c r="BJP49" s="3043"/>
      <c r="BJQ49" s="3043"/>
      <c r="BJR49" s="3043"/>
      <c r="BJS49" s="3043"/>
      <c r="BJT49" s="3043"/>
      <c r="BJU49" s="3043"/>
      <c r="BJV49" s="3043"/>
      <c r="BJW49" s="3043"/>
      <c r="BJX49" s="3043"/>
      <c r="BJY49" s="3043"/>
      <c r="BJZ49" s="3043"/>
      <c r="BKA49" s="3043"/>
      <c r="BKB49" s="3043"/>
      <c r="BKC49" s="3043"/>
      <c r="BKD49" s="3043"/>
      <c r="BKE49" s="3043"/>
      <c r="BKF49" s="3043"/>
      <c r="BKG49" s="3043"/>
      <c r="BKH49" s="3043"/>
      <c r="BKI49" s="3043"/>
      <c r="BKJ49" s="3043"/>
      <c r="BKK49" s="3043"/>
      <c r="BKL49" s="3043"/>
      <c r="BKM49" s="3043"/>
      <c r="BKN49" s="3043"/>
      <c r="BKO49" s="3043"/>
      <c r="BKP49" s="3043"/>
      <c r="BKQ49" s="3043"/>
      <c r="BKR49" s="3043"/>
      <c r="BKS49" s="3043"/>
      <c r="BKT49" s="3043"/>
      <c r="BKU49" s="3043"/>
      <c r="BKV49" s="3043"/>
      <c r="BKW49" s="3043"/>
      <c r="BKX49" s="3043"/>
      <c r="BKY49" s="3043"/>
      <c r="BKZ49" s="3043"/>
      <c r="BLA49" s="3043"/>
      <c r="BLB49" s="3043"/>
      <c r="BLC49" s="3043"/>
      <c r="BLD49" s="3043"/>
      <c r="BLE49" s="3043"/>
      <c r="BLF49" s="3043"/>
      <c r="BLG49" s="3043"/>
      <c r="BLH49" s="3043"/>
      <c r="BLI49" s="3043"/>
      <c r="BLJ49" s="3043"/>
      <c r="BLK49" s="3043"/>
      <c r="BLL49" s="3043"/>
      <c r="BLM49" s="3043"/>
      <c r="BLN49" s="3043"/>
      <c r="BLO49" s="3043"/>
      <c r="BLP49" s="3043"/>
      <c r="BLQ49" s="3043"/>
      <c r="BLR49" s="3043"/>
      <c r="BLS49" s="3043"/>
      <c r="BLT49" s="3043"/>
      <c r="BLU49" s="3043"/>
      <c r="BLV49" s="3043"/>
      <c r="BLW49" s="3043"/>
      <c r="BLX49" s="3043"/>
      <c r="BLY49" s="3043"/>
      <c r="BLZ49" s="3043"/>
      <c r="BMA49" s="3043"/>
      <c r="BMB49" s="3043"/>
      <c r="BMC49" s="3043"/>
      <c r="BMD49" s="3043"/>
      <c r="BME49" s="3043"/>
      <c r="BMF49" s="3043"/>
      <c r="BMG49" s="3043"/>
      <c r="BMH49" s="3043"/>
      <c r="BMI49" s="3043"/>
      <c r="BMJ49" s="3043"/>
      <c r="BMK49" s="3043"/>
      <c r="BML49" s="3043"/>
      <c r="BMM49" s="3043"/>
      <c r="BMN49" s="3043"/>
      <c r="BMO49" s="3043"/>
      <c r="BMP49" s="3043"/>
      <c r="BMQ49" s="3043"/>
      <c r="BMR49" s="3043"/>
      <c r="BMS49" s="3043"/>
      <c r="BMT49" s="3043"/>
      <c r="BMU49" s="3043"/>
      <c r="BMV49" s="3043"/>
      <c r="BMW49" s="3043"/>
      <c r="BMX49" s="3043"/>
      <c r="BMY49" s="3043"/>
      <c r="BMZ49" s="3043"/>
      <c r="BNA49" s="3043"/>
      <c r="BNB49" s="3043"/>
      <c r="BNC49" s="3043"/>
      <c r="BND49" s="3043"/>
      <c r="BNE49" s="3043"/>
      <c r="BNF49" s="3043"/>
      <c r="BNG49" s="3043"/>
      <c r="BNH49" s="3043"/>
      <c r="BNI49" s="3043"/>
      <c r="BNJ49" s="3043"/>
      <c r="BNK49" s="3043"/>
      <c r="BNL49" s="3043"/>
      <c r="BNM49" s="3043"/>
      <c r="BNN49" s="3043"/>
      <c r="BNO49" s="3043"/>
      <c r="BNP49" s="3043"/>
      <c r="BNQ49" s="3043"/>
      <c r="BNR49" s="3043"/>
      <c r="BNS49" s="3043"/>
      <c r="BNT49" s="3043"/>
      <c r="BNU49" s="3043"/>
      <c r="BNV49" s="3043"/>
      <c r="BNW49" s="3043"/>
      <c r="BNX49" s="3043"/>
      <c r="BNY49" s="3043"/>
      <c r="BNZ49" s="3043"/>
      <c r="BOA49" s="3043"/>
      <c r="BOB49" s="3043"/>
      <c r="BOC49" s="3043"/>
      <c r="BOD49" s="3043"/>
      <c r="BOE49" s="3043"/>
      <c r="BOF49" s="3043"/>
      <c r="BOG49" s="3043"/>
      <c r="BOH49" s="3043"/>
      <c r="BOI49" s="3043"/>
      <c r="BOJ49" s="3043"/>
      <c r="BOK49" s="3043"/>
      <c r="BOL49" s="3043"/>
      <c r="BOM49" s="3043"/>
      <c r="BON49" s="3043"/>
      <c r="BOO49" s="3043"/>
      <c r="BOP49" s="3043"/>
      <c r="BOQ49" s="3043"/>
      <c r="BOR49" s="3043"/>
      <c r="BOS49" s="3043"/>
      <c r="BOT49" s="3043"/>
      <c r="BOU49" s="3043"/>
      <c r="BOV49" s="3043"/>
      <c r="BOW49" s="3043"/>
      <c r="BOX49" s="3043"/>
      <c r="BOY49" s="3043"/>
      <c r="BOZ49" s="3043"/>
      <c r="BPA49" s="3043"/>
      <c r="BPB49" s="3043"/>
      <c r="BPC49" s="3043"/>
      <c r="BPD49" s="3043"/>
      <c r="BPE49" s="3043"/>
      <c r="BPF49" s="3043"/>
      <c r="BPG49" s="3043"/>
      <c r="BPH49" s="3043"/>
      <c r="BPI49" s="3043"/>
      <c r="BPJ49" s="3043"/>
      <c r="BPK49" s="3043"/>
      <c r="BPL49" s="3043"/>
      <c r="BPM49" s="3043"/>
      <c r="BPN49" s="3043"/>
      <c r="BPO49" s="3043"/>
      <c r="BPP49" s="3043"/>
      <c r="BPQ49" s="3043"/>
      <c r="BPR49" s="3043"/>
      <c r="BPS49" s="3043"/>
      <c r="BPT49" s="3043"/>
      <c r="BPU49" s="3043"/>
      <c r="BPV49" s="3043"/>
      <c r="BPW49" s="3043"/>
      <c r="BPX49" s="3043"/>
      <c r="BPY49" s="3043"/>
      <c r="BPZ49" s="3043"/>
      <c r="BQA49" s="3043"/>
      <c r="BQB49" s="3043"/>
      <c r="BQC49" s="3043"/>
      <c r="BQD49" s="3043"/>
      <c r="BQE49" s="3043"/>
      <c r="BQF49" s="3043"/>
      <c r="BQG49" s="3043"/>
      <c r="BQH49" s="3043"/>
      <c r="BQI49" s="3043"/>
      <c r="BQJ49" s="3043"/>
      <c r="BQK49" s="3043"/>
      <c r="BQL49" s="3043"/>
      <c r="BQM49" s="3043"/>
      <c r="BQN49" s="3043"/>
      <c r="BQO49" s="3043"/>
      <c r="BQP49" s="3043"/>
      <c r="BQQ49" s="3043"/>
      <c r="BQR49" s="3043"/>
      <c r="BQS49" s="3043"/>
      <c r="BQT49" s="3043"/>
      <c r="BQU49" s="3043"/>
      <c r="BQV49" s="3043"/>
      <c r="BQW49" s="3043"/>
      <c r="BQX49" s="3043"/>
      <c r="BQY49" s="3043"/>
      <c r="BQZ49" s="3043"/>
      <c r="BRA49" s="3043"/>
      <c r="BRB49" s="3043"/>
      <c r="BRC49" s="3043"/>
      <c r="BRD49" s="3043"/>
      <c r="BRE49" s="3043"/>
      <c r="BRF49" s="3043"/>
      <c r="BRG49" s="3043"/>
      <c r="BRH49" s="3043"/>
      <c r="BRI49" s="3043"/>
      <c r="BRJ49" s="3043"/>
      <c r="BRK49" s="3043"/>
      <c r="BRL49" s="3043"/>
      <c r="BRM49" s="3043"/>
      <c r="BRN49" s="3043"/>
      <c r="BRO49" s="3043"/>
      <c r="BRP49" s="3043"/>
      <c r="BRQ49" s="3043"/>
      <c r="BRR49" s="3043"/>
      <c r="BRS49" s="3043"/>
      <c r="BRT49" s="3043"/>
      <c r="BRU49" s="3043"/>
      <c r="BRV49" s="3043"/>
      <c r="BRW49" s="3043"/>
      <c r="BRX49" s="3043"/>
      <c r="BRY49" s="3043"/>
      <c r="BRZ49" s="3043"/>
      <c r="BSA49" s="3043"/>
      <c r="BSB49" s="3043"/>
      <c r="BSC49" s="3043"/>
      <c r="BSD49" s="3043"/>
      <c r="BSE49" s="3043"/>
      <c r="BSF49" s="3043"/>
      <c r="BSG49" s="3043"/>
      <c r="BSH49" s="3043"/>
      <c r="BSI49" s="3043"/>
      <c r="BSJ49" s="3043"/>
      <c r="BSK49" s="3043"/>
      <c r="BSL49" s="3043"/>
      <c r="BSM49" s="3043"/>
      <c r="BSN49" s="3043"/>
      <c r="BSO49" s="3043"/>
      <c r="BSP49" s="3043"/>
      <c r="BSQ49" s="3043"/>
      <c r="BSR49" s="3043"/>
      <c r="BSS49" s="3043"/>
      <c r="BST49" s="3043"/>
      <c r="BSU49" s="3043"/>
      <c r="BSV49" s="3043"/>
      <c r="BSW49" s="3043"/>
      <c r="BSX49" s="3043"/>
      <c r="BSY49" s="3043"/>
      <c r="BSZ49" s="3043"/>
      <c r="BTA49" s="3043"/>
      <c r="BTB49" s="3043"/>
      <c r="BTC49" s="3043"/>
      <c r="BTD49" s="3043"/>
      <c r="BTE49" s="3043"/>
      <c r="BTF49" s="3043"/>
      <c r="BTG49" s="3043"/>
      <c r="BTH49" s="3043"/>
      <c r="BTI49" s="3043"/>
      <c r="BTJ49" s="3043"/>
      <c r="BTK49" s="3043"/>
      <c r="BTL49" s="3043"/>
      <c r="BTM49" s="3043"/>
      <c r="BTN49" s="3043"/>
      <c r="BTO49" s="3043"/>
      <c r="BTP49" s="3043"/>
      <c r="BTQ49" s="3043"/>
      <c r="BTR49" s="3043"/>
      <c r="BTS49" s="3043"/>
      <c r="BTT49" s="3043"/>
      <c r="BTU49" s="3043"/>
      <c r="BTV49" s="3043"/>
      <c r="BTW49" s="3043"/>
      <c r="BTX49" s="3043"/>
      <c r="BTY49" s="3043"/>
      <c r="BTZ49" s="3043"/>
      <c r="BUA49" s="3043"/>
      <c r="BUB49" s="3043"/>
      <c r="BUC49" s="3043"/>
      <c r="BUD49" s="3043"/>
      <c r="BUE49" s="3043"/>
      <c r="BUF49" s="3043"/>
      <c r="BUG49" s="3043"/>
      <c r="BUH49" s="3043"/>
      <c r="BUI49" s="3043"/>
      <c r="BUJ49" s="3043"/>
      <c r="BUK49" s="3043"/>
      <c r="BUL49" s="3043"/>
      <c r="BUM49" s="3043"/>
      <c r="BUN49" s="3043"/>
      <c r="BUO49" s="3043"/>
      <c r="BUP49" s="3043"/>
      <c r="BUQ49" s="3043"/>
      <c r="BUR49" s="3043"/>
      <c r="BUS49" s="3043"/>
      <c r="BUT49" s="3043"/>
      <c r="BUU49" s="3043"/>
      <c r="BUV49" s="3043"/>
      <c r="BUW49" s="3043"/>
      <c r="BUX49" s="3043"/>
      <c r="BUY49" s="3043"/>
      <c r="BUZ49" s="3043"/>
      <c r="BVA49" s="3043"/>
      <c r="BVB49" s="3043"/>
      <c r="BVC49" s="3043"/>
      <c r="BVD49" s="3043"/>
      <c r="BVE49" s="3043"/>
      <c r="BVF49" s="3043"/>
      <c r="BVG49" s="3043"/>
      <c r="BVH49" s="3043"/>
      <c r="BVI49" s="3043"/>
      <c r="BVJ49" s="3043"/>
      <c r="BVK49" s="3043"/>
      <c r="BVL49" s="3043"/>
      <c r="BVM49" s="3043"/>
      <c r="BVN49" s="3043"/>
      <c r="BVO49" s="3043"/>
      <c r="BVP49" s="3043"/>
      <c r="BVQ49" s="3043"/>
      <c r="BVR49" s="3043"/>
      <c r="BVS49" s="3043"/>
      <c r="BVT49" s="3043"/>
      <c r="BVU49" s="3043"/>
      <c r="BVV49" s="3043"/>
      <c r="BVW49" s="3043"/>
      <c r="BVX49" s="3043"/>
      <c r="BVY49" s="3043"/>
      <c r="BVZ49" s="3043"/>
      <c r="BWA49" s="3043"/>
      <c r="BWB49" s="3043"/>
      <c r="BWC49" s="3043"/>
      <c r="BWD49" s="3043"/>
      <c r="BWE49" s="3043"/>
      <c r="BWF49" s="3043"/>
      <c r="BWG49" s="3043"/>
      <c r="BWH49" s="3043"/>
      <c r="BWI49" s="3043"/>
      <c r="BWJ49" s="3043"/>
      <c r="BWK49" s="3043"/>
      <c r="BWL49" s="3043"/>
      <c r="BWM49" s="3043"/>
      <c r="BWN49" s="3043"/>
      <c r="BWO49" s="3043"/>
      <c r="BWP49" s="3043"/>
      <c r="BWQ49" s="3043"/>
      <c r="BWR49" s="3043"/>
      <c r="BWS49" s="3043"/>
      <c r="BWT49" s="3043"/>
      <c r="BWU49" s="3043"/>
      <c r="BWV49" s="3043"/>
      <c r="BWW49" s="3043"/>
      <c r="BWX49" s="3043"/>
      <c r="BWY49" s="3043"/>
      <c r="BWZ49" s="3043"/>
      <c r="BXA49" s="3043"/>
      <c r="BXB49" s="3043"/>
      <c r="BXC49" s="3043"/>
      <c r="BXD49" s="3043"/>
      <c r="BXE49" s="3043"/>
      <c r="BXF49" s="3043"/>
      <c r="BXG49" s="3043"/>
      <c r="BXH49" s="3043"/>
      <c r="BXI49" s="3043"/>
      <c r="BXJ49" s="3043"/>
      <c r="BXK49" s="3043"/>
      <c r="BXL49" s="3043"/>
      <c r="BXM49" s="3043"/>
      <c r="BXN49" s="3043"/>
      <c r="BXO49" s="3043"/>
      <c r="BXP49" s="3043"/>
      <c r="BXQ49" s="3043"/>
      <c r="BXR49" s="3043"/>
      <c r="BXS49" s="3043"/>
      <c r="BXT49" s="3043"/>
      <c r="BXU49" s="3043"/>
      <c r="BXV49" s="3043"/>
      <c r="BXW49" s="3043"/>
      <c r="BXX49" s="3043"/>
      <c r="BXY49" s="3043"/>
      <c r="BXZ49" s="3043"/>
      <c r="BYA49" s="3043"/>
      <c r="BYB49" s="3043"/>
      <c r="BYC49" s="3043"/>
      <c r="BYD49" s="3043"/>
      <c r="BYE49" s="3043"/>
      <c r="BYF49" s="3043"/>
      <c r="BYG49" s="3043"/>
      <c r="BYH49" s="3043"/>
      <c r="BYI49" s="3043"/>
      <c r="BYJ49" s="3043"/>
      <c r="BYK49" s="3043"/>
      <c r="BYL49" s="3043"/>
      <c r="BYM49" s="3043"/>
      <c r="BYN49" s="3043"/>
      <c r="BYO49" s="3043"/>
      <c r="BYP49" s="3043"/>
      <c r="BYQ49" s="3043"/>
      <c r="BYR49" s="3043"/>
      <c r="BYS49" s="3043"/>
      <c r="BYT49" s="3043"/>
      <c r="BYU49" s="3043"/>
      <c r="BYV49" s="3043"/>
      <c r="BYW49" s="3043"/>
      <c r="BYX49" s="3043"/>
      <c r="BYY49" s="3043"/>
      <c r="BYZ49" s="3043"/>
      <c r="BZA49" s="3043"/>
      <c r="BZB49" s="3043"/>
      <c r="BZC49" s="3043"/>
      <c r="BZD49" s="3043"/>
      <c r="BZE49" s="3043"/>
      <c r="BZF49" s="3043"/>
      <c r="BZG49" s="3043"/>
      <c r="BZH49" s="3043"/>
      <c r="BZI49" s="3043"/>
      <c r="BZJ49" s="3043"/>
      <c r="BZK49" s="3043"/>
      <c r="BZL49" s="3043"/>
      <c r="BZM49" s="3043"/>
      <c r="BZN49" s="3043"/>
      <c r="BZO49" s="3043"/>
      <c r="BZP49" s="3043"/>
      <c r="BZQ49" s="3043"/>
      <c r="BZR49" s="3043"/>
      <c r="BZS49" s="3043"/>
      <c r="BZT49" s="3043"/>
      <c r="BZU49" s="3043"/>
      <c r="BZV49" s="3043"/>
      <c r="BZW49" s="3043"/>
      <c r="BZX49" s="3043"/>
      <c r="BZY49" s="3043"/>
      <c r="BZZ49" s="3043"/>
      <c r="CAA49" s="3043"/>
      <c r="CAB49" s="3043"/>
      <c r="CAC49" s="3043"/>
      <c r="CAD49" s="3043"/>
      <c r="CAE49" s="3043"/>
      <c r="CAF49" s="3043"/>
      <c r="CAG49" s="3043"/>
      <c r="CAH49" s="3043"/>
      <c r="CAI49" s="3043"/>
      <c r="CAJ49" s="3043"/>
      <c r="CAK49" s="3043"/>
      <c r="CAL49" s="3043"/>
      <c r="CAM49" s="3043"/>
      <c r="CAN49" s="3043"/>
      <c r="CAO49" s="3043"/>
      <c r="CAP49" s="3043"/>
      <c r="CAQ49" s="3043"/>
      <c r="CAR49" s="3043"/>
      <c r="CAS49" s="3043"/>
      <c r="CAT49" s="3043"/>
      <c r="CAU49" s="3043"/>
      <c r="CAV49" s="3043"/>
      <c r="CAW49" s="3043"/>
      <c r="CAX49" s="3043"/>
      <c r="CAY49" s="3043"/>
      <c r="CAZ49" s="3043"/>
      <c r="CBA49" s="3043"/>
      <c r="CBB49" s="3043"/>
      <c r="CBC49" s="3043"/>
      <c r="CBD49" s="3043"/>
      <c r="CBE49" s="3043"/>
      <c r="CBF49" s="3043"/>
      <c r="CBG49" s="3043"/>
      <c r="CBH49" s="3043"/>
      <c r="CBI49" s="3043"/>
      <c r="CBJ49" s="3043"/>
      <c r="CBK49" s="3043"/>
      <c r="CBL49" s="3043"/>
      <c r="CBM49" s="3043"/>
      <c r="CBN49" s="3043"/>
      <c r="CBO49" s="3043"/>
      <c r="CBP49" s="3043"/>
      <c r="CBQ49" s="3043"/>
      <c r="CBR49" s="3043"/>
      <c r="CBS49" s="3043"/>
      <c r="CBT49" s="3043"/>
      <c r="CBU49" s="3043"/>
      <c r="CBV49" s="3043"/>
      <c r="CBW49" s="3043"/>
      <c r="CBX49" s="3043"/>
      <c r="CBY49" s="3043"/>
      <c r="CBZ49" s="3043"/>
      <c r="CCA49" s="3043"/>
      <c r="CCB49" s="3043"/>
      <c r="CCC49" s="3043"/>
      <c r="CCD49" s="3043"/>
      <c r="CCE49" s="3043"/>
      <c r="CCF49" s="3043"/>
      <c r="CCG49" s="3043"/>
      <c r="CCH49" s="3043"/>
      <c r="CCI49" s="3043"/>
      <c r="CCJ49" s="3043"/>
      <c r="CCK49" s="3043"/>
      <c r="CCL49" s="3043"/>
      <c r="CCM49" s="3043"/>
      <c r="CCN49" s="3043"/>
      <c r="CCO49" s="3043"/>
      <c r="CCP49" s="3043"/>
      <c r="CCQ49" s="3043"/>
      <c r="CCR49" s="3043"/>
      <c r="CCS49" s="3043"/>
      <c r="CCT49" s="3043"/>
      <c r="CCU49" s="3043"/>
      <c r="CCV49" s="3043"/>
      <c r="CCW49" s="3043"/>
      <c r="CCX49" s="3043"/>
      <c r="CCY49" s="3043"/>
      <c r="CCZ49" s="3043"/>
      <c r="CDA49" s="3043"/>
      <c r="CDB49" s="3043"/>
      <c r="CDC49" s="3043"/>
      <c r="CDD49" s="3043"/>
      <c r="CDE49" s="3043"/>
      <c r="CDF49" s="3043"/>
      <c r="CDG49" s="3043"/>
      <c r="CDH49" s="3043"/>
      <c r="CDI49" s="3043"/>
      <c r="CDJ49" s="3043"/>
      <c r="CDK49" s="3043"/>
      <c r="CDL49" s="3043"/>
      <c r="CDM49" s="3043"/>
      <c r="CDN49" s="3043"/>
      <c r="CDO49" s="3043"/>
      <c r="CDP49" s="3043"/>
      <c r="CDQ49" s="3043"/>
      <c r="CDR49" s="3043"/>
      <c r="CDS49" s="3043"/>
      <c r="CDT49" s="3043"/>
      <c r="CDU49" s="3043"/>
      <c r="CDV49" s="3043"/>
      <c r="CDW49" s="3043"/>
      <c r="CDX49" s="3043"/>
      <c r="CDY49" s="3043"/>
      <c r="CDZ49" s="3043"/>
      <c r="CEA49" s="3043"/>
      <c r="CEB49" s="3043"/>
      <c r="CEC49" s="3043"/>
      <c r="CED49" s="3043"/>
      <c r="CEE49" s="3043"/>
      <c r="CEF49" s="3043"/>
      <c r="CEG49" s="3043"/>
      <c r="CEH49" s="3043"/>
      <c r="CEI49" s="3043"/>
      <c r="CEJ49" s="3043"/>
      <c r="CEK49" s="3043"/>
      <c r="CEL49" s="3043"/>
      <c r="CEM49" s="3043"/>
      <c r="CEN49" s="3043"/>
      <c r="CEO49" s="3043"/>
      <c r="CEP49" s="3043"/>
      <c r="CEQ49" s="3043"/>
      <c r="CER49" s="3043"/>
      <c r="CES49" s="3043"/>
      <c r="CET49" s="3043"/>
      <c r="CEU49" s="3043"/>
      <c r="CEV49" s="3043"/>
      <c r="CEW49" s="3043"/>
      <c r="CEX49" s="3043"/>
      <c r="CEY49" s="3043"/>
      <c r="CEZ49" s="3043"/>
      <c r="CFA49" s="3043"/>
      <c r="CFB49" s="3043"/>
      <c r="CFC49" s="3043"/>
      <c r="CFD49" s="3043"/>
      <c r="CFE49" s="3043"/>
      <c r="CFF49" s="3043"/>
      <c r="CFG49" s="3043"/>
      <c r="CFH49" s="3043"/>
      <c r="CFI49" s="3043"/>
      <c r="CFJ49" s="3043"/>
      <c r="CFK49" s="3043"/>
      <c r="CFL49" s="3043"/>
      <c r="CFM49" s="3043"/>
      <c r="CFN49" s="3043"/>
      <c r="CFO49" s="3043"/>
      <c r="CFP49" s="3043"/>
      <c r="CFQ49" s="3043"/>
      <c r="CFR49" s="3043"/>
      <c r="CFS49" s="3043"/>
      <c r="CFT49" s="3043"/>
      <c r="CFU49" s="3043"/>
      <c r="CFV49" s="3043"/>
      <c r="CFW49" s="3043"/>
      <c r="CFX49" s="3043"/>
      <c r="CFY49" s="3043"/>
      <c r="CFZ49" s="3043"/>
      <c r="CGA49" s="3043"/>
      <c r="CGB49" s="3043"/>
      <c r="CGC49" s="3043"/>
      <c r="CGD49" s="3043"/>
      <c r="CGE49" s="3043"/>
      <c r="CGF49" s="3043"/>
      <c r="CGG49" s="3043"/>
      <c r="CGH49" s="3043"/>
      <c r="CGI49" s="3043"/>
      <c r="CGJ49" s="3043"/>
      <c r="CGK49" s="3043"/>
      <c r="CGL49" s="3043"/>
      <c r="CGM49" s="3043"/>
      <c r="CGN49" s="3043"/>
      <c r="CGO49" s="3043"/>
      <c r="CGP49" s="3043"/>
      <c r="CGQ49" s="3043"/>
      <c r="CGR49" s="3043"/>
      <c r="CGS49" s="3043"/>
      <c r="CGT49" s="3043"/>
      <c r="CGU49" s="3043"/>
      <c r="CGV49" s="3043"/>
      <c r="CGW49" s="3043"/>
      <c r="CGX49" s="3043"/>
      <c r="CGY49" s="3043"/>
      <c r="CGZ49" s="3043"/>
      <c r="CHA49" s="3043"/>
      <c r="CHB49" s="3043"/>
      <c r="CHC49" s="3043"/>
      <c r="CHD49" s="3043"/>
      <c r="CHE49" s="3043"/>
      <c r="CHF49" s="3043"/>
      <c r="CHG49" s="3043"/>
      <c r="CHH49" s="3043"/>
      <c r="CHI49" s="3043"/>
      <c r="CHJ49" s="3043"/>
      <c r="CHK49" s="3043"/>
      <c r="CHL49" s="3043"/>
      <c r="CHM49" s="3043"/>
      <c r="CHN49" s="3043"/>
      <c r="CHO49" s="3043"/>
      <c r="CHP49" s="3043"/>
      <c r="CHQ49" s="3043"/>
      <c r="CHR49" s="3043"/>
      <c r="CHS49" s="3043"/>
      <c r="CHT49" s="3043"/>
      <c r="CHU49" s="3043"/>
      <c r="CHV49" s="3043"/>
      <c r="CHW49" s="3043"/>
      <c r="CHX49" s="3043"/>
      <c r="CHY49" s="3043"/>
      <c r="CHZ49" s="3043"/>
      <c r="CIA49" s="3043"/>
      <c r="CIB49" s="3043"/>
      <c r="CIC49" s="3043"/>
      <c r="CID49" s="3043"/>
      <c r="CIE49" s="3043"/>
      <c r="CIF49" s="3043"/>
      <c r="CIG49" s="3043"/>
      <c r="CIH49" s="3043"/>
      <c r="CII49" s="3043"/>
      <c r="CIJ49" s="3043"/>
      <c r="CIK49" s="3043"/>
      <c r="CIL49" s="3043"/>
      <c r="CIM49" s="3043"/>
      <c r="CIN49" s="3043"/>
      <c r="CIO49" s="3043"/>
      <c r="CIP49" s="3043"/>
      <c r="CIQ49" s="3043"/>
      <c r="CIR49" s="3043"/>
      <c r="CIS49" s="3043"/>
      <c r="CIT49" s="3043"/>
      <c r="CIU49" s="3043"/>
      <c r="CIV49" s="3043"/>
      <c r="CIW49" s="3043"/>
      <c r="CIX49" s="3043"/>
      <c r="CIY49" s="3043"/>
      <c r="CIZ49" s="3043"/>
      <c r="CJA49" s="3043"/>
      <c r="CJB49" s="3043"/>
      <c r="CJC49" s="3043"/>
      <c r="CJD49" s="3043"/>
      <c r="CJE49" s="3043"/>
      <c r="CJF49" s="3043"/>
      <c r="CJG49" s="3043"/>
      <c r="CJH49" s="3043"/>
      <c r="CJI49" s="3043"/>
      <c r="CJJ49" s="3043"/>
      <c r="CJK49" s="3043"/>
      <c r="CJL49" s="3043"/>
      <c r="CJM49" s="3043"/>
      <c r="CJN49" s="3043"/>
      <c r="CJO49" s="3043"/>
      <c r="CJP49" s="3043"/>
      <c r="CJQ49" s="3043"/>
      <c r="CJR49" s="3043"/>
      <c r="CJS49" s="3043"/>
      <c r="CJT49" s="3043"/>
      <c r="CJU49" s="3043"/>
      <c r="CJV49" s="3043"/>
      <c r="CJW49" s="3043"/>
      <c r="CJX49" s="3043"/>
      <c r="CJY49" s="3043"/>
      <c r="CJZ49" s="3043"/>
      <c r="CKA49" s="3043"/>
      <c r="CKB49" s="3043"/>
      <c r="CKC49" s="3043"/>
      <c r="CKD49" s="3043"/>
      <c r="CKE49" s="3043"/>
      <c r="CKF49" s="3043"/>
      <c r="CKG49" s="3043"/>
      <c r="CKH49" s="3043"/>
      <c r="CKI49" s="3043"/>
      <c r="CKJ49" s="3043"/>
      <c r="CKK49" s="3043"/>
      <c r="CKL49" s="3043"/>
      <c r="CKM49" s="3043"/>
      <c r="CKN49" s="3043"/>
      <c r="CKO49" s="3043"/>
      <c r="CKP49" s="3043"/>
      <c r="CKQ49" s="3043"/>
      <c r="CKR49" s="3043"/>
      <c r="CKS49" s="3043"/>
      <c r="CKT49" s="3043"/>
      <c r="CKU49" s="3043"/>
      <c r="CKV49" s="3043"/>
      <c r="CKW49" s="3043"/>
      <c r="CKX49" s="3043"/>
      <c r="CKY49" s="3043"/>
      <c r="CKZ49" s="3043"/>
      <c r="CLA49" s="3043"/>
      <c r="CLB49" s="3043"/>
      <c r="CLC49" s="3043"/>
      <c r="CLD49" s="3043"/>
      <c r="CLE49" s="3043"/>
      <c r="CLF49" s="3043"/>
      <c r="CLG49" s="3043"/>
      <c r="CLH49" s="3043"/>
      <c r="CLI49" s="3043"/>
      <c r="CLJ49" s="3043"/>
      <c r="CLK49" s="3043"/>
      <c r="CLL49" s="3043"/>
      <c r="CLM49" s="3043"/>
      <c r="CLN49" s="3043"/>
      <c r="CLO49" s="3043"/>
      <c r="CLP49" s="3043"/>
      <c r="CLQ49" s="3043"/>
      <c r="CLR49" s="3043"/>
      <c r="CLS49" s="3043"/>
      <c r="CLT49" s="3043"/>
      <c r="CLU49" s="3043"/>
      <c r="CLV49" s="3043"/>
      <c r="CLW49" s="3043"/>
      <c r="CLX49" s="3043"/>
      <c r="CLY49" s="3043"/>
      <c r="CLZ49" s="3043"/>
      <c r="CMA49" s="3043"/>
      <c r="CMB49" s="3043"/>
      <c r="CMC49" s="3043"/>
      <c r="CMD49" s="3043"/>
      <c r="CME49" s="3043"/>
      <c r="CMF49" s="3043"/>
      <c r="CMG49" s="3043"/>
      <c r="CMH49" s="3043"/>
      <c r="CMI49" s="3043"/>
      <c r="CMJ49" s="3043"/>
      <c r="CMK49" s="3043"/>
      <c r="CML49" s="3043"/>
      <c r="CMM49" s="3043"/>
      <c r="CMN49" s="3043"/>
      <c r="CMO49" s="3043"/>
      <c r="CMP49" s="3043"/>
      <c r="CMQ49" s="3043"/>
      <c r="CMR49" s="3043"/>
      <c r="CMS49" s="3043"/>
      <c r="CMT49" s="3043"/>
      <c r="CMU49" s="3043"/>
      <c r="CMV49" s="3043"/>
      <c r="CMW49" s="3043"/>
      <c r="CMX49" s="3043"/>
      <c r="CMY49" s="3043"/>
      <c r="CMZ49" s="3043"/>
      <c r="CNA49" s="3043"/>
      <c r="CNB49" s="3043"/>
      <c r="CNC49" s="3043"/>
      <c r="CND49" s="3043"/>
      <c r="CNE49" s="3043"/>
      <c r="CNF49" s="3043"/>
      <c r="CNG49" s="3043"/>
      <c r="CNH49" s="3043"/>
      <c r="CNI49" s="3043"/>
      <c r="CNJ49" s="3043"/>
      <c r="CNK49" s="3043"/>
      <c r="CNL49" s="3043"/>
      <c r="CNM49" s="3043"/>
      <c r="CNN49" s="3043"/>
      <c r="CNO49" s="3043"/>
      <c r="CNP49" s="3043"/>
      <c r="CNQ49" s="3043"/>
      <c r="CNR49" s="3043"/>
      <c r="CNS49" s="3043"/>
      <c r="CNT49" s="3043"/>
      <c r="CNU49" s="3043"/>
      <c r="CNV49" s="3043"/>
      <c r="CNW49" s="3043"/>
      <c r="CNX49" s="3043"/>
      <c r="CNY49" s="3043"/>
      <c r="CNZ49" s="3043"/>
      <c r="COA49" s="3043"/>
      <c r="COB49" s="3043"/>
      <c r="COC49" s="3043"/>
      <c r="COD49" s="3043"/>
      <c r="COE49" s="3043"/>
      <c r="COF49" s="3043"/>
      <c r="COG49" s="3043"/>
      <c r="COH49" s="3043"/>
      <c r="COI49" s="3043"/>
      <c r="COJ49" s="3043"/>
      <c r="COK49" s="3043"/>
      <c r="COL49" s="3043"/>
      <c r="COM49" s="3043"/>
      <c r="CON49" s="3043"/>
      <c r="COO49" s="3043"/>
      <c r="COP49" s="3043"/>
      <c r="COQ49" s="3043"/>
      <c r="COR49" s="3043"/>
      <c r="COS49" s="3043"/>
      <c r="COT49" s="3043"/>
      <c r="COU49" s="3043"/>
      <c r="COV49" s="3043"/>
      <c r="COW49" s="3043"/>
      <c r="COX49" s="3043"/>
      <c r="COY49" s="3043"/>
      <c r="COZ49" s="3043"/>
      <c r="CPA49" s="3043"/>
      <c r="CPB49" s="3043"/>
      <c r="CPC49" s="3043"/>
      <c r="CPD49" s="3043"/>
      <c r="CPE49" s="3043"/>
      <c r="CPF49" s="3043"/>
      <c r="CPG49" s="3043"/>
      <c r="CPH49" s="3043"/>
      <c r="CPI49" s="3043"/>
      <c r="CPJ49" s="3043"/>
      <c r="CPK49" s="3043"/>
      <c r="CPL49" s="3043"/>
      <c r="CPM49" s="3043"/>
      <c r="CPN49" s="3043"/>
      <c r="CPO49" s="3043"/>
      <c r="CPP49" s="3043"/>
      <c r="CPQ49" s="3043"/>
      <c r="CPR49" s="3043"/>
      <c r="CPS49" s="3043"/>
      <c r="CPT49" s="3043"/>
      <c r="CPU49" s="3043"/>
      <c r="CPV49" s="3043"/>
      <c r="CPW49" s="3043"/>
      <c r="CPX49" s="3043"/>
      <c r="CPY49" s="3043"/>
      <c r="CPZ49" s="3043"/>
      <c r="CQA49" s="3043"/>
      <c r="CQB49" s="3043"/>
      <c r="CQC49" s="3043"/>
      <c r="CQD49" s="3043"/>
      <c r="CQE49" s="3043"/>
      <c r="CQF49" s="3043"/>
      <c r="CQG49" s="3043"/>
      <c r="CQH49" s="3043"/>
      <c r="CQI49" s="3043"/>
      <c r="CQJ49" s="3043"/>
      <c r="CQK49" s="3043"/>
      <c r="CQL49" s="3043"/>
      <c r="CQM49" s="3043"/>
      <c r="CQN49" s="3043"/>
      <c r="CQO49" s="3043"/>
      <c r="CQP49" s="3043"/>
      <c r="CQQ49" s="3043"/>
      <c r="CQR49" s="3043"/>
      <c r="CQS49" s="3043"/>
      <c r="CQT49" s="3043"/>
      <c r="CQU49" s="3043"/>
      <c r="CQV49" s="3043"/>
      <c r="CQW49" s="3043"/>
      <c r="CQX49" s="3043"/>
      <c r="CQY49" s="3043"/>
      <c r="CQZ49" s="3043"/>
      <c r="CRA49" s="3043"/>
      <c r="CRB49" s="3043"/>
      <c r="CRC49" s="3043"/>
      <c r="CRD49" s="3043"/>
      <c r="CRE49" s="3043"/>
      <c r="CRF49" s="3043"/>
      <c r="CRG49" s="3043"/>
      <c r="CRH49" s="3043"/>
      <c r="CRI49" s="3043"/>
      <c r="CRJ49" s="3043"/>
      <c r="CRK49" s="3043"/>
      <c r="CRL49" s="3043"/>
      <c r="CRM49" s="3043"/>
      <c r="CRN49" s="3043"/>
      <c r="CRO49" s="3043"/>
      <c r="CRP49" s="3043"/>
      <c r="CRQ49" s="3043"/>
      <c r="CRR49" s="3043"/>
      <c r="CRS49" s="3043"/>
      <c r="CRT49" s="3043"/>
      <c r="CRU49" s="3043"/>
      <c r="CRV49" s="3043"/>
      <c r="CRW49" s="3043"/>
      <c r="CRX49" s="3043"/>
      <c r="CRY49" s="3043"/>
      <c r="CRZ49" s="3043"/>
      <c r="CSA49" s="3043"/>
      <c r="CSB49" s="3043"/>
      <c r="CSC49" s="3043"/>
      <c r="CSD49" s="3043"/>
      <c r="CSE49" s="3043"/>
      <c r="CSF49" s="3043"/>
      <c r="CSG49" s="3043"/>
      <c r="CSH49" s="3043"/>
      <c r="CSI49" s="3043"/>
      <c r="CSJ49" s="3043"/>
      <c r="CSK49" s="3043"/>
      <c r="CSL49" s="3043"/>
      <c r="CSM49" s="3043"/>
      <c r="CSN49" s="3043"/>
      <c r="CSO49" s="3043"/>
      <c r="CSP49" s="3043"/>
      <c r="CSQ49" s="3043"/>
      <c r="CSR49" s="3043"/>
      <c r="CSS49" s="3043"/>
      <c r="CST49" s="3043"/>
      <c r="CSU49" s="3043"/>
      <c r="CSV49" s="3043"/>
      <c r="CSW49" s="3043"/>
      <c r="CSX49" s="3043"/>
      <c r="CSY49" s="3043"/>
      <c r="CSZ49" s="3043"/>
      <c r="CTA49" s="3043"/>
      <c r="CTB49" s="3043"/>
      <c r="CTC49" s="3043"/>
      <c r="CTD49" s="3043"/>
      <c r="CTE49" s="3043"/>
      <c r="CTF49" s="3043"/>
      <c r="CTG49" s="3043"/>
      <c r="CTH49" s="3043"/>
      <c r="CTI49" s="3043"/>
      <c r="CTJ49" s="3043"/>
      <c r="CTK49" s="3043"/>
      <c r="CTL49" s="3043"/>
      <c r="CTM49" s="3043"/>
      <c r="CTN49" s="3043"/>
      <c r="CTO49" s="3043"/>
      <c r="CTP49" s="3043"/>
      <c r="CTQ49" s="3043"/>
      <c r="CTR49" s="3043"/>
      <c r="CTS49" s="3043"/>
      <c r="CTT49" s="3043"/>
      <c r="CTU49" s="3043"/>
      <c r="CTV49" s="3043"/>
      <c r="CTW49" s="3043"/>
      <c r="CTX49" s="3043"/>
      <c r="CTY49" s="3043"/>
      <c r="CTZ49" s="3043"/>
      <c r="CUA49" s="3043"/>
      <c r="CUB49" s="3043"/>
      <c r="CUC49" s="3043"/>
      <c r="CUD49" s="3043"/>
      <c r="CUE49" s="3043"/>
      <c r="CUF49" s="3043"/>
      <c r="CUG49" s="3043"/>
      <c r="CUH49" s="3043"/>
      <c r="CUI49" s="3043"/>
      <c r="CUJ49" s="3043"/>
      <c r="CUK49" s="3043"/>
      <c r="CUL49" s="3043"/>
      <c r="CUM49" s="3043"/>
      <c r="CUN49" s="3043"/>
      <c r="CUO49" s="3043"/>
      <c r="CUP49" s="3043"/>
      <c r="CUQ49" s="3043"/>
      <c r="CUR49" s="3043"/>
      <c r="CUS49" s="3043"/>
      <c r="CUT49" s="3043"/>
      <c r="CUU49" s="3043"/>
      <c r="CUV49" s="3043"/>
      <c r="CUW49" s="3043"/>
      <c r="CUX49" s="3043"/>
      <c r="CUY49" s="3043"/>
      <c r="CUZ49" s="3043"/>
      <c r="CVA49" s="3043"/>
      <c r="CVB49" s="3043"/>
      <c r="CVC49" s="3043"/>
      <c r="CVD49" s="3043"/>
      <c r="CVE49" s="3043"/>
      <c r="CVF49" s="3043"/>
      <c r="CVG49" s="3043"/>
      <c r="CVH49" s="3043"/>
      <c r="CVI49" s="3043"/>
      <c r="CVJ49" s="3043"/>
      <c r="CVK49" s="3043"/>
      <c r="CVL49" s="3043"/>
      <c r="CVM49" s="3043"/>
      <c r="CVN49" s="3043"/>
      <c r="CVO49" s="3043"/>
      <c r="CVP49" s="3043"/>
      <c r="CVQ49" s="3043"/>
      <c r="CVR49" s="3043"/>
      <c r="CVS49" s="3043"/>
      <c r="CVT49" s="3043"/>
      <c r="CVU49" s="3043"/>
      <c r="CVV49" s="3043"/>
      <c r="CVW49" s="3043"/>
      <c r="CVX49" s="3043"/>
      <c r="CVY49" s="3043"/>
      <c r="CVZ49" s="3043"/>
      <c r="CWA49" s="3043"/>
      <c r="CWB49" s="3043"/>
      <c r="CWC49" s="3043"/>
      <c r="CWD49" s="3043"/>
      <c r="CWE49" s="3043"/>
      <c r="CWF49" s="3043"/>
      <c r="CWG49" s="3043"/>
      <c r="CWH49" s="3043"/>
      <c r="CWI49" s="3043"/>
      <c r="CWJ49" s="3043"/>
      <c r="CWK49" s="3043"/>
      <c r="CWL49" s="3043"/>
      <c r="CWM49" s="3043"/>
      <c r="CWN49" s="3043"/>
      <c r="CWO49" s="3043"/>
      <c r="CWP49" s="3043"/>
      <c r="CWQ49" s="3043"/>
      <c r="CWR49" s="3043"/>
      <c r="CWS49" s="3043"/>
      <c r="CWT49" s="3043"/>
      <c r="CWU49" s="3043"/>
      <c r="CWV49" s="3043"/>
      <c r="CWW49" s="3043"/>
      <c r="CWX49" s="3043"/>
      <c r="CWY49" s="3043"/>
      <c r="CWZ49" s="3043"/>
      <c r="CXA49" s="3043"/>
      <c r="CXB49" s="3043"/>
      <c r="CXC49" s="3043"/>
      <c r="CXD49" s="3043"/>
      <c r="CXE49" s="3043"/>
      <c r="CXF49" s="3043"/>
      <c r="CXG49" s="3043"/>
      <c r="CXH49" s="3043"/>
      <c r="CXI49" s="3043"/>
      <c r="CXJ49" s="3043"/>
      <c r="CXK49" s="3043"/>
      <c r="CXL49" s="3043"/>
      <c r="CXM49" s="3043"/>
      <c r="CXN49" s="3043"/>
      <c r="CXO49" s="3043"/>
      <c r="CXP49" s="3043"/>
      <c r="CXQ49" s="3043"/>
      <c r="CXR49" s="3043"/>
      <c r="CXS49" s="3043"/>
      <c r="CXT49" s="3043"/>
      <c r="CXU49" s="3043"/>
      <c r="CXV49" s="3043"/>
      <c r="CXW49" s="3043"/>
      <c r="CXX49" s="3043"/>
      <c r="CXY49" s="3043"/>
      <c r="CXZ49" s="3043"/>
      <c r="CYA49" s="3043"/>
      <c r="CYB49" s="3043"/>
      <c r="CYC49" s="3043"/>
      <c r="CYD49" s="3043"/>
      <c r="CYE49" s="3043"/>
      <c r="CYF49" s="3043"/>
      <c r="CYG49" s="3043"/>
      <c r="CYH49" s="3043"/>
      <c r="CYI49" s="3043"/>
      <c r="CYJ49" s="3043"/>
      <c r="CYK49" s="3043"/>
      <c r="CYL49" s="3043"/>
      <c r="CYM49" s="3043"/>
      <c r="CYN49" s="3043"/>
      <c r="CYO49" s="3043"/>
      <c r="CYP49" s="3043"/>
      <c r="CYQ49" s="3043"/>
      <c r="CYR49" s="3043"/>
      <c r="CYS49" s="3043"/>
      <c r="CYT49" s="3043"/>
      <c r="CYU49" s="3043"/>
      <c r="CYV49" s="3043"/>
      <c r="CYW49" s="3043"/>
      <c r="CYX49" s="3043"/>
      <c r="CYY49" s="3043"/>
      <c r="CYZ49" s="3043"/>
      <c r="CZA49" s="3043"/>
      <c r="CZB49" s="3043"/>
      <c r="CZC49" s="3043"/>
      <c r="CZD49" s="3043"/>
      <c r="CZE49" s="3043"/>
      <c r="CZF49" s="3043"/>
      <c r="CZG49" s="3043"/>
      <c r="CZH49" s="3043"/>
      <c r="CZI49" s="3043"/>
      <c r="CZJ49" s="3043"/>
      <c r="CZK49" s="3043"/>
      <c r="CZL49" s="3043"/>
      <c r="CZM49" s="3043"/>
      <c r="CZN49" s="3043"/>
      <c r="CZO49" s="3043"/>
      <c r="CZP49" s="3043"/>
      <c r="CZQ49" s="3043"/>
      <c r="CZR49" s="3043"/>
      <c r="CZS49" s="3043"/>
      <c r="CZT49" s="3043"/>
      <c r="CZU49" s="3043"/>
      <c r="CZV49" s="3043"/>
      <c r="CZW49" s="3043"/>
      <c r="CZX49" s="3043"/>
      <c r="CZY49" s="3043"/>
      <c r="CZZ49" s="3043"/>
      <c r="DAA49" s="3043"/>
      <c r="DAB49" s="3043"/>
      <c r="DAC49" s="3043"/>
      <c r="DAD49" s="3043"/>
      <c r="DAE49" s="3043"/>
      <c r="DAF49" s="3043"/>
      <c r="DAG49" s="3043"/>
      <c r="DAH49" s="3043"/>
      <c r="DAI49" s="3043"/>
      <c r="DAJ49" s="3043"/>
      <c r="DAK49" s="3043"/>
      <c r="DAL49" s="3043"/>
      <c r="DAM49" s="3043"/>
      <c r="DAN49" s="3043"/>
      <c r="DAO49" s="3043"/>
      <c r="DAP49" s="3043"/>
      <c r="DAQ49" s="3043"/>
      <c r="DAR49" s="3043"/>
      <c r="DAS49" s="3043"/>
      <c r="DAT49" s="3043"/>
      <c r="DAU49" s="3043"/>
      <c r="DAV49" s="3043"/>
      <c r="DAW49" s="3043"/>
      <c r="DAX49" s="3043"/>
      <c r="DAY49" s="3043"/>
      <c r="DAZ49" s="3043"/>
      <c r="DBA49" s="3043"/>
      <c r="DBB49" s="3043"/>
      <c r="DBC49" s="3043"/>
      <c r="DBD49" s="3043"/>
      <c r="DBE49" s="3043"/>
      <c r="DBF49" s="3043"/>
      <c r="DBG49" s="3043"/>
      <c r="DBH49" s="3043"/>
      <c r="DBI49" s="3043"/>
      <c r="DBJ49" s="3043"/>
      <c r="DBK49" s="3043"/>
      <c r="DBL49" s="3043"/>
      <c r="DBM49" s="3043"/>
      <c r="DBN49" s="3043"/>
      <c r="DBO49" s="3043"/>
      <c r="DBP49" s="3043"/>
      <c r="DBQ49" s="3043"/>
      <c r="DBR49" s="3043"/>
      <c r="DBS49" s="3043"/>
      <c r="DBT49" s="3043"/>
      <c r="DBU49" s="3043"/>
      <c r="DBV49" s="3043"/>
      <c r="DBW49" s="3043"/>
      <c r="DBX49" s="3043"/>
      <c r="DBY49" s="3043"/>
      <c r="DBZ49" s="3043"/>
      <c r="DCA49" s="3043"/>
      <c r="DCB49" s="3043"/>
      <c r="DCC49" s="3043"/>
      <c r="DCD49" s="3043"/>
      <c r="DCE49" s="3043"/>
      <c r="DCF49" s="3043"/>
      <c r="DCG49" s="3043"/>
      <c r="DCH49" s="3043"/>
      <c r="DCI49" s="3043"/>
      <c r="DCJ49" s="3043"/>
      <c r="DCK49" s="3043"/>
      <c r="DCL49" s="3043"/>
      <c r="DCM49" s="3043"/>
      <c r="DCN49" s="3043"/>
      <c r="DCO49" s="3043"/>
      <c r="DCP49" s="3043"/>
      <c r="DCQ49" s="3043"/>
      <c r="DCR49" s="3043"/>
      <c r="DCS49" s="3043"/>
      <c r="DCT49" s="3043"/>
      <c r="DCU49" s="3043"/>
      <c r="DCV49" s="3043"/>
      <c r="DCW49" s="3043"/>
      <c r="DCX49" s="3043"/>
      <c r="DCY49" s="3043"/>
      <c r="DCZ49" s="3043"/>
      <c r="DDA49" s="3043"/>
      <c r="DDB49" s="3043"/>
      <c r="DDC49" s="3043"/>
      <c r="DDD49" s="3043"/>
      <c r="DDE49" s="3043"/>
      <c r="DDF49" s="3043"/>
      <c r="DDG49" s="3043"/>
      <c r="DDH49" s="3043"/>
      <c r="DDI49" s="3043"/>
      <c r="DDJ49" s="3043"/>
      <c r="DDK49" s="3043"/>
      <c r="DDL49" s="3043"/>
      <c r="DDM49" s="3043"/>
      <c r="DDN49" s="3043"/>
      <c r="DDO49" s="3043"/>
      <c r="DDP49" s="3043"/>
      <c r="DDQ49" s="3043"/>
      <c r="DDR49" s="3043"/>
      <c r="DDS49" s="3043"/>
      <c r="DDT49" s="3043"/>
      <c r="DDU49" s="3043"/>
      <c r="DDV49" s="3043"/>
      <c r="DDW49" s="3043"/>
      <c r="DDX49" s="3043"/>
      <c r="DDY49" s="3043"/>
      <c r="DDZ49" s="3043"/>
      <c r="DEA49" s="3043"/>
      <c r="DEB49" s="3043"/>
      <c r="DEC49" s="3043"/>
      <c r="DED49" s="3043"/>
      <c r="DEE49" s="3043"/>
      <c r="DEF49" s="3043"/>
      <c r="DEG49" s="3043"/>
      <c r="DEH49" s="3043"/>
      <c r="DEI49" s="3043"/>
      <c r="DEJ49" s="3043"/>
      <c r="DEK49" s="3043"/>
      <c r="DEL49" s="3043"/>
      <c r="DEM49" s="3043"/>
      <c r="DEN49" s="3043"/>
      <c r="DEO49" s="3043"/>
      <c r="DEP49" s="3043"/>
      <c r="DEQ49" s="3043"/>
      <c r="DER49" s="3043"/>
      <c r="DES49" s="3043"/>
      <c r="DET49" s="3043"/>
      <c r="DEU49" s="3043"/>
      <c r="DEV49" s="3043"/>
      <c r="DEW49" s="3043"/>
      <c r="DEX49" s="3043"/>
      <c r="DEY49" s="3043"/>
      <c r="DEZ49" s="3043"/>
      <c r="DFA49" s="3043"/>
      <c r="DFB49" s="3043"/>
      <c r="DFC49" s="3043"/>
      <c r="DFD49" s="3043"/>
      <c r="DFE49" s="3043"/>
      <c r="DFF49" s="3043"/>
      <c r="DFG49" s="3043"/>
      <c r="DFH49" s="3043"/>
      <c r="DFI49" s="3043"/>
      <c r="DFJ49" s="3043"/>
      <c r="DFK49" s="3043"/>
      <c r="DFL49" s="3043"/>
      <c r="DFM49" s="3043"/>
      <c r="DFN49" s="3043"/>
      <c r="DFO49" s="3043"/>
      <c r="DFP49" s="3043"/>
      <c r="DFQ49" s="3043"/>
      <c r="DFR49" s="3043"/>
      <c r="DFS49" s="3043"/>
      <c r="DFT49" s="3043"/>
      <c r="DFU49" s="3043"/>
      <c r="DFV49" s="3043"/>
      <c r="DFW49" s="3043"/>
      <c r="DFX49" s="3043"/>
      <c r="DFY49" s="3043"/>
      <c r="DFZ49" s="3043"/>
      <c r="DGA49" s="3043"/>
      <c r="DGB49" s="3043"/>
      <c r="DGC49" s="3043"/>
      <c r="DGD49" s="3043"/>
      <c r="DGE49" s="3043"/>
      <c r="DGF49" s="3043"/>
      <c r="DGG49" s="3043"/>
      <c r="DGH49" s="3043"/>
      <c r="DGI49" s="3043"/>
      <c r="DGJ49" s="3043"/>
      <c r="DGK49" s="3043"/>
      <c r="DGL49" s="3043"/>
      <c r="DGM49" s="3043"/>
      <c r="DGN49" s="3043"/>
      <c r="DGO49" s="3043"/>
      <c r="DGP49" s="3043"/>
      <c r="DGQ49" s="3043"/>
      <c r="DGR49" s="3043"/>
      <c r="DGS49" s="3043"/>
      <c r="DGT49" s="3043"/>
      <c r="DGU49" s="3043"/>
      <c r="DGV49" s="3043"/>
      <c r="DGW49" s="3043"/>
      <c r="DGX49" s="3043"/>
      <c r="DGY49" s="3043"/>
      <c r="DGZ49" s="3043"/>
      <c r="DHA49" s="3043"/>
      <c r="DHB49" s="3043"/>
      <c r="DHC49" s="3043"/>
      <c r="DHD49" s="3043"/>
      <c r="DHE49" s="3043"/>
      <c r="DHF49" s="3043"/>
      <c r="DHG49" s="3043"/>
      <c r="DHH49" s="3043"/>
      <c r="DHI49" s="3043"/>
      <c r="DHJ49" s="3043"/>
      <c r="DHK49" s="3043"/>
      <c r="DHL49" s="3043"/>
      <c r="DHM49" s="3043"/>
      <c r="DHN49" s="3043"/>
      <c r="DHO49" s="3043"/>
      <c r="DHP49" s="3043"/>
      <c r="DHQ49" s="3043"/>
      <c r="DHR49" s="3043"/>
      <c r="DHS49" s="3043"/>
      <c r="DHT49" s="3043"/>
      <c r="DHU49" s="3043"/>
      <c r="DHV49" s="3043"/>
      <c r="DHW49" s="3043"/>
      <c r="DHX49" s="3043"/>
      <c r="DHY49" s="3043"/>
      <c r="DHZ49" s="3043"/>
      <c r="DIA49" s="3043"/>
      <c r="DIB49" s="3043"/>
      <c r="DIC49" s="3043"/>
      <c r="DID49" s="3043"/>
      <c r="DIE49" s="3043"/>
      <c r="DIF49" s="3043"/>
      <c r="DIG49" s="3043"/>
      <c r="DIH49" s="3043"/>
      <c r="DII49" s="3043"/>
      <c r="DIJ49" s="3043"/>
      <c r="DIK49" s="3043"/>
      <c r="DIL49" s="3043"/>
      <c r="DIM49" s="3043"/>
      <c r="DIN49" s="3043"/>
      <c r="DIO49" s="3043"/>
      <c r="DIP49" s="3043"/>
      <c r="DIQ49" s="3043"/>
      <c r="DIR49" s="3043"/>
      <c r="DIS49" s="3043"/>
      <c r="DIT49" s="3043"/>
      <c r="DIU49" s="3043"/>
      <c r="DIV49" s="3043"/>
      <c r="DIW49" s="3043"/>
      <c r="DIX49" s="3043"/>
      <c r="DIY49" s="3043"/>
      <c r="DIZ49" s="3043"/>
      <c r="DJA49" s="3043"/>
      <c r="DJB49" s="3043"/>
      <c r="DJC49" s="3043"/>
      <c r="DJD49" s="3043"/>
      <c r="DJE49" s="3043"/>
      <c r="DJF49" s="3043"/>
      <c r="DJG49" s="3043"/>
      <c r="DJH49" s="3043"/>
      <c r="DJI49" s="3043"/>
      <c r="DJJ49" s="3043"/>
      <c r="DJK49" s="3043"/>
      <c r="DJL49" s="3043"/>
      <c r="DJM49" s="3043"/>
      <c r="DJN49" s="3043"/>
      <c r="DJO49" s="3043"/>
      <c r="DJP49" s="3043"/>
      <c r="DJQ49" s="3043"/>
      <c r="DJR49" s="3043"/>
      <c r="DJS49" s="3043"/>
      <c r="DJT49" s="3043"/>
      <c r="DJU49" s="3043"/>
      <c r="DJV49" s="3043"/>
      <c r="DJW49" s="3043"/>
      <c r="DJX49" s="3043"/>
      <c r="DJY49" s="3043"/>
      <c r="DJZ49" s="3043"/>
      <c r="DKA49" s="3043"/>
      <c r="DKB49" s="3043"/>
      <c r="DKC49" s="3043"/>
      <c r="DKD49" s="3043"/>
      <c r="DKE49" s="3043"/>
      <c r="DKF49" s="3043"/>
      <c r="DKG49" s="3043"/>
      <c r="DKH49" s="3043"/>
      <c r="DKI49" s="3043"/>
      <c r="DKJ49" s="3043"/>
      <c r="DKK49" s="3043"/>
      <c r="DKL49" s="3043"/>
      <c r="DKM49" s="3043"/>
      <c r="DKN49" s="3043"/>
      <c r="DKO49" s="3043"/>
      <c r="DKP49" s="3043"/>
      <c r="DKQ49" s="3043"/>
      <c r="DKR49" s="3043"/>
      <c r="DKS49" s="3043"/>
      <c r="DKT49" s="3043"/>
      <c r="DKU49" s="3043"/>
      <c r="DKV49" s="3043"/>
      <c r="DKW49" s="3043"/>
      <c r="DKX49" s="3043"/>
      <c r="DKY49" s="3043"/>
      <c r="DKZ49" s="3043"/>
      <c r="DLA49" s="3043"/>
      <c r="DLB49" s="3043"/>
      <c r="DLC49" s="3043"/>
      <c r="DLD49" s="3043"/>
      <c r="DLE49" s="3043"/>
      <c r="DLF49" s="3043"/>
      <c r="DLG49" s="3043"/>
      <c r="DLH49" s="3043"/>
      <c r="DLI49" s="3043"/>
      <c r="DLJ49" s="3043"/>
      <c r="DLK49" s="3043"/>
      <c r="DLL49" s="3043"/>
      <c r="DLM49" s="3043"/>
      <c r="DLN49" s="3043"/>
      <c r="DLO49" s="3043"/>
      <c r="DLP49" s="3043"/>
      <c r="DLQ49" s="3043"/>
      <c r="DLR49" s="3043"/>
      <c r="DLS49" s="3043"/>
      <c r="DLT49" s="3043"/>
      <c r="DLU49" s="3043"/>
      <c r="DLV49" s="3043"/>
      <c r="DLW49" s="3043"/>
      <c r="DLX49" s="3043"/>
      <c r="DLY49" s="3043"/>
      <c r="DLZ49" s="3043"/>
      <c r="DMA49" s="3043"/>
      <c r="DMB49" s="3043"/>
      <c r="DMC49" s="3043"/>
      <c r="DMD49" s="3043"/>
      <c r="DME49" s="3043"/>
      <c r="DMF49" s="3043"/>
      <c r="DMG49" s="3043"/>
      <c r="DMH49" s="3043"/>
      <c r="DMI49" s="3043"/>
      <c r="DMJ49" s="3043"/>
      <c r="DMK49" s="3043"/>
      <c r="DML49" s="3043"/>
      <c r="DMM49" s="3043"/>
      <c r="DMN49" s="3043"/>
      <c r="DMO49" s="3043"/>
      <c r="DMP49" s="3043"/>
      <c r="DMQ49" s="3043"/>
      <c r="DMR49" s="3043"/>
      <c r="DMS49" s="3043"/>
      <c r="DMT49" s="3043"/>
      <c r="DMU49" s="3043"/>
      <c r="DMV49" s="3043"/>
      <c r="DMW49" s="3043"/>
      <c r="DMX49" s="3043"/>
      <c r="DMY49" s="3043"/>
      <c r="DMZ49" s="3043"/>
      <c r="DNA49" s="3043"/>
      <c r="DNB49" s="3043"/>
      <c r="DNC49" s="3043"/>
      <c r="DND49" s="3043"/>
      <c r="DNE49" s="3043"/>
      <c r="DNF49" s="3043"/>
      <c r="DNG49" s="3043"/>
      <c r="DNH49" s="3043"/>
      <c r="DNI49" s="3043"/>
      <c r="DNJ49" s="3043"/>
      <c r="DNK49" s="3043"/>
      <c r="DNL49" s="3043"/>
      <c r="DNM49" s="3043"/>
      <c r="DNN49" s="3043"/>
      <c r="DNO49" s="3043"/>
      <c r="DNP49" s="3043"/>
      <c r="DNQ49" s="3043"/>
      <c r="DNR49" s="3043"/>
      <c r="DNS49" s="3043"/>
      <c r="DNT49" s="3043"/>
      <c r="DNU49" s="3043"/>
      <c r="DNV49" s="3043"/>
      <c r="DNW49" s="3043"/>
      <c r="DNX49" s="3043"/>
      <c r="DNY49" s="3043"/>
      <c r="DNZ49" s="3043"/>
      <c r="DOA49" s="3043"/>
      <c r="DOB49" s="3043"/>
      <c r="DOC49" s="3043"/>
      <c r="DOD49" s="3043"/>
      <c r="DOE49" s="3043"/>
      <c r="DOF49" s="3043"/>
      <c r="DOG49" s="3043"/>
      <c r="DOH49" s="3043"/>
      <c r="DOI49" s="3043"/>
      <c r="DOJ49" s="3043"/>
      <c r="DOK49" s="3043"/>
      <c r="DOL49" s="3043"/>
      <c r="DOM49" s="3043"/>
      <c r="DON49" s="3043"/>
      <c r="DOO49" s="3043"/>
      <c r="DOP49" s="3043"/>
      <c r="DOQ49" s="3043"/>
      <c r="DOR49" s="3043"/>
      <c r="DOS49" s="3043"/>
      <c r="DOT49" s="3043"/>
      <c r="DOU49" s="3043"/>
      <c r="DOV49" s="3043"/>
      <c r="DOW49" s="3043"/>
      <c r="DOX49" s="3043"/>
      <c r="DOY49" s="3043"/>
      <c r="DOZ49" s="3043"/>
      <c r="DPA49" s="3043"/>
      <c r="DPB49" s="3043"/>
      <c r="DPC49" s="3043"/>
      <c r="DPD49" s="3043"/>
      <c r="DPE49" s="3043"/>
      <c r="DPF49" s="3043"/>
      <c r="DPG49" s="3043"/>
      <c r="DPH49" s="3043"/>
      <c r="DPI49" s="3043"/>
      <c r="DPJ49" s="3043"/>
      <c r="DPK49" s="3043"/>
      <c r="DPL49" s="3043"/>
      <c r="DPM49" s="3043"/>
      <c r="DPN49" s="3043"/>
      <c r="DPO49" s="3043"/>
      <c r="DPP49" s="3043"/>
      <c r="DPQ49" s="3043"/>
      <c r="DPR49" s="3043"/>
      <c r="DPS49" s="3043"/>
      <c r="DPT49" s="3043"/>
      <c r="DPU49" s="3043"/>
      <c r="DPV49" s="3043"/>
      <c r="DPW49" s="3043"/>
      <c r="DPX49" s="3043"/>
      <c r="DPY49" s="3043"/>
      <c r="DPZ49" s="3043"/>
      <c r="DQA49" s="3043"/>
      <c r="DQB49" s="3043"/>
      <c r="DQC49" s="3043"/>
      <c r="DQD49" s="3043"/>
      <c r="DQE49" s="3043"/>
      <c r="DQF49" s="3043"/>
      <c r="DQG49" s="3043"/>
      <c r="DQH49" s="3043"/>
      <c r="DQI49" s="3043"/>
      <c r="DQJ49" s="3043"/>
      <c r="DQK49" s="3043"/>
      <c r="DQL49" s="3043"/>
      <c r="DQM49" s="3043"/>
      <c r="DQN49" s="3043"/>
      <c r="DQO49" s="3043"/>
      <c r="DQP49" s="3043"/>
      <c r="DQQ49" s="3043"/>
      <c r="DQR49" s="3043"/>
      <c r="DQS49" s="3043"/>
      <c r="DQT49" s="3043"/>
      <c r="DQU49" s="3043"/>
      <c r="DQV49" s="3043"/>
      <c r="DQW49" s="3043"/>
      <c r="DQX49" s="3043"/>
      <c r="DQY49" s="3043"/>
      <c r="DQZ49" s="3043"/>
      <c r="DRA49" s="3043"/>
      <c r="DRB49" s="3043"/>
      <c r="DRC49" s="3043"/>
      <c r="DRD49" s="3043"/>
      <c r="DRE49" s="3043"/>
      <c r="DRF49" s="3043"/>
      <c r="DRG49" s="3043"/>
      <c r="DRH49" s="3043"/>
      <c r="DRI49" s="3043"/>
      <c r="DRJ49" s="3043"/>
      <c r="DRK49" s="3043"/>
      <c r="DRL49" s="3043"/>
      <c r="DRM49" s="3043"/>
      <c r="DRN49" s="3043"/>
      <c r="DRO49" s="3043"/>
      <c r="DRP49" s="3043"/>
      <c r="DRQ49" s="3043"/>
      <c r="DRR49" s="3043"/>
      <c r="DRS49" s="3043"/>
      <c r="DRT49" s="3043"/>
      <c r="DRU49" s="3043"/>
      <c r="DRV49" s="3043"/>
      <c r="DRW49" s="3043"/>
      <c r="DRX49" s="3043"/>
      <c r="DRY49" s="3043"/>
      <c r="DRZ49" s="3043"/>
      <c r="DSA49" s="3043"/>
      <c r="DSB49" s="3043"/>
      <c r="DSC49" s="3043"/>
      <c r="DSD49" s="3043"/>
      <c r="DSE49" s="3043"/>
      <c r="DSF49" s="3043"/>
      <c r="DSG49" s="3043"/>
      <c r="DSH49" s="3043"/>
      <c r="DSI49" s="3043"/>
      <c r="DSJ49" s="3043"/>
      <c r="DSK49" s="3043"/>
      <c r="DSL49" s="3043"/>
      <c r="DSM49" s="3043"/>
      <c r="DSN49" s="3043"/>
      <c r="DSO49" s="3043"/>
      <c r="DSP49" s="3043"/>
      <c r="DSQ49" s="3043"/>
      <c r="DSR49" s="3043"/>
      <c r="DSS49" s="3043"/>
      <c r="DST49" s="3043"/>
      <c r="DSU49" s="3043"/>
      <c r="DSV49" s="3043"/>
      <c r="DSW49" s="3043"/>
      <c r="DSX49" s="3043"/>
      <c r="DSY49" s="3043"/>
      <c r="DSZ49" s="3043"/>
      <c r="DTA49" s="3043"/>
      <c r="DTB49" s="3043"/>
      <c r="DTC49" s="3043"/>
      <c r="DTD49" s="3043"/>
      <c r="DTE49" s="3043"/>
      <c r="DTF49" s="3043"/>
      <c r="DTG49" s="3043"/>
      <c r="DTH49" s="3043"/>
      <c r="DTI49" s="3043"/>
      <c r="DTJ49" s="3043"/>
      <c r="DTK49" s="3043"/>
      <c r="DTL49" s="3043"/>
      <c r="DTM49" s="3043"/>
      <c r="DTN49" s="3043"/>
      <c r="DTO49" s="3043"/>
      <c r="DTP49" s="3043"/>
      <c r="DTQ49" s="3043"/>
      <c r="DTR49" s="3043"/>
      <c r="DTS49" s="3043"/>
      <c r="DTT49" s="3043"/>
      <c r="DTU49" s="3043"/>
      <c r="DTV49" s="3043"/>
      <c r="DTW49" s="3043"/>
      <c r="DTX49" s="3043"/>
      <c r="DTY49" s="3043"/>
      <c r="DTZ49" s="3043"/>
      <c r="DUA49" s="3043"/>
      <c r="DUB49" s="3043"/>
      <c r="DUC49" s="3043"/>
      <c r="DUD49" s="3043"/>
      <c r="DUE49" s="3043"/>
      <c r="DUF49" s="3043"/>
      <c r="DUG49" s="3043"/>
      <c r="DUH49" s="3043"/>
      <c r="DUI49" s="3043"/>
      <c r="DUJ49" s="3043"/>
      <c r="DUK49" s="3043"/>
      <c r="DUL49" s="3043"/>
      <c r="DUM49" s="3043"/>
      <c r="DUN49" s="3043"/>
      <c r="DUO49" s="3043"/>
      <c r="DUP49" s="3043"/>
      <c r="DUQ49" s="3043"/>
      <c r="DUR49" s="3043"/>
      <c r="DUS49" s="3043"/>
      <c r="DUT49" s="3043"/>
      <c r="DUU49" s="3043"/>
      <c r="DUV49" s="3043"/>
      <c r="DUW49" s="3043"/>
      <c r="DUX49" s="3043"/>
      <c r="DUY49" s="3043"/>
      <c r="DUZ49" s="3043"/>
      <c r="DVA49" s="3043"/>
      <c r="DVB49" s="3043"/>
      <c r="DVC49" s="3043"/>
      <c r="DVD49" s="3043"/>
      <c r="DVE49" s="3043"/>
      <c r="DVF49" s="3043"/>
      <c r="DVG49" s="3043"/>
      <c r="DVH49" s="3043"/>
      <c r="DVI49" s="3043"/>
      <c r="DVJ49" s="3043"/>
      <c r="DVK49" s="3043"/>
      <c r="DVL49" s="3043"/>
      <c r="DVM49" s="3043"/>
      <c r="DVN49" s="3043"/>
      <c r="DVO49" s="3043"/>
      <c r="DVP49" s="3043"/>
      <c r="DVQ49" s="3043"/>
      <c r="DVR49" s="3043"/>
      <c r="DVS49" s="3043"/>
      <c r="DVT49" s="3043"/>
      <c r="DVU49" s="3043"/>
      <c r="DVV49" s="3043"/>
      <c r="DVW49" s="3043"/>
      <c r="DVX49" s="3043"/>
      <c r="DVY49" s="3043"/>
      <c r="DVZ49" s="3043"/>
      <c r="DWA49" s="3043"/>
      <c r="DWB49" s="3043"/>
      <c r="DWC49" s="3043"/>
      <c r="DWD49" s="3043"/>
      <c r="DWE49" s="3043"/>
      <c r="DWF49" s="3043"/>
      <c r="DWG49" s="3043"/>
      <c r="DWH49" s="3043"/>
      <c r="DWI49" s="3043"/>
      <c r="DWJ49" s="3043"/>
      <c r="DWK49" s="3043"/>
      <c r="DWL49" s="3043"/>
      <c r="DWM49" s="3043"/>
      <c r="DWN49" s="3043"/>
      <c r="DWO49" s="3043"/>
      <c r="DWP49" s="3043"/>
      <c r="DWQ49" s="3043"/>
      <c r="DWR49" s="3043"/>
      <c r="DWS49" s="3043"/>
      <c r="DWT49" s="3043"/>
      <c r="DWU49" s="3043"/>
      <c r="DWV49" s="3043"/>
      <c r="DWW49" s="3043"/>
      <c r="DWX49" s="3043"/>
      <c r="DWY49" s="3043"/>
      <c r="DWZ49" s="3043"/>
      <c r="DXA49" s="3043"/>
      <c r="DXB49" s="3043"/>
      <c r="DXC49" s="3043"/>
      <c r="DXD49" s="3043"/>
      <c r="DXE49" s="3043"/>
      <c r="DXF49" s="3043"/>
      <c r="DXG49" s="3043"/>
      <c r="DXH49" s="3043"/>
      <c r="DXI49" s="3043"/>
      <c r="DXJ49" s="3043"/>
      <c r="DXK49" s="3043"/>
      <c r="DXL49" s="3043"/>
      <c r="DXM49" s="3043"/>
      <c r="DXN49" s="3043"/>
      <c r="DXO49" s="3043"/>
      <c r="DXP49" s="3043"/>
      <c r="DXQ49" s="3043"/>
      <c r="DXR49" s="3043"/>
      <c r="DXS49" s="3043"/>
      <c r="DXT49" s="3043"/>
      <c r="DXU49" s="3043"/>
      <c r="DXV49" s="3043"/>
      <c r="DXW49" s="3043"/>
      <c r="DXX49" s="3043"/>
      <c r="DXY49" s="3043"/>
      <c r="DXZ49" s="3043"/>
      <c r="DYA49" s="3043"/>
      <c r="DYB49" s="3043"/>
      <c r="DYC49" s="3043"/>
      <c r="DYD49" s="3043"/>
      <c r="DYE49" s="3043"/>
      <c r="DYF49" s="3043"/>
      <c r="DYG49" s="3043"/>
      <c r="DYH49" s="3043"/>
      <c r="DYI49" s="3043"/>
      <c r="DYJ49" s="3043"/>
      <c r="DYK49" s="3043"/>
      <c r="DYL49" s="3043"/>
      <c r="DYM49" s="3043"/>
      <c r="DYN49" s="3043"/>
      <c r="DYO49" s="3043"/>
      <c r="DYP49" s="3043"/>
      <c r="DYQ49" s="3043"/>
      <c r="DYR49" s="3043"/>
      <c r="DYS49" s="3043"/>
      <c r="DYT49" s="3043"/>
      <c r="DYU49" s="3043"/>
      <c r="DYV49" s="3043"/>
      <c r="DYW49" s="3043"/>
      <c r="DYX49" s="3043"/>
      <c r="DYY49" s="3043"/>
      <c r="DYZ49" s="3043"/>
      <c r="DZA49" s="3043"/>
      <c r="DZB49" s="3043"/>
      <c r="DZC49" s="3043"/>
      <c r="DZD49" s="3043"/>
      <c r="DZE49" s="3043"/>
      <c r="DZF49" s="3043"/>
      <c r="DZG49" s="3043"/>
      <c r="DZH49" s="3043"/>
      <c r="DZI49" s="3043"/>
      <c r="DZJ49" s="3043"/>
      <c r="DZK49" s="3043"/>
      <c r="DZL49" s="3043"/>
      <c r="DZM49" s="3043"/>
      <c r="DZN49" s="3043"/>
      <c r="DZO49" s="3043"/>
      <c r="DZP49" s="3043"/>
      <c r="DZQ49" s="3043"/>
      <c r="DZR49" s="3043"/>
      <c r="DZS49" s="3043"/>
      <c r="DZT49" s="3043"/>
      <c r="DZU49" s="3043"/>
      <c r="DZV49" s="3043"/>
      <c r="DZW49" s="3043"/>
      <c r="DZX49" s="3043"/>
      <c r="DZY49" s="3043"/>
      <c r="DZZ49" s="3043"/>
      <c r="EAA49" s="3043"/>
      <c r="EAB49" s="3043"/>
      <c r="EAC49" s="3043"/>
      <c r="EAD49" s="3043"/>
      <c r="EAE49" s="3043"/>
      <c r="EAF49" s="3043"/>
      <c r="EAG49" s="3043"/>
      <c r="EAH49" s="3043"/>
      <c r="EAI49" s="3043"/>
      <c r="EAJ49" s="3043"/>
      <c r="EAK49" s="3043"/>
      <c r="EAL49" s="3043"/>
      <c r="EAM49" s="3043"/>
      <c r="EAN49" s="3043"/>
      <c r="EAO49" s="3043"/>
      <c r="EAP49" s="3043"/>
      <c r="EAQ49" s="3043"/>
      <c r="EAR49" s="3043"/>
      <c r="EAS49" s="3043"/>
      <c r="EAT49" s="3043"/>
      <c r="EAU49" s="3043"/>
      <c r="EAV49" s="3043"/>
      <c r="EAW49" s="3043"/>
      <c r="EAX49" s="3043"/>
      <c r="EAY49" s="3043"/>
      <c r="EAZ49" s="3043"/>
      <c r="EBA49" s="3043"/>
      <c r="EBB49" s="3043"/>
      <c r="EBC49" s="3043"/>
      <c r="EBD49" s="3043"/>
      <c r="EBE49" s="3043"/>
      <c r="EBF49" s="3043"/>
      <c r="EBG49" s="3043"/>
      <c r="EBH49" s="3043"/>
      <c r="EBI49" s="3043"/>
      <c r="EBJ49" s="3043"/>
      <c r="EBK49" s="3043"/>
      <c r="EBL49" s="3043"/>
      <c r="EBM49" s="3043"/>
      <c r="EBN49" s="3043"/>
      <c r="EBO49" s="3043"/>
      <c r="EBP49" s="3043"/>
      <c r="EBQ49" s="3043"/>
      <c r="EBR49" s="3043"/>
      <c r="EBS49" s="3043"/>
      <c r="EBT49" s="3043"/>
      <c r="EBU49" s="3043"/>
      <c r="EBV49" s="3043"/>
      <c r="EBW49" s="3043"/>
      <c r="EBX49" s="3043"/>
      <c r="EBY49" s="3043"/>
      <c r="EBZ49" s="3043"/>
      <c r="ECA49" s="3043"/>
      <c r="ECB49" s="3043"/>
      <c r="ECC49" s="3043"/>
      <c r="ECD49" s="3043"/>
      <c r="ECE49" s="3043"/>
      <c r="ECF49" s="3043"/>
      <c r="ECG49" s="3043"/>
      <c r="ECH49" s="3043"/>
      <c r="ECI49" s="3043"/>
      <c r="ECJ49" s="3043"/>
      <c r="ECK49" s="3043"/>
      <c r="ECL49" s="3043"/>
      <c r="ECM49" s="3043"/>
      <c r="ECN49" s="3043"/>
      <c r="ECO49" s="3043"/>
      <c r="ECP49" s="3043"/>
      <c r="ECQ49" s="3043"/>
      <c r="ECR49" s="3043"/>
      <c r="ECS49" s="3043"/>
      <c r="ECT49" s="3043"/>
      <c r="ECU49" s="3043"/>
      <c r="ECV49" s="3043"/>
      <c r="ECW49" s="3043"/>
      <c r="ECX49" s="3043"/>
      <c r="ECY49" s="3043"/>
      <c r="ECZ49" s="3043"/>
      <c r="EDA49" s="3043"/>
      <c r="EDB49" s="3043"/>
      <c r="EDC49" s="3043"/>
      <c r="EDD49" s="3043"/>
      <c r="EDE49" s="3043"/>
      <c r="EDF49" s="3043"/>
      <c r="EDG49" s="3043"/>
      <c r="EDH49" s="3043"/>
      <c r="EDI49" s="3043"/>
      <c r="EDJ49" s="3043"/>
      <c r="EDK49" s="3043"/>
      <c r="EDL49" s="3043"/>
      <c r="EDM49" s="3043"/>
      <c r="EDN49" s="3043"/>
      <c r="EDO49" s="3043"/>
      <c r="EDP49" s="3043"/>
      <c r="EDQ49" s="3043"/>
      <c r="EDR49" s="3043"/>
      <c r="EDS49" s="3043"/>
      <c r="EDT49" s="3043"/>
      <c r="EDU49" s="3043"/>
      <c r="EDV49" s="3043"/>
      <c r="EDW49" s="3043"/>
      <c r="EDX49" s="3043"/>
      <c r="EDY49" s="3043"/>
      <c r="EDZ49" s="3043"/>
      <c r="EEA49" s="3043"/>
      <c r="EEB49" s="3043"/>
      <c r="EEC49" s="3043"/>
      <c r="EED49" s="3043"/>
      <c r="EEE49" s="3043"/>
      <c r="EEF49" s="3043"/>
      <c r="EEG49" s="3043"/>
      <c r="EEH49" s="3043"/>
      <c r="EEI49" s="3043"/>
      <c r="EEJ49" s="3043"/>
      <c r="EEK49" s="3043"/>
      <c r="EEL49" s="3043"/>
      <c r="EEM49" s="3043"/>
      <c r="EEN49" s="3043"/>
      <c r="EEO49" s="3043"/>
      <c r="EEP49" s="3043"/>
      <c r="EEQ49" s="3043"/>
      <c r="EER49" s="3043"/>
      <c r="EES49" s="3043"/>
      <c r="EET49" s="3043"/>
      <c r="EEU49" s="3043"/>
      <c r="EEV49" s="3043"/>
      <c r="EEW49" s="3043"/>
      <c r="EEX49" s="3043"/>
      <c r="EEY49" s="3043"/>
      <c r="EEZ49" s="3043"/>
      <c r="EFA49" s="3043"/>
      <c r="EFB49" s="3043"/>
      <c r="EFC49" s="3043"/>
      <c r="EFD49" s="3043"/>
      <c r="EFE49" s="3043"/>
      <c r="EFF49" s="3043"/>
      <c r="EFG49" s="3043"/>
      <c r="EFH49" s="3043"/>
      <c r="EFI49" s="3043"/>
      <c r="EFJ49" s="3043"/>
      <c r="EFK49" s="3043"/>
      <c r="EFL49" s="3043"/>
      <c r="EFM49" s="3043"/>
      <c r="EFN49" s="3043"/>
      <c r="EFO49" s="3043"/>
      <c r="EFP49" s="3043"/>
      <c r="EFQ49" s="3043"/>
      <c r="EFR49" s="3043"/>
      <c r="EFS49" s="3043"/>
      <c r="EFT49" s="3043"/>
      <c r="EFU49" s="3043"/>
      <c r="EFV49" s="3043"/>
      <c r="EFW49" s="3043"/>
      <c r="EFX49" s="3043"/>
      <c r="EFY49" s="3043"/>
      <c r="EFZ49" s="3043"/>
      <c r="EGA49" s="3043"/>
      <c r="EGB49" s="3043"/>
      <c r="EGC49" s="3043"/>
      <c r="EGD49" s="3043"/>
      <c r="EGE49" s="3043"/>
      <c r="EGF49" s="3043"/>
      <c r="EGG49" s="3043"/>
      <c r="EGH49" s="3043"/>
      <c r="EGI49" s="3043"/>
      <c r="EGJ49" s="3043"/>
      <c r="EGK49" s="3043"/>
      <c r="EGL49" s="3043"/>
      <c r="EGM49" s="3043"/>
      <c r="EGN49" s="3043"/>
      <c r="EGO49" s="3043"/>
      <c r="EGP49" s="3043"/>
      <c r="EGQ49" s="3043"/>
      <c r="EGR49" s="3043"/>
      <c r="EGS49" s="3043"/>
      <c r="EGT49" s="3043"/>
      <c r="EGU49" s="3043"/>
      <c r="EGV49" s="3043"/>
      <c r="EGW49" s="3043"/>
      <c r="EGX49" s="3043"/>
      <c r="EGY49" s="3043"/>
      <c r="EGZ49" s="3043"/>
      <c r="EHA49" s="3043"/>
      <c r="EHB49" s="3043"/>
      <c r="EHC49" s="3043"/>
      <c r="EHD49" s="3043"/>
      <c r="EHE49" s="3043"/>
      <c r="EHF49" s="3043"/>
      <c r="EHG49" s="3043"/>
      <c r="EHH49" s="3043"/>
      <c r="EHI49" s="3043"/>
      <c r="EHJ49" s="3043"/>
      <c r="EHK49" s="3043"/>
      <c r="EHL49" s="3043"/>
      <c r="EHM49" s="3043"/>
      <c r="EHN49" s="3043"/>
      <c r="EHO49" s="3043"/>
      <c r="EHP49" s="3043"/>
      <c r="EHQ49" s="3043"/>
      <c r="EHR49" s="3043"/>
      <c r="EHS49" s="3043"/>
      <c r="EHT49" s="3043"/>
      <c r="EHU49" s="3043"/>
      <c r="EHV49" s="3043"/>
      <c r="EHW49" s="3043"/>
      <c r="EHX49" s="3043"/>
      <c r="EHY49" s="3043"/>
      <c r="EHZ49" s="3043"/>
      <c r="EIA49" s="3043"/>
      <c r="EIB49" s="3043"/>
      <c r="EIC49" s="3043"/>
      <c r="EID49" s="3043"/>
      <c r="EIE49" s="3043"/>
      <c r="EIF49" s="3043"/>
      <c r="EIG49" s="3043"/>
      <c r="EIH49" s="3043"/>
      <c r="EII49" s="3043"/>
      <c r="EIJ49" s="3043"/>
      <c r="EIK49" s="3043"/>
      <c r="EIL49" s="3043"/>
      <c r="EIM49" s="3043"/>
      <c r="EIN49" s="3043"/>
      <c r="EIO49" s="3043"/>
      <c r="EIP49" s="3043"/>
      <c r="EIQ49" s="3043"/>
      <c r="EIR49" s="3043"/>
      <c r="EIS49" s="3043"/>
      <c r="EIT49" s="3043"/>
      <c r="EIU49" s="3043"/>
      <c r="EIV49" s="3043"/>
      <c r="EIW49" s="3043"/>
      <c r="EIX49" s="3043"/>
      <c r="EIY49" s="3043"/>
      <c r="EIZ49" s="3043"/>
      <c r="EJA49" s="3043"/>
      <c r="EJB49" s="3043"/>
      <c r="EJC49" s="3043"/>
      <c r="EJD49" s="3043"/>
      <c r="EJE49" s="3043"/>
      <c r="EJF49" s="3043"/>
      <c r="EJG49" s="3043"/>
      <c r="EJH49" s="3043"/>
      <c r="EJI49" s="3043"/>
      <c r="EJJ49" s="3043"/>
      <c r="EJK49" s="3043"/>
      <c r="EJL49" s="3043"/>
      <c r="EJM49" s="3043"/>
      <c r="EJN49" s="3043"/>
      <c r="EJO49" s="3043"/>
      <c r="EJP49" s="3043"/>
      <c r="EJQ49" s="3043"/>
      <c r="EJR49" s="3043"/>
      <c r="EJS49" s="3043"/>
      <c r="EJT49" s="3043"/>
      <c r="EJU49" s="3043"/>
      <c r="EJV49" s="3043"/>
      <c r="EJW49" s="3043"/>
      <c r="EJX49" s="3043"/>
      <c r="EJY49" s="3043"/>
      <c r="EJZ49" s="3043"/>
      <c r="EKA49" s="3043"/>
      <c r="EKB49" s="3043"/>
      <c r="EKC49" s="3043"/>
      <c r="EKD49" s="3043"/>
      <c r="EKE49" s="3043"/>
      <c r="EKF49" s="3043"/>
      <c r="EKG49" s="3043"/>
      <c r="EKH49" s="3043"/>
      <c r="EKI49" s="3043"/>
      <c r="EKJ49" s="3043"/>
      <c r="EKK49" s="3043"/>
      <c r="EKL49" s="3043"/>
      <c r="EKM49" s="3043"/>
      <c r="EKN49" s="3043"/>
      <c r="EKO49" s="3043"/>
      <c r="EKP49" s="3043"/>
      <c r="EKQ49" s="3043"/>
      <c r="EKR49" s="3043"/>
      <c r="EKS49" s="3043"/>
      <c r="EKT49" s="3043"/>
      <c r="EKU49" s="3043"/>
      <c r="EKV49" s="3043"/>
      <c r="EKW49" s="3043"/>
      <c r="EKX49" s="3043"/>
      <c r="EKY49" s="3043"/>
      <c r="EKZ49" s="3043"/>
      <c r="ELA49" s="3043"/>
      <c r="ELB49" s="3043"/>
      <c r="ELC49" s="3043"/>
      <c r="ELD49" s="3043"/>
      <c r="ELE49" s="3043"/>
      <c r="ELF49" s="3043"/>
      <c r="ELG49" s="3043"/>
      <c r="ELH49" s="3043"/>
      <c r="ELI49" s="3043"/>
      <c r="ELJ49" s="3043"/>
      <c r="ELK49" s="3043"/>
      <c r="ELL49" s="3043"/>
      <c r="ELM49" s="3043"/>
      <c r="ELN49" s="3043"/>
      <c r="ELO49" s="3043"/>
      <c r="ELP49" s="3043"/>
      <c r="ELQ49" s="3043"/>
      <c r="ELR49" s="3043"/>
      <c r="ELS49" s="3043"/>
      <c r="ELT49" s="3043"/>
      <c r="ELU49" s="3043"/>
      <c r="ELV49" s="3043"/>
      <c r="ELW49" s="3043"/>
      <c r="ELX49" s="3043"/>
      <c r="ELY49" s="3043"/>
      <c r="ELZ49" s="3043"/>
      <c r="EMA49" s="3043"/>
      <c r="EMB49" s="3043"/>
      <c r="EMC49" s="3043"/>
      <c r="EMD49" s="3043"/>
      <c r="EME49" s="3043"/>
      <c r="EMF49" s="3043"/>
      <c r="EMG49" s="3043"/>
      <c r="EMH49" s="3043"/>
      <c r="EMI49" s="3043"/>
      <c r="EMJ49" s="3043"/>
      <c r="EMK49" s="3043"/>
      <c r="EML49" s="3043"/>
      <c r="EMM49" s="3043"/>
      <c r="EMN49" s="3043"/>
      <c r="EMO49" s="3043"/>
      <c r="EMP49" s="3043"/>
      <c r="EMQ49" s="3043"/>
      <c r="EMR49" s="3043"/>
      <c r="EMS49" s="3043"/>
      <c r="EMT49" s="3043"/>
      <c r="EMU49" s="3043"/>
      <c r="EMV49" s="3043"/>
      <c r="EMW49" s="3043"/>
      <c r="EMX49" s="3043"/>
      <c r="EMY49" s="3043"/>
      <c r="EMZ49" s="3043"/>
      <c r="ENA49" s="3043"/>
      <c r="ENB49" s="3043"/>
      <c r="ENC49" s="3043"/>
      <c r="END49" s="3043"/>
      <c r="ENE49" s="3043"/>
      <c r="ENF49" s="3043"/>
      <c r="ENG49" s="3043"/>
      <c r="ENH49" s="3043"/>
      <c r="ENI49" s="3043"/>
      <c r="ENJ49" s="3043"/>
      <c r="ENK49" s="3043"/>
      <c r="ENL49" s="3043"/>
      <c r="ENM49" s="3043"/>
      <c r="ENN49" s="3043"/>
      <c r="ENO49" s="3043"/>
      <c r="ENP49" s="3043"/>
      <c r="ENQ49" s="3043"/>
      <c r="ENR49" s="3043"/>
      <c r="ENS49" s="3043"/>
      <c r="ENT49" s="3043"/>
      <c r="ENU49" s="3043"/>
      <c r="ENV49" s="3043"/>
      <c r="ENW49" s="3043"/>
      <c r="ENX49" s="3043"/>
      <c r="ENY49" s="3043"/>
      <c r="ENZ49" s="3043"/>
      <c r="EOA49" s="3043"/>
      <c r="EOB49" s="3043"/>
      <c r="EOC49" s="3043"/>
      <c r="EOD49" s="3043"/>
      <c r="EOE49" s="3043"/>
      <c r="EOF49" s="3043"/>
      <c r="EOG49" s="3043"/>
      <c r="EOH49" s="3043"/>
      <c r="EOI49" s="3043"/>
      <c r="EOJ49" s="3043"/>
      <c r="EOK49" s="3043"/>
      <c r="EOL49" s="3043"/>
      <c r="EOM49" s="3043"/>
      <c r="EON49" s="3043"/>
      <c r="EOO49" s="3043"/>
      <c r="EOP49" s="3043"/>
      <c r="EOQ49" s="3043"/>
      <c r="EOR49" s="3043"/>
      <c r="EOS49" s="3043"/>
      <c r="EOT49" s="3043"/>
      <c r="EOU49" s="3043"/>
      <c r="EOV49" s="3043"/>
      <c r="EOW49" s="3043"/>
      <c r="EOX49" s="3043"/>
      <c r="EOY49" s="3043"/>
      <c r="EOZ49" s="3043"/>
      <c r="EPA49" s="3043"/>
      <c r="EPB49" s="3043"/>
      <c r="EPC49" s="3043"/>
      <c r="EPD49" s="3043"/>
      <c r="EPE49" s="3043"/>
      <c r="EPF49" s="3043"/>
      <c r="EPG49" s="3043"/>
      <c r="EPH49" s="3043"/>
      <c r="EPI49" s="3043"/>
      <c r="EPJ49" s="3043"/>
      <c r="EPK49" s="3043"/>
      <c r="EPL49" s="3043"/>
      <c r="EPM49" s="3043"/>
      <c r="EPN49" s="3043"/>
      <c r="EPO49" s="3043"/>
      <c r="EPP49" s="3043"/>
      <c r="EPQ49" s="3043"/>
      <c r="EPR49" s="3043"/>
      <c r="EPS49" s="3043"/>
      <c r="EPT49" s="3043"/>
      <c r="EPU49" s="3043"/>
      <c r="EPV49" s="3043"/>
      <c r="EPW49" s="3043"/>
      <c r="EPX49" s="3043"/>
      <c r="EPY49" s="3043"/>
      <c r="EPZ49" s="3043"/>
      <c r="EQA49" s="3043"/>
      <c r="EQB49" s="3043"/>
      <c r="EQC49" s="3043"/>
      <c r="EQD49" s="3043"/>
      <c r="EQE49" s="3043"/>
      <c r="EQF49" s="3043"/>
      <c r="EQG49" s="3043"/>
      <c r="EQH49" s="3043"/>
      <c r="EQI49" s="3043"/>
      <c r="EQJ49" s="3043"/>
      <c r="EQK49" s="3043"/>
      <c r="EQL49" s="3043"/>
      <c r="EQM49" s="3043"/>
      <c r="EQN49" s="3043"/>
      <c r="EQO49" s="3043"/>
      <c r="EQP49" s="3043"/>
      <c r="EQQ49" s="3043"/>
      <c r="EQR49" s="3043"/>
      <c r="EQS49" s="3043"/>
      <c r="EQT49" s="3043"/>
      <c r="EQU49" s="3043"/>
      <c r="EQV49" s="3043"/>
      <c r="EQW49" s="3043"/>
      <c r="EQX49" s="3043"/>
      <c r="EQY49" s="3043"/>
      <c r="EQZ49" s="3043"/>
      <c r="ERA49" s="3043"/>
      <c r="ERB49" s="3043"/>
      <c r="ERC49" s="3043"/>
      <c r="ERD49" s="3043"/>
      <c r="ERE49" s="3043"/>
      <c r="ERF49" s="3043"/>
      <c r="ERG49" s="3043"/>
      <c r="ERH49" s="3043"/>
      <c r="ERI49" s="3043"/>
      <c r="ERJ49" s="3043"/>
      <c r="ERK49" s="3043"/>
      <c r="ERL49" s="3043"/>
      <c r="ERM49" s="3043"/>
      <c r="ERN49" s="3043"/>
      <c r="ERO49" s="3043"/>
      <c r="ERP49" s="3043"/>
      <c r="ERQ49" s="3043"/>
      <c r="ERR49" s="3043"/>
      <c r="ERS49" s="3043"/>
      <c r="ERT49" s="3043"/>
      <c r="ERU49" s="3043"/>
      <c r="ERV49" s="3043"/>
      <c r="ERW49" s="3043"/>
      <c r="ERX49" s="3043"/>
      <c r="ERY49" s="3043"/>
      <c r="ERZ49" s="3043"/>
      <c r="ESA49" s="3043"/>
      <c r="ESB49" s="3043"/>
      <c r="ESC49" s="3043"/>
      <c r="ESD49" s="3043"/>
      <c r="ESE49" s="3043"/>
      <c r="ESF49" s="3043"/>
      <c r="ESG49" s="3043"/>
      <c r="ESH49" s="3043"/>
      <c r="ESI49" s="3043"/>
      <c r="ESJ49" s="3043"/>
      <c r="ESK49" s="3043"/>
      <c r="ESL49" s="3043"/>
      <c r="ESM49" s="3043"/>
      <c r="ESN49" s="3043"/>
      <c r="ESO49" s="3043"/>
      <c r="ESP49" s="3043"/>
      <c r="ESQ49" s="3043"/>
      <c r="ESR49" s="3043"/>
      <c r="ESS49" s="3043"/>
      <c r="EST49" s="3043"/>
      <c r="ESU49" s="3043"/>
      <c r="ESV49" s="3043"/>
      <c r="ESW49" s="3043"/>
      <c r="ESX49" s="3043"/>
      <c r="ESY49" s="3043"/>
      <c r="ESZ49" s="3043"/>
      <c r="ETA49" s="3043"/>
      <c r="ETB49" s="3043"/>
      <c r="ETC49" s="3043"/>
      <c r="ETD49" s="3043"/>
      <c r="ETE49" s="3043"/>
      <c r="ETF49" s="3043"/>
      <c r="ETG49" s="3043"/>
      <c r="ETH49" s="3043"/>
      <c r="ETI49" s="3043"/>
      <c r="ETJ49" s="3043"/>
      <c r="ETK49" s="3043"/>
      <c r="ETL49" s="3043"/>
      <c r="ETM49" s="3043"/>
      <c r="ETN49" s="3043"/>
      <c r="ETO49" s="3043"/>
      <c r="ETP49" s="3043"/>
      <c r="ETQ49" s="3043"/>
      <c r="ETR49" s="3043"/>
      <c r="ETS49" s="3043"/>
      <c r="ETT49" s="3043"/>
      <c r="ETU49" s="3043"/>
      <c r="ETV49" s="3043"/>
      <c r="ETW49" s="3043"/>
      <c r="ETX49" s="3043"/>
      <c r="ETY49" s="3043"/>
      <c r="ETZ49" s="3043"/>
      <c r="EUA49" s="3043"/>
      <c r="EUB49" s="3043"/>
      <c r="EUC49" s="3043"/>
      <c r="EUD49" s="3043"/>
      <c r="EUE49" s="3043"/>
      <c r="EUF49" s="3043"/>
      <c r="EUG49" s="3043"/>
      <c r="EUH49" s="3043"/>
      <c r="EUI49" s="3043"/>
      <c r="EUJ49" s="3043"/>
      <c r="EUK49" s="3043"/>
      <c r="EUL49" s="3043"/>
      <c r="EUM49" s="3043"/>
      <c r="EUN49" s="3043"/>
      <c r="EUO49" s="3043"/>
      <c r="EUP49" s="3043"/>
      <c r="EUQ49" s="3043"/>
      <c r="EUR49" s="3043"/>
      <c r="EUS49" s="3043"/>
      <c r="EUT49" s="3043"/>
      <c r="EUU49" s="3043"/>
      <c r="EUV49" s="3043"/>
      <c r="EUW49" s="3043"/>
      <c r="EUX49" s="3043"/>
      <c r="EUY49" s="3043"/>
      <c r="EUZ49" s="3043"/>
      <c r="EVA49" s="3043"/>
      <c r="EVB49" s="3043"/>
      <c r="EVC49" s="3043"/>
      <c r="EVD49" s="3043"/>
      <c r="EVE49" s="3043"/>
      <c r="EVF49" s="3043"/>
      <c r="EVG49" s="3043"/>
      <c r="EVH49" s="3043"/>
      <c r="EVI49" s="3043"/>
      <c r="EVJ49" s="3043"/>
      <c r="EVK49" s="3043"/>
      <c r="EVL49" s="3043"/>
      <c r="EVM49" s="3043"/>
      <c r="EVN49" s="3043"/>
      <c r="EVO49" s="3043"/>
      <c r="EVP49" s="3043"/>
      <c r="EVQ49" s="3043"/>
      <c r="EVR49" s="3043"/>
      <c r="EVS49" s="3043"/>
      <c r="EVT49" s="3043"/>
      <c r="EVU49" s="3043"/>
      <c r="EVV49" s="3043"/>
      <c r="EVW49" s="3043"/>
      <c r="EVX49" s="3043"/>
      <c r="EVY49" s="3043"/>
      <c r="EVZ49" s="3043"/>
      <c r="EWA49" s="3043"/>
      <c r="EWB49" s="3043"/>
      <c r="EWC49" s="3043"/>
      <c r="EWD49" s="3043"/>
      <c r="EWE49" s="3043"/>
      <c r="EWF49" s="3043"/>
      <c r="EWG49" s="3043"/>
      <c r="EWH49" s="3043"/>
      <c r="EWI49" s="3043"/>
      <c r="EWJ49" s="3043"/>
      <c r="EWK49" s="3043"/>
      <c r="EWL49" s="3043"/>
      <c r="EWM49" s="3043"/>
      <c r="EWN49" s="3043"/>
      <c r="EWO49" s="3043"/>
      <c r="EWP49" s="3043"/>
      <c r="EWQ49" s="3043"/>
      <c r="EWR49" s="3043"/>
      <c r="EWS49" s="3043"/>
      <c r="EWT49" s="3043"/>
      <c r="EWU49" s="3043"/>
      <c r="EWV49" s="3043"/>
      <c r="EWW49" s="3043"/>
      <c r="EWX49" s="3043"/>
      <c r="EWY49" s="3043"/>
      <c r="EWZ49" s="3043"/>
      <c r="EXA49" s="3043"/>
      <c r="EXB49" s="3043"/>
      <c r="EXC49" s="3043"/>
      <c r="EXD49" s="3043"/>
      <c r="EXE49" s="3043"/>
      <c r="EXF49" s="3043"/>
      <c r="EXG49" s="3043"/>
      <c r="EXH49" s="3043"/>
      <c r="EXI49" s="3043"/>
      <c r="EXJ49" s="3043"/>
      <c r="EXK49" s="3043"/>
      <c r="EXL49" s="3043"/>
      <c r="EXM49" s="3043"/>
      <c r="EXN49" s="3043"/>
      <c r="EXO49" s="3043"/>
      <c r="EXP49" s="3043"/>
      <c r="EXQ49" s="3043"/>
      <c r="EXR49" s="3043"/>
      <c r="EXS49" s="3043"/>
      <c r="EXT49" s="3043"/>
      <c r="EXU49" s="3043"/>
      <c r="EXV49" s="3043"/>
      <c r="EXW49" s="3043"/>
      <c r="EXX49" s="3043"/>
      <c r="EXY49" s="3043"/>
      <c r="EXZ49" s="3043"/>
      <c r="EYA49" s="3043"/>
      <c r="EYB49" s="3043"/>
      <c r="EYC49" s="3043"/>
      <c r="EYD49" s="3043"/>
      <c r="EYE49" s="3043"/>
      <c r="EYF49" s="3043"/>
      <c r="EYG49" s="3043"/>
      <c r="EYH49" s="3043"/>
      <c r="EYI49" s="3043"/>
      <c r="EYJ49" s="3043"/>
      <c r="EYK49" s="3043"/>
      <c r="EYL49" s="3043"/>
      <c r="EYM49" s="3043"/>
      <c r="EYN49" s="3043"/>
      <c r="EYO49" s="3043"/>
      <c r="EYP49" s="3043"/>
      <c r="EYQ49" s="3043"/>
      <c r="EYR49" s="3043"/>
      <c r="EYS49" s="3043"/>
      <c r="EYT49" s="3043"/>
      <c r="EYU49" s="3043"/>
      <c r="EYV49" s="3043"/>
      <c r="EYW49" s="3043"/>
      <c r="EYX49" s="3043"/>
      <c r="EYY49" s="3043"/>
      <c r="EYZ49" s="3043"/>
      <c r="EZA49" s="3043"/>
      <c r="EZB49" s="3043"/>
      <c r="EZC49" s="3043"/>
      <c r="EZD49" s="3043"/>
      <c r="EZE49" s="3043"/>
      <c r="EZF49" s="3043"/>
      <c r="EZG49" s="3043"/>
      <c r="EZH49" s="3043"/>
      <c r="EZI49" s="3043"/>
      <c r="EZJ49" s="3043"/>
      <c r="EZK49" s="3043"/>
      <c r="EZL49" s="3043"/>
      <c r="EZM49" s="3043"/>
      <c r="EZN49" s="3043"/>
      <c r="EZO49" s="3043"/>
      <c r="EZP49" s="3043"/>
      <c r="EZQ49" s="3043"/>
      <c r="EZR49" s="3043"/>
      <c r="EZS49" s="3043"/>
      <c r="EZT49" s="3043"/>
      <c r="EZU49" s="3043"/>
      <c r="EZV49" s="3043"/>
      <c r="EZW49" s="3043"/>
      <c r="EZX49" s="3043"/>
      <c r="EZY49" s="3043"/>
      <c r="EZZ49" s="3043"/>
      <c r="FAA49" s="3043"/>
      <c r="FAB49" s="3043"/>
      <c r="FAC49" s="3043"/>
      <c r="FAD49" s="3043"/>
      <c r="FAE49" s="3043"/>
      <c r="FAF49" s="3043"/>
      <c r="FAG49" s="3043"/>
      <c r="FAH49" s="3043"/>
      <c r="FAI49" s="3043"/>
      <c r="FAJ49" s="3043"/>
      <c r="FAK49" s="3043"/>
      <c r="FAL49" s="3043"/>
      <c r="FAM49" s="3043"/>
      <c r="FAN49" s="3043"/>
      <c r="FAO49" s="3043"/>
      <c r="FAP49" s="3043"/>
      <c r="FAQ49" s="3043"/>
      <c r="FAR49" s="3043"/>
      <c r="FAS49" s="3043"/>
      <c r="FAT49" s="3043"/>
      <c r="FAU49" s="3043"/>
      <c r="FAV49" s="3043"/>
      <c r="FAW49" s="3043"/>
      <c r="FAX49" s="3043"/>
      <c r="FAY49" s="3043"/>
      <c r="FAZ49" s="3043"/>
      <c r="FBA49" s="3043"/>
      <c r="FBB49" s="3043"/>
      <c r="FBC49" s="3043"/>
      <c r="FBD49" s="3043"/>
      <c r="FBE49" s="3043"/>
      <c r="FBF49" s="3043"/>
      <c r="FBG49" s="3043"/>
      <c r="FBH49" s="3043"/>
      <c r="FBI49" s="3043"/>
      <c r="FBJ49" s="3043"/>
      <c r="FBK49" s="3043"/>
      <c r="FBL49" s="3043"/>
      <c r="FBM49" s="3043"/>
      <c r="FBN49" s="3043"/>
      <c r="FBO49" s="3043"/>
      <c r="FBP49" s="3043"/>
      <c r="FBQ49" s="3043"/>
      <c r="FBR49" s="3043"/>
      <c r="FBS49" s="3043"/>
      <c r="FBT49" s="3043"/>
      <c r="FBU49" s="3043"/>
      <c r="FBV49" s="3043"/>
      <c r="FBW49" s="3043"/>
      <c r="FBX49" s="3043"/>
      <c r="FBY49" s="3043"/>
      <c r="FBZ49" s="3043"/>
      <c r="FCA49" s="3043"/>
      <c r="FCB49" s="3043"/>
      <c r="FCC49" s="3043"/>
      <c r="FCD49" s="3043"/>
      <c r="FCE49" s="3043"/>
      <c r="FCF49" s="3043"/>
      <c r="FCG49" s="3043"/>
      <c r="FCH49" s="3043"/>
      <c r="FCI49" s="3043"/>
      <c r="FCJ49" s="3043"/>
      <c r="FCK49" s="3043"/>
      <c r="FCL49" s="3043"/>
      <c r="FCM49" s="3043"/>
      <c r="FCN49" s="3043"/>
      <c r="FCO49" s="3043"/>
      <c r="FCP49" s="3043"/>
      <c r="FCQ49" s="3043"/>
      <c r="FCR49" s="3043"/>
      <c r="FCS49" s="3043"/>
      <c r="FCT49" s="3043"/>
      <c r="FCU49" s="3043"/>
      <c r="FCV49" s="3043"/>
      <c r="FCW49" s="3043"/>
      <c r="FCX49" s="3043"/>
      <c r="FCY49" s="3043"/>
      <c r="FCZ49" s="3043"/>
      <c r="FDA49" s="3043"/>
      <c r="FDB49" s="3043"/>
      <c r="FDC49" s="3043"/>
      <c r="FDD49" s="3043"/>
      <c r="FDE49" s="3043"/>
      <c r="FDF49" s="3043"/>
      <c r="FDG49" s="3043"/>
      <c r="FDH49" s="3043"/>
      <c r="FDI49" s="3043"/>
      <c r="FDJ49" s="3043"/>
      <c r="FDK49" s="3043"/>
      <c r="FDL49" s="3043"/>
      <c r="FDM49" s="3043"/>
      <c r="FDN49" s="3043"/>
      <c r="FDO49" s="3043"/>
      <c r="FDP49" s="3043"/>
      <c r="FDQ49" s="3043"/>
      <c r="FDR49" s="3043"/>
      <c r="FDS49" s="3043"/>
      <c r="FDT49" s="3043"/>
      <c r="FDU49" s="3043"/>
      <c r="FDV49" s="3043"/>
      <c r="FDW49" s="3043"/>
      <c r="FDX49" s="3043"/>
      <c r="FDY49" s="3043"/>
      <c r="FDZ49" s="3043"/>
      <c r="FEA49" s="3043"/>
      <c r="FEB49" s="3043"/>
      <c r="FEC49" s="3043"/>
      <c r="FED49" s="3043"/>
      <c r="FEE49" s="3043"/>
      <c r="FEF49" s="3043"/>
      <c r="FEG49" s="3043"/>
      <c r="FEH49" s="3043"/>
      <c r="FEI49" s="3043"/>
      <c r="FEJ49" s="3043"/>
      <c r="FEK49" s="3043"/>
      <c r="FEL49" s="3043"/>
      <c r="FEM49" s="3043"/>
      <c r="FEN49" s="3043"/>
      <c r="FEO49" s="3043"/>
      <c r="FEP49" s="3043"/>
      <c r="FEQ49" s="3043"/>
      <c r="FER49" s="3043"/>
      <c r="FES49" s="3043"/>
      <c r="FET49" s="3043"/>
      <c r="FEU49" s="3043"/>
      <c r="FEV49" s="3043"/>
      <c r="FEW49" s="3043"/>
      <c r="FEX49" s="3043"/>
      <c r="FEY49" s="3043"/>
      <c r="FEZ49" s="3043"/>
      <c r="FFA49" s="3043"/>
      <c r="FFB49" s="3043"/>
      <c r="FFC49" s="3043"/>
      <c r="FFD49" s="3043"/>
      <c r="FFE49" s="3043"/>
      <c r="FFF49" s="3043"/>
      <c r="FFG49" s="3043"/>
      <c r="FFH49" s="3043"/>
      <c r="FFI49" s="3043"/>
      <c r="FFJ49" s="3043"/>
      <c r="FFK49" s="3043"/>
      <c r="FFL49" s="3043"/>
      <c r="FFM49" s="3043"/>
      <c r="FFN49" s="3043"/>
      <c r="FFO49" s="3043"/>
      <c r="FFP49" s="3043"/>
      <c r="FFQ49" s="3043"/>
      <c r="FFR49" s="3043"/>
      <c r="FFS49" s="3043"/>
      <c r="FFT49" s="3043"/>
      <c r="FFU49" s="3043"/>
      <c r="FFV49" s="3043"/>
      <c r="FFW49" s="3043"/>
      <c r="FFX49" s="3043"/>
      <c r="FFY49" s="3043"/>
      <c r="FFZ49" s="3043"/>
      <c r="FGA49" s="3043"/>
      <c r="FGB49" s="3043"/>
      <c r="FGC49" s="3043"/>
      <c r="FGD49" s="3043"/>
      <c r="FGE49" s="3043"/>
      <c r="FGF49" s="3043"/>
      <c r="FGG49" s="3043"/>
      <c r="FGH49" s="3043"/>
      <c r="FGI49" s="3043"/>
      <c r="FGJ49" s="3043"/>
      <c r="FGK49" s="3043"/>
      <c r="FGL49" s="3043"/>
      <c r="FGM49" s="3043"/>
      <c r="FGN49" s="3043"/>
      <c r="FGO49" s="3043"/>
      <c r="FGP49" s="3043"/>
      <c r="FGQ49" s="3043"/>
      <c r="FGR49" s="3043"/>
      <c r="FGS49" s="3043"/>
      <c r="FGT49" s="3043"/>
      <c r="FGU49" s="3043"/>
      <c r="FGV49" s="3043"/>
      <c r="FGW49" s="3043"/>
      <c r="FGX49" s="3043"/>
      <c r="FGY49" s="3043"/>
      <c r="FGZ49" s="3043"/>
      <c r="FHA49" s="3043"/>
      <c r="FHB49" s="3043"/>
      <c r="FHC49" s="3043"/>
      <c r="FHD49" s="3043"/>
      <c r="FHE49" s="3043"/>
      <c r="FHF49" s="3043"/>
      <c r="FHG49" s="3043"/>
      <c r="FHH49" s="3043"/>
      <c r="FHI49" s="3043"/>
      <c r="FHJ49" s="3043"/>
      <c r="FHK49" s="3043"/>
      <c r="FHL49" s="3043"/>
      <c r="FHM49" s="3043"/>
      <c r="FHN49" s="3043"/>
      <c r="FHO49" s="3043"/>
      <c r="FHP49" s="3043"/>
      <c r="FHQ49" s="3043"/>
      <c r="FHR49" s="3043"/>
      <c r="FHS49" s="3043"/>
      <c r="FHT49" s="3043"/>
      <c r="FHU49" s="3043"/>
      <c r="FHV49" s="3043"/>
      <c r="FHW49" s="3043"/>
      <c r="FHX49" s="3043"/>
      <c r="FHY49" s="3043"/>
      <c r="FHZ49" s="3043"/>
      <c r="FIA49" s="3043"/>
      <c r="FIB49" s="3043"/>
      <c r="FIC49" s="3043"/>
      <c r="FID49" s="3043"/>
      <c r="FIE49" s="3043"/>
      <c r="FIF49" s="3043"/>
      <c r="FIG49" s="3043"/>
      <c r="FIH49" s="3043"/>
      <c r="FII49" s="3043"/>
      <c r="FIJ49" s="3043"/>
      <c r="FIK49" s="3043"/>
      <c r="FIL49" s="3043"/>
      <c r="FIM49" s="3043"/>
      <c r="FIN49" s="3043"/>
      <c r="FIO49" s="3043"/>
      <c r="FIP49" s="3043"/>
      <c r="FIQ49" s="3043"/>
      <c r="FIR49" s="3043"/>
      <c r="FIS49" s="3043"/>
      <c r="FIT49" s="3043"/>
      <c r="FIU49" s="3043"/>
      <c r="FIV49" s="3043"/>
      <c r="FIW49" s="3043"/>
      <c r="FIX49" s="3043"/>
      <c r="FIY49" s="3043"/>
      <c r="FIZ49" s="3043"/>
      <c r="FJA49" s="3043"/>
      <c r="FJB49" s="3043"/>
      <c r="FJC49" s="3043"/>
      <c r="FJD49" s="3043"/>
      <c r="FJE49" s="3043"/>
      <c r="FJF49" s="3043"/>
      <c r="FJG49" s="3043"/>
      <c r="FJH49" s="3043"/>
      <c r="FJI49" s="3043"/>
      <c r="FJJ49" s="3043"/>
      <c r="FJK49" s="3043"/>
      <c r="FJL49" s="3043"/>
      <c r="FJM49" s="3043"/>
      <c r="FJN49" s="3043"/>
      <c r="FJO49" s="3043"/>
      <c r="FJP49" s="3043"/>
      <c r="FJQ49" s="3043"/>
      <c r="FJR49" s="3043"/>
      <c r="FJS49" s="3043"/>
      <c r="FJT49" s="3043"/>
      <c r="FJU49" s="3043"/>
      <c r="FJV49" s="3043"/>
      <c r="FJW49" s="3043"/>
      <c r="FJX49" s="3043"/>
      <c r="FJY49" s="3043"/>
      <c r="FJZ49" s="3043"/>
      <c r="FKA49" s="3043"/>
      <c r="FKB49" s="3043"/>
      <c r="FKC49" s="3043"/>
      <c r="FKD49" s="3043"/>
      <c r="FKE49" s="3043"/>
      <c r="FKF49" s="3043"/>
      <c r="FKG49" s="3043"/>
      <c r="FKH49" s="3043"/>
      <c r="FKI49" s="3043"/>
      <c r="FKJ49" s="3043"/>
      <c r="FKK49" s="3043"/>
      <c r="FKL49" s="3043"/>
      <c r="FKM49" s="3043"/>
      <c r="FKN49" s="3043"/>
      <c r="FKO49" s="3043"/>
      <c r="FKP49" s="3043"/>
      <c r="FKQ49" s="3043"/>
      <c r="FKR49" s="3043"/>
      <c r="FKS49" s="3043"/>
      <c r="FKT49" s="3043"/>
      <c r="FKU49" s="3043"/>
      <c r="FKV49" s="3043"/>
      <c r="FKW49" s="3043"/>
      <c r="FKX49" s="3043"/>
      <c r="FKY49" s="3043"/>
      <c r="FKZ49" s="3043"/>
      <c r="FLA49" s="3043"/>
      <c r="FLB49" s="3043"/>
      <c r="FLC49" s="3043"/>
      <c r="FLD49" s="3043"/>
      <c r="FLE49" s="3043"/>
      <c r="FLF49" s="3043"/>
      <c r="FLG49" s="3043"/>
      <c r="FLH49" s="3043"/>
      <c r="FLI49" s="3043"/>
      <c r="FLJ49" s="3043"/>
      <c r="FLK49" s="3043"/>
      <c r="FLL49" s="3043"/>
      <c r="FLM49" s="3043"/>
      <c r="FLN49" s="3043"/>
      <c r="FLO49" s="3043"/>
      <c r="FLP49" s="3043"/>
      <c r="FLQ49" s="3043"/>
      <c r="FLR49" s="3043"/>
      <c r="FLS49" s="3043"/>
      <c r="FLT49" s="3043"/>
      <c r="FLU49" s="3043"/>
      <c r="FLV49" s="3043"/>
      <c r="FLW49" s="3043"/>
      <c r="FLX49" s="3043"/>
      <c r="FLY49" s="3043"/>
      <c r="FLZ49" s="3043"/>
      <c r="FMA49" s="3043"/>
      <c r="FMB49" s="3043"/>
      <c r="FMC49" s="3043"/>
      <c r="FMD49" s="3043"/>
      <c r="FME49" s="3043"/>
      <c r="FMF49" s="3043"/>
      <c r="FMG49" s="3043"/>
      <c r="FMH49" s="3043"/>
      <c r="FMI49" s="3043"/>
      <c r="FMJ49" s="3043"/>
      <c r="FMK49" s="3043"/>
      <c r="FML49" s="3043"/>
      <c r="FMM49" s="3043"/>
      <c r="FMN49" s="3043"/>
      <c r="FMO49" s="3043"/>
      <c r="FMP49" s="3043"/>
      <c r="FMQ49" s="3043"/>
      <c r="FMR49" s="3043"/>
      <c r="FMS49" s="3043"/>
      <c r="FMT49" s="3043"/>
      <c r="FMU49" s="3043"/>
      <c r="FMV49" s="3043"/>
      <c r="FMW49" s="3043"/>
      <c r="FMX49" s="3043"/>
      <c r="FMY49" s="3043"/>
      <c r="FMZ49" s="3043"/>
      <c r="FNA49" s="3043"/>
      <c r="FNB49" s="3043"/>
      <c r="FNC49" s="3043"/>
      <c r="FND49" s="3043"/>
      <c r="FNE49" s="3043"/>
      <c r="FNF49" s="3043"/>
      <c r="FNG49" s="3043"/>
      <c r="FNH49" s="3043"/>
      <c r="FNI49" s="3043"/>
      <c r="FNJ49" s="3043"/>
      <c r="FNK49" s="3043"/>
      <c r="FNL49" s="3043"/>
      <c r="FNM49" s="3043"/>
      <c r="FNN49" s="3043"/>
      <c r="FNO49" s="3043"/>
      <c r="FNP49" s="3043"/>
      <c r="FNQ49" s="3043"/>
      <c r="FNR49" s="3043"/>
      <c r="FNS49" s="3043"/>
      <c r="FNT49" s="3043"/>
      <c r="FNU49" s="3043"/>
      <c r="FNV49" s="3043"/>
      <c r="FNW49" s="3043"/>
      <c r="FNX49" s="3043"/>
      <c r="FNY49" s="3043"/>
      <c r="FNZ49" s="3043"/>
      <c r="FOA49" s="3043"/>
      <c r="FOB49" s="3043"/>
      <c r="FOC49" s="3043"/>
      <c r="FOD49" s="3043"/>
      <c r="FOE49" s="3043"/>
      <c r="FOF49" s="3043"/>
      <c r="FOG49" s="3043"/>
      <c r="FOH49" s="3043"/>
      <c r="FOI49" s="3043"/>
      <c r="FOJ49" s="3043"/>
      <c r="FOK49" s="3043"/>
      <c r="FOL49" s="3043"/>
      <c r="FOM49" s="3043"/>
      <c r="FON49" s="3043"/>
      <c r="FOO49" s="3043"/>
      <c r="FOP49" s="3043"/>
      <c r="FOQ49" s="3043"/>
      <c r="FOR49" s="3043"/>
      <c r="FOS49" s="3043"/>
      <c r="FOT49" s="3043"/>
      <c r="FOU49" s="3043"/>
      <c r="FOV49" s="3043"/>
      <c r="FOW49" s="3043"/>
      <c r="FOX49" s="3043"/>
      <c r="FOY49" s="3043"/>
      <c r="FOZ49" s="3043"/>
      <c r="FPA49" s="3043"/>
      <c r="FPB49" s="3043"/>
      <c r="FPC49" s="3043"/>
      <c r="FPD49" s="3043"/>
      <c r="FPE49" s="3043"/>
      <c r="FPF49" s="3043"/>
      <c r="FPG49" s="3043"/>
      <c r="FPH49" s="3043"/>
      <c r="FPI49" s="3043"/>
      <c r="FPJ49" s="3043"/>
      <c r="FPK49" s="3043"/>
      <c r="FPL49" s="3043"/>
      <c r="FPM49" s="3043"/>
      <c r="FPN49" s="3043"/>
      <c r="FPO49" s="3043"/>
      <c r="FPP49" s="3043"/>
      <c r="FPQ49" s="3043"/>
      <c r="FPR49" s="3043"/>
      <c r="FPS49" s="3043"/>
      <c r="FPT49" s="3043"/>
      <c r="FPU49" s="3043"/>
      <c r="FPV49" s="3043"/>
      <c r="FPW49" s="3043"/>
      <c r="FPX49" s="3043"/>
      <c r="FPY49" s="3043"/>
      <c r="FPZ49" s="3043"/>
      <c r="FQA49" s="3043"/>
      <c r="FQB49" s="3043"/>
      <c r="FQC49" s="3043"/>
      <c r="FQD49" s="3043"/>
      <c r="FQE49" s="3043"/>
      <c r="FQF49" s="3043"/>
      <c r="FQG49" s="3043"/>
      <c r="FQH49" s="3043"/>
      <c r="FQI49" s="3043"/>
      <c r="FQJ49" s="3043"/>
      <c r="FQK49" s="3043"/>
      <c r="FQL49" s="3043"/>
      <c r="FQM49" s="3043"/>
      <c r="FQN49" s="3043"/>
      <c r="FQO49" s="3043"/>
      <c r="FQP49" s="3043"/>
      <c r="FQQ49" s="3043"/>
      <c r="FQR49" s="3043"/>
      <c r="FQS49" s="3043"/>
      <c r="FQT49" s="3043"/>
      <c r="FQU49" s="3043"/>
      <c r="FQV49" s="3043"/>
      <c r="FQW49" s="3043"/>
      <c r="FQX49" s="3043"/>
      <c r="FQY49" s="3043"/>
      <c r="FQZ49" s="3043"/>
      <c r="FRA49" s="3043"/>
      <c r="FRB49" s="3043"/>
      <c r="FRC49" s="3043"/>
      <c r="FRD49" s="3043"/>
      <c r="FRE49" s="3043"/>
      <c r="FRF49" s="3043"/>
      <c r="FRG49" s="3043"/>
      <c r="FRH49" s="3043"/>
      <c r="FRI49" s="3043"/>
      <c r="FRJ49" s="3043"/>
      <c r="FRK49" s="3043"/>
      <c r="FRL49" s="3043"/>
      <c r="FRM49" s="3043"/>
      <c r="FRN49" s="3043"/>
      <c r="FRO49" s="3043"/>
      <c r="FRP49" s="3043"/>
      <c r="FRQ49" s="3043"/>
      <c r="FRR49" s="3043"/>
      <c r="FRS49" s="3043"/>
      <c r="FRT49" s="3043"/>
      <c r="FRU49" s="3043"/>
      <c r="FRV49" s="3043"/>
      <c r="FRW49" s="3043"/>
      <c r="FRX49" s="3043"/>
      <c r="FRY49" s="3043"/>
      <c r="FRZ49" s="3043"/>
      <c r="FSA49" s="3043"/>
      <c r="FSB49" s="3043"/>
      <c r="FSC49" s="3043"/>
      <c r="FSD49" s="3043"/>
      <c r="FSE49" s="3043"/>
      <c r="FSF49" s="3043"/>
      <c r="FSG49" s="3043"/>
      <c r="FSH49" s="3043"/>
      <c r="FSI49" s="3043"/>
      <c r="FSJ49" s="3043"/>
      <c r="FSK49" s="3043"/>
      <c r="FSL49" s="3043"/>
      <c r="FSM49" s="3043"/>
      <c r="FSN49" s="3043"/>
      <c r="FSO49" s="3043"/>
      <c r="FSP49" s="3043"/>
      <c r="FSQ49" s="3043"/>
      <c r="FSR49" s="3043"/>
      <c r="FSS49" s="3043"/>
      <c r="FST49" s="3043"/>
      <c r="FSU49" s="3043"/>
      <c r="FSV49" s="3043"/>
      <c r="FSW49" s="3043"/>
      <c r="FSX49" s="3043"/>
      <c r="FSY49" s="3043"/>
      <c r="FSZ49" s="3043"/>
      <c r="FTA49" s="3043"/>
      <c r="FTB49" s="3043"/>
      <c r="FTC49" s="3043"/>
      <c r="FTD49" s="3043"/>
      <c r="FTE49" s="3043"/>
      <c r="FTF49" s="3043"/>
      <c r="FTG49" s="3043"/>
      <c r="FTH49" s="3043"/>
      <c r="FTI49" s="3043"/>
      <c r="FTJ49" s="3043"/>
      <c r="FTK49" s="3043"/>
      <c r="FTL49" s="3043"/>
      <c r="FTM49" s="3043"/>
      <c r="FTN49" s="3043"/>
      <c r="FTO49" s="3043"/>
      <c r="FTP49" s="3043"/>
      <c r="FTQ49" s="3043"/>
      <c r="FTR49" s="3043"/>
      <c r="FTS49" s="3043"/>
      <c r="FTT49" s="3043"/>
      <c r="FTU49" s="3043"/>
      <c r="FTV49" s="3043"/>
      <c r="FTW49" s="3043"/>
      <c r="FTX49" s="3043"/>
      <c r="FTY49" s="3043"/>
      <c r="FTZ49" s="3043"/>
      <c r="FUA49" s="3043"/>
      <c r="FUB49" s="3043"/>
      <c r="FUC49" s="3043"/>
      <c r="FUD49" s="3043"/>
      <c r="FUE49" s="3043"/>
      <c r="FUF49" s="3043"/>
      <c r="FUG49" s="3043"/>
      <c r="FUH49" s="3043"/>
      <c r="FUI49" s="3043"/>
      <c r="FUJ49" s="3043"/>
      <c r="FUK49" s="3043"/>
      <c r="FUL49" s="3043"/>
      <c r="FUM49" s="3043"/>
      <c r="FUN49" s="3043"/>
      <c r="FUO49" s="3043"/>
      <c r="FUP49" s="3043"/>
      <c r="FUQ49" s="3043"/>
      <c r="FUR49" s="3043"/>
      <c r="FUS49" s="3043"/>
      <c r="FUT49" s="3043"/>
      <c r="FUU49" s="3043"/>
      <c r="FUV49" s="3043"/>
      <c r="FUW49" s="3043"/>
      <c r="FUX49" s="3043"/>
      <c r="FUY49" s="3043"/>
      <c r="FUZ49" s="3043"/>
      <c r="FVA49" s="3043"/>
      <c r="FVB49" s="3043"/>
      <c r="FVC49" s="3043"/>
      <c r="FVD49" s="3043"/>
      <c r="FVE49" s="3043"/>
      <c r="FVF49" s="3043"/>
      <c r="FVG49" s="3043"/>
      <c r="FVH49" s="3043"/>
      <c r="FVI49" s="3043"/>
      <c r="FVJ49" s="3043"/>
      <c r="FVK49" s="3043"/>
      <c r="FVL49" s="3043"/>
      <c r="FVM49" s="3043"/>
      <c r="FVN49" s="3043"/>
      <c r="FVO49" s="3043"/>
      <c r="FVP49" s="3043"/>
      <c r="FVQ49" s="3043"/>
      <c r="FVR49" s="3043"/>
      <c r="FVS49" s="3043"/>
      <c r="FVT49" s="3043"/>
      <c r="FVU49" s="3043"/>
      <c r="FVV49" s="3043"/>
      <c r="FVW49" s="3043"/>
      <c r="FVX49" s="3043"/>
      <c r="FVY49" s="3043"/>
      <c r="FVZ49" s="3043"/>
      <c r="FWA49" s="3043"/>
      <c r="FWB49" s="3043"/>
      <c r="FWC49" s="3043"/>
      <c r="FWD49" s="3043"/>
      <c r="FWE49" s="3043"/>
      <c r="FWF49" s="3043"/>
      <c r="FWG49" s="3043"/>
      <c r="FWH49" s="3043"/>
      <c r="FWI49" s="3043"/>
      <c r="FWJ49" s="3043"/>
      <c r="FWK49" s="3043"/>
      <c r="FWL49" s="3043"/>
      <c r="FWM49" s="3043"/>
      <c r="FWN49" s="3043"/>
      <c r="FWO49" s="3043"/>
      <c r="FWP49" s="3043"/>
      <c r="FWQ49" s="3043"/>
      <c r="FWR49" s="3043"/>
      <c r="FWS49" s="3043"/>
      <c r="FWT49" s="3043"/>
      <c r="FWU49" s="3043"/>
      <c r="FWV49" s="3043"/>
      <c r="FWW49" s="3043"/>
      <c r="FWX49" s="3043"/>
      <c r="FWY49" s="3043"/>
      <c r="FWZ49" s="3043"/>
      <c r="FXA49" s="3043"/>
      <c r="FXB49" s="3043"/>
      <c r="FXC49" s="3043"/>
      <c r="FXD49" s="3043"/>
      <c r="FXE49" s="3043"/>
      <c r="FXF49" s="3043"/>
      <c r="FXG49" s="3043"/>
      <c r="FXH49" s="3043"/>
      <c r="FXI49" s="3043"/>
      <c r="FXJ49" s="3043"/>
      <c r="FXK49" s="3043"/>
      <c r="FXL49" s="3043"/>
      <c r="FXM49" s="3043"/>
      <c r="FXN49" s="3043"/>
      <c r="FXO49" s="3043"/>
      <c r="FXP49" s="3043"/>
      <c r="FXQ49" s="3043"/>
      <c r="FXR49" s="3043"/>
      <c r="FXS49" s="3043"/>
      <c r="FXT49" s="3043"/>
      <c r="FXU49" s="3043"/>
      <c r="FXV49" s="3043"/>
      <c r="FXW49" s="3043"/>
      <c r="FXX49" s="3043"/>
      <c r="FXY49" s="3043"/>
      <c r="FXZ49" s="3043"/>
      <c r="FYA49" s="3043"/>
      <c r="FYB49" s="3043"/>
      <c r="FYC49" s="3043"/>
      <c r="FYD49" s="3043"/>
      <c r="FYE49" s="3043"/>
      <c r="FYF49" s="3043"/>
      <c r="FYG49" s="3043"/>
      <c r="FYH49" s="3043"/>
      <c r="FYI49" s="3043"/>
      <c r="FYJ49" s="3043"/>
      <c r="FYK49" s="3043"/>
      <c r="FYL49" s="3043"/>
      <c r="FYM49" s="3043"/>
      <c r="FYN49" s="3043"/>
      <c r="FYO49" s="3043"/>
      <c r="FYP49" s="3043"/>
      <c r="FYQ49" s="3043"/>
      <c r="FYR49" s="3043"/>
      <c r="FYS49" s="3043"/>
      <c r="FYT49" s="3043"/>
      <c r="FYU49" s="3043"/>
      <c r="FYV49" s="3043"/>
      <c r="FYW49" s="3043"/>
      <c r="FYX49" s="3043"/>
      <c r="FYY49" s="3043"/>
      <c r="FYZ49" s="3043"/>
      <c r="FZA49" s="3043"/>
      <c r="FZB49" s="3043"/>
      <c r="FZC49" s="3043"/>
      <c r="FZD49" s="3043"/>
      <c r="FZE49" s="3043"/>
      <c r="FZF49" s="3043"/>
      <c r="FZG49" s="3043"/>
      <c r="FZH49" s="3043"/>
      <c r="FZI49" s="3043"/>
      <c r="FZJ49" s="3043"/>
      <c r="FZK49" s="3043"/>
      <c r="FZL49" s="3043"/>
      <c r="FZM49" s="3043"/>
      <c r="FZN49" s="3043"/>
      <c r="FZO49" s="3043"/>
      <c r="FZP49" s="3043"/>
      <c r="FZQ49" s="3043"/>
      <c r="FZR49" s="3043"/>
      <c r="FZS49" s="3043"/>
      <c r="FZT49" s="3043"/>
      <c r="FZU49" s="3043"/>
      <c r="FZV49" s="3043"/>
      <c r="FZW49" s="3043"/>
      <c r="FZX49" s="3043"/>
      <c r="FZY49" s="3043"/>
      <c r="FZZ49" s="3043"/>
      <c r="GAA49" s="3043"/>
      <c r="GAB49" s="3043"/>
      <c r="GAC49" s="3043"/>
      <c r="GAD49" s="3043"/>
      <c r="GAE49" s="3043"/>
      <c r="GAF49" s="3043"/>
      <c r="GAG49" s="3043"/>
      <c r="GAH49" s="3043"/>
      <c r="GAI49" s="3043"/>
      <c r="GAJ49" s="3043"/>
      <c r="GAK49" s="3043"/>
      <c r="GAL49" s="3043"/>
      <c r="GAM49" s="3043"/>
      <c r="GAN49" s="3043"/>
      <c r="GAO49" s="3043"/>
      <c r="GAP49" s="3043"/>
      <c r="GAQ49" s="3043"/>
      <c r="GAR49" s="3043"/>
      <c r="GAS49" s="3043"/>
      <c r="GAT49" s="3043"/>
      <c r="GAU49" s="3043"/>
      <c r="GAV49" s="3043"/>
      <c r="GAW49" s="3043"/>
      <c r="GAX49" s="3043"/>
      <c r="GAY49" s="3043"/>
      <c r="GAZ49" s="3043"/>
      <c r="GBA49" s="3043"/>
      <c r="GBB49" s="3043"/>
      <c r="GBC49" s="3043"/>
      <c r="GBD49" s="3043"/>
      <c r="GBE49" s="3043"/>
      <c r="GBF49" s="3043"/>
      <c r="GBG49" s="3043"/>
      <c r="GBH49" s="3043"/>
      <c r="GBI49" s="3043"/>
      <c r="GBJ49" s="3043"/>
      <c r="GBK49" s="3043"/>
      <c r="GBL49" s="3043"/>
      <c r="GBM49" s="3043"/>
      <c r="GBN49" s="3043"/>
      <c r="GBO49" s="3043"/>
      <c r="GBP49" s="3043"/>
      <c r="GBQ49" s="3043"/>
      <c r="GBR49" s="3043"/>
      <c r="GBS49" s="3043"/>
      <c r="GBT49" s="3043"/>
      <c r="GBU49" s="3043"/>
      <c r="GBV49" s="3043"/>
      <c r="GBW49" s="3043"/>
      <c r="GBX49" s="3043"/>
      <c r="GBY49" s="3043"/>
      <c r="GBZ49" s="3043"/>
      <c r="GCA49" s="3043"/>
      <c r="GCB49" s="3043"/>
      <c r="GCC49" s="3043"/>
      <c r="GCD49" s="3043"/>
      <c r="GCE49" s="3043"/>
      <c r="GCF49" s="3043"/>
      <c r="GCG49" s="3043"/>
      <c r="GCH49" s="3043"/>
      <c r="GCI49" s="3043"/>
      <c r="GCJ49" s="3043"/>
      <c r="GCK49" s="3043"/>
      <c r="GCL49" s="3043"/>
      <c r="GCM49" s="3043"/>
      <c r="GCN49" s="3043"/>
      <c r="GCO49" s="3043"/>
      <c r="GCP49" s="3043"/>
      <c r="GCQ49" s="3043"/>
      <c r="GCR49" s="3043"/>
      <c r="GCS49" s="3043"/>
      <c r="GCT49" s="3043"/>
      <c r="GCU49" s="3043"/>
      <c r="GCV49" s="3043"/>
      <c r="GCW49" s="3043"/>
      <c r="GCX49" s="3043"/>
      <c r="GCY49" s="3043"/>
      <c r="GCZ49" s="3043"/>
      <c r="GDA49" s="3043"/>
      <c r="GDB49" s="3043"/>
      <c r="GDC49" s="3043"/>
      <c r="GDD49" s="3043"/>
      <c r="GDE49" s="3043"/>
      <c r="GDF49" s="3043"/>
      <c r="GDG49" s="3043"/>
      <c r="GDH49" s="3043"/>
      <c r="GDI49" s="3043"/>
      <c r="GDJ49" s="3043"/>
      <c r="GDK49" s="3043"/>
      <c r="GDL49" s="3043"/>
      <c r="GDM49" s="3043"/>
      <c r="GDN49" s="3043"/>
      <c r="GDO49" s="3043"/>
      <c r="GDP49" s="3043"/>
      <c r="GDQ49" s="3043"/>
      <c r="GDR49" s="3043"/>
      <c r="GDS49" s="3043"/>
      <c r="GDT49" s="3043"/>
      <c r="GDU49" s="3043"/>
      <c r="GDV49" s="3043"/>
      <c r="GDW49" s="3043"/>
      <c r="GDX49" s="3043"/>
      <c r="GDY49" s="3043"/>
      <c r="GDZ49" s="3043"/>
      <c r="GEA49" s="3043"/>
      <c r="GEB49" s="3043"/>
      <c r="GEC49" s="3043"/>
      <c r="GED49" s="3043"/>
      <c r="GEE49" s="3043"/>
      <c r="GEF49" s="3043"/>
      <c r="GEG49" s="3043"/>
      <c r="GEH49" s="3043"/>
      <c r="GEI49" s="3043"/>
      <c r="GEJ49" s="3043"/>
      <c r="GEK49" s="3043"/>
      <c r="GEL49" s="3043"/>
      <c r="GEM49" s="3043"/>
      <c r="GEN49" s="3043"/>
      <c r="GEO49" s="3043"/>
      <c r="GEP49" s="3043"/>
      <c r="GEQ49" s="3043"/>
      <c r="GER49" s="3043"/>
      <c r="GES49" s="3043"/>
      <c r="GET49" s="3043"/>
      <c r="GEU49" s="3043"/>
      <c r="GEV49" s="3043"/>
      <c r="GEW49" s="3043"/>
      <c r="GEX49" s="3043"/>
      <c r="GEY49" s="3043"/>
      <c r="GEZ49" s="3043"/>
      <c r="GFA49" s="3043"/>
      <c r="GFB49" s="3043"/>
      <c r="GFC49" s="3043"/>
      <c r="GFD49" s="3043"/>
      <c r="GFE49" s="3043"/>
      <c r="GFF49" s="3043"/>
      <c r="GFG49" s="3043"/>
      <c r="GFH49" s="3043"/>
      <c r="GFI49" s="3043"/>
      <c r="GFJ49" s="3043"/>
      <c r="GFK49" s="3043"/>
      <c r="GFL49" s="3043"/>
      <c r="GFM49" s="3043"/>
      <c r="GFN49" s="3043"/>
      <c r="GFO49" s="3043"/>
      <c r="GFP49" s="3043"/>
      <c r="GFQ49" s="3043"/>
      <c r="GFR49" s="3043"/>
      <c r="GFS49" s="3043"/>
      <c r="GFT49" s="3043"/>
      <c r="GFU49" s="3043"/>
      <c r="GFV49" s="3043"/>
      <c r="GFW49" s="3043"/>
      <c r="GFX49" s="3043"/>
      <c r="GFY49" s="3043"/>
      <c r="GFZ49" s="3043"/>
      <c r="GGA49" s="3043"/>
      <c r="GGB49" s="3043"/>
      <c r="GGC49" s="3043"/>
      <c r="GGD49" s="3043"/>
      <c r="GGE49" s="3043"/>
      <c r="GGF49" s="3043"/>
      <c r="GGG49" s="3043"/>
      <c r="GGH49" s="3043"/>
      <c r="GGI49" s="3043"/>
      <c r="GGJ49" s="3043"/>
      <c r="GGK49" s="3043"/>
      <c r="GGL49" s="3043"/>
      <c r="GGM49" s="3043"/>
      <c r="GGN49" s="3043"/>
      <c r="GGO49" s="3043"/>
      <c r="GGP49" s="3043"/>
      <c r="GGQ49" s="3043"/>
      <c r="GGR49" s="3043"/>
      <c r="GGS49" s="3043"/>
      <c r="GGT49" s="3043"/>
      <c r="GGU49" s="3043"/>
      <c r="GGV49" s="3043"/>
      <c r="GGW49" s="3043"/>
      <c r="GGX49" s="3043"/>
      <c r="GGY49" s="3043"/>
      <c r="GGZ49" s="3043"/>
      <c r="GHA49" s="3043"/>
      <c r="GHB49" s="3043"/>
      <c r="GHC49" s="3043"/>
      <c r="GHD49" s="3043"/>
      <c r="GHE49" s="3043"/>
      <c r="GHF49" s="3043"/>
      <c r="GHG49" s="3043"/>
      <c r="GHH49" s="3043"/>
      <c r="GHI49" s="3043"/>
      <c r="GHJ49" s="3043"/>
      <c r="GHK49" s="3043"/>
      <c r="GHL49" s="3043"/>
      <c r="GHM49" s="3043"/>
      <c r="GHN49" s="3043"/>
      <c r="GHO49" s="3043"/>
      <c r="GHP49" s="3043"/>
      <c r="GHQ49" s="3043"/>
      <c r="GHR49" s="3043"/>
      <c r="GHS49" s="3043"/>
      <c r="GHT49" s="3043"/>
      <c r="GHU49" s="3043"/>
      <c r="GHV49" s="3043"/>
      <c r="GHW49" s="3043"/>
      <c r="GHX49" s="3043"/>
      <c r="GHY49" s="3043"/>
      <c r="GHZ49" s="3043"/>
      <c r="GIA49" s="3043"/>
      <c r="GIB49" s="3043"/>
      <c r="GIC49" s="3043"/>
      <c r="GID49" s="3043"/>
      <c r="GIE49" s="3043"/>
      <c r="GIF49" s="3043"/>
      <c r="GIG49" s="3043"/>
      <c r="GIH49" s="3043"/>
      <c r="GII49" s="3043"/>
      <c r="GIJ49" s="3043"/>
      <c r="GIK49" s="3043"/>
      <c r="GIL49" s="3043"/>
      <c r="GIM49" s="3043"/>
      <c r="GIN49" s="3043"/>
      <c r="GIO49" s="3043"/>
      <c r="GIP49" s="3043"/>
      <c r="GIQ49" s="3043"/>
      <c r="GIR49" s="3043"/>
      <c r="GIS49" s="3043"/>
      <c r="GIT49" s="3043"/>
      <c r="GIU49" s="3043"/>
      <c r="GIV49" s="3043"/>
      <c r="GIW49" s="3043"/>
      <c r="GIX49" s="3043"/>
      <c r="GIY49" s="3043"/>
      <c r="GIZ49" s="3043"/>
      <c r="GJA49" s="3043"/>
      <c r="GJB49" s="3043"/>
      <c r="GJC49" s="3043"/>
      <c r="GJD49" s="3043"/>
      <c r="GJE49" s="3043"/>
      <c r="GJF49" s="3043"/>
      <c r="GJG49" s="3043"/>
      <c r="GJH49" s="3043"/>
      <c r="GJI49" s="3043"/>
      <c r="GJJ49" s="3043"/>
      <c r="GJK49" s="3043"/>
      <c r="GJL49" s="3043"/>
      <c r="GJM49" s="3043"/>
      <c r="GJN49" s="3043"/>
      <c r="GJO49" s="3043"/>
      <c r="GJP49" s="3043"/>
      <c r="GJQ49" s="3043"/>
      <c r="GJR49" s="3043"/>
      <c r="GJS49" s="3043"/>
      <c r="GJT49" s="3043"/>
      <c r="GJU49" s="3043"/>
      <c r="GJV49" s="3043"/>
      <c r="GJW49" s="3043"/>
      <c r="GJX49" s="3043"/>
      <c r="GJY49" s="3043"/>
      <c r="GJZ49" s="3043"/>
      <c r="GKA49" s="3043"/>
      <c r="GKB49" s="3043"/>
      <c r="GKC49" s="3043"/>
      <c r="GKD49" s="3043"/>
      <c r="GKE49" s="3043"/>
      <c r="GKF49" s="3043"/>
      <c r="GKG49" s="3043"/>
      <c r="GKH49" s="3043"/>
      <c r="GKI49" s="3043"/>
      <c r="GKJ49" s="3043"/>
      <c r="GKK49" s="3043"/>
      <c r="GKL49" s="3043"/>
      <c r="GKM49" s="3043"/>
      <c r="GKN49" s="3043"/>
      <c r="GKO49" s="3043"/>
      <c r="GKP49" s="3043"/>
      <c r="GKQ49" s="3043"/>
      <c r="GKR49" s="3043"/>
      <c r="GKS49" s="3043"/>
      <c r="GKT49" s="3043"/>
      <c r="GKU49" s="3043"/>
      <c r="GKV49" s="3043"/>
      <c r="GKW49" s="3043"/>
      <c r="GKX49" s="3043"/>
      <c r="GKY49" s="3043"/>
      <c r="GKZ49" s="3043"/>
      <c r="GLA49" s="3043"/>
      <c r="GLB49" s="3043"/>
      <c r="GLC49" s="3043"/>
      <c r="GLD49" s="3043"/>
      <c r="GLE49" s="3043"/>
      <c r="GLF49" s="3043"/>
      <c r="GLG49" s="3043"/>
      <c r="GLH49" s="3043"/>
      <c r="GLI49" s="3043"/>
      <c r="GLJ49" s="3043"/>
      <c r="GLK49" s="3043"/>
      <c r="GLL49" s="3043"/>
      <c r="GLM49" s="3043"/>
      <c r="GLN49" s="3043"/>
      <c r="GLO49" s="3043"/>
      <c r="GLP49" s="3043"/>
      <c r="GLQ49" s="3043"/>
      <c r="GLR49" s="3043"/>
      <c r="GLS49" s="3043"/>
      <c r="GLT49" s="3043"/>
      <c r="GLU49" s="3043"/>
      <c r="GLV49" s="3043"/>
      <c r="GLW49" s="3043"/>
      <c r="GLX49" s="3043"/>
      <c r="GLY49" s="3043"/>
      <c r="GLZ49" s="3043"/>
      <c r="GMA49" s="3043"/>
      <c r="GMB49" s="3043"/>
      <c r="GMC49" s="3043"/>
      <c r="GMD49" s="3043"/>
      <c r="GME49" s="3043"/>
      <c r="GMF49" s="3043"/>
      <c r="GMG49" s="3043"/>
      <c r="GMH49" s="3043"/>
      <c r="GMI49" s="3043"/>
      <c r="GMJ49" s="3043"/>
      <c r="GMK49" s="3043"/>
      <c r="GML49" s="3043"/>
      <c r="GMM49" s="3043"/>
      <c r="GMN49" s="3043"/>
      <c r="GMO49" s="3043"/>
      <c r="GMP49" s="3043"/>
      <c r="GMQ49" s="3043"/>
      <c r="GMR49" s="3043"/>
      <c r="GMS49" s="3043"/>
      <c r="GMT49" s="3043"/>
      <c r="GMU49" s="3043"/>
      <c r="GMV49" s="3043"/>
      <c r="GMW49" s="3043"/>
      <c r="GMX49" s="3043"/>
      <c r="GMY49" s="3043"/>
      <c r="GMZ49" s="3043"/>
      <c r="GNA49" s="3043"/>
      <c r="GNB49" s="3043"/>
      <c r="GNC49" s="3043"/>
      <c r="GND49" s="3043"/>
      <c r="GNE49" s="3043"/>
      <c r="GNF49" s="3043"/>
      <c r="GNG49" s="3043"/>
      <c r="GNH49" s="3043"/>
      <c r="GNI49" s="3043"/>
      <c r="GNJ49" s="3043"/>
      <c r="GNK49" s="3043"/>
      <c r="GNL49" s="3043"/>
      <c r="GNM49" s="3043"/>
      <c r="GNN49" s="3043"/>
      <c r="GNO49" s="3043"/>
      <c r="GNP49" s="3043"/>
      <c r="GNQ49" s="3043"/>
      <c r="GNR49" s="3043"/>
      <c r="GNS49" s="3043"/>
      <c r="GNT49" s="3043"/>
      <c r="GNU49" s="3043"/>
      <c r="GNV49" s="3043"/>
      <c r="GNW49" s="3043"/>
      <c r="GNX49" s="3043"/>
      <c r="GNY49" s="3043"/>
      <c r="GNZ49" s="3043"/>
      <c r="GOA49" s="3043"/>
      <c r="GOB49" s="3043"/>
      <c r="GOC49" s="3043"/>
      <c r="GOD49" s="3043"/>
      <c r="GOE49" s="3043"/>
      <c r="GOF49" s="3043"/>
      <c r="GOG49" s="3043"/>
      <c r="GOH49" s="3043"/>
      <c r="GOI49" s="3043"/>
      <c r="GOJ49" s="3043"/>
      <c r="GOK49" s="3043"/>
      <c r="GOL49" s="3043"/>
      <c r="GOM49" s="3043"/>
      <c r="GON49" s="3043"/>
      <c r="GOO49" s="3043"/>
      <c r="GOP49" s="3043"/>
      <c r="GOQ49" s="3043"/>
      <c r="GOR49" s="3043"/>
      <c r="GOS49" s="3043"/>
      <c r="GOT49" s="3043"/>
      <c r="GOU49" s="3043"/>
      <c r="GOV49" s="3043"/>
      <c r="GOW49" s="3043"/>
      <c r="GOX49" s="3043"/>
      <c r="GOY49" s="3043"/>
      <c r="GOZ49" s="3043"/>
      <c r="GPA49" s="3043"/>
      <c r="GPB49" s="3043"/>
      <c r="GPC49" s="3043"/>
      <c r="GPD49" s="3043"/>
      <c r="GPE49" s="3043"/>
      <c r="GPF49" s="3043"/>
      <c r="GPG49" s="3043"/>
      <c r="GPH49" s="3043"/>
      <c r="GPI49" s="3043"/>
      <c r="GPJ49" s="3043"/>
      <c r="GPK49" s="3043"/>
      <c r="GPL49" s="3043"/>
      <c r="GPM49" s="3043"/>
      <c r="GPN49" s="3043"/>
      <c r="GPO49" s="3043"/>
      <c r="GPP49" s="3043"/>
      <c r="GPQ49" s="3043"/>
      <c r="GPR49" s="3043"/>
      <c r="GPS49" s="3043"/>
      <c r="GPT49" s="3043"/>
      <c r="GPU49" s="3043"/>
      <c r="GPV49" s="3043"/>
      <c r="GPW49" s="3043"/>
      <c r="GPX49" s="3043"/>
      <c r="GPY49" s="3043"/>
      <c r="GPZ49" s="3043"/>
      <c r="GQA49" s="3043"/>
      <c r="GQB49" s="3043"/>
      <c r="GQC49" s="3043"/>
      <c r="GQD49" s="3043"/>
      <c r="GQE49" s="3043"/>
      <c r="GQF49" s="3043"/>
      <c r="GQG49" s="3043"/>
      <c r="GQH49" s="3043"/>
      <c r="GQI49" s="3043"/>
      <c r="GQJ49" s="3043"/>
      <c r="GQK49" s="3043"/>
      <c r="GQL49" s="3043"/>
      <c r="GQM49" s="3043"/>
      <c r="GQN49" s="3043"/>
      <c r="GQO49" s="3043"/>
      <c r="GQP49" s="3043"/>
      <c r="GQQ49" s="3043"/>
      <c r="GQR49" s="3043"/>
      <c r="GQS49" s="3043"/>
      <c r="GQT49" s="3043"/>
      <c r="GQU49" s="3043"/>
      <c r="GQV49" s="3043"/>
      <c r="GQW49" s="3043"/>
      <c r="GQX49" s="3043"/>
      <c r="GQY49" s="3043"/>
      <c r="GQZ49" s="3043"/>
      <c r="GRA49" s="3043"/>
      <c r="GRB49" s="3043"/>
      <c r="GRC49" s="3043"/>
      <c r="GRD49" s="3043"/>
      <c r="GRE49" s="3043"/>
      <c r="GRF49" s="3043"/>
      <c r="GRG49" s="3043"/>
      <c r="GRH49" s="3043"/>
      <c r="GRI49" s="3043"/>
      <c r="GRJ49" s="3043"/>
      <c r="GRK49" s="3043"/>
      <c r="GRL49" s="3043"/>
      <c r="GRM49" s="3043"/>
      <c r="GRN49" s="3043"/>
      <c r="GRO49" s="3043"/>
      <c r="GRP49" s="3043"/>
      <c r="GRQ49" s="3043"/>
      <c r="GRR49" s="3043"/>
      <c r="GRS49" s="3043"/>
      <c r="GRT49" s="3043"/>
      <c r="GRU49" s="3043"/>
      <c r="GRV49" s="3043"/>
      <c r="GRW49" s="3043"/>
      <c r="GRX49" s="3043"/>
      <c r="GRY49" s="3043"/>
      <c r="GRZ49" s="3043"/>
      <c r="GSA49" s="3043"/>
      <c r="GSB49" s="3043"/>
      <c r="GSC49" s="3043"/>
      <c r="GSD49" s="3043"/>
      <c r="GSE49" s="3043"/>
      <c r="GSF49" s="3043"/>
      <c r="GSG49" s="3043"/>
      <c r="GSH49" s="3043"/>
      <c r="GSI49" s="3043"/>
      <c r="GSJ49" s="3043"/>
      <c r="GSK49" s="3043"/>
      <c r="GSL49" s="3043"/>
      <c r="GSM49" s="3043"/>
      <c r="GSN49" s="3043"/>
      <c r="GSO49" s="3043"/>
      <c r="GSP49" s="3043"/>
      <c r="GSQ49" s="3043"/>
      <c r="GSR49" s="3043"/>
      <c r="GSS49" s="3043"/>
      <c r="GST49" s="3043"/>
      <c r="GSU49" s="3043"/>
      <c r="GSV49" s="3043"/>
      <c r="GSW49" s="3043"/>
      <c r="GSX49" s="3043"/>
      <c r="GSY49" s="3043"/>
      <c r="GSZ49" s="3043"/>
      <c r="GTA49" s="3043"/>
      <c r="GTB49" s="3043"/>
      <c r="GTC49" s="3043"/>
      <c r="GTD49" s="3043"/>
      <c r="GTE49" s="3043"/>
      <c r="GTF49" s="3043"/>
      <c r="GTG49" s="3043"/>
      <c r="GTH49" s="3043"/>
      <c r="GTI49" s="3043"/>
      <c r="GTJ49" s="3043"/>
      <c r="GTK49" s="3043"/>
      <c r="GTL49" s="3043"/>
      <c r="GTM49" s="3043"/>
      <c r="GTN49" s="3043"/>
      <c r="GTO49" s="3043"/>
      <c r="GTP49" s="3043"/>
      <c r="GTQ49" s="3043"/>
      <c r="GTR49" s="3043"/>
      <c r="GTS49" s="3043"/>
      <c r="GTT49" s="3043"/>
      <c r="GTU49" s="3043"/>
      <c r="GTV49" s="3043"/>
      <c r="GTW49" s="3043"/>
      <c r="GTX49" s="3043"/>
      <c r="GTY49" s="3043"/>
      <c r="GTZ49" s="3043"/>
      <c r="GUA49" s="3043"/>
      <c r="GUB49" s="3043"/>
      <c r="GUC49" s="3043"/>
      <c r="GUD49" s="3043"/>
      <c r="GUE49" s="3043"/>
      <c r="GUF49" s="3043"/>
      <c r="GUG49" s="3043"/>
      <c r="GUH49" s="3043"/>
      <c r="GUI49" s="3043"/>
      <c r="GUJ49" s="3043"/>
      <c r="GUK49" s="3043"/>
      <c r="GUL49" s="3043"/>
      <c r="GUM49" s="3043"/>
      <c r="GUN49" s="3043"/>
      <c r="GUO49" s="3043"/>
      <c r="GUP49" s="3043"/>
      <c r="GUQ49" s="3043"/>
      <c r="GUR49" s="3043"/>
      <c r="GUS49" s="3043"/>
      <c r="GUT49" s="3043"/>
      <c r="GUU49" s="3043"/>
      <c r="GUV49" s="3043"/>
      <c r="GUW49" s="3043"/>
      <c r="GUX49" s="3043"/>
      <c r="GUY49" s="3043"/>
      <c r="GUZ49" s="3043"/>
      <c r="GVA49" s="3043"/>
      <c r="GVB49" s="3043"/>
      <c r="GVC49" s="3043"/>
      <c r="GVD49" s="3043"/>
      <c r="GVE49" s="3043"/>
      <c r="GVF49" s="3043"/>
      <c r="GVG49" s="3043"/>
      <c r="GVH49" s="3043"/>
      <c r="GVI49" s="3043"/>
      <c r="GVJ49" s="3043"/>
      <c r="GVK49" s="3043"/>
      <c r="GVL49" s="3043"/>
      <c r="GVM49" s="3043"/>
      <c r="GVN49" s="3043"/>
      <c r="GVO49" s="3043"/>
      <c r="GVP49" s="3043"/>
      <c r="GVQ49" s="3043"/>
      <c r="GVR49" s="3043"/>
      <c r="GVS49" s="3043"/>
      <c r="GVT49" s="3043"/>
      <c r="GVU49" s="3043"/>
      <c r="GVV49" s="3043"/>
      <c r="GVW49" s="3043"/>
      <c r="GVX49" s="3043"/>
      <c r="GVY49" s="3043"/>
      <c r="GVZ49" s="3043"/>
      <c r="GWA49" s="3043"/>
      <c r="GWB49" s="3043"/>
      <c r="GWC49" s="3043"/>
      <c r="GWD49" s="3043"/>
      <c r="GWE49" s="3043"/>
      <c r="GWF49" s="3043"/>
      <c r="GWG49" s="3043"/>
      <c r="GWH49" s="3043"/>
      <c r="GWI49" s="3043"/>
      <c r="GWJ49" s="3043"/>
      <c r="GWK49" s="3043"/>
      <c r="GWL49" s="3043"/>
      <c r="GWM49" s="3043"/>
      <c r="GWN49" s="3043"/>
      <c r="GWO49" s="3043"/>
      <c r="GWP49" s="3043"/>
      <c r="GWQ49" s="3043"/>
      <c r="GWR49" s="3043"/>
      <c r="GWS49" s="3043"/>
      <c r="GWT49" s="3043"/>
      <c r="GWU49" s="3043"/>
      <c r="GWV49" s="3043"/>
      <c r="GWW49" s="3043"/>
      <c r="GWX49" s="3043"/>
      <c r="GWY49" s="3043"/>
      <c r="GWZ49" s="3043"/>
      <c r="GXA49" s="3043"/>
      <c r="GXB49" s="3043"/>
      <c r="GXC49" s="3043"/>
      <c r="GXD49" s="3043"/>
      <c r="GXE49" s="3043"/>
      <c r="GXF49" s="3043"/>
      <c r="GXG49" s="3043"/>
      <c r="GXH49" s="3043"/>
      <c r="GXI49" s="3043"/>
      <c r="GXJ49" s="3043"/>
      <c r="GXK49" s="3043"/>
      <c r="GXL49" s="3043"/>
      <c r="GXM49" s="3043"/>
      <c r="GXN49" s="3043"/>
      <c r="GXO49" s="3043"/>
      <c r="GXP49" s="3043"/>
      <c r="GXQ49" s="3043"/>
      <c r="GXR49" s="3043"/>
      <c r="GXS49" s="3043"/>
      <c r="GXT49" s="3043"/>
      <c r="GXU49" s="3043"/>
      <c r="GXV49" s="3043"/>
      <c r="GXW49" s="3043"/>
      <c r="GXX49" s="3043"/>
      <c r="GXY49" s="3043"/>
      <c r="GXZ49" s="3043"/>
      <c r="GYA49" s="3043"/>
      <c r="GYB49" s="3043"/>
      <c r="GYC49" s="3043"/>
      <c r="GYD49" s="3043"/>
      <c r="GYE49" s="3043"/>
      <c r="GYF49" s="3043"/>
      <c r="GYG49" s="3043"/>
      <c r="GYH49" s="3043"/>
      <c r="GYI49" s="3043"/>
      <c r="GYJ49" s="3043"/>
      <c r="GYK49" s="3043"/>
      <c r="GYL49" s="3043"/>
      <c r="GYM49" s="3043"/>
      <c r="GYN49" s="3043"/>
      <c r="GYO49" s="3043"/>
      <c r="GYP49" s="3043"/>
      <c r="GYQ49" s="3043"/>
      <c r="GYR49" s="3043"/>
      <c r="GYS49" s="3043"/>
      <c r="GYT49" s="3043"/>
      <c r="GYU49" s="3043"/>
      <c r="GYV49" s="3043"/>
      <c r="GYW49" s="3043"/>
      <c r="GYX49" s="3043"/>
      <c r="GYY49" s="3043"/>
      <c r="GYZ49" s="3043"/>
      <c r="GZA49" s="3043"/>
      <c r="GZB49" s="3043"/>
      <c r="GZC49" s="3043"/>
      <c r="GZD49" s="3043"/>
      <c r="GZE49" s="3043"/>
      <c r="GZF49" s="3043"/>
      <c r="GZG49" s="3043"/>
      <c r="GZH49" s="3043"/>
      <c r="GZI49" s="3043"/>
      <c r="GZJ49" s="3043"/>
      <c r="GZK49" s="3043"/>
      <c r="GZL49" s="3043"/>
      <c r="GZM49" s="3043"/>
      <c r="GZN49" s="3043"/>
      <c r="GZO49" s="3043"/>
      <c r="GZP49" s="3043"/>
      <c r="GZQ49" s="3043"/>
      <c r="GZR49" s="3043"/>
      <c r="GZS49" s="3043"/>
      <c r="GZT49" s="3043"/>
      <c r="GZU49" s="3043"/>
      <c r="GZV49" s="3043"/>
      <c r="GZW49" s="3043"/>
      <c r="GZX49" s="3043"/>
      <c r="GZY49" s="3043"/>
      <c r="GZZ49" s="3043"/>
      <c r="HAA49" s="3043"/>
      <c r="HAB49" s="3043"/>
      <c r="HAC49" s="3043"/>
      <c r="HAD49" s="3043"/>
      <c r="HAE49" s="3043"/>
      <c r="HAF49" s="3043"/>
      <c r="HAG49" s="3043"/>
      <c r="HAH49" s="3043"/>
      <c r="HAI49" s="3043"/>
      <c r="HAJ49" s="3043"/>
      <c r="HAK49" s="3043"/>
      <c r="HAL49" s="3043"/>
      <c r="HAM49" s="3043"/>
      <c r="HAN49" s="3043"/>
      <c r="HAO49" s="3043"/>
      <c r="HAP49" s="3043"/>
      <c r="HAQ49" s="3043"/>
      <c r="HAR49" s="3043"/>
      <c r="HAS49" s="3043"/>
      <c r="HAT49" s="3043"/>
      <c r="HAU49" s="3043"/>
      <c r="HAV49" s="3043"/>
      <c r="HAW49" s="3043"/>
      <c r="HAX49" s="3043"/>
      <c r="HAY49" s="3043"/>
      <c r="HAZ49" s="3043"/>
      <c r="HBA49" s="3043"/>
      <c r="HBB49" s="3043"/>
      <c r="HBC49" s="3043"/>
      <c r="HBD49" s="3043"/>
      <c r="HBE49" s="3043"/>
      <c r="HBF49" s="3043"/>
      <c r="HBG49" s="3043"/>
      <c r="HBH49" s="3043"/>
      <c r="HBI49" s="3043"/>
      <c r="HBJ49" s="3043"/>
      <c r="HBK49" s="3043"/>
      <c r="HBL49" s="3043"/>
      <c r="HBM49" s="3043"/>
      <c r="HBN49" s="3043"/>
      <c r="HBO49" s="3043"/>
      <c r="HBP49" s="3043"/>
      <c r="HBQ49" s="3043"/>
      <c r="HBR49" s="3043"/>
      <c r="HBS49" s="3043"/>
      <c r="HBT49" s="3043"/>
      <c r="HBU49" s="3043"/>
      <c r="HBV49" s="3043"/>
      <c r="HBW49" s="3043"/>
      <c r="HBX49" s="3043"/>
      <c r="HBY49" s="3043"/>
      <c r="HBZ49" s="3043"/>
      <c r="HCA49" s="3043"/>
      <c r="HCB49" s="3043"/>
      <c r="HCC49" s="3043"/>
      <c r="HCD49" s="3043"/>
      <c r="HCE49" s="3043"/>
      <c r="HCF49" s="3043"/>
      <c r="HCG49" s="3043"/>
      <c r="HCH49" s="3043"/>
      <c r="HCI49" s="3043"/>
      <c r="HCJ49" s="3043"/>
      <c r="HCK49" s="3043"/>
      <c r="HCL49" s="3043"/>
      <c r="HCM49" s="3043"/>
      <c r="HCN49" s="3043"/>
      <c r="HCO49" s="3043"/>
      <c r="HCP49" s="3043"/>
      <c r="HCQ49" s="3043"/>
      <c r="HCR49" s="3043"/>
      <c r="HCS49" s="3043"/>
      <c r="HCT49" s="3043"/>
      <c r="HCU49" s="3043"/>
      <c r="HCV49" s="3043"/>
      <c r="HCW49" s="3043"/>
      <c r="HCX49" s="3043"/>
      <c r="HCY49" s="3043"/>
      <c r="HCZ49" s="3043"/>
      <c r="HDA49" s="3043"/>
      <c r="HDB49" s="3043"/>
      <c r="HDC49" s="3043"/>
      <c r="HDD49" s="3043"/>
      <c r="HDE49" s="3043"/>
      <c r="HDF49" s="3043"/>
      <c r="HDG49" s="3043"/>
      <c r="HDH49" s="3043"/>
      <c r="HDI49" s="3043"/>
      <c r="HDJ49" s="3043"/>
      <c r="HDK49" s="3043"/>
      <c r="HDL49" s="3043"/>
      <c r="HDM49" s="3043"/>
      <c r="HDN49" s="3043"/>
      <c r="HDO49" s="3043"/>
      <c r="HDP49" s="3043"/>
      <c r="HDQ49" s="3043"/>
      <c r="HDR49" s="3043"/>
      <c r="HDS49" s="3043"/>
      <c r="HDT49" s="3043"/>
      <c r="HDU49" s="3043"/>
      <c r="HDV49" s="3043"/>
      <c r="HDW49" s="3043"/>
      <c r="HDX49" s="3043"/>
      <c r="HDY49" s="3043"/>
      <c r="HDZ49" s="3043"/>
      <c r="HEA49" s="3043"/>
      <c r="HEB49" s="3043"/>
      <c r="HEC49" s="3043"/>
      <c r="HED49" s="3043"/>
      <c r="HEE49" s="3043"/>
      <c r="HEF49" s="3043"/>
      <c r="HEG49" s="3043"/>
      <c r="HEH49" s="3043"/>
      <c r="HEI49" s="3043"/>
      <c r="HEJ49" s="3043"/>
      <c r="HEK49" s="3043"/>
      <c r="HEL49" s="3043"/>
      <c r="HEM49" s="3043"/>
      <c r="HEN49" s="3043"/>
      <c r="HEO49" s="3043"/>
      <c r="HEP49" s="3043"/>
      <c r="HEQ49" s="3043"/>
      <c r="HER49" s="3043"/>
      <c r="HES49" s="3043"/>
      <c r="HET49" s="3043"/>
      <c r="HEU49" s="3043"/>
      <c r="HEV49" s="3043"/>
      <c r="HEW49" s="3043"/>
      <c r="HEX49" s="3043"/>
      <c r="HEY49" s="3043"/>
      <c r="HEZ49" s="3043"/>
      <c r="HFA49" s="3043"/>
      <c r="HFB49" s="3043"/>
      <c r="HFC49" s="3043"/>
      <c r="HFD49" s="3043"/>
      <c r="HFE49" s="3043"/>
      <c r="HFF49" s="3043"/>
      <c r="HFG49" s="3043"/>
      <c r="HFH49" s="3043"/>
      <c r="HFI49" s="3043"/>
      <c r="HFJ49" s="3043"/>
      <c r="HFK49" s="3043"/>
      <c r="HFL49" s="3043"/>
      <c r="HFM49" s="3043"/>
      <c r="HFN49" s="3043"/>
      <c r="HFO49" s="3043"/>
      <c r="HFP49" s="3043"/>
      <c r="HFQ49" s="3043"/>
      <c r="HFR49" s="3043"/>
      <c r="HFS49" s="3043"/>
      <c r="HFT49" s="3043"/>
      <c r="HFU49" s="3043"/>
      <c r="HFV49" s="3043"/>
      <c r="HFW49" s="3043"/>
      <c r="HFX49" s="3043"/>
      <c r="HFY49" s="3043"/>
      <c r="HFZ49" s="3043"/>
      <c r="HGA49" s="3043"/>
      <c r="HGB49" s="3043"/>
      <c r="HGC49" s="3043"/>
      <c r="HGD49" s="3043"/>
      <c r="HGE49" s="3043"/>
      <c r="HGF49" s="3043"/>
      <c r="HGG49" s="3043"/>
      <c r="HGH49" s="3043"/>
      <c r="HGI49" s="3043"/>
      <c r="HGJ49" s="3043"/>
      <c r="HGK49" s="3043"/>
      <c r="HGL49" s="3043"/>
      <c r="HGM49" s="3043"/>
      <c r="HGN49" s="3043"/>
      <c r="HGO49" s="3043"/>
      <c r="HGP49" s="3043"/>
      <c r="HGQ49" s="3043"/>
      <c r="HGR49" s="3043"/>
      <c r="HGS49" s="3043"/>
      <c r="HGT49" s="3043"/>
      <c r="HGU49" s="3043"/>
      <c r="HGV49" s="3043"/>
      <c r="HGW49" s="3043"/>
      <c r="HGX49" s="3043"/>
      <c r="HGY49" s="3043"/>
      <c r="HGZ49" s="3043"/>
      <c r="HHA49" s="3043"/>
      <c r="HHB49" s="3043"/>
      <c r="HHC49" s="3043"/>
      <c r="HHD49" s="3043"/>
      <c r="HHE49" s="3043"/>
      <c r="HHF49" s="3043"/>
      <c r="HHG49" s="3043"/>
      <c r="HHH49" s="3043"/>
      <c r="HHI49" s="3043"/>
      <c r="HHJ49" s="3043"/>
      <c r="HHK49" s="3043"/>
      <c r="HHL49" s="3043"/>
      <c r="HHM49" s="3043"/>
      <c r="HHN49" s="3043"/>
      <c r="HHO49" s="3043"/>
      <c r="HHP49" s="3043"/>
      <c r="HHQ49" s="3043"/>
      <c r="HHR49" s="3043"/>
      <c r="HHS49" s="3043"/>
      <c r="HHT49" s="3043"/>
      <c r="HHU49" s="3043"/>
      <c r="HHV49" s="3043"/>
      <c r="HHW49" s="3043"/>
      <c r="HHX49" s="3043"/>
      <c r="HHY49" s="3043"/>
      <c r="HHZ49" s="3043"/>
      <c r="HIA49" s="3043"/>
      <c r="HIB49" s="3043"/>
      <c r="HIC49" s="3043"/>
      <c r="HID49" s="3043"/>
      <c r="HIE49" s="3043"/>
      <c r="HIF49" s="3043"/>
      <c r="HIG49" s="3043"/>
      <c r="HIH49" s="3043"/>
      <c r="HII49" s="3043"/>
      <c r="HIJ49" s="3043"/>
      <c r="HIK49" s="3043"/>
      <c r="HIL49" s="3043"/>
      <c r="HIM49" s="3043"/>
      <c r="HIN49" s="3043"/>
      <c r="HIO49" s="3043"/>
      <c r="HIP49" s="3043"/>
      <c r="HIQ49" s="3043"/>
      <c r="HIR49" s="3043"/>
      <c r="HIS49" s="3043"/>
      <c r="HIT49" s="3043"/>
      <c r="HIU49" s="3043"/>
      <c r="HIV49" s="3043"/>
      <c r="HIW49" s="3043"/>
      <c r="HIX49" s="3043"/>
      <c r="HIY49" s="3043"/>
      <c r="HIZ49" s="3043"/>
      <c r="HJA49" s="3043"/>
      <c r="HJB49" s="3043"/>
      <c r="HJC49" s="3043"/>
      <c r="HJD49" s="3043"/>
      <c r="HJE49" s="3043"/>
      <c r="HJF49" s="3043"/>
      <c r="HJG49" s="3043"/>
      <c r="HJH49" s="3043"/>
      <c r="HJI49" s="3043"/>
      <c r="HJJ49" s="3043"/>
      <c r="HJK49" s="3043"/>
      <c r="HJL49" s="3043"/>
      <c r="HJM49" s="3043"/>
      <c r="HJN49" s="3043"/>
      <c r="HJO49" s="3043"/>
      <c r="HJP49" s="3043"/>
      <c r="HJQ49" s="3043"/>
      <c r="HJR49" s="3043"/>
      <c r="HJS49" s="3043"/>
      <c r="HJT49" s="3043"/>
      <c r="HJU49" s="3043"/>
      <c r="HJV49" s="3043"/>
      <c r="HJW49" s="3043"/>
      <c r="HJX49" s="3043"/>
      <c r="HJY49" s="3043"/>
      <c r="HJZ49" s="3043"/>
      <c r="HKA49" s="3043"/>
      <c r="HKB49" s="3043"/>
      <c r="HKC49" s="3043"/>
      <c r="HKD49" s="3043"/>
      <c r="HKE49" s="3043"/>
      <c r="HKF49" s="3043"/>
      <c r="HKG49" s="3043"/>
      <c r="HKH49" s="3043"/>
      <c r="HKI49" s="3043"/>
      <c r="HKJ49" s="3043"/>
      <c r="HKK49" s="3043"/>
      <c r="HKL49" s="3043"/>
      <c r="HKM49" s="3043"/>
      <c r="HKN49" s="3043"/>
      <c r="HKO49" s="3043"/>
      <c r="HKP49" s="3043"/>
      <c r="HKQ49" s="3043"/>
      <c r="HKR49" s="3043"/>
      <c r="HKS49" s="3043"/>
      <c r="HKT49" s="3043"/>
      <c r="HKU49" s="3043"/>
      <c r="HKV49" s="3043"/>
      <c r="HKW49" s="3043"/>
      <c r="HKX49" s="3043"/>
      <c r="HKY49" s="3043"/>
      <c r="HKZ49" s="3043"/>
      <c r="HLA49" s="3043"/>
      <c r="HLB49" s="3043"/>
      <c r="HLC49" s="3043"/>
      <c r="HLD49" s="3043"/>
      <c r="HLE49" s="3043"/>
      <c r="HLF49" s="3043"/>
      <c r="HLG49" s="3043"/>
      <c r="HLH49" s="3043"/>
      <c r="HLI49" s="3043"/>
      <c r="HLJ49" s="3043"/>
      <c r="HLK49" s="3043"/>
      <c r="HLL49" s="3043"/>
      <c r="HLM49" s="3043"/>
      <c r="HLN49" s="3043"/>
      <c r="HLO49" s="3043"/>
      <c r="HLP49" s="3043"/>
      <c r="HLQ49" s="3043"/>
      <c r="HLR49" s="3043"/>
      <c r="HLS49" s="3043"/>
      <c r="HLT49" s="3043"/>
      <c r="HLU49" s="3043"/>
      <c r="HLV49" s="3043"/>
      <c r="HLW49" s="3043"/>
      <c r="HLX49" s="3043"/>
      <c r="HLY49" s="3043"/>
      <c r="HLZ49" s="3043"/>
      <c r="HMA49" s="3043"/>
      <c r="HMB49" s="3043"/>
      <c r="HMC49" s="3043"/>
      <c r="HMD49" s="3043"/>
      <c r="HME49" s="3043"/>
      <c r="HMF49" s="3043"/>
      <c r="HMG49" s="3043"/>
      <c r="HMH49" s="3043"/>
      <c r="HMI49" s="3043"/>
      <c r="HMJ49" s="3043"/>
      <c r="HMK49" s="3043"/>
      <c r="HML49" s="3043"/>
      <c r="HMM49" s="3043"/>
      <c r="HMN49" s="3043"/>
      <c r="HMO49" s="3043"/>
      <c r="HMP49" s="3043"/>
      <c r="HMQ49" s="3043"/>
      <c r="HMR49" s="3043"/>
      <c r="HMS49" s="3043"/>
      <c r="HMT49" s="3043"/>
      <c r="HMU49" s="3043"/>
      <c r="HMV49" s="3043"/>
      <c r="HMW49" s="3043"/>
      <c r="HMX49" s="3043"/>
      <c r="HMY49" s="3043"/>
      <c r="HMZ49" s="3043"/>
      <c r="HNA49" s="3043"/>
      <c r="HNB49" s="3043"/>
      <c r="HNC49" s="3043"/>
      <c r="HND49" s="3043"/>
      <c r="HNE49" s="3043"/>
      <c r="HNF49" s="3043"/>
      <c r="HNG49" s="3043"/>
      <c r="HNH49" s="3043"/>
      <c r="HNI49" s="3043"/>
      <c r="HNJ49" s="3043"/>
      <c r="HNK49" s="3043"/>
      <c r="HNL49" s="3043"/>
      <c r="HNM49" s="3043"/>
      <c r="HNN49" s="3043"/>
      <c r="HNO49" s="3043"/>
      <c r="HNP49" s="3043"/>
      <c r="HNQ49" s="3043"/>
      <c r="HNR49" s="3043"/>
      <c r="HNS49" s="3043"/>
      <c r="HNT49" s="3043"/>
      <c r="HNU49" s="3043"/>
      <c r="HNV49" s="3043"/>
      <c r="HNW49" s="3043"/>
      <c r="HNX49" s="3043"/>
      <c r="HNY49" s="3043"/>
      <c r="HNZ49" s="3043"/>
      <c r="HOA49" s="3043"/>
      <c r="HOB49" s="3043"/>
      <c r="HOC49" s="3043"/>
      <c r="HOD49" s="3043"/>
      <c r="HOE49" s="3043"/>
      <c r="HOF49" s="3043"/>
      <c r="HOG49" s="3043"/>
      <c r="HOH49" s="3043"/>
      <c r="HOI49" s="3043"/>
      <c r="HOJ49" s="3043"/>
      <c r="HOK49" s="3043"/>
      <c r="HOL49" s="3043"/>
      <c r="HOM49" s="3043"/>
      <c r="HON49" s="3043"/>
      <c r="HOO49" s="3043"/>
      <c r="HOP49" s="3043"/>
      <c r="HOQ49" s="3043"/>
      <c r="HOR49" s="3043"/>
      <c r="HOS49" s="3043"/>
      <c r="HOT49" s="3043"/>
      <c r="HOU49" s="3043"/>
      <c r="HOV49" s="3043"/>
      <c r="HOW49" s="3043"/>
      <c r="HOX49" s="3043"/>
      <c r="HOY49" s="3043"/>
      <c r="HOZ49" s="3043"/>
      <c r="HPA49" s="3043"/>
      <c r="HPB49" s="3043"/>
      <c r="HPC49" s="3043"/>
      <c r="HPD49" s="3043"/>
      <c r="HPE49" s="3043"/>
      <c r="HPF49" s="3043"/>
      <c r="HPG49" s="3043"/>
      <c r="HPH49" s="3043"/>
      <c r="HPI49" s="3043"/>
      <c r="HPJ49" s="3043"/>
      <c r="HPK49" s="3043"/>
      <c r="HPL49" s="3043"/>
      <c r="HPM49" s="3043"/>
      <c r="HPN49" s="3043"/>
      <c r="HPO49" s="3043"/>
      <c r="HPP49" s="3043"/>
      <c r="HPQ49" s="3043"/>
      <c r="HPR49" s="3043"/>
      <c r="HPS49" s="3043"/>
      <c r="HPT49" s="3043"/>
      <c r="HPU49" s="3043"/>
      <c r="HPV49" s="3043"/>
      <c r="HPW49" s="3043"/>
      <c r="HPX49" s="3043"/>
      <c r="HPY49" s="3043"/>
      <c r="HPZ49" s="3043"/>
      <c r="HQA49" s="3043"/>
      <c r="HQB49" s="3043"/>
      <c r="HQC49" s="3043"/>
      <c r="HQD49" s="3043"/>
      <c r="HQE49" s="3043"/>
      <c r="HQF49" s="3043"/>
      <c r="HQG49" s="3043"/>
      <c r="HQH49" s="3043"/>
      <c r="HQI49" s="3043"/>
      <c r="HQJ49" s="3043"/>
      <c r="HQK49" s="3043"/>
      <c r="HQL49" s="3043"/>
      <c r="HQM49" s="3043"/>
      <c r="HQN49" s="3043"/>
      <c r="HQO49" s="3043"/>
      <c r="HQP49" s="3043"/>
      <c r="HQQ49" s="3043"/>
      <c r="HQR49" s="3043"/>
      <c r="HQS49" s="3043"/>
      <c r="HQT49" s="3043"/>
      <c r="HQU49" s="3043"/>
      <c r="HQV49" s="3043"/>
      <c r="HQW49" s="3043"/>
      <c r="HQX49" s="3043"/>
      <c r="HQY49" s="3043"/>
      <c r="HQZ49" s="3043"/>
      <c r="HRA49" s="3043"/>
      <c r="HRB49" s="3043"/>
      <c r="HRC49" s="3043"/>
      <c r="HRD49" s="3043"/>
      <c r="HRE49" s="3043"/>
      <c r="HRF49" s="3043"/>
      <c r="HRG49" s="3043"/>
      <c r="HRH49" s="3043"/>
      <c r="HRI49" s="3043"/>
      <c r="HRJ49" s="3043"/>
      <c r="HRK49" s="3043"/>
      <c r="HRL49" s="3043"/>
      <c r="HRM49" s="3043"/>
      <c r="HRN49" s="3043"/>
      <c r="HRO49" s="3043"/>
      <c r="HRP49" s="3043"/>
      <c r="HRQ49" s="3043"/>
      <c r="HRR49" s="3043"/>
      <c r="HRS49" s="3043"/>
      <c r="HRT49" s="3043"/>
      <c r="HRU49" s="3043"/>
      <c r="HRV49" s="3043"/>
      <c r="HRW49" s="3043"/>
      <c r="HRX49" s="3043"/>
      <c r="HRY49" s="3043"/>
      <c r="HRZ49" s="3043"/>
      <c r="HSA49" s="3043"/>
      <c r="HSB49" s="3043"/>
      <c r="HSC49" s="3043"/>
      <c r="HSD49" s="3043"/>
      <c r="HSE49" s="3043"/>
      <c r="HSF49" s="3043"/>
      <c r="HSG49" s="3043"/>
      <c r="HSH49" s="3043"/>
      <c r="HSI49" s="3043"/>
      <c r="HSJ49" s="3043"/>
      <c r="HSK49" s="3043"/>
      <c r="HSL49" s="3043"/>
      <c r="HSM49" s="3043"/>
      <c r="HSN49" s="3043"/>
      <c r="HSO49" s="3043"/>
      <c r="HSP49" s="3043"/>
      <c r="HSQ49" s="3043"/>
      <c r="HSR49" s="3043"/>
      <c r="HSS49" s="3043"/>
      <c r="HST49" s="3043"/>
      <c r="HSU49" s="3043"/>
      <c r="HSV49" s="3043"/>
      <c r="HSW49" s="3043"/>
      <c r="HSX49" s="3043"/>
      <c r="HSY49" s="3043"/>
      <c r="HSZ49" s="3043"/>
      <c r="HTA49" s="3043"/>
      <c r="HTB49" s="3043"/>
      <c r="HTC49" s="3043"/>
      <c r="HTD49" s="3043"/>
      <c r="HTE49" s="3043"/>
      <c r="HTF49" s="3043"/>
      <c r="HTG49" s="3043"/>
      <c r="HTH49" s="3043"/>
      <c r="HTI49" s="3043"/>
      <c r="HTJ49" s="3043"/>
      <c r="HTK49" s="3043"/>
      <c r="HTL49" s="3043"/>
      <c r="HTM49" s="3043"/>
      <c r="HTN49" s="3043"/>
      <c r="HTO49" s="3043"/>
      <c r="HTP49" s="3043"/>
      <c r="HTQ49" s="3043"/>
      <c r="HTR49" s="3043"/>
      <c r="HTS49" s="3043"/>
      <c r="HTT49" s="3043"/>
      <c r="HTU49" s="3043"/>
      <c r="HTV49" s="3043"/>
      <c r="HTW49" s="3043"/>
      <c r="HTX49" s="3043"/>
      <c r="HTY49" s="3043"/>
      <c r="HTZ49" s="3043"/>
      <c r="HUA49" s="3043"/>
      <c r="HUB49" s="3043"/>
      <c r="HUC49" s="3043"/>
      <c r="HUD49" s="3043"/>
      <c r="HUE49" s="3043"/>
      <c r="HUF49" s="3043"/>
      <c r="HUG49" s="3043"/>
      <c r="HUH49" s="3043"/>
      <c r="HUI49" s="3043"/>
      <c r="HUJ49" s="3043"/>
      <c r="HUK49" s="3043"/>
      <c r="HUL49" s="3043"/>
      <c r="HUM49" s="3043"/>
      <c r="HUN49" s="3043"/>
      <c r="HUO49" s="3043"/>
      <c r="HUP49" s="3043"/>
      <c r="HUQ49" s="3043"/>
      <c r="HUR49" s="3043"/>
      <c r="HUS49" s="3043"/>
      <c r="HUT49" s="3043"/>
      <c r="HUU49" s="3043"/>
      <c r="HUV49" s="3043"/>
      <c r="HUW49" s="3043"/>
      <c r="HUX49" s="3043"/>
      <c r="HUY49" s="3043"/>
      <c r="HUZ49" s="3043"/>
      <c r="HVA49" s="3043"/>
      <c r="HVB49" s="3043"/>
      <c r="HVC49" s="3043"/>
      <c r="HVD49" s="3043"/>
      <c r="HVE49" s="3043"/>
      <c r="HVF49" s="3043"/>
      <c r="HVG49" s="3043"/>
      <c r="HVH49" s="3043"/>
      <c r="HVI49" s="3043"/>
      <c r="HVJ49" s="3043"/>
      <c r="HVK49" s="3043"/>
      <c r="HVL49" s="3043"/>
      <c r="HVM49" s="3043"/>
      <c r="HVN49" s="3043"/>
      <c r="HVO49" s="3043"/>
      <c r="HVP49" s="3043"/>
      <c r="HVQ49" s="3043"/>
      <c r="HVR49" s="3043"/>
      <c r="HVS49" s="3043"/>
      <c r="HVT49" s="3043"/>
      <c r="HVU49" s="3043"/>
      <c r="HVV49" s="3043"/>
      <c r="HVW49" s="3043"/>
      <c r="HVX49" s="3043"/>
      <c r="HVY49" s="3043"/>
      <c r="HVZ49" s="3043"/>
      <c r="HWA49" s="3043"/>
      <c r="HWB49" s="3043"/>
      <c r="HWC49" s="3043"/>
      <c r="HWD49" s="3043"/>
      <c r="HWE49" s="3043"/>
      <c r="HWF49" s="3043"/>
      <c r="HWG49" s="3043"/>
      <c r="HWH49" s="3043"/>
      <c r="HWI49" s="3043"/>
      <c r="HWJ49" s="3043"/>
      <c r="HWK49" s="3043"/>
      <c r="HWL49" s="3043"/>
      <c r="HWM49" s="3043"/>
      <c r="HWN49" s="3043"/>
      <c r="HWO49" s="3043"/>
      <c r="HWP49" s="3043"/>
      <c r="HWQ49" s="3043"/>
      <c r="HWR49" s="3043"/>
      <c r="HWS49" s="3043"/>
      <c r="HWT49" s="3043"/>
      <c r="HWU49" s="3043"/>
      <c r="HWV49" s="3043"/>
      <c r="HWW49" s="3043"/>
      <c r="HWX49" s="3043"/>
      <c r="HWY49" s="3043"/>
      <c r="HWZ49" s="3043"/>
      <c r="HXA49" s="3043"/>
      <c r="HXB49" s="3043"/>
      <c r="HXC49" s="3043"/>
      <c r="HXD49" s="3043"/>
      <c r="HXE49" s="3043"/>
      <c r="HXF49" s="3043"/>
      <c r="HXG49" s="3043"/>
      <c r="HXH49" s="3043"/>
      <c r="HXI49" s="3043"/>
      <c r="HXJ49" s="3043"/>
      <c r="HXK49" s="3043"/>
      <c r="HXL49" s="3043"/>
      <c r="HXM49" s="3043"/>
      <c r="HXN49" s="3043"/>
      <c r="HXO49" s="3043"/>
      <c r="HXP49" s="3043"/>
      <c r="HXQ49" s="3043"/>
      <c r="HXR49" s="3043"/>
      <c r="HXS49" s="3043"/>
      <c r="HXT49" s="3043"/>
      <c r="HXU49" s="3043"/>
      <c r="HXV49" s="3043"/>
      <c r="HXW49" s="3043"/>
      <c r="HXX49" s="3043"/>
      <c r="HXY49" s="3043"/>
      <c r="HXZ49" s="3043"/>
      <c r="HYA49" s="3043"/>
      <c r="HYB49" s="3043"/>
      <c r="HYC49" s="3043"/>
      <c r="HYD49" s="3043"/>
      <c r="HYE49" s="3043"/>
      <c r="HYF49" s="3043"/>
      <c r="HYG49" s="3043"/>
      <c r="HYH49" s="3043"/>
      <c r="HYI49" s="3043"/>
      <c r="HYJ49" s="3043"/>
      <c r="HYK49" s="3043"/>
      <c r="HYL49" s="3043"/>
      <c r="HYM49" s="3043"/>
      <c r="HYN49" s="3043"/>
      <c r="HYO49" s="3043"/>
      <c r="HYP49" s="3043"/>
      <c r="HYQ49" s="3043"/>
      <c r="HYR49" s="3043"/>
      <c r="HYS49" s="3043"/>
      <c r="HYT49" s="3043"/>
      <c r="HYU49" s="3043"/>
      <c r="HYV49" s="3043"/>
      <c r="HYW49" s="3043"/>
      <c r="HYX49" s="3043"/>
      <c r="HYY49" s="3043"/>
      <c r="HYZ49" s="3043"/>
      <c r="HZA49" s="3043"/>
      <c r="HZB49" s="3043"/>
      <c r="HZC49" s="3043"/>
      <c r="HZD49" s="3043"/>
      <c r="HZE49" s="3043"/>
      <c r="HZF49" s="3043"/>
      <c r="HZG49" s="3043"/>
      <c r="HZH49" s="3043"/>
      <c r="HZI49" s="3043"/>
      <c r="HZJ49" s="3043"/>
      <c r="HZK49" s="3043"/>
      <c r="HZL49" s="3043"/>
      <c r="HZM49" s="3043"/>
      <c r="HZN49" s="3043"/>
      <c r="HZO49" s="3043"/>
      <c r="HZP49" s="3043"/>
      <c r="HZQ49" s="3043"/>
      <c r="HZR49" s="3043"/>
      <c r="HZS49" s="3043"/>
      <c r="HZT49" s="3043"/>
      <c r="HZU49" s="3043"/>
      <c r="HZV49" s="3043"/>
      <c r="HZW49" s="3043"/>
      <c r="HZX49" s="3043"/>
      <c r="HZY49" s="3043"/>
      <c r="HZZ49" s="3043"/>
      <c r="IAA49" s="3043"/>
      <c r="IAB49" s="3043"/>
      <c r="IAC49" s="3043"/>
      <c r="IAD49" s="3043"/>
      <c r="IAE49" s="3043"/>
      <c r="IAF49" s="3043"/>
      <c r="IAG49" s="3043"/>
      <c r="IAH49" s="3043"/>
      <c r="IAI49" s="3043"/>
      <c r="IAJ49" s="3043"/>
      <c r="IAK49" s="3043"/>
      <c r="IAL49" s="3043"/>
      <c r="IAM49" s="3043"/>
      <c r="IAN49" s="3043"/>
      <c r="IAO49" s="3043"/>
      <c r="IAP49" s="3043"/>
      <c r="IAQ49" s="3043"/>
      <c r="IAR49" s="3043"/>
      <c r="IAS49" s="3043"/>
      <c r="IAT49" s="3043"/>
      <c r="IAU49" s="3043"/>
      <c r="IAV49" s="3043"/>
      <c r="IAW49" s="3043"/>
      <c r="IAX49" s="3043"/>
      <c r="IAY49" s="3043"/>
      <c r="IAZ49" s="3043"/>
      <c r="IBA49" s="3043"/>
      <c r="IBB49" s="3043"/>
      <c r="IBC49" s="3043"/>
      <c r="IBD49" s="3043"/>
      <c r="IBE49" s="3043"/>
      <c r="IBF49" s="3043"/>
      <c r="IBG49" s="3043"/>
      <c r="IBH49" s="3043"/>
      <c r="IBI49" s="3043"/>
      <c r="IBJ49" s="3043"/>
      <c r="IBK49" s="3043"/>
      <c r="IBL49" s="3043"/>
      <c r="IBM49" s="3043"/>
      <c r="IBN49" s="3043"/>
      <c r="IBO49" s="3043"/>
      <c r="IBP49" s="3043"/>
      <c r="IBQ49" s="3043"/>
      <c r="IBR49" s="3043"/>
      <c r="IBS49" s="3043"/>
      <c r="IBT49" s="3043"/>
      <c r="IBU49" s="3043"/>
      <c r="IBV49" s="3043"/>
      <c r="IBW49" s="3043"/>
      <c r="IBX49" s="3043"/>
      <c r="IBY49" s="3043"/>
      <c r="IBZ49" s="3043"/>
      <c r="ICA49" s="3043"/>
      <c r="ICB49" s="3043"/>
      <c r="ICC49" s="3043"/>
      <c r="ICD49" s="3043"/>
      <c r="ICE49" s="3043"/>
      <c r="ICF49" s="3043"/>
      <c r="ICG49" s="3043"/>
      <c r="ICH49" s="3043"/>
      <c r="ICI49" s="3043"/>
      <c r="ICJ49" s="3043"/>
      <c r="ICK49" s="3043"/>
      <c r="ICL49" s="3043"/>
      <c r="ICM49" s="3043"/>
      <c r="ICN49" s="3043"/>
      <c r="ICO49" s="3043"/>
      <c r="ICP49" s="3043"/>
      <c r="ICQ49" s="3043"/>
      <c r="ICR49" s="3043"/>
      <c r="ICS49" s="3043"/>
      <c r="ICT49" s="3043"/>
      <c r="ICU49" s="3043"/>
      <c r="ICV49" s="3043"/>
      <c r="ICW49" s="3043"/>
      <c r="ICX49" s="3043"/>
      <c r="ICY49" s="3043"/>
      <c r="ICZ49" s="3043"/>
      <c r="IDA49" s="3043"/>
      <c r="IDB49" s="3043"/>
      <c r="IDC49" s="3043"/>
      <c r="IDD49" s="3043"/>
      <c r="IDE49" s="3043"/>
      <c r="IDF49" s="3043"/>
      <c r="IDG49" s="3043"/>
      <c r="IDH49" s="3043"/>
      <c r="IDI49" s="3043"/>
      <c r="IDJ49" s="3043"/>
      <c r="IDK49" s="3043"/>
      <c r="IDL49" s="3043"/>
      <c r="IDM49" s="3043"/>
      <c r="IDN49" s="3043"/>
      <c r="IDO49" s="3043"/>
      <c r="IDP49" s="3043"/>
      <c r="IDQ49" s="3043"/>
      <c r="IDR49" s="3043"/>
      <c r="IDS49" s="3043"/>
      <c r="IDT49" s="3043"/>
      <c r="IDU49" s="3043"/>
      <c r="IDV49" s="3043"/>
      <c r="IDW49" s="3043"/>
      <c r="IDX49" s="3043"/>
      <c r="IDY49" s="3043"/>
      <c r="IDZ49" s="3043"/>
      <c r="IEA49" s="3043"/>
      <c r="IEB49" s="3043"/>
      <c r="IEC49" s="3043"/>
      <c r="IED49" s="3043"/>
      <c r="IEE49" s="3043"/>
      <c r="IEF49" s="3043"/>
      <c r="IEG49" s="3043"/>
      <c r="IEH49" s="3043"/>
      <c r="IEI49" s="3043"/>
      <c r="IEJ49" s="3043"/>
      <c r="IEK49" s="3043"/>
      <c r="IEL49" s="3043"/>
      <c r="IEM49" s="3043"/>
      <c r="IEN49" s="3043"/>
      <c r="IEO49" s="3043"/>
      <c r="IEP49" s="3043"/>
      <c r="IEQ49" s="3043"/>
      <c r="IER49" s="3043"/>
      <c r="IES49" s="3043"/>
      <c r="IET49" s="3043"/>
      <c r="IEU49" s="3043"/>
      <c r="IEV49" s="3043"/>
      <c r="IEW49" s="3043"/>
      <c r="IEX49" s="3043"/>
      <c r="IEY49" s="3043"/>
      <c r="IEZ49" s="3043"/>
      <c r="IFA49" s="3043"/>
      <c r="IFB49" s="3043"/>
      <c r="IFC49" s="3043"/>
      <c r="IFD49" s="3043"/>
      <c r="IFE49" s="3043"/>
      <c r="IFF49" s="3043"/>
      <c r="IFG49" s="3043"/>
      <c r="IFH49" s="3043"/>
      <c r="IFI49" s="3043"/>
      <c r="IFJ49" s="3043"/>
      <c r="IFK49" s="3043"/>
      <c r="IFL49" s="3043"/>
      <c r="IFM49" s="3043"/>
      <c r="IFN49" s="3043"/>
      <c r="IFO49" s="3043"/>
      <c r="IFP49" s="3043"/>
      <c r="IFQ49" s="3043"/>
      <c r="IFR49" s="3043"/>
      <c r="IFS49" s="3043"/>
      <c r="IFT49" s="3043"/>
      <c r="IFU49" s="3043"/>
      <c r="IFV49" s="3043"/>
      <c r="IFW49" s="3043"/>
      <c r="IFX49" s="3043"/>
      <c r="IFY49" s="3043"/>
      <c r="IFZ49" s="3043"/>
      <c r="IGA49" s="3043"/>
      <c r="IGB49" s="3043"/>
      <c r="IGC49" s="3043"/>
      <c r="IGD49" s="3043"/>
      <c r="IGE49" s="3043"/>
      <c r="IGF49" s="3043"/>
      <c r="IGG49" s="3043"/>
      <c r="IGH49" s="3043"/>
      <c r="IGI49" s="3043"/>
      <c r="IGJ49" s="3043"/>
      <c r="IGK49" s="3043"/>
      <c r="IGL49" s="3043"/>
      <c r="IGM49" s="3043"/>
      <c r="IGN49" s="3043"/>
      <c r="IGO49" s="3043"/>
      <c r="IGP49" s="3043"/>
      <c r="IGQ49" s="3043"/>
      <c r="IGR49" s="3043"/>
      <c r="IGS49" s="3043"/>
      <c r="IGT49" s="3043"/>
      <c r="IGU49" s="3043"/>
      <c r="IGV49" s="3043"/>
      <c r="IGW49" s="3043"/>
      <c r="IGX49" s="3043"/>
      <c r="IGY49" s="3043"/>
      <c r="IGZ49" s="3043"/>
      <c r="IHA49" s="3043"/>
      <c r="IHB49" s="3043"/>
      <c r="IHC49" s="3043"/>
      <c r="IHD49" s="3043"/>
      <c r="IHE49" s="3043"/>
      <c r="IHF49" s="3043"/>
      <c r="IHG49" s="3043"/>
      <c r="IHH49" s="3043"/>
      <c r="IHI49" s="3043"/>
      <c r="IHJ49" s="3043"/>
      <c r="IHK49" s="3043"/>
      <c r="IHL49" s="3043"/>
      <c r="IHM49" s="3043"/>
      <c r="IHN49" s="3043"/>
      <c r="IHO49" s="3043"/>
      <c r="IHP49" s="3043"/>
      <c r="IHQ49" s="3043"/>
      <c r="IHR49" s="3043"/>
      <c r="IHS49" s="3043"/>
      <c r="IHT49" s="3043"/>
      <c r="IHU49" s="3043"/>
      <c r="IHV49" s="3043"/>
      <c r="IHW49" s="3043"/>
      <c r="IHX49" s="3043"/>
      <c r="IHY49" s="3043"/>
      <c r="IHZ49" s="3043"/>
      <c r="IIA49" s="3043"/>
      <c r="IIB49" s="3043"/>
      <c r="IIC49" s="3043"/>
      <c r="IID49" s="3043"/>
      <c r="IIE49" s="3043"/>
      <c r="IIF49" s="3043"/>
      <c r="IIG49" s="3043"/>
      <c r="IIH49" s="3043"/>
      <c r="III49" s="3043"/>
      <c r="IIJ49" s="3043"/>
      <c r="IIK49" s="3043"/>
      <c r="IIL49" s="3043"/>
      <c r="IIM49" s="3043"/>
      <c r="IIN49" s="3043"/>
      <c r="IIO49" s="3043"/>
      <c r="IIP49" s="3043"/>
      <c r="IIQ49" s="3043"/>
      <c r="IIR49" s="3043"/>
      <c r="IIS49" s="3043"/>
      <c r="IIT49" s="3043"/>
      <c r="IIU49" s="3043"/>
      <c r="IIV49" s="3043"/>
      <c r="IIW49" s="3043"/>
      <c r="IIX49" s="3043"/>
      <c r="IIY49" s="3043"/>
      <c r="IIZ49" s="3043"/>
      <c r="IJA49" s="3043"/>
      <c r="IJB49" s="3043"/>
      <c r="IJC49" s="3043"/>
      <c r="IJD49" s="3043"/>
      <c r="IJE49" s="3043"/>
      <c r="IJF49" s="3043"/>
      <c r="IJG49" s="3043"/>
      <c r="IJH49" s="3043"/>
      <c r="IJI49" s="3043"/>
      <c r="IJJ49" s="3043"/>
      <c r="IJK49" s="3043"/>
      <c r="IJL49" s="3043"/>
      <c r="IJM49" s="3043"/>
      <c r="IJN49" s="3043"/>
      <c r="IJO49" s="3043"/>
      <c r="IJP49" s="3043"/>
      <c r="IJQ49" s="3043"/>
      <c r="IJR49" s="3043"/>
      <c r="IJS49" s="3043"/>
      <c r="IJT49" s="3043"/>
      <c r="IJU49" s="3043"/>
      <c r="IJV49" s="3043"/>
      <c r="IJW49" s="3043"/>
      <c r="IJX49" s="3043"/>
      <c r="IJY49" s="3043"/>
      <c r="IJZ49" s="3043"/>
      <c r="IKA49" s="3043"/>
      <c r="IKB49" s="3043"/>
      <c r="IKC49" s="3043"/>
      <c r="IKD49" s="3043"/>
      <c r="IKE49" s="3043"/>
      <c r="IKF49" s="3043"/>
      <c r="IKG49" s="3043"/>
      <c r="IKH49" s="3043"/>
      <c r="IKI49" s="3043"/>
      <c r="IKJ49" s="3043"/>
      <c r="IKK49" s="3043"/>
      <c r="IKL49" s="3043"/>
      <c r="IKM49" s="3043"/>
      <c r="IKN49" s="3043"/>
      <c r="IKO49" s="3043"/>
      <c r="IKP49" s="3043"/>
      <c r="IKQ49" s="3043"/>
      <c r="IKR49" s="3043"/>
      <c r="IKS49" s="3043"/>
      <c r="IKT49" s="3043"/>
      <c r="IKU49" s="3043"/>
      <c r="IKV49" s="3043"/>
      <c r="IKW49" s="3043"/>
      <c r="IKX49" s="3043"/>
      <c r="IKY49" s="3043"/>
      <c r="IKZ49" s="3043"/>
      <c r="ILA49" s="3043"/>
      <c r="ILB49" s="3043"/>
      <c r="ILC49" s="3043"/>
      <c r="ILD49" s="3043"/>
      <c r="ILE49" s="3043"/>
      <c r="ILF49" s="3043"/>
      <c r="ILG49" s="3043"/>
      <c r="ILH49" s="3043"/>
      <c r="ILI49" s="3043"/>
      <c r="ILJ49" s="3043"/>
      <c r="ILK49" s="3043"/>
      <c r="ILL49" s="3043"/>
      <c r="ILM49" s="3043"/>
      <c r="ILN49" s="3043"/>
      <c r="ILO49" s="3043"/>
      <c r="ILP49" s="3043"/>
      <c r="ILQ49" s="3043"/>
      <c r="ILR49" s="3043"/>
      <c r="ILS49" s="3043"/>
      <c r="ILT49" s="3043"/>
      <c r="ILU49" s="3043"/>
      <c r="ILV49" s="3043"/>
      <c r="ILW49" s="3043"/>
      <c r="ILX49" s="3043"/>
      <c r="ILY49" s="3043"/>
      <c r="ILZ49" s="3043"/>
      <c r="IMA49" s="3043"/>
      <c r="IMB49" s="3043"/>
      <c r="IMC49" s="3043"/>
      <c r="IMD49" s="3043"/>
      <c r="IME49" s="3043"/>
      <c r="IMF49" s="3043"/>
      <c r="IMG49" s="3043"/>
      <c r="IMH49" s="3043"/>
      <c r="IMI49" s="3043"/>
      <c r="IMJ49" s="3043"/>
      <c r="IMK49" s="3043"/>
      <c r="IML49" s="3043"/>
      <c r="IMM49" s="3043"/>
      <c r="IMN49" s="3043"/>
      <c r="IMO49" s="3043"/>
      <c r="IMP49" s="3043"/>
      <c r="IMQ49" s="3043"/>
      <c r="IMR49" s="3043"/>
      <c r="IMS49" s="3043"/>
      <c r="IMT49" s="3043"/>
      <c r="IMU49" s="3043"/>
      <c r="IMV49" s="3043"/>
      <c r="IMW49" s="3043"/>
      <c r="IMX49" s="3043"/>
      <c r="IMY49" s="3043"/>
      <c r="IMZ49" s="3043"/>
      <c r="INA49" s="3043"/>
      <c r="INB49" s="3043"/>
      <c r="INC49" s="3043"/>
      <c r="IND49" s="3043"/>
      <c r="INE49" s="3043"/>
      <c r="INF49" s="3043"/>
      <c r="ING49" s="3043"/>
      <c r="INH49" s="3043"/>
      <c r="INI49" s="3043"/>
      <c r="INJ49" s="3043"/>
      <c r="INK49" s="3043"/>
      <c r="INL49" s="3043"/>
      <c r="INM49" s="3043"/>
      <c r="INN49" s="3043"/>
      <c r="INO49" s="3043"/>
      <c r="INP49" s="3043"/>
      <c r="INQ49" s="3043"/>
      <c r="INR49" s="3043"/>
      <c r="INS49" s="3043"/>
      <c r="INT49" s="3043"/>
      <c r="INU49" s="3043"/>
      <c r="INV49" s="3043"/>
      <c r="INW49" s="3043"/>
      <c r="INX49" s="3043"/>
      <c r="INY49" s="3043"/>
      <c r="INZ49" s="3043"/>
      <c r="IOA49" s="3043"/>
      <c r="IOB49" s="3043"/>
      <c r="IOC49" s="3043"/>
      <c r="IOD49" s="3043"/>
      <c r="IOE49" s="3043"/>
      <c r="IOF49" s="3043"/>
      <c r="IOG49" s="3043"/>
      <c r="IOH49" s="3043"/>
      <c r="IOI49" s="3043"/>
      <c r="IOJ49" s="3043"/>
      <c r="IOK49" s="3043"/>
      <c r="IOL49" s="3043"/>
      <c r="IOM49" s="3043"/>
      <c r="ION49" s="3043"/>
      <c r="IOO49" s="3043"/>
      <c r="IOP49" s="3043"/>
      <c r="IOQ49" s="3043"/>
      <c r="IOR49" s="3043"/>
      <c r="IOS49" s="3043"/>
      <c r="IOT49" s="3043"/>
      <c r="IOU49" s="3043"/>
      <c r="IOV49" s="3043"/>
      <c r="IOW49" s="3043"/>
      <c r="IOX49" s="3043"/>
      <c r="IOY49" s="3043"/>
      <c r="IOZ49" s="3043"/>
      <c r="IPA49" s="3043"/>
      <c r="IPB49" s="3043"/>
      <c r="IPC49" s="3043"/>
      <c r="IPD49" s="3043"/>
      <c r="IPE49" s="3043"/>
      <c r="IPF49" s="3043"/>
      <c r="IPG49" s="3043"/>
      <c r="IPH49" s="3043"/>
      <c r="IPI49" s="3043"/>
      <c r="IPJ49" s="3043"/>
      <c r="IPK49" s="3043"/>
      <c r="IPL49" s="3043"/>
      <c r="IPM49" s="3043"/>
      <c r="IPN49" s="3043"/>
      <c r="IPO49" s="3043"/>
      <c r="IPP49" s="3043"/>
      <c r="IPQ49" s="3043"/>
      <c r="IPR49" s="3043"/>
      <c r="IPS49" s="3043"/>
      <c r="IPT49" s="3043"/>
      <c r="IPU49" s="3043"/>
      <c r="IPV49" s="3043"/>
      <c r="IPW49" s="3043"/>
      <c r="IPX49" s="3043"/>
      <c r="IPY49" s="3043"/>
      <c r="IPZ49" s="3043"/>
      <c r="IQA49" s="3043"/>
      <c r="IQB49" s="3043"/>
      <c r="IQC49" s="3043"/>
      <c r="IQD49" s="3043"/>
      <c r="IQE49" s="3043"/>
      <c r="IQF49" s="3043"/>
      <c r="IQG49" s="3043"/>
      <c r="IQH49" s="3043"/>
      <c r="IQI49" s="3043"/>
      <c r="IQJ49" s="3043"/>
      <c r="IQK49" s="3043"/>
      <c r="IQL49" s="3043"/>
      <c r="IQM49" s="3043"/>
      <c r="IQN49" s="3043"/>
      <c r="IQO49" s="3043"/>
      <c r="IQP49" s="3043"/>
      <c r="IQQ49" s="3043"/>
      <c r="IQR49" s="3043"/>
      <c r="IQS49" s="3043"/>
      <c r="IQT49" s="3043"/>
      <c r="IQU49" s="3043"/>
      <c r="IQV49" s="3043"/>
      <c r="IQW49" s="3043"/>
      <c r="IQX49" s="3043"/>
      <c r="IQY49" s="3043"/>
      <c r="IQZ49" s="3043"/>
      <c r="IRA49" s="3043"/>
      <c r="IRB49" s="3043"/>
      <c r="IRC49" s="3043"/>
      <c r="IRD49" s="3043"/>
      <c r="IRE49" s="3043"/>
      <c r="IRF49" s="3043"/>
      <c r="IRG49" s="3043"/>
      <c r="IRH49" s="3043"/>
      <c r="IRI49" s="3043"/>
      <c r="IRJ49" s="3043"/>
      <c r="IRK49" s="3043"/>
      <c r="IRL49" s="3043"/>
      <c r="IRM49" s="3043"/>
      <c r="IRN49" s="3043"/>
      <c r="IRO49" s="3043"/>
      <c r="IRP49" s="3043"/>
      <c r="IRQ49" s="3043"/>
      <c r="IRR49" s="3043"/>
      <c r="IRS49" s="3043"/>
      <c r="IRT49" s="3043"/>
      <c r="IRU49" s="3043"/>
      <c r="IRV49" s="3043"/>
      <c r="IRW49" s="3043"/>
      <c r="IRX49" s="3043"/>
      <c r="IRY49" s="3043"/>
      <c r="IRZ49" s="3043"/>
      <c r="ISA49" s="3043"/>
      <c r="ISB49" s="3043"/>
      <c r="ISC49" s="3043"/>
      <c r="ISD49" s="3043"/>
      <c r="ISE49" s="3043"/>
      <c r="ISF49" s="3043"/>
      <c r="ISG49" s="3043"/>
      <c r="ISH49" s="3043"/>
      <c r="ISI49" s="3043"/>
      <c r="ISJ49" s="3043"/>
      <c r="ISK49" s="3043"/>
      <c r="ISL49" s="3043"/>
      <c r="ISM49" s="3043"/>
      <c r="ISN49" s="3043"/>
      <c r="ISO49" s="3043"/>
      <c r="ISP49" s="3043"/>
      <c r="ISQ49" s="3043"/>
      <c r="ISR49" s="3043"/>
      <c r="ISS49" s="3043"/>
      <c r="IST49" s="3043"/>
      <c r="ISU49" s="3043"/>
      <c r="ISV49" s="3043"/>
      <c r="ISW49" s="3043"/>
      <c r="ISX49" s="3043"/>
      <c r="ISY49" s="3043"/>
      <c r="ISZ49" s="3043"/>
      <c r="ITA49" s="3043"/>
      <c r="ITB49" s="3043"/>
      <c r="ITC49" s="3043"/>
      <c r="ITD49" s="3043"/>
      <c r="ITE49" s="3043"/>
      <c r="ITF49" s="3043"/>
      <c r="ITG49" s="3043"/>
      <c r="ITH49" s="3043"/>
      <c r="ITI49" s="3043"/>
      <c r="ITJ49" s="3043"/>
      <c r="ITK49" s="3043"/>
      <c r="ITL49" s="3043"/>
      <c r="ITM49" s="3043"/>
      <c r="ITN49" s="3043"/>
      <c r="ITO49" s="3043"/>
      <c r="ITP49" s="3043"/>
      <c r="ITQ49" s="3043"/>
      <c r="ITR49" s="3043"/>
      <c r="ITS49" s="3043"/>
      <c r="ITT49" s="3043"/>
      <c r="ITU49" s="3043"/>
      <c r="ITV49" s="3043"/>
      <c r="ITW49" s="3043"/>
      <c r="ITX49" s="3043"/>
      <c r="ITY49" s="3043"/>
      <c r="ITZ49" s="3043"/>
      <c r="IUA49" s="3043"/>
      <c r="IUB49" s="3043"/>
      <c r="IUC49" s="3043"/>
      <c r="IUD49" s="3043"/>
      <c r="IUE49" s="3043"/>
      <c r="IUF49" s="3043"/>
      <c r="IUG49" s="3043"/>
      <c r="IUH49" s="3043"/>
      <c r="IUI49" s="3043"/>
      <c r="IUJ49" s="3043"/>
      <c r="IUK49" s="3043"/>
      <c r="IUL49" s="3043"/>
      <c r="IUM49" s="3043"/>
      <c r="IUN49" s="3043"/>
      <c r="IUO49" s="3043"/>
      <c r="IUP49" s="3043"/>
      <c r="IUQ49" s="3043"/>
      <c r="IUR49" s="3043"/>
      <c r="IUS49" s="3043"/>
      <c r="IUT49" s="3043"/>
      <c r="IUU49" s="3043"/>
      <c r="IUV49" s="3043"/>
      <c r="IUW49" s="3043"/>
      <c r="IUX49" s="3043"/>
      <c r="IUY49" s="3043"/>
      <c r="IUZ49" s="3043"/>
      <c r="IVA49" s="3043"/>
      <c r="IVB49" s="3043"/>
      <c r="IVC49" s="3043"/>
      <c r="IVD49" s="3043"/>
      <c r="IVE49" s="3043"/>
      <c r="IVF49" s="3043"/>
      <c r="IVG49" s="3043"/>
      <c r="IVH49" s="3043"/>
      <c r="IVI49" s="3043"/>
      <c r="IVJ49" s="3043"/>
      <c r="IVK49" s="3043"/>
      <c r="IVL49" s="3043"/>
      <c r="IVM49" s="3043"/>
      <c r="IVN49" s="3043"/>
      <c r="IVO49" s="3043"/>
      <c r="IVP49" s="3043"/>
      <c r="IVQ49" s="3043"/>
      <c r="IVR49" s="3043"/>
      <c r="IVS49" s="3043"/>
      <c r="IVT49" s="3043"/>
      <c r="IVU49" s="3043"/>
      <c r="IVV49" s="3043"/>
      <c r="IVW49" s="3043"/>
      <c r="IVX49" s="3043"/>
      <c r="IVY49" s="3043"/>
      <c r="IVZ49" s="3043"/>
      <c r="IWA49" s="3043"/>
      <c r="IWB49" s="3043"/>
      <c r="IWC49" s="3043"/>
      <c r="IWD49" s="3043"/>
      <c r="IWE49" s="3043"/>
      <c r="IWF49" s="3043"/>
      <c r="IWG49" s="3043"/>
      <c r="IWH49" s="3043"/>
      <c r="IWI49" s="3043"/>
      <c r="IWJ49" s="3043"/>
      <c r="IWK49" s="3043"/>
      <c r="IWL49" s="3043"/>
      <c r="IWM49" s="3043"/>
      <c r="IWN49" s="3043"/>
      <c r="IWO49" s="3043"/>
      <c r="IWP49" s="3043"/>
      <c r="IWQ49" s="3043"/>
      <c r="IWR49" s="3043"/>
      <c r="IWS49" s="3043"/>
      <c r="IWT49" s="3043"/>
      <c r="IWU49" s="3043"/>
      <c r="IWV49" s="3043"/>
      <c r="IWW49" s="3043"/>
      <c r="IWX49" s="3043"/>
      <c r="IWY49" s="3043"/>
      <c r="IWZ49" s="3043"/>
      <c r="IXA49" s="3043"/>
      <c r="IXB49" s="3043"/>
      <c r="IXC49" s="3043"/>
      <c r="IXD49" s="3043"/>
      <c r="IXE49" s="3043"/>
      <c r="IXF49" s="3043"/>
      <c r="IXG49" s="3043"/>
      <c r="IXH49" s="3043"/>
      <c r="IXI49" s="3043"/>
      <c r="IXJ49" s="3043"/>
      <c r="IXK49" s="3043"/>
      <c r="IXL49" s="3043"/>
      <c r="IXM49" s="3043"/>
      <c r="IXN49" s="3043"/>
      <c r="IXO49" s="3043"/>
      <c r="IXP49" s="3043"/>
      <c r="IXQ49" s="3043"/>
      <c r="IXR49" s="3043"/>
      <c r="IXS49" s="3043"/>
      <c r="IXT49" s="3043"/>
      <c r="IXU49" s="3043"/>
      <c r="IXV49" s="3043"/>
      <c r="IXW49" s="3043"/>
      <c r="IXX49" s="3043"/>
      <c r="IXY49" s="3043"/>
      <c r="IXZ49" s="3043"/>
      <c r="IYA49" s="3043"/>
      <c r="IYB49" s="3043"/>
      <c r="IYC49" s="3043"/>
      <c r="IYD49" s="3043"/>
      <c r="IYE49" s="3043"/>
      <c r="IYF49" s="3043"/>
      <c r="IYG49" s="3043"/>
      <c r="IYH49" s="3043"/>
      <c r="IYI49" s="3043"/>
      <c r="IYJ49" s="3043"/>
      <c r="IYK49" s="3043"/>
      <c r="IYL49" s="3043"/>
      <c r="IYM49" s="3043"/>
      <c r="IYN49" s="3043"/>
      <c r="IYO49" s="3043"/>
      <c r="IYP49" s="3043"/>
      <c r="IYQ49" s="3043"/>
      <c r="IYR49" s="3043"/>
      <c r="IYS49" s="3043"/>
      <c r="IYT49" s="3043"/>
      <c r="IYU49" s="3043"/>
      <c r="IYV49" s="3043"/>
      <c r="IYW49" s="3043"/>
      <c r="IYX49" s="3043"/>
      <c r="IYY49" s="3043"/>
      <c r="IYZ49" s="3043"/>
      <c r="IZA49" s="3043"/>
      <c r="IZB49" s="3043"/>
      <c r="IZC49" s="3043"/>
      <c r="IZD49" s="3043"/>
      <c r="IZE49" s="3043"/>
      <c r="IZF49" s="3043"/>
      <c r="IZG49" s="3043"/>
      <c r="IZH49" s="3043"/>
      <c r="IZI49" s="3043"/>
      <c r="IZJ49" s="3043"/>
      <c r="IZK49" s="3043"/>
      <c r="IZL49" s="3043"/>
      <c r="IZM49" s="3043"/>
      <c r="IZN49" s="3043"/>
      <c r="IZO49" s="3043"/>
      <c r="IZP49" s="3043"/>
      <c r="IZQ49" s="3043"/>
      <c r="IZR49" s="3043"/>
      <c r="IZS49" s="3043"/>
      <c r="IZT49" s="3043"/>
      <c r="IZU49" s="3043"/>
      <c r="IZV49" s="3043"/>
      <c r="IZW49" s="3043"/>
      <c r="IZX49" s="3043"/>
      <c r="IZY49" s="3043"/>
      <c r="IZZ49" s="3043"/>
      <c r="JAA49" s="3043"/>
      <c r="JAB49" s="3043"/>
      <c r="JAC49" s="3043"/>
      <c r="JAD49" s="3043"/>
      <c r="JAE49" s="3043"/>
      <c r="JAF49" s="3043"/>
      <c r="JAG49" s="3043"/>
      <c r="JAH49" s="3043"/>
      <c r="JAI49" s="3043"/>
      <c r="JAJ49" s="3043"/>
      <c r="JAK49" s="3043"/>
      <c r="JAL49" s="3043"/>
      <c r="JAM49" s="3043"/>
      <c r="JAN49" s="3043"/>
      <c r="JAO49" s="3043"/>
      <c r="JAP49" s="3043"/>
      <c r="JAQ49" s="3043"/>
      <c r="JAR49" s="3043"/>
      <c r="JAS49" s="3043"/>
      <c r="JAT49" s="3043"/>
      <c r="JAU49" s="3043"/>
      <c r="JAV49" s="3043"/>
      <c r="JAW49" s="3043"/>
      <c r="JAX49" s="3043"/>
      <c r="JAY49" s="3043"/>
      <c r="JAZ49" s="3043"/>
      <c r="JBA49" s="3043"/>
      <c r="JBB49" s="3043"/>
      <c r="JBC49" s="3043"/>
      <c r="JBD49" s="3043"/>
      <c r="JBE49" s="3043"/>
      <c r="JBF49" s="3043"/>
      <c r="JBG49" s="3043"/>
      <c r="JBH49" s="3043"/>
      <c r="JBI49" s="3043"/>
      <c r="JBJ49" s="3043"/>
      <c r="JBK49" s="3043"/>
      <c r="JBL49" s="3043"/>
      <c r="JBM49" s="3043"/>
      <c r="JBN49" s="3043"/>
      <c r="JBO49" s="3043"/>
      <c r="JBP49" s="3043"/>
      <c r="JBQ49" s="3043"/>
      <c r="JBR49" s="3043"/>
      <c r="JBS49" s="3043"/>
      <c r="JBT49" s="3043"/>
      <c r="JBU49" s="3043"/>
      <c r="JBV49" s="3043"/>
      <c r="JBW49" s="3043"/>
      <c r="JBX49" s="3043"/>
      <c r="JBY49" s="3043"/>
      <c r="JBZ49" s="3043"/>
      <c r="JCA49" s="3043"/>
      <c r="JCB49" s="3043"/>
      <c r="JCC49" s="3043"/>
      <c r="JCD49" s="3043"/>
      <c r="JCE49" s="3043"/>
      <c r="JCF49" s="3043"/>
      <c r="JCG49" s="3043"/>
      <c r="JCH49" s="3043"/>
      <c r="JCI49" s="3043"/>
      <c r="JCJ49" s="3043"/>
      <c r="JCK49" s="3043"/>
      <c r="JCL49" s="3043"/>
      <c r="JCM49" s="3043"/>
      <c r="JCN49" s="3043"/>
      <c r="JCO49" s="3043"/>
      <c r="JCP49" s="3043"/>
      <c r="JCQ49" s="3043"/>
      <c r="JCR49" s="3043"/>
      <c r="JCS49" s="3043"/>
      <c r="JCT49" s="3043"/>
      <c r="JCU49" s="3043"/>
      <c r="JCV49" s="3043"/>
      <c r="JCW49" s="3043"/>
      <c r="JCX49" s="3043"/>
      <c r="JCY49" s="3043"/>
      <c r="JCZ49" s="3043"/>
      <c r="JDA49" s="3043"/>
      <c r="JDB49" s="3043"/>
      <c r="JDC49" s="3043"/>
      <c r="JDD49" s="3043"/>
      <c r="JDE49" s="3043"/>
      <c r="JDF49" s="3043"/>
      <c r="JDG49" s="3043"/>
      <c r="JDH49" s="3043"/>
      <c r="JDI49" s="3043"/>
      <c r="JDJ49" s="3043"/>
      <c r="JDK49" s="3043"/>
      <c r="JDL49" s="3043"/>
      <c r="JDM49" s="3043"/>
      <c r="JDN49" s="3043"/>
      <c r="JDO49" s="3043"/>
      <c r="JDP49" s="3043"/>
      <c r="JDQ49" s="3043"/>
      <c r="JDR49" s="3043"/>
      <c r="JDS49" s="3043"/>
      <c r="JDT49" s="3043"/>
      <c r="JDU49" s="3043"/>
      <c r="JDV49" s="3043"/>
      <c r="JDW49" s="3043"/>
      <c r="JDX49" s="3043"/>
      <c r="JDY49" s="3043"/>
      <c r="JDZ49" s="3043"/>
      <c r="JEA49" s="3043"/>
      <c r="JEB49" s="3043"/>
      <c r="JEC49" s="3043"/>
      <c r="JED49" s="3043"/>
      <c r="JEE49" s="3043"/>
      <c r="JEF49" s="3043"/>
      <c r="JEG49" s="3043"/>
      <c r="JEH49" s="3043"/>
      <c r="JEI49" s="3043"/>
      <c r="JEJ49" s="3043"/>
      <c r="JEK49" s="3043"/>
      <c r="JEL49" s="3043"/>
      <c r="JEM49" s="3043"/>
      <c r="JEN49" s="3043"/>
      <c r="JEO49" s="3043"/>
      <c r="JEP49" s="3043"/>
      <c r="JEQ49" s="3043"/>
      <c r="JER49" s="3043"/>
      <c r="JES49" s="3043"/>
      <c r="JET49" s="3043"/>
      <c r="JEU49" s="3043"/>
      <c r="JEV49" s="3043"/>
      <c r="JEW49" s="3043"/>
      <c r="JEX49" s="3043"/>
      <c r="JEY49" s="3043"/>
      <c r="JEZ49" s="3043"/>
      <c r="JFA49" s="3043"/>
      <c r="JFB49" s="3043"/>
      <c r="JFC49" s="3043"/>
      <c r="JFD49" s="3043"/>
      <c r="JFE49" s="3043"/>
      <c r="JFF49" s="3043"/>
      <c r="JFG49" s="3043"/>
      <c r="JFH49" s="3043"/>
      <c r="JFI49" s="3043"/>
      <c r="JFJ49" s="3043"/>
      <c r="JFK49" s="3043"/>
      <c r="JFL49" s="3043"/>
      <c r="JFM49" s="3043"/>
      <c r="JFN49" s="3043"/>
      <c r="JFO49" s="3043"/>
      <c r="JFP49" s="3043"/>
      <c r="JFQ49" s="3043"/>
      <c r="JFR49" s="3043"/>
      <c r="JFS49" s="3043"/>
      <c r="JFT49" s="3043"/>
      <c r="JFU49" s="3043"/>
      <c r="JFV49" s="3043"/>
      <c r="JFW49" s="3043"/>
      <c r="JFX49" s="3043"/>
      <c r="JFY49" s="3043"/>
      <c r="JFZ49" s="3043"/>
      <c r="JGA49" s="3043"/>
      <c r="JGB49" s="3043"/>
      <c r="JGC49" s="3043"/>
      <c r="JGD49" s="3043"/>
      <c r="JGE49" s="3043"/>
      <c r="JGF49" s="3043"/>
      <c r="JGG49" s="3043"/>
      <c r="JGH49" s="3043"/>
      <c r="JGI49" s="3043"/>
      <c r="JGJ49" s="3043"/>
      <c r="JGK49" s="3043"/>
      <c r="JGL49" s="3043"/>
      <c r="JGM49" s="3043"/>
      <c r="JGN49" s="3043"/>
      <c r="JGO49" s="3043"/>
      <c r="JGP49" s="3043"/>
      <c r="JGQ49" s="3043"/>
      <c r="JGR49" s="3043"/>
      <c r="JGS49" s="3043"/>
      <c r="JGT49" s="3043"/>
      <c r="JGU49" s="3043"/>
      <c r="JGV49" s="3043"/>
      <c r="JGW49" s="3043"/>
      <c r="JGX49" s="3043"/>
      <c r="JGY49" s="3043"/>
      <c r="JGZ49" s="3043"/>
      <c r="JHA49" s="3043"/>
      <c r="JHB49" s="3043"/>
      <c r="JHC49" s="3043"/>
      <c r="JHD49" s="3043"/>
      <c r="JHE49" s="3043"/>
      <c r="JHF49" s="3043"/>
      <c r="JHG49" s="3043"/>
      <c r="JHH49" s="3043"/>
      <c r="JHI49" s="3043"/>
      <c r="JHJ49" s="3043"/>
      <c r="JHK49" s="3043"/>
      <c r="JHL49" s="3043"/>
      <c r="JHM49" s="3043"/>
      <c r="JHN49" s="3043"/>
      <c r="JHO49" s="3043"/>
      <c r="JHP49" s="3043"/>
      <c r="JHQ49" s="3043"/>
      <c r="JHR49" s="3043"/>
      <c r="JHS49" s="3043"/>
      <c r="JHT49" s="3043"/>
      <c r="JHU49" s="3043"/>
      <c r="JHV49" s="3043"/>
      <c r="JHW49" s="3043"/>
      <c r="JHX49" s="3043"/>
      <c r="JHY49" s="3043"/>
      <c r="JHZ49" s="3043"/>
      <c r="JIA49" s="3043"/>
      <c r="JIB49" s="3043"/>
      <c r="JIC49" s="3043"/>
      <c r="JID49" s="3043"/>
      <c r="JIE49" s="3043"/>
      <c r="JIF49" s="3043"/>
      <c r="JIG49" s="3043"/>
      <c r="JIH49" s="3043"/>
      <c r="JII49" s="3043"/>
      <c r="JIJ49" s="3043"/>
      <c r="JIK49" s="3043"/>
      <c r="JIL49" s="3043"/>
      <c r="JIM49" s="3043"/>
      <c r="JIN49" s="3043"/>
      <c r="JIO49" s="3043"/>
      <c r="JIP49" s="3043"/>
      <c r="JIQ49" s="3043"/>
      <c r="JIR49" s="3043"/>
      <c r="JIS49" s="3043"/>
      <c r="JIT49" s="3043"/>
      <c r="JIU49" s="3043"/>
      <c r="JIV49" s="3043"/>
      <c r="JIW49" s="3043"/>
      <c r="JIX49" s="3043"/>
      <c r="JIY49" s="3043"/>
      <c r="JIZ49" s="3043"/>
      <c r="JJA49" s="3043"/>
      <c r="JJB49" s="3043"/>
      <c r="JJC49" s="3043"/>
      <c r="JJD49" s="3043"/>
      <c r="JJE49" s="3043"/>
      <c r="JJF49" s="3043"/>
      <c r="JJG49" s="3043"/>
      <c r="JJH49" s="3043"/>
      <c r="JJI49" s="3043"/>
      <c r="JJJ49" s="3043"/>
      <c r="JJK49" s="3043"/>
      <c r="JJL49" s="3043"/>
      <c r="JJM49" s="3043"/>
      <c r="JJN49" s="3043"/>
      <c r="JJO49" s="3043"/>
      <c r="JJP49" s="3043"/>
      <c r="JJQ49" s="3043"/>
      <c r="JJR49" s="3043"/>
      <c r="JJS49" s="3043"/>
      <c r="JJT49" s="3043"/>
      <c r="JJU49" s="3043"/>
      <c r="JJV49" s="3043"/>
      <c r="JJW49" s="3043"/>
      <c r="JJX49" s="3043"/>
      <c r="JJY49" s="3043"/>
      <c r="JJZ49" s="3043"/>
      <c r="JKA49" s="3043"/>
      <c r="JKB49" s="3043"/>
      <c r="JKC49" s="3043"/>
      <c r="JKD49" s="3043"/>
      <c r="JKE49" s="3043"/>
      <c r="JKF49" s="3043"/>
      <c r="JKG49" s="3043"/>
      <c r="JKH49" s="3043"/>
      <c r="JKI49" s="3043"/>
      <c r="JKJ49" s="3043"/>
      <c r="JKK49" s="3043"/>
      <c r="JKL49" s="3043"/>
      <c r="JKM49" s="3043"/>
      <c r="JKN49" s="3043"/>
      <c r="JKO49" s="3043"/>
      <c r="JKP49" s="3043"/>
      <c r="JKQ49" s="3043"/>
      <c r="JKR49" s="3043"/>
      <c r="JKS49" s="3043"/>
      <c r="JKT49" s="3043"/>
      <c r="JKU49" s="3043"/>
      <c r="JKV49" s="3043"/>
      <c r="JKW49" s="3043"/>
      <c r="JKX49" s="3043"/>
      <c r="JKY49" s="3043"/>
      <c r="JKZ49" s="3043"/>
      <c r="JLA49" s="3043"/>
      <c r="JLB49" s="3043"/>
      <c r="JLC49" s="3043"/>
      <c r="JLD49" s="3043"/>
      <c r="JLE49" s="3043"/>
      <c r="JLF49" s="3043"/>
      <c r="JLG49" s="3043"/>
      <c r="JLH49" s="3043"/>
      <c r="JLI49" s="3043"/>
      <c r="JLJ49" s="3043"/>
      <c r="JLK49" s="3043"/>
      <c r="JLL49" s="3043"/>
      <c r="JLM49" s="3043"/>
      <c r="JLN49" s="3043"/>
      <c r="JLO49" s="3043"/>
      <c r="JLP49" s="3043"/>
      <c r="JLQ49" s="3043"/>
      <c r="JLR49" s="3043"/>
      <c r="JLS49" s="3043"/>
      <c r="JLT49" s="3043"/>
      <c r="JLU49" s="3043"/>
      <c r="JLV49" s="3043"/>
      <c r="JLW49" s="3043"/>
      <c r="JLX49" s="3043"/>
      <c r="JLY49" s="3043"/>
      <c r="JLZ49" s="3043"/>
      <c r="JMA49" s="3043"/>
      <c r="JMB49" s="3043"/>
      <c r="JMC49" s="3043"/>
      <c r="JMD49" s="3043"/>
      <c r="JME49" s="3043"/>
      <c r="JMF49" s="3043"/>
      <c r="JMG49" s="3043"/>
      <c r="JMH49" s="3043"/>
      <c r="JMI49" s="3043"/>
      <c r="JMJ49" s="3043"/>
      <c r="JMK49" s="3043"/>
      <c r="JML49" s="3043"/>
      <c r="JMM49" s="3043"/>
      <c r="JMN49" s="3043"/>
      <c r="JMO49" s="3043"/>
      <c r="JMP49" s="3043"/>
      <c r="JMQ49" s="3043"/>
      <c r="JMR49" s="3043"/>
      <c r="JMS49" s="3043"/>
      <c r="JMT49" s="3043"/>
      <c r="JMU49" s="3043"/>
      <c r="JMV49" s="3043"/>
      <c r="JMW49" s="3043"/>
      <c r="JMX49" s="3043"/>
      <c r="JMY49" s="3043"/>
      <c r="JMZ49" s="3043"/>
      <c r="JNA49" s="3043"/>
      <c r="JNB49" s="3043"/>
      <c r="JNC49" s="3043"/>
      <c r="JND49" s="3043"/>
      <c r="JNE49" s="3043"/>
      <c r="JNF49" s="3043"/>
      <c r="JNG49" s="3043"/>
      <c r="JNH49" s="3043"/>
      <c r="JNI49" s="3043"/>
      <c r="JNJ49" s="3043"/>
      <c r="JNK49" s="3043"/>
      <c r="JNL49" s="3043"/>
      <c r="JNM49" s="3043"/>
      <c r="JNN49" s="3043"/>
      <c r="JNO49" s="3043"/>
      <c r="JNP49" s="3043"/>
      <c r="JNQ49" s="3043"/>
      <c r="JNR49" s="3043"/>
      <c r="JNS49" s="3043"/>
      <c r="JNT49" s="3043"/>
      <c r="JNU49" s="3043"/>
      <c r="JNV49" s="3043"/>
      <c r="JNW49" s="3043"/>
      <c r="JNX49" s="3043"/>
      <c r="JNY49" s="3043"/>
      <c r="JNZ49" s="3043"/>
      <c r="JOA49" s="3043"/>
      <c r="JOB49" s="3043"/>
      <c r="JOC49" s="3043"/>
      <c r="JOD49" s="3043"/>
      <c r="JOE49" s="3043"/>
      <c r="JOF49" s="3043"/>
      <c r="JOG49" s="3043"/>
      <c r="JOH49" s="3043"/>
      <c r="JOI49" s="3043"/>
      <c r="JOJ49" s="3043"/>
      <c r="JOK49" s="3043"/>
      <c r="JOL49" s="3043"/>
      <c r="JOM49" s="3043"/>
      <c r="JON49" s="3043"/>
      <c r="JOO49" s="3043"/>
      <c r="JOP49" s="3043"/>
      <c r="JOQ49" s="3043"/>
      <c r="JOR49" s="3043"/>
      <c r="JOS49" s="3043"/>
      <c r="JOT49" s="3043"/>
      <c r="JOU49" s="3043"/>
      <c r="JOV49" s="3043"/>
      <c r="JOW49" s="3043"/>
      <c r="JOX49" s="3043"/>
      <c r="JOY49" s="3043"/>
      <c r="JOZ49" s="3043"/>
      <c r="JPA49" s="3043"/>
      <c r="JPB49" s="3043"/>
      <c r="JPC49" s="3043"/>
      <c r="JPD49" s="3043"/>
      <c r="JPE49" s="3043"/>
      <c r="JPF49" s="3043"/>
      <c r="JPG49" s="3043"/>
      <c r="JPH49" s="3043"/>
      <c r="JPI49" s="3043"/>
      <c r="JPJ49" s="3043"/>
      <c r="JPK49" s="3043"/>
      <c r="JPL49" s="3043"/>
      <c r="JPM49" s="3043"/>
      <c r="JPN49" s="3043"/>
      <c r="JPO49" s="3043"/>
      <c r="JPP49" s="3043"/>
      <c r="JPQ49" s="3043"/>
      <c r="JPR49" s="3043"/>
      <c r="JPS49" s="3043"/>
      <c r="JPT49" s="3043"/>
      <c r="JPU49" s="3043"/>
      <c r="JPV49" s="3043"/>
      <c r="JPW49" s="3043"/>
      <c r="JPX49" s="3043"/>
      <c r="JPY49" s="3043"/>
      <c r="JPZ49" s="3043"/>
      <c r="JQA49" s="3043"/>
      <c r="JQB49" s="3043"/>
      <c r="JQC49" s="3043"/>
      <c r="JQD49" s="3043"/>
      <c r="JQE49" s="3043"/>
      <c r="JQF49" s="3043"/>
      <c r="JQG49" s="3043"/>
      <c r="JQH49" s="3043"/>
      <c r="JQI49" s="3043"/>
      <c r="JQJ49" s="3043"/>
      <c r="JQK49" s="3043"/>
      <c r="JQL49" s="3043"/>
      <c r="JQM49" s="3043"/>
      <c r="JQN49" s="3043"/>
      <c r="JQO49" s="3043"/>
      <c r="JQP49" s="3043"/>
      <c r="JQQ49" s="3043"/>
      <c r="JQR49" s="3043"/>
      <c r="JQS49" s="3043"/>
      <c r="JQT49" s="3043"/>
      <c r="JQU49" s="3043"/>
      <c r="JQV49" s="3043"/>
      <c r="JQW49" s="3043"/>
      <c r="JQX49" s="3043"/>
      <c r="JQY49" s="3043"/>
      <c r="JQZ49" s="3043"/>
      <c r="JRA49" s="3043"/>
      <c r="JRB49" s="3043"/>
      <c r="JRC49" s="3043"/>
      <c r="JRD49" s="3043"/>
      <c r="JRE49" s="3043"/>
      <c r="JRF49" s="3043"/>
      <c r="JRG49" s="3043"/>
      <c r="JRH49" s="3043"/>
      <c r="JRI49" s="3043"/>
      <c r="JRJ49" s="3043"/>
      <c r="JRK49" s="3043"/>
      <c r="JRL49" s="3043"/>
      <c r="JRM49" s="3043"/>
      <c r="JRN49" s="3043"/>
      <c r="JRO49" s="3043"/>
      <c r="JRP49" s="3043"/>
      <c r="JRQ49" s="3043"/>
      <c r="JRR49" s="3043"/>
      <c r="JRS49" s="3043"/>
      <c r="JRT49" s="3043"/>
      <c r="JRU49" s="3043"/>
      <c r="JRV49" s="3043"/>
      <c r="JRW49" s="3043"/>
      <c r="JRX49" s="3043"/>
      <c r="JRY49" s="3043"/>
      <c r="JRZ49" s="3043"/>
      <c r="JSA49" s="3043"/>
      <c r="JSB49" s="3043"/>
      <c r="JSC49" s="3043"/>
      <c r="JSD49" s="3043"/>
      <c r="JSE49" s="3043"/>
      <c r="JSF49" s="3043"/>
      <c r="JSG49" s="3043"/>
      <c r="JSH49" s="3043"/>
      <c r="JSI49" s="3043"/>
      <c r="JSJ49" s="3043"/>
      <c r="JSK49" s="3043"/>
      <c r="JSL49" s="3043"/>
      <c r="JSM49" s="3043"/>
      <c r="JSN49" s="3043"/>
      <c r="JSO49" s="3043"/>
      <c r="JSP49" s="3043"/>
      <c r="JSQ49" s="3043"/>
      <c r="JSR49" s="3043"/>
      <c r="JSS49" s="3043"/>
      <c r="JST49" s="3043"/>
      <c r="JSU49" s="3043"/>
      <c r="JSV49" s="3043"/>
      <c r="JSW49" s="3043"/>
      <c r="JSX49" s="3043"/>
      <c r="JSY49" s="3043"/>
      <c r="JSZ49" s="3043"/>
      <c r="JTA49" s="3043"/>
      <c r="JTB49" s="3043"/>
      <c r="JTC49" s="3043"/>
      <c r="JTD49" s="3043"/>
      <c r="JTE49" s="3043"/>
      <c r="JTF49" s="3043"/>
      <c r="JTG49" s="3043"/>
      <c r="JTH49" s="3043"/>
      <c r="JTI49" s="3043"/>
      <c r="JTJ49" s="3043"/>
      <c r="JTK49" s="3043"/>
      <c r="JTL49" s="3043"/>
      <c r="JTM49" s="3043"/>
      <c r="JTN49" s="3043"/>
      <c r="JTO49" s="3043"/>
      <c r="JTP49" s="3043"/>
      <c r="JTQ49" s="3043"/>
      <c r="JTR49" s="3043"/>
      <c r="JTS49" s="3043"/>
      <c r="JTT49" s="3043"/>
      <c r="JTU49" s="3043"/>
      <c r="JTV49" s="3043"/>
      <c r="JTW49" s="3043"/>
      <c r="JTX49" s="3043"/>
      <c r="JTY49" s="3043"/>
      <c r="JTZ49" s="3043"/>
      <c r="JUA49" s="3043"/>
      <c r="JUB49" s="3043"/>
      <c r="JUC49" s="3043"/>
      <c r="JUD49" s="3043"/>
      <c r="JUE49" s="3043"/>
      <c r="JUF49" s="3043"/>
      <c r="JUG49" s="3043"/>
      <c r="JUH49" s="3043"/>
      <c r="JUI49" s="3043"/>
      <c r="JUJ49" s="3043"/>
      <c r="JUK49" s="3043"/>
      <c r="JUL49" s="3043"/>
      <c r="JUM49" s="3043"/>
      <c r="JUN49" s="3043"/>
      <c r="JUO49" s="3043"/>
      <c r="JUP49" s="3043"/>
      <c r="JUQ49" s="3043"/>
      <c r="JUR49" s="3043"/>
      <c r="JUS49" s="3043"/>
      <c r="JUT49" s="3043"/>
      <c r="JUU49" s="3043"/>
      <c r="JUV49" s="3043"/>
      <c r="JUW49" s="3043"/>
      <c r="JUX49" s="3043"/>
      <c r="JUY49" s="3043"/>
      <c r="JUZ49" s="3043"/>
      <c r="JVA49" s="3043"/>
      <c r="JVB49" s="3043"/>
      <c r="JVC49" s="3043"/>
      <c r="JVD49" s="3043"/>
      <c r="JVE49" s="3043"/>
      <c r="JVF49" s="3043"/>
      <c r="JVG49" s="3043"/>
      <c r="JVH49" s="3043"/>
      <c r="JVI49" s="3043"/>
      <c r="JVJ49" s="3043"/>
      <c r="JVK49" s="3043"/>
      <c r="JVL49" s="3043"/>
      <c r="JVM49" s="3043"/>
      <c r="JVN49" s="3043"/>
      <c r="JVO49" s="3043"/>
      <c r="JVP49" s="3043"/>
      <c r="JVQ49" s="3043"/>
      <c r="JVR49" s="3043"/>
      <c r="JVS49" s="3043"/>
      <c r="JVT49" s="3043"/>
      <c r="JVU49" s="3043"/>
      <c r="JVV49" s="3043"/>
      <c r="JVW49" s="3043"/>
      <c r="JVX49" s="3043"/>
      <c r="JVY49" s="3043"/>
      <c r="JVZ49" s="3043"/>
      <c r="JWA49" s="3043"/>
      <c r="JWB49" s="3043"/>
      <c r="JWC49" s="3043"/>
      <c r="JWD49" s="3043"/>
      <c r="JWE49" s="3043"/>
      <c r="JWF49" s="3043"/>
      <c r="JWG49" s="3043"/>
      <c r="JWH49" s="3043"/>
      <c r="JWI49" s="3043"/>
      <c r="JWJ49" s="3043"/>
      <c r="JWK49" s="3043"/>
      <c r="JWL49" s="3043"/>
      <c r="JWM49" s="3043"/>
      <c r="JWN49" s="3043"/>
      <c r="JWO49" s="3043"/>
      <c r="JWP49" s="3043"/>
      <c r="JWQ49" s="3043"/>
      <c r="JWR49" s="3043"/>
      <c r="JWS49" s="3043"/>
      <c r="JWT49" s="3043"/>
      <c r="JWU49" s="3043"/>
      <c r="JWV49" s="3043"/>
      <c r="JWW49" s="3043"/>
      <c r="JWX49" s="3043"/>
      <c r="JWY49" s="3043"/>
      <c r="JWZ49" s="3043"/>
      <c r="JXA49" s="3043"/>
      <c r="JXB49" s="3043"/>
      <c r="JXC49" s="3043"/>
      <c r="JXD49" s="3043"/>
      <c r="JXE49" s="3043"/>
      <c r="JXF49" s="3043"/>
      <c r="JXG49" s="3043"/>
      <c r="JXH49" s="3043"/>
      <c r="JXI49" s="3043"/>
      <c r="JXJ49" s="3043"/>
      <c r="JXK49" s="3043"/>
      <c r="JXL49" s="3043"/>
      <c r="JXM49" s="3043"/>
      <c r="JXN49" s="3043"/>
      <c r="JXO49" s="3043"/>
      <c r="JXP49" s="3043"/>
      <c r="JXQ49" s="3043"/>
      <c r="JXR49" s="3043"/>
      <c r="JXS49" s="3043"/>
      <c r="JXT49" s="3043"/>
      <c r="JXU49" s="3043"/>
      <c r="JXV49" s="3043"/>
      <c r="JXW49" s="3043"/>
      <c r="JXX49" s="3043"/>
      <c r="JXY49" s="3043"/>
      <c r="JXZ49" s="3043"/>
      <c r="JYA49" s="3043"/>
      <c r="JYB49" s="3043"/>
      <c r="JYC49" s="3043"/>
      <c r="JYD49" s="3043"/>
      <c r="JYE49" s="3043"/>
      <c r="JYF49" s="3043"/>
      <c r="JYG49" s="3043"/>
      <c r="JYH49" s="3043"/>
      <c r="JYI49" s="3043"/>
      <c r="JYJ49" s="3043"/>
      <c r="JYK49" s="3043"/>
      <c r="JYL49" s="3043"/>
      <c r="JYM49" s="3043"/>
      <c r="JYN49" s="3043"/>
      <c r="JYO49" s="3043"/>
      <c r="JYP49" s="3043"/>
      <c r="JYQ49" s="3043"/>
      <c r="JYR49" s="3043"/>
      <c r="JYS49" s="3043"/>
      <c r="JYT49" s="3043"/>
      <c r="JYU49" s="3043"/>
      <c r="JYV49" s="3043"/>
      <c r="JYW49" s="3043"/>
      <c r="JYX49" s="3043"/>
      <c r="JYY49" s="3043"/>
      <c r="JYZ49" s="3043"/>
      <c r="JZA49" s="3043"/>
      <c r="JZB49" s="3043"/>
      <c r="JZC49" s="3043"/>
      <c r="JZD49" s="3043"/>
      <c r="JZE49" s="3043"/>
      <c r="JZF49" s="3043"/>
      <c r="JZG49" s="3043"/>
      <c r="JZH49" s="3043"/>
      <c r="JZI49" s="3043"/>
      <c r="JZJ49" s="3043"/>
      <c r="JZK49" s="3043"/>
      <c r="JZL49" s="3043"/>
      <c r="JZM49" s="3043"/>
      <c r="JZN49" s="3043"/>
      <c r="JZO49" s="3043"/>
      <c r="JZP49" s="3043"/>
      <c r="JZQ49" s="3043"/>
      <c r="JZR49" s="3043"/>
      <c r="JZS49" s="3043"/>
      <c r="JZT49" s="3043"/>
      <c r="JZU49" s="3043"/>
      <c r="JZV49" s="3043"/>
      <c r="JZW49" s="3043"/>
      <c r="JZX49" s="3043"/>
      <c r="JZY49" s="3043"/>
      <c r="JZZ49" s="3043"/>
      <c r="KAA49" s="3043"/>
      <c r="KAB49" s="3043"/>
      <c r="KAC49" s="3043"/>
      <c r="KAD49" s="3043"/>
      <c r="KAE49" s="3043"/>
      <c r="KAF49" s="3043"/>
      <c r="KAG49" s="3043"/>
      <c r="KAH49" s="3043"/>
      <c r="KAI49" s="3043"/>
      <c r="KAJ49" s="3043"/>
      <c r="KAK49" s="3043"/>
      <c r="KAL49" s="3043"/>
      <c r="KAM49" s="3043"/>
      <c r="KAN49" s="3043"/>
      <c r="KAO49" s="3043"/>
      <c r="KAP49" s="3043"/>
      <c r="KAQ49" s="3043"/>
      <c r="KAR49" s="3043"/>
      <c r="KAS49" s="3043"/>
      <c r="KAT49" s="3043"/>
      <c r="KAU49" s="3043"/>
      <c r="KAV49" s="3043"/>
      <c r="KAW49" s="3043"/>
      <c r="KAX49" s="3043"/>
      <c r="KAY49" s="3043"/>
      <c r="KAZ49" s="3043"/>
      <c r="KBA49" s="3043"/>
      <c r="KBB49" s="3043"/>
      <c r="KBC49" s="3043"/>
      <c r="KBD49" s="3043"/>
      <c r="KBE49" s="3043"/>
      <c r="KBF49" s="3043"/>
      <c r="KBG49" s="3043"/>
      <c r="KBH49" s="3043"/>
      <c r="KBI49" s="3043"/>
      <c r="KBJ49" s="3043"/>
      <c r="KBK49" s="3043"/>
      <c r="KBL49" s="3043"/>
      <c r="KBM49" s="3043"/>
      <c r="KBN49" s="3043"/>
      <c r="KBO49" s="3043"/>
      <c r="KBP49" s="3043"/>
      <c r="KBQ49" s="3043"/>
      <c r="KBR49" s="3043"/>
      <c r="KBS49" s="3043"/>
      <c r="KBT49" s="3043"/>
      <c r="KBU49" s="3043"/>
      <c r="KBV49" s="3043"/>
      <c r="KBW49" s="3043"/>
      <c r="KBX49" s="3043"/>
      <c r="KBY49" s="3043"/>
      <c r="KBZ49" s="3043"/>
      <c r="KCA49" s="3043"/>
      <c r="KCB49" s="3043"/>
      <c r="KCC49" s="3043"/>
      <c r="KCD49" s="3043"/>
      <c r="KCE49" s="3043"/>
      <c r="KCF49" s="3043"/>
      <c r="KCG49" s="3043"/>
      <c r="KCH49" s="3043"/>
      <c r="KCI49" s="3043"/>
      <c r="KCJ49" s="3043"/>
      <c r="KCK49" s="3043"/>
      <c r="KCL49" s="3043"/>
      <c r="KCM49" s="3043"/>
      <c r="KCN49" s="3043"/>
      <c r="KCO49" s="3043"/>
      <c r="KCP49" s="3043"/>
      <c r="KCQ49" s="3043"/>
      <c r="KCR49" s="3043"/>
      <c r="KCS49" s="3043"/>
      <c r="KCT49" s="3043"/>
      <c r="KCU49" s="3043"/>
      <c r="KCV49" s="3043"/>
      <c r="KCW49" s="3043"/>
      <c r="KCX49" s="3043"/>
      <c r="KCY49" s="3043"/>
      <c r="KCZ49" s="3043"/>
      <c r="KDA49" s="3043"/>
      <c r="KDB49" s="3043"/>
      <c r="KDC49" s="3043"/>
      <c r="KDD49" s="3043"/>
      <c r="KDE49" s="3043"/>
      <c r="KDF49" s="3043"/>
      <c r="KDG49" s="3043"/>
      <c r="KDH49" s="3043"/>
      <c r="KDI49" s="3043"/>
      <c r="KDJ49" s="3043"/>
      <c r="KDK49" s="3043"/>
      <c r="KDL49" s="3043"/>
      <c r="KDM49" s="3043"/>
      <c r="KDN49" s="3043"/>
      <c r="KDO49" s="3043"/>
      <c r="KDP49" s="3043"/>
      <c r="KDQ49" s="3043"/>
      <c r="KDR49" s="3043"/>
      <c r="KDS49" s="3043"/>
      <c r="KDT49" s="3043"/>
      <c r="KDU49" s="3043"/>
      <c r="KDV49" s="3043"/>
      <c r="KDW49" s="3043"/>
      <c r="KDX49" s="3043"/>
      <c r="KDY49" s="3043"/>
      <c r="KDZ49" s="3043"/>
      <c r="KEA49" s="3043"/>
      <c r="KEB49" s="3043"/>
      <c r="KEC49" s="3043"/>
      <c r="KED49" s="3043"/>
      <c r="KEE49" s="3043"/>
      <c r="KEF49" s="3043"/>
      <c r="KEG49" s="3043"/>
      <c r="KEH49" s="3043"/>
      <c r="KEI49" s="3043"/>
      <c r="KEJ49" s="3043"/>
      <c r="KEK49" s="3043"/>
      <c r="KEL49" s="3043"/>
      <c r="KEM49" s="3043"/>
      <c r="KEN49" s="3043"/>
      <c r="KEO49" s="3043"/>
      <c r="KEP49" s="3043"/>
      <c r="KEQ49" s="3043"/>
      <c r="KER49" s="3043"/>
      <c r="KES49" s="3043"/>
      <c r="KET49" s="3043"/>
      <c r="KEU49" s="3043"/>
      <c r="KEV49" s="3043"/>
      <c r="KEW49" s="3043"/>
      <c r="KEX49" s="3043"/>
      <c r="KEY49" s="3043"/>
      <c r="KEZ49" s="3043"/>
      <c r="KFA49" s="3043"/>
      <c r="KFB49" s="3043"/>
      <c r="KFC49" s="3043"/>
      <c r="KFD49" s="3043"/>
      <c r="KFE49" s="3043"/>
      <c r="KFF49" s="3043"/>
      <c r="KFG49" s="3043"/>
      <c r="KFH49" s="3043"/>
      <c r="KFI49" s="3043"/>
      <c r="KFJ49" s="3043"/>
      <c r="KFK49" s="3043"/>
      <c r="KFL49" s="3043"/>
      <c r="KFM49" s="3043"/>
      <c r="KFN49" s="3043"/>
      <c r="KFO49" s="3043"/>
      <c r="KFP49" s="3043"/>
      <c r="KFQ49" s="3043"/>
      <c r="KFR49" s="3043"/>
      <c r="KFS49" s="3043"/>
      <c r="KFT49" s="3043"/>
      <c r="KFU49" s="3043"/>
      <c r="KFV49" s="3043"/>
      <c r="KFW49" s="3043"/>
      <c r="KFX49" s="3043"/>
      <c r="KFY49" s="3043"/>
      <c r="KFZ49" s="3043"/>
      <c r="KGA49" s="3043"/>
      <c r="KGB49" s="3043"/>
      <c r="KGC49" s="3043"/>
      <c r="KGD49" s="3043"/>
      <c r="KGE49" s="3043"/>
      <c r="KGF49" s="3043"/>
      <c r="KGG49" s="3043"/>
      <c r="KGH49" s="3043"/>
      <c r="KGI49" s="3043"/>
      <c r="KGJ49" s="3043"/>
      <c r="KGK49" s="3043"/>
      <c r="KGL49" s="3043"/>
      <c r="KGM49" s="3043"/>
      <c r="KGN49" s="3043"/>
      <c r="KGO49" s="3043"/>
      <c r="KGP49" s="3043"/>
      <c r="KGQ49" s="3043"/>
      <c r="KGR49" s="3043"/>
      <c r="KGS49" s="3043"/>
      <c r="KGT49" s="3043"/>
      <c r="KGU49" s="3043"/>
      <c r="KGV49" s="3043"/>
      <c r="KGW49" s="3043"/>
      <c r="KGX49" s="3043"/>
      <c r="KGY49" s="3043"/>
      <c r="KGZ49" s="3043"/>
      <c r="KHA49" s="3043"/>
      <c r="KHB49" s="3043"/>
      <c r="KHC49" s="3043"/>
      <c r="KHD49" s="3043"/>
      <c r="KHE49" s="3043"/>
      <c r="KHF49" s="3043"/>
      <c r="KHG49" s="3043"/>
      <c r="KHH49" s="3043"/>
      <c r="KHI49" s="3043"/>
      <c r="KHJ49" s="3043"/>
      <c r="KHK49" s="3043"/>
      <c r="KHL49" s="3043"/>
      <c r="KHM49" s="3043"/>
      <c r="KHN49" s="3043"/>
      <c r="KHO49" s="3043"/>
      <c r="KHP49" s="3043"/>
      <c r="KHQ49" s="3043"/>
      <c r="KHR49" s="3043"/>
      <c r="KHS49" s="3043"/>
      <c r="KHT49" s="3043"/>
      <c r="KHU49" s="3043"/>
      <c r="KHV49" s="3043"/>
      <c r="KHW49" s="3043"/>
      <c r="KHX49" s="3043"/>
      <c r="KHY49" s="3043"/>
      <c r="KHZ49" s="3043"/>
      <c r="KIA49" s="3043"/>
      <c r="KIB49" s="3043"/>
      <c r="KIC49" s="3043"/>
      <c r="KID49" s="3043"/>
      <c r="KIE49" s="3043"/>
      <c r="KIF49" s="3043"/>
      <c r="KIG49" s="3043"/>
      <c r="KIH49" s="3043"/>
      <c r="KII49" s="3043"/>
      <c r="KIJ49" s="3043"/>
      <c r="KIK49" s="3043"/>
      <c r="KIL49" s="3043"/>
      <c r="KIM49" s="3043"/>
      <c r="KIN49" s="3043"/>
      <c r="KIO49" s="3043"/>
      <c r="KIP49" s="3043"/>
      <c r="KIQ49" s="3043"/>
      <c r="KIR49" s="3043"/>
      <c r="KIS49" s="3043"/>
      <c r="KIT49" s="3043"/>
      <c r="KIU49" s="3043"/>
      <c r="KIV49" s="3043"/>
      <c r="KIW49" s="3043"/>
      <c r="KIX49" s="3043"/>
      <c r="KIY49" s="3043"/>
      <c r="KIZ49" s="3043"/>
      <c r="KJA49" s="3043"/>
      <c r="KJB49" s="3043"/>
      <c r="KJC49" s="3043"/>
      <c r="KJD49" s="3043"/>
      <c r="KJE49" s="3043"/>
      <c r="KJF49" s="3043"/>
      <c r="KJG49" s="3043"/>
      <c r="KJH49" s="3043"/>
      <c r="KJI49" s="3043"/>
      <c r="KJJ49" s="3043"/>
      <c r="KJK49" s="3043"/>
      <c r="KJL49" s="3043"/>
      <c r="KJM49" s="3043"/>
      <c r="KJN49" s="3043"/>
      <c r="KJO49" s="3043"/>
      <c r="KJP49" s="3043"/>
      <c r="KJQ49" s="3043"/>
      <c r="KJR49" s="3043"/>
      <c r="KJS49" s="3043"/>
      <c r="KJT49" s="3043"/>
      <c r="KJU49" s="3043"/>
      <c r="KJV49" s="3043"/>
      <c r="KJW49" s="3043"/>
      <c r="KJX49" s="3043"/>
      <c r="KJY49" s="3043"/>
      <c r="KJZ49" s="3043"/>
      <c r="KKA49" s="3043"/>
      <c r="KKB49" s="3043"/>
      <c r="KKC49" s="3043"/>
      <c r="KKD49" s="3043"/>
      <c r="KKE49" s="3043"/>
      <c r="KKF49" s="3043"/>
      <c r="KKG49" s="3043"/>
      <c r="KKH49" s="3043"/>
      <c r="KKI49" s="3043"/>
      <c r="KKJ49" s="3043"/>
      <c r="KKK49" s="3043"/>
      <c r="KKL49" s="3043"/>
      <c r="KKM49" s="3043"/>
      <c r="KKN49" s="3043"/>
      <c r="KKO49" s="3043"/>
      <c r="KKP49" s="3043"/>
      <c r="KKQ49" s="3043"/>
      <c r="KKR49" s="3043"/>
      <c r="KKS49" s="3043"/>
      <c r="KKT49" s="3043"/>
      <c r="KKU49" s="3043"/>
      <c r="KKV49" s="3043"/>
      <c r="KKW49" s="3043"/>
      <c r="KKX49" s="3043"/>
      <c r="KKY49" s="3043"/>
      <c r="KKZ49" s="3043"/>
      <c r="KLA49" s="3043"/>
      <c r="KLB49" s="3043"/>
      <c r="KLC49" s="3043"/>
      <c r="KLD49" s="3043"/>
      <c r="KLE49" s="3043"/>
      <c r="KLF49" s="3043"/>
      <c r="KLG49" s="3043"/>
      <c r="KLH49" s="3043"/>
      <c r="KLI49" s="3043"/>
      <c r="KLJ49" s="3043"/>
      <c r="KLK49" s="3043"/>
      <c r="KLL49" s="3043"/>
      <c r="KLM49" s="3043"/>
      <c r="KLN49" s="3043"/>
      <c r="KLO49" s="3043"/>
      <c r="KLP49" s="3043"/>
      <c r="KLQ49" s="3043"/>
      <c r="KLR49" s="3043"/>
      <c r="KLS49" s="3043"/>
      <c r="KLT49" s="3043"/>
      <c r="KLU49" s="3043"/>
      <c r="KLV49" s="3043"/>
      <c r="KLW49" s="3043"/>
      <c r="KLX49" s="3043"/>
      <c r="KLY49" s="3043"/>
      <c r="KLZ49" s="3043"/>
      <c r="KMA49" s="3043"/>
      <c r="KMB49" s="3043"/>
      <c r="KMC49" s="3043"/>
      <c r="KMD49" s="3043"/>
      <c r="KME49" s="3043"/>
      <c r="KMF49" s="3043"/>
      <c r="KMG49" s="3043"/>
      <c r="KMH49" s="3043"/>
      <c r="KMI49" s="3043"/>
      <c r="KMJ49" s="3043"/>
      <c r="KMK49" s="3043"/>
      <c r="KML49" s="3043"/>
      <c r="KMM49" s="3043"/>
      <c r="KMN49" s="3043"/>
      <c r="KMO49" s="3043"/>
      <c r="KMP49" s="3043"/>
      <c r="KMQ49" s="3043"/>
      <c r="KMR49" s="3043"/>
      <c r="KMS49" s="3043"/>
      <c r="KMT49" s="3043"/>
      <c r="KMU49" s="3043"/>
      <c r="KMV49" s="3043"/>
      <c r="KMW49" s="3043"/>
      <c r="KMX49" s="3043"/>
      <c r="KMY49" s="3043"/>
      <c r="KMZ49" s="3043"/>
      <c r="KNA49" s="3043"/>
      <c r="KNB49" s="3043"/>
      <c r="KNC49" s="3043"/>
      <c r="KND49" s="3043"/>
      <c r="KNE49" s="3043"/>
      <c r="KNF49" s="3043"/>
      <c r="KNG49" s="3043"/>
      <c r="KNH49" s="3043"/>
      <c r="KNI49" s="3043"/>
      <c r="KNJ49" s="3043"/>
      <c r="KNK49" s="3043"/>
      <c r="KNL49" s="3043"/>
      <c r="KNM49" s="3043"/>
      <c r="KNN49" s="3043"/>
      <c r="KNO49" s="3043"/>
      <c r="KNP49" s="3043"/>
      <c r="KNQ49" s="3043"/>
      <c r="KNR49" s="3043"/>
      <c r="KNS49" s="3043"/>
      <c r="KNT49" s="3043"/>
      <c r="KNU49" s="3043"/>
      <c r="KNV49" s="3043"/>
      <c r="KNW49" s="3043"/>
      <c r="KNX49" s="3043"/>
      <c r="KNY49" s="3043"/>
      <c r="KNZ49" s="3043"/>
      <c r="KOA49" s="3043"/>
      <c r="KOB49" s="3043"/>
      <c r="KOC49" s="3043"/>
      <c r="KOD49" s="3043"/>
      <c r="KOE49" s="3043"/>
      <c r="KOF49" s="3043"/>
      <c r="KOG49" s="3043"/>
      <c r="KOH49" s="3043"/>
      <c r="KOI49" s="3043"/>
      <c r="KOJ49" s="3043"/>
      <c r="KOK49" s="3043"/>
      <c r="KOL49" s="3043"/>
      <c r="KOM49" s="3043"/>
      <c r="KON49" s="3043"/>
      <c r="KOO49" s="3043"/>
      <c r="KOP49" s="3043"/>
      <c r="KOQ49" s="3043"/>
      <c r="KOR49" s="3043"/>
      <c r="KOS49" s="3043"/>
      <c r="KOT49" s="3043"/>
      <c r="KOU49" s="3043"/>
      <c r="KOV49" s="3043"/>
      <c r="KOW49" s="3043"/>
      <c r="KOX49" s="3043"/>
      <c r="KOY49" s="3043"/>
      <c r="KOZ49" s="3043"/>
      <c r="KPA49" s="3043"/>
      <c r="KPB49" s="3043"/>
      <c r="KPC49" s="3043"/>
      <c r="KPD49" s="3043"/>
      <c r="KPE49" s="3043"/>
      <c r="KPF49" s="3043"/>
      <c r="KPG49" s="3043"/>
      <c r="KPH49" s="3043"/>
      <c r="KPI49" s="3043"/>
      <c r="KPJ49" s="3043"/>
      <c r="KPK49" s="3043"/>
      <c r="KPL49" s="3043"/>
      <c r="KPM49" s="3043"/>
      <c r="KPN49" s="3043"/>
      <c r="KPO49" s="3043"/>
      <c r="KPP49" s="3043"/>
      <c r="KPQ49" s="3043"/>
      <c r="KPR49" s="3043"/>
      <c r="KPS49" s="3043"/>
      <c r="KPT49" s="3043"/>
      <c r="KPU49" s="3043"/>
      <c r="KPV49" s="3043"/>
      <c r="KPW49" s="3043"/>
      <c r="KPX49" s="3043"/>
      <c r="KPY49" s="3043"/>
      <c r="KPZ49" s="3043"/>
      <c r="KQA49" s="3043"/>
      <c r="KQB49" s="3043"/>
      <c r="KQC49" s="3043"/>
      <c r="KQD49" s="3043"/>
      <c r="KQE49" s="3043"/>
      <c r="KQF49" s="3043"/>
      <c r="KQG49" s="3043"/>
      <c r="KQH49" s="3043"/>
      <c r="KQI49" s="3043"/>
      <c r="KQJ49" s="3043"/>
      <c r="KQK49" s="3043"/>
      <c r="KQL49" s="3043"/>
      <c r="KQM49" s="3043"/>
      <c r="KQN49" s="3043"/>
      <c r="KQO49" s="3043"/>
      <c r="KQP49" s="3043"/>
      <c r="KQQ49" s="3043"/>
      <c r="KQR49" s="3043"/>
      <c r="KQS49" s="3043"/>
      <c r="KQT49" s="3043"/>
      <c r="KQU49" s="3043"/>
      <c r="KQV49" s="3043"/>
      <c r="KQW49" s="3043"/>
      <c r="KQX49" s="3043"/>
      <c r="KQY49" s="3043"/>
      <c r="KQZ49" s="3043"/>
      <c r="KRA49" s="3043"/>
      <c r="KRB49" s="3043"/>
      <c r="KRC49" s="3043"/>
      <c r="KRD49" s="3043"/>
      <c r="KRE49" s="3043"/>
      <c r="KRF49" s="3043"/>
      <c r="KRG49" s="3043"/>
      <c r="KRH49" s="3043"/>
      <c r="KRI49" s="3043"/>
      <c r="KRJ49" s="3043"/>
      <c r="KRK49" s="3043"/>
      <c r="KRL49" s="3043"/>
      <c r="KRM49" s="3043"/>
      <c r="KRN49" s="3043"/>
      <c r="KRO49" s="3043"/>
      <c r="KRP49" s="3043"/>
      <c r="KRQ49" s="3043"/>
      <c r="KRR49" s="3043"/>
      <c r="KRS49" s="3043"/>
      <c r="KRT49" s="3043"/>
      <c r="KRU49" s="3043"/>
      <c r="KRV49" s="3043"/>
      <c r="KRW49" s="3043"/>
      <c r="KRX49" s="3043"/>
      <c r="KRY49" s="3043"/>
      <c r="KRZ49" s="3043"/>
      <c r="KSA49" s="3043"/>
      <c r="KSB49" s="3043"/>
      <c r="KSC49" s="3043"/>
      <c r="KSD49" s="3043"/>
      <c r="KSE49" s="3043"/>
      <c r="KSF49" s="3043"/>
      <c r="KSG49" s="3043"/>
      <c r="KSH49" s="3043"/>
      <c r="KSI49" s="3043"/>
      <c r="KSJ49" s="3043"/>
      <c r="KSK49" s="3043"/>
      <c r="KSL49" s="3043"/>
      <c r="KSM49" s="3043"/>
      <c r="KSN49" s="3043"/>
      <c r="KSO49" s="3043"/>
      <c r="KSP49" s="3043"/>
      <c r="KSQ49" s="3043"/>
      <c r="KSR49" s="3043"/>
      <c r="KSS49" s="3043"/>
      <c r="KST49" s="3043"/>
      <c r="KSU49" s="3043"/>
      <c r="KSV49" s="3043"/>
      <c r="KSW49" s="3043"/>
      <c r="KSX49" s="3043"/>
      <c r="KSY49" s="3043"/>
      <c r="KSZ49" s="3043"/>
      <c r="KTA49" s="3043"/>
      <c r="KTB49" s="3043"/>
      <c r="KTC49" s="3043"/>
      <c r="KTD49" s="3043"/>
      <c r="KTE49" s="3043"/>
      <c r="KTF49" s="3043"/>
      <c r="KTG49" s="3043"/>
      <c r="KTH49" s="3043"/>
      <c r="KTI49" s="3043"/>
      <c r="KTJ49" s="3043"/>
      <c r="KTK49" s="3043"/>
      <c r="KTL49" s="3043"/>
      <c r="KTM49" s="3043"/>
      <c r="KTN49" s="3043"/>
      <c r="KTO49" s="3043"/>
      <c r="KTP49" s="3043"/>
      <c r="KTQ49" s="3043"/>
      <c r="KTR49" s="3043"/>
      <c r="KTS49" s="3043"/>
      <c r="KTT49" s="3043"/>
      <c r="KTU49" s="3043"/>
      <c r="KTV49" s="3043"/>
      <c r="KTW49" s="3043"/>
      <c r="KTX49" s="3043"/>
      <c r="KTY49" s="3043"/>
      <c r="KTZ49" s="3043"/>
      <c r="KUA49" s="3043"/>
      <c r="KUB49" s="3043"/>
      <c r="KUC49" s="3043"/>
      <c r="KUD49" s="3043"/>
      <c r="KUE49" s="3043"/>
      <c r="KUF49" s="3043"/>
      <c r="KUG49" s="3043"/>
      <c r="KUH49" s="3043"/>
      <c r="KUI49" s="3043"/>
      <c r="KUJ49" s="3043"/>
      <c r="KUK49" s="3043"/>
      <c r="KUL49" s="3043"/>
      <c r="KUM49" s="3043"/>
      <c r="KUN49" s="3043"/>
      <c r="KUO49" s="3043"/>
      <c r="KUP49" s="3043"/>
      <c r="KUQ49" s="3043"/>
      <c r="KUR49" s="3043"/>
      <c r="KUS49" s="3043"/>
      <c r="KUT49" s="3043"/>
      <c r="KUU49" s="3043"/>
      <c r="KUV49" s="3043"/>
      <c r="KUW49" s="3043"/>
      <c r="KUX49" s="3043"/>
      <c r="KUY49" s="3043"/>
      <c r="KUZ49" s="3043"/>
      <c r="KVA49" s="3043"/>
      <c r="KVB49" s="3043"/>
      <c r="KVC49" s="3043"/>
      <c r="KVD49" s="3043"/>
      <c r="KVE49" s="3043"/>
      <c r="KVF49" s="3043"/>
      <c r="KVG49" s="3043"/>
      <c r="KVH49" s="3043"/>
      <c r="KVI49" s="3043"/>
      <c r="KVJ49" s="3043"/>
      <c r="KVK49" s="3043"/>
      <c r="KVL49" s="3043"/>
      <c r="KVM49" s="3043"/>
      <c r="KVN49" s="3043"/>
      <c r="KVO49" s="3043"/>
      <c r="KVP49" s="3043"/>
      <c r="KVQ49" s="3043"/>
      <c r="KVR49" s="3043"/>
      <c r="KVS49" s="3043"/>
      <c r="KVT49" s="3043"/>
      <c r="KVU49" s="3043"/>
      <c r="KVV49" s="3043"/>
      <c r="KVW49" s="3043"/>
      <c r="KVX49" s="3043"/>
      <c r="KVY49" s="3043"/>
      <c r="KVZ49" s="3043"/>
      <c r="KWA49" s="3043"/>
      <c r="KWB49" s="3043"/>
      <c r="KWC49" s="3043"/>
      <c r="KWD49" s="3043"/>
      <c r="KWE49" s="3043"/>
      <c r="KWF49" s="3043"/>
      <c r="KWG49" s="3043"/>
      <c r="KWH49" s="3043"/>
      <c r="KWI49" s="3043"/>
      <c r="KWJ49" s="3043"/>
      <c r="KWK49" s="3043"/>
      <c r="KWL49" s="3043"/>
      <c r="KWM49" s="3043"/>
      <c r="KWN49" s="3043"/>
      <c r="KWO49" s="3043"/>
      <c r="KWP49" s="3043"/>
      <c r="KWQ49" s="3043"/>
      <c r="KWR49" s="3043"/>
      <c r="KWS49" s="3043"/>
      <c r="KWT49" s="3043"/>
      <c r="KWU49" s="3043"/>
      <c r="KWV49" s="3043"/>
      <c r="KWW49" s="3043"/>
      <c r="KWX49" s="3043"/>
      <c r="KWY49" s="3043"/>
      <c r="KWZ49" s="3043"/>
      <c r="KXA49" s="3043"/>
      <c r="KXB49" s="3043"/>
      <c r="KXC49" s="3043"/>
      <c r="KXD49" s="3043"/>
      <c r="KXE49" s="3043"/>
      <c r="KXF49" s="3043"/>
      <c r="KXG49" s="3043"/>
      <c r="KXH49" s="3043"/>
      <c r="KXI49" s="3043"/>
      <c r="KXJ49" s="3043"/>
      <c r="KXK49" s="3043"/>
      <c r="KXL49" s="3043"/>
      <c r="KXM49" s="3043"/>
      <c r="KXN49" s="3043"/>
      <c r="KXO49" s="3043"/>
      <c r="KXP49" s="3043"/>
      <c r="KXQ49" s="3043"/>
      <c r="KXR49" s="3043"/>
      <c r="KXS49" s="3043"/>
      <c r="KXT49" s="3043"/>
      <c r="KXU49" s="3043"/>
      <c r="KXV49" s="3043"/>
      <c r="KXW49" s="3043"/>
      <c r="KXX49" s="3043"/>
      <c r="KXY49" s="3043"/>
      <c r="KXZ49" s="3043"/>
      <c r="KYA49" s="3043"/>
      <c r="KYB49" s="3043"/>
      <c r="KYC49" s="3043"/>
      <c r="KYD49" s="3043"/>
      <c r="KYE49" s="3043"/>
      <c r="KYF49" s="3043"/>
      <c r="KYG49" s="3043"/>
      <c r="KYH49" s="3043"/>
      <c r="KYI49" s="3043"/>
      <c r="KYJ49" s="3043"/>
      <c r="KYK49" s="3043"/>
      <c r="KYL49" s="3043"/>
      <c r="KYM49" s="3043"/>
      <c r="KYN49" s="3043"/>
      <c r="KYO49" s="3043"/>
      <c r="KYP49" s="3043"/>
      <c r="KYQ49" s="3043"/>
      <c r="KYR49" s="3043"/>
      <c r="KYS49" s="3043"/>
      <c r="KYT49" s="3043"/>
      <c r="KYU49" s="3043"/>
      <c r="KYV49" s="3043"/>
      <c r="KYW49" s="3043"/>
      <c r="KYX49" s="3043"/>
      <c r="KYY49" s="3043"/>
      <c r="KYZ49" s="3043"/>
      <c r="KZA49" s="3043"/>
      <c r="KZB49" s="3043"/>
      <c r="KZC49" s="3043"/>
      <c r="KZD49" s="3043"/>
      <c r="KZE49" s="3043"/>
      <c r="KZF49" s="3043"/>
      <c r="KZG49" s="3043"/>
      <c r="KZH49" s="3043"/>
      <c r="KZI49" s="3043"/>
      <c r="KZJ49" s="3043"/>
      <c r="KZK49" s="3043"/>
      <c r="KZL49" s="3043"/>
      <c r="KZM49" s="3043"/>
      <c r="KZN49" s="3043"/>
      <c r="KZO49" s="3043"/>
      <c r="KZP49" s="3043"/>
      <c r="KZQ49" s="3043"/>
      <c r="KZR49" s="3043"/>
      <c r="KZS49" s="3043"/>
      <c r="KZT49" s="3043"/>
      <c r="KZU49" s="3043"/>
      <c r="KZV49" s="3043"/>
      <c r="KZW49" s="3043"/>
      <c r="KZX49" s="3043"/>
      <c r="KZY49" s="3043"/>
      <c r="KZZ49" s="3043"/>
      <c r="LAA49" s="3043"/>
      <c r="LAB49" s="3043"/>
      <c r="LAC49" s="3043"/>
      <c r="LAD49" s="3043"/>
      <c r="LAE49" s="3043"/>
      <c r="LAF49" s="3043"/>
      <c r="LAG49" s="3043"/>
      <c r="LAH49" s="3043"/>
      <c r="LAI49" s="3043"/>
      <c r="LAJ49" s="3043"/>
      <c r="LAK49" s="3043"/>
      <c r="LAL49" s="3043"/>
      <c r="LAM49" s="3043"/>
      <c r="LAN49" s="3043"/>
      <c r="LAO49" s="3043"/>
      <c r="LAP49" s="3043"/>
      <c r="LAQ49" s="3043"/>
      <c r="LAR49" s="3043"/>
      <c r="LAS49" s="3043"/>
      <c r="LAT49" s="3043"/>
      <c r="LAU49" s="3043"/>
      <c r="LAV49" s="3043"/>
      <c r="LAW49" s="3043"/>
      <c r="LAX49" s="3043"/>
      <c r="LAY49" s="3043"/>
      <c r="LAZ49" s="3043"/>
      <c r="LBA49" s="3043"/>
      <c r="LBB49" s="3043"/>
      <c r="LBC49" s="3043"/>
      <c r="LBD49" s="3043"/>
      <c r="LBE49" s="3043"/>
      <c r="LBF49" s="3043"/>
      <c r="LBG49" s="3043"/>
      <c r="LBH49" s="3043"/>
      <c r="LBI49" s="3043"/>
      <c r="LBJ49" s="3043"/>
      <c r="LBK49" s="3043"/>
      <c r="LBL49" s="3043"/>
      <c r="LBM49" s="3043"/>
      <c r="LBN49" s="3043"/>
      <c r="LBO49" s="3043"/>
      <c r="LBP49" s="3043"/>
      <c r="LBQ49" s="3043"/>
      <c r="LBR49" s="3043"/>
      <c r="LBS49" s="3043"/>
      <c r="LBT49" s="3043"/>
      <c r="LBU49" s="3043"/>
      <c r="LBV49" s="3043"/>
      <c r="LBW49" s="3043"/>
      <c r="LBX49" s="3043"/>
      <c r="LBY49" s="3043"/>
      <c r="LBZ49" s="3043"/>
      <c r="LCA49" s="3043"/>
      <c r="LCB49" s="3043"/>
      <c r="LCC49" s="3043"/>
      <c r="LCD49" s="3043"/>
      <c r="LCE49" s="3043"/>
      <c r="LCF49" s="3043"/>
      <c r="LCG49" s="3043"/>
      <c r="LCH49" s="3043"/>
      <c r="LCI49" s="3043"/>
      <c r="LCJ49" s="3043"/>
      <c r="LCK49" s="3043"/>
      <c r="LCL49" s="3043"/>
      <c r="LCM49" s="3043"/>
      <c r="LCN49" s="3043"/>
      <c r="LCO49" s="3043"/>
      <c r="LCP49" s="3043"/>
      <c r="LCQ49" s="3043"/>
      <c r="LCR49" s="3043"/>
      <c r="LCS49" s="3043"/>
      <c r="LCT49" s="3043"/>
      <c r="LCU49" s="3043"/>
      <c r="LCV49" s="3043"/>
      <c r="LCW49" s="3043"/>
      <c r="LCX49" s="3043"/>
      <c r="LCY49" s="3043"/>
      <c r="LCZ49" s="3043"/>
      <c r="LDA49" s="3043"/>
      <c r="LDB49" s="3043"/>
      <c r="LDC49" s="3043"/>
      <c r="LDD49" s="3043"/>
      <c r="LDE49" s="3043"/>
      <c r="LDF49" s="3043"/>
      <c r="LDG49" s="3043"/>
      <c r="LDH49" s="3043"/>
      <c r="LDI49" s="3043"/>
      <c r="LDJ49" s="3043"/>
      <c r="LDK49" s="3043"/>
      <c r="LDL49" s="3043"/>
      <c r="LDM49" s="3043"/>
      <c r="LDN49" s="3043"/>
      <c r="LDO49" s="3043"/>
      <c r="LDP49" s="3043"/>
      <c r="LDQ49" s="3043"/>
      <c r="LDR49" s="3043"/>
      <c r="LDS49" s="3043"/>
      <c r="LDT49" s="3043"/>
      <c r="LDU49" s="3043"/>
      <c r="LDV49" s="3043"/>
      <c r="LDW49" s="3043"/>
      <c r="LDX49" s="3043"/>
      <c r="LDY49" s="3043"/>
      <c r="LDZ49" s="3043"/>
      <c r="LEA49" s="3043"/>
      <c r="LEB49" s="3043"/>
      <c r="LEC49" s="3043"/>
      <c r="LED49" s="3043"/>
      <c r="LEE49" s="3043"/>
      <c r="LEF49" s="3043"/>
      <c r="LEG49" s="3043"/>
      <c r="LEH49" s="3043"/>
      <c r="LEI49" s="3043"/>
      <c r="LEJ49" s="3043"/>
      <c r="LEK49" s="3043"/>
      <c r="LEL49" s="3043"/>
      <c r="LEM49" s="3043"/>
      <c r="LEN49" s="3043"/>
      <c r="LEO49" s="3043"/>
      <c r="LEP49" s="3043"/>
      <c r="LEQ49" s="3043"/>
      <c r="LER49" s="3043"/>
      <c r="LES49" s="3043"/>
      <c r="LET49" s="3043"/>
      <c r="LEU49" s="3043"/>
      <c r="LEV49" s="3043"/>
      <c r="LEW49" s="3043"/>
      <c r="LEX49" s="3043"/>
      <c r="LEY49" s="3043"/>
      <c r="LEZ49" s="3043"/>
      <c r="LFA49" s="3043"/>
      <c r="LFB49" s="3043"/>
      <c r="LFC49" s="3043"/>
      <c r="LFD49" s="3043"/>
      <c r="LFE49" s="3043"/>
      <c r="LFF49" s="3043"/>
      <c r="LFG49" s="3043"/>
      <c r="LFH49" s="3043"/>
      <c r="LFI49" s="3043"/>
      <c r="LFJ49" s="3043"/>
      <c r="LFK49" s="3043"/>
      <c r="LFL49" s="3043"/>
      <c r="LFM49" s="3043"/>
      <c r="LFN49" s="3043"/>
      <c r="LFO49" s="3043"/>
      <c r="LFP49" s="3043"/>
      <c r="LFQ49" s="3043"/>
      <c r="LFR49" s="3043"/>
      <c r="LFS49" s="3043"/>
      <c r="LFT49" s="3043"/>
      <c r="LFU49" s="3043"/>
      <c r="LFV49" s="3043"/>
      <c r="LFW49" s="3043"/>
      <c r="LFX49" s="3043"/>
      <c r="LFY49" s="3043"/>
      <c r="LFZ49" s="3043"/>
      <c r="LGA49" s="3043"/>
      <c r="LGB49" s="3043"/>
      <c r="LGC49" s="3043"/>
      <c r="LGD49" s="3043"/>
      <c r="LGE49" s="3043"/>
      <c r="LGF49" s="3043"/>
      <c r="LGG49" s="3043"/>
      <c r="LGH49" s="3043"/>
      <c r="LGI49" s="3043"/>
      <c r="LGJ49" s="3043"/>
      <c r="LGK49" s="3043"/>
      <c r="LGL49" s="3043"/>
      <c r="LGM49" s="3043"/>
      <c r="LGN49" s="3043"/>
      <c r="LGO49" s="3043"/>
      <c r="LGP49" s="3043"/>
      <c r="LGQ49" s="3043"/>
      <c r="LGR49" s="3043"/>
      <c r="LGS49" s="3043"/>
      <c r="LGT49" s="3043"/>
      <c r="LGU49" s="3043"/>
      <c r="LGV49" s="3043"/>
      <c r="LGW49" s="3043"/>
      <c r="LGX49" s="3043"/>
      <c r="LGY49" s="3043"/>
      <c r="LGZ49" s="3043"/>
      <c r="LHA49" s="3043"/>
      <c r="LHB49" s="3043"/>
      <c r="LHC49" s="3043"/>
      <c r="LHD49" s="3043"/>
      <c r="LHE49" s="3043"/>
      <c r="LHF49" s="3043"/>
      <c r="LHG49" s="3043"/>
      <c r="LHH49" s="3043"/>
      <c r="LHI49" s="3043"/>
      <c r="LHJ49" s="3043"/>
      <c r="LHK49" s="3043"/>
      <c r="LHL49" s="3043"/>
      <c r="LHM49" s="3043"/>
      <c r="LHN49" s="3043"/>
      <c r="LHO49" s="3043"/>
      <c r="LHP49" s="3043"/>
      <c r="LHQ49" s="3043"/>
      <c r="LHR49" s="3043"/>
      <c r="LHS49" s="3043"/>
      <c r="LHT49" s="3043"/>
      <c r="LHU49" s="3043"/>
      <c r="LHV49" s="3043"/>
      <c r="LHW49" s="3043"/>
      <c r="LHX49" s="3043"/>
      <c r="LHY49" s="3043"/>
      <c r="LHZ49" s="3043"/>
      <c r="LIA49" s="3043"/>
      <c r="LIB49" s="3043"/>
      <c r="LIC49" s="3043"/>
      <c r="LID49" s="3043"/>
      <c r="LIE49" s="3043"/>
      <c r="LIF49" s="3043"/>
      <c r="LIG49" s="3043"/>
      <c r="LIH49" s="3043"/>
      <c r="LII49" s="3043"/>
      <c r="LIJ49" s="3043"/>
      <c r="LIK49" s="3043"/>
      <c r="LIL49" s="3043"/>
      <c r="LIM49" s="3043"/>
      <c r="LIN49" s="3043"/>
      <c r="LIO49" s="3043"/>
      <c r="LIP49" s="3043"/>
      <c r="LIQ49" s="3043"/>
      <c r="LIR49" s="3043"/>
      <c r="LIS49" s="3043"/>
      <c r="LIT49" s="3043"/>
      <c r="LIU49" s="3043"/>
      <c r="LIV49" s="3043"/>
      <c r="LIW49" s="3043"/>
      <c r="LIX49" s="3043"/>
      <c r="LIY49" s="3043"/>
      <c r="LIZ49" s="3043"/>
      <c r="LJA49" s="3043"/>
      <c r="LJB49" s="3043"/>
      <c r="LJC49" s="3043"/>
      <c r="LJD49" s="3043"/>
      <c r="LJE49" s="3043"/>
      <c r="LJF49" s="3043"/>
      <c r="LJG49" s="3043"/>
      <c r="LJH49" s="3043"/>
      <c r="LJI49" s="3043"/>
      <c r="LJJ49" s="3043"/>
      <c r="LJK49" s="3043"/>
      <c r="LJL49" s="3043"/>
      <c r="LJM49" s="3043"/>
      <c r="LJN49" s="3043"/>
      <c r="LJO49" s="3043"/>
      <c r="LJP49" s="3043"/>
      <c r="LJQ49" s="3043"/>
      <c r="LJR49" s="3043"/>
      <c r="LJS49" s="3043"/>
      <c r="LJT49" s="3043"/>
      <c r="LJU49" s="3043"/>
      <c r="LJV49" s="3043"/>
      <c r="LJW49" s="3043"/>
      <c r="LJX49" s="3043"/>
      <c r="LJY49" s="3043"/>
      <c r="LJZ49" s="3043"/>
      <c r="LKA49" s="3043"/>
      <c r="LKB49" s="3043"/>
      <c r="LKC49" s="3043"/>
      <c r="LKD49" s="3043"/>
      <c r="LKE49" s="3043"/>
      <c r="LKF49" s="3043"/>
      <c r="LKG49" s="3043"/>
      <c r="LKH49" s="3043"/>
      <c r="LKI49" s="3043"/>
      <c r="LKJ49" s="3043"/>
      <c r="LKK49" s="3043"/>
      <c r="LKL49" s="3043"/>
      <c r="LKM49" s="3043"/>
      <c r="LKN49" s="3043"/>
      <c r="LKO49" s="3043"/>
      <c r="LKP49" s="3043"/>
      <c r="LKQ49" s="3043"/>
      <c r="LKR49" s="3043"/>
      <c r="LKS49" s="3043"/>
      <c r="LKT49" s="3043"/>
      <c r="LKU49" s="3043"/>
      <c r="LKV49" s="3043"/>
      <c r="LKW49" s="3043"/>
      <c r="LKX49" s="3043"/>
      <c r="LKY49" s="3043"/>
      <c r="LKZ49" s="3043"/>
      <c r="LLA49" s="3043"/>
      <c r="LLB49" s="3043"/>
      <c r="LLC49" s="3043"/>
      <c r="LLD49" s="3043"/>
      <c r="LLE49" s="3043"/>
      <c r="LLF49" s="3043"/>
      <c r="LLG49" s="3043"/>
      <c r="LLH49" s="3043"/>
      <c r="LLI49" s="3043"/>
      <c r="LLJ49" s="3043"/>
      <c r="LLK49" s="3043"/>
      <c r="LLL49" s="3043"/>
      <c r="LLM49" s="3043"/>
      <c r="LLN49" s="3043"/>
      <c r="LLO49" s="3043"/>
      <c r="LLP49" s="3043"/>
      <c r="LLQ49" s="3043"/>
      <c r="LLR49" s="3043"/>
      <c r="LLS49" s="3043"/>
      <c r="LLT49" s="3043"/>
      <c r="LLU49" s="3043"/>
      <c r="LLV49" s="3043"/>
      <c r="LLW49" s="3043"/>
      <c r="LLX49" s="3043"/>
      <c r="LLY49" s="3043"/>
      <c r="LLZ49" s="3043"/>
      <c r="LMA49" s="3043"/>
      <c r="LMB49" s="3043"/>
      <c r="LMC49" s="3043"/>
      <c r="LMD49" s="3043"/>
      <c r="LME49" s="3043"/>
      <c r="LMF49" s="3043"/>
      <c r="LMG49" s="3043"/>
      <c r="LMH49" s="3043"/>
      <c r="LMI49" s="3043"/>
      <c r="LMJ49" s="3043"/>
      <c r="LMK49" s="3043"/>
      <c r="LML49" s="3043"/>
      <c r="LMM49" s="3043"/>
      <c r="LMN49" s="3043"/>
      <c r="LMO49" s="3043"/>
      <c r="LMP49" s="3043"/>
      <c r="LMQ49" s="3043"/>
      <c r="LMR49" s="3043"/>
      <c r="LMS49" s="3043"/>
      <c r="LMT49" s="3043"/>
      <c r="LMU49" s="3043"/>
      <c r="LMV49" s="3043"/>
      <c r="LMW49" s="3043"/>
      <c r="LMX49" s="3043"/>
      <c r="LMY49" s="3043"/>
      <c r="LMZ49" s="3043"/>
      <c r="LNA49" s="3043"/>
      <c r="LNB49" s="3043"/>
      <c r="LNC49" s="3043"/>
      <c r="LND49" s="3043"/>
      <c r="LNE49" s="3043"/>
      <c r="LNF49" s="3043"/>
      <c r="LNG49" s="3043"/>
      <c r="LNH49" s="3043"/>
      <c r="LNI49" s="3043"/>
      <c r="LNJ49" s="3043"/>
      <c r="LNK49" s="3043"/>
      <c r="LNL49" s="3043"/>
      <c r="LNM49" s="3043"/>
      <c r="LNN49" s="3043"/>
      <c r="LNO49" s="3043"/>
      <c r="LNP49" s="3043"/>
      <c r="LNQ49" s="3043"/>
      <c r="LNR49" s="3043"/>
      <c r="LNS49" s="3043"/>
      <c r="LNT49" s="3043"/>
      <c r="LNU49" s="3043"/>
      <c r="LNV49" s="3043"/>
      <c r="LNW49" s="3043"/>
      <c r="LNX49" s="3043"/>
      <c r="LNY49" s="3043"/>
      <c r="LNZ49" s="3043"/>
      <c r="LOA49" s="3043"/>
      <c r="LOB49" s="3043"/>
      <c r="LOC49" s="3043"/>
      <c r="LOD49" s="3043"/>
      <c r="LOE49" s="3043"/>
      <c r="LOF49" s="3043"/>
      <c r="LOG49" s="3043"/>
      <c r="LOH49" s="3043"/>
      <c r="LOI49" s="3043"/>
      <c r="LOJ49" s="3043"/>
      <c r="LOK49" s="3043"/>
      <c r="LOL49" s="3043"/>
      <c r="LOM49" s="3043"/>
      <c r="LON49" s="3043"/>
      <c r="LOO49" s="3043"/>
      <c r="LOP49" s="3043"/>
      <c r="LOQ49" s="3043"/>
      <c r="LOR49" s="3043"/>
      <c r="LOS49" s="3043"/>
      <c r="LOT49" s="3043"/>
      <c r="LOU49" s="3043"/>
      <c r="LOV49" s="3043"/>
      <c r="LOW49" s="3043"/>
      <c r="LOX49" s="3043"/>
      <c r="LOY49" s="3043"/>
      <c r="LOZ49" s="3043"/>
      <c r="LPA49" s="3043"/>
      <c r="LPB49" s="3043"/>
      <c r="LPC49" s="3043"/>
      <c r="LPD49" s="3043"/>
      <c r="LPE49" s="3043"/>
      <c r="LPF49" s="3043"/>
      <c r="LPG49" s="3043"/>
      <c r="LPH49" s="3043"/>
      <c r="LPI49" s="3043"/>
      <c r="LPJ49" s="3043"/>
      <c r="LPK49" s="3043"/>
      <c r="LPL49" s="3043"/>
      <c r="LPM49" s="3043"/>
      <c r="LPN49" s="3043"/>
      <c r="LPO49" s="3043"/>
      <c r="LPP49" s="3043"/>
      <c r="LPQ49" s="3043"/>
      <c r="LPR49" s="3043"/>
      <c r="LPS49" s="3043"/>
      <c r="LPT49" s="3043"/>
      <c r="LPU49" s="3043"/>
      <c r="LPV49" s="3043"/>
      <c r="LPW49" s="3043"/>
      <c r="LPX49" s="3043"/>
      <c r="LPY49" s="3043"/>
      <c r="LPZ49" s="3043"/>
      <c r="LQA49" s="3043"/>
      <c r="LQB49" s="3043"/>
      <c r="LQC49" s="3043"/>
      <c r="LQD49" s="3043"/>
      <c r="LQE49" s="3043"/>
      <c r="LQF49" s="3043"/>
      <c r="LQG49" s="3043"/>
      <c r="LQH49" s="3043"/>
      <c r="LQI49" s="3043"/>
      <c r="LQJ49" s="3043"/>
      <c r="LQK49" s="3043"/>
      <c r="LQL49" s="3043"/>
      <c r="LQM49" s="3043"/>
      <c r="LQN49" s="3043"/>
      <c r="LQO49" s="3043"/>
      <c r="LQP49" s="3043"/>
      <c r="LQQ49" s="3043"/>
      <c r="LQR49" s="3043"/>
      <c r="LQS49" s="3043"/>
      <c r="LQT49" s="3043"/>
      <c r="LQU49" s="3043"/>
      <c r="LQV49" s="3043"/>
      <c r="LQW49" s="3043"/>
      <c r="LQX49" s="3043"/>
      <c r="LQY49" s="3043"/>
      <c r="LQZ49" s="3043"/>
      <c r="LRA49" s="3043"/>
      <c r="LRB49" s="3043"/>
      <c r="LRC49" s="3043"/>
      <c r="LRD49" s="3043"/>
      <c r="LRE49" s="3043"/>
      <c r="LRF49" s="3043"/>
      <c r="LRG49" s="3043"/>
      <c r="LRH49" s="3043"/>
      <c r="LRI49" s="3043"/>
      <c r="LRJ49" s="3043"/>
      <c r="LRK49" s="3043"/>
      <c r="LRL49" s="3043"/>
      <c r="LRM49" s="3043"/>
      <c r="LRN49" s="3043"/>
      <c r="LRO49" s="3043"/>
      <c r="LRP49" s="3043"/>
      <c r="LRQ49" s="3043"/>
      <c r="LRR49" s="3043"/>
      <c r="LRS49" s="3043"/>
      <c r="LRT49" s="3043"/>
      <c r="LRU49" s="3043"/>
      <c r="LRV49" s="3043"/>
      <c r="LRW49" s="3043"/>
      <c r="LRX49" s="3043"/>
      <c r="LRY49" s="3043"/>
      <c r="LRZ49" s="3043"/>
      <c r="LSA49" s="3043"/>
      <c r="LSB49" s="3043"/>
      <c r="LSC49" s="3043"/>
      <c r="LSD49" s="3043"/>
      <c r="LSE49" s="3043"/>
      <c r="LSF49" s="3043"/>
      <c r="LSG49" s="3043"/>
      <c r="LSH49" s="3043"/>
      <c r="LSI49" s="3043"/>
      <c r="LSJ49" s="3043"/>
      <c r="LSK49" s="3043"/>
      <c r="LSL49" s="3043"/>
      <c r="LSM49" s="3043"/>
      <c r="LSN49" s="3043"/>
      <c r="LSO49" s="3043"/>
      <c r="LSP49" s="3043"/>
      <c r="LSQ49" s="3043"/>
      <c r="LSR49" s="3043"/>
      <c r="LSS49" s="3043"/>
      <c r="LST49" s="3043"/>
      <c r="LSU49" s="3043"/>
      <c r="LSV49" s="3043"/>
      <c r="LSW49" s="3043"/>
      <c r="LSX49" s="3043"/>
      <c r="LSY49" s="3043"/>
      <c r="LSZ49" s="3043"/>
      <c r="LTA49" s="3043"/>
      <c r="LTB49" s="3043"/>
      <c r="LTC49" s="3043"/>
      <c r="LTD49" s="3043"/>
      <c r="LTE49" s="3043"/>
      <c r="LTF49" s="3043"/>
      <c r="LTG49" s="3043"/>
      <c r="LTH49" s="3043"/>
      <c r="LTI49" s="3043"/>
      <c r="LTJ49" s="3043"/>
      <c r="LTK49" s="3043"/>
      <c r="LTL49" s="3043"/>
      <c r="LTM49" s="3043"/>
      <c r="LTN49" s="3043"/>
      <c r="LTO49" s="3043"/>
      <c r="LTP49" s="3043"/>
      <c r="LTQ49" s="3043"/>
      <c r="LTR49" s="3043"/>
      <c r="LTS49" s="3043"/>
      <c r="LTT49" s="3043"/>
      <c r="LTU49" s="3043"/>
      <c r="LTV49" s="3043"/>
      <c r="LTW49" s="3043"/>
      <c r="LTX49" s="3043"/>
      <c r="LTY49" s="3043"/>
      <c r="LTZ49" s="3043"/>
      <c r="LUA49" s="3043"/>
      <c r="LUB49" s="3043"/>
      <c r="LUC49" s="3043"/>
      <c r="LUD49" s="3043"/>
      <c r="LUE49" s="3043"/>
      <c r="LUF49" s="3043"/>
      <c r="LUG49" s="3043"/>
      <c r="LUH49" s="3043"/>
      <c r="LUI49" s="3043"/>
      <c r="LUJ49" s="3043"/>
      <c r="LUK49" s="3043"/>
      <c r="LUL49" s="3043"/>
      <c r="LUM49" s="3043"/>
      <c r="LUN49" s="3043"/>
      <c r="LUO49" s="3043"/>
      <c r="LUP49" s="3043"/>
      <c r="LUQ49" s="3043"/>
      <c r="LUR49" s="3043"/>
      <c r="LUS49" s="3043"/>
      <c r="LUT49" s="3043"/>
      <c r="LUU49" s="3043"/>
      <c r="LUV49" s="3043"/>
      <c r="LUW49" s="3043"/>
      <c r="LUX49" s="3043"/>
      <c r="LUY49" s="3043"/>
      <c r="LUZ49" s="3043"/>
      <c r="LVA49" s="3043"/>
      <c r="LVB49" s="3043"/>
      <c r="LVC49" s="3043"/>
      <c r="LVD49" s="3043"/>
      <c r="LVE49" s="3043"/>
      <c r="LVF49" s="3043"/>
      <c r="LVG49" s="3043"/>
      <c r="LVH49" s="3043"/>
      <c r="LVI49" s="3043"/>
      <c r="LVJ49" s="3043"/>
      <c r="LVK49" s="3043"/>
      <c r="LVL49" s="3043"/>
      <c r="LVM49" s="3043"/>
      <c r="LVN49" s="3043"/>
      <c r="LVO49" s="3043"/>
      <c r="LVP49" s="3043"/>
      <c r="LVQ49" s="3043"/>
      <c r="LVR49" s="3043"/>
      <c r="LVS49" s="3043"/>
      <c r="LVT49" s="3043"/>
      <c r="LVU49" s="3043"/>
      <c r="LVV49" s="3043"/>
      <c r="LVW49" s="3043"/>
      <c r="LVX49" s="3043"/>
      <c r="LVY49" s="3043"/>
      <c r="LVZ49" s="3043"/>
      <c r="LWA49" s="3043"/>
      <c r="LWB49" s="3043"/>
      <c r="LWC49" s="3043"/>
      <c r="LWD49" s="3043"/>
      <c r="LWE49" s="3043"/>
      <c r="LWF49" s="3043"/>
      <c r="LWG49" s="3043"/>
      <c r="LWH49" s="3043"/>
      <c r="LWI49" s="3043"/>
      <c r="LWJ49" s="3043"/>
      <c r="LWK49" s="3043"/>
      <c r="LWL49" s="3043"/>
      <c r="LWM49" s="3043"/>
      <c r="LWN49" s="3043"/>
      <c r="LWO49" s="3043"/>
      <c r="LWP49" s="3043"/>
      <c r="LWQ49" s="3043"/>
      <c r="LWR49" s="3043"/>
      <c r="LWS49" s="3043"/>
      <c r="LWT49" s="3043"/>
      <c r="LWU49" s="3043"/>
      <c r="LWV49" s="3043"/>
      <c r="LWW49" s="3043"/>
      <c r="LWX49" s="3043"/>
      <c r="LWY49" s="3043"/>
      <c r="LWZ49" s="3043"/>
      <c r="LXA49" s="3043"/>
      <c r="LXB49" s="3043"/>
      <c r="LXC49" s="3043"/>
      <c r="LXD49" s="3043"/>
      <c r="LXE49" s="3043"/>
      <c r="LXF49" s="3043"/>
      <c r="LXG49" s="3043"/>
      <c r="LXH49" s="3043"/>
      <c r="LXI49" s="3043"/>
      <c r="LXJ49" s="3043"/>
      <c r="LXK49" s="3043"/>
      <c r="LXL49" s="3043"/>
      <c r="LXM49" s="3043"/>
      <c r="LXN49" s="3043"/>
      <c r="LXO49" s="3043"/>
      <c r="LXP49" s="3043"/>
      <c r="LXQ49" s="3043"/>
      <c r="LXR49" s="3043"/>
      <c r="LXS49" s="3043"/>
      <c r="LXT49" s="3043"/>
      <c r="LXU49" s="3043"/>
      <c r="LXV49" s="3043"/>
      <c r="LXW49" s="3043"/>
      <c r="LXX49" s="3043"/>
      <c r="LXY49" s="3043"/>
      <c r="LXZ49" s="3043"/>
      <c r="LYA49" s="3043"/>
      <c r="LYB49" s="3043"/>
      <c r="LYC49" s="3043"/>
      <c r="LYD49" s="3043"/>
      <c r="LYE49" s="3043"/>
      <c r="LYF49" s="3043"/>
      <c r="LYG49" s="3043"/>
      <c r="LYH49" s="3043"/>
      <c r="LYI49" s="3043"/>
      <c r="LYJ49" s="3043"/>
      <c r="LYK49" s="3043"/>
      <c r="LYL49" s="3043"/>
      <c r="LYM49" s="3043"/>
      <c r="LYN49" s="3043"/>
      <c r="LYO49" s="3043"/>
      <c r="LYP49" s="3043"/>
      <c r="LYQ49" s="3043"/>
      <c r="LYR49" s="3043"/>
      <c r="LYS49" s="3043"/>
      <c r="LYT49" s="3043"/>
      <c r="LYU49" s="3043"/>
      <c r="LYV49" s="3043"/>
      <c r="LYW49" s="3043"/>
      <c r="LYX49" s="3043"/>
      <c r="LYY49" s="3043"/>
      <c r="LYZ49" s="3043"/>
      <c r="LZA49" s="3043"/>
      <c r="LZB49" s="3043"/>
      <c r="LZC49" s="3043"/>
      <c r="LZD49" s="3043"/>
      <c r="LZE49" s="3043"/>
      <c r="LZF49" s="3043"/>
      <c r="LZG49" s="3043"/>
      <c r="LZH49" s="3043"/>
      <c r="LZI49" s="3043"/>
      <c r="LZJ49" s="3043"/>
      <c r="LZK49" s="3043"/>
      <c r="LZL49" s="3043"/>
      <c r="LZM49" s="3043"/>
      <c r="LZN49" s="3043"/>
      <c r="LZO49" s="3043"/>
      <c r="LZP49" s="3043"/>
      <c r="LZQ49" s="3043"/>
      <c r="LZR49" s="3043"/>
      <c r="LZS49" s="3043"/>
      <c r="LZT49" s="3043"/>
      <c r="LZU49" s="3043"/>
      <c r="LZV49" s="3043"/>
      <c r="LZW49" s="3043"/>
      <c r="LZX49" s="3043"/>
      <c r="LZY49" s="3043"/>
      <c r="LZZ49" s="3043"/>
      <c r="MAA49" s="3043"/>
      <c r="MAB49" s="3043"/>
      <c r="MAC49" s="3043"/>
      <c r="MAD49" s="3043"/>
      <c r="MAE49" s="3043"/>
      <c r="MAF49" s="3043"/>
      <c r="MAG49" s="3043"/>
      <c r="MAH49" s="3043"/>
      <c r="MAI49" s="3043"/>
      <c r="MAJ49" s="3043"/>
      <c r="MAK49" s="3043"/>
      <c r="MAL49" s="3043"/>
      <c r="MAM49" s="3043"/>
      <c r="MAN49" s="3043"/>
      <c r="MAO49" s="3043"/>
      <c r="MAP49" s="3043"/>
      <c r="MAQ49" s="3043"/>
      <c r="MAR49" s="3043"/>
      <c r="MAS49" s="3043"/>
      <c r="MAT49" s="3043"/>
      <c r="MAU49" s="3043"/>
      <c r="MAV49" s="3043"/>
      <c r="MAW49" s="3043"/>
      <c r="MAX49" s="3043"/>
      <c r="MAY49" s="3043"/>
      <c r="MAZ49" s="3043"/>
      <c r="MBA49" s="3043"/>
      <c r="MBB49" s="3043"/>
      <c r="MBC49" s="3043"/>
      <c r="MBD49" s="3043"/>
      <c r="MBE49" s="3043"/>
      <c r="MBF49" s="3043"/>
      <c r="MBG49" s="3043"/>
      <c r="MBH49" s="3043"/>
      <c r="MBI49" s="3043"/>
      <c r="MBJ49" s="3043"/>
      <c r="MBK49" s="3043"/>
      <c r="MBL49" s="3043"/>
      <c r="MBM49" s="3043"/>
      <c r="MBN49" s="3043"/>
      <c r="MBO49" s="3043"/>
      <c r="MBP49" s="3043"/>
      <c r="MBQ49" s="3043"/>
      <c r="MBR49" s="3043"/>
      <c r="MBS49" s="3043"/>
      <c r="MBT49" s="3043"/>
      <c r="MBU49" s="3043"/>
      <c r="MBV49" s="3043"/>
      <c r="MBW49" s="3043"/>
      <c r="MBX49" s="3043"/>
      <c r="MBY49" s="3043"/>
      <c r="MBZ49" s="3043"/>
      <c r="MCA49" s="3043"/>
      <c r="MCB49" s="3043"/>
      <c r="MCC49" s="3043"/>
      <c r="MCD49" s="3043"/>
      <c r="MCE49" s="3043"/>
      <c r="MCF49" s="3043"/>
      <c r="MCG49" s="3043"/>
      <c r="MCH49" s="3043"/>
      <c r="MCI49" s="3043"/>
      <c r="MCJ49" s="3043"/>
      <c r="MCK49" s="3043"/>
      <c r="MCL49" s="3043"/>
      <c r="MCM49" s="3043"/>
      <c r="MCN49" s="3043"/>
      <c r="MCO49" s="3043"/>
      <c r="MCP49" s="3043"/>
      <c r="MCQ49" s="3043"/>
      <c r="MCR49" s="3043"/>
      <c r="MCS49" s="3043"/>
      <c r="MCT49" s="3043"/>
      <c r="MCU49" s="3043"/>
      <c r="MCV49" s="3043"/>
      <c r="MCW49" s="3043"/>
      <c r="MCX49" s="3043"/>
      <c r="MCY49" s="3043"/>
      <c r="MCZ49" s="3043"/>
      <c r="MDA49" s="3043"/>
      <c r="MDB49" s="3043"/>
      <c r="MDC49" s="3043"/>
      <c r="MDD49" s="3043"/>
      <c r="MDE49" s="3043"/>
      <c r="MDF49" s="3043"/>
      <c r="MDG49" s="3043"/>
      <c r="MDH49" s="3043"/>
      <c r="MDI49" s="3043"/>
      <c r="MDJ49" s="3043"/>
      <c r="MDK49" s="3043"/>
      <c r="MDL49" s="3043"/>
      <c r="MDM49" s="3043"/>
      <c r="MDN49" s="3043"/>
      <c r="MDO49" s="3043"/>
      <c r="MDP49" s="3043"/>
      <c r="MDQ49" s="3043"/>
      <c r="MDR49" s="3043"/>
      <c r="MDS49" s="3043"/>
      <c r="MDT49" s="3043"/>
      <c r="MDU49" s="3043"/>
      <c r="MDV49" s="3043"/>
      <c r="MDW49" s="3043"/>
      <c r="MDX49" s="3043"/>
      <c r="MDY49" s="3043"/>
      <c r="MDZ49" s="3043"/>
      <c r="MEA49" s="3043"/>
      <c r="MEB49" s="3043"/>
      <c r="MEC49" s="3043"/>
      <c r="MED49" s="3043"/>
      <c r="MEE49" s="3043"/>
      <c r="MEF49" s="3043"/>
      <c r="MEG49" s="3043"/>
      <c r="MEH49" s="3043"/>
      <c r="MEI49" s="3043"/>
      <c r="MEJ49" s="3043"/>
      <c r="MEK49" s="3043"/>
      <c r="MEL49" s="3043"/>
      <c r="MEM49" s="3043"/>
      <c r="MEN49" s="3043"/>
      <c r="MEO49" s="3043"/>
      <c r="MEP49" s="3043"/>
      <c r="MEQ49" s="3043"/>
      <c r="MER49" s="3043"/>
      <c r="MES49" s="3043"/>
      <c r="MET49" s="3043"/>
      <c r="MEU49" s="3043"/>
      <c r="MEV49" s="3043"/>
      <c r="MEW49" s="3043"/>
      <c r="MEX49" s="3043"/>
      <c r="MEY49" s="3043"/>
      <c r="MEZ49" s="3043"/>
      <c r="MFA49" s="3043"/>
      <c r="MFB49" s="3043"/>
      <c r="MFC49" s="3043"/>
      <c r="MFD49" s="3043"/>
      <c r="MFE49" s="3043"/>
      <c r="MFF49" s="3043"/>
      <c r="MFG49" s="3043"/>
      <c r="MFH49" s="3043"/>
      <c r="MFI49" s="3043"/>
      <c r="MFJ49" s="3043"/>
      <c r="MFK49" s="3043"/>
      <c r="MFL49" s="3043"/>
      <c r="MFM49" s="3043"/>
      <c r="MFN49" s="3043"/>
      <c r="MFO49" s="3043"/>
      <c r="MFP49" s="3043"/>
      <c r="MFQ49" s="3043"/>
      <c r="MFR49" s="3043"/>
      <c r="MFS49" s="3043"/>
      <c r="MFT49" s="3043"/>
      <c r="MFU49" s="3043"/>
      <c r="MFV49" s="3043"/>
      <c r="MFW49" s="3043"/>
      <c r="MFX49" s="3043"/>
      <c r="MFY49" s="3043"/>
      <c r="MFZ49" s="3043"/>
      <c r="MGA49" s="3043"/>
      <c r="MGB49" s="3043"/>
      <c r="MGC49" s="3043"/>
      <c r="MGD49" s="3043"/>
      <c r="MGE49" s="3043"/>
      <c r="MGF49" s="3043"/>
      <c r="MGG49" s="3043"/>
      <c r="MGH49" s="3043"/>
      <c r="MGI49" s="3043"/>
      <c r="MGJ49" s="3043"/>
      <c r="MGK49" s="3043"/>
      <c r="MGL49" s="3043"/>
      <c r="MGM49" s="3043"/>
      <c r="MGN49" s="3043"/>
      <c r="MGO49" s="3043"/>
      <c r="MGP49" s="3043"/>
      <c r="MGQ49" s="3043"/>
      <c r="MGR49" s="3043"/>
      <c r="MGS49" s="3043"/>
      <c r="MGT49" s="3043"/>
      <c r="MGU49" s="3043"/>
      <c r="MGV49" s="3043"/>
      <c r="MGW49" s="3043"/>
      <c r="MGX49" s="3043"/>
      <c r="MGY49" s="3043"/>
      <c r="MGZ49" s="3043"/>
      <c r="MHA49" s="3043"/>
      <c r="MHB49" s="3043"/>
      <c r="MHC49" s="3043"/>
      <c r="MHD49" s="3043"/>
      <c r="MHE49" s="3043"/>
      <c r="MHF49" s="3043"/>
      <c r="MHG49" s="3043"/>
      <c r="MHH49" s="3043"/>
      <c r="MHI49" s="3043"/>
      <c r="MHJ49" s="3043"/>
      <c r="MHK49" s="3043"/>
      <c r="MHL49" s="3043"/>
      <c r="MHM49" s="3043"/>
      <c r="MHN49" s="3043"/>
      <c r="MHO49" s="3043"/>
      <c r="MHP49" s="3043"/>
      <c r="MHQ49" s="3043"/>
      <c r="MHR49" s="3043"/>
      <c r="MHS49" s="3043"/>
      <c r="MHT49" s="3043"/>
      <c r="MHU49" s="3043"/>
      <c r="MHV49" s="3043"/>
      <c r="MHW49" s="3043"/>
      <c r="MHX49" s="3043"/>
      <c r="MHY49" s="3043"/>
      <c r="MHZ49" s="3043"/>
      <c r="MIA49" s="3043"/>
      <c r="MIB49" s="3043"/>
      <c r="MIC49" s="3043"/>
      <c r="MID49" s="3043"/>
      <c r="MIE49" s="3043"/>
      <c r="MIF49" s="3043"/>
      <c r="MIG49" s="3043"/>
      <c r="MIH49" s="3043"/>
      <c r="MII49" s="3043"/>
      <c r="MIJ49" s="3043"/>
      <c r="MIK49" s="3043"/>
      <c r="MIL49" s="3043"/>
      <c r="MIM49" s="3043"/>
      <c r="MIN49" s="3043"/>
      <c r="MIO49" s="3043"/>
      <c r="MIP49" s="3043"/>
      <c r="MIQ49" s="3043"/>
      <c r="MIR49" s="3043"/>
      <c r="MIS49" s="3043"/>
      <c r="MIT49" s="3043"/>
      <c r="MIU49" s="3043"/>
      <c r="MIV49" s="3043"/>
      <c r="MIW49" s="3043"/>
      <c r="MIX49" s="3043"/>
      <c r="MIY49" s="3043"/>
      <c r="MIZ49" s="3043"/>
      <c r="MJA49" s="3043"/>
      <c r="MJB49" s="3043"/>
      <c r="MJC49" s="3043"/>
      <c r="MJD49" s="3043"/>
      <c r="MJE49" s="3043"/>
      <c r="MJF49" s="3043"/>
      <c r="MJG49" s="3043"/>
      <c r="MJH49" s="3043"/>
      <c r="MJI49" s="3043"/>
      <c r="MJJ49" s="3043"/>
      <c r="MJK49" s="3043"/>
      <c r="MJL49" s="3043"/>
      <c r="MJM49" s="3043"/>
      <c r="MJN49" s="3043"/>
      <c r="MJO49" s="3043"/>
      <c r="MJP49" s="3043"/>
      <c r="MJQ49" s="3043"/>
      <c r="MJR49" s="3043"/>
      <c r="MJS49" s="3043"/>
      <c r="MJT49" s="3043"/>
      <c r="MJU49" s="3043"/>
      <c r="MJV49" s="3043"/>
      <c r="MJW49" s="3043"/>
      <c r="MJX49" s="3043"/>
      <c r="MJY49" s="3043"/>
      <c r="MJZ49" s="3043"/>
      <c r="MKA49" s="3043"/>
      <c r="MKB49" s="3043"/>
      <c r="MKC49" s="3043"/>
      <c r="MKD49" s="3043"/>
      <c r="MKE49" s="3043"/>
      <c r="MKF49" s="3043"/>
      <c r="MKG49" s="3043"/>
      <c r="MKH49" s="3043"/>
      <c r="MKI49" s="3043"/>
      <c r="MKJ49" s="3043"/>
      <c r="MKK49" s="3043"/>
      <c r="MKL49" s="3043"/>
      <c r="MKM49" s="3043"/>
      <c r="MKN49" s="3043"/>
      <c r="MKO49" s="3043"/>
      <c r="MKP49" s="3043"/>
      <c r="MKQ49" s="3043"/>
      <c r="MKR49" s="3043"/>
      <c r="MKS49" s="3043"/>
      <c r="MKT49" s="3043"/>
      <c r="MKU49" s="3043"/>
      <c r="MKV49" s="3043"/>
      <c r="MKW49" s="3043"/>
      <c r="MKX49" s="3043"/>
      <c r="MKY49" s="3043"/>
      <c r="MKZ49" s="3043"/>
      <c r="MLA49" s="3043"/>
      <c r="MLB49" s="3043"/>
      <c r="MLC49" s="3043"/>
      <c r="MLD49" s="3043"/>
      <c r="MLE49" s="3043"/>
      <c r="MLF49" s="3043"/>
      <c r="MLG49" s="3043"/>
      <c r="MLH49" s="3043"/>
      <c r="MLI49" s="3043"/>
      <c r="MLJ49" s="3043"/>
      <c r="MLK49" s="3043"/>
      <c r="MLL49" s="3043"/>
      <c r="MLM49" s="3043"/>
      <c r="MLN49" s="3043"/>
      <c r="MLO49" s="3043"/>
      <c r="MLP49" s="3043"/>
      <c r="MLQ49" s="3043"/>
      <c r="MLR49" s="3043"/>
      <c r="MLS49" s="3043"/>
      <c r="MLT49" s="3043"/>
      <c r="MLU49" s="3043"/>
      <c r="MLV49" s="3043"/>
      <c r="MLW49" s="3043"/>
      <c r="MLX49" s="3043"/>
      <c r="MLY49" s="3043"/>
      <c r="MLZ49" s="3043"/>
      <c r="MMA49" s="3043"/>
      <c r="MMB49" s="3043"/>
      <c r="MMC49" s="3043"/>
      <c r="MMD49" s="3043"/>
      <c r="MME49" s="3043"/>
      <c r="MMF49" s="3043"/>
      <c r="MMG49" s="3043"/>
      <c r="MMH49" s="3043"/>
      <c r="MMI49" s="3043"/>
      <c r="MMJ49" s="3043"/>
      <c r="MMK49" s="3043"/>
      <c r="MML49" s="3043"/>
      <c r="MMM49" s="3043"/>
      <c r="MMN49" s="3043"/>
      <c r="MMO49" s="3043"/>
      <c r="MMP49" s="3043"/>
      <c r="MMQ49" s="3043"/>
      <c r="MMR49" s="3043"/>
      <c r="MMS49" s="3043"/>
      <c r="MMT49" s="3043"/>
      <c r="MMU49" s="3043"/>
      <c r="MMV49" s="3043"/>
      <c r="MMW49" s="3043"/>
      <c r="MMX49" s="3043"/>
      <c r="MMY49" s="3043"/>
      <c r="MMZ49" s="3043"/>
      <c r="MNA49" s="3043"/>
      <c r="MNB49" s="3043"/>
      <c r="MNC49" s="3043"/>
      <c r="MND49" s="3043"/>
      <c r="MNE49" s="3043"/>
      <c r="MNF49" s="3043"/>
      <c r="MNG49" s="3043"/>
      <c r="MNH49" s="3043"/>
      <c r="MNI49" s="3043"/>
      <c r="MNJ49" s="3043"/>
      <c r="MNK49" s="3043"/>
      <c r="MNL49" s="3043"/>
      <c r="MNM49" s="3043"/>
      <c r="MNN49" s="3043"/>
      <c r="MNO49" s="3043"/>
      <c r="MNP49" s="3043"/>
      <c r="MNQ49" s="3043"/>
      <c r="MNR49" s="3043"/>
      <c r="MNS49" s="3043"/>
      <c r="MNT49" s="3043"/>
      <c r="MNU49" s="3043"/>
      <c r="MNV49" s="3043"/>
      <c r="MNW49" s="3043"/>
      <c r="MNX49" s="3043"/>
      <c r="MNY49" s="3043"/>
      <c r="MNZ49" s="3043"/>
      <c r="MOA49" s="3043"/>
      <c r="MOB49" s="3043"/>
      <c r="MOC49" s="3043"/>
      <c r="MOD49" s="3043"/>
      <c r="MOE49" s="3043"/>
      <c r="MOF49" s="3043"/>
      <c r="MOG49" s="3043"/>
      <c r="MOH49" s="3043"/>
      <c r="MOI49" s="3043"/>
      <c r="MOJ49" s="3043"/>
      <c r="MOK49" s="3043"/>
      <c r="MOL49" s="3043"/>
      <c r="MOM49" s="3043"/>
      <c r="MON49" s="3043"/>
      <c r="MOO49" s="3043"/>
      <c r="MOP49" s="3043"/>
      <c r="MOQ49" s="3043"/>
      <c r="MOR49" s="3043"/>
      <c r="MOS49" s="3043"/>
      <c r="MOT49" s="3043"/>
      <c r="MOU49" s="3043"/>
      <c r="MOV49" s="3043"/>
      <c r="MOW49" s="3043"/>
      <c r="MOX49" s="3043"/>
      <c r="MOY49" s="3043"/>
      <c r="MOZ49" s="3043"/>
      <c r="MPA49" s="3043"/>
      <c r="MPB49" s="3043"/>
      <c r="MPC49" s="3043"/>
      <c r="MPD49" s="3043"/>
      <c r="MPE49" s="3043"/>
      <c r="MPF49" s="3043"/>
      <c r="MPG49" s="3043"/>
      <c r="MPH49" s="3043"/>
      <c r="MPI49" s="3043"/>
      <c r="MPJ49" s="3043"/>
      <c r="MPK49" s="3043"/>
      <c r="MPL49" s="3043"/>
      <c r="MPM49" s="3043"/>
      <c r="MPN49" s="3043"/>
      <c r="MPO49" s="3043"/>
      <c r="MPP49" s="3043"/>
      <c r="MPQ49" s="3043"/>
      <c r="MPR49" s="3043"/>
      <c r="MPS49" s="3043"/>
      <c r="MPT49" s="3043"/>
      <c r="MPU49" s="3043"/>
      <c r="MPV49" s="3043"/>
      <c r="MPW49" s="3043"/>
      <c r="MPX49" s="3043"/>
      <c r="MPY49" s="3043"/>
      <c r="MPZ49" s="3043"/>
      <c r="MQA49" s="3043"/>
      <c r="MQB49" s="3043"/>
      <c r="MQC49" s="3043"/>
      <c r="MQD49" s="3043"/>
      <c r="MQE49" s="3043"/>
      <c r="MQF49" s="3043"/>
      <c r="MQG49" s="3043"/>
      <c r="MQH49" s="3043"/>
      <c r="MQI49" s="3043"/>
      <c r="MQJ49" s="3043"/>
      <c r="MQK49" s="3043"/>
      <c r="MQL49" s="3043"/>
      <c r="MQM49" s="3043"/>
      <c r="MQN49" s="3043"/>
      <c r="MQO49" s="3043"/>
      <c r="MQP49" s="3043"/>
      <c r="MQQ49" s="3043"/>
      <c r="MQR49" s="3043"/>
      <c r="MQS49" s="3043"/>
      <c r="MQT49" s="3043"/>
      <c r="MQU49" s="3043"/>
      <c r="MQV49" s="3043"/>
      <c r="MQW49" s="3043"/>
      <c r="MQX49" s="3043"/>
      <c r="MQY49" s="3043"/>
      <c r="MQZ49" s="3043"/>
      <c r="MRA49" s="3043"/>
      <c r="MRB49" s="3043"/>
      <c r="MRC49" s="3043"/>
      <c r="MRD49" s="3043"/>
      <c r="MRE49" s="3043"/>
      <c r="MRF49" s="3043"/>
      <c r="MRG49" s="3043"/>
      <c r="MRH49" s="3043"/>
      <c r="MRI49" s="3043"/>
      <c r="MRJ49" s="3043"/>
      <c r="MRK49" s="3043"/>
      <c r="MRL49" s="3043"/>
      <c r="MRM49" s="3043"/>
      <c r="MRN49" s="3043"/>
      <c r="MRO49" s="3043"/>
      <c r="MRP49" s="3043"/>
      <c r="MRQ49" s="3043"/>
      <c r="MRR49" s="3043"/>
      <c r="MRS49" s="3043"/>
      <c r="MRT49" s="3043"/>
      <c r="MRU49" s="3043"/>
      <c r="MRV49" s="3043"/>
      <c r="MRW49" s="3043"/>
      <c r="MRX49" s="3043"/>
      <c r="MRY49" s="3043"/>
      <c r="MRZ49" s="3043"/>
      <c r="MSA49" s="3043"/>
      <c r="MSB49" s="3043"/>
      <c r="MSC49" s="3043"/>
      <c r="MSD49" s="3043"/>
      <c r="MSE49" s="3043"/>
      <c r="MSF49" s="3043"/>
      <c r="MSG49" s="3043"/>
      <c r="MSH49" s="3043"/>
      <c r="MSI49" s="3043"/>
      <c r="MSJ49" s="3043"/>
      <c r="MSK49" s="3043"/>
      <c r="MSL49" s="3043"/>
      <c r="MSM49" s="3043"/>
      <c r="MSN49" s="3043"/>
      <c r="MSO49" s="3043"/>
      <c r="MSP49" s="3043"/>
      <c r="MSQ49" s="3043"/>
      <c r="MSR49" s="3043"/>
      <c r="MSS49" s="3043"/>
      <c r="MST49" s="3043"/>
      <c r="MSU49" s="3043"/>
      <c r="MSV49" s="3043"/>
      <c r="MSW49" s="3043"/>
      <c r="MSX49" s="3043"/>
      <c r="MSY49" s="3043"/>
      <c r="MSZ49" s="3043"/>
      <c r="MTA49" s="3043"/>
      <c r="MTB49" s="3043"/>
      <c r="MTC49" s="3043"/>
      <c r="MTD49" s="3043"/>
      <c r="MTE49" s="3043"/>
      <c r="MTF49" s="3043"/>
      <c r="MTG49" s="3043"/>
      <c r="MTH49" s="3043"/>
      <c r="MTI49" s="3043"/>
      <c r="MTJ49" s="3043"/>
      <c r="MTK49" s="3043"/>
      <c r="MTL49" s="3043"/>
      <c r="MTM49" s="3043"/>
      <c r="MTN49" s="3043"/>
      <c r="MTO49" s="3043"/>
      <c r="MTP49" s="3043"/>
      <c r="MTQ49" s="3043"/>
      <c r="MTR49" s="3043"/>
      <c r="MTS49" s="3043"/>
      <c r="MTT49" s="3043"/>
      <c r="MTU49" s="3043"/>
      <c r="MTV49" s="3043"/>
      <c r="MTW49" s="3043"/>
      <c r="MTX49" s="3043"/>
      <c r="MTY49" s="3043"/>
      <c r="MTZ49" s="3043"/>
      <c r="MUA49" s="3043"/>
      <c r="MUB49" s="3043"/>
      <c r="MUC49" s="3043"/>
      <c r="MUD49" s="3043"/>
      <c r="MUE49" s="3043"/>
      <c r="MUF49" s="3043"/>
      <c r="MUG49" s="3043"/>
      <c r="MUH49" s="3043"/>
      <c r="MUI49" s="3043"/>
      <c r="MUJ49" s="3043"/>
      <c r="MUK49" s="3043"/>
      <c r="MUL49" s="3043"/>
      <c r="MUM49" s="3043"/>
      <c r="MUN49" s="3043"/>
      <c r="MUO49" s="3043"/>
      <c r="MUP49" s="3043"/>
      <c r="MUQ49" s="3043"/>
      <c r="MUR49" s="3043"/>
      <c r="MUS49" s="3043"/>
      <c r="MUT49" s="3043"/>
      <c r="MUU49" s="3043"/>
      <c r="MUV49" s="3043"/>
      <c r="MUW49" s="3043"/>
      <c r="MUX49" s="3043"/>
      <c r="MUY49" s="3043"/>
      <c r="MUZ49" s="3043"/>
      <c r="MVA49" s="3043"/>
      <c r="MVB49" s="3043"/>
      <c r="MVC49" s="3043"/>
      <c r="MVD49" s="3043"/>
      <c r="MVE49" s="3043"/>
      <c r="MVF49" s="3043"/>
      <c r="MVG49" s="3043"/>
      <c r="MVH49" s="3043"/>
      <c r="MVI49" s="3043"/>
      <c r="MVJ49" s="3043"/>
      <c r="MVK49" s="3043"/>
      <c r="MVL49" s="3043"/>
      <c r="MVM49" s="3043"/>
      <c r="MVN49" s="3043"/>
      <c r="MVO49" s="3043"/>
      <c r="MVP49" s="3043"/>
      <c r="MVQ49" s="3043"/>
      <c r="MVR49" s="3043"/>
      <c r="MVS49" s="3043"/>
      <c r="MVT49" s="3043"/>
      <c r="MVU49" s="3043"/>
      <c r="MVV49" s="3043"/>
      <c r="MVW49" s="3043"/>
      <c r="MVX49" s="3043"/>
      <c r="MVY49" s="3043"/>
      <c r="MVZ49" s="3043"/>
      <c r="MWA49" s="3043"/>
      <c r="MWB49" s="3043"/>
      <c r="MWC49" s="3043"/>
      <c r="MWD49" s="3043"/>
      <c r="MWE49" s="3043"/>
      <c r="MWF49" s="3043"/>
      <c r="MWG49" s="3043"/>
      <c r="MWH49" s="3043"/>
      <c r="MWI49" s="3043"/>
      <c r="MWJ49" s="3043"/>
      <c r="MWK49" s="3043"/>
      <c r="MWL49" s="3043"/>
      <c r="MWM49" s="3043"/>
      <c r="MWN49" s="3043"/>
      <c r="MWO49" s="3043"/>
      <c r="MWP49" s="3043"/>
      <c r="MWQ49" s="3043"/>
      <c r="MWR49" s="3043"/>
      <c r="MWS49" s="3043"/>
      <c r="MWT49" s="3043"/>
      <c r="MWU49" s="3043"/>
      <c r="MWV49" s="3043"/>
      <c r="MWW49" s="3043"/>
      <c r="MWX49" s="3043"/>
      <c r="MWY49" s="3043"/>
      <c r="MWZ49" s="3043"/>
      <c r="MXA49" s="3043"/>
      <c r="MXB49" s="3043"/>
      <c r="MXC49" s="3043"/>
      <c r="MXD49" s="3043"/>
      <c r="MXE49" s="3043"/>
      <c r="MXF49" s="3043"/>
      <c r="MXG49" s="3043"/>
      <c r="MXH49" s="3043"/>
      <c r="MXI49" s="3043"/>
      <c r="MXJ49" s="3043"/>
      <c r="MXK49" s="3043"/>
      <c r="MXL49" s="3043"/>
      <c r="MXM49" s="3043"/>
      <c r="MXN49" s="3043"/>
      <c r="MXO49" s="3043"/>
      <c r="MXP49" s="3043"/>
      <c r="MXQ49" s="3043"/>
      <c r="MXR49" s="3043"/>
      <c r="MXS49" s="3043"/>
      <c r="MXT49" s="3043"/>
      <c r="MXU49" s="3043"/>
      <c r="MXV49" s="3043"/>
      <c r="MXW49" s="3043"/>
      <c r="MXX49" s="3043"/>
      <c r="MXY49" s="3043"/>
      <c r="MXZ49" s="3043"/>
      <c r="MYA49" s="3043"/>
      <c r="MYB49" s="3043"/>
      <c r="MYC49" s="3043"/>
      <c r="MYD49" s="3043"/>
      <c r="MYE49" s="3043"/>
      <c r="MYF49" s="3043"/>
      <c r="MYG49" s="3043"/>
      <c r="MYH49" s="3043"/>
      <c r="MYI49" s="3043"/>
      <c r="MYJ49" s="3043"/>
      <c r="MYK49" s="3043"/>
      <c r="MYL49" s="3043"/>
      <c r="MYM49" s="3043"/>
      <c r="MYN49" s="3043"/>
      <c r="MYO49" s="3043"/>
      <c r="MYP49" s="3043"/>
      <c r="MYQ49" s="3043"/>
      <c r="MYR49" s="3043"/>
      <c r="MYS49" s="3043"/>
      <c r="MYT49" s="3043"/>
      <c r="MYU49" s="3043"/>
      <c r="MYV49" s="3043"/>
      <c r="MYW49" s="3043"/>
      <c r="MYX49" s="3043"/>
      <c r="MYY49" s="3043"/>
      <c r="MYZ49" s="3043"/>
      <c r="MZA49" s="3043"/>
      <c r="MZB49" s="3043"/>
      <c r="MZC49" s="3043"/>
      <c r="MZD49" s="3043"/>
      <c r="MZE49" s="3043"/>
      <c r="MZF49" s="3043"/>
      <c r="MZG49" s="3043"/>
      <c r="MZH49" s="3043"/>
      <c r="MZI49" s="3043"/>
      <c r="MZJ49" s="3043"/>
      <c r="MZK49" s="3043"/>
      <c r="MZL49" s="3043"/>
      <c r="MZM49" s="3043"/>
      <c r="MZN49" s="3043"/>
      <c r="MZO49" s="3043"/>
      <c r="MZP49" s="3043"/>
      <c r="MZQ49" s="3043"/>
      <c r="MZR49" s="3043"/>
      <c r="MZS49" s="3043"/>
      <c r="MZT49" s="3043"/>
      <c r="MZU49" s="3043"/>
      <c r="MZV49" s="3043"/>
      <c r="MZW49" s="3043"/>
      <c r="MZX49" s="3043"/>
      <c r="MZY49" s="3043"/>
      <c r="MZZ49" s="3043"/>
      <c r="NAA49" s="3043"/>
      <c r="NAB49" s="3043"/>
      <c r="NAC49" s="3043"/>
      <c r="NAD49" s="3043"/>
      <c r="NAE49" s="3043"/>
      <c r="NAF49" s="3043"/>
      <c r="NAG49" s="3043"/>
      <c r="NAH49" s="3043"/>
      <c r="NAI49" s="3043"/>
      <c r="NAJ49" s="3043"/>
      <c r="NAK49" s="3043"/>
      <c r="NAL49" s="3043"/>
      <c r="NAM49" s="3043"/>
      <c r="NAN49" s="3043"/>
      <c r="NAO49" s="3043"/>
      <c r="NAP49" s="3043"/>
      <c r="NAQ49" s="3043"/>
      <c r="NAR49" s="3043"/>
      <c r="NAS49" s="3043"/>
      <c r="NAT49" s="3043"/>
      <c r="NAU49" s="3043"/>
      <c r="NAV49" s="3043"/>
      <c r="NAW49" s="3043"/>
      <c r="NAX49" s="3043"/>
      <c r="NAY49" s="3043"/>
      <c r="NAZ49" s="3043"/>
      <c r="NBA49" s="3043"/>
      <c r="NBB49" s="3043"/>
      <c r="NBC49" s="3043"/>
      <c r="NBD49" s="3043"/>
      <c r="NBE49" s="3043"/>
      <c r="NBF49" s="3043"/>
      <c r="NBG49" s="3043"/>
      <c r="NBH49" s="3043"/>
      <c r="NBI49" s="3043"/>
      <c r="NBJ49" s="3043"/>
      <c r="NBK49" s="3043"/>
      <c r="NBL49" s="3043"/>
      <c r="NBM49" s="3043"/>
      <c r="NBN49" s="3043"/>
      <c r="NBO49" s="3043"/>
      <c r="NBP49" s="3043"/>
      <c r="NBQ49" s="3043"/>
      <c r="NBR49" s="3043"/>
      <c r="NBS49" s="3043"/>
      <c r="NBT49" s="3043"/>
      <c r="NBU49" s="3043"/>
      <c r="NBV49" s="3043"/>
      <c r="NBW49" s="3043"/>
      <c r="NBX49" s="3043"/>
      <c r="NBY49" s="3043"/>
      <c r="NBZ49" s="3043"/>
      <c r="NCA49" s="3043"/>
      <c r="NCB49" s="3043"/>
      <c r="NCC49" s="3043"/>
      <c r="NCD49" s="3043"/>
      <c r="NCE49" s="3043"/>
      <c r="NCF49" s="3043"/>
      <c r="NCG49" s="3043"/>
      <c r="NCH49" s="3043"/>
      <c r="NCI49" s="3043"/>
      <c r="NCJ49" s="3043"/>
      <c r="NCK49" s="3043"/>
      <c r="NCL49" s="3043"/>
      <c r="NCM49" s="3043"/>
      <c r="NCN49" s="3043"/>
      <c r="NCO49" s="3043"/>
      <c r="NCP49" s="3043"/>
      <c r="NCQ49" s="3043"/>
      <c r="NCR49" s="3043"/>
      <c r="NCS49" s="3043"/>
      <c r="NCT49" s="3043"/>
      <c r="NCU49" s="3043"/>
      <c r="NCV49" s="3043"/>
      <c r="NCW49" s="3043"/>
      <c r="NCX49" s="3043"/>
      <c r="NCY49" s="3043"/>
      <c r="NCZ49" s="3043"/>
      <c r="NDA49" s="3043"/>
      <c r="NDB49" s="3043"/>
      <c r="NDC49" s="3043"/>
      <c r="NDD49" s="3043"/>
      <c r="NDE49" s="3043"/>
      <c r="NDF49" s="3043"/>
      <c r="NDG49" s="3043"/>
      <c r="NDH49" s="3043"/>
      <c r="NDI49" s="3043"/>
      <c r="NDJ49" s="3043"/>
      <c r="NDK49" s="3043"/>
      <c r="NDL49" s="3043"/>
      <c r="NDM49" s="3043"/>
      <c r="NDN49" s="3043"/>
      <c r="NDO49" s="3043"/>
      <c r="NDP49" s="3043"/>
      <c r="NDQ49" s="3043"/>
      <c r="NDR49" s="3043"/>
      <c r="NDS49" s="3043"/>
      <c r="NDT49" s="3043"/>
      <c r="NDU49" s="3043"/>
      <c r="NDV49" s="3043"/>
      <c r="NDW49" s="3043"/>
      <c r="NDX49" s="3043"/>
      <c r="NDY49" s="3043"/>
      <c r="NDZ49" s="3043"/>
      <c r="NEA49" s="3043"/>
      <c r="NEB49" s="3043"/>
      <c r="NEC49" s="3043"/>
      <c r="NED49" s="3043"/>
      <c r="NEE49" s="3043"/>
      <c r="NEF49" s="3043"/>
      <c r="NEG49" s="3043"/>
      <c r="NEH49" s="3043"/>
      <c r="NEI49" s="3043"/>
      <c r="NEJ49" s="3043"/>
      <c r="NEK49" s="3043"/>
      <c r="NEL49" s="3043"/>
      <c r="NEM49" s="3043"/>
      <c r="NEN49" s="3043"/>
      <c r="NEO49" s="3043"/>
      <c r="NEP49" s="3043"/>
      <c r="NEQ49" s="3043"/>
      <c r="NER49" s="3043"/>
      <c r="NES49" s="3043"/>
      <c r="NET49" s="3043"/>
      <c r="NEU49" s="3043"/>
      <c r="NEV49" s="3043"/>
      <c r="NEW49" s="3043"/>
      <c r="NEX49" s="3043"/>
      <c r="NEY49" s="3043"/>
      <c r="NEZ49" s="3043"/>
      <c r="NFA49" s="3043"/>
      <c r="NFB49" s="3043"/>
      <c r="NFC49" s="3043"/>
      <c r="NFD49" s="3043"/>
      <c r="NFE49" s="3043"/>
      <c r="NFF49" s="3043"/>
      <c r="NFG49" s="3043"/>
      <c r="NFH49" s="3043"/>
      <c r="NFI49" s="3043"/>
      <c r="NFJ49" s="3043"/>
      <c r="NFK49" s="3043"/>
      <c r="NFL49" s="3043"/>
      <c r="NFM49" s="3043"/>
      <c r="NFN49" s="3043"/>
      <c r="NFO49" s="3043"/>
      <c r="NFP49" s="3043"/>
      <c r="NFQ49" s="3043"/>
      <c r="NFR49" s="3043"/>
      <c r="NFS49" s="3043"/>
      <c r="NFT49" s="3043"/>
      <c r="NFU49" s="3043"/>
      <c r="NFV49" s="3043"/>
      <c r="NFW49" s="3043"/>
      <c r="NFX49" s="3043"/>
      <c r="NFY49" s="3043"/>
      <c r="NFZ49" s="3043"/>
      <c r="NGA49" s="3043"/>
      <c r="NGB49" s="3043"/>
      <c r="NGC49" s="3043"/>
      <c r="NGD49" s="3043"/>
      <c r="NGE49" s="3043"/>
      <c r="NGF49" s="3043"/>
      <c r="NGG49" s="3043"/>
      <c r="NGH49" s="3043"/>
      <c r="NGI49" s="3043"/>
      <c r="NGJ49" s="3043"/>
      <c r="NGK49" s="3043"/>
      <c r="NGL49" s="3043"/>
      <c r="NGM49" s="3043"/>
      <c r="NGN49" s="3043"/>
      <c r="NGO49" s="3043"/>
      <c r="NGP49" s="3043"/>
      <c r="NGQ49" s="3043"/>
      <c r="NGR49" s="3043"/>
      <c r="NGS49" s="3043"/>
      <c r="NGT49" s="3043"/>
      <c r="NGU49" s="3043"/>
      <c r="NGV49" s="3043"/>
      <c r="NGW49" s="3043"/>
      <c r="NGX49" s="3043"/>
      <c r="NGY49" s="3043"/>
      <c r="NGZ49" s="3043"/>
      <c r="NHA49" s="3043"/>
      <c r="NHB49" s="3043"/>
      <c r="NHC49" s="3043"/>
      <c r="NHD49" s="3043"/>
      <c r="NHE49" s="3043"/>
      <c r="NHF49" s="3043"/>
      <c r="NHG49" s="3043"/>
      <c r="NHH49" s="3043"/>
      <c r="NHI49" s="3043"/>
      <c r="NHJ49" s="3043"/>
      <c r="NHK49" s="3043"/>
      <c r="NHL49" s="3043"/>
      <c r="NHM49" s="3043"/>
      <c r="NHN49" s="3043"/>
      <c r="NHO49" s="3043"/>
      <c r="NHP49" s="3043"/>
      <c r="NHQ49" s="3043"/>
      <c r="NHR49" s="3043"/>
      <c r="NHS49" s="3043"/>
      <c r="NHT49" s="3043"/>
      <c r="NHU49" s="3043"/>
      <c r="NHV49" s="3043"/>
      <c r="NHW49" s="3043"/>
      <c r="NHX49" s="3043"/>
      <c r="NHY49" s="3043"/>
      <c r="NHZ49" s="3043"/>
      <c r="NIA49" s="3043"/>
      <c r="NIB49" s="3043"/>
      <c r="NIC49" s="3043"/>
      <c r="NID49" s="3043"/>
      <c r="NIE49" s="3043"/>
      <c r="NIF49" s="3043"/>
      <c r="NIG49" s="3043"/>
      <c r="NIH49" s="3043"/>
      <c r="NII49" s="3043"/>
      <c r="NIJ49" s="3043"/>
      <c r="NIK49" s="3043"/>
      <c r="NIL49" s="3043"/>
      <c r="NIM49" s="3043"/>
      <c r="NIN49" s="3043"/>
      <c r="NIO49" s="3043"/>
      <c r="NIP49" s="3043"/>
      <c r="NIQ49" s="3043"/>
      <c r="NIR49" s="3043"/>
      <c r="NIS49" s="3043"/>
      <c r="NIT49" s="3043"/>
      <c r="NIU49" s="3043"/>
      <c r="NIV49" s="3043"/>
      <c r="NIW49" s="3043"/>
      <c r="NIX49" s="3043"/>
      <c r="NIY49" s="3043"/>
      <c r="NIZ49" s="3043"/>
      <c r="NJA49" s="3043"/>
      <c r="NJB49" s="3043"/>
      <c r="NJC49" s="3043"/>
      <c r="NJD49" s="3043"/>
      <c r="NJE49" s="3043"/>
      <c r="NJF49" s="3043"/>
      <c r="NJG49" s="3043"/>
      <c r="NJH49" s="3043"/>
      <c r="NJI49" s="3043"/>
      <c r="NJJ49" s="3043"/>
      <c r="NJK49" s="3043"/>
      <c r="NJL49" s="3043"/>
      <c r="NJM49" s="3043"/>
      <c r="NJN49" s="3043"/>
      <c r="NJO49" s="3043"/>
      <c r="NJP49" s="3043"/>
      <c r="NJQ49" s="3043"/>
      <c r="NJR49" s="3043"/>
      <c r="NJS49" s="3043"/>
      <c r="NJT49" s="3043"/>
      <c r="NJU49" s="3043"/>
      <c r="NJV49" s="3043"/>
      <c r="NJW49" s="3043"/>
      <c r="NJX49" s="3043"/>
      <c r="NJY49" s="3043"/>
      <c r="NJZ49" s="3043"/>
      <c r="NKA49" s="3043"/>
      <c r="NKB49" s="3043"/>
      <c r="NKC49" s="3043"/>
      <c r="NKD49" s="3043"/>
      <c r="NKE49" s="3043"/>
      <c r="NKF49" s="3043"/>
      <c r="NKG49" s="3043"/>
      <c r="NKH49" s="3043"/>
      <c r="NKI49" s="3043"/>
      <c r="NKJ49" s="3043"/>
      <c r="NKK49" s="3043"/>
      <c r="NKL49" s="3043"/>
      <c r="NKM49" s="3043"/>
      <c r="NKN49" s="3043"/>
      <c r="NKO49" s="3043"/>
      <c r="NKP49" s="3043"/>
      <c r="NKQ49" s="3043"/>
      <c r="NKR49" s="3043"/>
      <c r="NKS49" s="3043"/>
      <c r="NKT49" s="3043"/>
      <c r="NKU49" s="3043"/>
      <c r="NKV49" s="3043"/>
      <c r="NKW49" s="3043"/>
      <c r="NKX49" s="3043"/>
      <c r="NKY49" s="3043"/>
      <c r="NKZ49" s="3043"/>
      <c r="NLA49" s="3043"/>
      <c r="NLB49" s="3043"/>
      <c r="NLC49" s="3043"/>
      <c r="NLD49" s="3043"/>
      <c r="NLE49" s="3043"/>
      <c r="NLF49" s="3043"/>
      <c r="NLG49" s="3043"/>
      <c r="NLH49" s="3043"/>
      <c r="NLI49" s="3043"/>
      <c r="NLJ49" s="3043"/>
      <c r="NLK49" s="3043"/>
      <c r="NLL49" s="3043"/>
      <c r="NLM49" s="3043"/>
      <c r="NLN49" s="3043"/>
      <c r="NLO49" s="3043"/>
      <c r="NLP49" s="3043"/>
      <c r="NLQ49" s="3043"/>
      <c r="NLR49" s="3043"/>
      <c r="NLS49" s="3043"/>
      <c r="NLT49" s="3043"/>
      <c r="NLU49" s="3043"/>
      <c r="NLV49" s="3043"/>
      <c r="NLW49" s="3043"/>
      <c r="NLX49" s="3043"/>
      <c r="NLY49" s="3043"/>
      <c r="NLZ49" s="3043"/>
      <c r="NMA49" s="3043"/>
      <c r="NMB49" s="3043"/>
      <c r="NMC49" s="3043"/>
      <c r="NMD49" s="3043"/>
      <c r="NME49" s="3043"/>
      <c r="NMF49" s="3043"/>
      <c r="NMG49" s="3043"/>
      <c r="NMH49" s="3043"/>
      <c r="NMI49" s="3043"/>
      <c r="NMJ49" s="3043"/>
      <c r="NMK49" s="3043"/>
      <c r="NML49" s="3043"/>
      <c r="NMM49" s="3043"/>
      <c r="NMN49" s="3043"/>
      <c r="NMO49" s="3043"/>
      <c r="NMP49" s="3043"/>
      <c r="NMQ49" s="3043"/>
      <c r="NMR49" s="3043"/>
      <c r="NMS49" s="3043"/>
      <c r="NMT49" s="3043"/>
      <c r="NMU49" s="3043"/>
      <c r="NMV49" s="3043"/>
      <c r="NMW49" s="3043"/>
      <c r="NMX49" s="3043"/>
      <c r="NMY49" s="3043"/>
      <c r="NMZ49" s="3043"/>
      <c r="NNA49" s="3043"/>
      <c r="NNB49" s="3043"/>
      <c r="NNC49" s="3043"/>
      <c r="NND49" s="3043"/>
      <c r="NNE49" s="3043"/>
      <c r="NNF49" s="3043"/>
      <c r="NNG49" s="3043"/>
      <c r="NNH49" s="3043"/>
      <c r="NNI49" s="3043"/>
      <c r="NNJ49" s="3043"/>
      <c r="NNK49" s="3043"/>
      <c r="NNL49" s="3043"/>
      <c r="NNM49" s="3043"/>
      <c r="NNN49" s="3043"/>
      <c r="NNO49" s="3043"/>
      <c r="NNP49" s="3043"/>
      <c r="NNQ49" s="3043"/>
      <c r="NNR49" s="3043"/>
      <c r="NNS49" s="3043"/>
      <c r="NNT49" s="3043"/>
      <c r="NNU49" s="3043"/>
      <c r="NNV49" s="3043"/>
      <c r="NNW49" s="3043"/>
      <c r="NNX49" s="3043"/>
      <c r="NNY49" s="3043"/>
      <c r="NNZ49" s="3043"/>
      <c r="NOA49" s="3043"/>
      <c r="NOB49" s="3043"/>
      <c r="NOC49" s="3043"/>
      <c r="NOD49" s="3043"/>
      <c r="NOE49" s="3043"/>
      <c r="NOF49" s="3043"/>
      <c r="NOG49" s="3043"/>
      <c r="NOH49" s="3043"/>
      <c r="NOI49" s="3043"/>
      <c r="NOJ49" s="3043"/>
      <c r="NOK49" s="3043"/>
      <c r="NOL49" s="3043"/>
      <c r="NOM49" s="3043"/>
      <c r="NON49" s="3043"/>
      <c r="NOO49" s="3043"/>
      <c r="NOP49" s="3043"/>
      <c r="NOQ49" s="3043"/>
      <c r="NOR49" s="3043"/>
      <c r="NOS49" s="3043"/>
      <c r="NOT49" s="3043"/>
      <c r="NOU49" s="3043"/>
      <c r="NOV49" s="3043"/>
      <c r="NOW49" s="3043"/>
      <c r="NOX49" s="3043"/>
      <c r="NOY49" s="3043"/>
      <c r="NOZ49" s="3043"/>
      <c r="NPA49" s="3043"/>
      <c r="NPB49" s="3043"/>
      <c r="NPC49" s="3043"/>
      <c r="NPD49" s="3043"/>
      <c r="NPE49" s="3043"/>
      <c r="NPF49" s="3043"/>
      <c r="NPG49" s="3043"/>
      <c r="NPH49" s="3043"/>
      <c r="NPI49" s="3043"/>
      <c r="NPJ49" s="3043"/>
      <c r="NPK49" s="3043"/>
      <c r="NPL49" s="3043"/>
      <c r="NPM49" s="3043"/>
      <c r="NPN49" s="3043"/>
      <c r="NPO49" s="3043"/>
      <c r="NPP49" s="3043"/>
      <c r="NPQ49" s="3043"/>
      <c r="NPR49" s="3043"/>
      <c r="NPS49" s="3043"/>
      <c r="NPT49" s="3043"/>
      <c r="NPU49" s="3043"/>
      <c r="NPV49" s="3043"/>
      <c r="NPW49" s="3043"/>
      <c r="NPX49" s="3043"/>
      <c r="NPY49" s="3043"/>
      <c r="NPZ49" s="3043"/>
      <c r="NQA49" s="3043"/>
      <c r="NQB49" s="3043"/>
      <c r="NQC49" s="3043"/>
      <c r="NQD49" s="3043"/>
      <c r="NQE49" s="3043"/>
      <c r="NQF49" s="3043"/>
      <c r="NQG49" s="3043"/>
      <c r="NQH49" s="3043"/>
      <c r="NQI49" s="3043"/>
      <c r="NQJ49" s="3043"/>
      <c r="NQK49" s="3043"/>
      <c r="NQL49" s="3043"/>
      <c r="NQM49" s="3043"/>
      <c r="NQN49" s="3043"/>
      <c r="NQO49" s="3043"/>
      <c r="NQP49" s="3043"/>
      <c r="NQQ49" s="3043"/>
      <c r="NQR49" s="3043"/>
      <c r="NQS49" s="3043"/>
      <c r="NQT49" s="3043"/>
      <c r="NQU49" s="3043"/>
      <c r="NQV49" s="3043"/>
      <c r="NQW49" s="3043"/>
      <c r="NQX49" s="3043"/>
      <c r="NQY49" s="3043"/>
      <c r="NQZ49" s="3043"/>
      <c r="NRA49" s="3043"/>
      <c r="NRB49" s="3043"/>
      <c r="NRC49" s="3043"/>
      <c r="NRD49" s="3043"/>
      <c r="NRE49" s="3043"/>
      <c r="NRF49" s="3043"/>
      <c r="NRG49" s="3043"/>
      <c r="NRH49" s="3043"/>
      <c r="NRI49" s="3043"/>
      <c r="NRJ49" s="3043"/>
      <c r="NRK49" s="3043"/>
      <c r="NRL49" s="3043"/>
      <c r="NRM49" s="3043"/>
      <c r="NRN49" s="3043"/>
      <c r="NRO49" s="3043"/>
      <c r="NRP49" s="3043"/>
      <c r="NRQ49" s="3043"/>
      <c r="NRR49" s="3043"/>
      <c r="NRS49" s="3043"/>
      <c r="NRT49" s="3043"/>
      <c r="NRU49" s="3043"/>
      <c r="NRV49" s="3043"/>
      <c r="NRW49" s="3043"/>
      <c r="NRX49" s="3043"/>
      <c r="NRY49" s="3043"/>
      <c r="NRZ49" s="3043"/>
      <c r="NSA49" s="3043"/>
      <c r="NSB49" s="3043"/>
      <c r="NSC49" s="3043"/>
      <c r="NSD49" s="3043"/>
      <c r="NSE49" s="3043"/>
      <c r="NSF49" s="3043"/>
      <c r="NSG49" s="3043"/>
      <c r="NSH49" s="3043"/>
      <c r="NSI49" s="3043"/>
      <c r="NSJ49" s="3043"/>
      <c r="NSK49" s="3043"/>
      <c r="NSL49" s="3043"/>
      <c r="NSM49" s="3043"/>
      <c r="NSN49" s="3043"/>
      <c r="NSO49" s="3043"/>
      <c r="NSP49" s="3043"/>
      <c r="NSQ49" s="3043"/>
      <c r="NSR49" s="3043"/>
      <c r="NSS49" s="3043"/>
      <c r="NST49" s="3043"/>
      <c r="NSU49" s="3043"/>
      <c r="NSV49" s="3043"/>
      <c r="NSW49" s="3043"/>
      <c r="NSX49" s="3043"/>
      <c r="NSY49" s="3043"/>
      <c r="NSZ49" s="3043"/>
      <c r="NTA49" s="3043"/>
      <c r="NTB49" s="3043"/>
      <c r="NTC49" s="3043"/>
      <c r="NTD49" s="3043"/>
      <c r="NTE49" s="3043"/>
      <c r="NTF49" s="3043"/>
      <c r="NTG49" s="3043"/>
      <c r="NTH49" s="3043"/>
      <c r="NTI49" s="3043"/>
      <c r="NTJ49" s="3043"/>
      <c r="NTK49" s="3043"/>
      <c r="NTL49" s="3043"/>
      <c r="NTM49" s="3043"/>
      <c r="NTN49" s="3043"/>
      <c r="NTO49" s="3043"/>
      <c r="NTP49" s="3043"/>
      <c r="NTQ49" s="3043"/>
      <c r="NTR49" s="3043"/>
      <c r="NTS49" s="3043"/>
      <c r="NTT49" s="3043"/>
      <c r="NTU49" s="3043"/>
      <c r="NTV49" s="3043"/>
      <c r="NTW49" s="3043"/>
      <c r="NTX49" s="3043"/>
      <c r="NTY49" s="3043"/>
      <c r="NTZ49" s="3043"/>
      <c r="NUA49" s="3043"/>
      <c r="NUB49" s="3043"/>
      <c r="NUC49" s="3043"/>
      <c r="NUD49" s="3043"/>
      <c r="NUE49" s="3043"/>
      <c r="NUF49" s="3043"/>
      <c r="NUG49" s="3043"/>
      <c r="NUH49" s="3043"/>
      <c r="NUI49" s="3043"/>
      <c r="NUJ49" s="3043"/>
      <c r="NUK49" s="3043"/>
      <c r="NUL49" s="3043"/>
      <c r="NUM49" s="3043"/>
      <c r="NUN49" s="3043"/>
      <c r="NUO49" s="3043"/>
      <c r="NUP49" s="3043"/>
      <c r="NUQ49" s="3043"/>
      <c r="NUR49" s="3043"/>
      <c r="NUS49" s="3043"/>
      <c r="NUT49" s="3043"/>
      <c r="NUU49" s="3043"/>
      <c r="NUV49" s="3043"/>
      <c r="NUW49" s="3043"/>
      <c r="NUX49" s="3043"/>
      <c r="NUY49" s="3043"/>
      <c r="NUZ49" s="3043"/>
      <c r="NVA49" s="3043"/>
      <c r="NVB49" s="3043"/>
      <c r="NVC49" s="3043"/>
      <c r="NVD49" s="3043"/>
      <c r="NVE49" s="3043"/>
      <c r="NVF49" s="3043"/>
      <c r="NVG49" s="3043"/>
      <c r="NVH49" s="3043"/>
      <c r="NVI49" s="3043"/>
      <c r="NVJ49" s="3043"/>
      <c r="NVK49" s="3043"/>
      <c r="NVL49" s="3043"/>
      <c r="NVM49" s="3043"/>
      <c r="NVN49" s="3043"/>
      <c r="NVO49" s="3043"/>
      <c r="NVP49" s="3043"/>
      <c r="NVQ49" s="3043"/>
      <c r="NVR49" s="3043"/>
      <c r="NVS49" s="3043"/>
      <c r="NVT49" s="3043"/>
      <c r="NVU49" s="3043"/>
      <c r="NVV49" s="3043"/>
      <c r="NVW49" s="3043"/>
      <c r="NVX49" s="3043"/>
      <c r="NVY49" s="3043"/>
      <c r="NVZ49" s="3043"/>
      <c r="NWA49" s="3043"/>
      <c r="NWB49" s="3043"/>
      <c r="NWC49" s="3043"/>
      <c r="NWD49" s="3043"/>
      <c r="NWE49" s="3043"/>
      <c r="NWF49" s="3043"/>
      <c r="NWG49" s="3043"/>
      <c r="NWH49" s="3043"/>
      <c r="NWI49" s="3043"/>
      <c r="NWJ49" s="3043"/>
      <c r="NWK49" s="3043"/>
      <c r="NWL49" s="3043"/>
      <c r="NWM49" s="3043"/>
      <c r="NWN49" s="3043"/>
      <c r="NWO49" s="3043"/>
      <c r="NWP49" s="3043"/>
      <c r="NWQ49" s="3043"/>
      <c r="NWR49" s="3043"/>
      <c r="NWS49" s="3043"/>
      <c r="NWT49" s="3043"/>
      <c r="NWU49" s="3043"/>
      <c r="NWV49" s="3043"/>
      <c r="NWW49" s="3043"/>
      <c r="NWX49" s="3043"/>
      <c r="NWY49" s="3043"/>
      <c r="NWZ49" s="3043"/>
      <c r="NXA49" s="3043"/>
      <c r="NXB49" s="3043"/>
      <c r="NXC49" s="3043"/>
      <c r="NXD49" s="3043"/>
      <c r="NXE49" s="3043"/>
      <c r="NXF49" s="3043"/>
      <c r="NXG49" s="3043"/>
      <c r="NXH49" s="3043"/>
      <c r="NXI49" s="3043"/>
      <c r="NXJ49" s="3043"/>
      <c r="NXK49" s="3043"/>
      <c r="NXL49" s="3043"/>
      <c r="NXM49" s="3043"/>
      <c r="NXN49" s="3043"/>
      <c r="NXO49" s="3043"/>
      <c r="NXP49" s="3043"/>
      <c r="NXQ49" s="3043"/>
      <c r="NXR49" s="3043"/>
      <c r="NXS49" s="3043"/>
      <c r="NXT49" s="3043"/>
      <c r="NXU49" s="3043"/>
      <c r="NXV49" s="3043"/>
      <c r="NXW49" s="3043"/>
      <c r="NXX49" s="3043"/>
      <c r="NXY49" s="3043"/>
      <c r="NXZ49" s="3043"/>
      <c r="NYA49" s="3043"/>
      <c r="NYB49" s="3043"/>
      <c r="NYC49" s="3043"/>
      <c r="NYD49" s="3043"/>
      <c r="NYE49" s="3043"/>
      <c r="NYF49" s="3043"/>
      <c r="NYG49" s="3043"/>
      <c r="NYH49" s="3043"/>
      <c r="NYI49" s="3043"/>
      <c r="NYJ49" s="3043"/>
      <c r="NYK49" s="3043"/>
      <c r="NYL49" s="3043"/>
      <c r="NYM49" s="3043"/>
      <c r="NYN49" s="3043"/>
      <c r="NYO49" s="3043"/>
      <c r="NYP49" s="3043"/>
      <c r="NYQ49" s="3043"/>
      <c r="NYR49" s="3043"/>
      <c r="NYS49" s="3043"/>
      <c r="NYT49" s="3043"/>
      <c r="NYU49" s="3043"/>
      <c r="NYV49" s="3043"/>
      <c r="NYW49" s="3043"/>
      <c r="NYX49" s="3043"/>
      <c r="NYY49" s="3043"/>
      <c r="NYZ49" s="3043"/>
      <c r="NZA49" s="3043"/>
      <c r="NZB49" s="3043"/>
      <c r="NZC49" s="3043"/>
      <c r="NZD49" s="3043"/>
      <c r="NZE49" s="3043"/>
      <c r="NZF49" s="3043"/>
      <c r="NZG49" s="3043"/>
      <c r="NZH49" s="3043"/>
      <c r="NZI49" s="3043"/>
      <c r="NZJ49" s="3043"/>
      <c r="NZK49" s="3043"/>
      <c r="NZL49" s="3043"/>
      <c r="NZM49" s="3043"/>
      <c r="NZN49" s="3043"/>
      <c r="NZO49" s="3043"/>
      <c r="NZP49" s="3043"/>
      <c r="NZQ49" s="3043"/>
      <c r="NZR49" s="3043"/>
      <c r="NZS49" s="3043"/>
      <c r="NZT49" s="3043"/>
      <c r="NZU49" s="3043"/>
      <c r="NZV49" s="3043"/>
      <c r="NZW49" s="3043"/>
      <c r="NZX49" s="3043"/>
      <c r="NZY49" s="3043"/>
      <c r="NZZ49" s="3043"/>
      <c r="OAA49" s="3043"/>
      <c r="OAB49" s="3043"/>
      <c r="OAC49" s="3043"/>
      <c r="OAD49" s="3043"/>
      <c r="OAE49" s="3043"/>
      <c r="OAF49" s="3043"/>
      <c r="OAG49" s="3043"/>
      <c r="OAH49" s="3043"/>
      <c r="OAI49" s="3043"/>
      <c r="OAJ49" s="3043"/>
      <c r="OAK49" s="3043"/>
      <c r="OAL49" s="3043"/>
      <c r="OAM49" s="3043"/>
      <c r="OAN49" s="3043"/>
      <c r="OAO49" s="3043"/>
      <c r="OAP49" s="3043"/>
      <c r="OAQ49" s="3043"/>
      <c r="OAR49" s="3043"/>
      <c r="OAS49" s="3043"/>
      <c r="OAT49" s="3043"/>
      <c r="OAU49" s="3043"/>
      <c r="OAV49" s="3043"/>
      <c r="OAW49" s="3043"/>
      <c r="OAX49" s="3043"/>
      <c r="OAY49" s="3043"/>
      <c r="OAZ49" s="3043"/>
      <c r="OBA49" s="3043"/>
      <c r="OBB49" s="3043"/>
      <c r="OBC49" s="3043"/>
      <c r="OBD49" s="3043"/>
      <c r="OBE49" s="3043"/>
      <c r="OBF49" s="3043"/>
      <c r="OBG49" s="3043"/>
      <c r="OBH49" s="3043"/>
      <c r="OBI49" s="3043"/>
      <c r="OBJ49" s="3043"/>
      <c r="OBK49" s="3043"/>
      <c r="OBL49" s="3043"/>
      <c r="OBM49" s="3043"/>
      <c r="OBN49" s="3043"/>
      <c r="OBO49" s="3043"/>
      <c r="OBP49" s="3043"/>
      <c r="OBQ49" s="3043"/>
      <c r="OBR49" s="3043"/>
      <c r="OBS49" s="3043"/>
      <c r="OBT49" s="3043"/>
      <c r="OBU49" s="3043"/>
      <c r="OBV49" s="3043"/>
      <c r="OBW49" s="3043"/>
      <c r="OBX49" s="3043"/>
      <c r="OBY49" s="3043"/>
      <c r="OBZ49" s="3043"/>
      <c r="OCA49" s="3043"/>
      <c r="OCB49" s="3043"/>
      <c r="OCC49" s="3043"/>
      <c r="OCD49" s="3043"/>
      <c r="OCE49" s="3043"/>
      <c r="OCF49" s="3043"/>
      <c r="OCG49" s="3043"/>
      <c r="OCH49" s="3043"/>
      <c r="OCI49" s="3043"/>
      <c r="OCJ49" s="3043"/>
      <c r="OCK49" s="3043"/>
      <c r="OCL49" s="3043"/>
      <c r="OCM49" s="3043"/>
      <c r="OCN49" s="3043"/>
      <c r="OCO49" s="3043"/>
      <c r="OCP49" s="3043"/>
      <c r="OCQ49" s="3043"/>
      <c r="OCR49" s="3043"/>
      <c r="OCS49" s="3043"/>
      <c r="OCT49" s="3043"/>
      <c r="OCU49" s="3043"/>
      <c r="OCV49" s="3043"/>
      <c r="OCW49" s="3043"/>
      <c r="OCX49" s="3043"/>
      <c r="OCY49" s="3043"/>
      <c r="OCZ49" s="3043"/>
      <c r="ODA49" s="3043"/>
      <c r="ODB49" s="3043"/>
      <c r="ODC49" s="3043"/>
      <c r="ODD49" s="3043"/>
      <c r="ODE49" s="3043"/>
      <c r="ODF49" s="3043"/>
      <c r="ODG49" s="3043"/>
      <c r="ODH49" s="3043"/>
      <c r="ODI49" s="3043"/>
      <c r="ODJ49" s="3043"/>
      <c r="ODK49" s="3043"/>
      <c r="ODL49" s="3043"/>
      <c r="ODM49" s="3043"/>
      <c r="ODN49" s="3043"/>
      <c r="ODO49" s="3043"/>
      <c r="ODP49" s="3043"/>
      <c r="ODQ49" s="3043"/>
      <c r="ODR49" s="3043"/>
      <c r="ODS49" s="3043"/>
      <c r="ODT49" s="3043"/>
      <c r="ODU49" s="3043"/>
      <c r="ODV49" s="3043"/>
      <c r="ODW49" s="3043"/>
      <c r="ODX49" s="3043"/>
      <c r="ODY49" s="3043"/>
      <c r="ODZ49" s="3043"/>
      <c r="OEA49" s="3043"/>
      <c r="OEB49" s="3043"/>
      <c r="OEC49" s="3043"/>
      <c r="OED49" s="3043"/>
      <c r="OEE49" s="3043"/>
      <c r="OEF49" s="3043"/>
      <c r="OEG49" s="3043"/>
      <c r="OEH49" s="3043"/>
      <c r="OEI49" s="3043"/>
      <c r="OEJ49" s="3043"/>
      <c r="OEK49" s="3043"/>
      <c r="OEL49" s="3043"/>
      <c r="OEM49" s="3043"/>
      <c r="OEN49" s="3043"/>
      <c r="OEO49" s="3043"/>
      <c r="OEP49" s="3043"/>
      <c r="OEQ49" s="3043"/>
      <c r="OER49" s="3043"/>
      <c r="OES49" s="3043"/>
      <c r="OET49" s="3043"/>
      <c r="OEU49" s="3043"/>
      <c r="OEV49" s="3043"/>
      <c r="OEW49" s="3043"/>
      <c r="OEX49" s="3043"/>
      <c r="OEY49" s="3043"/>
      <c r="OEZ49" s="3043"/>
      <c r="OFA49" s="3043"/>
      <c r="OFB49" s="3043"/>
      <c r="OFC49" s="3043"/>
      <c r="OFD49" s="3043"/>
      <c r="OFE49" s="3043"/>
      <c r="OFF49" s="3043"/>
      <c r="OFG49" s="3043"/>
      <c r="OFH49" s="3043"/>
      <c r="OFI49" s="3043"/>
      <c r="OFJ49" s="3043"/>
      <c r="OFK49" s="3043"/>
      <c r="OFL49" s="3043"/>
      <c r="OFM49" s="3043"/>
      <c r="OFN49" s="3043"/>
      <c r="OFO49" s="3043"/>
      <c r="OFP49" s="3043"/>
      <c r="OFQ49" s="3043"/>
      <c r="OFR49" s="3043"/>
      <c r="OFS49" s="3043"/>
      <c r="OFT49" s="3043"/>
      <c r="OFU49" s="3043"/>
      <c r="OFV49" s="3043"/>
      <c r="OFW49" s="3043"/>
      <c r="OFX49" s="3043"/>
      <c r="OFY49" s="3043"/>
      <c r="OFZ49" s="3043"/>
      <c r="OGA49" s="3043"/>
      <c r="OGB49" s="3043"/>
      <c r="OGC49" s="3043"/>
      <c r="OGD49" s="3043"/>
      <c r="OGE49" s="3043"/>
      <c r="OGF49" s="3043"/>
      <c r="OGG49" s="3043"/>
      <c r="OGH49" s="3043"/>
      <c r="OGI49" s="3043"/>
      <c r="OGJ49" s="3043"/>
      <c r="OGK49" s="3043"/>
      <c r="OGL49" s="3043"/>
      <c r="OGM49" s="3043"/>
      <c r="OGN49" s="3043"/>
      <c r="OGO49" s="3043"/>
      <c r="OGP49" s="3043"/>
      <c r="OGQ49" s="3043"/>
      <c r="OGR49" s="3043"/>
      <c r="OGS49" s="3043"/>
      <c r="OGT49" s="3043"/>
      <c r="OGU49" s="3043"/>
      <c r="OGV49" s="3043"/>
      <c r="OGW49" s="3043"/>
      <c r="OGX49" s="3043"/>
      <c r="OGY49" s="3043"/>
      <c r="OGZ49" s="3043"/>
      <c r="OHA49" s="3043"/>
      <c r="OHB49" s="3043"/>
      <c r="OHC49" s="3043"/>
      <c r="OHD49" s="3043"/>
      <c r="OHE49" s="3043"/>
      <c r="OHF49" s="3043"/>
      <c r="OHG49" s="3043"/>
      <c r="OHH49" s="3043"/>
      <c r="OHI49" s="3043"/>
      <c r="OHJ49" s="3043"/>
      <c r="OHK49" s="3043"/>
      <c r="OHL49" s="3043"/>
      <c r="OHM49" s="3043"/>
      <c r="OHN49" s="3043"/>
      <c r="OHO49" s="3043"/>
      <c r="OHP49" s="3043"/>
      <c r="OHQ49" s="3043"/>
      <c r="OHR49" s="3043"/>
      <c r="OHS49" s="3043"/>
      <c r="OHT49" s="3043"/>
      <c r="OHU49" s="3043"/>
      <c r="OHV49" s="3043"/>
      <c r="OHW49" s="3043"/>
      <c r="OHX49" s="3043"/>
      <c r="OHY49" s="3043"/>
      <c r="OHZ49" s="3043"/>
      <c r="OIA49" s="3043"/>
      <c r="OIB49" s="3043"/>
      <c r="OIC49" s="3043"/>
      <c r="OID49" s="3043"/>
      <c r="OIE49" s="3043"/>
      <c r="OIF49" s="3043"/>
      <c r="OIG49" s="3043"/>
      <c r="OIH49" s="3043"/>
      <c r="OII49" s="3043"/>
      <c r="OIJ49" s="3043"/>
      <c r="OIK49" s="3043"/>
      <c r="OIL49" s="3043"/>
      <c r="OIM49" s="3043"/>
      <c r="OIN49" s="3043"/>
      <c r="OIO49" s="3043"/>
      <c r="OIP49" s="3043"/>
      <c r="OIQ49" s="3043"/>
      <c r="OIR49" s="3043"/>
      <c r="OIS49" s="3043"/>
      <c r="OIT49" s="3043"/>
      <c r="OIU49" s="3043"/>
      <c r="OIV49" s="3043"/>
      <c r="OIW49" s="3043"/>
      <c r="OIX49" s="3043"/>
      <c r="OIY49" s="3043"/>
      <c r="OIZ49" s="3043"/>
      <c r="OJA49" s="3043"/>
      <c r="OJB49" s="3043"/>
      <c r="OJC49" s="3043"/>
      <c r="OJD49" s="3043"/>
      <c r="OJE49" s="3043"/>
      <c r="OJF49" s="3043"/>
      <c r="OJG49" s="3043"/>
      <c r="OJH49" s="3043"/>
      <c r="OJI49" s="3043"/>
      <c r="OJJ49" s="3043"/>
      <c r="OJK49" s="3043"/>
      <c r="OJL49" s="3043"/>
      <c r="OJM49" s="3043"/>
      <c r="OJN49" s="3043"/>
      <c r="OJO49" s="3043"/>
      <c r="OJP49" s="3043"/>
      <c r="OJQ49" s="3043"/>
      <c r="OJR49" s="3043"/>
      <c r="OJS49" s="3043"/>
      <c r="OJT49" s="3043"/>
      <c r="OJU49" s="3043"/>
      <c r="OJV49" s="3043"/>
      <c r="OJW49" s="3043"/>
      <c r="OJX49" s="3043"/>
      <c r="OJY49" s="3043"/>
      <c r="OJZ49" s="3043"/>
      <c r="OKA49" s="3043"/>
      <c r="OKB49" s="3043"/>
      <c r="OKC49" s="3043"/>
      <c r="OKD49" s="3043"/>
      <c r="OKE49" s="3043"/>
      <c r="OKF49" s="3043"/>
      <c r="OKG49" s="3043"/>
      <c r="OKH49" s="3043"/>
      <c r="OKI49" s="3043"/>
      <c r="OKJ49" s="3043"/>
      <c r="OKK49" s="3043"/>
      <c r="OKL49" s="3043"/>
      <c r="OKM49" s="3043"/>
      <c r="OKN49" s="3043"/>
      <c r="OKO49" s="3043"/>
      <c r="OKP49" s="3043"/>
      <c r="OKQ49" s="3043"/>
      <c r="OKR49" s="3043"/>
      <c r="OKS49" s="3043"/>
      <c r="OKT49" s="3043"/>
      <c r="OKU49" s="3043"/>
      <c r="OKV49" s="3043"/>
      <c r="OKW49" s="3043"/>
      <c r="OKX49" s="3043"/>
      <c r="OKY49" s="3043"/>
      <c r="OKZ49" s="3043"/>
      <c r="OLA49" s="3043"/>
      <c r="OLB49" s="3043"/>
      <c r="OLC49" s="3043"/>
      <c r="OLD49" s="3043"/>
      <c r="OLE49" s="3043"/>
      <c r="OLF49" s="3043"/>
      <c r="OLG49" s="3043"/>
      <c r="OLH49" s="3043"/>
      <c r="OLI49" s="3043"/>
      <c r="OLJ49" s="3043"/>
      <c r="OLK49" s="3043"/>
      <c r="OLL49" s="3043"/>
      <c r="OLM49" s="3043"/>
      <c r="OLN49" s="3043"/>
      <c r="OLO49" s="3043"/>
      <c r="OLP49" s="3043"/>
      <c r="OLQ49" s="3043"/>
      <c r="OLR49" s="3043"/>
      <c r="OLS49" s="3043"/>
      <c r="OLT49" s="3043"/>
      <c r="OLU49" s="3043"/>
      <c r="OLV49" s="3043"/>
      <c r="OLW49" s="3043"/>
      <c r="OLX49" s="3043"/>
      <c r="OLY49" s="3043"/>
      <c r="OLZ49" s="3043"/>
      <c r="OMA49" s="3043"/>
      <c r="OMB49" s="3043"/>
      <c r="OMC49" s="3043"/>
      <c r="OMD49" s="3043"/>
      <c r="OME49" s="3043"/>
      <c r="OMF49" s="3043"/>
      <c r="OMG49" s="3043"/>
      <c r="OMH49" s="3043"/>
      <c r="OMI49" s="3043"/>
      <c r="OMJ49" s="3043"/>
      <c r="OMK49" s="3043"/>
      <c r="OML49" s="3043"/>
      <c r="OMM49" s="3043"/>
      <c r="OMN49" s="3043"/>
      <c r="OMO49" s="3043"/>
      <c r="OMP49" s="3043"/>
      <c r="OMQ49" s="3043"/>
      <c r="OMR49" s="3043"/>
      <c r="OMS49" s="3043"/>
      <c r="OMT49" s="3043"/>
      <c r="OMU49" s="3043"/>
      <c r="OMV49" s="3043"/>
      <c r="OMW49" s="3043"/>
      <c r="OMX49" s="3043"/>
      <c r="OMY49" s="3043"/>
      <c r="OMZ49" s="3043"/>
      <c r="ONA49" s="3043"/>
      <c r="ONB49" s="3043"/>
      <c r="ONC49" s="3043"/>
      <c r="OND49" s="3043"/>
      <c r="ONE49" s="3043"/>
      <c r="ONF49" s="3043"/>
      <c r="ONG49" s="3043"/>
      <c r="ONH49" s="3043"/>
      <c r="ONI49" s="3043"/>
      <c r="ONJ49" s="3043"/>
      <c r="ONK49" s="3043"/>
      <c r="ONL49" s="3043"/>
      <c r="ONM49" s="3043"/>
      <c r="ONN49" s="3043"/>
      <c r="ONO49" s="3043"/>
      <c r="ONP49" s="3043"/>
      <c r="ONQ49" s="3043"/>
      <c r="ONR49" s="3043"/>
      <c r="ONS49" s="3043"/>
      <c r="ONT49" s="3043"/>
      <c r="ONU49" s="3043"/>
      <c r="ONV49" s="3043"/>
      <c r="ONW49" s="3043"/>
      <c r="ONX49" s="3043"/>
      <c r="ONY49" s="3043"/>
      <c r="ONZ49" s="3043"/>
      <c r="OOA49" s="3043"/>
      <c r="OOB49" s="3043"/>
      <c r="OOC49" s="3043"/>
      <c r="OOD49" s="3043"/>
      <c r="OOE49" s="3043"/>
      <c r="OOF49" s="3043"/>
      <c r="OOG49" s="3043"/>
      <c r="OOH49" s="3043"/>
      <c r="OOI49" s="3043"/>
      <c r="OOJ49" s="3043"/>
      <c r="OOK49" s="3043"/>
      <c r="OOL49" s="3043"/>
      <c r="OOM49" s="3043"/>
      <c r="OON49" s="3043"/>
      <c r="OOO49" s="3043"/>
      <c r="OOP49" s="3043"/>
      <c r="OOQ49" s="3043"/>
      <c r="OOR49" s="3043"/>
      <c r="OOS49" s="3043"/>
      <c r="OOT49" s="3043"/>
      <c r="OOU49" s="3043"/>
      <c r="OOV49" s="3043"/>
      <c r="OOW49" s="3043"/>
      <c r="OOX49" s="3043"/>
      <c r="OOY49" s="3043"/>
      <c r="OOZ49" s="3043"/>
      <c r="OPA49" s="3043"/>
      <c r="OPB49" s="3043"/>
      <c r="OPC49" s="3043"/>
      <c r="OPD49" s="3043"/>
      <c r="OPE49" s="3043"/>
      <c r="OPF49" s="3043"/>
      <c r="OPG49" s="3043"/>
      <c r="OPH49" s="3043"/>
      <c r="OPI49" s="3043"/>
      <c r="OPJ49" s="3043"/>
      <c r="OPK49" s="3043"/>
      <c r="OPL49" s="3043"/>
      <c r="OPM49" s="3043"/>
      <c r="OPN49" s="3043"/>
      <c r="OPO49" s="3043"/>
      <c r="OPP49" s="3043"/>
      <c r="OPQ49" s="3043"/>
      <c r="OPR49" s="3043"/>
      <c r="OPS49" s="3043"/>
      <c r="OPT49" s="3043"/>
      <c r="OPU49" s="3043"/>
      <c r="OPV49" s="3043"/>
      <c r="OPW49" s="3043"/>
      <c r="OPX49" s="3043"/>
      <c r="OPY49" s="3043"/>
      <c r="OPZ49" s="3043"/>
      <c r="OQA49" s="3043"/>
      <c r="OQB49" s="3043"/>
      <c r="OQC49" s="3043"/>
      <c r="OQD49" s="3043"/>
      <c r="OQE49" s="3043"/>
      <c r="OQF49" s="3043"/>
      <c r="OQG49" s="3043"/>
      <c r="OQH49" s="3043"/>
      <c r="OQI49" s="3043"/>
      <c r="OQJ49" s="3043"/>
      <c r="OQK49" s="3043"/>
      <c r="OQL49" s="3043"/>
      <c r="OQM49" s="3043"/>
      <c r="OQN49" s="3043"/>
      <c r="OQO49" s="3043"/>
      <c r="OQP49" s="3043"/>
      <c r="OQQ49" s="3043"/>
      <c r="OQR49" s="3043"/>
      <c r="OQS49" s="3043"/>
      <c r="OQT49" s="3043"/>
      <c r="OQU49" s="3043"/>
      <c r="OQV49" s="3043"/>
      <c r="OQW49" s="3043"/>
      <c r="OQX49" s="3043"/>
      <c r="OQY49" s="3043"/>
      <c r="OQZ49" s="3043"/>
      <c r="ORA49" s="3043"/>
      <c r="ORB49" s="3043"/>
      <c r="ORC49" s="3043"/>
      <c r="ORD49" s="3043"/>
      <c r="ORE49" s="3043"/>
      <c r="ORF49" s="3043"/>
      <c r="ORG49" s="3043"/>
      <c r="ORH49" s="3043"/>
      <c r="ORI49" s="3043"/>
      <c r="ORJ49" s="3043"/>
      <c r="ORK49" s="3043"/>
      <c r="ORL49" s="3043"/>
      <c r="ORM49" s="3043"/>
      <c r="ORN49" s="3043"/>
      <c r="ORO49" s="3043"/>
      <c r="ORP49" s="3043"/>
      <c r="ORQ49" s="3043"/>
      <c r="ORR49" s="3043"/>
      <c r="ORS49" s="3043"/>
      <c r="ORT49" s="3043"/>
      <c r="ORU49" s="3043"/>
      <c r="ORV49" s="3043"/>
      <c r="ORW49" s="3043"/>
      <c r="ORX49" s="3043"/>
      <c r="ORY49" s="3043"/>
      <c r="ORZ49" s="3043"/>
      <c r="OSA49" s="3043"/>
      <c r="OSB49" s="3043"/>
      <c r="OSC49" s="3043"/>
      <c r="OSD49" s="3043"/>
      <c r="OSE49" s="3043"/>
      <c r="OSF49" s="3043"/>
      <c r="OSG49" s="3043"/>
      <c r="OSH49" s="3043"/>
      <c r="OSI49" s="3043"/>
      <c r="OSJ49" s="3043"/>
      <c r="OSK49" s="3043"/>
      <c r="OSL49" s="3043"/>
      <c r="OSM49" s="3043"/>
      <c r="OSN49" s="3043"/>
      <c r="OSO49" s="3043"/>
      <c r="OSP49" s="3043"/>
      <c r="OSQ49" s="3043"/>
      <c r="OSR49" s="3043"/>
      <c r="OSS49" s="3043"/>
      <c r="OST49" s="3043"/>
      <c r="OSU49" s="3043"/>
      <c r="OSV49" s="3043"/>
      <c r="OSW49" s="3043"/>
      <c r="OSX49" s="3043"/>
      <c r="OSY49" s="3043"/>
      <c r="OSZ49" s="3043"/>
      <c r="OTA49" s="3043"/>
      <c r="OTB49" s="3043"/>
      <c r="OTC49" s="3043"/>
      <c r="OTD49" s="3043"/>
      <c r="OTE49" s="3043"/>
      <c r="OTF49" s="3043"/>
      <c r="OTG49" s="3043"/>
      <c r="OTH49" s="3043"/>
      <c r="OTI49" s="3043"/>
      <c r="OTJ49" s="3043"/>
      <c r="OTK49" s="3043"/>
      <c r="OTL49" s="3043"/>
      <c r="OTM49" s="3043"/>
      <c r="OTN49" s="3043"/>
      <c r="OTO49" s="3043"/>
      <c r="OTP49" s="3043"/>
      <c r="OTQ49" s="3043"/>
      <c r="OTR49" s="3043"/>
      <c r="OTS49" s="3043"/>
      <c r="OTT49" s="3043"/>
      <c r="OTU49" s="3043"/>
      <c r="OTV49" s="3043"/>
      <c r="OTW49" s="3043"/>
      <c r="OTX49" s="3043"/>
      <c r="OTY49" s="3043"/>
      <c r="OTZ49" s="3043"/>
      <c r="OUA49" s="3043"/>
      <c r="OUB49" s="3043"/>
      <c r="OUC49" s="3043"/>
      <c r="OUD49" s="3043"/>
      <c r="OUE49" s="3043"/>
      <c r="OUF49" s="3043"/>
      <c r="OUG49" s="3043"/>
      <c r="OUH49" s="3043"/>
      <c r="OUI49" s="3043"/>
      <c r="OUJ49" s="3043"/>
      <c r="OUK49" s="3043"/>
      <c r="OUL49" s="3043"/>
      <c r="OUM49" s="3043"/>
      <c r="OUN49" s="3043"/>
      <c r="OUO49" s="3043"/>
      <c r="OUP49" s="3043"/>
      <c r="OUQ49" s="3043"/>
      <c r="OUR49" s="3043"/>
      <c r="OUS49" s="3043"/>
      <c r="OUT49" s="3043"/>
      <c r="OUU49" s="3043"/>
      <c r="OUV49" s="3043"/>
      <c r="OUW49" s="3043"/>
      <c r="OUX49" s="3043"/>
      <c r="OUY49" s="3043"/>
      <c r="OUZ49" s="3043"/>
      <c r="OVA49" s="3043"/>
      <c r="OVB49" s="3043"/>
      <c r="OVC49" s="3043"/>
      <c r="OVD49" s="3043"/>
      <c r="OVE49" s="3043"/>
      <c r="OVF49" s="3043"/>
      <c r="OVG49" s="3043"/>
      <c r="OVH49" s="3043"/>
      <c r="OVI49" s="3043"/>
      <c r="OVJ49" s="3043"/>
      <c r="OVK49" s="3043"/>
      <c r="OVL49" s="3043"/>
      <c r="OVM49" s="3043"/>
      <c r="OVN49" s="3043"/>
      <c r="OVO49" s="3043"/>
      <c r="OVP49" s="3043"/>
      <c r="OVQ49" s="3043"/>
      <c r="OVR49" s="3043"/>
      <c r="OVS49" s="3043"/>
      <c r="OVT49" s="3043"/>
      <c r="OVU49" s="3043"/>
      <c r="OVV49" s="3043"/>
      <c r="OVW49" s="3043"/>
      <c r="OVX49" s="3043"/>
      <c r="OVY49" s="3043"/>
      <c r="OVZ49" s="3043"/>
      <c r="OWA49" s="3043"/>
      <c r="OWB49" s="3043"/>
      <c r="OWC49" s="3043"/>
      <c r="OWD49" s="3043"/>
      <c r="OWE49" s="3043"/>
      <c r="OWF49" s="3043"/>
      <c r="OWG49" s="3043"/>
      <c r="OWH49" s="3043"/>
      <c r="OWI49" s="3043"/>
      <c r="OWJ49" s="3043"/>
      <c r="OWK49" s="3043"/>
      <c r="OWL49" s="3043"/>
      <c r="OWM49" s="3043"/>
      <c r="OWN49" s="3043"/>
      <c r="OWO49" s="3043"/>
      <c r="OWP49" s="3043"/>
      <c r="OWQ49" s="3043"/>
      <c r="OWR49" s="3043"/>
      <c r="OWS49" s="3043"/>
      <c r="OWT49" s="3043"/>
      <c r="OWU49" s="3043"/>
      <c r="OWV49" s="3043"/>
      <c r="OWW49" s="3043"/>
      <c r="OWX49" s="3043"/>
      <c r="OWY49" s="3043"/>
      <c r="OWZ49" s="3043"/>
      <c r="OXA49" s="3043"/>
      <c r="OXB49" s="3043"/>
      <c r="OXC49" s="3043"/>
      <c r="OXD49" s="3043"/>
      <c r="OXE49" s="3043"/>
      <c r="OXF49" s="3043"/>
      <c r="OXG49" s="3043"/>
      <c r="OXH49" s="3043"/>
      <c r="OXI49" s="3043"/>
      <c r="OXJ49" s="3043"/>
      <c r="OXK49" s="3043"/>
      <c r="OXL49" s="3043"/>
      <c r="OXM49" s="3043"/>
      <c r="OXN49" s="3043"/>
      <c r="OXO49" s="3043"/>
      <c r="OXP49" s="3043"/>
      <c r="OXQ49" s="3043"/>
      <c r="OXR49" s="3043"/>
      <c r="OXS49" s="3043"/>
      <c r="OXT49" s="3043"/>
      <c r="OXU49" s="3043"/>
      <c r="OXV49" s="3043"/>
      <c r="OXW49" s="3043"/>
      <c r="OXX49" s="3043"/>
      <c r="OXY49" s="3043"/>
      <c r="OXZ49" s="3043"/>
      <c r="OYA49" s="3043"/>
      <c r="OYB49" s="3043"/>
      <c r="OYC49" s="3043"/>
      <c r="OYD49" s="3043"/>
      <c r="OYE49" s="3043"/>
      <c r="OYF49" s="3043"/>
      <c r="OYG49" s="3043"/>
      <c r="OYH49" s="3043"/>
      <c r="OYI49" s="3043"/>
      <c r="OYJ49" s="3043"/>
      <c r="OYK49" s="3043"/>
      <c r="OYL49" s="3043"/>
      <c r="OYM49" s="3043"/>
      <c r="OYN49" s="3043"/>
      <c r="OYO49" s="3043"/>
      <c r="OYP49" s="3043"/>
      <c r="OYQ49" s="3043"/>
      <c r="OYR49" s="3043"/>
      <c r="OYS49" s="3043"/>
      <c r="OYT49" s="3043"/>
      <c r="OYU49" s="3043"/>
      <c r="OYV49" s="3043"/>
      <c r="OYW49" s="3043"/>
      <c r="OYX49" s="3043"/>
      <c r="OYY49" s="3043"/>
      <c r="OYZ49" s="3043"/>
      <c r="OZA49" s="3043"/>
      <c r="OZB49" s="3043"/>
      <c r="OZC49" s="3043"/>
      <c r="OZD49" s="3043"/>
      <c r="OZE49" s="3043"/>
      <c r="OZF49" s="3043"/>
      <c r="OZG49" s="3043"/>
      <c r="OZH49" s="3043"/>
      <c r="OZI49" s="3043"/>
      <c r="OZJ49" s="3043"/>
      <c r="OZK49" s="3043"/>
      <c r="OZL49" s="3043"/>
      <c r="OZM49" s="3043"/>
      <c r="OZN49" s="3043"/>
      <c r="OZO49" s="3043"/>
      <c r="OZP49" s="3043"/>
      <c r="OZQ49" s="3043"/>
      <c r="OZR49" s="3043"/>
      <c r="OZS49" s="3043"/>
      <c r="OZT49" s="3043"/>
      <c r="OZU49" s="3043"/>
      <c r="OZV49" s="3043"/>
      <c r="OZW49" s="3043"/>
      <c r="OZX49" s="3043"/>
      <c r="OZY49" s="3043"/>
      <c r="OZZ49" s="3043"/>
      <c r="PAA49" s="3043"/>
      <c r="PAB49" s="3043"/>
      <c r="PAC49" s="3043"/>
      <c r="PAD49" s="3043"/>
      <c r="PAE49" s="3043"/>
      <c r="PAF49" s="3043"/>
      <c r="PAG49" s="3043"/>
      <c r="PAH49" s="3043"/>
      <c r="PAI49" s="3043"/>
      <c r="PAJ49" s="3043"/>
      <c r="PAK49" s="3043"/>
      <c r="PAL49" s="3043"/>
      <c r="PAM49" s="3043"/>
      <c r="PAN49" s="3043"/>
      <c r="PAO49" s="3043"/>
      <c r="PAP49" s="3043"/>
      <c r="PAQ49" s="3043"/>
      <c r="PAR49" s="3043"/>
      <c r="PAS49" s="3043"/>
      <c r="PAT49" s="3043"/>
      <c r="PAU49" s="3043"/>
      <c r="PAV49" s="3043"/>
      <c r="PAW49" s="3043"/>
      <c r="PAX49" s="3043"/>
      <c r="PAY49" s="3043"/>
      <c r="PAZ49" s="3043"/>
      <c r="PBA49" s="3043"/>
      <c r="PBB49" s="3043"/>
      <c r="PBC49" s="3043"/>
      <c r="PBD49" s="3043"/>
      <c r="PBE49" s="3043"/>
      <c r="PBF49" s="3043"/>
      <c r="PBG49" s="3043"/>
      <c r="PBH49" s="3043"/>
      <c r="PBI49" s="3043"/>
      <c r="PBJ49" s="3043"/>
      <c r="PBK49" s="3043"/>
      <c r="PBL49" s="3043"/>
      <c r="PBM49" s="3043"/>
      <c r="PBN49" s="3043"/>
      <c r="PBO49" s="3043"/>
      <c r="PBP49" s="3043"/>
      <c r="PBQ49" s="3043"/>
      <c r="PBR49" s="3043"/>
      <c r="PBS49" s="3043"/>
      <c r="PBT49" s="3043"/>
      <c r="PBU49" s="3043"/>
      <c r="PBV49" s="3043"/>
      <c r="PBW49" s="3043"/>
      <c r="PBX49" s="3043"/>
      <c r="PBY49" s="3043"/>
      <c r="PBZ49" s="3043"/>
      <c r="PCA49" s="3043"/>
      <c r="PCB49" s="3043"/>
      <c r="PCC49" s="3043"/>
      <c r="PCD49" s="3043"/>
      <c r="PCE49" s="3043"/>
      <c r="PCF49" s="3043"/>
      <c r="PCG49" s="3043"/>
      <c r="PCH49" s="3043"/>
      <c r="PCI49" s="3043"/>
      <c r="PCJ49" s="3043"/>
      <c r="PCK49" s="3043"/>
      <c r="PCL49" s="3043"/>
      <c r="PCM49" s="3043"/>
      <c r="PCN49" s="3043"/>
      <c r="PCO49" s="3043"/>
      <c r="PCP49" s="3043"/>
      <c r="PCQ49" s="3043"/>
      <c r="PCR49" s="3043"/>
      <c r="PCS49" s="3043"/>
      <c r="PCT49" s="3043"/>
      <c r="PCU49" s="3043"/>
      <c r="PCV49" s="3043"/>
      <c r="PCW49" s="3043"/>
      <c r="PCX49" s="3043"/>
      <c r="PCY49" s="3043"/>
      <c r="PCZ49" s="3043"/>
      <c r="PDA49" s="3043"/>
      <c r="PDB49" s="3043"/>
      <c r="PDC49" s="3043"/>
      <c r="PDD49" s="3043"/>
      <c r="PDE49" s="3043"/>
      <c r="PDF49" s="3043"/>
      <c r="PDG49" s="3043"/>
      <c r="PDH49" s="3043"/>
      <c r="PDI49" s="3043"/>
      <c r="PDJ49" s="3043"/>
      <c r="PDK49" s="3043"/>
      <c r="PDL49" s="3043"/>
      <c r="PDM49" s="3043"/>
      <c r="PDN49" s="3043"/>
      <c r="PDO49" s="3043"/>
      <c r="PDP49" s="3043"/>
      <c r="PDQ49" s="3043"/>
      <c r="PDR49" s="3043"/>
      <c r="PDS49" s="3043"/>
      <c r="PDT49" s="3043"/>
      <c r="PDU49" s="3043"/>
      <c r="PDV49" s="3043"/>
      <c r="PDW49" s="3043"/>
      <c r="PDX49" s="3043"/>
      <c r="PDY49" s="3043"/>
      <c r="PDZ49" s="3043"/>
      <c r="PEA49" s="3043"/>
      <c r="PEB49" s="3043"/>
      <c r="PEC49" s="3043"/>
      <c r="PED49" s="3043"/>
      <c r="PEE49" s="3043"/>
      <c r="PEF49" s="3043"/>
      <c r="PEG49" s="3043"/>
      <c r="PEH49" s="3043"/>
      <c r="PEI49" s="3043"/>
      <c r="PEJ49" s="3043"/>
      <c r="PEK49" s="3043"/>
      <c r="PEL49" s="3043"/>
      <c r="PEM49" s="3043"/>
      <c r="PEN49" s="3043"/>
      <c r="PEO49" s="3043"/>
      <c r="PEP49" s="3043"/>
      <c r="PEQ49" s="3043"/>
      <c r="PER49" s="3043"/>
      <c r="PES49" s="3043"/>
      <c r="PET49" s="3043"/>
      <c r="PEU49" s="3043"/>
      <c r="PEV49" s="3043"/>
      <c r="PEW49" s="3043"/>
      <c r="PEX49" s="3043"/>
      <c r="PEY49" s="3043"/>
      <c r="PEZ49" s="3043"/>
      <c r="PFA49" s="3043"/>
      <c r="PFB49" s="3043"/>
      <c r="PFC49" s="3043"/>
      <c r="PFD49" s="3043"/>
      <c r="PFE49" s="3043"/>
      <c r="PFF49" s="3043"/>
      <c r="PFG49" s="3043"/>
      <c r="PFH49" s="3043"/>
      <c r="PFI49" s="3043"/>
      <c r="PFJ49" s="3043"/>
      <c r="PFK49" s="3043"/>
      <c r="PFL49" s="3043"/>
      <c r="PFM49" s="3043"/>
      <c r="PFN49" s="3043"/>
      <c r="PFO49" s="3043"/>
      <c r="PFP49" s="3043"/>
      <c r="PFQ49" s="3043"/>
      <c r="PFR49" s="3043"/>
      <c r="PFS49" s="3043"/>
      <c r="PFT49" s="3043"/>
      <c r="PFU49" s="3043"/>
      <c r="PFV49" s="3043"/>
      <c r="PFW49" s="3043"/>
      <c r="PFX49" s="3043"/>
      <c r="PFY49" s="3043"/>
      <c r="PFZ49" s="3043"/>
      <c r="PGA49" s="3043"/>
      <c r="PGB49" s="3043"/>
      <c r="PGC49" s="3043"/>
      <c r="PGD49" s="3043"/>
      <c r="PGE49" s="3043"/>
      <c r="PGF49" s="3043"/>
      <c r="PGG49" s="3043"/>
      <c r="PGH49" s="3043"/>
      <c r="PGI49" s="3043"/>
      <c r="PGJ49" s="3043"/>
      <c r="PGK49" s="3043"/>
      <c r="PGL49" s="3043"/>
      <c r="PGM49" s="3043"/>
      <c r="PGN49" s="3043"/>
      <c r="PGO49" s="3043"/>
      <c r="PGP49" s="3043"/>
      <c r="PGQ49" s="3043"/>
      <c r="PGR49" s="3043"/>
      <c r="PGS49" s="3043"/>
      <c r="PGT49" s="3043"/>
      <c r="PGU49" s="3043"/>
      <c r="PGV49" s="3043"/>
      <c r="PGW49" s="3043"/>
      <c r="PGX49" s="3043"/>
      <c r="PGY49" s="3043"/>
      <c r="PGZ49" s="3043"/>
      <c r="PHA49" s="3043"/>
      <c r="PHB49" s="3043"/>
      <c r="PHC49" s="3043"/>
      <c r="PHD49" s="3043"/>
      <c r="PHE49" s="3043"/>
      <c r="PHF49" s="3043"/>
      <c r="PHG49" s="3043"/>
      <c r="PHH49" s="3043"/>
      <c r="PHI49" s="3043"/>
      <c r="PHJ49" s="3043"/>
      <c r="PHK49" s="3043"/>
      <c r="PHL49" s="3043"/>
      <c r="PHM49" s="3043"/>
      <c r="PHN49" s="3043"/>
      <c r="PHO49" s="3043"/>
      <c r="PHP49" s="3043"/>
      <c r="PHQ49" s="3043"/>
      <c r="PHR49" s="3043"/>
      <c r="PHS49" s="3043"/>
      <c r="PHT49" s="3043"/>
      <c r="PHU49" s="3043"/>
      <c r="PHV49" s="3043"/>
      <c r="PHW49" s="3043"/>
      <c r="PHX49" s="3043"/>
      <c r="PHY49" s="3043"/>
      <c r="PHZ49" s="3043"/>
      <c r="PIA49" s="3043"/>
      <c r="PIB49" s="3043"/>
      <c r="PIC49" s="3043"/>
      <c r="PID49" s="3043"/>
      <c r="PIE49" s="3043"/>
      <c r="PIF49" s="3043"/>
      <c r="PIG49" s="3043"/>
      <c r="PIH49" s="3043"/>
      <c r="PII49" s="3043"/>
      <c r="PIJ49" s="3043"/>
      <c r="PIK49" s="3043"/>
      <c r="PIL49" s="3043"/>
      <c r="PIM49" s="3043"/>
      <c r="PIN49" s="3043"/>
      <c r="PIO49" s="3043"/>
      <c r="PIP49" s="3043"/>
      <c r="PIQ49" s="3043"/>
      <c r="PIR49" s="3043"/>
      <c r="PIS49" s="3043"/>
      <c r="PIT49" s="3043"/>
      <c r="PIU49" s="3043"/>
      <c r="PIV49" s="3043"/>
      <c r="PIW49" s="3043"/>
      <c r="PIX49" s="3043"/>
      <c r="PIY49" s="3043"/>
      <c r="PIZ49" s="3043"/>
      <c r="PJA49" s="3043"/>
      <c r="PJB49" s="3043"/>
      <c r="PJC49" s="3043"/>
      <c r="PJD49" s="3043"/>
      <c r="PJE49" s="3043"/>
      <c r="PJF49" s="3043"/>
      <c r="PJG49" s="3043"/>
      <c r="PJH49" s="3043"/>
      <c r="PJI49" s="3043"/>
      <c r="PJJ49" s="3043"/>
      <c r="PJK49" s="3043"/>
      <c r="PJL49" s="3043"/>
      <c r="PJM49" s="3043"/>
      <c r="PJN49" s="3043"/>
      <c r="PJO49" s="3043"/>
      <c r="PJP49" s="3043"/>
      <c r="PJQ49" s="3043"/>
      <c r="PJR49" s="3043"/>
      <c r="PJS49" s="3043"/>
      <c r="PJT49" s="3043"/>
      <c r="PJU49" s="3043"/>
      <c r="PJV49" s="3043"/>
      <c r="PJW49" s="3043"/>
      <c r="PJX49" s="3043"/>
      <c r="PJY49" s="3043"/>
      <c r="PJZ49" s="3043"/>
      <c r="PKA49" s="3043"/>
      <c r="PKB49" s="3043"/>
      <c r="PKC49" s="3043"/>
      <c r="PKD49" s="3043"/>
      <c r="PKE49" s="3043"/>
      <c r="PKF49" s="3043"/>
      <c r="PKG49" s="3043"/>
      <c r="PKH49" s="3043"/>
      <c r="PKI49" s="3043"/>
      <c r="PKJ49" s="3043"/>
      <c r="PKK49" s="3043"/>
      <c r="PKL49" s="3043"/>
      <c r="PKM49" s="3043"/>
      <c r="PKN49" s="3043"/>
      <c r="PKO49" s="3043"/>
      <c r="PKP49" s="3043"/>
      <c r="PKQ49" s="3043"/>
      <c r="PKR49" s="3043"/>
      <c r="PKS49" s="3043"/>
      <c r="PKT49" s="3043"/>
      <c r="PKU49" s="3043"/>
      <c r="PKV49" s="3043"/>
      <c r="PKW49" s="3043"/>
      <c r="PKX49" s="3043"/>
      <c r="PKY49" s="3043"/>
      <c r="PKZ49" s="3043"/>
      <c r="PLA49" s="3043"/>
      <c r="PLB49" s="3043"/>
      <c r="PLC49" s="3043"/>
      <c r="PLD49" s="3043"/>
      <c r="PLE49" s="3043"/>
      <c r="PLF49" s="3043"/>
      <c r="PLG49" s="3043"/>
      <c r="PLH49" s="3043"/>
      <c r="PLI49" s="3043"/>
      <c r="PLJ49" s="3043"/>
      <c r="PLK49" s="3043"/>
      <c r="PLL49" s="3043"/>
      <c r="PLM49" s="3043"/>
      <c r="PLN49" s="3043"/>
      <c r="PLO49" s="3043"/>
      <c r="PLP49" s="3043"/>
      <c r="PLQ49" s="3043"/>
      <c r="PLR49" s="3043"/>
      <c r="PLS49" s="3043"/>
      <c r="PLT49" s="3043"/>
      <c r="PLU49" s="3043"/>
      <c r="PLV49" s="3043"/>
      <c r="PLW49" s="3043"/>
      <c r="PLX49" s="3043"/>
      <c r="PLY49" s="3043"/>
      <c r="PLZ49" s="3043"/>
      <c r="PMA49" s="3043"/>
      <c r="PMB49" s="3043"/>
      <c r="PMC49" s="3043"/>
      <c r="PMD49" s="3043"/>
      <c r="PME49" s="3043"/>
      <c r="PMF49" s="3043"/>
      <c r="PMG49" s="3043"/>
      <c r="PMH49" s="3043"/>
      <c r="PMI49" s="3043"/>
      <c r="PMJ49" s="3043"/>
      <c r="PMK49" s="3043"/>
      <c r="PML49" s="3043"/>
      <c r="PMM49" s="3043"/>
      <c r="PMN49" s="3043"/>
      <c r="PMO49" s="3043"/>
      <c r="PMP49" s="3043"/>
      <c r="PMQ49" s="3043"/>
      <c r="PMR49" s="3043"/>
      <c r="PMS49" s="3043"/>
      <c r="PMT49" s="3043"/>
      <c r="PMU49" s="3043"/>
      <c r="PMV49" s="3043"/>
      <c r="PMW49" s="3043"/>
      <c r="PMX49" s="3043"/>
      <c r="PMY49" s="3043"/>
      <c r="PMZ49" s="3043"/>
      <c r="PNA49" s="3043"/>
      <c r="PNB49" s="3043"/>
      <c r="PNC49" s="3043"/>
      <c r="PND49" s="3043"/>
      <c r="PNE49" s="3043"/>
      <c r="PNF49" s="3043"/>
      <c r="PNG49" s="3043"/>
      <c r="PNH49" s="3043"/>
      <c r="PNI49" s="3043"/>
      <c r="PNJ49" s="3043"/>
      <c r="PNK49" s="3043"/>
      <c r="PNL49" s="3043"/>
      <c r="PNM49" s="3043"/>
      <c r="PNN49" s="3043"/>
      <c r="PNO49" s="3043"/>
      <c r="PNP49" s="3043"/>
      <c r="PNQ49" s="3043"/>
      <c r="PNR49" s="3043"/>
      <c r="PNS49" s="3043"/>
      <c r="PNT49" s="3043"/>
      <c r="PNU49" s="3043"/>
      <c r="PNV49" s="3043"/>
      <c r="PNW49" s="3043"/>
      <c r="PNX49" s="3043"/>
      <c r="PNY49" s="3043"/>
      <c r="PNZ49" s="3043"/>
      <c r="POA49" s="3043"/>
      <c r="POB49" s="3043"/>
      <c r="POC49" s="3043"/>
      <c r="POD49" s="3043"/>
      <c r="POE49" s="3043"/>
      <c r="POF49" s="3043"/>
      <c r="POG49" s="3043"/>
      <c r="POH49" s="3043"/>
      <c r="POI49" s="3043"/>
      <c r="POJ49" s="3043"/>
      <c r="POK49" s="3043"/>
      <c r="POL49" s="3043"/>
      <c r="POM49" s="3043"/>
      <c r="PON49" s="3043"/>
      <c r="POO49" s="3043"/>
      <c r="POP49" s="3043"/>
      <c r="POQ49" s="3043"/>
      <c r="POR49" s="3043"/>
      <c r="POS49" s="3043"/>
      <c r="POT49" s="3043"/>
      <c r="POU49" s="3043"/>
      <c r="POV49" s="3043"/>
      <c r="POW49" s="3043"/>
      <c r="POX49" s="3043"/>
      <c r="POY49" s="3043"/>
      <c r="POZ49" s="3043"/>
      <c r="PPA49" s="3043"/>
      <c r="PPB49" s="3043"/>
      <c r="PPC49" s="3043"/>
      <c r="PPD49" s="3043"/>
      <c r="PPE49" s="3043"/>
      <c r="PPF49" s="3043"/>
      <c r="PPG49" s="3043"/>
      <c r="PPH49" s="3043"/>
      <c r="PPI49" s="3043"/>
      <c r="PPJ49" s="3043"/>
      <c r="PPK49" s="3043"/>
      <c r="PPL49" s="3043"/>
      <c r="PPM49" s="3043"/>
      <c r="PPN49" s="3043"/>
      <c r="PPO49" s="3043"/>
      <c r="PPP49" s="3043"/>
      <c r="PPQ49" s="3043"/>
      <c r="PPR49" s="3043"/>
      <c r="PPS49" s="3043"/>
      <c r="PPT49" s="3043"/>
      <c r="PPU49" s="3043"/>
      <c r="PPV49" s="3043"/>
      <c r="PPW49" s="3043"/>
      <c r="PPX49" s="3043"/>
      <c r="PPY49" s="3043"/>
      <c r="PPZ49" s="3043"/>
      <c r="PQA49" s="3043"/>
      <c r="PQB49" s="3043"/>
      <c r="PQC49" s="3043"/>
      <c r="PQD49" s="3043"/>
      <c r="PQE49" s="3043"/>
      <c r="PQF49" s="3043"/>
      <c r="PQG49" s="3043"/>
      <c r="PQH49" s="3043"/>
      <c r="PQI49" s="3043"/>
      <c r="PQJ49" s="3043"/>
      <c r="PQK49" s="3043"/>
      <c r="PQL49" s="3043"/>
      <c r="PQM49" s="3043"/>
      <c r="PQN49" s="3043"/>
      <c r="PQO49" s="3043"/>
      <c r="PQP49" s="3043"/>
      <c r="PQQ49" s="3043"/>
      <c r="PQR49" s="3043"/>
      <c r="PQS49" s="3043"/>
      <c r="PQT49" s="3043"/>
      <c r="PQU49" s="3043"/>
      <c r="PQV49" s="3043"/>
      <c r="PQW49" s="3043"/>
      <c r="PQX49" s="3043"/>
      <c r="PQY49" s="3043"/>
      <c r="PQZ49" s="3043"/>
      <c r="PRA49" s="3043"/>
      <c r="PRB49" s="3043"/>
      <c r="PRC49" s="3043"/>
      <c r="PRD49" s="3043"/>
      <c r="PRE49" s="3043"/>
      <c r="PRF49" s="3043"/>
      <c r="PRG49" s="3043"/>
      <c r="PRH49" s="3043"/>
      <c r="PRI49" s="3043"/>
      <c r="PRJ49" s="3043"/>
      <c r="PRK49" s="3043"/>
      <c r="PRL49" s="3043"/>
      <c r="PRM49" s="3043"/>
      <c r="PRN49" s="3043"/>
      <c r="PRO49" s="3043"/>
      <c r="PRP49" s="3043"/>
      <c r="PRQ49" s="3043"/>
      <c r="PRR49" s="3043"/>
      <c r="PRS49" s="3043"/>
      <c r="PRT49" s="3043"/>
      <c r="PRU49" s="3043"/>
      <c r="PRV49" s="3043"/>
      <c r="PRW49" s="3043"/>
      <c r="PRX49" s="3043"/>
      <c r="PRY49" s="3043"/>
      <c r="PRZ49" s="3043"/>
      <c r="PSA49" s="3043"/>
      <c r="PSB49" s="3043"/>
      <c r="PSC49" s="3043"/>
      <c r="PSD49" s="3043"/>
      <c r="PSE49" s="3043"/>
      <c r="PSF49" s="3043"/>
      <c r="PSG49" s="3043"/>
      <c r="PSH49" s="3043"/>
      <c r="PSI49" s="3043"/>
      <c r="PSJ49" s="3043"/>
      <c r="PSK49" s="3043"/>
      <c r="PSL49" s="3043"/>
      <c r="PSM49" s="3043"/>
      <c r="PSN49" s="3043"/>
      <c r="PSO49" s="3043"/>
      <c r="PSP49" s="3043"/>
      <c r="PSQ49" s="3043"/>
      <c r="PSR49" s="3043"/>
      <c r="PSS49" s="3043"/>
      <c r="PST49" s="3043"/>
      <c r="PSU49" s="3043"/>
      <c r="PSV49" s="3043"/>
      <c r="PSW49" s="3043"/>
      <c r="PSX49" s="3043"/>
      <c r="PSY49" s="3043"/>
      <c r="PSZ49" s="3043"/>
      <c r="PTA49" s="3043"/>
      <c r="PTB49" s="3043"/>
      <c r="PTC49" s="3043"/>
      <c r="PTD49" s="3043"/>
      <c r="PTE49" s="3043"/>
      <c r="PTF49" s="3043"/>
      <c r="PTG49" s="3043"/>
      <c r="PTH49" s="3043"/>
      <c r="PTI49" s="3043"/>
      <c r="PTJ49" s="3043"/>
      <c r="PTK49" s="3043"/>
      <c r="PTL49" s="3043"/>
      <c r="PTM49" s="3043"/>
      <c r="PTN49" s="3043"/>
      <c r="PTO49" s="3043"/>
      <c r="PTP49" s="3043"/>
      <c r="PTQ49" s="3043"/>
      <c r="PTR49" s="3043"/>
      <c r="PTS49" s="3043"/>
      <c r="PTT49" s="3043"/>
      <c r="PTU49" s="3043"/>
      <c r="PTV49" s="3043"/>
      <c r="PTW49" s="3043"/>
      <c r="PTX49" s="3043"/>
      <c r="PTY49" s="3043"/>
      <c r="PTZ49" s="3043"/>
      <c r="PUA49" s="3043"/>
      <c r="PUB49" s="3043"/>
      <c r="PUC49" s="3043"/>
      <c r="PUD49" s="3043"/>
      <c r="PUE49" s="3043"/>
      <c r="PUF49" s="3043"/>
      <c r="PUG49" s="3043"/>
      <c r="PUH49" s="3043"/>
      <c r="PUI49" s="3043"/>
      <c r="PUJ49" s="3043"/>
      <c r="PUK49" s="3043"/>
      <c r="PUL49" s="3043"/>
      <c r="PUM49" s="3043"/>
      <c r="PUN49" s="3043"/>
      <c r="PUO49" s="3043"/>
      <c r="PUP49" s="3043"/>
      <c r="PUQ49" s="3043"/>
      <c r="PUR49" s="3043"/>
      <c r="PUS49" s="3043"/>
      <c r="PUT49" s="3043"/>
      <c r="PUU49" s="3043"/>
      <c r="PUV49" s="3043"/>
      <c r="PUW49" s="3043"/>
      <c r="PUX49" s="3043"/>
      <c r="PUY49" s="3043"/>
      <c r="PUZ49" s="3043"/>
      <c r="PVA49" s="3043"/>
      <c r="PVB49" s="3043"/>
      <c r="PVC49" s="3043"/>
      <c r="PVD49" s="3043"/>
      <c r="PVE49" s="3043"/>
      <c r="PVF49" s="3043"/>
      <c r="PVG49" s="3043"/>
      <c r="PVH49" s="3043"/>
      <c r="PVI49" s="3043"/>
      <c r="PVJ49" s="3043"/>
      <c r="PVK49" s="3043"/>
      <c r="PVL49" s="3043"/>
      <c r="PVM49" s="3043"/>
      <c r="PVN49" s="3043"/>
      <c r="PVO49" s="3043"/>
      <c r="PVP49" s="3043"/>
      <c r="PVQ49" s="3043"/>
      <c r="PVR49" s="3043"/>
      <c r="PVS49" s="3043"/>
      <c r="PVT49" s="3043"/>
      <c r="PVU49" s="3043"/>
      <c r="PVV49" s="3043"/>
      <c r="PVW49" s="3043"/>
      <c r="PVX49" s="3043"/>
      <c r="PVY49" s="3043"/>
      <c r="PVZ49" s="3043"/>
      <c r="PWA49" s="3043"/>
      <c r="PWB49" s="3043"/>
      <c r="PWC49" s="3043"/>
      <c r="PWD49" s="3043"/>
      <c r="PWE49" s="3043"/>
      <c r="PWF49" s="3043"/>
      <c r="PWG49" s="3043"/>
      <c r="PWH49" s="3043"/>
      <c r="PWI49" s="3043"/>
      <c r="PWJ49" s="3043"/>
      <c r="PWK49" s="3043"/>
      <c r="PWL49" s="3043"/>
      <c r="PWM49" s="3043"/>
      <c r="PWN49" s="3043"/>
      <c r="PWO49" s="3043"/>
      <c r="PWP49" s="3043"/>
      <c r="PWQ49" s="3043"/>
      <c r="PWR49" s="3043"/>
      <c r="PWS49" s="3043"/>
      <c r="PWT49" s="3043"/>
      <c r="PWU49" s="3043"/>
      <c r="PWV49" s="3043"/>
      <c r="PWW49" s="3043"/>
      <c r="PWX49" s="3043"/>
      <c r="PWY49" s="3043"/>
      <c r="PWZ49" s="3043"/>
      <c r="PXA49" s="3043"/>
      <c r="PXB49" s="3043"/>
      <c r="PXC49" s="3043"/>
      <c r="PXD49" s="3043"/>
      <c r="PXE49" s="3043"/>
      <c r="PXF49" s="3043"/>
      <c r="PXG49" s="3043"/>
      <c r="PXH49" s="3043"/>
      <c r="PXI49" s="3043"/>
      <c r="PXJ49" s="3043"/>
      <c r="PXK49" s="3043"/>
      <c r="PXL49" s="3043"/>
      <c r="PXM49" s="3043"/>
      <c r="PXN49" s="3043"/>
      <c r="PXO49" s="3043"/>
      <c r="PXP49" s="3043"/>
      <c r="PXQ49" s="3043"/>
      <c r="PXR49" s="3043"/>
      <c r="PXS49" s="3043"/>
      <c r="PXT49" s="3043"/>
      <c r="PXU49" s="3043"/>
      <c r="PXV49" s="3043"/>
      <c r="PXW49" s="3043"/>
      <c r="PXX49" s="3043"/>
      <c r="PXY49" s="3043"/>
      <c r="PXZ49" s="3043"/>
      <c r="PYA49" s="3043"/>
      <c r="PYB49" s="3043"/>
      <c r="PYC49" s="3043"/>
      <c r="PYD49" s="3043"/>
      <c r="PYE49" s="3043"/>
      <c r="PYF49" s="3043"/>
      <c r="PYG49" s="3043"/>
      <c r="PYH49" s="3043"/>
      <c r="PYI49" s="3043"/>
      <c r="PYJ49" s="3043"/>
      <c r="PYK49" s="3043"/>
      <c r="PYL49" s="3043"/>
      <c r="PYM49" s="3043"/>
      <c r="PYN49" s="3043"/>
      <c r="PYO49" s="3043"/>
      <c r="PYP49" s="3043"/>
      <c r="PYQ49" s="3043"/>
      <c r="PYR49" s="3043"/>
      <c r="PYS49" s="3043"/>
      <c r="PYT49" s="3043"/>
      <c r="PYU49" s="3043"/>
      <c r="PYV49" s="3043"/>
      <c r="PYW49" s="3043"/>
      <c r="PYX49" s="3043"/>
      <c r="PYY49" s="3043"/>
      <c r="PYZ49" s="3043"/>
      <c r="PZA49" s="3043"/>
      <c r="PZB49" s="3043"/>
      <c r="PZC49" s="3043"/>
      <c r="PZD49" s="3043"/>
      <c r="PZE49" s="3043"/>
      <c r="PZF49" s="3043"/>
      <c r="PZG49" s="3043"/>
      <c r="PZH49" s="3043"/>
      <c r="PZI49" s="3043"/>
      <c r="PZJ49" s="3043"/>
      <c r="PZK49" s="3043"/>
      <c r="PZL49" s="3043"/>
      <c r="PZM49" s="3043"/>
      <c r="PZN49" s="3043"/>
      <c r="PZO49" s="3043"/>
      <c r="PZP49" s="3043"/>
      <c r="PZQ49" s="3043"/>
      <c r="PZR49" s="3043"/>
      <c r="PZS49" s="3043"/>
      <c r="PZT49" s="3043"/>
      <c r="PZU49" s="3043"/>
      <c r="PZV49" s="3043"/>
      <c r="PZW49" s="3043"/>
      <c r="PZX49" s="3043"/>
      <c r="PZY49" s="3043"/>
      <c r="PZZ49" s="3043"/>
      <c r="QAA49" s="3043"/>
      <c r="QAB49" s="3043"/>
      <c r="QAC49" s="3043"/>
      <c r="QAD49" s="3043"/>
      <c r="QAE49" s="3043"/>
      <c r="QAF49" s="3043"/>
      <c r="QAG49" s="3043"/>
      <c r="QAH49" s="3043"/>
      <c r="QAI49" s="3043"/>
      <c r="QAJ49" s="3043"/>
      <c r="QAK49" s="3043"/>
      <c r="QAL49" s="3043"/>
      <c r="QAM49" s="3043"/>
      <c r="QAN49" s="3043"/>
      <c r="QAO49" s="3043"/>
      <c r="QAP49" s="3043"/>
      <c r="QAQ49" s="3043"/>
      <c r="QAR49" s="3043"/>
      <c r="QAS49" s="3043"/>
      <c r="QAT49" s="3043"/>
      <c r="QAU49" s="3043"/>
      <c r="QAV49" s="3043"/>
      <c r="QAW49" s="3043"/>
      <c r="QAX49" s="3043"/>
      <c r="QAY49" s="3043"/>
      <c r="QAZ49" s="3043"/>
      <c r="QBA49" s="3043"/>
      <c r="QBB49" s="3043"/>
      <c r="QBC49" s="3043"/>
      <c r="QBD49" s="3043"/>
      <c r="QBE49" s="3043"/>
      <c r="QBF49" s="3043"/>
      <c r="QBG49" s="3043"/>
      <c r="QBH49" s="3043"/>
      <c r="QBI49" s="3043"/>
      <c r="QBJ49" s="3043"/>
      <c r="QBK49" s="3043"/>
      <c r="QBL49" s="3043"/>
      <c r="QBM49" s="3043"/>
      <c r="QBN49" s="3043"/>
      <c r="QBO49" s="3043"/>
      <c r="QBP49" s="3043"/>
      <c r="QBQ49" s="3043"/>
      <c r="QBR49" s="3043"/>
      <c r="QBS49" s="3043"/>
      <c r="QBT49" s="3043"/>
      <c r="QBU49" s="3043"/>
      <c r="QBV49" s="3043"/>
      <c r="QBW49" s="3043"/>
      <c r="QBX49" s="3043"/>
      <c r="QBY49" s="3043"/>
      <c r="QBZ49" s="3043"/>
      <c r="QCA49" s="3043"/>
      <c r="QCB49" s="3043"/>
      <c r="QCC49" s="3043"/>
      <c r="QCD49" s="3043"/>
      <c r="QCE49" s="3043"/>
      <c r="QCF49" s="3043"/>
      <c r="QCG49" s="3043"/>
      <c r="QCH49" s="3043"/>
      <c r="QCI49" s="3043"/>
      <c r="QCJ49" s="3043"/>
      <c r="QCK49" s="3043"/>
      <c r="QCL49" s="3043"/>
      <c r="QCM49" s="3043"/>
      <c r="QCN49" s="3043"/>
      <c r="QCO49" s="3043"/>
      <c r="QCP49" s="3043"/>
      <c r="QCQ49" s="3043"/>
      <c r="QCR49" s="3043"/>
      <c r="QCS49" s="3043"/>
      <c r="QCT49" s="3043"/>
      <c r="QCU49" s="3043"/>
      <c r="QCV49" s="3043"/>
      <c r="QCW49" s="3043"/>
      <c r="QCX49" s="3043"/>
      <c r="QCY49" s="3043"/>
      <c r="QCZ49" s="3043"/>
      <c r="QDA49" s="3043"/>
      <c r="QDB49" s="3043"/>
      <c r="QDC49" s="3043"/>
      <c r="QDD49" s="3043"/>
      <c r="QDE49" s="3043"/>
      <c r="QDF49" s="3043"/>
      <c r="QDG49" s="3043"/>
      <c r="QDH49" s="3043"/>
      <c r="QDI49" s="3043"/>
      <c r="QDJ49" s="3043"/>
      <c r="QDK49" s="3043"/>
      <c r="QDL49" s="3043"/>
      <c r="QDM49" s="3043"/>
      <c r="QDN49" s="3043"/>
      <c r="QDO49" s="3043"/>
      <c r="QDP49" s="3043"/>
      <c r="QDQ49" s="3043"/>
      <c r="QDR49" s="3043"/>
      <c r="QDS49" s="3043"/>
      <c r="QDT49" s="3043"/>
      <c r="QDU49" s="3043"/>
      <c r="QDV49" s="3043"/>
      <c r="QDW49" s="3043"/>
      <c r="QDX49" s="3043"/>
      <c r="QDY49" s="3043"/>
      <c r="QDZ49" s="3043"/>
      <c r="QEA49" s="3043"/>
      <c r="QEB49" s="3043"/>
      <c r="QEC49" s="3043"/>
      <c r="QED49" s="3043"/>
      <c r="QEE49" s="3043"/>
      <c r="QEF49" s="3043"/>
      <c r="QEG49" s="3043"/>
      <c r="QEH49" s="3043"/>
      <c r="QEI49" s="3043"/>
      <c r="QEJ49" s="3043"/>
      <c r="QEK49" s="3043"/>
      <c r="QEL49" s="3043"/>
      <c r="QEM49" s="3043"/>
      <c r="QEN49" s="3043"/>
      <c r="QEO49" s="3043"/>
      <c r="QEP49" s="3043"/>
      <c r="QEQ49" s="3043"/>
      <c r="QER49" s="3043"/>
      <c r="QES49" s="3043"/>
      <c r="QET49" s="3043"/>
      <c r="QEU49" s="3043"/>
      <c r="QEV49" s="3043"/>
      <c r="QEW49" s="3043"/>
      <c r="QEX49" s="3043"/>
      <c r="QEY49" s="3043"/>
      <c r="QEZ49" s="3043"/>
      <c r="QFA49" s="3043"/>
      <c r="QFB49" s="3043"/>
      <c r="QFC49" s="3043"/>
      <c r="QFD49" s="3043"/>
      <c r="QFE49" s="3043"/>
      <c r="QFF49" s="3043"/>
      <c r="QFG49" s="3043"/>
      <c r="QFH49" s="3043"/>
      <c r="QFI49" s="3043"/>
      <c r="QFJ49" s="3043"/>
      <c r="QFK49" s="3043"/>
      <c r="QFL49" s="3043"/>
      <c r="QFM49" s="3043"/>
      <c r="QFN49" s="3043"/>
      <c r="QFO49" s="3043"/>
      <c r="QFP49" s="3043"/>
      <c r="QFQ49" s="3043"/>
      <c r="QFR49" s="3043"/>
      <c r="QFS49" s="3043"/>
      <c r="QFT49" s="3043"/>
      <c r="QFU49" s="3043"/>
      <c r="QFV49" s="3043"/>
      <c r="QFW49" s="3043"/>
      <c r="QFX49" s="3043"/>
      <c r="QFY49" s="3043"/>
      <c r="QFZ49" s="3043"/>
      <c r="QGA49" s="3043"/>
      <c r="QGB49" s="3043"/>
      <c r="QGC49" s="3043"/>
      <c r="QGD49" s="3043"/>
      <c r="QGE49" s="3043"/>
      <c r="QGF49" s="3043"/>
      <c r="QGG49" s="3043"/>
      <c r="QGH49" s="3043"/>
      <c r="QGI49" s="3043"/>
      <c r="QGJ49" s="3043"/>
      <c r="QGK49" s="3043"/>
      <c r="QGL49" s="3043"/>
      <c r="QGM49" s="3043"/>
      <c r="QGN49" s="3043"/>
      <c r="QGO49" s="3043"/>
      <c r="QGP49" s="3043"/>
      <c r="QGQ49" s="3043"/>
      <c r="QGR49" s="3043"/>
      <c r="QGS49" s="3043"/>
      <c r="QGT49" s="3043"/>
      <c r="QGU49" s="3043"/>
      <c r="QGV49" s="3043"/>
      <c r="QGW49" s="3043"/>
      <c r="QGX49" s="3043"/>
      <c r="QGY49" s="3043"/>
      <c r="QGZ49" s="3043"/>
      <c r="QHA49" s="3043"/>
      <c r="QHB49" s="3043"/>
      <c r="QHC49" s="3043"/>
      <c r="QHD49" s="3043"/>
      <c r="QHE49" s="3043"/>
      <c r="QHF49" s="3043"/>
      <c r="QHG49" s="3043"/>
      <c r="QHH49" s="3043"/>
      <c r="QHI49" s="3043"/>
      <c r="QHJ49" s="3043"/>
      <c r="QHK49" s="3043"/>
      <c r="QHL49" s="3043"/>
      <c r="QHM49" s="3043"/>
      <c r="QHN49" s="3043"/>
      <c r="QHO49" s="3043"/>
      <c r="QHP49" s="3043"/>
      <c r="QHQ49" s="3043"/>
      <c r="QHR49" s="3043"/>
      <c r="QHS49" s="3043"/>
      <c r="QHT49" s="3043"/>
      <c r="QHU49" s="3043"/>
      <c r="QHV49" s="3043"/>
      <c r="QHW49" s="3043"/>
      <c r="QHX49" s="3043"/>
      <c r="QHY49" s="3043"/>
      <c r="QHZ49" s="3043"/>
      <c r="QIA49" s="3043"/>
      <c r="QIB49" s="3043"/>
      <c r="QIC49" s="3043"/>
      <c r="QID49" s="3043"/>
      <c r="QIE49" s="3043"/>
      <c r="QIF49" s="3043"/>
      <c r="QIG49" s="3043"/>
      <c r="QIH49" s="3043"/>
      <c r="QII49" s="3043"/>
      <c r="QIJ49" s="3043"/>
      <c r="QIK49" s="3043"/>
      <c r="QIL49" s="3043"/>
      <c r="QIM49" s="3043"/>
      <c r="QIN49" s="3043"/>
      <c r="QIO49" s="3043"/>
      <c r="QIP49" s="3043"/>
      <c r="QIQ49" s="3043"/>
      <c r="QIR49" s="3043"/>
      <c r="QIS49" s="3043"/>
      <c r="QIT49" s="3043"/>
      <c r="QIU49" s="3043"/>
      <c r="QIV49" s="3043"/>
      <c r="QIW49" s="3043"/>
      <c r="QIX49" s="3043"/>
      <c r="QIY49" s="3043"/>
      <c r="QIZ49" s="3043"/>
      <c r="QJA49" s="3043"/>
      <c r="QJB49" s="3043"/>
      <c r="QJC49" s="3043"/>
      <c r="QJD49" s="3043"/>
      <c r="QJE49" s="3043"/>
      <c r="QJF49" s="3043"/>
      <c r="QJG49" s="3043"/>
      <c r="QJH49" s="3043"/>
      <c r="QJI49" s="3043"/>
      <c r="QJJ49" s="3043"/>
      <c r="QJK49" s="3043"/>
      <c r="QJL49" s="3043"/>
      <c r="QJM49" s="3043"/>
      <c r="QJN49" s="3043"/>
      <c r="QJO49" s="3043"/>
      <c r="QJP49" s="3043"/>
      <c r="QJQ49" s="3043"/>
      <c r="QJR49" s="3043"/>
      <c r="QJS49" s="3043"/>
      <c r="QJT49" s="3043"/>
      <c r="QJU49" s="3043"/>
      <c r="QJV49" s="3043"/>
      <c r="QJW49" s="3043"/>
      <c r="QJX49" s="3043"/>
      <c r="QJY49" s="3043"/>
      <c r="QJZ49" s="3043"/>
      <c r="QKA49" s="3043"/>
      <c r="QKB49" s="3043"/>
      <c r="QKC49" s="3043"/>
      <c r="QKD49" s="3043"/>
      <c r="QKE49" s="3043"/>
      <c r="QKF49" s="3043"/>
      <c r="QKG49" s="3043"/>
      <c r="QKH49" s="3043"/>
      <c r="QKI49" s="3043"/>
      <c r="QKJ49" s="3043"/>
      <c r="QKK49" s="3043"/>
      <c r="QKL49" s="3043"/>
      <c r="QKM49" s="3043"/>
      <c r="QKN49" s="3043"/>
      <c r="QKO49" s="3043"/>
      <c r="QKP49" s="3043"/>
      <c r="QKQ49" s="3043"/>
      <c r="QKR49" s="3043"/>
      <c r="QKS49" s="3043"/>
      <c r="QKT49" s="3043"/>
      <c r="QKU49" s="3043"/>
      <c r="QKV49" s="3043"/>
      <c r="QKW49" s="3043"/>
      <c r="QKX49" s="3043"/>
      <c r="QKY49" s="3043"/>
      <c r="QKZ49" s="3043"/>
      <c r="QLA49" s="3043"/>
      <c r="QLB49" s="3043"/>
      <c r="QLC49" s="3043"/>
      <c r="QLD49" s="3043"/>
      <c r="QLE49" s="3043"/>
      <c r="QLF49" s="3043"/>
      <c r="QLG49" s="3043"/>
      <c r="QLH49" s="3043"/>
      <c r="QLI49" s="3043"/>
      <c r="QLJ49" s="3043"/>
      <c r="QLK49" s="3043"/>
      <c r="QLL49" s="3043"/>
      <c r="QLM49" s="3043"/>
      <c r="QLN49" s="3043"/>
      <c r="QLO49" s="3043"/>
      <c r="QLP49" s="3043"/>
      <c r="QLQ49" s="3043"/>
      <c r="QLR49" s="3043"/>
      <c r="QLS49" s="3043"/>
      <c r="QLT49" s="3043"/>
      <c r="QLU49" s="3043"/>
      <c r="QLV49" s="3043"/>
      <c r="QLW49" s="3043"/>
      <c r="QLX49" s="3043"/>
      <c r="QLY49" s="3043"/>
      <c r="QLZ49" s="3043"/>
      <c r="QMA49" s="3043"/>
      <c r="QMB49" s="3043"/>
      <c r="QMC49" s="3043"/>
      <c r="QMD49" s="3043"/>
      <c r="QME49" s="3043"/>
      <c r="QMF49" s="3043"/>
      <c r="QMG49" s="3043"/>
      <c r="QMH49" s="3043"/>
      <c r="QMI49" s="3043"/>
      <c r="QMJ49" s="3043"/>
      <c r="QMK49" s="3043"/>
      <c r="QML49" s="3043"/>
      <c r="QMM49" s="3043"/>
      <c r="QMN49" s="3043"/>
      <c r="QMO49" s="3043"/>
      <c r="QMP49" s="3043"/>
      <c r="QMQ49" s="3043"/>
      <c r="QMR49" s="3043"/>
      <c r="QMS49" s="3043"/>
      <c r="QMT49" s="3043"/>
      <c r="QMU49" s="3043"/>
      <c r="QMV49" s="3043"/>
      <c r="QMW49" s="3043"/>
      <c r="QMX49" s="3043"/>
      <c r="QMY49" s="3043"/>
      <c r="QMZ49" s="3043"/>
      <c r="QNA49" s="3043"/>
      <c r="QNB49" s="3043"/>
      <c r="QNC49" s="3043"/>
      <c r="QND49" s="3043"/>
      <c r="QNE49" s="3043"/>
      <c r="QNF49" s="3043"/>
      <c r="QNG49" s="3043"/>
      <c r="QNH49" s="3043"/>
      <c r="QNI49" s="3043"/>
      <c r="QNJ49" s="3043"/>
      <c r="QNK49" s="3043"/>
      <c r="QNL49" s="3043"/>
      <c r="QNM49" s="3043"/>
      <c r="QNN49" s="3043"/>
      <c r="QNO49" s="3043"/>
      <c r="QNP49" s="3043"/>
      <c r="QNQ49" s="3043"/>
      <c r="QNR49" s="3043"/>
      <c r="QNS49" s="3043"/>
      <c r="QNT49" s="3043"/>
      <c r="QNU49" s="3043"/>
      <c r="QNV49" s="3043"/>
      <c r="QNW49" s="3043"/>
      <c r="QNX49" s="3043"/>
      <c r="QNY49" s="3043"/>
      <c r="QNZ49" s="3043"/>
      <c r="QOA49" s="3043"/>
      <c r="QOB49" s="3043"/>
      <c r="QOC49" s="3043"/>
      <c r="QOD49" s="3043"/>
      <c r="QOE49" s="3043"/>
      <c r="QOF49" s="3043"/>
      <c r="QOG49" s="3043"/>
      <c r="QOH49" s="3043"/>
      <c r="QOI49" s="3043"/>
      <c r="QOJ49" s="3043"/>
      <c r="QOK49" s="3043"/>
      <c r="QOL49" s="3043"/>
      <c r="QOM49" s="3043"/>
      <c r="QON49" s="3043"/>
      <c r="QOO49" s="3043"/>
      <c r="QOP49" s="3043"/>
      <c r="QOQ49" s="3043"/>
      <c r="QOR49" s="3043"/>
      <c r="QOS49" s="3043"/>
      <c r="QOT49" s="3043"/>
      <c r="QOU49" s="3043"/>
      <c r="QOV49" s="3043"/>
      <c r="QOW49" s="3043"/>
      <c r="QOX49" s="3043"/>
      <c r="QOY49" s="3043"/>
      <c r="QOZ49" s="3043"/>
      <c r="QPA49" s="3043"/>
      <c r="QPB49" s="3043"/>
      <c r="QPC49" s="3043"/>
      <c r="QPD49" s="3043"/>
      <c r="QPE49" s="3043"/>
      <c r="QPF49" s="3043"/>
      <c r="QPG49" s="3043"/>
      <c r="QPH49" s="3043"/>
      <c r="QPI49" s="3043"/>
      <c r="QPJ49" s="3043"/>
      <c r="QPK49" s="3043"/>
      <c r="QPL49" s="3043"/>
      <c r="QPM49" s="3043"/>
      <c r="QPN49" s="3043"/>
      <c r="QPO49" s="3043"/>
      <c r="QPP49" s="3043"/>
      <c r="QPQ49" s="3043"/>
      <c r="QPR49" s="3043"/>
      <c r="QPS49" s="3043"/>
      <c r="QPT49" s="3043"/>
      <c r="QPU49" s="3043"/>
      <c r="QPV49" s="3043"/>
      <c r="QPW49" s="3043"/>
      <c r="QPX49" s="3043"/>
      <c r="QPY49" s="3043"/>
      <c r="QPZ49" s="3043"/>
      <c r="QQA49" s="3043"/>
      <c r="QQB49" s="3043"/>
      <c r="QQC49" s="3043"/>
      <c r="QQD49" s="3043"/>
      <c r="QQE49" s="3043"/>
      <c r="QQF49" s="3043"/>
      <c r="QQG49" s="3043"/>
      <c r="QQH49" s="3043"/>
      <c r="QQI49" s="3043"/>
      <c r="QQJ49" s="3043"/>
      <c r="QQK49" s="3043"/>
      <c r="QQL49" s="3043"/>
      <c r="QQM49" s="3043"/>
      <c r="QQN49" s="3043"/>
      <c r="QQO49" s="3043"/>
      <c r="QQP49" s="3043"/>
      <c r="QQQ49" s="3043"/>
      <c r="QQR49" s="3043"/>
      <c r="QQS49" s="3043"/>
      <c r="QQT49" s="3043"/>
      <c r="QQU49" s="3043"/>
      <c r="QQV49" s="3043"/>
      <c r="QQW49" s="3043"/>
      <c r="QQX49" s="3043"/>
      <c r="QQY49" s="3043"/>
      <c r="QQZ49" s="3043"/>
      <c r="QRA49" s="3043"/>
      <c r="QRB49" s="3043"/>
      <c r="QRC49" s="3043"/>
      <c r="QRD49" s="3043"/>
      <c r="QRE49" s="3043"/>
      <c r="QRF49" s="3043"/>
      <c r="QRG49" s="3043"/>
      <c r="QRH49" s="3043"/>
      <c r="QRI49" s="3043"/>
      <c r="QRJ49" s="3043"/>
      <c r="QRK49" s="3043"/>
      <c r="QRL49" s="3043"/>
      <c r="QRM49" s="3043"/>
      <c r="QRN49" s="3043"/>
      <c r="QRO49" s="3043"/>
      <c r="QRP49" s="3043"/>
      <c r="QRQ49" s="3043"/>
      <c r="QRR49" s="3043"/>
      <c r="QRS49" s="3043"/>
      <c r="QRT49" s="3043"/>
      <c r="QRU49" s="3043"/>
      <c r="QRV49" s="3043"/>
      <c r="QRW49" s="3043"/>
      <c r="QRX49" s="3043"/>
      <c r="QRY49" s="3043"/>
      <c r="QRZ49" s="3043"/>
      <c r="QSA49" s="3043"/>
      <c r="QSB49" s="3043"/>
      <c r="QSC49" s="3043"/>
      <c r="QSD49" s="3043"/>
      <c r="QSE49" s="3043"/>
      <c r="QSF49" s="3043"/>
      <c r="QSG49" s="3043"/>
      <c r="QSH49" s="3043"/>
      <c r="QSI49" s="3043"/>
      <c r="QSJ49" s="3043"/>
      <c r="QSK49" s="3043"/>
      <c r="QSL49" s="3043"/>
      <c r="QSM49" s="3043"/>
      <c r="QSN49" s="3043"/>
      <c r="QSO49" s="3043"/>
      <c r="QSP49" s="3043"/>
      <c r="QSQ49" s="3043"/>
      <c r="QSR49" s="3043"/>
      <c r="QSS49" s="3043"/>
      <c r="QST49" s="3043"/>
      <c r="QSU49" s="3043"/>
      <c r="QSV49" s="3043"/>
      <c r="QSW49" s="3043"/>
      <c r="QSX49" s="3043"/>
      <c r="QSY49" s="3043"/>
      <c r="QSZ49" s="3043"/>
      <c r="QTA49" s="3043"/>
      <c r="QTB49" s="3043"/>
      <c r="QTC49" s="3043"/>
      <c r="QTD49" s="3043"/>
      <c r="QTE49" s="3043"/>
      <c r="QTF49" s="3043"/>
      <c r="QTG49" s="3043"/>
      <c r="QTH49" s="3043"/>
      <c r="QTI49" s="3043"/>
      <c r="QTJ49" s="3043"/>
      <c r="QTK49" s="3043"/>
      <c r="QTL49" s="3043"/>
      <c r="QTM49" s="3043"/>
      <c r="QTN49" s="3043"/>
      <c r="QTO49" s="3043"/>
      <c r="QTP49" s="3043"/>
      <c r="QTQ49" s="3043"/>
      <c r="QTR49" s="3043"/>
      <c r="QTS49" s="3043"/>
      <c r="QTT49" s="3043"/>
      <c r="QTU49" s="3043"/>
      <c r="QTV49" s="3043"/>
      <c r="QTW49" s="3043"/>
      <c r="QTX49" s="3043"/>
      <c r="QTY49" s="3043"/>
      <c r="QTZ49" s="3043"/>
      <c r="QUA49" s="3043"/>
      <c r="QUB49" s="3043"/>
      <c r="QUC49" s="3043"/>
      <c r="QUD49" s="3043"/>
      <c r="QUE49" s="3043"/>
      <c r="QUF49" s="3043"/>
      <c r="QUG49" s="3043"/>
      <c r="QUH49" s="3043"/>
      <c r="QUI49" s="3043"/>
      <c r="QUJ49" s="3043"/>
      <c r="QUK49" s="3043"/>
      <c r="QUL49" s="3043"/>
      <c r="QUM49" s="3043"/>
      <c r="QUN49" s="3043"/>
      <c r="QUO49" s="3043"/>
      <c r="QUP49" s="3043"/>
      <c r="QUQ49" s="3043"/>
      <c r="QUR49" s="3043"/>
      <c r="QUS49" s="3043"/>
      <c r="QUT49" s="3043"/>
      <c r="QUU49" s="3043"/>
      <c r="QUV49" s="3043"/>
      <c r="QUW49" s="3043"/>
      <c r="QUX49" s="3043"/>
      <c r="QUY49" s="3043"/>
      <c r="QUZ49" s="3043"/>
      <c r="QVA49" s="3043"/>
      <c r="QVB49" s="3043"/>
      <c r="QVC49" s="3043"/>
      <c r="QVD49" s="3043"/>
      <c r="QVE49" s="3043"/>
      <c r="QVF49" s="3043"/>
      <c r="QVG49" s="3043"/>
      <c r="QVH49" s="3043"/>
      <c r="QVI49" s="3043"/>
      <c r="QVJ49" s="3043"/>
      <c r="QVK49" s="3043"/>
      <c r="QVL49" s="3043"/>
      <c r="QVM49" s="3043"/>
      <c r="QVN49" s="3043"/>
      <c r="QVO49" s="3043"/>
      <c r="QVP49" s="3043"/>
      <c r="QVQ49" s="3043"/>
      <c r="QVR49" s="3043"/>
      <c r="QVS49" s="3043"/>
      <c r="QVT49" s="3043"/>
      <c r="QVU49" s="3043"/>
      <c r="QVV49" s="3043"/>
      <c r="QVW49" s="3043"/>
      <c r="QVX49" s="3043"/>
      <c r="QVY49" s="3043"/>
      <c r="QVZ49" s="3043"/>
      <c r="QWA49" s="3043"/>
      <c r="QWB49" s="3043"/>
      <c r="QWC49" s="3043"/>
      <c r="QWD49" s="3043"/>
      <c r="QWE49" s="3043"/>
      <c r="QWF49" s="3043"/>
      <c r="QWG49" s="3043"/>
      <c r="QWH49" s="3043"/>
      <c r="QWI49" s="3043"/>
      <c r="QWJ49" s="3043"/>
      <c r="QWK49" s="3043"/>
      <c r="QWL49" s="3043"/>
      <c r="QWM49" s="3043"/>
      <c r="QWN49" s="3043"/>
      <c r="QWO49" s="3043"/>
      <c r="QWP49" s="3043"/>
      <c r="QWQ49" s="3043"/>
      <c r="QWR49" s="3043"/>
      <c r="QWS49" s="3043"/>
      <c r="QWT49" s="3043"/>
      <c r="QWU49" s="3043"/>
      <c r="QWV49" s="3043"/>
      <c r="QWW49" s="3043"/>
      <c r="QWX49" s="3043"/>
      <c r="QWY49" s="3043"/>
      <c r="QWZ49" s="3043"/>
      <c r="QXA49" s="3043"/>
      <c r="QXB49" s="3043"/>
      <c r="QXC49" s="3043"/>
      <c r="QXD49" s="3043"/>
      <c r="QXE49" s="3043"/>
      <c r="QXF49" s="3043"/>
      <c r="QXG49" s="3043"/>
      <c r="QXH49" s="3043"/>
      <c r="QXI49" s="3043"/>
      <c r="QXJ49" s="3043"/>
      <c r="QXK49" s="3043"/>
      <c r="QXL49" s="3043"/>
      <c r="QXM49" s="3043"/>
      <c r="QXN49" s="3043"/>
      <c r="QXO49" s="3043"/>
      <c r="QXP49" s="3043"/>
      <c r="QXQ49" s="3043"/>
      <c r="QXR49" s="3043"/>
      <c r="QXS49" s="3043"/>
      <c r="QXT49" s="3043"/>
      <c r="QXU49" s="3043"/>
      <c r="QXV49" s="3043"/>
      <c r="QXW49" s="3043"/>
      <c r="QXX49" s="3043"/>
      <c r="QXY49" s="3043"/>
      <c r="QXZ49" s="3043"/>
      <c r="QYA49" s="3043"/>
      <c r="QYB49" s="3043"/>
      <c r="QYC49" s="3043"/>
      <c r="QYD49" s="3043"/>
      <c r="QYE49" s="3043"/>
      <c r="QYF49" s="3043"/>
      <c r="QYG49" s="3043"/>
      <c r="QYH49" s="3043"/>
      <c r="QYI49" s="3043"/>
      <c r="QYJ49" s="3043"/>
      <c r="QYK49" s="3043"/>
      <c r="QYL49" s="3043"/>
      <c r="QYM49" s="3043"/>
      <c r="QYN49" s="3043"/>
      <c r="QYO49" s="3043"/>
      <c r="QYP49" s="3043"/>
      <c r="QYQ49" s="3043"/>
      <c r="QYR49" s="3043"/>
      <c r="QYS49" s="3043"/>
      <c r="QYT49" s="3043"/>
      <c r="QYU49" s="3043"/>
      <c r="QYV49" s="3043"/>
      <c r="QYW49" s="3043"/>
      <c r="QYX49" s="3043"/>
      <c r="QYY49" s="3043"/>
      <c r="QYZ49" s="3043"/>
      <c r="QZA49" s="3043"/>
      <c r="QZB49" s="3043"/>
      <c r="QZC49" s="3043"/>
      <c r="QZD49" s="3043"/>
      <c r="QZE49" s="3043"/>
      <c r="QZF49" s="3043"/>
      <c r="QZG49" s="3043"/>
      <c r="QZH49" s="3043"/>
      <c r="QZI49" s="3043"/>
      <c r="QZJ49" s="3043"/>
      <c r="QZK49" s="3043"/>
      <c r="QZL49" s="3043"/>
      <c r="QZM49" s="3043"/>
      <c r="QZN49" s="3043"/>
      <c r="QZO49" s="3043"/>
      <c r="QZP49" s="3043"/>
      <c r="QZQ49" s="3043"/>
      <c r="QZR49" s="3043"/>
      <c r="QZS49" s="3043"/>
      <c r="QZT49" s="3043"/>
      <c r="QZU49" s="3043"/>
      <c r="QZV49" s="3043"/>
      <c r="QZW49" s="3043"/>
      <c r="QZX49" s="3043"/>
      <c r="QZY49" s="3043"/>
      <c r="QZZ49" s="3043"/>
      <c r="RAA49" s="3043"/>
      <c r="RAB49" s="3043"/>
      <c r="RAC49" s="3043"/>
      <c r="RAD49" s="3043"/>
      <c r="RAE49" s="3043"/>
      <c r="RAF49" s="3043"/>
      <c r="RAG49" s="3043"/>
      <c r="RAH49" s="3043"/>
      <c r="RAI49" s="3043"/>
      <c r="RAJ49" s="3043"/>
      <c r="RAK49" s="3043"/>
      <c r="RAL49" s="3043"/>
      <c r="RAM49" s="3043"/>
      <c r="RAN49" s="3043"/>
      <c r="RAO49" s="3043"/>
      <c r="RAP49" s="3043"/>
      <c r="RAQ49" s="3043"/>
      <c r="RAR49" s="3043"/>
      <c r="RAS49" s="3043"/>
      <c r="RAT49" s="3043"/>
      <c r="RAU49" s="3043"/>
      <c r="RAV49" s="3043"/>
      <c r="RAW49" s="3043"/>
      <c r="RAX49" s="3043"/>
      <c r="RAY49" s="3043"/>
      <c r="RAZ49" s="3043"/>
      <c r="RBA49" s="3043"/>
      <c r="RBB49" s="3043"/>
      <c r="RBC49" s="3043"/>
      <c r="RBD49" s="3043"/>
      <c r="RBE49" s="3043"/>
      <c r="RBF49" s="3043"/>
      <c r="RBG49" s="3043"/>
      <c r="RBH49" s="3043"/>
      <c r="RBI49" s="3043"/>
      <c r="RBJ49" s="3043"/>
      <c r="RBK49" s="3043"/>
      <c r="RBL49" s="3043"/>
      <c r="RBM49" s="3043"/>
      <c r="RBN49" s="3043"/>
      <c r="RBO49" s="3043"/>
      <c r="RBP49" s="3043"/>
      <c r="RBQ49" s="3043"/>
      <c r="RBR49" s="3043"/>
      <c r="RBS49" s="3043"/>
      <c r="RBT49" s="3043"/>
      <c r="RBU49" s="3043"/>
      <c r="RBV49" s="3043"/>
      <c r="RBW49" s="3043"/>
      <c r="RBX49" s="3043"/>
      <c r="RBY49" s="3043"/>
      <c r="RBZ49" s="3043"/>
      <c r="RCA49" s="3043"/>
      <c r="RCB49" s="3043"/>
      <c r="RCC49" s="3043"/>
      <c r="RCD49" s="3043"/>
      <c r="RCE49" s="3043"/>
      <c r="RCF49" s="3043"/>
      <c r="RCG49" s="3043"/>
      <c r="RCH49" s="3043"/>
      <c r="RCI49" s="3043"/>
      <c r="RCJ49" s="3043"/>
      <c r="RCK49" s="3043"/>
      <c r="RCL49" s="3043"/>
      <c r="RCM49" s="3043"/>
      <c r="RCN49" s="3043"/>
      <c r="RCO49" s="3043"/>
      <c r="RCP49" s="3043"/>
      <c r="RCQ49" s="3043"/>
      <c r="RCR49" s="3043"/>
      <c r="RCS49" s="3043"/>
      <c r="RCT49" s="3043"/>
      <c r="RCU49" s="3043"/>
      <c r="RCV49" s="3043"/>
      <c r="RCW49" s="3043"/>
      <c r="RCX49" s="3043"/>
      <c r="RCY49" s="3043"/>
      <c r="RCZ49" s="3043"/>
      <c r="RDA49" s="3043"/>
      <c r="RDB49" s="3043"/>
      <c r="RDC49" s="3043"/>
      <c r="RDD49" s="3043"/>
      <c r="RDE49" s="3043"/>
      <c r="RDF49" s="3043"/>
      <c r="RDG49" s="3043"/>
      <c r="RDH49" s="3043"/>
      <c r="RDI49" s="3043"/>
      <c r="RDJ49" s="3043"/>
      <c r="RDK49" s="3043"/>
      <c r="RDL49" s="3043"/>
      <c r="RDM49" s="3043"/>
      <c r="RDN49" s="3043"/>
      <c r="RDO49" s="3043"/>
      <c r="RDP49" s="3043"/>
      <c r="RDQ49" s="3043"/>
      <c r="RDR49" s="3043"/>
      <c r="RDS49" s="3043"/>
      <c r="RDT49" s="3043"/>
      <c r="RDU49" s="3043"/>
      <c r="RDV49" s="3043"/>
      <c r="RDW49" s="3043"/>
      <c r="RDX49" s="3043"/>
      <c r="RDY49" s="3043"/>
      <c r="RDZ49" s="3043"/>
      <c r="REA49" s="3043"/>
      <c r="REB49" s="3043"/>
      <c r="REC49" s="3043"/>
      <c r="RED49" s="3043"/>
      <c r="REE49" s="3043"/>
      <c r="REF49" s="3043"/>
      <c r="REG49" s="3043"/>
      <c r="REH49" s="3043"/>
      <c r="REI49" s="3043"/>
      <c r="REJ49" s="3043"/>
      <c r="REK49" s="3043"/>
      <c r="REL49" s="3043"/>
      <c r="REM49" s="3043"/>
      <c r="REN49" s="3043"/>
      <c r="REO49" s="3043"/>
      <c r="REP49" s="3043"/>
      <c r="REQ49" s="3043"/>
      <c r="RER49" s="3043"/>
      <c r="RES49" s="3043"/>
      <c r="RET49" s="3043"/>
      <c r="REU49" s="3043"/>
      <c r="REV49" s="3043"/>
      <c r="REW49" s="3043"/>
      <c r="REX49" s="3043"/>
      <c r="REY49" s="3043"/>
      <c r="REZ49" s="3043"/>
      <c r="RFA49" s="3043"/>
      <c r="RFB49" s="3043"/>
      <c r="RFC49" s="3043"/>
      <c r="RFD49" s="3043"/>
      <c r="RFE49" s="3043"/>
      <c r="RFF49" s="3043"/>
      <c r="RFG49" s="3043"/>
      <c r="RFH49" s="3043"/>
      <c r="RFI49" s="3043"/>
      <c r="RFJ49" s="3043"/>
      <c r="RFK49" s="3043"/>
      <c r="RFL49" s="3043"/>
      <c r="RFM49" s="3043"/>
      <c r="RFN49" s="3043"/>
      <c r="RFO49" s="3043"/>
      <c r="RFP49" s="3043"/>
      <c r="RFQ49" s="3043"/>
      <c r="RFR49" s="3043"/>
      <c r="RFS49" s="3043"/>
      <c r="RFT49" s="3043"/>
      <c r="RFU49" s="3043"/>
      <c r="RFV49" s="3043"/>
      <c r="RFW49" s="3043"/>
      <c r="RFX49" s="3043"/>
      <c r="RFY49" s="3043"/>
      <c r="RFZ49" s="3043"/>
      <c r="RGA49" s="3043"/>
      <c r="RGB49" s="3043"/>
      <c r="RGC49" s="3043"/>
      <c r="RGD49" s="3043"/>
      <c r="RGE49" s="3043"/>
      <c r="RGF49" s="3043"/>
      <c r="RGG49" s="3043"/>
      <c r="RGH49" s="3043"/>
      <c r="RGI49" s="3043"/>
      <c r="RGJ49" s="3043"/>
      <c r="RGK49" s="3043"/>
      <c r="RGL49" s="3043"/>
      <c r="RGM49" s="3043"/>
      <c r="RGN49" s="3043"/>
      <c r="RGO49" s="3043"/>
      <c r="RGP49" s="3043"/>
      <c r="RGQ49" s="3043"/>
      <c r="RGR49" s="3043"/>
      <c r="RGS49" s="3043"/>
      <c r="RGT49" s="3043"/>
      <c r="RGU49" s="3043"/>
      <c r="RGV49" s="3043"/>
      <c r="RGW49" s="3043"/>
      <c r="RGX49" s="3043"/>
      <c r="RGY49" s="3043"/>
      <c r="RGZ49" s="3043"/>
      <c r="RHA49" s="3043"/>
      <c r="RHB49" s="3043"/>
      <c r="RHC49" s="3043"/>
      <c r="RHD49" s="3043"/>
      <c r="RHE49" s="3043"/>
      <c r="RHF49" s="3043"/>
      <c r="RHG49" s="3043"/>
      <c r="RHH49" s="3043"/>
      <c r="RHI49" s="3043"/>
      <c r="RHJ49" s="3043"/>
      <c r="RHK49" s="3043"/>
      <c r="RHL49" s="3043"/>
      <c r="RHM49" s="3043"/>
      <c r="RHN49" s="3043"/>
      <c r="RHO49" s="3043"/>
      <c r="RHP49" s="3043"/>
      <c r="RHQ49" s="3043"/>
      <c r="RHR49" s="3043"/>
      <c r="RHS49" s="3043"/>
      <c r="RHT49" s="3043"/>
      <c r="RHU49" s="3043"/>
      <c r="RHV49" s="3043"/>
      <c r="RHW49" s="3043"/>
      <c r="RHX49" s="3043"/>
      <c r="RHY49" s="3043"/>
      <c r="RHZ49" s="3043"/>
      <c r="RIA49" s="3043"/>
      <c r="RIB49" s="3043"/>
      <c r="RIC49" s="3043"/>
      <c r="RID49" s="3043"/>
      <c r="RIE49" s="3043"/>
      <c r="RIF49" s="3043"/>
      <c r="RIG49" s="3043"/>
      <c r="RIH49" s="3043"/>
      <c r="RII49" s="3043"/>
      <c r="RIJ49" s="3043"/>
      <c r="RIK49" s="3043"/>
      <c r="RIL49" s="3043"/>
      <c r="RIM49" s="3043"/>
      <c r="RIN49" s="3043"/>
      <c r="RIO49" s="3043"/>
      <c r="RIP49" s="3043"/>
      <c r="RIQ49" s="3043"/>
      <c r="RIR49" s="3043"/>
      <c r="RIS49" s="3043"/>
      <c r="RIT49" s="3043"/>
      <c r="RIU49" s="3043"/>
      <c r="RIV49" s="3043"/>
      <c r="RIW49" s="3043"/>
      <c r="RIX49" s="3043"/>
      <c r="RIY49" s="3043"/>
      <c r="RIZ49" s="3043"/>
      <c r="RJA49" s="3043"/>
      <c r="RJB49" s="3043"/>
      <c r="RJC49" s="3043"/>
      <c r="RJD49" s="3043"/>
      <c r="RJE49" s="3043"/>
      <c r="RJF49" s="3043"/>
      <c r="RJG49" s="3043"/>
      <c r="RJH49" s="3043"/>
      <c r="RJI49" s="3043"/>
      <c r="RJJ49" s="3043"/>
      <c r="RJK49" s="3043"/>
      <c r="RJL49" s="3043"/>
      <c r="RJM49" s="3043"/>
      <c r="RJN49" s="3043"/>
      <c r="RJO49" s="3043"/>
      <c r="RJP49" s="3043"/>
      <c r="RJQ49" s="3043"/>
      <c r="RJR49" s="3043"/>
      <c r="RJS49" s="3043"/>
      <c r="RJT49" s="3043"/>
      <c r="RJU49" s="3043"/>
      <c r="RJV49" s="3043"/>
      <c r="RJW49" s="3043"/>
      <c r="RJX49" s="3043"/>
      <c r="RJY49" s="3043"/>
      <c r="RJZ49" s="3043"/>
      <c r="RKA49" s="3043"/>
      <c r="RKB49" s="3043"/>
      <c r="RKC49" s="3043"/>
      <c r="RKD49" s="3043"/>
      <c r="RKE49" s="3043"/>
      <c r="RKF49" s="3043"/>
      <c r="RKG49" s="3043"/>
      <c r="RKH49" s="3043"/>
      <c r="RKI49" s="3043"/>
      <c r="RKJ49" s="3043"/>
      <c r="RKK49" s="3043"/>
      <c r="RKL49" s="3043"/>
      <c r="RKM49" s="3043"/>
      <c r="RKN49" s="3043"/>
      <c r="RKO49" s="3043"/>
      <c r="RKP49" s="3043"/>
      <c r="RKQ49" s="3043"/>
      <c r="RKR49" s="3043"/>
      <c r="RKS49" s="3043"/>
      <c r="RKT49" s="3043"/>
      <c r="RKU49" s="3043"/>
      <c r="RKV49" s="3043"/>
      <c r="RKW49" s="3043"/>
      <c r="RKX49" s="3043"/>
      <c r="RKY49" s="3043"/>
      <c r="RKZ49" s="3043"/>
      <c r="RLA49" s="3043"/>
      <c r="RLB49" s="3043"/>
      <c r="RLC49" s="3043"/>
      <c r="RLD49" s="3043"/>
      <c r="RLE49" s="3043"/>
      <c r="RLF49" s="3043"/>
      <c r="RLG49" s="3043"/>
      <c r="RLH49" s="3043"/>
      <c r="RLI49" s="3043"/>
      <c r="RLJ49" s="3043"/>
      <c r="RLK49" s="3043"/>
      <c r="RLL49" s="3043"/>
      <c r="RLM49" s="3043"/>
      <c r="RLN49" s="3043"/>
      <c r="RLO49" s="3043"/>
      <c r="RLP49" s="3043"/>
      <c r="RLQ49" s="3043"/>
      <c r="RLR49" s="3043"/>
      <c r="RLS49" s="3043"/>
      <c r="RLT49" s="3043"/>
      <c r="RLU49" s="3043"/>
      <c r="RLV49" s="3043"/>
      <c r="RLW49" s="3043"/>
      <c r="RLX49" s="3043"/>
      <c r="RLY49" s="3043"/>
      <c r="RLZ49" s="3043"/>
      <c r="RMA49" s="3043"/>
      <c r="RMB49" s="3043"/>
      <c r="RMC49" s="3043"/>
      <c r="RMD49" s="3043"/>
      <c r="RME49" s="3043"/>
      <c r="RMF49" s="3043"/>
      <c r="RMG49" s="3043"/>
      <c r="RMH49" s="3043"/>
      <c r="RMI49" s="3043"/>
      <c r="RMJ49" s="3043"/>
      <c r="RMK49" s="3043"/>
      <c r="RML49" s="3043"/>
      <c r="RMM49" s="3043"/>
      <c r="RMN49" s="3043"/>
      <c r="RMO49" s="3043"/>
      <c r="RMP49" s="3043"/>
      <c r="RMQ49" s="3043"/>
      <c r="RMR49" s="3043"/>
      <c r="RMS49" s="3043"/>
      <c r="RMT49" s="3043"/>
      <c r="RMU49" s="3043"/>
      <c r="RMV49" s="3043"/>
      <c r="RMW49" s="3043"/>
      <c r="RMX49" s="3043"/>
      <c r="RMY49" s="3043"/>
      <c r="RMZ49" s="3043"/>
      <c r="RNA49" s="3043"/>
      <c r="RNB49" s="3043"/>
      <c r="RNC49" s="3043"/>
      <c r="RND49" s="3043"/>
      <c r="RNE49" s="3043"/>
      <c r="RNF49" s="3043"/>
      <c r="RNG49" s="3043"/>
      <c r="RNH49" s="3043"/>
      <c r="RNI49" s="3043"/>
      <c r="RNJ49" s="3043"/>
      <c r="RNK49" s="3043"/>
      <c r="RNL49" s="3043"/>
      <c r="RNM49" s="3043"/>
      <c r="RNN49" s="3043"/>
      <c r="RNO49" s="3043"/>
      <c r="RNP49" s="3043"/>
      <c r="RNQ49" s="3043"/>
      <c r="RNR49" s="3043"/>
      <c r="RNS49" s="3043"/>
      <c r="RNT49" s="3043"/>
      <c r="RNU49" s="3043"/>
      <c r="RNV49" s="3043"/>
      <c r="RNW49" s="3043"/>
      <c r="RNX49" s="3043"/>
      <c r="RNY49" s="3043"/>
      <c r="RNZ49" s="3043"/>
      <c r="ROA49" s="3043"/>
      <c r="ROB49" s="3043"/>
      <c r="ROC49" s="3043"/>
      <c r="ROD49" s="3043"/>
      <c r="ROE49" s="3043"/>
      <c r="ROF49" s="3043"/>
      <c r="ROG49" s="3043"/>
      <c r="ROH49" s="3043"/>
      <c r="ROI49" s="3043"/>
      <c r="ROJ49" s="3043"/>
      <c r="ROK49" s="3043"/>
      <c r="ROL49" s="3043"/>
      <c r="ROM49" s="3043"/>
      <c r="RON49" s="3043"/>
      <c r="ROO49" s="3043"/>
      <c r="ROP49" s="3043"/>
      <c r="ROQ49" s="3043"/>
      <c r="ROR49" s="3043"/>
      <c r="ROS49" s="3043"/>
      <c r="ROT49" s="3043"/>
      <c r="ROU49" s="3043"/>
      <c r="ROV49" s="3043"/>
      <c r="ROW49" s="3043"/>
      <c r="ROX49" s="3043"/>
      <c r="ROY49" s="3043"/>
      <c r="ROZ49" s="3043"/>
      <c r="RPA49" s="3043"/>
      <c r="RPB49" s="3043"/>
      <c r="RPC49" s="3043"/>
      <c r="RPD49" s="3043"/>
      <c r="RPE49" s="3043"/>
      <c r="RPF49" s="3043"/>
      <c r="RPG49" s="3043"/>
      <c r="RPH49" s="3043"/>
      <c r="RPI49" s="3043"/>
      <c r="RPJ49" s="3043"/>
      <c r="RPK49" s="3043"/>
      <c r="RPL49" s="3043"/>
      <c r="RPM49" s="3043"/>
      <c r="RPN49" s="3043"/>
      <c r="RPO49" s="3043"/>
      <c r="RPP49" s="3043"/>
      <c r="RPQ49" s="3043"/>
      <c r="RPR49" s="3043"/>
      <c r="RPS49" s="3043"/>
      <c r="RPT49" s="3043"/>
      <c r="RPU49" s="3043"/>
      <c r="RPV49" s="3043"/>
      <c r="RPW49" s="3043"/>
      <c r="RPX49" s="3043"/>
      <c r="RPY49" s="3043"/>
      <c r="RPZ49" s="3043"/>
      <c r="RQA49" s="3043"/>
      <c r="RQB49" s="3043"/>
      <c r="RQC49" s="3043"/>
      <c r="RQD49" s="3043"/>
      <c r="RQE49" s="3043"/>
      <c r="RQF49" s="3043"/>
      <c r="RQG49" s="3043"/>
      <c r="RQH49" s="3043"/>
      <c r="RQI49" s="3043"/>
      <c r="RQJ49" s="3043"/>
      <c r="RQK49" s="3043"/>
      <c r="RQL49" s="3043"/>
      <c r="RQM49" s="3043"/>
      <c r="RQN49" s="3043"/>
      <c r="RQO49" s="3043"/>
      <c r="RQP49" s="3043"/>
      <c r="RQQ49" s="3043"/>
      <c r="RQR49" s="3043"/>
      <c r="RQS49" s="3043"/>
      <c r="RQT49" s="3043"/>
      <c r="RQU49" s="3043"/>
      <c r="RQV49" s="3043"/>
      <c r="RQW49" s="3043"/>
      <c r="RQX49" s="3043"/>
      <c r="RQY49" s="3043"/>
      <c r="RQZ49" s="3043"/>
      <c r="RRA49" s="3043"/>
      <c r="RRB49" s="3043"/>
      <c r="RRC49" s="3043"/>
      <c r="RRD49" s="3043"/>
      <c r="RRE49" s="3043"/>
      <c r="RRF49" s="3043"/>
      <c r="RRG49" s="3043"/>
      <c r="RRH49" s="3043"/>
      <c r="RRI49" s="3043"/>
      <c r="RRJ49" s="3043"/>
      <c r="RRK49" s="3043"/>
      <c r="RRL49" s="3043"/>
      <c r="RRM49" s="3043"/>
      <c r="RRN49" s="3043"/>
      <c r="RRO49" s="3043"/>
      <c r="RRP49" s="3043"/>
      <c r="RRQ49" s="3043"/>
      <c r="RRR49" s="3043"/>
      <c r="RRS49" s="3043"/>
      <c r="RRT49" s="3043"/>
      <c r="RRU49" s="3043"/>
      <c r="RRV49" s="3043"/>
      <c r="RRW49" s="3043"/>
      <c r="RRX49" s="3043"/>
      <c r="RRY49" s="3043"/>
      <c r="RRZ49" s="3043"/>
      <c r="RSA49" s="3043"/>
      <c r="RSB49" s="3043"/>
      <c r="RSC49" s="3043"/>
      <c r="RSD49" s="3043"/>
      <c r="RSE49" s="3043"/>
      <c r="RSF49" s="3043"/>
      <c r="RSG49" s="3043"/>
      <c r="RSH49" s="3043"/>
      <c r="RSI49" s="3043"/>
      <c r="RSJ49" s="3043"/>
      <c r="RSK49" s="3043"/>
      <c r="RSL49" s="3043"/>
      <c r="RSM49" s="3043"/>
      <c r="RSN49" s="3043"/>
      <c r="RSO49" s="3043"/>
      <c r="RSP49" s="3043"/>
      <c r="RSQ49" s="3043"/>
      <c r="RSR49" s="3043"/>
      <c r="RSS49" s="3043"/>
      <c r="RST49" s="3043"/>
      <c r="RSU49" s="3043"/>
      <c r="RSV49" s="3043"/>
      <c r="RSW49" s="3043"/>
      <c r="RSX49" s="3043"/>
      <c r="RSY49" s="3043"/>
      <c r="RSZ49" s="3043"/>
      <c r="RTA49" s="3043"/>
      <c r="RTB49" s="3043"/>
      <c r="RTC49" s="3043"/>
      <c r="RTD49" s="3043"/>
      <c r="RTE49" s="3043"/>
      <c r="RTF49" s="3043"/>
      <c r="RTG49" s="3043"/>
      <c r="RTH49" s="3043"/>
      <c r="RTI49" s="3043"/>
      <c r="RTJ49" s="3043"/>
      <c r="RTK49" s="3043"/>
      <c r="RTL49" s="3043"/>
      <c r="RTM49" s="3043"/>
      <c r="RTN49" s="3043"/>
      <c r="RTO49" s="3043"/>
      <c r="RTP49" s="3043"/>
      <c r="RTQ49" s="3043"/>
      <c r="RTR49" s="3043"/>
      <c r="RTS49" s="3043"/>
      <c r="RTT49" s="3043"/>
      <c r="RTU49" s="3043"/>
      <c r="RTV49" s="3043"/>
      <c r="RTW49" s="3043"/>
      <c r="RTX49" s="3043"/>
      <c r="RTY49" s="3043"/>
      <c r="RTZ49" s="3043"/>
      <c r="RUA49" s="3043"/>
      <c r="RUB49" s="3043"/>
      <c r="RUC49" s="3043"/>
      <c r="RUD49" s="3043"/>
      <c r="RUE49" s="3043"/>
      <c r="RUF49" s="3043"/>
      <c r="RUG49" s="3043"/>
      <c r="RUH49" s="3043"/>
      <c r="RUI49" s="3043"/>
      <c r="RUJ49" s="3043"/>
      <c r="RUK49" s="3043"/>
      <c r="RUL49" s="3043"/>
      <c r="RUM49" s="3043"/>
      <c r="RUN49" s="3043"/>
      <c r="RUO49" s="3043"/>
      <c r="RUP49" s="3043"/>
      <c r="RUQ49" s="3043"/>
      <c r="RUR49" s="3043"/>
      <c r="RUS49" s="3043"/>
      <c r="RUT49" s="3043"/>
      <c r="RUU49" s="3043"/>
      <c r="RUV49" s="3043"/>
      <c r="RUW49" s="3043"/>
      <c r="RUX49" s="3043"/>
      <c r="RUY49" s="3043"/>
      <c r="RUZ49" s="3043"/>
      <c r="RVA49" s="3043"/>
      <c r="RVB49" s="3043"/>
      <c r="RVC49" s="3043"/>
      <c r="RVD49" s="3043"/>
      <c r="RVE49" s="3043"/>
      <c r="RVF49" s="3043"/>
      <c r="RVG49" s="3043"/>
      <c r="RVH49" s="3043"/>
      <c r="RVI49" s="3043"/>
      <c r="RVJ49" s="3043"/>
      <c r="RVK49" s="3043"/>
      <c r="RVL49" s="3043"/>
      <c r="RVM49" s="3043"/>
      <c r="RVN49" s="3043"/>
      <c r="RVO49" s="3043"/>
      <c r="RVP49" s="3043"/>
      <c r="RVQ49" s="3043"/>
      <c r="RVR49" s="3043"/>
      <c r="RVS49" s="3043"/>
      <c r="RVT49" s="3043"/>
      <c r="RVU49" s="3043"/>
      <c r="RVV49" s="3043"/>
      <c r="RVW49" s="3043"/>
      <c r="RVX49" s="3043"/>
      <c r="RVY49" s="3043"/>
      <c r="RVZ49" s="3043"/>
      <c r="RWA49" s="3043"/>
      <c r="RWB49" s="3043"/>
      <c r="RWC49" s="3043"/>
      <c r="RWD49" s="3043"/>
      <c r="RWE49" s="3043"/>
      <c r="RWF49" s="3043"/>
      <c r="RWG49" s="3043"/>
      <c r="RWH49" s="3043"/>
      <c r="RWI49" s="3043"/>
      <c r="RWJ49" s="3043"/>
      <c r="RWK49" s="3043"/>
      <c r="RWL49" s="3043"/>
      <c r="RWM49" s="3043"/>
      <c r="RWN49" s="3043"/>
      <c r="RWO49" s="3043"/>
      <c r="RWP49" s="3043"/>
      <c r="RWQ49" s="3043"/>
      <c r="RWR49" s="3043"/>
      <c r="RWS49" s="3043"/>
      <c r="RWT49" s="3043"/>
      <c r="RWU49" s="3043"/>
      <c r="RWV49" s="3043"/>
      <c r="RWW49" s="3043"/>
      <c r="RWX49" s="3043"/>
      <c r="RWY49" s="3043"/>
      <c r="RWZ49" s="3043"/>
      <c r="RXA49" s="3043"/>
      <c r="RXB49" s="3043"/>
      <c r="RXC49" s="3043"/>
      <c r="RXD49" s="3043"/>
      <c r="RXE49" s="3043"/>
      <c r="RXF49" s="3043"/>
      <c r="RXG49" s="3043"/>
      <c r="RXH49" s="3043"/>
      <c r="RXI49" s="3043"/>
      <c r="RXJ49" s="3043"/>
      <c r="RXK49" s="3043"/>
      <c r="RXL49" s="3043"/>
      <c r="RXM49" s="3043"/>
      <c r="RXN49" s="3043"/>
      <c r="RXO49" s="3043"/>
      <c r="RXP49" s="3043"/>
      <c r="RXQ49" s="3043"/>
      <c r="RXR49" s="3043"/>
      <c r="RXS49" s="3043"/>
      <c r="RXT49" s="3043"/>
      <c r="RXU49" s="3043"/>
      <c r="RXV49" s="3043"/>
      <c r="RXW49" s="3043"/>
      <c r="RXX49" s="3043"/>
      <c r="RXY49" s="3043"/>
      <c r="RXZ49" s="3043"/>
      <c r="RYA49" s="3043"/>
      <c r="RYB49" s="3043"/>
      <c r="RYC49" s="3043"/>
      <c r="RYD49" s="3043"/>
      <c r="RYE49" s="3043"/>
      <c r="RYF49" s="3043"/>
      <c r="RYG49" s="3043"/>
      <c r="RYH49" s="3043"/>
      <c r="RYI49" s="3043"/>
      <c r="RYJ49" s="3043"/>
      <c r="RYK49" s="3043"/>
      <c r="RYL49" s="3043"/>
      <c r="RYM49" s="3043"/>
      <c r="RYN49" s="3043"/>
      <c r="RYO49" s="3043"/>
      <c r="RYP49" s="3043"/>
      <c r="RYQ49" s="3043"/>
      <c r="RYR49" s="3043"/>
      <c r="RYS49" s="3043"/>
      <c r="RYT49" s="3043"/>
      <c r="RYU49" s="3043"/>
      <c r="RYV49" s="3043"/>
      <c r="RYW49" s="3043"/>
      <c r="RYX49" s="3043"/>
      <c r="RYY49" s="3043"/>
      <c r="RYZ49" s="3043"/>
      <c r="RZA49" s="3043"/>
      <c r="RZB49" s="3043"/>
      <c r="RZC49" s="3043"/>
      <c r="RZD49" s="3043"/>
      <c r="RZE49" s="3043"/>
      <c r="RZF49" s="3043"/>
      <c r="RZG49" s="3043"/>
      <c r="RZH49" s="3043"/>
      <c r="RZI49" s="3043"/>
      <c r="RZJ49" s="3043"/>
      <c r="RZK49" s="3043"/>
      <c r="RZL49" s="3043"/>
      <c r="RZM49" s="3043"/>
      <c r="RZN49" s="3043"/>
      <c r="RZO49" s="3043"/>
      <c r="RZP49" s="3043"/>
      <c r="RZQ49" s="3043"/>
      <c r="RZR49" s="3043"/>
      <c r="RZS49" s="3043"/>
      <c r="RZT49" s="3043"/>
      <c r="RZU49" s="3043"/>
      <c r="RZV49" s="3043"/>
      <c r="RZW49" s="3043"/>
      <c r="RZX49" s="3043"/>
      <c r="RZY49" s="3043"/>
      <c r="RZZ49" s="3043"/>
      <c r="SAA49" s="3043"/>
      <c r="SAB49" s="3043"/>
      <c r="SAC49" s="3043"/>
      <c r="SAD49" s="3043"/>
      <c r="SAE49" s="3043"/>
      <c r="SAF49" s="3043"/>
      <c r="SAG49" s="3043"/>
      <c r="SAH49" s="3043"/>
      <c r="SAI49" s="3043"/>
      <c r="SAJ49" s="3043"/>
      <c r="SAK49" s="3043"/>
      <c r="SAL49" s="3043"/>
      <c r="SAM49" s="3043"/>
      <c r="SAN49" s="3043"/>
      <c r="SAO49" s="3043"/>
      <c r="SAP49" s="3043"/>
      <c r="SAQ49" s="3043"/>
      <c r="SAR49" s="3043"/>
      <c r="SAS49" s="3043"/>
      <c r="SAT49" s="3043"/>
      <c r="SAU49" s="3043"/>
      <c r="SAV49" s="3043"/>
      <c r="SAW49" s="3043"/>
      <c r="SAX49" s="3043"/>
      <c r="SAY49" s="3043"/>
      <c r="SAZ49" s="3043"/>
      <c r="SBA49" s="3043"/>
      <c r="SBB49" s="3043"/>
      <c r="SBC49" s="3043"/>
      <c r="SBD49" s="3043"/>
      <c r="SBE49" s="3043"/>
      <c r="SBF49" s="3043"/>
      <c r="SBG49" s="3043"/>
      <c r="SBH49" s="3043"/>
      <c r="SBI49" s="3043"/>
      <c r="SBJ49" s="3043"/>
      <c r="SBK49" s="3043"/>
      <c r="SBL49" s="3043"/>
      <c r="SBM49" s="3043"/>
      <c r="SBN49" s="3043"/>
      <c r="SBO49" s="3043"/>
      <c r="SBP49" s="3043"/>
      <c r="SBQ49" s="3043"/>
      <c r="SBR49" s="3043"/>
      <c r="SBS49" s="3043"/>
      <c r="SBT49" s="3043"/>
      <c r="SBU49" s="3043"/>
      <c r="SBV49" s="3043"/>
      <c r="SBW49" s="3043"/>
      <c r="SBX49" s="3043"/>
      <c r="SBY49" s="3043"/>
      <c r="SBZ49" s="3043"/>
      <c r="SCA49" s="3043"/>
      <c r="SCB49" s="3043"/>
      <c r="SCC49" s="3043"/>
      <c r="SCD49" s="3043"/>
      <c r="SCE49" s="3043"/>
      <c r="SCF49" s="3043"/>
      <c r="SCG49" s="3043"/>
      <c r="SCH49" s="3043"/>
      <c r="SCI49" s="3043"/>
      <c r="SCJ49" s="3043"/>
      <c r="SCK49" s="3043"/>
      <c r="SCL49" s="3043"/>
      <c r="SCM49" s="3043"/>
      <c r="SCN49" s="3043"/>
      <c r="SCO49" s="3043"/>
      <c r="SCP49" s="3043"/>
      <c r="SCQ49" s="3043"/>
      <c r="SCR49" s="3043"/>
      <c r="SCS49" s="3043"/>
      <c r="SCT49" s="3043"/>
      <c r="SCU49" s="3043"/>
      <c r="SCV49" s="3043"/>
      <c r="SCW49" s="3043"/>
      <c r="SCX49" s="3043"/>
      <c r="SCY49" s="3043"/>
      <c r="SCZ49" s="3043"/>
      <c r="SDA49" s="3043"/>
      <c r="SDB49" s="3043"/>
      <c r="SDC49" s="3043"/>
      <c r="SDD49" s="3043"/>
      <c r="SDE49" s="3043"/>
      <c r="SDF49" s="3043"/>
      <c r="SDG49" s="3043"/>
      <c r="SDH49" s="3043"/>
      <c r="SDI49" s="3043"/>
      <c r="SDJ49" s="3043"/>
      <c r="SDK49" s="3043"/>
      <c r="SDL49" s="3043"/>
      <c r="SDM49" s="3043"/>
      <c r="SDN49" s="3043"/>
      <c r="SDO49" s="3043"/>
      <c r="SDP49" s="3043"/>
      <c r="SDQ49" s="3043"/>
      <c r="SDR49" s="3043"/>
      <c r="SDS49" s="3043"/>
      <c r="SDT49" s="3043"/>
      <c r="SDU49" s="3043"/>
      <c r="SDV49" s="3043"/>
      <c r="SDW49" s="3043"/>
      <c r="SDX49" s="3043"/>
      <c r="SDY49" s="3043"/>
      <c r="SDZ49" s="3043"/>
      <c r="SEA49" s="3043"/>
      <c r="SEB49" s="3043"/>
      <c r="SEC49" s="3043"/>
      <c r="SED49" s="3043"/>
      <c r="SEE49" s="3043"/>
      <c r="SEF49" s="3043"/>
      <c r="SEG49" s="3043"/>
      <c r="SEH49" s="3043"/>
      <c r="SEI49" s="3043"/>
      <c r="SEJ49" s="3043"/>
      <c r="SEK49" s="3043"/>
      <c r="SEL49" s="3043"/>
      <c r="SEM49" s="3043"/>
      <c r="SEN49" s="3043"/>
      <c r="SEO49" s="3043"/>
      <c r="SEP49" s="3043"/>
      <c r="SEQ49" s="3043"/>
      <c r="SER49" s="3043"/>
      <c r="SES49" s="3043"/>
      <c r="SET49" s="3043"/>
      <c r="SEU49" s="3043"/>
      <c r="SEV49" s="3043"/>
      <c r="SEW49" s="3043"/>
      <c r="SEX49" s="3043"/>
      <c r="SEY49" s="3043"/>
      <c r="SEZ49" s="3043"/>
      <c r="SFA49" s="3043"/>
      <c r="SFB49" s="3043"/>
      <c r="SFC49" s="3043"/>
      <c r="SFD49" s="3043"/>
      <c r="SFE49" s="3043"/>
      <c r="SFF49" s="3043"/>
      <c r="SFG49" s="3043"/>
      <c r="SFH49" s="3043"/>
      <c r="SFI49" s="3043"/>
      <c r="SFJ49" s="3043"/>
      <c r="SFK49" s="3043"/>
      <c r="SFL49" s="3043"/>
      <c r="SFM49" s="3043"/>
      <c r="SFN49" s="3043"/>
      <c r="SFO49" s="3043"/>
      <c r="SFP49" s="3043"/>
      <c r="SFQ49" s="3043"/>
      <c r="SFR49" s="3043"/>
      <c r="SFS49" s="3043"/>
      <c r="SFT49" s="3043"/>
      <c r="SFU49" s="3043"/>
      <c r="SFV49" s="3043"/>
      <c r="SFW49" s="3043"/>
      <c r="SFX49" s="3043"/>
      <c r="SFY49" s="3043"/>
      <c r="SFZ49" s="3043"/>
      <c r="SGA49" s="3043"/>
      <c r="SGB49" s="3043"/>
      <c r="SGC49" s="3043"/>
      <c r="SGD49" s="3043"/>
      <c r="SGE49" s="3043"/>
      <c r="SGF49" s="3043"/>
      <c r="SGG49" s="3043"/>
      <c r="SGH49" s="3043"/>
      <c r="SGI49" s="3043"/>
      <c r="SGJ49" s="3043"/>
      <c r="SGK49" s="3043"/>
      <c r="SGL49" s="3043"/>
      <c r="SGM49" s="3043"/>
      <c r="SGN49" s="3043"/>
      <c r="SGO49" s="3043"/>
      <c r="SGP49" s="3043"/>
      <c r="SGQ49" s="3043"/>
      <c r="SGR49" s="3043"/>
      <c r="SGS49" s="3043"/>
      <c r="SGT49" s="3043"/>
      <c r="SGU49" s="3043"/>
      <c r="SGV49" s="3043"/>
      <c r="SGW49" s="3043"/>
      <c r="SGX49" s="3043"/>
      <c r="SGY49" s="3043"/>
      <c r="SGZ49" s="3043"/>
      <c r="SHA49" s="3043"/>
      <c r="SHB49" s="3043"/>
      <c r="SHC49" s="3043"/>
      <c r="SHD49" s="3043"/>
      <c r="SHE49" s="3043"/>
      <c r="SHF49" s="3043"/>
      <c r="SHG49" s="3043"/>
      <c r="SHH49" s="3043"/>
      <c r="SHI49" s="3043"/>
      <c r="SHJ49" s="3043"/>
      <c r="SHK49" s="3043"/>
      <c r="SHL49" s="3043"/>
      <c r="SHM49" s="3043"/>
      <c r="SHN49" s="3043"/>
      <c r="SHO49" s="3043"/>
      <c r="SHP49" s="3043"/>
      <c r="SHQ49" s="3043"/>
      <c r="SHR49" s="3043"/>
      <c r="SHS49" s="3043"/>
      <c r="SHT49" s="3043"/>
      <c r="SHU49" s="3043"/>
      <c r="SHV49" s="3043"/>
      <c r="SHW49" s="3043"/>
      <c r="SHX49" s="3043"/>
      <c r="SHY49" s="3043"/>
      <c r="SHZ49" s="3043"/>
      <c r="SIA49" s="3043"/>
      <c r="SIB49" s="3043"/>
      <c r="SIC49" s="3043"/>
      <c r="SID49" s="3043"/>
      <c r="SIE49" s="3043"/>
      <c r="SIF49" s="3043"/>
      <c r="SIG49" s="3043"/>
      <c r="SIH49" s="3043"/>
      <c r="SII49" s="3043"/>
      <c r="SIJ49" s="3043"/>
      <c r="SIK49" s="3043"/>
      <c r="SIL49" s="3043"/>
      <c r="SIM49" s="3043"/>
      <c r="SIN49" s="3043"/>
      <c r="SIO49" s="3043"/>
      <c r="SIP49" s="3043"/>
      <c r="SIQ49" s="3043"/>
      <c r="SIR49" s="3043"/>
      <c r="SIS49" s="3043"/>
      <c r="SIT49" s="3043"/>
      <c r="SIU49" s="3043"/>
      <c r="SIV49" s="3043"/>
      <c r="SIW49" s="3043"/>
      <c r="SIX49" s="3043"/>
      <c r="SIY49" s="3043"/>
      <c r="SIZ49" s="3043"/>
      <c r="SJA49" s="3043"/>
      <c r="SJB49" s="3043"/>
      <c r="SJC49" s="3043"/>
      <c r="SJD49" s="3043"/>
      <c r="SJE49" s="3043"/>
      <c r="SJF49" s="3043"/>
      <c r="SJG49" s="3043"/>
      <c r="SJH49" s="3043"/>
      <c r="SJI49" s="3043"/>
      <c r="SJJ49" s="3043"/>
      <c r="SJK49" s="3043"/>
      <c r="SJL49" s="3043"/>
      <c r="SJM49" s="3043"/>
      <c r="SJN49" s="3043"/>
      <c r="SJO49" s="3043"/>
      <c r="SJP49" s="3043"/>
      <c r="SJQ49" s="3043"/>
      <c r="SJR49" s="3043"/>
      <c r="SJS49" s="3043"/>
      <c r="SJT49" s="3043"/>
      <c r="SJU49" s="3043"/>
      <c r="SJV49" s="3043"/>
      <c r="SJW49" s="3043"/>
      <c r="SJX49" s="3043"/>
      <c r="SJY49" s="3043"/>
      <c r="SJZ49" s="3043"/>
      <c r="SKA49" s="3043"/>
      <c r="SKB49" s="3043"/>
      <c r="SKC49" s="3043"/>
      <c r="SKD49" s="3043"/>
      <c r="SKE49" s="3043"/>
      <c r="SKF49" s="3043"/>
      <c r="SKG49" s="3043"/>
      <c r="SKH49" s="3043"/>
      <c r="SKI49" s="3043"/>
      <c r="SKJ49" s="3043"/>
      <c r="SKK49" s="3043"/>
      <c r="SKL49" s="3043"/>
      <c r="SKM49" s="3043"/>
      <c r="SKN49" s="3043"/>
      <c r="SKO49" s="3043"/>
      <c r="SKP49" s="3043"/>
      <c r="SKQ49" s="3043"/>
      <c r="SKR49" s="3043"/>
      <c r="SKS49" s="3043"/>
      <c r="SKT49" s="3043"/>
      <c r="SKU49" s="3043"/>
      <c r="SKV49" s="3043"/>
      <c r="SKW49" s="3043"/>
      <c r="SKX49" s="3043"/>
      <c r="SKY49" s="3043"/>
      <c r="SKZ49" s="3043"/>
      <c r="SLA49" s="3043"/>
      <c r="SLB49" s="3043"/>
      <c r="SLC49" s="3043"/>
      <c r="SLD49" s="3043"/>
      <c r="SLE49" s="3043"/>
      <c r="SLF49" s="3043"/>
      <c r="SLG49" s="3043"/>
      <c r="SLH49" s="3043"/>
      <c r="SLI49" s="3043"/>
      <c r="SLJ49" s="3043"/>
      <c r="SLK49" s="3043"/>
      <c r="SLL49" s="3043"/>
      <c r="SLM49" s="3043"/>
      <c r="SLN49" s="3043"/>
      <c r="SLO49" s="3043"/>
      <c r="SLP49" s="3043"/>
      <c r="SLQ49" s="3043"/>
      <c r="SLR49" s="3043"/>
      <c r="SLS49" s="3043"/>
      <c r="SLT49" s="3043"/>
      <c r="SLU49" s="3043"/>
      <c r="SLV49" s="3043"/>
      <c r="SLW49" s="3043"/>
      <c r="SLX49" s="3043"/>
      <c r="SLY49" s="3043"/>
      <c r="SLZ49" s="3043"/>
      <c r="SMA49" s="3043"/>
      <c r="SMB49" s="3043"/>
      <c r="SMC49" s="3043"/>
      <c r="SMD49" s="3043"/>
      <c r="SME49" s="3043"/>
      <c r="SMF49" s="3043"/>
      <c r="SMG49" s="3043"/>
      <c r="SMH49" s="3043"/>
      <c r="SMI49" s="3043"/>
      <c r="SMJ49" s="3043"/>
      <c r="SMK49" s="3043"/>
      <c r="SML49" s="3043"/>
      <c r="SMM49" s="3043"/>
      <c r="SMN49" s="3043"/>
      <c r="SMO49" s="3043"/>
      <c r="SMP49" s="3043"/>
      <c r="SMQ49" s="3043"/>
      <c r="SMR49" s="3043"/>
      <c r="SMS49" s="3043"/>
      <c r="SMT49" s="3043"/>
      <c r="SMU49" s="3043"/>
      <c r="SMV49" s="3043"/>
      <c r="SMW49" s="3043"/>
      <c r="SMX49" s="3043"/>
      <c r="SMY49" s="3043"/>
      <c r="SMZ49" s="3043"/>
      <c r="SNA49" s="3043"/>
      <c r="SNB49" s="3043"/>
      <c r="SNC49" s="3043"/>
      <c r="SND49" s="3043"/>
      <c r="SNE49" s="3043"/>
      <c r="SNF49" s="3043"/>
      <c r="SNG49" s="3043"/>
      <c r="SNH49" s="3043"/>
      <c r="SNI49" s="3043"/>
      <c r="SNJ49" s="3043"/>
      <c r="SNK49" s="3043"/>
      <c r="SNL49" s="3043"/>
      <c r="SNM49" s="3043"/>
      <c r="SNN49" s="3043"/>
      <c r="SNO49" s="3043"/>
      <c r="SNP49" s="3043"/>
      <c r="SNQ49" s="3043"/>
      <c r="SNR49" s="3043"/>
      <c r="SNS49" s="3043"/>
      <c r="SNT49" s="3043"/>
      <c r="SNU49" s="3043"/>
      <c r="SNV49" s="3043"/>
      <c r="SNW49" s="3043"/>
      <c r="SNX49" s="3043"/>
      <c r="SNY49" s="3043"/>
      <c r="SNZ49" s="3043"/>
      <c r="SOA49" s="3043"/>
      <c r="SOB49" s="3043"/>
      <c r="SOC49" s="3043"/>
      <c r="SOD49" s="3043"/>
      <c r="SOE49" s="3043"/>
      <c r="SOF49" s="3043"/>
      <c r="SOG49" s="3043"/>
      <c r="SOH49" s="3043"/>
      <c r="SOI49" s="3043"/>
      <c r="SOJ49" s="3043"/>
      <c r="SOK49" s="3043"/>
      <c r="SOL49" s="3043"/>
      <c r="SOM49" s="3043"/>
      <c r="SON49" s="3043"/>
      <c r="SOO49" s="3043"/>
      <c r="SOP49" s="3043"/>
      <c r="SOQ49" s="3043"/>
      <c r="SOR49" s="3043"/>
      <c r="SOS49" s="3043"/>
      <c r="SOT49" s="3043"/>
      <c r="SOU49" s="3043"/>
      <c r="SOV49" s="3043"/>
      <c r="SOW49" s="3043"/>
      <c r="SOX49" s="3043"/>
      <c r="SOY49" s="3043"/>
      <c r="SOZ49" s="3043"/>
      <c r="SPA49" s="3043"/>
      <c r="SPB49" s="3043"/>
      <c r="SPC49" s="3043"/>
      <c r="SPD49" s="3043"/>
      <c r="SPE49" s="3043"/>
      <c r="SPF49" s="3043"/>
      <c r="SPG49" s="3043"/>
      <c r="SPH49" s="3043"/>
      <c r="SPI49" s="3043"/>
      <c r="SPJ49" s="3043"/>
      <c r="SPK49" s="3043"/>
      <c r="SPL49" s="3043"/>
      <c r="SPM49" s="3043"/>
      <c r="SPN49" s="3043"/>
      <c r="SPO49" s="3043"/>
      <c r="SPP49" s="3043"/>
      <c r="SPQ49" s="3043"/>
      <c r="SPR49" s="3043"/>
      <c r="SPS49" s="3043"/>
      <c r="SPT49" s="3043"/>
      <c r="SPU49" s="3043"/>
      <c r="SPV49" s="3043"/>
      <c r="SPW49" s="3043"/>
      <c r="SPX49" s="3043"/>
      <c r="SPY49" s="3043"/>
      <c r="SPZ49" s="3043"/>
      <c r="SQA49" s="3043"/>
      <c r="SQB49" s="3043"/>
      <c r="SQC49" s="3043"/>
      <c r="SQD49" s="3043"/>
      <c r="SQE49" s="3043"/>
      <c r="SQF49" s="3043"/>
      <c r="SQG49" s="3043"/>
      <c r="SQH49" s="3043"/>
      <c r="SQI49" s="3043"/>
      <c r="SQJ49" s="3043"/>
      <c r="SQK49" s="3043"/>
      <c r="SQL49" s="3043"/>
      <c r="SQM49" s="3043"/>
      <c r="SQN49" s="3043"/>
      <c r="SQO49" s="3043"/>
      <c r="SQP49" s="3043"/>
      <c r="SQQ49" s="3043"/>
      <c r="SQR49" s="3043"/>
      <c r="SQS49" s="3043"/>
      <c r="SQT49" s="3043"/>
      <c r="SQU49" s="3043"/>
      <c r="SQV49" s="3043"/>
      <c r="SQW49" s="3043"/>
      <c r="SQX49" s="3043"/>
      <c r="SQY49" s="3043"/>
      <c r="SQZ49" s="3043"/>
      <c r="SRA49" s="3043"/>
      <c r="SRB49" s="3043"/>
      <c r="SRC49" s="3043"/>
      <c r="SRD49" s="3043"/>
      <c r="SRE49" s="3043"/>
      <c r="SRF49" s="3043"/>
      <c r="SRG49" s="3043"/>
      <c r="SRH49" s="3043"/>
      <c r="SRI49" s="3043"/>
      <c r="SRJ49" s="3043"/>
      <c r="SRK49" s="3043"/>
      <c r="SRL49" s="3043"/>
      <c r="SRM49" s="3043"/>
      <c r="SRN49" s="3043"/>
      <c r="SRO49" s="3043"/>
      <c r="SRP49" s="3043"/>
      <c r="SRQ49" s="3043"/>
      <c r="SRR49" s="3043"/>
      <c r="SRS49" s="3043"/>
      <c r="SRT49" s="3043"/>
      <c r="SRU49" s="3043"/>
      <c r="SRV49" s="3043"/>
      <c r="SRW49" s="3043"/>
      <c r="SRX49" s="3043"/>
      <c r="SRY49" s="3043"/>
      <c r="SRZ49" s="3043"/>
      <c r="SSA49" s="3043"/>
      <c r="SSB49" s="3043"/>
      <c r="SSC49" s="3043"/>
      <c r="SSD49" s="3043"/>
      <c r="SSE49" s="3043"/>
      <c r="SSF49" s="3043"/>
      <c r="SSG49" s="3043"/>
      <c r="SSH49" s="3043"/>
      <c r="SSI49" s="3043"/>
      <c r="SSJ49" s="3043"/>
      <c r="SSK49" s="3043"/>
      <c r="SSL49" s="3043"/>
      <c r="SSM49" s="3043"/>
      <c r="SSN49" s="3043"/>
      <c r="SSO49" s="3043"/>
      <c r="SSP49" s="3043"/>
      <c r="SSQ49" s="3043"/>
      <c r="SSR49" s="3043"/>
      <c r="SSS49" s="3043"/>
      <c r="SST49" s="3043"/>
      <c r="SSU49" s="3043"/>
      <c r="SSV49" s="3043"/>
      <c r="SSW49" s="3043"/>
      <c r="SSX49" s="3043"/>
      <c r="SSY49" s="3043"/>
      <c r="SSZ49" s="3043"/>
      <c r="STA49" s="3043"/>
      <c r="STB49" s="3043"/>
      <c r="STC49" s="3043"/>
      <c r="STD49" s="3043"/>
      <c r="STE49" s="3043"/>
      <c r="STF49" s="3043"/>
      <c r="STG49" s="3043"/>
      <c r="STH49" s="3043"/>
      <c r="STI49" s="3043"/>
      <c r="STJ49" s="3043"/>
      <c r="STK49" s="3043"/>
      <c r="STL49" s="3043"/>
      <c r="STM49" s="3043"/>
      <c r="STN49" s="3043"/>
      <c r="STO49" s="3043"/>
      <c r="STP49" s="3043"/>
      <c r="STQ49" s="3043"/>
      <c r="STR49" s="3043"/>
      <c r="STS49" s="3043"/>
      <c r="STT49" s="3043"/>
      <c r="STU49" s="3043"/>
      <c r="STV49" s="3043"/>
      <c r="STW49" s="3043"/>
      <c r="STX49" s="3043"/>
      <c r="STY49" s="3043"/>
      <c r="STZ49" s="3043"/>
      <c r="SUA49" s="3043"/>
      <c r="SUB49" s="3043"/>
      <c r="SUC49" s="3043"/>
      <c r="SUD49" s="3043"/>
      <c r="SUE49" s="3043"/>
      <c r="SUF49" s="3043"/>
      <c r="SUG49" s="3043"/>
      <c r="SUH49" s="3043"/>
      <c r="SUI49" s="3043"/>
      <c r="SUJ49" s="3043"/>
      <c r="SUK49" s="3043"/>
      <c r="SUL49" s="3043"/>
      <c r="SUM49" s="3043"/>
      <c r="SUN49" s="3043"/>
      <c r="SUO49" s="3043"/>
      <c r="SUP49" s="3043"/>
      <c r="SUQ49" s="3043"/>
      <c r="SUR49" s="3043"/>
      <c r="SUS49" s="3043"/>
      <c r="SUT49" s="3043"/>
      <c r="SUU49" s="3043"/>
      <c r="SUV49" s="3043"/>
      <c r="SUW49" s="3043"/>
      <c r="SUX49" s="3043"/>
      <c r="SUY49" s="3043"/>
      <c r="SUZ49" s="3043"/>
      <c r="SVA49" s="3043"/>
      <c r="SVB49" s="3043"/>
      <c r="SVC49" s="3043"/>
      <c r="SVD49" s="3043"/>
      <c r="SVE49" s="3043"/>
      <c r="SVF49" s="3043"/>
      <c r="SVG49" s="3043"/>
      <c r="SVH49" s="3043"/>
      <c r="SVI49" s="3043"/>
      <c r="SVJ49" s="3043"/>
      <c r="SVK49" s="3043"/>
      <c r="SVL49" s="3043"/>
      <c r="SVM49" s="3043"/>
      <c r="SVN49" s="3043"/>
      <c r="SVO49" s="3043"/>
      <c r="SVP49" s="3043"/>
      <c r="SVQ49" s="3043"/>
      <c r="SVR49" s="3043"/>
      <c r="SVS49" s="3043"/>
      <c r="SVT49" s="3043"/>
      <c r="SVU49" s="3043"/>
      <c r="SVV49" s="3043"/>
      <c r="SVW49" s="3043"/>
      <c r="SVX49" s="3043"/>
      <c r="SVY49" s="3043"/>
      <c r="SVZ49" s="3043"/>
      <c r="SWA49" s="3043"/>
      <c r="SWB49" s="3043"/>
      <c r="SWC49" s="3043"/>
      <c r="SWD49" s="3043"/>
      <c r="SWE49" s="3043"/>
      <c r="SWF49" s="3043"/>
      <c r="SWG49" s="3043"/>
      <c r="SWH49" s="3043"/>
      <c r="SWI49" s="3043"/>
      <c r="SWJ49" s="3043"/>
      <c r="SWK49" s="3043"/>
      <c r="SWL49" s="3043"/>
      <c r="SWM49" s="3043"/>
      <c r="SWN49" s="3043"/>
      <c r="SWO49" s="3043"/>
      <c r="SWP49" s="3043"/>
      <c r="SWQ49" s="3043"/>
      <c r="SWR49" s="3043"/>
      <c r="SWS49" s="3043"/>
      <c r="SWT49" s="3043"/>
      <c r="SWU49" s="3043"/>
      <c r="SWV49" s="3043"/>
      <c r="SWW49" s="3043"/>
      <c r="SWX49" s="3043"/>
      <c r="SWY49" s="3043"/>
      <c r="SWZ49" s="3043"/>
      <c r="SXA49" s="3043"/>
      <c r="SXB49" s="3043"/>
      <c r="SXC49" s="3043"/>
      <c r="SXD49" s="3043"/>
      <c r="SXE49" s="3043"/>
      <c r="SXF49" s="3043"/>
      <c r="SXG49" s="3043"/>
      <c r="SXH49" s="3043"/>
      <c r="SXI49" s="3043"/>
      <c r="SXJ49" s="3043"/>
      <c r="SXK49" s="3043"/>
      <c r="SXL49" s="3043"/>
      <c r="SXM49" s="3043"/>
      <c r="SXN49" s="3043"/>
      <c r="SXO49" s="3043"/>
      <c r="SXP49" s="3043"/>
      <c r="SXQ49" s="3043"/>
      <c r="SXR49" s="3043"/>
      <c r="SXS49" s="3043"/>
      <c r="SXT49" s="3043"/>
      <c r="SXU49" s="3043"/>
      <c r="SXV49" s="3043"/>
      <c r="SXW49" s="3043"/>
      <c r="SXX49" s="3043"/>
      <c r="SXY49" s="3043"/>
      <c r="SXZ49" s="3043"/>
      <c r="SYA49" s="3043"/>
      <c r="SYB49" s="3043"/>
      <c r="SYC49" s="3043"/>
      <c r="SYD49" s="3043"/>
      <c r="SYE49" s="3043"/>
      <c r="SYF49" s="3043"/>
      <c r="SYG49" s="3043"/>
      <c r="SYH49" s="3043"/>
      <c r="SYI49" s="3043"/>
      <c r="SYJ49" s="3043"/>
      <c r="SYK49" s="3043"/>
      <c r="SYL49" s="3043"/>
      <c r="SYM49" s="3043"/>
      <c r="SYN49" s="3043"/>
      <c r="SYO49" s="3043"/>
      <c r="SYP49" s="3043"/>
      <c r="SYQ49" s="3043"/>
      <c r="SYR49" s="3043"/>
      <c r="SYS49" s="3043"/>
      <c r="SYT49" s="3043"/>
      <c r="SYU49" s="3043"/>
      <c r="SYV49" s="3043"/>
      <c r="SYW49" s="3043"/>
      <c r="SYX49" s="3043"/>
      <c r="SYY49" s="3043"/>
      <c r="SYZ49" s="3043"/>
      <c r="SZA49" s="3043"/>
      <c r="SZB49" s="3043"/>
      <c r="SZC49" s="3043"/>
      <c r="SZD49" s="3043"/>
      <c r="SZE49" s="3043"/>
      <c r="SZF49" s="3043"/>
      <c r="SZG49" s="3043"/>
      <c r="SZH49" s="3043"/>
      <c r="SZI49" s="3043"/>
      <c r="SZJ49" s="3043"/>
      <c r="SZK49" s="3043"/>
      <c r="SZL49" s="3043"/>
      <c r="SZM49" s="3043"/>
      <c r="SZN49" s="3043"/>
      <c r="SZO49" s="3043"/>
      <c r="SZP49" s="3043"/>
      <c r="SZQ49" s="3043"/>
      <c r="SZR49" s="3043"/>
      <c r="SZS49" s="3043"/>
      <c r="SZT49" s="3043"/>
      <c r="SZU49" s="3043"/>
      <c r="SZV49" s="3043"/>
      <c r="SZW49" s="3043"/>
      <c r="SZX49" s="3043"/>
      <c r="SZY49" s="3043"/>
      <c r="SZZ49" s="3043"/>
      <c r="TAA49" s="3043"/>
      <c r="TAB49" s="3043"/>
      <c r="TAC49" s="3043"/>
      <c r="TAD49" s="3043"/>
      <c r="TAE49" s="3043"/>
      <c r="TAF49" s="3043"/>
      <c r="TAG49" s="3043"/>
      <c r="TAH49" s="3043"/>
      <c r="TAI49" s="3043"/>
      <c r="TAJ49" s="3043"/>
      <c r="TAK49" s="3043"/>
      <c r="TAL49" s="3043"/>
      <c r="TAM49" s="3043"/>
      <c r="TAN49" s="3043"/>
      <c r="TAO49" s="3043"/>
      <c r="TAP49" s="3043"/>
      <c r="TAQ49" s="3043"/>
      <c r="TAR49" s="3043"/>
      <c r="TAS49" s="3043"/>
      <c r="TAT49" s="3043"/>
      <c r="TAU49" s="3043"/>
      <c r="TAV49" s="3043"/>
      <c r="TAW49" s="3043"/>
      <c r="TAX49" s="3043"/>
      <c r="TAY49" s="3043"/>
      <c r="TAZ49" s="3043"/>
      <c r="TBA49" s="3043"/>
      <c r="TBB49" s="3043"/>
      <c r="TBC49" s="3043"/>
      <c r="TBD49" s="3043"/>
      <c r="TBE49" s="3043"/>
      <c r="TBF49" s="3043"/>
      <c r="TBG49" s="3043"/>
      <c r="TBH49" s="3043"/>
      <c r="TBI49" s="3043"/>
      <c r="TBJ49" s="3043"/>
      <c r="TBK49" s="3043"/>
      <c r="TBL49" s="3043"/>
      <c r="TBM49" s="3043"/>
      <c r="TBN49" s="3043"/>
      <c r="TBO49" s="3043"/>
      <c r="TBP49" s="3043"/>
      <c r="TBQ49" s="3043"/>
      <c r="TBR49" s="3043"/>
      <c r="TBS49" s="3043"/>
      <c r="TBT49" s="3043"/>
      <c r="TBU49" s="3043"/>
      <c r="TBV49" s="3043"/>
      <c r="TBW49" s="3043"/>
      <c r="TBX49" s="3043"/>
      <c r="TBY49" s="3043"/>
      <c r="TBZ49" s="3043"/>
      <c r="TCA49" s="3043"/>
      <c r="TCB49" s="3043"/>
      <c r="TCC49" s="3043"/>
      <c r="TCD49" s="3043"/>
      <c r="TCE49" s="3043"/>
      <c r="TCF49" s="3043"/>
      <c r="TCG49" s="3043"/>
      <c r="TCH49" s="3043"/>
      <c r="TCI49" s="3043"/>
      <c r="TCJ49" s="3043"/>
      <c r="TCK49" s="3043"/>
      <c r="TCL49" s="3043"/>
      <c r="TCM49" s="3043"/>
      <c r="TCN49" s="3043"/>
      <c r="TCO49" s="3043"/>
      <c r="TCP49" s="3043"/>
      <c r="TCQ49" s="3043"/>
      <c r="TCR49" s="3043"/>
      <c r="TCS49" s="3043"/>
      <c r="TCT49" s="3043"/>
      <c r="TCU49" s="3043"/>
      <c r="TCV49" s="3043"/>
      <c r="TCW49" s="3043"/>
      <c r="TCX49" s="3043"/>
      <c r="TCY49" s="3043"/>
      <c r="TCZ49" s="3043"/>
      <c r="TDA49" s="3043"/>
      <c r="TDB49" s="3043"/>
      <c r="TDC49" s="3043"/>
      <c r="TDD49" s="3043"/>
      <c r="TDE49" s="3043"/>
      <c r="TDF49" s="3043"/>
      <c r="TDG49" s="3043"/>
      <c r="TDH49" s="3043"/>
      <c r="TDI49" s="3043"/>
      <c r="TDJ49" s="3043"/>
      <c r="TDK49" s="3043"/>
      <c r="TDL49" s="3043"/>
      <c r="TDM49" s="3043"/>
      <c r="TDN49" s="3043"/>
      <c r="TDO49" s="3043"/>
      <c r="TDP49" s="3043"/>
      <c r="TDQ49" s="3043"/>
      <c r="TDR49" s="3043"/>
      <c r="TDS49" s="3043"/>
      <c r="TDT49" s="3043"/>
      <c r="TDU49" s="3043"/>
      <c r="TDV49" s="3043"/>
      <c r="TDW49" s="3043"/>
      <c r="TDX49" s="3043"/>
      <c r="TDY49" s="3043"/>
      <c r="TDZ49" s="3043"/>
      <c r="TEA49" s="3043"/>
      <c r="TEB49" s="3043"/>
      <c r="TEC49" s="3043"/>
      <c r="TED49" s="3043"/>
      <c r="TEE49" s="3043"/>
      <c r="TEF49" s="3043"/>
      <c r="TEG49" s="3043"/>
      <c r="TEH49" s="3043"/>
      <c r="TEI49" s="3043"/>
      <c r="TEJ49" s="3043"/>
      <c r="TEK49" s="3043"/>
      <c r="TEL49" s="3043"/>
      <c r="TEM49" s="3043"/>
      <c r="TEN49" s="3043"/>
      <c r="TEO49" s="3043"/>
      <c r="TEP49" s="3043"/>
      <c r="TEQ49" s="3043"/>
      <c r="TER49" s="3043"/>
      <c r="TES49" s="3043"/>
      <c r="TET49" s="3043"/>
      <c r="TEU49" s="3043"/>
      <c r="TEV49" s="3043"/>
      <c r="TEW49" s="3043"/>
      <c r="TEX49" s="3043"/>
      <c r="TEY49" s="3043"/>
      <c r="TEZ49" s="3043"/>
      <c r="TFA49" s="3043"/>
      <c r="TFB49" s="3043"/>
      <c r="TFC49" s="3043"/>
      <c r="TFD49" s="3043"/>
      <c r="TFE49" s="3043"/>
      <c r="TFF49" s="3043"/>
      <c r="TFG49" s="3043"/>
      <c r="TFH49" s="3043"/>
      <c r="TFI49" s="3043"/>
      <c r="TFJ49" s="3043"/>
      <c r="TFK49" s="3043"/>
      <c r="TFL49" s="3043"/>
      <c r="TFM49" s="3043"/>
      <c r="TFN49" s="3043"/>
      <c r="TFO49" s="3043"/>
      <c r="TFP49" s="3043"/>
      <c r="TFQ49" s="3043"/>
      <c r="TFR49" s="3043"/>
      <c r="TFS49" s="3043"/>
      <c r="TFT49" s="3043"/>
      <c r="TFU49" s="3043"/>
      <c r="TFV49" s="3043"/>
      <c r="TFW49" s="3043"/>
      <c r="TFX49" s="3043"/>
      <c r="TFY49" s="3043"/>
      <c r="TFZ49" s="3043"/>
      <c r="TGA49" s="3043"/>
      <c r="TGB49" s="3043"/>
      <c r="TGC49" s="3043"/>
      <c r="TGD49" s="3043"/>
      <c r="TGE49" s="3043"/>
      <c r="TGF49" s="3043"/>
      <c r="TGG49" s="3043"/>
      <c r="TGH49" s="3043"/>
      <c r="TGI49" s="3043"/>
      <c r="TGJ49" s="3043"/>
      <c r="TGK49" s="3043"/>
      <c r="TGL49" s="3043"/>
      <c r="TGM49" s="3043"/>
      <c r="TGN49" s="3043"/>
      <c r="TGO49" s="3043"/>
      <c r="TGP49" s="3043"/>
      <c r="TGQ49" s="3043"/>
      <c r="TGR49" s="3043"/>
      <c r="TGS49" s="3043"/>
      <c r="TGT49" s="3043"/>
      <c r="TGU49" s="3043"/>
      <c r="TGV49" s="3043"/>
      <c r="TGW49" s="3043"/>
      <c r="TGX49" s="3043"/>
      <c r="TGY49" s="3043"/>
      <c r="TGZ49" s="3043"/>
      <c r="THA49" s="3043"/>
      <c r="THB49" s="3043"/>
      <c r="THC49" s="3043"/>
      <c r="THD49" s="3043"/>
      <c r="THE49" s="3043"/>
      <c r="THF49" s="3043"/>
      <c r="THG49" s="3043"/>
      <c r="THH49" s="3043"/>
      <c r="THI49" s="3043"/>
      <c r="THJ49" s="3043"/>
      <c r="THK49" s="3043"/>
      <c r="THL49" s="3043"/>
      <c r="THM49" s="3043"/>
      <c r="THN49" s="3043"/>
      <c r="THO49" s="3043"/>
      <c r="THP49" s="3043"/>
      <c r="THQ49" s="3043"/>
      <c r="THR49" s="3043"/>
      <c r="THS49" s="3043"/>
      <c r="THT49" s="3043"/>
      <c r="THU49" s="3043"/>
      <c r="THV49" s="3043"/>
      <c r="THW49" s="3043"/>
      <c r="THX49" s="3043"/>
      <c r="THY49" s="3043"/>
      <c r="THZ49" s="3043"/>
      <c r="TIA49" s="3043"/>
      <c r="TIB49" s="3043"/>
      <c r="TIC49" s="3043"/>
      <c r="TID49" s="3043"/>
      <c r="TIE49" s="3043"/>
      <c r="TIF49" s="3043"/>
      <c r="TIG49" s="3043"/>
      <c r="TIH49" s="3043"/>
      <c r="TII49" s="3043"/>
      <c r="TIJ49" s="3043"/>
      <c r="TIK49" s="3043"/>
      <c r="TIL49" s="3043"/>
      <c r="TIM49" s="3043"/>
      <c r="TIN49" s="3043"/>
      <c r="TIO49" s="3043"/>
      <c r="TIP49" s="3043"/>
      <c r="TIQ49" s="3043"/>
      <c r="TIR49" s="3043"/>
      <c r="TIS49" s="3043"/>
      <c r="TIT49" s="3043"/>
      <c r="TIU49" s="3043"/>
      <c r="TIV49" s="3043"/>
      <c r="TIW49" s="3043"/>
      <c r="TIX49" s="3043"/>
      <c r="TIY49" s="3043"/>
      <c r="TIZ49" s="3043"/>
      <c r="TJA49" s="3043"/>
      <c r="TJB49" s="3043"/>
      <c r="TJC49" s="3043"/>
      <c r="TJD49" s="3043"/>
      <c r="TJE49" s="3043"/>
      <c r="TJF49" s="3043"/>
      <c r="TJG49" s="3043"/>
      <c r="TJH49" s="3043"/>
      <c r="TJI49" s="3043"/>
      <c r="TJJ49" s="3043"/>
      <c r="TJK49" s="3043"/>
      <c r="TJL49" s="3043"/>
      <c r="TJM49" s="3043"/>
      <c r="TJN49" s="3043"/>
      <c r="TJO49" s="3043"/>
      <c r="TJP49" s="3043"/>
      <c r="TJQ49" s="3043"/>
      <c r="TJR49" s="3043"/>
      <c r="TJS49" s="3043"/>
      <c r="TJT49" s="3043"/>
      <c r="TJU49" s="3043"/>
      <c r="TJV49" s="3043"/>
      <c r="TJW49" s="3043"/>
      <c r="TJX49" s="3043"/>
      <c r="TJY49" s="3043"/>
      <c r="TJZ49" s="3043"/>
      <c r="TKA49" s="3043"/>
      <c r="TKB49" s="3043"/>
      <c r="TKC49" s="3043"/>
      <c r="TKD49" s="3043"/>
      <c r="TKE49" s="3043"/>
      <c r="TKF49" s="3043"/>
      <c r="TKG49" s="3043"/>
      <c r="TKH49" s="3043"/>
      <c r="TKI49" s="3043"/>
      <c r="TKJ49" s="3043"/>
      <c r="TKK49" s="3043"/>
      <c r="TKL49" s="3043"/>
      <c r="TKM49" s="3043"/>
      <c r="TKN49" s="3043"/>
      <c r="TKO49" s="3043"/>
      <c r="TKP49" s="3043"/>
      <c r="TKQ49" s="3043"/>
      <c r="TKR49" s="3043"/>
      <c r="TKS49" s="3043"/>
      <c r="TKT49" s="3043"/>
      <c r="TKU49" s="3043"/>
      <c r="TKV49" s="3043"/>
      <c r="TKW49" s="3043"/>
      <c r="TKX49" s="3043"/>
      <c r="TKY49" s="3043"/>
      <c r="TKZ49" s="3043"/>
      <c r="TLA49" s="3043"/>
      <c r="TLB49" s="3043"/>
      <c r="TLC49" s="3043"/>
      <c r="TLD49" s="3043"/>
      <c r="TLE49" s="3043"/>
      <c r="TLF49" s="3043"/>
      <c r="TLG49" s="3043"/>
      <c r="TLH49" s="3043"/>
      <c r="TLI49" s="3043"/>
      <c r="TLJ49" s="3043"/>
      <c r="TLK49" s="3043"/>
      <c r="TLL49" s="3043"/>
      <c r="TLM49" s="3043"/>
      <c r="TLN49" s="3043"/>
      <c r="TLO49" s="3043"/>
      <c r="TLP49" s="3043"/>
      <c r="TLQ49" s="3043"/>
      <c r="TLR49" s="3043"/>
      <c r="TLS49" s="3043"/>
      <c r="TLT49" s="3043"/>
      <c r="TLU49" s="3043"/>
      <c r="TLV49" s="3043"/>
      <c r="TLW49" s="3043"/>
      <c r="TLX49" s="3043"/>
      <c r="TLY49" s="3043"/>
      <c r="TLZ49" s="3043"/>
      <c r="TMA49" s="3043"/>
      <c r="TMB49" s="3043"/>
      <c r="TMC49" s="3043"/>
      <c r="TMD49" s="3043"/>
      <c r="TME49" s="3043"/>
      <c r="TMF49" s="3043"/>
      <c r="TMG49" s="3043"/>
      <c r="TMH49" s="3043"/>
      <c r="TMI49" s="3043"/>
      <c r="TMJ49" s="3043"/>
      <c r="TMK49" s="3043"/>
      <c r="TML49" s="3043"/>
      <c r="TMM49" s="3043"/>
      <c r="TMN49" s="3043"/>
      <c r="TMO49" s="3043"/>
      <c r="TMP49" s="3043"/>
      <c r="TMQ49" s="3043"/>
      <c r="TMR49" s="3043"/>
      <c r="TMS49" s="3043"/>
      <c r="TMT49" s="3043"/>
      <c r="TMU49" s="3043"/>
      <c r="TMV49" s="3043"/>
      <c r="TMW49" s="3043"/>
      <c r="TMX49" s="3043"/>
      <c r="TMY49" s="3043"/>
      <c r="TMZ49" s="3043"/>
      <c r="TNA49" s="3043"/>
      <c r="TNB49" s="3043"/>
      <c r="TNC49" s="3043"/>
      <c r="TND49" s="3043"/>
      <c r="TNE49" s="3043"/>
      <c r="TNF49" s="3043"/>
      <c r="TNG49" s="3043"/>
      <c r="TNH49" s="3043"/>
      <c r="TNI49" s="3043"/>
      <c r="TNJ49" s="3043"/>
      <c r="TNK49" s="3043"/>
      <c r="TNL49" s="3043"/>
      <c r="TNM49" s="3043"/>
      <c r="TNN49" s="3043"/>
      <c r="TNO49" s="3043"/>
      <c r="TNP49" s="3043"/>
      <c r="TNQ49" s="3043"/>
      <c r="TNR49" s="3043"/>
      <c r="TNS49" s="3043"/>
      <c r="TNT49" s="3043"/>
      <c r="TNU49" s="3043"/>
      <c r="TNV49" s="3043"/>
      <c r="TNW49" s="3043"/>
      <c r="TNX49" s="3043"/>
      <c r="TNY49" s="3043"/>
      <c r="TNZ49" s="3043"/>
      <c r="TOA49" s="3043"/>
      <c r="TOB49" s="3043"/>
      <c r="TOC49" s="3043"/>
      <c r="TOD49" s="3043"/>
      <c r="TOE49" s="3043"/>
      <c r="TOF49" s="3043"/>
      <c r="TOG49" s="3043"/>
      <c r="TOH49" s="3043"/>
      <c r="TOI49" s="3043"/>
      <c r="TOJ49" s="3043"/>
      <c r="TOK49" s="3043"/>
      <c r="TOL49" s="3043"/>
      <c r="TOM49" s="3043"/>
      <c r="TON49" s="3043"/>
      <c r="TOO49" s="3043"/>
      <c r="TOP49" s="3043"/>
      <c r="TOQ49" s="3043"/>
      <c r="TOR49" s="3043"/>
      <c r="TOS49" s="3043"/>
      <c r="TOT49" s="3043"/>
      <c r="TOU49" s="3043"/>
      <c r="TOV49" s="3043"/>
      <c r="TOW49" s="3043"/>
      <c r="TOX49" s="3043"/>
      <c r="TOY49" s="3043"/>
      <c r="TOZ49" s="3043"/>
      <c r="TPA49" s="3043"/>
      <c r="TPB49" s="3043"/>
      <c r="TPC49" s="3043"/>
      <c r="TPD49" s="3043"/>
      <c r="TPE49" s="3043"/>
      <c r="TPF49" s="3043"/>
      <c r="TPG49" s="3043"/>
      <c r="TPH49" s="3043"/>
      <c r="TPI49" s="3043"/>
      <c r="TPJ49" s="3043"/>
      <c r="TPK49" s="3043"/>
      <c r="TPL49" s="3043"/>
      <c r="TPM49" s="3043"/>
      <c r="TPN49" s="3043"/>
      <c r="TPO49" s="3043"/>
      <c r="TPP49" s="3043"/>
      <c r="TPQ49" s="3043"/>
      <c r="TPR49" s="3043"/>
      <c r="TPS49" s="3043"/>
      <c r="TPT49" s="3043"/>
      <c r="TPU49" s="3043"/>
      <c r="TPV49" s="3043"/>
      <c r="TPW49" s="3043"/>
      <c r="TPX49" s="3043"/>
      <c r="TPY49" s="3043"/>
      <c r="TPZ49" s="3043"/>
      <c r="TQA49" s="3043"/>
      <c r="TQB49" s="3043"/>
      <c r="TQC49" s="3043"/>
      <c r="TQD49" s="3043"/>
      <c r="TQE49" s="3043"/>
      <c r="TQF49" s="3043"/>
      <c r="TQG49" s="3043"/>
      <c r="TQH49" s="3043"/>
      <c r="TQI49" s="3043"/>
      <c r="TQJ49" s="3043"/>
      <c r="TQK49" s="3043"/>
      <c r="TQL49" s="3043"/>
      <c r="TQM49" s="3043"/>
      <c r="TQN49" s="3043"/>
      <c r="TQO49" s="3043"/>
      <c r="TQP49" s="3043"/>
      <c r="TQQ49" s="3043"/>
      <c r="TQR49" s="3043"/>
      <c r="TQS49" s="3043"/>
      <c r="TQT49" s="3043"/>
      <c r="TQU49" s="3043"/>
      <c r="TQV49" s="3043"/>
      <c r="TQW49" s="3043"/>
      <c r="TQX49" s="3043"/>
      <c r="TQY49" s="3043"/>
      <c r="TQZ49" s="3043"/>
      <c r="TRA49" s="3043"/>
      <c r="TRB49" s="3043"/>
      <c r="TRC49" s="3043"/>
      <c r="TRD49" s="3043"/>
      <c r="TRE49" s="3043"/>
      <c r="TRF49" s="3043"/>
      <c r="TRG49" s="3043"/>
      <c r="TRH49" s="3043"/>
      <c r="TRI49" s="3043"/>
      <c r="TRJ49" s="3043"/>
      <c r="TRK49" s="3043"/>
      <c r="TRL49" s="3043"/>
      <c r="TRM49" s="3043"/>
      <c r="TRN49" s="3043"/>
      <c r="TRO49" s="3043"/>
      <c r="TRP49" s="3043"/>
      <c r="TRQ49" s="3043"/>
      <c r="TRR49" s="3043"/>
      <c r="TRS49" s="3043"/>
      <c r="TRT49" s="3043"/>
      <c r="TRU49" s="3043"/>
      <c r="TRV49" s="3043"/>
      <c r="TRW49" s="3043"/>
      <c r="TRX49" s="3043"/>
      <c r="TRY49" s="3043"/>
      <c r="TRZ49" s="3043"/>
      <c r="TSA49" s="3043"/>
      <c r="TSB49" s="3043"/>
      <c r="TSC49" s="3043"/>
      <c r="TSD49" s="3043"/>
      <c r="TSE49" s="3043"/>
      <c r="TSF49" s="3043"/>
      <c r="TSG49" s="3043"/>
      <c r="TSH49" s="3043"/>
      <c r="TSI49" s="3043"/>
      <c r="TSJ49" s="3043"/>
      <c r="TSK49" s="3043"/>
      <c r="TSL49" s="3043"/>
      <c r="TSM49" s="3043"/>
      <c r="TSN49" s="3043"/>
      <c r="TSO49" s="3043"/>
      <c r="TSP49" s="3043"/>
      <c r="TSQ49" s="3043"/>
      <c r="TSR49" s="3043"/>
      <c r="TSS49" s="3043"/>
      <c r="TST49" s="3043"/>
      <c r="TSU49" s="3043"/>
      <c r="TSV49" s="3043"/>
      <c r="TSW49" s="3043"/>
      <c r="TSX49" s="3043"/>
      <c r="TSY49" s="3043"/>
      <c r="TSZ49" s="3043"/>
      <c r="TTA49" s="3043"/>
      <c r="TTB49" s="3043"/>
      <c r="TTC49" s="3043"/>
      <c r="TTD49" s="3043"/>
      <c r="TTE49" s="3043"/>
      <c r="TTF49" s="3043"/>
      <c r="TTG49" s="3043"/>
      <c r="TTH49" s="3043"/>
      <c r="TTI49" s="3043"/>
      <c r="TTJ49" s="3043"/>
      <c r="TTK49" s="3043"/>
      <c r="TTL49" s="3043"/>
      <c r="TTM49" s="3043"/>
      <c r="TTN49" s="3043"/>
      <c r="TTO49" s="3043"/>
      <c r="TTP49" s="3043"/>
      <c r="TTQ49" s="3043"/>
      <c r="TTR49" s="3043"/>
      <c r="TTS49" s="3043"/>
      <c r="TTT49" s="3043"/>
      <c r="TTU49" s="3043"/>
      <c r="TTV49" s="3043"/>
      <c r="TTW49" s="3043"/>
      <c r="TTX49" s="3043"/>
      <c r="TTY49" s="3043"/>
      <c r="TTZ49" s="3043"/>
      <c r="TUA49" s="3043"/>
      <c r="TUB49" s="3043"/>
      <c r="TUC49" s="3043"/>
      <c r="TUD49" s="3043"/>
      <c r="TUE49" s="3043"/>
      <c r="TUF49" s="3043"/>
      <c r="TUG49" s="3043"/>
      <c r="TUH49" s="3043"/>
      <c r="TUI49" s="3043"/>
      <c r="TUJ49" s="3043"/>
      <c r="TUK49" s="3043"/>
      <c r="TUL49" s="3043"/>
      <c r="TUM49" s="3043"/>
      <c r="TUN49" s="3043"/>
      <c r="TUO49" s="3043"/>
      <c r="TUP49" s="3043"/>
      <c r="TUQ49" s="3043"/>
      <c r="TUR49" s="3043"/>
      <c r="TUS49" s="3043"/>
      <c r="TUT49" s="3043"/>
      <c r="TUU49" s="3043"/>
      <c r="TUV49" s="3043"/>
      <c r="TUW49" s="3043"/>
      <c r="TUX49" s="3043"/>
      <c r="TUY49" s="3043"/>
      <c r="TUZ49" s="3043"/>
      <c r="TVA49" s="3043"/>
      <c r="TVB49" s="3043"/>
      <c r="TVC49" s="3043"/>
      <c r="TVD49" s="3043"/>
      <c r="TVE49" s="3043"/>
      <c r="TVF49" s="3043"/>
      <c r="TVG49" s="3043"/>
      <c r="TVH49" s="3043"/>
      <c r="TVI49" s="3043"/>
      <c r="TVJ49" s="3043"/>
      <c r="TVK49" s="3043"/>
      <c r="TVL49" s="3043"/>
      <c r="TVM49" s="3043"/>
      <c r="TVN49" s="3043"/>
      <c r="TVO49" s="3043"/>
      <c r="TVP49" s="3043"/>
      <c r="TVQ49" s="3043"/>
      <c r="TVR49" s="3043"/>
      <c r="TVS49" s="3043"/>
      <c r="TVT49" s="3043"/>
      <c r="TVU49" s="3043"/>
      <c r="TVV49" s="3043"/>
      <c r="TVW49" s="3043"/>
      <c r="TVX49" s="3043"/>
      <c r="TVY49" s="3043"/>
      <c r="TVZ49" s="3043"/>
      <c r="TWA49" s="3043"/>
      <c r="TWB49" s="3043"/>
      <c r="TWC49" s="3043"/>
      <c r="TWD49" s="3043"/>
      <c r="TWE49" s="3043"/>
      <c r="TWF49" s="3043"/>
      <c r="TWG49" s="3043"/>
      <c r="TWH49" s="3043"/>
      <c r="TWI49" s="3043"/>
      <c r="TWJ49" s="3043"/>
      <c r="TWK49" s="3043"/>
      <c r="TWL49" s="3043"/>
      <c r="TWM49" s="3043"/>
      <c r="TWN49" s="3043"/>
      <c r="TWO49" s="3043"/>
      <c r="TWP49" s="3043"/>
      <c r="TWQ49" s="3043"/>
      <c r="TWR49" s="3043"/>
      <c r="TWS49" s="3043"/>
      <c r="TWT49" s="3043"/>
      <c r="TWU49" s="3043"/>
      <c r="TWV49" s="3043"/>
      <c r="TWW49" s="3043"/>
      <c r="TWX49" s="3043"/>
      <c r="TWY49" s="3043"/>
      <c r="TWZ49" s="3043"/>
      <c r="TXA49" s="3043"/>
      <c r="TXB49" s="3043"/>
      <c r="TXC49" s="3043"/>
      <c r="TXD49" s="3043"/>
      <c r="TXE49" s="3043"/>
      <c r="TXF49" s="3043"/>
      <c r="TXG49" s="3043"/>
      <c r="TXH49" s="3043"/>
      <c r="TXI49" s="3043"/>
      <c r="TXJ49" s="3043"/>
      <c r="TXK49" s="3043"/>
      <c r="TXL49" s="3043"/>
      <c r="TXM49" s="3043"/>
      <c r="TXN49" s="3043"/>
      <c r="TXO49" s="3043"/>
      <c r="TXP49" s="3043"/>
      <c r="TXQ49" s="3043"/>
      <c r="TXR49" s="3043"/>
      <c r="TXS49" s="3043"/>
      <c r="TXT49" s="3043"/>
      <c r="TXU49" s="3043"/>
      <c r="TXV49" s="3043"/>
      <c r="TXW49" s="3043"/>
      <c r="TXX49" s="3043"/>
      <c r="TXY49" s="3043"/>
      <c r="TXZ49" s="3043"/>
      <c r="TYA49" s="3043"/>
      <c r="TYB49" s="3043"/>
      <c r="TYC49" s="3043"/>
      <c r="TYD49" s="3043"/>
      <c r="TYE49" s="3043"/>
      <c r="TYF49" s="3043"/>
      <c r="TYG49" s="3043"/>
      <c r="TYH49" s="3043"/>
      <c r="TYI49" s="3043"/>
      <c r="TYJ49" s="3043"/>
      <c r="TYK49" s="3043"/>
      <c r="TYL49" s="3043"/>
      <c r="TYM49" s="3043"/>
      <c r="TYN49" s="3043"/>
      <c r="TYO49" s="3043"/>
      <c r="TYP49" s="3043"/>
      <c r="TYQ49" s="3043"/>
      <c r="TYR49" s="3043"/>
      <c r="TYS49" s="3043"/>
      <c r="TYT49" s="3043"/>
      <c r="TYU49" s="3043"/>
      <c r="TYV49" s="3043"/>
      <c r="TYW49" s="3043"/>
      <c r="TYX49" s="3043"/>
      <c r="TYY49" s="3043"/>
      <c r="TYZ49" s="3043"/>
      <c r="TZA49" s="3043"/>
      <c r="TZB49" s="3043"/>
      <c r="TZC49" s="3043"/>
      <c r="TZD49" s="3043"/>
      <c r="TZE49" s="3043"/>
      <c r="TZF49" s="3043"/>
      <c r="TZG49" s="3043"/>
      <c r="TZH49" s="3043"/>
      <c r="TZI49" s="3043"/>
      <c r="TZJ49" s="3043"/>
      <c r="TZK49" s="3043"/>
      <c r="TZL49" s="3043"/>
      <c r="TZM49" s="3043"/>
      <c r="TZN49" s="3043"/>
      <c r="TZO49" s="3043"/>
      <c r="TZP49" s="3043"/>
      <c r="TZQ49" s="3043"/>
      <c r="TZR49" s="3043"/>
      <c r="TZS49" s="3043"/>
      <c r="TZT49" s="3043"/>
      <c r="TZU49" s="3043"/>
      <c r="TZV49" s="3043"/>
      <c r="TZW49" s="3043"/>
      <c r="TZX49" s="3043"/>
      <c r="TZY49" s="3043"/>
      <c r="TZZ49" s="3043"/>
      <c r="UAA49" s="3043"/>
      <c r="UAB49" s="3043"/>
      <c r="UAC49" s="3043"/>
      <c r="UAD49" s="3043"/>
      <c r="UAE49" s="3043"/>
      <c r="UAF49" s="3043"/>
      <c r="UAG49" s="3043"/>
      <c r="UAH49" s="3043"/>
      <c r="UAI49" s="3043"/>
      <c r="UAJ49" s="3043"/>
      <c r="UAK49" s="3043"/>
      <c r="UAL49" s="3043"/>
      <c r="UAM49" s="3043"/>
      <c r="UAN49" s="3043"/>
      <c r="UAO49" s="3043"/>
      <c r="UAP49" s="3043"/>
      <c r="UAQ49" s="3043"/>
      <c r="UAR49" s="3043"/>
      <c r="UAS49" s="3043"/>
      <c r="UAT49" s="3043"/>
      <c r="UAU49" s="3043"/>
      <c r="UAV49" s="3043"/>
      <c r="UAW49" s="3043"/>
      <c r="UAX49" s="3043"/>
      <c r="UAY49" s="3043"/>
      <c r="UAZ49" s="3043"/>
      <c r="UBA49" s="3043"/>
      <c r="UBB49" s="3043"/>
      <c r="UBC49" s="3043"/>
      <c r="UBD49" s="3043"/>
      <c r="UBE49" s="3043"/>
      <c r="UBF49" s="3043"/>
      <c r="UBG49" s="3043"/>
      <c r="UBH49" s="3043"/>
      <c r="UBI49" s="3043"/>
      <c r="UBJ49" s="3043"/>
      <c r="UBK49" s="3043"/>
      <c r="UBL49" s="3043"/>
      <c r="UBM49" s="3043"/>
      <c r="UBN49" s="3043"/>
      <c r="UBO49" s="3043"/>
      <c r="UBP49" s="3043"/>
      <c r="UBQ49" s="3043"/>
      <c r="UBR49" s="3043"/>
      <c r="UBS49" s="3043"/>
      <c r="UBT49" s="3043"/>
      <c r="UBU49" s="3043"/>
      <c r="UBV49" s="3043"/>
      <c r="UBW49" s="3043"/>
      <c r="UBX49" s="3043"/>
      <c r="UBY49" s="3043"/>
      <c r="UBZ49" s="3043"/>
      <c r="UCA49" s="3043"/>
      <c r="UCB49" s="3043"/>
      <c r="UCC49" s="3043"/>
      <c r="UCD49" s="3043"/>
      <c r="UCE49" s="3043"/>
      <c r="UCF49" s="3043"/>
      <c r="UCG49" s="3043"/>
      <c r="UCH49" s="3043"/>
      <c r="UCI49" s="3043"/>
      <c r="UCJ49" s="3043"/>
      <c r="UCK49" s="3043"/>
      <c r="UCL49" s="3043"/>
      <c r="UCM49" s="3043"/>
      <c r="UCN49" s="3043"/>
      <c r="UCO49" s="3043"/>
      <c r="UCP49" s="3043"/>
      <c r="UCQ49" s="3043"/>
      <c r="UCR49" s="3043"/>
      <c r="UCS49" s="3043"/>
      <c r="UCT49" s="3043"/>
      <c r="UCU49" s="3043"/>
      <c r="UCV49" s="3043"/>
      <c r="UCW49" s="3043"/>
      <c r="UCX49" s="3043"/>
      <c r="UCY49" s="3043"/>
      <c r="UCZ49" s="3043"/>
      <c r="UDA49" s="3043"/>
      <c r="UDB49" s="3043"/>
      <c r="UDC49" s="3043"/>
      <c r="UDD49" s="3043"/>
      <c r="UDE49" s="3043"/>
      <c r="UDF49" s="3043"/>
      <c r="UDG49" s="3043"/>
      <c r="UDH49" s="3043"/>
      <c r="UDI49" s="3043"/>
      <c r="UDJ49" s="3043"/>
      <c r="UDK49" s="3043"/>
      <c r="UDL49" s="3043"/>
      <c r="UDM49" s="3043"/>
      <c r="UDN49" s="3043"/>
      <c r="UDO49" s="3043"/>
      <c r="UDP49" s="3043"/>
      <c r="UDQ49" s="3043"/>
      <c r="UDR49" s="3043"/>
      <c r="UDS49" s="3043"/>
      <c r="UDT49" s="3043"/>
      <c r="UDU49" s="3043"/>
      <c r="UDV49" s="3043"/>
      <c r="UDW49" s="3043"/>
      <c r="UDX49" s="3043"/>
      <c r="UDY49" s="3043"/>
      <c r="UDZ49" s="3043"/>
      <c r="UEA49" s="3043"/>
      <c r="UEB49" s="3043"/>
      <c r="UEC49" s="3043"/>
      <c r="UED49" s="3043"/>
      <c r="UEE49" s="3043"/>
      <c r="UEF49" s="3043"/>
      <c r="UEG49" s="3043"/>
      <c r="UEH49" s="3043"/>
      <c r="UEI49" s="3043"/>
      <c r="UEJ49" s="3043"/>
      <c r="UEK49" s="3043"/>
      <c r="UEL49" s="3043"/>
      <c r="UEM49" s="3043"/>
      <c r="UEN49" s="3043"/>
      <c r="UEO49" s="3043"/>
      <c r="UEP49" s="3043"/>
      <c r="UEQ49" s="3043"/>
      <c r="UER49" s="3043"/>
      <c r="UES49" s="3043"/>
      <c r="UET49" s="3043"/>
      <c r="UEU49" s="3043"/>
      <c r="UEV49" s="3043"/>
      <c r="UEW49" s="3043"/>
      <c r="UEX49" s="3043"/>
      <c r="UEY49" s="3043"/>
      <c r="UEZ49" s="3043"/>
      <c r="UFA49" s="3043"/>
      <c r="UFB49" s="3043"/>
      <c r="UFC49" s="3043"/>
      <c r="UFD49" s="3043"/>
      <c r="UFE49" s="3043"/>
      <c r="UFF49" s="3043"/>
      <c r="UFG49" s="3043"/>
      <c r="UFH49" s="3043"/>
      <c r="UFI49" s="3043"/>
      <c r="UFJ49" s="3043"/>
      <c r="UFK49" s="3043"/>
      <c r="UFL49" s="3043"/>
      <c r="UFM49" s="3043"/>
      <c r="UFN49" s="3043"/>
      <c r="UFO49" s="3043"/>
      <c r="UFP49" s="3043"/>
      <c r="UFQ49" s="3043"/>
      <c r="UFR49" s="3043"/>
      <c r="UFS49" s="3043"/>
      <c r="UFT49" s="3043"/>
      <c r="UFU49" s="3043"/>
      <c r="UFV49" s="3043"/>
      <c r="UFW49" s="3043"/>
      <c r="UFX49" s="3043"/>
      <c r="UFY49" s="3043"/>
      <c r="UFZ49" s="3043"/>
      <c r="UGA49" s="3043"/>
      <c r="UGB49" s="3043"/>
      <c r="UGC49" s="3043"/>
      <c r="UGD49" s="3043"/>
      <c r="UGE49" s="3043"/>
      <c r="UGF49" s="3043"/>
      <c r="UGG49" s="3043"/>
      <c r="UGH49" s="3043"/>
      <c r="UGI49" s="3043"/>
      <c r="UGJ49" s="3043"/>
      <c r="UGK49" s="3043"/>
      <c r="UGL49" s="3043"/>
      <c r="UGM49" s="3043"/>
      <c r="UGN49" s="3043"/>
      <c r="UGO49" s="3043"/>
      <c r="UGP49" s="3043"/>
      <c r="UGQ49" s="3043"/>
      <c r="UGR49" s="3043"/>
      <c r="UGS49" s="3043"/>
      <c r="UGT49" s="3043"/>
      <c r="UGU49" s="3043"/>
      <c r="UGV49" s="3043"/>
      <c r="UGW49" s="3043"/>
      <c r="UGX49" s="3043"/>
      <c r="UGY49" s="3043"/>
      <c r="UGZ49" s="3043"/>
      <c r="UHA49" s="3043"/>
      <c r="UHB49" s="3043"/>
      <c r="UHC49" s="3043"/>
      <c r="UHD49" s="3043"/>
      <c r="UHE49" s="3043"/>
      <c r="UHF49" s="3043"/>
      <c r="UHG49" s="3043"/>
      <c r="UHH49" s="3043"/>
      <c r="UHI49" s="3043"/>
      <c r="UHJ49" s="3043"/>
      <c r="UHK49" s="3043"/>
      <c r="UHL49" s="3043"/>
      <c r="UHM49" s="3043"/>
      <c r="UHN49" s="3043"/>
      <c r="UHO49" s="3043"/>
      <c r="UHP49" s="3043"/>
      <c r="UHQ49" s="3043"/>
      <c r="UHR49" s="3043"/>
      <c r="UHS49" s="3043"/>
      <c r="UHT49" s="3043"/>
      <c r="UHU49" s="3043"/>
      <c r="UHV49" s="3043"/>
      <c r="UHW49" s="3043"/>
      <c r="UHX49" s="3043"/>
      <c r="UHY49" s="3043"/>
      <c r="UHZ49" s="3043"/>
      <c r="UIA49" s="3043"/>
      <c r="UIB49" s="3043"/>
      <c r="UIC49" s="3043"/>
      <c r="UID49" s="3043"/>
      <c r="UIE49" s="3043"/>
      <c r="UIF49" s="3043"/>
      <c r="UIG49" s="3043"/>
      <c r="UIH49" s="3043"/>
      <c r="UII49" s="3043"/>
      <c r="UIJ49" s="3043"/>
      <c r="UIK49" s="3043"/>
      <c r="UIL49" s="3043"/>
      <c r="UIM49" s="3043"/>
      <c r="UIN49" s="3043"/>
      <c r="UIO49" s="3043"/>
      <c r="UIP49" s="3043"/>
      <c r="UIQ49" s="3043"/>
      <c r="UIR49" s="3043"/>
      <c r="UIS49" s="3043"/>
      <c r="UIT49" s="3043"/>
      <c r="UIU49" s="3043"/>
      <c r="UIV49" s="3043"/>
      <c r="UIW49" s="3043"/>
      <c r="UIX49" s="3043"/>
      <c r="UIY49" s="3043"/>
      <c r="UIZ49" s="3043"/>
      <c r="UJA49" s="3043"/>
      <c r="UJB49" s="3043"/>
      <c r="UJC49" s="3043"/>
      <c r="UJD49" s="3043"/>
      <c r="UJE49" s="3043"/>
      <c r="UJF49" s="3043"/>
      <c r="UJG49" s="3043"/>
      <c r="UJH49" s="3043"/>
      <c r="UJI49" s="3043"/>
      <c r="UJJ49" s="3043"/>
      <c r="UJK49" s="3043"/>
      <c r="UJL49" s="3043"/>
      <c r="UJM49" s="3043"/>
      <c r="UJN49" s="3043"/>
      <c r="UJO49" s="3043"/>
      <c r="UJP49" s="3043"/>
      <c r="UJQ49" s="3043"/>
      <c r="UJR49" s="3043"/>
      <c r="UJS49" s="3043"/>
      <c r="UJT49" s="3043"/>
      <c r="UJU49" s="3043"/>
      <c r="UJV49" s="3043"/>
      <c r="UJW49" s="3043"/>
      <c r="UJX49" s="3043"/>
      <c r="UJY49" s="3043"/>
      <c r="UJZ49" s="3043"/>
      <c r="UKA49" s="3043"/>
      <c r="UKB49" s="3043"/>
      <c r="UKC49" s="3043"/>
      <c r="UKD49" s="3043"/>
      <c r="UKE49" s="3043"/>
      <c r="UKF49" s="3043"/>
      <c r="UKG49" s="3043"/>
      <c r="UKH49" s="3043"/>
      <c r="UKI49" s="3043"/>
      <c r="UKJ49" s="3043"/>
      <c r="UKK49" s="3043"/>
      <c r="UKL49" s="3043"/>
      <c r="UKM49" s="3043"/>
      <c r="UKN49" s="3043"/>
      <c r="UKO49" s="3043"/>
      <c r="UKP49" s="3043"/>
      <c r="UKQ49" s="3043"/>
      <c r="UKR49" s="3043"/>
      <c r="UKS49" s="3043"/>
      <c r="UKT49" s="3043"/>
      <c r="UKU49" s="3043"/>
      <c r="UKV49" s="3043"/>
      <c r="UKW49" s="3043"/>
      <c r="UKX49" s="3043"/>
      <c r="UKY49" s="3043"/>
      <c r="UKZ49" s="3043"/>
      <c r="ULA49" s="3043"/>
      <c r="ULB49" s="3043"/>
      <c r="ULC49" s="3043"/>
      <c r="ULD49" s="3043"/>
      <c r="ULE49" s="3043"/>
      <c r="ULF49" s="3043"/>
      <c r="ULG49" s="3043"/>
      <c r="ULH49" s="3043"/>
      <c r="ULI49" s="3043"/>
      <c r="ULJ49" s="3043"/>
      <c r="ULK49" s="3043"/>
      <c r="ULL49" s="3043"/>
      <c r="ULM49" s="3043"/>
      <c r="ULN49" s="3043"/>
      <c r="ULO49" s="3043"/>
      <c r="ULP49" s="3043"/>
      <c r="ULQ49" s="3043"/>
      <c r="ULR49" s="3043"/>
      <c r="ULS49" s="3043"/>
      <c r="ULT49" s="3043"/>
      <c r="ULU49" s="3043"/>
      <c r="ULV49" s="3043"/>
      <c r="ULW49" s="3043"/>
      <c r="ULX49" s="3043"/>
      <c r="ULY49" s="3043"/>
      <c r="ULZ49" s="3043"/>
      <c r="UMA49" s="3043"/>
      <c r="UMB49" s="3043"/>
      <c r="UMC49" s="3043"/>
      <c r="UMD49" s="3043"/>
      <c r="UME49" s="3043"/>
      <c r="UMF49" s="3043"/>
      <c r="UMG49" s="3043"/>
      <c r="UMH49" s="3043"/>
      <c r="UMI49" s="3043"/>
      <c r="UMJ49" s="3043"/>
      <c r="UMK49" s="3043"/>
      <c r="UML49" s="3043"/>
      <c r="UMM49" s="3043"/>
      <c r="UMN49" s="3043"/>
      <c r="UMO49" s="3043"/>
      <c r="UMP49" s="3043"/>
      <c r="UMQ49" s="3043"/>
      <c r="UMR49" s="3043"/>
      <c r="UMS49" s="3043"/>
      <c r="UMT49" s="3043"/>
      <c r="UMU49" s="3043"/>
      <c r="UMV49" s="3043"/>
      <c r="UMW49" s="3043"/>
      <c r="UMX49" s="3043"/>
      <c r="UMY49" s="3043"/>
      <c r="UMZ49" s="3043"/>
      <c r="UNA49" s="3043"/>
      <c r="UNB49" s="3043"/>
      <c r="UNC49" s="3043"/>
      <c r="UND49" s="3043"/>
      <c r="UNE49" s="3043"/>
      <c r="UNF49" s="3043"/>
      <c r="UNG49" s="3043"/>
      <c r="UNH49" s="3043"/>
      <c r="UNI49" s="3043"/>
      <c r="UNJ49" s="3043"/>
      <c r="UNK49" s="3043"/>
      <c r="UNL49" s="3043"/>
      <c r="UNM49" s="3043"/>
      <c r="UNN49" s="3043"/>
      <c r="UNO49" s="3043"/>
      <c r="UNP49" s="3043"/>
      <c r="UNQ49" s="3043"/>
      <c r="UNR49" s="3043"/>
      <c r="UNS49" s="3043"/>
      <c r="UNT49" s="3043"/>
      <c r="UNU49" s="3043"/>
      <c r="UNV49" s="3043"/>
      <c r="UNW49" s="3043"/>
      <c r="UNX49" s="3043"/>
      <c r="UNY49" s="3043"/>
      <c r="UNZ49" s="3043"/>
      <c r="UOA49" s="3043"/>
      <c r="UOB49" s="3043"/>
      <c r="UOC49" s="3043"/>
      <c r="UOD49" s="3043"/>
      <c r="UOE49" s="3043"/>
      <c r="UOF49" s="3043"/>
      <c r="UOG49" s="3043"/>
      <c r="UOH49" s="3043"/>
      <c r="UOI49" s="3043"/>
      <c r="UOJ49" s="3043"/>
      <c r="UOK49" s="3043"/>
      <c r="UOL49" s="3043"/>
      <c r="UOM49" s="3043"/>
      <c r="UON49" s="3043"/>
      <c r="UOO49" s="3043"/>
      <c r="UOP49" s="3043"/>
      <c r="UOQ49" s="3043"/>
      <c r="UOR49" s="3043"/>
      <c r="UOS49" s="3043"/>
      <c r="UOT49" s="3043"/>
      <c r="UOU49" s="3043"/>
      <c r="UOV49" s="3043"/>
      <c r="UOW49" s="3043"/>
      <c r="UOX49" s="3043"/>
      <c r="UOY49" s="3043"/>
      <c r="UOZ49" s="3043"/>
      <c r="UPA49" s="3043"/>
      <c r="UPB49" s="3043"/>
      <c r="UPC49" s="3043"/>
      <c r="UPD49" s="3043"/>
      <c r="UPE49" s="3043"/>
      <c r="UPF49" s="3043"/>
      <c r="UPG49" s="3043"/>
      <c r="UPH49" s="3043"/>
      <c r="UPI49" s="3043"/>
      <c r="UPJ49" s="3043"/>
      <c r="UPK49" s="3043"/>
      <c r="UPL49" s="3043"/>
      <c r="UPM49" s="3043"/>
      <c r="UPN49" s="3043"/>
      <c r="UPO49" s="3043"/>
      <c r="UPP49" s="3043"/>
      <c r="UPQ49" s="3043"/>
      <c r="UPR49" s="3043"/>
      <c r="UPS49" s="3043"/>
      <c r="UPT49" s="3043"/>
      <c r="UPU49" s="3043"/>
      <c r="UPV49" s="3043"/>
      <c r="UPW49" s="3043"/>
      <c r="UPX49" s="3043"/>
      <c r="UPY49" s="3043"/>
      <c r="UPZ49" s="3043"/>
      <c r="UQA49" s="3043"/>
      <c r="UQB49" s="3043"/>
      <c r="UQC49" s="3043"/>
      <c r="UQD49" s="3043"/>
      <c r="UQE49" s="3043"/>
      <c r="UQF49" s="3043"/>
      <c r="UQG49" s="3043"/>
      <c r="UQH49" s="3043"/>
      <c r="UQI49" s="3043"/>
      <c r="UQJ49" s="3043"/>
      <c r="UQK49" s="3043"/>
      <c r="UQL49" s="3043"/>
      <c r="UQM49" s="3043"/>
      <c r="UQN49" s="3043"/>
      <c r="UQO49" s="3043"/>
      <c r="UQP49" s="3043"/>
      <c r="UQQ49" s="3043"/>
      <c r="UQR49" s="3043"/>
      <c r="UQS49" s="3043"/>
      <c r="UQT49" s="3043"/>
      <c r="UQU49" s="3043"/>
      <c r="UQV49" s="3043"/>
      <c r="UQW49" s="3043"/>
      <c r="UQX49" s="3043"/>
      <c r="UQY49" s="3043"/>
      <c r="UQZ49" s="3043"/>
      <c r="URA49" s="3043"/>
      <c r="URB49" s="3043"/>
      <c r="URC49" s="3043"/>
      <c r="URD49" s="3043"/>
      <c r="URE49" s="3043"/>
      <c r="URF49" s="3043"/>
      <c r="URG49" s="3043"/>
      <c r="URH49" s="3043"/>
      <c r="URI49" s="3043"/>
      <c r="URJ49" s="3043"/>
      <c r="URK49" s="3043"/>
      <c r="URL49" s="3043"/>
      <c r="URM49" s="3043"/>
      <c r="URN49" s="3043"/>
      <c r="URO49" s="3043"/>
      <c r="URP49" s="3043"/>
      <c r="URQ49" s="3043"/>
      <c r="URR49" s="3043"/>
      <c r="URS49" s="3043"/>
      <c r="URT49" s="3043"/>
      <c r="URU49" s="3043"/>
      <c r="URV49" s="3043"/>
      <c r="URW49" s="3043"/>
      <c r="URX49" s="3043"/>
      <c r="URY49" s="3043"/>
      <c r="URZ49" s="3043"/>
      <c r="USA49" s="3043"/>
      <c r="USB49" s="3043"/>
      <c r="USC49" s="3043"/>
      <c r="USD49" s="3043"/>
      <c r="USE49" s="3043"/>
      <c r="USF49" s="3043"/>
      <c r="USG49" s="3043"/>
      <c r="USH49" s="3043"/>
      <c r="USI49" s="3043"/>
      <c r="USJ49" s="3043"/>
      <c r="USK49" s="3043"/>
      <c r="USL49" s="3043"/>
      <c r="USM49" s="3043"/>
      <c r="USN49" s="3043"/>
      <c r="USO49" s="3043"/>
      <c r="USP49" s="3043"/>
      <c r="USQ49" s="3043"/>
      <c r="USR49" s="3043"/>
      <c r="USS49" s="3043"/>
      <c r="UST49" s="3043"/>
      <c r="USU49" s="3043"/>
      <c r="USV49" s="3043"/>
      <c r="USW49" s="3043"/>
      <c r="USX49" s="3043"/>
      <c r="USY49" s="3043"/>
      <c r="USZ49" s="3043"/>
      <c r="UTA49" s="3043"/>
      <c r="UTB49" s="3043"/>
      <c r="UTC49" s="3043"/>
      <c r="UTD49" s="3043"/>
      <c r="UTE49" s="3043"/>
      <c r="UTF49" s="3043"/>
      <c r="UTG49" s="3043"/>
      <c r="UTH49" s="3043"/>
      <c r="UTI49" s="3043"/>
      <c r="UTJ49" s="3043"/>
      <c r="UTK49" s="3043"/>
      <c r="UTL49" s="3043"/>
      <c r="UTM49" s="3043"/>
      <c r="UTN49" s="3043"/>
      <c r="UTO49" s="3043"/>
      <c r="UTP49" s="3043"/>
      <c r="UTQ49" s="3043"/>
      <c r="UTR49" s="3043"/>
      <c r="UTS49" s="3043"/>
      <c r="UTT49" s="3043"/>
      <c r="UTU49" s="3043"/>
      <c r="UTV49" s="3043"/>
      <c r="UTW49" s="3043"/>
      <c r="UTX49" s="3043"/>
      <c r="UTY49" s="3043"/>
      <c r="UTZ49" s="3043"/>
      <c r="UUA49" s="3043"/>
      <c r="UUB49" s="3043"/>
      <c r="UUC49" s="3043"/>
      <c r="UUD49" s="3043"/>
      <c r="UUE49" s="3043"/>
      <c r="UUF49" s="3043"/>
      <c r="UUG49" s="3043"/>
      <c r="UUH49" s="3043"/>
      <c r="UUI49" s="3043"/>
      <c r="UUJ49" s="3043"/>
      <c r="UUK49" s="3043"/>
      <c r="UUL49" s="3043"/>
      <c r="UUM49" s="3043"/>
      <c r="UUN49" s="3043"/>
      <c r="UUO49" s="3043"/>
      <c r="UUP49" s="3043"/>
      <c r="UUQ49" s="3043"/>
      <c r="UUR49" s="3043"/>
      <c r="UUS49" s="3043"/>
      <c r="UUT49" s="3043"/>
      <c r="UUU49" s="3043"/>
      <c r="UUV49" s="3043"/>
      <c r="UUW49" s="3043"/>
      <c r="UUX49" s="3043"/>
      <c r="UUY49" s="3043"/>
      <c r="UUZ49" s="3043"/>
      <c r="UVA49" s="3043"/>
      <c r="UVB49" s="3043"/>
      <c r="UVC49" s="3043"/>
      <c r="UVD49" s="3043"/>
      <c r="UVE49" s="3043"/>
      <c r="UVF49" s="3043"/>
      <c r="UVG49" s="3043"/>
      <c r="UVH49" s="3043"/>
      <c r="UVI49" s="3043"/>
      <c r="UVJ49" s="3043"/>
      <c r="UVK49" s="3043"/>
      <c r="UVL49" s="3043"/>
      <c r="UVM49" s="3043"/>
      <c r="UVN49" s="3043"/>
      <c r="UVO49" s="3043"/>
      <c r="UVP49" s="3043"/>
      <c r="UVQ49" s="3043"/>
      <c r="UVR49" s="3043"/>
      <c r="UVS49" s="3043"/>
      <c r="UVT49" s="3043"/>
      <c r="UVU49" s="3043"/>
      <c r="UVV49" s="3043"/>
      <c r="UVW49" s="3043"/>
      <c r="UVX49" s="3043"/>
      <c r="UVY49" s="3043"/>
      <c r="UVZ49" s="3043"/>
      <c r="UWA49" s="3043"/>
      <c r="UWB49" s="3043"/>
      <c r="UWC49" s="3043"/>
      <c r="UWD49" s="3043"/>
      <c r="UWE49" s="3043"/>
      <c r="UWF49" s="3043"/>
      <c r="UWG49" s="3043"/>
      <c r="UWH49" s="3043"/>
      <c r="UWI49" s="3043"/>
      <c r="UWJ49" s="3043"/>
      <c r="UWK49" s="3043"/>
      <c r="UWL49" s="3043"/>
      <c r="UWM49" s="3043"/>
      <c r="UWN49" s="3043"/>
      <c r="UWO49" s="3043"/>
      <c r="UWP49" s="3043"/>
      <c r="UWQ49" s="3043"/>
      <c r="UWR49" s="3043"/>
      <c r="UWS49" s="3043"/>
      <c r="UWT49" s="3043"/>
      <c r="UWU49" s="3043"/>
      <c r="UWV49" s="3043"/>
      <c r="UWW49" s="3043"/>
      <c r="UWX49" s="3043"/>
      <c r="UWY49" s="3043"/>
      <c r="UWZ49" s="3043"/>
      <c r="UXA49" s="3043"/>
      <c r="UXB49" s="3043"/>
      <c r="UXC49" s="3043"/>
      <c r="UXD49" s="3043"/>
      <c r="UXE49" s="3043"/>
      <c r="UXF49" s="3043"/>
      <c r="UXG49" s="3043"/>
      <c r="UXH49" s="3043"/>
      <c r="UXI49" s="3043"/>
      <c r="UXJ49" s="3043"/>
      <c r="UXK49" s="3043"/>
      <c r="UXL49" s="3043"/>
      <c r="UXM49" s="3043"/>
      <c r="UXN49" s="3043"/>
      <c r="UXO49" s="3043"/>
      <c r="UXP49" s="3043"/>
      <c r="UXQ49" s="3043"/>
      <c r="UXR49" s="3043"/>
      <c r="UXS49" s="3043"/>
      <c r="UXT49" s="3043"/>
      <c r="UXU49" s="3043"/>
      <c r="UXV49" s="3043"/>
      <c r="UXW49" s="3043"/>
      <c r="UXX49" s="3043"/>
      <c r="UXY49" s="3043"/>
      <c r="UXZ49" s="3043"/>
      <c r="UYA49" s="3043"/>
      <c r="UYB49" s="3043"/>
      <c r="UYC49" s="3043"/>
      <c r="UYD49" s="3043"/>
      <c r="UYE49" s="3043"/>
      <c r="UYF49" s="3043"/>
      <c r="UYG49" s="3043"/>
      <c r="UYH49" s="3043"/>
      <c r="UYI49" s="3043"/>
      <c r="UYJ49" s="3043"/>
      <c r="UYK49" s="3043"/>
      <c r="UYL49" s="3043"/>
      <c r="UYM49" s="3043"/>
      <c r="UYN49" s="3043"/>
      <c r="UYO49" s="3043"/>
      <c r="UYP49" s="3043"/>
      <c r="UYQ49" s="3043"/>
      <c r="UYR49" s="3043"/>
      <c r="UYS49" s="3043"/>
      <c r="UYT49" s="3043"/>
      <c r="UYU49" s="3043"/>
      <c r="UYV49" s="3043"/>
      <c r="UYW49" s="3043"/>
      <c r="UYX49" s="3043"/>
      <c r="UYY49" s="3043"/>
      <c r="UYZ49" s="3043"/>
      <c r="UZA49" s="3043"/>
      <c r="UZB49" s="3043"/>
      <c r="UZC49" s="3043"/>
      <c r="UZD49" s="3043"/>
      <c r="UZE49" s="3043"/>
      <c r="UZF49" s="3043"/>
      <c r="UZG49" s="3043"/>
      <c r="UZH49" s="3043"/>
      <c r="UZI49" s="3043"/>
      <c r="UZJ49" s="3043"/>
      <c r="UZK49" s="3043"/>
      <c r="UZL49" s="3043"/>
      <c r="UZM49" s="3043"/>
      <c r="UZN49" s="3043"/>
      <c r="UZO49" s="3043"/>
      <c r="UZP49" s="3043"/>
      <c r="UZQ49" s="3043"/>
      <c r="UZR49" s="3043"/>
      <c r="UZS49" s="3043"/>
      <c r="UZT49" s="3043"/>
      <c r="UZU49" s="3043"/>
      <c r="UZV49" s="3043"/>
      <c r="UZW49" s="3043"/>
      <c r="UZX49" s="3043"/>
      <c r="UZY49" s="3043"/>
      <c r="UZZ49" s="3043"/>
      <c r="VAA49" s="3043"/>
      <c r="VAB49" s="3043"/>
      <c r="VAC49" s="3043"/>
      <c r="VAD49" s="3043"/>
      <c r="VAE49" s="3043"/>
      <c r="VAF49" s="3043"/>
      <c r="VAG49" s="3043"/>
      <c r="VAH49" s="3043"/>
      <c r="VAI49" s="3043"/>
      <c r="VAJ49" s="3043"/>
      <c r="VAK49" s="3043"/>
      <c r="VAL49" s="3043"/>
      <c r="VAM49" s="3043"/>
      <c r="VAN49" s="3043"/>
      <c r="VAO49" s="3043"/>
      <c r="VAP49" s="3043"/>
      <c r="VAQ49" s="3043"/>
      <c r="VAR49" s="3043"/>
      <c r="VAS49" s="3043"/>
      <c r="VAT49" s="3043"/>
      <c r="VAU49" s="3043"/>
      <c r="VAV49" s="3043"/>
      <c r="VAW49" s="3043"/>
      <c r="VAX49" s="3043"/>
      <c r="VAY49" s="3043"/>
      <c r="VAZ49" s="3043"/>
      <c r="VBA49" s="3043"/>
      <c r="VBB49" s="3043"/>
      <c r="VBC49" s="3043"/>
      <c r="VBD49" s="3043"/>
      <c r="VBE49" s="3043"/>
      <c r="VBF49" s="3043"/>
      <c r="VBG49" s="3043"/>
      <c r="VBH49" s="3043"/>
      <c r="VBI49" s="3043"/>
      <c r="VBJ49" s="3043"/>
      <c r="VBK49" s="3043"/>
      <c r="VBL49" s="3043"/>
      <c r="VBM49" s="3043"/>
      <c r="VBN49" s="3043"/>
      <c r="VBO49" s="3043"/>
      <c r="VBP49" s="3043"/>
      <c r="VBQ49" s="3043"/>
      <c r="VBR49" s="3043"/>
      <c r="VBS49" s="3043"/>
      <c r="VBT49" s="3043"/>
      <c r="VBU49" s="3043"/>
      <c r="VBV49" s="3043"/>
      <c r="VBW49" s="3043"/>
      <c r="VBX49" s="3043"/>
      <c r="VBY49" s="3043"/>
      <c r="VBZ49" s="3043"/>
      <c r="VCA49" s="3043"/>
      <c r="VCB49" s="3043"/>
      <c r="VCC49" s="3043"/>
      <c r="VCD49" s="3043"/>
      <c r="VCE49" s="3043"/>
      <c r="VCF49" s="3043"/>
      <c r="VCG49" s="3043"/>
      <c r="VCH49" s="3043"/>
      <c r="VCI49" s="3043"/>
      <c r="VCJ49" s="3043"/>
      <c r="VCK49" s="3043"/>
      <c r="VCL49" s="3043"/>
      <c r="VCM49" s="3043"/>
      <c r="VCN49" s="3043"/>
      <c r="VCO49" s="3043"/>
      <c r="VCP49" s="3043"/>
      <c r="VCQ49" s="3043"/>
      <c r="VCR49" s="3043"/>
      <c r="VCS49" s="3043"/>
      <c r="VCT49" s="3043"/>
      <c r="VCU49" s="3043"/>
      <c r="VCV49" s="3043"/>
      <c r="VCW49" s="3043"/>
      <c r="VCX49" s="3043"/>
      <c r="VCY49" s="3043"/>
      <c r="VCZ49" s="3043"/>
      <c r="VDA49" s="3043"/>
      <c r="VDB49" s="3043"/>
      <c r="VDC49" s="3043"/>
      <c r="VDD49" s="3043"/>
      <c r="VDE49" s="3043"/>
      <c r="VDF49" s="3043"/>
      <c r="VDG49" s="3043"/>
      <c r="VDH49" s="3043"/>
      <c r="VDI49" s="3043"/>
      <c r="VDJ49" s="3043"/>
      <c r="VDK49" s="3043"/>
      <c r="VDL49" s="3043"/>
      <c r="VDM49" s="3043"/>
      <c r="VDN49" s="3043"/>
      <c r="VDO49" s="3043"/>
      <c r="VDP49" s="3043"/>
      <c r="VDQ49" s="3043"/>
      <c r="VDR49" s="3043"/>
      <c r="VDS49" s="3043"/>
      <c r="VDT49" s="3043"/>
      <c r="VDU49" s="3043"/>
      <c r="VDV49" s="3043"/>
      <c r="VDW49" s="3043"/>
      <c r="VDX49" s="3043"/>
      <c r="VDY49" s="3043"/>
      <c r="VDZ49" s="3043"/>
      <c r="VEA49" s="3043"/>
      <c r="VEB49" s="3043"/>
      <c r="VEC49" s="3043"/>
      <c r="VED49" s="3043"/>
      <c r="VEE49" s="3043"/>
      <c r="VEF49" s="3043"/>
      <c r="VEG49" s="3043"/>
      <c r="VEH49" s="3043"/>
      <c r="VEI49" s="3043"/>
      <c r="VEJ49" s="3043"/>
      <c r="VEK49" s="3043"/>
      <c r="VEL49" s="3043"/>
      <c r="VEM49" s="3043"/>
      <c r="VEN49" s="3043"/>
      <c r="VEO49" s="3043"/>
      <c r="VEP49" s="3043"/>
      <c r="VEQ49" s="3043"/>
      <c r="VER49" s="3043"/>
      <c r="VES49" s="3043"/>
      <c r="VET49" s="3043"/>
      <c r="VEU49" s="3043"/>
      <c r="VEV49" s="3043"/>
      <c r="VEW49" s="3043"/>
      <c r="VEX49" s="3043"/>
      <c r="VEY49" s="3043"/>
      <c r="VEZ49" s="3043"/>
      <c r="VFA49" s="3043"/>
      <c r="VFB49" s="3043"/>
      <c r="VFC49" s="3043"/>
      <c r="VFD49" s="3043"/>
      <c r="VFE49" s="3043"/>
      <c r="VFF49" s="3043"/>
      <c r="VFG49" s="3043"/>
      <c r="VFH49" s="3043"/>
      <c r="VFI49" s="3043"/>
      <c r="VFJ49" s="3043"/>
      <c r="VFK49" s="3043"/>
      <c r="VFL49" s="3043"/>
      <c r="VFM49" s="3043"/>
      <c r="VFN49" s="3043"/>
      <c r="VFO49" s="3043"/>
      <c r="VFP49" s="3043"/>
      <c r="VFQ49" s="3043"/>
      <c r="VFR49" s="3043"/>
      <c r="VFS49" s="3043"/>
      <c r="VFT49" s="3043"/>
      <c r="VFU49" s="3043"/>
      <c r="VFV49" s="3043"/>
      <c r="VFW49" s="3043"/>
      <c r="VFX49" s="3043"/>
      <c r="VFY49" s="3043"/>
      <c r="VFZ49" s="3043"/>
      <c r="VGA49" s="3043"/>
      <c r="VGB49" s="3043"/>
      <c r="VGC49" s="3043"/>
      <c r="VGD49" s="3043"/>
      <c r="VGE49" s="3043"/>
      <c r="VGF49" s="3043"/>
      <c r="VGG49" s="3043"/>
      <c r="VGH49" s="3043"/>
      <c r="VGI49" s="3043"/>
      <c r="VGJ49" s="3043"/>
      <c r="VGK49" s="3043"/>
      <c r="VGL49" s="3043"/>
      <c r="VGM49" s="3043"/>
      <c r="VGN49" s="3043"/>
      <c r="VGO49" s="3043"/>
      <c r="VGP49" s="3043"/>
      <c r="VGQ49" s="3043"/>
      <c r="VGR49" s="3043"/>
      <c r="VGS49" s="3043"/>
      <c r="VGT49" s="3043"/>
      <c r="VGU49" s="3043"/>
      <c r="VGV49" s="3043"/>
      <c r="VGW49" s="3043"/>
      <c r="VGX49" s="3043"/>
      <c r="VGY49" s="3043"/>
      <c r="VGZ49" s="3043"/>
      <c r="VHA49" s="3043"/>
      <c r="VHB49" s="3043"/>
      <c r="VHC49" s="3043"/>
      <c r="VHD49" s="3043"/>
      <c r="VHE49" s="3043"/>
      <c r="VHF49" s="3043"/>
      <c r="VHG49" s="3043"/>
      <c r="VHH49" s="3043"/>
      <c r="VHI49" s="3043"/>
      <c r="VHJ49" s="3043"/>
      <c r="VHK49" s="3043"/>
      <c r="VHL49" s="3043"/>
      <c r="VHM49" s="3043"/>
      <c r="VHN49" s="3043"/>
      <c r="VHO49" s="3043"/>
      <c r="VHP49" s="3043"/>
      <c r="VHQ49" s="3043"/>
      <c r="VHR49" s="3043"/>
      <c r="VHS49" s="3043"/>
      <c r="VHT49" s="3043"/>
      <c r="VHU49" s="3043"/>
      <c r="VHV49" s="3043"/>
      <c r="VHW49" s="3043"/>
      <c r="VHX49" s="3043"/>
      <c r="VHY49" s="3043"/>
      <c r="VHZ49" s="3043"/>
      <c r="VIA49" s="3043"/>
      <c r="VIB49" s="3043"/>
      <c r="VIC49" s="3043"/>
      <c r="VID49" s="3043"/>
      <c r="VIE49" s="3043"/>
      <c r="VIF49" s="3043"/>
      <c r="VIG49" s="3043"/>
      <c r="VIH49" s="3043"/>
      <c r="VII49" s="3043"/>
      <c r="VIJ49" s="3043"/>
      <c r="VIK49" s="3043"/>
      <c r="VIL49" s="3043"/>
      <c r="VIM49" s="3043"/>
      <c r="VIN49" s="3043"/>
      <c r="VIO49" s="3043"/>
      <c r="VIP49" s="3043"/>
      <c r="VIQ49" s="3043"/>
      <c r="VIR49" s="3043"/>
      <c r="VIS49" s="3043"/>
      <c r="VIT49" s="3043"/>
      <c r="VIU49" s="3043"/>
      <c r="VIV49" s="3043"/>
      <c r="VIW49" s="3043"/>
      <c r="VIX49" s="3043"/>
      <c r="VIY49" s="3043"/>
      <c r="VIZ49" s="3043"/>
      <c r="VJA49" s="3043"/>
      <c r="VJB49" s="3043"/>
      <c r="VJC49" s="3043"/>
      <c r="VJD49" s="3043"/>
      <c r="VJE49" s="3043"/>
      <c r="VJF49" s="3043"/>
      <c r="VJG49" s="3043"/>
      <c r="VJH49" s="3043"/>
      <c r="VJI49" s="3043"/>
      <c r="VJJ49" s="3043"/>
      <c r="VJK49" s="3043"/>
      <c r="VJL49" s="3043"/>
      <c r="VJM49" s="3043"/>
      <c r="VJN49" s="3043"/>
      <c r="VJO49" s="3043"/>
      <c r="VJP49" s="3043"/>
      <c r="VJQ49" s="3043"/>
      <c r="VJR49" s="3043"/>
      <c r="VJS49" s="3043"/>
      <c r="VJT49" s="3043"/>
      <c r="VJU49" s="3043"/>
      <c r="VJV49" s="3043"/>
      <c r="VJW49" s="3043"/>
      <c r="VJX49" s="3043"/>
      <c r="VJY49" s="3043"/>
      <c r="VJZ49" s="3043"/>
      <c r="VKA49" s="3043"/>
      <c r="VKB49" s="3043"/>
      <c r="VKC49" s="3043"/>
      <c r="VKD49" s="3043"/>
      <c r="VKE49" s="3043"/>
      <c r="VKF49" s="3043"/>
      <c r="VKG49" s="3043"/>
      <c r="VKH49" s="3043"/>
      <c r="VKI49" s="3043"/>
      <c r="VKJ49" s="3043"/>
      <c r="VKK49" s="3043"/>
      <c r="VKL49" s="3043"/>
      <c r="VKM49" s="3043"/>
      <c r="VKN49" s="3043"/>
      <c r="VKO49" s="3043"/>
      <c r="VKP49" s="3043"/>
      <c r="VKQ49" s="3043"/>
      <c r="VKR49" s="3043"/>
      <c r="VKS49" s="3043"/>
      <c r="VKT49" s="3043"/>
      <c r="VKU49" s="3043"/>
      <c r="VKV49" s="3043"/>
      <c r="VKW49" s="3043"/>
      <c r="VKX49" s="3043"/>
      <c r="VKY49" s="3043"/>
      <c r="VKZ49" s="3043"/>
      <c r="VLA49" s="3043"/>
      <c r="VLB49" s="3043"/>
      <c r="VLC49" s="3043"/>
      <c r="VLD49" s="3043"/>
      <c r="VLE49" s="3043"/>
      <c r="VLF49" s="3043"/>
      <c r="VLG49" s="3043"/>
      <c r="VLH49" s="3043"/>
      <c r="VLI49" s="3043"/>
      <c r="VLJ49" s="3043"/>
      <c r="VLK49" s="3043"/>
      <c r="VLL49" s="3043"/>
      <c r="VLM49" s="3043"/>
      <c r="VLN49" s="3043"/>
      <c r="VLO49" s="3043"/>
      <c r="VLP49" s="3043"/>
      <c r="VLQ49" s="3043"/>
      <c r="VLR49" s="3043"/>
      <c r="VLS49" s="3043"/>
      <c r="VLT49" s="3043"/>
      <c r="VLU49" s="3043"/>
      <c r="VLV49" s="3043"/>
      <c r="VLW49" s="3043"/>
      <c r="VLX49" s="3043"/>
      <c r="VLY49" s="3043"/>
      <c r="VLZ49" s="3043"/>
      <c r="VMA49" s="3043"/>
      <c r="VMB49" s="3043"/>
      <c r="VMC49" s="3043"/>
      <c r="VMD49" s="3043"/>
      <c r="VME49" s="3043"/>
      <c r="VMF49" s="3043"/>
      <c r="VMG49" s="3043"/>
      <c r="VMH49" s="3043"/>
      <c r="VMI49" s="3043"/>
      <c r="VMJ49" s="3043"/>
      <c r="VMK49" s="3043"/>
      <c r="VML49" s="3043"/>
      <c r="VMM49" s="3043"/>
      <c r="VMN49" s="3043"/>
      <c r="VMO49" s="3043"/>
      <c r="VMP49" s="3043"/>
      <c r="VMQ49" s="3043"/>
      <c r="VMR49" s="3043"/>
      <c r="VMS49" s="3043"/>
      <c r="VMT49" s="3043"/>
      <c r="VMU49" s="3043"/>
      <c r="VMV49" s="3043"/>
      <c r="VMW49" s="3043"/>
      <c r="VMX49" s="3043"/>
      <c r="VMY49" s="3043"/>
      <c r="VMZ49" s="3043"/>
      <c r="VNA49" s="3043"/>
      <c r="VNB49" s="3043"/>
      <c r="VNC49" s="3043"/>
      <c r="VND49" s="3043"/>
      <c r="VNE49" s="3043"/>
      <c r="VNF49" s="3043"/>
      <c r="VNG49" s="3043"/>
      <c r="VNH49" s="3043"/>
      <c r="VNI49" s="3043"/>
      <c r="VNJ49" s="3043"/>
      <c r="VNK49" s="3043"/>
      <c r="VNL49" s="3043"/>
      <c r="VNM49" s="3043"/>
      <c r="VNN49" s="3043"/>
      <c r="VNO49" s="3043"/>
      <c r="VNP49" s="3043"/>
      <c r="VNQ49" s="3043"/>
      <c r="VNR49" s="3043"/>
      <c r="VNS49" s="3043"/>
      <c r="VNT49" s="3043"/>
      <c r="VNU49" s="3043"/>
      <c r="VNV49" s="3043"/>
      <c r="VNW49" s="3043"/>
      <c r="VNX49" s="3043"/>
      <c r="VNY49" s="3043"/>
      <c r="VNZ49" s="3043"/>
      <c r="VOA49" s="3043"/>
      <c r="VOB49" s="3043"/>
      <c r="VOC49" s="3043"/>
      <c r="VOD49" s="3043"/>
      <c r="VOE49" s="3043"/>
      <c r="VOF49" s="3043"/>
      <c r="VOG49" s="3043"/>
      <c r="VOH49" s="3043"/>
      <c r="VOI49" s="3043"/>
      <c r="VOJ49" s="3043"/>
      <c r="VOK49" s="3043"/>
      <c r="VOL49" s="3043"/>
      <c r="VOM49" s="3043"/>
      <c r="VON49" s="3043"/>
      <c r="VOO49" s="3043"/>
      <c r="VOP49" s="3043"/>
      <c r="VOQ49" s="3043"/>
      <c r="VOR49" s="3043"/>
      <c r="VOS49" s="3043"/>
      <c r="VOT49" s="3043"/>
      <c r="VOU49" s="3043"/>
      <c r="VOV49" s="3043"/>
      <c r="VOW49" s="3043"/>
      <c r="VOX49" s="3043"/>
      <c r="VOY49" s="3043"/>
      <c r="VOZ49" s="3043"/>
      <c r="VPA49" s="3043"/>
      <c r="VPB49" s="3043"/>
      <c r="VPC49" s="3043"/>
      <c r="VPD49" s="3043"/>
      <c r="VPE49" s="3043"/>
      <c r="VPF49" s="3043"/>
      <c r="VPG49" s="3043"/>
      <c r="VPH49" s="3043"/>
      <c r="VPI49" s="3043"/>
      <c r="VPJ49" s="3043"/>
      <c r="VPK49" s="3043"/>
      <c r="VPL49" s="3043"/>
      <c r="VPM49" s="3043"/>
      <c r="VPN49" s="3043"/>
      <c r="VPO49" s="3043"/>
      <c r="VPP49" s="3043"/>
      <c r="VPQ49" s="3043"/>
      <c r="VPR49" s="3043"/>
      <c r="VPS49" s="3043"/>
      <c r="VPT49" s="3043"/>
      <c r="VPU49" s="3043"/>
      <c r="VPV49" s="3043"/>
      <c r="VPW49" s="3043"/>
      <c r="VPX49" s="3043"/>
      <c r="VPY49" s="3043"/>
      <c r="VPZ49" s="3043"/>
      <c r="VQA49" s="3043"/>
      <c r="VQB49" s="3043"/>
      <c r="VQC49" s="3043"/>
      <c r="VQD49" s="3043"/>
      <c r="VQE49" s="3043"/>
      <c r="VQF49" s="3043"/>
      <c r="VQG49" s="3043"/>
      <c r="VQH49" s="3043"/>
      <c r="VQI49" s="3043"/>
      <c r="VQJ49" s="3043"/>
      <c r="VQK49" s="3043"/>
      <c r="VQL49" s="3043"/>
      <c r="VQM49" s="3043"/>
      <c r="VQN49" s="3043"/>
      <c r="VQO49" s="3043"/>
      <c r="VQP49" s="3043"/>
      <c r="VQQ49" s="3043"/>
      <c r="VQR49" s="3043"/>
      <c r="VQS49" s="3043"/>
      <c r="VQT49" s="3043"/>
      <c r="VQU49" s="3043"/>
      <c r="VQV49" s="3043"/>
      <c r="VQW49" s="3043"/>
      <c r="VQX49" s="3043"/>
      <c r="VQY49" s="3043"/>
      <c r="VQZ49" s="3043"/>
      <c r="VRA49" s="3043"/>
      <c r="VRB49" s="3043"/>
      <c r="VRC49" s="3043"/>
      <c r="VRD49" s="3043"/>
      <c r="VRE49" s="3043"/>
      <c r="VRF49" s="3043"/>
      <c r="VRG49" s="3043"/>
      <c r="VRH49" s="3043"/>
      <c r="VRI49" s="3043"/>
      <c r="VRJ49" s="3043"/>
      <c r="VRK49" s="3043"/>
      <c r="VRL49" s="3043"/>
      <c r="VRM49" s="3043"/>
      <c r="VRN49" s="3043"/>
      <c r="VRO49" s="3043"/>
      <c r="VRP49" s="3043"/>
      <c r="VRQ49" s="3043"/>
      <c r="VRR49" s="3043"/>
      <c r="VRS49" s="3043"/>
      <c r="VRT49" s="3043"/>
      <c r="VRU49" s="3043"/>
      <c r="VRV49" s="3043"/>
      <c r="VRW49" s="3043"/>
      <c r="VRX49" s="3043"/>
      <c r="VRY49" s="3043"/>
      <c r="VRZ49" s="3043"/>
      <c r="VSA49" s="3043"/>
      <c r="VSB49" s="3043"/>
      <c r="VSC49" s="3043"/>
      <c r="VSD49" s="3043"/>
      <c r="VSE49" s="3043"/>
      <c r="VSF49" s="3043"/>
      <c r="VSG49" s="3043"/>
      <c r="VSH49" s="3043"/>
      <c r="VSI49" s="3043"/>
      <c r="VSJ49" s="3043"/>
      <c r="VSK49" s="3043"/>
      <c r="VSL49" s="3043"/>
      <c r="VSM49" s="3043"/>
      <c r="VSN49" s="3043"/>
      <c r="VSO49" s="3043"/>
      <c r="VSP49" s="3043"/>
      <c r="VSQ49" s="3043"/>
      <c r="VSR49" s="3043"/>
      <c r="VSS49" s="3043"/>
      <c r="VST49" s="3043"/>
      <c r="VSU49" s="3043"/>
      <c r="VSV49" s="3043"/>
      <c r="VSW49" s="3043"/>
      <c r="VSX49" s="3043"/>
      <c r="VSY49" s="3043"/>
      <c r="VSZ49" s="3043"/>
      <c r="VTA49" s="3043"/>
      <c r="VTB49" s="3043"/>
      <c r="VTC49" s="3043"/>
      <c r="VTD49" s="3043"/>
      <c r="VTE49" s="3043"/>
      <c r="VTF49" s="3043"/>
      <c r="VTG49" s="3043"/>
      <c r="VTH49" s="3043"/>
      <c r="VTI49" s="3043"/>
      <c r="VTJ49" s="3043"/>
      <c r="VTK49" s="3043"/>
      <c r="VTL49" s="3043"/>
      <c r="VTM49" s="3043"/>
      <c r="VTN49" s="3043"/>
      <c r="VTO49" s="3043"/>
      <c r="VTP49" s="3043"/>
      <c r="VTQ49" s="3043"/>
      <c r="VTR49" s="3043"/>
      <c r="VTS49" s="3043"/>
      <c r="VTT49" s="3043"/>
      <c r="VTU49" s="3043"/>
      <c r="VTV49" s="3043"/>
      <c r="VTW49" s="3043"/>
      <c r="VTX49" s="3043"/>
      <c r="VTY49" s="3043"/>
      <c r="VTZ49" s="3043"/>
      <c r="VUA49" s="3043"/>
      <c r="VUB49" s="3043"/>
      <c r="VUC49" s="3043"/>
      <c r="VUD49" s="3043"/>
      <c r="VUE49" s="3043"/>
      <c r="VUF49" s="3043"/>
      <c r="VUG49" s="3043"/>
      <c r="VUH49" s="3043"/>
      <c r="VUI49" s="3043"/>
      <c r="VUJ49" s="3043"/>
      <c r="VUK49" s="3043"/>
      <c r="VUL49" s="3043"/>
      <c r="VUM49" s="3043"/>
      <c r="VUN49" s="3043"/>
      <c r="VUO49" s="3043"/>
      <c r="VUP49" s="3043"/>
      <c r="VUQ49" s="3043"/>
      <c r="VUR49" s="3043"/>
      <c r="VUS49" s="3043"/>
      <c r="VUT49" s="3043"/>
      <c r="VUU49" s="3043"/>
      <c r="VUV49" s="3043"/>
      <c r="VUW49" s="3043"/>
      <c r="VUX49" s="3043"/>
      <c r="VUY49" s="3043"/>
      <c r="VUZ49" s="3043"/>
      <c r="VVA49" s="3043"/>
      <c r="VVB49" s="3043"/>
      <c r="VVC49" s="3043"/>
      <c r="VVD49" s="3043"/>
      <c r="VVE49" s="3043"/>
      <c r="VVF49" s="3043"/>
      <c r="VVG49" s="3043"/>
      <c r="VVH49" s="3043"/>
      <c r="VVI49" s="3043"/>
      <c r="VVJ49" s="3043"/>
      <c r="VVK49" s="3043"/>
      <c r="VVL49" s="3043"/>
      <c r="VVM49" s="3043"/>
      <c r="VVN49" s="3043"/>
      <c r="VVO49" s="3043"/>
      <c r="VVP49" s="3043"/>
      <c r="VVQ49" s="3043"/>
      <c r="VVR49" s="3043"/>
      <c r="VVS49" s="3043"/>
      <c r="VVT49" s="3043"/>
      <c r="VVU49" s="3043"/>
      <c r="VVV49" s="3043"/>
      <c r="VVW49" s="3043"/>
      <c r="VVX49" s="3043"/>
      <c r="VVY49" s="3043"/>
      <c r="VVZ49" s="3043"/>
      <c r="VWA49" s="3043"/>
      <c r="VWB49" s="3043"/>
      <c r="VWC49" s="3043"/>
      <c r="VWD49" s="3043"/>
      <c r="VWE49" s="3043"/>
      <c r="VWF49" s="3043"/>
      <c r="VWG49" s="3043"/>
      <c r="VWH49" s="3043"/>
      <c r="VWI49" s="3043"/>
      <c r="VWJ49" s="3043"/>
      <c r="VWK49" s="3043"/>
      <c r="VWL49" s="3043"/>
      <c r="VWM49" s="3043"/>
      <c r="VWN49" s="3043"/>
      <c r="VWO49" s="3043"/>
      <c r="VWP49" s="3043"/>
      <c r="VWQ49" s="3043"/>
      <c r="VWR49" s="3043"/>
      <c r="VWS49" s="3043"/>
      <c r="VWT49" s="3043"/>
      <c r="VWU49" s="3043"/>
      <c r="VWV49" s="3043"/>
      <c r="VWW49" s="3043"/>
      <c r="VWX49" s="3043"/>
      <c r="VWY49" s="3043"/>
      <c r="VWZ49" s="3043"/>
      <c r="VXA49" s="3043"/>
      <c r="VXB49" s="3043"/>
      <c r="VXC49" s="3043"/>
      <c r="VXD49" s="3043"/>
      <c r="VXE49" s="3043"/>
      <c r="VXF49" s="3043"/>
      <c r="VXG49" s="3043"/>
      <c r="VXH49" s="3043"/>
      <c r="VXI49" s="3043"/>
      <c r="VXJ49" s="3043"/>
      <c r="VXK49" s="3043"/>
      <c r="VXL49" s="3043"/>
      <c r="VXM49" s="3043"/>
      <c r="VXN49" s="3043"/>
      <c r="VXO49" s="3043"/>
      <c r="VXP49" s="3043"/>
      <c r="VXQ49" s="3043"/>
      <c r="VXR49" s="3043"/>
      <c r="VXS49" s="3043"/>
      <c r="VXT49" s="3043"/>
      <c r="VXU49" s="3043"/>
      <c r="VXV49" s="3043"/>
      <c r="VXW49" s="3043"/>
      <c r="VXX49" s="3043"/>
      <c r="VXY49" s="3043"/>
      <c r="VXZ49" s="3043"/>
      <c r="VYA49" s="3043"/>
      <c r="VYB49" s="3043"/>
      <c r="VYC49" s="3043"/>
      <c r="VYD49" s="3043"/>
      <c r="VYE49" s="3043"/>
      <c r="VYF49" s="3043"/>
      <c r="VYG49" s="3043"/>
      <c r="VYH49" s="3043"/>
      <c r="VYI49" s="3043"/>
      <c r="VYJ49" s="3043"/>
      <c r="VYK49" s="3043"/>
      <c r="VYL49" s="3043"/>
      <c r="VYM49" s="3043"/>
      <c r="VYN49" s="3043"/>
      <c r="VYO49" s="3043"/>
      <c r="VYP49" s="3043"/>
      <c r="VYQ49" s="3043"/>
      <c r="VYR49" s="3043"/>
      <c r="VYS49" s="3043"/>
      <c r="VYT49" s="3043"/>
      <c r="VYU49" s="3043"/>
      <c r="VYV49" s="3043"/>
      <c r="VYW49" s="3043"/>
      <c r="VYX49" s="3043"/>
      <c r="VYY49" s="3043"/>
      <c r="VYZ49" s="3043"/>
      <c r="VZA49" s="3043"/>
      <c r="VZB49" s="3043"/>
      <c r="VZC49" s="3043"/>
      <c r="VZD49" s="3043"/>
      <c r="VZE49" s="3043"/>
      <c r="VZF49" s="3043"/>
      <c r="VZG49" s="3043"/>
      <c r="VZH49" s="3043"/>
      <c r="VZI49" s="3043"/>
      <c r="VZJ49" s="3043"/>
      <c r="VZK49" s="3043"/>
      <c r="VZL49" s="3043"/>
      <c r="VZM49" s="3043"/>
      <c r="VZN49" s="3043"/>
      <c r="VZO49" s="3043"/>
      <c r="VZP49" s="3043"/>
      <c r="VZQ49" s="3043"/>
      <c r="VZR49" s="3043"/>
      <c r="VZS49" s="3043"/>
      <c r="VZT49" s="3043"/>
      <c r="VZU49" s="3043"/>
      <c r="VZV49" s="3043"/>
      <c r="VZW49" s="3043"/>
      <c r="VZX49" s="3043"/>
      <c r="VZY49" s="3043"/>
      <c r="VZZ49" s="3043"/>
      <c r="WAA49" s="3043"/>
      <c r="WAB49" s="3043"/>
      <c r="WAC49" s="3043"/>
      <c r="WAD49" s="3043"/>
      <c r="WAE49" s="3043"/>
      <c r="WAF49" s="3043"/>
      <c r="WAG49" s="3043"/>
      <c r="WAH49" s="3043"/>
      <c r="WAI49" s="3043"/>
      <c r="WAJ49" s="3043"/>
      <c r="WAK49" s="3043"/>
      <c r="WAL49" s="3043"/>
      <c r="WAM49" s="3043"/>
      <c r="WAN49" s="3043"/>
      <c r="WAO49" s="3043"/>
      <c r="WAP49" s="3043"/>
      <c r="WAQ49" s="3043"/>
      <c r="WAR49" s="3043"/>
      <c r="WAS49" s="3043"/>
      <c r="WAT49" s="3043"/>
      <c r="WAU49" s="3043"/>
      <c r="WAV49" s="3043"/>
      <c r="WAW49" s="3043"/>
      <c r="WAX49" s="3043"/>
      <c r="WAY49" s="3043"/>
      <c r="WAZ49" s="3043"/>
      <c r="WBA49" s="3043"/>
      <c r="WBB49" s="3043"/>
      <c r="WBC49" s="3043"/>
      <c r="WBD49" s="3043"/>
      <c r="WBE49" s="3043"/>
      <c r="WBF49" s="3043"/>
      <c r="WBG49" s="3043"/>
      <c r="WBH49" s="3043"/>
      <c r="WBI49" s="3043"/>
      <c r="WBJ49" s="3043"/>
      <c r="WBK49" s="3043"/>
      <c r="WBL49" s="3043"/>
      <c r="WBM49" s="3043"/>
      <c r="WBN49" s="3043"/>
      <c r="WBO49" s="3043"/>
      <c r="WBP49" s="3043"/>
      <c r="WBQ49" s="3043"/>
      <c r="WBR49" s="3043"/>
      <c r="WBS49" s="3043"/>
      <c r="WBT49" s="3043"/>
      <c r="WBU49" s="3043"/>
      <c r="WBV49" s="3043"/>
      <c r="WBW49" s="3043"/>
      <c r="WBX49" s="3043"/>
      <c r="WBY49" s="3043"/>
      <c r="WBZ49" s="3043"/>
      <c r="WCA49" s="3043"/>
      <c r="WCB49" s="3043"/>
      <c r="WCC49" s="3043"/>
      <c r="WCD49" s="3043"/>
      <c r="WCE49" s="3043"/>
      <c r="WCF49" s="3043"/>
      <c r="WCG49" s="3043"/>
      <c r="WCH49" s="3043"/>
      <c r="WCI49" s="3043"/>
      <c r="WCJ49" s="3043"/>
      <c r="WCK49" s="3043"/>
      <c r="WCL49" s="3043"/>
      <c r="WCM49" s="3043"/>
      <c r="WCN49" s="3043"/>
      <c r="WCO49" s="3043"/>
      <c r="WCP49" s="3043"/>
      <c r="WCQ49" s="3043"/>
      <c r="WCR49" s="3043"/>
      <c r="WCS49" s="3043"/>
      <c r="WCT49" s="3043"/>
      <c r="WCU49" s="3043"/>
      <c r="WCV49" s="3043"/>
      <c r="WCW49" s="3043"/>
      <c r="WCX49" s="3043"/>
      <c r="WCY49" s="3043"/>
      <c r="WCZ49" s="3043"/>
      <c r="WDA49" s="3043"/>
      <c r="WDB49" s="3043"/>
      <c r="WDC49" s="3043"/>
      <c r="WDD49" s="3043"/>
      <c r="WDE49" s="3043"/>
      <c r="WDF49" s="3043"/>
      <c r="WDG49" s="3043"/>
      <c r="WDH49" s="3043"/>
      <c r="WDI49" s="3043"/>
      <c r="WDJ49" s="3043"/>
      <c r="WDK49" s="3043"/>
      <c r="WDL49" s="3043"/>
      <c r="WDM49" s="3043"/>
      <c r="WDN49" s="3043"/>
      <c r="WDO49" s="3043"/>
      <c r="WDP49" s="3043"/>
      <c r="WDQ49" s="3043"/>
      <c r="WDR49" s="3043"/>
      <c r="WDS49" s="3043"/>
      <c r="WDT49" s="3043"/>
      <c r="WDU49" s="3043"/>
      <c r="WDV49" s="3043"/>
      <c r="WDW49" s="3043"/>
      <c r="WDX49" s="3043"/>
      <c r="WDY49" s="3043"/>
      <c r="WDZ49" s="3043"/>
      <c r="WEA49" s="3043"/>
      <c r="WEB49" s="3043"/>
      <c r="WEC49" s="3043"/>
      <c r="WED49" s="3043"/>
      <c r="WEE49" s="3043"/>
      <c r="WEF49" s="3043"/>
      <c r="WEG49" s="3043"/>
      <c r="WEH49" s="3043"/>
      <c r="WEI49" s="3043"/>
      <c r="WEJ49" s="3043"/>
      <c r="WEK49" s="3043"/>
      <c r="WEL49" s="3043"/>
      <c r="WEM49" s="3043"/>
      <c r="WEN49" s="3043"/>
      <c r="WEO49" s="3043"/>
      <c r="WEP49" s="3043"/>
      <c r="WEQ49" s="3043"/>
      <c r="WER49" s="3043"/>
      <c r="WES49" s="3043"/>
      <c r="WET49" s="3043"/>
      <c r="WEU49" s="3043"/>
      <c r="WEV49" s="3043"/>
      <c r="WEW49" s="3043"/>
      <c r="WEX49" s="3043"/>
      <c r="WEY49" s="3043"/>
      <c r="WEZ49" s="3043"/>
      <c r="WFA49" s="3043"/>
      <c r="WFB49" s="3043"/>
      <c r="WFC49" s="3043"/>
      <c r="WFD49" s="3043"/>
      <c r="WFE49" s="3043"/>
      <c r="WFF49" s="3043"/>
      <c r="WFG49" s="3043"/>
      <c r="WFH49" s="3043"/>
      <c r="WFI49" s="3043"/>
      <c r="WFJ49" s="3043"/>
      <c r="WFK49" s="3043"/>
      <c r="WFL49" s="3043"/>
      <c r="WFM49" s="3043"/>
      <c r="WFN49" s="3043"/>
      <c r="WFO49" s="3043"/>
      <c r="WFP49" s="3043"/>
      <c r="WFQ49" s="3043"/>
      <c r="WFR49" s="3043"/>
      <c r="WFS49" s="3043"/>
      <c r="WFT49" s="3043"/>
      <c r="WFU49" s="3043"/>
      <c r="WFV49" s="3043"/>
      <c r="WFW49" s="3043"/>
      <c r="WFX49" s="3043"/>
      <c r="WFY49" s="3043"/>
      <c r="WFZ49" s="3043"/>
      <c r="WGA49" s="3043"/>
      <c r="WGB49" s="3043"/>
      <c r="WGC49" s="3043"/>
      <c r="WGD49" s="3043"/>
      <c r="WGE49" s="3043"/>
      <c r="WGF49" s="3043"/>
      <c r="WGG49" s="3043"/>
      <c r="WGH49" s="3043"/>
      <c r="WGI49" s="3043"/>
      <c r="WGJ49" s="3043"/>
      <c r="WGK49" s="3043"/>
      <c r="WGL49" s="3043"/>
      <c r="WGM49" s="3043"/>
      <c r="WGN49" s="3043"/>
      <c r="WGO49" s="3043"/>
      <c r="WGP49" s="3043"/>
      <c r="WGQ49" s="3043"/>
      <c r="WGR49" s="3043"/>
      <c r="WGS49" s="3043"/>
      <c r="WGT49" s="3043"/>
      <c r="WGU49" s="3043"/>
      <c r="WGV49" s="3043"/>
      <c r="WGW49" s="3043"/>
      <c r="WGX49" s="3043"/>
      <c r="WGY49" s="3043"/>
      <c r="WGZ49" s="3043"/>
      <c r="WHA49" s="3043"/>
      <c r="WHB49" s="3043"/>
      <c r="WHC49" s="3043"/>
      <c r="WHD49" s="3043"/>
      <c r="WHE49" s="3043"/>
      <c r="WHF49" s="3043"/>
      <c r="WHG49" s="3043"/>
      <c r="WHH49" s="3043"/>
      <c r="WHI49" s="3043"/>
      <c r="WHJ49" s="3043"/>
      <c r="WHK49" s="3043"/>
      <c r="WHL49" s="3043"/>
      <c r="WHM49" s="3043"/>
      <c r="WHN49" s="3043"/>
      <c r="WHO49" s="3043"/>
      <c r="WHP49" s="3043"/>
      <c r="WHQ49" s="3043"/>
      <c r="WHR49" s="3043"/>
      <c r="WHS49" s="3043"/>
      <c r="WHT49" s="3043"/>
      <c r="WHU49" s="3043"/>
      <c r="WHV49" s="3043"/>
      <c r="WHW49" s="3043"/>
      <c r="WHX49" s="3043"/>
      <c r="WHY49" s="3043"/>
      <c r="WHZ49" s="3043"/>
      <c r="WIA49" s="3043"/>
      <c r="WIB49" s="3043"/>
      <c r="WIC49" s="3043"/>
      <c r="WID49" s="3043"/>
      <c r="WIE49" s="3043"/>
      <c r="WIF49" s="3043"/>
      <c r="WIG49" s="3043"/>
      <c r="WIH49" s="3043"/>
      <c r="WII49" s="3043"/>
      <c r="WIJ49" s="3043"/>
      <c r="WIK49" s="3043"/>
      <c r="WIL49" s="3043"/>
      <c r="WIM49" s="3043"/>
      <c r="WIN49" s="3043"/>
      <c r="WIO49" s="3043"/>
      <c r="WIP49" s="3043"/>
      <c r="WIQ49" s="3043"/>
      <c r="WIR49" s="3043"/>
      <c r="WIS49" s="3043"/>
      <c r="WIT49" s="3043"/>
      <c r="WIU49" s="3043"/>
      <c r="WIV49" s="3043"/>
      <c r="WIW49" s="3043"/>
      <c r="WIX49" s="3043"/>
      <c r="WIY49" s="3043"/>
      <c r="WIZ49" s="3043"/>
      <c r="WJA49" s="3043"/>
      <c r="WJB49" s="3043"/>
      <c r="WJC49" s="3043"/>
      <c r="WJD49" s="3043"/>
      <c r="WJE49" s="3043"/>
      <c r="WJF49" s="3043"/>
      <c r="WJG49" s="3043"/>
      <c r="WJH49" s="3043"/>
      <c r="WJI49" s="3043"/>
      <c r="WJJ49" s="3043"/>
      <c r="WJK49" s="3043"/>
      <c r="WJL49" s="3043"/>
      <c r="WJM49" s="3043"/>
      <c r="WJN49" s="3043"/>
      <c r="WJO49" s="3043"/>
      <c r="WJP49" s="3043"/>
      <c r="WJQ49" s="3043"/>
      <c r="WJR49" s="3043"/>
      <c r="WJS49" s="3043"/>
      <c r="WJT49" s="3043"/>
      <c r="WJU49" s="3043"/>
      <c r="WJV49" s="3043"/>
      <c r="WJW49" s="3043"/>
      <c r="WJX49" s="3043"/>
      <c r="WJY49" s="3043"/>
      <c r="WJZ49" s="3043"/>
      <c r="WKA49" s="3043"/>
      <c r="WKB49" s="3043"/>
      <c r="WKC49" s="3043"/>
      <c r="WKD49" s="3043"/>
      <c r="WKE49" s="3043"/>
      <c r="WKF49" s="3043"/>
      <c r="WKG49" s="3043"/>
      <c r="WKH49" s="3043"/>
      <c r="WKI49" s="3043"/>
      <c r="WKJ49" s="3043"/>
      <c r="WKK49" s="3043"/>
      <c r="WKL49" s="3043"/>
      <c r="WKM49" s="3043"/>
      <c r="WKN49" s="3043"/>
      <c r="WKO49" s="3043"/>
      <c r="WKP49" s="3043"/>
      <c r="WKQ49" s="3043"/>
      <c r="WKR49" s="3043"/>
      <c r="WKS49" s="3043"/>
      <c r="WKT49" s="3043"/>
      <c r="WKU49" s="3043"/>
      <c r="WKV49" s="3043"/>
      <c r="WKW49" s="3043"/>
      <c r="WKX49" s="3043"/>
      <c r="WKY49" s="3043"/>
      <c r="WKZ49" s="3043"/>
      <c r="WLA49" s="3043"/>
      <c r="WLB49" s="3043"/>
      <c r="WLC49" s="3043"/>
      <c r="WLD49" s="3043"/>
      <c r="WLE49" s="3043"/>
      <c r="WLF49" s="3043"/>
      <c r="WLG49" s="3043"/>
      <c r="WLH49" s="3043"/>
      <c r="WLI49" s="3043"/>
      <c r="WLJ49" s="3043"/>
      <c r="WLK49" s="3043"/>
      <c r="WLL49" s="3043"/>
      <c r="WLM49" s="3043"/>
      <c r="WLN49" s="3043"/>
      <c r="WLO49" s="3043"/>
      <c r="WLP49" s="3043"/>
      <c r="WLQ49" s="3043"/>
      <c r="WLR49" s="3043"/>
      <c r="WLS49" s="3043"/>
      <c r="WLT49" s="3043"/>
      <c r="WLU49" s="3043"/>
      <c r="WLV49" s="3043"/>
      <c r="WLW49" s="3043"/>
      <c r="WLX49" s="3043"/>
      <c r="WLY49" s="3043"/>
      <c r="WLZ49" s="3043"/>
      <c r="WMA49" s="3043"/>
      <c r="WMB49" s="3043"/>
      <c r="WMC49" s="3043"/>
      <c r="WMD49" s="3043"/>
      <c r="WME49" s="3043"/>
      <c r="WMF49" s="3043"/>
      <c r="WMG49" s="3043"/>
      <c r="WMH49" s="3043"/>
      <c r="WMI49" s="3043"/>
      <c r="WMJ49" s="3043"/>
      <c r="WMK49" s="3043"/>
      <c r="WML49" s="3043"/>
      <c r="WMM49" s="3043"/>
      <c r="WMN49" s="3043"/>
      <c r="WMO49" s="3043"/>
      <c r="WMP49" s="3043"/>
      <c r="WMQ49" s="3043"/>
      <c r="WMR49" s="3043"/>
      <c r="WMS49" s="3043"/>
      <c r="WMT49" s="3043"/>
      <c r="WMU49" s="3043"/>
      <c r="WMV49" s="3043"/>
      <c r="WMW49" s="3043"/>
      <c r="WMX49" s="3043"/>
      <c r="WMY49" s="3043"/>
      <c r="WMZ49" s="3043"/>
      <c r="WNA49" s="3043"/>
      <c r="WNB49" s="3043"/>
      <c r="WNC49" s="3043"/>
      <c r="WND49" s="3043"/>
      <c r="WNE49" s="3043"/>
      <c r="WNF49" s="3043"/>
      <c r="WNG49" s="3043"/>
      <c r="WNH49" s="3043"/>
      <c r="WNI49" s="3043"/>
      <c r="WNJ49" s="3043"/>
      <c r="WNK49" s="3043"/>
      <c r="WNL49" s="3043"/>
      <c r="WNM49" s="3043"/>
      <c r="WNN49" s="3043"/>
      <c r="WNO49" s="3043"/>
      <c r="WNP49" s="3043"/>
      <c r="WNQ49" s="3043"/>
      <c r="WNR49" s="3043"/>
      <c r="WNS49" s="3043"/>
      <c r="WNT49" s="3043"/>
      <c r="WNU49" s="3043"/>
      <c r="WNV49" s="3043"/>
      <c r="WNW49" s="3043"/>
      <c r="WNX49" s="3043"/>
      <c r="WNY49" s="3043"/>
      <c r="WNZ49" s="3043"/>
      <c r="WOA49" s="3043"/>
      <c r="WOB49" s="3043"/>
      <c r="WOC49" s="3043"/>
      <c r="WOD49" s="3043"/>
      <c r="WOE49" s="3043"/>
      <c r="WOF49" s="3043"/>
      <c r="WOG49" s="3043"/>
      <c r="WOH49" s="3043"/>
      <c r="WOI49" s="3043"/>
      <c r="WOJ49" s="3043"/>
      <c r="WOK49" s="3043"/>
      <c r="WOL49" s="3043"/>
      <c r="WOM49" s="3043"/>
      <c r="WON49" s="3043"/>
      <c r="WOO49" s="3043"/>
      <c r="WOP49" s="3043"/>
      <c r="WOQ49" s="3043"/>
      <c r="WOR49" s="3043"/>
      <c r="WOS49" s="3043"/>
      <c r="WOT49" s="3043"/>
      <c r="WOU49" s="3043"/>
      <c r="WOV49" s="3043"/>
      <c r="WOW49" s="3043"/>
      <c r="WOX49" s="3043"/>
      <c r="WOY49" s="3043"/>
      <c r="WOZ49" s="3043"/>
      <c r="WPA49" s="3043"/>
      <c r="WPB49" s="3043"/>
      <c r="WPC49" s="3043"/>
      <c r="WPD49" s="3043"/>
      <c r="WPE49" s="3043"/>
      <c r="WPF49" s="3043"/>
      <c r="WPG49" s="3043"/>
      <c r="WPH49" s="3043"/>
      <c r="WPI49" s="3043"/>
      <c r="WPJ49" s="3043"/>
      <c r="WPK49" s="3043"/>
      <c r="WPL49" s="3043"/>
      <c r="WPM49" s="3043"/>
      <c r="WPN49" s="3043"/>
      <c r="WPO49" s="3043"/>
      <c r="WPP49" s="3043"/>
      <c r="WPQ49" s="3043"/>
      <c r="WPR49" s="3043"/>
      <c r="WPS49" s="3043"/>
      <c r="WPT49" s="3043"/>
      <c r="WPU49" s="3043"/>
      <c r="WPV49" s="3043"/>
      <c r="WPW49" s="3043"/>
      <c r="WPX49" s="3043"/>
      <c r="WPY49" s="3043"/>
      <c r="WPZ49" s="3043"/>
      <c r="WQA49" s="3043"/>
      <c r="WQB49" s="3043"/>
      <c r="WQC49" s="3043"/>
      <c r="WQD49" s="3043"/>
      <c r="WQE49" s="3043"/>
      <c r="WQF49" s="3043"/>
      <c r="WQG49" s="3043"/>
      <c r="WQH49" s="3043"/>
      <c r="WQI49" s="3043"/>
      <c r="WQJ49" s="3043"/>
      <c r="WQK49" s="3043"/>
      <c r="WQL49" s="3043"/>
      <c r="WQM49" s="3043"/>
      <c r="WQN49" s="3043"/>
      <c r="WQO49" s="3043"/>
      <c r="WQP49" s="3043"/>
      <c r="WQQ49" s="3043"/>
      <c r="WQR49" s="3043"/>
      <c r="WQS49" s="3043"/>
      <c r="WQT49" s="3043"/>
      <c r="WQU49" s="3043"/>
      <c r="WQV49" s="3043"/>
      <c r="WQW49" s="3043"/>
      <c r="WQX49" s="3043"/>
      <c r="WQY49" s="3043"/>
      <c r="WQZ49" s="3043"/>
      <c r="WRA49" s="3043"/>
      <c r="WRB49" s="3043"/>
      <c r="WRC49" s="3043"/>
      <c r="WRD49" s="3043"/>
      <c r="WRE49" s="3043"/>
      <c r="WRF49" s="3043"/>
      <c r="WRG49" s="3043"/>
      <c r="WRH49" s="3043"/>
      <c r="WRI49" s="3043"/>
      <c r="WRJ49" s="3043"/>
      <c r="WRK49" s="3043"/>
      <c r="WRL49" s="3043"/>
      <c r="WRM49" s="3043"/>
      <c r="WRN49" s="3043"/>
      <c r="WRO49" s="3043"/>
      <c r="WRP49" s="3043"/>
      <c r="WRQ49" s="3043"/>
      <c r="WRR49" s="3043"/>
      <c r="WRS49" s="3043"/>
      <c r="WRT49" s="3043"/>
      <c r="WRU49" s="3043"/>
      <c r="WRV49" s="3043"/>
      <c r="WRW49" s="3043"/>
      <c r="WRX49" s="3043"/>
      <c r="WRY49" s="3043"/>
      <c r="WRZ49" s="3043"/>
      <c r="WSA49" s="3043"/>
      <c r="WSB49" s="3043"/>
      <c r="WSC49" s="3043"/>
      <c r="WSD49" s="3043"/>
      <c r="WSE49" s="3043"/>
      <c r="WSF49" s="3043"/>
      <c r="WSG49" s="3043"/>
      <c r="WSH49" s="3043"/>
      <c r="WSI49" s="3043"/>
      <c r="WSJ49" s="3043"/>
      <c r="WSK49" s="3043"/>
      <c r="WSL49" s="3043"/>
      <c r="WSM49" s="3043"/>
      <c r="WSN49" s="3043"/>
      <c r="WSO49" s="3043"/>
      <c r="WSP49" s="3043"/>
      <c r="WSQ49" s="3043"/>
      <c r="WSR49" s="3043"/>
      <c r="WSS49" s="3043"/>
      <c r="WST49" s="3043"/>
      <c r="WSU49" s="3043"/>
      <c r="WSV49" s="3043"/>
      <c r="WSW49" s="3043"/>
      <c r="WSX49" s="3043"/>
      <c r="WSY49" s="3043"/>
      <c r="WSZ49" s="3043"/>
      <c r="WTA49" s="3043"/>
      <c r="WTB49" s="3043"/>
      <c r="WTC49" s="3043"/>
      <c r="WTD49" s="3043"/>
      <c r="WTE49" s="3043"/>
      <c r="WTF49" s="3043"/>
      <c r="WTG49" s="3043"/>
      <c r="WTH49" s="3043"/>
      <c r="WTI49" s="3043"/>
      <c r="WTJ49" s="3043"/>
      <c r="WTK49" s="3043"/>
      <c r="WTL49" s="3043"/>
      <c r="WTM49" s="3043"/>
      <c r="WTN49" s="3043"/>
      <c r="WTO49" s="3043"/>
      <c r="WTP49" s="3043"/>
      <c r="WTQ49" s="3043"/>
      <c r="WTR49" s="3043"/>
      <c r="WTS49" s="3043"/>
      <c r="WTT49" s="3043"/>
      <c r="WTU49" s="3043"/>
      <c r="WTV49" s="3043"/>
      <c r="WTW49" s="3043"/>
      <c r="WTX49" s="3043"/>
      <c r="WTY49" s="3043"/>
      <c r="WTZ49" s="3043"/>
      <c r="WUA49" s="3043"/>
      <c r="WUB49" s="3043"/>
      <c r="WUC49" s="3043"/>
      <c r="WUD49" s="3043"/>
      <c r="WUE49" s="3043"/>
      <c r="WUF49" s="3043"/>
      <c r="WUG49" s="3043"/>
      <c r="WUH49" s="3043"/>
      <c r="WUI49" s="3043"/>
      <c r="WUJ49" s="3043"/>
      <c r="WUK49" s="3043"/>
      <c r="WUL49" s="3043"/>
      <c r="WUM49" s="3043"/>
      <c r="WUN49" s="3043"/>
      <c r="WUO49" s="3043"/>
      <c r="WUP49" s="3043"/>
      <c r="WUQ49" s="3043"/>
      <c r="WUR49" s="3043"/>
      <c r="WUS49" s="3043"/>
      <c r="WUT49" s="3043"/>
      <c r="WUU49" s="3043"/>
      <c r="WUV49" s="3043"/>
      <c r="WUW49" s="3043"/>
      <c r="WUX49" s="3043"/>
      <c r="WUY49" s="3043"/>
      <c r="WUZ49" s="3043"/>
      <c r="WVA49" s="3043"/>
      <c r="WVB49" s="3043"/>
      <c r="WVC49" s="3043"/>
      <c r="WVD49" s="3043"/>
      <c r="WVE49" s="3043"/>
      <c r="WVF49" s="3043"/>
      <c r="WVG49" s="3043"/>
      <c r="WVH49" s="3043"/>
      <c r="WVI49" s="3043"/>
      <c r="WVJ49" s="3043"/>
      <c r="WVK49" s="3043"/>
      <c r="WVL49" s="3043"/>
      <c r="WVM49" s="3043"/>
      <c r="WVN49" s="3043"/>
      <c r="WVO49" s="3043"/>
      <c r="WVP49" s="3043"/>
      <c r="WVQ49" s="3043"/>
      <c r="WVR49" s="3043"/>
      <c r="WVS49" s="3043"/>
      <c r="WVT49" s="3043"/>
      <c r="WVU49" s="3043"/>
      <c r="WVV49" s="3043"/>
      <c r="WVW49" s="3043"/>
      <c r="WVX49" s="3043"/>
      <c r="WVY49" s="3043"/>
      <c r="WVZ49" s="3043"/>
      <c r="WWA49" s="3043"/>
      <c r="WWB49" s="3043"/>
      <c r="WWC49" s="3043"/>
      <c r="WWD49" s="3043"/>
      <c r="WWE49" s="3043"/>
      <c r="WWF49" s="3043"/>
      <c r="WWG49" s="3043"/>
      <c r="WWH49" s="3043"/>
      <c r="WWI49" s="3043"/>
      <c r="WWJ49" s="3043"/>
      <c r="WWK49" s="3043"/>
      <c r="WWL49" s="3043"/>
      <c r="WWM49" s="3043"/>
      <c r="WWN49" s="3043"/>
      <c r="WWO49" s="3043"/>
      <c r="WWP49" s="3043"/>
      <c r="WWQ49" s="3043"/>
      <c r="WWR49" s="3043"/>
      <c r="WWS49" s="3043"/>
      <c r="WWT49" s="3043"/>
      <c r="WWU49" s="3043"/>
      <c r="WWV49" s="3043"/>
      <c r="WWW49" s="3043"/>
      <c r="WWX49" s="3043"/>
      <c r="WWY49" s="3043"/>
      <c r="WWZ49" s="3043"/>
      <c r="WXA49" s="3043"/>
      <c r="WXB49" s="3043"/>
      <c r="WXC49" s="3043"/>
      <c r="WXD49" s="3043"/>
      <c r="WXE49" s="3043"/>
      <c r="WXF49" s="3043"/>
      <c r="WXG49" s="3043"/>
      <c r="WXH49" s="3043"/>
      <c r="WXI49" s="3043"/>
      <c r="WXJ49" s="3043"/>
      <c r="WXK49" s="3043"/>
      <c r="WXL49" s="3043"/>
      <c r="WXM49" s="3043"/>
      <c r="WXN49" s="3043"/>
      <c r="WXO49" s="3043"/>
      <c r="WXP49" s="3043"/>
      <c r="WXQ49" s="3043"/>
      <c r="WXR49" s="3043"/>
      <c r="WXS49" s="3043"/>
      <c r="WXT49" s="3043"/>
      <c r="WXU49" s="3043"/>
      <c r="WXV49" s="3043"/>
      <c r="WXW49" s="3043"/>
      <c r="WXX49" s="3043"/>
      <c r="WXY49" s="3043"/>
      <c r="WXZ49" s="3043"/>
      <c r="WYA49" s="3043"/>
      <c r="WYB49" s="3043"/>
      <c r="WYC49" s="3043"/>
      <c r="WYD49" s="3043"/>
      <c r="WYE49" s="3043"/>
      <c r="WYF49" s="3043"/>
      <c r="WYG49" s="3043"/>
      <c r="WYH49" s="3043"/>
      <c r="WYI49" s="3043"/>
      <c r="WYJ49" s="3043"/>
      <c r="WYK49" s="3043"/>
      <c r="WYL49" s="3043"/>
      <c r="WYM49" s="3043"/>
      <c r="WYN49" s="3043"/>
      <c r="WYO49" s="3043"/>
      <c r="WYP49" s="3043"/>
      <c r="WYQ49" s="3043"/>
      <c r="WYR49" s="3043"/>
      <c r="WYS49" s="3043"/>
      <c r="WYT49" s="3043"/>
      <c r="WYU49" s="3043"/>
      <c r="WYV49" s="3043"/>
      <c r="WYW49" s="3043"/>
      <c r="WYX49" s="3043"/>
      <c r="WYY49" s="3043"/>
      <c r="WYZ49" s="3043"/>
      <c r="WZA49" s="3043"/>
      <c r="WZB49" s="3043"/>
      <c r="WZC49" s="3043"/>
      <c r="WZD49" s="3043"/>
      <c r="WZE49" s="3043"/>
      <c r="WZF49" s="3043"/>
      <c r="WZG49" s="3043"/>
      <c r="WZH49" s="3043"/>
      <c r="WZI49" s="3043"/>
      <c r="WZJ49" s="3043"/>
      <c r="WZK49" s="3043"/>
      <c r="WZL49" s="3043"/>
      <c r="WZM49" s="3043"/>
      <c r="WZN49" s="3043"/>
      <c r="WZO49" s="3043"/>
      <c r="WZP49" s="3043"/>
      <c r="WZQ49" s="3043"/>
      <c r="WZR49" s="3043"/>
      <c r="WZS49" s="3043"/>
      <c r="WZT49" s="3043"/>
      <c r="WZU49" s="3043"/>
      <c r="WZV49" s="3043"/>
      <c r="WZW49" s="3043"/>
      <c r="WZX49" s="3043"/>
      <c r="WZY49" s="3043"/>
      <c r="WZZ49" s="3043"/>
      <c r="XAA49" s="3043"/>
      <c r="XAB49" s="3043"/>
      <c r="XAC49" s="3043"/>
      <c r="XAD49" s="3043"/>
      <c r="XAE49" s="3043"/>
      <c r="XAF49" s="3043"/>
      <c r="XAG49" s="3043"/>
      <c r="XAH49" s="3043"/>
      <c r="XAI49" s="3043"/>
      <c r="XAJ49" s="3043"/>
      <c r="XAK49" s="3043"/>
      <c r="XAL49" s="3043"/>
      <c r="XAM49" s="3043"/>
      <c r="XAN49" s="3043"/>
      <c r="XAO49" s="3043"/>
      <c r="XAP49" s="3043"/>
      <c r="XAQ49" s="3043"/>
      <c r="XAR49" s="3043"/>
      <c r="XAS49" s="3043"/>
      <c r="XAT49" s="3043"/>
      <c r="XAU49" s="3043"/>
      <c r="XAV49" s="3043"/>
      <c r="XAW49" s="3043"/>
      <c r="XAX49" s="3043"/>
      <c r="XAY49" s="3043"/>
      <c r="XAZ49" s="3043"/>
    </row>
    <row r="50" spans="1:16276" s="3054" customFormat="1" x14ac:dyDescent="0.25">
      <c r="B50" s="3055">
        <v>963</v>
      </c>
      <c r="C50" s="3056"/>
      <c r="D50" s="3057"/>
      <c r="E50" s="3058"/>
      <c r="F50" s="3028" t="e">
        <f>#REF!+#REF!+#REF!+#REF!+#REF!+#REF!+#REF!+#REF!+F17+#REF!</f>
        <v>#REF!</v>
      </c>
      <c r="G50" s="3028" t="e">
        <f>#REF!+#REF!+#REF!+#REF!+#REF!+#REF!+#REF!+#REF!+G17+#REF!</f>
        <v>#REF!</v>
      </c>
      <c r="H50" s="3028"/>
      <c r="I50" s="3028"/>
      <c r="J50" s="3028" t="e">
        <f>#REF!+#REF!+#REF!+#REF!+#REF!+#REF!+#REF!+#REF!+J17+#REF!</f>
        <v>#REF!</v>
      </c>
      <c r="K50" s="3028" t="e">
        <f>#REF!+#REF!+#REF!+#REF!+#REF!+#REF!+#REF!+#REF!+K17+#REF!</f>
        <v>#REF!</v>
      </c>
      <c r="L50" s="3028"/>
      <c r="M50" s="3028"/>
      <c r="N50" s="3028" t="e">
        <f>#REF!+#REF!+#REF!+#REF!+#REF!+#REF!+#REF!+#REF!+N17+#REF!</f>
        <v>#REF!</v>
      </c>
      <c r="O50" s="3028" t="e">
        <f>#REF!+#REF!+#REF!+#REF!+#REF!+#REF!+#REF!+#REF!+O17+#REF!</f>
        <v>#REF!</v>
      </c>
      <c r="P50" s="3028"/>
      <c r="Q50" s="3028"/>
      <c r="R50" s="3028">
        <f>R17</f>
        <v>51</v>
      </c>
      <c r="S50" s="3028">
        <f t="shared" ref="S50:Y50" si="20">S17</f>
        <v>51</v>
      </c>
      <c r="T50" s="3028">
        <f t="shared" si="20"/>
        <v>0</v>
      </c>
      <c r="U50" s="3028">
        <f t="shared" si="20"/>
        <v>0</v>
      </c>
      <c r="V50" s="3028">
        <f t="shared" si="20"/>
        <v>41</v>
      </c>
      <c r="W50" s="3028">
        <f t="shared" si="20"/>
        <v>510</v>
      </c>
      <c r="X50" s="3028">
        <f t="shared" si="20"/>
        <v>51</v>
      </c>
      <c r="Y50" s="3028">
        <f t="shared" si="20"/>
        <v>51</v>
      </c>
      <c r="AA50" s="3059"/>
    </row>
    <row r="51" spans="1:16276" s="2973" customFormat="1" x14ac:dyDescent="0.25">
      <c r="B51" s="3010">
        <v>971</v>
      </c>
      <c r="C51" s="3042"/>
      <c r="D51" s="3007"/>
      <c r="E51" s="3046"/>
      <c r="F51" s="3013" t="e">
        <f>#REF!</f>
        <v>#REF!</v>
      </c>
      <c r="G51" s="3013"/>
      <c r="H51" s="3007"/>
      <c r="I51" s="3007"/>
      <c r="J51" s="3007"/>
      <c r="K51" s="3007"/>
      <c r="L51" s="3007"/>
      <c r="M51" s="3007"/>
      <c r="N51" s="3007"/>
      <c r="O51" s="3007"/>
      <c r="P51" s="3007"/>
      <c r="Q51" s="3007"/>
      <c r="R51" s="3007"/>
      <c r="S51" s="3007"/>
      <c r="T51" s="3007"/>
      <c r="U51" s="3007"/>
      <c r="V51" s="3007"/>
      <c r="W51" s="3007"/>
      <c r="X51" s="3007"/>
      <c r="Y51" s="3007"/>
      <c r="AA51" s="2975"/>
      <c r="AB51" s="3047"/>
    </row>
    <row r="52" spans="1:16276" s="2973" customFormat="1" x14ac:dyDescent="0.25">
      <c r="B52" s="3010">
        <v>981</v>
      </c>
      <c r="C52" s="3042"/>
      <c r="D52" s="3007"/>
      <c r="E52" s="3046"/>
      <c r="F52" s="3013" t="e">
        <f>#REF!+#REF!+#REF!+#REF!+#REF!+#REF!+#REF!+#REF!+#REF!+#REF!+#REF!+#REF!+#REF!+#REF!+#REF!+#REF!+F12+#REF!+F22+F23+F24+F25+F26+F27+F29+F30+F31+F32+F33+#REF!+#REF!</f>
        <v>#REF!</v>
      </c>
      <c r="G52" s="3013" t="e">
        <f>#REF!+#REF!+#REF!+#REF!+#REF!+#REF!+#REF!+#REF!+#REF!+#REF!+#REF!+#REF!+#REF!+#REF!+#REF!+#REF!+G12+#REF!+G22+G23+G24+G25+G26+G27+G29+G30+G31+G32+G33+#REF!+#REF!</f>
        <v>#REF!</v>
      </c>
      <c r="H52" s="3013"/>
      <c r="I52" s="3013"/>
      <c r="J52" s="3013" t="e">
        <f>#REF!+#REF!+#REF!+#REF!+#REF!+#REF!+#REF!+#REF!+#REF!+#REF!+#REF!+#REF!+#REF!+#REF!+#REF!+#REF!+J12+#REF!+J22+J23+J24+J25+J26+J27+J29+J30+J31+J32+J33+#REF!+#REF!</f>
        <v>#REF!</v>
      </c>
      <c r="K52" s="3013" t="e">
        <f>#REF!+#REF!+#REF!+#REF!+#REF!+#REF!+#REF!+#REF!+#REF!+#REF!+#REF!+#REF!+#REF!+#REF!+#REF!+#REF!+K12+#REF!+K22+K23+K24+K25+K26+K27+K29+K30+K31+K32+K33+#REF!+#REF!</f>
        <v>#REF!</v>
      </c>
      <c r="L52" s="3013"/>
      <c r="M52" s="3013"/>
      <c r="N52" s="3013" t="e">
        <f>#REF!+#REF!+#REF!+#REF!+#REF!+#REF!+#REF!+#REF!+#REF!+#REF!+#REF!+#REF!+#REF!+#REF!+#REF!+#REF!+N12+#REF!+N22+N23+N24+N25+N26+N27+N29+N30+N31+N32+N33+#REF!+#REF!</f>
        <v>#REF!</v>
      </c>
      <c r="O52" s="3013" t="e">
        <f>#REF!+#REF!+#REF!+#REF!+#REF!+#REF!+#REF!+#REF!+#REF!+#REF!+#REF!+#REF!+#REF!+#REF!+#REF!+#REF!+O12+#REF!+O22+O23+O24+O25+O26+O27+O29+O30+O31+O32+O33+#REF!+#REF!</f>
        <v>#REF!</v>
      </c>
      <c r="P52" s="3013"/>
      <c r="Q52" s="3013"/>
      <c r="R52" s="3013">
        <f>R12+R22+R23+R24+R25+R26+R27+R29+R30+R31+R32+R33</f>
        <v>50.6</v>
      </c>
      <c r="S52" s="3013">
        <f t="shared" ref="S52:Y52" si="21">S12+S22+S23+S24+S25+S26+S27+S29+S30+S31+S32+S33</f>
        <v>50.6</v>
      </c>
      <c r="T52" s="3013">
        <f t="shared" si="21"/>
        <v>0</v>
      </c>
      <c r="U52" s="3013">
        <f t="shared" si="21"/>
        <v>0</v>
      </c>
      <c r="V52" s="3013">
        <f t="shared" si="21"/>
        <v>-40</v>
      </c>
      <c r="W52" s="3013">
        <f t="shared" si="21"/>
        <v>1139.2</v>
      </c>
      <c r="X52" s="3013">
        <f t="shared" si="21"/>
        <v>50.6</v>
      </c>
      <c r="Y52" s="3013">
        <f t="shared" si="21"/>
        <v>50.6</v>
      </c>
      <c r="AA52" s="2975"/>
    </row>
    <row r="53" spans="1:16276" s="2973" customFormat="1" x14ac:dyDescent="0.25">
      <c r="B53" s="3010">
        <v>985</v>
      </c>
      <c r="C53" s="3042"/>
      <c r="D53" s="3007"/>
      <c r="E53" s="3046"/>
      <c r="F53" s="3013">
        <f>F28</f>
        <v>1.5</v>
      </c>
      <c r="G53" s="3013">
        <f>G28</f>
        <v>0</v>
      </c>
      <c r="H53" s="3013"/>
      <c r="I53" s="3013"/>
      <c r="J53" s="3013">
        <f>J28</f>
        <v>1.5</v>
      </c>
      <c r="K53" s="3013">
        <f>K28</f>
        <v>0</v>
      </c>
      <c r="L53" s="3013"/>
      <c r="M53" s="3013"/>
      <c r="N53" s="3013">
        <f>N28</f>
        <v>1.5</v>
      </c>
      <c r="O53" s="3013">
        <f>O28</f>
        <v>0</v>
      </c>
      <c r="P53" s="3013"/>
      <c r="Q53" s="3013"/>
      <c r="R53" s="3013">
        <f t="shared" ref="R53:Y53" si="22">R28</f>
        <v>1.5</v>
      </c>
      <c r="S53" s="3013">
        <f t="shared" si="22"/>
        <v>1.5</v>
      </c>
      <c r="T53" s="3013">
        <f t="shared" si="22"/>
        <v>0</v>
      </c>
      <c r="U53" s="3013">
        <f t="shared" si="22"/>
        <v>0</v>
      </c>
      <c r="V53" s="3013">
        <f t="shared" si="22"/>
        <v>0</v>
      </c>
      <c r="W53" s="3013">
        <f t="shared" si="22"/>
        <v>100</v>
      </c>
      <c r="X53" s="3013">
        <f t="shared" si="22"/>
        <v>1.5</v>
      </c>
      <c r="Y53" s="3013">
        <f t="shared" si="22"/>
        <v>1.5</v>
      </c>
      <c r="AA53" s="2975"/>
    </row>
    <row r="54" spans="1:16276" s="2973" customFormat="1" hidden="1" x14ac:dyDescent="0.25">
      <c r="B54" s="3010">
        <v>912</v>
      </c>
      <c r="C54" s="3042"/>
      <c r="D54" s="2998"/>
      <c r="E54" s="3006"/>
      <c r="F54" s="2997" t="e">
        <f>#REF!+#REF!+#REF!</f>
        <v>#REF!</v>
      </c>
      <c r="G54" s="2997" t="e">
        <f>#REF!+#REF!+#REF!</f>
        <v>#REF!</v>
      </c>
      <c r="H54" s="2997" t="e">
        <f>#REF!+#REF!+#REF!</f>
        <v>#REF!</v>
      </c>
      <c r="I54" s="2997" t="e">
        <f>#REF!+#REF!+#REF!</f>
        <v>#REF!</v>
      </c>
      <c r="J54" s="2997" t="e">
        <f>#REF!+#REF!+#REF!</f>
        <v>#REF!</v>
      </c>
      <c r="K54" s="2997" t="e">
        <f>#REF!+#REF!+#REF!</f>
        <v>#REF!</v>
      </c>
      <c r="L54" s="2997" t="e">
        <f>#REF!+#REF!+#REF!</f>
        <v>#REF!</v>
      </c>
      <c r="M54" s="2997" t="e">
        <f>#REF!+#REF!+#REF!</f>
        <v>#REF!</v>
      </c>
      <c r="N54" s="2997" t="e">
        <f>#REF!+#REF!+#REF!</f>
        <v>#REF!</v>
      </c>
      <c r="O54" s="2997" t="e">
        <f>#REF!+#REF!+#REF!</f>
        <v>#REF!</v>
      </c>
      <c r="P54" s="2997" t="e">
        <f>#REF!+#REF!+#REF!</f>
        <v>#REF!</v>
      </c>
      <c r="Q54" s="2997" t="e">
        <f>#REF!+#REF!+#REF!</f>
        <v>#REF!</v>
      </c>
      <c r="R54" s="2997" t="e">
        <f>#REF!+#REF!+#REF!</f>
        <v>#REF!</v>
      </c>
      <c r="S54" s="2997"/>
      <c r="T54" s="2997"/>
      <c r="U54" s="2997" t="e">
        <f>#REF!+#REF!+#REF!</f>
        <v>#REF!</v>
      </c>
      <c r="V54" s="2997" t="e">
        <f>#REF!+#REF!+#REF!</f>
        <v>#REF!</v>
      </c>
      <c r="W54" s="2997" t="e">
        <f>#REF!+#REF!+#REF!</f>
        <v>#REF!</v>
      </c>
      <c r="X54" s="2997" t="e">
        <f>#REF!+#REF!+#REF!</f>
        <v>#REF!</v>
      </c>
      <c r="Y54" s="2997" t="e">
        <f>#REF!+#REF!+#REF!</f>
        <v>#REF!</v>
      </c>
      <c r="AA54" s="2975"/>
    </row>
    <row r="55" spans="1:16276" s="2973" customFormat="1" hidden="1" x14ac:dyDescent="0.25">
      <c r="B55" s="3010">
        <v>921</v>
      </c>
      <c r="C55" s="3042"/>
      <c r="D55" s="2998"/>
      <c r="E55" s="3006"/>
      <c r="F55" s="2997" t="e">
        <f>#REF!+#REF!+#REF!+#REF!</f>
        <v>#REF!</v>
      </c>
      <c r="G55" s="2997" t="e">
        <f>#REF!+#REF!+#REF!+#REF!</f>
        <v>#REF!</v>
      </c>
      <c r="H55" s="2997" t="e">
        <f>#REF!+#REF!+#REF!+#REF!</f>
        <v>#REF!</v>
      </c>
      <c r="I55" s="2997" t="e">
        <f>#REF!+#REF!+#REF!+#REF!</f>
        <v>#REF!</v>
      </c>
      <c r="J55" s="2997" t="e">
        <f>#REF!+#REF!+#REF!+#REF!</f>
        <v>#REF!</v>
      </c>
      <c r="K55" s="2997" t="e">
        <f>#REF!+#REF!+#REF!+#REF!</f>
        <v>#REF!</v>
      </c>
      <c r="L55" s="2997" t="e">
        <f>#REF!+#REF!+#REF!+#REF!</f>
        <v>#REF!</v>
      </c>
      <c r="M55" s="2997" t="e">
        <f>#REF!+#REF!+#REF!+#REF!</f>
        <v>#REF!</v>
      </c>
      <c r="N55" s="2997" t="e">
        <f>#REF!+#REF!+#REF!+#REF!</f>
        <v>#REF!</v>
      </c>
      <c r="O55" s="2997" t="e">
        <f>#REF!+#REF!+#REF!+#REF!</f>
        <v>#REF!</v>
      </c>
      <c r="P55" s="2997" t="e">
        <f>#REF!+#REF!+#REF!+#REF!</f>
        <v>#REF!</v>
      </c>
      <c r="Q55" s="2997" t="e">
        <f>#REF!+#REF!+#REF!+#REF!</f>
        <v>#REF!</v>
      </c>
      <c r="R55" s="2997" t="e">
        <f>#REF!+#REF!+#REF!+#REF!</f>
        <v>#REF!</v>
      </c>
      <c r="S55" s="2997"/>
      <c r="T55" s="2997"/>
      <c r="U55" s="2997" t="e">
        <f>#REF!+#REF!+#REF!+#REF!</f>
        <v>#REF!</v>
      </c>
      <c r="V55" s="2997" t="e">
        <f>#REF!+#REF!+#REF!+#REF!</f>
        <v>#REF!</v>
      </c>
      <c r="W55" s="2997" t="e">
        <f>#REF!+#REF!+#REF!+#REF!</f>
        <v>#REF!</v>
      </c>
      <c r="X55" s="2997" t="e">
        <f>#REF!+#REF!+#REF!+#REF!</f>
        <v>#REF!</v>
      </c>
      <c r="Y55" s="2997" t="e">
        <f>#REF!+#REF!+#REF!+#REF!</f>
        <v>#REF!</v>
      </c>
      <c r="AA55" s="2975"/>
    </row>
    <row r="56" spans="1:16276" s="2973" customFormat="1" hidden="1" x14ac:dyDescent="0.25">
      <c r="B56" s="3010">
        <v>922</v>
      </c>
      <c r="C56" s="3042"/>
      <c r="D56" s="2998"/>
      <c r="E56" s="3006"/>
      <c r="F56" s="2997" t="e">
        <f>#REF!+#REF!+#REF!+#REF!</f>
        <v>#REF!</v>
      </c>
      <c r="G56" s="2997" t="e">
        <f>#REF!+#REF!+#REF!+#REF!</f>
        <v>#REF!</v>
      </c>
      <c r="H56" s="2997" t="e">
        <f>#REF!+#REF!+#REF!+#REF!</f>
        <v>#REF!</v>
      </c>
      <c r="I56" s="2997" t="e">
        <f>#REF!+#REF!+#REF!+#REF!</f>
        <v>#REF!</v>
      </c>
      <c r="J56" s="2997" t="e">
        <f>#REF!+#REF!+#REF!+#REF!</f>
        <v>#REF!</v>
      </c>
      <c r="K56" s="2997" t="e">
        <f>#REF!+#REF!+#REF!+#REF!</f>
        <v>#REF!</v>
      </c>
      <c r="L56" s="2997" t="e">
        <f>#REF!+#REF!+#REF!+#REF!</f>
        <v>#REF!</v>
      </c>
      <c r="M56" s="2997" t="e">
        <f>#REF!+#REF!+#REF!+#REF!</f>
        <v>#REF!</v>
      </c>
      <c r="N56" s="2997" t="e">
        <f>#REF!+#REF!+#REF!+#REF!</f>
        <v>#REF!</v>
      </c>
      <c r="O56" s="2997" t="e">
        <f>#REF!+#REF!+#REF!+#REF!</f>
        <v>#REF!</v>
      </c>
      <c r="P56" s="2997" t="e">
        <f>#REF!+#REF!+#REF!+#REF!</f>
        <v>#REF!</v>
      </c>
      <c r="Q56" s="2997" t="e">
        <f>#REF!+#REF!+#REF!+#REF!</f>
        <v>#REF!</v>
      </c>
      <c r="R56" s="2997" t="e">
        <f>#REF!+#REF!+#REF!+#REF!</f>
        <v>#REF!</v>
      </c>
      <c r="S56" s="2997"/>
      <c r="T56" s="2997"/>
      <c r="U56" s="2997" t="e">
        <f>#REF!+#REF!+#REF!+#REF!</f>
        <v>#REF!</v>
      </c>
      <c r="V56" s="2997" t="e">
        <f>#REF!+#REF!+#REF!+#REF!</f>
        <v>#REF!</v>
      </c>
      <c r="W56" s="2997" t="e">
        <f>#REF!+#REF!+#REF!+#REF!</f>
        <v>#REF!</v>
      </c>
      <c r="X56" s="2997" t="e">
        <f>#REF!+#REF!+#REF!+#REF!</f>
        <v>#REF!</v>
      </c>
      <c r="Y56" s="2997" t="e">
        <f>#REF!+#REF!+#REF!+#REF!</f>
        <v>#REF!</v>
      </c>
      <c r="AA56" s="2975"/>
    </row>
    <row r="57" spans="1:16276" s="2973" customFormat="1" hidden="1" x14ac:dyDescent="0.25">
      <c r="B57" s="3010">
        <v>925</v>
      </c>
      <c r="C57" s="3042"/>
      <c r="D57" s="2998"/>
      <c r="E57" s="3006"/>
      <c r="F57" s="2997" t="e">
        <f>#REF!</f>
        <v>#REF!</v>
      </c>
      <c r="G57" s="2997" t="e">
        <f>#REF!</f>
        <v>#REF!</v>
      </c>
      <c r="H57" s="2997" t="e">
        <f>#REF!</f>
        <v>#REF!</v>
      </c>
      <c r="I57" s="2997" t="e">
        <f>#REF!</f>
        <v>#REF!</v>
      </c>
      <c r="J57" s="2997" t="e">
        <f>#REF!</f>
        <v>#REF!</v>
      </c>
      <c r="K57" s="2997" t="e">
        <f>#REF!</f>
        <v>#REF!</v>
      </c>
      <c r="L57" s="2997" t="e">
        <f>#REF!</f>
        <v>#REF!</v>
      </c>
      <c r="M57" s="2997" t="e">
        <f>#REF!</f>
        <v>#REF!</v>
      </c>
      <c r="N57" s="2997" t="e">
        <f>#REF!</f>
        <v>#REF!</v>
      </c>
      <c r="O57" s="2997" t="e">
        <f>#REF!</f>
        <v>#REF!</v>
      </c>
      <c r="P57" s="2997" t="e">
        <f>#REF!</f>
        <v>#REF!</v>
      </c>
      <c r="Q57" s="2997" t="e">
        <f>#REF!</f>
        <v>#REF!</v>
      </c>
      <c r="R57" s="2997" t="e">
        <f>#REF!</f>
        <v>#REF!</v>
      </c>
      <c r="S57" s="2997"/>
      <c r="T57" s="2997"/>
      <c r="U57" s="2997" t="e">
        <f>#REF!</f>
        <v>#REF!</v>
      </c>
      <c r="V57" s="2997" t="e">
        <f>#REF!</f>
        <v>#REF!</v>
      </c>
      <c r="W57" s="2997" t="e">
        <f>#REF!</f>
        <v>#REF!</v>
      </c>
      <c r="X57" s="2997" t="e">
        <f>#REF!</f>
        <v>#REF!</v>
      </c>
      <c r="Y57" s="2997" t="e">
        <f>#REF!</f>
        <v>#REF!</v>
      </c>
      <c r="AA57" s="2975"/>
    </row>
    <row r="58" spans="1:16276" s="2973" customFormat="1" hidden="1" x14ac:dyDescent="0.25">
      <c r="B58" s="3010">
        <v>926</v>
      </c>
      <c r="C58" s="3042"/>
      <c r="D58" s="2998"/>
      <c r="E58" s="3006"/>
      <c r="F58" s="2997" t="e">
        <f>#REF!</f>
        <v>#REF!</v>
      </c>
      <c r="G58" s="2997" t="e">
        <f>#REF!</f>
        <v>#REF!</v>
      </c>
      <c r="H58" s="2997" t="e">
        <f>#REF!</f>
        <v>#REF!</v>
      </c>
      <c r="I58" s="2997" t="e">
        <f>#REF!</f>
        <v>#REF!</v>
      </c>
      <c r="J58" s="2997" t="e">
        <f>#REF!</f>
        <v>#REF!</v>
      </c>
      <c r="K58" s="2997" t="e">
        <f>#REF!</f>
        <v>#REF!</v>
      </c>
      <c r="L58" s="2997" t="e">
        <f>#REF!</f>
        <v>#REF!</v>
      </c>
      <c r="M58" s="2997" t="e">
        <f>#REF!</f>
        <v>#REF!</v>
      </c>
      <c r="N58" s="2997" t="e">
        <f>#REF!</f>
        <v>#REF!</v>
      </c>
      <c r="O58" s="2997" t="e">
        <f>#REF!</f>
        <v>#REF!</v>
      </c>
      <c r="P58" s="2997" t="e">
        <f>#REF!</f>
        <v>#REF!</v>
      </c>
      <c r="Q58" s="2997" t="e">
        <f>#REF!</f>
        <v>#REF!</v>
      </c>
      <c r="R58" s="2997" t="e">
        <f>#REF!</f>
        <v>#REF!</v>
      </c>
      <c r="S58" s="2997"/>
      <c r="T58" s="2997"/>
      <c r="U58" s="2997" t="e">
        <f>#REF!</f>
        <v>#REF!</v>
      </c>
      <c r="V58" s="2997" t="e">
        <f>#REF!</f>
        <v>#REF!</v>
      </c>
      <c r="W58" s="2997" t="e">
        <f>#REF!</f>
        <v>#REF!</v>
      </c>
      <c r="X58" s="2997" t="e">
        <f>#REF!</f>
        <v>#REF!</v>
      </c>
      <c r="Y58" s="2997" t="e">
        <f>#REF!</f>
        <v>#REF!</v>
      </c>
      <c r="AA58" s="2975"/>
    </row>
    <row r="59" spans="1:16276" s="2973" customFormat="1" hidden="1" x14ac:dyDescent="0.25">
      <c r="B59" s="3010">
        <v>951</v>
      </c>
      <c r="C59" s="3042"/>
      <c r="D59" s="2998"/>
      <c r="E59" s="3006"/>
      <c r="F59" s="2997" t="e">
        <f>#REF!</f>
        <v>#REF!</v>
      </c>
      <c r="G59" s="2997" t="e">
        <f>#REF!</f>
        <v>#REF!</v>
      </c>
      <c r="H59" s="2997" t="e">
        <f>#REF!</f>
        <v>#REF!</v>
      </c>
      <c r="I59" s="2997" t="e">
        <f>#REF!</f>
        <v>#REF!</v>
      </c>
      <c r="J59" s="2997" t="e">
        <f>#REF!</f>
        <v>#REF!</v>
      </c>
      <c r="K59" s="2997" t="e">
        <f>#REF!</f>
        <v>#REF!</v>
      </c>
      <c r="L59" s="2997" t="e">
        <f>#REF!</f>
        <v>#REF!</v>
      </c>
      <c r="M59" s="2997" t="e">
        <f>#REF!</f>
        <v>#REF!</v>
      </c>
      <c r="N59" s="2997" t="e">
        <f>#REF!</f>
        <v>#REF!</v>
      </c>
      <c r="O59" s="2997" t="e">
        <f>#REF!</f>
        <v>#REF!</v>
      </c>
      <c r="P59" s="2997" t="e">
        <f>#REF!</f>
        <v>#REF!</v>
      </c>
      <c r="Q59" s="2997" t="e">
        <f>#REF!</f>
        <v>#REF!</v>
      </c>
      <c r="R59" s="2997" t="e">
        <f>#REF!</f>
        <v>#REF!</v>
      </c>
      <c r="S59" s="2997"/>
      <c r="T59" s="2997"/>
      <c r="U59" s="2997" t="e">
        <f>#REF!</f>
        <v>#REF!</v>
      </c>
      <c r="V59" s="2997" t="e">
        <f>#REF!</f>
        <v>#REF!</v>
      </c>
      <c r="W59" s="2997" t="e">
        <f>#REF!</f>
        <v>#REF!</v>
      </c>
      <c r="X59" s="2997" t="e">
        <f>#REF!</f>
        <v>#REF!</v>
      </c>
      <c r="Y59" s="2997" t="e">
        <f>#REF!</f>
        <v>#REF!</v>
      </c>
      <c r="AA59" s="2975"/>
    </row>
    <row r="60" spans="1:16276" s="2973" customFormat="1" hidden="1" x14ac:dyDescent="0.25">
      <c r="B60" s="3010">
        <v>952</v>
      </c>
      <c r="C60" s="3042"/>
      <c r="D60" s="2998"/>
      <c r="E60" s="3006"/>
      <c r="F60" s="2997" t="e">
        <f>#REF!+#REF!+#REF!</f>
        <v>#REF!</v>
      </c>
      <c r="G60" s="2997" t="e">
        <f>#REF!+#REF!+#REF!</f>
        <v>#REF!</v>
      </c>
      <c r="H60" s="2997" t="e">
        <f>#REF!+#REF!+#REF!</f>
        <v>#REF!</v>
      </c>
      <c r="I60" s="2997" t="e">
        <f>#REF!+#REF!+#REF!</f>
        <v>#REF!</v>
      </c>
      <c r="J60" s="2997" t="e">
        <f>#REF!+#REF!+#REF!</f>
        <v>#REF!</v>
      </c>
      <c r="K60" s="2997" t="e">
        <f>#REF!+#REF!+#REF!</f>
        <v>#REF!</v>
      </c>
      <c r="L60" s="2997" t="e">
        <f>#REF!+#REF!+#REF!</f>
        <v>#REF!</v>
      </c>
      <c r="M60" s="2997" t="e">
        <f>#REF!+#REF!+#REF!</f>
        <v>#REF!</v>
      </c>
      <c r="N60" s="2997" t="e">
        <f>#REF!+#REF!+#REF!</f>
        <v>#REF!</v>
      </c>
      <c r="O60" s="2997" t="e">
        <f>#REF!+#REF!+#REF!</f>
        <v>#REF!</v>
      </c>
      <c r="P60" s="2997" t="e">
        <f>#REF!+#REF!+#REF!</f>
        <v>#REF!</v>
      </c>
      <c r="Q60" s="2997" t="e">
        <f>#REF!+#REF!+#REF!</f>
        <v>#REF!</v>
      </c>
      <c r="R60" s="2997" t="e">
        <f>#REF!+#REF!+#REF!</f>
        <v>#REF!</v>
      </c>
      <c r="S60" s="2997"/>
      <c r="T60" s="2997"/>
      <c r="U60" s="2997" t="e">
        <f>#REF!+#REF!+#REF!</f>
        <v>#REF!</v>
      </c>
      <c r="V60" s="2997" t="e">
        <f>#REF!+#REF!+#REF!</f>
        <v>#REF!</v>
      </c>
      <c r="W60" s="2997" t="e">
        <f>#REF!+#REF!+#REF!</f>
        <v>#REF!</v>
      </c>
      <c r="X60" s="2997" t="e">
        <f>#REF!+#REF!+#REF!</f>
        <v>#REF!</v>
      </c>
      <c r="Y60" s="2997" t="e">
        <f>#REF!+#REF!+#REF!</f>
        <v>#REF!</v>
      </c>
      <c r="AA60" s="2975"/>
    </row>
    <row r="61" spans="1:16276" s="2973" customFormat="1" hidden="1" x14ac:dyDescent="0.25">
      <c r="B61" s="3010">
        <v>953</v>
      </c>
      <c r="C61" s="3042"/>
      <c r="D61" s="2998"/>
      <c r="E61" s="3006"/>
      <c r="F61" s="2997" t="e">
        <f>#REF!+#REF!</f>
        <v>#REF!</v>
      </c>
      <c r="G61" s="2997" t="e">
        <f>#REF!+#REF!</f>
        <v>#REF!</v>
      </c>
      <c r="H61" s="2997" t="e">
        <f>#REF!+#REF!</f>
        <v>#REF!</v>
      </c>
      <c r="I61" s="2997" t="e">
        <f>#REF!+#REF!</f>
        <v>#REF!</v>
      </c>
      <c r="J61" s="2997" t="e">
        <f>#REF!+#REF!</f>
        <v>#REF!</v>
      </c>
      <c r="K61" s="2997" t="e">
        <f>#REF!+#REF!</f>
        <v>#REF!</v>
      </c>
      <c r="L61" s="2997" t="e">
        <f>#REF!+#REF!</f>
        <v>#REF!</v>
      </c>
      <c r="M61" s="2997" t="e">
        <f>#REF!+#REF!</f>
        <v>#REF!</v>
      </c>
      <c r="N61" s="2997" t="e">
        <f>#REF!+#REF!</f>
        <v>#REF!</v>
      </c>
      <c r="O61" s="2997" t="e">
        <f>#REF!+#REF!</f>
        <v>#REF!</v>
      </c>
      <c r="P61" s="2997" t="e">
        <f>#REF!+#REF!</f>
        <v>#REF!</v>
      </c>
      <c r="Q61" s="2997" t="e">
        <f>#REF!+#REF!</f>
        <v>#REF!</v>
      </c>
      <c r="R61" s="2997" t="e">
        <f>#REF!+#REF!</f>
        <v>#REF!</v>
      </c>
      <c r="S61" s="2997"/>
      <c r="T61" s="2997"/>
      <c r="U61" s="2997" t="e">
        <f>#REF!+#REF!</f>
        <v>#REF!</v>
      </c>
      <c r="V61" s="2997" t="e">
        <f>#REF!+#REF!</f>
        <v>#REF!</v>
      </c>
      <c r="W61" s="2997" t="e">
        <f>#REF!+#REF!</f>
        <v>#REF!</v>
      </c>
      <c r="X61" s="2997" t="e">
        <f>#REF!+#REF!</f>
        <v>#REF!</v>
      </c>
      <c r="Y61" s="2997" t="e">
        <f>#REF!+#REF!</f>
        <v>#REF!</v>
      </c>
      <c r="AA61" s="2975"/>
    </row>
    <row r="62" spans="1:16276" s="2973" customFormat="1" hidden="1" x14ac:dyDescent="0.25">
      <c r="B62" s="3010">
        <v>954</v>
      </c>
      <c r="C62" s="3042"/>
      <c r="D62" s="2998"/>
      <c r="E62" s="3006"/>
      <c r="F62" s="2997" t="e">
        <f>#REF!+#REF!+#REF!+#REF!+#REF!+#REF!+#REF!</f>
        <v>#REF!</v>
      </c>
      <c r="G62" s="2997" t="e">
        <f>#REF!+#REF!+#REF!+#REF!+#REF!+#REF!+#REF!</f>
        <v>#REF!</v>
      </c>
      <c r="H62" s="2997" t="e">
        <f>#REF!+#REF!+#REF!+#REF!+#REF!+#REF!+#REF!</f>
        <v>#REF!</v>
      </c>
      <c r="I62" s="2997" t="e">
        <f>#REF!+#REF!+#REF!+#REF!+#REF!+#REF!+#REF!</f>
        <v>#REF!</v>
      </c>
      <c r="J62" s="2997" t="e">
        <f>#REF!+#REF!+#REF!+#REF!+#REF!+#REF!+#REF!</f>
        <v>#REF!</v>
      </c>
      <c r="K62" s="2997" t="e">
        <f>#REF!+#REF!+#REF!+#REF!+#REF!+#REF!+#REF!</f>
        <v>#REF!</v>
      </c>
      <c r="L62" s="2997" t="e">
        <f>#REF!+#REF!+#REF!+#REF!+#REF!+#REF!+#REF!</f>
        <v>#REF!</v>
      </c>
      <c r="M62" s="2997" t="e">
        <f>#REF!+#REF!+#REF!+#REF!+#REF!+#REF!+#REF!</f>
        <v>#REF!</v>
      </c>
      <c r="N62" s="2997" t="e">
        <f>#REF!+#REF!+#REF!+#REF!+#REF!+#REF!+#REF!</f>
        <v>#REF!</v>
      </c>
      <c r="O62" s="2997" t="e">
        <f>#REF!+#REF!+#REF!+#REF!+#REF!+#REF!+#REF!</f>
        <v>#REF!</v>
      </c>
      <c r="P62" s="2997" t="e">
        <f>#REF!+#REF!+#REF!+#REF!+#REF!+#REF!+#REF!</f>
        <v>#REF!</v>
      </c>
      <c r="Q62" s="2997" t="e">
        <f>#REF!+#REF!+#REF!+#REF!+#REF!+#REF!+#REF!</f>
        <v>#REF!</v>
      </c>
      <c r="R62" s="2997" t="e">
        <f>#REF!+#REF!+#REF!+#REF!+#REF!+#REF!+#REF!+#REF!</f>
        <v>#REF!</v>
      </c>
      <c r="S62" s="2997"/>
      <c r="T62" s="2997"/>
      <c r="U62" s="2997" t="e">
        <f>#REF!+#REF!+#REF!+#REF!+#REF!+#REF!+#REF!</f>
        <v>#REF!</v>
      </c>
      <c r="V62" s="2997" t="e">
        <f>#REF!+#REF!+#REF!+#REF!+#REF!+#REF!+#REF!</f>
        <v>#REF!</v>
      </c>
      <c r="W62" s="2997" t="e">
        <f>#REF!+#REF!+#REF!+#REF!+#REF!+#REF!+#REF!</f>
        <v>#REF!</v>
      </c>
      <c r="X62" s="2997" t="e">
        <f>#REF!+#REF!+#REF!+#REF!+#REF!+#REF!+#REF!+#REF!</f>
        <v>#REF!</v>
      </c>
      <c r="Y62" s="2997" t="e">
        <f>#REF!+#REF!+#REF!+#REF!+#REF!+#REF!+#REF!+#REF!</f>
        <v>#REF!</v>
      </c>
      <c r="AA62" s="2975"/>
    </row>
    <row r="63" spans="1:16276" s="2973" customFormat="1" hidden="1" x14ac:dyDescent="0.25">
      <c r="B63" s="3010">
        <v>955</v>
      </c>
      <c r="C63" s="3042"/>
      <c r="D63" s="2998"/>
      <c r="E63" s="3006"/>
      <c r="F63" s="2997" t="e">
        <f>#REF!+#REF!+#REF!+#REF!+#REF!+#REF!+#REF!</f>
        <v>#REF!</v>
      </c>
      <c r="G63" s="2997" t="e">
        <f>#REF!+#REF!+#REF!+#REF!+#REF!+#REF!+#REF!</f>
        <v>#REF!</v>
      </c>
      <c r="H63" s="2997" t="e">
        <f>#REF!+#REF!+#REF!+#REF!+#REF!+#REF!+#REF!</f>
        <v>#REF!</v>
      </c>
      <c r="I63" s="2997" t="e">
        <f>#REF!+#REF!+#REF!+#REF!+#REF!+#REF!+#REF!</f>
        <v>#REF!</v>
      </c>
      <c r="J63" s="2997" t="e">
        <f>#REF!+#REF!+#REF!+#REF!+#REF!+#REF!+#REF!</f>
        <v>#REF!</v>
      </c>
      <c r="K63" s="2997" t="e">
        <f>#REF!+#REF!+#REF!+#REF!+#REF!+#REF!+#REF!</f>
        <v>#REF!</v>
      </c>
      <c r="L63" s="2997" t="e">
        <f>#REF!+#REF!+#REF!+#REF!+#REF!+#REF!+#REF!</f>
        <v>#REF!</v>
      </c>
      <c r="M63" s="2997" t="e">
        <f>#REF!+#REF!+#REF!+#REF!+#REF!+#REF!+#REF!</f>
        <v>#REF!</v>
      </c>
      <c r="N63" s="2997" t="e">
        <f>#REF!+#REF!+#REF!+#REF!+#REF!+#REF!+#REF!</f>
        <v>#REF!</v>
      </c>
      <c r="O63" s="2997" t="e">
        <f>#REF!+#REF!+#REF!+#REF!+#REF!+#REF!+#REF!</f>
        <v>#REF!</v>
      </c>
      <c r="P63" s="2997" t="e">
        <f>#REF!+#REF!+#REF!+#REF!+#REF!+#REF!+#REF!</f>
        <v>#REF!</v>
      </c>
      <c r="Q63" s="2997" t="e">
        <f>#REF!+#REF!+#REF!+#REF!+#REF!+#REF!+#REF!</f>
        <v>#REF!</v>
      </c>
      <c r="R63" s="2997" t="e">
        <f>#REF!+#REF!+#REF!+#REF!+#REF!+#REF!+#REF!</f>
        <v>#REF!</v>
      </c>
      <c r="S63" s="2997"/>
      <c r="T63" s="2997"/>
      <c r="U63" s="2997" t="e">
        <f>#REF!+#REF!+#REF!+#REF!+#REF!+#REF!+#REF!</f>
        <v>#REF!</v>
      </c>
      <c r="V63" s="2997" t="e">
        <f>#REF!+#REF!+#REF!+#REF!+#REF!+#REF!+#REF!</f>
        <v>#REF!</v>
      </c>
      <c r="W63" s="2997" t="e">
        <f>#REF!+#REF!+#REF!+#REF!+#REF!+#REF!+#REF!</f>
        <v>#REF!</v>
      </c>
      <c r="X63" s="2997" t="e">
        <f>#REF!+#REF!+#REF!+#REF!+#REF!+#REF!</f>
        <v>#REF!</v>
      </c>
      <c r="Y63" s="2997" t="e">
        <f>#REF!+#REF!+#REF!+#REF!+#REF!+#REF!</f>
        <v>#REF!</v>
      </c>
      <c r="AA63" s="2975"/>
    </row>
    <row r="64" spans="1:16276" s="2973" customFormat="1" hidden="1" x14ac:dyDescent="0.25">
      <c r="B64" s="3010">
        <v>958</v>
      </c>
      <c r="C64" s="3042"/>
      <c r="D64" s="2998"/>
      <c r="E64" s="3006"/>
      <c r="F64" s="2997" t="e">
        <f>#REF!</f>
        <v>#REF!</v>
      </c>
      <c r="G64" s="2997" t="e">
        <f>#REF!</f>
        <v>#REF!</v>
      </c>
      <c r="H64" s="2997" t="e">
        <f>#REF!</f>
        <v>#REF!</v>
      </c>
      <c r="I64" s="2997" t="e">
        <f>#REF!</f>
        <v>#REF!</v>
      </c>
      <c r="J64" s="2997" t="e">
        <f>#REF!</f>
        <v>#REF!</v>
      </c>
      <c r="K64" s="2997" t="e">
        <f>#REF!</f>
        <v>#REF!</v>
      </c>
      <c r="L64" s="2997" t="e">
        <f>#REF!</f>
        <v>#REF!</v>
      </c>
      <c r="M64" s="2997" t="e">
        <f>#REF!</f>
        <v>#REF!</v>
      </c>
      <c r="N64" s="2997" t="e">
        <f>#REF!</f>
        <v>#REF!</v>
      </c>
      <c r="O64" s="2997" t="e">
        <f>#REF!</f>
        <v>#REF!</v>
      </c>
      <c r="P64" s="2997" t="e">
        <f>#REF!</f>
        <v>#REF!</v>
      </c>
      <c r="Q64" s="2997" t="e">
        <f>#REF!</f>
        <v>#REF!</v>
      </c>
      <c r="R64" s="2997" t="e">
        <f>#REF!</f>
        <v>#REF!</v>
      </c>
      <c r="S64" s="2997"/>
      <c r="T64" s="2997"/>
      <c r="U64" s="2997" t="e">
        <f>#REF!</f>
        <v>#REF!</v>
      </c>
      <c r="V64" s="2997" t="e">
        <f>#REF!</f>
        <v>#REF!</v>
      </c>
      <c r="W64" s="2997" t="e">
        <f>#REF!</f>
        <v>#REF!</v>
      </c>
      <c r="X64" s="2997" t="e">
        <f>#REF!</f>
        <v>#REF!</v>
      </c>
      <c r="Y64" s="2997" t="e">
        <f>#REF!</f>
        <v>#REF!</v>
      </c>
      <c r="AA64" s="2975"/>
    </row>
    <row r="65" spans="2:27" s="2973" customFormat="1" hidden="1" x14ac:dyDescent="0.25">
      <c r="B65" s="3010">
        <v>963</v>
      </c>
      <c r="C65" s="3042"/>
      <c r="D65" s="2998"/>
      <c r="E65" s="3006"/>
      <c r="F65" s="2997" t="e">
        <f>#REF!+#REF!+#REF!+#REF!+#REF!+#REF!+#REF!+F50+#REF!+#REF!+#REF!+#REF!+#REF!</f>
        <v>#REF!</v>
      </c>
      <c r="G65" s="2997" t="e">
        <f>#REF!+#REF!+#REF!+#REF!+#REF!+#REF!+#REF!+G50+#REF!+#REF!+#REF!+#REF!+#REF!</f>
        <v>#REF!</v>
      </c>
      <c r="H65" s="2997" t="e">
        <f>#REF!+#REF!+#REF!+#REF!+#REF!+#REF!+#REF!+H50+#REF!+#REF!+#REF!+#REF!+#REF!</f>
        <v>#REF!</v>
      </c>
      <c r="I65" s="2997" t="e">
        <f>#REF!+#REF!+#REF!+#REF!+#REF!+#REF!+#REF!+I50+#REF!+#REF!+#REF!+#REF!+#REF!</f>
        <v>#REF!</v>
      </c>
      <c r="J65" s="2997" t="e">
        <f>#REF!+#REF!+#REF!+#REF!+#REF!+#REF!+#REF!+J50+#REF!+#REF!+#REF!+#REF!+#REF!</f>
        <v>#REF!</v>
      </c>
      <c r="K65" s="2997" t="e">
        <f>#REF!+#REF!+#REF!+#REF!+#REF!+#REF!+#REF!+K50+#REF!+#REF!+#REF!+#REF!+#REF!</f>
        <v>#REF!</v>
      </c>
      <c r="L65" s="2997" t="e">
        <f>#REF!+#REF!+#REF!+#REF!+#REF!+#REF!+#REF!+L50+#REF!+#REF!+#REF!+#REF!+#REF!</f>
        <v>#REF!</v>
      </c>
      <c r="M65" s="2997" t="e">
        <f>#REF!+#REF!+#REF!+#REF!+#REF!+#REF!+#REF!+M50+#REF!+#REF!+#REF!+#REF!+#REF!</f>
        <v>#REF!</v>
      </c>
      <c r="N65" s="2997" t="e">
        <f>#REF!+#REF!+#REF!+#REF!+#REF!+#REF!+#REF!+N50+#REF!+#REF!+#REF!+#REF!+#REF!</f>
        <v>#REF!</v>
      </c>
      <c r="O65" s="2997" t="e">
        <f>#REF!+#REF!+#REF!+#REF!+#REF!+#REF!+#REF!+O50+#REF!+#REF!+#REF!+#REF!+#REF!</f>
        <v>#REF!</v>
      </c>
      <c r="P65" s="2997" t="e">
        <f>#REF!+#REF!+#REF!+#REF!+#REF!+#REF!+#REF!+P50+#REF!+#REF!+#REF!+#REF!+#REF!</f>
        <v>#REF!</v>
      </c>
      <c r="Q65" s="2997" t="e">
        <f>#REF!+#REF!+#REF!+#REF!+#REF!+#REF!+#REF!+Q50+#REF!+#REF!+#REF!+#REF!+#REF!</f>
        <v>#REF!</v>
      </c>
      <c r="R65" s="2997" t="e">
        <f>#REF!+#REF!+#REF!+#REF!+#REF!+#REF!+#REF!+R50+#REF!+#REF!+#REF!+#REF!+#REF!</f>
        <v>#REF!</v>
      </c>
      <c r="S65" s="2997"/>
      <c r="T65" s="2997"/>
      <c r="U65" s="2997" t="e">
        <f>#REF!+#REF!+#REF!+#REF!+#REF!+#REF!+#REF!+U50+#REF!+#REF!+#REF!+#REF!+#REF!</f>
        <v>#REF!</v>
      </c>
      <c r="V65" s="2997" t="e">
        <f>#REF!+#REF!+#REF!+#REF!+#REF!+#REF!+#REF!+V50+#REF!+#REF!+#REF!+#REF!+#REF!</f>
        <v>#REF!</v>
      </c>
      <c r="W65" s="2997" t="e">
        <f>#REF!+#REF!+#REF!+#REF!+#REF!+#REF!+#REF!+W50+#REF!+#REF!+#REF!+#REF!+#REF!</f>
        <v>#REF!</v>
      </c>
      <c r="X65" s="2997" t="e">
        <f>#REF!+#REF!+#REF!+#REF!+#REF!+#REF!+#REF!+X50+#REF!+#REF!+#REF!+#REF!+#REF!</f>
        <v>#REF!</v>
      </c>
      <c r="Y65" s="2997" t="e">
        <f>#REF!+#REF!+#REF!+#REF!+#REF!+#REF!+#REF!+Y50+#REF!+#REF!+#REF!+#REF!+#REF!</f>
        <v>#REF!</v>
      </c>
      <c r="AA65" s="2975"/>
    </row>
    <row r="66" spans="2:27" s="2973" customFormat="1" hidden="1" x14ac:dyDescent="0.25">
      <c r="B66" s="3010">
        <v>966</v>
      </c>
      <c r="C66" s="3042"/>
      <c r="D66" s="2998"/>
      <c r="E66" s="3006"/>
      <c r="F66" s="2997" t="e">
        <f>#REF!+#REF!+#REF!+#REF!+#REF!+#REF!+#REF!</f>
        <v>#REF!</v>
      </c>
      <c r="G66" s="2997" t="e">
        <f>#REF!+#REF!+#REF!+#REF!+#REF!+#REF!+#REF!</f>
        <v>#REF!</v>
      </c>
      <c r="H66" s="2997" t="e">
        <f>#REF!+#REF!+#REF!+#REF!+#REF!+#REF!+#REF!</f>
        <v>#REF!</v>
      </c>
      <c r="I66" s="2997" t="e">
        <f>#REF!+#REF!+#REF!+#REF!+#REF!+#REF!+#REF!</f>
        <v>#REF!</v>
      </c>
      <c r="J66" s="2997" t="e">
        <f>#REF!+#REF!+#REF!+#REF!+#REF!+#REF!+#REF!</f>
        <v>#REF!</v>
      </c>
      <c r="K66" s="2997" t="e">
        <f>#REF!+#REF!+#REF!+#REF!+#REF!+#REF!+#REF!</f>
        <v>#REF!</v>
      </c>
      <c r="L66" s="2997" t="e">
        <f>#REF!+#REF!+#REF!+#REF!+#REF!+#REF!+#REF!</f>
        <v>#REF!</v>
      </c>
      <c r="M66" s="2997" t="e">
        <f>#REF!+#REF!+#REF!+#REF!+#REF!+#REF!+#REF!</f>
        <v>#REF!</v>
      </c>
      <c r="N66" s="2997" t="e">
        <f>#REF!+#REF!+#REF!+#REF!+#REF!+#REF!+#REF!</f>
        <v>#REF!</v>
      </c>
      <c r="O66" s="2997" t="e">
        <f>#REF!+#REF!+#REF!+#REF!+#REF!+#REF!+#REF!</f>
        <v>#REF!</v>
      </c>
      <c r="P66" s="2997" t="e">
        <f>#REF!+#REF!+#REF!+#REF!+#REF!+#REF!+#REF!</f>
        <v>#REF!</v>
      </c>
      <c r="Q66" s="2997" t="e">
        <f>#REF!+#REF!+#REF!+#REF!+#REF!+#REF!+#REF!</f>
        <v>#REF!</v>
      </c>
      <c r="R66" s="2997" t="e">
        <f>#REF!+#REF!+#REF!+#REF!+#REF!+#REF!+#REF!</f>
        <v>#REF!</v>
      </c>
      <c r="S66" s="2997"/>
      <c r="T66" s="2997"/>
      <c r="U66" s="2997" t="e">
        <f>#REF!+#REF!+#REF!+#REF!+#REF!+#REF!+#REF!</f>
        <v>#REF!</v>
      </c>
      <c r="V66" s="2997" t="e">
        <f>#REF!+#REF!+#REF!+#REF!+#REF!+#REF!+#REF!</f>
        <v>#REF!</v>
      </c>
      <c r="W66" s="2997" t="e">
        <f>#REF!+#REF!+#REF!+#REF!+#REF!+#REF!+#REF!</f>
        <v>#REF!</v>
      </c>
      <c r="X66" s="2997" t="e">
        <f>#REF!+#REF!+#REF!+#REF!+#REF!+#REF!+#REF!</f>
        <v>#REF!</v>
      </c>
      <c r="Y66" s="2997" t="e">
        <f>#REF!+#REF!+#REF!+#REF!+#REF!+#REF!+#REF!</f>
        <v>#REF!</v>
      </c>
      <c r="AA66" s="2975"/>
    </row>
    <row r="67" spans="2:27" s="2973" customFormat="1" hidden="1" x14ac:dyDescent="0.25">
      <c r="B67" s="3010">
        <v>971</v>
      </c>
      <c r="C67" s="3042"/>
      <c r="D67" s="2998"/>
      <c r="E67" s="3006"/>
      <c r="F67" s="2997" t="e">
        <f>F51+#REF!+#REF!+#REF!+#REF!+#REF!</f>
        <v>#REF!</v>
      </c>
      <c r="G67" s="2997" t="e">
        <f>G51+#REF!+#REF!+#REF!+#REF!+#REF!</f>
        <v>#REF!</v>
      </c>
      <c r="H67" s="2997" t="e">
        <f>H51+#REF!+#REF!+#REF!+#REF!+#REF!</f>
        <v>#REF!</v>
      </c>
      <c r="I67" s="2997" t="e">
        <f>I51+#REF!+#REF!+#REF!+#REF!+#REF!</f>
        <v>#REF!</v>
      </c>
      <c r="J67" s="2997" t="e">
        <f>J51+#REF!+#REF!+#REF!+#REF!+#REF!</f>
        <v>#REF!</v>
      </c>
      <c r="K67" s="2997" t="e">
        <f>K51+#REF!+#REF!+#REF!+#REF!+#REF!</f>
        <v>#REF!</v>
      </c>
      <c r="L67" s="2997" t="e">
        <f>L51+#REF!+#REF!+#REF!+#REF!+#REF!</f>
        <v>#REF!</v>
      </c>
      <c r="M67" s="2997" t="e">
        <f>M51+#REF!+#REF!+#REF!+#REF!+#REF!</f>
        <v>#REF!</v>
      </c>
      <c r="N67" s="2997" t="e">
        <f>N51+#REF!+#REF!+#REF!+#REF!+#REF!</f>
        <v>#REF!</v>
      </c>
      <c r="O67" s="2997" t="e">
        <f>O51+#REF!+#REF!+#REF!+#REF!+#REF!</f>
        <v>#REF!</v>
      </c>
      <c r="P67" s="2997" t="e">
        <f>P51+#REF!+#REF!+#REF!+#REF!+#REF!</f>
        <v>#REF!</v>
      </c>
      <c r="Q67" s="2997" t="e">
        <f>Q51+#REF!+#REF!+#REF!+#REF!+#REF!</f>
        <v>#REF!</v>
      </c>
      <c r="R67" s="2997" t="e">
        <f>R51+#REF!+#REF!+#REF!+#REF!+#REF!</f>
        <v>#REF!</v>
      </c>
      <c r="S67" s="2997"/>
      <c r="T67" s="2997"/>
      <c r="U67" s="2997" t="e">
        <f>U51+#REF!+#REF!+#REF!+#REF!+#REF!</f>
        <v>#REF!</v>
      </c>
      <c r="V67" s="2997" t="e">
        <f>V51+#REF!+#REF!+#REF!+#REF!+#REF!</f>
        <v>#REF!</v>
      </c>
      <c r="W67" s="2997" t="e">
        <f>W51+#REF!+#REF!+#REF!+#REF!+#REF!</f>
        <v>#REF!</v>
      </c>
      <c r="X67" s="2997" t="e">
        <f>X51+#REF!+#REF!+#REF!+#REF!+#REF!</f>
        <v>#REF!</v>
      </c>
      <c r="Y67" s="2997" t="e">
        <f>Y51+#REF!+#REF!+#REF!+#REF!+#REF!</f>
        <v>#REF!</v>
      </c>
      <c r="AA67" s="2975"/>
    </row>
    <row r="68" spans="2:27" s="2973" customFormat="1" hidden="1" x14ac:dyDescent="0.25">
      <c r="B68" s="3010">
        <v>981</v>
      </c>
      <c r="C68" s="3042"/>
      <c r="D68" s="2998"/>
      <c r="E68" s="3006"/>
      <c r="F68" s="2997" t="e">
        <f>#REF!+#REF!+#REF!+#REF!+#REF!+F52+#REF!+#REF!+#REF!+#REF!+#REF!</f>
        <v>#REF!</v>
      </c>
      <c r="G68" s="2997" t="e">
        <f>#REF!+#REF!+#REF!+#REF!+#REF!+G52+#REF!+#REF!+#REF!+#REF!+#REF!</f>
        <v>#REF!</v>
      </c>
      <c r="H68" s="2997" t="e">
        <f>#REF!+#REF!+#REF!+#REF!+#REF!+H52+#REF!+#REF!+#REF!+#REF!+#REF!</f>
        <v>#REF!</v>
      </c>
      <c r="I68" s="2997" t="e">
        <f>#REF!+#REF!+#REF!+#REF!+#REF!+I52+#REF!+#REF!+#REF!+#REF!+#REF!</f>
        <v>#REF!</v>
      </c>
      <c r="J68" s="2997" t="e">
        <f>#REF!+#REF!+#REF!+#REF!+#REF!+J52+#REF!+#REF!+#REF!+#REF!+#REF!</f>
        <v>#REF!</v>
      </c>
      <c r="K68" s="2997" t="e">
        <f>#REF!+#REF!+#REF!+#REF!+#REF!+K52+#REF!+#REF!+#REF!+#REF!+#REF!</f>
        <v>#REF!</v>
      </c>
      <c r="L68" s="2997" t="e">
        <f>#REF!+#REF!+#REF!+#REF!+#REF!+L52+#REF!+#REF!+#REF!+#REF!+#REF!</f>
        <v>#REF!</v>
      </c>
      <c r="M68" s="2997" t="e">
        <f>#REF!+#REF!+#REF!+#REF!+#REF!+M52+#REF!+#REF!+#REF!+#REF!+#REF!</f>
        <v>#REF!</v>
      </c>
      <c r="N68" s="2997" t="e">
        <f>#REF!+#REF!+#REF!+#REF!+#REF!+N52+#REF!+#REF!+#REF!+#REF!+#REF!</f>
        <v>#REF!</v>
      </c>
      <c r="O68" s="2997" t="e">
        <f>#REF!+#REF!+#REF!+#REF!+#REF!+O52+#REF!+#REF!+#REF!+#REF!+#REF!</f>
        <v>#REF!</v>
      </c>
      <c r="P68" s="2997" t="e">
        <f>#REF!+#REF!+#REF!+#REF!+#REF!+P52+#REF!+#REF!+#REF!+#REF!+#REF!</f>
        <v>#REF!</v>
      </c>
      <c r="Q68" s="2997" t="e">
        <f>#REF!+#REF!+#REF!+#REF!+#REF!+Q52+#REF!+#REF!+#REF!+#REF!+#REF!</f>
        <v>#REF!</v>
      </c>
      <c r="R68" s="2997" t="e">
        <f>#REF!+#REF!+#REF!+#REF!+#REF!+R52+#REF!+#REF!+#REF!+#REF!+#REF!</f>
        <v>#REF!</v>
      </c>
      <c r="S68" s="2997"/>
      <c r="T68" s="2997"/>
      <c r="U68" s="2997" t="e">
        <f>#REF!+#REF!+#REF!+#REF!+#REF!+U52+#REF!+#REF!+#REF!+#REF!+#REF!</f>
        <v>#REF!</v>
      </c>
      <c r="V68" s="2997" t="e">
        <f>#REF!+#REF!+#REF!+#REF!+#REF!+V52+#REF!+#REF!+#REF!+#REF!+#REF!</f>
        <v>#REF!</v>
      </c>
      <c r="W68" s="2997" t="e">
        <f>#REF!+#REF!+#REF!+#REF!+#REF!+W52+#REF!+#REF!+#REF!+#REF!+#REF!</f>
        <v>#REF!</v>
      </c>
      <c r="X68" s="2997" t="e">
        <f>#REF!+#REF!+#REF!+#REF!+#REF!+X52+#REF!+#REF!+#REF!+#REF!+#REF!</f>
        <v>#REF!</v>
      </c>
      <c r="Y68" s="2997" t="e">
        <f>#REF!+#REF!+#REF!+#REF!+#REF!+Y52+#REF!+#REF!+#REF!+#REF!+#REF!</f>
        <v>#REF!</v>
      </c>
      <c r="AA68" s="2975"/>
    </row>
    <row r="69" spans="2:27" s="2973" customFormat="1" hidden="1" x14ac:dyDescent="0.25">
      <c r="B69" s="3010">
        <v>982</v>
      </c>
      <c r="C69" s="3042"/>
      <c r="D69" s="2998"/>
      <c r="E69" s="3006"/>
      <c r="F69" s="2997" t="e">
        <f>#REF!</f>
        <v>#REF!</v>
      </c>
      <c r="G69" s="2997" t="e">
        <f>#REF!</f>
        <v>#REF!</v>
      </c>
      <c r="H69" s="2997" t="e">
        <f>#REF!</f>
        <v>#REF!</v>
      </c>
      <c r="I69" s="2997" t="e">
        <f>#REF!</f>
        <v>#REF!</v>
      </c>
      <c r="J69" s="2997" t="e">
        <f>#REF!</f>
        <v>#REF!</v>
      </c>
      <c r="K69" s="2997" t="e">
        <f>#REF!</f>
        <v>#REF!</v>
      </c>
      <c r="L69" s="2997" t="e">
        <f>#REF!</f>
        <v>#REF!</v>
      </c>
      <c r="M69" s="2997" t="e">
        <f>#REF!</f>
        <v>#REF!</v>
      </c>
      <c r="N69" s="2997" t="e">
        <f>#REF!</f>
        <v>#REF!</v>
      </c>
      <c r="O69" s="2997" t="e">
        <f>#REF!</f>
        <v>#REF!</v>
      </c>
      <c r="P69" s="2997" t="e">
        <f>#REF!</f>
        <v>#REF!</v>
      </c>
      <c r="Q69" s="2997" t="e">
        <f>#REF!</f>
        <v>#REF!</v>
      </c>
      <c r="R69" s="2997" t="e">
        <f>#REF!</f>
        <v>#REF!</v>
      </c>
      <c r="S69" s="2997"/>
      <c r="T69" s="2997"/>
      <c r="U69" s="2997" t="e">
        <f>#REF!</f>
        <v>#REF!</v>
      </c>
      <c r="V69" s="2997" t="e">
        <f>#REF!</f>
        <v>#REF!</v>
      </c>
      <c r="W69" s="2997" t="e">
        <f>#REF!</f>
        <v>#REF!</v>
      </c>
      <c r="X69" s="2997" t="e">
        <f>#REF!</f>
        <v>#REF!</v>
      </c>
      <c r="Y69" s="2997" t="e">
        <f>#REF!</f>
        <v>#REF!</v>
      </c>
      <c r="AA69" s="2975"/>
    </row>
    <row r="70" spans="2:27" s="2973" customFormat="1" hidden="1" x14ac:dyDescent="0.25">
      <c r="B70" s="3010">
        <v>983</v>
      </c>
      <c r="C70" s="3042"/>
      <c r="D70" s="2998"/>
      <c r="E70" s="3006"/>
      <c r="F70" s="2997" t="e">
        <f>#REF!+#REF!</f>
        <v>#REF!</v>
      </c>
      <c r="G70" s="2997" t="e">
        <f>#REF!+#REF!</f>
        <v>#REF!</v>
      </c>
      <c r="H70" s="2997" t="e">
        <f>#REF!+#REF!</f>
        <v>#REF!</v>
      </c>
      <c r="I70" s="2997" t="e">
        <f>#REF!+#REF!</f>
        <v>#REF!</v>
      </c>
      <c r="J70" s="2997" t="e">
        <f>#REF!+#REF!</f>
        <v>#REF!</v>
      </c>
      <c r="K70" s="2997" t="e">
        <f>#REF!+#REF!</f>
        <v>#REF!</v>
      </c>
      <c r="L70" s="2997" t="e">
        <f>#REF!+#REF!</f>
        <v>#REF!</v>
      </c>
      <c r="M70" s="2997" t="e">
        <f>#REF!+#REF!</f>
        <v>#REF!</v>
      </c>
      <c r="N70" s="2997" t="e">
        <f>#REF!+#REF!</f>
        <v>#REF!</v>
      </c>
      <c r="O70" s="2997" t="e">
        <f>#REF!+#REF!</f>
        <v>#REF!</v>
      </c>
      <c r="P70" s="2997" t="e">
        <f>#REF!+#REF!</f>
        <v>#REF!</v>
      </c>
      <c r="Q70" s="2997" t="e">
        <f>#REF!+#REF!</f>
        <v>#REF!</v>
      </c>
      <c r="R70" s="2997" t="e">
        <f>#REF!+#REF!</f>
        <v>#REF!</v>
      </c>
      <c r="S70" s="2997"/>
      <c r="T70" s="2997"/>
      <c r="U70" s="2997" t="e">
        <f>#REF!+#REF!</f>
        <v>#REF!</v>
      </c>
      <c r="V70" s="2997" t="e">
        <f>#REF!+#REF!</f>
        <v>#REF!</v>
      </c>
      <c r="W70" s="2997" t="e">
        <f>#REF!+#REF!</f>
        <v>#REF!</v>
      </c>
      <c r="X70" s="2997" t="e">
        <f>#REF!+#REF!</f>
        <v>#REF!</v>
      </c>
      <c r="Y70" s="2997" t="e">
        <f>#REF!+#REF!</f>
        <v>#REF!</v>
      </c>
      <c r="AA70" s="2975"/>
    </row>
    <row r="71" spans="2:27" s="2973" customFormat="1" hidden="1" x14ac:dyDescent="0.25">
      <c r="B71" s="3010">
        <v>985</v>
      </c>
      <c r="C71" s="3042"/>
      <c r="D71" s="2998"/>
      <c r="E71" s="3006"/>
      <c r="F71" s="2997" t="e">
        <f>F53+#REF!+#REF!+#REF!</f>
        <v>#REF!</v>
      </c>
      <c r="G71" s="2997" t="e">
        <f>G53+#REF!+#REF!+#REF!</f>
        <v>#REF!</v>
      </c>
      <c r="H71" s="2997" t="e">
        <f>H53+#REF!+#REF!+#REF!</f>
        <v>#REF!</v>
      </c>
      <c r="I71" s="2997" t="e">
        <f>I53+#REF!+#REF!+#REF!</f>
        <v>#REF!</v>
      </c>
      <c r="J71" s="2997" t="e">
        <f>J53+#REF!+#REF!+#REF!</f>
        <v>#REF!</v>
      </c>
      <c r="K71" s="2997" t="e">
        <f>K53+#REF!+#REF!+#REF!</f>
        <v>#REF!</v>
      </c>
      <c r="L71" s="2997" t="e">
        <f>L53+#REF!+#REF!+#REF!</f>
        <v>#REF!</v>
      </c>
      <c r="M71" s="2997" t="e">
        <f>M53+#REF!+#REF!+#REF!</f>
        <v>#REF!</v>
      </c>
      <c r="N71" s="2997" t="e">
        <f>N53+#REF!+#REF!+#REF!</f>
        <v>#REF!</v>
      </c>
      <c r="O71" s="2997" t="e">
        <f>O53+#REF!+#REF!+#REF!</f>
        <v>#REF!</v>
      </c>
      <c r="P71" s="2997" t="e">
        <f>P53+#REF!+#REF!+#REF!</f>
        <v>#REF!</v>
      </c>
      <c r="Q71" s="2997" t="e">
        <f>Q53+#REF!+#REF!+#REF!</f>
        <v>#REF!</v>
      </c>
      <c r="R71" s="2997" t="e">
        <f>R53+#REF!+#REF!+#REF!</f>
        <v>#REF!</v>
      </c>
      <c r="S71" s="2997"/>
      <c r="T71" s="2997"/>
      <c r="U71" s="2997" t="e">
        <f>U53+#REF!+#REF!+#REF!</f>
        <v>#REF!</v>
      </c>
      <c r="V71" s="2997" t="e">
        <f>V53+#REF!+#REF!+#REF!</f>
        <v>#REF!</v>
      </c>
      <c r="W71" s="2997" t="e">
        <f>W53+#REF!+#REF!+#REF!</f>
        <v>#REF!</v>
      </c>
      <c r="X71" s="2997" t="e">
        <f>X53+#REF!+#REF!+#REF!</f>
        <v>#REF!</v>
      </c>
      <c r="Y71" s="2997" t="e">
        <f>Y53+#REF!+#REF!+#REF!</f>
        <v>#REF!</v>
      </c>
      <c r="AA71" s="2975"/>
    </row>
    <row r="72" spans="2:27" s="2973" customFormat="1" hidden="1" x14ac:dyDescent="0.25">
      <c r="B72" s="3010">
        <v>986</v>
      </c>
      <c r="C72" s="3042"/>
      <c r="D72" s="2998"/>
      <c r="E72" s="3006"/>
      <c r="F72" s="2997" t="e">
        <f>#REF!</f>
        <v>#REF!</v>
      </c>
      <c r="G72" s="2997" t="e">
        <f>#REF!</f>
        <v>#REF!</v>
      </c>
      <c r="H72" s="2997" t="e">
        <f>#REF!</f>
        <v>#REF!</v>
      </c>
      <c r="I72" s="2997" t="e">
        <f>#REF!</f>
        <v>#REF!</v>
      </c>
      <c r="J72" s="2997" t="e">
        <f>#REF!</f>
        <v>#REF!</v>
      </c>
      <c r="K72" s="2997" t="e">
        <f>#REF!</f>
        <v>#REF!</v>
      </c>
      <c r="L72" s="2997" t="e">
        <f>#REF!</f>
        <v>#REF!</v>
      </c>
      <c r="M72" s="2997" t="e">
        <f>#REF!</f>
        <v>#REF!</v>
      </c>
      <c r="N72" s="2997" t="e">
        <f>#REF!</f>
        <v>#REF!</v>
      </c>
      <c r="O72" s="2997" t="e">
        <f>#REF!</f>
        <v>#REF!</v>
      </c>
      <c r="P72" s="2997" t="e">
        <f>#REF!</f>
        <v>#REF!</v>
      </c>
      <c r="Q72" s="2997" t="e">
        <f>#REF!</f>
        <v>#REF!</v>
      </c>
      <c r="R72" s="2997" t="e">
        <f>#REF!</f>
        <v>#REF!</v>
      </c>
      <c r="S72" s="2997"/>
      <c r="T72" s="2997"/>
      <c r="U72" s="2997" t="e">
        <f>#REF!</f>
        <v>#REF!</v>
      </c>
      <c r="V72" s="2997" t="e">
        <f>#REF!</f>
        <v>#REF!</v>
      </c>
      <c r="W72" s="2997" t="e">
        <f>#REF!</f>
        <v>#REF!</v>
      </c>
      <c r="X72" s="2997" t="e">
        <f>#REF!</f>
        <v>#REF!</v>
      </c>
      <c r="Y72" s="2997" t="e">
        <f>#REF!</f>
        <v>#REF!</v>
      </c>
      <c r="AA72" s="2975"/>
    </row>
    <row r="73" spans="2:27" s="2973" customFormat="1" hidden="1" x14ac:dyDescent="0.25">
      <c r="B73" s="2974"/>
      <c r="C73" s="2975"/>
      <c r="D73" s="3047"/>
      <c r="E73" s="3048"/>
      <c r="F73" s="3049" t="e">
        <f>SUM(F54:F72)</f>
        <v>#REF!</v>
      </c>
      <c r="G73" s="3049" t="e">
        <f t="shared" ref="G73:Y73" si="23">SUM(G54:G72)</f>
        <v>#REF!</v>
      </c>
      <c r="H73" s="3049" t="e">
        <f t="shared" si="23"/>
        <v>#REF!</v>
      </c>
      <c r="I73" s="3049" t="e">
        <f t="shared" si="23"/>
        <v>#REF!</v>
      </c>
      <c r="J73" s="3049" t="e">
        <f t="shared" si="23"/>
        <v>#REF!</v>
      </c>
      <c r="K73" s="3049" t="e">
        <f t="shared" si="23"/>
        <v>#REF!</v>
      </c>
      <c r="L73" s="3049" t="e">
        <f t="shared" si="23"/>
        <v>#REF!</v>
      </c>
      <c r="M73" s="3049" t="e">
        <f t="shared" si="23"/>
        <v>#REF!</v>
      </c>
      <c r="N73" s="3049" t="e">
        <f t="shared" si="23"/>
        <v>#REF!</v>
      </c>
      <c r="O73" s="3049" t="e">
        <f t="shared" si="23"/>
        <v>#REF!</v>
      </c>
      <c r="P73" s="3049" t="e">
        <f t="shared" si="23"/>
        <v>#REF!</v>
      </c>
      <c r="Q73" s="3049" t="e">
        <f t="shared" si="23"/>
        <v>#REF!</v>
      </c>
      <c r="R73" s="3049" t="e">
        <f>SUM(R54:R72)</f>
        <v>#REF!</v>
      </c>
      <c r="S73" s="3049"/>
      <c r="T73" s="3049"/>
      <c r="U73" s="3049" t="e">
        <f t="shared" si="23"/>
        <v>#REF!</v>
      </c>
      <c r="V73" s="3049" t="e">
        <f t="shared" si="23"/>
        <v>#REF!</v>
      </c>
      <c r="W73" s="3049" t="e">
        <f t="shared" si="23"/>
        <v>#REF!</v>
      </c>
      <c r="X73" s="3049" t="e">
        <f t="shared" si="23"/>
        <v>#REF!</v>
      </c>
      <c r="Y73" s="3049" t="e">
        <f t="shared" si="23"/>
        <v>#REF!</v>
      </c>
      <c r="AA73" s="2975"/>
    </row>
    <row r="74" spans="2:27" s="2973" customFormat="1" hidden="1" x14ac:dyDescent="0.25">
      <c r="B74" s="2974"/>
      <c r="C74" s="2975"/>
      <c r="D74" s="3047"/>
      <c r="E74" s="3048"/>
      <c r="F74" s="3049" t="e">
        <f>#REF!-F73</f>
        <v>#REF!</v>
      </c>
      <c r="G74" s="3049" t="e">
        <f>#REF!-G73</f>
        <v>#REF!</v>
      </c>
      <c r="H74" s="3049" t="e">
        <f>#REF!-H73</f>
        <v>#REF!</v>
      </c>
      <c r="I74" s="3049" t="e">
        <f>#REF!-I73</f>
        <v>#REF!</v>
      </c>
      <c r="J74" s="3049" t="e">
        <f>#REF!-J73</f>
        <v>#REF!</v>
      </c>
      <c r="K74" s="3049" t="e">
        <f>#REF!-K73</f>
        <v>#REF!</v>
      </c>
      <c r="L74" s="3049" t="e">
        <f>#REF!-L73</f>
        <v>#REF!</v>
      </c>
      <c r="M74" s="3049" t="e">
        <f>#REF!-M73</f>
        <v>#REF!</v>
      </c>
      <c r="N74" s="3049" t="e">
        <f>#REF!-N73</f>
        <v>#REF!</v>
      </c>
      <c r="O74" s="3049" t="e">
        <f>#REF!-O73</f>
        <v>#REF!</v>
      </c>
      <c r="P74" s="3049" t="e">
        <f>#REF!-P73</f>
        <v>#REF!</v>
      </c>
      <c r="Q74" s="3049" t="e">
        <f>#REF!-Q73</f>
        <v>#REF!</v>
      </c>
      <c r="R74" s="3049" t="e">
        <f>#REF!-R73</f>
        <v>#REF!</v>
      </c>
      <c r="S74" s="3049"/>
      <c r="T74" s="3049"/>
      <c r="U74" s="3049" t="e">
        <f>#REF!-U73</f>
        <v>#REF!</v>
      </c>
      <c r="V74" s="3049" t="e">
        <f>#REF!-V73</f>
        <v>#REF!</v>
      </c>
      <c r="W74" s="3049" t="e">
        <f>#REF!-W73</f>
        <v>#REF!</v>
      </c>
      <c r="X74" s="3049" t="e">
        <f>#REF!-X73</f>
        <v>#REF!</v>
      </c>
      <c r="Y74" s="3049" t="e">
        <f>#REF!-Y73</f>
        <v>#REF!</v>
      </c>
      <c r="AA74" s="2975"/>
    </row>
    <row r="75" spans="2:27" s="2973" customFormat="1" hidden="1" x14ac:dyDescent="0.25">
      <c r="B75" s="2974"/>
      <c r="C75" s="2975"/>
      <c r="D75" s="3047"/>
      <c r="E75" s="3048"/>
      <c r="F75" s="3047" t="e">
        <f>F74</f>
        <v>#REF!</v>
      </c>
      <c r="G75" s="3047"/>
      <c r="H75" s="3047"/>
      <c r="I75" s="3047"/>
      <c r="J75" s="3047"/>
      <c r="K75" s="3047"/>
      <c r="L75" s="3047"/>
      <c r="M75" s="3047"/>
      <c r="N75" s="3047"/>
      <c r="O75" s="3047"/>
      <c r="P75" s="3047"/>
      <c r="Q75" s="3047"/>
      <c r="R75" s="3047"/>
      <c r="S75" s="3047"/>
      <c r="T75" s="3047"/>
      <c r="U75" s="3047"/>
      <c r="V75" s="3047"/>
      <c r="W75" s="3047"/>
      <c r="X75" s="3047"/>
      <c r="Y75" s="3047"/>
      <c r="Z75" s="3047" t="e">
        <f>#REF!-Z74</f>
        <v>#REF!</v>
      </c>
      <c r="AA75" s="2975"/>
    </row>
    <row r="76" spans="2:27" x14ac:dyDescent="0.25">
      <c r="D76" s="3051"/>
      <c r="E76" s="3051"/>
      <c r="F76" s="3051"/>
      <c r="G76" s="3051"/>
      <c r="H76" s="3051"/>
      <c r="I76" s="3051"/>
      <c r="J76" s="3051"/>
      <c r="K76" s="3051"/>
      <c r="L76" s="3051"/>
      <c r="M76" s="3051"/>
      <c r="N76" s="3051"/>
      <c r="O76" s="3051"/>
      <c r="P76" s="3051"/>
      <c r="Q76" s="3051"/>
      <c r="R76" s="3051"/>
      <c r="S76" s="3051"/>
      <c r="T76" s="3051"/>
      <c r="U76" s="3051"/>
      <c r="V76" s="3051"/>
      <c r="W76" s="3051"/>
      <c r="X76" s="3051"/>
      <c r="Y76" s="3051"/>
      <c r="Z76" s="3051"/>
    </row>
    <row r="77" spans="2:27" x14ac:dyDescent="0.25">
      <c r="D77" s="3051"/>
      <c r="E77" s="3051"/>
      <c r="F77" s="3051"/>
      <c r="G77" s="3051"/>
      <c r="H77" s="3051"/>
      <c r="I77" s="3051"/>
      <c r="J77" s="3051"/>
      <c r="K77" s="3051"/>
      <c r="L77" s="3051"/>
      <c r="M77" s="3051"/>
      <c r="N77" s="3051"/>
      <c r="O77" s="3051"/>
      <c r="P77" s="3051"/>
      <c r="Q77" s="3051"/>
      <c r="R77" s="3051"/>
      <c r="S77" s="3051"/>
      <c r="T77" s="3051"/>
      <c r="U77" s="3051"/>
      <c r="V77" s="3051"/>
      <c r="W77" s="3051"/>
      <c r="X77" s="3051"/>
      <c r="Y77" s="3051"/>
      <c r="Z77" s="3051"/>
    </row>
    <row r="84" spans="20:20" x14ac:dyDescent="0.25">
      <c r="T84" s="3052">
        <f>S52-50.6</f>
        <v>0</v>
      </c>
    </row>
  </sheetData>
  <autoFilter ref="A10:XEJ45"/>
  <mergeCells count="38">
    <mergeCell ref="A2:Z2"/>
    <mergeCell ref="A3:Z3"/>
    <mergeCell ref="F47:G47"/>
    <mergeCell ref="J47:K47"/>
    <mergeCell ref="N47:O47"/>
    <mergeCell ref="R47:U47"/>
    <mergeCell ref="W7:W9"/>
    <mergeCell ref="X7:Y7"/>
    <mergeCell ref="R8:R9"/>
    <mergeCell ref="S8:T8"/>
    <mergeCell ref="U8:U9"/>
    <mergeCell ref="X9:Y9"/>
    <mergeCell ref="M7:M9"/>
    <mergeCell ref="N7:O7"/>
    <mergeCell ref="P7:P9"/>
    <mergeCell ref="Q7:Q9"/>
    <mergeCell ref="Z5:Z9"/>
    <mergeCell ref="H6:K6"/>
    <mergeCell ref="L6:O6"/>
    <mergeCell ref="P6:U6"/>
    <mergeCell ref="H7:H9"/>
    <mergeCell ref="I7:I9"/>
    <mergeCell ref="J7:K7"/>
    <mergeCell ref="P5:U5"/>
    <mergeCell ref="R7:U7"/>
    <mergeCell ref="V7:V9"/>
    <mergeCell ref="V5:W6"/>
    <mergeCell ref="X5:X6"/>
    <mergeCell ref="Y5:Y6"/>
    <mergeCell ref="A5:A9"/>
    <mergeCell ref="B5:B9"/>
    <mergeCell ref="C5:C9"/>
    <mergeCell ref="D5:G6"/>
    <mergeCell ref="H5:O5"/>
    <mergeCell ref="D7:D9"/>
    <mergeCell ref="E7:E9"/>
    <mergeCell ref="F7:G7"/>
    <mergeCell ref="L7:L9"/>
  </mergeCells>
  <pageMargins left="0.70866141732283472" right="0.70866141732283472" top="0.74803149606299213" bottom="0.74803149606299213" header="0.31496062992125984" footer="0.31496062992125984"/>
  <pageSetup paperSize="9" scale="41" orientation="landscape" r:id="rId1"/>
  <rowBreaks count="1" manualBreakCount="1">
    <brk id="19" min="16" max="2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E59"/>
  <sheetViews>
    <sheetView tabSelected="1" view="pageBreakPreview" zoomScale="120" zoomScaleNormal="100" zoomScaleSheetLayoutView="120" workbookViewId="0">
      <selection activeCell="DH49" sqref="DH49"/>
    </sheetView>
  </sheetViews>
  <sheetFormatPr defaultColWidth="1" defaultRowHeight="11.25" x14ac:dyDescent="0.2"/>
  <cols>
    <col min="1" max="60" width="1" style="3118"/>
    <col min="61" max="61" width="1" style="3118" customWidth="1"/>
    <col min="62" max="64" width="1" style="3118"/>
    <col min="65" max="65" width="1" style="3118" customWidth="1"/>
    <col min="66" max="75" width="1" style="3118"/>
    <col min="76" max="77" width="1" style="3118" customWidth="1"/>
    <col min="78" max="153" width="1" style="3118"/>
    <col min="154" max="154" width="2.1640625" style="3118" bestFit="1" customWidth="1"/>
    <col min="155" max="316" width="1" style="3118"/>
    <col min="317" max="317" width="1" style="3118" customWidth="1"/>
    <col min="318" max="320" width="1" style="3118"/>
    <col min="321" max="321" width="1" style="3118" customWidth="1"/>
    <col min="322" max="331" width="1" style="3118"/>
    <col min="332" max="333" width="1" style="3118" customWidth="1"/>
    <col min="334" max="572" width="1" style="3118"/>
    <col min="573" max="573" width="1" style="3118" customWidth="1"/>
    <col min="574" max="576" width="1" style="3118"/>
    <col min="577" max="577" width="1" style="3118" customWidth="1"/>
    <col min="578" max="587" width="1" style="3118"/>
    <col min="588" max="589" width="1" style="3118" customWidth="1"/>
    <col min="590" max="828" width="1" style="3118"/>
    <col min="829" max="829" width="1" style="3118" customWidth="1"/>
    <col min="830" max="832" width="1" style="3118"/>
    <col min="833" max="833" width="1" style="3118" customWidth="1"/>
    <col min="834" max="843" width="1" style="3118"/>
    <col min="844" max="845" width="1" style="3118" customWidth="1"/>
    <col min="846" max="1084" width="1" style="3118"/>
    <col min="1085" max="1085" width="1" style="3118" customWidth="1"/>
    <col min="1086" max="1088" width="1" style="3118"/>
    <col min="1089" max="1089" width="1" style="3118" customWidth="1"/>
    <col min="1090" max="1099" width="1" style="3118"/>
    <col min="1100" max="1101" width="1" style="3118" customWidth="1"/>
    <col min="1102" max="1340" width="1" style="3118"/>
    <col min="1341" max="1341" width="1" style="3118" customWidth="1"/>
    <col min="1342" max="1344" width="1" style="3118"/>
    <col min="1345" max="1345" width="1" style="3118" customWidth="1"/>
    <col min="1346" max="1355" width="1" style="3118"/>
    <col min="1356" max="1357" width="1" style="3118" customWidth="1"/>
    <col min="1358" max="1596" width="1" style="3118"/>
    <col min="1597" max="1597" width="1" style="3118" customWidth="1"/>
    <col min="1598" max="1600" width="1" style="3118"/>
    <col min="1601" max="1601" width="1" style="3118" customWidth="1"/>
    <col min="1602" max="1611" width="1" style="3118"/>
    <col min="1612" max="1613" width="1" style="3118" customWidth="1"/>
    <col min="1614" max="1852" width="1" style="3118"/>
    <col min="1853" max="1853" width="1" style="3118" customWidth="1"/>
    <col min="1854" max="1856" width="1" style="3118"/>
    <col min="1857" max="1857" width="1" style="3118" customWidth="1"/>
    <col min="1858" max="1867" width="1" style="3118"/>
    <col min="1868" max="1869" width="1" style="3118" customWidth="1"/>
    <col min="1870" max="2108" width="1" style="3118"/>
    <col min="2109" max="2109" width="1" style="3118" customWidth="1"/>
    <col min="2110" max="2112" width="1" style="3118"/>
    <col min="2113" max="2113" width="1" style="3118" customWidth="1"/>
    <col min="2114" max="2123" width="1" style="3118"/>
    <col min="2124" max="2125" width="1" style="3118" customWidth="1"/>
    <col min="2126" max="2364" width="1" style="3118"/>
    <col min="2365" max="2365" width="1" style="3118" customWidth="1"/>
    <col min="2366" max="2368" width="1" style="3118"/>
    <col min="2369" max="2369" width="1" style="3118" customWidth="1"/>
    <col min="2370" max="2379" width="1" style="3118"/>
    <col min="2380" max="2381" width="1" style="3118" customWidth="1"/>
    <col min="2382" max="2620" width="1" style="3118"/>
    <col min="2621" max="2621" width="1" style="3118" customWidth="1"/>
    <col min="2622" max="2624" width="1" style="3118"/>
    <col min="2625" max="2625" width="1" style="3118" customWidth="1"/>
    <col min="2626" max="2635" width="1" style="3118"/>
    <col min="2636" max="2637" width="1" style="3118" customWidth="1"/>
    <col min="2638" max="2876" width="1" style="3118"/>
    <col min="2877" max="2877" width="1" style="3118" customWidth="1"/>
    <col min="2878" max="2880" width="1" style="3118"/>
    <col min="2881" max="2881" width="1" style="3118" customWidth="1"/>
    <col min="2882" max="2891" width="1" style="3118"/>
    <col min="2892" max="2893" width="1" style="3118" customWidth="1"/>
    <col min="2894" max="3132" width="1" style="3118"/>
    <col min="3133" max="3133" width="1" style="3118" customWidth="1"/>
    <col min="3134" max="3136" width="1" style="3118"/>
    <col min="3137" max="3137" width="1" style="3118" customWidth="1"/>
    <col min="3138" max="3147" width="1" style="3118"/>
    <col min="3148" max="3149" width="1" style="3118" customWidth="1"/>
    <col min="3150" max="3388" width="1" style="3118"/>
    <col min="3389" max="3389" width="1" style="3118" customWidth="1"/>
    <col min="3390" max="3392" width="1" style="3118"/>
    <col min="3393" max="3393" width="1" style="3118" customWidth="1"/>
    <col min="3394" max="3403" width="1" style="3118"/>
    <col min="3404" max="3405" width="1" style="3118" customWidth="1"/>
    <col min="3406" max="3644" width="1" style="3118"/>
    <col min="3645" max="3645" width="1" style="3118" customWidth="1"/>
    <col min="3646" max="3648" width="1" style="3118"/>
    <col min="3649" max="3649" width="1" style="3118" customWidth="1"/>
    <col min="3650" max="3659" width="1" style="3118"/>
    <col min="3660" max="3661" width="1" style="3118" customWidth="1"/>
    <col min="3662" max="3900" width="1" style="3118"/>
    <col min="3901" max="3901" width="1" style="3118" customWidth="1"/>
    <col min="3902" max="3904" width="1" style="3118"/>
    <col min="3905" max="3905" width="1" style="3118" customWidth="1"/>
    <col min="3906" max="3915" width="1" style="3118"/>
    <col min="3916" max="3917" width="1" style="3118" customWidth="1"/>
    <col min="3918" max="4156" width="1" style="3118"/>
    <col min="4157" max="4157" width="1" style="3118" customWidth="1"/>
    <col min="4158" max="4160" width="1" style="3118"/>
    <col min="4161" max="4161" width="1" style="3118" customWidth="1"/>
    <col min="4162" max="4171" width="1" style="3118"/>
    <col min="4172" max="4173" width="1" style="3118" customWidth="1"/>
    <col min="4174" max="4412" width="1" style="3118"/>
    <col min="4413" max="4413" width="1" style="3118" customWidth="1"/>
    <col min="4414" max="4416" width="1" style="3118"/>
    <col min="4417" max="4417" width="1" style="3118" customWidth="1"/>
    <col min="4418" max="4427" width="1" style="3118"/>
    <col min="4428" max="4429" width="1" style="3118" customWidth="1"/>
    <col min="4430" max="4668" width="1" style="3118"/>
    <col min="4669" max="4669" width="1" style="3118" customWidth="1"/>
    <col min="4670" max="4672" width="1" style="3118"/>
    <col min="4673" max="4673" width="1" style="3118" customWidth="1"/>
    <col min="4674" max="4683" width="1" style="3118"/>
    <col min="4684" max="4685" width="1" style="3118" customWidth="1"/>
    <col min="4686" max="4924" width="1" style="3118"/>
    <col min="4925" max="4925" width="1" style="3118" customWidth="1"/>
    <col min="4926" max="4928" width="1" style="3118"/>
    <col min="4929" max="4929" width="1" style="3118" customWidth="1"/>
    <col min="4930" max="4939" width="1" style="3118"/>
    <col min="4940" max="4941" width="1" style="3118" customWidth="1"/>
    <col min="4942" max="5180" width="1" style="3118"/>
    <col min="5181" max="5181" width="1" style="3118" customWidth="1"/>
    <col min="5182" max="5184" width="1" style="3118"/>
    <col min="5185" max="5185" width="1" style="3118" customWidth="1"/>
    <col min="5186" max="5195" width="1" style="3118"/>
    <col min="5196" max="5197" width="1" style="3118" customWidth="1"/>
    <col min="5198" max="5436" width="1" style="3118"/>
    <col min="5437" max="5437" width="1" style="3118" customWidth="1"/>
    <col min="5438" max="5440" width="1" style="3118"/>
    <col min="5441" max="5441" width="1" style="3118" customWidth="1"/>
    <col min="5442" max="5451" width="1" style="3118"/>
    <col min="5452" max="5453" width="1" style="3118" customWidth="1"/>
    <col min="5454" max="5692" width="1" style="3118"/>
    <col min="5693" max="5693" width="1" style="3118" customWidth="1"/>
    <col min="5694" max="5696" width="1" style="3118"/>
    <col min="5697" max="5697" width="1" style="3118" customWidth="1"/>
    <col min="5698" max="5707" width="1" style="3118"/>
    <col min="5708" max="5709" width="1" style="3118" customWidth="1"/>
    <col min="5710" max="5948" width="1" style="3118"/>
    <col min="5949" max="5949" width="1" style="3118" customWidth="1"/>
    <col min="5950" max="5952" width="1" style="3118"/>
    <col min="5953" max="5953" width="1" style="3118" customWidth="1"/>
    <col min="5954" max="5963" width="1" style="3118"/>
    <col min="5964" max="5965" width="1" style="3118" customWidth="1"/>
    <col min="5966" max="6204" width="1" style="3118"/>
    <col min="6205" max="6205" width="1" style="3118" customWidth="1"/>
    <col min="6206" max="6208" width="1" style="3118"/>
    <col min="6209" max="6209" width="1" style="3118" customWidth="1"/>
    <col min="6210" max="6219" width="1" style="3118"/>
    <col min="6220" max="6221" width="1" style="3118" customWidth="1"/>
    <col min="6222" max="6460" width="1" style="3118"/>
    <col min="6461" max="6461" width="1" style="3118" customWidth="1"/>
    <col min="6462" max="6464" width="1" style="3118"/>
    <col min="6465" max="6465" width="1" style="3118" customWidth="1"/>
    <col min="6466" max="6475" width="1" style="3118"/>
    <col min="6476" max="6477" width="1" style="3118" customWidth="1"/>
    <col min="6478" max="6716" width="1" style="3118"/>
    <col min="6717" max="6717" width="1" style="3118" customWidth="1"/>
    <col min="6718" max="6720" width="1" style="3118"/>
    <col min="6721" max="6721" width="1" style="3118" customWidth="1"/>
    <col min="6722" max="6731" width="1" style="3118"/>
    <col min="6732" max="6733" width="1" style="3118" customWidth="1"/>
    <col min="6734" max="6972" width="1" style="3118"/>
    <col min="6973" max="6973" width="1" style="3118" customWidth="1"/>
    <col min="6974" max="6976" width="1" style="3118"/>
    <col min="6977" max="6977" width="1" style="3118" customWidth="1"/>
    <col min="6978" max="6987" width="1" style="3118"/>
    <col min="6988" max="6989" width="1" style="3118" customWidth="1"/>
    <col min="6990" max="7228" width="1" style="3118"/>
    <col min="7229" max="7229" width="1" style="3118" customWidth="1"/>
    <col min="7230" max="7232" width="1" style="3118"/>
    <col min="7233" max="7233" width="1" style="3118" customWidth="1"/>
    <col min="7234" max="7243" width="1" style="3118"/>
    <col min="7244" max="7245" width="1" style="3118" customWidth="1"/>
    <col min="7246" max="7484" width="1" style="3118"/>
    <col min="7485" max="7485" width="1" style="3118" customWidth="1"/>
    <col min="7486" max="7488" width="1" style="3118"/>
    <col min="7489" max="7489" width="1" style="3118" customWidth="1"/>
    <col min="7490" max="7499" width="1" style="3118"/>
    <col min="7500" max="7501" width="1" style="3118" customWidth="1"/>
    <col min="7502" max="7740" width="1" style="3118"/>
    <col min="7741" max="7741" width="1" style="3118" customWidth="1"/>
    <col min="7742" max="7744" width="1" style="3118"/>
    <col min="7745" max="7745" width="1" style="3118" customWidth="1"/>
    <col min="7746" max="7755" width="1" style="3118"/>
    <col min="7756" max="7757" width="1" style="3118" customWidth="1"/>
    <col min="7758" max="7996" width="1" style="3118"/>
    <col min="7997" max="7997" width="1" style="3118" customWidth="1"/>
    <col min="7998" max="8000" width="1" style="3118"/>
    <col min="8001" max="8001" width="1" style="3118" customWidth="1"/>
    <col min="8002" max="8011" width="1" style="3118"/>
    <col min="8012" max="8013" width="1" style="3118" customWidth="1"/>
    <col min="8014" max="8252" width="1" style="3118"/>
    <col min="8253" max="8253" width="1" style="3118" customWidth="1"/>
    <col min="8254" max="8256" width="1" style="3118"/>
    <col min="8257" max="8257" width="1" style="3118" customWidth="1"/>
    <col min="8258" max="8267" width="1" style="3118"/>
    <col min="8268" max="8269" width="1" style="3118" customWidth="1"/>
    <col min="8270" max="8508" width="1" style="3118"/>
    <col min="8509" max="8509" width="1" style="3118" customWidth="1"/>
    <col min="8510" max="8512" width="1" style="3118"/>
    <col min="8513" max="8513" width="1" style="3118" customWidth="1"/>
    <col min="8514" max="8523" width="1" style="3118"/>
    <col min="8524" max="8525" width="1" style="3118" customWidth="1"/>
    <col min="8526" max="8764" width="1" style="3118"/>
    <col min="8765" max="8765" width="1" style="3118" customWidth="1"/>
    <col min="8766" max="8768" width="1" style="3118"/>
    <col min="8769" max="8769" width="1" style="3118" customWidth="1"/>
    <col min="8770" max="8779" width="1" style="3118"/>
    <col min="8780" max="8781" width="1" style="3118" customWidth="1"/>
    <col min="8782" max="9020" width="1" style="3118"/>
    <col min="9021" max="9021" width="1" style="3118" customWidth="1"/>
    <col min="9022" max="9024" width="1" style="3118"/>
    <col min="9025" max="9025" width="1" style="3118" customWidth="1"/>
    <col min="9026" max="9035" width="1" style="3118"/>
    <col min="9036" max="9037" width="1" style="3118" customWidth="1"/>
    <col min="9038" max="9276" width="1" style="3118"/>
    <col min="9277" max="9277" width="1" style="3118" customWidth="1"/>
    <col min="9278" max="9280" width="1" style="3118"/>
    <col min="9281" max="9281" width="1" style="3118" customWidth="1"/>
    <col min="9282" max="9291" width="1" style="3118"/>
    <col min="9292" max="9293" width="1" style="3118" customWidth="1"/>
    <col min="9294" max="9532" width="1" style="3118"/>
    <col min="9533" max="9533" width="1" style="3118" customWidth="1"/>
    <col min="9534" max="9536" width="1" style="3118"/>
    <col min="9537" max="9537" width="1" style="3118" customWidth="1"/>
    <col min="9538" max="9547" width="1" style="3118"/>
    <col min="9548" max="9549" width="1" style="3118" customWidth="1"/>
    <col min="9550" max="9788" width="1" style="3118"/>
    <col min="9789" max="9789" width="1" style="3118" customWidth="1"/>
    <col min="9790" max="9792" width="1" style="3118"/>
    <col min="9793" max="9793" width="1" style="3118" customWidth="1"/>
    <col min="9794" max="9803" width="1" style="3118"/>
    <col min="9804" max="9805" width="1" style="3118" customWidth="1"/>
    <col min="9806" max="10044" width="1" style="3118"/>
    <col min="10045" max="10045" width="1" style="3118" customWidth="1"/>
    <col min="10046" max="10048" width="1" style="3118"/>
    <col min="10049" max="10049" width="1" style="3118" customWidth="1"/>
    <col min="10050" max="10059" width="1" style="3118"/>
    <col min="10060" max="10061" width="1" style="3118" customWidth="1"/>
    <col min="10062" max="10300" width="1" style="3118"/>
    <col min="10301" max="10301" width="1" style="3118" customWidth="1"/>
    <col min="10302" max="10304" width="1" style="3118"/>
    <col min="10305" max="10305" width="1" style="3118" customWidth="1"/>
    <col min="10306" max="10315" width="1" style="3118"/>
    <col min="10316" max="10317" width="1" style="3118" customWidth="1"/>
    <col min="10318" max="10556" width="1" style="3118"/>
    <col min="10557" max="10557" width="1" style="3118" customWidth="1"/>
    <col min="10558" max="10560" width="1" style="3118"/>
    <col min="10561" max="10561" width="1" style="3118" customWidth="1"/>
    <col min="10562" max="10571" width="1" style="3118"/>
    <col min="10572" max="10573" width="1" style="3118" customWidth="1"/>
    <col min="10574" max="10812" width="1" style="3118"/>
    <col min="10813" max="10813" width="1" style="3118" customWidth="1"/>
    <col min="10814" max="10816" width="1" style="3118"/>
    <col min="10817" max="10817" width="1" style="3118" customWidth="1"/>
    <col min="10818" max="10827" width="1" style="3118"/>
    <col min="10828" max="10829" width="1" style="3118" customWidth="1"/>
    <col min="10830" max="11068" width="1" style="3118"/>
    <col min="11069" max="11069" width="1" style="3118" customWidth="1"/>
    <col min="11070" max="11072" width="1" style="3118"/>
    <col min="11073" max="11073" width="1" style="3118" customWidth="1"/>
    <col min="11074" max="11083" width="1" style="3118"/>
    <col min="11084" max="11085" width="1" style="3118" customWidth="1"/>
    <col min="11086" max="11324" width="1" style="3118"/>
    <col min="11325" max="11325" width="1" style="3118" customWidth="1"/>
    <col min="11326" max="11328" width="1" style="3118"/>
    <col min="11329" max="11329" width="1" style="3118" customWidth="1"/>
    <col min="11330" max="11339" width="1" style="3118"/>
    <col min="11340" max="11341" width="1" style="3118" customWidth="1"/>
    <col min="11342" max="11580" width="1" style="3118"/>
    <col min="11581" max="11581" width="1" style="3118" customWidth="1"/>
    <col min="11582" max="11584" width="1" style="3118"/>
    <col min="11585" max="11585" width="1" style="3118" customWidth="1"/>
    <col min="11586" max="11595" width="1" style="3118"/>
    <col min="11596" max="11597" width="1" style="3118" customWidth="1"/>
    <col min="11598" max="11836" width="1" style="3118"/>
    <col min="11837" max="11837" width="1" style="3118" customWidth="1"/>
    <col min="11838" max="11840" width="1" style="3118"/>
    <col min="11841" max="11841" width="1" style="3118" customWidth="1"/>
    <col min="11842" max="11851" width="1" style="3118"/>
    <col min="11852" max="11853" width="1" style="3118" customWidth="1"/>
    <col min="11854" max="12092" width="1" style="3118"/>
    <col min="12093" max="12093" width="1" style="3118" customWidth="1"/>
    <col min="12094" max="12096" width="1" style="3118"/>
    <col min="12097" max="12097" width="1" style="3118" customWidth="1"/>
    <col min="12098" max="12107" width="1" style="3118"/>
    <col min="12108" max="12109" width="1" style="3118" customWidth="1"/>
    <col min="12110" max="12348" width="1" style="3118"/>
    <col min="12349" max="12349" width="1" style="3118" customWidth="1"/>
    <col min="12350" max="12352" width="1" style="3118"/>
    <col min="12353" max="12353" width="1" style="3118" customWidth="1"/>
    <col min="12354" max="12363" width="1" style="3118"/>
    <col min="12364" max="12365" width="1" style="3118" customWidth="1"/>
    <col min="12366" max="12604" width="1" style="3118"/>
    <col min="12605" max="12605" width="1" style="3118" customWidth="1"/>
    <col min="12606" max="12608" width="1" style="3118"/>
    <col min="12609" max="12609" width="1" style="3118" customWidth="1"/>
    <col min="12610" max="12619" width="1" style="3118"/>
    <col min="12620" max="12621" width="1" style="3118" customWidth="1"/>
    <col min="12622" max="12860" width="1" style="3118"/>
    <col min="12861" max="12861" width="1" style="3118" customWidth="1"/>
    <col min="12862" max="12864" width="1" style="3118"/>
    <col min="12865" max="12865" width="1" style="3118" customWidth="1"/>
    <col min="12866" max="12875" width="1" style="3118"/>
    <col min="12876" max="12877" width="1" style="3118" customWidth="1"/>
    <col min="12878" max="13116" width="1" style="3118"/>
    <col min="13117" max="13117" width="1" style="3118" customWidth="1"/>
    <col min="13118" max="13120" width="1" style="3118"/>
    <col min="13121" max="13121" width="1" style="3118" customWidth="1"/>
    <col min="13122" max="13131" width="1" style="3118"/>
    <col min="13132" max="13133" width="1" style="3118" customWidth="1"/>
    <col min="13134" max="13372" width="1" style="3118"/>
    <col min="13373" max="13373" width="1" style="3118" customWidth="1"/>
    <col min="13374" max="13376" width="1" style="3118"/>
    <col min="13377" max="13377" width="1" style="3118" customWidth="1"/>
    <col min="13378" max="13387" width="1" style="3118"/>
    <col min="13388" max="13389" width="1" style="3118" customWidth="1"/>
    <col min="13390" max="13628" width="1" style="3118"/>
    <col min="13629" max="13629" width="1" style="3118" customWidth="1"/>
    <col min="13630" max="13632" width="1" style="3118"/>
    <col min="13633" max="13633" width="1" style="3118" customWidth="1"/>
    <col min="13634" max="13643" width="1" style="3118"/>
    <col min="13644" max="13645" width="1" style="3118" customWidth="1"/>
    <col min="13646" max="13884" width="1" style="3118"/>
    <col min="13885" max="13885" width="1" style="3118" customWidth="1"/>
    <col min="13886" max="13888" width="1" style="3118"/>
    <col min="13889" max="13889" width="1" style="3118" customWidth="1"/>
    <col min="13890" max="13899" width="1" style="3118"/>
    <col min="13900" max="13901" width="1" style="3118" customWidth="1"/>
    <col min="13902" max="14140" width="1" style="3118"/>
    <col min="14141" max="14141" width="1" style="3118" customWidth="1"/>
    <col min="14142" max="14144" width="1" style="3118"/>
    <col min="14145" max="14145" width="1" style="3118" customWidth="1"/>
    <col min="14146" max="14155" width="1" style="3118"/>
    <col min="14156" max="14157" width="1" style="3118" customWidth="1"/>
    <col min="14158" max="14396" width="1" style="3118"/>
    <col min="14397" max="14397" width="1" style="3118" customWidth="1"/>
    <col min="14398" max="14400" width="1" style="3118"/>
    <col min="14401" max="14401" width="1" style="3118" customWidth="1"/>
    <col min="14402" max="14411" width="1" style="3118"/>
    <col min="14412" max="14413" width="1" style="3118" customWidth="1"/>
    <col min="14414" max="14652" width="1" style="3118"/>
    <col min="14653" max="14653" width="1" style="3118" customWidth="1"/>
    <col min="14654" max="14656" width="1" style="3118"/>
    <col min="14657" max="14657" width="1" style="3118" customWidth="1"/>
    <col min="14658" max="14667" width="1" style="3118"/>
    <col min="14668" max="14669" width="1" style="3118" customWidth="1"/>
    <col min="14670" max="14908" width="1" style="3118"/>
    <col min="14909" max="14909" width="1" style="3118" customWidth="1"/>
    <col min="14910" max="14912" width="1" style="3118"/>
    <col min="14913" max="14913" width="1" style="3118" customWidth="1"/>
    <col min="14914" max="14923" width="1" style="3118"/>
    <col min="14924" max="14925" width="1" style="3118" customWidth="1"/>
    <col min="14926" max="15164" width="1" style="3118"/>
    <col min="15165" max="15165" width="1" style="3118" customWidth="1"/>
    <col min="15166" max="15168" width="1" style="3118"/>
    <col min="15169" max="15169" width="1" style="3118" customWidth="1"/>
    <col min="15170" max="15179" width="1" style="3118"/>
    <col min="15180" max="15181" width="1" style="3118" customWidth="1"/>
    <col min="15182" max="15420" width="1" style="3118"/>
    <col min="15421" max="15421" width="1" style="3118" customWidth="1"/>
    <col min="15422" max="15424" width="1" style="3118"/>
    <col min="15425" max="15425" width="1" style="3118" customWidth="1"/>
    <col min="15426" max="15435" width="1" style="3118"/>
    <col min="15436" max="15437" width="1" style="3118" customWidth="1"/>
    <col min="15438" max="15676" width="1" style="3118"/>
    <col min="15677" max="15677" width="1" style="3118" customWidth="1"/>
    <col min="15678" max="15680" width="1" style="3118"/>
    <col min="15681" max="15681" width="1" style="3118" customWidth="1"/>
    <col min="15682" max="15691" width="1" style="3118"/>
    <col min="15692" max="15693" width="1" style="3118" customWidth="1"/>
    <col min="15694" max="15932" width="1" style="3118"/>
    <col min="15933" max="15933" width="1" style="3118" customWidth="1"/>
    <col min="15934" max="15936" width="1" style="3118"/>
    <col min="15937" max="15937" width="1" style="3118" customWidth="1"/>
    <col min="15938" max="15947" width="1" style="3118"/>
    <col min="15948" max="15949" width="1" style="3118" customWidth="1"/>
    <col min="15950" max="16188" width="1" style="3118"/>
    <col min="16189" max="16189" width="1" style="3118" customWidth="1"/>
    <col min="16190" max="16192" width="1" style="3118"/>
    <col min="16193" max="16193" width="1" style="3118" customWidth="1"/>
    <col min="16194" max="16203" width="1" style="3118"/>
    <col min="16204" max="16205" width="1" style="3118" customWidth="1"/>
    <col min="16206" max="16384" width="1" style="3118"/>
  </cols>
  <sheetData>
    <row r="1" spans="1:161" s="3101" customFormat="1" ht="13.5" customHeight="1" x14ac:dyDescent="0.15">
      <c r="B1" s="3346" t="s">
        <v>1080</v>
      </c>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3346"/>
      <c r="AP1" s="3346"/>
      <c r="AQ1" s="3346"/>
      <c r="AR1" s="3346"/>
      <c r="AS1" s="3346"/>
      <c r="AT1" s="3346"/>
      <c r="AU1" s="3346"/>
      <c r="AV1" s="3346"/>
      <c r="AW1" s="3346"/>
      <c r="AX1" s="3346"/>
      <c r="AY1" s="3346"/>
      <c r="AZ1" s="3346"/>
      <c r="BA1" s="3346"/>
      <c r="BB1" s="3346"/>
      <c r="BC1" s="3346"/>
      <c r="BD1" s="3346"/>
      <c r="BE1" s="3346"/>
      <c r="BF1" s="3346"/>
      <c r="BG1" s="3346"/>
      <c r="BH1" s="3346"/>
      <c r="BI1" s="3346"/>
      <c r="BJ1" s="3346"/>
      <c r="BK1" s="3346"/>
      <c r="BL1" s="3346"/>
      <c r="BM1" s="3346"/>
      <c r="BN1" s="3346"/>
      <c r="BO1" s="3346"/>
      <c r="BP1" s="3346"/>
      <c r="BQ1" s="3346"/>
      <c r="BR1" s="3346"/>
      <c r="BS1" s="3346"/>
      <c r="BT1" s="3346"/>
      <c r="BU1" s="3346"/>
      <c r="BV1" s="3346"/>
      <c r="BW1" s="3346"/>
      <c r="BX1" s="3346"/>
      <c r="BY1" s="3346"/>
      <c r="BZ1" s="3346"/>
      <c r="CA1" s="3346"/>
      <c r="CB1" s="3346"/>
      <c r="CC1" s="3346"/>
      <c r="CD1" s="3346"/>
      <c r="CE1" s="3346"/>
      <c r="CF1" s="3346"/>
      <c r="CG1" s="3346"/>
      <c r="CH1" s="3346"/>
      <c r="CI1" s="3346"/>
      <c r="CJ1" s="3346"/>
      <c r="CK1" s="3346"/>
      <c r="CL1" s="3346"/>
      <c r="CM1" s="3346"/>
      <c r="CN1" s="3346"/>
      <c r="CO1" s="3346"/>
      <c r="CP1" s="3346"/>
      <c r="CQ1" s="3346"/>
      <c r="CR1" s="3346"/>
      <c r="CS1" s="3346"/>
      <c r="CT1" s="3346"/>
      <c r="CU1" s="3346"/>
      <c r="CV1" s="3346"/>
      <c r="CW1" s="3346"/>
      <c r="CX1" s="3346"/>
      <c r="CY1" s="3346"/>
      <c r="CZ1" s="3346"/>
      <c r="DA1" s="3346"/>
      <c r="DB1" s="3346"/>
      <c r="DC1" s="3346"/>
      <c r="DD1" s="3346"/>
      <c r="DE1" s="3346"/>
      <c r="DF1" s="3346"/>
      <c r="DG1" s="3346"/>
      <c r="DH1" s="3346"/>
      <c r="DI1" s="3346"/>
      <c r="DJ1" s="3346"/>
      <c r="DK1" s="3346"/>
      <c r="DL1" s="3346"/>
      <c r="DM1" s="3346"/>
      <c r="DN1" s="3346"/>
      <c r="DO1" s="3346"/>
      <c r="DP1" s="3346"/>
      <c r="DQ1" s="3346"/>
      <c r="DR1" s="3346"/>
      <c r="DS1" s="3346"/>
      <c r="DT1" s="3346"/>
      <c r="DU1" s="3346"/>
      <c r="DV1" s="3346"/>
      <c r="DW1" s="3346"/>
      <c r="DX1" s="3346"/>
      <c r="DY1" s="3346"/>
      <c r="DZ1" s="3346"/>
      <c r="EA1" s="3346"/>
      <c r="EB1" s="3346"/>
      <c r="EC1" s="3346"/>
      <c r="ED1" s="3346"/>
      <c r="EE1" s="3346"/>
      <c r="EF1" s="3346"/>
      <c r="EG1" s="3346"/>
      <c r="EH1" s="3346"/>
      <c r="EI1" s="3346"/>
      <c r="EJ1" s="3346"/>
      <c r="EK1" s="3346"/>
      <c r="EL1" s="3346"/>
      <c r="EM1" s="3346"/>
      <c r="EN1" s="3346"/>
      <c r="EO1" s="3346"/>
      <c r="EP1" s="3346"/>
      <c r="EQ1" s="3346"/>
      <c r="ER1" s="3346"/>
      <c r="ES1" s="3346"/>
      <c r="ET1" s="3346"/>
      <c r="EU1" s="3346"/>
      <c r="EV1" s="3346"/>
      <c r="EW1" s="3346"/>
      <c r="EX1" s="3346"/>
      <c r="EY1" s="3346"/>
      <c r="EZ1" s="3346"/>
      <c r="FA1" s="3346"/>
      <c r="FB1" s="3346"/>
      <c r="FC1" s="3346"/>
      <c r="FD1" s="3346"/>
    </row>
    <row r="3" spans="1:161" ht="11.25" customHeight="1" x14ac:dyDescent="0.2">
      <c r="A3" s="3343" t="s">
        <v>1081</v>
      </c>
      <c r="B3" s="3343"/>
      <c r="C3" s="3343"/>
      <c r="D3" s="3343"/>
      <c r="E3" s="3343"/>
      <c r="F3" s="3343"/>
      <c r="G3" s="3343"/>
      <c r="H3" s="3347"/>
      <c r="I3" s="3351" t="s">
        <v>386</v>
      </c>
      <c r="J3" s="3351"/>
      <c r="K3" s="3351"/>
      <c r="L3" s="3351"/>
      <c r="M3" s="3351"/>
      <c r="N3" s="3351"/>
      <c r="O3" s="3351"/>
      <c r="P3" s="3351"/>
      <c r="Q3" s="3351"/>
      <c r="R3" s="3351"/>
      <c r="S3" s="3351"/>
      <c r="T3" s="3351"/>
      <c r="U3" s="3351"/>
      <c r="V3" s="3351"/>
      <c r="W3" s="3351"/>
      <c r="X3" s="3351"/>
      <c r="Y3" s="3351"/>
      <c r="Z3" s="3351"/>
      <c r="AA3" s="3351"/>
      <c r="AB3" s="3351"/>
      <c r="AC3" s="3351"/>
      <c r="AD3" s="3351"/>
      <c r="AE3" s="3351"/>
      <c r="AF3" s="3351"/>
      <c r="AG3" s="3351"/>
      <c r="AH3" s="3351"/>
      <c r="AI3" s="3351"/>
      <c r="AJ3" s="3351"/>
      <c r="AK3" s="3351"/>
      <c r="AL3" s="3351"/>
      <c r="AM3" s="3351"/>
      <c r="AN3" s="3351"/>
      <c r="AO3" s="3351"/>
      <c r="AP3" s="3351"/>
      <c r="AQ3" s="3351"/>
      <c r="AR3" s="3351"/>
      <c r="AS3" s="3351"/>
      <c r="AT3" s="3351"/>
      <c r="AU3" s="3351"/>
      <c r="AV3" s="3351"/>
      <c r="AW3" s="3351"/>
      <c r="AX3" s="3351"/>
      <c r="AY3" s="3351"/>
      <c r="AZ3" s="3351"/>
      <c r="BA3" s="3351"/>
      <c r="BB3" s="3351"/>
      <c r="BC3" s="3351"/>
      <c r="BD3" s="3351"/>
      <c r="BE3" s="3351"/>
      <c r="BF3" s="3351"/>
      <c r="BG3" s="3351"/>
      <c r="BH3" s="3351"/>
      <c r="BI3" s="3351"/>
      <c r="BJ3" s="3351"/>
      <c r="BK3" s="3351"/>
      <c r="BL3" s="3351"/>
      <c r="BM3" s="3351"/>
      <c r="BN3" s="3351"/>
      <c r="BO3" s="3351"/>
      <c r="BP3" s="3351"/>
      <c r="BQ3" s="3351"/>
      <c r="BR3" s="3351"/>
      <c r="BS3" s="3351"/>
      <c r="BT3" s="3351"/>
      <c r="BU3" s="3351"/>
      <c r="BV3" s="3351"/>
      <c r="BW3" s="3351"/>
      <c r="BX3" s="3351"/>
      <c r="BY3" s="3351"/>
      <c r="BZ3" s="3351"/>
      <c r="CA3" s="3351"/>
      <c r="CB3" s="3351"/>
      <c r="CC3" s="3351"/>
      <c r="CD3" s="3351"/>
      <c r="CE3" s="3351"/>
      <c r="CF3" s="3351"/>
      <c r="CG3" s="3351"/>
      <c r="CH3" s="3351"/>
      <c r="CI3" s="3351"/>
      <c r="CJ3" s="3351"/>
      <c r="CK3" s="3351"/>
      <c r="CL3" s="3351"/>
      <c r="CM3" s="3352"/>
      <c r="CN3" s="3342" t="s">
        <v>1082</v>
      </c>
      <c r="CO3" s="3343"/>
      <c r="CP3" s="3343"/>
      <c r="CQ3" s="3343"/>
      <c r="CR3" s="3343"/>
      <c r="CS3" s="3343"/>
      <c r="CT3" s="3343"/>
      <c r="CU3" s="3347"/>
      <c r="CV3" s="3342" t="s">
        <v>1083</v>
      </c>
      <c r="CW3" s="3343"/>
      <c r="CX3" s="3343"/>
      <c r="CY3" s="3343"/>
      <c r="CZ3" s="3343"/>
      <c r="DA3" s="3343"/>
      <c r="DB3" s="3343"/>
      <c r="DC3" s="3343"/>
      <c r="DD3" s="3343"/>
      <c r="DE3" s="3347"/>
      <c r="DF3" s="3358" t="s">
        <v>81</v>
      </c>
      <c r="DG3" s="3359"/>
      <c r="DH3" s="3359"/>
      <c r="DI3" s="3359"/>
      <c r="DJ3" s="3359"/>
      <c r="DK3" s="3359"/>
      <c r="DL3" s="3359"/>
      <c r="DM3" s="3359"/>
      <c r="DN3" s="3359"/>
      <c r="DO3" s="3359"/>
      <c r="DP3" s="3359"/>
      <c r="DQ3" s="3359"/>
      <c r="DR3" s="3359"/>
      <c r="DS3" s="3359"/>
      <c r="DT3" s="3359"/>
      <c r="DU3" s="3359"/>
      <c r="DV3" s="3359"/>
      <c r="DW3" s="3359"/>
      <c r="DX3" s="3359"/>
      <c r="DY3" s="3359"/>
      <c r="DZ3" s="3359"/>
      <c r="EA3" s="3359"/>
      <c r="EB3" s="3359"/>
      <c r="EC3" s="3359"/>
      <c r="ED3" s="3359"/>
      <c r="EE3" s="3359"/>
      <c r="EF3" s="3359"/>
      <c r="EG3" s="3359"/>
      <c r="EH3" s="3359"/>
      <c r="EI3" s="3359"/>
      <c r="EJ3" s="3359"/>
      <c r="EK3" s="3359"/>
      <c r="EL3" s="3359"/>
      <c r="EM3" s="3359"/>
      <c r="EN3" s="3359"/>
      <c r="EO3" s="3359"/>
      <c r="EP3" s="3359"/>
      <c r="EQ3" s="3359"/>
      <c r="ER3" s="3359"/>
      <c r="ES3" s="3359"/>
      <c r="ET3" s="3359"/>
      <c r="EU3" s="3359"/>
      <c r="EV3" s="3359"/>
      <c r="EW3" s="3359"/>
      <c r="EX3" s="3359"/>
      <c r="EY3" s="3359"/>
      <c r="EZ3" s="3359"/>
      <c r="FA3" s="3359"/>
      <c r="FB3" s="3359"/>
      <c r="FC3" s="3359"/>
      <c r="FD3" s="3359"/>
      <c r="FE3" s="3359"/>
    </row>
    <row r="4" spans="1:161" ht="11.25" customHeight="1" x14ac:dyDescent="0.2">
      <c r="A4" s="3348"/>
      <c r="B4" s="3348"/>
      <c r="C4" s="3348"/>
      <c r="D4" s="3348"/>
      <c r="E4" s="3348"/>
      <c r="F4" s="3348"/>
      <c r="G4" s="3348"/>
      <c r="H4" s="3349"/>
      <c r="I4" s="3353"/>
      <c r="J4" s="3353"/>
      <c r="K4" s="3353"/>
      <c r="L4" s="3353"/>
      <c r="M4" s="3353"/>
      <c r="N4" s="3353"/>
      <c r="O4" s="3353"/>
      <c r="P4" s="3353"/>
      <c r="Q4" s="3353"/>
      <c r="R4" s="3353"/>
      <c r="S4" s="3353"/>
      <c r="T4" s="3353"/>
      <c r="U4" s="3353"/>
      <c r="V4" s="3353"/>
      <c r="W4" s="3353"/>
      <c r="X4" s="3353"/>
      <c r="Y4" s="3353"/>
      <c r="Z4" s="3353"/>
      <c r="AA4" s="3353"/>
      <c r="AB4" s="3353"/>
      <c r="AC4" s="3353"/>
      <c r="AD4" s="3353"/>
      <c r="AE4" s="3353"/>
      <c r="AF4" s="3353"/>
      <c r="AG4" s="3353"/>
      <c r="AH4" s="3353"/>
      <c r="AI4" s="3353"/>
      <c r="AJ4" s="3353"/>
      <c r="AK4" s="3353"/>
      <c r="AL4" s="3353"/>
      <c r="AM4" s="3353"/>
      <c r="AN4" s="3353"/>
      <c r="AO4" s="3353"/>
      <c r="AP4" s="3353"/>
      <c r="AQ4" s="3353"/>
      <c r="AR4" s="3353"/>
      <c r="AS4" s="3353"/>
      <c r="AT4" s="3353"/>
      <c r="AU4" s="3353"/>
      <c r="AV4" s="3353"/>
      <c r="AW4" s="3353"/>
      <c r="AX4" s="3353"/>
      <c r="AY4" s="3353"/>
      <c r="AZ4" s="3353"/>
      <c r="BA4" s="3353"/>
      <c r="BB4" s="3353"/>
      <c r="BC4" s="3353"/>
      <c r="BD4" s="3353"/>
      <c r="BE4" s="3353"/>
      <c r="BF4" s="3353"/>
      <c r="BG4" s="3353"/>
      <c r="BH4" s="3353"/>
      <c r="BI4" s="3353"/>
      <c r="BJ4" s="3353"/>
      <c r="BK4" s="3353"/>
      <c r="BL4" s="3353"/>
      <c r="BM4" s="3353"/>
      <c r="BN4" s="3353"/>
      <c r="BO4" s="3353"/>
      <c r="BP4" s="3353"/>
      <c r="BQ4" s="3353"/>
      <c r="BR4" s="3353"/>
      <c r="BS4" s="3353"/>
      <c r="BT4" s="3353"/>
      <c r="BU4" s="3353"/>
      <c r="BV4" s="3353"/>
      <c r="BW4" s="3353"/>
      <c r="BX4" s="3353"/>
      <c r="BY4" s="3353"/>
      <c r="BZ4" s="3353"/>
      <c r="CA4" s="3353"/>
      <c r="CB4" s="3353"/>
      <c r="CC4" s="3353"/>
      <c r="CD4" s="3353"/>
      <c r="CE4" s="3353"/>
      <c r="CF4" s="3353"/>
      <c r="CG4" s="3353"/>
      <c r="CH4" s="3353"/>
      <c r="CI4" s="3353"/>
      <c r="CJ4" s="3353"/>
      <c r="CK4" s="3353"/>
      <c r="CL4" s="3353"/>
      <c r="CM4" s="3354"/>
      <c r="CN4" s="3357"/>
      <c r="CO4" s="3348"/>
      <c r="CP4" s="3348"/>
      <c r="CQ4" s="3348"/>
      <c r="CR4" s="3348"/>
      <c r="CS4" s="3348"/>
      <c r="CT4" s="3348"/>
      <c r="CU4" s="3349"/>
      <c r="CV4" s="3357"/>
      <c r="CW4" s="3348"/>
      <c r="CX4" s="3348"/>
      <c r="CY4" s="3348"/>
      <c r="CZ4" s="3348"/>
      <c r="DA4" s="3348"/>
      <c r="DB4" s="3348"/>
      <c r="DC4" s="3348"/>
      <c r="DD4" s="3348"/>
      <c r="DE4" s="3349"/>
      <c r="DF4" s="3340" t="s">
        <v>1084</v>
      </c>
      <c r="DG4" s="3341"/>
      <c r="DH4" s="3341"/>
      <c r="DI4" s="3341"/>
      <c r="DJ4" s="3341"/>
      <c r="DK4" s="3341"/>
      <c r="DL4" s="3337" t="s">
        <v>1215</v>
      </c>
      <c r="DM4" s="3337"/>
      <c r="DN4" s="3337"/>
      <c r="DO4" s="3338" t="s">
        <v>1085</v>
      </c>
      <c r="DP4" s="3338"/>
      <c r="DQ4" s="3338"/>
      <c r="DR4" s="3339"/>
      <c r="DS4" s="3340" t="s">
        <v>1084</v>
      </c>
      <c r="DT4" s="3341"/>
      <c r="DU4" s="3341"/>
      <c r="DV4" s="3341"/>
      <c r="DW4" s="3341"/>
      <c r="DX4" s="3341"/>
      <c r="DY4" s="3337" t="s">
        <v>1216</v>
      </c>
      <c r="DZ4" s="3337"/>
      <c r="EA4" s="3337"/>
      <c r="EB4" s="3338" t="s">
        <v>1085</v>
      </c>
      <c r="EC4" s="3338"/>
      <c r="ED4" s="3338"/>
      <c r="EE4" s="3339"/>
      <c r="EF4" s="3340" t="s">
        <v>1084</v>
      </c>
      <c r="EG4" s="3341"/>
      <c r="EH4" s="3341"/>
      <c r="EI4" s="3341"/>
      <c r="EJ4" s="3341"/>
      <c r="EK4" s="3341"/>
      <c r="EL4" s="3337" t="s">
        <v>1217</v>
      </c>
      <c r="EM4" s="3337"/>
      <c r="EN4" s="3337"/>
      <c r="EO4" s="3338" t="s">
        <v>1085</v>
      </c>
      <c r="EP4" s="3338"/>
      <c r="EQ4" s="3338"/>
      <c r="ER4" s="3339"/>
      <c r="ES4" s="3342" t="s">
        <v>1086</v>
      </c>
      <c r="ET4" s="3343"/>
      <c r="EU4" s="3343"/>
      <c r="EV4" s="3343"/>
      <c r="EW4" s="3343"/>
      <c r="EX4" s="3343"/>
      <c r="EY4" s="3343"/>
      <c r="EZ4" s="3343"/>
      <c r="FA4" s="3343"/>
      <c r="FB4" s="3343"/>
      <c r="FC4" s="3343"/>
      <c r="FD4" s="3343"/>
      <c r="FE4" s="3343"/>
    </row>
    <row r="5" spans="1:161" ht="39" customHeight="1" x14ac:dyDescent="0.2">
      <c r="A5" s="3345"/>
      <c r="B5" s="3345"/>
      <c r="C5" s="3345"/>
      <c r="D5" s="3345"/>
      <c r="E5" s="3345"/>
      <c r="F5" s="3345"/>
      <c r="G5" s="3345"/>
      <c r="H5" s="3350"/>
      <c r="I5" s="3355"/>
      <c r="J5" s="3355"/>
      <c r="K5" s="3355"/>
      <c r="L5" s="3355"/>
      <c r="M5" s="3355"/>
      <c r="N5" s="3355"/>
      <c r="O5" s="3355"/>
      <c r="P5" s="3355"/>
      <c r="Q5" s="3355"/>
      <c r="R5" s="3355"/>
      <c r="S5" s="3355"/>
      <c r="T5" s="3355"/>
      <c r="U5" s="3355"/>
      <c r="V5" s="3355"/>
      <c r="W5" s="3355"/>
      <c r="X5" s="3355"/>
      <c r="Y5" s="3355"/>
      <c r="Z5" s="3355"/>
      <c r="AA5" s="3355"/>
      <c r="AB5" s="3355"/>
      <c r="AC5" s="3355"/>
      <c r="AD5" s="3355"/>
      <c r="AE5" s="3355"/>
      <c r="AF5" s="3355"/>
      <c r="AG5" s="3355"/>
      <c r="AH5" s="3355"/>
      <c r="AI5" s="3355"/>
      <c r="AJ5" s="3355"/>
      <c r="AK5" s="3355"/>
      <c r="AL5" s="3355"/>
      <c r="AM5" s="3355"/>
      <c r="AN5" s="3355"/>
      <c r="AO5" s="3355"/>
      <c r="AP5" s="3355"/>
      <c r="AQ5" s="3355"/>
      <c r="AR5" s="3355"/>
      <c r="AS5" s="3355"/>
      <c r="AT5" s="3355"/>
      <c r="AU5" s="3355"/>
      <c r="AV5" s="3355"/>
      <c r="AW5" s="3355"/>
      <c r="AX5" s="3355"/>
      <c r="AY5" s="3355"/>
      <c r="AZ5" s="3355"/>
      <c r="BA5" s="3355"/>
      <c r="BB5" s="3355"/>
      <c r="BC5" s="3355"/>
      <c r="BD5" s="3355"/>
      <c r="BE5" s="3355"/>
      <c r="BF5" s="3355"/>
      <c r="BG5" s="3355"/>
      <c r="BH5" s="3355"/>
      <c r="BI5" s="3355"/>
      <c r="BJ5" s="3355"/>
      <c r="BK5" s="3355"/>
      <c r="BL5" s="3355"/>
      <c r="BM5" s="3355"/>
      <c r="BN5" s="3355"/>
      <c r="BO5" s="3355"/>
      <c r="BP5" s="3355"/>
      <c r="BQ5" s="3355"/>
      <c r="BR5" s="3355"/>
      <c r="BS5" s="3355"/>
      <c r="BT5" s="3355"/>
      <c r="BU5" s="3355"/>
      <c r="BV5" s="3355"/>
      <c r="BW5" s="3355"/>
      <c r="BX5" s="3355"/>
      <c r="BY5" s="3355"/>
      <c r="BZ5" s="3355"/>
      <c r="CA5" s="3355"/>
      <c r="CB5" s="3355"/>
      <c r="CC5" s="3355"/>
      <c r="CD5" s="3355"/>
      <c r="CE5" s="3355"/>
      <c r="CF5" s="3355"/>
      <c r="CG5" s="3355"/>
      <c r="CH5" s="3355"/>
      <c r="CI5" s="3355"/>
      <c r="CJ5" s="3355"/>
      <c r="CK5" s="3355"/>
      <c r="CL5" s="3355"/>
      <c r="CM5" s="3356"/>
      <c r="CN5" s="3344"/>
      <c r="CO5" s="3345"/>
      <c r="CP5" s="3345"/>
      <c r="CQ5" s="3345"/>
      <c r="CR5" s="3345"/>
      <c r="CS5" s="3345"/>
      <c r="CT5" s="3345"/>
      <c r="CU5" s="3350"/>
      <c r="CV5" s="3344"/>
      <c r="CW5" s="3345"/>
      <c r="CX5" s="3345"/>
      <c r="CY5" s="3345"/>
      <c r="CZ5" s="3345"/>
      <c r="DA5" s="3345"/>
      <c r="DB5" s="3345"/>
      <c r="DC5" s="3345"/>
      <c r="DD5" s="3345"/>
      <c r="DE5" s="3350"/>
      <c r="DF5" s="3331" t="s">
        <v>389</v>
      </c>
      <c r="DG5" s="3332"/>
      <c r="DH5" s="3332"/>
      <c r="DI5" s="3332"/>
      <c r="DJ5" s="3332"/>
      <c r="DK5" s="3332"/>
      <c r="DL5" s="3332"/>
      <c r="DM5" s="3332"/>
      <c r="DN5" s="3332"/>
      <c r="DO5" s="3332"/>
      <c r="DP5" s="3332"/>
      <c r="DQ5" s="3332"/>
      <c r="DR5" s="3333"/>
      <c r="DS5" s="3331" t="s">
        <v>390</v>
      </c>
      <c r="DT5" s="3332"/>
      <c r="DU5" s="3332"/>
      <c r="DV5" s="3332"/>
      <c r="DW5" s="3332"/>
      <c r="DX5" s="3332"/>
      <c r="DY5" s="3332"/>
      <c r="DZ5" s="3332"/>
      <c r="EA5" s="3332"/>
      <c r="EB5" s="3332"/>
      <c r="EC5" s="3332"/>
      <c r="ED5" s="3332"/>
      <c r="EE5" s="3333"/>
      <c r="EF5" s="3331" t="s">
        <v>391</v>
      </c>
      <c r="EG5" s="3332"/>
      <c r="EH5" s="3332"/>
      <c r="EI5" s="3332"/>
      <c r="EJ5" s="3332"/>
      <c r="EK5" s="3332"/>
      <c r="EL5" s="3332"/>
      <c r="EM5" s="3332"/>
      <c r="EN5" s="3332"/>
      <c r="EO5" s="3332"/>
      <c r="EP5" s="3332"/>
      <c r="EQ5" s="3332"/>
      <c r="ER5" s="3333"/>
      <c r="ES5" s="3344"/>
      <c r="ET5" s="3345"/>
      <c r="EU5" s="3345"/>
      <c r="EV5" s="3345"/>
      <c r="EW5" s="3345"/>
      <c r="EX5" s="3345"/>
      <c r="EY5" s="3345"/>
      <c r="EZ5" s="3345"/>
      <c r="FA5" s="3345"/>
      <c r="FB5" s="3345"/>
      <c r="FC5" s="3345"/>
      <c r="FD5" s="3345"/>
      <c r="FE5" s="3345"/>
    </row>
    <row r="6" spans="1:161" ht="12" thickBot="1" x14ac:dyDescent="0.25">
      <c r="A6" s="3334" t="s">
        <v>1087</v>
      </c>
      <c r="B6" s="3334"/>
      <c r="C6" s="3334"/>
      <c r="D6" s="3334"/>
      <c r="E6" s="3334"/>
      <c r="F6" s="3334"/>
      <c r="G6" s="3334"/>
      <c r="H6" s="3335"/>
      <c r="I6" s="3334" t="s">
        <v>1088</v>
      </c>
      <c r="J6" s="3334"/>
      <c r="K6" s="3334"/>
      <c r="L6" s="3334"/>
      <c r="M6" s="3334"/>
      <c r="N6" s="3334"/>
      <c r="O6" s="3334"/>
      <c r="P6" s="3334"/>
      <c r="Q6" s="3334"/>
      <c r="R6" s="3334"/>
      <c r="S6" s="3334"/>
      <c r="T6" s="3334"/>
      <c r="U6" s="3334"/>
      <c r="V6" s="3334"/>
      <c r="W6" s="3334"/>
      <c r="X6" s="3334"/>
      <c r="Y6" s="3334"/>
      <c r="Z6" s="3334"/>
      <c r="AA6" s="3334"/>
      <c r="AB6" s="3334"/>
      <c r="AC6" s="3334"/>
      <c r="AD6" s="3334"/>
      <c r="AE6" s="3334"/>
      <c r="AF6" s="3334"/>
      <c r="AG6" s="3334"/>
      <c r="AH6" s="3334"/>
      <c r="AI6" s="3334"/>
      <c r="AJ6" s="3334"/>
      <c r="AK6" s="3334"/>
      <c r="AL6" s="3334"/>
      <c r="AM6" s="3334"/>
      <c r="AN6" s="3334"/>
      <c r="AO6" s="3334"/>
      <c r="AP6" s="3334"/>
      <c r="AQ6" s="3334"/>
      <c r="AR6" s="3334"/>
      <c r="AS6" s="3334"/>
      <c r="AT6" s="3334"/>
      <c r="AU6" s="3334"/>
      <c r="AV6" s="3334"/>
      <c r="AW6" s="3334"/>
      <c r="AX6" s="3334"/>
      <c r="AY6" s="3334"/>
      <c r="AZ6" s="3334"/>
      <c r="BA6" s="3334"/>
      <c r="BB6" s="3334"/>
      <c r="BC6" s="3334"/>
      <c r="BD6" s="3334"/>
      <c r="BE6" s="3334"/>
      <c r="BF6" s="3334"/>
      <c r="BG6" s="3334"/>
      <c r="BH6" s="3334"/>
      <c r="BI6" s="3334"/>
      <c r="BJ6" s="3334"/>
      <c r="BK6" s="3334"/>
      <c r="BL6" s="3334"/>
      <c r="BM6" s="3334"/>
      <c r="BN6" s="3334"/>
      <c r="BO6" s="3334"/>
      <c r="BP6" s="3334"/>
      <c r="BQ6" s="3334"/>
      <c r="BR6" s="3334"/>
      <c r="BS6" s="3334"/>
      <c r="BT6" s="3334"/>
      <c r="BU6" s="3334"/>
      <c r="BV6" s="3334"/>
      <c r="BW6" s="3334"/>
      <c r="BX6" s="3334"/>
      <c r="BY6" s="3334"/>
      <c r="BZ6" s="3334"/>
      <c r="CA6" s="3334"/>
      <c r="CB6" s="3334"/>
      <c r="CC6" s="3334"/>
      <c r="CD6" s="3334"/>
      <c r="CE6" s="3334"/>
      <c r="CF6" s="3334"/>
      <c r="CG6" s="3334"/>
      <c r="CH6" s="3334"/>
      <c r="CI6" s="3334"/>
      <c r="CJ6" s="3334"/>
      <c r="CK6" s="3334"/>
      <c r="CL6" s="3334"/>
      <c r="CM6" s="3335"/>
      <c r="CN6" s="3319" t="s">
        <v>1089</v>
      </c>
      <c r="CO6" s="3320"/>
      <c r="CP6" s="3320"/>
      <c r="CQ6" s="3320"/>
      <c r="CR6" s="3320"/>
      <c r="CS6" s="3320"/>
      <c r="CT6" s="3320"/>
      <c r="CU6" s="3336"/>
      <c r="CV6" s="3319" t="s">
        <v>1090</v>
      </c>
      <c r="CW6" s="3320"/>
      <c r="CX6" s="3320"/>
      <c r="CY6" s="3320"/>
      <c r="CZ6" s="3320"/>
      <c r="DA6" s="3320"/>
      <c r="DB6" s="3320"/>
      <c r="DC6" s="3320"/>
      <c r="DD6" s="3320"/>
      <c r="DE6" s="3336"/>
      <c r="DF6" s="3319" t="s">
        <v>1091</v>
      </c>
      <c r="DG6" s="3320"/>
      <c r="DH6" s="3320"/>
      <c r="DI6" s="3320"/>
      <c r="DJ6" s="3320"/>
      <c r="DK6" s="3320"/>
      <c r="DL6" s="3320"/>
      <c r="DM6" s="3320"/>
      <c r="DN6" s="3320"/>
      <c r="DO6" s="3320"/>
      <c r="DP6" s="3320"/>
      <c r="DQ6" s="3320"/>
      <c r="DR6" s="3336"/>
      <c r="DS6" s="3319" t="s">
        <v>1092</v>
      </c>
      <c r="DT6" s="3320"/>
      <c r="DU6" s="3320"/>
      <c r="DV6" s="3320"/>
      <c r="DW6" s="3320"/>
      <c r="DX6" s="3320"/>
      <c r="DY6" s="3320"/>
      <c r="DZ6" s="3320"/>
      <c r="EA6" s="3320"/>
      <c r="EB6" s="3320"/>
      <c r="EC6" s="3320"/>
      <c r="ED6" s="3320"/>
      <c r="EE6" s="3336"/>
      <c r="EF6" s="3319" t="s">
        <v>1093</v>
      </c>
      <c r="EG6" s="3320"/>
      <c r="EH6" s="3320"/>
      <c r="EI6" s="3320"/>
      <c r="EJ6" s="3320"/>
      <c r="EK6" s="3320"/>
      <c r="EL6" s="3320"/>
      <c r="EM6" s="3320"/>
      <c r="EN6" s="3320"/>
      <c r="EO6" s="3320"/>
      <c r="EP6" s="3320"/>
      <c r="EQ6" s="3320"/>
      <c r="ER6" s="3336"/>
      <c r="ES6" s="3319" t="s">
        <v>1094</v>
      </c>
      <c r="ET6" s="3320"/>
      <c r="EU6" s="3320"/>
      <c r="EV6" s="3320"/>
      <c r="EW6" s="3320"/>
      <c r="EX6" s="3320"/>
      <c r="EY6" s="3320"/>
      <c r="EZ6" s="3320"/>
      <c r="FA6" s="3320"/>
      <c r="FB6" s="3320"/>
      <c r="FC6" s="3320"/>
      <c r="FD6" s="3320"/>
      <c r="FE6" s="3320"/>
    </row>
    <row r="7" spans="1:161" ht="12.75" customHeight="1" x14ac:dyDescent="0.2">
      <c r="A7" s="3321">
        <v>1</v>
      </c>
      <c r="B7" s="3321"/>
      <c r="C7" s="3321"/>
      <c r="D7" s="3321"/>
      <c r="E7" s="3321"/>
      <c r="F7" s="3321"/>
      <c r="G7" s="3321"/>
      <c r="H7" s="3322"/>
      <c r="I7" s="3323" t="s">
        <v>1095</v>
      </c>
      <c r="J7" s="3324"/>
      <c r="K7" s="3324"/>
      <c r="L7" s="3324"/>
      <c r="M7" s="3324"/>
      <c r="N7" s="3324"/>
      <c r="O7" s="3324"/>
      <c r="P7" s="3324"/>
      <c r="Q7" s="3324"/>
      <c r="R7" s="3324"/>
      <c r="S7" s="3324"/>
      <c r="T7" s="3324"/>
      <c r="U7" s="3324"/>
      <c r="V7" s="3324"/>
      <c r="W7" s="3324"/>
      <c r="X7" s="3324"/>
      <c r="Y7" s="3324"/>
      <c r="Z7" s="3324"/>
      <c r="AA7" s="3324"/>
      <c r="AB7" s="3324"/>
      <c r="AC7" s="3324"/>
      <c r="AD7" s="3324"/>
      <c r="AE7" s="3324"/>
      <c r="AF7" s="3324"/>
      <c r="AG7" s="3324"/>
      <c r="AH7" s="3324"/>
      <c r="AI7" s="3324"/>
      <c r="AJ7" s="3324"/>
      <c r="AK7" s="3324"/>
      <c r="AL7" s="3324"/>
      <c r="AM7" s="3324"/>
      <c r="AN7" s="3324"/>
      <c r="AO7" s="3324"/>
      <c r="AP7" s="3324"/>
      <c r="AQ7" s="3324"/>
      <c r="AR7" s="3324"/>
      <c r="AS7" s="3324"/>
      <c r="AT7" s="3324"/>
      <c r="AU7" s="3324"/>
      <c r="AV7" s="3324"/>
      <c r="AW7" s="3324"/>
      <c r="AX7" s="3324"/>
      <c r="AY7" s="3324"/>
      <c r="AZ7" s="3324"/>
      <c r="BA7" s="3324"/>
      <c r="BB7" s="3324"/>
      <c r="BC7" s="3324"/>
      <c r="BD7" s="3324"/>
      <c r="BE7" s="3324"/>
      <c r="BF7" s="3324"/>
      <c r="BG7" s="3324"/>
      <c r="BH7" s="3324"/>
      <c r="BI7" s="3324"/>
      <c r="BJ7" s="3324"/>
      <c r="BK7" s="3324"/>
      <c r="BL7" s="3324"/>
      <c r="BM7" s="3324"/>
      <c r="BN7" s="3324"/>
      <c r="BO7" s="3324"/>
      <c r="BP7" s="3324"/>
      <c r="BQ7" s="3324"/>
      <c r="BR7" s="3324"/>
      <c r="BS7" s="3324"/>
      <c r="BT7" s="3324"/>
      <c r="BU7" s="3324"/>
      <c r="BV7" s="3324"/>
      <c r="BW7" s="3324"/>
      <c r="BX7" s="3324"/>
      <c r="BY7" s="3324"/>
      <c r="BZ7" s="3324"/>
      <c r="CA7" s="3324"/>
      <c r="CB7" s="3324"/>
      <c r="CC7" s="3324"/>
      <c r="CD7" s="3324"/>
      <c r="CE7" s="3324"/>
      <c r="CF7" s="3324"/>
      <c r="CG7" s="3324"/>
      <c r="CH7" s="3324"/>
      <c r="CI7" s="3324"/>
      <c r="CJ7" s="3324"/>
      <c r="CK7" s="3324"/>
      <c r="CL7" s="3324"/>
      <c r="CM7" s="3324"/>
      <c r="CN7" s="3325" t="s">
        <v>1096</v>
      </c>
      <c r="CO7" s="3326"/>
      <c r="CP7" s="3326"/>
      <c r="CQ7" s="3326"/>
      <c r="CR7" s="3326"/>
      <c r="CS7" s="3326"/>
      <c r="CT7" s="3326"/>
      <c r="CU7" s="3327"/>
      <c r="CV7" s="3306" t="s">
        <v>898</v>
      </c>
      <c r="CW7" s="3304"/>
      <c r="CX7" s="3304"/>
      <c r="CY7" s="3304"/>
      <c r="CZ7" s="3304"/>
      <c r="DA7" s="3304"/>
      <c r="DB7" s="3304"/>
      <c r="DC7" s="3304"/>
      <c r="DD7" s="3304"/>
      <c r="DE7" s="3305"/>
      <c r="DF7" s="3328">
        <f>DF8+DF9+DF10+DF11</f>
        <v>16280000</v>
      </c>
      <c r="DG7" s="3329"/>
      <c r="DH7" s="3329"/>
      <c r="DI7" s="3329"/>
      <c r="DJ7" s="3329"/>
      <c r="DK7" s="3329"/>
      <c r="DL7" s="3329"/>
      <c r="DM7" s="3329"/>
      <c r="DN7" s="3329"/>
      <c r="DO7" s="3329"/>
      <c r="DP7" s="3329"/>
      <c r="DQ7" s="3329"/>
      <c r="DR7" s="3330"/>
      <c r="DS7" s="3328">
        <f t="shared" ref="DS7" si="0">DS8+DS9+DS10+DS11</f>
        <v>15901500</v>
      </c>
      <c r="DT7" s="3329"/>
      <c r="DU7" s="3329"/>
      <c r="DV7" s="3329"/>
      <c r="DW7" s="3329"/>
      <c r="DX7" s="3329"/>
      <c r="DY7" s="3329"/>
      <c r="DZ7" s="3329"/>
      <c r="EA7" s="3329"/>
      <c r="EB7" s="3329"/>
      <c r="EC7" s="3329"/>
      <c r="ED7" s="3329"/>
      <c r="EE7" s="3330"/>
      <c r="EF7" s="3328">
        <f t="shared" ref="EF7" si="1">EF8+EF9+EF10+EF11</f>
        <v>15961900</v>
      </c>
      <c r="EG7" s="3329"/>
      <c r="EH7" s="3329"/>
      <c r="EI7" s="3329"/>
      <c r="EJ7" s="3329"/>
      <c r="EK7" s="3329"/>
      <c r="EL7" s="3329"/>
      <c r="EM7" s="3329"/>
      <c r="EN7" s="3329"/>
      <c r="EO7" s="3329"/>
      <c r="EP7" s="3329"/>
      <c r="EQ7" s="3329"/>
      <c r="ER7" s="3330"/>
      <c r="ES7" s="3328">
        <f t="shared" ref="ES7" si="2">ES8+ES9+ES10+ES11</f>
        <v>0</v>
      </c>
      <c r="ET7" s="3329"/>
      <c r="EU7" s="3329"/>
      <c r="EV7" s="3329"/>
      <c r="EW7" s="3329"/>
      <c r="EX7" s="3329"/>
      <c r="EY7" s="3329"/>
      <c r="EZ7" s="3329"/>
      <c r="FA7" s="3329"/>
      <c r="FB7" s="3329"/>
      <c r="FC7" s="3329"/>
      <c r="FD7" s="3329"/>
      <c r="FE7" s="3330"/>
    </row>
    <row r="8" spans="1:161" ht="90" customHeight="1" x14ac:dyDescent="0.2">
      <c r="A8" s="3284" t="s">
        <v>815</v>
      </c>
      <c r="B8" s="3284"/>
      <c r="C8" s="3284"/>
      <c r="D8" s="3284"/>
      <c r="E8" s="3284"/>
      <c r="F8" s="3284"/>
      <c r="G8" s="3284"/>
      <c r="H8" s="3285"/>
      <c r="I8" s="3317" t="s">
        <v>1097</v>
      </c>
      <c r="J8" s="3318"/>
      <c r="K8" s="3318"/>
      <c r="L8" s="3318"/>
      <c r="M8" s="3318"/>
      <c r="N8" s="3318"/>
      <c r="O8" s="3318"/>
      <c r="P8" s="3318"/>
      <c r="Q8" s="3318"/>
      <c r="R8" s="3318"/>
      <c r="S8" s="3318"/>
      <c r="T8" s="3318"/>
      <c r="U8" s="3318"/>
      <c r="V8" s="3318"/>
      <c r="W8" s="3318"/>
      <c r="X8" s="3318"/>
      <c r="Y8" s="3318"/>
      <c r="Z8" s="3318"/>
      <c r="AA8" s="3318"/>
      <c r="AB8" s="3318"/>
      <c r="AC8" s="3318"/>
      <c r="AD8" s="3318"/>
      <c r="AE8" s="3318"/>
      <c r="AF8" s="3318"/>
      <c r="AG8" s="3318"/>
      <c r="AH8" s="3318"/>
      <c r="AI8" s="3318"/>
      <c r="AJ8" s="3318"/>
      <c r="AK8" s="3318"/>
      <c r="AL8" s="3318"/>
      <c r="AM8" s="3318"/>
      <c r="AN8" s="3318"/>
      <c r="AO8" s="3318"/>
      <c r="AP8" s="3318"/>
      <c r="AQ8" s="3318"/>
      <c r="AR8" s="3318"/>
      <c r="AS8" s="3318"/>
      <c r="AT8" s="3318"/>
      <c r="AU8" s="3318"/>
      <c r="AV8" s="3318"/>
      <c r="AW8" s="3318"/>
      <c r="AX8" s="3318"/>
      <c r="AY8" s="3318"/>
      <c r="AZ8" s="3318"/>
      <c r="BA8" s="3318"/>
      <c r="BB8" s="3318"/>
      <c r="BC8" s="3318"/>
      <c r="BD8" s="3318"/>
      <c r="BE8" s="3318"/>
      <c r="BF8" s="3318"/>
      <c r="BG8" s="3318"/>
      <c r="BH8" s="3318"/>
      <c r="BI8" s="3318"/>
      <c r="BJ8" s="3318"/>
      <c r="BK8" s="3318"/>
      <c r="BL8" s="3318"/>
      <c r="BM8" s="3318"/>
      <c r="BN8" s="3318"/>
      <c r="BO8" s="3318"/>
      <c r="BP8" s="3318"/>
      <c r="BQ8" s="3318"/>
      <c r="BR8" s="3318"/>
      <c r="BS8" s="3318"/>
      <c r="BT8" s="3318"/>
      <c r="BU8" s="3318"/>
      <c r="BV8" s="3318"/>
      <c r="BW8" s="3318"/>
      <c r="BX8" s="3318"/>
      <c r="BY8" s="3318"/>
      <c r="BZ8" s="3318"/>
      <c r="CA8" s="3318"/>
      <c r="CB8" s="3318"/>
      <c r="CC8" s="3318"/>
      <c r="CD8" s="3318"/>
      <c r="CE8" s="3318"/>
      <c r="CF8" s="3318"/>
      <c r="CG8" s="3318"/>
      <c r="CH8" s="3318"/>
      <c r="CI8" s="3318"/>
      <c r="CJ8" s="3318"/>
      <c r="CK8" s="3318"/>
      <c r="CL8" s="3318"/>
      <c r="CM8" s="3318"/>
      <c r="CN8" s="3288" t="s">
        <v>1098</v>
      </c>
      <c r="CO8" s="3284"/>
      <c r="CP8" s="3284"/>
      <c r="CQ8" s="3284"/>
      <c r="CR8" s="3284"/>
      <c r="CS8" s="3284"/>
      <c r="CT8" s="3284"/>
      <c r="CU8" s="3285"/>
      <c r="CV8" s="3289" t="s">
        <v>898</v>
      </c>
      <c r="CW8" s="3284"/>
      <c r="CX8" s="3284"/>
      <c r="CY8" s="3284"/>
      <c r="CZ8" s="3284"/>
      <c r="DA8" s="3284"/>
      <c r="DB8" s="3284"/>
      <c r="DC8" s="3284"/>
      <c r="DD8" s="3284"/>
      <c r="DE8" s="3285"/>
      <c r="DF8" s="3295">
        <v>0</v>
      </c>
      <c r="DG8" s="3296"/>
      <c r="DH8" s="3296"/>
      <c r="DI8" s="3296"/>
      <c r="DJ8" s="3296"/>
      <c r="DK8" s="3296"/>
      <c r="DL8" s="3296"/>
      <c r="DM8" s="3296"/>
      <c r="DN8" s="3296"/>
      <c r="DO8" s="3296"/>
      <c r="DP8" s="3296"/>
      <c r="DQ8" s="3296"/>
      <c r="DR8" s="3297"/>
      <c r="DS8" s="3295">
        <v>0</v>
      </c>
      <c r="DT8" s="3296"/>
      <c r="DU8" s="3296"/>
      <c r="DV8" s="3296"/>
      <c r="DW8" s="3296"/>
      <c r="DX8" s="3296"/>
      <c r="DY8" s="3296"/>
      <c r="DZ8" s="3296"/>
      <c r="EA8" s="3296"/>
      <c r="EB8" s="3296"/>
      <c r="EC8" s="3296"/>
      <c r="ED8" s="3296"/>
      <c r="EE8" s="3297"/>
      <c r="EF8" s="3295">
        <v>0</v>
      </c>
      <c r="EG8" s="3296"/>
      <c r="EH8" s="3296"/>
      <c r="EI8" s="3296"/>
      <c r="EJ8" s="3296"/>
      <c r="EK8" s="3296"/>
      <c r="EL8" s="3296"/>
      <c r="EM8" s="3296"/>
      <c r="EN8" s="3296"/>
      <c r="EO8" s="3296"/>
      <c r="EP8" s="3296"/>
      <c r="EQ8" s="3296"/>
      <c r="ER8" s="3297"/>
      <c r="ES8" s="3295">
        <v>0</v>
      </c>
      <c r="ET8" s="3296"/>
      <c r="EU8" s="3296"/>
      <c r="EV8" s="3296"/>
      <c r="EW8" s="3296"/>
      <c r="EX8" s="3296"/>
      <c r="EY8" s="3296"/>
      <c r="EZ8" s="3296"/>
      <c r="FA8" s="3296"/>
      <c r="FB8" s="3296"/>
      <c r="FC8" s="3296"/>
      <c r="FD8" s="3296"/>
      <c r="FE8" s="3316"/>
    </row>
    <row r="9" spans="1:161" ht="24" customHeight="1" x14ac:dyDescent="0.2">
      <c r="A9" s="3284" t="s">
        <v>818</v>
      </c>
      <c r="B9" s="3284"/>
      <c r="C9" s="3284"/>
      <c r="D9" s="3284"/>
      <c r="E9" s="3284"/>
      <c r="F9" s="3284"/>
      <c r="G9" s="3284"/>
      <c r="H9" s="3285"/>
      <c r="I9" s="3317" t="s">
        <v>1099</v>
      </c>
      <c r="J9" s="3318"/>
      <c r="K9" s="3318"/>
      <c r="L9" s="3318"/>
      <c r="M9" s="3318"/>
      <c r="N9" s="3318"/>
      <c r="O9" s="3318"/>
      <c r="P9" s="3318"/>
      <c r="Q9" s="3318"/>
      <c r="R9" s="3318"/>
      <c r="S9" s="3318"/>
      <c r="T9" s="3318"/>
      <c r="U9" s="3318"/>
      <c r="V9" s="3318"/>
      <c r="W9" s="3318"/>
      <c r="X9" s="3318"/>
      <c r="Y9" s="3318"/>
      <c r="Z9" s="3318"/>
      <c r="AA9" s="3318"/>
      <c r="AB9" s="3318"/>
      <c r="AC9" s="3318"/>
      <c r="AD9" s="3318"/>
      <c r="AE9" s="3318"/>
      <c r="AF9" s="3318"/>
      <c r="AG9" s="3318"/>
      <c r="AH9" s="3318"/>
      <c r="AI9" s="3318"/>
      <c r="AJ9" s="3318"/>
      <c r="AK9" s="3318"/>
      <c r="AL9" s="3318"/>
      <c r="AM9" s="3318"/>
      <c r="AN9" s="3318"/>
      <c r="AO9" s="3318"/>
      <c r="AP9" s="3318"/>
      <c r="AQ9" s="3318"/>
      <c r="AR9" s="3318"/>
      <c r="AS9" s="3318"/>
      <c r="AT9" s="3318"/>
      <c r="AU9" s="3318"/>
      <c r="AV9" s="3318"/>
      <c r="AW9" s="3318"/>
      <c r="AX9" s="3318"/>
      <c r="AY9" s="3318"/>
      <c r="AZ9" s="3318"/>
      <c r="BA9" s="3318"/>
      <c r="BB9" s="3318"/>
      <c r="BC9" s="3318"/>
      <c r="BD9" s="3318"/>
      <c r="BE9" s="3318"/>
      <c r="BF9" s="3318"/>
      <c r="BG9" s="3318"/>
      <c r="BH9" s="3318"/>
      <c r="BI9" s="3318"/>
      <c r="BJ9" s="3318"/>
      <c r="BK9" s="3318"/>
      <c r="BL9" s="3318"/>
      <c r="BM9" s="3318"/>
      <c r="BN9" s="3318"/>
      <c r="BO9" s="3318"/>
      <c r="BP9" s="3318"/>
      <c r="BQ9" s="3318"/>
      <c r="BR9" s="3318"/>
      <c r="BS9" s="3318"/>
      <c r="BT9" s="3318"/>
      <c r="BU9" s="3318"/>
      <c r="BV9" s="3318"/>
      <c r="BW9" s="3318"/>
      <c r="BX9" s="3318"/>
      <c r="BY9" s="3318"/>
      <c r="BZ9" s="3318"/>
      <c r="CA9" s="3318"/>
      <c r="CB9" s="3318"/>
      <c r="CC9" s="3318"/>
      <c r="CD9" s="3318"/>
      <c r="CE9" s="3318"/>
      <c r="CF9" s="3318"/>
      <c r="CG9" s="3318"/>
      <c r="CH9" s="3318"/>
      <c r="CI9" s="3318"/>
      <c r="CJ9" s="3318"/>
      <c r="CK9" s="3318"/>
      <c r="CL9" s="3318"/>
      <c r="CM9" s="3318"/>
      <c r="CN9" s="3288" t="s">
        <v>1100</v>
      </c>
      <c r="CO9" s="3284"/>
      <c r="CP9" s="3284"/>
      <c r="CQ9" s="3284"/>
      <c r="CR9" s="3284"/>
      <c r="CS9" s="3284"/>
      <c r="CT9" s="3284"/>
      <c r="CU9" s="3285"/>
      <c r="CV9" s="3289" t="s">
        <v>898</v>
      </c>
      <c r="CW9" s="3284"/>
      <c r="CX9" s="3284"/>
      <c r="CY9" s="3284"/>
      <c r="CZ9" s="3284"/>
      <c r="DA9" s="3284"/>
      <c r="DB9" s="3284"/>
      <c r="DC9" s="3284"/>
      <c r="DD9" s="3284"/>
      <c r="DE9" s="3285"/>
      <c r="DF9" s="3295">
        <v>0</v>
      </c>
      <c r="DG9" s="3296"/>
      <c r="DH9" s="3296"/>
      <c r="DI9" s="3296"/>
      <c r="DJ9" s="3296"/>
      <c r="DK9" s="3296"/>
      <c r="DL9" s="3296"/>
      <c r="DM9" s="3296"/>
      <c r="DN9" s="3296"/>
      <c r="DO9" s="3296"/>
      <c r="DP9" s="3296"/>
      <c r="DQ9" s="3296"/>
      <c r="DR9" s="3297"/>
      <c r="DS9" s="3295">
        <v>0</v>
      </c>
      <c r="DT9" s="3296"/>
      <c r="DU9" s="3296"/>
      <c r="DV9" s="3296"/>
      <c r="DW9" s="3296"/>
      <c r="DX9" s="3296"/>
      <c r="DY9" s="3296"/>
      <c r="DZ9" s="3296"/>
      <c r="EA9" s="3296"/>
      <c r="EB9" s="3296"/>
      <c r="EC9" s="3296"/>
      <c r="ED9" s="3296"/>
      <c r="EE9" s="3297"/>
      <c r="EF9" s="3295">
        <v>0</v>
      </c>
      <c r="EG9" s="3296"/>
      <c r="EH9" s="3296"/>
      <c r="EI9" s="3296"/>
      <c r="EJ9" s="3296"/>
      <c r="EK9" s="3296"/>
      <c r="EL9" s="3296"/>
      <c r="EM9" s="3296"/>
      <c r="EN9" s="3296"/>
      <c r="EO9" s="3296"/>
      <c r="EP9" s="3296"/>
      <c r="EQ9" s="3296"/>
      <c r="ER9" s="3297"/>
      <c r="ES9" s="3295">
        <v>0</v>
      </c>
      <c r="ET9" s="3296"/>
      <c r="EU9" s="3296"/>
      <c r="EV9" s="3296"/>
      <c r="EW9" s="3296"/>
      <c r="EX9" s="3296"/>
      <c r="EY9" s="3296"/>
      <c r="EZ9" s="3296"/>
      <c r="FA9" s="3296"/>
      <c r="FB9" s="3296"/>
      <c r="FC9" s="3296"/>
      <c r="FD9" s="3296"/>
      <c r="FE9" s="3316"/>
    </row>
    <row r="10" spans="1:161" ht="24" customHeight="1" x14ac:dyDescent="0.2">
      <c r="A10" s="3284" t="s">
        <v>820</v>
      </c>
      <c r="B10" s="3284"/>
      <c r="C10" s="3284"/>
      <c r="D10" s="3284"/>
      <c r="E10" s="3284"/>
      <c r="F10" s="3284"/>
      <c r="G10" s="3284"/>
      <c r="H10" s="3285"/>
      <c r="I10" s="3317" t="s">
        <v>1218</v>
      </c>
      <c r="J10" s="3318"/>
      <c r="K10" s="3318"/>
      <c r="L10" s="3318"/>
      <c r="M10" s="3318"/>
      <c r="N10" s="3318"/>
      <c r="O10" s="3318"/>
      <c r="P10" s="3318"/>
      <c r="Q10" s="3318"/>
      <c r="R10" s="3318"/>
      <c r="S10" s="331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3318"/>
      <c r="AO10" s="3318"/>
      <c r="AP10" s="3318"/>
      <c r="AQ10" s="3318"/>
      <c r="AR10" s="3318"/>
      <c r="AS10" s="3318"/>
      <c r="AT10" s="3318"/>
      <c r="AU10" s="3318"/>
      <c r="AV10" s="3318"/>
      <c r="AW10" s="3318"/>
      <c r="AX10" s="3318"/>
      <c r="AY10" s="3318"/>
      <c r="AZ10" s="3318"/>
      <c r="BA10" s="3318"/>
      <c r="BB10" s="3318"/>
      <c r="BC10" s="3318"/>
      <c r="BD10" s="3318"/>
      <c r="BE10" s="3318"/>
      <c r="BF10" s="3318"/>
      <c r="BG10" s="3318"/>
      <c r="BH10" s="3318"/>
      <c r="BI10" s="3318"/>
      <c r="BJ10" s="3318"/>
      <c r="BK10" s="3318"/>
      <c r="BL10" s="3318"/>
      <c r="BM10" s="3318"/>
      <c r="BN10" s="3318"/>
      <c r="BO10" s="3318"/>
      <c r="BP10" s="3318"/>
      <c r="BQ10" s="3318"/>
      <c r="BR10" s="3318"/>
      <c r="BS10" s="3318"/>
      <c r="BT10" s="3318"/>
      <c r="BU10" s="3318"/>
      <c r="BV10" s="3318"/>
      <c r="BW10" s="3318"/>
      <c r="BX10" s="3318"/>
      <c r="BY10" s="3318"/>
      <c r="BZ10" s="3318"/>
      <c r="CA10" s="3318"/>
      <c r="CB10" s="3318"/>
      <c r="CC10" s="3318"/>
      <c r="CD10" s="3318"/>
      <c r="CE10" s="3318"/>
      <c r="CF10" s="3318"/>
      <c r="CG10" s="3318"/>
      <c r="CH10" s="3318"/>
      <c r="CI10" s="3318"/>
      <c r="CJ10" s="3318"/>
      <c r="CK10" s="3318"/>
      <c r="CL10" s="3318"/>
      <c r="CM10" s="3318"/>
      <c r="CN10" s="3288" t="s">
        <v>1101</v>
      </c>
      <c r="CO10" s="3284"/>
      <c r="CP10" s="3284"/>
      <c r="CQ10" s="3284"/>
      <c r="CR10" s="3284"/>
      <c r="CS10" s="3284"/>
      <c r="CT10" s="3284"/>
      <c r="CU10" s="3285"/>
      <c r="CV10" s="3289" t="s">
        <v>898</v>
      </c>
      <c r="CW10" s="3284"/>
      <c r="CX10" s="3284"/>
      <c r="CY10" s="3284"/>
      <c r="CZ10" s="3284"/>
      <c r="DA10" s="3284"/>
      <c r="DB10" s="3284"/>
      <c r="DC10" s="3284"/>
      <c r="DD10" s="3284"/>
      <c r="DE10" s="3285"/>
      <c r="DF10" s="3295">
        <v>5000179.0199999996</v>
      </c>
      <c r="DG10" s="3296"/>
      <c r="DH10" s="3296"/>
      <c r="DI10" s="3296"/>
      <c r="DJ10" s="3296"/>
      <c r="DK10" s="3296"/>
      <c r="DL10" s="3296"/>
      <c r="DM10" s="3296"/>
      <c r="DN10" s="3296"/>
      <c r="DO10" s="3296"/>
      <c r="DP10" s="3296"/>
      <c r="DQ10" s="3296"/>
      <c r="DR10" s="3297"/>
      <c r="DS10" s="3295">
        <v>3762270</v>
      </c>
      <c r="DT10" s="3296"/>
      <c r="DU10" s="3296"/>
      <c r="DV10" s="3296"/>
      <c r="DW10" s="3296"/>
      <c r="DX10" s="3296"/>
      <c r="DY10" s="3296"/>
      <c r="DZ10" s="3296"/>
      <c r="EA10" s="3296"/>
      <c r="EB10" s="3296"/>
      <c r="EC10" s="3296"/>
      <c r="ED10" s="3296"/>
      <c r="EE10" s="3297"/>
      <c r="EF10" s="3295">
        <v>3762270</v>
      </c>
      <c r="EG10" s="3296"/>
      <c r="EH10" s="3296"/>
      <c r="EI10" s="3296"/>
      <c r="EJ10" s="3296"/>
      <c r="EK10" s="3296"/>
      <c r="EL10" s="3296"/>
      <c r="EM10" s="3296"/>
      <c r="EN10" s="3296"/>
      <c r="EO10" s="3296"/>
      <c r="EP10" s="3296"/>
      <c r="EQ10" s="3296"/>
      <c r="ER10" s="3297"/>
      <c r="ES10" s="3295">
        <v>0</v>
      </c>
      <c r="ET10" s="3296"/>
      <c r="EU10" s="3296"/>
      <c r="EV10" s="3296"/>
      <c r="EW10" s="3296"/>
      <c r="EX10" s="3296"/>
      <c r="EY10" s="3296"/>
      <c r="EZ10" s="3296"/>
      <c r="FA10" s="3296"/>
      <c r="FB10" s="3296"/>
      <c r="FC10" s="3296"/>
      <c r="FD10" s="3296"/>
      <c r="FE10" s="3316"/>
    </row>
    <row r="11" spans="1:161" ht="24" customHeight="1" x14ac:dyDescent="0.2">
      <c r="A11" s="3284" t="s">
        <v>1102</v>
      </c>
      <c r="B11" s="3284"/>
      <c r="C11" s="3284"/>
      <c r="D11" s="3284"/>
      <c r="E11" s="3284"/>
      <c r="F11" s="3284"/>
      <c r="G11" s="3284"/>
      <c r="H11" s="3285"/>
      <c r="I11" s="3317" t="s">
        <v>1219</v>
      </c>
      <c r="J11" s="3318"/>
      <c r="K11" s="3318"/>
      <c r="L11" s="3318"/>
      <c r="M11" s="3318"/>
      <c r="N11" s="3318"/>
      <c r="O11" s="3318"/>
      <c r="P11" s="3318"/>
      <c r="Q11" s="3318"/>
      <c r="R11" s="3318"/>
      <c r="S11" s="3318"/>
      <c r="T11" s="3318"/>
      <c r="U11" s="3318"/>
      <c r="V11" s="3318"/>
      <c r="W11" s="3318"/>
      <c r="X11" s="3318"/>
      <c r="Y11" s="3318"/>
      <c r="Z11" s="3318"/>
      <c r="AA11" s="3318"/>
      <c r="AB11" s="3318"/>
      <c r="AC11" s="3318"/>
      <c r="AD11" s="3318"/>
      <c r="AE11" s="3318"/>
      <c r="AF11" s="3318"/>
      <c r="AG11" s="3318"/>
      <c r="AH11" s="3318"/>
      <c r="AI11" s="3318"/>
      <c r="AJ11" s="3318"/>
      <c r="AK11" s="3318"/>
      <c r="AL11" s="3318"/>
      <c r="AM11" s="3318"/>
      <c r="AN11" s="3318"/>
      <c r="AO11" s="3318"/>
      <c r="AP11" s="3318"/>
      <c r="AQ11" s="3318"/>
      <c r="AR11" s="3318"/>
      <c r="AS11" s="3318"/>
      <c r="AT11" s="3318"/>
      <c r="AU11" s="3318"/>
      <c r="AV11" s="3318"/>
      <c r="AW11" s="3318"/>
      <c r="AX11" s="3318"/>
      <c r="AY11" s="3318"/>
      <c r="AZ11" s="3318"/>
      <c r="BA11" s="3318"/>
      <c r="BB11" s="3318"/>
      <c r="BC11" s="3318"/>
      <c r="BD11" s="3318"/>
      <c r="BE11" s="3318"/>
      <c r="BF11" s="3318"/>
      <c r="BG11" s="3318"/>
      <c r="BH11" s="3318"/>
      <c r="BI11" s="3318"/>
      <c r="BJ11" s="3318"/>
      <c r="BK11" s="3318"/>
      <c r="BL11" s="3318"/>
      <c r="BM11" s="3318"/>
      <c r="BN11" s="3318"/>
      <c r="BO11" s="3318"/>
      <c r="BP11" s="3318"/>
      <c r="BQ11" s="3318"/>
      <c r="BR11" s="3318"/>
      <c r="BS11" s="3318"/>
      <c r="BT11" s="3318"/>
      <c r="BU11" s="3318"/>
      <c r="BV11" s="3318"/>
      <c r="BW11" s="3318"/>
      <c r="BX11" s="3318"/>
      <c r="BY11" s="3318"/>
      <c r="BZ11" s="3318"/>
      <c r="CA11" s="3318"/>
      <c r="CB11" s="3318"/>
      <c r="CC11" s="3318"/>
      <c r="CD11" s="3318"/>
      <c r="CE11" s="3318"/>
      <c r="CF11" s="3318"/>
      <c r="CG11" s="3318"/>
      <c r="CH11" s="3318"/>
      <c r="CI11" s="3318"/>
      <c r="CJ11" s="3318"/>
      <c r="CK11" s="3318"/>
      <c r="CL11" s="3318"/>
      <c r="CM11" s="3318"/>
      <c r="CN11" s="3288" t="s">
        <v>1103</v>
      </c>
      <c r="CO11" s="3284"/>
      <c r="CP11" s="3284"/>
      <c r="CQ11" s="3284"/>
      <c r="CR11" s="3284"/>
      <c r="CS11" s="3284"/>
      <c r="CT11" s="3284"/>
      <c r="CU11" s="3285"/>
      <c r="CV11" s="3289" t="s">
        <v>898</v>
      </c>
      <c r="CW11" s="3284"/>
      <c r="CX11" s="3284"/>
      <c r="CY11" s="3284"/>
      <c r="CZ11" s="3284"/>
      <c r="DA11" s="3284"/>
      <c r="DB11" s="3284"/>
      <c r="DC11" s="3284"/>
      <c r="DD11" s="3284"/>
      <c r="DE11" s="3285"/>
      <c r="DF11" s="3295">
        <v>11279820.98</v>
      </c>
      <c r="DG11" s="3296"/>
      <c r="DH11" s="3296"/>
      <c r="DI11" s="3296"/>
      <c r="DJ11" s="3296"/>
      <c r="DK11" s="3296"/>
      <c r="DL11" s="3296"/>
      <c r="DM11" s="3296"/>
      <c r="DN11" s="3296"/>
      <c r="DO11" s="3296"/>
      <c r="DP11" s="3296"/>
      <c r="DQ11" s="3296"/>
      <c r="DR11" s="3297"/>
      <c r="DS11" s="3295">
        <v>12139230</v>
      </c>
      <c r="DT11" s="3296"/>
      <c r="DU11" s="3296"/>
      <c r="DV11" s="3296"/>
      <c r="DW11" s="3296"/>
      <c r="DX11" s="3296"/>
      <c r="DY11" s="3296"/>
      <c r="DZ11" s="3296"/>
      <c r="EA11" s="3296"/>
      <c r="EB11" s="3296"/>
      <c r="EC11" s="3296"/>
      <c r="ED11" s="3296"/>
      <c r="EE11" s="3297"/>
      <c r="EF11" s="3295">
        <v>12199630</v>
      </c>
      <c r="EG11" s="3296"/>
      <c r="EH11" s="3296"/>
      <c r="EI11" s="3296"/>
      <c r="EJ11" s="3296"/>
      <c r="EK11" s="3296"/>
      <c r="EL11" s="3296"/>
      <c r="EM11" s="3296"/>
      <c r="EN11" s="3296"/>
      <c r="EO11" s="3296"/>
      <c r="EP11" s="3296"/>
      <c r="EQ11" s="3296"/>
      <c r="ER11" s="3297"/>
      <c r="ES11" s="3295">
        <v>0</v>
      </c>
      <c r="ET11" s="3296"/>
      <c r="EU11" s="3296"/>
      <c r="EV11" s="3296"/>
      <c r="EW11" s="3296"/>
      <c r="EX11" s="3296"/>
      <c r="EY11" s="3296"/>
      <c r="EZ11" s="3296"/>
      <c r="FA11" s="3296"/>
      <c r="FB11" s="3296"/>
      <c r="FC11" s="3296"/>
      <c r="FD11" s="3296"/>
      <c r="FE11" s="3316"/>
    </row>
    <row r="12" spans="1:161" ht="34.5" customHeight="1" x14ac:dyDescent="0.2">
      <c r="A12" s="3284" t="s">
        <v>1104</v>
      </c>
      <c r="B12" s="3284"/>
      <c r="C12" s="3284"/>
      <c r="D12" s="3284"/>
      <c r="E12" s="3284"/>
      <c r="F12" s="3284"/>
      <c r="G12" s="3284"/>
      <c r="H12" s="3285"/>
      <c r="I12" s="3310" t="s">
        <v>1105</v>
      </c>
      <c r="J12" s="3311"/>
      <c r="K12" s="3311"/>
      <c r="L12" s="3311"/>
      <c r="M12" s="3311"/>
      <c r="N12" s="3311"/>
      <c r="O12" s="3311"/>
      <c r="P12" s="3311"/>
      <c r="Q12" s="3311"/>
      <c r="R12" s="3311"/>
      <c r="S12" s="3311"/>
      <c r="T12" s="3311"/>
      <c r="U12" s="3311"/>
      <c r="V12" s="3311"/>
      <c r="W12" s="3311"/>
      <c r="X12" s="3311"/>
      <c r="Y12" s="3311"/>
      <c r="Z12" s="3311"/>
      <c r="AA12" s="3311"/>
      <c r="AB12" s="3311"/>
      <c r="AC12" s="3311"/>
      <c r="AD12" s="3311"/>
      <c r="AE12" s="3311"/>
      <c r="AF12" s="3311"/>
      <c r="AG12" s="3311"/>
      <c r="AH12" s="3311"/>
      <c r="AI12" s="3311"/>
      <c r="AJ12" s="3311"/>
      <c r="AK12" s="3311"/>
      <c r="AL12" s="3311"/>
      <c r="AM12" s="3311"/>
      <c r="AN12" s="3311"/>
      <c r="AO12" s="3311"/>
      <c r="AP12" s="3311"/>
      <c r="AQ12" s="3311"/>
      <c r="AR12" s="3311"/>
      <c r="AS12" s="3311"/>
      <c r="AT12" s="3311"/>
      <c r="AU12" s="3311"/>
      <c r="AV12" s="3311"/>
      <c r="AW12" s="3311"/>
      <c r="AX12" s="3311"/>
      <c r="AY12" s="3311"/>
      <c r="AZ12" s="3311"/>
      <c r="BA12" s="3311"/>
      <c r="BB12" s="3311"/>
      <c r="BC12" s="3311"/>
      <c r="BD12" s="3311"/>
      <c r="BE12" s="3311"/>
      <c r="BF12" s="3311"/>
      <c r="BG12" s="3311"/>
      <c r="BH12" s="3311"/>
      <c r="BI12" s="3311"/>
      <c r="BJ12" s="3311"/>
      <c r="BK12" s="3311"/>
      <c r="BL12" s="3311"/>
      <c r="BM12" s="3311"/>
      <c r="BN12" s="3311"/>
      <c r="BO12" s="3311"/>
      <c r="BP12" s="3311"/>
      <c r="BQ12" s="3311"/>
      <c r="BR12" s="3311"/>
      <c r="BS12" s="3311"/>
      <c r="BT12" s="3311"/>
      <c r="BU12" s="3311"/>
      <c r="BV12" s="3311"/>
      <c r="BW12" s="3311"/>
      <c r="BX12" s="3311"/>
      <c r="BY12" s="3311"/>
      <c r="BZ12" s="3311"/>
      <c r="CA12" s="3311"/>
      <c r="CB12" s="3311"/>
      <c r="CC12" s="3311"/>
      <c r="CD12" s="3311"/>
      <c r="CE12" s="3311"/>
      <c r="CF12" s="3311"/>
      <c r="CG12" s="3311"/>
      <c r="CH12" s="3311"/>
      <c r="CI12" s="3311"/>
      <c r="CJ12" s="3311"/>
      <c r="CK12" s="3311"/>
      <c r="CL12" s="3311"/>
      <c r="CM12" s="3311"/>
      <c r="CN12" s="3288" t="s">
        <v>1106</v>
      </c>
      <c r="CO12" s="3284"/>
      <c r="CP12" s="3284"/>
      <c r="CQ12" s="3284"/>
      <c r="CR12" s="3284"/>
      <c r="CS12" s="3284"/>
      <c r="CT12" s="3284"/>
      <c r="CU12" s="3285"/>
      <c r="CV12" s="3289" t="s">
        <v>898</v>
      </c>
      <c r="CW12" s="3284"/>
      <c r="CX12" s="3284"/>
      <c r="CY12" s="3284"/>
      <c r="CZ12" s="3284"/>
      <c r="DA12" s="3284"/>
      <c r="DB12" s="3284"/>
      <c r="DC12" s="3284"/>
      <c r="DD12" s="3284"/>
      <c r="DE12" s="3285"/>
      <c r="DF12" s="3295">
        <v>7297900</v>
      </c>
      <c r="DG12" s="3296"/>
      <c r="DH12" s="3296"/>
      <c r="DI12" s="3296"/>
      <c r="DJ12" s="3296"/>
      <c r="DK12" s="3296"/>
      <c r="DL12" s="3296"/>
      <c r="DM12" s="3296"/>
      <c r="DN12" s="3296"/>
      <c r="DO12" s="3296"/>
      <c r="DP12" s="3296"/>
      <c r="DQ12" s="3296"/>
      <c r="DR12" s="3297"/>
      <c r="DS12" s="3295">
        <v>6980300</v>
      </c>
      <c r="DT12" s="3296"/>
      <c r="DU12" s="3296"/>
      <c r="DV12" s="3296"/>
      <c r="DW12" s="3296"/>
      <c r="DX12" s="3296"/>
      <c r="DY12" s="3296"/>
      <c r="DZ12" s="3296"/>
      <c r="EA12" s="3296"/>
      <c r="EB12" s="3296"/>
      <c r="EC12" s="3296"/>
      <c r="ED12" s="3296"/>
      <c r="EE12" s="3297"/>
      <c r="EF12" s="3295">
        <v>7040700</v>
      </c>
      <c r="EG12" s="3296"/>
      <c r="EH12" s="3296"/>
      <c r="EI12" s="3296"/>
      <c r="EJ12" s="3296"/>
      <c r="EK12" s="3296"/>
      <c r="EL12" s="3296"/>
      <c r="EM12" s="3296"/>
      <c r="EN12" s="3296"/>
      <c r="EO12" s="3296"/>
      <c r="EP12" s="3296"/>
      <c r="EQ12" s="3296"/>
      <c r="ER12" s="3297"/>
      <c r="ES12" s="3295">
        <f t="shared" ref="ES12" si="3">ES13+ES14</f>
        <v>0</v>
      </c>
      <c r="ET12" s="3296"/>
      <c r="EU12" s="3296"/>
      <c r="EV12" s="3296"/>
      <c r="EW12" s="3296"/>
      <c r="EX12" s="3296"/>
      <c r="EY12" s="3296"/>
      <c r="EZ12" s="3296"/>
      <c r="FA12" s="3296"/>
      <c r="FB12" s="3296"/>
      <c r="FC12" s="3296"/>
      <c r="FD12" s="3296"/>
      <c r="FE12" s="3297"/>
    </row>
    <row r="13" spans="1:161" ht="24" customHeight="1" x14ac:dyDescent="0.2">
      <c r="A13" s="3284" t="s">
        <v>1107</v>
      </c>
      <c r="B13" s="3284"/>
      <c r="C13" s="3284"/>
      <c r="D13" s="3284"/>
      <c r="E13" s="3284"/>
      <c r="F13" s="3284"/>
      <c r="G13" s="3284"/>
      <c r="H13" s="3285"/>
      <c r="I13" s="3298" t="s">
        <v>1108</v>
      </c>
      <c r="J13" s="3299"/>
      <c r="K13" s="3299"/>
      <c r="L13" s="3299"/>
      <c r="M13" s="3299"/>
      <c r="N13" s="3299"/>
      <c r="O13" s="3299"/>
      <c r="P13" s="3299"/>
      <c r="Q13" s="3299"/>
      <c r="R13" s="3299"/>
      <c r="S13" s="3299"/>
      <c r="T13" s="3299"/>
      <c r="U13" s="3299"/>
      <c r="V13" s="3299"/>
      <c r="W13" s="3299"/>
      <c r="X13" s="3299"/>
      <c r="Y13" s="3299"/>
      <c r="Z13" s="3299"/>
      <c r="AA13" s="3299"/>
      <c r="AB13" s="3299"/>
      <c r="AC13" s="3299"/>
      <c r="AD13" s="3299"/>
      <c r="AE13" s="3299"/>
      <c r="AF13" s="3299"/>
      <c r="AG13" s="3299"/>
      <c r="AH13" s="3299"/>
      <c r="AI13" s="3299"/>
      <c r="AJ13" s="3299"/>
      <c r="AK13" s="3299"/>
      <c r="AL13" s="3299"/>
      <c r="AM13" s="3299"/>
      <c r="AN13" s="3299"/>
      <c r="AO13" s="3299"/>
      <c r="AP13" s="3299"/>
      <c r="AQ13" s="3299"/>
      <c r="AR13" s="3299"/>
      <c r="AS13" s="3299"/>
      <c r="AT13" s="3299"/>
      <c r="AU13" s="3299"/>
      <c r="AV13" s="3299"/>
      <c r="AW13" s="3299"/>
      <c r="AX13" s="3299"/>
      <c r="AY13" s="3299"/>
      <c r="AZ13" s="3299"/>
      <c r="BA13" s="3299"/>
      <c r="BB13" s="3299"/>
      <c r="BC13" s="3299"/>
      <c r="BD13" s="3299"/>
      <c r="BE13" s="3299"/>
      <c r="BF13" s="3299"/>
      <c r="BG13" s="3299"/>
      <c r="BH13" s="3299"/>
      <c r="BI13" s="3299"/>
      <c r="BJ13" s="3299"/>
      <c r="BK13" s="3299"/>
      <c r="BL13" s="3299"/>
      <c r="BM13" s="3299"/>
      <c r="BN13" s="3299"/>
      <c r="BO13" s="3299"/>
      <c r="BP13" s="3299"/>
      <c r="BQ13" s="3299"/>
      <c r="BR13" s="3299"/>
      <c r="BS13" s="3299"/>
      <c r="BT13" s="3299"/>
      <c r="BU13" s="3299"/>
      <c r="BV13" s="3299"/>
      <c r="BW13" s="3299"/>
      <c r="BX13" s="3299"/>
      <c r="BY13" s="3299"/>
      <c r="BZ13" s="3299"/>
      <c r="CA13" s="3299"/>
      <c r="CB13" s="3299"/>
      <c r="CC13" s="3299"/>
      <c r="CD13" s="3299"/>
      <c r="CE13" s="3299"/>
      <c r="CF13" s="3299"/>
      <c r="CG13" s="3299"/>
      <c r="CH13" s="3299"/>
      <c r="CI13" s="3299"/>
      <c r="CJ13" s="3299"/>
      <c r="CK13" s="3299"/>
      <c r="CL13" s="3299"/>
      <c r="CM13" s="3299"/>
      <c r="CN13" s="3288" t="s">
        <v>1109</v>
      </c>
      <c r="CO13" s="3284"/>
      <c r="CP13" s="3284"/>
      <c r="CQ13" s="3284"/>
      <c r="CR13" s="3284"/>
      <c r="CS13" s="3284"/>
      <c r="CT13" s="3284"/>
      <c r="CU13" s="3285"/>
      <c r="CV13" s="3289" t="s">
        <v>898</v>
      </c>
      <c r="CW13" s="3284"/>
      <c r="CX13" s="3284"/>
      <c r="CY13" s="3284"/>
      <c r="CZ13" s="3284"/>
      <c r="DA13" s="3284"/>
      <c r="DB13" s="3284"/>
      <c r="DC13" s="3284"/>
      <c r="DD13" s="3284"/>
      <c r="DE13" s="3285"/>
      <c r="DF13" s="3295">
        <v>7297900</v>
      </c>
      <c r="DG13" s="3296"/>
      <c r="DH13" s="3296"/>
      <c r="DI13" s="3296"/>
      <c r="DJ13" s="3296"/>
      <c r="DK13" s="3296"/>
      <c r="DL13" s="3296"/>
      <c r="DM13" s="3296"/>
      <c r="DN13" s="3296"/>
      <c r="DO13" s="3296"/>
      <c r="DP13" s="3296"/>
      <c r="DQ13" s="3296"/>
      <c r="DR13" s="3297"/>
      <c r="DS13" s="3295">
        <v>6980300</v>
      </c>
      <c r="DT13" s="3296"/>
      <c r="DU13" s="3296"/>
      <c r="DV13" s="3296"/>
      <c r="DW13" s="3296"/>
      <c r="DX13" s="3296"/>
      <c r="DY13" s="3296"/>
      <c r="DZ13" s="3296"/>
      <c r="EA13" s="3296"/>
      <c r="EB13" s="3296"/>
      <c r="EC13" s="3296"/>
      <c r="ED13" s="3296"/>
      <c r="EE13" s="3297"/>
      <c r="EF13" s="3295">
        <v>7040700</v>
      </c>
      <c r="EG13" s="3296"/>
      <c r="EH13" s="3296"/>
      <c r="EI13" s="3296"/>
      <c r="EJ13" s="3296"/>
      <c r="EK13" s="3296"/>
      <c r="EL13" s="3296"/>
      <c r="EM13" s="3296"/>
      <c r="EN13" s="3296"/>
      <c r="EO13" s="3296"/>
      <c r="EP13" s="3296"/>
      <c r="EQ13" s="3296"/>
      <c r="ER13" s="3297"/>
      <c r="ES13" s="3295">
        <v>0</v>
      </c>
      <c r="ET13" s="3296"/>
      <c r="EU13" s="3296"/>
      <c r="EV13" s="3296"/>
      <c r="EW13" s="3296"/>
      <c r="EX13" s="3296"/>
      <c r="EY13" s="3296"/>
      <c r="EZ13" s="3296"/>
      <c r="FA13" s="3296"/>
      <c r="FB13" s="3296"/>
      <c r="FC13" s="3296"/>
      <c r="FD13" s="3296"/>
      <c r="FE13" s="3316"/>
    </row>
    <row r="14" spans="1:161" ht="12.75" customHeight="1" x14ac:dyDescent="0.2">
      <c r="A14" s="3284" t="s">
        <v>1110</v>
      </c>
      <c r="B14" s="3284"/>
      <c r="C14" s="3284"/>
      <c r="D14" s="3284"/>
      <c r="E14" s="3284"/>
      <c r="F14" s="3284"/>
      <c r="G14" s="3284"/>
      <c r="H14" s="3285"/>
      <c r="I14" s="3298" t="s">
        <v>2852</v>
      </c>
      <c r="J14" s="3299"/>
      <c r="K14" s="3299"/>
      <c r="L14" s="3299"/>
      <c r="M14" s="3299"/>
      <c r="N14" s="3299"/>
      <c r="O14" s="3299"/>
      <c r="P14" s="3299"/>
      <c r="Q14" s="3299"/>
      <c r="R14" s="3299"/>
      <c r="S14" s="3299"/>
      <c r="T14" s="3299"/>
      <c r="U14" s="3299"/>
      <c r="V14" s="3299"/>
      <c r="W14" s="3299"/>
      <c r="X14" s="3299"/>
      <c r="Y14" s="3299"/>
      <c r="Z14" s="3299"/>
      <c r="AA14" s="3299"/>
      <c r="AB14" s="3299"/>
      <c r="AC14" s="3299"/>
      <c r="AD14" s="3299"/>
      <c r="AE14" s="3299"/>
      <c r="AF14" s="3299"/>
      <c r="AG14" s="3299"/>
      <c r="AH14" s="3299"/>
      <c r="AI14" s="3299"/>
      <c r="AJ14" s="3299"/>
      <c r="AK14" s="3299"/>
      <c r="AL14" s="3299"/>
      <c r="AM14" s="3299"/>
      <c r="AN14" s="3299"/>
      <c r="AO14" s="3299"/>
      <c r="AP14" s="3299"/>
      <c r="AQ14" s="3299"/>
      <c r="AR14" s="3299"/>
      <c r="AS14" s="3299"/>
      <c r="AT14" s="3299"/>
      <c r="AU14" s="3299"/>
      <c r="AV14" s="3299"/>
      <c r="AW14" s="3299"/>
      <c r="AX14" s="3299"/>
      <c r="AY14" s="3299"/>
      <c r="AZ14" s="3299"/>
      <c r="BA14" s="3299"/>
      <c r="BB14" s="3299"/>
      <c r="BC14" s="3299"/>
      <c r="BD14" s="3299"/>
      <c r="BE14" s="3299"/>
      <c r="BF14" s="3299"/>
      <c r="BG14" s="3299"/>
      <c r="BH14" s="3299"/>
      <c r="BI14" s="3299"/>
      <c r="BJ14" s="3299"/>
      <c r="BK14" s="3299"/>
      <c r="BL14" s="3299"/>
      <c r="BM14" s="3299"/>
      <c r="BN14" s="3299"/>
      <c r="BO14" s="3299"/>
      <c r="BP14" s="3299"/>
      <c r="BQ14" s="3299"/>
      <c r="BR14" s="3299"/>
      <c r="BS14" s="3299"/>
      <c r="BT14" s="3299"/>
      <c r="BU14" s="3299"/>
      <c r="BV14" s="3299"/>
      <c r="BW14" s="3299"/>
      <c r="BX14" s="3299"/>
      <c r="BY14" s="3299"/>
      <c r="BZ14" s="3299"/>
      <c r="CA14" s="3299"/>
      <c r="CB14" s="3299"/>
      <c r="CC14" s="3299"/>
      <c r="CD14" s="3299"/>
      <c r="CE14" s="3299"/>
      <c r="CF14" s="3299"/>
      <c r="CG14" s="3299"/>
      <c r="CH14" s="3299"/>
      <c r="CI14" s="3299"/>
      <c r="CJ14" s="3299"/>
      <c r="CK14" s="3299"/>
      <c r="CL14" s="3299"/>
      <c r="CM14" s="3299"/>
      <c r="CN14" s="3288" t="s">
        <v>1112</v>
      </c>
      <c r="CO14" s="3284"/>
      <c r="CP14" s="3284"/>
      <c r="CQ14" s="3284"/>
      <c r="CR14" s="3284"/>
      <c r="CS14" s="3284"/>
      <c r="CT14" s="3284"/>
      <c r="CU14" s="3285"/>
      <c r="CV14" s="3289" t="s">
        <v>898</v>
      </c>
      <c r="CW14" s="3284"/>
      <c r="CX14" s="3284"/>
      <c r="CY14" s="3284"/>
      <c r="CZ14" s="3284"/>
      <c r="DA14" s="3284"/>
      <c r="DB14" s="3284"/>
      <c r="DC14" s="3284"/>
      <c r="DD14" s="3284"/>
      <c r="DE14" s="3285"/>
      <c r="DF14" s="3295">
        <v>0</v>
      </c>
      <c r="DG14" s="3296"/>
      <c r="DH14" s="3296"/>
      <c r="DI14" s="3296"/>
      <c r="DJ14" s="3296"/>
      <c r="DK14" s="3296"/>
      <c r="DL14" s="3296"/>
      <c r="DM14" s="3296"/>
      <c r="DN14" s="3296"/>
      <c r="DO14" s="3296"/>
      <c r="DP14" s="3296"/>
      <c r="DQ14" s="3296"/>
      <c r="DR14" s="3297"/>
      <c r="DS14" s="3295">
        <v>0</v>
      </c>
      <c r="DT14" s="3296"/>
      <c r="DU14" s="3296"/>
      <c r="DV14" s="3296"/>
      <c r="DW14" s="3296"/>
      <c r="DX14" s="3296"/>
      <c r="DY14" s="3296"/>
      <c r="DZ14" s="3296"/>
      <c r="EA14" s="3296"/>
      <c r="EB14" s="3296"/>
      <c r="EC14" s="3296"/>
      <c r="ED14" s="3296"/>
      <c r="EE14" s="3297"/>
      <c r="EF14" s="3295">
        <v>0</v>
      </c>
      <c r="EG14" s="3296"/>
      <c r="EH14" s="3296"/>
      <c r="EI14" s="3296"/>
      <c r="EJ14" s="3296"/>
      <c r="EK14" s="3296"/>
      <c r="EL14" s="3296"/>
      <c r="EM14" s="3296"/>
      <c r="EN14" s="3296"/>
      <c r="EO14" s="3296"/>
      <c r="EP14" s="3296"/>
      <c r="EQ14" s="3296"/>
      <c r="ER14" s="3297"/>
      <c r="ES14" s="3295">
        <v>0</v>
      </c>
      <c r="ET14" s="3296"/>
      <c r="EU14" s="3296"/>
      <c r="EV14" s="3296"/>
      <c r="EW14" s="3296"/>
      <c r="EX14" s="3296"/>
      <c r="EY14" s="3296"/>
      <c r="EZ14" s="3296"/>
      <c r="FA14" s="3296"/>
      <c r="FB14" s="3296"/>
      <c r="FC14" s="3296"/>
      <c r="FD14" s="3296"/>
      <c r="FE14" s="3316"/>
    </row>
    <row r="15" spans="1:161" ht="24" customHeight="1" x14ac:dyDescent="0.2">
      <c r="A15" s="3284" t="s">
        <v>1113</v>
      </c>
      <c r="B15" s="3284"/>
      <c r="C15" s="3284"/>
      <c r="D15" s="3284"/>
      <c r="E15" s="3284"/>
      <c r="F15" s="3284"/>
      <c r="G15" s="3284"/>
      <c r="H15" s="3285"/>
      <c r="I15" s="3310" t="s">
        <v>1114</v>
      </c>
      <c r="J15" s="3311"/>
      <c r="K15" s="3311"/>
      <c r="L15" s="3311"/>
      <c r="M15" s="3311"/>
      <c r="N15" s="3311"/>
      <c r="O15" s="3311"/>
      <c r="P15" s="3311"/>
      <c r="Q15" s="3311"/>
      <c r="R15" s="3311"/>
      <c r="S15" s="3311"/>
      <c r="T15" s="3311"/>
      <c r="U15" s="3311"/>
      <c r="V15" s="3311"/>
      <c r="W15" s="3311"/>
      <c r="X15" s="3311"/>
      <c r="Y15" s="3311"/>
      <c r="Z15" s="3311"/>
      <c r="AA15" s="3311"/>
      <c r="AB15" s="3311"/>
      <c r="AC15" s="3311"/>
      <c r="AD15" s="3311"/>
      <c r="AE15" s="3311"/>
      <c r="AF15" s="3311"/>
      <c r="AG15" s="3311"/>
      <c r="AH15" s="3311"/>
      <c r="AI15" s="3311"/>
      <c r="AJ15" s="3311"/>
      <c r="AK15" s="3311"/>
      <c r="AL15" s="3311"/>
      <c r="AM15" s="3311"/>
      <c r="AN15" s="3311"/>
      <c r="AO15" s="3311"/>
      <c r="AP15" s="3311"/>
      <c r="AQ15" s="3311"/>
      <c r="AR15" s="3311"/>
      <c r="AS15" s="3311"/>
      <c r="AT15" s="3311"/>
      <c r="AU15" s="3311"/>
      <c r="AV15" s="3311"/>
      <c r="AW15" s="3311"/>
      <c r="AX15" s="3311"/>
      <c r="AY15" s="3311"/>
      <c r="AZ15" s="3311"/>
      <c r="BA15" s="3311"/>
      <c r="BB15" s="3311"/>
      <c r="BC15" s="3311"/>
      <c r="BD15" s="3311"/>
      <c r="BE15" s="3311"/>
      <c r="BF15" s="3311"/>
      <c r="BG15" s="3311"/>
      <c r="BH15" s="3311"/>
      <c r="BI15" s="3311"/>
      <c r="BJ15" s="3311"/>
      <c r="BK15" s="3311"/>
      <c r="BL15" s="3311"/>
      <c r="BM15" s="3311"/>
      <c r="BN15" s="3311"/>
      <c r="BO15" s="3311"/>
      <c r="BP15" s="3311"/>
      <c r="BQ15" s="3311"/>
      <c r="BR15" s="3311"/>
      <c r="BS15" s="3311"/>
      <c r="BT15" s="3311"/>
      <c r="BU15" s="3311"/>
      <c r="BV15" s="3311"/>
      <c r="BW15" s="3311"/>
      <c r="BX15" s="3311"/>
      <c r="BY15" s="3311"/>
      <c r="BZ15" s="3311"/>
      <c r="CA15" s="3311"/>
      <c r="CB15" s="3311"/>
      <c r="CC15" s="3311"/>
      <c r="CD15" s="3311"/>
      <c r="CE15" s="3311"/>
      <c r="CF15" s="3311"/>
      <c r="CG15" s="3311"/>
      <c r="CH15" s="3311"/>
      <c r="CI15" s="3311"/>
      <c r="CJ15" s="3311"/>
      <c r="CK15" s="3311"/>
      <c r="CL15" s="3311"/>
      <c r="CM15" s="3311"/>
      <c r="CN15" s="3288" t="s">
        <v>1115</v>
      </c>
      <c r="CO15" s="3284"/>
      <c r="CP15" s="3284"/>
      <c r="CQ15" s="3284"/>
      <c r="CR15" s="3284"/>
      <c r="CS15" s="3284"/>
      <c r="CT15" s="3284"/>
      <c r="CU15" s="3285"/>
      <c r="CV15" s="3289" t="s">
        <v>898</v>
      </c>
      <c r="CW15" s="3284"/>
      <c r="CX15" s="3284"/>
      <c r="CY15" s="3284"/>
      <c r="CZ15" s="3284"/>
      <c r="DA15" s="3284"/>
      <c r="DB15" s="3284"/>
      <c r="DC15" s="3284"/>
      <c r="DD15" s="3284"/>
      <c r="DE15" s="3285"/>
      <c r="DF15" s="3295">
        <v>60900</v>
      </c>
      <c r="DG15" s="3296"/>
      <c r="DH15" s="3296"/>
      <c r="DI15" s="3296"/>
      <c r="DJ15" s="3296"/>
      <c r="DK15" s="3296"/>
      <c r="DL15" s="3296"/>
      <c r="DM15" s="3296"/>
      <c r="DN15" s="3296"/>
      <c r="DO15" s="3296"/>
      <c r="DP15" s="3296"/>
      <c r="DQ15" s="3296"/>
      <c r="DR15" s="3297"/>
      <c r="DS15" s="3295">
        <v>0</v>
      </c>
      <c r="DT15" s="3296"/>
      <c r="DU15" s="3296"/>
      <c r="DV15" s="3296"/>
      <c r="DW15" s="3296"/>
      <c r="DX15" s="3296"/>
      <c r="DY15" s="3296"/>
      <c r="DZ15" s="3296"/>
      <c r="EA15" s="3296"/>
      <c r="EB15" s="3296"/>
      <c r="EC15" s="3296"/>
      <c r="ED15" s="3296"/>
      <c r="EE15" s="3297"/>
      <c r="EF15" s="3295">
        <v>0</v>
      </c>
      <c r="EG15" s="3296"/>
      <c r="EH15" s="3296"/>
      <c r="EI15" s="3296"/>
      <c r="EJ15" s="3296"/>
      <c r="EK15" s="3296"/>
      <c r="EL15" s="3296"/>
      <c r="EM15" s="3296"/>
      <c r="EN15" s="3296"/>
      <c r="EO15" s="3296"/>
      <c r="EP15" s="3296"/>
      <c r="EQ15" s="3296"/>
      <c r="ER15" s="3297"/>
      <c r="ES15" s="3295">
        <v>0</v>
      </c>
      <c r="ET15" s="3296"/>
      <c r="EU15" s="3296"/>
      <c r="EV15" s="3296"/>
      <c r="EW15" s="3296"/>
      <c r="EX15" s="3296"/>
      <c r="EY15" s="3296"/>
      <c r="EZ15" s="3296"/>
      <c r="FA15" s="3296"/>
      <c r="FB15" s="3296"/>
      <c r="FC15" s="3296"/>
      <c r="FD15" s="3296"/>
      <c r="FE15" s="3316"/>
    </row>
    <row r="16" spans="1:161" ht="24" customHeight="1" x14ac:dyDescent="0.2">
      <c r="A16" s="3284" t="s">
        <v>1116</v>
      </c>
      <c r="B16" s="3284"/>
      <c r="C16" s="3284"/>
      <c r="D16" s="3284"/>
      <c r="E16" s="3284"/>
      <c r="F16" s="3284"/>
      <c r="G16" s="3284"/>
      <c r="H16" s="3285"/>
      <c r="I16" s="3298" t="s">
        <v>1108</v>
      </c>
      <c r="J16" s="3299"/>
      <c r="K16" s="3299"/>
      <c r="L16" s="3299"/>
      <c r="M16" s="3299"/>
      <c r="N16" s="3299"/>
      <c r="O16" s="3299"/>
      <c r="P16" s="3299"/>
      <c r="Q16" s="3299"/>
      <c r="R16" s="3299"/>
      <c r="S16" s="3299"/>
      <c r="T16" s="3299"/>
      <c r="U16" s="3299"/>
      <c r="V16" s="3299"/>
      <c r="W16" s="3299"/>
      <c r="X16" s="3299"/>
      <c r="Y16" s="3299"/>
      <c r="Z16" s="3299"/>
      <c r="AA16" s="3299"/>
      <c r="AB16" s="3299"/>
      <c r="AC16" s="3299"/>
      <c r="AD16" s="3299"/>
      <c r="AE16" s="3299"/>
      <c r="AF16" s="3299"/>
      <c r="AG16" s="3299"/>
      <c r="AH16" s="3299"/>
      <c r="AI16" s="3299"/>
      <c r="AJ16" s="3299"/>
      <c r="AK16" s="3299"/>
      <c r="AL16" s="3299"/>
      <c r="AM16" s="3299"/>
      <c r="AN16" s="3299"/>
      <c r="AO16" s="3299"/>
      <c r="AP16" s="3299"/>
      <c r="AQ16" s="3299"/>
      <c r="AR16" s="3299"/>
      <c r="AS16" s="3299"/>
      <c r="AT16" s="3299"/>
      <c r="AU16" s="3299"/>
      <c r="AV16" s="3299"/>
      <c r="AW16" s="3299"/>
      <c r="AX16" s="3299"/>
      <c r="AY16" s="3299"/>
      <c r="AZ16" s="3299"/>
      <c r="BA16" s="3299"/>
      <c r="BB16" s="3299"/>
      <c r="BC16" s="3299"/>
      <c r="BD16" s="3299"/>
      <c r="BE16" s="3299"/>
      <c r="BF16" s="3299"/>
      <c r="BG16" s="3299"/>
      <c r="BH16" s="3299"/>
      <c r="BI16" s="3299"/>
      <c r="BJ16" s="3299"/>
      <c r="BK16" s="3299"/>
      <c r="BL16" s="3299"/>
      <c r="BM16" s="3299"/>
      <c r="BN16" s="3299"/>
      <c r="BO16" s="3299"/>
      <c r="BP16" s="3299"/>
      <c r="BQ16" s="3299"/>
      <c r="BR16" s="3299"/>
      <c r="BS16" s="3299"/>
      <c r="BT16" s="3299"/>
      <c r="BU16" s="3299"/>
      <c r="BV16" s="3299"/>
      <c r="BW16" s="3299"/>
      <c r="BX16" s="3299"/>
      <c r="BY16" s="3299"/>
      <c r="BZ16" s="3299"/>
      <c r="CA16" s="3299"/>
      <c r="CB16" s="3299"/>
      <c r="CC16" s="3299"/>
      <c r="CD16" s="3299"/>
      <c r="CE16" s="3299"/>
      <c r="CF16" s="3299"/>
      <c r="CG16" s="3299"/>
      <c r="CH16" s="3299"/>
      <c r="CI16" s="3299"/>
      <c r="CJ16" s="3299"/>
      <c r="CK16" s="3299"/>
      <c r="CL16" s="3299"/>
      <c r="CM16" s="3299"/>
      <c r="CN16" s="3288" t="s">
        <v>1117</v>
      </c>
      <c r="CO16" s="3284"/>
      <c r="CP16" s="3284"/>
      <c r="CQ16" s="3284"/>
      <c r="CR16" s="3284"/>
      <c r="CS16" s="3284"/>
      <c r="CT16" s="3284"/>
      <c r="CU16" s="3285"/>
      <c r="CV16" s="3289" t="s">
        <v>898</v>
      </c>
      <c r="CW16" s="3284"/>
      <c r="CX16" s="3284"/>
      <c r="CY16" s="3284"/>
      <c r="CZ16" s="3284"/>
      <c r="DA16" s="3284"/>
      <c r="DB16" s="3284"/>
      <c r="DC16" s="3284"/>
      <c r="DD16" s="3284"/>
      <c r="DE16" s="3285"/>
      <c r="DF16" s="3295">
        <v>60900</v>
      </c>
      <c r="DG16" s="3296"/>
      <c r="DH16" s="3296"/>
      <c r="DI16" s="3296"/>
      <c r="DJ16" s="3296"/>
      <c r="DK16" s="3296"/>
      <c r="DL16" s="3296"/>
      <c r="DM16" s="3296"/>
      <c r="DN16" s="3296"/>
      <c r="DO16" s="3296"/>
      <c r="DP16" s="3296"/>
      <c r="DQ16" s="3296"/>
      <c r="DR16" s="3297"/>
      <c r="DS16" s="3295">
        <v>0</v>
      </c>
      <c r="DT16" s="3296"/>
      <c r="DU16" s="3296"/>
      <c r="DV16" s="3296"/>
      <c r="DW16" s="3296"/>
      <c r="DX16" s="3296"/>
      <c r="DY16" s="3296"/>
      <c r="DZ16" s="3296"/>
      <c r="EA16" s="3296"/>
      <c r="EB16" s="3296"/>
      <c r="EC16" s="3296"/>
      <c r="ED16" s="3296"/>
      <c r="EE16" s="3297"/>
      <c r="EF16" s="3295">
        <v>0</v>
      </c>
      <c r="EG16" s="3296"/>
      <c r="EH16" s="3296"/>
      <c r="EI16" s="3296"/>
      <c r="EJ16" s="3296"/>
      <c r="EK16" s="3296"/>
      <c r="EL16" s="3296"/>
      <c r="EM16" s="3296"/>
      <c r="EN16" s="3296"/>
      <c r="EO16" s="3296"/>
      <c r="EP16" s="3296"/>
      <c r="EQ16" s="3296"/>
      <c r="ER16" s="3297"/>
      <c r="ES16" s="3295">
        <v>0</v>
      </c>
      <c r="ET16" s="3296"/>
      <c r="EU16" s="3296"/>
      <c r="EV16" s="3296"/>
      <c r="EW16" s="3296"/>
      <c r="EX16" s="3296"/>
      <c r="EY16" s="3296"/>
      <c r="EZ16" s="3296"/>
      <c r="FA16" s="3296"/>
      <c r="FB16" s="3296"/>
      <c r="FC16" s="3296"/>
      <c r="FD16" s="3296"/>
      <c r="FE16" s="3316"/>
    </row>
    <row r="17" spans="1:161" ht="12.75" customHeight="1" x14ac:dyDescent="0.2">
      <c r="A17" s="3284" t="s">
        <v>1118</v>
      </c>
      <c r="B17" s="3284"/>
      <c r="C17" s="3284"/>
      <c r="D17" s="3284"/>
      <c r="E17" s="3284"/>
      <c r="F17" s="3284"/>
      <c r="G17" s="3284"/>
      <c r="H17" s="3285"/>
      <c r="I17" s="3298" t="s">
        <v>1111</v>
      </c>
      <c r="J17" s="3299"/>
      <c r="K17" s="3299"/>
      <c r="L17" s="3299"/>
      <c r="M17" s="3299"/>
      <c r="N17" s="3299"/>
      <c r="O17" s="3299"/>
      <c r="P17" s="3299"/>
      <c r="Q17" s="3299"/>
      <c r="R17" s="3299"/>
      <c r="S17" s="3299"/>
      <c r="T17" s="3299"/>
      <c r="U17" s="3299"/>
      <c r="V17" s="3299"/>
      <c r="W17" s="3299"/>
      <c r="X17" s="3299"/>
      <c r="Y17" s="3299"/>
      <c r="Z17" s="3299"/>
      <c r="AA17" s="3299"/>
      <c r="AB17" s="3299"/>
      <c r="AC17" s="3299"/>
      <c r="AD17" s="3299"/>
      <c r="AE17" s="3299"/>
      <c r="AF17" s="3299"/>
      <c r="AG17" s="3299"/>
      <c r="AH17" s="3299"/>
      <c r="AI17" s="3299"/>
      <c r="AJ17" s="3299"/>
      <c r="AK17" s="3299"/>
      <c r="AL17" s="3299"/>
      <c r="AM17" s="3299"/>
      <c r="AN17" s="3299"/>
      <c r="AO17" s="3299"/>
      <c r="AP17" s="3299"/>
      <c r="AQ17" s="3299"/>
      <c r="AR17" s="3299"/>
      <c r="AS17" s="3299"/>
      <c r="AT17" s="3299"/>
      <c r="AU17" s="3299"/>
      <c r="AV17" s="3299"/>
      <c r="AW17" s="3299"/>
      <c r="AX17" s="3299"/>
      <c r="AY17" s="3299"/>
      <c r="AZ17" s="3299"/>
      <c r="BA17" s="3299"/>
      <c r="BB17" s="3299"/>
      <c r="BC17" s="3299"/>
      <c r="BD17" s="3299"/>
      <c r="BE17" s="3299"/>
      <c r="BF17" s="3299"/>
      <c r="BG17" s="3299"/>
      <c r="BH17" s="3299"/>
      <c r="BI17" s="3299"/>
      <c r="BJ17" s="3299"/>
      <c r="BK17" s="3299"/>
      <c r="BL17" s="3299"/>
      <c r="BM17" s="3299"/>
      <c r="BN17" s="3299"/>
      <c r="BO17" s="3299"/>
      <c r="BP17" s="3299"/>
      <c r="BQ17" s="3299"/>
      <c r="BR17" s="3299"/>
      <c r="BS17" s="3299"/>
      <c r="BT17" s="3299"/>
      <c r="BU17" s="3299"/>
      <c r="BV17" s="3299"/>
      <c r="BW17" s="3299"/>
      <c r="BX17" s="3299"/>
      <c r="BY17" s="3299"/>
      <c r="BZ17" s="3299"/>
      <c r="CA17" s="3299"/>
      <c r="CB17" s="3299"/>
      <c r="CC17" s="3299"/>
      <c r="CD17" s="3299"/>
      <c r="CE17" s="3299"/>
      <c r="CF17" s="3299"/>
      <c r="CG17" s="3299"/>
      <c r="CH17" s="3299"/>
      <c r="CI17" s="3299"/>
      <c r="CJ17" s="3299"/>
      <c r="CK17" s="3299"/>
      <c r="CL17" s="3299"/>
      <c r="CM17" s="3299"/>
      <c r="CN17" s="3288" t="s">
        <v>1119</v>
      </c>
      <c r="CO17" s="3284"/>
      <c r="CP17" s="3284"/>
      <c r="CQ17" s="3284"/>
      <c r="CR17" s="3284"/>
      <c r="CS17" s="3284"/>
      <c r="CT17" s="3284"/>
      <c r="CU17" s="3285"/>
      <c r="CV17" s="3289" t="s">
        <v>898</v>
      </c>
      <c r="CW17" s="3284"/>
      <c r="CX17" s="3284"/>
      <c r="CY17" s="3284"/>
      <c r="CZ17" s="3284"/>
      <c r="DA17" s="3284"/>
      <c r="DB17" s="3284"/>
      <c r="DC17" s="3284"/>
      <c r="DD17" s="3284"/>
      <c r="DE17" s="3285"/>
      <c r="DF17" s="3295">
        <v>0</v>
      </c>
      <c r="DG17" s="3296"/>
      <c r="DH17" s="3296"/>
      <c r="DI17" s="3296"/>
      <c r="DJ17" s="3296"/>
      <c r="DK17" s="3296"/>
      <c r="DL17" s="3296"/>
      <c r="DM17" s="3296"/>
      <c r="DN17" s="3296"/>
      <c r="DO17" s="3296"/>
      <c r="DP17" s="3296"/>
      <c r="DQ17" s="3296"/>
      <c r="DR17" s="3297"/>
      <c r="DS17" s="3295">
        <v>0</v>
      </c>
      <c r="DT17" s="3296"/>
      <c r="DU17" s="3296"/>
      <c r="DV17" s="3296"/>
      <c r="DW17" s="3296"/>
      <c r="DX17" s="3296"/>
      <c r="DY17" s="3296"/>
      <c r="DZ17" s="3296"/>
      <c r="EA17" s="3296"/>
      <c r="EB17" s="3296"/>
      <c r="EC17" s="3296"/>
      <c r="ED17" s="3296"/>
      <c r="EE17" s="3297"/>
      <c r="EF17" s="3295">
        <v>0</v>
      </c>
      <c r="EG17" s="3296"/>
      <c r="EH17" s="3296"/>
      <c r="EI17" s="3296"/>
      <c r="EJ17" s="3296"/>
      <c r="EK17" s="3296"/>
      <c r="EL17" s="3296"/>
      <c r="EM17" s="3296"/>
      <c r="EN17" s="3296"/>
      <c r="EO17" s="3296"/>
      <c r="EP17" s="3296"/>
      <c r="EQ17" s="3296"/>
      <c r="ER17" s="3297"/>
      <c r="ES17" s="3295">
        <v>0</v>
      </c>
      <c r="ET17" s="3296"/>
      <c r="EU17" s="3296"/>
      <c r="EV17" s="3296"/>
      <c r="EW17" s="3296"/>
      <c r="EX17" s="3296"/>
      <c r="EY17" s="3296"/>
      <c r="EZ17" s="3296"/>
      <c r="FA17" s="3296"/>
      <c r="FB17" s="3296"/>
      <c r="FC17" s="3296"/>
      <c r="FD17" s="3296"/>
      <c r="FE17" s="3316"/>
    </row>
    <row r="18" spans="1:161" ht="12.75" customHeight="1" x14ac:dyDescent="0.2">
      <c r="A18" s="3284" t="s">
        <v>1120</v>
      </c>
      <c r="B18" s="3284"/>
      <c r="C18" s="3284"/>
      <c r="D18" s="3284"/>
      <c r="E18" s="3284"/>
      <c r="F18" s="3284"/>
      <c r="G18" s="3284"/>
      <c r="H18" s="3285"/>
      <c r="I18" s="3310" t="s">
        <v>1121</v>
      </c>
      <c r="J18" s="3311"/>
      <c r="K18" s="3311"/>
      <c r="L18" s="3311"/>
      <c r="M18" s="3311"/>
      <c r="N18" s="3311"/>
      <c r="O18" s="3311"/>
      <c r="P18" s="3311"/>
      <c r="Q18" s="3311"/>
      <c r="R18" s="3311"/>
      <c r="S18" s="3311"/>
      <c r="T18" s="3311"/>
      <c r="U18" s="3311"/>
      <c r="V18" s="3311"/>
      <c r="W18" s="3311"/>
      <c r="X18" s="3311"/>
      <c r="Y18" s="3311"/>
      <c r="Z18" s="3311"/>
      <c r="AA18" s="3311"/>
      <c r="AB18" s="3311"/>
      <c r="AC18" s="3311"/>
      <c r="AD18" s="3311"/>
      <c r="AE18" s="3311"/>
      <c r="AF18" s="3311"/>
      <c r="AG18" s="3311"/>
      <c r="AH18" s="3311"/>
      <c r="AI18" s="3311"/>
      <c r="AJ18" s="3311"/>
      <c r="AK18" s="3311"/>
      <c r="AL18" s="3311"/>
      <c r="AM18" s="3311"/>
      <c r="AN18" s="3311"/>
      <c r="AO18" s="3311"/>
      <c r="AP18" s="3311"/>
      <c r="AQ18" s="3311"/>
      <c r="AR18" s="3311"/>
      <c r="AS18" s="3311"/>
      <c r="AT18" s="3311"/>
      <c r="AU18" s="3311"/>
      <c r="AV18" s="3311"/>
      <c r="AW18" s="3311"/>
      <c r="AX18" s="3311"/>
      <c r="AY18" s="3311"/>
      <c r="AZ18" s="3311"/>
      <c r="BA18" s="3311"/>
      <c r="BB18" s="3311"/>
      <c r="BC18" s="3311"/>
      <c r="BD18" s="3311"/>
      <c r="BE18" s="3311"/>
      <c r="BF18" s="3311"/>
      <c r="BG18" s="3311"/>
      <c r="BH18" s="3311"/>
      <c r="BI18" s="3311"/>
      <c r="BJ18" s="3311"/>
      <c r="BK18" s="3311"/>
      <c r="BL18" s="3311"/>
      <c r="BM18" s="3311"/>
      <c r="BN18" s="3311"/>
      <c r="BO18" s="3311"/>
      <c r="BP18" s="3311"/>
      <c r="BQ18" s="3311"/>
      <c r="BR18" s="3311"/>
      <c r="BS18" s="3311"/>
      <c r="BT18" s="3311"/>
      <c r="BU18" s="3311"/>
      <c r="BV18" s="3311"/>
      <c r="BW18" s="3311"/>
      <c r="BX18" s="3311"/>
      <c r="BY18" s="3311"/>
      <c r="BZ18" s="3311"/>
      <c r="CA18" s="3311"/>
      <c r="CB18" s="3311"/>
      <c r="CC18" s="3311"/>
      <c r="CD18" s="3311"/>
      <c r="CE18" s="3311"/>
      <c r="CF18" s="3311"/>
      <c r="CG18" s="3311"/>
      <c r="CH18" s="3311"/>
      <c r="CI18" s="3311"/>
      <c r="CJ18" s="3311"/>
      <c r="CK18" s="3311"/>
      <c r="CL18" s="3311"/>
      <c r="CM18" s="3311"/>
      <c r="CN18" s="3288" t="s">
        <v>1122</v>
      </c>
      <c r="CO18" s="3284"/>
      <c r="CP18" s="3284"/>
      <c r="CQ18" s="3284"/>
      <c r="CR18" s="3284"/>
      <c r="CS18" s="3284"/>
      <c r="CT18" s="3284"/>
      <c r="CU18" s="3285"/>
      <c r="CV18" s="3289" t="s">
        <v>898</v>
      </c>
      <c r="CW18" s="3284"/>
      <c r="CX18" s="3284"/>
      <c r="CY18" s="3284"/>
      <c r="CZ18" s="3284"/>
      <c r="DA18" s="3284"/>
      <c r="DB18" s="3284"/>
      <c r="DC18" s="3284"/>
      <c r="DD18" s="3284"/>
      <c r="DE18" s="3285"/>
      <c r="DF18" s="3295">
        <v>0</v>
      </c>
      <c r="DG18" s="3296"/>
      <c r="DH18" s="3296"/>
      <c r="DI18" s="3296"/>
      <c r="DJ18" s="3296"/>
      <c r="DK18" s="3296"/>
      <c r="DL18" s="3296"/>
      <c r="DM18" s="3296"/>
      <c r="DN18" s="3296"/>
      <c r="DO18" s="3296"/>
      <c r="DP18" s="3296"/>
      <c r="DQ18" s="3296"/>
      <c r="DR18" s="3297"/>
      <c r="DS18" s="3295">
        <v>0</v>
      </c>
      <c r="DT18" s="3296"/>
      <c r="DU18" s="3296"/>
      <c r="DV18" s="3296"/>
      <c r="DW18" s="3296"/>
      <c r="DX18" s="3296"/>
      <c r="DY18" s="3296"/>
      <c r="DZ18" s="3296"/>
      <c r="EA18" s="3296"/>
      <c r="EB18" s="3296"/>
      <c r="EC18" s="3296"/>
      <c r="ED18" s="3296"/>
      <c r="EE18" s="3297"/>
      <c r="EF18" s="3295">
        <v>0</v>
      </c>
      <c r="EG18" s="3296"/>
      <c r="EH18" s="3296"/>
      <c r="EI18" s="3296"/>
      <c r="EJ18" s="3296"/>
      <c r="EK18" s="3296"/>
      <c r="EL18" s="3296"/>
      <c r="EM18" s="3296"/>
      <c r="EN18" s="3296"/>
      <c r="EO18" s="3296"/>
      <c r="EP18" s="3296"/>
      <c r="EQ18" s="3296"/>
      <c r="ER18" s="3297"/>
      <c r="ES18" s="3295">
        <v>0</v>
      </c>
      <c r="ET18" s="3296"/>
      <c r="EU18" s="3296"/>
      <c r="EV18" s="3296"/>
      <c r="EW18" s="3296"/>
      <c r="EX18" s="3296"/>
      <c r="EY18" s="3296"/>
      <c r="EZ18" s="3296"/>
      <c r="FA18" s="3296"/>
      <c r="FB18" s="3296"/>
      <c r="FC18" s="3296"/>
      <c r="FD18" s="3296"/>
      <c r="FE18" s="3316"/>
    </row>
    <row r="19" spans="1:161" ht="10.5" customHeight="1" x14ac:dyDescent="0.2">
      <c r="A19" s="3284" t="s">
        <v>1123</v>
      </c>
      <c r="B19" s="3284"/>
      <c r="C19" s="3284"/>
      <c r="D19" s="3284"/>
      <c r="E19" s="3284"/>
      <c r="F19" s="3284"/>
      <c r="G19" s="3284"/>
      <c r="H19" s="3285"/>
      <c r="I19" s="3310" t="s">
        <v>1124</v>
      </c>
      <c r="J19" s="3311"/>
      <c r="K19" s="3311"/>
      <c r="L19" s="3311"/>
      <c r="M19" s="3311"/>
      <c r="N19" s="3311"/>
      <c r="O19" s="3311"/>
      <c r="P19" s="3311"/>
      <c r="Q19" s="3311"/>
      <c r="R19" s="3311"/>
      <c r="S19" s="3311"/>
      <c r="T19" s="3311"/>
      <c r="U19" s="3311"/>
      <c r="V19" s="3311"/>
      <c r="W19" s="3311"/>
      <c r="X19" s="3311"/>
      <c r="Y19" s="3311"/>
      <c r="Z19" s="3311"/>
      <c r="AA19" s="3311"/>
      <c r="AB19" s="3311"/>
      <c r="AC19" s="3311"/>
      <c r="AD19" s="3311"/>
      <c r="AE19" s="3311"/>
      <c r="AF19" s="3311"/>
      <c r="AG19" s="3311"/>
      <c r="AH19" s="3311"/>
      <c r="AI19" s="3311"/>
      <c r="AJ19" s="3311"/>
      <c r="AK19" s="3311"/>
      <c r="AL19" s="3311"/>
      <c r="AM19" s="3311"/>
      <c r="AN19" s="3311"/>
      <c r="AO19" s="3311"/>
      <c r="AP19" s="3311"/>
      <c r="AQ19" s="3311"/>
      <c r="AR19" s="3311"/>
      <c r="AS19" s="3311"/>
      <c r="AT19" s="3311"/>
      <c r="AU19" s="3311"/>
      <c r="AV19" s="3311"/>
      <c r="AW19" s="3311"/>
      <c r="AX19" s="3311"/>
      <c r="AY19" s="3311"/>
      <c r="AZ19" s="3311"/>
      <c r="BA19" s="3311"/>
      <c r="BB19" s="3311"/>
      <c r="BC19" s="3311"/>
      <c r="BD19" s="3311"/>
      <c r="BE19" s="3311"/>
      <c r="BF19" s="3311"/>
      <c r="BG19" s="3311"/>
      <c r="BH19" s="3311"/>
      <c r="BI19" s="3311"/>
      <c r="BJ19" s="3311"/>
      <c r="BK19" s="3311"/>
      <c r="BL19" s="3311"/>
      <c r="BM19" s="3311"/>
      <c r="BN19" s="3311"/>
      <c r="BO19" s="3311"/>
      <c r="BP19" s="3311"/>
      <c r="BQ19" s="3311"/>
      <c r="BR19" s="3311"/>
      <c r="BS19" s="3311"/>
      <c r="BT19" s="3311"/>
      <c r="BU19" s="3311"/>
      <c r="BV19" s="3311"/>
      <c r="BW19" s="3311"/>
      <c r="BX19" s="3311"/>
      <c r="BY19" s="3311"/>
      <c r="BZ19" s="3311"/>
      <c r="CA19" s="3311"/>
      <c r="CB19" s="3311"/>
      <c r="CC19" s="3311"/>
      <c r="CD19" s="3311"/>
      <c r="CE19" s="3311"/>
      <c r="CF19" s="3311"/>
      <c r="CG19" s="3311"/>
      <c r="CH19" s="3311"/>
      <c r="CI19" s="3311"/>
      <c r="CJ19" s="3311"/>
      <c r="CK19" s="3311"/>
      <c r="CL19" s="3311"/>
      <c r="CM19" s="3311"/>
      <c r="CN19" s="3288" t="s">
        <v>1125</v>
      </c>
      <c r="CO19" s="3284"/>
      <c r="CP19" s="3284"/>
      <c r="CQ19" s="3284"/>
      <c r="CR19" s="3284"/>
      <c r="CS19" s="3284"/>
      <c r="CT19" s="3284"/>
      <c r="CU19" s="3285"/>
      <c r="CV19" s="3289" t="s">
        <v>898</v>
      </c>
      <c r="CW19" s="3284"/>
      <c r="CX19" s="3284"/>
      <c r="CY19" s="3284"/>
      <c r="CZ19" s="3284"/>
      <c r="DA19" s="3284"/>
      <c r="DB19" s="3284"/>
      <c r="DC19" s="3284"/>
      <c r="DD19" s="3284"/>
      <c r="DE19" s="3285"/>
      <c r="DF19" s="3295">
        <v>0</v>
      </c>
      <c r="DG19" s="3296"/>
      <c r="DH19" s="3296"/>
      <c r="DI19" s="3296"/>
      <c r="DJ19" s="3296"/>
      <c r="DK19" s="3296"/>
      <c r="DL19" s="3296"/>
      <c r="DM19" s="3296"/>
      <c r="DN19" s="3296"/>
      <c r="DO19" s="3296"/>
      <c r="DP19" s="3296"/>
      <c r="DQ19" s="3296"/>
      <c r="DR19" s="3297"/>
      <c r="DS19" s="3295">
        <v>0</v>
      </c>
      <c r="DT19" s="3296"/>
      <c r="DU19" s="3296"/>
      <c r="DV19" s="3296"/>
      <c r="DW19" s="3296"/>
      <c r="DX19" s="3296"/>
      <c r="DY19" s="3296"/>
      <c r="DZ19" s="3296"/>
      <c r="EA19" s="3296"/>
      <c r="EB19" s="3296"/>
      <c r="EC19" s="3296"/>
      <c r="ED19" s="3296"/>
      <c r="EE19" s="3297"/>
      <c r="EF19" s="3295">
        <v>0</v>
      </c>
      <c r="EG19" s="3296"/>
      <c r="EH19" s="3296"/>
      <c r="EI19" s="3296"/>
      <c r="EJ19" s="3296"/>
      <c r="EK19" s="3296"/>
      <c r="EL19" s="3296"/>
      <c r="EM19" s="3296"/>
      <c r="EN19" s="3296"/>
      <c r="EO19" s="3296"/>
      <c r="EP19" s="3296"/>
      <c r="EQ19" s="3296"/>
      <c r="ER19" s="3297"/>
      <c r="ES19" s="3295">
        <v>0</v>
      </c>
      <c r="ET19" s="3296"/>
      <c r="EU19" s="3296"/>
      <c r="EV19" s="3296"/>
      <c r="EW19" s="3296"/>
      <c r="EX19" s="3296"/>
      <c r="EY19" s="3296"/>
      <c r="EZ19" s="3296"/>
      <c r="FA19" s="3296"/>
      <c r="FB19" s="3296"/>
      <c r="FC19" s="3296"/>
      <c r="FD19" s="3296"/>
      <c r="FE19" s="3316"/>
    </row>
    <row r="20" spans="1:161" ht="11.25" customHeight="1" x14ac:dyDescent="0.2">
      <c r="A20" s="3284" t="s">
        <v>1126</v>
      </c>
      <c r="B20" s="3284"/>
      <c r="C20" s="3284"/>
      <c r="D20" s="3284"/>
      <c r="E20" s="3284"/>
      <c r="F20" s="3284"/>
      <c r="G20" s="3284"/>
      <c r="H20" s="3285"/>
      <c r="I20" s="3298" t="s">
        <v>1108</v>
      </c>
      <c r="J20" s="3299"/>
      <c r="K20" s="3299"/>
      <c r="L20" s="3299"/>
      <c r="M20" s="3299"/>
      <c r="N20" s="3299"/>
      <c r="O20" s="3299"/>
      <c r="P20" s="3299"/>
      <c r="Q20" s="3299"/>
      <c r="R20" s="3299"/>
      <c r="S20" s="3299"/>
      <c r="T20" s="3299"/>
      <c r="U20" s="3299"/>
      <c r="V20" s="3299"/>
      <c r="W20" s="3299"/>
      <c r="X20" s="3299"/>
      <c r="Y20" s="3299"/>
      <c r="Z20" s="3299"/>
      <c r="AA20" s="3299"/>
      <c r="AB20" s="3299"/>
      <c r="AC20" s="3299"/>
      <c r="AD20" s="3299"/>
      <c r="AE20" s="3299"/>
      <c r="AF20" s="3299"/>
      <c r="AG20" s="3299"/>
      <c r="AH20" s="3299"/>
      <c r="AI20" s="3299"/>
      <c r="AJ20" s="3299"/>
      <c r="AK20" s="3299"/>
      <c r="AL20" s="3299"/>
      <c r="AM20" s="3299"/>
      <c r="AN20" s="3299"/>
      <c r="AO20" s="3299"/>
      <c r="AP20" s="3299"/>
      <c r="AQ20" s="3299"/>
      <c r="AR20" s="3299"/>
      <c r="AS20" s="3299"/>
      <c r="AT20" s="3299"/>
      <c r="AU20" s="3299"/>
      <c r="AV20" s="3299"/>
      <c r="AW20" s="3299"/>
      <c r="AX20" s="3299"/>
      <c r="AY20" s="3299"/>
      <c r="AZ20" s="3299"/>
      <c r="BA20" s="3299"/>
      <c r="BB20" s="3299"/>
      <c r="BC20" s="3299"/>
      <c r="BD20" s="3299"/>
      <c r="BE20" s="3299"/>
      <c r="BF20" s="3299"/>
      <c r="BG20" s="3299"/>
      <c r="BH20" s="3299"/>
      <c r="BI20" s="3299"/>
      <c r="BJ20" s="3299"/>
      <c r="BK20" s="3299"/>
      <c r="BL20" s="3299"/>
      <c r="BM20" s="3299"/>
      <c r="BN20" s="3299"/>
      <c r="BO20" s="3299"/>
      <c r="BP20" s="3299"/>
      <c r="BQ20" s="3299"/>
      <c r="BR20" s="3299"/>
      <c r="BS20" s="3299"/>
      <c r="BT20" s="3299"/>
      <c r="BU20" s="3299"/>
      <c r="BV20" s="3299"/>
      <c r="BW20" s="3299"/>
      <c r="BX20" s="3299"/>
      <c r="BY20" s="3299"/>
      <c r="BZ20" s="3299"/>
      <c r="CA20" s="3299"/>
      <c r="CB20" s="3299"/>
      <c r="CC20" s="3299"/>
      <c r="CD20" s="3299"/>
      <c r="CE20" s="3299"/>
      <c r="CF20" s="3299"/>
      <c r="CG20" s="3299"/>
      <c r="CH20" s="3299"/>
      <c r="CI20" s="3299"/>
      <c r="CJ20" s="3299"/>
      <c r="CK20" s="3299"/>
      <c r="CL20" s="3299"/>
      <c r="CM20" s="3299"/>
      <c r="CN20" s="3288" t="s">
        <v>1127</v>
      </c>
      <c r="CO20" s="3284"/>
      <c r="CP20" s="3284"/>
      <c r="CQ20" s="3284"/>
      <c r="CR20" s="3284"/>
      <c r="CS20" s="3284"/>
      <c r="CT20" s="3284"/>
      <c r="CU20" s="3285"/>
      <c r="CV20" s="3289" t="s">
        <v>898</v>
      </c>
      <c r="CW20" s="3284"/>
      <c r="CX20" s="3284"/>
      <c r="CY20" s="3284"/>
      <c r="CZ20" s="3284"/>
      <c r="DA20" s="3284"/>
      <c r="DB20" s="3284"/>
      <c r="DC20" s="3284"/>
      <c r="DD20" s="3284"/>
      <c r="DE20" s="3285"/>
      <c r="DF20" s="3295"/>
      <c r="DG20" s="3296"/>
      <c r="DH20" s="3296"/>
      <c r="DI20" s="3296"/>
      <c r="DJ20" s="3296"/>
      <c r="DK20" s="3296"/>
      <c r="DL20" s="3296"/>
      <c r="DM20" s="3296"/>
      <c r="DN20" s="3296"/>
      <c r="DO20" s="3296"/>
      <c r="DP20" s="3296"/>
      <c r="DQ20" s="3296"/>
      <c r="DR20" s="3297"/>
      <c r="DS20" s="3295"/>
      <c r="DT20" s="3296"/>
      <c r="DU20" s="3296"/>
      <c r="DV20" s="3296"/>
      <c r="DW20" s="3296"/>
      <c r="DX20" s="3296"/>
      <c r="DY20" s="3296"/>
      <c r="DZ20" s="3296"/>
      <c r="EA20" s="3296"/>
      <c r="EB20" s="3296"/>
      <c r="EC20" s="3296"/>
      <c r="ED20" s="3296"/>
      <c r="EE20" s="3297"/>
      <c r="EF20" s="3295"/>
      <c r="EG20" s="3296"/>
      <c r="EH20" s="3296"/>
      <c r="EI20" s="3296"/>
      <c r="EJ20" s="3296"/>
      <c r="EK20" s="3296"/>
      <c r="EL20" s="3296"/>
      <c r="EM20" s="3296"/>
      <c r="EN20" s="3296"/>
      <c r="EO20" s="3296"/>
      <c r="EP20" s="3296"/>
      <c r="EQ20" s="3296"/>
      <c r="ER20" s="3297"/>
      <c r="ES20" s="3295"/>
      <c r="ET20" s="3296"/>
      <c r="EU20" s="3296"/>
      <c r="EV20" s="3296"/>
      <c r="EW20" s="3296"/>
      <c r="EX20" s="3296"/>
      <c r="EY20" s="3296"/>
      <c r="EZ20" s="3296"/>
      <c r="FA20" s="3296"/>
      <c r="FB20" s="3296"/>
      <c r="FC20" s="3296"/>
      <c r="FD20" s="3296"/>
      <c r="FE20" s="3316"/>
    </row>
    <row r="21" spans="1:161" ht="12" customHeight="1" x14ac:dyDescent="0.2">
      <c r="A21" s="3284" t="s">
        <v>1128</v>
      </c>
      <c r="B21" s="3284"/>
      <c r="C21" s="3284"/>
      <c r="D21" s="3284"/>
      <c r="E21" s="3284"/>
      <c r="F21" s="3284"/>
      <c r="G21" s="3284"/>
      <c r="H21" s="3285"/>
      <c r="I21" s="3298" t="s">
        <v>1129</v>
      </c>
      <c r="J21" s="3299"/>
      <c r="K21" s="3299"/>
      <c r="L21" s="3299"/>
      <c r="M21" s="3299"/>
      <c r="N21" s="3299"/>
      <c r="O21" s="3299"/>
      <c r="P21" s="3299"/>
      <c r="Q21" s="3299"/>
      <c r="R21" s="3299"/>
      <c r="S21" s="3299"/>
      <c r="T21" s="3299"/>
      <c r="U21" s="3299"/>
      <c r="V21" s="3299"/>
      <c r="W21" s="3299"/>
      <c r="X21" s="3299"/>
      <c r="Y21" s="3299"/>
      <c r="Z21" s="3299"/>
      <c r="AA21" s="3299"/>
      <c r="AB21" s="3299"/>
      <c r="AC21" s="3299"/>
      <c r="AD21" s="3299"/>
      <c r="AE21" s="3299"/>
      <c r="AF21" s="3299"/>
      <c r="AG21" s="3299"/>
      <c r="AH21" s="3299"/>
      <c r="AI21" s="3299"/>
      <c r="AJ21" s="3299"/>
      <c r="AK21" s="3299"/>
      <c r="AL21" s="3299"/>
      <c r="AM21" s="3299"/>
      <c r="AN21" s="3299"/>
      <c r="AO21" s="3299"/>
      <c r="AP21" s="3299"/>
      <c r="AQ21" s="3299"/>
      <c r="AR21" s="3299"/>
      <c r="AS21" s="3299"/>
      <c r="AT21" s="3299"/>
      <c r="AU21" s="3299"/>
      <c r="AV21" s="3299"/>
      <c r="AW21" s="3299"/>
      <c r="AX21" s="3299"/>
      <c r="AY21" s="3299"/>
      <c r="AZ21" s="3299"/>
      <c r="BA21" s="3299"/>
      <c r="BB21" s="3299"/>
      <c r="BC21" s="3299"/>
      <c r="BD21" s="3299"/>
      <c r="BE21" s="3299"/>
      <c r="BF21" s="3299"/>
      <c r="BG21" s="3299"/>
      <c r="BH21" s="3299"/>
      <c r="BI21" s="3299"/>
      <c r="BJ21" s="3299"/>
      <c r="BK21" s="3299"/>
      <c r="BL21" s="3299"/>
      <c r="BM21" s="3299"/>
      <c r="BN21" s="3299"/>
      <c r="BO21" s="3299"/>
      <c r="BP21" s="3299"/>
      <c r="BQ21" s="3299"/>
      <c r="BR21" s="3299"/>
      <c r="BS21" s="3299"/>
      <c r="BT21" s="3299"/>
      <c r="BU21" s="3299"/>
      <c r="BV21" s="3299"/>
      <c r="BW21" s="3299"/>
      <c r="BX21" s="3299"/>
      <c r="BY21" s="3299"/>
      <c r="BZ21" s="3299"/>
      <c r="CA21" s="3299"/>
      <c r="CB21" s="3299"/>
      <c r="CC21" s="3299"/>
      <c r="CD21" s="3299"/>
      <c r="CE21" s="3299"/>
      <c r="CF21" s="3299"/>
      <c r="CG21" s="3299"/>
      <c r="CH21" s="3299"/>
      <c r="CI21" s="3299"/>
      <c r="CJ21" s="3299"/>
      <c r="CK21" s="3299"/>
      <c r="CL21" s="3299"/>
      <c r="CM21" s="3299"/>
      <c r="CN21" s="3288" t="s">
        <v>1130</v>
      </c>
      <c r="CO21" s="3284"/>
      <c r="CP21" s="3284"/>
      <c r="CQ21" s="3284"/>
      <c r="CR21" s="3284"/>
      <c r="CS21" s="3284"/>
      <c r="CT21" s="3284"/>
      <c r="CU21" s="3285"/>
      <c r="CV21" s="3289" t="s">
        <v>898</v>
      </c>
      <c r="CW21" s="3284"/>
      <c r="CX21" s="3284"/>
      <c r="CY21" s="3284"/>
      <c r="CZ21" s="3284"/>
      <c r="DA21" s="3284"/>
      <c r="DB21" s="3284"/>
      <c r="DC21" s="3284"/>
      <c r="DD21" s="3284"/>
      <c r="DE21" s="3285"/>
      <c r="DF21" s="3295">
        <v>0</v>
      </c>
      <c r="DG21" s="3296"/>
      <c r="DH21" s="3296"/>
      <c r="DI21" s="3296"/>
      <c r="DJ21" s="3296"/>
      <c r="DK21" s="3296"/>
      <c r="DL21" s="3296"/>
      <c r="DM21" s="3296"/>
      <c r="DN21" s="3296"/>
      <c r="DO21" s="3296"/>
      <c r="DP21" s="3296"/>
      <c r="DQ21" s="3296"/>
      <c r="DR21" s="3297"/>
      <c r="DS21" s="3295">
        <v>0</v>
      </c>
      <c r="DT21" s="3296"/>
      <c r="DU21" s="3296"/>
      <c r="DV21" s="3296"/>
      <c r="DW21" s="3296"/>
      <c r="DX21" s="3296"/>
      <c r="DY21" s="3296"/>
      <c r="DZ21" s="3296"/>
      <c r="EA21" s="3296"/>
      <c r="EB21" s="3296"/>
      <c r="EC21" s="3296"/>
      <c r="ED21" s="3296"/>
      <c r="EE21" s="3297"/>
      <c r="EF21" s="3295">
        <v>0</v>
      </c>
      <c r="EG21" s="3296"/>
      <c r="EH21" s="3296"/>
      <c r="EI21" s="3296"/>
      <c r="EJ21" s="3296"/>
      <c r="EK21" s="3296"/>
      <c r="EL21" s="3296"/>
      <c r="EM21" s="3296"/>
      <c r="EN21" s="3296"/>
      <c r="EO21" s="3296"/>
      <c r="EP21" s="3296"/>
      <c r="EQ21" s="3296"/>
      <c r="ER21" s="3297"/>
      <c r="ES21" s="3295">
        <v>0</v>
      </c>
      <c r="ET21" s="3296"/>
      <c r="EU21" s="3296"/>
      <c r="EV21" s="3296"/>
      <c r="EW21" s="3296"/>
      <c r="EX21" s="3296"/>
      <c r="EY21" s="3296"/>
      <c r="EZ21" s="3296"/>
      <c r="FA21" s="3296"/>
      <c r="FB21" s="3296"/>
      <c r="FC21" s="3296"/>
      <c r="FD21" s="3296"/>
      <c r="FE21" s="3316"/>
    </row>
    <row r="22" spans="1:161" ht="12" thickBot="1" x14ac:dyDescent="0.25">
      <c r="A22" s="3284" t="s">
        <v>2849</v>
      </c>
      <c r="B22" s="3284"/>
      <c r="C22" s="3284"/>
      <c r="D22" s="3284"/>
      <c r="E22" s="3284"/>
      <c r="F22" s="3284"/>
      <c r="G22" s="3284"/>
      <c r="H22" s="3285"/>
      <c r="I22" s="3310" t="s">
        <v>1131</v>
      </c>
      <c r="J22" s="3311"/>
      <c r="K22" s="3311"/>
      <c r="L22" s="3311"/>
      <c r="M22" s="3311"/>
      <c r="N22" s="3311"/>
      <c r="O22" s="3311"/>
      <c r="P22" s="3311"/>
      <c r="Q22" s="3311"/>
      <c r="R22" s="3311"/>
      <c r="S22" s="3311"/>
      <c r="T22" s="3311"/>
      <c r="U22" s="3311"/>
      <c r="V22" s="3311"/>
      <c r="W22" s="3311"/>
      <c r="X22" s="3311"/>
      <c r="Y22" s="3311"/>
      <c r="Z22" s="3311"/>
      <c r="AA22" s="3311"/>
      <c r="AB22" s="3311"/>
      <c r="AC22" s="3311"/>
      <c r="AD22" s="3311"/>
      <c r="AE22" s="3311"/>
      <c r="AF22" s="3311"/>
      <c r="AG22" s="3311"/>
      <c r="AH22" s="3311"/>
      <c r="AI22" s="3311"/>
      <c r="AJ22" s="3311"/>
      <c r="AK22" s="3311"/>
      <c r="AL22" s="3311"/>
      <c r="AM22" s="3311"/>
      <c r="AN22" s="3311"/>
      <c r="AO22" s="3311"/>
      <c r="AP22" s="3311"/>
      <c r="AQ22" s="3311"/>
      <c r="AR22" s="3311"/>
      <c r="AS22" s="3311"/>
      <c r="AT22" s="3311"/>
      <c r="AU22" s="3311"/>
      <c r="AV22" s="3311"/>
      <c r="AW22" s="3311"/>
      <c r="AX22" s="3311"/>
      <c r="AY22" s="3311"/>
      <c r="AZ22" s="3311"/>
      <c r="BA22" s="3311"/>
      <c r="BB22" s="3311"/>
      <c r="BC22" s="3311"/>
      <c r="BD22" s="3311"/>
      <c r="BE22" s="3311"/>
      <c r="BF22" s="3311"/>
      <c r="BG22" s="3311"/>
      <c r="BH22" s="3311"/>
      <c r="BI22" s="3311"/>
      <c r="BJ22" s="3311"/>
      <c r="BK22" s="3311"/>
      <c r="BL22" s="3311"/>
      <c r="BM22" s="3311"/>
      <c r="BN22" s="3311"/>
      <c r="BO22" s="3311"/>
      <c r="BP22" s="3311"/>
      <c r="BQ22" s="3311"/>
      <c r="BR22" s="3311"/>
      <c r="BS22" s="3311"/>
      <c r="BT22" s="3311"/>
      <c r="BU22" s="3311"/>
      <c r="BV22" s="3311"/>
      <c r="BW22" s="3311"/>
      <c r="BX22" s="3311"/>
      <c r="BY22" s="3311"/>
      <c r="BZ22" s="3311"/>
      <c r="CA22" s="3311"/>
      <c r="CB22" s="3311"/>
      <c r="CC22" s="3311"/>
      <c r="CD22" s="3311"/>
      <c r="CE22" s="3311"/>
      <c r="CF22" s="3311"/>
      <c r="CG22" s="3311"/>
      <c r="CH22" s="3311"/>
      <c r="CI22" s="3311"/>
      <c r="CJ22" s="3311"/>
      <c r="CK22" s="3311"/>
      <c r="CL22" s="3311"/>
      <c r="CM22" s="3311"/>
      <c r="CN22" s="3312" t="s">
        <v>1132</v>
      </c>
      <c r="CO22" s="3313"/>
      <c r="CP22" s="3313"/>
      <c r="CQ22" s="3313"/>
      <c r="CR22" s="3313"/>
      <c r="CS22" s="3313"/>
      <c r="CT22" s="3313"/>
      <c r="CU22" s="3314"/>
      <c r="CV22" s="3315" t="s">
        <v>898</v>
      </c>
      <c r="CW22" s="3313"/>
      <c r="CX22" s="3313"/>
      <c r="CY22" s="3313"/>
      <c r="CZ22" s="3313"/>
      <c r="DA22" s="3313"/>
      <c r="DB22" s="3313"/>
      <c r="DC22" s="3313"/>
      <c r="DD22" s="3313"/>
      <c r="DE22" s="3314"/>
      <c r="DF22" s="3300">
        <f>DF23+DF24</f>
        <v>0</v>
      </c>
      <c r="DG22" s="3301"/>
      <c r="DH22" s="3301"/>
      <c r="DI22" s="3301"/>
      <c r="DJ22" s="3301"/>
      <c r="DK22" s="3301"/>
      <c r="DL22" s="3301"/>
      <c r="DM22" s="3301"/>
      <c r="DN22" s="3301"/>
      <c r="DO22" s="3301"/>
      <c r="DP22" s="3301"/>
      <c r="DQ22" s="3301"/>
      <c r="DR22" s="3302"/>
      <c r="DS22" s="3300">
        <f t="shared" ref="DS22" si="4">DS23+DS24</f>
        <v>0</v>
      </c>
      <c r="DT22" s="3301"/>
      <c r="DU22" s="3301"/>
      <c r="DV22" s="3301"/>
      <c r="DW22" s="3301"/>
      <c r="DX22" s="3301"/>
      <c r="DY22" s="3301"/>
      <c r="DZ22" s="3301"/>
      <c r="EA22" s="3301"/>
      <c r="EB22" s="3301"/>
      <c r="EC22" s="3301"/>
      <c r="ED22" s="3301"/>
      <c r="EE22" s="3302"/>
      <c r="EF22" s="3300">
        <f t="shared" ref="EF22" si="5">EF23+EF24</f>
        <v>0</v>
      </c>
      <c r="EG22" s="3301"/>
      <c r="EH22" s="3301"/>
      <c r="EI22" s="3301"/>
      <c r="EJ22" s="3301"/>
      <c r="EK22" s="3301"/>
      <c r="EL22" s="3301"/>
      <c r="EM22" s="3301"/>
      <c r="EN22" s="3301"/>
      <c r="EO22" s="3301"/>
      <c r="EP22" s="3301"/>
      <c r="EQ22" s="3301"/>
      <c r="ER22" s="3302"/>
      <c r="ES22" s="3300">
        <f t="shared" ref="ES22" si="6">ES23+ES24</f>
        <v>0</v>
      </c>
      <c r="ET22" s="3301"/>
      <c r="EU22" s="3301"/>
      <c r="EV22" s="3301"/>
      <c r="EW22" s="3301"/>
      <c r="EX22" s="3301"/>
      <c r="EY22" s="3301"/>
      <c r="EZ22" s="3301"/>
      <c r="FA22" s="3301"/>
      <c r="FB22" s="3301"/>
      <c r="FC22" s="3301"/>
      <c r="FD22" s="3301"/>
      <c r="FE22" s="3302"/>
    </row>
    <row r="23" spans="1:161" ht="24" customHeight="1" x14ac:dyDescent="0.2">
      <c r="A23" s="3284" t="s">
        <v>2850</v>
      </c>
      <c r="B23" s="3284"/>
      <c r="C23" s="3284"/>
      <c r="D23" s="3284"/>
      <c r="E23" s="3284"/>
      <c r="F23" s="3284"/>
      <c r="G23" s="3284"/>
      <c r="H23" s="3285"/>
      <c r="I23" s="3298" t="s">
        <v>1108</v>
      </c>
      <c r="J23" s="3299"/>
      <c r="K23" s="3299"/>
      <c r="L23" s="3299"/>
      <c r="M23" s="3299"/>
      <c r="N23" s="3299"/>
      <c r="O23" s="3299"/>
      <c r="P23" s="3299"/>
      <c r="Q23" s="3299"/>
      <c r="R23" s="3299"/>
      <c r="S23" s="3299"/>
      <c r="T23" s="3299"/>
      <c r="U23" s="3299"/>
      <c r="V23" s="3299"/>
      <c r="W23" s="3299"/>
      <c r="X23" s="3299"/>
      <c r="Y23" s="3299"/>
      <c r="Z23" s="3299"/>
      <c r="AA23" s="3299"/>
      <c r="AB23" s="3299"/>
      <c r="AC23" s="3299"/>
      <c r="AD23" s="3299"/>
      <c r="AE23" s="3299"/>
      <c r="AF23" s="3299"/>
      <c r="AG23" s="3299"/>
      <c r="AH23" s="3299"/>
      <c r="AI23" s="3299"/>
      <c r="AJ23" s="3299"/>
      <c r="AK23" s="3299"/>
      <c r="AL23" s="3299"/>
      <c r="AM23" s="3299"/>
      <c r="AN23" s="3299"/>
      <c r="AO23" s="3299"/>
      <c r="AP23" s="3299"/>
      <c r="AQ23" s="3299"/>
      <c r="AR23" s="3299"/>
      <c r="AS23" s="3299"/>
      <c r="AT23" s="3299"/>
      <c r="AU23" s="3299"/>
      <c r="AV23" s="3299"/>
      <c r="AW23" s="3299"/>
      <c r="AX23" s="3299"/>
      <c r="AY23" s="3299"/>
      <c r="AZ23" s="3299"/>
      <c r="BA23" s="3299"/>
      <c r="BB23" s="3299"/>
      <c r="BC23" s="3299"/>
      <c r="BD23" s="3299"/>
      <c r="BE23" s="3299"/>
      <c r="BF23" s="3299"/>
      <c r="BG23" s="3299"/>
      <c r="BH23" s="3299"/>
      <c r="BI23" s="3299"/>
      <c r="BJ23" s="3299"/>
      <c r="BK23" s="3299"/>
      <c r="BL23" s="3299"/>
      <c r="BM23" s="3299"/>
      <c r="BN23" s="3299"/>
      <c r="BO23" s="3299"/>
      <c r="BP23" s="3299"/>
      <c r="BQ23" s="3299"/>
      <c r="BR23" s="3299"/>
      <c r="BS23" s="3299"/>
      <c r="BT23" s="3299"/>
      <c r="BU23" s="3299"/>
      <c r="BV23" s="3299"/>
      <c r="BW23" s="3299"/>
      <c r="BX23" s="3299"/>
      <c r="BY23" s="3299"/>
      <c r="BZ23" s="3299"/>
      <c r="CA23" s="3299"/>
      <c r="CB23" s="3299"/>
      <c r="CC23" s="3299"/>
      <c r="CD23" s="3299"/>
      <c r="CE23" s="3299"/>
      <c r="CF23" s="3299"/>
      <c r="CG23" s="3299"/>
      <c r="CH23" s="3299"/>
      <c r="CI23" s="3299"/>
      <c r="CJ23" s="3299"/>
      <c r="CK23" s="3299"/>
      <c r="CL23" s="3299"/>
      <c r="CM23" s="3299"/>
      <c r="CN23" s="3303" t="s">
        <v>1133</v>
      </c>
      <c r="CO23" s="3304"/>
      <c r="CP23" s="3304"/>
      <c r="CQ23" s="3304"/>
      <c r="CR23" s="3304"/>
      <c r="CS23" s="3304"/>
      <c r="CT23" s="3304"/>
      <c r="CU23" s="3305"/>
      <c r="CV23" s="3306" t="s">
        <v>898</v>
      </c>
      <c r="CW23" s="3304"/>
      <c r="CX23" s="3304"/>
      <c r="CY23" s="3304"/>
      <c r="CZ23" s="3304"/>
      <c r="DA23" s="3304"/>
      <c r="DB23" s="3304"/>
      <c r="DC23" s="3304"/>
      <c r="DD23" s="3304"/>
      <c r="DE23" s="3305"/>
      <c r="DF23" s="3307">
        <v>0</v>
      </c>
      <c r="DG23" s="3308"/>
      <c r="DH23" s="3308"/>
      <c r="DI23" s="3308"/>
      <c r="DJ23" s="3308"/>
      <c r="DK23" s="3308"/>
      <c r="DL23" s="3308"/>
      <c r="DM23" s="3308"/>
      <c r="DN23" s="3308"/>
      <c r="DO23" s="3308"/>
      <c r="DP23" s="3308"/>
      <c r="DQ23" s="3308"/>
      <c r="DR23" s="3309"/>
      <c r="DS23" s="3307">
        <v>0</v>
      </c>
      <c r="DT23" s="3308"/>
      <c r="DU23" s="3308"/>
      <c r="DV23" s="3308"/>
      <c r="DW23" s="3308"/>
      <c r="DX23" s="3308"/>
      <c r="DY23" s="3308"/>
      <c r="DZ23" s="3308"/>
      <c r="EA23" s="3308"/>
      <c r="EB23" s="3308"/>
      <c r="EC23" s="3308"/>
      <c r="ED23" s="3308"/>
      <c r="EE23" s="3309"/>
      <c r="EF23" s="3307">
        <v>0</v>
      </c>
      <c r="EG23" s="3308"/>
      <c r="EH23" s="3308"/>
      <c r="EI23" s="3308"/>
      <c r="EJ23" s="3308"/>
      <c r="EK23" s="3308"/>
      <c r="EL23" s="3308"/>
      <c r="EM23" s="3308"/>
      <c r="EN23" s="3308"/>
      <c r="EO23" s="3308"/>
      <c r="EP23" s="3308"/>
      <c r="EQ23" s="3308"/>
      <c r="ER23" s="3309"/>
      <c r="ES23" s="3307">
        <v>0</v>
      </c>
      <c r="ET23" s="3308"/>
      <c r="EU23" s="3308"/>
      <c r="EV23" s="3308"/>
      <c r="EW23" s="3308"/>
      <c r="EX23" s="3308"/>
      <c r="EY23" s="3308"/>
      <c r="EZ23" s="3308"/>
      <c r="FA23" s="3308"/>
      <c r="FB23" s="3308"/>
      <c r="FC23" s="3308"/>
      <c r="FD23" s="3308"/>
      <c r="FE23" s="3309"/>
    </row>
    <row r="24" spans="1:161" x14ac:dyDescent="0.2">
      <c r="A24" s="3284" t="s">
        <v>2851</v>
      </c>
      <c r="B24" s="3284"/>
      <c r="C24" s="3284"/>
      <c r="D24" s="3284"/>
      <c r="E24" s="3284"/>
      <c r="F24" s="3284"/>
      <c r="G24" s="3284"/>
      <c r="H24" s="3285"/>
      <c r="I24" s="3298" t="s">
        <v>1134</v>
      </c>
      <c r="J24" s="3299"/>
      <c r="K24" s="3299"/>
      <c r="L24" s="3299"/>
      <c r="M24" s="3299"/>
      <c r="N24" s="3299"/>
      <c r="O24" s="3299"/>
      <c r="P24" s="3299"/>
      <c r="Q24" s="3299"/>
      <c r="R24" s="3299"/>
      <c r="S24" s="3299"/>
      <c r="T24" s="3299"/>
      <c r="U24" s="3299"/>
      <c r="V24" s="3299"/>
      <c r="W24" s="3299"/>
      <c r="X24" s="3299"/>
      <c r="Y24" s="3299"/>
      <c r="Z24" s="3299"/>
      <c r="AA24" s="3299"/>
      <c r="AB24" s="3299"/>
      <c r="AC24" s="3299"/>
      <c r="AD24" s="3299"/>
      <c r="AE24" s="3299"/>
      <c r="AF24" s="3299"/>
      <c r="AG24" s="3299"/>
      <c r="AH24" s="3299"/>
      <c r="AI24" s="3299"/>
      <c r="AJ24" s="3299"/>
      <c r="AK24" s="3299"/>
      <c r="AL24" s="3299"/>
      <c r="AM24" s="3299"/>
      <c r="AN24" s="3299"/>
      <c r="AO24" s="3299"/>
      <c r="AP24" s="3299"/>
      <c r="AQ24" s="3299"/>
      <c r="AR24" s="3299"/>
      <c r="AS24" s="3299"/>
      <c r="AT24" s="3299"/>
      <c r="AU24" s="3299"/>
      <c r="AV24" s="3299"/>
      <c r="AW24" s="3299"/>
      <c r="AX24" s="3299"/>
      <c r="AY24" s="3299"/>
      <c r="AZ24" s="3299"/>
      <c r="BA24" s="3299"/>
      <c r="BB24" s="3299"/>
      <c r="BC24" s="3299"/>
      <c r="BD24" s="3299"/>
      <c r="BE24" s="3299"/>
      <c r="BF24" s="3299"/>
      <c r="BG24" s="3299"/>
      <c r="BH24" s="3299"/>
      <c r="BI24" s="3299"/>
      <c r="BJ24" s="3299"/>
      <c r="BK24" s="3299"/>
      <c r="BL24" s="3299"/>
      <c r="BM24" s="3299"/>
      <c r="BN24" s="3299"/>
      <c r="BO24" s="3299"/>
      <c r="BP24" s="3299"/>
      <c r="BQ24" s="3299"/>
      <c r="BR24" s="3299"/>
      <c r="BS24" s="3299"/>
      <c r="BT24" s="3299"/>
      <c r="BU24" s="3299"/>
      <c r="BV24" s="3299"/>
      <c r="BW24" s="3299"/>
      <c r="BX24" s="3299"/>
      <c r="BY24" s="3299"/>
      <c r="BZ24" s="3299"/>
      <c r="CA24" s="3299"/>
      <c r="CB24" s="3299"/>
      <c r="CC24" s="3299"/>
      <c r="CD24" s="3299"/>
      <c r="CE24" s="3299"/>
      <c r="CF24" s="3299"/>
      <c r="CG24" s="3299"/>
      <c r="CH24" s="3299"/>
      <c r="CI24" s="3299"/>
      <c r="CJ24" s="3299"/>
      <c r="CK24" s="3299"/>
      <c r="CL24" s="3299"/>
      <c r="CM24" s="3299"/>
      <c r="CN24" s="3288" t="s">
        <v>1135</v>
      </c>
      <c r="CO24" s="3284"/>
      <c r="CP24" s="3284"/>
      <c r="CQ24" s="3284"/>
      <c r="CR24" s="3284"/>
      <c r="CS24" s="3284"/>
      <c r="CT24" s="3284"/>
      <c r="CU24" s="3285"/>
      <c r="CV24" s="3289" t="s">
        <v>898</v>
      </c>
      <c r="CW24" s="3284"/>
      <c r="CX24" s="3284"/>
      <c r="CY24" s="3284"/>
      <c r="CZ24" s="3284"/>
      <c r="DA24" s="3284"/>
      <c r="DB24" s="3284"/>
      <c r="DC24" s="3284"/>
      <c r="DD24" s="3284"/>
      <c r="DE24" s="3285"/>
      <c r="DF24" s="3295">
        <v>0</v>
      </c>
      <c r="DG24" s="3296"/>
      <c r="DH24" s="3296"/>
      <c r="DI24" s="3296"/>
      <c r="DJ24" s="3296"/>
      <c r="DK24" s="3296"/>
      <c r="DL24" s="3296"/>
      <c r="DM24" s="3296"/>
      <c r="DN24" s="3296"/>
      <c r="DO24" s="3296"/>
      <c r="DP24" s="3296"/>
      <c r="DQ24" s="3296"/>
      <c r="DR24" s="3297"/>
      <c r="DS24" s="3295">
        <v>0</v>
      </c>
      <c r="DT24" s="3296"/>
      <c r="DU24" s="3296"/>
      <c r="DV24" s="3296"/>
      <c r="DW24" s="3296"/>
      <c r="DX24" s="3296"/>
      <c r="DY24" s="3296"/>
      <c r="DZ24" s="3296"/>
      <c r="EA24" s="3296"/>
      <c r="EB24" s="3296"/>
      <c r="EC24" s="3296"/>
      <c r="ED24" s="3296"/>
      <c r="EE24" s="3297"/>
      <c r="EF24" s="3295">
        <v>0</v>
      </c>
      <c r="EG24" s="3296"/>
      <c r="EH24" s="3296"/>
      <c r="EI24" s="3296"/>
      <c r="EJ24" s="3296"/>
      <c r="EK24" s="3296"/>
      <c r="EL24" s="3296"/>
      <c r="EM24" s="3296"/>
      <c r="EN24" s="3296"/>
      <c r="EO24" s="3296"/>
      <c r="EP24" s="3296"/>
      <c r="EQ24" s="3296"/>
      <c r="ER24" s="3297"/>
      <c r="ES24" s="3295">
        <v>0</v>
      </c>
      <c r="ET24" s="3296"/>
      <c r="EU24" s="3296"/>
      <c r="EV24" s="3296"/>
      <c r="EW24" s="3296"/>
      <c r="EX24" s="3296"/>
      <c r="EY24" s="3296"/>
      <c r="EZ24" s="3296"/>
      <c r="FA24" s="3296"/>
      <c r="FB24" s="3296"/>
      <c r="FC24" s="3296"/>
      <c r="FD24" s="3296"/>
      <c r="FE24" s="3297"/>
    </row>
    <row r="25" spans="1:161" ht="24" customHeight="1" x14ac:dyDescent="0.2">
      <c r="A25" s="3284" t="s">
        <v>1088</v>
      </c>
      <c r="B25" s="3284"/>
      <c r="C25" s="3284"/>
      <c r="D25" s="3284"/>
      <c r="E25" s="3284"/>
      <c r="F25" s="3284"/>
      <c r="G25" s="3284"/>
      <c r="H25" s="3285"/>
      <c r="I25" s="3286" t="s">
        <v>1136</v>
      </c>
      <c r="J25" s="3287"/>
      <c r="K25" s="3287"/>
      <c r="L25" s="3287"/>
      <c r="M25" s="3287"/>
      <c r="N25" s="3287"/>
      <c r="O25" s="3287"/>
      <c r="P25" s="3287"/>
      <c r="Q25" s="3287"/>
      <c r="R25" s="3287"/>
      <c r="S25" s="3287"/>
      <c r="T25" s="3287"/>
      <c r="U25" s="3287"/>
      <c r="V25" s="3287"/>
      <c r="W25" s="3287"/>
      <c r="X25" s="3287"/>
      <c r="Y25" s="3287"/>
      <c r="Z25" s="3287"/>
      <c r="AA25" s="3287"/>
      <c r="AB25" s="3287"/>
      <c r="AC25" s="3287"/>
      <c r="AD25" s="3287"/>
      <c r="AE25" s="3287"/>
      <c r="AF25" s="3287"/>
      <c r="AG25" s="3287"/>
      <c r="AH25" s="3287"/>
      <c r="AI25" s="3287"/>
      <c r="AJ25" s="3287"/>
      <c r="AK25" s="3287"/>
      <c r="AL25" s="3287"/>
      <c r="AM25" s="3287"/>
      <c r="AN25" s="3287"/>
      <c r="AO25" s="3287"/>
      <c r="AP25" s="3287"/>
      <c r="AQ25" s="3287"/>
      <c r="AR25" s="3287"/>
      <c r="AS25" s="3287"/>
      <c r="AT25" s="3287"/>
      <c r="AU25" s="3287"/>
      <c r="AV25" s="3287"/>
      <c r="AW25" s="3287"/>
      <c r="AX25" s="3287"/>
      <c r="AY25" s="3287"/>
      <c r="AZ25" s="3287"/>
      <c r="BA25" s="3287"/>
      <c r="BB25" s="3287"/>
      <c r="BC25" s="3287"/>
      <c r="BD25" s="3287"/>
      <c r="BE25" s="3287"/>
      <c r="BF25" s="3287"/>
      <c r="BG25" s="3287"/>
      <c r="BH25" s="3287"/>
      <c r="BI25" s="3287"/>
      <c r="BJ25" s="3287"/>
      <c r="BK25" s="3287"/>
      <c r="BL25" s="3287"/>
      <c r="BM25" s="3287"/>
      <c r="BN25" s="3287"/>
      <c r="BO25" s="3287"/>
      <c r="BP25" s="3287"/>
      <c r="BQ25" s="3287"/>
      <c r="BR25" s="3287"/>
      <c r="BS25" s="3287"/>
      <c r="BT25" s="3287"/>
      <c r="BU25" s="3287"/>
      <c r="BV25" s="3287"/>
      <c r="BW25" s="3287"/>
      <c r="BX25" s="3287"/>
      <c r="BY25" s="3287"/>
      <c r="BZ25" s="3287"/>
      <c r="CA25" s="3287"/>
      <c r="CB25" s="3287"/>
      <c r="CC25" s="3287"/>
      <c r="CD25" s="3287"/>
      <c r="CE25" s="3287"/>
      <c r="CF25" s="3287"/>
      <c r="CG25" s="3287"/>
      <c r="CH25" s="3287"/>
      <c r="CI25" s="3287"/>
      <c r="CJ25" s="3287"/>
      <c r="CK25" s="3287"/>
      <c r="CL25" s="3287"/>
      <c r="CM25" s="3287"/>
      <c r="CN25" s="3288" t="s">
        <v>1137</v>
      </c>
      <c r="CO25" s="3284"/>
      <c r="CP25" s="3284"/>
      <c r="CQ25" s="3284"/>
      <c r="CR25" s="3284"/>
      <c r="CS25" s="3284"/>
      <c r="CT25" s="3284"/>
      <c r="CU25" s="3285"/>
      <c r="CV25" s="3289" t="s">
        <v>898</v>
      </c>
      <c r="CW25" s="3284"/>
      <c r="CX25" s="3284"/>
      <c r="CY25" s="3284"/>
      <c r="CZ25" s="3284"/>
      <c r="DA25" s="3284"/>
      <c r="DB25" s="3284"/>
      <c r="DC25" s="3284"/>
      <c r="DD25" s="3284"/>
      <c r="DE25" s="3285"/>
      <c r="DF25" s="3290">
        <v>10541050</v>
      </c>
      <c r="DG25" s="3291"/>
      <c r="DH25" s="3291"/>
      <c r="DI25" s="3291"/>
      <c r="DJ25" s="3291"/>
      <c r="DK25" s="3291"/>
      <c r="DL25" s="3291"/>
      <c r="DM25" s="3291"/>
      <c r="DN25" s="3291"/>
      <c r="DO25" s="3291"/>
      <c r="DP25" s="3291"/>
      <c r="DQ25" s="3291"/>
      <c r="DR25" s="3292"/>
      <c r="DS25" s="3290">
        <v>10162550</v>
      </c>
      <c r="DT25" s="3291"/>
      <c r="DU25" s="3291"/>
      <c r="DV25" s="3291"/>
      <c r="DW25" s="3291"/>
      <c r="DX25" s="3291"/>
      <c r="DY25" s="3291"/>
      <c r="DZ25" s="3291"/>
      <c r="EA25" s="3291"/>
      <c r="EB25" s="3291"/>
      <c r="EC25" s="3291"/>
      <c r="ED25" s="3291"/>
      <c r="EE25" s="3292"/>
      <c r="EF25" s="3290">
        <v>10802970</v>
      </c>
      <c r="EG25" s="3291"/>
      <c r="EH25" s="3291"/>
      <c r="EI25" s="3291"/>
      <c r="EJ25" s="3291"/>
      <c r="EK25" s="3291"/>
      <c r="EL25" s="3291"/>
      <c r="EM25" s="3291"/>
      <c r="EN25" s="3291"/>
      <c r="EO25" s="3291"/>
      <c r="EP25" s="3291"/>
      <c r="EQ25" s="3291"/>
      <c r="ER25" s="3292"/>
      <c r="ES25" s="3290">
        <f t="shared" ref="ES25" si="7">ES12+ES15+ES18+ES19</f>
        <v>0</v>
      </c>
      <c r="ET25" s="3291"/>
      <c r="EU25" s="3291"/>
      <c r="EV25" s="3291"/>
      <c r="EW25" s="3291"/>
      <c r="EX25" s="3291"/>
      <c r="EY25" s="3291"/>
      <c r="EZ25" s="3291"/>
      <c r="FA25" s="3291"/>
      <c r="FB25" s="3291"/>
      <c r="FC25" s="3291"/>
      <c r="FD25" s="3291"/>
      <c r="FE25" s="3292"/>
    </row>
    <row r="26" spans="1:161" x14ac:dyDescent="0.2">
      <c r="A26" s="3252"/>
      <c r="B26" s="3252"/>
      <c r="C26" s="3252"/>
      <c r="D26" s="3252"/>
      <c r="E26" s="3252"/>
      <c r="F26" s="3252"/>
      <c r="G26" s="3252"/>
      <c r="H26" s="3253"/>
      <c r="I26" s="3255" t="s">
        <v>1138</v>
      </c>
      <c r="J26" s="3256"/>
      <c r="K26" s="3256"/>
      <c r="L26" s="3256"/>
      <c r="M26" s="3256"/>
      <c r="N26" s="3256"/>
      <c r="O26" s="3256"/>
      <c r="P26" s="3256"/>
      <c r="Q26" s="3256"/>
      <c r="R26" s="3256"/>
      <c r="S26" s="3256"/>
      <c r="T26" s="3256"/>
      <c r="U26" s="3256"/>
      <c r="V26" s="3256"/>
      <c r="W26" s="3256"/>
      <c r="X26" s="3256"/>
      <c r="Y26" s="3256"/>
      <c r="Z26" s="3256"/>
      <c r="AA26" s="3256"/>
      <c r="AB26" s="3256"/>
      <c r="AC26" s="3256"/>
      <c r="AD26" s="3256"/>
      <c r="AE26" s="3256"/>
      <c r="AF26" s="3256"/>
      <c r="AG26" s="3256"/>
      <c r="AH26" s="3256"/>
      <c r="AI26" s="3256"/>
      <c r="AJ26" s="3256"/>
      <c r="AK26" s="3256"/>
      <c r="AL26" s="3256"/>
      <c r="AM26" s="3256"/>
      <c r="AN26" s="3256"/>
      <c r="AO26" s="3256"/>
      <c r="AP26" s="3256"/>
      <c r="AQ26" s="3256"/>
      <c r="AR26" s="3256"/>
      <c r="AS26" s="3256"/>
      <c r="AT26" s="3256"/>
      <c r="AU26" s="3256"/>
      <c r="AV26" s="3256"/>
      <c r="AW26" s="3256"/>
      <c r="AX26" s="3256"/>
      <c r="AY26" s="3256"/>
      <c r="AZ26" s="3256"/>
      <c r="BA26" s="3256"/>
      <c r="BB26" s="3256"/>
      <c r="BC26" s="3256"/>
      <c r="BD26" s="3256"/>
      <c r="BE26" s="3256"/>
      <c r="BF26" s="3256"/>
      <c r="BG26" s="3256"/>
      <c r="BH26" s="3256"/>
      <c r="BI26" s="3256"/>
      <c r="BJ26" s="3256"/>
      <c r="BK26" s="3256"/>
      <c r="BL26" s="3256"/>
      <c r="BM26" s="3256"/>
      <c r="BN26" s="3256"/>
      <c r="BO26" s="3256"/>
      <c r="BP26" s="3256"/>
      <c r="BQ26" s="3256"/>
      <c r="BR26" s="3256"/>
      <c r="BS26" s="3256"/>
      <c r="BT26" s="3256"/>
      <c r="BU26" s="3256"/>
      <c r="BV26" s="3256"/>
      <c r="BW26" s="3256"/>
      <c r="BX26" s="3256"/>
      <c r="BY26" s="3256"/>
      <c r="BZ26" s="3256"/>
      <c r="CA26" s="3256"/>
      <c r="CB26" s="3256"/>
      <c r="CC26" s="3256"/>
      <c r="CD26" s="3256"/>
      <c r="CE26" s="3256"/>
      <c r="CF26" s="3256"/>
      <c r="CG26" s="3256"/>
      <c r="CH26" s="3256"/>
      <c r="CI26" s="3256"/>
      <c r="CJ26" s="3256"/>
      <c r="CK26" s="3256"/>
      <c r="CL26" s="3256"/>
      <c r="CM26" s="3257"/>
      <c r="CN26" s="3258" t="s">
        <v>1139</v>
      </c>
      <c r="CO26" s="3252"/>
      <c r="CP26" s="3252"/>
      <c r="CQ26" s="3252"/>
      <c r="CR26" s="3252"/>
      <c r="CS26" s="3252"/>
      <c r="CT26" s="3252"/>
      <c r="CU26" s="3253"/>
      <c r="CV26" s="3262"/>
      <c r="CW26" s="3252"/>
      <c r="CX26" s="3252"/>
      <c r="CY26" s="3252"/>
      <c r="CZ26" s="3252"/>
      <c r="DA26" s="3252"/>
      <c r="DB26" s="3252"/>
      <c r="DC26" s="3252"/>
      <c r="DD26" s="3252"/>
      <c r="DE26" s="3253"/>
      <c r="DF26" s="3264">
        <v>5860871.79</v>
      </c>
      <c r="DG26" s="3265"/>
      <c r="DH26" s="3265"/>
      <c r="DI26" s="3265"/>
      <c r="DJ26" s="3265"/>
      <c r="DK26" s="3265"/>
      <c r="DL26" s="3265"/>
      <c r="DM26" s="3265"/>
      <c r="DN26" s="3265"/>
      <c r="DO26" s="3265"/>
      <c r="DP26" s="3265"/>
      <c r="DQ26" s="3265"/>
      <c r="DR26" s="3266"/>
      <c r="DS26" s="3264">
        <v>6980300</v>
      </c>
      <c r="DT26" s="3265"/>
      <c r="DU26" s="3265"/>
      <c r="DV26" s="3265"/>
      <c r="DW26" s="3265"/>
      <c r="DX26" s="3265"/>
      <c r="DY26" s="3265"/>
      <c r="DZ26" s="3265"/>
      <c r="EA26" s="3265"/>
      <c r="EB26" s="3265"/>
      <c r="EC26" s="3265"/>
      <c r="ED26" s="3265"/>
      <c r="EE26" s="3266"/>
      <c r="EF26" s="3264">
        <v>7040700</v>
      </c>
      <c r="EG26" s="3265"/>
      <c r="EH26" s="3265"/>
      <c r="EI26" s="3265"/>
      <c r="EJ26" s="3265"/>
      <c r="EK26" s="3265"/>
      <c r="EL26" s="3265"/>
      <c r="EM26" s="3265"/>
      <c r="EN26" s="3265"/>
      <c r="EO26" s="3265"/>
      <c r="EP26" s="3265"/>
      <c r="EQ26" s="3265"/>
      <c r="ER26" s="3266"/>
      <c r="ES26" s="3270">
        <v>0</v>
      </c>
      <c r="ET26" s="3271"/>
      <c r="EU26" s="3271"/>
      <c r="EV26" s="3271"/>
      <c r="EW26" s="3271"/>
      <c r="EX26" s="3271"/>
      <c r="EY26" s="3271"/>
      <c r="EZ26" s="3271"/>
      <c r="FA26" s="3271"/>
      <c r="FB26" s="3271"/>
      <c r="FC26" s="3271"/>
      <c r="FD26" s="3271"/>
      <c r="FE26" s="3272"/>
    </row>
    <row r="27" spans="1:161" x14ac:dyDescent="0.2">
      <c r="A27" s="3240"/>
      <c r="B27" s="3240"/>
      <c r="C27" s="3240"/>
      <c r="D27" s="3240"/>
      <c r="E27" s="3240"/>
      <c r="F27" s="3240"/>
      <c r="G27" s="3240"/>
      <c r="H27" s="3254"/>
      <c r="I27" s="3276"/>
      <c r="J27" s="3277"/>
      <c r="K27" s="3277"/>
      <c r="L27" s="3277"/>
      <c r="M27" s="3277"/>
      <c r="N27" s="3277"/>
      <c r="O27" s="3277"/>
      <c r="P27" s="3277"/>
      <c r="Q27" s="3277"/>
      <c r="R27" s="3277"/>
      <c r="S27" s="3277"/>
      <c r="T27" s="3277"/>
      <c r="U27" s="3277"/>
      <c r="V27" s="3277"/>
      <c r="W27" s="3277"/>
      <c r="X27" s="3277"/>
      <c r="Y27" s="3277"/>
      <c r="Z27" s="3277"/>
      <c r="AA27" s="3277"/>
      <c r="AB27" s="3277"/>
      <c r="AC27" s="3277"/>
      <c r="AD27" s="3277"/>
      <c r="AE27" s="3277"/>
      <c r="AF27" s="3277"/>
      <c r="AG27" s="3277"/>
      <c r="AH27" s="3277"/>
      <c r="AI27" s="3277"/>
      <c r="AJ27" s="3277"/>
      <c r="AK27" s="3277"/>
      <c r="AL27" s="3277"/>
      <c r="AM27" s="3277"/>
      <c r="AN27" s="3277"/>
      <c r="AO27" s="3277"/>
      <c r="AP27" s="3277"/>
      <c r="AQ27" s="3277"/>
      <c r="AR27" s="3277"/>
      <c r="AS27" s="3277"/>
      <c r="AT27" s="3277"/>
      <c r="AU27" s="3277"/>
      <c r="AV27" s="3277"/>
      <c r="AW27" s="3277"/>
      <c r="AX27" s="3277"/>
      <c r="AY27" s="3277"/>
      <c r="AZ27" s="3277"/>
      <c r="BA27" s="3277"/>
      <c r="BB27" s="3277"/>
      <c r="BC27" s="3277"/>
      <c r="BD27" s="3277"/>
      <c r="BE27" s="3277"/>
      <c r="BF27" s="3277"/>
      <c r="BG27" s="3277"/>
      <c r="BH27" s="3277"/>
      <c r="BI27" s="3277"/>
      <c r="BJ27" s="3277"/>
      <c r="BK27" s="3277"/>
      <c r="BL27" s="3277"/>
      <c r="BM27" s="3277"/>
      <c r="BN27" s="3277"/>
      <c r="BO27" s="3277"/>
      <c r="BP27" s="3277"/>
      <c r="BQ27" s="3277"/>
      <c r="BR27" s="3277"/>
      <c r="BS27" s="3277"/>
      <c r="BT27" s="3277"/>
      <c r="BU27" s="3277"/>
      <c r="BV27" s="3277"/>
      <c r="BW27" s="3277"/>
      <c r="BX27" s="3277"/>
      <c r="BY27" s="3277"/>
      <c r="BZ27" s="3277"/>
      <c r="CA27" s="3277"/>
      <c r="CB27" s="3277"/>
      <c r="CC27" s="3277"/>
      <c r="CD27" s="3277"/>
      <c r="CE27" s="3277"/>
      <c r="CF27" s="3277"/>
      <c r="CG27" s="3277"/>
      <c r="CH27" s="3277"/>
      <c r="CI27" s="3277"/>
      <c r="CJ27" s="3277"/>
      <c r="CK27" s="3277"/>
      <c r="CL27" s="3277"/>
      <c r="CM27" s="3277"/>
      <c r="CN27" s="3293"/>
      <c r="CO27" s="3240"/>
      <c r="CP27" s="3240"/>
      <c r="CQ27" s="3240"/>
      <c r="CR27" s="3240"/>
      <c r="CS27" s="3240"/>
      <c r="CT27" s="3240"/>
      <c r="CU27" s="3254"/>
      <c r="CV27" s="3294"/>
      <c r="CW27" s="3240"/>
      <c r="CX27" s="3240"/>
      <c r="CY27" s="3240"/>
      <c r="CZ27" s="3240"/>
      <c r="DA27" s="3240"/>
      <c r="DB27" s="3240"/>
      <c r="DC27" s="3240"/>
      <c r="DD27" s="3240"/>
      <c r="DE27" s="3254"/>
      <c r="DF27" s="3278"/>
      <c r="DG27" s="3279"/>
      <c r="DH27" s="3279"/>
      <c r="DI27" s="3279"/>
      <c r="DJ27" s="3279"/>
      <c r="DK27" s="3279"/>
      <c r="DL27" s="3279"/>
      <c r="DM27" s="3279"/>
      <c r="DN27" s="3279"/>
      <c r="DO27" s="3279"/>
      <c r="DP27" s="3279"/>
      <c r="DQ27" s="3279"/>
      <c r="DR27" s="3280"/>
      <c r="DS27" s="3278"/>
      <c r="DT27" s="3279"/>
      <c r="DU27" s="3279"/>
      <c r="DV27" s="3279"/>
      <c r="DW27" s="3279"/>
      <c r="DX27" s="3279"/>
      <c r="DY27" s="3279"/>
      <c r="DZ27" s="3279"/>
      <c r="EA27" s="3279"/>
      <c r="EB27" s="3279"/>
      <c r="EC27" s="3279"/>
      <c r="ED27" s="3279"/>
      <c r="EE27" s="3280"/>
      <c r="EF27" s="3278"/>
      <c r="EG27" s="3279"/>
      <c r="EH27" s="3279"/>
      <c r="EI27" s="3279"/>
      <c r="EJ27" s="3279"/>
      <c r="EK27" s="3279"/>
      <c r="EL27" s="3279"/>
      <c r="EM27" s="3279"/>
      <c r="EN27" s="3279"/>
      <c r="EO27" s="3279"/>
      <c r="EP27" s="3279"/>
      <c r="EQ27" s="3279"/>
      <c r="ER27" s="3280"/>
      <c r="ES27" s="3281"/>
      <c r="ET27" s="3282"/>
      <c r="EU27" s="3282"/>
      <c r="EV27" s="3282"/>
      <c r="EW27" s="3282"/>
      <c r="EX27" s="3282"/>
      <c r="EY27" s="3282"/>
      <c r="EZ27" s="3282"/>
      <c r="FA27" s="3282"/>
      <c r="FB27" s="3282"/>
      <c r="FC27" s="3282"/>
      <c r="FD27" s="3282"/>
      <c r="FE27" s="3283"/>
    </row>
    <row r="28" spans="1:161" ht="24" customHeight="1" x14ac:dyDescent="0.2">
      <c r="A28" s="3284" t="s">
        <v>1089</v>
      </c>
      <c r="B28" s="3284"/>
      <c r="C28" s="3284"/>
      <c r="D28" s="3284"/>
      <c r="E28" s="3284"/>
      <c r="F28" s="3284"/>
      <c r="G28" s="3284"/>
      <c r="H28" s="3285"/>
      <c r="I28" s="3286" t="s">
        <v>1140</v>
      </c>
      <c r="J28" s="3287"/>
      <c r="K28" s="3287"/>
      <c r="L28" s="3287"/>
      <c r="M28" s="3287"/>
      <c r="N28" s="3287"/>
      <c r="O28" s="3287"/>
      <c r="P28" s="3287"/>
      <c r="Q28" s="3287"/>
      <c r="R28" s="3287"/>
      <c r="S28" s="3287"/>
      <c r="T28" s="3287"/>
      <c r="U28" s="3287"/>
      <c r="V28" s="3287"/>
      <c r="W28" s="3287"/>
      <c r="X28" s="3287"/>
      <c r="Y28" s="3287"/>
      <c r="Z28" s="3287"/>
      <c r="AA28" s="3287"/>
      <c r="AB28" s="3287"/>
      <c r="AC28" s="3287"/>
      <c r="AD28" s="3287"/>
      <c r="AE28" s="3287"/>
      <c r="AF28" s="3287"/>
      <c r="AG28" s="3287"/>
      <c r="AH28" s="3287"/>
      <c r="AI28" s="3287"/>
      <c r="AJ28" s="3287"/>
      <c r="AK28" s="3287"/>
      <c r="AL28" s="3287"/>
      <c r="AM28" s="3287"/>
      <c r="AN28" s="3287"/>
      <c r="AO28" s="3287"/>
      <c r="AP28" s="3287"/>
      <c r="AQ28" s="3287"/>
      <c r="AR28" s="3287"/>
      <c r="AS28" s="3287"/>
      <c r="AT28" s="3287"/>
      <c r="AU28" s="3287"/>
      <c r="AV28" s="3287"/>
      <c r="AW28" s="3287"/>
      <c r="AX28" s="3287"/>
      <c r="AY28" s="3287"/>
      <c r="AZ28" s="3287"/>
      <c r="BA28" s="3287"/>
      <c r="BB28" s="3287"/>
      <c r="BC28" s="3287"/>
      <c r="BD28" s="3287"/>
      <c r="BE28" s="3287"/>
      <c r="BF28" s="3287"/>
      <c r="BG28" s="3287"/>
      <c r="BH28" s="3287"/>
      <c r="BI28" s="3287"/>
      <c r="BJ28" s="3287"/>
      <c r="BK28" s="3287"/>
      <c r="BL28" s="3287"/>
      <c r="BM28" s="3287"/>
      <c r="BN28" s="3287"/>
      <c r="BO28" s="3287"/>
      <c r="BP28" s="3287"/>
      <c r="BQ28" s="3287"/>
      <c r="BR28" s="3287"/>
      <c r="BS28" s="3287"/>
      <c r="BT28" s="3287"/>
      <c r="BU28" s="3287"/>
      <c r="BV28" s="3287"/>
      <c r="BW28" s="3287"/>
      <c r="BX28" s="3287"/>
      <c r="BY28" s="3287"/>
      <c r="BZ28" s="3287"/>
      <c r="CA28" s="3287"/>
      <c r="CB28" s="3287"/>
      <c r="CC28" s="3287"/>
      <c r="CD28" s="3287"/>
      <c r="CE28" s="3287"/>
      <c r="CF28" s="3287"/>
      <c r="CG28" s="3287"/>
      <c r="CH28" s="3287"/>
      <c r="CI28" s="3287"/>
      <c r="CJ28" s="3287"/>
      <c r="CK28" s="3287"/>
      <c r="CL28" s="3287"/>
      <c r="CM28" s="3287"/>
      <c r="CN28" s="3288" t="s">
        <v>1141</v>
      </c>
      <c r="CO28" s="3284"/>
      <c r="CP28" s="3284"/>
      <c r="CQ28" s="3284"/>
      <c r="CR28" s="3284"/>
      <c r="CS28" s="3284"/>
      <c r="CT28" s="3284"/>
      <c r="CU28" s="3285"/>
      <c r="CV28" s="3289" t="s">
        <v>898</v>
      </c>
      <c r="CW28" s="3284"/>
      <c r="CX28" s="3284"/>
      <c r="CY28" s="3284"/>
      <c r="CZ28" s="3284"/>
      <c r="DA28" s="3284"/>
      <c r="DB28" s="3284"/>
      <c r="DC28" s="3284"/>
      <c r="DD28" s="3284"/>
      <c r="DE28" s="3285"/>
      <c r="DF28" s="3290">
        <v>8921200</v>
      </c>
      <c r="DG28" s="3291"/>
      <c r="DH28" s="3291"/>
      <c r="DI28" s="3291"/>
      <c r="DJ28" s="3291"/>
      <c r="DK28" s="3291"/>
      <c r="DL28" s="3291"/>
      <c r="DM28" s="3291"/>
      <c r="DN28" s="3291"/>
      <c r="DO28" s="3291"/>
      <c r="DP28" s="3291"/>
      <c r="DQ28" s="3291"/>
      <c r="DR28" s="3292"/>
      <c r="DS28" s="3290">
        <v>8921200</v>
      </c>
      <c r="DT28" s="3291"/>
      <c r="DU28" s="3291"/>
      <c r="DV28" s="3291"/>
      <c r="DW28" s="3291"/>
      <c r="DX28" s="3291"/>
      <c r="DY28" s="3291"/>
      <c r="DZ28" s="3291"/>
      <c r="EA28" s="3291"/>
      <c r="EB28" s="3291"/>
      <c r="EC28" s="3291"/>
      <c r="ED28" s="3291"/>
      <c r="EE28" s="3292"/>
      <c r="EF28" s="3290">
        <v>8921200</v>
      </c>
      <c r="EG28" s="3291"/>
      <c r="EH28" s="3291"/>
      <c r="EI28" s="3291"/>
      <c r="EJ28" s="3291"/>
      <c r="EK28" s="3291"/>
      <c r="EL28" s="3291"/>
      <c r="EM28" s="3291"/>
      <c r="EN28" s="3291"/>
      <c r="EO28" s="3291"/>
      <c r="EP28" s="3291"/>
      <c r="EQ28" s="3291"/>
      <c r="ER28" s="3292"/>
      <c r="ES28" s="3249">
        <f t="shared" ref="ES28" si="8">ES15+ES18+ES21+ES22</f>
        <v>0</v>
      </c>
      <c r="ET28" s="3250"/>
      <c r="EU28" s="3250"/>
      <c r="EV28" s="3250"/>
      <c r="EW28" s="3250"/>
      <c r="EX28" s="3250"/>
      <c r="EY28" s="3250"/>
      <c r="EZ28" s="3250"/>
      <c r="FA28" s="3250"/>
      <c r="FB28" s="3250"/>
      <c r="FC28" s="3250"/>
      <c r="FD28" s="3250"/>
      <c r="FE28" s="3251"/>
    </row>
    <row r="29" spans="1:161" x14ac:dyDescent="0.2">
      <c r="A29" s="3252"/>
      <c r="B29" s="3252"/>
      <c r="C29" s="3252"/>
      <c r="D29" s="3252"/>
      <c r="E29" s="3252"/>
      <c r="F29" s="3252"/>
      <c r="G29" s="3252"/>
      <c r="H29" s="3253"/>
      <c r="I29" s="3255" t="s">
        <v>1138</v>
      </c>
      <c r="J29" s="3256"/>
      <c r="K29" s="3256"/>
      <c r="L29" s="3256"/>
      <c r="M29" s="3256"/>
      <c r="N29" s="3256"/>
      <c r="O29" s="3256"/>
      <c r="P29" s="3256"/>
      <c r="Q29" s="3256"/>
      <c r="R29" s="3256"/>
      <c r="S29" s="3256"/>
      <c r="T29" s="3256"/>
      <c r="U29" s="3256"/>
      <c r="V29" s="3256"/>
      <c r="W29" s="3256"/>
      <c r="X29" s="3256"/>
      <c r="Y29" s="3256"/>
      <c r="Z29" s="3256"/>
      <c r="AA29" s="3256"/>
      <c r="AB29" s="3256"/>
      <c r="AC29" s="3256"/>
      <c r="AD29" s="3256"/>
      <c r="AE29" s="3256"/>
      <c r="AF29" s="3256"/>
      <c r="AG29" s="3256"/>
      <c r="AH29" s="3256"/>
      <c r="AI29" s="3256"/>
      <c r="AJ29" s="3256"/>
      <c r="AK29" s="3256"/>
      <c r="AL29" s="3256"/>
      <c r="AM29" s="3256"/>
      <c r="AN29" s="3256"/>
      <c r="AO29" s="3256"/>
      <c r="AP29" s="3256"/>
      <c r="AQ29" s="3256"/>
      <c r="AR29" s="3256"/>
      <c r="AS29" s="3256"/>
      <c r="AT29" s="3256"/>
      <c r="AU29" s="3256"/>
      <c r="AV29" s="3256"/>
      <c r="AW29" s="3256"/>
      <c r="AX29" s="3256"/>
      <c r="AY29" s="3256"/>
      <c r="AZ29" s="3256"/>
      <c r="BA29" s="3256"/>
      <c r="BB29" s="3256"/>
      <c r="BC29" s="3256"/>
      <c r="BD29" s="3256"/>
      <c r="BE29" s="3256"/>
      <c r="BF29" s="3256"/>
      <c r="BG29" s="3256"/>
      <c r="BH29" s="3256"/>
      <c r="BI29" s="3256"/>
      <c r="BJ29" s="3256"/>
      <c r="BK29" s="3256"/>
      <c r="BL29" s="3256"/>
      <c r="BM29" s="3256"/>
      <c r="BN29" s="3256"/>
      <c r="BO29" s="3256"/>
      <c r="BP29" s="3256"/>
      <c r="BQ29" s="3256"/>
      <c r="BR29" s="3256"/>
      <c r="BS29" s="3256"/>
      <c r="BT29" s="3256"/>
      <c r="BU29" s="3256"/>
      <c r="BV29" s="3256"/>
      <c r="BW29" s="3256"/>
      <c r="BX29" s="3256"/>
      <c r="BY29" s="3256"/>
      <c r="BZ29" s="3256"/>
      <c r="CA29" s="3256"/>
      <c r="CB29" s="3256"/>
      <c r="CC29" s="3256"/>
      <c r="CD29" s="3256"/>
      <c r="CE29" s="3256"/>
      <c r="CF29" s="3256"/>
      <c r="CG29" s="3256"/>
      <c r="CH29" s="3256"/>
      <c r="CI29" s="3256"/>
      <c r="CJ29" s="3256"/>
      <c r="CK29" s="3256"/>
      <c r="CL29" s="3256"/>
      <c r="CM29" s="3257"/>
      <c r="CN29" s="3258" t="s">
        <v>1142</v>
      </c>
      <c r="CO29" s="3252"/>
      <c r="CP29" s="3252"/>
      <c r="CQ29" s="3252"/>
      <c r="CR29" s="3252"/>
      <c r="CS29" s="3252"/>
      <c r="CT29" s="3252"/>
      <c r="CU29" s="3253"/>
      <c r="CV29" s="3262"/>
      <c r="CW29" s="3252"/>
      <c r="CX29" s="3252"/>
      <c r="CY29" s="3252"/>
      <c r="CZ29" s="3252"/>
      <c r="DA29" s="3252"/>
      <c r="DB29" s="3252"/>
      <c r="DC29" s="3252"/>
      <c r="DD29" s="3252"/>
      <c r="DE29" s="3253"/>
      <c r="DF29" s="3264">
        <v>8921200</v>
      </c>
      <c r="DG29" s="3265"/>
      <c r="DH29" s="3265"/>
      <c r="DI29" s="3265"/>
      <c r="DJ29" s="3265"/>
      <c r="DK29" s="3265"/>
      <c r="DL29" s="3265"/>
      <c r="DM29" s="3265"/>
      <c r="DN29" s="3265"/>
      <c r="DO29" s="3265"/>
      <c r="DP29" s="3265"/>
      <c r="DQ29" s="3265"/>
      <c r="DR29" s="3266"/>
      <c r="DS29" s="3264">
        <v>8921200</v>
      </c>
      <c r="DT29" s="3265"/>
      <c r="DU29" s="3265"/>
      <c r="DV29" s="3265"/>
      <c r="DW29" s="3265"/>
      <c r="DX29" s="3265"/>
      <c r="DY29" s="3265"/>
      <c r="DZ29" s="3265"/>
      <c r="EA29" s="3265"/>
      <c r="EB29" s="3265"/>
      <c r="EC29" s="3265"/>
      <c r="ED29" s="3265"/>
      <c r="EE29" s="3266"/>
      <c r="EF29" s="3264">
        <v>8921200</v>
      </c>
      <c r="EG29" s="3265"/>
      <c r="EH29" s="3265"/>
      <c r="EI29" s="3265"/>
      <c r="EJ29" s="3265"/>
      <c r="EK29" s="3265"/>
      <c r="EL29" s="3265"/>
      <c r="EM29" s="3265"/>
      <c r="EN29" s="3265"/>
      <c r="EO29" s="3265"/>
      <c r="EP29" s="3265"/>
      <c r="EQ29" s="3265"/>
      <c r="ER29" s="3266"/>
      <c r="ES29" s="3270">
        <v>0</v>
      </c>
      <c r="ET29" s="3271"/>
      <c r="EU29" s="3271"/>
      <c r="EV29" s="3271"/>
      <c r="EW29" s="3271"/>
      <c r="EX29" s="3271"/>
      <c r="EY29" s="3271"/>
      <c r="EZ29" s="3271"/>
      <c r="FA29" s="3271"/>
      <c r="FB29" s="3271"/>
      <c r="FC29" s="3271"/>
      <c r="FD29" s="3271"/>
      <c r="FE29" s="3272"/>
    </row>
    <row r="30" spans="1:161" ht="12" thickBot="1" x14ac:dyDescent="0.25">
      <c r="A30" s="3240"/>
      <c r="B30" s="3240"/>
      <c r="C30" s="3240"/>
      <c r="D30" s="3240"/>
      <c r="E30" s="3240"/>
      <c r="F30" s="3240"/>
      <c r="G30" s="3240"/>
      <c r="H30" s="3254"/>
      <c r="I30" s="3276"/>
      <c r="J30" s="3277"/>
      <c r="K30" s="3277"/>
      <c r="L30" s="3277"/>
      <c r="M30" s="3277"/>
      <c r="N30" s="3277"/>
      <c r="O30" s="3277"/>
      <c r="P30" s="3277"/>
      <c r="Q30" s="3277"/>
      <c r="R30" s="3277"/>
      <c r="S30" s="3277"/>
      <c r="T30" s="3277"/>
      <c r="U30" s="3277"/>
      <c r="V30" s="3277"/>
      <c r="W30" s="3277"/>
      <c r="X30" s="3277"/>
      <c r="Y30" s="3277"/>
      <c r="Z30" s="3277"/>
      <c r="AA30" s="3277"/>
      <c r="AB30" s="3277"/>
      <c r="AC30" s="3277"/>
      <c r="AD30" s="3277"/>
      <c r="AE30" s="3277"/>
      <c r="AF30" s="3277"/>
      <c r="AG30" s="3277"/>
      <c r="AH30" s="3277"/>
      <c r="AI30" s="3277"/>
      <c r="AJ30" s="3277"/>
      <c r="AK30" s="3277"/>
      <c r="AL30" s="3277"/>
      <c r="AM30" s="3277"/>
      <c r="AN30" s="3277"/>
      <c r="AO30" s="3277"/>
      <c r="AP30" s="3277"/>
      <c r="AQ30" s="3277"/>
      <c r="AR30" s="3277"/>
      <c r="AS30" s="3277"/>
      <c r="AT30" s="3277"/>
      <c r="AU30" s="3277"/>
      <c r="AV30" s="3277"/>
      <c r="AW30" s="3277"/>
      <c r="AX30" s="3277"/>
      <c r="AY30" s="3277"/>
      <c r="AZ30" s="3277"/>
      <c r="BA30" s="3277"/>
      <c r="BB30" s="3277"/>
      <c r="BC30" s="3277"/>
      <c r="BD30" s="3277"/>
      <c r="BE30" s="3277"/>
      <c r="BF30" s="3277"/>
      <c r="BG30" s="3277"/>
      <c r="BH30" s="3277"/>
      <c r="BI30" s="3277"/>
      <c r="BJ30" s="3277"/>
      <c r="BK30" s="3277"/>
      <c r="BL30" s="3277"/>
      <c r="BM30" s="3277"/>
      <c r="BN30" s="3277"/>
      <c r="BO30" s="3277"/>
      <c r="BP30" s="3277"/>
      <c r="BQ30" s="3277"/>
      <c r="BR30" s="3277"/>
      <c r="BS30" s="3277"/>
      <c r="BT30" s="3277"/>
      <c r="BU30" s="3277"/>
      <c r="BV30" s="3277"/>
      <c r="BW30" s="3277"/>
      <c r="BX30" s="3277"/>
      <c r="BY30" s="3277"/>
      <c r="BZ30" s="3277"/>
      <c r="CA30" s="3277"/>
      <c r="CB30" s="3277"/>
      <c r="CC30" s="3277"/>
      <c r="CD30" s="3277"/>
      <c r="CE30" s="3277"/>
      <c r="CF30" s="3277"/>
      <c r="CG30" s="3277"/>
      <c r="CH30" s="3277"/>
      <c r="CI30" s="3277"/>
      <c r="CJ30" s="3277"/>
      <c r="CK30" s="3277"/>
      <c r="CL30" s="3277"/>
      <c r="CM30" s="3277"/>
      <c r="CN30" s="3259"/>
      <c r="CO30" s="3260"/>
      <c r="CP30" s="3260"/>
      <c r="CQ30" s="3260"/>
      <c r="CR30" s="3260"/>
      <c r="CS30" s="3260"/>
      <c r="CT30" s="3260"/>
      <c r="CU30" s="3261"/>
      <c r="CV30" s="3263"/>
      <c r="CW30" s="3260"/>
      <c r="CX30" s="3260"/>
      <c r="CY30" s="3260"/>
      <c r="CZ30" s="3260"/>
      <c r="DA30" s="3260"/>
      <c r="DB30" s="3260"/>
      <c r="DC30" s="3260"/>
      <c r="DD30" s="3260"/>
      <c r="DE30" s="3261"/>
      <c r="DF30" s="3267"/>
      <c r="DG30" s="3268"/>
      <c r="DH30" s="3268"/>
      <c r="DI30" s="3268"/>
      <c r="DJ30" s="3268"/>
      <c r="DK30" s="3268"/>
      <c r="DL30" s="3268"/>
      <c r="DM30" s="3268"/>
      <c r="DN30" s="3268"/>
      <c r="DO30" s="3268"/>
      <c r="DP30" s="3268"/>
      <c r="DQ30" s="3268"/>
      <c r="DR30" s="3269"/>
      <c r="DS30" s="3267"/>
      <c r="DT30" s="3268"/>
      <c r="DU30" s="3268"/>
      <c r="DV30" s="3268"/>
      <c r="DW30" s="3268"/>
      <c r="DX30" s="3268"/>
      <c r="DY30" s="3268"/>
      <c r="DZ30" s="3268"/>
      <c r="EA30" s="3268"/>
      <c r="EB30" s="3268"/>
      <c r="EC30" s="3268"/>
      <c r="ED30" s="3268"/>
      <c r="EE30" s="3269"/>
      <c r="EF30" s="3267"/>
      <c r="EG30" s="3268"/>
      <c r="EH30" s="3268"/>
      <c r="EI30" s="3268"/>
      <c r="EJ30" s="3268"/>
      <c r="EK30" s="3268"/>
      <c r="EL30" s="3268"/>
      <c r="EM30" s="3268"/>
      <c r="EN30" s="3268"/>
      <c r="EO30" s="3268"/>
      <c r="EP30" s="3268"/>
      <c r="EQ30" s="3268"/>
      <c r="ER30" s="3269"/>
      <c r="ES30" s="3273"/>
      <c r="ET30" s="3274"/>
      <c r="EU30" s="3274"/>
      <c r="EV30" s="3274"/>
      <c r="EW30" s="3274"/>
      <c r="EX30" s="3274"/>
      <c r="EY30" s="3274"/>
      <c r="EZ30" s="3274"/>
      <c r="FA30" s="3274"/>
      <c r="FB30" s="3274"/>
      <c r="FC30" s="3274"/>
      <c r="FD30" s="3274"/>
      <c r="FE30" s="3275"/>
    </row>
    <row r="32" spans="1:161" x14ac:dyDescent="0.2">
      <c r="I32" s="3118" t="s">
        <v>1143</v>
      </c>
    </row>
    <row r="33" spans="1:96" x14ac:dyDescent="0.2">
      <c r="I33" s="3118" t="s">
        <v>1144</v>
      </c>
      <c r="AQ33" s="3244" t="s">
        <v>2853</v>
      </c>
      <c r="AR33" s="3244"/>
      <c r="AS33" s="3244"/>
      <c r="AT33" s="3244"/>
      <c r="AU33" s="3244"/>
      <c r="AV33" s="3244"/>
      <c r="AW33" s="3244"/>
      <c r="AX33" s="3244"/>
      <c r="AY33" s="3244"/>
      <c r="AZ33" s="3244"/>
      <c r="BA33" s="3244"/>
      <c r="BB33" s="3244"/>
      <c r="BC33" s="3244"/>
      <c r="BD33" s="3244"/>
      <c r="BE33" s="3244"/>
      <c r="BF33" s="3244"/>
      <c r="BG33" s="3244"/>
      <c r="BH33" s="3244"/>
      <c r="BK33" s="3244"/>
      <c r="BL33" s="3244"/>
      <c r="BM33" s="3244"/>
      <c r="BN33" s="3244"/>
      <c r="BO33" s="3244"/>
      <c r="BP33" s="3244"/>
      <c r="BQ33" s="3244"/>
      <c r="BR33" s="3244"/>
      <c r="BS33" s="3244"/>
      <c r="BT33" s="3244"/>
      <c r="BU33" s="3244"/>
      <c r="BV33" s="3244"/>
      <c r="BY33" s="3244" t="s">
        <v>1469</v>
      </c>
      <c r="BZ33" s="3244"/>
      <c r="CA33" s="3244"/>
      <c r="CB33" s="3244"/>
      <c r="CC33" s="3244"/>
      <c r="CD33" s="3244"/>
      <c r="CE33" s="3244"/>
      <c r="CF33" s="3244"/>
      <c r="CG33" s="3244"/>
      <c r="CH33" s="3244"/>
      <c r="CI33" s="3244"/>
      <c r="CJ33" s="3244"/>
      <c r="CK33" s="3244"/>
      <c r="CL33" s="3244"/>
      <c r="CM33" s="3244"/>
      <c r="CN33" s="3244"/>
      <c r="CO33" s="3244"/>
      <c r="CP33" s="3244"/>
      <c r="CQ33" s="3244"/>
      <c r="CR33" s="3244"/>
    </row>
    <row r="34" spans="1:96" s="3102" customFormat="1" ht="8.25" x14ac:dyDescent="0.15">
      <c r="AQ34" s="3247" t="s">
        <v>1145</v>
      </c>
      <c r="AR34" s="3247"/>
      <c r="AS34" s="3247"/>
      <c r="AT34" s="3247"/>
      <c r="AU34" s="3247"/>
      <c r="AV34" s="3247"/>
      <c r="AW34" s="3247"/>
      <c r="AX34" s="3247"/>
      <c r="AY34" s="3247"/>
      <c r="AZ34" s="3247"/>
      <c r="BA34" s="3247"/>
      <c r="BB34" s="3247"/>
      <c r="BC34" s="3247"/>
      <c r="BD34" s="3247"/>
      <c r="BE34" s="3247"/>
      <c r="BF34" s="3247"/>
      <c r="BG34" s="3247"/>
      <c r="BH34" s="3247"/>
      <c r="BK34" s="3247" t="s">
        <v>189</v>
      </c>
      <c r="BL34" s="3247"/>
      <c r="BM34" s="3247"/>
      <c r="BN34" s="3247"/>
      <c r="BO34" s="3247"/>
      <c r="BP34" s="3247"/>
      <c r="BQ34" s="3247"/>
      <c r="BR34" s="3247"/>
      <c r="BS34" s="3247"/>
      <c r="BT34" s="3247"/>
      <c r="BU34" s="3247"/>
      <c r="BV34" s="3247"/>
      <c r="BY34" s="3247" t="s">
        <v>986</v>
      </c>
      <c r="BZ34" s="3247"/>
      <c r="CA34" s="3247"/>
      <c r="CB34" s="3247"/>
      <c r="CC34" s="3247"/>
      <c r="CD34" s="3247"/>
      <c r="CE34" s="3247"/>
      <c r="CF34" s="3247"/>
      <c r="CG34" s="3247"/>
      <c r="CH34" s="3247"/>
      <c r="CI34" s="3247"/>
      <c r="CJ34" s="3247"/>
      <c r="CK34" s="3247"/>
      <c r="CL34" s="3247"/>
      <c r="CM34" s="3247"/>
      <c r="CN34" s="3247"/>
      <c r="CO34" s="3247"/>
      <c r="CP34" s="3247"/>
      <c r="CQ34" s="3247"/>
      <c r="CR34" s="3247"/>
    </row>
    <row r="35" spans="1:96" s="3102" customFormat="1" ht="3" customHeight="1" x14ac:dyDescent="0.15">
      <c r="AQ35" s="3103"/>
      <c r="AR35" s="3103"/>
      <c r="AS35" s="3103"/>
      <c r="AT35" s="3103"/>
      <c r="AU35" s="3103"/>
      <c r="AV35" s="3103"/>
      <c r="AW35" s="3103"/>
      <c r="AX35" s="3103"/>
      <c r="AY35" s="3103"/>
      <c r="AZ35" s="3103"/>
      <c r="BA35" s="3103"/>
      <c r="BB35" s="3103"/>
      <c r="BC35" s="3103"/>
      <c r="BD35" s="3103"/>
      <c r="BE35" s="3103"/>
      <c r="BF35" s="3103"/>
      <c r="BG35" s="3103"/>
      <c r="BH35" s="3103"/>
      <c r="BK35" s="3103"/>
      <c r="BL35" s="3103"/>
      <c r="BM35" s="3103"/>
      <c r="BN35" s="3103"/>
      <c r="BO35" s="3103"/>
      <c r="BP35" s="3103"/>
      <c r="BQ35" s="3103"/>
      <c r="BR35" s="3103"/>
      <c r="BS35" s="3103"/>
      <c r="BT35" s="3103"/>
      <c r="BU35" s="3103"/>
      <c r="BV35" s="3103"/>
      <c r="BY35" s="3103"/>
      <c r="BZ35" s="3103"/>
      <c r="CA35" s="3103"/>
      <c r="CB35" s="3103"/>
      <c r="CC35" s="3103"/>
      <c r="CD35" s="3103"/>
      <c r="CE35" s="3103"/>
      <c r="CF35" s="3103"/>
      <c r="CG35" s="3103"/>
      <c r="CH35" s="3103"/>
      <c r="CI35" s="3103"/>
      <c r="CJ35" s="3103"/>
      <c r="CK35" s="3103"/>
      <c r="CL35" s="3103"/>
      <c r="CM35" s="3103"/>
      <c r="CN35" s="3103"/>
      <c r="CO35" s="3103"/>
      <c r="CP35" s="3103"/>
      <c r="CQ35" s="3103"/>
      <c r="CR35" s="3103"/>
    </row>
    <row r="36" spans="1:96" x14ac:dyDescent="0.2">
      <c r="I36" s="3118" t="s">
        <v>925</v>
      </c>
      <c r="AM36" s="3244" t="s">
        <v>2854</v>
      </c>
      <c r="AN36" s="3244"/>
      <c r="AO36" s="3244"/>
      <c r="AP36" s="3244"/>
      <c r="AQ36" s="3244"/>
      <c r="AR36" s="3244"/>
      <c r="AS36" s="3244"/>
      <c r="AT36" s="3244"/>
      <c r="AU36" s="3244"/>
      <c r="AV36" s="3244"/>
      <c r="AW36" s="3244"/>
      <c r="AX36" s="3244"/>
      <c r="AY36" s="3244"/>
      <c r="AZ36" s="3244"/>
      <c r="BA36" s="3244"/>
      <c r="BB36" s="3244"/>
      <c r="BC36" s="3244"/>
      <c r="BD36" s="3244"/>
      <c r="BG36" s="3244" t="s">
        <v>2855</v>
      </c>
      <c r="BH36" s="3244"/>
      <c r="BI36" s="3244"/>
      <c r="BJ36" s="3244"/>
      <c r="BK36" s="3244"/>
      <c r="BL36" s="3244"/>
      <c r="BM36" s="3244"/>
      <c r="BN36" s="3244"/>
      <c r="BO36" s="3244"/>
      <c r="BP36" s="3244"/>
      <c r="BQ36" s="3244"/>
      <c r="BR36" s="3244"/>
      <c r="BS36" s="3244"/>
      <c r="BT36" s="3244"/>
      <c r="BU36" s="3244"/>
      <c r="BV36" s="3244"/>
      <c r="BW36" s="3244"/>
      <c r="BX36" s="3244"/>
      <c r="CA36" s="3240" t="s">
        <v>2872</v>
      </c>
      <c r="CB36" s="3240"/>
      <c r="CC36" s="3240"/>
      <c r="CD36" s="3240"/>
      <c r="CE36" s="3240"/>
      <c r="CF36" s="3240"/>
      <c r="CG36" s="3240"/>
      <c r="CH36" s="3240"/>
      <c r="CI36" s="3240"/>
      <c r="CJ36" s="3240"/>
      <c r="CK36" s="3240"/>
      <c r="CL36" s="3240"/>
      <c r="CM36" s="3240"/>
      <c r="CN36" s="3240"/>
      <c r="CO36" s="3240"/>
      <c r="CP36" s="3240"/>
      <c r="CQ36" s="3240"/>
      <c r="CR36" s="3240"/>
    </row>
    <row r="37" spans="1:96" s="3102" customFormat="1" ht="8.25" x14ac:dyDescent="0.15">
      <c r="AM37" s="3247" t="s">
        <v>1145</v>
      </c>
      <c r="AN37" s="3247"/>
      <c r="AO37" s="3247"/>
      <c r="AP37" s="3247"/>
      <c r="AQ37" s="3247"/>
      <c r="AR37" s="3247"/>
      <c r="AS37" s="3247"/>
      <c r="AT37" s="3247"/>
      <c r="AU37" s="3247"/>
      <c r="AV37" s="3247"/>
      <c r="AW37" s="3247"/>
      <c r="AX37" s="3247"/>
      <c r="AY37" s="3247"/>
      <c r="AZ37" s="3247"/>
      <c r="BA37" s="3247"/>
      <c r="BB37" s="3247"/>
      <c r="BC37" s="3247"/>
      <c r="BD37" s="3247"/>
      <c r="BG37" s="3247" t="s">
        <v>1146</v>
      </c>
      <c r="BH37" s="3247"/>
      <c r="BI37" s="3247"/>
      <c r="BJ37" s="3247"/>
      <c r="BK37" s="3247"/>
      <c r="BL37" s="3247"/>
      <c r="BM37" s="3247"/>
      <c r="BN37" s="3247"/>
      <c r="BO37" s="3247"/>
      <c r="BP37" s="3247"/>
      <c r="BQ37" s="3247"/>
      <c r="BR37" s="3247"/>
      <c r="BS37" s="3247"/>
      <c r="BT37" s="3247"/>
      <c r="BU37" s="3247"/>
      <c r="BV37" s="3247"/>
      <c r="BW37" s="3247"/>
      <c r="BX37" s="3247"/>
      <c r="CA37" s="3247" t="s">
        <v>1147</v>
      </c>
      <c r="CB37" s="3247"/>
      <c r="CC37" s="3247"/>
      <c r="CD37" s="3247"/>
      <c r="CE37" s="3247"/>
      <c r="CF37" s="3247"/>
      <c r="CG37" s="3247"/>
      <c r="CH37" s="3247"/>
      <c r="CI37" s="3247"/>
      <c r="CJ37" s="3247"/>
      <c r="CK37" s="3247"/>
      <c r="CL37" s="3247"/>
      <c r="CM37" s="3247"/>
      <c r="CN37" s="3247"/>
      <c r="CO37" s="3247"/>
      <c r="CP37" s="3247"/>
      <c r="CQ37" s="3247"/>
      <c r="CR37" s="3247"/>
    </row>
    <row r="38" spans="1:96" s="3102" customFormat="1" ht="3" customHeight="1" x14ac:dyDescent="0.15">
      <c r="AM38" s="3103"/>
      <c r="AN38" s="3103"/>
      <c r="AO38" s="3103"/>
      <c r="AP38" s="3103"/>
      <c r="AQ38" s="3103"/>
      <c r="AR38" s="3103"/>
      <c r="AS38" s="3103"/>
      <c r="AT38" s="3103"/>
      <c r="AU38" s="3103"/>
      <c r="AV38" s="3103"/>
      <c r="AW38" s="3103"/>
      <c r="AX38" s="3103"/>
      <c r="AY38" s="3103"/>
      <c r="AZ38" s="3103"/>
      <c r="BA38" s="3103"/>
      <c r="BB38" s="3103"/>
      <c r="BC38" s="3103"/>
      <c r="BD38" s="3103"/>
      <c r="BG38" s="3103"/>
      <c r="BH38" s="3103"/>
      <c r="BI38" s="3103"/>
      <c r="BJ38" s="3103"/>
      <c r="BK38" s="3103"/>
      <c r="BL38" s="3103"/>
      <c r="BM38" s="3103"/>
      <c r="BN38" s="3103"/>
      <c r="BO38" s="3103"/>
      <c r="BP38" s="3103"/>
      <c r="BQ38" s="3103"/>
      <c r="BR38" s="3103"/>
      <c r="BS38" s="3103"/>
      <c r="BT38" s="3103"/>
      <c r="BU38" s="3103"/>
      <c r="BV38" s="3103"/>
      <c r="BW38" s="3103"/>
      <c r="BX38" s="3103"/>
      <c r="CA38" s="3103"/>
      <c r="CB38" s="3103"/>
      <c r="CC38" s="3103"/>
      <c r="CD38" s="3103"/>
      <c r="CE38" s="3103"/>
      <c r="CF38" s="3103"/>
      <c r="CG38" s="3103"/>
      <c r="CH38" s="3103"/>
      <c r="CI38" s="3103"/>
      <c r="CJ38" s="3103"/>
      <c r="CK38" s="3103"/>
      <c r="CL38" s="3103"/>
      <c r="CM38" s="3103"/>
      <c r="CN38" s="3103"/>
      <c r="CO38" s="3103"/>
      <c r="CP38" s="3103"/>
      <c r="CQ38" s="3103"/>
      <c r="CR38" s="3103"/>
    </row>
    <row r="39" spans="1:96" x14ac:dyDescent="0.2">
      <c r="I39" s="3239" t="s">
        <v>1148</v>
      </c>
      <c r="J39" s="3239"/>
      <c r="K39" s="3240" t="s">
        <v>2869</v>
      </c>
      <c r="L39" s="3240"/>
      <c r="M39" s="3240"/>
      <c r="N39" s="3241" t="s">
        <v>1148</v>
      </c>
      <c r="O39" s="3241"/>
      <c r="Q39" s="3240" t="s">
        <v>2870</v>
      </c>
      <c r="R39" s="3240"/>
      <c r="S39" s="3240"/>
      <c r="T39" s="3240"/>
      <c r="U39" s="3240"/>
      <c r="V39" s="3240"/>
      <c r="W39" s="3240"/>
      <c r="X39" s="3240"/>
      <c r="Y39" s="3240"/>
      <c r="Z39" s="3240"/>
      <c r="AA39" s="3240"/>
      <c r="AB39" s="3240"/>
      <c r="AC39" s="3240"/>
      <c r="AD39" s="3240"/>
      <c r="AE39" s="3240"/>
      <c r="AF39" s="3239">
        <v>20</v>
      </c>
      <c r="AG39" s="3239"/>
      <c r="AH39" s="3239"/>
      <c r="AI39" s="3242" t="s">
        <v>2871</v>
      </c>
      <c r="AJ39" s="3242"/>
      <c r="AK39" s="3242"/>
      <c r="AL39" s="3118" t="s">
        <v>1085</v>
      </c>
    </row>
    <row r="40" spans="1:96" ht="12" thickBot="1" x14ac:dyDescent="0.25"/>
    <row r="41" spans="1:96" ht="3" customHeight="1" x14ac:dyDescent="0.2">
      <c r="A41" s="3104"/>
      <c r="B41" s="3104"/>
      <c r="C41" s="3104"/>
      <c r="D41" s="3104"/>
      <c r="E41" s="3104"/>
      <c r="F41" s="3104"/>
      <c r="G41" s="3104"/>
      <c r="H41" s="3104"/>
      <c r="I41" s="3104"/>
      <c r="J41" s="3104"/>
      <c r="K41" s="3104"/>
      <c r="L41" s="3104"/>
      <c r="M41" s="3104"/>
      <c r="N41" s="3104"/>
      <c r="O41" s="3104"/>
      <c r="P41" s="3104"/>
      <c r="Q41" s="3104"/>
      <c r="R41" s="3104"/>
      <c r="S41" s="3104"/>
      <c r="T41" s="3104"/>
      <c r="U41" s="3104"/>
      <c r="V41" s="3104"/>
      <c r="W41" s="3104"/>
      <c r="X41" s="3104"/>
      <c r="Y41" s="3104"/>
      <c r="Z41" s="3104"/>
      <c r="AA41" s="3104"/>
      <c r="AB41" s="3104"/>
      <c r="AC41" s="3104"/>
      <c r="AD41" s="3104"/>
      <c r="AE41" s="3104"/>
      <c r="AF41" s="3104"/>
      <c r="AG41" s="3104"/>
      <c r="AH41" s="3104"/>
      <c r="AI41" s="3104"/>
      <c r="AJ41" s="3104"/>
      <c r="AK41" s="3104"/>
      <c r="AL41" s="3104"/>
      <c r="AM41" s="3104"/>
      <c r="AN41" s="3104"/>
      <c r="AO41" s="3104"/>
      <c r="AP41" s="3104"/>
      <c r="AQ41" s="3104"/>
      <c r="AR41" s="3104"/>
      <c r="AS41" s="3104"/>
      <c r="AT41" s="3104"/>
      <c r="AU41" s="3104"/>
      <c r="AV41" s="3104"/>
      <c r="AW41" s="3104"/>
      <c r="AX41" s="3104"/>
      <c r="AY41" s="3104"/>
      <c r="AZ41" s="3104"/>
      <c r="BA41" s="3104"/>
      <c r="BB41" s="3104"/>
      <c r="BC41" s="3104"/>
      <c r="BD41" s="3104"/>
      <c r="BE41" s="3104"/>
      <c r="BF41" s="3104"/>
      <c r="BG41" s="3104"/>
      <c r="BH41" s="3104"/>
      <c r="BI41" s="3104"/>
      <c r="BJ41" s="3104"/>
      <c r="BK41" s="3104"/>
      <c r="BL41" s="3104"/>
      <c r="BM41" s="3104"/>
      <c r="BN41" s="3104"/>
      <c r="BO41" s="3104"/>
      <c r="BP41" s="3104"/>
      <c r="BQ41" s="3104"/>
      <c r="BR41" s="3104"/>
      <c r="BS41" s="3104"/>
      <c r="BT41" s="3104"/>
      <c r="BU41" s="3104"/>
      <c r="BV41" s="3104"/>
      <c r="BW41" s="3104"/>
      <c r="BX41" s="3104"/>
      <c r="BY41" s="3104"/>
      <c r="BZ41" s="3104"/>
      <c r="CA41" s="3104"/>
      <c r="CB41" s="3104"/>
      <c r="CC41" s="3104"/>
      <c r="CD41" s="3104"/>
      <c r="CE41" s="3104"/>
      <c r="CF41" s="3104"/>
      <c r="CG41" s="3104"/>
      <c r="CH41" s="3104"/>
      <c r="CI41" s="3104"/>
      <c r="CJ41" s="3104"/>
      <c r="CK41" s="3104"/>
      <c r="CL41" s="3104"/>
      <c r="CM41" s="3105"/>
    </row>
    <row r="42" spans="1:96" x14ac:dyDescent="0.2">
      <c r="A42" s="3106" t="s">
        <v>1149</v>
      </c>
      <c r="CM42" s="3107"/>
    </row>
    <row r="43" spans="1:96" x14ac:dyDescent="0.2">
      <c r="A43" s="3243" t="s">
        <v>2873</v>
      </c>
      <c r="B43" s="3244"/>
      <c r="C43" s="3244"/>
      <c r="D43" s="3244"/>
      <c r="E43" s="3244"/>
      <c r="F43" s="3244"/>
      <c r="G43" s="3244"/>
      <c r="H43" s="3244"/>
      <c r="I43" s="3244"/>
      <c r="J43" s="3244"/>
      <c r="K43" s="3244"/>
      <c r="L43" s="3244"/>
      <c r="M43" s="3244"/>
      <c r="N43" s="3244"/>
      <c r="O43" s="3244"/>
      <c r="P43" s="3244"/>
      <c r="Q43" s="3244"/>
      <c r="R43" s="3244"/>
      <c r="S43" s="3244"/>
      <c r="T43" s="3244"/>
      <c r="U43" s="3244"/>
      <c r="V43" s="3244"/>
      <c r="W43" s="3244"/>
      <c r="X43" s="3244"/>
      <c r="Y43" s="3244"/>
      <c r="Z43" s="3244"/>
      <c r="AA43" s="3244"/>
      <c r="AB43" s="3244"/>
      <c r="AC43" s="3244"/>
      <c r="AD43" s="3244"/>
      <c r="AE43" s="3244"/>
      <c r="AF43" s="3244"/>
      <c r="AG43" s="3244"/>
      <c r="AH43" s="3244"/>
      <c r="AI43" s="3244"/>
      <c r="AJ43" s="3244"/>
      <c r="AK43" s="3244"/>
      <c r="AL43" s="3244"/>
      <c r="AM43" s="3244"/>
      <c r="AN43" s="3244"/>
      <c r="AO43" s="3244"/>
      <c r="AP43" s="3244"/>
      <c r="AQ43" s="3244"/>
      <c r="AR43" s="3244"/>
      <c r="AS43" s="3244"/>
      <c r="AT43" s="3244"/>
      <c r="AU43" s="3244"/>
      <c r="AV43" s="3244"/>
      <c r="AW43" s="3244"/>
      <c r="AX43" s="3244"/>
      <c r="AY43" s="3244"/>
      <c r="AZ43" s="3244"/>
      <c r="BA43" s="3244"/>
      <c r="BB43" s="3244"/>
      <c r="BC43" s="3244"/>
      <c r="BD43" s="3244"/>
      <c r="BE43" s="3244"/>
      <c r="BF43" s="3244"/>
      <c r="BG43" s="3244"/>
      <c r="BH43" s="3244"/>
      <c r="BI43" s="3244"/>
      <c r="BJ43" s="3244"/>
      <c r="BK43" s="3244"/>
      <c r="BL43" s="3244"/>
      <c r="BM43" s="3244"/>
      <c r="BN43" s="3244"/>
      <c r="BO43" s="3244"/>
      <c r="BP43" s="3244"/>
      <c r="BQ43" s="3244"/>
      <c r="BR43" s="3244"/>
      <c r="BS43" s="3244"/>
      <c r="BT43" s="3244"/>
      <c r="BU43" s="3244"/>
      <c r="BV43" s="3244"/>
      <c r="BW43" s="3244"/>
      <c r="BX43" s="3244"/>
      <c r="BY43" s="3244"/>
      <c r="BZ43" s="3244"/>
      <c r="CA43" s="3244"/>
      <c r="CB43" s="3244"/>
      <c r="CC43" s="3244"/>
      <c r="CD43" s="3244"/>
      <c r="CE43" s="3244"/>
      <c r="CF43" s="3244"/>
      <c r="CG43" s="3244"/>
      <c r="CH43" s="3244"/>
      <c r="CI43" s="3244"/>
      <c r="CJ43" s="3244"/>
      <c r="CK43" s="3244"/>
      <c r="CL43" s="3244"/>
      <c r="CM43" s="3245"/>
    </row>
    <row r="44" spans="1:96" s="3102" customFormat="1" ht="8.25" x14ac:dyDescent="0.15">
      <c r="A44" s="3246" t="s">
        <v>1150</v>
      </c>
      <c r="B44" s="3247"/>
      <c r="C44" s="3247"/>
      <c r="D44" s="3247"/>
      <c r="E44" s="3247"/>
      <c r="F44" s="3247"/>
      <c r="G44" s="3247"/>
      <c r="H44" s="3247"/>
      <c r="I44" s="3247"/>
      <c r="J44" s="3247"/>
      <c r="K44" s="3247"/>
      <c r="L44" s="3247"/>
      <c r="M44" s="3247"/>
      <c r="N44" s="3247"/>
      <c r="O44" s="3247"/>
      <c r="P44" s="3247"/>
      <c r="Q44" s="3247"/>
      <c r="R44" s="3247"/>
      <c r="S44" s="3247"/>
      <c r="T44" s="3247"/>
      <c r="U44" s="3247"/>
      <c r="V44" s="3247"/>
      <c r="W44" s="3247"/>
      <c r="X44" s="3247"/>
      <c r="Y44" s="3247"/>
      <c r="Z44" s="3247"/>
      <c r="AA44" s="3247"/>
      <c r="AB44" s="3247"/>
      <c r="AC44" s="3247"/>
      <c r="AD44" s="3247"/>
      <c r="AE44" s="3247"/>
      <c r="AF44" s="3247"/>
      <c r="AG44" s="3247"/>
      <c r="AH44" s="3247"/>
      <c r="AI44" s="3247"/>
      <c r="AJ44" s="3247"/>
      <c r="AK44" s="3247"/>
      <c r="AL44" s="3247"/>
      <c r="AM44" s="3247"/>
      <c r="AN44" s="3247"/>
      <c r="AO44" s="3247"/>
      <c r="AP44" s="3247"/>
      <c r="AQ44" s="3247"/>
      <c r="AR44" s="3247"/>
      <c r="AS44" s="3247"/>
      <c r="AT44" s="3247"/>
      <c r="AU44" s="3247"/>
      <c r="AV44" s="3247"/>
      <c r="AW44" s="3247"/>
      <c r="AX44" s="3247"/>
      <c r="AY44" s="3247"/>
      <c r="AZ44" s="3247"/>
      <c r="BA44" s="3247"/>
      <c r="BB44" s="3247"/>
      <c r="BC44" s="3247"/>
      <c r="BD44" s="3247"/>
      <c r="BE44" s="3247"/>
      <c r="BF44" s="3247"/>
      <c r="BG44" s="3247"/>
      <c r="BH44" s="3247"/>
      <c r="BI44" s="3247"/>
      <c r="BJ44" s="3247"/>
      <c r="BK44" s="3247"/>
      <c r="BL44" s="3247"/>
      <c r="BM44" s="3247"/>
      <c r="BN44" s="3247"/>
      <c r="BO44" s="3247"/>
      <c r="BP44" s="3247"/>
      <c r="BQ44" s="3247"/>
      <c r="BR44" s="3247"/>
      <c r="BS44" s="3247"/>
      <c r="BT44" s="3247"/>
      <c r="BU44" s="3247"/>
      <c r="BV44" s="3247"/>
      <c r="BW44" s="3247"/>
      <c r="BX44" s="3247"/>
      <c r="BY44" s="3247"/>
      <c r="BZ44" s="3247"/>
      <c r="CA44" s="3247"/>
      <c r="CB44" s="3247"/>
      <c r="CC44" s="3247"/>
      <c r="CD44" s="3247"/>
      <c r="CE44" s="3247"/>
      <c r="CF44" s="3247"/>
      <c r="CG44" s="3247"/>
      <c r="CH44" s="3247"/>
      <c r="CI44" s="3247"/>
      <c r="CJ44" s="3247"/>
      <c r="CK44" s="3247"/>
      <c r="CL44" s="3247"/>
      <c r="CM44" s="3248"/>
    </row>
    <row r="45" spans="1:96" s="3102" customFormat="1" ht="6" customHeight="1" x14ac:dyDescent="0.15">
      <c r="A45" s="3108"/>
      <c r="B45" s="3103"/>
      <c r="C45" s="3103"/>
      <c r="D45" s="3103"/>
      <c r="E45" s="3103"/>
      <c r="F45" s="3103"/>
      <c r="G45" s="3103"/>
      <c r="H45" s="3103"/>
      <c r="I45" s="3103"/>
      <c r="J45" s="3103"/>
      <c r="K45" s="3103"/>
      <c r="L45" s="3103"/>
      <c r="M45" s="3103"/>
      <c r="N45" s="3103"/>
      <c r="O45" s="3103"/>
      <c r="P45" s="3103"/>
      <c r="Q45" s="3103"/>
      <c r="R45" s="3103"/>
      <c r="S45" s="3103"/>
      <c r="T45" s="3103"/>
      <c r="U45" s="3103"/>
      <c r="V45" s="3103"/>
      <c r="W45" s="3103"/>
      <c r="X45" s="3103"/>
      <c r="Y45" s="3103"/>
      <c r="Z45" s="3103"/>
      <c r="AA45" s="3103"/>
      <c r="AB45" s="3103"/>
      <c r="AC45" s="3103"/>
      <c r="AD45" s="3103"/>
      <c r="AE45" s="3103"/>
      <c r="AF45" s="3103"/>
      <c r="AG45" s="3103"/>
      <c r="AH45" s="3103"/>
      <c r="AI45" s="3103"/>
      <c r="AJ45" s="3103"/>
      <c r="AK45" s="3103"/>
      <c r="AL45" s="3103"/>
      <c r="AM45" s="3103"/>
      <c r="AN45" s="3103"/>
      <c r="AO45" s="3103"/>
      <c r="AP45" s="3103"/>
      <c r="AQ45" s="3103"/>
      <c r="AR45" s="3103"/>
      <c r="AS45" s="3103"/>
      <c r="AT45" s="3103"/>
      <c r="AU45" s="3103"/>
      <c r="AV45" s="3103"/>
      <c r="AW45" s="3103"/>
      <c r="AX45" s="3103"/>
      <c r="AY45" s="3103"/>
      <c r="AZ45" s="3103"/>
      <c r="BA45" s="3103"/>
      <c r="BB45" s="3103"/>
      <c r="BC45" s="3103"/>
      <c r="BD45" s="3103"/>
      <c r="BE45" s="3103"/>
      <c r="BF45" s="3103"/>
      <c r="BG45" s="3103"/>
      <c r="BH45" s="3103"/>
      <c r="BI45" s="3103"/>
      <c r="BJ45" s="3103"/>
      <c r="BK45" s="3103"/>
      <c r="BL45" s="3103"/>
      <c r="BM45" s="3103"/>
      <c r="BN45" s="3103"/>
      <c r="BO45" s="3103"/>
      <c r="BP45" s="3103"/>
      <c r="BQ45" s="3103"/>
      <c r="BR45" s="3103"/>
      <c r="BS45" s="3103"/>
      <c r="BT45" s="3103"/>
      <c r="BU45" s="3103"/>
      <c r="BV45" s="3103"/>
      <c r="BW45" s="3103"/>
      <c r="BX45" s="3103"/>
      <c r="BY45" s="3103"/>
      <c r="BZ45" s="3103"/>
      <c r="CA45" s="3103"/>
      <c r="CB45" s="3103"/>
      <c r="CC45" s="3103"/>
      <c r="CD45" s="3103"/>
      <c r="CE45" s="3103"/>
      <c r="CF45" s="3103"/>
      <c r="CG45" s="3103"/>
      <c r="CH45" s="3103"/>
      <c r="CI45" s="3103"/>
      <c r="CJ45" s="3103"/>
      <c r="CK45" s="3103"/>
      <c r="CL45" s="3103"/>
      <c r="CM45" s="3109"/>
    </row>
    <row r="46" spans="1:96" x14ac:dyDescent="0.2">
      <c r="A46" s="3243"/>
      <c r="B46" s="3244"/>
      <c r="C46" s="3244"/>
      <c r="D46" s="3244"/>
      <c r="E46" s="3244"/>
      <c r="F46" s="3244"/>
      <c r="G46" s="3244"/>
      <c r="H46" s="3244"/>
      <c r="I46" s="3244"/>
      <c r="J46" s="3244"/>
      <c r="K46" s="3244"/>
      <c r="L46" s="3244"/>
      <c r="M46" s="3244"/>
      <c r="N46" s="3244"/>
      <c r="O46" s="3244"/>
      <c r="P46" s="3244"/>
      <c r="Q46" s="3244"/>
      <c r="R46" s="3244"/>
      <c r="S46" s="3244"/>
      <c r="T46" s="3244"/>
      <c r="U46" s="3244"/>
      <c r="V46" s="3244"/>
      <c r="W46" s="3244"/>
      <c r="X46" s="3244"/>
      <c r="Y46" s="3244"/>
      <c r="AH46" s="3244" t="s">
        <v>2874</v>
      </c>
      <c r="AI46" s="3244"/>
      <c r="AJ46" s="3244"/>
      <c r="AK46" s="3244"/>
      <c r="AL46" s="3244"/>
      <c r="AM46" s="3244"/>
      <c r="AN46" s="3244"/>
      <c r="AO46" s="3244"/>
      <c r="AP46" s="3244"/>
      <c r="AQ46" s="3244"/>
      <c r="AR46" s="3244"/>
      <c r="AS46" s="3244"/>
      <c r="AT46" s="3244"/>
      <c r="AU46" s="3244"/>
      <c r="AV46" s="3244"/>
      <c r="AW46" s="3244"/>
      <c r="AX46" s="3244"/>
      <c r="AY46" s="3244"/>
      <c r="AZ46" s="3244"/>
      <c r="BA46" s="3244"/>
      <c r="BB46" s="3244"/>
      <c r="BC46" s="3244"/>
      <c r="BD46" s="3244"/>
      <c r="BE46" s="3244"/>
      <c r="BF46" s="3244"/>
      <c r="BG46" s="3244"/>
      <c r="BH46" s="3244"/>
      <c r="BI46" s="3244"/>
      <c r="BJ46" s="3244"/>
      <c r="BK46" s="3244"/>
      <c r="BL46" s="3244"/>
      <c r="BM46" s="3244"/>
      <c r="BN46" s="3244"/>
      <c r="BO46" s="3244"/>
      <c r="BP46" s="3244"/>
      <c r="BQ46" s="3244"/>
      <c r="BR46" s="3244"/>
      <c r="BS46" s="3244"/>
      <c r="BT46" s="3244"/>
      <c r="BU46" s="3244"/>
      <c r="BV46" s="3244"/>
      <c r="BW46" s="3244"/>
      <c r="BX46" s="3244"/>
      <c r="BY46" s="3244"/>
      <c r="BZ46" s="3244"/>
      <c r="CA46" s="3244"/>
      <c r="CB46" s="3244"/>
      <c r="CC46" s="3244"/>
      <c r="CD46" s="3244"/>
      <c r="CE46" s="3244"/>
      <c r="CF46" s="3244"/>
      <c r="CG46" s="3244"/>
      <c r="CH46" s="3244"/>
      <c r="CI46" s="3244"/>
      <c r="CJ46" s="3244"/>
      <c r="CK46" s="3244"/>
      <c r="CL46" s="3244"/>
      <c r="CM46" s="3245"/>
    </row>
    <row r="47" spans="1:96" s="3102" customFormat="1" ht="8.25" x14ac:dyDescent="0.15">
      <c r="A47" s="3246" t="s">
        <v>189</v>
      </c>
      <c r="B47" s="3247"/>
      <c r="C47" s="3247"/>
      <c r="D47" s="3247"/>
      <c r="E47" s="3247"/>
      <c r="F47" s="3247"/>
      <c r="G47" s="3247"/>
      <c r="H47" s="3247"/>
      <c r="I47" s="3247"/>
      <c r="J47" s="3247"/>
      <c r="K47" s="3247"/>
      <c r="L47" s="3247"/>
      <c r="M47" s="3247"/>
      <c r="N47" s="3247"/>
      <c r="O47" s="3247"/>
      <c r="P47" s="3247"/>
      <c r="Q47" s="3247"/>
      <c r="R47" s="3247"/>
      <c r="S47" s="3247"/>
      <c r="T47" s="3247"/>
      <c r="U47" s="3247"/>
      <c r="V47" s="3247"/>
      <c r="W47" s="3247"/>
      <c r="X47" s="3247"/>
      <c r="Y47" s="3247"/>
      <c r="AH47" s="3247" t="s">
        <v>986</v>
      </c>
      <c r="AI47" s="3247"/>
      <c r="AJ47" s="3247"/>
      <c r="AK47" s="3247"/>
      <c r="AL47" s="3247"/>
      <c r="AM47" s="3247"/>
      <c r="AN47" s="3247"/>
      <c r="AO47" s="3247"/>
      <c r="AP47" s="3247"/>
      <c r="AQ47" s="3247"/>
      <c r="AR47" s="3247"/>
      <c r="AS47" s="3247"/>
      <c r="AT47" s="3247"/>
      <c r="AU47" s="3247"/>
      <c r="AV47" s="3247"/>
      <c r="AW47" s="3247"/>
      <c r="AX47" s="3247"/>
      <c r="AY47" s="3247"/>
      <c r="AZ47" s="3247"/>
      <c r="BA47" s="3247"/>
      <c r="BB47" s="3247"/>
      <c r="BC47" s="3247"/>
      <c r="BD47" s="3247"/>
      <c r="BE47" s="3247"/>
      <c r="BF47" s="3247"/>
      <c r="BG47" s="3247"/>
      <c r="BH47" s="3247"/>
      <c r="BI47" s="3247"/>
      <c r="BJ47" s="3247"/>
      <c r="BK47" s="3247"/>
      <c r="BL47" s="3247"/>
      <c r="BM47" s="3247"/>
      <c r="BN47" s="3247"/>
      <c r="BO47" s="3247"/>
      <c r="BP47" s="3247"/>
      <c r="BQ47" s="3247"/>
      <c r="BR47" s="3247"/>
      <c r="BS47" s="3247"/>
      <c r="BT47" s="3247"/>
      <c r="BU47" s="3247"/>
      <c r="BV47" s="3247"/>
      <c r="BW47" s="3247"/>
      <c r="BX47" s="3247"/>
      <c r="BY47" s="3247"/>
      <c r="BZ47" s="3247"/>
      <c r="CA47" s="3247"/>
      <c r="CB47" s="3247"/>
      <c r="CC47" s="3247"/>
      <c r="CD47" s="3247"/>
      <c r="CE47" s="3247"/>
      <c r="CF47" s="3247"/>
      <c r="CG47" s="3247"/>
      <c r="CH47" s="3247"/>
      <c r="CI47" s="3247"/>
      <c r="CJ47" s="3247"/>
      <c r="CK47" s="3247"/>
      <c r="CL47" s="3247"/>
      <c r="CM47" s="3248"/>
    </row>
    <row r="48" spans="1:96" x14ac:dyDescent="0.2">
      <c r="A48" s="3106"/>
      <c r="CM48" s="3107"/>
    </row>
    <row r="49" spans="1:161" x14ac:dyDescent="0.2">
      <c r="A49" s="3238" t="s">
        <v>1148</v>
      </c>
      <c r="B49" s="3239"/>
      <c r="C49" s="3240" t="s">
        <v>2869</v>
      </c>
      <c r="D49" s="3240"/>
      <c r="E49" s="3240"/>
      <c r="F49" s="3241" t="s">
        <v>1148</v>
      </c>
      <c r="G49" s="3241"/>
      <c r="I49" s="3240" t="s">
        <v>2870</v>
      </c>
      <c r="J49" s="3240"/>
      <c r="K49" s="3240"/>
      <c r="L49" s="3240"/>
      <c r="M49" s="3240"/>
      <c r="N49" s="3240"/>
      <c r="O49" s="3240"/>
      <c r="P49" s="3240"/>
      <c r="Q49" s="3240"/>
      <c r="R49" s="3240"/>
      <c r="S49" s="3240"/>
      <c r="T49" s="3240"/>
      <c r="U49" s="3240"/>
      <c r="V49" s="3240"/>
      <c r="W49" s="3240"/>
      <c r="X49" s="3239">
        <v>20</v>
      </c>
      <c r="Y49" s="3239"/>
      <c r="Z49" s="3239"/>
      <c r="AA49" s="3242" t="s">
        <v>2871</v>
      </c>
      <c r="AB49" s="3242"/>
      <c r="AC49" s="3242"/>
      <c r="AD49" s="3118" t="s">
        <v>1085</v>
      </c>
      <c r="CM49" s="3107"/>
    </row>
    <row r="50" spans="1:161" ht="3" customHeight="1" thickBot="1" x14ac:dyDescent="0.25">
      <c r="A50" s="3110"/>
      <c r="B50" s="3111"/>
      <c r="C50" s="3111"/>
      <c r="D50" s="3111"/>
      <c r="E50" s="3111"/>
      <c r="F50" s="3111"/>
      <c r="G50" s="3111"/>
      <c r="H50" s="3111"/>
      <c r="I50" s="3111"/>
      <c r="J50" s="3111"/>
      <c r="K50" s="3111"/>
      <c r="L50" s="3111"/>
      <c r="M50" s="3111"/>
      <c r="N50" s="3111"/>
      <c r="O50" s="3111"/>
      <c r="P50" s="3111"/>
      <c r="Q50" s="3111"/>
      <c r="R50" s="3111"/>
      <c r="S50" s="3111"/>
      <c r="T50" s="3111"/>
      <c r="U50" s="3111"/>
      <c r="V50" s="3111"/>
      <c r="W50" s="3111"/>
      <c r="X50" s="3111"/>
      <c r="Y50" s="3111"/>
      <c r="Z50" s="3111"/>
      <c r="AA50" s="3111"/>
      <c r="AB50" s="3111"/>
      <c r="AC50" s="3111"/>
      <c r="AD50" s="3111"/>
      <c r="AE50" s="3111"/>
      <c r="AF50" s="3111"/>
      <c r="AG50" s="3111"/>
      <c r="AH50" s="3111"/>
      <c r="AI50" s="3111"/>
      <c r="AJ50" s="3111"/>
      <c r="AK50" s="3111"/>
      <c r="AL50" s="3111"/>
      <c r="AM50" s="3111"/>
      <c r="AN50" s="3111"/>
      <c r="AO50" s="3111"/>
      <c r="AP50" s="3111"/>
      <c r="AQ50" s="3111"/>
      <c r="AR50" s="3111"/>
      <c r="AS50" s="3111"/>
      <c r="AT50" s="3111"/>
      <c r="AU50" s="3111"/>
      <c r="AV50" s="3111"/>
      <c r="AW50" s="3111"/>
      <c r="AX50" s="3111"/>
      <c r="AY50" s="3111"/>
      <c r="AZ50" s="3111"/>
      <c r="BA50" s="3111"/>
      <c r="BB50" s="3111"/>
      <c r="BC50" s="3111"/>
      <c r="BD50" s="3111"/>
      <c r="BE50" s="3111"/>
      <c r="BF50" s="3111"/>
      <c r="BG50" s="3111"/>
      <c r="BH50" s="3111"/>
      <c r="BI50" s="3111"/>
      <c r="BJ50" s="3111"/>
      <c r="BK50" s="3111"/>
      <c r="BL50" s="3111"/>
      <c r="BM50" s="3111"/>
      <c r="BN50" s="3111"/>
      <c r="BO50" s="3111"/>
      <c r="BP50" s="3111"/>
      <c r="BQ50" s="3111"/>
      <c r="BR50" s="3111"/>
      <c r="BS50" s="3111"/>
      <c r="BT50" s="3111"/>
      <c r="BU50" s="3111"/>
      <c r="BV50" s="3111"/>
      <c r="BW50" s="3111"/>
      <c r="BX50" s="3111"/>
      <c r="BY50" s="3111"/>
      <c r="BZ50" s="3111"/>
      <c r="CA50" s="3111"/>
      <c r="CB50" s="3111"/>
      <c r="CC50" s="3111"/>
      <c r="CD50" s="3111"/>
      <c r="CE50" s="3111"/>
      <c r="CF50" s="3111"/>
      <c r="CG50" s="3111"/>
      <c r="CH50" s="3111"/>
      <c r="CI50" s="3111"/>
      <c r="CJ50" s="3111"/>
      <c r="CK50" s="3111"/>
      <c r="CL50" s="3111"/>
      <c r="CM50" s="3112"/>
    </row>
    <row r="51" spans="1:161" x14ac:dyDescent="0.2">
      <c r="A51" s="3113"/>
      <c r="B51" s="3113"/>
      <c r="C51" s="3113"/>
      <c r="D51" s="3113"/>
      <c r="E51" s="3113"/>
      <c r="F51" s="3113"/>
      <c r="G51" s="3113"/>
      <c r="H51" s="3113"/>
      <c r="I51" s="3113"/>
      <c r="J51" s="3113"/>
      <c r="K51" s="3113"/>
      <c r="L51" s="3113"/>
      <c r="M51" s="3113"/>
      <c r="N51" s="3113"/>
      <c r="O51" s="3113"/>
      <c r="P51" s="3113"/>
      <c r="Q51" s="3113"/>
      <c r="R51" s="3113"/>
      <c r="S51" s="3113"/>
      <c r="T51" s="3113"/>
      <c r="U51" s="3113"/>
      <c r="V51" s="3113"/>
      <c r="W51" s="3113"/>
      <c r="X51" s="3113"/>
      <c r="Y51" s="3113"/>
    </row>
    <row r="52" spans="1:161" s="3119" customFormat="1" ht="13.5" customHeight="1" x14ac:dyDescent="0.2">
      <c r="A52" s="3232" t="s">
        <v>1151</v>
      </c>
      <c r="B52" s="3233"/>
      <c r="C52" s="3233"/>
      <c r="D52" s="3233"/>
      <c r="E52" s="3233"/>
      <c r="F52" s="3233"/>
      <c r="G52" s="3233"/>
      <c r="H52" s="3233"/>
      <c r="I52" s="3233"/>
      <c r="J52" s="3233"/>
      <c r="K52" s="3233"/>
      <c r="L52" s="3233"/>
      <c r="M52" s="3233"/>
      <c r="N52" s="3233"/>
      <c r="O52" s="3233"/>
      <c r="P52" s="3233"/>
      <c r="Q52" s="3233"/>
      <c r="R52" s="3233"/>
      <c r="S52" s="3233"/>
      <c r="T52" s="3233"/>
      <c r="U52" s="3233"/>
      <c r="V52" s="3233"/>
      <c r="W52" s="3233"/>
      <c r="X52" s="3233"/>
      <c r="Y52" s="3233"/>
      <c r="Z52" s="3233"/>
      <c r="AA52" s="3233"/>
      <c r="AB52" s="3233"/>
      <c r="AC52" s="3233"/>
      <c r="AD52" s="3233"/>
      <c r="AE52" s="3233"/>
      <c r="AF52" s="3233"/>
      <c r="AG52" s="3233"/>
      <c r="AH52" s="3233"/>
      <c r="AI52" s="3233"/>
      <c r="AJ52" s="3233"/>
      <c r="AK52" s="3233"/>
      <c r="AL52" s="3233"/>
      <c r="AM52" s="3233"/>
      <c r="AN52" s="3233"/>
      <c r="AO52" s="3233"/>
      <c r="AP52" s="3233"/>
      <c r="AQ52" s="3233"/>
      <c r="AR52" s="3233"/>
      <c r="AS52" s="3233"/>
      <c r="AT52" s="3233"/>
      <c r="AU52" s="3233"/>
      <c r="AV52" s="3233"/>
      <c r="AW52" s="3233"/>
      <c r="AX52" s="3233"/>
      <c r="AY52" s="3233"/>
      <c r="AZ52" s="3233"/>
      <c r="BA52" s="3233"/>
      <c r="BB52" s="3233"/>
      <c r="BC52" s="3233"/>
      <c r="BD52" s="3233"/>
      <c r="BE52" s="3233"/>
      <c r="BF52" s="3233"/>
      <c r="BG52" s="3233"/>
      <c r="BH52" s="3233"/>
      <c r="BI52" s="3233"/>
      <c r="BJ52" s="3233"/>
      <c r="BK52" s="3233"/>
      <c r="BL52" s="3233"/>
      <c r="BM52" s="3233"/>
      <c r="BN52" s="3233"/>
      <c r="BO52" s="3233"/>
      <c r="BP52" s="3233"/>
      <c r="BQ52" s="3233"/>
      <c r="BR52" s="3233"/>
      <c r="BS52" s="3233"/>
      <c r="BT52" s="3233"/>
      <c r="BU52" s="3233"/>
      <c r="BV52" s="3233"/>
      <c r="BW52" s="3233"/>
      <c r="BX52" s="3233"/>
      <c r="BY52" s="3233"/>
      <c r="BZ52" s="3233"/>
      <c r="CA52" s="3233"/>
      <c r="CB52" s="3233"/>
      <c r="CC52" s="3233"/>
      <c r="CD52" s="3233"/>
      <c r="CE52" s="3233"/>
      <c r="CF52" s="3233"/>
      <c r="CG52" s="3233"/>
      <c r="CH52" s="3233"/>
      <c r="CI52" s="3233"/>
      <c r="CJ52" s="3233"/>
      <c r="CK52" s="3233"/>
      <c r="CL52" s="3233"/>
      <c r="CM52" s="3233"/>
      <c r="CN52" s="3233"/>
      <c r="CO52" s="3233"/>
      <c r="CP52" s="3233"/>
      <c r="CQ52" s="3233"/>
      <c r="CR52" s="3233"/>
      <c r="CS52" s="3233"/>
      <c r="CT52" s="3233"/>
      <c r="CU52" s="3233"/>
      <c r="CV52" s="3233"/>
      <c r="CW52" s="3233"/>
      <c r="CX52" s="3233"/>
      <c r="CY52" s="3233"/>
      <c r="CZ52" s="3233"/>
      <c r="DA52" s="3233"/>
      <c r="DB52" s="3233"/>
      <c r="DC52" s="3233"/>
      <c r="DD52" s="3233"/>
      <c r="DE52" s="3233"/>
      <c r="DF52" s="3233"/>
      <c r="DG52" s="3233"/>
      <c r="DH52" s="3233"/>
      <c r="DI52" s="3233"/>
      <c r="DJ52" s="3233"/>
      <c r="DK52" s="3233"/>
      <c r="DL52" s="3233"/>
      <c r="DM52" s="3233"/>
      <c r="DN52" s="3233"/>
      <c r="DO52" s="3233"/>
      <c r="DP52" s="3233"/>
      <c r="DQ52" s="3233"/>
      <c r="DR52" s="3233"/>
      <c r="DS52" s="3233"/>
      <c r="DT52" s="3233"/>
      <c r="DU52" s="3233"/>
      <c r="DV52" s="3233"/>
      <c r="DW52" s="3233"/>
      <c r="DX52" s="3233"/>
      <c r="DY52" s="3233"/>
      <c r="DZ52" s="3233"/>
      <c r="EA52" s="3233"/>
      <c r="EB52" s="3233"/>
      <c r="EC52" s="3233"/>
      <c r="ED52" s="3233"/>
      <c r="EE52" s="3233"/>
      <c r="EF52" s="3233"/>
      <c r="EG52" s="3233"/>
      <c r="EH52" s="3233"/>
      <c r="EI52" s="3233"/>
      <c r="EJ52" s="3233"/>
      <c r="EK52" s="3233"/>
      <c r="EL52" s="3233"/>
      <c r="EM52" s="3233"/>
      <c r="EN52" s="3233"/>
      <c r="EO52" s="3233"/>
      <c r="EP52" s="3233"/>
      <c r="EQ52" s="3233"/>
      <c r="ER52" s="3233"/>
      <c r="ES52" s="3233"/>
      <c r="ET52" s="3233"/>
      <c r="EU52" s="3233"/>
      <c r="EV52" s="3233"/>
      <c r="EW52" s="3233"/>
      <c r="EX52" s="3233"/>
      <c r="EY52" s="3233"/>
      <c r="EZ52" s="3233"/>
      <c r="FA52" s="3233"/>
      <c r="FB52" s="3233"/>
      <c r="FC52" s="3233"/>
      <c r="FD52" s="3233"/>
      <c r="FE52" s="3233"/>
    </row>
    <row r="53" spans="1:161" s="3119" customFormat="1" ht="40.5" customHeight="1" x14ac:dyDescent="0.2">
      <c r="A53" s="3234" t="s">
        <v>1152</v>
      </c>
      <c r="B53" s="3234"/>
      <c r="C53" s="3234"/>
      <c r="D53" s="3234"/>
      <c r="E53" s="3234"/>
      <c r="F53" s="3234"/>
      <c r="G53" s="3234"/>
      <c r="H53" s="3234"/>
      <c r="I53" s="3234"/>
      <c r="J53" s="3234"/>
      <c r="K53" s="3234"/>
      <c r="L53" s="3234"/>
      <c r="M53" s="3234"/>
      <c r="N53" s="3234"/>
      <c r="O53" s="3234"/>
      <c r="P53" s="3234"/>
      <c r="Q53" s="3234"/>
      <c r="R53" s="3234"/>
      <c r="S53" s="3234"/>
      <c r="T53" s="3234"/>
      <c r="U53" s="3234"/>
      <c r="V53" s="3234"/>
      <c r="W53" s="3234"/>
      <c r="X53" s="3234"/>
      <c r="Y53" s="3234"/>
      <c r="Z53" s="3234"/>
      <c r="AA53" s="3234"/>
      <c r="AB53" s="3234"/>
      <c r="AC53" s="3234"/>
      <c r="AD53" s="3234"/>
      <c r="AE53" s="3234"/>
      <c r="AF53" s="3234"/>
      <c r="AG53" s="3234"/>
      <c r="AH53" s="3234"/>
      <c r="AI53" s="3234"/>
      <c r="AJ53" s="3234"/>
      <c r="AK53" s="3234"/>
      <c r="AL53" s="3234"/>
      <c r="AM53" s="3234"/>
      <c r="AN53" s="3234"/>
      <c r="AO53" s="3234"/>
      <c r="AP53" s="3234"/>
      <c r="AQ53" s="3234"/>
      <c r="AR53" s="3234"/>
      <c r="AS53" s="3234"/>
      <c r="AT53" s="3234"/>
      <c r="AU53" s="3234"/>
      <c r="AV53" s="3234"/>
      <c r="AW53" s="3234"/>
      <c r="AX53" s="3234"/>
      <c r="AY53" s="3234"/>
      <c r="AZ53" s="3234"/>
      <c r="BA53" s="3234"/>
      <c r="BB53" s="3234"/>
      <c r="BC53" s="3234"/>
      <c r="BD53" s="3234"/>
      <c r="BE53" s="3234"/>
      <c r="BF53" s="3234"/>
      <c r="BG53" s="3234"/>
      <c r="BH53" s="3234"/>
      <c r="BI53" s="3234"/>
      <c r="BJ53" s="3234"/>
      <c r="BK53" s="3234"/>
      <c r="BL53" s="3234"/>
      <c r="BM53" s="3234"/>
      <c r="BN53" s="3234"/>
      <c r="BO53" s="3234"/>
      <c r="BP53" s="3234"/>
      <c r="BQ53" s="3234"/>
      <c r="BR53" s="3234"/>
      <c r="BS53" s="3234"/>
      <c r="BT53" s="3234"/>
      <c r="BU53" s="3234"/>
      <c r="BV53" s="3234"/>
      <c r="BW53" s="3234"/>
      <c r="BX53" s="3234"/>
      <c r="BY53" s="3234"/>
      <c r="BZ53" s="3234"/>
      <c r="CA53" s="3234"/>
      <c r="CB53" s="3234"/>
      <c r="CC53" s="3234"/>
      <c r="CD53" s="3234"/>
      <c r="CE53" s="3234"/>
      <c r="CF53" s="3234"/>
      <c r="CG53" s="3234"/>
      <c r="CH53" s="3234"/>
      <c r="CI53" s="3234"/>
      <c r="CJ53" s="3234"/>
      <c r="CK53" s="3234"/>
      <c r="CL53" s="3234"/>
      <c r="CM53" s="3234"/>
      <c r="CN53" s="3234"/>
      <c r="CO53" s="3234"/>
      <c r="CP53" s="3234"/>
      <c r="CQ53" s="3234"/>
      <c r="CR53" s="3234"/>
      <c r="CS53" s="3234"/>
      <c r="CT53" s="3234"/>
      <c r="CU53" s="3234"/>
      <c r="CV53" s="3234"/>
      <c r="CW53" s="3234"/>
      <c r="CX53" s="3234"/>
      <c r="CY53" s="3234"/>
      <c r="CZ53" s="3234"/>
      <c r="DA53" s="3234"/>
      <c r="DB53" s="3234"/>
      <c r="DC53" s="3234"/>
      <c r="DD53" s="3234"/>
      <c r="DE53" s="3234"/>
      <c r="DF53" s="3234"/>
      <c r="DG53" s="3234"/>
      <c r="DH53" s="3234"/>
      <c r="DI53" s="3234"/>
      <c r="DJ53" s="3234"/>
      <c r="DK53" s="3234"/>
      <c r="DL53" s="3234"/>
      <c r="DM53" s="3234"/>
      <c r="DN53" s="3234"/>
      <c r="DO53" s="3234"/>
      <c r="DP53" s="3234"/>
      <c r="DQ53" s="3234"/>
      <c r="DR53" s="3234"/>
      <c r="DS53" s="3234"/>
      <c r="DT53" s="3234"/>
      <c r="DU53" s="3234"/>
      <c r="DV53" s="3234"/>
      <c r="DW53" s="3234"/>
      <c r="DX53" s="3234"/>
      <c r="DY53" s="3234"/>
      <c r="DZ53" s="3234"/>
      <c r="EA53" s="3234"/>
      <c r="EB53" s="3234"/>
      <c r="EC53" s="3234"/>
      <c r="ED53" s="3234"/>
      <c r="EE53" s="3234"/>
      <c r="EF53" s="3234"/>
      <c r="EG53" s="3234"/>
      <c r="EH53" s="3234"/>
      <c r="EI53" s="3234"/>
      <c r="EJ53" s="3234"/>
      <c r="EK53" s="3234"/>
      <c r="EL53" s="3234"/>
      <c r="EM53" s="3234"/>
      <c r="EN53" s="3234"/>
      <c r="EO53" s="3234"/>
      <c r="EP53" s="3234"/>
      <c r="EQ53" s="3234"/>
      <c r="ER53" s="3234"/>
      <c r="ES53" s="3234"/>
      <c r="ET53" s="3234"/>
      <c r="EU53" s="3234"/>
      <c r="EV53" s="3234"/>
      <c r="EW53" s="3234"/>
      <c r="EX53" s="3234"/>
      <c r="EY53" s="3234"/>
      <c r="EZ53" s="3234"/>
      <c r="FA53" s="3234"/>
      <c r="FB53" s="3234"/>
      <c r="FC53" s="3234"/>
      <c r="FD53" s="3234"/>
      <c r="FE53" s="3234"/>
    </row>
    <row r="54" spans="1:161" s="3119" customFormat="1" ht="12.75" customHeight="1" x14ac:dyDescent="0.2">
      <c r="A54" s="3235" t="s">
        <v>1153</v>
      </c>
      <c r="B54" s="3236"/>
      <c r="C54" s="3236"/>
      <c r="D54" s="3236"/>
      <c r="E54" s="3236"/>
      <c r="F54" s="3236"/>
      <c r="G54" s="3236"/>
      <c r="H54" s="3236"/>
      <c r="I54" s="3236"/>
      <c r="J54" s="3236"/>
      <c r="K54" s="3236"/>
      <c r="L54" s="3236"/>
      <c r="M54" s="3236"/>
      <c r="N54" s="3236"/>
      <c r="O54" s="3236"/>
      <c r="P54" s="3236"/>
      <c r="Q54" s="3236"/>
      <c r="R54" s="3236"/>
      <c r="S54" s="3236"/>
      <c r="T54" s="3236"/>
      <c r="U54" s="3236"/>
      <c r="V54" s="3236"/>
      <c r="W54" s="3236"/>
      <c r="X54" s="3236"/>
      <c r="Y54" s="3236"/>
      <c r="Z54" s="3236"/>
      <c r="AA54" s="3236"/>
      <c r="AB54" s="3236"/>
      <c r="AC54" s="3236"/>
      <c r="AD54" s="3236"/>
      <c r="AE54" s="3236"/>
      <c r="AF54" s="3236"/>
      <c r="AG54" s="3236"/>
      <c r="AH54" s="3236"/>
      <c r="AI54" s="3236"/>
      <c r="AJ54" s="3236"/>
      <c r="AK54" s="3236"/>
      <c r="AL54" s="3236"/>
      <c r="AM54" s="3236"/>
      <c r="AN54" s="3236"/>
      <c r="AO54" s="3236"/>
      <c r="AP54" s="3236"/>
      <c r="AQ54" s="3236"/>
      <c r="AR54" s="3236"/>
      <c r="AS54" s="3236"/>
      <c r="AT54" s="3236"/>
      <c r="AU54" s="3236"/>
      <c r="AV54" s="3236"/>
      <c r="AW54" s="3236"/>
      <c r="AX54" s="3236"/>
      <c r="AY54" s="3236"/>
      <c r="AZ54" s="3236"/>
      <c r="BA54" s="3236"/>
      <c r="BB54" s="3236"/>
      <c r="BC54" s="3236"/>
      <c r="BD54" s="3236"/>
      <c r="BE54" s="3236"/>
      <c r="BF54" s="3236"/>
      <c r="BG54" s="3236"/>
      <c r="BH54" s="3236"/>
      <c r="BI54" s="3236"/>
      <c r="BJ54" s="3236"/>
      <c r="BK54" s="3236"/>
      <c r="BL54" s="3236"/>
      <c r="BM54" s="3236"/>
      <c r="BN54" s="3236"/>
      <c r="BO54" s="3236"/>
      <c r="BP54" s="3236"/>
      <c r="BQ54" s="3236"/>
      <c r="BR54" s="3236"/>
      <c r="BS54" s="3236"/>
      <c r="BT54" s="3236"/>
      <c r="BU54" s="3236"/>
      <c r="BV54" s="3236"/>
      <c r="BW54" s="3236"/>
      <c r="BX54" s="3236"/>
      <c r="BY54" s="3236"/>
      <c r="BZ54" s="3236"/>
      <c r="CA54" s="3236"/>
      <c r="CB54" s="3236"/>
      <c r="CC54" s="3236"/>
      <c r="CD54" s="3236"/>
      <c r="CE54" s="3236"/>
      <c r="CF54" s="3236"/>
      <c r="CG54" s="3236"/>
      <c r="CH54" s="3236"/>
      <c r="CI54" s="3236"/>
      <c r="CJ54" s="3236"/>
      <c r="CK54" s="3236"/>
      <c r="CL54" s="3236"/>
      <c r="CM54" s="3236"/>
      <c r="CN54" s="3236"/>
      <c r="CO54" s="3236"/>
      <c r="CP54" s="3236"/>
      <c r="CQ54" s="3236"/>
      <c r="CR54" s="3236"/>
      <c r="CS54" s="3236"/>
      <c r="CT54" s="3236"/>
      <c r="CU54" s="3236"/>
      <c r="CV54" s="3236"/>
      <c r="CW54" s="3236"/>
      <c r="CX54" s="3236"/>
      <c r="CY54" s="3236"/>
      <c r="CZ54" s="3236"/>
      <c r="DA54" s="3236"/>
      <c r="DB54" s="3236"/>
      <c r="DC54" s="3236"/>
      <c r="DD54" s="3236"/>
      <c r="DE54" s="3236"/>
      <c r="DF54" s="3236"/>
      <c r="DG54" s="3236"/>
      <c r="DH54" s="3236"/>
      <c r="DI54" s="3236"/>
      <c r="DJ54" s="3236"/>
      <c r="DK54" s="3236"/>
      <c r="DL54" s="3236"/>
      <c r="DM54" s="3236"/>
      <c r="DN54" s="3236"/>
      <c r="DO54" s="3236"/>
      <c r="DP54" s="3236"/>
      <c r="DQ54" s="3236"/>
      <c r="DR54" s="3236"/>
      <c r="DS54" s="3236"/>
      <c r="DT54" s="3236"/>
      <c r="DU54" s="3236"/>
      <c r="DV54" s="3236"/>
      <c r="DW54" s="3236"/>
      <c r="DX54" s="3236"/>
      <c r="DY54" s="3236"/>
      <c r="DZ54" s="3236"/>
      <c r="EA54" s="3236"/>
      <c r="EB54" s="3236"/>
      <c r="EC54" s="3236"/>
      <c r="ED54" s="3236"/>
      <c r="EE54" s="3236"/>
      <c r="EF54" s="3236"/>
      <c r="EG54" s="3236"/>
      <c r="EH54" s="3236"/>
      <c r="EI54" s="3236"/>
      <c r="EJ54" s="3236"/>
      <c r="EK54" s="3236"/>
      <c r="EL54" s="3236"/>
      <c r="EM54" s="3236"/>
      <c r="EN54" s="3236"/>
      <c r="EO54" s="3236"/>
      <c r="EP54" s="3236"/>
      <c r="EQ54" s="3236"/>
      <c r="ER54" s="3236"/>
      <c r="ES54" s="3236"/>
      <c r="ET54" s="3236"/>
      <c r="EU54" s="3236"/>
      <c r="EV54" s="3236"/>
      <c r="EW54" s="3236"/>
      <c r="EX54" s="3236"/>
      <c r="EY54" s="3236"/>
      <c r="EZ54" s="3236"/>
      <c r="FA54" s="3236"/>
      <c r="FB54" s="3236"/>
      <c r="FC54" s="3236"/>
      <c r="FD54" s="3236"/>
      <c r="FE54" s="3236"/>
    </row>
    <row r="55" spans="1:161" s="3119" customFormat="1" ht="11.25" customHeight="1" x14ac:dyDescent="0.2">
      <c r="A55" s="3119" t="s">
        <v>1154</v>
      </c>
    </row>
    <row r="56" spans="1:161" s="3119" customFormat="1" ht="11.25" customHeight="1" x14ac:dyDescent="0.2">
      <c r="A56" s="3119" t="s">
        <v>1155</v>
      </c>
    </row>
    <row r="57" spans="1:161" s="3119" customFormat="1" ht="11.25" customHeight="1" x14ac:dyDescent="0.2">
      <c r="A57" s="3119" t="s">
        <v>1156</v>
      </c>
    </row>
    <row r="58" spans="1:161" s="3119" customFormat="1" ht="20.25" customHeight="1" x14ac:dyDescent="0.2">
      <c r="A58" s="3237" t="s">
        <v>1157</v>
      </c>
      <c r="B58" s="3237"/>
      <c r="C58" s="3237"/>
      <c r="D58" s="3237"/>
      <c r="E58" s="3237"/>
      <c r="F58" s="3237"/>
      <c r="G58" s="3237"/>
      <c r="H58" s="3237"/>
      <c r="I58" s="3237"/>
      <c r="J58" s="3237"/>
      <c r="K58" s="3237"/>
      <c r="L58" s="3237"/>
      <c r="M58" s="3237"/>
      <c r="N58" s="3237"/>
      <c r="O58" s="3237"/>
      <c r="P58" s="3237"/>
      <c r="Q58" s="3237"/>
      <c r="R58" s="3237"/>
      <c r="S58" s="3237"/>
      <c r="T58" s="3237"/>
      <c r="U58" s="3237"/>
      <c r="V58" s="3237"/>
      <c r="W58" s="3237"/>
      <c r="X58" s="3237"/>
      <c r="Y58" s="3237"/>
      <c r="Z58" s="3237"/>
      <c r="AA58" s="3237"/>
      <c r="AB58" s="3237"/>
      <c r="AC58" s="3237"/>
      <c r="AD58" s="3237"/>
      <c r="AE58" s="3237"/>
      <c r="AF58" s="3237"/>
      <c r="AG58" s="3237"/>
      <c r="AH58" s="3237"/>
      <c r="AI58" s="3237"/>
      <c r="AJ58" s="3237"/>
      <c r="AK58" s="3237"/>
      <c r="AL58" s="3237"/>
      <c r="AM58" s="3237"/>
      <c r="AN58" s="3237"/>
      <c r="AO58" s="3237"/>
      <c r="AP58" s="3237"/>
      <c r="AQ58" s="3237"/>
      <c r="AR58" s="3237"/>
      <c r="AS58" s="3237"/>
      <c r="AT58" s="3237"/>
      <c r="AU58" s="3237"/>
      <c r="AV58" s="3237"/>
      <c r="AW58" s="3237"/>
      <c r="AX58" s="3237"/>
      <c r="AY58" s="3237"/>
      <c r="AZ58" s="3237"/>
      <c r="BA58" s="3237"/>
      <c r="BB58" s="3237"/>
      <c r="BC58" s="3237"/>
      <c r="BD58" s="3237"/>
      <c r="BE58" s="3237"/>
      <c r="BF58" s="3237"/>
      <c r="BG58" s="3237"/>
      <c r="BH58" s="3237"/>
      <c r="BI58" s="3237"/>
      <c r="BJ58" s="3237"/>
      <c r="BK58" s="3237"/>
      <c r="BL58" s="3237"/>
      <c r="BM58" s="3237"/>
      <c r="BN58" s="3237"/>
      <c r="BO58" s="3237"/>
      <c r="BP58" s="3237"/>
      <c r="BQ58" s="3237"/>
      <c r="BR58" s="3237"/>
      <c r="BS58" s="3237"/>
      <c r="BT58" s="3237"/>
      <c r="BU58" s="3237"/>
      <c r="BV58" s="3237"/>
      <c r="BW58" s="3237"/>
      <c r="BX58" s="3237"/>
      <c r="BY58" s="3237"/>
      <c r="BZ58" s="3237"/>
      <c r="CA58" s="3237"/>
      <c r="CB58" s="3237"/>
      <c r="CC58" s="3237"/>
      <c r="CD58" s="3237"/>
      <c r="CE58" s="3237"/>
      <c r="CF58" s="3237"/>
      <c r="CG58" s="3237"/>
      <c r="CH58" s="3237"/>
      <c r="CI58" s="3237"/>
      <c r="CJ58" s="3237"/>
      <c r="CK58" s="3237"/>
      <c r="CL58" s="3237"/>
      <c r="CM58" s="3237"/>
      <c r="CN58" s="3237"/>
      <c r="CO58" s="3237"/>
      <c r="CP58" s="3237"/>
      <c r="CQ58" s="3237"/>
      <c r="CR58" s="3237"/>
      <c r="CS58" s="3237"/>
      <c r="CT58" s="3237"/>
      <c r="CU58" s="3237"/>
      <c r="CV58" s="3237"/>
      <c r="CW58" s="3237"/>
      <c r="CX58" s="3237"/>
      <c r="CY58" s="3237"/>
      <c r="CZ58" s="3237"/>
      <c r="DA58" s="3237"/>
      <c r="DB58" s="3237"/>
      <c r="DC58" s="3237"/>
      <c r="DD58" s="3237"/>
      <c r="DE58" s="3237"/>
      <c r="DF58" s="3237"/>
      <c r="DG58" s="3237"/>
      <c r="DH58" s="3237"/>
      <c r="DI58" s="3237"/>
      <c r="DJ58" s="3237"/>
      <c r="DK58" s="3237"/>
      <c r="DL58" s="3237"/>
      <c r="DM58" s="3237"/>
      <c r="DN58" s="3237"/>
      <c r="DO58" s="3237"/>
      <c r="DP58" s="3237"/>
      <c r="DQ58" s="3237"/>
      <c r="DR58" s="3237"/>
      <c r="DS58" s="3237"/>
      <c r="DT58" s="3237"/>
      <c r="DU58" s="3237"/>
      <c r="DV58" s="3237"/>
      <c r="DW58" s="3237"/>
      <c r="DX58" s="3237"/>
      <c r="DY58" s="3237"/>
      <c r="DZ58" s="3237"/>
      <c r="EA58" s="3237"/>
      <c r="EB58" s="3237"/>
      <c r="EC58" s="3237"/>
      <c r="ED58" s="3237"/>
      <c r="EE58" s="3237"/>
      <c r="EF58" s="3237"/>
      <c r="EG58" s="3237"/>
      <c r="EH58" s="3237"/>
      <c r="EI58" s="3237"/>
      <c r="EJ58" s="3237"/>
      <c r="EK58" s="3237"/>
      <c r="EL58" s="3237"/>
      <c r="EM58" s="3237"/>
      <c r="EN58" s="3237"/>
      <c r="EO58" s="3237"/>
      <c r="EP58" s="3237"/>
      <c r="EQ58" s="3237"/>
      <c r="ER58" s="3237"/>
      <c r="ES58" s="3237"/>
      <c r="ET58" s="3237"/>
      <c r="EU58" s="3237"/>
      <c r="EV58" s="3237"/>
      <c r="EW58" s="3237"/>
      <c r="EX58" s="3237"/>
      <c r="EY58" s="3237"/>
      <c r="EZ58" s="3237"/>
      <c r="FA58" s="3237"/>
      <c r="FB58" s="3237"/>
      <c r="FC58" s="3237"/>
      <c r="FD58" s="3237"/>
      <c r="FE58" s="3237"/>
    </row>
    <row r="59" spans="1:161" ht="3" customHeight="1" x14ac:dyDescent="0.2"/>
  </sheetData>
  <mergeCells count="239">
    <mergeCell ref="DY4:EA4"/>
    <mergeCell ref="EB4:EE4"/>
    <mergeCell ref="EF4:EK4"/>
    <mergeCell ref="EL4:EN4"/>
    <mergeCell ref="EO4:ER4"/>
    <mergeCell ref="ES4:FE5"/>
    <mergeCell ref="B1:FD1"/>
    <mergeCell ref="A3:H5"/>
    <mergeCell ref="I3:CM5"/>
    <mergeCell ref="CN3:CU5"/>
    <mergeCell ref="CV3:DE5"/>
    <mergeCell ref="DF3:FE3"/>
    <mergeCell ref="DF4:DK4"/>
    <mergeCell ref="DL4:DN4"/>
    <mergeCell ref="DO4:DR4"/>
    <mergeCell ref="DS4:DX4"/>
    <mergeCell ref="DF5:DR5"/>
    <mergeCell ref="DS5:EE5"/>
    <mergeCell ref="EF5:ER5"/>
    <mergeCell ref="A6:H6"/>
    <mergeCell ref="I6:CM6"/>
    <mergeCell ref="CN6:CU6"/>
    <mergeCell ref="CV6:DE6"/>
    <mergeCell ref="DF6:DR6"/>
    <mergeCell ref="DS6:EE6"/>
    <mergeCell ref="EF6:ER6"/>
    <mergeCell ref="ES6:FE6"/>
    <mergeCell ref="A7:H7"/>
    <mergeCell ref="I7:CM7"/>
    <mergeCell ref="CN7:CU7"/>
    <mergeCell ref="CV7:DE7"/>
    <mergeCell ref="DF7:DR7"/>
    <mergeCell ref="DS7:EE7"/>
    <mergeCell ref="EF7:ER7"/>
    <mergeCell ref="ES7:FE7"/>
    <mergeCell ref="EF8:ER8"/>
    <mergeCell ref="ES8:FE8"/>
    <mergeCell ref="A9:H9"/>
    <mergeCell ref="I9:CM9"/>
    <mergeCell ref="CN9:CU9"/>
    <mergeCell ref="CV9:DE9"/>
    <mergeCell ref="DF9:DR9"/>
    <mergeCell ref="DS9:EE9"/>
    <mergeCell ref="EF9:ER9"/>
    <mergeCell ref="ES9:FE9"/>
    <mergeCell ref="A8:H8"/>
    <mergeCell ref="I8:CM8"/>
    <mergeCell ref="CN8:CU8"/>
    <mergeCell ref="CV8:DE8"/>
    <mergeCell ref="DF8:DR8"/>
    <mergeCell ref="DS8:EE8"/>
    <mergeCell ref="EF10:ER10"/>
    <mergeCell ref="ES10:FE10"/>
    <mergeCell ref="A11:H11"/>
    <mergeCell ref="I11:CM11"/>
    <mergeCell ref="CN11:CU11"/>
    <mergeCell ref="CV11:DE11"/>
    <mergeCell ref="DF11:DR11"/>
    <mergeCell ref="DS11:EE11"/>
    <mergeCell ref="EF11:ER11"/>
    <mergeCell ref="ES11:FE11"/>
    <mergeCell ref="A10:H10"/>
    <mergeCell ref="I10:CM10"/>
    <mergeCell ref="CN10:CU10"/>
    <mergeCell ref="CV10:DE10"/>
    <mergeCell ref="DF10:DR10"/>
    <mergeCell ref="DS10:EE10"/>
    <mergeCell ref="EF12:ER12"/>
    <mergeCell ref="ES12:FE12"/>
    <mergeCell ref="A13:H13"/>
    <mergeCell ref="I13:CM13"/>
    <mergeCell ref="CN13:CU13"/>
    <mergeCell ref="CV13:DE13"/>
    <mergeCell ref="DF13:DR13"/>
    <mergeCell ref="DS13:EE13"/>
    <mergeCell ref="EF13:ER13"/>
    <mergeCell ref="ES13:FE13"/>
    <mergeCell ref="A12:H12"/>
    <mergeCell ref="I12:CM12"/>
    <mergeCell ref="CN12:CU12"/>
    <mergeCell ref="CV12:DE12"/>
    <mergeCell ref="DF12:DR12"/>
    <mergeCell ref="DS12:EE12"/>
    <mergeCell ref="EF14:ER14"/>
    <mergeCell ref="ES14:FE14"/>
    <mergeCell ref="A15:H15"/>
    <mergeCell ref="I15:CM15"/>
    <mergeCell ref="CN15:CU15"/>
    <mergeCell ref="CV15:DE15"/>
    <mergeCell ref="DF15:DR15"/>
    <mergeCell ref="DS15:EE15"/>
    <mergeCell ref="EF15:ER15"/>
    <mergeCell ref="ES15:FE15"/>
    <mergeCell ref="A14:H14"/>
    <mergeCell ref="I14:CM14"/>
    <mergeCell ref="CN14:CU14"/>
    <mergeCell ref="CV14:DE14"/>
    <mergeCell ref="DF14:DR14"/>
    <mergeCell ref="DS14:EE14"/>
    <mergeCell ref="EF16:ER16"/>
    <mergeCell ref="ES16:FE16"/>
    <mergeCell ref="A17:H17"/>
    <mergeCell ref="I17:CM17"/>
    <mergeCell ref="CN17:CU17"/>
    <mergeCell ref="CV17:DE17"/>
    <mergeCell ref="DF17:DR17"/>
    <mergeCell ref="DS17:EE17"/>
    <mergeCell ref="EF17:ER17"/>
    <mergeCell ref="ES17:FE17"/>
    <mergeCell ref="A16:H16"/>
    <mergeCell ref="I16:CM16"/>
    <mergeCell ref="CN16:CU16"/>
    <mergeCell ref="CV16:DE16"/>
    <mergeCell ref="DF16:DR16"/>
    <mergeCell ref="DS16:EE16"/>
    <mergeCell ref="EF18:ER18"/>
    <mergeCell ref="ES18:FE18"/>
    <mergeCell ref="A19:H19"/>
    <mergeCell ref="I19:CM19"/>
    <mergeCell ref="CN19:CU19"/>
    <mergeCell ref="CV19:DE19"/>
    <mergeCell ref="DF19:DR19"/>
    <mergeCell ref="DS19:EE19"/>
    <mergeCell ref="EF19:ER19"/>
    <mergeCell ref="ES19:FE19"/>
    <mergeCell ref="A18:H18"/>
    <mergeCell ref="I18:CM18"/>
    <mergeCell ref="CN18:CU18"/>
    <mergeCell ref="CV18:DE18"/>
    <mergeCell ref="DF18:DR18"/>
    <mergeCell ref="DS18:EE18"/>
    <mergeCell ref="EF20:ER20"/>
    <mergeCell ref="ES20:FE20"/>
    <mergeCell ref="A21:H21"/>
    <mergeCell ref="I21:CM21"/>
    <mergeCell ref="CN21:CU21"/>
    <mergeCell ref="CV21:DE21"/>
    <mergeCell ref="DF21:DR21"/>
    <mergeCell ref="DS21:EE21"/>
    <mergeCell ref="EF21:ER21"/>
    <mergeCell ref="ES21:FE21"/>
    <mergeCell ref="A20:H20"/>
    <mergeCell ref="I20:CM20"/>
    <mergeCell ref="CN20:CU20"/>
    <mergeCell ref="CV20:DE20"/>
    <mergeCell ref="DF20:DR20"/>
    <mergeCell ref="DS20:EE20"/>
    <mergeCell ref="EF22:ER22"/>
    <mergeCell ref="ES22:FE22"/>
    <mergeCell ref="A23:H23"/>
    <mergeCell ref="I23:CM23"/>
    <mergeCell ref="CN23:CU23"/>
    <mergeCell ref="CV23:DE23"/>
    <mergeCell ref="DF23:DR23"/>
    <mergeCell ref="DS23:EE23"/>
    <mergeCell ref="EF23:ER23"/>
    <mergeCell ref="ES23:FE23"/>
    <mergeCell ref="A22:H22"/>
    <mergeCell ref="I22:CM22"/>
    <mergeCell ref="CN22:CU22"/>
    <mergeCell ref="CV22:DE22"/>
    <mergeCell ref="DF22:DR22"/>
    <mergeCell ref="DS22:EE22"/>
    <mergeCell ref="EF24:ER24"/>
    <mergeCell ref="ES24:FE24"/>
    <mergeCell ref="A25:H25"/>
    <mergeCell ref="I25:CM25"/>
    <mergeCell ref="CN25:CU25"/>
    <mergeCell ref="CV25:DE25"/>
    <mergeCell ref="DF25:DR25"/>
    <mergeCell ref="DS25:EE25"/>
    <mergeCell ref="EF25:ER25"/>
    <mergeCell ref="ES25:FE25"/>
    <mergeCell ref="A24:H24"/>
    <mergeCell ref="I24:CM24"/>
    <mergeCell ref="CN24:CU24"/>
    <mergeCell ref="CV24:DE24"/>
    <mergeCell ref="DF24:DR24"/>
    <mergeCell ref="DS24:EE24"/>
    <mergeCell ref="EF26:ER27"/>
    <mergeCell ref="ES26:FE27"/>
    <mergeCell ref="I27:CM27"/>
    <mergeCell ref="A28:H28"/>
    <mergeCell ref="I28:CM28"/>
    <mergeCell ref="CN28:CU28"/>
    <mergeCell ref="CV28:DE28"/>
    <mergeCell ref="DF28:DR28"/>
    <mergeCell ref="DS28:EE28"/>
    <mergeCell ref="EF28:ER28"/>
    <mergeCell ref="A26:H27"/>
    <mergeCell ref="I26:CM26"/>
    <mergeCell ref="CN26:CU27"/>
    <mergeCell ref="CV26:DE27"/>
    <mergeCell ref="DF26:DR27"/>
    <mergeCell ref="DS26:EE27"/>
    <mergeCell ref="ES28:FE28"/>
    <mergeCell ref="A29:H30"/>
    <mergeCell ref="I29:CM29"/>
    <mergeCell ref="CN29:CU30"/>
    <mergeCell ref="CV29:DE30"/>
    <mergeCell ref="DF29:DR30"/>
    <mergeCell ref="DS29:EE30"/>
    <mergeCell ref="EF29:ER30"/>
    <mergeCell ref="ES29:FE30"/>
    <mergeCell ref="I30:CM30"/>
    <mergeCell ref="AM36:BD36"/>
    <mergeCell ref="BG36:BX36"/>
    <mergeCell ref="CA36:CR36"/>
    <mergeCell ref="AM37:BD37"/>
    <mergeCell ref="BG37:BX37"/>
    <mergeCell ref="CA37:CR37"/>
    <mergeCell ref="AQ33:BH33"/>
    <mergeCell ref="BK33:BV33"/>
    <mergeCell ref="BY33:CR33"/>
    <mergeCell ref="AQ34:BH34"/>
    <mergeCell ref="BK34:BV34"/>
    <mergeCell ref="BY34:CR34"/>
    <mergeCell ref="A43:CM43"/>
    <mergeCell ref="A44:CM44"/>
    <mergeCell ref="A46:Y46"/>
    <mergeCell ref="AH46:CM46"/>
    <mergeCell ref="A47:Y47"/>
    <mergeCell ref="AH47:CM47"/>
    <mergeCell ref="I39:J39"/>
    <mergeCell ref="K39:M39"/>
    <mergeCell ref="N39:O39"/>
    <mergeCell ref="Q39:AE39"/>
    <mergeCell ref="AF39:AH39"/>
    <mergeCell ref="AI39:AK39"/>
    <mergeCell ref="A52:FE52"/>
    <mergeCell ref="A53:FE53"/>
    <mergeCell ref="A54:FE54"/>
    <mergeCell ref="A58:FE58"/>
    <mergeCell ref="A49:B49"/>
    <mergeCell ref="C49:E49"/>
    <mergeCell ref="F49:G49"/>
    <mergeCell ref="I49:W49"/>
    <mergeCell ref="X49:Z49"/>
    <mergeCell ref="AA49:AC49"/>
  </mergeCells>
  <pageMargins left="0.19685039370078741" right="0.11811023622047245" top="0.39370078740157483" bottom="0.11811023622047245" header="0.19685039370078741" footer="0.19685039370078741"/>
  <pageSetup paperSize="9" scale="70"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tabColor rgb="FF00FFFF"/>
  </sheetPr>
  <dimension ref="A1:F22"/>
  <sheetViews>
    <sheetView view="pageBreakPreview" zoomScale="80" zoomScaleNormal="100" zoomScaleSheetLayoutView="80" workbookViewId="0">
      <selection activeCell="E17" sqref="E17"/>
    </sheetView>
  </sheetViews>
  <sheetFormatPr defaultRowHeight="39.75" customHeight="1" x14ac:dyDescent="0.25"/>
  <cols>
    <col min="1" max="1" width="81.33203125" style="380" customWidth="1"/>
    <col min="2" max="2" width="10" style="380" customWidth="1"/>
    <col min="3" max="5" width="25.83203125" style="380" customWidth="1"/>
    <col min="6" max="16384" width="9.33203125" style="380"/>
  </cols>
  <sheetData>
    <row r="1" spans="1:6" ht="39.75" customHeight="1" x14ac:dyDescent="0.25">
      <c r="A1" s="3425" t="s">
        <v>963</v>
      </c>
      <c r="B1" s="3425"/>
      <c r="C1" s="3425"/>
      <c r="D1" s="3425"/>
      <c r="E1" s="3425"/>
    </row>
    <row r="2" spans="1:6" ht="39.75" customHeight="1" x14ac:dyDescent="0.25">
      <c r="A2" s="3425" t="s">
        <v>1442</v>
      </c>
      <c r="B2" s="3425"/>
      <c r="C2" s="3425"/>
      <c r="D2" s="3425"/>
      <c r="E2" s="3425"/>
    </row>
    <row r="3" spans="1:6" ht="13.5" customHeight="1" x14ac:dyDescent="0.25">
      <c r="A3" s="391"/>
      <c r="B3" s="391"/>
      <c r="C3" s="391"/>
      <c r="D3" s="391"/>
      <c r="E3" s="382">
        <v>43831</v>
      </c>
    </row>
    <row r="4" spans="1:6" ht="39.75" customHeight="1" x14ac:dyDescent="0.25">
      <c r="A4" s="3426" t="s">
        <v>386</v>
      </c>
      <c r="B4" s="3426" t="s">
        <v>387</v>
      </c>
      <c r="C4" s="3426" t="s">
        <v>388</v>
      </c>
      <c r="D4" s="3426"/>
      <c r="E4" s="3426"/>
    </row>
    <row r="5" spans="1:6" ht="39.75" customHeight="1" x14ac:dyDescent="0.25">
      <c r="A5" s="3426"/>
      <c r="B5" s="3426"/>
      <c r="C5" s="392" t="s">
        <v>397</v>
      </c>
      <c r="D5" s="392" t="s">
        <v>398</v>
      </c>
      <c r="E5" s="392" t="s">
        <v>399</v>
      </c>
    </row>
    <row r="6" spans="1:6" ht="39.75" customHeight="1" x14ac:dyDescent="0.25">
      <c r="A6" s="3426"/>
      <c r="B6" s="3426"/>
      <c r="C6" s="392" t="s">
        <v>389</v>
      </c>
      <c r="D6" s="392" t="s">
        <v>390</v>
      </c>
      <c r="E6" s="392" t="s">
        <v>391</v>
      </c>
    </row>
    <row r="7" spans="1:6" ht="16.5" customHeight="1" x14ac:dyDescent="0.25">
      <c r="A7" s="392">
        <v>1</v>
      </c>
      <c r="B7" s="392">
        <v>2</v>
      </c>
      <c r="C7" s="392">
        <v>3</v>
      </c>
      <c r="D7" s="392">
        <v>4</v>
      </c>
      <c r="E7" s="392">
        <v>5</v>
      </c>
    </row>
    <row r="8" spans="1:6" ht="48.75" customHeight="1" x14ac:dyDescent="0.25">
      <c r="A8" s="384" t="s">
        <v>468</v>
      </c>
      <c r="B8" s="392">
        <v>100</v>
      </c>
      <c r="C8" s="385"/>
      <c r="D8" s="385"/>
      <c r="E8" s="385"/>
    </row>
    <row r="9" spans="1:6" ht="44.25" customHeight="1" x14ac:dyDescent="0.25">
      <c r="A9" s="384" t="s">
        <v>393</v>
      </c>
      <c r="B9" s="392">
        <v>200</v>
      </c>
      <c r="C9" s="385"/>
      <c r="D9" s="385"/>
      <c r="E9" s="385"/>
    </row>
    <row r="10" spans="1:6" ht="33.75" customHeight="1" x14ac:dyDescent="0.25">
      <c r="A10" s="384" t="s">
        <v>459</v>
      </c>
      <c r="B10" s="392">
        <v>300</v>
      </c>
      <c r="C10" s="385">
        <f>SUM(C11:C19)</f>
        <v>448500</v>
      </c>
      <c r="D10" s="385">
        <f t="shared" ref="D10:E10" si="0">SUM(D11:D19)</f>
        <v>448500</v>
      </c>
      <c r="E10" s="385">
        <f t="shared" si="0"/>
        <v>448500</v>
      </c>
    </row>
    <row r="11" spans="1:6" ht="43.5" customHeight="1" x14ac:dyDescent="0.25">
      <c r="A11" s="384" t="s">
        <v>460</v>
      </c>
      <c r="B11" s="392">
        <v>301</v>
      </c>
      <c r="C11" s="385"/>
      <c r="D11" s="385"/>
      <c r="E11" s="385"/>
      <c r="F11" s="380" t="s">
        <v>477</v>
      </c>
    </row>
    <row r="12" spans="1:6" ht="17.25" customHeight="1" x14ac:dyDescent="0.25">
      <c r="A12" s="384" t="s">
        <v>461</v>
      </c>
      <c r="B12" s="392">
        <v>302</v>
      </c>
      <c r="C12" s="385">
        <f>'б-т 991,992,911(01.01.20)-2020'!K32*1000</f>
        <v>448500</v>
      </c>
      <c r="D12" s="385">
        <f>'б-т 991,992,911(01.01.20)-2021'!K32*1000</f>
        <v>448500</v>
      </c>
      <c r="E12" s="385">
        <f>'б-т 991,992,911(01.01.20)-2022'!K32*1000</f>
        <v>448500</v>
      </c>
      <c r="F12" s="390">
        <v>911</v>
      </c>
    </row>
    <row r="13" spans="1:6" ht="22.5" customHeight="1" x14ac:dyDescent="0.25">
      <c r="A13" s="384" t="s">
        <v>462</v>
      </c>
      <c r="B13" s="392">
        <v>303</v>
      </c>
      <c r="C13" s="385"/>
      <c r="D13" s="385"/>
      <c r="E13" s="385"/>
      <c r="F13" s="390" t="s">
        <v>471</v>
      </c>
    </row>
    <row r="14" spans="1:6" ht="57" customHeight="1" x14ac:dyDescent="0.25">
      <c r="A14" s="384" t="s">
        <v>463</v>
      </c>
      <c r="B14" s="392">
        <v>304</v>
      </c>
      <c r="C14" s="385"/>
      <c r="D14" s="385"/>
      <c r="E14" s="385"/>
      <c r="F14" s="390" t="s">
        <v>472</v>
      </c>
    </row>
    <row r="15" spans="1:6" ht="18.75" customHeight="1" x14ac:dyDescent="0.25">
      <c r="A15" s="384" t="s">
        <v>464</v>
      </c>
      <c r="B15" s="392">
        <v>305</v>
      </c>
      <c r="C15" s="385"/>
      <c r="D15" s="385"/>
      <c r="E15" s="385"/>
      <c r="F15" s="390" t="s">
        <v>473</v>
      </c>
    </row>
    <row r="16" spans="1:6" ht="24" customHeight="1" x14ac:dyDescent="0.25">
      <c r="A16" s="384" t="s">
        <v>465</v>
      </c>
      <c r="B16" s="392">
        <v>306</v>
      </c>
      <c r="C16" s="385"/>
      <c r="D16" s="385"/>
      <c r="E16" s="385"/>
      <c r="F16" s="390" t="s">
        <v>474</v>
      </c>
    </row>
    <row r="17" spans="1:6" ht="61.5" customHeight="1" x14ac:dyDescent="0.25">
      <c r="A17" s="384" t="s">
        <v>463</v>
      </c>
      <c r="B17" s="392">
        <v>307</v>
      </c>
      <c r="C17" s="385"/>
      <c r="D17" s="385"/>
      <c r="E17" s="385"/>
      <c r="F17" s="390" t="s">
        <v>472</v>
      </c>
    </row>
    <row r="18" spans="1:6" ht="31.5" customHeight="1" x14ac:dyDescent="0.25">
      <c r="A18" s="384" t="s">
        <v>466</v>
      </c>
      <c r="B18" s="392">
        <v>308</v>
      </c>
      <c r="C18" s="385"/>
      <c r="D18" s="385"/>
      <c r="E18" s="385"/>
      <c r="F18" s="390" t="s">
        <v>475</v>
      </c>
    </row>
    <row r="19" spans="1:6" ht="21.75" customHeight="1" x14ac:dyDescent="0.25">
      <c r="A19" s="384" t="s">
        <v>467</v>
      </c>
      <c r="B19" s="392">
        <v>309</v>
      </c>
      <c r="C19" s="385"/>
      <c r="D19" s="385"/>
      <c r="E19" s="385"/>
      <c r="F19" s="390" t="s">
        <v>476</v>
      </c>
    </row>
    <row r="20" spans="1:6" ht="28.5" customHeight="1" x14ac:dyDescent="0.25">
      <c r="A20" s="384" t="s">
        <v>469</v>
      </c>
      <c r="B20" s="392">
        <v>400</v>
      </c>
      <c r="C20" s="385"/>
      <c r="D20" s="385"/>
      <c r="E20" s="385"/>
    </row>
    <row r="21" spans="1:6" ht="30.75" customHeight="1" x14ac:dyDescent="0.25">
      <c r="A21" s="384" t="s">
        <v>396</v>
      </c>
      <c r="B21" s="392">
        <v>500</v>
      </c>
      <c r="C21" s="385"/>
      <c r="D21" s="385"/>
      <c r="E21" s="385"/>
    </row>
    <row r="22" spans="1:6" s="389" customFormat="1" ht="39.75" customHeight="1" x14ac:dyDescent="0.2">
      <c r="A22" s="386" t="s">
        <v>470</v>
      </c>
      <c r="B22" s="387">
        <v>600</v>
      </c>
      <c r="C22" s="388">
        <f>C8-C9+C10-C20+C21</f>
        <v>448500</v>
      </c>
      <c r="D22" s="388">
        <f t="shared" ref="D22:E22" si="1">D8-D9+D10-D20+D21</f>
        <v>448500</v>
      </c>
      <c r="E22" s="388">
        <f t="shared" si="1"/>
        <v>448500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tabColor rgb="FF00FFFF"/>
  </sheetPr>
  <dimension ref="A1:F17"/>
  <sheetViews>
    <sheetView view="pageBreakPreview" zoomScale="80" zoomScaleNormal="100" zoomScaleSheetLayoutView="80" workbookViewId="0">
      <selection activeCell="A2" sqref="A2:E2"/>
    </sheetView>
  </sheetViews>
  <sheetFormatPr defaultRowHeight="39.75" customHeight="1" x14ac:dyDescent="0.25"/>
  <cols>
    <col min="1" max="1" width="81.33203125" style="313" customWidth="1"/>
    <col min="2" max="2" width="10" style="313" customWidth="1"/>
    <col min="3" max="5" width="25.83203125" style="313" customWidth="1"/>
    <col min="6" max="16384" width="9.33203125" style="313"/>
  </cols>
  <sheetData>
    <row r="1" spans="1:6" ht="55.5" customHeight="1" x14ac:dyDescent="0.25">
      <c r="A1" s="3511" t="s">
        <v>965</v>
      </c>
      <c r="B1" s="3511"/>
      <c r="C1" s="3511"/>
      <c r="D1" s="3511"/>
      <c r="E1" s="3511"/>
    </row>
    <row r="2" spans="1:6" ht="34.5" customHeight="1" x14ac:dyDescent="0.25">
      <c r="A2" s="3511" t="s">
        <v>1442</v>
      </c>
      <c r="B2" s="3511"/>
      <c r="C2" s="3511"/>
      <c r="D2" s="3511"/>
      <c r="E2" s="3511"/>
    </row>
    <row r="3" spans="1:6" ht="13.5" customHeight="1" x14ac:dyDescent="0.25">
      <c r="A3" s="393"/>
      <c r="B3" s="393"/>
      <c r="C3" s="393"/>
      <c r="D3" s="393"/>
      <c r="E3" s="317">
        <v>43831</v>
      </c>
    </row>
    <row r="4" spans="1:6" ht="39.75" customHeight="1" x14ac:dyDescent="0.25">
      <c r="A4" s="3512" t="s">
        <v>386</v>
      </c>
      <c r="B4" s="3512" t="s">
        <v>387</v>
      </c>
      <c r="C4" s="3512" t="s">
        <v>388</v>
      </c>
      <c r="D4" s="3512"/>
      <c r="E4" s="3512"/>
    </row>
    <row r="5" spans="1:6" ht="39.75" customHeight="1" x14ac:dyDescent="0.25">
      <c r="A5" s="3512"/>
      <c r="B5" s="3512"/>
      <c r="C5" s="394" t="s">
        <v>397</v>
      </c>
      <c r="D5" s="394" t="s">
        <v>398</v>
      </c>
      <c r="E5" s="394" t="s">
        <v>399</v>
      </c>
    </row>
    <row r="6" spans="1:6" ht="39.75" customHeight="1" x14ac:dyDescent="0.25">
      <c r="A6" s="3512"/>
      <c r="B6" s="3512"/>
      <c r="C6" s="394" t="s">
        <v>389</v>
      </c>
      <c r="D6" s="394" t="s">
        <v>390</v>
      </c>
      <c r="E6" s="394" t="s">
        <v>391</v>
      </c>
    </row>
    <row r="7" spans="1:6" ht="16.5" customHeight="1" x14ac:dyDescent="0.25">
      <c r="A7" s="394">
        <v>1</v>
      </c>
      <c r="B7" s="394">
        <v>2</v>
      </c>
      <c r="C7" s="394">
        <v>3</v>
      </c>
      <c r="D7" s="394">
        <v>4</v>
      </c>
      <c r="E7" s="394">
        <v>5</v>
      </c>
    </row>
    <row r="8" spans="1:6" ht="20.25" customHeight="1" x14ac:dyDescent="0.25">
      <c r="A8" s="373" t="s">
        <v>510</v>
      </c>
      <c r="B8" s="394">
        <v>100</v>
      </c>
      <c r="C8" s="678"/>
      <c r="D8" s="678"/>
      <c r="E8" s="678"/>
    </row>
    <row r="9" spans="1:6" ht="20.25" customHeight="1" x14ac:dyDescent="0.25">
      <c r="A9" s="373" t="s">
        <v>511</v>
      </c>
      <c r="B9" s="394">
        <v>200</v>
      </c>
      <c r="C9" s="678"/>
      <c r="D9" s="678"/>
      <c r="E9" s="678"/>
    </row>
    <row r="10" spans="1:6" s="677" customFormat="1" ht="30.75" customHeight="1" x14ac:dyDescent="0.25">
      <c r="A10" s="675" t="s">
        <v>512</v>
      </c>
      <c r="B10" s="676">
        <v>300</v>
      </c>
      <c r="C10" s="679">
        <f>C11+C12+C13+C14</f>
        <v>0</v>
      </c>
      <c r="D10" s="679">
        <f t="shared" ref="D10:E10" si="0">D11+D12+D13+D14</f>
        <v>0</v>
      </c>
      <c r="E10" s="679">
        <f t="shared" si="0"/>
        <v>0</v>
      </c>
    </row>
    <row r="11" spans="1:6" ht="30.75" customHeight="1" x14ac:dyDescent="0.25">
      <c r="A11" s="373" t="s">
        <v>513</v>
      </c>
      <c r="B11" s="394">
        <v>301</v>
      </c>
      <c r="C11" s="678"/>
      <c r="D11" s="678"/>
      <c r="E11" s="678"/>
    </row>
    <row r="12" spans="1:6" ht="20.25" customHeight="1" x14ac:dyDescent="0.25">
      <c r="A12" s="373" t="s">
        <v>514</v>
      </c>
      <c r="B12" s="394">
        <v>302</v>
      </c>
      <c r="C12" s="678"/>
      <c r="D12" s="678"/>
      <c r="E12" s="678"/>
    </row>
    <row r="13" spans="1:6" ht="30.75" customHeight="1" x14ac:dyDescent="0.25">
      <c r="A13" s="373" t="s">
        <v>515</v>
      </c>
      <c r="B13" s="394">
        <v>303</v>
      </c>
      <c r="C13" s="678"/>
      <c r="D13" s="678"/>
      <c r="E13" s="678"/>
    </row>
    <row r="14" spans="1:6" ht="30.75" customHeight="1" x14ac:dyDescent="0.25">
      <c r="A14" s="373" t="s">
        <v>516</v>
      </c>
      <c r="B14" s="394">
        <v>304</v>
      </c>
      <c r="C14" s="680"/>
      <c r="D14" s="680"/>
      <c r="E14" s="680"/>
      <c r="F14" s="313">
        <v>917</v>
      </c>
    </row>
    <row r="15" spans="1:6" ht="22.5" customHeight="1" x14ac:dyDescent="0.25">
      <c r="A15" s="373" t="s">
        <v>482</v>
      </c>
      <c r="B15" s="394">
        <v>400</v>
      </c>
      <c r="C15" s="678"/>
      <c r="D15" s="678"/>
      <c r="E15" s="678"/>
    </row>
    <row r="16" spans="1:6" ht="22.5" customHeight="1" x14ac:dyDescent="0.25">
      <c r="A16" s="373" t="s">
        <v>483</v>
      </c>
      <c r="B16" s="394">
        <v>500</v>
      </c>
      <c r="C16" s="678"/>
      <c r="D16" s="678"/>
      <c r="E16" s="678"/>
    </row>
    <row r="17" spans="1:5" s="316" customFormat="1" ht="49.5" customHeight="1" x14ac:dyDescent="0.25">
      <c r="A17" s="314" t="s">
        <v>517</v>
      </c>
      <c r="B17" s="315">
        <v>600</v>
      </c>
      <c r="C17" s="318">
        <f>C8-C9+C10-C15+C16</f>
        <v>0</v>
      </c>
      <c r="D17" s="318">
        <f t="shared" ref="D17:E17" si="1">D8-D9+D10-D15+D16</f>
        <v>0</v>
      </c>
      <c r="E17" s="318">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tabColor rgb="FF00FFFF"/>
  </sheetPr>
  <dimension ref="A1:H35"/>
  <sheetViews>
    <sheetView view="pageBreakPreview" zoomScale="90" zoomScaleNormal="100" zoomScaleSheetLayoutView="90" workbookViewId="0">
      <pane xSplit="4" ySplit="7" topLeftCell="E29" activePane="bottomRight" state="frozen"/>
      <selection pane="topRight" activeCell="E1" sqref="E1"/>
      <selection pane="bottomLeft" activeCell="A8" sqref="A8"/>
      <selection pane="bottomRight" activeCell="C33" sqref="C33"/>
    </sheetView>
  </sheetViews>
  <sheetFormatPr defaultRowHeight="15" x14ac:dyDescent="0.25"/>
  <cols>
    <col min="1" max="1" width="67.83203125" style="319" customWidth="1"/>
    <col min="2" max="2" width="10.83203125" style="319" customWidth="1"/>
    <col min="3" max="5" width="29" style="319" customWidth="1"/>
    <col min="6" max="6" width="13" style="319" customWidth="1"/>
    <col min="7" max="7" width="10.83203125" style="319" bestFit="1" customWidth="1"/>
    <col min="8" max="16384" width="9.33203125" style="319"/>
  </cols>
  <sheetData>
    <row r="1" spans="1:5" ht="42" customHeight="1" x14ac:dyDescent="0.25">
      <c r="A1" s="3844" t="s">
        <v>2862</v>
      </c>
      <c r="B1" s="3844"/>
      <c r="C1" s="3844"/>
      <c r="D1" s="3844"/>
      <c r="E1" s="3844"/>
    </row>
    <row r="2" spans="1:5" x14ac:dyDescent="0.25">
      <c r="A2" s="3845" t="s">
        <v>1442</v>
      </c>
      <c r="B2" s="3845"/>
      <c r="C2" s="3845"/>
      <c r="D2" s="3845"/>
      <c r="E2" s="3845"/>
    </row>
    <row r="3" spans="1:5" x14ac:dyDescent="0.25">
      <c r="A3" s="395"/>
      <c r="B3" s="395"/>
      <c r="C3" s="395"/>
      <c r="D3" s="395"/>
      <c r="E3" s="320">
        <v>43831</v>
      </c>
    </row>
    <row r="4" spans="1:5" x14ac:dyDescent="0.25">
      <c r="A4" s="3846" t="s">
        <v>386</v>
      </c>
      <c r="B4" s="3846" t="s">
        <v>387</v>
      </c>
      <c r="C4" s="3846" t="s">
        <v>388</v>
      </c>
      <c r="D4" s="3846"/>
      <c r="E4" s="3846"/>
    </row>
    <row r="5" spans="1:5" ht="20.25" customHeight="1" x14ac:dyDescent="0.25">
      <c r="A5" s="3846"/>
      <c r="B5" s="3846"/>
      <c r="C5" s="396" t="s">
        <v>397</v>
      </c>
      <c r="D5" s="396" t="s">
        <v>398</v>
      </c>
      <c r="E5" s="396" t="s">
        <v>399</v>
      </c>
    </row>
    <row r="6" spans="1:5" ht="47.25" customHeight="1" x14ac:dyDescent="0.25">
      <c r="A6" s="3846"/>
      <c r="B6" s="3846"/>
      <c r="C6" s="396" t="s">
        <v>389</v>
      </c>
      <c r="D6" s="396" t="s">
        <v>390</v>
      </c>
      <c r="E6" s="396" t="s">
        <v>391</v>
      </c>
    </row>
    <row r="7" spans="1:5" x14ac:dyDescent="0.25">
      <c r="A7" s="396">
        <v>1</v>
      </c>
      <c r="B7" s="396">
        <v>2</v>
      </c>
      <c r="C7" s="396">
        <v>3</v>
      </c>
      <c r="D7" s="396">
        <v>4</v>
      </c>
      <c r="E7" s="396">
        <v>5</v>
      </c>
    </row>
    <row r="8" spans="1:5" ht="60" customHeight="1" x14ac:dyDescent="0.25">
      <c r="A8" s="321" t="s">
        <v>405</v>
      </c>
      <c r="B8" s="396">
        <v>100</v>
      </c>
      <c r="C8" s="322"/>
      <c r="D8" s="322"/>
      <c r="E8" s="322"/>
    </row>
    <row r="9" spans="1:5" ht="42" customHeight="1" x14ac:dyDescent="0.25">
      <c r="A9" s="608" t="s">
        <v>406</v>
      </c>
      <c r="B9" s="396">
        <v>200</v>
      </c>
      <c r="C9" s="322"/>
      <c r="D9" s="322"/>
      <c r="E9" s="322"/>
    </row>
    <row r="10" spans="1:5" ht="19.5" customHeight="1" x14ac:dyDescent="0.25">
      <c r="A10" s="321" t="s">
        <v>407</v>
      </c>
      <c r="B10" s="396">
        <v>300</v>
      </c>
      <c r="C10" s="322">
        <f>SUM(C12:C30)</f>
        <v>0</v>
      </c>
      <c r="D10" s="322">
        <f t="shared" ref="D10:E10" si="0">SUM(D12:D30)</f>
        <v>0</v>
      </c>
      <c r="E10" s="322">
        <f t="shared" si="0"/>
        <v>0</v>
      </c>
    </row>
    <row r="11" spans="1:5" x14ac:dyDescent="0.25">
      <c r="A11" s="321" t="s">
        <v>408</v>
      </c>
      <c r="B11" s="321"/>
      <c r="C11" s="322"/>
      <c r="D11" s="322"/>
      <c r="E11" s="322"/>
    </row>
    <row r="12" spans="1:5" x14ac:dyDescent="0.25">
      <c r="A12" s="321" t="s">
        <v>410</v>
      </c>
      <c r="B12" s="396">
        <v>301</v>
      </c>
      <c r="C12" s="322"/>
      <c r="D12" s="322"/>
      <c r="E12" s="322"/>
    </row>
    <row r="13" spans="1:5" x14ac:dyDescent="0.25">
      <c r="A13" s="321" t="s">
        <v>409</v>
      </c>
      <c r="B13" s="396">
        <v>302</v>
      </c>
      <c r="C13" s="322"/>
      <c r="D13" s="322"/>
      <c r="E13" s="322"/>
    </row>
    <row r="14" spans="1:5" x14ac:dyDescent="0.25">
      <c r="A14" s="321" t="s">
        <v>411</v>
      </c>
      <c r="B14" s="396">
        <v>303</v>
      </c>
      <c r="C14" s="322"/>
      <c r="D14" s="322"/>
      <c r="E14" s="322"/>
    </row>
    <row r="15" spans="1:5" x14ac:dyDescent="0.25">
      <c r="A15" s="608" t="s">
        <v>863</v>
      </c>
      <c r="B15" s="396">
        <v>304</v>
      </c>
      <c r="C15" s="322"/>
      <c r="D15" s="322"/>
      <c r="E15" s="322"/>
    </row>
    <row r="16" spans="1:5" x14ac:dyDescent="0.25">
      <c r="A16" s="397" t="s">
        <v>546</v>
      </c>
      <c r="B16" s="396">
        <v>305</v>
      </c>
      <c r="C16" s="322"/>
      <c r="D16" s="322"/>
      <c r="E16" s="322"/>
    </row>
    <row r="17" spans="1:8" x14ac:dyDescent="0.25">
      <c r="A17" s="321" t="s">
        <v>412</v>
      </c>
      <c r="B17" s="396">
        <v>306</v>
      </c>
      <c r="C17" s="322"/>
      <c r="D17" s="322"/>
      <c r="E17" s="322"/>
    </row>
    <row r="18" spans="1:8" x14ac:dyDescent="0.25">
      <c r="A18" s="321" t="s">
        <v>413</v>
      </c>
      <c r="B18" s="396">
        <v>307</v>
      </c>
      <c r="C18" s="322"/>
      <c r="D18" s="322"/>
      <c r="E18" s="322"/>
    </row>
    <row r="19" spans="1:8" ht="22.5" customHeight="1" x14ac:dyDescent="0.25">
      <c r="A19" s="397" t="s">
        <v>684</v>
      </c>
      <c r="B19" s="396">
        <v>308</v>
      </c>
      <c r="C19" s="322"/>
      <c r="D19" s="322"/>
      <c r="E19" s="322"/>
    </row>
    <row r="20" spans="1:8" x14ac:dyDescent="0.25">
      <c r="A20" s="321" t="s">
        <v>414</v>
      </c>
      <c r="B20" s="396">
        <v>309</v>
      </c>
      <c r="C20" s="322"/>
      <c r="D20" s="322"/>
      <c r="E20" s="322"/>
    </row>
    <row r="21" spans="1:8" x14ac:dyDescent="0.25">
      <c r="A21" s="321" t="s">
        <v>422</v>
      </c>
      <c r="B21" s="396">
        <v>310</v>
      </c>
      <c r="C21" s="323"/>
      <c r="D21" s="323"/>
      <c r="E21" s="323"/>
    </row>
    <row r="22" spans="1:8" ht="18" customHeight="1" x14ac:dyDescent="0.25">
      <c r="A22" s="321" t="s">
        <v>415</v>
      </c>
      <c r="B22" s="396">
        <v>311</v>
      </c>
      <c r="C22" s="322"/>
      <c r="D22" s="322"/>
      <c r="E22" s="322"/>
    </row>
    <row r="23" spans="1:8" ht="26.25" customHeight="1" x14ac:dyDescent="0.25">
      <c r="A23" s="397" t="s">
        <v>710</v>
      </c>
      <c r="B23" s="396">
        <v>312</v>
      </c>
      <c r="C23" s="322"/>
      <c r="D23" s="322"/>
      <c r="E23" s="322"/>
    </row>
    <row r="24" spans="1:8" ht="26.25" customHeight="1" x14ac:dyDescent="0.25">
      <c r="A24" s="397" t="s">
        <v>711</v>
      </c>
      <c r="B24" s="396">
        <v>313</v>
      </c>
      <c r="C24" s="322"/>
      <c r="D24" s="322"/>
      <c r="E24" s="322"/>
    </row>
    <row r="25" spans="1:8" ht="28.5" customHeight="1" x14ac:dyDescent="0.25">
      <c r="A25" s="321" t="s">
        <v>423</v>
      </c>
      <c r="B25" s="396">
        <v>314</v>
      </c>
      <c r="C25" s="322"/>
      <c r="D25" s="322"/>
      <c r="E25" s="322"/>
    </row>
    <row r="26" spans="1:8" ht="15" customHeight="1" x14ac:dyDescent="0.25">
      <c r="A26" s="321" t="s">
        <v>424</v>
      </c>
      <c r="B26" s="396">
        <v>315</v>
      </c>
      <c r="C26" s="322"/>
      <c r="D26" s="322"/>
      <c r="E26" s="322"/>
    </row>
    <row r="27" spans="1:8" ht="63.75" customHeight="1" x14ac:dyDescent="0.25">
      <c r="A27" s="321" t="s">
        <v>416</v>
      </c>
      <c r="B27" s="396">
        <v>316</v>
      </c>
      <c r="C27" s="322"/>
      <c r="D27" s="322"/>
      <c r="E27" s="322"/>
    </row>
    <row r="28" spans="1:8" ht="20.25" customHeight="1" x14ac:dyDescent="0.25">
      <c r="A28" s="321" t="s">
        <v>417</v>
      </c>
      <c r="B28" s="396">
        <v>317</v>
      </c>
      <c r="C28" s="322"/>
      <c r="D28" s="322"/>
      <c r="E28" s="322"/>
    </row>
    <row r="29" spans="1:8" ht="20.25" customHeight="1" x14ac:dyDescent="0.25">
      <c r="A29" s="321" t="s">
        <v>418</v>
      </c>
      <c r="B29" s="396">
        <v>318</v>
      </c>
      <c r="C29" s="322"/>
      <c r="D29" s="322"/>
      <c r="E29" s="322"/>
      <c r="F29" s="324"/>
      <c r="G29" s="324"/>
      <c r="H29" s="324"/>
    </row>
    <row r="30" spans="1:8" ht="20.25" customHeight="1" x14ac:dyDescent="0.25">
      <c r="A30" s="397" t="s">
        <v>777</v>
      </c>
      <c r="B30" s="396">
        <v>319</v>
      </c>
      <c r="C30" s="322"/>
      <c r="D30" s="322"/>
      <c r="E30" s="322"/>
      <c r="G30" s="324"/>
    </row>
    <row r="31" spans="1:8" ht="59.25" customHeight="1" x14ac:dyDescent="0.25">
      <c r="A31" s="321" t="s">
        <v>419</v>
      </c>
      <c r="B31" s="396">
        <v>400</v>
      </c>
      <c r="C31" s="322"/>
      <c r="D31" s="322"/>
      <c r="E31" s="322"/>
      <c r="F31" s="324"/>
    </row>
    <row r="32" spans="1:8" ht="49.5" customHeight="1" x14ac:dyDescent="0.25">
      <c r="A32" s="321" t="s">
        <v>420</v>
      </c>
      <c r="B32" s="396">
        <v>500</v>
      </c>
      <c r="C32" s="322"/>
      <c r="D32" s="322"/>
      <c r="E32" s="322"/>
    </row>
    <row r="33" spans="1:6" s="328" customFormat="1" ht="31.5" customHeight="1" x14ac:dyDescent="0.25">
      <c r="A33" s="325" t="s">
        <v>421</v>
      </c>
      <c r="B33" s="326">
        <v>600</v>
      </c>
      <c r="C33" s="327">
        <f>C8-C9+C10-C31+C32</f>
        <v>0</v>
      </c>
      <c r="D33" s="327">
        <f>D8-D9+D10-D31+D32</f>
        <v>0</v>
      </c>
      <c r="E33" s="327">
        <f>E8-E9+E10-E31+E32</f>
        <v>0</v>
      </c>
    </row>
    <row r="34" spans="1:6" x14ac:dyDescent="0.25">
      <c r="A34" s="319" t="s">
        <v>183</v>
      </c>
      <c r="C34" s="324"/>
      <c r="D34" s="324"/>
      <c r="E34" s="324"/>
      <c r="F34" s="324"/>
    </row>
    <row r="35" spans="1:6" x14ac:dyDescent="0.25">
      <c r="C35" s="324"/>
      <c r="D35" s="324"/>
      <c r="E35" s="324"/>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tabColor rgb="FF00FFFF"/>
  </sheetPr>
  <dimension ref="A1:H35"/>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activeCell="K22" sqref="K22"/>
    </sheetView>
  </sheetViews>
  <sheetFormatPr defaultRowHeight="15" x14ac:dyDescent="0.25"/>
  <cols>
    <col min="1" max="1" width="67.83203125" style="319" customWidth="1"/>
    <col min="2" max="2" width="10.83203125" style="319" customWidth="1"/>
    <col min="3" max="5" width="29" style="319" customWidth="1"/>
    <col min="6" max="6" width="13" style="319" customWidth="1"/>
    <col min="7" max="7" width="10.83203125" style="319" bestFit="1" customWidth="1"/>
    <col min="8" max="16384" width="9.33203125" style="319"/>
  </cols>
  <sheetData>
    <row r="1" spans="1:5" ht="42" customHeight="1" x14ac:dyDescent="0.25">
      <c r="A1" s="3421" t="s">
        <v>2863</v>
      </c>
      <c r="B1" s="3421"/>
      <c r="C1" s="3421"/>
      <c r="D1" s="3421"/>
      <c r="E1" s="3421"/>
    </row>
    <row r="2" spans="1:5" x14ac:dyDescent="0.25">
      <c r="A2" s="3419" t="s">
        <v>1442</v>
      </c>
      <c r="B2" s="3419"/>
      <c r="C2" s="3419"/>
      <c r="D2" s="3419"/>
      <c r="E2" s="3419"/>
    </row>
    <row r="3" spans="1:5" x14ac:dyDescent="0.25">
      <c r="A3" s="3117"/>
      <c r="B3" s="3117"/>
      <c r="C3" s="3117"/>
      <c r="D3" s="3117"/>
      <c r="E3" s="957">
        <v>43831</v>
      </c>
    </row>
    <row r="4" spans="1:5" x14ac:dyDescent="0.25">
      <c r="A4" s="3422" t="s">
        <v>386</v>
      </c>
      <c r="B4" s="3422" t="s">
        <v>387</v>
      </c>
      <c r="C4" s="3422" t="s">
        <v>388</v>
      </c>
      <c r="D4" s="3422"/>
      <c r="E4" s="3422"/>
    </row>
    <row r="5" spans="1:5" ht="20.25" customHeight="1" x14ac:dyDescent="0.25">
      <c r="A5" s="3422"/>
      <c r="B5" s="3422"/>
      <c r="C5" s="3114" t="s">
        <v>397</v>
      </c>
      <c r="D5" s="3114" t="s">
        <v>398</v>
      </c>
      <c r="E5" s="3114" t="s">
        <v>399</v>
      </c>
    </row>
    <row r="6" spans="1:5" ht="47.25" customHeight="1" x14ac:dyDescent="0.25">
      <c r="A6" s="3422"/>
      <c r="B6" s="3422"/>
      <c r="C6" s="3114" t="s">
        <v>389</v>
      </c>
      <c r="D6" s="3114" t="s">
        <v>390</v>
      </c>
      <c r="E6" s="3114" t="s">
        <v>391</v>
      </c>
    </row>
    <row r="7" spans="1:5" x14ac:dyDescent="0.25">
      <c r="A7" s="3114">
        <v>1</v>
      </c>
      <c r="B7" s="3114">
        <v>2</v>
      </c>
      <c r="C7" s="3114">
        <v>3</v>
      </c>
      <c r="D7" s="3114">
        <v>4</v>
      </c>
      <c r="E7" s="3114">
        <v>5</v>
      </c>
    </row>
    <row r="8" spans="1:5" ht="60" customHeight="1" x14ac:dyDescent="0.25">
      <c r="A8" s="644" t="s">
        <v>405</v>
      </c>
      <c r="B8" s="3114">
        <v>100</v>
      </c>
      <c r="C8" s="645"/>
      <c r="D8" s="645"/>
      <c r="E8" s="645"/>
    </row>
    <row r="9" spans="1:5" ht="42" customHeight="1" x14ac:dyDescent="0.25">
      <c r="A9" s="644" t="s">
        <v>406</v>
      </c>
      <c r="B9" s="3114">
        <v>200</v>
      </c>
      <c r="C9" s="645"/>
      <c r="D9" s="645"/>
      <c r="E9" s="645"/>
    </row>
    <row r="10" spans="1:5" ht="19.5" customHeight="1" x14ac:dyDescent="0.25">
      <c r="A10" s="644" t="s">
        <v>407</v>
      </c>
      <c r="B10" s="3114">
        <v>300</v>
      </c>
      <c r="C10" s="645">
        <f>SUM(C12:C30)</f>
        <v>60900</v>
      </c>
      <c r="D10" s="645">
        <f t="shared" ref="D10:E10" si="0">SUM(D12:D30)</f>
        <v>0</v>
      </c>
      <c r="E10" s="645">
        <f t="shared" si="0"/>
        <v>0</v>
      </c>
    </row>
    <row r="11" spans="1:5" x14ac:dyDescent="0.25">
      <c r="A11" s="644" t="s">
        <v>408</v>
      </c>
      <c r="B11" s="644"/>
      <c r="C11" s="645"/>
      <c r="D11" s="645"/>
      <c r="E11" s="645"/>
    </row>
    <row r="12" spans="1:5" x14ac:dyDescent="0.25">
      <c r="A12" s="644" t="s">
        <v>410</v>
      </c>
      <c r="B12" s="3114">
        <v>301</v>
      </c>
      <c r="C12" s="645"/>
      <c r="D12" s="645"/>
      <c r="E12" s="645"/>
    </row>
    <row r="13" spans="1:5" x14ac:dyDescent="0.25">
      <c r="A13" s="644" t="s">
        <v>409</v>
      </c>
      <c r="B13" s="3114">
        <v>302</v>
      </c>
      <c r="C13" s="645"/>
      <c r="D13" s="645"/>
      <c r="E13" s="645"/>
    </row>
    <row r="14" spans="1:5" x14ac:dyDescent="0.25">
      <c r="A14" s="644" t="s">
        <v>411</v>
      </c>
      <c r="B14" s="3114">
        <v>303</v>
      </c>
      <c r="C14" s="645"/>
      <c r="D14" s="645"/>
      <c r="E14" s="645"/>
    </row>
    <row r="15" spans="1:5" x14ac:dyDescent="0.25">
      <c r="A15" s="644" t="s">
        <v>863</v>
      </c>
      <c r="B15" s="3114">
        <v>304</v>
      </c>
      <c r="C15" s="645"/>
      <c r="D15" s="645"/>
      <c r="E15" s="645"/>
    </row>
    <row r="16" spans="1:5" x14ac:dyDescent="0.25">
      <c r="A16" s="644" t="s">
        <v>546</v>
      </c>
      <c r="B16" s="3114">
        <v>305</v>
      </c>
      <c r="C16" s="645"/>
      <c r="D16" s="645"/>
      <c r="E16" s="645"/>
    </row>
    <row r="17" spans="1:8" x14ac:dyDescent="0.25">
      <c r="A17" s="644" t="s">
        <v>412</v>
      </c>
      <c r="B17" s="3114">
        <v>306</v>
      </c>
      <c r="C17" s="645"/>
      <c r="D17" s="645"/>
      <c r="E17" s="645"/>
    </row>
    <row r="18" spans="1:8" x14ac:dyDescent="0.25">
      <c r="A18" s="644" t="s">
        <v>413</v>
      </c>
      <c r="B18" s="3114">
        <v>307</v>
      </c>
      <c r="C18" s="645"/>
      <c r="D18" s="645"/>
      <c r="E18" s="645"/>
    </row>
    <row r="19" spans="1:8" ht="22.5" customHeight="1" x14ac:dyDescent="0.25">
      <c r="A19" s="644" t="s">
        <v>684</v>
      </c>
      <c r="B19" s="3114">
        <v>308</v>
      </c>
      <c r="C19" s="645"/>
      <c r="D19" s="645"/>
      <c r="E19" s="645"/>
    </row>
    <row r="20" spans="1:8" x14ac:dyDescent="0.25">
      <c r="A20" s="644" t="s">
        <v>414</v>
      </c>
      <c r="B20" s="3114">
        <v>309</v>
      </c>
      <c r="C20" s="645"/>
      <c r="D20" s="645"/>
      <c r="E20" s="645"/>
    </row>
    <row r="21" spans="1:8" x14ac:dyDescent="0.25">
      <c r="A21" s="644" t="s">
        <v>422</v>
      </c>
      <c r="B21" s="3114">
        <v>310</v>
      </c>
      <c r="C21" s="2972"/>
      <c r="D21" s="2972"/>
      <c r="E21" s="2972"/>
    </row>
    <row r="22" spans="1:8" ht="18" customHeight="1" x14ac:dyDescent="0.25">
      <c r="A22" s="644" t="s">
        <v>415</v>
      </c>
      <c r="B22" s="3114">
        <v>311</v>
      </c>
      <c r="C22" s="645"/>
      <c r="D22" s="645"/>
      <c r="E22" s="645"/>
    </row>
    <row r="23" spans="1:8" ht="26.25" customHeight="1" x14ac:dyDescent="0.25">
      <c r="A23" s="644" t="s">
        <v>710</v>
      </c>
      <c r="B23" s="3114">
        <v>312</v>
      </c>
      <c r="C23" s="645"/>
      <c r="D23" s="645"/>
      <c r="E23" s="645"/>
    </row>
    <row r="24" spans="1:8" ht="26.25" customHeight="1" x14ac:dyDescent="0.25">
      <c r="A24" s="644" t="s">
        <v>711</v>
      </c>
      <c r="B24" s="3114">
        <v>313</v>
      </c>
      <c r="C24" s="645"/>
      <c r="D24" s="645"/>
      <c r="E24" s="645"/>
    </row>
    <row r="25" spans="1:8" ht="28.5" customHeight="1" x14ac:dyDescent="0.25">
      <c r="A25" s="644" t="s">
        <v>423</v>
      </c>
      <c r="B25" s="3114">
        <v>314</v>
      </c>
      <c r="C25" s="645"/>
      <c r="D25" s="645"/>
      <c r="E25" s="645"/>
    </row>
    <row r="26" spans="1:8" ht="15" customHeight="1" x14ac:dyDescent="0.25">
      <c r="A26" s="644" t="s">
        <v>424</v>
      </c>
      <c r="B26" s="3114">
        <v>315</v>
      </c>
      <c r="C26" s="645"/>
      <c r="D26" s="645"/>
      <c r="E26" s="645"/>
    </row>
    <row r="27" spans="1:8" ht="63.75" customHeight="1" x14ac:dyDescent="0.25">
      <c r="A27" s="644" t="s">
        <v>416</v>
      </c>
      <c r="B27" s="3114">
        <v>316</v>
      </c>
      <c r="C27" s="645"/>
      <c r="D27" s="645"/>
      <c r="E27" s="645"/>
    </row>
    <row r="28" spans="1:8" ht="20.25" customHeight="1" x14ac:dyDescent="0.25">
      <c r="A28" s="644" t="s">
        <v>417</v>
      </c>
      <c r="B28" s="3114">
        <v>317</v>
      </c>
      <c r="C28" s="645">
        <f>'(81600) 971 (01.01.20)'!X11*1000</f>
        <v>60900</v>
      </c>
      <c r="D28" s="645">
        <f>'(81600) 971 (01.01.20)'!AD11</f>
        <v>0</v>
      </c>
      <c r="E28" s="645">
        <f>'(81600) 971 (01.01.20)'!AE11</f>
        <v>0</v>
      </c>
    </row>
    <row r="29" spans="1:8" ht="20.25" customHeight="1" x14ac:dyDescent="0.25">
      <c r="A29" s="644" t="s">
        <v>418</v>
      </c>
      <c r="B29" s="3114">
        <v>318</v>
      </c>
      <c r="C29" s="645"/>
      <c r="D29" s="645"/>
      <c r="E29" s="645"/>
      <c r="F29" s="324"/>
      <c r="G29" s="324"/>
      <c r="H29" s="324"/>
    </row>
    <row r="30" spans="1:8" ht="20.25" customHeight="1" x14ac:dyDescent="0.25">
      <c r="A30" s="644" t="s">
        <v>777</v>
      </c>
      <c r="B30" s="3114">
        <v>319</v>
      </c>
      <c r="C30" s="645"/>
      <c r="D30" s="645"/>
      <c r="E30" s="645"/>
      <c r="G30" s="324"/>
    </row>
    <row r="31" spans="1:8" ht="59.25" customHeight="1" x14ac:dyDescent="0.25">
      <c r="A31" s="644" t="s">
        <v>419</v>
      </c>
      <c r="B31" s="3114">
        <v>400</v>
      </c>
      <c r="C31" s="645"/>
      <c r="D31" s="645"/>
      <c r="E31" s="645"/>
      <c r="F31" s="324"/>
    </row>
    <row r="32" spans="1:8" ht="49.5" customHeight="1" x14ac:dyDescent="0.25">
      <c r="A32" s="644" t="s">
        <v>420</v>
      </c>
      <c r="B32" s="3114">
        <v>500</v>
      </c>
      <c r="C32" s="645"/>
      <c r="D32" s="645"/>
      <c r="E32" s="645"/>
    </row>
    <row r="33" spans="1:6" s="328" customFormat="1" ht="31.5" customHeight="1" x14ac:dyDescent="0.25">
      <c r="A33" s="646" t="s">
        <v>1293</v>
      </c>
      <c r="B33" s="647">
        <v>600</v>
      </c>
      <c r="C33" s="648">
        <f>C8-C9+C10-C31+C32</f>
        <v>60900</v>
      </c>
      <c r="D33" s="648">
        <f>D8-D9+D10-D31+D32</f>
        <v>0</v>
      </c>
      <c r="E33" s="648">
        <f>E8-E9+E10-E31+E32</f>
        <v>0</v>
      </c>
    </row>
    <row r="34" spans="1:6" x14ac:dyDescent="0.25">
      <c r="A34" s="319" t="s">
        <v>183</v>
      </c>
      <c r="C34" s="324"/>
      <c r="D34" s="324"/>
      <c r="E34" s="324"/>
      <c r="F34" s="324"/>
    </row>
    <row r="35" spans="1:6" x14ac:dyDescent="0.25">
      <c r="C35" s="324"/>
      <c r="D35" s="324"/>
      <c r="E35" s="324"/>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161"/>
  <sheetViews>
    <sheetView view="pageBreakPreview" zoomScale="60" workbookViewId="0">
      <pane xSplit="1" ySplit="10" topLeftCell="B137" activePane="bottomRight" state="frozen"/>
      <selection pane="topRight" activeCell="B1" sqref="B1"/>
      <selection pane="bottomLeft" activeCell="A10" sqref="A10"/>
      <selection pane="bottomRight" activeCell="Q168" sqref="Q168"/>
    </sheetView>
  </sheetViews>
  <sheetFormatPr defaultRowHeight="15.75" x14ac:dyDescent="0.2"/>
  <cols>
    <col min="1" max="1" width="74.6640625" style="3060" customWidth="1"/>
    <col min="2" max="2" width="13.83203125" style="3061" customWidth="1"/>
    <col min="3" max="3" width="19.33203125" style="3061" customWidth="1"/>
    <col min="4" max="4" width="15.33203125" style="3061" customWidth="1"/>
    <col min="5" max="5" width="15.5" style="3061" bestFit="1" customWidth="1"/>
    <col min="6" max="6" width="14.33203125" style="3061" customWidth="1"/>
    <col min="7" max="7" width="15.5" style="3061" bestFit="1" customWidth="1"/>
    <col min="8" max="8" width="14.83203125" style="3061" customWidth="1"/>
    <col min="9" max="9" width="13.1640625" style="3061" customWidth="1"/>
    <col min="10" max="11" width="15.33203125" style="3061" customWidth="1"/>
    <col min="12" max="12" width="16.83203125" style="3061" bestFit="1" customWidth="1"/>
    <col min="13" max="13" width="14.83203125" style="3061" customWidth="1"/>
    <col min="14" max="14" width="16.83203125" style="3061" bestFit="1" customWidth="1"/>
    <col min="15" max="15" width="14.83203125" style="3061" customWidth="1"/>
    <col min="16" max="17" width="16.5" style="3061" customWidth="1"/>
    <col min="18" max="18" width="16.33203125" style="3061" customWidth="1"/>
    <col min="19" max="19" width="17.1640625" style="2923" customWidth="1"/>
    <col min="20" max="20" width="12.33203125" style="3061" customWidth="1"/>
    <col min="21" max="21" width="43.6640625" style="3062" customWidth="1"/>
    <col min="22" max="22" width="13.5" style="3061" customWidth="1"/>
    <col min="23" max="23" width="14.83203125" style="3061" customWidth="1"/>
    <col min="24" max="24" width="16.6640625" style="3061" customWidth="1"/>
    <col min="25" max="25" width="14.83203125" style="3061" customWidth="1"/>
    <col min="26" max="26" width="16.83203125" style="3061" bestFit="1" customWidth="1"/>
    <col min="27" max="28" width="14.83203125" style="3061" customWidth="1"/>
    <col min="29" max="29" width="18.1640625" style="3061" customWidth="1"/>
    <col min="30" max="30" width="15.6640625" style="3061" customWidth="1"/>
    <col min="31" max="31" width="16.5" style="3061" customWidth="1"/>
    <col min="32" max="32" width="69.6640625" style="3063" customWidth="1"/>
    <col min="33" max="16384" width="9.33203125" style="3060"/>
  </cols>
  <sheetData>
    <row r="1" spans="1:45" ht="31.5" customHeight="1" x14ac:dyDescent="0.2">
      <c r="U1" s="3847" t="s">
        <v>712</v>
      </c>
      <c r="V1" s="3848"/>
      <c r="W1" s="3848"/>
      <c r="X1" s="3848"/>
      <c r="Y1" s="3848"/>
      <c r="Z1" s="3848"/>
      <c r="AA1" s="3848"/>
      <c r="AB1" s="3848"/>
      <c r="AC1" s="3848"/>
      <c r="AD1" s="3848"/>
      <c r="AE1" s="3848"/>
      <c r="AF1" s="3848"/>
    </row>
    <row r="2" spans="1:45" ht="18.75" customHeight="1" x14ac:dyDescent="0.2">
      <c r="A2" s="3849" t="s">
        <v>1297</v>
      </c>
      <c r="B2" s="3849"/>
      <c r="C2" s="3849"/>
      <c r="D2" s="3849"/>
      <c r="E2" s="3849"/>
      <c r="F2" s="3849"/>
      <c r="G2" s="3849"/>
      <c r="H2" s="3849"/>
      <c r="I2" s="3849"/>
      <c r="J2" s="3849"/>
      <c r="K2" s="3849"/>
      <c r="L2" s="3849"/>
      <c r="M2" s="3849"/>
      <c r="N2" s="3849"/>
      <c r="O2" s="3849"/>
      <c r="P2" s="3849"/>
      <c r="Q2" s="3849"/>
      <c r="R2" s="3849"/>
      <c r="S2" s="3849"/>
      <c r="T2" s="3849"/>
      <c r="U2" s="3849"/>
      <c r="V2" s="3849"/>
      <c r="W2" s="3849"/>
      <c r="X2" s="3849"/>
      <c r="Y2" s="3849"/>
      <c r="Z2" s="3849"/>
      <c r="AA2" s="3849"/>
      <c r="AB2" s="3849"/>
      <c r="AC2" s="3849"/>
      <c r="AD2" s="3849"/>
      <c r="AE2" s="3849"/>
      <c r="AF2" s="3849"/>
    </row>
    <row r="3" spans="1:45" ht="18.75" customHeight="1" x14ac:dyDescent="0.2">
      <c r="A3" s="3849" t="s">
        <v>1442</v>
      </c>
      <c r="B3" s="3849"/>
      <c r="C3" s="3849"/>
      <c r="D3" s="3849"/>
      <c r="E3" s="3849"/>
      <c r="F3" s="3849"/>
      <c r="G3" s="3849"/>
      <c r="H3" s="3849"/>
      <c r="I3" s="3849"/>
      <c r="J3" s="3849"/>
      <c r="K3" s="3849"/>
      <c r="L3" s="3849"/>
      <c r="M3" s="3849"/>
      <c r="N3" s="3849"/>
      <c r="O3" s="3849"/>
      <c r="P3" s="3849"/>
      <c r="Q3" s="3849"/>
      <c r="R3" s="3849"/>
      <c r="S3" s="3849"/>
      <c r="T3" s="3849"/>
      <c r="U3" s="3849"/>
      <c r="V3" s="3849"/>
      <c r="W3" s="3849"/>
      <c r="X3" s="3849"/>
      <c r="Y3" s="3849"/>
      <c r="Z3" s="3849"/>
      <c r="AA3" s="3849"/>
      <c r="AB3" s="3849"/>
      <c r="AC3" s="3849"/>
      <c r="AD3" s="3849"/>
      <c r="AE3" s="3849"/>
      <c r="AF3" s="3849"/>
    </row>
    <row r="4" spans="1:45" x14ac:dyDescent="0.2">
      <c r="AE4" s="3063" t="s">
        <v>446</v>
      </c>
      <c r="AF4" s="3084">
        <v>43831</v>
      </c>
    </row>
    <row r="5" spans="1:45" ht="15.75" customHeight="1" x14ac:dyDescent="0.2">
      <c r="A5" s="3721" t="s">
        <v>339</v>
      </c>
      <c r="B5" s="3850" t="s">
        <v>340</v>
      </c>
      <c r="C5" s="3850"/>
      <c r="D5" s="3850"/>
      <c r="E5" s="3850"/>
      <c r="F5" s="3850"/>
      <c r="G5" s="3850"/>
      <c r="H5" s="3851"/>
      <c r="I5" s="3852" t="s">
        <v>713</v>
      </c>
      <c r="J5" s="3852"/>
      <c r="K5" s="3852"/>
      <c r="L5" s="3852"/>
      <c r="M5" s="3852"/>
      <c r="N5" s="3852"/>
      <c r="O5" s="3852"/>
      <c r="P5" s="3761" t="s">
        <v>714</v>
      </c>
      <c r="Q5" s="3761" t="s">
        <v>715</v>
      </c>
      <c r="R5" s="3853" t="s">
        <v>716</v>
      </c>
      <c r="S5" s="3854"/>
      <c r="T5" s="3853" t="s">
        <v>717</v>
      </c>
      <c r="U5" s="3854"/>
      <c r="V5" s="3761" t="s">
        <v>341</v>
      </c>
      <c r="W5" s="3761"/>
      <c r="X5" s="3761"/>
      <c r="Y5" s="3761"/>
      <c r="Z5" s="3761"/>
      <c r="AA5" s="3761"/>
      <c r="AB5" s="3853" t="s">
        <v>718</v>
      </c>
      <c r="AC5" s="3854"/>
      <c r="AD5" s="3761" t="s">
        <v>719</v>
      </c>
      <c r="AE5" s="3761" t="s">
        <v>720</v>
      </c>
      <c r="AF5" s="3721" t="s">
        <v>180</v>
      </c>
    </row>
    <row r="6" spans="1:45" ht="15.75" customHeight="1" x14ac:dyDescent="0.2">
      <c r="A6" s="3721"/>
      <c r="B6" s="3761" t="s">
        <v>344</v>
      </c>
      <c r="C6" s="3761"/>
      <c r="D6" s="3761"/>
      <c r="E6" s="3761"/>
      <c r="F6" s="3761"/>
      <c r="G6" s="3761"/>
      <c r="H6" s="3761"/>
      <c r="I6" s="3761" t="s">
        <v>721</v>
      </c>
      <c r="J6" s="3761"/>
      <c r="K6" s="3761"/>
      <c r="L6" s="3761"/>
      <c r="M6" s="3761"/>
      <c r="N6" s="3761"/>
      <c r="O6" s="3761"/>
      <c r="P6" s="3761"/>
      <c r="Q6" s="3761"/>
      <c r="R6" s="3855"/>
      <c r="S6" s="3856"/>
      <c r="T6" s="3855"/>
      <c r="U6" s="3856"/>
      <c r="V6" s="3761"/>
      <c r="W6" s="3761"/>
      <c r="X6" s="3761"/>
      <c r="Y6" s="3761"/>
      <c r="Z6" s="3761"/>
      <c r="AA6" s="3761"/>
      <c r="AB6" s="3855"/>
      <c r="AC6" s="3856"/>
      <c r="AD6" s="3761"/>
      <c r="AE6" s="3761"/>
      <c r="AF6" s="3721"/>
    </row>
    <row r="7" spans="1:45" ht="15.75" customHeight="1" x14ac:dyDescent="0.2">
      <c r="A7" s="3721"/>
      <c r="B7" s="3761" t="s">
        <v>345</v>
      </c>
      <c r="C7" s="3761"/>
      <c r="D7" s="3761"/>
      <c r="E7" s="3859" t="s">
        <v>346</v>
      </c>
      <c r="F7" s="3851"/>
      <c r="G7" s="3859" t="s">
        <v>347</v>
      </c>
      <c r="H7" s="3851"/>
      <c r="I7" s="3761" t="s">
        <v>722</v>
      </c>
      <c r="J7" s="3761"/>
      <c r="K7" s="3761"/>
      <c r="L7" s="3859" t="s">
        <v>346</v>
      </c>
      <c r="M7" s="3851"/>
      <c r="N7" s="3859" t="s">
        <v>347</v>
      </c>
      <c r="O7" s="3851"/>
      <c r="P7" s="3761"/>
      <c r="Q7" s="3761"/>
      <c r="R7" s="3855"/>
      <c r="S7" s="3856"/>
      <c r="T7" s="3855"/>
      <c r="U7" s="3856"/>
      <c r="V7" s="3761" t="s">
        <v>345</v>
      </c>
      <c r="W7" s="3761"/>
      <c r="X7" s="3761"/>
      <c r="Y7" s="3761"/>
      <c r="Z7" s="3859" t="s">
        <v>347</v>
      </c>
      <c r="AA7" s="3851"/>
      <c r="AB7" s="3855"/>
      <c r="AC7" s="3856"/>
      <c r="AD7" s="3761"/>
      <c r="AE7" s="3761"/>
      <c r="AF7" s="3721"/>
    </row>
    <row r="8" spans="1:45" ht="15.75" customHeight="1" x14ac:dyDescent="0.2">
      <c r="A8" s="3721"/>
      <c r="B8" s="3761" t="s">
        <v>349</v>
      </c>
      <c r="C8" s="3761" t="s">
        <v>350</v>
      </c>
      <c r="D8" s="3761" t="s">
        <v>351</v>
      </c>
      <c r="E8" s="3759" t="s">
        <v>349</v>
      </c>
      <c r="F8" s="3761" t="s">
        <v>351</v>
      </c>
      <c r="G8" s="3759" t="s">
        <v>349</v>
      </c>
      <c r="H8" s="3761" t="s">
        <v>351</v>
      </c>
      <c r="I8" s="3761" t="s">
        <v>349</v>
      </c>
      <c r="J8" s="3761" t="s">
        <v>350</v>
      </c>
      <c r="K8" s="3761" t="s">
        <v>351</v>
      </c>
      <c r="L8" s="3759" t="s">
        <v>349</v>
      </c>
      <c r="M8" s="3761" t="s">
        <v>351</v>
      </c>
      <c r="N8" s="3759" t="s">
        <v>349</v>
      </c>
      <c r="O8" s="3761" t="s">
        <v>351</v>
      </c>
      <c r="P8" s="3761"/>
      <c r="Q8" s="3761"/>
      <c r="R8" s="3857"/>
      <c r="S8" s="3858"/>
      <c r="T8" s="3857"/>
      <c r="U8" s="3858"/>
      <c r="V8" s="3761" t="s">
        <v>349</v>
      </c>
      <c r="W8" s="3761" t="s">
        <v>350</v>
      </c>
      <c r="X8" s="3761" t="s">
        <v>351</v>
      </c>
      <c r="Y8" s="3761"/>
      <c r="Z8" s="3759" t="s">
        <v>349</v>
      </c>
      <c r="AA8" s="3761" t="s">
        <v>351</v>
      </c>
      <c r="AB8" s="3857"/>
      <c r="AC8" s="3858"/>
      <c r="AD8" s="3761"/>
      <c r="AE8" s="3761"/>
      <c r="AF8" s="3721"/>
    </row>
    <row r="9" spans="1:45" ht="45" x14ac:dyDescent="0.2">
      <c r="A9" s="3721"/>
      <c r="B9" s="3761"/>
      <c r="C9" s="3761"/>
      <c r="D9" s="3761"/>
      <c r="E9" s="3760"/>
      <c r="F9" s="3761"/>
      <c r="G9" s="3760"/>
      <c r="H9" s="3761"/>
      <c r="I9" s="3761"/>
      <c r="J9" s="3761"/>
      <c r="K9" s="3761"/>
      <c r="L9" s="3760"/>
      <c r="M9" s="3761"/>
      <c r="N9" s="3760"/>
      <c r="O9" s="3761"/>
      <c r="P9" s="3761"/>
      <c r="Q9" s="3761"/>
      <c r="R9" s="2784" t="s">
        <v>564</v>
      </c>
      <c r="S9" s="2791" t="s">
        <v>723</v>
      </c>
      <c r="T9" s="2784" t="s">
        <v>564</v>
      </c>
      <c r="U9" s="2791" t="s">
        <v>724</v>
      </c>
      <c r="V9" s="3761"/>
      <c r="W9" s="3761"/>
      <c r="X9" s="2784" t="s">
        <v>725</v>
      </c>
      <c r="Y9" s="2784" t="s">
        <v>726</v>
      </c>
      <c r="Z9" s="3760"/>
      <c r="AA9" s="3761"/>
      <c r="AB9" s="3064" t="s">
        <v>727</v>
      </c>
      <c r="AC9" s="3065" t="s">
        <v>728</v>
      </c>
      <c r="AD9" s="3761"/>
      <c r="AE9" s="3761"/>
      <c r="AF9" s="3721"/>
    </row>
    <row r="10" spans="1:45" s="3066" customFormat="1" x14ac:dyDescent="0.2">
      <c r="A10" s="2703">
        <v>1</v>
      </c>
      <c r="B10" s="2703">
        <v>2</v>
      </c>
      <c r="C10" s="2703">
        <v>3</v>
      </c>
      <c r="D10" s="2703">
        <v>4</v>
      </c>
      <c r="E10" s="2703">
        <v>5</v>
      </c>
      <c r="F10" s="2703">
        <v>6</v>
      </c>
      <c r="G10" s="2703">
        <v>7</v>
      </c>
      <c r="H10" s="2703">
        <v>8</v>
      </c>
      <c r="I10" s="2703">
        <v>9</v>
      </c>
      <c r="J10" s="2703">
        <v>10</v>
      </c>
      <c r="K10" s="2703">
        <v>11</v>
      </c>
      <c r="L10" s="2703">
        <v>12</v>
      </c>
      <c r="M10" s="2703">
        <v>13</v>
      </c>
      <c r="N10" s="2703">
        <v>14</v>
      </c>
      <c r="O10" s="2703">
        <v>15</v>
      </c>
      <c r="P10" s="2703">
        <v>16</v>
      </c>
      <c r="Q10" s="2703">
        <v>17</v>
      </c>
      <c r="R10" s="2703">
        <v>18</v>
      </c>
      <c r="S10" s="2703">
        <v>19</v>
      </c>
      <c r="T10" s="2703">
        <v>20</v>
      </c>
      <c r="U10" s="2703">
        <v>21</v>
      </c>
      <c r="V10" s="2703">
        <v>22</v>
      </c>
      <c r="W10" s="2703">
        <v>23</v>
      </c>
      <c r="X10" s="2703">
        <v>24</v>
      </c>
      <c r="Y10" s="2703">
        <v>25</v>
      </c>
      <c r="Z10" s="2703">
        <v>26</v>
      </c>
      <c r="AA10" s="2703">
        <v>27</v>
      </c>
      <c r="AB10" s="2703">
        <v>28</v>
      </c>
      <c r="AC10" s="2703">
        <v>29</v>
      </c>
      <c r="AD10" s="2703">
        <v>30</v>
      </c>
      <c r="AE10" s="2703">
        <v>31</v>
      </c>
      <c r="AF10" s="2703">
        <v>32</v>
      </c>
    </row>
    <row r="11" spans="1:45" s="3081" customFormat="1" x14ac:dyDescent="0.2">
      <c r="A11" s="3067" t="s">
        <v>2739</v>
      </c>
      <c r="B11" s="3068">
        <f>B12+B43+B52+B58+B60+B59+B63+B64+B82+B83+B84+B123+B124+B125+B126+B127+B128+B131+B132+B133+B134</f>
        <v>138</v>
      </c>
      <c r="C11" s="3068"/>
      <c r="D11" s="3068">
        <f t="shared" ref="D11:R11" si="0">D12+D43+D52+D58+D60+D59+D63+D64+D82+D83+D84+D123+D124+D125+D126+D127+D128+D131+D132+D133+D134</f>
        <v>1960</v>
      </c>
      <c r="E11" s="3068">
        <f t="shared" si="0"/>
        <v>0</v>
      </c>
      <c r="F11" s="3068">
        <f t="shared" si="0"/>
        <v>0</v>
      </c>
      <c r="G11" s="3068">
        <f t="shared" si="0"/>
        <v>144</v>
      </c>
      <c r="H11" s="3068">
        <f t="shared" si="0"/>
        <v>1221.4000000000001</v>
      </c>
      <c r="I11" s="3068">
        <f t="shared" si="0"/>
        <v>0</v>
      </c>
      <c r="J11" s="3068">
        <f t="shared" si="0"/>
        <v>0</v>
      </c>
      <c r="K11" s="3068">
        <f t="shared" si="0"/>
        <v>0</v>
      </c>
      <c r="L11" s="3068">
        <f t="shared" si="0"/>
        <v>0</v>
      </c>
      <c r="M11" s="3068">
        <f t="shared" si="0"/>
        <v>0</v>
      </c>
      <c r="N11" s="3068">
        <f t="shared" si="0"/>
        <v>6</v>
      </c>
      <c r="O11" s="3068">
        <f t="shared" si="0"/>
        <v>200</v>
      </c>
      <c r="P11" s="3068">
        <f t="shared" si="0"/>
        <v>0</v>
      </c>
      <c r="Q11" s="3068">
        <f t="shared" si="0"/>
        <v>136</v>
      </c>
      <c r="R11" s="3068">
        <f t="shared" si="0"/>
        <v>42</v>
      </c>
      <c r="S11" s="3068"/>
      <c r="T11" s="3068">
        <f>T12+T43+T52+T58+T60+T59+T63+T64+T82+T83+T84+T123+T124+T125+T126+T127+T128+T131+T132+T133+T134</f>
        <v>80</v>
      </c>
      <c r="U11" s="3068"/>
      <c r="V11" s="3068">
        <f>V12+V43+V52+V58+V60+V59+V63+V64+V82+V83+V84+V123+V124+V125+V126+V127+V128+V131+V132+V133+V134</f>
        <v>28</v>
      </c>
      <c r="W11" s="3068"/>
      <c r="X11" s="3068">
        <f>X12+X43+X52+X58+X60+X59+X63+X64+X82+X83+X84+X123+X124+X125+X126+X127+X128+X131+X132+X133+X134</f>
        <v>60.9</v>
      </c>
      <c r="Y11" s="3068">
        <f>Y12+Y43+Y52+Y58+Y60+Y59+Y63+Y64+Y82+Y83+Y84+Y123+Y124+Y125+Y126+Y127+Y128+Y131+Y132+Y133+Y134</f>
        <v>0</v>
      </c>
      <c r="Z11" s="3068">
        <f>Z12+Z43+Z52+Z58+Z60+Z59+Z63+Z64+Z82+Z83+Z84+Z123+Z124+Z125+Z126+Z127+Z128+Z131+Z132+Z133+Z134</f>
        <v>23</v>
      </c>
      <c r="AA11" s="3068">
        <f>AA12+AA43+AA52+AA58+AA60+AA59+AA63+AA64+AA82+AA83+AA84+AA123+AA124+AA125+AA126+AA127+AA128+AA131+AA132+AA133+AA134</f>
        <v>187.5</v>
      </c>
      <c r="AB11" s="3068">
        <f t="shared" ref="AB11:AB44" si="1">X11+Y11-K11</f>
        <v>60.9</v>
      </c>
      <c r="AC11" s="3068">
        <f t="shared" ref="AC11:AC45" si="2">IFERROR((X11+Y11)/K11*100,0)</f>
        <v>0</v>
      </c>
      <c r="AD11" s="3068">
        <f>AD12+AD43+AD52+AD58+AD60+AD59+AD63+AD64+AD82+AD83+AD84+AD123+AD124+AD125+AD126+AD127+AD128+AD131+AD132+AD133+AD134</f>
        <v>0</v>
      </c>
      <c r="AE11" s="3068">
        <f>AE12+AE43+AE52+AE58+AE60+AE59+AE63+AE64+AE82+AE83+AE84+AE123+AE124+AE125+AE126+AE127+AE128+AE131+AE132+AE133+AE134</f>
        <v>0</v>
      </c>
      <c r="AF11" s="3069"/>
      <c r="AG11" s="3080"/>
      <c r="AH11" s="3080"/>
      <c r="AI11" s="3080"/>
      <c r="AJ11" s="3080"/>
      <c r="AK11" s="3080"/>
      <c r="AL11" s="3080"/>
      <c r="AM11" s="3080"/>
      <c r="AN11" s="3080"/>
      <c r="AO11" s="3080"/>
      <c r="AP11" s="3080"/>
      <c r="AQ11" s="3080"/>
      <c r="AR11" s="3080"/>
      <c r="AS11" s="3080"/>
    </row>
    <row r="12" spans="1:45" s="3072" customFormat="1" x14ac:dyDescent="0.2">
      <c r="A12" s="2801" t="s">
        <v>352</v>
      </c>
      <c r="B12" s="3070">
        <f>SUM(B13:B42)</f>
        <v>53</v>
      </c>
      <c r="C12" s="3070"/>
      <c r="D12" s="3070">
        <f t="shared" ref="D12:AE12" si="3">SUM(D13:D42)</f>
        <v>609.5</v>
      </c>
      <c r="E12" s="3070">
        <f t="shared" si="3"/>
        <v>0</v>
      </c>
      <c r="F12" s="3070">
        <f t="shared" si="3"/>
        <v>0</v>
      </c>
      <c r="G12" s="3070">
        <f t="shared" si="3"/>
        <v>10</v>
      </c>
      <c r="H12" s="3070">
        <f t="shared" si="3"/>
        <v>58</v>
      </c>
      <c r="I12" s="3070">
        <f t="shared" si="3"/>
        <v>0</v>
      </c>
      <c r="J12" s="3070">
        <f t="shared" si="3"/>
        <v>0</v>
      </c>
      <c r="K12" s="3070">
        <f t="shared" si="3"/>
        <v>0</v>
      </c>
      <c r="L12" s="3070">
        <f t="shared" si="3"/>
        <v>0</v>
      </c>
      <c r="M12" s="3070">
        <f t="shared" si="3"/>
        <v>0</v>
      </c>
      <c r="N12" s="3070">
        <f t="shared" si="3"/>
        <v>0</v>
      </c>
      <c r="O12" s="3070">
        <f t="shared" si="3"/>
        <v>0</v>
      </c>
      <c r="P12" s="3070">
        <f t="shared" si="3"/>
        <v>0</v>
      </c>
      <c r="Q12" s="3070">
        <f t="shared" si="3"/>
        <v>79</v>
      </c>
      <c r="R12" s="3070">
        <f t="shared" si="3"/>
        <v>6</v>
      </c>
      <c r="S12" s="3070"/>
      <c r="T12" s="3070">
        <f t="shared" si="3"/>
        <v>34</v>
      </c>
      <c r="U12" s="3070"/>
      <c r="V12" s="3070">
        <f t="shared" si="3"/>
        <v>0</v>
      </c>
      <c r="W12" s="3070">
        <f t="shared" si="3"/>
        <v>0</v>
      </c>
      <c r="X12" s="3070">
        <f t="shared" si="3"/>
        <v>0</v>
      </c>
      <c r="Y12" s="3070">
        <f t="shared" si="3"/>
        <v>0</v>
      </c>
      <c r="Z12" s="3070">
        <f t="shared" si="3"/>
        <v>19</v>
      </c>
      <c r="AA12" s="3070">
        <f t="shared" si="3"/>
        <v>105.5</v>
      </c>
      <c r="AB12" s="3070">
        <f t="shared" si="1"/>
        <v>0</v>
      </c>
      <c r="AC12" s="3070">
        <f t="shared" si="2"/>
        <v>0</v>
      </c>
      <c r="AD12" s="3070">
        <f t="shared" si="3"/>
        <v>0</v>
      </c>
      <c r="AE12" s="3070">
        <f t="shared" si="3"/>
        <v>0</v>
      </c>
      <c r="AF12" s="3071"/>
    </row>
    <row r="13" spans="1:45" s="3076" customFormat="1" x14ac:dyDescent="0.2">
      <c r="A13" s="3073" t="s">
        <v>2740</v>
      </c>
      <c r="B13" s="2791"/>
      <c r="C13" s="2791"/>
      <c r="D13" s="3074"/>
      <c r="E13" s="3074"/>
      <c r="F13" s="3074"/>
      <c r="G13" s="3074">
        <v>10</v>
      </c>
      <c r="H13" s="3074">
        <v>58</v>
      </c>
      <c r="I13" s="3074"/>
      <c r="J13" s="3074"/>
      <c r="K13" s="3074"/>
      <c r="L13" s="3074"/>
      <c r="M13" s="3074"/>
      <c r="N13" s="3074"/>
      <c r="O13" s="3074"/>
      <c r="P13" s="3074"/>
      <c r="Q13" s="3074"/>
      <c r="R13" s="3074"/>
      <c r="S13" s="2791"/>
      <c r="T13" s="3074"/>
      <c r="U13" s="3075"/>
      <c r="V13" s="3074"/>
      <c r="W13" s="3074"/>
      <c r="X13" s="3074"/>
      <c r="Y13" s="3074"/>
      <c r="Z13" s="3074"/>
      <c r="AA13" s="3074"/>
      <c r="AB13" s="3074">
        <f t="shared" si="1"/>
        <v>0</v>
      </c>
      <c r="AC13" s="3074">
        <f t="shared" si="2"/>
        <v>0</v>
      </c>
      <c r="AD13" s="3074"/>
      <c r="AE13" s="3074"/>
      <c r="AF13" s="2725"/>
    </row>
    <row r="14" spans="1:45" s="3076" customFormat="1" x14ac:dyDescent="0.2">
      <c r="A14" s="3073" t="s">
        <v>2741</v>
      </c>
      <c r="B14" s="2791">
        <v>1</v>
      </c>
      <c r="C14" s="2718">
        <v>9.5</v>
      </c>
      <c r="D14" s="3074">
        <f>B14*C14</f>
        <v>9.5</v>
      </c>
      <c r="E14" s="3074"/>
      <c r="F14" s="3074"/>
      <c r="G14" s="3074"/>
      <c r="H14" s="3074"/>
      <c r="I14" s="3074"/>
      <c r="J14" s="3074"/>
      <c r="K14" s="3074"/>
      <c r="L14" s="3074"/>
      <c r="M14" s="3074"/>
      <c r="N14" s="3074"/>
      <c r="O14" s="3074"/>
      <c r="P14" s="3074"/>
      <c r="Q14" s="3074"/>
      <c r="R14" s="3074"/>
      <c r="S14" s="2791"/>
      <c r="T14" s="3074"/>
      <c r="U14" s="3075"/>
      <c r="V14" s="3074"/>
      <c r="W14" s="3074"/>
      <c r="X14" s="3074"/>
      <c r="Y14" s="3074"/>
      <c r="Z14" s="3074"/>
      <c r="AA14" s="3074"/>
      <c r="AB14" s="3074">
        <f t="shared" si="1"/>
        <v>0</v>
      </c>
      <c r="AC14" s="3074">
        <f t="shared" si="2"/>
        <v>0</v>
      </c>
      <c r="AD14" s="3074"/>
      <c r="AE14" s="3074"/>
      <c r="AF14" s="2725"/>
    </row>
    <row r="15" spans="1:45" s="3076" customFormat="1" x14ac:dyDescent="0.2">
      <c r="A15" s="3073" t="s">
        <v>2742</v>
      </c>
      <c r="B15" s="2791">
        <v>1</v>
      </c>
      <c r="C15" s="2718">
        <v>4.34</v>
      </c>
      <c r="D15" s="3074">
        <f t="shared" ref="D15:D34" si="4">B15*C15</f>
        <v>4.3</v>
      </c>
      <c r="E15" s="3074"/>
      <c r="F15" s="3074"/>
      <c r="G15" s="3074"/>
      <c r="H15" s="3074"/>
      <c r="I15" s="3074"/>
      <c r="J15" s="3074"/>
      <c r="K15" s="3074"/>
      <c r="L15" s="3074"/>
      <c r="M15" s="3074"/>
      <c r="N15" s="3074"/>
      <c r="O15" s="3074"/>
      <c r="P15" s="3074"/>
      <c r="Q15" s="3074"/>
      <c r="R15" s="3074"/>
      <c r="S15" s="2791"/>
      <c r="T15" s="3074"/>
      <c r="U15" s="3075"/>
      <c r="V15" s="3074"/>
      <c r="W15" s="3074"/>
      <c r="X15" s="3074"/>
      <c r="Y15" s="3074"/>
      <c r="Z15" s="3074"/>
      <c r="AA15" s="3074"/>
      <c r="AB15" s="3074">
        <f t="shared" si="1"/>
        <v>0</v>
      </c>
      <c r="AC15" s="3074">
        <f t="shared" si="2"/>
        <v>0</v>
      </c>
      <c r="AD15" s="3074"/>
      <c r="AE15" s="3074"/>
      <c r="AF15" s="2725"/>
    </row>
    <row r="16" spans="1:45" s="3076" customFormat="1" x14ac:dyDescent="0.2">
      <c r="A16" s="3073" t="s">
        <v>2743</v>
      </c>
      <c r="B16" s="2791">
        <v>4</v>
      </c>
      <c r="C16" s="2718">
        <v>7.5</v>
      </c>
      <c r="D16" s="3074">
        <f t="shared" si="4"/>
        <v>30</v>
      </c>
      <c r="E16" s="3074"/>
      <c r="F16" s="3074"/>
      <c r="G16" s="3074"/>
      <c r="H16" s="3074"/>
      <c r="I16" s="3074"/>
      <c r="J16" s="3074"/>
      <c r="K16" s="3074"/>
      <c r="L16" s="3074"/>
      <c r="M16" s="3074"/>
      <c r="N16" s="3074"/>
      <c r="O16" s="3074"/>
      <c r="P16" s="3074"/>
      <c r="Q16" s="3074"/>
      <c r="R16" s="3074"/>
      <c r="S16" s="2791"/>
      <c r="T16" s="3074"/>
      <c r="U16" s="3075"/>
      <c r="V16" s="3074"/>
      <c r="W16" s="3074"/>
      <c r="X16" s="3074"/>
      <c r="Y16" s="3074"/>
      <c r="Z16" s="3074"/>
      <c r="AA16" s="3074"/>
      <c r="AB16" s="3074">
        <f t="shared" si="1"/>
        <v>0</v>
      </c>
      <c r="AC16" s="3074">
        <f t="shared" si="2"/>
        <v>0</v>
      </c>
      <c r="AD16" s="3074"/>
      <c r="AE16" s="3074"/>
      <c r="AF16" s="2725"/>
    </row>
    <row r="17" spans="1:32" s="3076" customFormat="1" ht="31.5" x14ac:dyDescent="0.2">
      <c r="A17" s="3073" t="s">
        <v>2744</v>
      </c>
      <c r="B17" s="2791">
        <v>2</v>
      </c>
      <c r="C17" s="2718">
        <v>18.809999999999999</v>
      </c>
      <c r="D17" s="3074">
        <f t="shared" si="4"/>
        <v>37.6</v>
      </c>
      <c r="E17" s="3074"/>
      <c r="F17" s="3074"/>
      <c r="G17" s="3074"/>
      <c r="H17" s="3074"/>
      <c r="I17" s="3074"/>
      <c r="J17" s="3074"/>
      <c r="K17" s="3074"/>
      <c r="L17" s="3074"/>
      <c r="M17" s="3074"/>
      <c r="N17" s="3074"/>
      <c r="O17" s="3074"/>
      <c r="P17" s="3074"/>
      <c r="Q17" s="3074"/>
      <c r="R17" s="3074"/>
      <c r="S17" s="2791"/>
      <c r="T17" s="3074"/>
      <c r="U17" s="3075"/>
      <c r="V17" s="3074"/>
      <c r="W17" s="3074"/>
      <c r="X17" s="3074"/>
      <c r="Y17" s="3074"/>
      <c r="Z17" s="3074"/>
      <c r="AA17" s="3074"/>
      <c r="AB17" s="3074">
        <f t="shared" si="1"/>
        <v>0</v>
      </c>
      <c r="AC17" s="3074">
        <f t="shared" si="2"/>
        <v>0</v>
      </c>
      <c r="AD17" s="3074"/>
      <c r="AE17" s="3074"/>
      <c r="AF17" s="2725"/>
    </row>
    <row r="18" spans="1:32" s="3076" customFormat="1" ht="31.5" x14ac:dyDescent="0.2">
      <c r="A18" s="3073" t="s">
        <v>2745</v>
      </c>
      <c r="B18" s="2791">
        <v>5</v>
      </c>
      <c r="C18" s="2718">
        <v>19.27</v>
      </c>
      <c r="D18" s="3074">
        <f t="shared" si="4"/>
        <v>96.4</v>
      </c>
      <c r="E18" s="3074"/>
      <c r="F18" s="3074"/>
      <c r="G18" s="3074"/>
      <c r="H18" s="3074"/>
      <c r="I18" s="3074"/>
      <c r="J18" s="3074"/>
      <c r="K18" s="3074"/>
      <c r="L18" s="3074"/>
      <c r="M18" s="3074"/>
      <c r="N18" s="3074"/>
      <c r="O18" s="3074"/>
      <c r="P18" s="3074"/>
      <c r="Q18" s="3074"/>
      <c r="R18" s="3074"/>
      <c r="S18" s="2791"/>
      <c r="T18" s="3074"/>
      <c r="U18" s="3075"/>
      <c r="V18" s="3074"/>
      <c r="W18" s="3074"/>
      <c r="X18" s="3074"/>
      <c r="Y18" s="3074"/>
      <c r="Z18" s="3074"/>
      <c r="AA18" s="3074"/>
      <c r="AB18" s="3074">
        <f t="shared" si="1"/>
        <v>0</v>
      </c>
      <c r="AC18" s="3074">
        <f t="shared" si="2"/>
        <v>0</v>
      </c>
      <c r="AD18" s="3074"/>
      <c r="AE18" s="3074"/>
      <c r="AF18" s="2725"/>
    </row>
    <row r="19" spans="1:32" s="3076" customFormat="1" ht="31.5" x14ac:dyDescent="0.2">
      <c r="A19" s="3073" t="s">
        <v>2746</v>
      </c>
      <c r="B19" s="2791">
        <v>1</v>
      </c>
      <c r="C19" s="2718">
        <v>20.93</v>
      </c>
      <c r="D19" s="3074">
        <f t="shared" si="4"/>
        <v>20.9</v>
      </c>
      <c r="E19" s="3074"/>
      <c r="F19" s="3074"/>
      <c r="G19" s="3074"/>
      <c r="H19" s="3074"/>
      <c r="I19" s="3074"/>
      <c r="J19" s="3074"/>
      <c r="K19" s="3074"/>
      <c r="L19" s="3074"/>
      <c r="M19" s="3074"/>
      <c r="N19" s="3074"/>
      <c r="O19" s="3074"/>
      <c r="P19" s="3074"/>
      <c r="Q19" s="3074"/>
      <c r="R19" s="3074"/>
      <c r="S19" s="2791"/>
      <c r="T19" s="3074"/>
      <c r="U19" s="3075"/>
      <c r="V19" s="3074"/>
      <c r="W19" s="3074"/>
      <c r="X19" s="3074"/>
      <c r="Y19" s="3074"/>
      <c r="Z19" s="3074"/>
      <c r="AA19" s="3074"/>
      <c r="AB19" s="3074">
        <f t="shared" si="1"/>
        <v>0</v>
      </c>
      <c r="AC19" s="3074">
        <f t="shared" si="2"/>
        <v>0</v>
      </c>
      <c r="AD19" s="3074"/>
      <c r="AE19" s="3074"/>
      <c r="AF19" s="2725"/>
    </row>
    <row r="20" spans="1:32" s="3076" customFormat="1" ht="31.5" x14ac:dyDescent="0.2">
      <c r="A20" s="3073" t="s">
        <v>2747</v>
      </c>
      <c r="B20" s="2791">
        <v>4</v>
      </c>
      <c r="C20" s="2718">
        <v>11</v>
      </c>
      <c r="D20" s="3074">
        <f t="shared" si="4"/>
        <v>44</v>
      </c>
      <c r="E20" s="3074"/>
      <c r="F20" s="3074"/>
      <c r="G20" s="3074"/>
      <c r="H20" s="3074"/>
      <c r="I20" s="3074"/>
      <c r="J20" s="3074"/>
      <c r="K20" s="3074"/>
      <c r="L20" s="3074"/>
      <c r="M20" s="3074"/>
      <c r="N20" s="3074"/>
      <c r="O20" s="3074"/>
      <c r="P20" s="3074"/>
      <c r="Q20" s="3074"/>
      <c r="R20" s="3074"/>
      <c r="S20" s="2791"/>
      <c r="T20" s="3074"/>
      <c r="U20" s="3075"/>
      <c r="V20" s="3074"/>
      <c r="W20" s="3074"/>
      <c r="X20" s="3074"/>
      <c r="Y20" s="3074"/>
      <c r="Z20" s="3074"/>
      <c r="AA20" s="3074"/>
      <c r="AB20" s="3074">
        <f t="shared" si="1"/>
        <v>0</v>
      </c>
      <c r="AC20" s="3074">
        <f t="shared" si="2"/>
        <v>0</v>
      </c>
      <c r="AD20" s="3074"/>
      <c r="AE20" s="3074"/>
      <c r="AF20" s="2725"/>
    </row>
    <row r="21" spans="1:32" s="3076" customFormat="1" ht="31.5" x14ac:dyDescent="0.2">
      <c r="A21" s="3073" t="s">
        <v>2748</v>
      </c>
      <c r="B21" s="2791">
        <v>1</v>
      </c>
      <c r="C21" s="2718">
        <v>11.47</v>
      </c>
      <c r="D21" s="3074">
        <f t="shared" si="4"/>
        <v>11.5</v>
      </c>
      <c r="E21" s="3074"/>
      <c r="F21" s="3074"/>
      <c r="G21" s="3074"/>
      <c r="H21" s="3074"/>
      <c r="I21" s="3074"/>
      <c r="J21" s="3074"/>
      <c r="K21" s="3074"/>
      <c r="L21" s="3074"/>
      <c r="M21" s="3074"/>
      <c r="N21" s="3074"/>
      <c r="O21" s="3074"/>
      <c r="P21" s="3074"/>
      <c r="Q21" s="3074"/>
      <c r="R21" s="3074"/>
      <c r="S21" s="2791"/>
      <c r="T21" s="3074"/>
      <c r="U21" s="3075"/>
      <c r="V21" s="3074"/>
      <c r="W21" s="3074"/>
      <c r="X21" s="3074"/>
      <c r="Y21" s="3074"/>
      <c r="Z21" s="3074"/>
      <c r="AA21" s="3074"/>
      <c r="AB21" s="3074">
        <f t="shared" si="1"/>
        <v>0</v>
      </c>
      <c r="AC21" s="3074">
        <f t="shared" si="2"/>
        <v>0</v>
      </c>
      <c r="AD21" s="3074"/>
      <c r="AE21" s="3074"/>
      <c r="AF21" s="2725"/>
    </row>
    <row r="22" spans="1:32" s="3076" customFormat="1" ht="31.5" x14ac:dyDescent="0.2">
      <c r="A22" s="3073" t="s">
        <v>2749</v>
      </c>
      <c r="B22" s="2791">
        <v>2</v>
      </c>
      <c r="C22" s="2718">
        <v>24.14</v>
      </c>
      <c r="D22" s="3074">
        <f t="shared" si="4"/>
        <v>48.3</v>
      </c>
      <c r="E22" s="3074"/>
      <c r="F22" s="3074"/>
      <c r="G22" s="3074"/>
      <c r="H22" s="3074"/>
      <c r="I22" s="3074"/>
      <c r="J22" s="3074"/>
      <c r="K22" s="3074"/>
      <c r="L22" s="3074"/>
      <c r="M22" s="3074"/>
      <c r="N22" s="3074"/>
      <c r="O22" s="3074"/>
      <c r="P22" s="3074"/>
      <c r="Q22" s="3074"/>
      <c r="R22" s="3074"/>
      <c r="S22" s="2791"/>
      <c r="T22" s="3074"/>
      <c r="U22" s="3075"/>
      <c r="V22" s="3074"/>
      <c r="W22" s="3074"/>
      <c r="X22" s="3074"/>
      <c r="Y22" s="3074"/>
      <c r="Z22" s="3074"/>
      <c r="AA22" s="3074"/>
      <c r="AB22" s="3074">
        <f t="shared" si="1"/>
        <v>0</v>
      </c>
      <c r="AC22" s="3074">
        <f t="shared" si="2"/>
        <v>0</v>
      </c>
      <c r="AD22" s="3074"/>
      <c r="AE22" s="3074"/>
      <c r="AF22" s="2725"/>
    </row>
    <row r="23" spans="1:32" s="3076" customFormat="1" ht="31.5" x14ac:dyDescent="0.2">
      <c r="A23" s="3073" t="s">
        <v>2750</v>
      </c>
      <c r="B23" s="2791">
        <v>1</v>
      </c>
      <c r="C23" s="2718">
        <v>16.21</v>
      </c>
      <c r="D23" s="3074">
        <f t="shared" si="4"/>
        <v>16.2</v>
      </c>
      <c r="E23" s="3074"/>
      <c r="F23" s="3074"/>
      <c r="G23" s="3074"/>
      <c r="H23" s="3074"/>
      <c r="I23" s="3074"/>
      <c r="J23" s="3074"/>
      <c r="K23" s="3074"/>
      <c r="L23" s="3074"/>
      <c r="M23" s="3074"/>
      <c r="N23" s="3074"/>
      <c r="O23" s="3074"/>
      <c r="P23" s="3074"/>
      <c r="Q23" s="3074"/>
      <c r="R23" s="3074"/>
      <c r="S23" s="2791"/>
      <c r="T23" s="3074"/>
      <c r="U23" s="3075"/>
      <c r="V23" s="3074"/>
      <c r="W23" s="3074"/>
      <c r="X23" s="3074"/>
      <c r="Y23" s="3074"/>
      <c r="Z23" s="3074"/>
      <c r="AA23" s="3074"/>
      <c r="AB23" s="3074">
        <f t="shared" si="1"/>
        <v>0</v>
      </c>
      <c r="AC23" s="3074">
        <f t="shared" si="2"/>
        <v>0</v>
      </c>
      <c r="AD23" s="3074"/>
      <c r="AE23" s="3074"/>
      <c r="AF23" s="2725"/>
    </row>
    <row r="24" spans="1:32" s="3076" customFormat="1" ht="31.5" x14ac:dyDescent="0.2">
      <c r="A24" s="3073" t="s">
        <v>2750</v>
      </c>
      <c r="B24" s="2791">
        <v>1</v>
      </c>
      <c r="C24" s="2718">
        <v>16.21</v>
      </c>
      <c r="D24" s="3074">
        <f t="shared" si="4"/>
        <v>16.2</v>
      </c>
      <c r="E24" s="3074"/>
      <c r="F24" s="3074"/>
      <c r="G24" s="3074"/>
      <c r="H24" s="3074"/>
      <c r="I24" s="3074"/>
      <c r="J24" s="3074"/>
      <c r="K24" s="3074"/>
      <c r="L24" s="3074"/>
      <c r="M24" s="3074"/>
      <c r="N24" s="3074"/>
      <c r="O24" s="3074"/>
      <c r="P24" s="3074"/>
      <c r="Q24" s="3074"/>
      <c r="R24" s="3074"/>
      <c r="S24" s="2791"/>
      <c r="T24" s="3074"/>
      <c r="U24" s="3075"/>
      <c r="V24" s="3074"/>
      <c r="W24" s="3074"/>
      <c r="X24" s="3074"/>
      <c r="Y24" s="3074"/>
      <c r="Z24" s="3074"/>
      <c r="AA24" s="3074"/>
      <c r="AB24" s="3074">
        <f t="shared" si="1"/>
        <v>0</v>
      </c>
      <c r="AC24" s="3074">
        <f t="shared" si="2"/>
        <v>0</v>
      </c>
      <c r="AD24" s="3074"/>
      <c r="AE24" s="3074"/>
      <c r="AF24" s="2725"/>
    </row>
    <row r="25" spans="1:32" s="3076" customFormat="1" ht="31.5" x14ac:dyDescent="0.2">
      <c r="A25" s="3073" t="s">
        <v>2748</v>
      </c>
      <c r="B25" s="2791">
        <v>1</v>
      </c>
      <c r="C25" s="2718">
        <v>9.4600000000000009</v>
      </c>
      <c r="D25" s="3074">
        <f t="shared" si="4"/>
        <v>9.5</v>
      </c>
      <c r="E25" s="3074"/>
      <c r="F25" s="3074"/>
      <c r="G25" s="3074"/>
      <c r="H25" s="3074"/>
      <c r="I25" s="3074"/>
      <c r="J25" s="3074"/>
      <c r="K25" s="3074"/>
      <c r="L25" s="3074"/>
      <c r="M25" s="3074"/>
      <c r="N25" s="3074"/>
      <c r="O25" s="3074"/>
      <c r="P25" s="3074"/>
      <c r="Q25" s="3074"/>
      <c r="R25" s="3074"/>
      <c r="S25" s="2791"/>
      <c r="T25" s="3074"/>
      <c r="U25" s="3075"/>
      <c r="V25" s="3074"/>
      <c r="W25" s="3074"/>
      <c r="X25" s="3074"/>
      <c r="Y25" s="3074"/>
      <c r="Z25" s="3074"/>
      <c r="AA25" s="3074"/>
      <c r="AB25" s="3074">
        <f t="shared" si="1"/>
        <v>0</v>
      </c>
      <c r="AC25" s="3074">
        <f t="shared" si="2"/>
        <v>0</v>
      </c>
      <c r="AD25" s="3074"/>
      <c r="AE25" s="3074"/>
      <c r="AF25" s="2725"/>
    </row>
    <row r="26" spans="1:32" s="3076" customFormat="1" ht="31.5" x14ac:dyDescent="0.2">
      <c r="A26" s="3073" t="s">
        <v>2751</v>
      </c>
      <c r="B26" s="2791">
        <v>4</v>
      </c>
      <c r="C26" s="2718">
        <v>7.35</v>
      </c>
      <c r="D26" s="3074">
        <f t="shared" si="4"/>
        <v>29.4</v>
      </c>
      <c r="E26" s="3074"/>
      <c r="F26" s="3074"/>
      <c r="G26" s="3074"/>
      <c r="H26" s="3074"/>
      <c r="I26" s="3074"/>
      <c r="J26" s="3074"/>
      <c r="K26" s="3074"/>
      <c r="L26" s="3074"/>
      <c r="M26" s="3074"/>
      <c r="N26" s="3074"/>
      <c r="O26" s="3074"/>
      <c r="P26" s="3074"/>
      <c r="Q26" s="3074"/>
      <c r="R26" s="3074"/>
      <c r="S26" s="2791"/>
      <c r="T26" s="3074"/>
      <c r="U26" s="3075"/>
      <c r="V26" s="3074"/>
      <c r="W26" s="3074"/>
      <c r="X26" s="3074"/>
      <c r="Y26" s="3074"/>
      <c r="Z26" s="3074"/>
      <c r="AA26" s="3074"/>
      <c r="AB26" s="3074">
        <f t="shared" si="1"/>
        <v>0</v>
      </c>
      <c r="AC26" s="3074">
        <f t="shared" si="2"/>
        <v>0</v>
      </c>
      <c r="AD26" s="3074"/>
      <c r="AE26" s="3074"/>
      <c r="AF26" s="2725"/>
    </row>
    <row r="27" spans="1:32" s="3076" customFormat="1" x14ac:dyDescent="0.2">
      <c r="A27" s="3073" t="s">
        <v>2752</v>
      </c>
      <c r="B27" s="2791">
        <v>16</v>
      </c>
      <c r="C27" s="2718">
        <v>3.57</v>
      </c>
      <c r="D27" s="3074">
        <f t="shared" si="4"/>
        <v>57.1</v>
      </c>
      <c r="E27" s="3074"/>
      <c r="F27" s="3074"/>
      <c r="G27" s="3074"/>
      <c r="H27" s="3074"/>
      <c r="I27" s="3074"/>
      <c r="J27" s="3074"/>
      <c r="K27" s="3074"/>
      <c r="L27" s="3074"/>
      <c r="M27" s="3074"/>
      <c r="N27" s="3074"/>
      <c r="O27" s="3074"/>
      <c r="P27" s="3074"/>
      <c r="Q27" s="3074"/>
      <c r="R27" s="3074"/>
      <c r="S27" s="2791"/>
      <c r="T27" s="3074"/>
      <c r="U27" s="3075"/>
      <c r="V27" s="3074"/>
      <c r="W27" s="3074"/>
      <c r="X27" s="3074"/>
      <c r="Y27" s="3074"/>
      <c r="Z27" s="3074"/>
      <c r="AA27" s="3074"/>
      <c r="AB27" s="3074">
        <f t="shared" si="1"/>
        <v>0</v>
      </c>
      <c r="AC27" s="3074">
        <f t="shared" si="2"/>
        <v>0</v>
      </c>
      <c r="AD27" s="3074"/>
      <c r="AE27" s="3074"/>
      <c r="AF27" s="2725"/>
    </row>
    <row r="28" spans="1:32" s="3076" customFormat="1" x14ac:dyDescent="0.2">
      <c r="A28" s="3073" t="s">
        <v>2753</v>
      </c>
      <c r="B28" s="2791">
        <v>1</v>
      </c>
      <c r="C28" s="2718">
        <v>11.75</v>
      </c>
      <c r="D28" s="3074">
        <f t="shared" si="4"/>
        <v>11.8</v>
      </c>
      <c r="E28" s="3074"/>
      <c r="F28" s="3074"/>
      <c r="G28" s="3074"/>
      <c r="H28" s="3074"/>
      <c r="I28" s="3074"/>
      <c r="J28" s="3074"/>
      <c r="K28" s="3074"/>
      <c r="L28" s="3074"/>
      <c r="M28" s="3074"/>
      <c r="N28" s="3074"/>
      <c r="O28" s="3074"/>
      <c r="P28" s="3074"/>
      <c r="Q28" s="3074"/>
      <c r="R28" s="3074"/>
      <c r="S28" s="2791"/>
      <c r="T28" s="3074"/>
      <c r="U28" s="3075"/>
      <c r="V28" s="3074"/>
      <c r="W28" s="3074"/>
      <c r="X28" s="3074"/>
      <c r="Y28" s="3074"/>
      <c r="Z28" s="3074"/>
      <c r="AA28" s="3074"/>
      <c r="AB28" s="3074">
        <f t="shared" si="1"/>
        <v>0</v>
      </c>
      <c r="AC28" s="3074">
        <f t="shared" si="2"/>
        <v>0</v>
      </c>
      <c r="AD28" s="3074"/>
      <c r="AE28" s="3074"/>
      <c r="AF28" s="2725"/>
    </row>
    <row r="29" spans="1:32" s="3076" customFormat="1" x14ac:dyDescent="0.2">
      <c r="A29" s="3073" t="s">
        <v>2754</v>
      </c>
      <c r="B29" s="2791">
        <v>1</v>
      </c>
      <c r="C29" s="2718">
        <v>11.56</v>
      </c>
      <c r="D29" s="3074">
        <f t="shared" si="4"/>
        <v>11.6</v>
      </c>
      <c r="E29" s="3074"/>
      <c r="F29" s="3074"/>
      <c r="G29" s="3074"/>
      <c r="H29" s="3074"/>
      <c r="I29" s="3074"/>
      <c r="J29" s="3074"/>
      <c r="K29" s="3074"/>
      <c r="L29" s="3074"/>
      <c r="M29" s="3074"/>
      <c r="N29" s="3074"/>
      <c r="O29" s="3074"/>
      <c r="P29" s="3074"/>
      <c r="Q29" s="3074"/>
      <c r="R29" s="3074"/>
      <c r="S29" s="2791"/>
      <c r="T29" s="3074"/>
      <c r="U29" s="3075"/>
      <c r="V29" s="3074"/>
      <c r="W29" s="3074"/>
      <c r="X29" s="3074"/>
      <c r="Y29" s="3074"/>
      <c r="Z29" s="3074"/>
      <c r="AA29" s="3074"/>
      <c r="AB29" s="3074">
        <f t="shared" si="1"/>
        <v>0</v>
      </c>
      <c r="AC29" s="3074">
        <f t="shared" si="2"/>
        <v>0</v>
      </c>
      <c r="AD29" s="3074"/>
      <c r="AE29" s="3074"/>
      <c r="AF29" s="2725"/>
    </row>
    <row r="30" spans="1:32" s="3076" customFormat="1" x14ac:dyDescent="0.2">
      <c r="A30" s="3073" t="s">
        <v>2755</v>
      </c>
      <c r="B30" s="2791">
        <v>1</v>
      </c>
      <c r="C30" s="2718">
        <v>9.8800000000000008</v>
      </c>
      <c r="D30" s="3074">
        <f t="shared" si="4"/>
        <v>9.9</v>
      </c>
      <c r="E30" s="3074"/>
      <c r="F30" s="3074"/>
      <c r="G30" s="3074"/>
      <c r="H30" s="3074"/>
      <c r="I30" s="3074"/>
      <c r="J30" s="3074"/>
      <c r="K30" s="3074"/>
      <c r="L30" s="3074"/>
      <c r="M30" s="3074"/>
      <c r="N30" s="3074"/>
      <c r="O30" s="3074"/>
      <c r="P30" s="3074"/>
      <c r="Q30" s="3074"/>
      <c r="R30" s="3074"/>
      <c r="S30" s="2791"/>
      <c r="T30" s="3074"/>
      <c r="U30" s="3075"/>
      <c r="V30" s="3074"/>
      <c r="W30" s="3074"/>
      <c r="X30" s="3074"/>
      <c r="Y30" s="3074"/>
      <c r="Z30" s="3074"/>
      <c r="AA30" s="3074"/>
      <c r="AB30" s="3074">
        <f t="shared" si="1"/>
        <v>0</v>
      </c>
      <c r="AC30" s="3074">
        <f t="shared" si="2"/>
        <v>0</v>
      </c>
      <c r="AD30" s="3074"/>
      <c r="AE30" s="3074"/>
      <c r="AF30" s="2725"/>
    </row>
    <row r="31" spans="1:32" s="3076" customFormat="1" x14ac:dyDescent="0.2">
      <c r="A31" s="3073" t="s">
        <v>2756</v>
      </c>
      <c r="B31" s="2791">
        <v>1</v>
      </c>
      <c r="C31" s="2718">
        <v>6.33</v>
      </c>
      <c r="D31" s="3074">
        <f t="shared" si="4"/>
        <v>6.3</v>
      </c>
      <c r="E31" s="3074"/>
      <c r="F31" s="3074"/>
      <c r="G31" s="3074"/>
      <c r="H31" s="3074"/>
      <c r="I31" s="3074"/>
      <c r="J31" s="3074"/>
      <c r="K31" s="3074"/>
      <c r="L31" s="3074"/>
      <c r="M31" s="3074"/>
      <c r="N31" s="3074"/>
      <c r="O31" s="3074"/>
      <c r="P31" s="3074"/>
      <c r="Q31" s="3074"/>
      <c r="R31" s="3074"/>
      <c r="S31" s="2791"/>
      <c r="T31" s="3074"/>
      <c r="U31" s="3075"/>
      <c r="V31" s="3074"/>
      <c r="W31" s="3074"/>
      <c r="X31" s="3074"/>
      <c r="Y31" s="3074"/>
      <c r="Z31" s="3074"/>
      <c r="AA31" s="3074"/>
      <c r="AB31" s="3074">
        <f t="shared" si="1"/>
        <v>0</v>
      </c>
      <c r="AC31" s="3074">
        <f t="shared" si="2"/>
        <v>0</v>
      </c>
      <c r="AD31" s="3074"/>
      <c r="AE31" s="3074"/>
      <c r="AF31" s="2725"/>
    </row>
    <row r="32" spans="1:32" s="3076" customFormat="1" x14ac:dyDescent="0.2">
      <c r="A32" s="3073" t="s">
        <v>2757</v>
      </c>
      <c r="B32" s="2791">
        <v>1</v>
      </c>
      <c r="C32" s="2718">
        <v>43.14</v>
      </c>
      <c r="D32" s="3074">
        <f t="shared" si="4"/>
        <v>43.1</v>
      </c>
      <c r="E32" s="3074"/>
      <c r="F32" s="3074"/>
      <c r="G32" s="3074"/>
      <c r="H32" s="3074"/>
      <c r="I32" s="3074"/>
      <c r="J32" s="3074"/>
      <c r="K32" s="3074"/>
      <c r="L32" s="3074"/>
      <c r="M32" s="3074"/>
      <c r="N32" s="3074"/>
      <c r="O32" s="3074"/>
      <c r="P32" s="3074"/>
      <c r="Q32" s="3074"/>
      <c r="R32" s="3074"/>
      <c r="S32" s="2791"/>
      <c r="T32" s="3074"/>
      <c r="U32" s="3075"/>
      <c r="V32" s="3074"/>
      <c r="W32" s="3074"/>
      <c r="X32" s="3074"/>
      <c r="Y32" s="3074"/>
      <c r="Z32" s="3074"/>
      <c r="AA32" s="3074"/>
      <c r="AB32" s="3074">
        <f t="shared" si="1"/>
        <v>0</v>
      </c>
      <c r="AC32" s="3074">
        <f t="shared" si="2"/>
        <v>0</v>
      </c>
      <c r="AD32" s="3074"/>
      <c r="AE32" s="3074"/>
      <c r="AF32" s="2725"/>
    </row>
    <row r="33" spans="1:32" s="3076" customFormat="1" x14ac:dyDescent="0.2">
      <c r="A33" s="3073" t="s">
        <v>2736</v>
      </c>
      <c r="B33" s="2791">
        <v>1</v>
      </c>
      <c r="C33" s="2718">
        <v>5.94</v>
      </c>
      <c r="D33" s="3074">
        <f t="shared" si="4"/>
        <v>5.9</v>
      </c>
      <c r="E33" s="3074"/>
      <c r="F33" s="3074"/>
      <c r="G33" s="3074"/>
      <c r="H33" s="3074"/>
      <c r="I33" s="3074"/>
      <c r="J33" s="3074"/>
      <c r="K33" s="3074"/>
      <c r="L33" s="3074"/>
      <c r="M33" s="3074"/>
      <c r="N33" s="3074"/>
      <c r="O33" s="3074"/>
      <c r="P33" s="3074"/>
      <c r="Q33" s="3074"/>
      <c r="R33" s="3074"/>
      <c r="S33" s="2791"/>
      <c r="T33" s="3074"/>
      <c r="U33" s="3075"/>
      <c r="V33" s="3074"/>
      <c r="W33" s="3074"/>
      <c r="X33" s="3074"/>
      <c r="Y33" s="3074"/>
      <c r="Z33" s="3074"/>
      <c r="AA33" s="3074"/>
      <c r="AB33" s="3074">
        <f t="shared" si="1"/>
        <v>0</v>
      </c>
      <c r="AC33" s="3074">
        <f t="shared" si="2"/>
        <v>0</v>
      </c>
      <c r="AD33" s="3074"/>
      <c r="AE33" s="3074"/>
      <c r="AF33" s="2725"/>
    </row>
    <row r="34" spans="1:32" s="3076" customFormat="1" ht="47.25" x14ac:dyDescent="0.2">
      <c r="A34" s="3073" t="s">
        <v>2758</v>
      </c>
      <c r="B34" s="2791">
        <v>3</v>
      </c>
      <c r="C34" s="2718">
        <v>30</v>
      </c>
      <c r="D34" s="3074">
        <f t="shared" si="4"/>
        <v>90</v>
      </c>
      <c r="E34" s="3074"/>
      <c r="F34" s="3074"/>
      <c r="G34" s="3074"/>
      <c r="H34" s="3074"/>
      <c r="I34" s="3074"/>
      <c r="J34" s="3074"/>
      <c r="K34" s="3074"/>
      <c r="L34" s="3074"/>
      <c r="M34" s="3074"/>
      <c r="N34" s="3074"/>
      <c r="O34" s="3074"/>
      <c r="P34" s="3074"/>
      <c r="Q34" s="3074"/>
      <c r="R34" s="3074"/>
      <c r="S34" s="2791"/>
      <c r="T34" s="3074"/>
      <c r="U34" s="3075"/>
      <c r="V34" s="3074"/>
      <c r="W34" s="3074"/>
      <c r="X34" s="3074"/>
      <c r="Y34" s="3074"/>
      <c r="Z34" s="3074"/>
      <c r="AA34" s="3074"/>
      <c r="AB34" s="3074">
        <f t="shared" si="1"/>
        <v>0</v>
      </c>
      <c r="AC34" s="3074">
        <f t="shared" si="2"/>
        <v>0</v>
      </c>
      <c r="AD34" s="3074"/>
      <c r="AE34" s="3074"/>
      <c r="AF34" s="2725"/>
    </row>
    <row r="35" spans="1:32" s="3076" customFormat="1" ht="94.5" x14ac:dyDescent="0.2">
      <c r="A35" s="3073" t="s">
        <v>2759</v>
      </c>
      <c r="B35" s="2791"/>
      <c r="C35" s="2791"/>
      <c r="D35" s="3074"/>
      <c r="E35" s="3074"/>
      <c r="F35" s="3074"/>
      <c r="G35" s="3074"/>
      <c r="H35" s="3074"/>
      <c r="I35" s="3074"/>
      <c r="J35" s="3074"/>
      <c r="K35" s="3074"/>
      <c r="L35" s="3074"/>
      <c r="M35" s="3074"/>
      <c r="N35" s="3074"/>
      <c r="O35" s="3074"/>
      <c r="P35" s="3074"/>
      <c r="Q35" s="3074">
        <v>4</v>
      </c>
      <c r="R35" s="3074">
        <v>0</v>
      </c>
      <c r="S35" s="2791"/>
      <c r="T35" s="3074"/>
      <c r="U35" s="3075" t="s">
        <v>2760</v>
      </c>
      <c r="V35" s="3074"/>
      <c r="W35" s="3074"/>
      <c r="X35" s="3074"/>
      <c r="Y35" s="3074"/>
      <c r="Z35" s="3074"/>
      <c r="AA35" s="3074"/>
      <c r="AB35" s="3074">
        <f t="shared" si="1"/>
        <v>0</v>
      </c>
      <c r="AC35" s="3074">
        <f t="shared" si="2"/>
        <v>0</v>
      </c>
      <c r="AD35" s="3074"/>
      <c r="AE35" s="3074"/>
      <c r="AF35" s="2725"/>
    </row>
    <row r="36" spans="1:32" s="3076" customFormat="1" x14ac:dyDescent="0.2">
      <c r="A36" s="3073" t="s">
        <v>1402</v>
      </c>
      <c r="B36" s="2791"/>
      <c r="C36" s="2791"/>
      <c r="D36" s="3074"/>
      <c r="E36" s="3074"/>
      <c r="F36" s="3074"/>
      <c r="G36" s="3074"/>
      <c r="H36" s="3074"/>
      <c r="I36" s="3074"/>
      <c r="J36" s="3074"/>
      <c r="K36" s="3074"/>
      <c r="L36" s="3074"/>
      <c r="M36" s="3074"/>
      <c r="N36" s="3074"/>
      <c r="O36" s="3074"/>
      <c r="P36" s="3074"/>
      <c r="Q36" s="3074">
        <v>16</v>
      </c>
      <c r="R36" s="3074">
        <v>0</v>
      </c>
      <c r="S36" s="2791"/>
      <c r="T36" s="3074"/>
      <c r="U36" s="3075"/>
      <c r="V36" s="3074"/>
      <c r="W36" s="3074"/>
      <c r="X36" s="3074"/>
      <c r="Y36" s="3074"/>
      <c r="Z36" s="3074"/>
      <c r="AA36" s="3074"/>
      <c r="AB36" s="3074">
        <f t="shared" si="1"/>
        <v>0</v>
      </c>
      <c r="AC36" s="3074">
        <f t="shared" si="2"/>
        <v>0</v>
      </c>
      <c r="AD36" s="3074"/>
      <c r="AE36" s="3074"/>
      <c r="AF36" s="2725"/>
    </row>
    <row r="37" spans="1:32" s="3076" customFormat="1" ht="47.25" x14ac:dyDescent="0.2">
      <c r="A37" s="3073" t="s">
        <v>2761</v>
      </c>
      <c r="B37" s="2791"/>
      <c r="C37" s="2791"/>
      <c r="D37" s="3074"/>
      <c r="E37" s="3074"/>
      <c r="F37" s="3074"/>
      <c r="G37" s="3074"/>
      <c r="H37" s="3074"/>
      <c r="I37" s="3074"/>
      <c r="J37" s="3074"/>
      <c r="K37" s="3074"/>
      <c r="L37" s="3074"/>
      <c r="M37" s="3074"/>
      <c r="N37" s="3074"/>
      <c r="O37" s="3074"/>
      <c r="P37" s="3074"/>
      <c r="Q37" s="3074">
        <v>7</v>
      </c>
      <c r="R37" s="3074">
        <v>0</v>
      </c>
      <c r="S37" s="2791"/>
      <c r="T37" s="3074">
        <v>2</v>
      </c>
      <c r="U37" s="3075" t="s">
        <v>2762</v>
      </c>
      <c r="V37" s="3074"/>
      <c r="W37" s="3074"/>
      <c r="X37" s="3074"/>
      <c r="Y37" s="3074"/>
      <c r="Z37" s="3074">
        <v>2</v>
      </c>
      <c r="AA37" s="3074">
        <v>30</v>
      </c>
      <c r="AB37" s="3074">
        <f t="shared" si="1"/>
        <v>0</v>
      </c>
      <c r="AC37" s="3074">
        <f t="shared" si="2"/>
        <v>0</v>
      </c>
      <c r="AD37" s="3074"/>
      <c r="AE37" s="3074"/>
      <c r="AF37" s="2725"/>
    </row>
    <row r="38" spans="1:32" s="3076" customFormat="1" x14ac:dyDescent="0.2">
      <c r="A38" s="3073" t="s">
        <v>2763</v>
      </c>
      <c r="B38" s="2791"/>
      <c r="C38" s="2791"/>
      <c r="D38" s="3074"/>
      <c r="E38" s="3074"/>
      <c r="F38" s="3074"/>
      <c r="G38" s="3074"/>
      <c r="H38" s="3074"/>
      <c r="I38" s="3074"/>
      <c r="J38" s="3074"/>
      <c r="K38" s="3074"/>
      <c r="L38" s="3074"/>
      <c r="M38" s="3074"/>
      <c r="N38" s="3074"/>
      <c r="O38" s="3074"/>
      <c r="P38" s="3074"/>
      <c r="Q38" s="3074">
        <v>15</v>
      </c>
      <c r="R38" s="3074">
        <v>0</v>
      </c>
      <c r="S38" s="2791"/>
      <c r="T38" s="3074">
        <v>2</v>
      </c>
      <c r="U38" s="3075"/>
      <c r="V38" s="3074"/>
      <c r="W38" s="3074"/>
      <c r="X38" s="3074"/>
      <c r="Y38" s="3074"/>
      <c r="Z38" s="3074"/>
      <c r="AA38" s="3074"/>
      <c r="AB38" s="3074">
        <f t="shared" si="1"/>
        <v>0</v>
      </c>
      <c r="AC38" s="3074">
        <f t="shared" si="2"/>
        <v>0</v>
      </c>
      <c r="AD38" s="3074"/>
      <c r="AE38" s="3074"/>
      <c r="AF38" s="2725"/>
    </row>
    <row r="39" spans="1:32" s="3076" customFormat="1" x14ac:dyDescent="0.2">
      <c r="A39" s="3073" t="s">
        <v>2764</v>
      </c>
      <c r="B39" s="2791"/>
      <c r="C39" s="2791"/>
      <c r="D39" s="3074"/>
      <c r="E39" s="3074"/>
      <c r="F39" s="3074"/>
      <c r="G39" s="3074"/>
      <c r="H39" s="3074"/>
      <c r="I39" s="3074"/>
      <c r="J39" s="3074"/>
      <c r="K39" s="3074"/>
      <c r="L39" s="3074"/>
      <c r="M39" s="3074"/>
      <c r="N39" s="3074"/>
      <c r="O39" s="3074"/>
      <c r="P39" s="3074"/>
      <c r="Q39" s="3074">
        <v>7</v>
      </c>
      <c r="R39" s="3074">
        <v>0</v>
      </c>
      <c r="S39" s="2791"/>
      <c r="T39" s="3074">
        <v>2</v>
      </c>
      <c r="U39" s="3075"/>
      <c r="V39" s="3074"/>
      <c r="W39" s="3074"/>
      <c r="X39" s="3074"/>
      <c r="Y39" s="3074"/>
      <c r="Z39" s="3074"/>
      <c r="AA39" s="3074"/>
      <c r="AB39" s="3074">
        <f t="shared" si="1"/>
        <v>0</v>
      </c>
      <c r="AC39" s="3074">
        <f t="shared" si="2"/>
        <v>0</v>
      </c>
      <c r="AD39" s="3074"/>
      <c r="AE39" s="3074"/>
      <c r="AF39" s="2725"/>
    </row>
    <row r="40" spans="1:32" s="3076" customFormat="1" x14ac:dyDescent="0.2">
      <c r="A40" s="3073" t="s">
        <v>2735</v>
      </c>
      <c r="B40" s="2791"/>
      <c r="C40" s="2791"/>
      <c r="D40" s="3074"/>
      <c r="E40" s="3074"/>
      <c r="F40" s="3074"/>
      <c r="G40" s="3074"/>
      <c r="H40" s="3074"/>
      <c r="I40" s="3074"/>
      <c r="J40" s="3074"/>
      <c r="K40" s="3074"/>
      <c r="L40" s="3074"/>
      <c r="M40" s="3074"/>
      <c r="N40" s="3074"/>
      <c r="O40" s="3074"/>
      <c r="P40" s="3074"/>
      <c r="Q40" s="3074">
        <v>20</v>
      </c>
      <c r="R40" s="3074">
        <v>6</v>
      </c>
      <c r="S40" s="2791" t="s">
        <v>2765</v>
      </c>
      <c r="T40" s="3074">
        <v>2</v>
      </c>
      <c r="U40" s="3075"/>
      <c r="V40" s="3074"/>
      <c r="W40" s="3074"/>
      <c r="X40" s="3074"/>
      <c r="Y40" s="3074"/>
      <c r="Z40" s="3074">
        <v>3</v>
      </c>
      <c r="AA40" s="3074">
        <v>21</v>
      </c>
      <c r="AB40" s="3074">
        <f t="shared" si="1"/>
        <v>0</v>
      </c>
      <c r="AC40" s="3074">
        <f t="shared" si="2"/>
        <v>0</v>
      </c>
      <c r="AD40" s="3074"/>
      <c r="AE40" s="3074"/>
      <c r="AF40" s="2725"/>
    </row>
    <row r="41" spans="1:32" s="3076" customFormat="1" x14ac:dyDescent="0.2">
      <c r="A41" s="3073" t="s">
        <v>2766</v>
      </c>
      <c r="B41" s="2791"/>
      <c r="C41" s="2791"/>
      <c r="D41" s="3074"/>
      <c r="E41" s="3074"/>
      <c r="F41" s="3074"/>
      <c r="G41" s="3074"/>
      <c r="H41" s="3074"/>
      <c r="I41" s="3074"/>
      <c r="J41" s="3074"/>
      <c r="K41" s="3074"/>
      <c r="L41" s="3074"/>
      <c r="M41" s="3074"/>
      <c r="N41" s="3074"/>
      <c r="O41" s="3074"/>
      <c r="P41" s="3074"/>
      <c r="Q41" s="3074">
        <v>10</v>
      </c>
      <c r="R41" s="3074">
        <v>0</v>
      </c>
      <c r="S41" s="2791"/>
      <c r="T41" s="3074">
        <v>2</v>
      </c>
      <c r="U41" s="3075"/>
      <c r="V41" s="3074"/>
      <c r="W41" s="3074"/>
      <c r="X41" s="3074"/>
      <c r="Y41" s="3074"/>
      <c r="Z41" s="3074">
        <v>2</v>
      </c>
      <c r="AA41" s="3074">
        <v>14</v>
      </c>
      <c r="AB41" s="3074">
        <f t="shared" si="1"/>
        <v>0</v>
      </c>
      <c r="AC41" s="3074">
        <f t="shared" si="2"/>
        <v>0</v>
      </c>
      <c r="AD41" s="3074"/>
      <c r="AE41" s="3074"/>
      <c r="AF41" s="2725"/>
    </row>
    <row r="42" spans="1:32" s="3076" customFormat="1" ht="47.25" x14ac:dyDescent="0.2">
      <c r="A42" s="3073" t="s">
        <v>2767</v>
      </c>
      <c r="B42" s="2791"/>
      <c r="C42" s="2791"/>
      <c r="D42" s="3074"/>
      <c r="E42" s="3074"/>
      <c r="F42" s="3074"/>
      <c r="G42" s="3074"/>
      <c r="H42" s="3074"/>
      <c r="I42" s="3074"/>
      <c r="J42" s="3074"/>
      <c r="K42" s="3074"/>
      <c r="L42" s="3074"/>
      <c r="M42" s="3074"/>
      <c r="N42" s="3074"/>
      <c r="O42" s="3074"/>
      <c r="P42" s="3074"/>
      <c r="Q42" s="3074">
        <v>0</v>
      </c>
      <c r="R42" s="3074"/>
      <c r="S42" s="2791"/>
      <c r="T42" s="3074">
        <v>24</v>
      </c>
      <c r="U42" s="3075" t="s">
        <v>2768</v>
      </c>
      <c r="V42" s="3074"/>
      <c r="W42" s="3074"/>
      <c r="X42" s="3074"/>
      <c r="Y42" s="3074"/>
      <c r="Z42" s="3074">
        <v>12</v>
      </c>
      <c r="AA42" s="3074">
        <v>40.5</v>
      </c>
      <c r="AB42" s="3074">
        <f t="shared" si="1"/>
        <v>0</v>
      </c>
      <c r="AC42" s="3074">
        <f t="shared" si="2"/>
        <v>0</v>
      </c>
      <c r="AD42" s="3074"/>
      <c r="AE42" s="3074"/>
      <c r="AF42" s="2725"/>
    </row>
    <row r="43" spans="1:32" s="3072" customFormat="1" ht="31.5" x14ac:dyDescent="0.2">
      <c r="A43" s="2801" t="s">
        <v>729</v>
      </c>
      <c r="B43" s="3070">
        <f t="shared" ref="B43:AE43" si="5">SUM(B44:B51)</f>
        <v>0</v>
      </c>
      <c r="C43" s="3070">
        <f t="shared" si="5"/>
        <v>0</v>
      </c>
      <c r="D43" s="3070">
        <f t="shared" si="5"/>
        <v>0</v>
      </c>
      <c r="E43" s="3070">
        <f t="shared" si="5"/>
        <v>0</v>
      </c>
      <c r="F43" s="3070">
        <f t="shared" si="5"/>
        <v>0</v>
      </c>
      <c r="G43" s="3070">
        <f t="shared" si="5"/>
        <v>5</v>
      </c>
      <c r="H43" s="3070">
        <f t="shared" si="5"/>
        <v>140</v>
      </c>
      <c r="I43" s="3070">
        <f t="shared" si="5"/>
        <v>0</v>
      </c>
      <c r="J43" s="3070">
        <f t="shared" si="5"/>
        <v>0</v>
      </c>
      <c r="K43" s="3070">
        <f t="shared" si="5"/>
        <v>0</v>
      </c>
      <c r="L43" s="3070">
        <f t="shared" si="5"/>
        <v>0</v>
      </c>
      <c r="M43" s="3070">
        <f t="shared" si="5"/>
        <v>0</v>
      </c>
      <c r="N43" s="3070">
        <f t="shared" si="5"/>
        <v>3</v>
      </c>
      <c r="O43" s="3070">
        <f t="shared" si="5"/>
        <v>114</v>
      </c>
      <c r="P43" s="3070">
        <f t="shared" si="5"/>
        <v>0</v>
      </c>
      <c r="Q43" s="3070">
        <f t="shared" si="5"/>
        <v>0</v>
      </c>
      <c r="R43" s="3070">
        <f t="shared" si="5"/>
        <v>0</v>
      </c>
      <c r="S43" s="3070"/>
      <c r="T43" s="3070">
        <f t="shared" si="5"/>
        <v>0</v>
      </c>
      <c r="U43" s="3070"/>
      <c r="V43" s="3070">
        <f t="shared" si="5"/>
        <v>0</v>
      </c>
      <c r="W43" s="3070">
        <f t="shared" si="5"/>
        <v>0</v>
      </c>
      <c r="X43" s="3070">
        <f t="shared" si="5"/>
        <v>0</v>
      </c>
      <c r="Y43" s="3070">
        <f t="shared" si="5"/>
        <v>0</v>
      </c>
      <c r="Z43" s="3070">
        <f t="shared" si="5"/>
        <v>2</v>
      </c>
      <c r="AA43" s="3070">
        <f t="shared" si="5"/>
        <v>56</v>
      </c>
      <c r="AB43" s="3070">
        <f t="shared" si="1"/>
        <v>0</v>
      </c>
      <c r="AC43" s="3070">
        <f t="shared" si="2"/>
        <v>0</v>
      </c>
      <c r="AD43" s="3070">
        <f t="shared" si="5"/>
        <v>0</v>
      </c>
      <c r="AE43" s="3070">
        <f t="shared" si="5"/>
        <v>0</v>
      </c>
      <c r="AF43" s="3071"/>
    </row>
    <row r="44" spans="1:32" s="3076" customFormat="1" x14ac:dyDescent="0.2">
      <c r="A44" s="3073" t="s">
        <v>2769</v>
      </c>
      <c r="B44" s="2791"/>
      <c r="C44" s="2791"/>
      <c r="D44" s="3074"/>
      <c r="E44" s="3074"/>
      <c r="F44" s="3074"/>
      <c r="G44" s="3074">
        <v>1</v>
      </c>
      <c r="H44" s="3074">
        <v>9.5</v>
      </c>
      <c r="I44" s="3074"/>
      <c r="J44" s="3074"/>
      <c r="K44" s="3074"/>
      <c r="L44" s="3074"/>
      <c r="M44" s="3074"/>
      <c r="N44" s="3074"/>
      <c r="O44" s="3074"/>
      <c r="P44" s="3074"/>
      <c r="Q44" s="3074"/>
      <c r="R44" s="3074"/>
      <c r="S44" s="2791"/>
      <c r="T44" s="3074"/>
      <c r="U44" s="3075"/>
      <c r="V44" s="3074"/>
      <c r="W44" s="3074"/>
      <c r="X44" s="3074"/>
      <c r="Y44" s="3074"/>
      <c r="Z44" s="3074"/>
      <c r="AA44" s="3074"/>
      <c r="AB44" s="3074">
        <f t="shared" si="1"/>
        <v>0</v>
      </c>
      <c r="AC44" s="3074">
        <f t="shared" si="2"/>
        <v>0</v>
      </c>
      <c r="AD44" s="3074"/>
      <c r="AE44" s="3074"/>
      <c r="AF44" s="2725"/>
    </row>
    <row r="45" spans="1:32" s="3076" customFormat="1" x14ac:dyDescent="0.2">
      <c r="A45" s="3073" t="s">
        <v>2770</v>
      </c>
      <c r="B45" s="2791"/>
      <c r="C45" s="2791"/>
      <c r="D45" s="3074"/>
      <c r="E45" s="3074"/>
      <c r="F45" s="3074"/>
      <c r="G45" s="3074">
        <v>1</v>
      </c>
      <c r="H45" s="3074">
        <v>9.9</v>
      </c>
      <c r="I45" s="3074"/>
      <c r="J45" s="3074"/>
      <c r="K45" s="3074"/>
      <c r="L45" s="3074"/>
      <c r="M45" s="3074"/>
      <c r="N45" s="3074"/>
      <c r="O45" s="3074"/>
      <c r="P45" s="3074"/>
      <c r="Q45" s="3074"/>
      <c r="R45" s="3074"/>
      <c r="S45" s="2791"/>
      <c r="T45" s="3074"/>
      <c r="U45" s="3075"/>
      <c r="V45" s="3074"/>
      <c r="W45" s="3074"/>
      <c r="X45" s="3074"/>
      <c r="Y45" s="3074"/>
      <c r="Z45" s="3074"/>
      <c r="AA45" s="3074"/>
      <c r="AB45" s="3074">
        <f t="shared" ref="AB45:AB108" si="6">X45+Y45-K45</f>
        <v>0</v>
      </c>
      <c r="AC45" s="3074">
        <f t="shared" si="2"/>
        <v>0</v>
      </c>
      <c r="AD45" s="3074"/>
      <c r="AE45" s="3074"/>
      <c r="AF45" s="2725"/>
    </row>
    <row r="46" spans="1:32" s="3076" customFormat="1" x14ac:dyDescent="0.2">
      <c r="A46" s="3073" t="s">
        <v>2771</v>
      </c>
      <c r="B46" s="2791"/>
      <c r="C46" s="2791"/>
      <c r="D46" s="3074"/>
      <c r="E46" s="3074"/>
      <c r="F46" s="3074"/>
      <c r="G46" s="3074">
        <v>1</v>
      </c>
      <c r="H46" s="3074">
        <v>29.8</v>
      </c>
      <c r="I46" s="3074"/>
      <c r="J46" s="3074"/>
      <c r="K46" s="3074"/>
      <c r="L46" s="3074"/>
      <c r="M46" s="3074"/>
      <c r="N46" s="3074"/>
      <c r="O46" s="3074"/>
      <c r="P46" s="3074"/>
      <c r="Q46" s="3074"/>
      <c r="R46" s="3074"/>
      <c r="S46" s="2791"/>
      <c r="T46" s="3074"/>
      <c r="U46" s="3075"/>
      <c r="V46" s="3074"/>
      <c r="W46" s="3074"/>
      <c r="X46" s="3074"/>
      <c r="Y46" s="3074"/>
      <c r="Z46" s="3074"/>
      <c r="AA46" s="3074"/>
      <c r="AB46" s="3074">
        <f t="shared" si="6"/>
        <v>0</v>
      </c>
      <c r="AC46" s="3074">
        <f t="shared" ref="AC46:AC109" si="7">IFERROR((X46+Y46)/K46*100,0)</f>
        <v>0</v>
      </c>
      <c r="AD46" s="3074"/>
      <c r="AE46" s="3074"/>
      <c r="AF46" s="2725"/>
    </row>
    <row r="47" spans="1:32" s="3076" customFormat="1" x14ac:dyDescent="0.2">
      <c r="A47" s="3073" t="s">
        <v>2772</v>
      </c>
      <c r="B47" s="2791"/>
      <c r="C47" s="2791"/>
      <c r="D47" s="3074"/>
      <c r="E47" s="3074"/>
      <c r="F47" s="3074"/>
      <c r="G47" s="3074">
        <v>1</v>
      </c>
      <c r="H47" s="3074">
        <v>34.299999999999997</v>
      </c>
      <c r="I47" s="3074"/>
      <c r="J47" s="3074"/>
      <c r="K47" s="3074"/>
      <c r="L47" s="3074"/>
      <c r="M47" s="3074"/>
      <c r="N47" s="3074"/>
      <c r="O47" s="3074"/>
      <c r="P47" s="3074"/>
      <c r="Q47" s="3074"/>
      <c r="R47" s="3074"/>
      <c r="S47" s="2791"/>
      <c r="T47" s="3074"/>
      <c r="U47" s="3075"/>
      <c r="V47" s="3074"/>
      <c r="W47" s="3074"/>
      <c r="X47" s="3074"/>
      <c r="Y47" s="3074"/>
      <c r="Z47" s="3074"/>
      <c r="AA47" s="3074"/>
      <c r="AB47" s="3074">
        <f t="shared" si="6"/>
        <v>0</v>
      </c>
      <c r="AC47" s="3074">
        <f t="shared" si="7"/>
        <v>0</v>
      </c>
      <c r="AD47" s="3074"/>
      <c r="AE47" s="3074"/>
      <c r="AF47" s="2725"/>
    </row>
    <row r="48" spans="1:32" s="3076" customFormat="1" x14ac:dyDescent="0.2">
      <c r="A48" s="3073" t="s">
        <v>2773</v>
      </c>
      <c r="B48" s="2791"/>
      <c r="C48" s="2791"/>
      <c r="D48" s="3074"/>
      <c r="E48" s="3074"/>
      <c r="F48" s="3074"/>
      <c r="G48" s="3074">
        <v>1</v>
      </c>
      <c r="H48" s="3074">
        <v>56.5</v>
      </c>
      <c r="I48" s="3074"/>
      <c r="J48" s="3074"/>
      <c r="K48" s="3074"/>
      <c r="L48" s="3074"/>
      <c r="M48" s="3074"/>
      <c r="N48" s="3074"/>
      <c r="O48" s="3074"/>
      <c r="P48" s="3074"/>
      <c r="Q48" s="3074"/>
      <c r="R48" s="3074"/>
      <c r="S48" s="2791"/>
      <c r="T48" s="3074"/>
      <c r="U48" s="3075"/>
      <c r="V48" s="3074"/>
      <c r="W48" s="3074"/>
      <c r="X48" s="3074"/>
      <c r="Y48" s="3074"/>
      <c r="Z48" s="3074"/>
      <c r="AA48" s="3074"/>
      <c r="AB48" s="3074">
        <f t="shared" si="6"/>
        <v>0</v>
      </c>
      <c r="AC48" s="3074">
        <f t="shared" si="7"/>
        <v>0</v>
      </c>
      <c r="AD48" s="3074"/>
      <c r="AE48" s="3074"/>
      <c r="AF48" s="2725"/>
    </row>
    <row r="49" spans="1:32" s="3076" customFormat="1" x14ac:dyDescent="0.2">
      <c r="A49" s="3073" t="s">
        <v>2734</v>
      </c>
      <c r="B49" s="2791"/>
      <c r="C49" s="2791"/>
      <c r="D49" s="3074"/>
      <c r="E49" s="3074"/>
      <c r="F49" s="3074"/>
      <c r="G49" s="3074"/>
      <c r="H49" s="3074"/>
      <c r="I49" s="3074"/>
      <c r="J49" s="3074"/>
      <c r="K49" s="3074"/>
      <c r="L49" s="3074"/>
      <c r="M49" s="3074"/>
      <c r="N49" s="3074">
        <v>2</v>
      </c>
      <c r="O49" s="3074">
        <v>64</v>
      </c>
      <c r="P49" s="3074"/>
      <c r="Q49" s="3074"/>
      <c r="R49" s="3074"/>
      <c r="S49" s="2791"/>
      <c r="T49" s="3074"/>
      <c r="U49" s="3075"/>
      <c r="V49" s="3074"/>
      <c r="W49" s="3074"/>
      <c r="X49" s="3074"/>
      <c r="Y49" s="3074"/>
      <c r="Z49" s="3074"/>
      <c r="AA49" s="3074"/>
      <c r="AB49" s="3074">
        <f t="shared" si="6"/>
        <v>0</v>
      </c>
      <c r="AC49" s="3074">
        <f t="shared" si="7"/>
        <v>0</v>
      </c>
      <c r="AD49" s="3074"/>
      <c r="AE49" s="3074"/>
      <c r="AF49" s="2725"/>
    </row>
    <row r="50" spans="1:32" s="3076" customFormat="1" x14ac:dyDescent="0.2">
      <c r="A50" s="3073" t="s">
        <v>2774</v>
      </c>
      <c r="B50" s="2791"/>
      <c r="C50" s="2791"/>
      <c r="D50" s="3074"/>
      <c r="E50" s="3074"/>
      <c r="F50" s="3074"/>
      <c r="G50" s="3074"/>
      <c r="H50" s="3074"/>
      <c r="I50" s="3074"/>
      <c r="J50" s="3074"/>
      <c r="K50" s="3074"/>
      <c r="L50" s="3074"/>
      <c r="M50" s="3074"/>
      <c r="N50" s="3074">
        <v>1</v>
      </c>
      <c r="O50" s="3074">
        <v>50</v>
      </c>
      <c r="P50" s="3074"/>
      <c r="Q50" s="3074"/>
      <c r="R50" s="3074"/>
      <c r="S50" s="2791"/>
      <c r="T50" s="3074"/>
      <c r="U50" s="3075"/>
      <c r="V50" s="3074"/>
      <c r="W50" s="3074"/>
      <c r="X50" s="3074"/>
      <c r="Y50" s="3074"/>
      <c r="Z50" s="3074">
        <v>1</v>
      </c>
      <c r="AA50" s="3074">
        <v>50</v>
      </c>
      <c r="AB50" s="3074">
        <f t="shared" si="6"/>
        <v>0</v>
      </c>
      <c r="AC50" s="3074">
        <f t="shared" si="7"/>
        <v>0</v>
      </c>
      <c r="AD50" s="3074"/>
      <c r="AE50" s="3074"/>
      <c r="AF50" s="2725"/>
    </row>
    <row r="51" spans="1:32" s="3076" customFormat="1" x14ac:dyDescent="0.2">
      <c r="A51" s="3073" t="s">
        <v>1437</v>
      </c>
      <c r="B51" s="2791"/>
      <c r="C51" s="2791"/>
      <c r="D51" s="3074"/>
      <c r="E51" s="3074"/>
      <c r="F51" s="3074"/>
      <c r="G51" s="3074"/>
      <c r="H51" s="3074"/>
      <c r="I51" s="3074"/>
      <c r="J51" s="3074"/>
      <c r="K51" s="3074"/>
      <c r="L51" s="3074"/>
      <c r="M51" s="3074"/>
      <c r="N51" s="3074"/>
      <c r="O51" s="3074"/>
      <c r="P51" s="3074"/>
      <c r="Q51" s="3074"/>
      <c r="R51" s="3074"/>
      <c r="S51" s="2791"/>
      <c r="T51" s="3074"/>
      <c r="U51" s="3075"/>
      <c r="V51" s="3074"/>
      <c r="W51" s="3074"/>
      <c r="X51" s="3074"/>
      <c r="Y51" s="3074"/>
      <c r="Z51" s="3074">
        <v>1</v>
      </c>
      <c r="AA51" s="3074">
        <v>6</v>
      </c>
      <c r="AB51" s="3074">
        <f t="shared" si="6"/>
        <v>0</v>
      </c>
      <c r="AC51" s="3074">
        <f t="shared" si="7"/>
        <v>0</v>
      </c>
      <c r="AD51" s="3074"/>
      <c r="AE51" s="3074"/>
      <c r="AF51" s="2725"/>
    </row>
    <row r="52" spans="1:32" s="3072" customFormat="1" ht="31.5" x14ac:dyDescent="0.2">
      <c r="A52" s="2801" t="s">
        <v>730</v>
      </c>
      <c r="B52" s="3070">
        <f t="shared" ref="B52:T52" si="8">SUM(B53:B57)</f>
        <v>3</v>
      </c>
      <c r="C52" s="3070">
        <f t="shared" si="8"/>
        <v>33.299999999999997</v>
      </c>
      <c r="D52" s="3070">
        <f t="shared" si="8"/>
        <v>99.9</v>
      </c>
      <c r="E52" s="3070">
        <f t="shared" si="8"/>
        <v>0</v>
      </c>
      <c r="F52" s="3070">
        <f t="shared" si="8"/>
        <v>0</v>
      </c>
      <c r="G52" s="3070">
        <f t="shared" si="8"/>
        <v>2</v>
      </c>
      <c r="H52" s="3070">
        <f t="shared" si="8"/>
        <v>6.9</v>
      </c>
      <c r="I52" s="3070">
        <f t="shared" si="8"/>
        <v>0</v>
      </c>
      <c r="J52" s="3070">
        <f t="shared" si="8"/>
        <v>0</v>
      </c>
      <c r="K52" s="3070">
        <f t="shared" si="8"/>
        <v>0</v>
      </c>
      <c r="L52" s="3070">
        <f t="shared" si="8"/>
        <v>0</v>
      </c>
      <c r="M52" s="3070">
        <f t="shared" si="8"/>
        <v>0</v>
      </c>
      <c r="N52" s="3070">
        <f t="shared" si="8"/>
        <v>1</v>
      </c>
      <c r="O52" s="3070">
        <f t="shared" si="8"/>
        <v>20</v>
      </c>
      <c r="P52" s="3070">
        <f t="shared" si="8"/>
        <v>0</v>
      </c>
      <c r="Q52" s="3070">
        <f t="shared" si="8"/>
        <v>0</v>
      </c>
      <c r="R52" s="3070">
        <f t="shared" si="8"/>
        <v>0</v>
      </c>
      <c r="S52" s="3070"/>
      <c r="T52" s="3070">
        <f t="shared" si="8"/>
        <v>0</v>
      </c>
      <c r="U52" s="3070"/>
      <c r="V52" s="3070">
        <f t="shared" ref="V52:AE52" si="9">SUM(V53:V57)</f>
        <v>0</v>
      </c>
      <c r="W52" s="3070">
        <f t="shared" si="9"/>
        <v>0</v>
      </c>
      <c r="X52" s="3070">
        <f t="shared" si="9"/>
        <v>0</v>
      </c>
      <c r="Y52" s="3070">
        <f t="shared" si="9"/>
        <v>0</v>
      </c>
      <c r="Z52" s="3070">
        <f t="shared" si="9"/>
        <v>1</v>
      </c>
      <c r="AA52" s="3070">
        <f t="shared" si="9"/>
        <v>20</v>
      </c>
      <c r="AB52" s="3070">
        <f t="shared" si="6"/>
        <v>0</v>
      </c>
      <c r="AC52" s="3070">
        <f t="shared" si="7"/>
        <v>0</v>
      </c>
      <c r="AD52" s="3070">
        <f t="shared" si="9"/>
        <v>0</v>
      </c>
      <c r="AE52" s="3070">
        <f t="shared" si="9"/>
        <v>0</v>
      </c>
      <c r="AF52" s="3071"/>
    </row>
    <row r="53" spans="1:32" s="3078" customFormat="1" x14ac:dyDescent="0.2">
      <c r="A53" s="2725" t="s">
        <v>2775</v>
      </c>
      <c r="B53" s="2785"/>
      <c r="C53" s="2785"/>
      <c r="D53" s="3077"/>
      <c r="E53" s="3077"/>
      <c r="F53" s="3077"/>
      <c r="G53" s="3077"/>
      <c r="H53" s="3077"/>
      <c r="I53" s="3077"/>
      <c r="J53" s="3077"/>
      <c r="K53" s="3077"/>
      <c r="L53" s="3077"/>
      <c r="M53" s="3077"/>
      <c r="N53" s="3074">
        <v>1</v>
      </c>
      <c r="O53" s="3074">
        <v>20</v>
      </c>
      <c r="P53" s="3074"/>
      <c r="Q53" s="3074"/>
      <c r="R53" s="3074"/>
      <c r="S53" s="2791"/>
      <c r="T53" s="3074"/>
      <c r="U53" s="2791"/>
      <c r="V53" s="3074"/>
      <c r="W53" s="3074"/>
      <c r="X53" s="3074"/>
      <c r="Y53" s="3074"/>
      <c r="Z53" s="3074"/>
      <c r="AA53" s="3074"/>
      <c r="AB53" s="3074">
        <f t="shared" si="6"/>
        <v>0</v>
      </c>
      <c r="AC53" s="3074">
        <f t="shared" si="7"/>
        <v>0</v>
      </c>
      <c r="AD53" s="3074"/>
      <c r="AE53" s="3074"/>
      <c r="AF53" s="2800"/>
    </row>
    <row r="54" spans="1:32" s="3078" customFormat="1" x14ac:dyDescent="0.2">
      <c r="A54" s="2725" t="s">
        <v>2776</v>
      </c>
      <c r="B54" s="2785"/>
      <c r="C54" s="2785"/>
      <c r="D54" s="3077"/>
      <c r="E54" s="3077"/>
      <c r="F54" s="3077"/>
      <c r="G54" s="3077"/>
      <c r="H54" s="3077"/>
      <c r="I54" s="3077"/>
      <c r="J54" s="3077"/>
      <c r="K54" s="3077"/>
      <c r="L54" s="3077"/>
      <c r="M54" s="3077"/>
      <c r="N54" s="3074"/>
      <c r="O54" s="3074"/>
      <c r="P54" s="3074"/>
      <c r="Q54" s="3074"/>
      <c r="R54" s="3074"/>
      <c r="S54" s="2791"/>
      <c r="T54" s="3074"/>
      <c r="U54" s="2791"/>
      <c r="V54" s="3074"/>
      <c r="W54" s="3074"/>
      <c r="X54" s="3074"/>
      <c r="Y54" s="3074"/>
      <c r="Z54" s="3074">
        <v>1</v>
      </c>
      <c r="AA54" s="3074">
        <v>20</v>
      </c>
      <c r="AB54" s="3074">
        <f t="shared" si="6"/>
        <v>0</v>
      </c>
      <c r="AC54" s="3074">
        <f t="shared" si="7"/>
        <v>0</v>
      </c>
      <c r="AD54" s="3074"/>
      <c r="AE54" s="3074"/>
      <c r="AF54" s="2800"/>
    </row>
    <row r="55" spans="1:32" s="3078" customFormat="1" x14ac:dyDescent="0.2">
      <c r="A55" s="2725" t="s">
        <v>2777</v>
      </c>
      <c r="B55" s="2791">
        <v>3</v>
      </c>
      <c r="C55" s="2791">
        <v>33.299999999999997</v>
      </c>
      <c r="D55" s="3074">
        <f>B55*C55</f>
        <v>99.9</v>
      </c>
      <c r="E55" s="3077"/>
      <c r="F55" s="3077"/>
      <c r="G55" s="3077"/>
      <c r="H55" s="3077"/>
      <c r="I55" s="3077"/>
      <c r="J55" s="3077"/>
      <c r="K55" s="3077"/>
      <c r="L55" s="3077"/>
      <c r="M55" s="3077"/>
      <c r="N55" s="3074"/>
      <c r="O55" s="3074"/>
      <c r="P55" s="3074"/>
      <c r="Q55" s="3074"/>
      <c r="R55" s="3074"/>
      <c r="S55" s="2791"/>
      <c r="T55" s="3074"/>
      <c r="U55" s="2791"/>
      <c r="V55" s="3074"/>
      <c r="W55" s="3074"/>
      <c r="X55" s="3074"/>
      <c r="Y55" s="3074"/>
      <c r="Z55" s="3074"/>
      <c r="AA55" s="3074"/>
      <c r="AB55" s="3074">
        <f t="shared" si="6"/>
        <v>0</v>
      </c>
      <c r="AC55" s="3074">
        <f t="shared" si="7"/>
        <v>0</v>
      </c>
      <c r="AD55" s="3074"/>
      <c r="AE55" s="3074"/>
      <c r="AF55" s="2800"/>
    </row>
    <row r="56" spans="1:32" s="3078" customFormat="1" x14ac:dyDescent="0.2">
      <c r="A56" s="2725" t="s">
        <v>2778</v>
      </c>
      <c r="B56" s="2791"/>
      <c r="C56" s="2791"/>
      <c r="D56" s="3074"/>
      <c r="E56" s="3077"/>
      <c r="F56" s="3077"/>
      <c r="G56" s="3074">
        <v>1</v>
      </c>
      <c r="H56" s="3074">
        <v>2.7</v>
      </c>
      <c r="I56" s="3077"/>
      <c r="J56" s="3077"/>
      <c r="K56" s="3077"/>
      <c r="L56" s="3077"/>
      <c r="M56" s="3077"/>
      <c r="N56" s="3074"/>
      <c r="O56" s="3074"/>
      <c r="P56" s="3074"/>
      <c r="Q56" s="3074"/>
      <c r="R56" s="3074"/>
      <c r="S56" s="2791"/>
      <c r="T56" s="3074"/>
      <c r="U56" s="2791"/>
      <c r="V56" s="3074"/>
      <c r="W56" s="3074"/>
      <c r="X56" s="3074"/>
      <c r="Y56" s="3074"/>
      <c r="Z56" s="3074"/>
      <c r="AA56" s="3074"/>
      <c r="AB56" s="3074">
        <f t="shared" si="6"/>
        <v>0</v>
      </c>
      <c r="AC56" s="3074">
        <f t="shared" si="7"/>
        <v>0</v>
      </c>
      <c r="AD56" s="3074"/>
      <c r="AE56" s="3074"/>
      <c r="AF56" s="2800"/>
    </row>
    <row r="57" spans="1:32" s="3078" customFormat="1" x14ac:dyDescent="0.2">
      <c r="A57" s="2725" t="s">
        <v>2779</v>
      </c>
      <c r="B57" s="2791"/>
      <c r="C57" s="2791"/>
      <c r="D57" s="3074"/>
      <c r="E57" s="3077"/>
      <c r="F57" s="3077"/>
      <c r="G57" s="3074">
        <v>1</v>
      </c>
      <c r="H57" s="3074">
        <v>4.2</v>
      </c>
      <c r="I57" s="3077"/>
      <c r="J57" s="3077"/>
      <c r="K57" s="3077"/>
      <c r="L57" s="3077"/>
      <c r="M57" s="3077"/>
      <c r="N57" s="3074"/>
      <c r="O57" s="3074"/>
      <c r="P57" s="3074"/>
      <c r="Q57" s="3074"/>
      <c r="R57" s="3074"/>
      <c r="S57" s="2791"/>
      <c r="T57" s="3074"/>
      <c r="U57" s="2791"/>
      <c r="V57" s="3074"/>
      <c r="W57" s="3074"/>
      <c r="X57" s="3074"/>
      <c r="Y57" s="3074"/>
      <c r="Z57" s="3074"/>
      <c r="AA57" s="3074"/>
      <c r="AB57" s="3074">
        <f t="shared" si="6"/>
        <v>0</v>
      </c>
      <c r="AC57" s="3074">
        <f t="shared" si="7"/>
        <v>0</v>
      </c>
      <c r="AD57" s="3074"/>
      <c r="AE57" s="3074"/>
      <c r="AF57" s="2800"/>
    </row>
    <row r="58" spans="1:32" s="3072" customFormat="1" ht="31.5" x14ac:dyDescent="0.2">
      <c r="A58" s="2801" t="s">
        <v>731</v>
      </c>
      <c r="B58" s="3070"/>
      <c r="C58" s="3070"/>
      <c r="D58" s="3070"/>
      <c r="E58" s="3070"/>
      <c r="F58" s="3070"/>
      <c r="G58" s="3070"/>
      <c r="H58" s="3070"/>
      <c r="I58" s="3070"/>
      <c r="J58" s="3070"/>
      <c r="K58" s="3070"/>
      <c r="L58" s="3070"/>
      <c r="M58" s="3070"/>
      <c r="N58" s="3070"/>
      <c r="O58" s="3070"/>
      <c r="P58" s="3070"/>
      <c r="Q58" s="3070"/>
      <c r="R58" s="3070"/>
      <c r="S58" s="3070"/>
      <c r="T58" s="3070"/>
      <c r="U58" s="3070"/>
      <c r="V58" s="3070"/>
      <c r="W58" s="3070"/>
      <c r="X58" s="3070"/>
      <c r="Y58" s="3070"/>
      <c r="Z58" s="3070"/>
      <c r="AA58" s="3070"/>
      <c r="AB58" s="3070">
        <f t="shared" si="6"/>
        <v>0</v>
      </c>
      <c r="AC58" s="3070">
        <f t="shared" si="7"/>
        <v>0</v>
      </c>
      <c r="AD58" s="3070"/>
      <c r="AE58" s="3070"/>
      <c r="AF58" s="3071"/>
    </row>
    <row r="59" spans="1:32" s="3072" customFormat="1" x14ac:dyDescent="0.2">
      <c r="A59" s="2801" t="s">
        <v>353</v>
      </c>
      <c r="B59" s="3070"/>
      <c r="C59" s="3070"/>
      <c r="D59" s="3079"/>
      <c r="E59" s="3079"/>
      <c r="F59" s="3079"/>
      <c r="G59" s="3079"/>
      <c r="H59" s="3079"/>
      <c r="I59" s="3079"/>
      <c r="J59" s="3079"/>
      <c r="K59" s="3079"/>
      <c r="L59" s="3079"/>
      <c r="M59" s="3079"/>
      <c r="N59" s="3079"/>
      <c r="O59" s="3079"/>
      <c r="P59" s="3079"/>
      <c r="Q59" s="3079"/>
      <c r="R59" s="3079"/>
      <c r="S59" s="3070"/>
      <c r="T59" s="3079"/>
      <c r="U59" s="3070"/>
      <c r="V59" s="3079"/>
      <c r="W59" s="3079"/>
      <c r="X59" s="3079"/>
      <c r="Y59" s="3079"/>
      <c r="Z59" s="3079"/>
      <c r="AA59" s="3079"/>
      <c r="AB59" s="3079">
        <f t="shared" si="6"/>
        <v>0</v>
      </c>
      <c r="AC59" s="3079">
        <f t="shared" si="7"/>
        <v>0</v>
      </c>
      <c r="AD59" s="3079"/>
      <c r="AE59" s="3079"/>
      <c r="AF59" s="3071"/>
    </row>
    <row r="60" spans="1:32" s="3072" customFormat="1" x14ac:dyDescent="0.2">
      <c r="A60" s="2801" t="s">
        <v>354</v>
      </c>
      <c r="B60" s="3070">
        <f>SUM(B61:B62)</f>
        <v>0</v>
      </c>
      <c r="C60" s="3070">
        <f t="shared" ref="C60:AE60" si="10">SUM(C61:C62)</f>
        <v>0</v>
      </c>
      <c r="D60" s="3070">
        <f t="shared" si="10"/>
        <v>0</v>
      </c>
      <c r="E60" s="3070">
        <f t="shared" si="10"/>
        <v>0</v>
      </c>
      <c r="F60" s="3070">
        <f t="shared" si="10"/>
        <v>0</v>
      </c>
      <c r="G60" s="3070">
        <f t="shared" si="10"/>
        <v>0</v>
      </c>
      <c r="H60" s="3070">
        <f t="shared" si="10"/>
        <v>0</v>
      </c>
      <c r="I60" s="3070">
        <f t="shared" si="10"/>
        <v>0</v>
      </c>
      <c r="J60" s="3070">
        <f t="shared" si="10"/>
        <v>0</v>
      </c>
      <c r="K60" s="3070">
        <f t="shared" si="10"/>
        <v>0</v>
      </c>
      <c r="L60" s="3070">
        <f t="shared" si="10"/>
        <v>0</v>
      </c>
      <c r="M60" s="3070">
        <f t="shared" si="10"/>
        <v>0</v>
      </c>
      <c r="N60" s="3070">
        <f t="shared" si="10"/>
        <v>0</v>
      </c>
      <c r="O60" s="3070">
        <f t="shared" si="10"/>
        <v>0</v>
      </c>
      <c r="P60" s="3070">
        <f t="shared" si="10"/>
        <v>0</v>
      </c>
      <c r="Q60" s="3070">
        <f t="shared" si="10"/>
        <v>0</v>
      </c>
      <c r="R60" s="3070">
        <f t="shared" si="10"/>
        <v>0</v>
      </c>
      <c r="S60" s="3070"/>
      <c r="T60" s="3070">
        <f t="shared" si="10"/>
        <v>0</v>
      </c>
      <c r="U60" s="3070"/>
      <c r="V60" s="3070">
        <f t="shared" si="10"/>
        <v>0</v>
      </c>
      <c r="W60" s="3070">
        <f t="shared" si="10"/>
        <v>0</v>
      </c>
      <c r="X60" s="3070">
        <f t="shared" si="10"/>
        <v>0</v>
      </c>
      <c r="Y60" s="3070">
        <f t="shared" si="10"/>
        <v>0</v>
      </c>
      <c r="Z60" s="3070">
        <f t="shared" si="10"/>
        <v>1</v>
      </c>
      <c r="AA60" s="3070">
        <f t="shared" si="10"/>
        <v>6</v>
      </c>
      <c r="AB60" s="3070">
        <f t="shared" si="6"/>
        <v>0</v>
      </c>
      <c r="AC60" s="3070">
        <f t="shared" si="7"/>
        <v>0</v>
      </c>
      <c r="AD60" s="3070">
        <f t="shared" si="10"/>
        <v>0</v>
      </c>
      <c r="AE60" s="3070">
        <f t="shared" si="10"/>
        <v>0</v>
      </c>
      <c r="AF60" s="3071"/>
    </row>
    <row r="61" spans="1:32" s="3076" customFormat="1" x14ac:dyDescent="0.2">
      <c r="A61" s="3073" t="s">
        <v>2780</v>
      </c>
      <c r="B61" s="2791"/>
      <c r="C61" s="2791"/>
      <c r="D61" s="3074"/>
      <c r="E61" s="3074"/>
      <c r="F61" s="3074"/>
      <c r="G61" s="3074"/>
      <c r="H61" s="3074"/>
      <c r="I61" s="3074"/>
      <c r="J61" s="3074"/>
      <c r="K61" s="3074"/>
      <c r="L61" s="3074"/>
      <c r="M61" s="3074"/>
      <c r="N61" s="3074"/>
      <c r="O61" s="3074"/>
      <c r="P61" s="3074"/>
      <c r="Q61" s="3074"/>
      <c r="R61" s="3074"/>
      <c r="S61" s="2791"/>
      <c r="T61" s="3074"/>
      <c r="U61" s="3075"/>
      <c r="V61" s="3074"/>
      <c r="W61" s="3074"/>
      <c r="X61" s="3074"/>
      <c r="Y61" s="3074"/>
      <c r="Z61" s="3074">
        <v>1</v>
      </c>
      <c r="AA61" s="3074">
        <v>6</v>
      </c>
      <c r="AB61" s="3074">
        <f t="shared" si="6"/>
        <v>0</v>
      </c>
      <c r="AC61" s="3074">
        <f t="shared" si="7"/>
        <v>0</v>
      </c>
      <c r="AD61" s="3074"/>
      <c r="AE61" s="3074"/>
      <c r="AF61" s="2725"/>
    </row>
    <row r="62" spans="1:32" s="3076" customFormat="1" x14ac:dyDescent="0.2">
      <c r="A62" s="3073" t="s">
        <v>2781</v>
      </c>
      <c r="B62" s="2791"/>
      <c r="C62" s="2791"/>
      <c r="D62" s="3074"/>
      <c r="E62" s="3074"/>
      <c r="F62" s="3074"/>
      <c r="G62" s="3074"/>
      <c r="H62" s="3074"/>
      <c r="I62" s="3074"/>
      <c r="J62" s="3074"/>
      <c r="K62" s="3074"/>
      <c r="L62" s="3074"/>
      <c r="M62" s="3074"/>
      <c r="N62" s="3074"/>
      <c r="O62" s="3074"/>
      <c r="P62" s="3074"/>
      <c r="Q62" s="3074"/>
      <c r="R62" s="3074"/>
      <c r="S62" s="2791"/>
      <c r="T62" s="3074"/>
      <c r="U62" s="3075"/>
      <c r="V62" s="3074"/>
      <c r="W62" s="3074"/>
      <c r="X62" s="3074"/>
      <c r="Y62" s="3074"/>
      <c r="Z62" s="3074"/>
      <c r="AA62" s="3074"/>
      <c r="AB62" s="3074">
        <f t="shared" si="6"/>
        <v>0</v>
      </c>
      <c r="AC62" s="3074">
        <f t="shared" si="7"/>
        <v>0</v>
      </c>
      <c r="AD62" s="3074"/>
      <c r="AE62" s="3074"/>
      <c r="AF62" s="2725"/>
    </row>
    <row r="63" spans="1:32" s="3072" customFormat="1" x14ac:dyDescent="0.2">
      <c r="A63" s="2801" t="s">
        <v>355</v>
      </c>
      <c r="B63" s="3070"/>
      <c r="C63" s="3070"/>
      <c r="D63" s="3079"/>
      <c r="E63" s="3079"/>
      <c r="F63" s="3079"/>
      <c r="G63" s="3079"/>
      <c r="H63" s="3079"/>
      <c r="I63" s="3079"/>
      <c r="J63" s="3079"/>
      <c r="K63" s="3079"/>
      <c r="L63" s="3079"/>
      <c r="M63" s="3079"/>
      <c r="N63" s="3079"/>
      <c r="O63" s="3079"/>
      <c r="P63" s="3079"/>
      <c r="Q63" s="3079"/>
      <c r="R63" s="3079"/>
      <c r="S63" s="3070"/>
      <c r="T63" s="3079"/>
      <c r="U63" s="3070"/>
      <c r="V63" s="3079"/>
      <c r="W63" s="3079"/>
      <c r="X63" s="3079"/>
      <c r="Y63" s="3079"/>
      <c r="Z63" s="3079"/>
      <c r="AA63" s="3079"/>
      <c r="AB63" s="3079">
        <f t="shared" si="6"/>
        <v>0</v>
      </c>
      <c r="AC63" s="3079">
        <f t="shared" si="7"/>
        <v>0</v>
      </c>
      <c r="AD63" s="3079"/>
      <c r="AE63" s="3079"/>
      <c r="AF63" s="3071"/>
    </row>
    <row r="64" spans="1:32" s="3072" customFormat="1" x14ac:dyDescent="0.2">
      <c r="A64" s="2801" t="s">
        <v>356</v>
      </c>
      <c r="B64" s="3070">
        <f t="shared" ref="B64:AA64" si="11">SUM(B65:B81)</f>
        <v>2</v>
      </c>
      <c r="C64" s="3070">
        <f t="shared" si="11"/>
        <v>185.1</v>
      </c>
      <c r="D64" s="3070">
        <f t="shared" si="11"/>
        <v>185.1</v>
      </c>
      <c r="E64" s="3070">
        <f t="shared" si="11"/>
        <v>0</v>
      </c>
      <c r="F64" s="3070">
        <f t="shared" si="11"/>
        <v>0</v>
      </c>
      <c r="G64" s="3070">
        <f t="shared" si="11"/>
        <v>27</v>
      </c>
      <c r="H64" s="3070">
        <f t="shared" si="11"/>
        <v>569.70000000000005</v>
      </c>
      <c r="I64" s="3070">
        <f t="shared" si="11"/>
        <v>0</v>
      </c>
      <c r="J64" s="3070">
        <f t="shared" si="11"/>
        <v>0</v>
      </c>
      <c r="K64" s="3070">
        <f t="shared" si="11"/>
        <v>0</v>
      </c>
      <c r="L64" s="3070">
        <f t="shared" si="11"/>
        <v>0</v>
      </c>
      <c r="M64" s="3070">
        <f t="shared" si="11"/>
        <v>0</v>
      </c>
      <c r="N64" s="3070">
        <f t="shared" si="11"/>
        <v>1</v>
      </c>
      <c r="O64" s="3070">
        <f t="shared" si="11"/>
        <v>50</v>
      </c>
      <c r="P64" s="3070">
        <f t="shared" si="11"/>
        <v>0</v>
      </c>
      <c r="Q64" s="3070">
        <f t="shared" si="11"/>
        <v>4</v>
      </c>
      <c r="R64" s="3070">
        <f t="shared" si="11"/>
        <v>4</v>
      </c>
      <c r="S64" s="3070"/>
      <c r="T64" s="3070">
        <f t="shared" si="11"/>
        <v>5</v>
      </c>
      <c r="U64" s="3070"/>
      <c r="V64" s="3070">
        <f t="shared" si="11"/>
        <v>0</v>
      </c>
      <c r="W64" s="3070">
        <f t="shared" si="11"/>
        <v>0</v>
      </c>
      <c r="X64" s="3070">
        <f t="shared" si="11"/>
        <v>0</v>
      </c>
      <c r="Y64" s="3070">
        <f t="shared" si="11"/>
        <v>0</v>
      </c>
      <c r="Z64" s="3070">
        <f t="shared" si="11"/>
        <v>0</v>
      </c>
      <c r="AA64" s="3070">
        <f t="shared" si="11"/>
        <v>0</v>
      </c>
      <c r="AB64" s="3070">
        <f t="shared" si="6"/>
        <v>0</v>
      </c>
      <c r="AC64" s="3070">
        <f t="shared" si="7"/>
        <v>0</v>
      </c>
      <c r="AD64" s="3070">
        <f>SUM(AD65:AD81)</f>
        <v>0</v>
      </c>
      <c r="AE64" s="3070">
        <f>SUM(AE65:AE81)</f>
        <v>0</v>
      </c>
      <c r="AF64" s="3071"/>
    </row>
    <row r="65" spans="1:32" s="3076" customFormat="1" x14ac:dyDescent="0.2">
      <c r="A65" s="3073" t="s">
        <v>2782</v>
      </c>
      <c r="B65" s="2791"/>
      <c r="C65" s="2791"/>
      <c r="D65" s="3074"/>
      <c r="E65" s="3074"/>
      <c r="F65" s="3074"/>
      <c r="G65" s="3074">
        <v>1</v>
      </c>
      <c r="H65" s="3074">
        <v>2.7</v>
      </c>
      <c r="I65" s="3074"/>
      <c r="J65" s="3074"/>
      <c r="K65" s="3074"/>
      <c r="L65" s="3074"/>
      <c r="M65" s="3074"/>
      <c r="N65" s="3074"/>
      <c r="O65" s="3074"/>
      <c r="P65" s="3074"/>
      <c r="Q65" s="3074"/>
      <c r="R65" s="3074"/>
      <c r="S65" s="2791"/>
      <c r="T65" s="3074"/>
      <c r="U65" s="3075"/>
      <c r="V65" s="3074"/>
      <c r="W65" s="3074"/>
      <c r="X65" s="3074"/>
      <c r="Y65" s="3074"/>
      <c r="Z65" s="3074"/>
      <c r="AA65" s="3074"/>
      <c r="AB65" s="3074">
        <f t="shared" si="6"/>
        <v>0</v>
      </c>
      <c r="AC65" s="3074">
        <f t="shared" si="7"/>
        <v>0</v>
      </c>
      <c r="AD65" s="3074"/>
      <c r="AE65" s="3074"/>
      <c r="AF65" s="2725"/>
    </row>
    <row r="66" spans="1:32" s="3076" customFormat="1" ht="31.5" x14ac:dyDescent="0.2">
      <c r="A66" s="3073" t="s">
        <v>2783</v>
      </c>
      <c r="B66" s="2791"/>
      <c r="C66" s="2791"/>
      <c r="D66" s="3074"/>
      <c r="E66" s="3074"/>
      <c r="F66" s="3074"/>
      <c r="G66" s="3074">
        <v>1</v>
      </c>
      <c r="H66" s="3074">
        <v>50</v>
      </c>
      <c r="I66" s="3074"/>
      <c r="J66" s="3074"/>
      <c r="K66" s="3074"/>
      <c r="L66" s="3074"/>
      <c r="M66" s="3074"/>
      <c r="N66" s="3074"/>
      <c r="O66" s="3074"/>
      <c r="P66" s="3074"/>
      <c r="Q66" s="3074"/>
      <c r="R66" s="3074"/>
      <c r="S66" s="2791"/>
      <c r="T66" s="3074"/>
      <c r="U66" s="3075"/>
      <c r="V66" s="3074"/>
      <c r="W66" s="3074"/>
      <c r="X66" s="3074"/>
      <c r="Y66" s="3074"/>
      <c r="Z66" s="3074"/>
      <c r="AA66" s="3074"/>
      <c r="AB66" s="3074">
        <f t="shared" si="6"/>
        <v>0</v>
      </c>
      <c r="AC66" s="3074">
        <f t="shared" si="7"/>
        <v>0</v>
      </c>
      <c r="AD66" s="3074"/>
      <c r="AE66" s="3074"/>
      <c r="AF66" s="2725"/>
    </row>
    <row r="67" spans="1:32" s="3076" customFormat="1" ht="31.5" x14ac:dyDescent="0.2">
      <c r="A67" s="3073" t="s">
        <v>2784</v>
      </c>
      <c r="B67" s="2791"/>
      <c r="C67" s="2791"/>
      <c r="D67" s="3074"/>
      <c r="E67" s="3074"/>
      <c r="F67" s="3074"/>
      <c r="G67" s="3074">
        <v>4</v>
      </c>
      <c r="H67" s="3074">
        <f>12.5*4</f>
        <v>50</v>
      </c>
      <c r="I67" s="3074"/>
      <c r="J67" s="3074"/>
      <c r="K67" s="3074"/>
      <c r="L67" s="3074"/>
      <c r="M67" s="3074"/>
      <c r="N67" s="3074"/>
      <c r="O67" s="3074"/>
      <c r="P67" s="3074"/>
      <c r="Q67" s="3074"/>
      <c r="R67" s="3074"/>
      <c r="S67" s="2791"/>
      <c r="T67" s="3074"/>
      <c r="U67" s="3075"/>
      <c r="V67" s="3074"/>
      <c r="W67" s="3074"/>
      <c r="X67" s="3074"/>
      <c r="Y67" s="3074"/>
      <c r="Z67" s="3074"/>
      <c r="AA67" s="3074"/>
      <c r="AB67" s="3074">
        <f t="shared" si="6"/>
        <v>0</v>
      </c>
      <c r="AC67" s="3074">
        <f t="shared" si="7"/>
        <v>0</v>
      </c>
      <c r="AD67" s="3074"/>
      <c r="AE67" s="3074"/>
      <c r="AF67" s="2725"/>
    </row>
    <row r="68" spans="1:32" s="3076" customFormat="1" x14ac:dyDescent="0.2">
      <c r="A68" s="3073" t="s">
        <v>2785</v>
      </c>
      <c r="B68" s="2791"/>
      <c r="C68" s="2791"/>
      <c r="D68" s="3074"/>
      <c r="E68" s="3074"/>
      <c r="F68" s="3074"/>
      <c r="G68" s="3074">
        <v>1</v>
      </c>
      <c r="H68" s="3074">
        <v>100</v>
      </c>
      <c r="I68" s="3074"/>
      <c r="J68" s="3074"/>
      <c r="K68" s="3074"/>
      <c r="L68" s="3074"/>
      <c r="M68" s="3074"/>
      <c r="N68" s="3074"/>
      <c r="O68" s="3074"/>
      <c r="P68" s="3074"/>
      <c r="Q68" s="3074"/>
      <c r="R68" s="3074"/>
      <c r="S68" s="2791"/>
      <c r="T68" s="3074"/>
      <c r="U68" s="3075"/>
      <c r="V68" s="3074"/>
      <c r="W68" s="3074"/>
      <c r="X68" s="3074"/>
      <c r="Y68" s="3074"/>
      <c r="Z68" s="3074"/>
      <c r="AA68" s="3074"/>
      <c r="AB68" s="3074">
        <f t="shared" si="6"/>
        <v>0</v>
      </c>
      <c r="AC68" s="3074">
        <f t="shared" si="7"/>
        <v>0</v>
      </c>
      <c r="AD68" s="3074"/>
      <c r="AE68" s="3074"/>
      <c r="AF68" s="2725"/>
    </row>
    <row r="69" spans="1:32" s="3076" customFormat="1" ht="31.5" x14ac:dyDescent="0.2">
      <c r="A69" s="3073" t="s">
        <v>2783</v>
      </c>
      <c r="B69" s="2791"/>
      <c r="C69" s="2791"/>
      <c r="D69" s="3074"/>
      <c r="E69" s="3074"/>
      <c r="F69" s="3074"/>
      <c r="G69" s="3074">
        <v>1</v>
      </c>
      <c r="H69" s="3074">
        <v>50</v>
      </c>
      <c r="I69" s="3074"/>
      <c r="J69" s="3074"/>
      <c r="K69" s="3074"/>
      <c r="L69" s="3074"/>
      <c r="M69" s="3074"/>
      <c r="N69" s="3074"/>
      <c r="O69" s="3074"/>
      <c r="P69" s="3074"/>
      <c r="Q69" s="3074"/>
      <c r="R69" s="3074"/>
      <c r="S69" s="2791"/>
      <c r="T69" s="3074"/>
      <c r="U69" s="3075"/>
      <c r="V69" s="3074"/>
      <c r="W69" s="3074"/>
      <c r="X69" s="3074"/>
      <c r="Y69" s="3074"/>
      <c r="Z69" s="3074"/>
      <c r="AA69" s="3074"/>
      <c r="AB69" s="3074">
        <f t="shared" si="6"/>
        <v>0</v>
      </c>
      <c r="AC69" s="3074">
        <f t="shared" si="7"/>
        <v>0</v>
      </c>
      <c r="AD69" s="3074"/>
      <c r="AE69" s="3074"/>
      <c r="AF69" s="2725"/>
    </row>
    <row r="70" spans="1:32" s="3076" customFormat="1" ht="31.5" x14ac:dyDescent="0.2">
      <c r="A70" s="3073" t="s">
        <v>2784</v>
      </c>
      <c r="B70" s="2791"/>
      <c r="C70" s="2791"/>
      <c r="D70" s="3074"/>
      <c r="E70" s="3074"/>
      <c r="F70" s="3074"/>
      <c r="G70" s="3074">
        <v>4</v>
      </c>
      <c r="H70" s="3074">
        <f>12.5*4</f>
        <v>50</v>
      </c>
      <c r="I70" s="3074"/>
      <c r="J70" s="3074"/>
      <c r="K70" s="3074"/>
      <c r="L70" s="3074"/>
      <c r="M70" s="3074"/>
      <c r="N70" s="3074"/>
      <c r="O70" s="3074"/>
      <c r="P70" s="3074"/>
      <c r="Q70" s="3074"/>
      <c r="R70" s="3074"/>
      <c r="S70" s="2791"/>
      <c r="T70" s="3074"/>
      <c r="U70" s="3075"/>
      <c r="V70" s="3074"/>
      <c r="W70" s="3074"/>
      <c r="X70" s="3074"/>
      <c r="Y70" s="3074"/>
      <c r="Z70" s="3074"/>
      <c r="AA70" s="3074"/>
      <c r="AB70" s="3074">
        <f t="shared" si="6"/>
        <v>0</v>
      </c>
      <c r="AC70" s="3074">
        <f t="shared" si="7"/>
        <v>0</v>
      </c>
      <c r="AD70" s="3074"/>
      <c r="AE70" s="3074"/>
      <c r="AF70" s="2725"/>
    </row>
    <row r="71" spans="1:32" s="3076" customFormat="1" ht="31.5" x14ac:dyDescent="0.2">
      <c r="A71" s="3073" t="s">
        <v>2786</v>
      </c>
      <c r="B71" s="2791"/>
      <c r="C71" s="2791"/>
      <c r="D71" s="3074"/>
      <c r="E71" s="3074"/>
      <c r="F71" s="3074"/>
      <c r="G71" s="3074">
        <v>2</v>
      </c>
      <c r="H71" s="3074">
        <f>26.75*2</f>
        <v>53.5</v>
      </c>
      <c r="I71" s="3074"/>
      <c r="J71" s="3074"/>
      <c r="K71" s="3074"/>
      <c r="L71" s="3074"/>
      <c r="M71" s="3074"/>
      <c r="N71" s="3074"/>
      <c r="O71" s="3074"/>
      <c r="P71" s="3074"/>
      <c r="Q71" s="3074"/>
      <c r="R71" s="3074"/>
      <c r="S71" s="2791"/>
      <c r="T71" s="3074"/>
      <c r="U71" s="3075"/>
      <c r="V71" s="3074"/>
      <c r="W71" s="3074"/>
      <c r="X71" s="3074"/>
      <c r="Y71" s="3074"/>
      <c r="Z71" s="3074"/>
      <c r="AA71" s="3074"/>
      <c r="AB71" s="3074">
        <f t="shared" si="6"/>
        <v>0</v>
      </c>
      <c r="AC71" s="3074">
        <f t="shared" si="7"/>
        <v>0</v>
      </c>
      <c r="AD71" s="3074"/>
      <c r="AE71" s="3074"/>
      <c r="AF71" s="2725"/>
    </row>
    <row r="72" spans="1:32" s="3076" customFormat="1" x14ac:dyDescent="0.2">
      <c r="A72" s="3073" t="s">
        <v>2787</v>
      </c>
      <c r="B72" s="2791"/>
      <c r="C72" s="2791"/>
      <c r="D72" s="3074"/>
      <c r="E72" s="3074"/>
      <c r="F72" s="3074"/>
      <c r="G72" s="3074">
        <v>3</v>
      </c>
      <c r="H72" s="3074">
        <f>10.99*3</f>
        <v>33</v>
      </c>
      <c r="I72" s="3074"/>
      <c r="J72" s="3074"/>
      <c r="K72" s="3074"/>
      <c r="L72" s="3074"/>
      <c r="M72" s="3074"/>
      <c r="N72" s="3074"/>
      <c r="O72" s="3074"/>
      <c r="P72" s="3074"/>
      <c r="Q72" s="3074"/>
      <c r="R72" s="3074"/>
      <c r="S72" s="2791"/>
      <c r="T72" s="3074"/>
      <c r="U72" s="3075"/>
      <c r="V72" s="3074"/>
      <c r="W72" s="3074"/>
      <c r="X72" s="3074"/>
      <c r="Y72" s="3074"/>
      <c r="Z72" s="3074"/>
      <c r="AA72" s="3074"/>
      <c r="AB72" s="3074">
        <f t="shared" si="6"/>
        <v>0</v>
      </c>
      <c r="AC72" s="3074">
        <f t="shared" si="7"/>
        <v>0</v>
      </c>
      <c r="AD72" s="3074"/>
      <c r="AE72" s="3074"/>
      <c r="AF72" s="2725"/>
    </row>
    <row r="73" spans="1:32" s="3076" customFormat="1" ht="31.5" x14ac:dyDescent="0.2">
      <c r="A73" s="3073" t="s">
        <v>2786</v>
      </c>
      <c r="B73" s="2791"/>
      <c r="C73" s="2791"/>
      <c r="D73" s="3074"/>
      <c r="E73" s="3074"/>
      <c r="F73" s="3074"/>
      <c r="G73" s="3074">
        <v>2</v>
      </c>
      <c r="H73" s="3074">
        <v>53.5</v>
      </c>
      <c r="I73" s="3074"/>
      <c r="J73" s="3074"/>
      <c r="K73" s="3074"/>
      <c r="L73" s="3074"/>
      <c r="M73" s="3074"/>
      <c r="N73" s="3074"/>
      <c r="O73" s="3074"/>
      <c r="P73" s="3074"/>
      <c r="Q73" s="3074"/>
      <c r="R73" s="3074"/>
      <c r="S73" s="2791"/>
      <c r="T73" s="3074"/>
      <c r="U73" s="3075"/>
      <c r="V73" s="3074"/>
      <c r="W73" s="3074"/>
      <c r="X73" s="3074"/>
      <c r="Y73" s="3074"/>
      <c r="Z73" s="3074"/>
      <c r="AA73" s="3074"/>
      <c r="AB73" s="3074">
        <f t="shared" si="6"/>
        <v>0</v>
      </c>
      <c r="AC73" s="3074">
        <f t="shared" si="7"/>
        <v>0</v>
      </c>
      <c r="AD73" s="3074"/>
      <c r="AE73" s="3074"/>
      <c r="AF73" s="2725"/>
    </row>
    <row r="74" spans="1:32" s="3076" customFormat="1" x14ac:dyDescent="0.2">
      <c r="A74" s="3073" t="s">
        <v>2788</v>
      </c>
      <c r="B74" s="2791"/>
      <c r="C74" s="2791"/>
      <c r="D74" s="3074"/>
      <c r="E74" s="3074"/>
      <c r="F74" s="3074"/>
      <c r="G74" s="3074">
        <v>6</v>
      </c>
      <c r="H74" s="3074">
        <v>40</v>
      </c>
      <c r="I74" s="3074"/>
      <c r="J74" s="3074"/>
      <c r="K74" s="3074"/>
      <c r="L74" s="3074"/>
      <c r="M74" s="3074"/>
      <c r="N74" s="3074"/>
      <c r="O74" s="3074"/>
      <c r="P74" s="3074"/>
      <c r="Q74" s="3074"/>
      <c r="R74" s="3074"/>
      <c r="S74" s="2791"/>
      <c r="T74" s="3074"/>
      <c r="U74" s="3075"/>
      <c r="V74" s="3074"/>
      <c r="W74" s="3074"/>
      <c r="X74" s="3074"/>
      <c r="Y74" s="3074"/>
      <c r="Z74" s="3074"/>
      <c r="AA74" s="3074"/>
      <c r="AB74" s="3074">
        <f t="shared" si="6"/>
        <v>0</v>
      </c>
      <c r="AC74" s="3074">
        <f t="shared" si="7"/>
        <v>0</v>
      </c>
      <c r="AD74" s="3074"/>
      <c r="AE74" s="3074"/>
      <c r="AF74" s="2725"/>
    </row>
    <row r="75" spans="1:32" s="3076" customFormat="1" x14ac:dyDescent="0.2">
      <c r="A75" s="3073" t="s">
        <v>2789</v>
      </c>
      <c r="B75" s="2791"/>
      <c r="C75" s="2791"/>
      <c r="D75" s="3074"/>
      <c r="E75" s="3074"/>
      <c r="F75" s="3074"/>
      <c r="G75" s="3074">
        <v>1</v>
      </c>
      <c r="H75" s="3074">
        <v>2.2999999999999998</v>
      </c>
      <c r="I75" s="3074"/>
      <c r="J75" s="3074"/>
      <c r="K75" s="3074"/>
      <c r="L75" s="3074"/>
      <c r="M75" s="3074"/>
      <c r="N75" s="3074"/>
      <c r="O75" s="3074"/>
      <c r="P75" s="3074"/>
      <c r="Q75" s="3074"/>
      <c r="R75" s="3074"/>
      <c r="S75" s="2791"/>
      <c r="T75" s="3074"/>
      <c r="U75" s="3075"/>
      <c r="V75" s="3074"/>
      <c r="W75" s="3074"/>
      <c r="X75" s="3074"/>
      <c r="Y75" s="3074"/>
      <c r="Z75" s="3074"/>
      <c r="AA75" s="3074"/>
      <c r="AB75" s="3074">
        <f t="shared" si="6"/>
        <v>0</v>
      </c>
      <c r="AC75" s="3074">
        <f t="shared" si="7"/>
        <v>0</v>
      </c>
      <c r="AD75" s="3074"/>
      <c r="AE75" s="3074"/>
      <c r="AF75" s="2725"/>
    </row>
    <row r="76" spans="1:32" s="3076" customFormat="1" x14ac:dyDescent="0.2">
      <c r="A76" s="3073" t="s">
        <v>2790</v>
      </c>
      <c r="B76" s="2791"/>
      <c r="C76" s="2791"/>
      <c r="D76" s="3074"/>
      <c r="E76" s="3074"/>
      <c r="F76" s="3074"/>
      <c r="G76" s="3074">
        <v>1</v>
      </c>
      <c r="H76" s="3074">
        <v>84.7</v>
      </c>
      <c r="I76" s="3074"/>
      <c r="J76" s="3074"/>
      <c r="K76" s="3074"/>
      <c r="L76" s="3074"/>
      <c r="M76" s="3074"/>
      <c r="N76" s="3074"/>
      <c r="O76" s="3074"/>
      <c r="P76" s="3074"/>
      <c r="Q76" s="3074"/>
      <c r="R76" s="3074"/>
      <c r="S76" s="2791"/>
      <c r="T76" s="3074"/>
      <c r="U76" s="3075"/>
      <c r="V76" s="3074"/>
      <c r="W76" s="3074"/>
      <c r="X76" s="3074"/>
      <c r="Y76" s="3074"/>
      <c r="Z76" s="3074"/>
      <c r="AA76" s="3074"/>
      <c r="AB76" s="3074">
        <f t="shared" si="6"/>
        <v>0</v>
      </c>
      <c r="AC76" s="3074">
        <f t="shared" si="7"/>
        <v>0</v>
      </c>
      <c r="AD76" s="3074"/>
      <c r="AE76" s="3074"/>
      <c r="AF76" s="2725"/>
    </row>
    <row r="77" spans="1:32" s="3076" customFormat="1" x14ac:dyDescent="0.2">
      <c r="A77" s="3073" t="s">
        <v>1436</v>
      </c>
      <c r="B77" s="2791"/>
      <c r="C77" s="2791"/>
      <c r="D77" s="3074"/>
      <c r="E77" s="3074"/>
      <c r="F77" s="3074"/>
      <c r="G77" s="3074"/>
      <c r="H77" s="3074"/>
      <c r="I77" s="3074"/>
      <c r="J77" s="3074"/>
      <c r="K77" s="3074"/>
      <c r="L77" s="3074"/>
      <c r="M77" s="3074"/>
      <c r="N77" s="3074"/>
      <c r="O77" s="3074"/>
      <c r="P77" s="3074"/>
      <c r="Q77" s="3074"/>
      <c r="R77" s="3074"/>
      <c r="S77" s="2791"/>
      <c r="T77" s="3074"/>
      <c r="U77" s="3075"/>
      <c r="V77" s="3074"/>
      <c r="W77" s="3074"/>
      <c r="X77" s="3074"/>
      <c r="Y77" s="3074"/>
      <c r="Z77" s="3074"/>
      <c r="AA77" s="3074"/>
      <c r="AB77" s="3074">
        <f t="shared" si="6"/>
        <v>0</v>
      </c>
      <c r="AC77" s="3074">
        <f t="shared" si="7"/>
        <v>0</v>
      </c>
      <c r="AD77" s="3074"/>
      <c r="AE77" s="3074"/>
      <c r="AF77" s="2725"/>
    </row>
    <row r="78" spans="1:32" s="3076" customFormat="1" ht="126" x14ac:dyDescent="0.2">
      <c r="A78" s="3073" t="s">
        <v>2791</v>
      </c>
      <c r="B78" s="2791"/>
      <c r="C78" s="2791"/>
      <c r="D78" s="3074"/>
      <c r="E78" s="3074"/>
      <c r="F78" s="3074"/>
      <c r="G78" s="3074"/>
      <c r="H78" s="3074"/>
      <c r="I78" s="3074"/>
      <c r="J78" s="3074"/>
      <c r="K78" s="3074"/>
      <c r="L78" s="3074"/>
      <c r="M78" s="3074"/>
      <c r="N78" s="3074"/>
      <c r="O78" s="3074"/>
      <c r="P78" s="3074"/>
      <c r="Q78" s="3074">
        <v>4</v>
      </c>
      <c r="R78" s="3074">
        <v>4</v>
      </c>
      <c r="S78" s="2791" t="s">
        <v>2792</v>
      </c>
      <c r="T78" s="3074">
        <v>4</v>
      </c>
      <c r="U78" s="3075" t="s">
        <v>2793</v>
      </c>
      <c r="V78" s="3074"/>
      <c r="W78" s="3074"/>
      <c r="X78" s="3074"/>
      <c r="Y78" s="3074"/>
      <c r="Z78" s="3074"/>
      <c r="AA78" s="3074"/>
      <c r="AB78" s="3074">
        <f t="shared" si="6"/>
        <v>0</v>
      </c>
      <c r="AC78" s="3074">
        <f t="shared" si="7"/>
        <v>0</v>
      </c>
      <c r="AD78" s="3074"/>
      <c r="AE78" s="3074"/>
      <c r="AF78" s="2725"/>
    </row>
    <row r="79" spans="1:32" s="3076" customFormat="1" ht="299.25" x14ac:dyDescent="0.2">
      <c r="A79" s="3073" t="s">
        <v>2794</v>
      </c>
      <c r="B79" s="2791"/>
      <c r="C79" s="2791"/>
      <c r="D79" s="3074"/>
      <c r="E79" s="3074"/>
      <c r="F79" s="3074"/>
      <c r="G79" s="3074"/>
      <c r="H79" s="3074"/>
      <c r="I79" s="3074"/>
      <c r="J79" s="3074"/>
      <c r="K79" s="3074"/>
      <c r="L79" s="3074"/>
      <c r="M79" s="3074"/>
      <c r="N79" s="3074">
        <v>1</v>
      </c>
      <c r="O79" s="3074">
        <v>50</v>
      </c>
      <c r="P79" s="3074"/>
      <c r="Q79" s="3074">
        <v>0</v>
      </c>
      <c r="R79" s="3074">
        <v>0</v>
      </c>
      <c r="S79" s="2791"/>
      <c r="T79" s="3074">
        <v>1</v>
      </c>
      <c r="U79" s="3075" t="s">
        <v>2795</v>
      </c>
      <c r="V79" s="3074"/>
      <c r="W79" s="3074"/>
      <c r="X79" s="3074"/>
      <c r="Y79" s="3074"/>
      <c r="Z79" s="3074"/>
      <c r="AA79" s="3074"/>
      <c r="AB79" s="3074">
        <f t="shared" si="6"/>
        <v>0</v>
      </c>
      <c r="AC79" s="3074">
        <f t="shared" si="7"/>
        <v>0</v>
      </c>
      <c r="AD79" s="3074"/>
      <c r="AE79" s="3074"/>
      <c r="AF79" s="2725"/>
    </row>
    <row r="80" spans="1:32" s="3076" customFormat="1" x14ac:dyDescent="0.2">
      <c r="A80" s="3073" t="s">
        <v>2796</v>
      </c>
      <c r="B80" s="2791">
        <v>1</v>
      </c>
      <c r="C80" s="2791">
        <v>110</v>
      </c>
      <c r="D80" s="3074">
        <f>B80*C80</f>
        <v>110</v>
      </c>
      <c r="E80" s="3074"/>
      <c r="F80" s="3074"/>
      <c r="G80" s="3074"/>
      <c r="H80" s="3074"/>
      <c r="I80" s="3074"/>
      <c r="J80" s="3074"/>
      <c r="K80" s="3074"/>
      <c r="L80" s="3074"/>
      <c r="M80" s="3074"/>
      <c r="N80" s="3074"/>
      <c r="O80" s="3074"/>
      <c r="P80" s="3074"/>
      <c r="Q80" s="3074"/>
      <c r="R80" s="3074"/>
      <c r="S80" s="2791"/>
      <c r="T80" s="3074"/>
      <c r="U80" s="3075"/>
      <c r="V80" s="3074"/>
      <c r="W80" s="3074"/>
      <c r="X80" s="3074"/>
      <c r="Y80" s="3074"/>
      <c r="Z80" s="3074"/>
      <c r="AA80" s="3074"/>
      <c r="AB80" s="3074">
        <f t="shared" si="6"/>
        <v>0</v>
      </c>
      <c r="AC80" s="3074">
        <f t="shared" si="7"/>
        <v>0</v>
      </c>
      <c r="AD80" s="3074"/>
      <c r="AE80" s="3074"/>
      <c r="AF80" s="2725"/>
    </row>
    <row r="81" spans="1:32" s="3076" customFormat="1" x14ac:dyDescent="0.2">
      <c r="A81" s="3073" t="s">
        <v>2797</v>
      </c>
      <c r="B81" s="2791">
        <v>1</v>
      </c>
      <c r="C81" s="2791">
        <v>75.099999999999994</v>
      </c>
      <c r="D81" s="3074">
        <f>B81*C81</f>
        <v>75.099999999999994</v>
      </c>
      <c r="E81" s="3074"/>
      <c r="F81" s="3074"/>
      <c r="G81" s="3074"/>
      <c r="H81" s="3074"/>
      <c r="I81" s="3074"/>
      <c r="J81" s="3074"/>
      <c r="K81" s="3074"/>
      <c r="L81" s="3074"/>
      <c r="M81" s="3074"/>
      <c r="N81" s="3074"/>
      <c r="O81" s="3074"/>
      <c r="P81" s="3074"/>
      <c r="Q81" s="3074"/>
      <c r="R81" s="3074"/>
      <c r="S81" s="2791"/>
      <c r="T81" s="3074"/>
      <c r="U81" s="3075"/>
      <c r="V81" s="3074"/>
      <c r="W81" s="3074"/>
      <c r="X81" s="3074"/>
      <c r="Y81" s="3074"/>
      <c r="Z81" s="3074"/>
      <c r="AA81" s="3074"/>
      <c r="AB81" s="3074">
        <f t="shared" si="6"/>
        <v>0</v>
      </c>
      <c r="AC81" s="3074">
        <f t="shared" si="7"/>
        <v>0</v>
      </c>
      <c r="AD81" s="3074"/>
      <c r="AE81" s="3074"/>
      <c r="AF81" s="2725"/>
    </row>
    <row r="82" spans="1:32" s="3072" customFormat="1" x14ac:dyDescent="0.2">
      <c r="A82" s="2801" t="s">
        <v>357</v>
      </c>
      <c r="B82" s="3070"/>
      <c r="C82" s="3070"/>
      <c r="D82" s="3079"/>
      <c r="E82" s="3079"/>
      <c r="F82" s="3079"/>
      <c r="G82" s="3079"/>
      <c r="H82" s="3079"/>
      <c r="I82" s="3079"/>
      <c r="J82" s="3079"/>
      <c r="K82" s="3079"/>
      <c r="L82" s="3079"/>
      <c r="M82" s="3079"/>
      <c r="N82" s="3079"/>
      <c r="O82" s="3079"/>
      <c r="P82" s="3079"/>
      <c r="Q82" s="3079"/>
      <c r="R82" s="3079"/>
      <c r="S82" s="3070"/>
      <c r="T82" s="3079"/>
      <c r="U82" s="3070"/>
      <c r="V82" s="3079"/>
      <c r="W82" s="3079"/>
      <c r="X82" s="3079"/>
      <c r="Y82" s="3079"/>
      <c r="Z82" s="3079"/>
      <c r="AA82" s="3079"/>
      <c r="AB82" s="3079">
        <f t="shared" si="6"/>
        <v>0</v>
      </c>
      <c r="AC82" s="3079">
        <f t="shared" si="7"/>
        <v>0</v>
      </c>
      <c r="AD82" s="3079"/>
      <c r="AE82" s="3079"/>
      <c r="AF82" s="3071"/>
    </row>
    <row r="83" spans="1:32" s="3072" customFormat="1" x14ac:dyDescent="0.2">
      <c r="A83" s="2801" t="s">
        <v>358</v>
      </c>
      <c r="B83" s="3070"/>
      <c r="C83" s="3070"/>
      <c r="D83" s="3079"/>
      <c r="E83" s="3079"/>
      <c r="F83" s="3079"/>
      <c r="G83" s="3079"/>
      <c r="H83" s="3079"/>
      <c r="I83" s="3079"/>
      <c r="J83" s="3079"/>
      <c r="K83" s="3079"/>
      <c r="L83" s="3079"/>
      <c r="M83" s="3079"/>
      <c r="N83" s="3079"/>
      <c r="O83" s="3079"/>
      <c r="P83" s="3079"/>
      <c r="Q83" s="3079"/>
      <c r="R83" s="3079"/>
      <c r="S83" s="3070"/>
      <c r="T83" s="3079"/>
      <c r="U83" s="3070"/>
      <c r="V83" s="3079"/>
      <c r="W83" s="3079"/>
      <c r="X83" s="3079"/>
      <c r="Y83" s="3079"/>
      <c r="Z83" s="3079"/>
      <c r="AA83" s="3079"/>
      <c r="AB83" s="3079">
        <f t="shared" si="6"/>
        <v>0</v>
      </c>
      <c r="AC83" s="3079">
        <f t="shared" si="7"/>
        <v>0</v>
      </c>
      <c r="AD83" s="3079"/>
      <c r="AE83" s="3079"/>
      <c r="AF83" s="3071"/>
    </row>
    <row r="84" spans="1:32" s="3072" customFormat="1" x14ac:dyDescent="0.2">
      <c r="A84" s="2801" t="s">
        <v>359</v>
      </c>
      <c r="B84" s="3070">
        <f t="shared" ref="B84:AA84" si="12">SUM(B85:B122)</f>
        <v>46</v>
      </c>
      <c r="C84" s="3070">
        <f t="shared" si="12"/>
        <v>413.3</v>
      </c>
      <c r="D84" s="3070">
        <f t="shared" si="12"/>
        <v>731.9</v>
      </c>
      <c r="E84" s="3070">
        <f t="shared" si="12"/>
        <v>0</v>
      </c>
      <c r="F84" s="3070">
        <f t="shared" si="12"/>
        <v>0</v>
      </c>
      <c r="G84" s="3070">
        <f t="shared" si="12"/>
        <v>84</v>
      </c>
      <c r="H84" s="3070">
        <f t="shared" si="12"/>
        <v>145.19999999999999</v>
      </c>
      <c r="I84" s="3070">
        <f t="shared" si="12"/>
        <v>0</v>
      </c>
      <c r="J84" s="3070">
        <f t="shared" si="12"/>
        <v>0</v>
      </c>
      <c r="K84" s="3070">
        <f t="shared" si="12"/>
        <v>0</v>
      </c>
      <c r="L84" s="3070">
        <f t="shared" si="12"/>
        <v>0</v>
      </c>
      <c r="M84" s="3070">
        <f t="shared" si="12"/>
        <v>0</v>
      </c>
      <c r="N84" s="3070">
        <f t="shared" si="12"/>
        <v>1</v>
      </c>
      <c r="O84" s="3070">
        <f t="shared" si="12"/>
        <v>16</v>
      </c>
      <c r="P84" s="3070">
        <f t="shared" si="12"/>
        <v>0</v>
      </c>
      <c r="Q84" s="3070">
        <f t="shared" si="12"/>
        <v>4</v>
      </c>
      <c r="R84" s="3070">
        <f t="shared" si="12"/>
        <v>4</v>
      </c>
      <c r="S84" s="3070"/>
      <c r="T84" s="3070">
        <f t="shared" si="12"/>
        <v>10</v>
      </c>
      <c r="U84" s="3070"/>
      <c r="V84" s="3070">
        <f t="shared" si="12"/>
        <v>0</v>
      </c>
      <c r="W84" s="3070">
        <f t="shared" si="12"/>
        <v>0</v>
      </c>
      <c r="X84" s="3070">
        <f t="shared" si="12"/>
        <v>0</v>
      </c>
      <c r="Y84" s="3070">
        <f t="shared" si="12"/>
        <v>0</v>
      </c>
      <c r="Z84" s="3070">
        <f t="shared" si="12"/>
        <v>0</v>
      </c>
      <c r="AA84" s="3070">
        <f t="shared" si="12"/>
        <v>0</v>
      </c>
      <c r="AB84" s="3070">
        <f t="shared" si="6"/>
        <v>0</v>
      </c>
      <c r="AC84" s="3070">
        <f t="shared" si="7"/>
        <v>0</v>
      </c>
      <c r="AD84" s="3070">
        <f>SUM(AD85:AD122)</f>
        <v>0</v>
      </c>
      <c r="AE84" s="3070">
        <f>SUM(AE85:AE122)</f>
        <v>0</v>
      </c>
      <c r="AF84" s="3071"/>
    </row>
    <row r="85" spans="1:32" s="3078" customFormat="1" x14ac:dyDescent="0.2">
      <c r="A85" s="2725" t="s">
        <v>2798</v>
      </c>
      <c r="B85" s="2785"/>
      <c r="C85" s="2785"/>
      <c r="D85" s="2785"/>
      <c r="E85" s="2785"/>
      <c r="F85" s="2785"/>
      <c r="G85" s="2791">
        <v>35</v>
      </c>
      <c r="H85" s="2791">
        <v>24.5</v>
      </c>
      <c r="I85" s="2785"/>
      <c r="J85" s="2785"/>
      <c r="K85" s="2785"/>
      <c r="L85" s="2785"/>
      <c r="M85" s="2785"/>
      <c r="N85" s="2785"/>
      <c r="O85" s="2785"/>
      <c r="P85" s="2785"/>
      <c r="Q85" s="2785"/>
      <c r="R85" s="2785"/>
      <c r="S85" s="2785"/>
      <c r="T85" s="2785"/>
      <c r="U85" s="2785"/>
      <c r="V85" s="2785"/>
      <c r="W85" s="2785"/>
      <c r="X85" s="2785"/>
      <c r="Y85" s="2785"/>
      <c r="Z85" s="2785"/>
      <c r="AA85" s="2785"/>
      <c r="AB85" s="2785">
        <f t="shared" si="6"/>
        <v>0</v>
      </c>
      <c r="AC85" s="2785">
        <f t="shared" si="7"/>
        <v>0</v>
      </c>
      <c r="AD85" s="2785"/>
      <c r="AE85" s="2785"/>
      <c r="AF85" s="2724"/>
    </row>
    <row r="86" spans="1:32" s="3078" customFormat="1" x14ac:dyDescent="0.2">
      <c r="A86" s="2725" t="s">
        <v>2799</v>
      </c>
      <c r="B86" s="2785"/>
      <c r="C86" s="2785"/>
      <c r="D86" s="2785"/>
      <c r="E86" s="2785"/>
      <c r="F86" s="2785"/>
      <c r="G86" s="2791">
        <v>4</v>
      </c>
      <c r="H86" s="2791">
        <v>6.3</v>
      </c>
      <c r="I86" s="2785"/>
      <c r="J86" s="2785"/>
      <c r="K86" s="2785"/>
      <c r="L86" s="2785"/>
      <c r="M86" s="2785"/>
      <c r="N86" s="2785"/>
      <c r="O86" s="2785"/>
      <c r="P86" s="2785"/>
      <c r="Q86" s="2785"/>
      <c r="R86" s="2785"/>
      <c r="S86" s="2785"/>
      <c r="T86" s="2785"/>
      <c r="U86" s="2785"/>
      <c r="V86" s="2785"/>
      <c r="W86" s="2785"/>
      <c r="X86" s="2785"/>
      <c r="Y86" s="2785"/>
      <c r="Z86" s="2785"/>
      <c r="AA86" s="2785"/>
      <c r="AB86" s="2785">
        <f t="shared" si="6"/>
        <v>0</v>
      </c>
      <c r="AC86" s="2785">
        <f t="shared" si="7"/>
        <v>0</v>
      </c>
      <c r="AD86" s="2785"/>
      <c r="AE86" s="2785"/>
      <c r="AF86" s="2724"/>
    </row>
    <row r="87" spans="1:32" s="3078" customFormat="1" x14ac:dyDescent="0.2">
      <c r="A87" s="2725" t="s">
        <v>2800</v>
      </c>
      <c r="B87" s="2785"/>
      <c r="C87" s="2785"/>
      <c r="D87" s="2785"/>
      <c r="E87" s="2785"/>
      <c r="F87" s="2785"/>
      <c r="G87" s="2791">
        <v>12</v>
      </c>
      <c r="H87" s="2791">
        <f>9.48*2</f>
        <v>19</v>
      </c>
      <c r="I87" s="2785"/>
      <c r="J87" s="2785"/>
      <c r="K87" s="2785"/>
      <c r="L87" s="2785"/>
      <c r="M87" s="2785"/>
      <c r="N87" s="2785"/>
      <c r="O87" s="2785"/>
      <c r="P87" s="2785"/>
      <c r="Q87" s="2785"/>
      <c r="R87" s="2785"/>
      <c r="S87" s="2785"/>
      <c r="T87" s="2785"/>
      <c r="U87" s="2785"/>
      <c r="V87" s="2785"/>
      <c r="W87" s="2785"/>
      <c r="X87" s="2785"/>
      <c r="Y87" s="2785"/>
      <c r="Z87" s="2785"/>
      <c r="AA87" s="2785"/>
      <c r="AB87" s="2785">
        <f t="shared" si="6"/>
        <v>0</v>
      </c>
      <c r="AC87" s="2785">
        <f t="shared" si="7"/>
        <v>0</v>
      </c>
      <c r="AD87" s="2785"/>
      <c r="AE87" s="2785"/>
      <c r="AF87" s="2724"/>
    </row>
    <row r="88" spans="1:32" s="3078" customFormat="1" x14ac:dyDescent="0.2">
      <c r="A88" s="2725" t="s">
        <v>2801</v>
      </c>
      <c r="B88" s="2785"/>
      <c r="C88" s="2785"/>
      <c r="D88" s="2785"/>
      <c r="E88" s="2785"/>
      <c r="F88" s="2785"/>
      <c r="G88" s="2791">
        <v>8</v>
      </c>
      <c r="H88" s="2791">
        <f>6.32*2</f>
        <v>12.6</v>
      </c>
      <c r="I88" s="2785"/>
      <c r="J88" s="2785"/>
      <c r="K88" s="2785"/>
      <c r="L88" s="2785"/>
      <c r="M88" s="2785"/>
      <c r="N88" s="2785"/>
      <c r="O88" s="2785"/>
      <c r="P88" s="2785"/>
      <c r="Q88" s="2785"/>
      <c r="R88" s="2785"/>
      <c r="S88" s="2785"/>
      <c r="T88" s="2785"/>
      <c r="U88" s="2785"/>
      <c r="V88" s="2785"/>
      <c r="W88" s="2785"/>
      <c r="X88" s="2785"/>
      <c r="Y88" s="2785"/>
      <c r="Z88" s="2785"/>
      <c r="AA88" s="2785"/>
      <c r="AB88" s="2785">
        <f t="shared" si="6"/>
        <v>0</v>
      </c>
      <c r="AC88" s="2785">
        <f t="shared" si="7"/>
        <v>0</v>
      </c>
      <c r="AD88" s="2785"/>
      <c r="AE88" s="2785"/>
      <c r="AF88" s="2724"/>
    </row>
    <row r="89" spans="1:32" s="3078" customFormat="1" x14ac:dyDescent="0.2">
      <c r="A89" s="2725" t="s">
        <v>2802</v>
      </c>
      <c r="B89" s="2785"/>
      <c r="C89" s="2785"/>
      <c r="D89" s="2785"/>
      <c r="E89" s="2785"/>
      <c r="F89" s="2785"/>
      <c r="G89" s="2791">
        <v>8</v>
      </c>
      <c r="H89" s="2791">
        <f>9.88*2</f>
        <v>19.8</v>
      </c>
      <c r="I89" s="2785"/>
      <c r="J89" s="2785"/>
      <c r="K89" s="2785"/>
      <c r="L89" s="2785"/>
      <c r="M89" s="2785"/>
      <c r="N89" s="2785"/>
      <c r="O89" s="2785"/>
      <c r="P89" s="2785"/>
      <c r="Q89" s="2785"/>
      <c r="R89" s="2785"/>
      <c r="S89" s="2785"/>
      <c r="T89" s="2785"/>
      <c r="U89" s="2785"/>
      <c r="V89" s="2785"/>
      <c r="W89" s="2785"/>
      <c r="X89" s="2785"/>
      <c r="Y89" s="2785"/>
      <c r="Z89" s="2785"/>
      <c r="AA89" s="2785"/>
      <c r="AB89" s="2785">
        <f t="shared" si="6"/>
        <v>0</v>
      </c>
      <c r="AC89" s="2785">
        <f t="shared" si="7"/>
        <v>0</v>
      </c>
      <c r="AD89" s="2785"/>
      <c r="AE89" s="2785"/>
      <c r="AF89" s="2724"/>
    </row>
    <row r="90" spans="1:32" s="3078" customFormat="1" x14ac:dyDescent="0.2">
      <c r="A90" s="2725" t="s">
        <v>2803</v>
      </c>
      <c r="B90" s="2785"/>
      <c r="C90" s="2785"/>
      <c r="D90" s="2785"/>
      <c r="E90" s="2785"/>
      <c r="F90" s="2785"/>
      <c r="G90" s="2791">
        <v>4</v>
      </c>
      <c r="H90" s="2791">
        <f>6.43*2</f>
        <v>12.9</v>
      </c>
      <c r="I90" s="2785"/>
      <c r="J90" s="2785"/>
      <c r="K90" s="2785"/>
      <c r="L90" s="2785"/>
      <c r="M90" s="2785"/>
      <c r="N90" s="2785"/>
      <c r="O90" s="2785"/>
      <c r="P90" s="2785"/>
      <c r="Q90" s="2785"/>
      <c r="R90" s="2785"/>
      <c r="S90" s="2785"/>
      <c r="T90" s="2785"/>
      <c r="U90" s="2785"/>
      <c r="V90" s="2785"/>
      <c r="W90" s="2785"/>
      <c r="X90" s="2785"/>
      <c r="Y90" s="2785"/>
      <c r="Z90" s="2785"/>
      <c r="AA90" s="2785"/>
      <c r="AB90" s="2785">
        <f t="shared" si="6"/>
        <v>0</v>
      </c>
      <c r="AC90" s="2785">
        <f t="shared" si="7"/>
        <v>0</v>
      </c>
      <c r="AD90" s="2785"/>
      <c r="AE90" s="2785"/>
      <c r="AF90" s="2724"/>
    </row>
    <row r="91" spans="1:32" s="3078" customFormat="1" x14ac:dyDescent="0.2">
      <c r="A91" s="2725" t="s">
        <v>2804</v>
      </c>
      <c r="B91" s="2785"/>
      <c r="C91" s="2785"/>
      <c r="D91" s="2785"/>
      <c r="E91" s="2785"/>
      <c r="F91" s="2785"/>
      <c r="G91" s="2791">
        <v>4</v>
      </c>
      <c r="H91" s="2791">
        <f>4.94*2</f>
        <v>9.9</v>
      </c>
      <c r="I91" s="2785"/>
      <c r="J91" s="2785"/>
      <c r="K91" s="2785"/>
      <c r="L91" s="2785"/>
      <c r="M91" s="2785"/>
      <c r="N91" s="2785"/>
      <c r="O91" s="2785"/>
      <c r="P91" s="2785"/>
      <c r="Q91" s="2785"/>
      <c r="R91" s="2785"/>
      <c r="S91" s="2785"/>
      <c r="T91" s="2785"/>
      <c r="U91" s="2785"/>
      <c r="V91" s="2785"/>
      <c r="W91" s="2785"/>
      <c r="X91" s="2785"/>
      <c r="Y91" s="2785"/>
      <c r="Z91" s="2785"/>
      <c r="AA91" s="2785"/>
      <c r="AB91" s="2785">
        <f t="shared" si="6"/>
        <v>0</v>
      </c>
      <c r="AC91" s="2785">
        <f t="shared" si="7"/>
        <v>0</v>
      </c>
      <c r="AD91" s="2785"/>
      <c r="AE91" s="2785"/>
      <c r="AF91" s="2724"/>
    </row>
    <row r="92" spans="1:32" s="3078" customFormat="1" x14ac:dyDescent="0.2">
      <c r="A92" s="2725" t="s">
        <v>2805</v>
      </c>
      <c r="B92" s="2785"/>
      <c r="C92" s="2785"/>
      <c r="D92" s="2785"/>
      <c r="E92" s="2785"/>
      <c r="F92" s="2785"/>
      <c r="G92" s="2791">
        <v>6</v>
      </c>
      <c r="H92" s="2791">
        <f>6.43*3</f>
        <v>19.3</v>
      </c>
      <c r="I92" s="2785"/>
      <c r="J92" s="2785"/>
      <c r="K92" s="2785"/>
      <c r="L92" s="2785"/>
      <c r="M92" s="2785"/>
      <c r="N92" s="2785"/>
      <c r="O92" s="2785"/>
      <c r="P92" s="2785"/>
      <c r="Q92" s="2785"/>
      <c r="R92" s="2785"/>
      <c r="S92" s="2785"/>
      <c r="T92" s="2785"/>
      <c r="U92" s="2785"/>
      <c r="V92" s="2785"/>
      <c r="W92" s="2785"/>
      <c r="X92" s="2785"/>
      <c r="Y92" s="2785"/>
      <c r="Z92" s="2785"/>
      <c r="AA92" s="2785"/>
      <c r="AB92" s="2785">
        <f t="shared" si="6"/>
        <v>0</v>
      </c>
      <c r="AC92" s="2785">
        <f t="shared" si="7"/>
        <v>0</v>
      </c>
      <c r="AD92" s="2785"/>
      <c r="AE92" s="2785"/>
      <c r="AF92" s="2724"/>
    </row>
    <row r="93" spans="1:32" s="3078" customFormat="1" x14ac:dyDescent="0.2">
      <c r="A93" s="2725" t="s">
        <v>2806</v>
      </c>
      <c r="B93" s="2785"/>
      <c r="C93" s="2785"/>
      <c r="D93" s="2785"/>
      <c r="E93" s="2785"/>
      <c r="F93" s="2785"/>
      <c r="G93" s="2791">
        <v>2</v>
      </c>
      <c r="H93" s="2791">
        <f>3.215*2</f>
        <v>6.4</v>
      </c>
      <c r="I93" s="2785"/>
      <c r="J93" s="2785"/>
      <c r="K93" s="2785"/>
      <c r="L93" s="2785"/>
      <c r="M93" s="2785"/>
      <c r="N93" s="2785"/>
      <c r="O93" s="2785"/>
      <c r="P93" s="2785"/>
      <c r="Q93" s="2785"/>
      <c r="R93" s="2785"/>
      <c r="S93" s="2785"/>
      <c r="T93" s="2785"/>
      <c r="U93" s="2785"/>
      <c r="V93" s="2785"/>
      <c r="W93" s="2785"/>
      <c r="X93" s="2785"/>
      <c r="Y93" s="2785"/>
      <c r="Z93" s="2785"/>
      <c r="AA93" s="2785"/>
      <c r="AB93" s="2785">
        <f t="shared" si="6"/>
        <v>0</v>
      </c>
      <c r="AC93" s="2785">
        <f t="shared" si="7"/>
        <v>0</v>
      </c>
      <c r="AD93" s="2785"/>
      <c r="AE93" s="2785"/>
      <c r="AF93" s="2724"/>
    </row>
    <row r="94" spans="1:32" s="3078" customFormat="1" x14ac:dyDescent="0.2">
      <c r="A94" s="2725" t="s">
        <v>2807</v>
      </c>
      <c r="B94" s="2785"/>
      <c r="C94" s="2785"/>
      <c r="D94" s="2785"/>
      <c r="E94" s="2785"/>
      <c r="F94" s="2785"/>
      <c r="G94" s="2791">
        <v>1</v>
      </c>
      <c r="H94" s="2791">
        <v>14.5</v>
      </c>
      <c r="I94" s="2785"/>
      <c r="J94" s="2785"/>
      <c r="K94" s="2785"/>
      <c r="L94" s="2785"/>
      <c r="M94" s="2785"/>
      <c r="N94" s="2785"/>
      <c r="O94" s="2785"/>
      <c r="P94" s="2785"/>
      <c r="Q94" s="2785"/>
      <c r="R94" s="2785"/>
      <c r="S94" s="2785"/>
      <c r="T94" s="2785"/>
      <c r="U94" s="2785"/>
      <c r="V94" s="2785"/>
      <c r="W94" s="2785"/>
      <c r="X94" s="2785"/>
      <c r="Y94" s="2785"/>
      <c r="Z94" s="2785"/>
      <c r="AA94" s="2785"/>
      <c r="AB94" s="2785">
        <f t="shared" si="6"/>
        <v>0</v>
      </c>
      <c r="AC94" s="2785">
        <f t="shared" si="7"/>
        <v>0</v>
      </c>
      <c r="AD94" s="2785"/>
      <c r="AE94" s="2785"/>
      <c r="AF94" s="2724"/>
    </row>
    <row r="95" spans="1:32" s="3076" customFormat="1" x14ac:dyDescent="0.2">
      <c r="A95" s="3073" t="s">
        <v>2808</v>
      </c>
      <c r="B95" s="2791">
        <v>1</v>
      </c>
      <c r="C95" s="2718">
        <v>18.3</v>
      </c>
      <c r="D95" s="3074">
        <f>B95*C95</f>
        <v>18.3</v>
      </c>
      <c r="E95" s="3074"/>
      <c r="F95" s="3074"/>
      <c r="G95" s="3074"/>
      <c r="H95" s="3074"/>
      <c r="I95" s="3074"/>
      <c r="J95" s="3074"/>
      <c r="K95" s="3074"/>
      <c r="L95" s="3074"/>
      <c r="M95" s="3074"/>
      <c r="N95" s="3074"/>
      <c r="O95" s="3074"/>
      <c r="P95" s="3074"/>
      <c r="Q95" s="3074"/>
      <c r="R95" s="3074"/>
      <c r="S95" s="2791"/>
      <c r="T95" s="3074"/>
      <c r="U95" s="3075"/>
      <c r="V95" s="3074"/>
      <c r="W95" s="3074"/>
      <c r="X95" s="3074"/>
      <c r="Y95" s="3074"/>
      <c r="Z95" s="3074"/>
      <c r="AA95" s="3074"/>
      <c r="AB95" s="3074">
        <f t="shared" si="6"/>
        <v>0</v>
      </c>
      <c r="AC95" s="3074">
        <f t="shared" si="7"/>
        <v>0</v>
      </c>
      <c r="AD95" s="3074"/>
      <c r="AE95" s="3074"/>
      <c r="AF95" s="2725"/>
    </row>
    <row r="96" spans="1:32" s="3076" customFormat="1" x14ac:dyDescent="0.2">
      <c r="A96" s="3073" t="s">
        <v>2808</v>
      </c>
      <c r="B96" s="2791">
        <v>1</v>
      </c>
      <c r="C96" s="2718">
        <v>18.3</v>
      </c>
      <c r="D96" s="3074">
        <f t="shared" ref="D96:D117" si="13">B96*C96</f>
        <v>18.3</v>
      </c>
      <c r="E96" s="3074"/>
      <c r="F96" s="3074"/>
      <c r="G96" s="3074"/>
      <c r="H96" s="3074"/>
      <c r="I96" s="3074"/>
      <c r="J96" s="3074"/>
      <c r="K96" s="3074"/>
      <c r="L96" s="3074"/>
      <c r="M96" s="3074"/>
      <c r="N96" s="3074"/>
      <c r="O96" s="3074"/>
      <c r="P96" s="3074"/>
      <c r="Q96" s="3074"/>
      <c r="R96" s="3074"/>
      <c r="S96" s="2791"/>
      <c r="T96" s="3074"/>
      <c r="U96" s="3075"/>
      <c r="V96" s="3074"/>
      <c r="W96" s="3074"/>
      <c r="X96" s="3074"/>
      <c r="Y96" s="3074"/>
      <c r="Z96" s="3074"/>
      <c r="AA96" s="3074"/>
      <c r="AB96" s="3074">
        <f t="shared" si="6"/>
        <v>0</v>
      </c>
      <c r="AC96" s="3074">
        <f t="shared" si="7"/>
        <v>0</v>
      </c>
      <c r="AD96" s="3074"/>
      <c r="AE96" s="3074"/>
      <c r="AF96" s="2725"/>
    </row>
    <row r="97" spans="1:32" s="3076" customFormat="1" x14ac:dyDescent="0.2">
      <c r="A97" s="3073" t="s">
        <v>2808</v>
      </c>
      <c r="B97" s="2791">
        <v>1</v>
      </c>
      <c r="C97" s="2718">
        <v>18.3</v>
      </c>
      <c r="D97" s="3074">
        <f t="shared" si="13"/>
        <v>18.3</v>
      </c>
      <c r="E97" s="3074"/>
      <c r="F97" s="3074"/>
      <c r="G97" s="3074"/>
      <c r="H97" s="3074"/>
      <c r="I97" s="3074"/>
      <c r="J97" s="3074"/>
      <c r="K97" s="3074"/>
      <c r="L97" s="3074"/>
      <c r="M97" s="3074"/>
      <c r="N97" s="3074"/>
      <c r="O97" s="3074"/>
      <c r="P97" s="3074"/>
      <c r="Q97" s="3074"/>
      <c r="R97" s="3074"/>
      <c r="S97" s="2791"/>
      <c r="T97" s="3074"/>
      <c r="U97" s="3075"/>
      <c r="V97" s="3074"/>
      <c r="W97" s="3074"/>
      <c r="X97" s="3074"/>
      <c r="Y97" s="3074"/>
      <c r="Z97" s="3074"/>
      <c r="AA97" s="3074"/>
      <c r="AB97" s="3074">
        <f t="shared" si="6"/>
        <v>0</v>
      </c>
      <c r="AC97" s="3074">
        <f t="shared" si="7"/>
        <v>0</v>
      </c>
      <c r="AD97" s="3074"/>
      <c r="AE97" s="3074"/>
      <c r="AF97" s="2725"/>
    </row>
    <row r="98" spans="1:32" s="3076" customFormat="1" x14ac:dyDescent="0.2">
      <c r="A98" s="3073" t="s">
        <v>2808</v>
      </c>
      <c r="B98" s="2791">
        <v>1</v>
      </c>
      <c r="C98" s="2718">
        <v>18.3</v>
      </c>
      <c r="D98" s="3074">
        <f t="shared" si="13"/>
        <v>18.3</v>
      </c>
      <c r="E98" s="3074"/>
      <c r="F98" s="3074"/>
      <c r="G98" s="3074"/>
      <c r="H98" s="3074"/>
      <c r="I98" s="3074"/>
      <c r="J98" s="3074"/>
      <c r="K98" s="3074"/>
      <c r="L98" s="3074"/>
      <c r="M98" s="3074"/>
      <c r="N98" s="3074"/>
      <c r="O98" s="3074"/>
      <c r="P98" s="3074"/>
      <c r="Q98" s="3074"/>
      <c r="R98" s="3074"/>
      <c r="S98" s="2791"/>
      <c r="T98" s="3074"/>
      <c r="U98" s="3075"/>
      <c r="V98" s="3074"/>
      <c r="W98" s="3074"/>
      <c r="X98" s="3074"/>
      <c r="Y98" s="3074"/>
      <c r="Z98" s="3074"/>
      <c r="AA98" s="3074"/>
      <c r="AB98" s="3074">
        <f t="shared" si="6"/>
        <v>0</v>
      </c>
      <c r="AC98" s="3074">
        <f t="shared" si="7"/>
        <v>0</v>
      </c>
      <c r="AD98" s="3074"/>
      <c r="AE98" s="3074"/>
      <c r="AF98" s="2725"/>
    </row>
    <row r="99" spans="1:32" s="3076" customFormat="1" x14ac:dyDescent="0.2">
      <c r="A99" s="3073" t="s">
        <v>2808</v>
      </c>
      <c r="B99" s="2791">
        <v>1</v>
      </c>
      <c r="C99" s="2718">
        <v>18.3</v>
      </c>
      <c r="D99" s="3074">
        <f t="shared" si="13"/>
        <v>18.3</v>
      </c>
      <c r="E99" s="3074"/>
      <c r="F99" s="3074"/>
      <c r="G99" s="3074"/>
      <c r="H99" s="3074"/>
      <c r="I99" s="3074"/>
      <c r="J99" s="3074"/>
      <c r="K99" s="3074"/>
      <c r="L99" s="3074"/>
      <c r="M99" s="3074"/>
      <c r="N99" s="3074"/>
      <c r="O99" s="3074"/>
      <c r="P99" s="3074"/>
      <c r="Q99" s="3074"/>
      <c r="R99" s="3074"/>
      <c r="S99" s="2791"/>
      <c r="T99" s="3074"/>
      <c r="U99" s="3075"/>
      <c r="V99" s="3074"/>
      <c r="W99" s="3074"/>
      <c r="X99" s="3074"/>
      <c r="Y99" s="3074"/>
      <c r="Z99" s="3074"/>
      <c r="AA99" s="3074"/>
      <c r="AB99" s="3074">
        <f t="shared" si="6"/>
        <v>0</v>
      </c>
      <c r="AC99" s="3074">
        <f t="shared" si="7"/>
        <v>0</v>
      </c>
      <c r="AD99" s="3074"/>
      <c r="AE99" s="3074"/>
      <c r="AF99" s="2725"/>
    </row>
    <row r="100" spans="1:32" s="3076" customFormat="1" x14ac:dyDescent="0.2">
      <c r="A100" s="3073" t="s">
        <v>2808</v>
      </c>
      <c r="B100" s="2791">
        <v>1</v>
      </c>
      <c r="C100" s="2718">
        <v>18.3</v>
      </c>
      <c r="D100" s="3074">
        <f t="shared" si="13"/>
        <v>18.3</v>
      </c>
      <c r="E100" s="3074"/>
      <c r="F100" s="3074"/>
      <c r="G100" s="3074"/>
      <c r="H100" s="3074"/>
      <c r="I100" s="3074"/>
      <c r="J100" s="3074"/>
      <c r="K100" s="3074"/>
      <c r="L100" s="3074"/>
      <c r="M100" s="3074"/>
      <c r="N100" s="3074"/>
      <c r="O100" s="3074"/>
      <c r="P100" s="3074"/>
      <c r="Q100" s="3074"/>
      <c r="R100" s="3074"/>
      <c r="S100" s="2791"/>
      <c r="T100" s="3074"/>
      <c r="U100" s="3075"/>
      <c r="V100" s="3074"/>
      <c r="W100" s="3074"/>
      <c r="X100" s="3074"/>
      <c r="Y100" s="3074"/>
      <c r="Z100" s="3074"/>
      <c r="AA100" s="3074"/>
      <c r="AB100" s="3074">
        <f t="shared" si="6"/>
        <v>0</v>
      </c>
      <c r="AC100" s="3074">
        <f t="shared" si="7"/>
        <v>0</v>
      </c>
      <c r="AD100" s="3074"/>
      <c r="AE100" s="3074"/>
      <c r="AF100" s="2725"/>
    </row>
    <row r="101" spans="1:32" s="3076" customFormat="1" x14ac:dyDescent="0.2">
      <c r="A101" s="3073" t="s">
        <v>2809</v>
      </c>
      <c r="B101" s="2791">
        <v>1</v>
      </c>
      <c r="C101" s="2718">
        <v>17.3</v>
      </c>
      <c r="D101" s="3074">
        <f t="shared" si="13"/>
        <v>17.3</v>
      </c>
      <c r="E101" s="3074"/>
      <c r="F101" s="3074"/>
      <c r="G101" s="3074"/>
      <c r="H101" s="3074"/>
      <c r="I101" s="3074"/>
      <c r="J101" s="3074"/>
      <c r="K101" s="3074"/>
      <c r="L101" s="3074"/>
      <c r="M101" s="3074"/>
      <c r="N101" s="3074"/>
      <c r="O101" s="3074"/>
      <c r="P101" s="3074"/>
      <c r="Q101" s="3074"/>
      <c r="R101" s="3074"/>
      <c r="S101" s="2791"/>
      <c r="T101" s="3074"/>
      <c r="U101" s="3075"/>
      <c r="V101" s="3074"/>
      <c r="W101" s="3074"/>
      <c r="X101" s="3074"/>
      <c r="Y101" s="3074"/>
      <c r="Z101" s="3074"/>
      <c r="AA101" s="3074"/>
      <c r="AB101" s="3074">
        <f t="shared" si="6"/>
        <v>0</v>
      </c>
      <c r="AC101" s="3074">
        <f t="shared" si="7"/>
        <v>0</v>
      </c>
      <c r="AD101" s="3074"/>
      <c r="AE101" s="3074"/>
      <c r="AF101" s="2725"/>
    </row>
    <row r="102" spans="1:32" s="3076" customFormat="1" x14ac:dyDescent="0.2">
      <c r="A102" s="3073" t="s">
        <v>2809</v>
      </c>
      <c r="B102" s="2791">
        <v>1</v>
      </c>
      <c r="C102" s="2718">
        <v>17.3</v>
      </c>
      <c r="D102" s="3074">
        <f t="shared" si="13"/>
        <v>17.3</v>
      </c>
      <c r="E102" s="3074"/>
      <c r="F102" s="3074"/>
      <c r="G102" s="3074"/>
      <c r="H102" s="3074"/>
      <c r="I102" s="3074"/>
      <c r="J102" s="3074"/>
      <c r="K102" s="3074"/>
      <c r="L102" s="3074"/>
      <c r="M102" s="3074"/>
      <c r="N102" s="3074"/>
      <c r="O102" s="3074"/>
      <c r="P102" s="3074"/>
      <c r="Q102" s="3074"/>
      <c r="R102" s="3074"/>
      <c r="S102" s="2791"/>
      <c r="T102" s="3074"/>
      <c r="U102" s="3075"/>
      <c r="V102" s="3074"/>
      <c r="W102" s="3074"/>
      <c r="X102" s="3074"/>
      <c r="Y102" s="3074"/>
      <c r="Z102" s="3074"/>
      <c r="AA102" s="3074"/>
      <c r="AB102" s="3074">
        <f t="shared" si="6"/>
        <v>0</v>
      </c>
      <c r="AC102" s="3074">
        <f t="shared" si="7"/>
        <v>0</v>
      </c>
      <c r="AD102" s="3074"/>
      <c r="AE102" s="3074"/>
      <c r="AF102" s="2725"/>
    </row>
    <row r="103" spans="1:32" s="3076" customFormat="1" x14ac:dyDescent="0.2">
      <c r="A103" s="3073" t="s">
        <v>2809</v>
      </c>
      <c r="B103" s="2791">
        <v>1</v>
      </c>
      <c r="C103" s="2718">
        <v>17.3</v>
      </c>
      <c r="D103" s="3074">
        <f t="shared" si="13"/>
        <v>17.3</v>
      </c>
      <c r="E103" s="3074"/>
      <c r="F103" s="3074"/>
      <c r="G103" s="3074"/>
      <c r="H103" s="3074"/>
      <c r="I103" s="3074"/>
      <c r="J103" s="3074"/>
      <c r="K103" s="3074"/>
      <c r="L103" s="3074"/>
      <c r="M103" s="3074"/>
      <c r="N103" s="3074"/>
      <c r="O103" s="3074"/>
      <c r="P103" s="3074"/>
      <c r="Q103" s="3074"/>
      <c r="R103" s="3074"/>
      <c r="S103" s="2791"/>
      <c r="T103" s="3074"/>
      <c r="U103" s="3075"/>
      <c r="V103" s="3074"/>
      <c r="W103" s="3074"/>
      <c r="X103" s="3074"/>
      <c r="Y103" s="3074"/>
      <c r="Z103" s="3074"/>
      <c r="AA103" s="3074"/>
      <c r="AB103" s="3074">
        <f t="shared" si="6"/>
        <v>0</v>
      </c>
      <c r="AC103" s="3074">
        <f t="shared" si="7"/>
        <v>0</v>
      </c>
      <c r="AD103" s="3074"/>
      <c r="AE103" s="3074"/>
      <c r="AF103" s="2725"/>
    </row>
    <row r="104" spans="1:32" s="3076" customFormat="1" x14ac:dyDescent="0.2">
      <c r="A104" s="3073" t="s">
        <v>2809</v>
      </c>
      <c r="B104" s="2791">
        <v>1</v>
      </c>
      <c r="C104" s="2718">
        <v>17.3</v>
      </c>
      <c r="D104" s="3074">
        <f t="shared" si="13"/>
        <v>17.3</v>
      </c>
      <c r="E104" s="3074"/>
      <c r="F104" s="3074"/>
      <c r="G104" s="3074"/>
      <c r="H104" s="3074"/>
      <c r="I104" s="3074"/>
      <c r="J104" s="3074"/>
      <c r="K104" s="3074"/>
      <c r="L104" s="3074"/>
      <c r="M104" s="3074"/>
      <c r="N104" s="3074"/>
      <c r="O104" s="3074"/>
      <c r="P104" s="3074"/>
      <c r="Q104" s="3074"/>
      <c r="R104" s="3074"/>
      <c r="S104" s="2791"/>
      <c r="T104" s="3074"/>
      <c r="U104" s="3075"/>
      <c r="V104" s="3074"/>
      <c r="W104" s="3074"/>
      <c r="X104" s="3074"/>
      <c r="Y104" s="3074"/>
      <c r="Z104" s="3074"/>
      <c r="AA104" s="3074"/>
      <c r="AB104" s="3074">
        <f t="shared" si="6"/>
        <v>0</v>
      </c>
      <c r="AC104" s="3074">
        <f t="shared" si="7"/>
        <v>0</v>
      </c>
      <c r="AD104" s="3074"/>
      <c r="AE104" s="3074"/>
      <c r="AF104" s="2725"/>
    </row>
    <row r="105" spans="1:32" s="3076" customFormat="1" x14ac:dyDescent="0.2">
      <c r="A105" s="3073" t="s">
        <v>2809</v>
      </c>
      <c r="B105" s="2791">
        <v>1</v>
      </c>
      <c r="C105" s="2718">
        <v>17.3</v>
      </c>
      <c r="D105" s="3074">
        <f t="shared" si="13"/>
        <v>17.3</v>
      </c>
      <c r="E105" s="3074"/>
      <c r="F105" s="3074"/>
      <c r="G105" s="3074"/>
      <c r="H105" s="3074"/>
      <c r="I105" s="3074"/>
      <c r="J105" s="3074"/>
      <c r="K105" s="3074"/>
      <c r="L105" s="3074"/>
      <c r="M105" s="3074"/>
      <c r="N105" s="3074"/>
      <c r="O105" s="3074"/>
      <c r="P105" s="3074"/>
      <c r="Q105" s="3074"/>
      <c r="R105" s="3074"/>
      <c r="S105" s="2791"/>
      <c r="T105" s="3074"/>
      <c r="U105" s="3075"/>
      <c r="V105" s="3074"/>
      <c r="W105" s="3074"/>
      <c r="X105" s="3074"/>
      <c r="Y105" s="3074"/>
      <c r="Z105" s="3074"/>
      <c r="AA105" s="3074"/>
      <c r="AB105" s="3074">
        <f t="shared" si="6"/>
        <v>0</v>
      </c>
      <c r="AC105" s="3074">
        <f t="shared" si="7"/>
        <v>0</v>
      </c>
      <c r="AD105" s="3074"/>
      <c r="AE105" s="3074"/>
      <c r="AF105" s="2725"/>
    </row>
    <row r="106" spans="1:32" s="3076" customFormat="1" x14ac:dyDescent="0.2">
      <c r="A106" s="3073" t="s">
        <v>2809</v>
      </c>
      <c r="B106" s="2791">
        <v>1</v>
      </c>
      <c r="C106" s="2718">
        <v>17.3</v>
      </c>
      <c r="D106" s="3074">
        <f t="shared" si="13"/>
        <v>17.3</v>
      </c>
      <c r="E106" s="3074"/>
      <c r="F106" s="3074"/>
      <c r="G106" s="3074"/>
      <c r="H106" s="3074"/>
      <c r="I106" s="3074"/>
      <c r="J106" s="3074"/>
      <c r="K106" s="3074"/>
      <c r="L106" s="3074"/>
      <c r="M106" s="3074"/>
      <c r="N106" s="3074"/>
      <c r="O106" s="3074"/>
      <c r="P106" s="3074"/>
      <c r="Q106" s="3074"/>
      <c r="R106" s="3074"/>
      <c r="S106" s="2791"/>
      <c r="T106" s="3074"/>
      <c r="U106" s="3075"/>
      <c r="V106" s="3074"/>
      <c r="W106" s="3074"/>
      <c r="X106" s="3074"/>
      <c r="Y106" s="3074"/>
      <c r="Z106" s="3074"/>
      <c r="AA106" s="3074"/>
      <c r="AB106" s="3074">
        <f t="shared" si="6"/>
        <v>0</v>
      </c>
      <c r="AC106" s="3074">
        <f t="shared" si="7"/>
        <v>0</v>
      </c>
      <c r="AD106" s="3074"/>
      <c r="AE106" s="3074"/>
      <c r="AF106" s="2725"/>
    </row>
    <row r="107" spans="1:32" s="3076" customFormat="1" x14ac:dyDescent="0.2">
      <c r="A107" s="3073" t="s">
        <v>2810</v>
      </c>
      <c r="B107" s="2791">
        <v>1</v>
      </c>
      <c r="C107" s="2718">
        <v>10.4</v>
      </c>
      <c r="D107" s="3074">
        <f t="shared" si="13"/>
        <v>10.4</v>
      </c>
      <c r="E107" s="3074"/>
      <c r="F107" s="3074"/>
      <c r="G107" s="3074"/>
      <c r="H107" s="3074"/>
      <c r="I107" s="3074"/>
      <c r="J107" s="3074"/>
      <c r="K107" s="3074"/>
      <c r="L107" s="3074"/>
      <c r="M107" s="3074"/>
      <c r="N107" s="3074"/>
      <c r="O107" s="3074"/>
      <c r="P107" s="3074"/>
      <c r="Q107" s="3074"/>
      <c r="R107" s="3074"/>
      <c r="S107" s="2791"/>
      <c r="T107" s="3074"/>
      <c r="U107" s="3075"/>
      <c r="V107" s="3074"/>
      <c r="W107" s="3074"/>
      <c r="X107" s="3074"/>
      <c r="Y107" s="3074"/>
      <c r="Z107" s="3074"/>
      <c r="AA107" s="3074"/>
      <c r="AB107" s="3074">
        <f t="shared" si="6"/>
        <v>0</v>
      </c>
      <c r="AC107" s="3074">
        <f t="shared" si="7"/>
        <v>0</v>
      </c>
      <c r="AD107" s="3074"/>
      <c r="AE107" s="3074"/>
      <c r="AF107" s="2725"/>
    </row>
    <row r="108" spans="1:32" s="3076" customFormat="1" x14ac:dyDescent="0.2">
      <c r="A108" s="3073" t="s">
        <v>2811</v>
      </c>
      <c r="B108" s="2791">
        <v>1</v>
      </c>
      <c r="C108" s="2718">
        <v>23</v>
      </c>
      <c r="D108" s="3074">
        <f t="shared" si="13"/>
        <v>23</v>
      </c>
      <c r="E108" s="3074"/>
      <c r="F108" s="3074"/>
      <c r="G108" s="3074"/>
      <c r="H108" s="3074"/>
      <c r="I108" s="3074"/>
      <c r="J108" s="3074"/>
      <c r="K108" s="3074"/>
      <c r="L108" s="3074"/>
      <c r="M108" s="3074"/>
      <c r="N108" s="3074"/>
      <c r="O108" s="3074"/>
      <c r="P108" s="3074"/>
      <c r="Q108" s="3074"/>
      <c r="R108" s="3074"/>
      <c r="S108" s="2791"/>
      <c r="T108" s="3074"/>
      <c r="U108" s="3075"/>
      <c r="V108" s="3074"/>
      <c r="W108" s="3074"/>
      <c r="X108" s="3074"/>
      <c r="Y108" s="3074"/>
      <c r="Z108" s="3074"/>
      <c r="AA108" s="3074"/>
      <c r="AB108" s="3074">
        <f t="shared" si="6"/>
        <v>0</v>
      </c>
      <c r="AC108" s="3074">
        <f t="shared" si="7"/>
        <v>0</v>
      </c>
      <c r="AD108" s="3074"/>
      <c r="AE108" s="3074"/>
      <c r="AF108" s="2725"/>
    </row>
    <row r="109" spans="1:32" s="3076" customFormat="1" x14ac:dyDescent="0.2">
      <c r="A109" s="3073" t="s">
        <v>2810</v>
      </c>
      <c r="B109" s="2791">
        <v>1</v>
      </c>
      <c r="C109" s="2718">
        <v>9</v>
      </c>
      <c r="D109" s="3074">
        <f t="shared" si="13"/>
        <v>9</v>
      </c>
      <c r="E109" s="3074"/>
      <c r="F109" s="3074"/>
      <c r="G109" s="3074"/>
      <c r="H109" s="3074"/>
      <c r="I109" s="3074"/>
      <c r="J109" s="3074"/>
      <c r="K109" s="3074"/>
      <c r="L109" s="3074"/>
      <c r="M109" s="3074"/>
      <c r="N109" s="3074"/>
      <c r="O109" s="3074"/>
      <c r="P109" s="3074"/>
      <c r="Q109" s="3074"/>
      <c r="R109" s="3074"/>
      <c r="S109" s="2791"/>
      <c r="T109" s="3074"/>
      <c r="U109" s="3075"/>
      <c r="V109" s="3074"/>
      <c r="W109" s="3074"/>
      <c r="X109" s="3074"/>
      <c r="Y109" s="3074"/>
      <c r="Z109" s="3074"/>
      <c r="AA109" s="3074"/>
      <c r="AB109" s="3074">
        <f t="shared" ref="AB109:AB154" si="14">X109+Y109-K109</f>
        <v>0</v>
      </c>
      <c r="AC109" s="3074">
        <f t="shared" si="7"/>
        <v>0</v>
      </c>
      <c r="AD109" s="3074"/>
      <c r="AE109" s="3074"/>
      <c r="AF109" s="2725"/>
    </row>
    <row r="110" spans="1:32" s="3076" customFormat="1" x14ac:dyDescent="0.2">
      <c r="A110" s="3073" t="s">
        <v>2812</v>
      </c>
      <c r="B110" s="2791">
        <v>1</v>
      </c>
      <c r="C110" s="2718">
        <v>20</v>
      </c>
      <c r="D110" s="3074">
        <f t="shared" si="13"/>
        <v>20</v>
      </c>
      <c r="E110" s="3074"/>
      <c r="F110" s="3074"/>
      <c r="G110" s="3074"/>
      <c r="H110" s="3074"/>
      <c r="I110" s="3074"/>
      <c r="J110" s="3074"/>
      <c r="K110" s="3074"/>
      <c r="L110" s="3074"/>
      <c r="M110" s="3074"/>
      <c r="N110" s="3074"/>
      <c r="O110" s="3074"/>
      <c r="P110" s="3074"/>
      <c r="Q110" s="3074"/>
      <c r="R110" s="3074"/>
      <c r="S110" s="2791"/>
      <c r="T110" s="3074"/>
      <c r="U110" s="3075"/>
      <c r="V110" s="3074"/>
      <c r="W110" s="3074"/>
      <c r="X110" s="3074"/>
      <c r="Y110" s="3074"/>
      <c r="Z110" s="3074"/>
      <c r="AA110" s="3074"/>
      <c r="AB110" s="3074">
        <f t="shared" si="14"/>
        <v>0</v>
      </c>
      <c r="AC110" s="3074">
        <f t="shared" ref="AC110:AC154" si="15">IFERROR((X110+Y110)/K110*100,0)</f>
        <v>0</v>
      </c>
      <c r="AD110" s="3074"/>
      <c r="AE110" s="3074"/>
      <c r="AF110" s="2725"/>
    </row>
    <row r="111" spans="1:32" s="3076" customFormat="1" x14ac:dyDescent="0.2">
      <c r="A111" s="3073" t="s">
        <v>2813</v>
      </c>
      <c r="B111" s="2791">
        <v>1</v>
      </c>
      <c r="C111" s="2718">
        <v>22</v>
      </c>
      <c r="D111" s="3074">
        <f t="shared" si="13"/>
        <v>22</v>
      </c>
      <c r="E111" s="3074"/>
      <c r="F111" s="3074"/>
      <c r="G111" s="3074"/>
      <c r="H111" s="3074"/>
      <c r="I111" s="3074"/>
      <c r="J111" s="3074"/>
      <c r="K111" s="3074"/>
      <c r="L111" s="3074"/>
      <c r="M111" s="3074"/>
      <c r="N111" s="3074"/>
      <c r="O111" s="3074"/>
      <c r="P111" s="3074"/>
      <c r="Q111" s="3074"/>
      <c r="R111" s="3074"/>
      <c r="S111" s="2791"/>
      <c r="T111" s="3074"/>
      <c r="U111" s="3075"/>
      <c r="V111" s="3074"/>
      <c r="W111" s="3074"/>
      <c r="X111" s="3074"/>
      <c r="Y111" s="3074"/>
      <c r="Z111" s="3074"/>
      <c r="AA111" s="3074"/>
      <c r="AB111" s="3074">
        <f t="shared" si="14"/>
        <v>0</v>
      </c>
      <c r="AC111" s="3074">
        <f t="shared" si="15"/>
        <v>0</v>
      </c>
      <c r="AD111" s="3074"/>
      <c r="AE111" s="3074"/>
      <c r="AF111" s="2725"/>
    </row>
    <row r="112" spans="1:32" s="3076" customFormat="1" x14ac:dyDescent="0.2">
      <c r="A112" s="3073" t="s">
        <v>2814</v>
      </c>
      <c r="B112" s="2791">
        <v>1</v>
      </c>
      <c r="C112" s="2718">
        <v>22</v>
      </c>
      <c r="D112" s="3074">
        <f t="shared" si="13"/>
        <v>22</v>
      </c>
      <c r="E112" s="3074"/>
      <c r="F112" s="3074"/>
      <c r="G112" s="3074"/>
      <c r="H112" s="3074"/>
      <c r="I112" s="3074"/>
      <c r="J112" s="3074"/>
      <c r="K112" s="3074"/>
      <c r="L112" s="3074"/>
      <c r="M112" s="3074"/>
      <c r="N112" s="3074"/>
      <c r="O112" s="3074"/>
      <c r="P112" s="3074"/>
      <c r="Q112" s="3074"/>
      <c r="R112" s="3074"/>
      <c r="S112" s="2791"/>
      <c r="T112" s="3074"/>
      <c r="U112" s="3075"/>
      <c r="V112" s="3074"/>
      <c r="W112" s="3074"/>
      <c r="X112" s="3074"/>
      <c r="Y112" s="3074"/>
      <c r="Z112" s="3074"/>
      <c r="AA112" s="3074"/>
      <c r="AB112" s="3074">
        <f t="shared" si="14"/>
        <v>0</v>
      </c>
      <c r="AC112" s="3074">
        <f t="shared" si="15"/>
        <v>0</v>
      </c>
      <c r="AD112" s="3074"/>
      <c r="AE112" s="3074"/>
      <c r="AF112" s="2725"/>
    </row>
    <row r="113" spans="1:32" s="3076" customFormat="1" x14ac:dyDescent="0.2">
      <c r="A113" s="3073" t="s">
        <v>2815</v>
      </c>
      <c r="B113" s="2791">
        <v>6</v>
      </c>
      <c r="C113" s="2718">
        <v>50</v>
      </c>
      <c r="D113" s="3074">
        <f t="shared" si="13"/>
        <v>300</v>
      </c>
      <c r="E113" s="3074"/>
      <c r="F113" s="3074"/>
      <c r="G113" s="3074"/>
      <c r="H113" s="3074"/>
      <c r="I113" s="3074"/>
      <c r="J113" s="3074"/>
      <c r="K113" s="3074"/>
      <c r="L113" s="3074"/>
      <c r="M113" s="3074"/>
      <c r="N113" s="3074"/>
      <c r="O113" s="3074"/>
      <c r="P113" s="3074"/>
      <c r="Q113" s="3074"/>
      <c r="R113" s="3074"/>
      <c r="S113" s="2791"/>
      <c r="T113" s="3074"/>
      <c r="U113" s="3075"/>
      <c r="V113" s="3074"/>
      <c r="W113" s="3074"/>
      <c r="X113" s="3074"/>
      <c r="Y113" s="3074"/>
      <c r="Z113" s="3074"/>
      <c r="AA113" s="3074"/>
      <c r="AB113" s="3074">
        <f t="shared" si="14"/>
        <v>0</v>
      </c>
      <c r="AC113" s="3074">
        <f t="shared" si="15"/>
        <v>0</v>
      </c>
      <c r="AD113" s="3074"/>
      <c r="AE113" s="3074"/>
      <c r="AF113" s="2725"/>
    </row>
    <row r="114" spans="1:32" s="3076" customFormat="1" x14ac:dyDescent="0.2">
      <c r="A114" s="3073" t="s">
        <v>2816</v>
      </c>
      <c r="B114" s="2791">
        <v>1</v>
      </c>
      <c r="C114" s="2718">
        <v>15.25</v>
      </c>
      <c r="D114" s="3074">
        <f t="shared" si="13"/>
        <v>15.3</v>
      </c>
      <c r="E114" s="3074"/>
      <c r="F114" s="3074"/>
      <c r="G114" s="3074"/>
      <c r="H114" s="3074"/>
      <c r="I114" s="3074"/>
      <c r="J114" s="3074"/>
      <c r="K114" s="3074"/>
      <c r="L114" s="3074"/>
      <c r="M114" s="3074"/>
      <c r="N114" s="3074"/>
      <c r="O114" s="3074"/>
      <c r="P114" s="3074"/>
      <c r="Q114" s="3074"/>
      <c r="R114" s="3074"/>
      <c r="S114" s="2791"/>
      <c r="T114" s="3074"/>
      <c r="U114" s="3075"/>
      <c r="V114" s="3074"/>
      <c r="W114" s="3074"/>
      <c r="X114" s="3074"/>
      <c r="Y114" s="3074"/>
      <c r="Z114" s="3074"/>
      <c r="AA114" s="3074"/>
      <c r="AB114" s="3074">
        <f t="shared" si="14"/>
        <v>0</v>
      </c>
      <c r="AC114" s="3074">
        <f t="shared" si="15"/>
        <v>0</v>
      </c>
      <c r="AD114" s="3074"/>
      <c r="AE114" s="3074"/>
      <c r="AF114" s="2725"/>
    </row>
    <row r="115" spans="1:32" s="3076" customFormat="1" x14ac:dyDescent="0.2">
      <c r="A115" s="3073" t="s">
        <v>2817</v>
      </c>
      <c r="B115" s="2791">
        <v>1</v>
      </c>
      <c r="C115" s="2718">
        <v>15.25</v>
      </c>
      <c r="D115" s="3074">
        <f t="shared" si="13"/>
        <v>15.3</v>
      </c>
      <c r="E115" s="3074"/>
      <c r="F115" s="3074"/>
      <c r="G115" s="3074"/>
      <c r="H115" s="3074"/>
      <c r="I115" s="3074"/>
      <c r="J115" s="3074"/>
      <c r="K115" s="3074"/>
      <c r="L115" s="3074"/>
      <c r="M115" s="3074"/>
      <c r="N115" s="3074"/>
      <c r="O115" s="3074"/>
      <c r="P115" s="3074"/>
      <c r="Q115" s="3074"/>
      <c r="R115" s="3074"/>
      <c r="S115" s="2791"/>
      <c r="T115" s="3074"/>
      <c r="U115" s="3075"/>
      <c r="V115" s="3074"/>
      <c r="W115" s="3074"/>
      <c r="X115" s="3074"/>
      <c r="Y115" s="3074"/>
      <c r="Z115" s="3074"/>
      <c r="AA115" s="3074"/>
      <c r="AB115" s="3074">
        <f t="shared" si="14"/>
        <v>0</v>
      </c>
      <c r="AC115" s="3074">
        <f t="shared" si="15"/>
        <v>0</v>
      </c>
      <c r="AD115" s="3074"/>
      <c r="AE115" s="3074"/>
      <c r="AF115" s="2725"/>
    </row>
    <row r="116" spans="1:32" s="3076" customFormat="1" x14ac:dyDescent="0.2">
      <c r="A116" s="3073" t="s">
        <v>2818</v>
      </c>
      <c r="B116" s="2791">
        <v>6</v>
      </c>
      <c r="C116" s="2718">
        <v>12.2</v>
      </c>
      <c r="D116" s="3074">
        <f t="shared" si="13"/>
        <v>73.2</v>
      </c>
      <c r="E116" s="3074"/>
      <c r="F116" s="3074"/>
      <c r="G116" s="3074"/>
      <c r="H116" s="3074"/>
      <c r="I116" s="3074"/>
      <c r="J116" s="3074"/>
      <c r="K116" s="3074"/>
      <c r="L116" s="3074"/>
      <c r="M116" s="3074"/>
      <c r="N116" s="3074"/>
      <c r="O116" s="3074"/>
      <c r="P116" s="3074"/>
      <c r="Q116" s="3074"/>
      <c r="R116" s="3074"/>
      <c r="S116" s="2791"/>
      <c r="T116" s="3074"/>
      <c r="U116" s="3075"/>
      <c r="V116" s="3074"/>
      <c r="W116" s="3074"/>
      <c r="X116" s="3074"/>
      <c r="Y116" s="3074"/>
      <c r="Z116" s="3074"/>
      <c r="AA116" s="3074"/>
      <c r="AB116" s="3074">
        <f t="shared" si="14"/>
        <v>0</v>
      </c>
      <c r="AC116" s="3074">
        <f t="shared" si="15"/>
        <v>0</v>
      </c>
      <c r="AD116" s="3074"/>
      <c r="AE116" s="3074"/>
      <c r="AF116" s="2725"/>
    </row>
    <row r="117" spans="1:32" s="3076" customFormat="1" x14ac:dyDescent="0.2">
      <c r="A117" s="3073" t="s">
        <v>2819</v>
      </c>
      <c r="B117" s="2791">
        <v>14</v>
      </c>
      <c r="C117" s="2718">
        <v>0.57999999999999996</v>
      </c>
      <c r="D117" s="3074">
        <f t="shared" si="13"/>
        <v>8.1</v>
      </c>
      <c r="E117" s="3074"/>
      <c r="F117" s="3074"/>
      <c r="G117" s="3074"/>
      <c r="H117" s="3074"/>
      <c r="I117" s="3074"/>
      <c r="J117" s="3074"/>
      <c r="K117" s="3074"/>
      <c r="L117" s="3074"/>
      <c r="M117" s="3074"/>
      <c r="N117" s="3074"/>
      <c r="O117" s="3074"/>
      <c r="P117" s="3074"/>
      <c r="Q117" s="3074"/>
      <c r="R117" s="3074"/>
      <c r="S117" s="2791"/>
      <c r="T117" s="3074"/>
      <c r="U117" s="3075"/>
      <c r="V117" s="3074"/>
      <c r="W117" s="3074"/>
      <c r="X117" s="3074"/>
      <c r="Y117" s="3074"/>
      <c r="Z117" s="3074"/>
      <c r="AA117" s="3074"/>
      <c r="AB117" s="3074">
        <f t="shared" si="14"/>
        <v>0</v>
      </c>
      <c r="AC117" s="3074">
        <f t="shared" si="15"/>
        <v>0</v>
      </c>
      <c r="AD117" s="3074"/>
      <c r="AE117" s="3074"/>
      <c r="AF117" s="2725"/>
    </row>
    <row r="118" spans="1:32" s="3076" customFormat="1" x14ac:dyDescent="0.2">
      <c r="A118" s="3073" t="s">
        <v>2737</v>
      </c>
      <c r="B118" s="2791"/>
      <c r="C118" s="2718"/>
      <c r="D118" s="3074"/>
      <c r="E118" s="3074"/>
      <c r="F118" s="3074"/>
      <c r="G118" s="3074"/>
      <c r="H118" s="3074"/>
      <c r="I118" s="3074"/>
      <c r="J118" s="3074"/>
      <c r="K118" s="3074"/>
      <c r="L118" s="3074"/>
      <c r="M118" s="3074"/>
      <c r="N118" s="3074">
        <v>1</v>
      </c>
      <c r="O118" s="3074">
        <v>16</v>
      </c>
      <c r="P118" s="3074"/>
      <c r="Q118" s="3074"/>
      <c r="R118" s="3074"/>
      <c r="S118" s="2791"/>
      <c r="T118" s="3074"/>
      <c r="U118" s="3075"/>
      <c r="V118" s="3074"/>
      <c r="W118" s="3074"/>
      <c r="X118" s="3074"/>
      <c r="Y118" s="3074"/>
      <c r="Z118" s="3074"/>
      <c r="AA118" s="3074"/>
      <c r="AB118" s="3074">
        <f t="shared" si="14"/>
        <v>0</v>
      </c>
      <c r="AC118" s="3074">
        <f t="shared" si="15"/>
        <v>0</v>
      </c>
      <c r="AD118" s="3074"/>
      <c r="AE118" s="3074"/>
      <c r="AF118" s="2725"/>
    </row>
    <row r="119" spans="1:32" s="3076" customFormat="1" ht="126" x14ac:dyDescent="0.2">
      <c r="A119" s="3073" t="s">
        <v>2820</v>
      </c>
      <c r="B119" s="2791"/>
      <c r="C119" s="2791"/>
      <c r="D119" s="3074"/>
      <c r="E119" s="3074"/>
      <c r="F119" s="3074"/>
      <c r="G119" s="3074"/>
      <c r="H119" s="3074"/>
      <c r="I119" s="3074"/>
      <c r="J119" s="3074"/>
      <c r="K119" s="3074"/>
      <c r="L119" s="3074"/>
      <c r="M119" s="3074"/>
      <c r="N119" s="3074"/>
      <c r="O119" s="3074"/>
      <c r="P119" s="3074"/>
      <c r="Q119" s="3074"/>
      <c r="R119" s="3074"/>
      <c r="S119" s="2791"/>
      <c r="T119" s="3074">
        <v>6</v>
      </c>
      <c r="U119" s="3075" t="s">
        <v>2821</v>
      </c>
      <c r="V119" s="3074"/>
      <c r="W119" s="3074"/>
      <c r="X119" s="3074"/>
      <c r="Y119" s="3074"/>
      <c r="Z119" s="3074"/>
      <c r="AA119" s="3074"/>
      <c r="AB119" s="3074">
        <f t="shared" si="14"/>
        <v>0</v>
      </c>
      <c r="AC119" s="3074">
        <f t="shared" si="15"/>
        <v>0</v>
      </c>
      <c r="AD119" s="3074"/>
      <c r="AE119" s="3074"/>
      <c r="AF119" s="2725"/>
    </row>
    <row r="120" spans="1:32" s="3076" customFormat="1" ht="252" x14ac:dyDescent="0.2">
      <c r="A120" s="3073" t="s">
        <v>2738</v>
      </c>
      <c r="B120" s="2791"/>
      <c r="C120" s="2791"/>
      <c r="D120" s="3074"/>
      <c r="E120" s="3074"/>
      <c r="F120" s="3074"/>
      <c r="G120" s="3074"/>
      <c r="H120" s="3074"/>
      <c r="I120" s="3074"/>
      <c r="J120" s="3074"/>
      <c r="K120" s="3074"/>
      <c r="L120" s="3074"/>
      <c r="M120" s="3074"/>
      <c r="N120" s="3074"/>
      <c r="O120" s="3074"/>
      <c r="P120" s="3074"/>
      <c r="Q120" s="3074">
        <v>2</v>
      </c>
      <c r="R120" s="3074">
        <v>2</v>
      </c>
      <c r="S120" s="2791" t="s">
        <v>2822</v>
      </c>
      <c r="T120" s="3074">
        <v>2</v>
      </c>
      <c r="U120" s="3075" t="s">
        <v>2823</v>
      </c>
      <c r="V120" s="3074"/>
      <c r="W120" s="3074"/>
      <c r="X120" s="3074"/>
      <c r="Y120" s="3074"/>
      <c r="Z120" s="3074"/>
      <c r="AA120" s="3074"/>
      <c r="AB120" s="3074">
        <f t="shared" si="14"/>
        <v>0</v>
      </c>
      <c r="AC120" s="3074">
        <f t="shared" si="15"/>
        <v>0</v>
      </c>
      <c r="AD120" s="3074"/>
      <c r="AE120" s="3074"/>
      <c r="AF120" s="2725"/>
    </row>
    <row r="121" spans="1:32" s="3076" customFormat="1" ht="47.25" x14ac:dyDescent="0.2">
      <c r="A121" s="3073" t="s">
        <v>2824</v>
      </c>
      <c r="B121" s="2791"/>
      <c r="C121" s="2791"/>
      <c r="D121" s="3074"/>
      <c r="E121" s="3074"/>
      <c r="F121" s="3074"/>
      <c r="G121" s="3074"/>
      <c r="H121" s="3074"/>
      <c r="I121" s="3074"/>
      <c r="J121" s="3074"/>
      <c r="K121" s="3074"/>
      <c r="L121" s="3074"/>
      <c r="M121" s="3074"/>
      <c r="N121" s="3074"/>
      <c r="O121" s="3074"/>
      <c r="P121" s="3074"/>
      <c r="Q121" s="3074">
        <v>1</v>
      </c>
      <c r="R121" s="3074">
        <v>1</v>
      </c>
      <c r="S121" s="2791" t="s">
        <v>2822</v>
      </c>
      <c r="T121" s="3074">
        <v>1</v>
      </c>
      <c r="U121" s="3075"/>
      <c r="V121" s="3074"/>
      <c r="W121" s="3074"/>
      <c r="X121" s="3074"/>
      <c r="Y121" s="3074"/>
      <c r="Z121" s="3074"/>
      <c r="AA121" s="3074"/>
      <c r="AB121" s="3074">
        <f t="shared" si="14"/>
        <v>0</v>
      </c>
      <c r="AC121" s="3074">
        <f t="shared" si="15"/>
        <v>0</v>
      </c>
      <c r="AD121" s="3074"/>
      <c r="AE121" s="3074"/>
      <c r="AF121" s="2725"/>
    </row>
    <row r="122" spans="1:32" s="3076" customFormat="1" ht="47.25" x14ac:dyDescent="0.2">
      <c r="A122" s="3073" t="s">
        <v>2825</v>
      </c>
      <c r="B122" s="2791"/>
      <c r="C122" s="2791"/>
      <c r="D122" s="3074"/>
      <c r="E122" s="3074"/>
      <c r="F122" s="3074"/>
      <c r="G122" s="3074"/>
      <c r="H122" s="3074"/>
      <c r="I122" s="3074"/>
      <c r="J122" s="3074"/>
      <c r="K122" s="3074"/>
      <c r="L122" s="3074"/>
      <c r="M122" s="3074"/>
      <c r="N122" s="3074"/>
      <c r="O122" s="3074"/>
      <c r="P122" s="3074"/>
      <c r="Q122" s="3074">
        <v>1</v>
      </c>
      <c r="R122" s="3074">
        <v>1</v>
      </c>
      <c r="S122" s="2791" t="s">
        <v>2822</v>
      </c>
      <c r="T122" s="3074">
        <v>1</v>
      </c>
      <c r="U122" s="3075"/>
      <c r="V122" s="3074"/>
      <c r="W122" s="3074"/>
      <c r="X122" s="3074"/>
      <c r="Y122" s="3074"/>
      <c r="Z122" s="3074"/>
      <c r="AA122" s="3074"/>
      <c r="AB122" s="3074">
        <f t="shared" si="14"/>
        <v>0</v>
      </c>
      <c r="AC122" s="3074">
        <f t="shared" si="15"/>
        <v>0</v>
      </c>
      <c r="AD122" s="3074"/>
      <c r="AE122" s="3074"/>
      <c r="AF122" s="2725"/>
    </row>
    <row r="123" spans="1:32" s="3072" customFormat="1" x14ac:dyDescent="0.2">
      <c r="A123" s="2801" t="s">
        <v>360</v>
      </c>
      <c r="B123" s="3070"/>
      <c r="C123" s="3070"/>
      <c r="D123" s="3079"/>
      <c r="E123" s="3079"/>
      <c r="F123" s="3079"/>
      <c r="G123" s="3079"/>
      <c r="H123" s="3079"/>
      <c r="I123" s="3079"/>
      <c r="J123" s="3079"/>
      <c r="K123" s="3079"/>
      <c r="L123" s="3079"/>
      <c r="M123" s="3079"/>
      <c r="N123" s="3079"/>
      <c r="O123" s="3079"/>
      <c r="P123" s="3079"/>
      <c r="Q123" s="3079"/>
      <c r="R123" s="3079"/>
      <c r="S123" s="3070"/>
      <c r="T123" s="3079"/>
      <c r="U123" s="3070"/>
      <c r="V123" s="3079"/>
      <c r="W123" s="3079"/>
      <c r="X123" s="3079"/>
      <c r="Y123" s="3079"/>
      <c r="Z123" s="3079"/>
      <c r="AA123" s="3079"/>
      <c r="AB123" s="3079">
        <f t="shared" si="14"/>
        <v>0</v>
      </c>
      <c r="AC123" s="3079">
        <f t="shared" si="15"/>
        <v>0</v>
      </c>
      <c r="AD123" s="3079"/>
      <c r="AE123" s="3079"/>
      <c r="AF123" s="3071"/>
    </row>
    <row r="124" spans="1:32" s="3072" customFormat="1" x14ac:dyDescent="0.2">
      <c r="A124" s="2801" t="s">
        <v>732</v>
      </c>
      <c r="B124" s="3070"/>
      <c r="C124" s="3070"/>
      <c r="D124" s="3079"/>
      <c r="E124" s="3079"/>
      <c r="F124" s="3079"/>
      <c r="G124" s="3079"/>
      <c r="H124" s="3079"/>
      <c r="I124" s="3079"/>
      <c r="J124" s="3079"/>
      <c r="K124" s="3079"/>
      <c r="L124" s="3079"/>
      <c r="M124" s="3079"/>
      <c r="N124" s="3079"/>
      <c r="O124" s="3079"/>
      <c r="P124" s="3079"/>
      <c r="Q124" s="3079"/>
      <c r="R124" s="3079"/>
      <c r="S124" s="3070"/>
      <c r="T124" s="3079"/>
      <c r="U124" s="3070"/>
      <c r="V124" s="3079"/>
      <c r="W124" s="3079"/>
      <c r="X124" s="3079"/>
      <c r="Y124" s="3079"/>
      <c r="Z124" s="3079"/>
      <c r="AA124" s="3079"/>
      <c r="AB124" s="3079">
        <f t="shared" si="14"/>
        <v>0</v>
      </c>
      <c r="AC124" s="3079">
        <f t="shared" si="15"/>
        <v>0</v>
      </c>
      <c r="AD124" s="3079"/>
      <c r="AE124" s="3079"/>
      <c r="AF124" s="3071"/>
    </row>
    <row r="125" spans="1:32" s="3072" customFormat="1" x14ac:dyDescent="0.2">
      <c r="A125" s="2801" t="s">
        <v>733</v>
      </c>
      <c r="B125" s="3070"/>
      <c r="C125" s="3070"/>
      <c r="D125" s="3079"/>
      <c r="E125" s="3079"/>
      <c r="F125" s="3079"/>
      <c r="G125" s="3079"/>
      <c r="H125" s="3079"/>
      <c r="I125" s="3079"/>
      <c r="J125" s="3079"/>
      <c r="K125" s="3079"/>
      <c r="L125" s="3079"/>
      <c r="M125" s="3079"/>
      <c r="N125" s="3079"/>
      <c r="O125" s="3079"/>
      <c r="P125" s="3079"/>
      <c r="Q125" s="3079"/>
      <c r="R125" s="3079"/>
      <c r="S125" s="3070"/>
      <c r="T125" s="3079"/>
      <c r="U125" s="3070"/>
      <c r="V125" s="3079"/>
      <c r="W125" s="3079"/>
      <c r="X125" s="3079"/>
      <c r="Y125" s="3079"/>
      <c r="Z125" s="3079"/>
      <c r="AA125" s="3079"/>
      <c r="AB125" s="3079">
        <f t="shared" si="14"/>
        <v>0</v>
      </c>
      <c r="AC125" s="3079">
        <f t="shared" si="15"/>
        <v>0</v>
      </c>
      <c r="AD125" s="3079"/>
      <c r="AE125" s="3079"/>
      <c r="AF125" s="3071"/>
    </row>
    <row r="126" spans="1:32" s="3072" customFormat="1" x14ac:dyDescent="0.2">
      <c r="A126" s="2801" t="s">
        <v>734</v>
      </c>
      <c r="B126" s="3070"/>
      <c r="C126" s="3070"/>
      <c r="D126" s="3079"/>
      <c r="E126" s="3079"/>
      <c r="F126" s="3079"/>
      <c r="G126" s="3079"/>
      <c r="H126" s="3079"/>
      <c r="I126" s="3079"/>
      <c r="J126" s="3079"/>
      <c r="K126" s="3079"/>
      <c r="L126" s="3079"/>
      <c r="M126" s="3079"/>
      <c r="N126" s="3079"/>
      <c r="O126" s="3079"/>
      <c r="P126" s="3079"/>
      <c r="Q126" s="3079"/>
      <c r="R126" s="3079"/>
      <c r="S126" s="3070"/>
      <c r="T126" s="3079"/>
      <c r="U126" s="3070"/>
      <c r="V126" s="3079"/>
      <c r="W126" s="3079"/>
      <c r="X126" s="3079"/>
      <c r="Y126" s="3079"/>
      <c r="Z126" s="3079"/>
      <c r="AA126" s="3079"/>
      <c r="AB126" s="3079">
        <f t="shared" si="14"/>
        <v>0</v>
      </c>
      <c r="AC126" s="3079">
        <f t="shared" si="15"/>
        <v>0</v>
      </c>
      <c r="AD126" s="3079"/>
      <c r="AE126" s="3079"/>
      <c r="AF126" s="3071"/>
    </row>
    <row r="127" spans="1:32" s="3072" customFormat="1" x14ac:dyDescent="0.2">
      <c r="A127" s="2801" t="s">
        <v>735</v>
      </c>
      <c r="B127" s="3070"/>
      <c r="C127" s="3070"/>
      <c r="D127" s="3079"/>
      <c r="E127" s="3079"/>
      <c r="F127" s="3079"/>
      <c r="G127" s="3079"/>
      <c r="H127" s="3079"/>
      <c r="I127" s="3079"/>
      <c r="J127" s="3079"/>
      <c r="K127" s="3079"/>
      <c r="L127" s="3079"/>
      <c r="M127" s="3079"/>
      <c r="N127" s="3079"/>
      <c r="O127" s="3079"/>
      <c r="P127" s="3079"/>
      <c r="Q127" s="3079"/>
      <c r="R127" s="3079"/>
      <c r="S127" s="3070"/>
      <c r="T127" s="3079"/>
      <c r="U127" s="3070"/>
      <c r="V127" s="3079"/>
      <c r="W127" s="3079"/>
      <c r="X127" s="3079"/>
      <c r="Y127" s="3079"/>
      <c r="Z127" s="3079"/>
      <c r="AA127" s="3079"/>
      <c r="AB127" s="3079">
        <f t="shared" si="14"/>
        <v>0</v>
      </c>
      <c r="AC127" s="3079">
        <f t="shared" si="15"/>
        <v>0</v>
      </c>
      <c r="AD127" s="3079"/>
      <c r="AE127" s="3079"/>
      <c r="AF127" s="3071"/>
    </row>
    <row r="128" spans="1:32" s="3072" customFormat="1" ht="31.5" x14ac:dyDescent="0.2">
      <c r="A128" s="2801" t="s">
        <v>736</v>
      </c>
      <c r="B128" s="3070">
        <f>SUM(B129:B130)</f>
        <v>0</v>
      </c>
      <c r="C128" s="3070">
        <f t="shared" ref="C128:AA128" si="16">SUM(C129:C130)</f>
        <v>0</v>
      </c>
      <c r="D128" s="3079">
        <f t="shared" si="16"/>
        <v>0</v>
      </c>
      <c r="E128" s="3079">
        <f t="shared" si="16"/>
        <v>0</v>
      </c>
      <c r="F128" s="3079">
        <f t="shared" si="16"/>
        <v>0</v>
      </c>
      <c r="G128" s="3079">
        <f t="shared" si="16"/>
        <v>0</v>
      </c>
      <c r="H128" s="3079">
        <f t="shared" si="16"/>
        <v>0</v>
      </c>
      <c r="I128" s="3079">
        <f t="shared" si="16"/>
        <v>0</v>
      </c>
      <c r="J128" s="3079">
        <f t="shared" si="16"/>
        <v>0</v>
      </c>
      <c r="K128" s="3079">
        <f t="shared" si="16"/>
        <v>0</v>
      </c>
      <c r="L128" s="3079">
        <f t="shared" si="16"/>
        <v>0</v>
      </c>
      <c r="M128" s="3079">
        <f t="shared" si="16"/>
        <v>0</v>
      </c>
      <c r="N128" s="3079">
        <f t="shared" si="16"/>
        <v>0</v>
      </c>
      <c r="O128" s="3079">
        <f t="shared" si="16"/>
        <v>0</v>
      </c>
      <c r="P128" s="3079">
        <f t="shared" si="16"/>
        <v>0</v>
      </c>
      <c r="Q128" s="3079">
        <f t="shared" si="16"/>
        <v>48</v>
      </c>
      <c r="R128" s="3079">
        <f t="shared" si="16"/>
        <v>28</v>
      </c>
      <c r="S128" s="3070"/>
      <c r="T128" s="3079">
        <f t="shared" si="16"/>
        <v>28</v>
      </c>
      <c r="U128" s="3070"/>
      <c r="V128" s="3079">
        <f t="shared" si="16"/>
        <v>28</v>
      </c>
      <c r="W128" s="3079">
        <f t="shared" si="16"/>
        <v>4.4000000000000004</v>
      </c>
      <c r="X128" s="3079">
        <f t="shared" si="16"/>
        <v>60.9</v>
      </c>
      <c r="Y128" s="3079">
        <f t="shared" si="16"/>
        <v>0</v>
      </c>
      <c r="Z128" s="3079">
        <f t="shared" si="16"/>
        <v>0</v>
      </c>
      <c r="AA128" s="3079">
        <f t="shared" si="16"/>
        <v>0</v>
      </c>
      <c r="AB128" s="3079">
        <f t="shared" si="14"/>
        <v>60.9</v>
      </c>
      <c r="AC128" s="3079">
        <f t="shared" si="15"/>
        <v>0</v>
      </c>
      <c r="AD128" s="3079">
        <f t="shared" ref="AD128:AE128" si="17">SUM(AD129:AD130)</f>
        <v>0</v>
      </c>
      <c r="AE128" s="3079">
        <f t="shared" si="17"/>
        <v>0</v>
      </c>
      <c r="AF128" s="3071"/>
    </row>
    <row r="129" spans="1:32" s="3076" customFormat="1" ht="36" customHeight="1" x14ac:dyDescent="0.2">
      <c r="A129" s="3073" t="s">
        <v>1435</v>
      </c>
      <c r="B129" s="2791"/>
      <c r="C129" s="2791"/>
      <c r="D129" s="3074"/>
      <c r="E129" s="3074"/>
      <c r="F129" s="3074"/>
      <c r="G129" s="3074"/>
      <c r="H129" s="3074"/>
      <c r="I129" s="3074"/>
      <c r="J129" s="3074"/>
      <c r="K129" s="3074"/>
      <c r="L129" s="3074"/>
      <c r="M129" s="3074"/>
      <c r="N129" s="3074"/>
      <c r="O129" s="3074"/>
      <c r="P129" s="3074"/>
      <c r="Q129" s="3074">
        <v>34</v>
      </c>
      <c r="R129" s="3074">
        <v>14</v>
      </c>
      <c r="S129" s="3860" t="s">
        <v>2826</v>
      </c>
      <c r="T129" s="3074">
        <v>14</v>
      </c>
      <c r="U129" s="3860" t="s">
        <v>2827</v>
      </c>
      <c r="V129" s="3074">
        <v>14</v>
      </c>
      <c r="W129" s="3074">
        <v>1.7</v>
      </c>
      <c r="X129" s="3074">
        <f>W129*V129</f>
        <v>23.8</v>
      </c>
      <c r="Y129" s="3074"/>
      <c r="Z129" s="3074"/>
      <c r="AA129" s="3074"/>
      <c r="AB129" s="3074">
        <f t="shared" si="14"/>
        <v>23.8</v>
      </c>
      <c r="AC129" s="3074">
        <f t="shared" si="15"/>
        <v>0</v>
      </c>
      <c r="AD129" s="3074"/>
      <c r="AE129" s="3074"/>
      <c r="AF129" s="3862"/>
    </row>
    <row r="130" spans="1:32" s="3076" customFormat="1" ht="48.75" customHeight="1" x14ac:dyDescent="0.2">
      <c r="A130" s="3073" t="s">
        <v>2828</v>
      </c>
      <c r="B130" s="2791"/>
      <c r="C130" s="2791"/>
      <c r="D130" s="3074"/>
      <c r="E130" s="3074"/>
      <c r="F130" s="3074"/>
      <c r="G130" s="3074"/>
      <c r="H130" s="3074"/>
      <c r="I130" s="3074"/>
      <c r="J130" s="3074"/>
      <c r="K130" s="3074"/>
      <c r="L130" s="3074"/>
      <c r="M130" s="3074"/>
      <c r="N130" s="3074"/>
      <c r="O130" s="3074"/>
      <c r="P130" s="3074"/>
      <c r="Q130" s="3074">
        <v>14</v>
      </c>
      <c r="R130" s="3074">
        <v>14</v>
      </c>
      <c r="S130" s="3861"/>
      <c r="T130" s="3074">
        <v>14</v>
      </c>
      <c r="U130" s="3861"/>
      <c r="V130" s="3074">
        <v>14</v>
      </c>
      <c r="W130" s="3074">
        <v>2.7</v>
      </c>
      <c r="X130" s="3074">
        <f>W130*V130-0.7</f>
        <v>37.1</v>
      </c>
      <c r="Y130" s="3074"/>
      <c r="Z130" s="3074"/>
      <c r="AA130" s="3074"/>
      <c r="AB130" s="3074">
        <f t="shared" si="14"/>
        <v>37.1</v>
      </c>
      <c r="AC130" s="3074">
        <f t="shared" si="15"/>
        <v>0</v>
      </c>
      <c r="AD130" s="3074"/>
      <c r="AE130" s="3074"/>
      <c r="AF130" s="3863"/>
    </row>
    <row r="131" spans="1:32" s="3072" customFormat="1" x14ac:dyDescent="0.2">
      <c r="A131" s="2801" t="s">
        <v>737</v>
      </c>
      <c r="B131" s="3070"/>
      <c r="C131" s="3070"/>
      <c r="D131" s="3079"/>
      <c r="E131" s="3079"/>
      <c r="F131" s="3079"/>
      <c r="G131" s="3079"/>
      <c r="H131" s="3079"/>
      <c r="I131" s="3079"/>
      <c r="J131" s="3079"/>
      <c r="K131" s="3079"/>
      <c r="L131" s="3079"/>
      <c r="M131" s="3079"/>
      <c r="N131" s="3079"/>
      <c r="O131" s="3079"/>
      <c r="P131" s="3079"/>
      <c r="Q131" s="3079"/>
      <c r="R131" s="3079"/>
      <c r="S131" s="3070"/>
      <c r="T131" s="3079"/>
      <c r="U131" s="3070"/>
      <c r="V131" s="3079"/>
      <c r="W131" s="3079"/>
      <c r="X131" s="3079"/>
      <c r="Y131" s="3079"/>
      <c r="Z131" s="3079"/>
      <c r="AA131" s="3079"/>
      <c r="AB131" s="3079">
        <f t="shared" si="14"/>
        <v>0</v>
      </c>
      <c r="AC131" s="3079">
        <f t="shared" si="15"/>
        <v>0</v>
      </c>
      <c r="AD131" s="3079"/>
      <c r="AE131" s="3079"/>
      <c r="AF131" s="3071"/>
    </row>
    <row r="132" spans="1:32" s="3072" customFormat="1" ht="31.5" x14ac:dyDescent="0.2">
      <c r="A132" s="2801" t="s">
        <v>738</v>
      </c>
      <c r="B132" s="3070"/>
      <c r="C132" s="3070"/>
      <c r="D132" s="3070"/>
      <c r="E132" s="3070"/>
      <c r="F132" s="3070"/>
      <c r="G132" s="3070"/>
      <c r="H132" s="3070"/>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f t="shared" si="14"/>
        <v>0</v>
      </c>
      <c r="AC132" s="3070">
        <f t="shared" si="15"/>
        <v>0</v>
      </c>
      <c r="AD132" s="3070"/>
      <c r="AE132" s="3070"/>
      <c r="AF132" s="3071"/>
    </row>
    <row r="133" spans="1:32" s="3072" customFormat="1" x14ac:dyDescent="0.2">
      <c r="A133" s="2801" t="s">
        <v>739</v>
      </c>
      <c r="B133" s="3070"/>
      <c r="C133" s="3070"/>
      <c r="D133" s="3070"/>
      <c r="E133" s="3070"/>
      <c r="F133" s="3070"/>
      <c r="G133" s="3070"/>
      <c r="H133" s="3070"/>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f t="shared" si="14"/>
        <v>0</v>
      </c>
      <c r="AC133" s="3070">
        <f t="shared" si="15"/>
        <v>0</v>
      </c>
      <c r="AD133" s="3070"/>
      <c r="AE133" s="3070"/>
      <c r="AF133" s="3071"/>
    </row>
    <row r="134" spans="1:32" s="3072" customFormat="1" x14ac:dyDescent="0.2">
      <c r="A134" s="2801" t="s">
        <v>740</v>
      </c>
      <c r="B134" s="3070">
        <f t="shared" ref="B134:AA134" si="18">SUM(B135:B154)</f>
        <v>34</v>
      </c>
      <c r="C134" s="3070">
        <f t="shared" si="18"/>
        <v>223.2</v>
      </c>
      <c r="D134" s="3070">
        <f t="shared" si="18"/>
        <v>333.6</v>
      </c>
      <c r="E134" s="3070">
        <f t="shared" si="18"/>
        <v>0</v>
      </c>
      <c r="F134" s="3070">
        <f t="shared" si="18"/>
        <v>0</v>
      </c>
      <c r="G134" s="3070">
        <f t="shared" si="18"/>
        <v>16</v>
      </c>
      <c r="H134" s="3070">
        <f t="shared" si="18"/>
        <v>301.60000000000002</v>
      </c>
      <c r="I134" s="3070">
        <f t="shared" si="18"/>
        <v>0</v>
      </c>
      <c r="J134" s="3070">
        <f t="shared" si="18"/>
        <v>0</v>
      </c>
      <c r="K134" s="3070">
        <f t="shared" si="18"/>
        <v>0</v>
      </c>
      <c r="L134" s="3070">
        <f t="shared" si="18"/>
        <v>0</v>
      </c>
      <c r="M134" s="3070">
        <f t="shared" si="18"/>
        <v>0</v>
      </c>
      <c r="N134" s="3070">
        <f t="shared" si="18"/>
        <v>0</v>
      </c>
      <c r="O134" s="3070">
        <f t="shared" si="18"/>
        <v>0</v>
      </c>
      <c r="P134" s="3070">
        <f t="shared" si="18"/>
        <v>0</v>
      </c>
      <c r="Q134" s="3070">
        <f t="shared" si="18"/>
        <v>1</v>
      </c>
      <c r="R134" s="3070">
        <f t="shared" si="18"/>
        <v>0</v>
      </c>
      <c r="S134" s="3070"/>
      <c r="T134" s="3070">
        <f t="shared" si="18"/>
        <v>3</v>
      </c>
      <c r="U134" s="3070"/>
      <c r="V134" s="3070">
        <f t="shared" si="18"/>
        <v>0</v>
      </c>
      <c r="W134" s="3070">
        <f t="shared" si="18"/>
        <v>0</v>
      </c>
      <c r="X134" s="3070">
        <f t="shared" si="18"/>
        <v>0</v>
      </c>
      <c r="Y134" s="3070">
        <f t="shared" si="18"/>
        <v>0</v>
      </c>
      <c r="Z134" s="3070">
        <f t="shared" si="18"/>
        <v>0</v>
      </c>
      <c r="AA134" s="3070">
        <f t="shared" si="18"/>
        <v>0</v>
      </c>
      <c r="AB134" s="3070">
        <f t="shared" si="14"/>
        <v>0</v>
      </c>
      <c r="AC134" s="3070">
        <f t="shared" si="15"/>
        <v>0</v>
      </c>
      <c r="AD134" s="3070">
        <f>SUM(AD135:AD154)</f>
        <v>0</v>
      </c>
      <c r="AE134" s="3070">
        <f>SUM(AE135:AE154)</f>
        <v>0</v>
      </c>
      <c r="AF134" s="3071"/>
    </row>
    <row r="135" spans="1:32" s="3076" customFormat="1" x14ac:dyDescent="0.2">
      <c r="A135" s="3073" t="s">
        <v>2829</v>
      </c>
      <c r="B135" s="2791"/>
      <c r="C135" s="2791"/>
      <c r="D135" s="3074"/>
      <c r="E135" s="3074"/>
      <c r="F135" s="3074"/>
      <c r="G135" s="3074">
        <v>2</v>
      </c>
      <c r="H135" s="3074">
        <f>10*2</f>
        <v>20</v>
      </c>
      <c r="I135" s="3074"/>
      <c r="J135" s="3074"/>
      <c r="K135" s="3074"/>
      <c r="L135" s="3074"/>
      <c r="M135" s="3074"/>
      <c r="N135" s="3074"/>
      <c r="O135" s="3074"/>
      <c r="P135" s="3074"/>
      <c r="Q135" s="3074"/>
      <c r="R135" s="3074"/>
      <c r="S135" s="2791"/>
      <c r="T135" s="3074"/>
      <c r="U135" s="3075"/>
      <c r="V135" s="3074"/>
      <c r="W135" s="3074"/>
      <c r="X135" s="3074"/>
      <c r="Y135" s="3074"/>
      <c r="Z135" s="3074"/>
      <c r="AA135" s="3074"/>
      <c r="AB135" s="3074">
        <f t="shared" si="14"/>
        <v>0</v>
      </c>
      <c r="AC135" s="3074">
        <f t="shared" si="15"/>
        <v>0</v>
      </c>
      <c r="AD135" s="3074"/>
      <c r="AE135" s="3074"/>
      <c r="AF135" s="2725"/>
    </row>
    <row r="136" spans="1:32" s="3076" customFormat="1" x14ac:dyDescent="0.2">
      <c r="A136" s="3073" t="s">
        <v>2830</v>
      </c>
      <c r="B136" s="2791"/>
      <c r="C136" s="2791"/>
      <c r="D136" s="3074"/>
      <c r="E136" s="3074"/>
      <c r="F136" s="3074"/>
      <c r="G136" s="3074">
        <v>1</v>
      </c>
      <c r="H136" s="3074">
        <v>6.7</v>
      </c>
      <c r="I136" s="3074"/>
      <c r="J136" s="3074"/>
      <c r="K136" s="3074"/>
      <c r="L136" s="3074"/>
      <c r="M136" s="3074"/>
      <c r="N136" s="3074"/>
      <c r="O136" s="3074"/>
      <c r="P136" s="3074"/>
      <c r="Q136" s="3074"/>
      <c r="R136" s="3074"/>
      <c r="S136" s="2791"/>
      <c r="T136" s="3074"/>
      <c r="U136" s="3075"/>
      <c r="V136" s="3074"/>
      <c r="W136" s="3074"/>
      <c r="X136" s="3074"/>
      <c r="Y136" s="3074"/>
      <c r="Z136" s="3074"/>
      <c r="AA136" s="3074"/>
      <c r="AB136" s="3074">
        <f t="shared" si="14"/>
        <v>0</v>
      </c>
      <c r="AC136" s="3074">
        <f t="shared" si="15"/>
        <v>0</v>
      </c>
      <c r="AD136" s="3074"/>
      <c r="AE136" s="3074"/>
      <c r="AF136" s="2725"/>
    </row>
    <row r="137" spans="1:32" s="3076" customFormat="1" x14ac:dyDescent="0.2">
      <c r="A137" s="3073" t="s">
        <v>2831</v>
      </c>
      <c r="B137" s="2791"/>
      <c r="C137" s="2791"/>
      <c r="D137" s="3074"/>
      <c r="E137" s="3074"/>
      <c r="F137" s="3074"/>
      <c r="G137" s="3074">
        <v>1</v>
      </c>
      <c r="H137" s="3074">
        <v>9</v>
      </c>
      <c r="I137" s="3074"/>
      <c r="J137" s="3074"/>
      <c r="K137" s="3074"/>
      <c r="L137" s="3074"/>
      <c r="M137" s="3074"/>
      <c r="N137" s="3074"/>
      <c r="O137" s="3074"/>
      <c r="P137" s="3074"/>
      <c r="Q137" s="3074"/>
      <c r="R137" s="3074"/>
      <c r="S137" s="2791"/>
      <c r="T137" s="3074"/>
      <c r="U137" s="3075"/>
      <c r="V137" s="3074"/>
      <c r="W137" s="3074"/>
      <c r="X137" s="3074"/>
      <c r="Y137" s="3074"/>
      <c r="Z137" s="3074"/>
      <c r="AA137" s="3074"/>
      <c r="AB137" s="3074">
        <f t="shared" si="14"/>
        <v>0</v>
      </c>
      <c r="AC137" s="3074">
        <f t="shared" si="15"/>
        <v>0</v>
      </c>
      <c r="AD137" s="3074"/>
      <c r="AE137" s="3074"/>
      <c r="AF137" s="2725"/>
    </row>
    <row r="138" spans="1:32" s="3076" customFormat="1" x14ac:dyDescent="0.2">
      <c r="A138" s="3073" t="s">
        <v>2790</v>
      </c>
      <c r="B138" s="2791"/>
      <c r="C138" s="2791"/>
      <c r="D138" s="3074"/>
      <c r="E138" s="3074"/>
      <c r="F138" s="3074"/>
      <c r="G138" s="3074">
        <v>1</v>
      </c>
      <c r="H138" s="3074">
        <v>100</v>
      </c>
      <c r="I138" s="3074"/>
      <c r="J138" s="3074"/>
      <c r="K138" s="3074"/>
      <c r="L138" s="3074"/>
      <c r="M138" s="3074"/>
      <c r="N138" s="3074"/>
      <c r="O138" s="3074"/>
      <c r="P138" s="3074"/>
      <c r="Q138" s="3074"/>
      <c r="R138" s="3074"/>
      <c r="S138" s="2791"/>
      <c r="T138" s="3074"/>
      <c r="U138" s="3075"/>
      <c r="V138" s="3074"/>
      <c r="W138" s="3074"/>
      <c r="X138" s="3074"/>
      <c r="Y138" s="3074"/>
      <c r="Z138" s="3074"/>
      <c r="AA138" s="3074"/>
      <c r="AB138" s="3074">
        <f t="shared" si="14"/>
        <v>0</v>
      </c>
      <c r="AC138" s="3074">
        <f t="shared" si="15"/>
        <v>0</v>
      </c>
      <c r="AD138" s="3074"/>
      <c r="AE138" s="3074"/>
      <c r="AF138" s="2725"/>
    </row>
    <row r="139" spans="1:32" s="3076" customFormat="1" x14ac:dyDescent="0.2">
      <c r="A139" s="3073" t="s">
        <v>1424</v>
      </c>
      <c r="B139" s="2791"/>
      <c r="C139" s="2791"/>
      <c r="D139" s="3074"/>
      <c r="E139" s="3074"/>
      <c r="F139" s="3074"/>
      <c r="G139" s="3074">
        <v>5</v>
      </c>
      <c r="H139" s="3074">
        <f>5.1+5.1</f>
        <v>10.199999999999999</v>
      </c>
      <c r="I139" s="3074"/>
      <c r="J139" s="3074"/>
      <c r="K139" s="3074"/>
      <c r="L139" s="3074"/>
      <c r="M139" s="3074"/>
      <c r="N139" s="3074"/>
      <c r="O139" s="3074"/>
      <c r="P139" s="3074"/>
      <c r="Q139" s="3074"/>
      <c r="R139" s="3074"/>
      <c r="S139" s="2791"/>
      <c r="T139" s="3074"/>
      <c r="U139" s="3075"/>
      <c r="V139" s="3074"/>
      <c r="W139" s="3074"/>
      <c r="X139" s="3074"/>
      <c r="Y139" s="3074"/>
      <c r="Z139" s="3074"/>
      <c r="AA139" s="3074"/>
      <c r="AB139" s="3074">
        <f t="shared" si="14"/>
        <v>0</v>
      </c>
      <c r="AC139" s="3074">
        <f t="shared" si="15"/>
        <v>0</v>
      </c>
      <c r="AD139" s="3074"/>
      <c r="AE139" s="3074"/>
      <c r="AF139" s="2725"/>
    </row>
    <row r="140" spans="1:32" s="3076" customFormat="1" x14ac:dyDescent="0.2">
      <c r="A140" s="3073" t="s">
        <v>2832</v>
      </c>
      <c r="B140" s="2791"/>
      <c r="C140" s="2791"/>
      <c r="D140" s="3074"/>
      <c r="E140" s="3074"/>
      <c r="F140" s="3074"/>
      <c r="G140" s="3074">
        <v>3</v>
      </c>
      <c r="H140" s="3074">
        <v>24</v>
      </c>
      <c r="I140" s="3074"/>
      <c r="J140" s="3074"/>
      <c r="K140" s="3074"/>
      <c r="L140" s="3074"/>
      <c r="M140" s="3074"/>
      <c r="N140" s="3074"/>
      <c r="O140" s="3074"/>
      <c r="P140" s="3074"/>
      <c r="Q140" s="3074"/>
      <c r="R140" s="3074"/>
      <c r="S140" s="2791"/>
      <c r="T140" s="3074"/>
      <c r="U140" s="3075"/>
      <c r="V140" s="3074"/>
      <c r="W140" s="3074"/>
      <c r="X140" s="3074"/>
      <c r="Y140" s="3074"/>
      <c r="Z140" s="3074"/>
      <c r="AA140" s="3074"/>
      <c r="AB140" s="3074">
        <f t="shared" si="14"/>
        <v>0</v>
      </c>
      <c r="AC140" s="3074">
        <f t="shared" si="15"/>
        <v>0</v>
      </c>
      <c r="AD140" s="3074"/>
      <c r="AE140" s="3074"/>
      <c r="AF140" s="2725"/>
    </row>
    <row r="141" spans="1:32" s="3076" customFormat="1" x14ac:dyDescent="0.2">
      <c r="A141" s="3073" t="s">
        <v>2833</v>
      </c>
      <c r="B141" s="2791"/>
      <c r="C141" s="2791"/>
      <c r="D141" s="3074"/>
      <c r="E141" s="3074"/>
      <c r="F141" s="3074"/>
      <c r="G141" s="3074">
        <v>1</v>
      </c>
      <c r="H141" s="3074">
        <v>34</v>
      </c>
      <c r="I141" s="3074"/>
      <c r="J141" s="3074"/>
      <c r="K141" s="3074"/>
      <c r="L141" s="3074"/>
      <c r="M141" s="3074"/>
      <c r="N141" s="3074"/>
      <c r="O141" s="3074"/>
      <c r="P141" s="3074"/>
      <c r="Q141" s="3074"/>
      <c r="R141" s="3074"/>
      <c r="S141" s="2791"/>
      <c r="T141" s="3074"/>
      <c r="U141" s="3075"/>
      <c r="V141" s="3074"/>
      <c r="W141" s="3074"/>
      <c r="X141" s="3074"/>
      <c r="Y141" s="3074"/>
      <c r="Z141" s="3074"/>
      <c r="AA141" s="3074"/>
      <c r="AB141" s="3074">
        <f t="shared" si="14"/>
        <v>0</v>
      </c>
      <c r="AC141" s="3074">
        <f t="shared" si="15"/>
        <v>0</v>
      </c>
      <c r="AD141" s="3074"/>
      <c r="AE141" s="3074"/>
      <c r="AF141" s="2725"/>
    </row>
    <row r="142" spans="1:32" s="3076" customFormat="1" ht="31.5" x14ac:dyDescent="0.2">
      <c r="A142" s="3073" t="s">
        <v>2834</v>
      </c>
      <c r="B142" s="2791"/>
      <c r="C142" s="2791"/>
      <c r="D142" s="3074"/>
      <c r="E142" s="3074"/>
      <c r="F142" s="3074"/>
      <c r="G142" s="3074">
        <v>1</v>
      </c>
      <c r="H142" s="3074">
        <v>95</v>
      </c>
      <c r="I142" s="3074"/>
      <c r="J142" s="3074"/>
      <c r="K142" s="3074"/>
      <c r="L142" s="3074"/>
      <c r="M142" s="3074"/>
      <c r="N142" s="3074"/>
      <c r="O142" s="3074"/>
      <c r="P142" s="3074"/>
      <c r="Q142" s="3074"/>
      <c r="R142" s="3074"/>
      <c r="S142" s="2791"/>
      <c r="T142" s="3074"/>
      <c r="U142" s="3075"/>
      <c r="V142" s="3074"/>
      <c r="W142" s="3074"/>
      <c r="X142" s="3074"/>
      <c r="Y142" s="3074"/>
      <c r="Z142" s="3074"/>
      <c r="AA142" s="3074"/>
      <c r="AB142" s="3074">
        <f t="shared" si="14"/>
        <v>0</v>
      </c>
      <c r="AC142" s="3074">
        <f t="shared" si="15"/>
        <v>0</v>
      </c>
      <c r="AD142" s="3074"/>
      <c r="AE142" s="3074"/>
      <c r="AF142" s="2725"/>
    </row>
    <row r="143" spans="1:32" s="3076" customFormat="1" x14ac:dyDescent="0.2">
      <c r="A143" s="3073" t="s">
        <v>2835</v>
      </c>
      <c r="B143" s="2791"/>
      <c r="C143" s="2791"/>
      <c r="D143" s="3074"/>
      <c r="E143" s="3074"/>
      <c r="F143" s="3074"/>
      <c r="G143" s="3074">
        <v>1</v>
      </c>
      <c r="H143" s="3074">
        <v>2.7</v>
      </c>
      <c r="I143" s="3074"/>
      <c r="J143" s="3074"/>
      <c r="K143" s="3074"/>
      <c r="L143" s="3074"/>
      <c r="M143" s="3074"/>
      <c r="N143" s="3074"/>
      <c r="O143" s="3074"/>
      <c r="P143" s="3074"/>
      <c r="Q143" s="3074"/>
      <c r="R143" s="3074"/>
      <c r="S143" s="2791"/>
      <c r="T143" s="3074"/>
      <c r="U143" s="3075"/>
      <c r="V143" s="3074"/>
      <c r="W143" s="3074"/>
      <c r="X143" s="3074"/>
      <c r="Y143" s="3074"/>
      <c r="Z143" s="3074"/>
      <c r="AA143" s="3074"/>
      <c r="AB143" s="3074">
        <f t="shared" si="14"/>
        <v>0</v>
      </c>
      <c r="AC143" s="3074">
        <f t="shared" si="15"/>
        <v>0</v>
      </c>
      <c r="AD143" s="3074"/>
      <c r="AE143" s="3074"/>
      <c r="AF143" s="2725"/>
    </row>
    <row r="144" spans="1:32" s="3076" customFormat="1" x14ac:dyDescent="0.2">
      <c r="A144" s="3073" t="s">
        <v>2836</v>
      </c>
      <c r="B144" s="2791">
        <v>1</v>
      </c>
      <c r="C144" s="2718">
        <v>5.22</v>
      </c>
      <c r="D144" s="3074">
        <f>B144*C144</f>
        <v>5.2</v>
      </c>
      <c r="E144" s="3074"/>
      <c r="F144" s="3074"/>
      <c r="G144" s="3074"/>
      <c r="H144" s="3074"/>
      <c r="I144" s="3074"/>
      <c r="J144" s="3074"/>
      <c r="K144" s="3074"/>
      <c r="L144" s="3074"/>
      <c r="M144" s="3074"/>
      <c r="N144" s="3074"/>
      <c r="O144" s="3074"/>
      <c r="P144" s="3074"/>
      <c r="Q144" s="3074"/>
      <c r="R144" s="3074"/>
      <c r="S144" s="2791"/>
      <c r="T144" s="3074"/>
      <c r="U144" s="3075"/>
      <c r="V144" s="3074"/>
      <c r="W144" s="3074"/>
      <c r="X144" s="3074"/>
      <c r="Y144" s="3074"/>
      <c r="Z144" s="3074"/>
      <c r="AA144" s="3074"/>
      <c r="AB144" s="3074">
        <f t="shared" si="14"/>
        <v>0</v>
      </c>
      <c r="AC144" s="3074">
        <f t="shared" si="15"/>
        <v>0</v>
      </c>
      <c r="AD144" s="3074"/>
      <c r="AE144" s="3074"/>
      <c r="AF144" s="2725"/>
    </row>
    <row r="145" spans="1:16384" s="3076" customFormat="1" x14ac:dyDescent="0.2">
      <c r="A145" s="3073" t="s">
        <v>2837</v>
      </c>
      <c r="B145" s="2791">
        <v>3</v>
      </c>
      <c r="C145" s="2718">
        <v>33.26</v>
      </c>
      <c r="D145" s="3074">
        <f t="shared" ref="D145:D153" si="19">B145*C145</f>
        <v>99.8</v>
      </c>
      <c r="E145" s="3074"/>
      <c r="F145" s="3074"/>
      <c r="G145" s="3074"/>
      <c r="H145" s="3074"/>
      <c r="I145" s="3074"/>
      <c r="J145" s="3074"/>
      <c r="K145" s="3074"/>
      <c r="L145" s="3074"/>
      <c r="M145" s="3074"/>
      <c r="N145" s="3074"/>
      <c r="O145" s="3074"/>
      <c r="P145" s="3074"/>
      <c r="Q145" s="3074"/>
      <c r="R145" s="3074"/>
      <c r="S145" s="2791"/>
      <c r="T145" s="3074"/>
      <c r="U145" s="3075"/>
      <c r="V145" s="3074"/>
      <c r="W145" s="3074"/>
      <c r="X145" s="3074"/>
      <c r="Y145" s="3074"/>
      <c r="Z145" s="3074"/>
      <c r="AA145" s="3074"/>
      <c r="AB145" s="3074">
        <f t="shared" si="14"/>
        <v>0</v>
      </c>
      <c r="AC145" s="3074">
        <f t="shared" si="15"/>
        <v>0</v>
      </c>
      <c r="AD145" s="3074"/>
      <c r="AE145" s="3074"/>
      <c r="AF145" s="2725"/>
    </row>
    <row r="146" spans="1:16384" s="3076" customFormat="1" x14ac:dyDescent="0.2">
      <c r="A146" s="3073" t="s">
        <v>2838</v>
      </c>
      <c r="B146" s="2791">
        <v>20</v>
      </c>
      <c r="C146" s="2718">
        <v>2</v>
      </c>
      <c r="D146" s="3074">
        <f t="shared" si="19"/>
        <v>40</v>
      </c>
      <c r="E146" s="3074"/>
      <c r="F146" s="3074"/>
      <c r="G146" s="3074"/>
      <c r="H146" s="3074"/>
      <c r="I146" s="3074"/>
      <c r="J146" s="3074"/>
      <c r="K146" s="3074"/>
      <c r="L146" s="3074"/>
      <c r="M146" s="3074"/>
      <c r="N146" s="3074"/>
      <c r="O146" s="3074"/>
      <c r="P146" s="3074"/>
      <c r="Q146" s="3074"/>
      <c r="R146" s="3074"/>
      <c r="S146" s="2791"/>
      <c r="T146" s="3074"/>
      <c r="U146" s="3075"/>
      <c r="V146" s="3074"/>
      <c r="W146" s="3074"/>
      <c r="X146" s="3074"/>
      <c r="Y146" s="3074"/>
      <c r="Z146" s="3074"/>
      <c r="AA146" s="3074"/>
      <c r="AB146" s="3074">
        <f t="shared" si="14"/>
        <v>0</v>
      </c>
      <c r="AC146" s="3074">
        <f t="shared" si="15"/>
        <v>0</v>
      </c>
      <c r="AD146" s="3074"/>
      <c r="AE146" s="3074"/>
      <c r="AF146" s="2725"/>
    </row>
    <row r="147" spans="1:16384" s="3076" customFormat="1" x14ac:dyDescent="0.2">
      <c r="A147" s="3073" t="s">
        <v>2839</v>
      </c>
      <c r="B147" s="2791">
        <v>2</v>
      </c>
      <c r="C147" s="2718">
        <v>2.6</v>
      </c>
      <c r="D147" s="3074">
        <f t="shared" si="19"/>
        <v>5.2</v>
      </c>
      <c r="E147" s="3074"/>
      <c r="F147" s="3074"/>
      <c r="G147" s="3074"/>
      <c r="H147" s="3074"/>
      <c r="I147" s="3074"/>
      <c r="J147" s="3074"/>
      <c r="K147" s="3074"/>
      <c r="L147" s="3074"/>
      <c r="M147" s="3074"/>
      <c r="N147" s="3074"/>
      <c r="O147" s="3074"/>
      <c r="P147" s="3074"/>
      <c r="Q147" s="3074"/>
      <c r="R147" s="3074"/>
      <c r="S147" s="2791"/>
      <c r="T147" s="3074"/>
      <c r="U147" s="3075"/>
      <c r="V147" s="3074"/>
      <c r="W147" s="3074"/>
      <c r="X147" s="3074"/>
      <c r="Y147" s="3074"/>
      <c r="Z147" s="3074"/>
      <c r="AA147" s="3074"/>
      <c r="AB147" s="3074">
        <f t="shared" si="14"/>
        <v>0</v>
      </c>
      <c r="AC147" s="3074">
        <f t="shared" si="15"/>
        <v>0</v>
      </c>
      <c r="AD147" s="3074"/>
      <c r="AE147" s="3074"/>
      <c r="AF147" s="2725"/>
    </row>
    <row r="148" spans="1:16384" s="3076" customFormat="1" x14ac:dyDescent="0.2">
      <c r="A148" s="3073" t="s">
        <v>2840</v>
      </c>
      <c r="B148" s="2791">
        <v>2</v>
      </c>
      <c r="C148" s="2718">
        <v>1.96</v>
      </c>
      <c r="D148" s="3074">
        <f t="shared" si="19"/>
        <v>3.9</v>
      </c>
      <c r="E148" s="3074"/>
      <c r="F148" s="3074"/>
      <c r="G148" s="3074"/>
      <c r="H148" s="3074"/>
      <c r="I148" s="3074"/>
      <c r="J148" s="3074"/>
      <c r="K148" s="3074"/>
      <c r="L148" s="3074"/>
      <c r="M148" s="3074"/>
      <c r="N148" s="3074"/>
      <c r="O148" s="3074"/>
      <c r="P148" s="3074"/>
      <c r="Q148" s="3074"/>
      <c r="R148" s="3074"/>
      <c r="S148" s="2791"/>
      <c r="T148" s="3074"/>
      <c r="U148" s="3075"/>
      <c r="V148" s="3074"/>
      <c r="W148" s="3074"/>
      <c r="X148" s="3074"/>
      <c r="Y148" s="3074"/>
      <c r="Z148" s="3074"/>
      <c r="AA148" s="3074"/>
      <c r="AB148" s="3074">
        <f t="shared" si="14"/>
        <v>0</v>
      </c>
      <c r="AC148" s="3074">
        <f t="shared" si="15"/>
        <v>0</v>
      </c>
      <c r="AD148" s="3074"/>
      <c r="AE148" s="3074"/>
      <c r="AF148" s="2725"/>
    </row>
    <row r="149" spans="1:16384" s="3076" customFormat="1" x14ac:dyDescent="0.2">
      <c r="A149" s="3073" t="s">
        <v>2841</v>
      </c>
      <c r="B149" s="2791">
        <v>1</v>
      </c>
      <c r="C149" s="2718">
        <v>1.71</v>
      </c>
      <c r="D149" s="3074">
        <f t="shared" si="19"/>
        <v>1.7</v>
      </c>
      <c r="E149" s="3074"/>
      <c r="F149" s="3074"/>
      <c r="G149" s="3074"/>
      <c r="H149" s="3074"/>
      <c r="I149" s="3074"/>
      <c r="J149" s="3074"/>
      <c r="K149" s="3074"/>
      <c r="L149" s="3074"/>
      <c r="M149" s="3074"/>
      <c r="N149" s="3074"/>
      <c r="O149" s="3074"/>
      <c r="P149" s="3074"/>
      <c r="Q149" s="3074"/>
      <c r="R149" s="3074"/>
      <c r="S149" s="2791"/>
      <c r="T149" s="3074"/>
      <c r="U149" s="3075"/>
      <c r="V149" s="3074"/>
      <c r="W149" s="3074"/>
      <c r="X149" s="3074"/>
      <c r="Y149" s="3074"/>
      <c r="Z149" s="3074"/>
      <c r="AA149" s="3074"/>
      <c r="AB149" s="3074">
        <f t="shared" si="14"/>
        <v>0</v>
      </c>
      <c r="AC149" s="3074">
        <f t="shared" si="15"/>
        <v>0</v>
      </c>
      <c r="AD149" s="3074"/>
      <c r="AE149" s="3074"/>
      <c r="AF149" s="2725"/>
    </row>
    <row r="150" spans="1:16384" s="3076" customFormat="1" x14ac:dyDescent="0.2">
      <c r="A150" s="3073" t="s">
        <v>2842</v>
      </c>
      <c r="B150" s="2791">
        <v>2</v>
      </c>
      <c r="C150" s="2718">
        <v>1.3</v>
      </c>
      <c r="D150" s="3074">
        <f t="shared" si="19"/>
        <v>2.6</v>
      </c>
      <c r="E150" s="3074"/>
      <c r="F150" s="3074"/>
      <c r="G150" s="3074"/>
      <c r="H150" s="3074"/>
      <c r="I150" s="3074"/>
      <c r="J150" s="3074"/>
      <c r="K150" s="3074"/>
      <c r="L150" s="3074"/>
      <c r="M150" s="3074"/>
      <c r="N150" s="3074"/>
      <c r="O150" s="3074"/>
      <c r="P150" s="3074"/>
      <c r="Q150" s="3074"/>
      <c r="R150" s="3074"/>
      <c r="S150" s="2791"/>
      <c r="T150" s="3074"/>
      <c r="U150" s="3075"/>
      <c r="V150" s="3074"/>
      <c r="W150" s="3074"/>
      <c r="X150" s="3074"/>
      <c r="Y150" s="3074"/>
      <c r="Z150" s="3074"/>
      <c r="AA150" s="3074"/>
      <c r="AB150" s="3074">
        <f t="shared" si="14"/>
        <v>0</v>
      </c>
      <c r="AC150" s="3074">
        <f t="shared" si="15"/>
        <v>0</v>
      </c>
      <c r="AD150" s="3074"/>
      <c r="AE150" s="3074"/>
      <c r="AF150" s="2725"/>
    </row>
    <row r="151" spans="1:16384" s="3076" customFormat="1" x14ac:dyDescent="0.2">
      <c r="A151" s="3073" t="s">
        <v>2843</v>
      </c>
      <c r="B151" s="2791">
        <v>1</v>
      </c>
      <c r="C151" s="2718">
        <v>43.8</v>
      </c>
      <c r="D151" s="3074">
        <f t="shared" si="19"/>
        <v>43.8</v>
      </c>
      <c r="E151" s="3074"/>
      <c r="F151" s="3074"/>
      <c r="G151" s="3074"/>
      <c r="H151" s="3074"/>
      <c r="I151" s="3074"/>
      <c r="J151" s="3074"/>
      <c r="K151" s="3074"/>
      <c r="L151" s="3074"/>
      <c r="M151" s="3074"/>
      <c r="N151" s="3074"/>
      <c r="O151" s="3074"/>
      <c r="P151" s="3074"/>
      <c r="Q151" s="3074"/>
      <c r="R151" s="3074"/>
      <c r="S151" s="2791"/>
      <c r="T151" s="3074"/>
      <c r="U151" s="3075"/>
      <c r="V151" s="3074"/>
      <c r="W151" s="3074"/>
      <c r="X151" s="3074"/>
      <c r="Y151" s="3074"/>
      <c r="Z151" s="3074"/>
      <c r="AA151" s="3074"/>
      <c r="AB151" s="3074">
        <f t="shared" si="14"/>
        <v>0</v>
      </c>
      <c r="AC151" s="3074">
        <f t="shared" si="15"/>
        <v>0</v>
      </c>
      <c r="AD151" s="3074"/>
      <c r="AE151" s="3074"/>
      <c r="AF151" s="2725"/>
    </row>
    <row r="152" spans="1:16384" s="3076" customFormat="1" x14ac:dyDescent="0.2">
      <c r="A152" s="3073" t="s">
        <v>2844</v>
      </c>
      <c r="B152" s="2791">
        <v>1</v>
      </c>
      <c r="C152" s="2718">
        <v>78.98</v>
      </c>
      <c r="D152" s="3074">
        <f t="shared" si="19"/>
        <v>79</v>
      </c>
      <c r="E152" s="3074"/>
      <c r="F152" s="3074"/>
      <c r="G152" s="3074"/>
      <c r="H152" s="3074"/>
      <c r="I152" s="3074"/>
      <c r="J152" s="3074"/>
      <c r="K152" s="3074"/>
      <c r="L152" s="3074"/>
      <c r="M152" s="3074"/>
      <c r="N152" s="3074"/>
      <c r="O152" s="3074"/>
      <c r="P152" s="3074"/>
      <c r="Q152" s="3074"/>
      <c r="R152" s="3074"/>
      <c r="S152" s="2791"/>
      <c r="T152" s="3074"/>
      <c r="U152" s="3075"/>
      <c r="V152" s="3074"/>
      <c r="W152" s="3074"/>
      <c r="X152" s="3074"/>
      <c r="Y152" s="3074"/>
      <c r="Z152" s="3074"/>
      <c r="AA152" s="3074"/>
      <c r="AB152" s="3074">
        <f t="shared" si="14"/>
        <v>0</v>
      </c>
      <c r="AC152" s="3074">
        <f t="shared" si="15"/>
        <v>0</v>
      </c>
      <c r="AD152" s="3074"/>
      <c r="AE152" s="3074"/>
      <c r="AF152" s="2725"/>
    </row>
    <row r="153" spans="1:16384" s="3076" customFormat="1" x14ac:dyDescent="0.2">
      <c r="A153" s="3073" t="s">
        <v>2845</v>
      </c>
      <c r="B153" s="2791">
        <v>1</v>
      </c>
      <c r="C153" s="2718">
        <v>52.4</v>
      </c>
      <c r="D153" s="3074">
        <f t="shared" si="19"/>
        <v>52.4</v>
      </c>
      <c r="E153" s="3074"/>
      <c r="F153" s="3074"/>
      <c r="G153" s="3074"/>
      <c r="H153" s="3074"/>
      <c r="I153" s="3074"/>
      <c r="J153" s="3074"/>
      <c r="K153" s="3074"/>
      <c r="L153" s="3074"/>
      <c r="M153" s="3074"/>
      <c r="N153" s="3074"/>
      <c r="O153" s="3074"/>
      <c r="P153" s="3074"/>
      <c r="Q153" s="3074"/>
      <c r="R153" s="3074"/>
      <c r="S153" s="2791"/>
      <c r="T153" s="3074"/>
      <c r="U153" s="3075"/>
      <c r="V153" s="3074"/>
      <c r="W153" s="3074"/>
      <c r="X153" s="3074"/>
      <c r="Y153" s="3074"/>
      <c r="Z153" s="3074"/>
      <c r="AA153" s="3074"/>
      <c r="AB153" s="3074">
        <f t="shared" si="14"/>
        <v>0</v>
      </c>
      <c r="AC153" s="3074">
        <f t="shared" si="15"/>
        <v>0</v>
      </c>
      <c r="AD153" s="3074"/>
      <c r="AE153" s="3074"/>
      <c r="AF153" s="2725"/>
    </row>
    <row r="154" spans="1:16384" s="3076" customFormat="1" ht="141.75" x14ac:dyDescent="0.2">
      <c r="A154" s="3073" t="s">
        <v>2846</v>
      </c>
      <c r="B154" s="2791"/>
      <c r="C154" s="2791"/>
      <c r="D154" s="3074"/>
      <c r="E154" s="3074"/>
      <c r="F154" s="3074"/>
      <c r="G154" s="3074"/>
      <c r="H154" s="3074"/>
      <c r="I154" s="3074"/>
      <c r="J154" s="3074"/>
      <c r="K154" s="3074"/>
      <c r="L154" s="3074"/>
      <c r="M154" s="3074"/>
      <c r="N154" s="3074"/>
      <c r="O154" s="3074"/>
      <c r="P154" s="3074"/>
      <c r="Q154" s="3074">
        <v>1</v>
      </c>
      <c r="R154" s="3074">
        <v>0</v>
      </c>
      <c r="S154" s="2791"/>
      <c r="T154" s="3074">
        <v>3</v>
      </c>
      <c r="U154" s="3075" t="s">
        <v>2847</v>
      </c>
      <c r="V154" s="3074"/>
      <c r="W154" s="3074"/>
      <c r="X154" s="3074"/>
      <c r="Y154" s="3074"/>
      <c r="Z154" s="3074"/>
      <c r="AA154" s="3074"/>
      <c r="AB154" s="3074">
        <f t="shared" si="14"/>
        <v>0</v>
      </c>
      <c r="AC154" s="3074">
        <f t="shared" si="15"/>
        <v>0</v>
      </c>
      <c r="AD154" s="3074"/>
      <c r="AE154" s="3074"/>
      <c r="AF154" s="2725"/>
    </row>
    <row r="155" spans="1:16384" s="3083" customFormat="1" ht="18.75" x14ac:dyDescent="0.2">
      <c r="A155" s="3082"/>
      <c r="B155" s="3061"/>
      <c r="C155" s="3061"/>
      <c r="D155" s="3061"/>
      <c r="E155" s="3061"/>
      <c r="F155" s="3061"/>
      <c r="G155" s="3061"/>
      <c r="H155" s="3061"/>
      <c r="I155" s="3061"/>
      <c r="J155" s="3061"/>
      <c r="K155" s="3061"/>
      <c r="L155" s="3061"/>
      <c r="M155" s="3061"/>
      <c r="N155" s="3061"/>
      <c r="O155" s="3061"/>
      <c r="P155" s="3061"/>
      <c r="Q155" s="3061"/>
      <c r="R155" s="3061"/>
      <c r="S155" s="2923"/>
      <c r="T155" s="3061"/>
      <c r="U155" s="3062"/>
      <c r="V155" s="3061"/>
      <c r="W155" s="3061"/>
      <c r="X155" s="3061"/>
      <c r="Y155" s="3061"/>
      <c r="Z155" s="3061"/>
      <c r="AA155" s="3061"/>
      <c r="AB155" s="3061"/>
      <c r="AC155" s="3061"/>
      <c r="AD155" s="3061"/>
      <c r="AE155" s="3061"/>
      <c r="AF155" s="3063"/>
      <c r="AG155" s="3060"/>
      <c r="AH155" s="3060"/>
      <c r="AI155" s="3060"/>
      <c r="AJ155" s="3060"/>
      <c r="AK155" s="3060"/>
      <c r="AL155" s="3060"/>
      <c r="AM155" s="3060"/>
      <c r="AN155" s="3060"/>
      <c r="AO155" s="3060"/>
      <c r="AP155" s="3060"/>
      <c r="AQ155" s="3060"/>
      <c r="AR155" s="3060"/>
      <c r="AS155" s="3060"/>
      <c r="AT155" s="3060"/>
      <c r="AU155" s="3060"/>
      <c r="AV155" s="3060"/>
      <c r="AW155" s="3060"/>
      <c r="AX155" s="3060"/>
      <c r="AY155" s="3060"/>
      <c r="AZ155" s="3060"/>
      <c r="BA155" s="3060"/>
      <c r="BB155" s="3060"/>
      <c r="BC155" s="3060"/>
      <c r="BD155" s="3060"/>
      <c r="BE155" s="3060"/>
      <c r="BF155" s="3060"/>
      <c r="BG155" s="3060"/>
      <c r="BH155" s="3060"/>
      <c r="BI155" s="3060"/>
      <c r="BJ155" s="3060"/>
      <c r="BK155" s="3060"/>
      <c r="BL155" s="3060"/>
      <c r="BM155" s="3060"/>
      <c r="BN155" s="3060"/>
      <c r="BO155" s="3060"/>
      <c r="BP155" s="3060"/>
      <c r="BQ155" s="3060"/>
      <c r="BR155" s="3060"/>
      <c r="BS155" s="3060"/>
      <c r="BT155" s="3060"/>
      <c r="BU155" s="3060"/>
      <c r="BV155" s="3060"/>
      <c r="BW155" s="3060"/>
      <c r="BX155" s="3060"/>
      <c r="BY155" s="3060"/>
      <c r="BZ155" s="3060"/>
      <c r="CA155" s="3060"/>
      <c r="CB155" s="3060"/>
      <c r="CC155" s="3060"/>
      <c r="CD155" s="3060"/>
      <c r="CE155" s="3060"/>
      <c r="CF155" s="3060"/>
      <c r="CG155" s="3060"/>
      <c r="CH155" s="3060"/>
      <c r="CI155" s="3060"/>
      <c r="CJ155" s="3060"/>
      <c r="CK155" s="3060"/>
      <c r="CL155" s="3060"/>
      <c r="CM155" s="3060"/>
      <c r="CN155" s="3060"/>
      <c r="CO155" s="3060"/>
      <c r="CP155" s="3060"/>
      <c r="CQ155" s="3060"/>
      <c r="CR155" s="3060"/>
      <c r="CS155" s="3060"/>
      <c r="CT155" s="3060"/>
      <c r="CU155" s="3060"/>
      <c r="CV155" s="3060"/>
      <c r="CW155" s="3060"/>
      <c r="CX155" s="3060"/>
      <c r="CY155" s="3060"/>
      <c r="CZ155" s="3060"/>
      <c r="DA155" s="3060"/>
      <c r="DB155" s="3060"/>
      <c r="DC155" s="3060"/>
      <c r="DD155" s="3060"/>
      <c r="DE155" s="3060"/>
      <c r="DF155" s="3060"/>
      <c r="DG155" s="3060"/>
      <c r="DH155" s="3060"/>
      <c r="DI155" s="3060"/>
      <c r="DJ155" s="3060"/>
      <c r="DK155" s="3060"/>
      <c r="DL155" s="3060"/>
      <c r="DM155" s="3060"/>
      <c r="DN155" s="3060"/>
      <c r="DO155" s="3060"/>
      <c r="DP155" s="3060"/>
      <c r="DQ155" s="3060"/>
      <c r="DR155" s="3060"/>
      <c r="DS155" s="3060"/>
      <c r="DT155" s="3060"/>
      <c r="DU155" s="3060"/>
      <c r="DV155" s="3060"/>
      <c r="DW155" s="3060"/>
      <c r="DX155" s="3060"/>
      <c r="DY155" s="3060"/>
      <c r="DZ155" s="3060"/>
      <c r="EA155" s="3060"/>
      <c r="EB155" s="3060"/>
      <c r="EC155" s="3060"/>
      <c r="ED155" s="3060"/>
      <c r="EE155" s="3060"/>
      <c r="EF155" s="3060"/>
      <c r="EG155" s="3060"/>
      <c r="EH155" s="3060"/>
      <c r="EI155" s="3060"/>
      <c r="EJ155" s="3060"/>
      <c r="EK155" s="3060"/>
      <c r="EL155" s="3060"/>
      <c r="EM155" s="3060"/>
      <c r="EN155" s="3060"/>
      <c r="EO155" s="3060"/>
      <c r="EP155" s="3060"/>
      <c r="EQ155" s="3060"/>
      <c r="ER155" s="3060"/>
      <c r="ES155" s="3060"/>
      <c r="ET155" s="3060"/>
      <c r="EU155" s="3060"/>
      <c r="EV155" s="3060"/>
      <c r="EW155" s="3060"/>
      <c r="EX155" s="3060"/>
      <c r="EY155" s="3060"/>
      <c r="EZ155" s="3060"/>
      <c r="FA155" s="3060"/>
      <c r="FB155" s="3060"/>
      <c r="FC155" s="3060"/>
      <c r="FD155" s="3060"/>
      <c r="FE155" s="3060"/>
      <c r="FF155" s="3060"/>
      <c r="FG155" s="3060"/>
      <c r="FH155" s="3060"/>
      <c r="FI155" s="3060"/>
      <c r="FJ155" s="3060"/>
      <c r="FK155" s="3060"/>
      <c r="FL155" s="3060"/>
      <c r="FM155" s="3060"/>
      <c r="FN155" s="3060"/>
      <c r="FO155" s="3060"/>
      <c r="FP155" s="3060"/>
      <c r="FQ155" s="3060"/>
      <c r="FR155" s="3060"/>
      <c r="FS155" s="3060"/>
      <c r="FT155" s="3060"/>
      <c r="FU155" s="3060"/>
      <c r="FV155" s="3060"/>
      <c r="FW155" s="3060"/>
      <c r="FX155" s="3060"/>
      <c r="FY155" s="3060"/>
      <c r="FZ155" s="3060"/>
      <c r="GA155" s="3060"/>
      <c r="GB155" s="3060"/>
      <c r="GC155" s="3060"/>
      <c r="GD155" s="3060"/>
      <c r="GE155" s="3060"/>
      <c r="GF155" s="3060"/>
      <c r="GG155" s="3060"/>
      <c r="GH155" s="3060"/>
      <c r="GI155" s="3060"/>
      <c r="GJ155" s="3060"/>
      <c r="GK155" s="3060"/>
      <c r="GL155" s="3060"/>
      <c r="GM155" s="3060"/>
      <c r="GN155" s="3060"/>
      <c r="GO155" s="3060"/>
      <c r="GP155" s="3060"/>
      <c r="GQ155" s="3060"/>
      <c r="GR155" s="3060"/>
      <c r="GS155" s="3060"/>
      <c r="GT155" s="3060"/>
      <c r="GU155" s="3060"/>
      <c r="GV155" s="3060"/>
      <c r="GW155" s="3060"/>
      <c r="GX155" s="3060"/>
      <c r="GY155" s="3060"/>
      <c r="GZ155" s="3060"/>
      <c r="HA155" s="3060"/>
      <c r="HB155" s="3060"/>
      <c r="HC155" s="3060"/>
      <c r="HD155" s="3060"/>
      <c r="HE155" s="3060"/>
      <c r="HF155" s="3060"/>
      <c r="HG155" s="3060"/>
      <c r="HH155" s="3060"/>
      <c r="HI155" s="3060"/>
      <c r="HJ155" s="3060"/>
      <c r="HK155" s="3060"/>
      <c r="HL155" s="3060"/>
      <c r="HM155" s="3060"/>
      <c r="HN155" s="3060"/>
      <c r="HO155" s="3060"/>
      <c r="HP155" s="3060"/>
      <c r="HQ155" s="3060"/>
      <c r="HR155" s="3060"/>
      <c r="HS155" s="3060"/>
      <c r="HT155" s="3060"/>
      <c r="HU155" s="3060"/>
      <c r="HV155" s="3060"/>
      <c r="HW155" s="3060"/>
      <c r="HX155" s="3060"/>
      <c r="HY155" s="3060"/>
      <c r="HZ155" s="3060"/>
      <c r="IA155" s="3060"/>
      <c r="IB155" s="3060"/>
      <c r="IC155" s="3060"/>
      <c r="ID155" s="3060"/>
      <c r="IE155" s="3060"/>
      <c r="IF155" s="3060"/>
      <c r="IG155" s="3060"/>
      <c r="IH155" s="3060"/>
      <c r="II155" s="3060"/>
      <c r="IJ155" s="3060"/>
      <c r="IK155" s="3060"/>
      <c r="IL155" s="3060"/>
      <c r="IM155" s="3060"/>
      <c r="IN155" s="3060"/>
      <c r="IO155" s="3060"/>
      <c r="IP155" s="3060"/>
      <c r="IQ155" s="3060"/>
      <c r="IR155" s="3060"/>
      <c r="IS155" s="3060"/>
      <c r="IT155" s="3060"/>
      <c r="IU155" s="3060"/>
      <c r="IV155" s="3060"/>
      <c r="IW155" s="3060"/>
      <c r="IX155" s="3060"/>
      <c r="IY155" s="3060"/>
      <c r="IZ155" s="3060"/>
      <c r="JA155" s="3060"/>
      <c r="JB155" s="3060"/>
      <c r="JC155" s="3060"/>
      <c r="JD155" s="3060"/>
      <c r="JE155" s="3060"/>
      <c r="JF155" s="3060"/>
      <c r="JG155" s="3060"/>
      <c r="JH155" s="3060"/>
      <c r="JI155" s="3060"/>
      <c r="JJ155" s="3060"/>
      <c r="JK155" s="3060"/>
      <c r="JL155" s="3060"/>
      <c r="JM155" s="3060"/>
      <c r="JN155" s="3060"/>
      <c r="JO155" s="3060"/>
      <c r="JP155" s="3060"/>
      <c r="JQ155" s="3060"/>
      <c r="JR155" s="3060"/>
      <c r="JS155" s="3060"/>
      <c r="JT155" s="3060"/>
      <c r="JU155" s="3060"/>
      <c r="JV155" s="3060"/>
      <c r="JW155" s="3060"/>
      <c r="JX155" s="3060"/>
      <c r="JY155" s="3060"/>
      <c r="JZ155" s="3060"/>
      <c r="KA155" s="3060"/>
      <c r="KB155" s="3060"/>
      <c r="KC155" s="3060"/>
      <c r="KD155" s="3060"/>
      <c r="KE155" s="3060"/>
      <c r="KF155" s="3060"/>
      <c r="KG155" s="3060"/>
      <c r="KH155" s="3060"/>
      <c r="KI155" s="3060"/>
      <c r="KJ155" s="3060"/>
      <c r="KK155" s="3060"/>
      <c r="KL155" s="3060"/>
      <c r="KM155" s="3060"/>
      <c r="KN155" s="3060"/>
      <c r="KO155" s="3060"/>
      <c r="KP155" s="3060"/>
      <c r="KQ155" s="3060"/>
      <c r="KR155" s="3060"/>
      <c r="KS155" s="3060"/>
      <c r="KT155" s="3060"/>
      <c r="KU155" s="3060"/>
      <c r="KV155" s="3060"/>
      <c r="KW155" s="3060"/>
      <c r="KX155" s="3060"/>
      <c r="KY155" s="3060"/>
      <c r="KZ155" s="3060"/>
      <c r="LA155" s="3060"/>
      <c r="LB155" s="3060"/>
      <c r="LC155" s="3060"/>
      <c r="LD155" s="3060"/>
      <c r="LE155" s="3060"/>
      <c r="LF155" s="3060"/>
      <c r="LG155" s="3060"/>
      <c r="LH155" s="3060"/>
      <c r="LI155" s="3060"/>
      <c r="LJ155" s="3060"/>
      <c r="LK155" s="3060"/>
      <c r="LL155" s="3060"/>
      <c r="LM155" s="3060"/>
      <c r="LN155" s="3060"/>
      <c r="LO155" s="3060"/>
      <c r="LP155" s="3060"/>
      <c r="LQ155" s="3060"/>
      <c r="LR155" s="3060"/>
      <c r="LS155" s="3060"/>
      <c r="LT155" s="3060"/>
      <c r="LU155" s="3060"/>
      <c r="LV155" s="3060"/>
      <c r="LW155" s="3060"/>
      <c r="LX155" s="3060"/>
      <c r="LY155" s="3060"/>
      <c r="LZ155" s="3060"/>
      <c r="MA155" s="3060"/>
      <c r="MB155" s="3060"/>
      <c r="MC155" s="3060"/>
      <c r="MD155" s="3060"/>
      <c r="ME155" s="3060"/>
      <c r="MF155" s="3060"/>
      <c r="MG155" s="3060"/>
      <c r="MH155" s="3060"/>
      <c r="MI155" s="3060"/>
      <c r="MJ155" s="3060"/>
      <c r="MK155" s="3060"/>
      <c r="ML155" s="3060"/>
      <c r="MM155" s="3060"/>
      <c r="MN155" s="3060"/>
      <c r="MO155" s="3060"/>
      <c r="MP155" s="3060"/>
      <c r="MQ155" s="3060"/>
      <c r="MR155" s="3060"/>
      <c r="MS155" s="3060"/>
      <c r="MT155" s="3060"/>
      <c r="MU155" s="3060"/>
      <c r="MV155" s="3060"/>
      <c r="MW155" s="3060"/>
      <c r="MX155" s="3060"/>
      <c r="MY155" s="3060"/>
      <c r="MZ155" s="3060"/>
      <c r="NA155" s="3060"/>
      <c r="NB155" s="3060"/>
      <c r="NC155" s="3060"/>
      <c r="ND155" s="3060"/>
      <c r="NE155" s="3060"/>
      <c r="NF155" s="3060"/>
      <c r="NG155" s="3060"/>
      <c r="NH155" s="3060"/>
      <c r="NI155" s="3060"/>
      <c r="NJ155" s="3060"/>
      <c r="NK155" s="3060"/>
      <c r="NL155" s="3060"/>
      <c r="NM155" s="3060"/>
      <c r="NN155" s="3060"/>
      <c r="NO155" s="3060"/>
      <c r="NP155" s="3060"/>
      <c r="NQ155" s="3060"/>
      <c r="NR155" s="3060"/>
      <c r="NS155" s="3060"/>
      <c r="NT155" s="3060"/>
      <c r="NU155" s="3060"/>
      <c r="NV155" s="3060"/>
      <c r="NW155" s="3060"/>
      <c r="NX155" s="3060"/>
      <c r="NY155" s="3060"/>
      <c r="NZ155" s="3060"/>
      <c r="OA155" s="3060"/>
      <c r="OB155" s="3060"/>
      <c r="OC155" s="3060"/>
      <c r="OD155" s="3060"/>
      <c r="OE155" s="3060"/>
      <c r="OF155" s="3060"/>
      <c r="OG155" s="3060"/>
      <c r="OH155" s="3060"/>
      <c r="OI155" s="3060"/>
      <c r="OJ155" s="3060"/>
      <c r="OK155" s="3060"/>
      <c r="OL155" s="3060"/>
      <c r="OM155" s="3060"/>
      <c r="ON155" s="3060"/>
      <c r="OO155" s="3060"/>
      <c r="OP155" s="3060"/>
      <c r="OQ155" s="3060"/>
      <c r="OR155" s="3060"/>
      <c r="OS155" s="3060"/>
      <c r="OT155" s="3060"/>
      <c r="OU155" s="3060"/>
      <c r="OV155" s="3060"/>
      <c r="OW155" s="3060"/>
      <c r="OX155" s="3060"/>
      <c r="OY155" s="3060"/>
      <c r="OZ155" s="3060"/>
      <c r="PA155" s="3060"/>
      <c r="PB155" s="3060"/>
      <c r="PC155" s="3060"/>
      <c r="PD155" s="3060"/>
      <c r="PE155" s="3060"/>
      <c r="PF155" s="3060"/>
      <c r="PG155" s="3060"/>
      <c r="PH155" s="3060"/>
      <c r="PI155" s="3060"/>
      <c r="PJ155" s="3060"/>
      <c r="PK155" s="3060"/>
      <c r="PL155" s="3060"/>
      <c r="PM155" s="3060"/>
      <c r="PN155" s="3060"/>
      <c r="PO155" s="3060"/>
      <c r="PP155" s="3060"/>
      <c r="PQ155" s="3060"/>
      <c r="PR155" s="3060"/>
      <c r="PS155" s="3060"/>
      <c r="PT155" s="3060"/>
      <c r="PU155" s="3060"/>
      <c r="PV155" s="3060"/>
      <c r="PW155" s="3060"/>
      <c r="PX155" s="3060"/>
      <c r="PY155" s="3060"/>
      <c r="PZ155" s="3060"/>
      <c r="QA155" s="3060"/>
      <c r="QB155" s="3060"/>
      <c r="QC155" s="3060"/>
      <c r="QD155" s="3060"/>
      <c r="QE155" s="3060"/>
      <c r="QF155" s="3060"/>
      <c r="QG155" s="3060"/>
      <c r="QH155" s="3060"/>
      <c r="QI155" s="3060"/>
      <c r="QJ155" s="3060"/>
      <c r="QK155" s="3060"/>
      <c r="QL155" s="3060"/>
      <c r="QM155" s="3060"/>
      <c r="QN155" s="3060"/>
      <c r="QO155" s="3060"/>
      <c r="QP155" s="3060"/>
      <c r="QQ155" s="3060"/>
      <c r="QR155" s="3060"/>
      <c r="QS155" s="3060"/>
      <c r="QT155" s="3060"/>
      <c r="QU155" s="3060"/>
      <c r="QV155" s="3060"/>
      <c r="QW155" s="3060"/>
      <c r="QX155" s="3060"/>
      <c r="QY155" s="3060"/>
      <c r="QZ155" s="3060"/>
      <c r="RA155" s="3060"/>
      <c r="RB155" s="3060"/>
      <c r="RC155" s="3060"/>
      <c r="RD155" s="3060"/>
      <c r="RE155" s="3060"/>
      <c r="RF155" s="3060"/>
      <c r="RG155" s="3060"/>
      <c r="RH155" s="3060"/>
      <c r="RI155" s="3060"/>
      <c r="RJ155" s="3060"/>
      <c r="RK155" s="3060"/>
      <c r="RL155" s="3060"/>
      <c r="RM155" s="3060"/>
      <c r="RN155" s="3060"/>
      <c r="RO155" s="3060"/>
      <c r="RP155" s="3060"/>
      <c r="RQ155" s="3060"/>
      <c r="RR155" s="3060"/>
      <c r="RS155" s="3060"/>
      <c r="RT155" s="3060"/>
      <c r="RU155" s="3060"/>
      <c r="RV155" s="3060"/>
      <c r="RW155" s="3060"/>
      <c r="RX155" s="3060"/>
      <c r="RY155" s="3060"/>
      <c r="RZ155" s="3060"/>
      <c r="SA155" s="3060"/>
      <c r="SB155" s="3060"/>
      <c r="SC155" s="3060"/>
      <c r="SD155" s="3060"/>
      <c r="SE155" s="3060"/>
      <c r="SF155" s="3060"/>
      <c r="SG155" s="3060"/>
      <c r="SH155" s="3060"/>
      <c r="SI155" s="3060"/>
      <c r="SJ155" s="3060"/>
      <c r="SK155" s="3060"/>
      <c r="SL155" s="3060"/>
      <c r="SM155" s="3060"/>
      <c r="SN155" s="3060"/>
      <c r="SO155" s="3060"/>
      <c r="SP155" s="3060"/>
      <c r="SQ155" s="3060"/>
      <c r="SR155" s="3060"/>
      <c r="SS155" s="3060"/>
      <c r="ST155" s="3060"/>
      <c r="SU155" s="3060"/>
      <c r="SV155" s="3060"/>
      <c r="SW155" s="3060"/>
      <c r="SX155" s="3060"/>
      <c r="SY155" s="3060"/>
      <c r="SZ155" s="3060"/>
      <c r="TA155" s="3060"/>
      <c r="TB155" s="3060"/>
      <c r="TC155" s="3060"/>
      <c r="TD155" s="3060"/>
      <c r="TE155" s="3060"/>
      <c r="TF155" s="3060"/>
      <c r="TG155" s="3060"/>
      <c r="TH155" s="3060"/>
      <c r="TI155" s="3060"/>
      <c r="TJ155" s="3060"/>
      <c r="TK155" s="3060"/>
      <c r="TL155" s="3060"/>
      <c r="TM155" s="3060"/>
      <c r="TN155" s="3060"/>
      <c r="TO155" s="3060"/>
      <c r="TP155" s="3060"/>
      <c r="TQ155" s="3060"/>
      <c r="TR155" s="3060"/>
      <c r="TS155" s="3060"/>
      <c r="TT155" s="3060"/>
      <c r="TU155" s="3060"/>
      <c r="TV155" s="3060"/>
      <c r="TW155" s="3060"/>
      <c r="TX155" s="3060"/>
      <c r="TY155" s="3060"/>
      <c r="TZ155" s="3060"/>
      <c r="UA155" s="3060"/>
      <c r="UB155" s="3060"/>
      <c r="UC155" s="3060"/>
      <c r="UD155" s="3060"/>
      <c r="UE155" s="3060"/>
      <c r="UF155" s="3060"/>
      <c r="UG155" s="3060"/>
      <c r="UH155" s="3060"/>
      <c r="UI155" s="3060"/>
      <c r="UJ155" s="3060"/>
      <c r="UK155" s="3060"/>
      <c r="UL155" s="3060"/>
      <c r="UM155" s="3060"/>
      <c r="UN155" s="3060"/>
      <c r="UO155" s="3060"/>
      <c r="UP155" s="3060"/>
      <c r="UQ155" s="3060"/>
      <c r="UR155" s="3060"/>
      <c r="US155" s="3060"/>
      <c r="UT155" s="3060"/>
      <c r="UU155" s="3060"/>
      <c r="UV155" s="3060"/>
      <c r="UW155" s="3060"/>
      <c r="UX155" s="3060"/>
      <c r="UY155" s="3060"/>
      <c r="UZ155" s="3060"/>
      <c r="VA155" s="3060"/>
      <c r="VB155" s="3060"/>
      <c r="VC155" s="3060"/>
      <c r="VD155" s="3060"/>
      <c r="VE155" s="3060"/>
      <c r="VF155" s="3060"/>
      <c r="VG155" s="3060"/>
      <c r="VH155" s="3060"/>
      <c r="VI155" s="3060"/>
      <c r="VJ155" s="3060"/>
      <c r="VK155" s="3060"/>
      <c r="VL155" s="3060"/>
      <c r="VM155" s="3060"/>
      <c r="VN155" s="3060"/>
      <c r="VO155" s="3060"/>
      <c r="VP155" s="3060"/>
      <c r="VQ155" s="3060"/>
      <c r="VR155" s="3060"/>
      <c r="VS155" s="3060"/>
      <c r="VT155" s="3060"/>
      <c r="VU155" s="3060"/>
      <c r="VV155" s="3060"/>
      <c r="VW155" s="3060"/>
      <c r="VX155" s="3060"/>
      <c r="VY155" s="3060"/>
      <c r="VZ155" s="3060"/>
      <c r="WA155" s="3060"/>
      <c r="WB155" s="3060"/>
      <c r="WC155" s="3060"/>
      <c r="WD155" s="3060"/>
      <c r="WE155" s="3060"/>
      <c r="WF155" s="3060"/>
      <c r="WG155" s="3060"/>
      <c r="WH155" s="3060"/>
      <c r="WI155" s="3060"/>
      <c r="WJ155" s="3060"/>
      <c r="WK155" s="3060"/>
      <c r="WL155" s="3060"/>
      <c r="WM155" s="3060"/>
      <c r="WN155" s="3060"/>
      <c r="WO155" s="3060"/>
      <c r="WP155" s="3060"/>
      <c r="WQ155" s="3060"/>
      <c r="WR155" s="3060"/>
      <c r="WS155" s="3060"/>
      <c r="WT155" s="3060"/>
      <c r="WU155" s="3060"/>
      <c r="WV155" s="3060"/>
      <c r="WW155" s="3060"/>
      <c r="WX155" s="3060"/>
      <c r="WY155" s="3060"/>
      <c r="WZ155" s="3060"/>
      <c r="XA155" s="3060"/>
      <c r="XB155" s="3060"/>
      <c r="XC155" s="3060"/>
      <c r="XD155" s="3060"/>
      <c r="XE155" s="3060"/>
      <c r="XF155" s="3060"/>
      <c r="XG155" s="3060"/>
      <c r="XH155" s="3060"/>
      <c r="XI155" s="3060"/>
      <c r="XJ155" s="3060"/>
      <c r="XK155" s="3060"/>
      <c r="XL155" s="3060"/>
      <c r="XM155" s="3060"/>
      <c r="XN155" s="3060"/>
      <c r="XO155" s="3060"/>
      <c r="XP155" s="3060"/>
      <c r="XQ155" s="3060"/>
      <c r="XR155" s="3060"/>
      <c r="XS155" s="3060"/>
      <c r="XT155" s="3060"/>
      <c r="XU155" s="3060"/>
      <c r="XV155" s="3060"/>
      <c r="XW155" s="3060"/>
      <c r="XX155" s="3060"/>
      <c r="XY155" s="3060"/>
      <c r="XZ155" s="3060"/>
      <c r="YA155" s="3060"/>
      <c r="YB155" s="3060"/>
      <c r="YC155" s="3060"/>
      <c r="YD155" s="3060"/>
      <c r="YE155" s="3060"/>
      <c r="YF155" s="3060"/>
      <c r="YG155" s="3060"/>
      <c r="YH155" s="3060"/>
      <c r="YI155" s="3060"/>
      <c r="YJ155" s="3060"/>
      <c r="YK155" s="3060"/>
      <c r="YL155" s="3060"/>
      <c r="YM155" s="3060"/>
      <c r="YN155" s="3060"/>
      <c r="YO155" s="3060"/>
      <c r="YP155" s="3060"/>
      <c r="YQ155" s="3060"/>
      <c r="YR155" s="3060"/>
      <c r="YS155" s="3060"/>
      <c r="YT155" s="3060"/>
      <c r="YU155" s="3060"/>
      <c r="YV155" s="3060"/>
      <c r="YW155" s="3060"/>
      <c r="YX155" s="3060"/>
      <c r="YY155" s="3060"/>
      <c r="YZ155" s="3060"/>
      <c r="ZA155" s="3060"/>
      <c r="ZB155" s="3060"/>
      <c r="ZC155" s="3060"/>
      <c r="ZD155" s="3060"/>
      <c r="ZE155" s="3060"/>
      <c r="ZF155" s="3060"/>
      <c r="ZG155" s="3060"/>
      <c r="ZH155" s="3060"/>
      <c r="ZI155" s="3060"/>
      <c r="ZJ155" s="3060"/>
      <c r="ZK155" s="3060"/>
      <c r="ZL155" s="3060"/>
      <c r="ZM155" s="3060"/>
      <c r="ZN155" s="3060"/>
      <c r="ZO155" s="3060"/>
      <c r="ZP155" s="3060"/>
      <c r="ZQ155" s="3060"/>
      <c r="ZR155" s="3060"/>
      <c r="ZS155" s="3060"/>
      <c r="ZT155" s="3060"/>
      <c r="ZU155" s="3060"/>
      <c r="ZV155" s="3060"/>
      <c r="ZW155" s="3060"/>
      <c r="ZX155" s="3060"/>
      <c r="ZY155" s="3060"/>
      <c r="ZZ155" s="3060"/>
      <c r="AAA155" s="3060"/>
      <c r="AAB155" s="3060"/>
      <c r="AAC155" s="3060"/>
      <c r="AAD155" s="3060"/>
      <c r="AAE155" s="3060"/>
      <c r="AAF155" s="3060"/>
      <c r="AAG155" s="3060"/>
      <c r="AAH155" s="3060"/>
      <c r="AAI155" s="3060"/>
      <c r="AAJ155" s="3060"/>
      <c r="AAK155" s="3060"/>
      <c r="AAL155" s="3060"/>
      <c r="AAM155" s="3060"/>
      <c r="AAN155" s="3060"/>
      <c r="AAO155" s="3060"/>
      <c r="AAP155" s="3060"/>
      <c r="AAQ155" s="3060"/>
      <c r="AAR155" s="3060"/>
      <c r="AAS155" s="3060"/>
      <c r="AAT155" s="3060"/>
      <c r="AAU155" s="3060"/>
      <c r="AAV155" s="3060"/>
      <c r="AAW155" s="3060"/>
      <c r="AAX155" s="3060"/>
      <c r="AAY155" s="3060"/>
      <c r="AAZ155" s="3060"/>
      <c r="ABA155" s="3060"/>
      <c r="ABB155" s="3060"/>
      <c r="ABC155" s="3060"/>
      <c r="ABD155" s="3060"/>
      <c r="ABE155" s="3060"/>
      <c r="ABF155" s="3060"/>
      <c r="ABG155" s="3060"/>
      <c r="ABH155" s="3060"/>
      <c r="ABI155" s="3060"/>
      <c r="ABJ155" s="3060"/>
      <c r="ABK155" s="3060"/>
      <c r="ABL155" s="3060"/>
      <c r="ABM155" s="3060"/>
      <c r="ABN155" s="3060"/>
      <c r="ABO155" s="3060"/>
      <c r="ABP155" s="3060"/>
      <c r="ABQ155" s="3060"/>
      <c r="ABR155" s="3060"/>
      <c r="ABS155" s="3060"/>
      <c r="ABT155" s="3060"/>
      <c r="ABU155" s="3060"/>
      <c r="ABV155" s="3060"/>
      <c r="ABW155" s="3060"/>
      <c r="ABX155" s="3060"/>
      <c r="ABY155" s="3060"/>
      <c r="ABZ155" s="3060"/>
      <c r="ACA155" s="3060"/>
      <c r="ACB155" s="3060"/>
      <c r="ACC155" s="3060"/>
      <c r="ACD155" s="3060"/>
      <c r="ACE155" s="3060"/>
      <c r="ACF155" s="3060"/>
      <c r="ACG155" s="3060"/>
      <c r="ACH155" s="3060"/>
      <c r="ACI155" s="3060"/>
      <c r="ACJ155" s="3060"/>
      <c r="ACK155" s="3060"/>
      <c r="ACL155" s="3060"/>
      <c r="ACM155" s="3060"/>
      <c r="ACN155" s="3060"/>
      <c r="ACO155" s="3060"/>
      <c r="ACP155" s="3060"/>
      <c r="ACQ155" s="3060"/>
      <c r="ACR155" s="3060"/>
      <c r="ACS155" s="3060"/>
      <c r="ACT155" s="3060"/>
      <c r="ACU155" s="3060"/>
      <c r="ACV155" s="3060"/>
      <c r="ACW155" s="3060"/>
      <c r="ACX155" s="3060"/>
      <c r="ACY155" s="3060"/>
      <c r="ACZ155" s="3060"/>
      <c r="ADA155" s="3060"/>
      <c r="ADB155" s="3060"/>
      <c r="ADC155" s="3060"/>
      <c r="ADD155" s="3060"/>
      <c r="ADE155" s="3060"/>
      <c r="ADF155" s="3060"/>
      <c r="ADG155" s="3060"/>
      <c r="ADH155" s="3060"/>
      <c r="ADI155" s="3060"/>
      <c r="ADJ155" s="3060"/>
      <c r="ADK155" s="3060"/>
      <c r="ADL155" s="3060"/>
      <c r="ADM155" s="3060"/>
      <c r="ADN155" s="3060"/>
      <c r="ADO155" s="3060"/>
      <c r="ADP155" s="3060"/>
      <c r="ADQ155" s="3060"/>
      <c r="ADR155" s="3060"/>
      <c r="ADS155" s="3060"/>
      <c r="ADT155" s="3060"/>
      <c r="ADU155" s="3060"/>
      <c r="ADV155" s="3060"/>
      <c r="ADW155" s="3060"/>
      <c r="ADX155" s="3060"/>
      <c r="ADY155" s="3060"/>
      <c r="ADZ155" s="3060"/>
      <c r="AEA155" s="3060"/>
      <c r="AEB155" s="3060"/>
      <c r="AEC155" s="3060"/>
      <c r="AED155" s="3060"/>
      <c r="AEE155" s="3060"/>
      <c r="AEF155" s="3060"/>
      <c r="AEG155" s="3060"/>
      <c r="AEH155" s="3060"/>
      <c r="AEI155" s="3060"/>
      <c r="AEJ155" s="3060"/>
      <c r="AEK155" s="3060"/>
      <c r="AEL155" s="3060"/>
      <c r="AEM155" s="3060"/>
      <c r="AEN155" s="3060"/>
      <c r="AEO155" s="3060"/>
      <c r="AEP155" s="3060"/>
      <c r="AEQ155" s="3060"/>
      <c r="AER155" s="3060"/>
      <c r="AES155" s="3060"/>
      <c r="AET155" s="3060"/>
      <c r="AEU155" s="3060"/>
      <c r="AEV155" s="3060"/>
      <c r="AEW155" s="3060"/>
      <c r="AEX155" s="3060"/>
      <c r="AEY155" s="3060"/>
      <c r="AEZ155" s="3060"/>
      <c r="AFA155" s="3060"/>
      <c r="AFB155" s="3060"/>
      <c r="AFC155" s="3060"/>
      <c r="AFD155" s="3060"/>
      <c r="AFE155" s="3060"/>
      <c r="AFF155" s="3060"/>
      <c r="AFG155" s="3060"/>
      <c r="AFH155" s="3060"/>
      <c r="AFI155" s="3060"/>
      <c r="AFJ155" s="3060"/>
      <c r="AFK155" s="3060"/>
      <c r="AFL155" s="3060"/>
      <c r="AFM155" s="3060"/>
      <c r="AFN155" s="3060"/>
      <c r="AFO155" s="3060"/>
      <c r="AFP155" s="3060"/>
      <c r="AFQ155" s="3060"/>
      <c r="AFR155" s="3060"/>
      <c r="AFS155" s="3060"/>
      <c r="AFT155" s="3060"/>
      <c r="AFU155" s="3060"/>
      <c r="AFV155" s="3060"/>
      <c r="AFW155" s="3060"/>
      <c r="AFX155" s="3060"/>
      <c r="AFY155" s="3060"/>
      <c r="AFZ155" s="3060"/>
      <c r="AGA155" s="3060"/>
      <c r="AGB155" s="3060"/>
      <c r="AGC155" s="3060"/>
      <c r="AGD155" s="3060"/>
      <c r="AGE155" s="3060"/>
      <c r="AGF155" s="3060"/>
      <c r="AGG155" s="3060"/>
      <c r="AGH155" s="3060"/>
      <c r="AGI155" s="3060"/>
      <c r="AGJ155" s="3060"/>
      <c r="AGK155" s="3060"/>
      <c r="AGL155" s="3060"/>
      <c r="AGM155" s="3060"/>
      <c r="AGN155" s="3060"/>
      <c r="AGO155" s="3060"/>
      <c r="AGP155" s="3060"/>
      <c r="AGQ155" s="3060"/>
      <c r="AGR155" s="3060"/>
      <c r="AGS155" s="3060"/>
      <c r="AGT155" s="3060"/>
      <c r="AGU155" s="3060"/>
      <c r="AGV155" s="3060"/>
      <c r="AGW155" s="3060"/>
      <c r="AGX155" s="3060"/>
      <c r="AGY155" s="3060"/>
      <c r="AGZ155" s="3060"/>
      <c r="AHA155" s="3060"/>
      <c r="AHB155" s="3060"/>
      <c r="AHC155" s="3060"/>
      <c r="AHD155" s="3060"/>
      <c r="AHE155" s="3060"/>
      <c r="AHF155" s="3060"/>
      <c r="AHG155" s="3060"/>
      <c r="AHH155" s="3060"/>
      <c r="AHI155" s="3060"/>
      <c r="AHJ155" s="3060"/>
      <c r="AHK155" s="3060"/>
      <c r="AHL155" s="3060"/>
      <c r="AHM155" s="3060"/>
      <c r="AHN155" s="3060"/>
      <c r="AHO155" s="3060"/>
      <c r="AHP155" s="3060"/>
      <c r="AHQ155" s="3060"/>
      <c r="AHR155" s="3060"/>
      <c r="AHS155" s="3060"/>
      <c r="AHT155" s="3060"/>
      <c r="AHU155" s="3060"/>
      <c r="AHV155" s="3060"/>
      <c r="AHW155" s="3060"/>
      <c r="AHX155" s="3060"/>
      <c r="AHY155" s="3060"/>
      <c r="AHZ155" s="3060"/>
      <c r="AIA155" s="3060"/>
      <c r="AIB155" s="3060"/>
      <c r="AIC155" s="3060"/>
      <c r="AID155" s="3060"/>
      <c r="AIE155" s="3060"/>
      <c r="AIF155" s="3060"/>
      <c r="AIG155" s="3060"/>
      <c r="AIH155" s="3060"/>
      <c r="AII155" s="3060"/>
      <c r="AIJ155" s="3060"/>
      <c r="AIK155" s="3060"/>
      <c r="AIL155" s="3060"/>
      <c r="AIM155" s="3060"/>
      <c r="AIN155" s="3060"/>
      <c r="AIO155" s="3060"/>
      <c r="AIP155" s="3060"/>
      <c r="AIQ155" s="3060"/>
      <c r="AIR155" s="3060"/>
      <c r="AIS155" s="3060"/>
      <c r="AIT155" s="3060"/>
      <c r="AIU155" s="3060"/>
      <c r="AIV155" s="3060"/>
      <c r="AIW155" s="3060"/>
      <c r="AIX155" s="3060"/>
      <c r="AIY155" s="3060"/>
      <c r="AIZ155" s="3060"/>
      <c r="AJA155" s="3060"/>
      <c r="AJB155" s="3060"/>
      <c r="AJC155" s="3060"/>
      <c r="AJD155" s="3060"/>
      <c r="AJE155" s="3060"/>
      <c r="AJF155" s="3060"/>
      <c r="AJG155" s="3060"/>
      <c r="AJH155" s="3060"/>
      <c r="AJI155" s="3060"/>
      <c r="AJJ155" s="3060"/>
      <c r="AJK155" s="3060"/>
      <c r="AJL155" s="3060"/>
      <c r="AJM155" s="3060"/>
      <c r="AJN155" s="3060"/>
      <c r="AJO155" s="3060"/>
      <c r="AJP155" s="3060"/>
      <c r="AJQ155" s="3060"/>
      <c r="AJR155" s="3060"/>
      <c r="AJS155" s="3060"/>
      <c r="AJT155" s="3060"/>
      <c r="AJU155" s="3060"/>
      <c r="AJV155" s="3060"/>
      <c r="AJW155" s="3060"/>
      <c r="AJX155" s="3060"/>
      <c r="AJY155" s="3060"/>
      <c r="AJZ155" s="3060"/>
      <c r="AKA155" s="3060"/>
      <c r="AKB155" s="3060"/>
      <c r="AKC155" s="3060"/>
      <c r="AKD155" s="3060"/>
      <c r="AKE155" s="3060"/>
      <c r="AKF155" s="3060"/>
      <c r="AKG155" s="3060"/>
      <c r="AKH155" s="3060"/>
      <c r="AKI155" s="3060"/>
      <c r="AKJ155" s="3060"/>
      <c r="AKK155" s="3060"/>
      <c r="AKL155" s="3060"/>
      <c r="AKM155" s="3060"/>
      <c r="AKN155" s="3060"/>
      <c r="AKO155" s="3060"/>
      <c r="AKP155" s="3060"/>
      <c r="AKQ155" s="3060"/>
      <c r="AKR155" s="3060"/>
      <c r="AKS155" s="3060"/>
      <c r="AKT155" s="3060"/>
      <c r="AKU155" s="3060"/>
      <c r="AKV155" s="3060"/>
      <c r="AKW155" s="3060"/>
      <c r="AKX155" s="3060"/>
      <c r="AKY155" s="3060"/>
      <c r="AKZ155" s="3060"/>
      <c r="ALA155" s="3060"/>
      <c r="ALB155" s="3060"/>
      <c r="ALC155" s="3060"/>
      <c r="ALD155" s="3060"/>
      <c r="ALE155" s="3060"/>
      <c r="ALF155" s="3060"/>
      <c r="ALG155" s="3060"/>
      <c r="ALH155" s="3060"/>
      <c r="ALI155" s="3060"/>
      <c r="ALJ155" s="3060"/>
      <c r="ALK155" s="3060"/>
      <c r="ALL155" s="3060"/>
      <c r="ALM155" s="3060"/>
      <c r="ALN155" s="3060"/>
      <c r="ALO155" s="3060"/>
      <c r="ALP155" s="3060"/>
      <c r="ALQ155" s="3060"/>
      <c r="ALR155" s="3060"/>
      <c r="ALS155" s="3060"/>
      <c r="ALT155" s="3060"/>
      <c r="ALU155" s="3060"/>
      <c r="ALV155" s="3060"/>
      <c r="ALW155" s="3060"/>
      <c r="ALX155" s="3060"/>
      <c r="ALY155" s="3060"/>
      <c r="ALZ155" s="3060"/>
      <c r="AMA155" s="3060"/>
      <c r="AMB155" s="3060"/>
      <c r="AMC155" s="3060"/>
      <c r="AMD155" s="3060"/>
      <c r="AME155" s="3060"/>
      <c r="AMF155" s="3060"/>
      <c r="AMG155" s="3060"/>
      <c r="AMH155" s="3060"/>
      <c r="AMI155" s="3060"/>
      <c r="AMJ155" s="3060"/>
      <c r="AMK155" s="3060"/>
      <c r="AML155" s="3060"/>
      <c r="AMM155" s="3060"/>
      <c r="AMN155" s="3060"/>
      <c r="AMO155" s="3060"/>
      <c r="AMP155" s="3060"/>
      <c r="AMQ155" s="3060"/>
      <c r="AMR155" s="3060"/>
      <c r="AMS155" s="3060"/>
      <c r="AMT155" s="3060"/>
      <c r="AMU155" s="3060"/>
      <c r="AMV155" s="3060"/>
      <c r="AMW155" s="3060"/>
      <c r="AMX155" s="3060"/>
      <c r="AMY155" s="3060"/>
      <c r="AMZ155" s="3060"/>
      <c r="ANA155" s="3060"/>
      <c r="ANB155" s="3060"/>
      <c r="ANC155" s="3060"/>
      <c r="AND155" s="3060"/>
      <c r="ANE155" s="3060"/>
      <c r="ANF155" s="3060"/>
      <c r="ANG155" s="3060"/>
      <c r="ANH155" s="3060"/>
      <c r="ANI155" s="3060"/>
      <c r="ANJ155" s="3060"/>
      <c r="ANK155" s="3060"/>
      <c r="ANL155" s="3060"/>
      <c r="ANM155" s="3060"/>
      <c r="ANN155" s="3060"/>
      <c r="ANO155" s="3060"/>
      <c r="ANP155" s="3060"/>
      <c r="ANQ155" s="3060"/>
      <c r="ANR155" s="3060"/>
      <c r="ANS155" s="3060"/>
      <c r="ANT155" s="3060"/>
      <c r="ANU155" s="3060"/>
      <c r="ANV155" s="3060"/>
      <c r="ANW155" s="3060"/>
      <c r="ANX155" s="3060"/>
      <c r="ANY155" s="3060"/>
      <c r="ANZ155" s="3060"/>
      <c r="AOA155" s="3060"/>
      <c r="AOB155" s="3060"/>
      <c r="AOC155" s="3060"/>
      <c r="AOD155" s="3060"/>
      <c r="AOE155" s="3060"/>
      <c r="AOF155" s="3060"/>
      <c r="AOG155" s="3060"/>
      <c r="AOH155" s="3060"/>
      <c r="AOI155" s="3060"/>
      <c r="AOJ155" s="3060"/>
      <c r="AOK155" s="3060"/>
      <c r="AOL155" s="3060"/>
      <c r="AOM155" s="3060"/>
      <c r="AON155" s="3060"/>
      <c r="AOO155" s="3060"/>
      <c r="AOP155" s="3060"/>
      <c r="AOQ155" s="3060"/>
      <c r="AOR155" s="3060"/>
      <c r="AOS155" s="3060"/>
      <c r="AOT155" s="3060"/>
      <c r="AOU155" s="3060"/>
      <c r="AOV155" s="3060"/>
      <c r="AOW155" s="3060"/>
      <c r="AOX155" s="3060"/>
      <c r="AOY155" s="3060"/>
      <c r="AOZ155" s="3060"/>
      <c r="APA155" s="3060"/>
      <c r="APB155" s="3060"/>
      <c r="APC155" s="3060"/>
      <c r="APD155" s="3060"/>
      <c r="APE155" s="3060"/>
      <c r="APF155" s="3060"/>
      <c r="APG155" s="3060"/>
      <c r="APH155" s="3060"/>
      <c r="API155" s="3060"/>
      <c r="APJ155" s="3060"/>
      <c r="APK155" s="3060"/>
      <c r="APL155" s="3060"/>
      <c r="APM155" s="3060"/>
      <c r="APN155" s="3060"/>
      <c r="APO155" s="3060"/>
      <c r="APP155" s="3060"/>
      <c r="APQ155" s="3060"/>
      <c r="APR155" s="3060"/>
      <c r="APS155" s="3060"/>
      <c r="APT155" s="3060"/>
      <c r="APU155" s="3060"/>
      <c r="APV155" s="3060"/>
      <c r="APW155" s="3060"/>
      <c r="APX155" s="3060"/>
      <c r="APY155" s="3060"/>
      <c r="APZ155" s="3060"/>
      <c r="AQA155" s="3060"/>
      <c r="AQB155" s="3060"/>
      <c r="AQC155" s="3060"/>
      <c r="AQD155" s="3060"/>
      <c r="AQE155" s="3060"/>
      <c r="AQF155" s="3060"/>
      <c r="AQG155" s="3060"/>
      <c r="AQH155" s="3060"/>
      <c r="AQI155" s="3060"/>
      <c r="AQJ155" s="3060"/>
      <c r="AQK155" s="3060"/>
      <c r="AQL155" s="3060"/>
      <c r="AQM155" s="3060"/>
      <c r="AQN155" s="3060"/>
      <c r="AQO155" s="3060"/>
      <c r="AQP155" s="3060"/>
      <c r="AQQ155" s="3060"/>
      <c r="AQR155" s="3060"/>
      <c r="AQS155" s="3060"/>
      <c r="AQT155" s="3060"/>
      <c r="AQU155" s="3060"/>
      <c r="AQV155" s="3060"/>
      <c r="AQW155" s="3060"/>
      <c r="AQX155" s="3060"/>
      <c r="AQY155" s="3060"/>
      <c r="AQZ155" s="3060"/>
      <c r="ARA155" s="3060"/>
      <c r="ARB155" s="3060"/>
      <c r="ARC155" s="3060"/>
      <c r="ARD155" s="3060"/>
      <c r="ARE155" s="3060"/>
      <c r="ARF155" s="3060"/>
      <c r="ARG155" s="3060"/>
      <c r="ARH155" s="3060"/>
      <c r="ARI155" s="3060"/>
      <c r="ARJ155" s="3060"/>
      <c r="ARK155" s="3060"/>
      <c r="ARL155" s="3060"/>
      <c r="ARM155" s="3060"/>
      <c r="ARN155" s="3060"/>
      <c r="ARO155" s="3060"/>
      <c r="ARP155" s="3060"/>
      <c r="ARQ155" s="3060"/>
      <c r="ARR155" s="3060"/>
      <c r="ARS155" s="3060"/>
      <c r="ART155" s="3060"/>
      <c r="ARU155" s="3060"/>
      <c r="ARV155" s="3060"/>
      <c r="ARW155" s="3060"/>
      <c r="ARX155" s="3060"/>
      <c r="ARY155" s="3060"/>
      <c r="ARZ155" s="3060"/>
      <c r="ASA155" s="3060"/>
      <c r="ASB155" s="3060"/>
      <c r="ASC155" s="3060"/>
      <c r="ASD155" s="3060"/>
      <c r="ASE155" s="3060"/>
      <c r="ASF155" s="3060"/>
      <c r="ASG155" s="3060"/>
      <c r="ASH155" s="3060"/>
      <c r="ASI155" s="3060"/>
      <c r="ASJ155" s="3060"/>
      <c r="ASK155" s="3060"/>
      <c r="ASL155" s="3060"/>
      <c r="ASM155" s="3060"/>
      <c r="ASN155" s="3060"/>
      <c r="ASO155" s="3060"/>
      <c r="ASP155" s="3060"/>
      <c r="ASQ155" s="3060"/>
      <c r="ASR155" s="3060"/>
      <c r="ASS155" s="3060"/>
      <c r="AST155" s="3060"/>
      <c r="ASU155" s="3060"/>
      <c r="ASV155" s="3060"/>
      <c r="ASW155" s="3060"/>
      <c r="ASX155" s="3060"/>
      <c r="ASY155" s="3060"/>
      <c r="ASZ155" s="3060"/>
      <c r="ATA155" s="3060"/>
      <c r="ATB155" s="3060"/>
      <c r="ATC155" s="3060"/>
      <c r="ATD155" s="3060"/>
      <c r="ATE155" s="3060"/>
      <c r="ATF155" s="3060"/>
      <c r="ATG155" s="3060"/>
      <c r="ATH155" s="3060"/>
      <c r="ATI155" s="3060"/>
      <c r="ATJ155" s="3060"/>
      <c r="ATK155" s="3060"/>
      <c r="ATL155" s="3060"/>
      <c r="ATM155" s="3060"/>
      <c r="ATN155" s="3060"/>
      <c r="ATO155" s="3060"/>
      <c r="ATP155" s="3060"/>
      <c r="ATQ155" s="3060"/>
      <c r="ATR155" s="3060"/>
      <c r="ATS155" s="3060"/>
      <c r="ATT155" s="3060"/>
      <c r="ATU155" s="3060"/>
      <c r="ATV155" s="3060"/>
      <c r="ATW155" s="3060"/>
      <c r="ATX155" s="3060"/>
      <c r="ATY155" s="3060"/>
      <c r="ATZ155" s="3060"/>
      <c r="AUA155" s="3060"/>
      <c r="AUB155" s="3060"/>
      <c r="AUC155" s="3060"/>
      <c r="AUD155" s="3060"/>
      <c r="AUE155" s="3060"/>
      <c r="AUF155" s="3060"/>
      <c r="AUG155" s="3060"/>
      <c r="AUH155" s="3060"/>
      <c r="AUI155" s="3060"/>
      <c r="AUJ155" s="3060"/>
      <c r="AUK155" s="3060"/>
      <c r="AUL155" s="3060"/>
      <c r="AUM155" s="3060"/>
      <c r="AUN155" s="3060"/>
      <c r="AUO155" s="3060"/>
      <c r="AUP155" s="3060"/>
      <c r="AUQ155" s="3060"/>
      <c r="AUR155" s="3060"/>
      <c r="AUS155" s="3060"/>
      <c r="AUT155" s="3060"/>
      <c r="AUU155" s="3060"/>
      <c r="AUV155" s="3060"/>
      <c r="AUW155" s="3060"/>
      <c r="AUX155" s="3060"/>
      <c r="AUY155" s="3060"/>
      <c r="AUZ155" s="3060"/>
      <c r="AVA155" s="3060"/>
      <c r="AVB155" s="3060"/>
      <c r="AVC155" s="3060"/>
      <c r="AVD155" s="3060"/>
      <c r="AVE155" s="3060"/>
      <c r="AVF155" s="3060"/>
      <c r="AVG155" s="3060"/>
      <c r="AVH155" s="3060"/>
      <c r="AVI155" s="3060"/>
      <c r="AVJ155" s="3060"/>
      <c r="AVK155" s="3060"/>
      <c r="AVL155" s="3060"/>
      <c r="AVM155" s="3060"/>
      <c r="AVN155" s="3060"/>
      <c r="AVO155" s="3060"/>
      <c r="AVP155" s="3060"/>
      <c r="AVQ155" s="3060"/>
      <c r="AVR155" s="3060"/>
      <c r="AVS155" s="3060"/>
      <c r="AVT155" s="3060"/>
      <c r="AVU155" s="3060"/>
      <c r="AVV155" s="3060"/>
      <c r="AVW155" s="3060"/>
      <c r="AVX155" s="3060"/>
      <c r="AVY155" s="3060"/>
      <c r="AVZ155" s="3060"/>
      <c r="AWA155" s="3060"/>
      <c r="AWB155" s="3060"/>
      <c r="AWC155" s="3060"/>
      <c r="AWD155" s="3060"/>
      <c r="AWE155" s="3060"/>
      <c r="AWF155" s="3060"/>
      <c r="AWG155" s="3060"/>
      <c r="AWH155" s="3060"/>
      <c r="AWI155" s="3060"/>
      <c r="AWJ155" s="3060"/>
      <c r="AWK155" s="3060"/>
      <c r="AWL155" s="3060"/>
      <c r="AWM155" s="3060"/>
      <c r="AWN155" s="3060"/>
      <c r="AWO155" s="3060"/>
      <c r="AWP155" s="3060"/>
      <c r="AWQ155" s="3060"/>
      <c r="AWR155" s="3060"/>
      <c r="AWS155" s="3060"/>
      <c r="AWT155" s="3060"/>
      <c r="AWU155" s="3060"/>
      <c r="AWV155" s="3060"/>
      <c r="AWW155" s="3060"/>
      <c r="AWX155" s="3060"/>
      <c r="AWY155" s="3060"/>
      <c r="AWZ155" s="3060"/>
      <c r="AXA155" s="3060"/>
      <c r="AXB155" s="3060"/>
      <c r="AXC155" s="3060"/>
      <c r="AXD155" s="3060"/>
      <c r="AXE155" s="3060"/>
      <c r="AXF155" s="3060"/>
      <c r="AXG155" s="3060"/>
      <c r="AXH155" s="3060"/>
      <c r="AXI155" s="3060"/>
      <c r="AXJ155" s="3060"/>
      <c r="AXK155" s="3060"/>
      <c r="AXL155" s="3060"/>
      <c r="AXM155" s="3060"/>
      <c r="AXN155" s="3060"/>
      <c r="AXO155" s="3060"/>
      <c r="AXP155" s="3060"/>
      <c r="AXQ155" s="3060"/>
      <c r="AXR155" s="3060"/>
      <c r="AXS155" s="3060"/>
      <c r="AXT155" s="3060"/>
      <c r="AXU155" s="3060"/>
      <c r="AXV155" s="3060"/>
      <c r="AXW155" s="3060"/>
      <c r="AXX155" s="3060"/>
      <c r="AXY155" s="3060"/>
      <c r="AXZ155" s="3060"/>
      <c r="AYA155" s="3060"/>
      <c r="AYB155" s="3060"/>
      <c r="AYC155" s="3060"/>
      <c r="AYD155" s="3060"/>
      <c r="AYE155" s="3060"/>
      <c r="AYF155" s="3060"/>
      <c r="AYG155" s="3060"/>
      <c r="AYH155" s="3060"/>
      <c r="AYI155" s="3060"/>
      <c r="AYJ155" s="3060"/>
      <c r="AYK155" s="3060"/>
      <c r="AYL155" s="3060"/>
      <c r="AYM155" s="3060"/>
      <c r="AYN155" s="3060"/>
      <c r="AYO155" s="3060"/>
      <c r="AYP155" s="3060"/>
      <c r="AYQ155" s="3060"/>
      <c r="AYR155" s="3060"/>
      <c r="AYS155" s="3060"/>
      <c r="AYT155" s="3060"/>
      <c r="AYU155" s="3060"/>
      <c r="AYV155" s="3060"/>
      <c r="AYW155" s="3060"/>
      <c r="AYX155" s="3060"/>
      <c r="AYY155" s="3060"/>
      <c r="AYZ155" s="3060"/>
      <c r="AZA155" s="3060"/>
      <c r="AZB155" s="3060"/>
      <c r="AZC155" s="3060"/>
      <c r="AZD155" s="3060"/>
      <c r="AZE155" s="3060"/>
      <c r="AZF155" s="3060"/>
      <c r="AZG155" s="3060"/>
      <c r="AZH155" s="3060"/>
      <c r="AZI155" s="3060"/>
      <c r="AZJ155" s="3060"/>
      <c r="AZK155" s="3060"/>
      <c r="AZL155" s="3060"/>
      <c r="AZM155" s="3060"/>
      <c r="AZN155" s="3060"/>
      <c r="AZO155" s="3060"/>
      <c r="AZP155" s="3060"/>
      <c r="AZQ155" s="3060"/>
      <c r="AZR155" s="3060"/>
      <c r="AZS155" s="3060"/>
      <c r="AZT155" s="3060"/>
      <c r="AZU155" s="3060"/>
      <c r="AZV155" s="3060"/>
      <c r="AZW155" s="3060"/>
      <c r="AZX155" s="3060"/>
      <c r="AZY155" s="3060"/>
      <c r="AZZ155" s="3060"/>
      <c r="BAA155" s="3060"/>
      <c r="BAB155" s="3060"/>
      <c r="BAC155" s="3060"/>
      <c r="BAD155" s="3060"/>
      <c r="BAE155" s="3060"/>
      <c r="BAF155" s="3060"/>
      <c r="BAG155" s="3060"/>
      <c r="BAH155" s="3060"/>
      <c r="BAI155" s="3060"/>
      <c r="BAJ155" s="3060"/>
      <c r="BAK155" s="3060"/>
      <c r="BAL155" s="3060"/>
      <c r="BAM155" s="3060"/>
      <c r="BAN155" s="3060"/>
      <c r="BAO155" s="3060"/>
      <c r="BAP155" s="3060"/>
      <c r="BAQ155" s="3060"/>
      <c r="BAR155" s="3060"/>
      <c r="BAS155" s="3060"/>
      <c r="BAT155" s="3060"/>
      <c r="BAU155" s="3060"/>
      <c r="BAV155" s="3060"/>
      <c r="BAW155" s="3060"/>
      <c r="BAX155" s="3060"/>
      <c r="BAY155" s="3060"/>
      <c r="BAZ155" s="3060"/>
      <c r="BBA155" s="3060"/>
      <c r="BBB155" s="3060"/>
      <c r="BBC155" s="3060"/>
      <c r="BBD155" s="3060"/>
      <c r="BBE155" s="3060"/>
      <c r="BBF155" s="3060"/>
      <c r="BBG155" s="3060"/>
      <c r="BBH155" s="3060"/>
      <c r="BBI155" s="3060"/>
      <c r="BBJ155" s="3060"/>
      <c r="BBK155" s="3060"/>
      <c r="BBL155" s="3060"/>
      <c r="BBM155" s="3060"/>
      <c r="BBN155" s="3060"/>
      <c r="BBO155" s="3060"/>
      <c r="BBP155" s="3060"/>
      <c r="BBQ155" s="3060"/>
      <c r="BBR155" s="3060"/>
      <c r="BBS155" s="3060"/>
      <c r="BBT155" s="3060"/>
      <c r="BBU155" s="3060"/>
      <c r="BBV155" s="3060"/>
      <c r="BBW155" s="3060"/>
      <c r="BBX155" s="3060"/>
      <c r="BBY155" s="3060"/>
      <c r="BBZ155" s="3060"/>
      <c r="BCA155" s="3060"/>
      <c r="BCB155" s="3060"/>
      <c r="BCC155" s="3060"/>
      <c r="BCD155" s="3060"/>
      <c r="BCE155" s="3060"/>
      <c r="BCF155" s="3060"/>
      <c r="BCG155" s="3060"/>
      <c r="BCH155" s="3060"/>
      <c r="BCI155" s="3060"/>
      <c r="BCJ155" s="3060"/>
      <c r="BCK155" s="3060"/>
      <c r="BCL155" s="3060"/>
      <c r="BCM155" s="3060"/>
      <c r="BCN155" s="3060"/>
      <c r="BCO155" s="3060"/>
      <c r="BCP155" s="3060"/>
      <c r="BCQ155" s="3060"/>
      <c r="BCR155" s="3060"/>
      <c r="BCS155" s="3060"/>
      <c r="BCT155" s="3060"/>
      <c r="BCU155" s="3060"/>
      <c r="BCV155" s="3060"/>
      <c r="BCW155" s="3060"/>
      <c r="BCX155" s="3060"/>
      <c r="BCY155" s="3060"/>
      <c r="BCZ155" s="3060"/>
      <c r="BDA155" s="3060"/>
      <c r="BDB155" s="3060"/>
      <c r="BDC155" s="3060"/>
      <c r="BDD155" s="3060"/>
      <c r="BDE155" s="3060"/>
      <c r="BDF155" s="3060"/>
      <c r="BDG155" s="3060"/>
      <c r="BDH155" s="3060"/>
      <c r="BDI155" s="3060"/>
      <c r="BDJ155" s="3060"/>
      <c r="BDK155" s="3060"/>
      <c r="BDL155" s="3060"/>
      <c r="BDM155" s="3060"/>
      <c r="BDN155" s="3060"/>
      <c r="BDO155" s="3060"/>
      <c r="BDP155" s="3060"/>
      <c r="BDQ155" s="3060"/>
      <c r="BDR155" s="3060"/>
      <c r="BDS155" s="3060"/>
      <c r="BDT155" s="3060"/>
      <c r="BDU155" s="3060"/>
      <c r="BDV155" s="3060"/>
      <c r="BDW155" s="3060"/>
      <c r="BDX155" s="3060"/>
      <c r="BDY155" s="3060"/>
      <c r="BDZ155" s="3060"/>
      <c r="BEA155" s="3060"/>
      <c r="BEB155" s="3060"/>
      <c r="BEC155" s="3060"/>
      <c r="BED155" s="3060"/>
      <c r="BEE155" s="3060"/>
      <c r="BEF155" s="3060"/>
      <c r="BEG155" s="3060"/>
      <c r="BEH155" s="3060"/>
      <c r="BEI155" s="3060"/>
      <c r="BEJ155" s="3060"/>
      <c r="BEK155" s="3060"/>
      <c r="BEL155" s="3060"/>
      <c r="BEM155" s="3060"/>
      <c r="BEN155" s="3060"/>
      <c r="BEO155" s="3060"/>
      <c r="BEP155" s="3060"/>
      <c r="BEQ155" s="3060"/>
      <c r="BER155" s="3060"/>
      <c r="BES155" s="3060"/>
      <c r="BET155" s="3060"/>
      <c r="BEU155" s="3060"/>
      <c r="BEV155" s="3060"/>
      <c r="BEW155" s="3060"/>
      <c r="BEX155" s="3060"/>
      <c r="BEY155" s="3060"/>
      <c r="BEZ155" s="3060"/>
      <c r="BFA155" s="3060"/>
      <c r="BFB155" s="3060"/>
      <c r="BFC155" s="3060"/>
      <c r="BFD155" s="3060"/>
      <c r="BFE155" s="3060"/>
      <c r="BFF155" s="3060"/>
      <c r="BFG155" s="3060"/>
      <c r="BFH155" s="3060"/>
      <c r="BFI155" s="3060"/>
      <c r="BFJ155" s="3060"/>
      <c r="BFK155" s="3060"/>
      <c r="BFL155" s="3060"/>
      <c r="BFM155" s="3060"/>
      <c r="BFN155" s="3060"/>
      <c r="BFO155" s="3060"/>
      <c r="BFP155" s="3060"/>
      <c r="BFQ155" s="3060"/>
      <c r="BFR155" s="3060"/>
      <c r="BFS155" s="3060"/>
      <c r="BFT155" s="3060"/>
      <c r="BFU155" s="3060"/>
      <c r="BFV155" s="3060"/>
      <c r="BFW155" s="3060"/>
      <c r="BFX155" s="3060"/>
      <c r="BFY155" s="3060"/>
      <c r="BFZ155" s="3060"/>
      <c r="BGA155" s="3060"/>
      <c r="BGB155" s="3060"/>
      <c r="BGC155" s="3060"/>
      <c r="BGD155" s="3060"/>
      <c r="BGE155" s="3060"/>
      <c r="BGF155" s="3060"/>
      <c r="BGG155" s="3060"/>
      <c r="BGH155" s="3060"/>
      <c r="BGI155" s="3060"/>
      <c r="BGJ155" s="3060"/>
      <c r="BGK155" s="3060"/>
      <c r="BGL155" s="3060"/>
      <c r="BGM155" s="3060"/>
      <c r="BGN155" s="3060"/>
      <c r="BGO155" s="3060"/>
      <c r="BGP155" s="3060"/>
      <c r="BGQ155" s="3060"/>
      <c r="BGR155" s="3060"/>
      <c r="BGS155" s="3060"/>
      <c r="BGT155" s="3060"/>
      <c r="BGU155" s="3060"/>
      <c r="BGV155" s="3060"/>
      <c r="BGW155" s="3060"/>
      <c r="BGX155" s="3060"/>
      <c r="BGY155" s="3060"/>
      <c r="BGZ155" s="3060"/>
      <c r="BHA155" s="3060"/>
      <c r="BHB155" s="3060"/>
      <c r="BHC155" s="3060"/>
      <c r="BHD155" s="3060"/>
      <c r="BHE155" s="3060"/>
      <c r="BHF155" s="3060"/>
      <c r="BHG155" s="3060"/>
      <c r="BHH155" s="3060"/>
      <c r="BHI155" s="3060"/>
      <c r="BHJ155" s="3060"/>
      <c r="BHK155" s="3060"/>
      <c r="BHL155" s="3060"/>
      <c r="BHM155" s="3060"/>
      <c r="BHN155" s="3060"/>
      <c r="BHO155" s="3060"/>
      <c r="BHP155" s="3060"/>
      <c r="BHQ155" s="3060"/>
      <c r="BHR155" s="3060"/>
      <c r="BHS155" s="3060"/>
      <c r="BHT155" s="3060"/>
      <c r="BHU155" s="3060"/>
      <c r="BHV155" s="3060"/>
      <c r="BHW155" s="3060"/>
      <c r="BHX155" s="3060"/>
      <c r="BHY155" s="3060"/>
      <c r="BHZ155" s="3060"/>
      <c r="BIA155" s="3060"/>
      <c r="BIB155" s="3060"/>
      <c r="BIC155" s="3060"/>
      <c r="BID155" s="3060"/>
      <c r="BIE155" s="3060"/>
      <c r="BIF155" s="3060"/>
      <c r="BIG155" s="3060"/>
      <c r="BIH155" s="3060"/>
      <c r="BII155" s="3060"/>
      <c r="BIJ155" s="3060"/>
      <c r="BIK155" s="3060"/>
      <c r="BIL155" s="3060"/>
      <c r="BIM155" s="3060"/>
      <c r="BIN155" s="3060"/>
      <c r="BIO155" s="3060"/>
      <c r="BIP155" s="3060"/>
      <c r="BIQ155" s="3060"/>
      <c r="BIR155" s="3060"/>
      <c r="BIS155" s="3060"/>
      <c r="BIT155" s="3060"/>
      <c r="BIU155" s="3060"/>
      <c r="BIV155" s="3060"/>
      <c r="BIW155" s="3060"/>
      <c r="BIX155" s="3060"/>
      <c r="BIY155" s="3060"/>
      <c r="BIZ155" s="3060"/>
      <c r="BJA155" s="3060"/>
      <c r="BJB155" s="3060"/>
      <c r="BJC155" s="3060"/>
      <c r="BJD155" s="3060"/>
      <c r="BJE155" s="3060"/>
      <c r="BJF155" s="3060"/>
      <c r="BJG155" s="3060"/>
      <c r="BJH155" s="3060"/>
      <c r="BJI155" s="3060"/>
      <c r="BJJ155" s="3060"/>
      <c r="BJK155" s="3060"/>
      <c r="BJL155" s="3060"/>
      <c r="BJM155" s="3060"/>
      <c r="BJN155" s="3060"/>
      <c r="BJO155" s="3060"/>
      <c r="BJP155" s="3060"/>
      <c r="BJQ155" s="3060"/>
      <c r="BJR155" s="3060"/>
      <c r="BJS155" s="3060"/>
      <c r="BJT155" s="3060"/>
      <c r="BJU155" s="3060"/>
      <c r="BJV155" s="3060"/>
      <c r="BJW155" s="3060"/>
      <c r="BJX155" s="3060"/>
      <c r="BJY155" s="3060"/>
      <c r="BJZ155" s="3060"/>
      <c r="BKA155" s="3060"/>
      <c r="BKB155" s="3060"/>
      <c r="BKC155" s="3060"/>
      <c r="BKD155" s="3060"/>
      <c r="BKE155" s="3060"/>
      <c r="BKF155" s="3060"/>
      <c r="BKG155" s="3060"/>
      <c r="BKH155" s="3060"/>
      <c r="BKI155" s="3060"/>
      <c r="BKJ155" s="3060"/>
      <c r="BKK155" s="3060"/>
      <c r="BKL155" s="3060"/>
      <c r="BKM155" s="3060"/>
      <c r="BKN155" s="3060"/>
      <c r="BKO155" s="3060"/>
      <c r="BKP155" s="3060"/>
      <c r="BKQ155" s="3060"/>
      <c r="BKR155" s="3060"/>
      <c r="BKS155" s="3060"/>
      <c r="BKT155" s="3060"/>
      <c r="BKU155" s="3060"/>
      <c r="BKV155" s="3060"/>
      <c r="BKW155" s="3060"/>
      <c r="BKX155" s="3060"/>
      <c r="BKY155" s="3060"/>
      <c r="BKZ155" s="3060"/>
      <c r="BLA155" s="3060"/>
      <c r="BLB155" s="3060"/>
      <c r="BLC155" s="3060"/>
      <c r="BLD155" s="3060"/>
      <c r="BLE155" s="3060"/>
      <c r="BLF155" s="3060"/>
      <c r="BLG155" s="3060"/>
      <c r="BLH155" s="3060"/>
      <c r="BLI155" s="3060"/>
      <c r="BLJ155" s="3060"/>
      <c r="BLK155" s="3060"/>
      <c r="BLL155" s="3060"/>
      <c r="BLM155" s="3060"/>
      <c r="BLN155" s="3060"/>
      <c r="BLO155" s="3060"/>
      <c r="BLP155" s="3060"/>
      <c r="BLQ155" s="3060"/>
      <c r="BLR155" s="3060"/>
      <c r="BLS155" s="3060"/>
      <c r="BLT155" s="3060"/>
      <c r="BLU155" s="3060"/>
      <c r="BLV155" s="3060"/>
      <c r="BLW155" s="3060"/>
      <c r="BLX155" s="3060"/>
      <c r="BLY155" s="3060"/>
      <c r="BLZ155" s="3060"/>
      <c r="BMA155" s="3060"/>
      <c r="BMB155" s="3060"/>
      <c r="BMC155" s="3060"/>
      <c r="BMD155" s="3060"/>
      <c r="BME155" s="3060"/>
      <c r="BMF155" s="3060"/>
      <c r="BMG155" s="3060"/>
      <c r="BMH155" s="3060"/>
      <c r="BMI155" s="3060"/>
      <c r="BMJ155" s="3060"/>
      <c r="BMK155" s="3060"/>
      <c r="BML155" s="3060"/>
      <c r="BMM155" s="3060"/>
      <c r="BMN155" s="3060"/>
      <c r="BMO155" s="3060"/>
      <c r="BMP155" s="3060"/>
      <c r="BMQ155" s="3060"/>
      <c r="BMR155" s="3060"/>
      <c r="BMS155" s="3060"/>
      <c r="BMT155" s="3060"/>
      <c r="BMU155" s="3060"/>
      <c r="BMV155" s="3060"/>
      <c r="BMW155" s="3060"/>
      <c r="BMX155" s="3060"/>
      <c r="BMY155" s="3060"/>
      <c r="BMZ155" s="3060"/>
      <c r="BNA155" s="3060"/>
      <c r="BNB155" s="3060"/>
      <c r="BNC155" s="3060"/>
      <c r="BND155" s="3060"/>
      <c r="BNE155" s="3060"/>
      <c r="BNF155" s="3060"/>
      <c r="BNG155" s="3060"/>
      <c r="BNH155" s="3060"/>
      <c r="BNI155" s="3060"/>
      <c r="BNJ155" s="3060"/>
      <c r="BNK155" s="3060"/>
      <c r="BNL155" s="3060"/>
      <c r="BNM155" s="3060"/>
      <c r="BNN155" s="3060"/>
      <c r="BNO155" s="3060"/>
      <c r="BNP155" s="3060"/>
      <c r="BNQ155" s="3060"/>
      <c r="BNR155" s="3060"/>
      <c r="BNS155" s="3060"/>
      <c r="BNT155" s="3060"/>
      <c r="BNU155" s="3060"/>
      <c r="BNV155" s="3060"/>
      <c r="BNW155" s="3060"/>
      <c r="BNX155" s="3060"/>
      <c r="BNY155" s="3060"/>
      <c r="BNZ155" s="3060"/>
      <c r="BOA155" s="3060"/>
      <c r="BOB155" s="3060"/>
      <c r="BOC155" s="3060"/>
      <c r="BOD155" s="3060"/>
      <c r="BOE155" s="3060"/>
      <c r="BOF155" s="3060"/>
      <c r="BOG155" s="3060"/>
      <c r="BOH155" s="3060"/>
      <c r="BOI155" s="3060"/>
      <c r="BOJ155" s="3060"/>
      <c r="BOK155" s="3060"/>
      <c r="BOL155" s="3060"/>
      <c r="BOM155" s="3060"/>
      <c r="BON155" s="3060"/>
      <c r="BOO155" s="3060"/>
      <c r="BOP155" s="3060"/>
      <c r="BOQ155" s="3060"/>
      <c r="BOR155" s="3060"/>
      <c r="BOS155" s="3060"/>
      <c r="BOT155" s="3060"/>
      <c r="BOU155" s="3060"/>
      <c r="BOV155" s="3060"/>
      <c r="BOW155" s="3060"/>
      <c r="BOX155" s="3060"/>
      <c r="BOY155" s="3060"/>
      <c r="BOZ155" s="3060"/>
      <c r="BPA155" s="3060"/>
      <c r="BPB155" s="3060"/>
      <c r="BPC155" s="3060"/>
      <c r="BPD155" s="3060"/>
      <c r="BPE155" s="3060"/>
      <c r="BPF155" s="3060"/>
      <c r="BPG155" s="3060"/>
      <c r="BPH155" s="3060"/>
      <c r="BPI155" s="3060"/>
      <c r="BPJ155" s="3060"/>
      <c r="BPK155" s="3060"/>
      <c r="BPL155" s="3060"/>
      <c r="BPM155" s="3060"/>
      <c r="BPN155" s="3060"/>
      <c r="BPO155" s="3060"/>
      <c r="BPP155" s="3060"/>
      <c r="BPQ155" s="3060"/>
      <c r="BPR155" s="3060"/>
      <c r="BPS155" s="3060"/>
      <c r="BPT155" s="3060"/>
      <c r="BPU155" s="3060"/>
      <c r="BPV155" s="3060"/>
      <c r="BPW155" s="3060"/>
      <c r="BPX155" s="3060"/>
      <c r="BPY155" s="3060"/>
      <c r="BPZ155" s="3060"/>
      <c r="BQA155" s="3060"/>
      <c r="BQB155" s="3060"/>
      <c r="BQC155" s="3060"/>
      <c r="BQD155" s="3060"/>
      <c r="BQE155" s="3060"/>
      <c r="BQF155" s="3060"/>
      <c r="BQG155" s="3060"/>
      <c r="BQH155" s="3060"/>
      <c r="BQI155" s="3060"/>
      <c r="BQJ155" s="3060"/>
      <c r="BQK155" s="3060"/>
      <c r="BQL155" s="3060"/>
      <c r="BQM155" s="3060"/>
      <c r="BQN155" s="3060"/>
      <c r="BQO155" s="3060"/>
      <c r="BQP155" s="3060"/>
      <c r="BQQ155" s="3060"/>
      <c r="BQR155" s="3060"/>
      <c r="BQS155" s="3060"/>
      <c r="BQT155" s="3060"/>
      <c r="BQU155" s="3060"/>
      <c r="BQV155" s="3060"/>
      <c r="BQW155" s="3060"/>
      <c r="BQX155" s="3060"/>
      <c r="BQY155" s="3060"/>
      <c r="BQZ155" s="3060"/>
      <c r="BRA155" s="3060"/>
      <c r="BRB155" s="3060"/>
      <c r="BRC155" s="3060"/>
      <c r="BRD155" s="3060"/>
      <c r="BRE155" s="3060"/>
      <c r="BRF155" s="3060"/>
      <c r="BRG155" s="3060"/>
      <c r="BRH155" s="3060"/>
      <c r="BRI155" s="3060"/>
      <c r="BRJ155" s="3060"/>
      <c r="BRK155" s="3060"/>
      <c r="BRL155" s="3060"/>
      <c r="BRM155" s="3060"/>
      <c r="BRN155" s="3060"/>
      <c r="BRO155" s="3060"/>
      <c r="BRP155" s="3060"/>
      <c r="BRQ155" s="3060"/>
      <c r="BRR155" s="3060"/>
      <c r="BRS155" s="3060"/>
      <c r="BRT155" s="3060"/>
      <c r="BRU155" s="3060"/>
      <c r="BRV155" s="3060"/>
      <c r="BRW155" s="3060"/>
      <c r="BRX155" s="3060"/>
      <c r="BRY155" s="3060"/>
      <c r="BRZ155" s="3060"/>
      <c r="BSA155" s="3060"/>
      <c r="BSB155" s="3060"/>
      <c r="BSC155" s="3060"/>
      <c r="BSD155" s="3060"/>
      <c r="BSE155" s="3060"/>
      <c r="BSF155" s="3060"/>
      <c r="BSG155" s="3060"/>
      <c r="BSH155" s="3060"/>
      <c r="BSI155" s="3060"/>
      <c r="BSJ155" s="3060"/>
      <c r="BSK155" s="3060"/>
      <c r="BSL155" s="3060"/>
      <c r="BSM155" s="3060"/>
      <c r="BSN155" s="3060"/>
      <c r="BSO155" s="3060"/>
      <c r="BSP155" s="3060"/>
      <c r="BSQ155" s="3060"/>
      <c r="BSR155" s="3060"/>
      <c r="BSS155" s="3060"/>
      <c r="BST155" s="3060"/>
      <c r="BSU155" s="3060"/>
      <c r="BSV155" s="3060"/>
      <c r="BSW155" s="3060"/>
      <c r="BSX155" s="3060"/>
      <c r="BSY155" s="3060"/>
      <c r="BSZ155" s="3060"/>
      <c r="BTA155" s="3060"/>
      <c r="BTB155" s="3060"/>
      <c r="BTC155" s="3060"/>
      <c r="BTD155" s="3060"/>
      <c r="BTE155" s="3060"/>
      <c r="BTF155" s="3060"/>
      <c r="BTG155" s="3060"/>
      <c r="BTH155" s="3060"/>
      <c r="BTI155" s="3060"/>
      <c r="BTJ155" s="3060"/>
      <c r="BTK155" s="3060"/>
      <c r="BTL155" s="3060"/>
      <c r="BTM155" s="3060"/>
      <c r="BTN155" s="3060"/>
      <c r="BTO155" s="3060"/>
      <c r="BTP155" s="3060"/>
      <c r="BTQ155" s="3060"/>
      <c r="BTR155" s="3060"/>
      <c r="BTS155" s="3060"/>
      <c r="BTT155" s="3060"/>
      <c r="BTU155" s="3060"/>
      <c r="BTV155" s="3060"/>
      <c r="BTW155" s="3060"/>
      <c r="BTX155" s="3060"/>
      <c r="BTY155" s="3060"/>
      <c r="BTZ155" s="3060"/>
      <c r="BUA155" s="3060"/>
      <c r="BUB155" s="3060"/>
      <c r="BUC155" s="3060"/>
      <c r="BUD155" s="3060"/>
      <c r="BUE155" s="3060"/>
      <c r="BUF155" s="3060"/>
      <c r="BUG155" s="3060"/>
      <c r="BUH155" s="3060"/>
      <c r="BUI155" s="3060"/>
      <c r="BUJ155" s="3060"/>
      <c r="BUK155" s="3060"/>
      <c r="BUL155" s="3060"/>
      <c r="BUM155" s="3060"/>
      <c r="BUN155" s="3060"/>
      <c r="BUO155" s="3060"/>
      <c r="BUP155" s="3060"/>
      <c r="BUQ155" s="3060"/>
      <c r="BUR155" s="3060"/>
      <c r="BUS155" s="3060"/>
      <c r="BUT155" s="3060"/>
      <c r="BUU155" s="3060"/>
      <c r="BUV155" s="3060"/>
      <c r="BUW155" s="3060"/>
      <c r="BUX155" s="3060"/>
      <c r="BUY155" s="3060"/>
      <c r="BUZ155" s="3060"/>
      <c r="BVA155" s="3060"/>
      <c r="BVB155" s="3060"/>
      <c r="BVC155" s="3060"/>
      <c r="BVD155" s="3060"/>
      <c r="BVE155" s="3060"/>
      <c r="BVF155" s="3060"/>
      <c r="BVG155" s="3060"/>
      <c r="BVH155" s="3060"/>
      <c r="BVI155" s="3060"/>
      <c r="BVJ155" s="3060"/>
      <c r="BVK155" s="3060"/>
      <c r="BVL155" s="3060"/>
      <c r="BVM155" s="3060"/>
      <c r="BVN155" s="3060"/>
      <c r="BVO155" s="3060"/>
      <c r="BVP155" s="3060"/>
      <c r="BVQ155" s="3060"/>
      <c r="BVR155" s="3060"/>
      <c r="BVS155" s="3060"/>
      <c r="BVT155" s="3060"/>
      <c r="BVU155" s="3060"/>
      <c r="BVV155" s="3060"/>
      <c r="BVW155" s="3060"/>
      <c r="BVX155" s="3060"/>
      <c r="BVY155" s="3060"/>
      <c r="BVZ155" s="3060"/>
      <c r="BWA155" s="3060"/>
      <c r="BWB155" s="3060"/>
      <c r="BWC155" s="3060"/>
      <c r="BWD155" s="3060"/>
      <c r="BWE155" s="3060"/>
      <c r="BWF155" s="3060"/>
      <c r="BWG155" s="3060"/>
      <c r="BWH155" s="3060"/>
      <c r="BWI155" s="3060"/>
      <c r="BWJ155" s="3060"/>
      <c r="BWK155" s="3060"/>
      <c r="BWL155" s="3060"/>
      <c r="BWM155" s="3060"/>
      <c r="BWN155" s="3060"/>
      <c r="BWO155" s="3060"/>
      <c r="BWP155" s="3060"/>
      <c r="BWQ155" s="3060"/>
      <c r="BWR155" s="3060"/>
      <c r="BWS155" s="3060"/>
      <c r="BWT155" s="3060"/>
      <c r="BWU155" s="3060"/>
      <c r="BWV155" s="3060"/>
      <c r="BWW155" s="3060"/>
      <c r="BWX155" s="3060"/>
      <c r="BWY155" s="3060"/>
      <c r="BWZ155" s="3060"/>
      <c r="BXA155" s="3060"/>
      <c r="BXB155" s="3060"/>
      <c r="BXC155" s="3060"/>
      <c r="BXD155" s="3060"/>
      <c r="BXE155" s="3060"/>
      <c r="BXF155" s="3060"/>
      <c r="BXG155" s="3060"/>
      <c r="BXH155" s="3060"/>
      <c r="BXI155" s="3060"/>
      <c r="BXJ155" s="3060"/>
      <c r="BXK155" s="3060"/>
      <c r="BXL155" s="3060"/>
      <c r="BXM155" s="3060"/>
      <c r="BXN155" s="3060"/>
      <c r="BXO155" s="3060"/>
      <c r="BXP155" s="3060"/>
      <c r="BXQ155" s="3060"/>
      <c r="BXR155" s="3060"/>
      <c r="BXS155" s="3060"/>
      <c r="BXT155" s="3060"/>
      <c r="BXU155" s="3060"/>
      <c r="BXV155" s="3060"/>
      <c r="BXW155" s="3060"/>
      <c r="BXX155" s="3060"/>
      <c r="BXY155" s="3060"/>
      <c r="BXZ155" s="3060"/>
      <c r="BYA155" s="3060"/>
      <c r="BYB155" s="3060"/>
      <c r="BYC155" s="3060"/>
      <c r="BYD155" s="3060"/>
      <c r="BYE155" s="3060"/>
      <c r="BYF155" s="3060"/>
      <c r="BYG155" s="3060"/>
      <c r="BYH155" s="3060"/>
      <c r="BYI155" s="3060"/>
      <c r="BYJ155" s="3060"/>
      <c r="BYK155" s="3060"/>
      <c r="BYL155" s="3060"/>
      <c r="BYM155" s="3060"/>
      <c r="BYN155" s="3060"/>
      <c r="BYO155" s="3060"/>
      <c r="BYP155" s="3060"/>
      <c r="BYQ155" s="3060"/>
      <c r="BYR155" s="3060"/>
      <c r="BYS155" s="3060"/>
      <c r="BYT155" s="3060"/>
      <c r="BYU155" s="3060"/>
      <c r="BYV155" s="3060"/>
      <c r="BYW155" s="3060"/>
      <c r="BYX155" s="3060"/>
      <c r="BYY155" s="3060"/>
      <c r="BYZ155" s="3060"/>
      <c r="BZA155" s="3060"/>
      <c r="BZB155" s="3060"/>
      <c r="BZC155" s="3060"/>
      <c r="BZD155" s="3060"/>
      <c r="BZE155" s="3060"/>
      <c r="BZF155" s="3060"/>
      <c r="BZG155" s="3060"/>
      <c r="BZH155" s="3060"/>
      <c r="BZI155" s="3060"/>
      <c r="BZJ155" s="3060"/>
      <c r="BZK155" s="3060"/>
      <c r="BZL155" s="3060"/>
      <c r="BZM155" s="3060"/>
      <c r="BZN155" s="3060"/>
      <c r="BZO155" s="3060"/>
      <c r="BZP155" s="3060"/>
      <c r="BZQ155" s="3060"/>
      <c r="BZR155" s="3060"/>
      <c r="BZS155" s="3060"/>
      <c r="BZT155" s="3060"/>
      <c r="BZU155" s="3060"/>
      <c r="BZV155" s="3060"/>
      <c r="BZW155" s="3060"/>
      <c r="BZX155" s="3060"/>
      <c r="BZY155" s="3060"/>
      <c r="BZZ155" s="3060"/>
      <c r="CAA155" s="3060"/>
      <c r="CAB155" s="3060"/>
      <c r="CAC155" s="3060"/>
      <c r="CAD155" s="3060"/>
      <c r="CAE155" s="3060"/>
      <c r="CAF155" s="3060"/>
      <c r="CAG155" s="3060"/>
      <c r="CAH155" s="3060"/>
      <c r="CAI155" s="3060"/>
      <c r="CAJ155" s="3060"/>
      <c r="CAK155" s="3060"/>
      <c r="CAL155" s="3060"/>
      <c r="CAM155" s="3060"/>
      <c r="CAN155" s="3060"/>
      <c r="CAO155" s="3060"/>
      <c r="CAP155" s="3060"/>
      <c r="CAQ155" s="3060"/>
      <c r="CAR155" s="3060"/>
      <c r="CAS155" s="3060"/>
      <c r="CAT155" s="3060"/>
      <c r="CAU155" s="3060"/>
      <c r="CAV155" s="3060"/>
      <c r="CAW155" s="3060"/>
      <c r="CAX155" s="3060"/>
      <c r="CAY155" s="3060"/>
      <c r="CAZ155" s="3060"/>
      <c r="CBA155" s="3060"/>
      <c r="CBB155" s="3060"/>
      <c r="CBC155" s="3060"/>
      <c r="CBD155" s="3060"/>
      <c r="CBE155" s="3060"/>
      <c r="CBF155" s="3060"/>
      <c r="CBG155" s="3060"/>
      <c r="CBH155" s="3060"/>
      <c r="CBI155" s="3060"/>
      <c r="CBJ155" s="3060"/>
      <c r="CBK155" s="3060"/>
      <c r="CBL155" s="3060"/>
      <c r="CBM155" s="3060"/>
      <c r="CBN155" s="3060"/>
      <c r="CBO155" s="3060"/>
      <c r="CBP155" s="3060"/>
      <c r="CBQ155" s="3060"/>
      <c r="CBR155" s="3060"/>
      <c r="CBS155" s="3060"/>
      <c r="CBT155" s="3060"/>
      <c r="CBU155" s="3060"/>
      <c r="CBV155" s="3060"/>
      <c r="CBW155" s="3060"/>
      <c r="CBX155" s="3060"/>
      <c r="CBY155" s="3060"/>
      <c r="CBZ155" s="3060"/>
      <c r="CCA155" s="3060"/>
      <c r="CCB155" s="3060"/>
      <c r="CCC155" s="3060"/>
      <c r="CCD155" s="3060"/>
      <c r="CCE155" s="3060"/>
      <c r="CCF155" s="3060"/>
      <c r="CCG155" s="3060"/>
      <c r="CCH155" s="3060"/>
      <c r="CCI155" s="3060"/>
      <c r="CCJ155" s="3060"/>
      <c r="CCK155" s="3060"/>
      <c r="CCL155" s="3060"/>
      <c r="CCM155" s="3060"/>
      <c r="CCN155" s="3060"/>
      <c r="CCO155" s="3060"/>
      <c r="CCP155" s="3060"/>
      <c r="CCQ155" s="3060"/>
      <c r="CCR155" s="3060"/>
      <c r="CCS155" s="3060"/>
      <c r="CCT155" s="3060"/>
      <c r="CCU155" s="3060"/>
      <c r="CCV155" s="3060"/>
      <c r="CCW155" s="3060"/>
      <c r="CCX155" s="3060"/>
      <c r="CCY155" s="3060"/>
      <c r="CCZ155" s="3060"/>
      <c r="CDA155" s="3060"/>
      <c r="CDB155" s="3060"/>
      <c r="CDC155" s="3060"/>
      <c r="CDD155" s="3060"/>
      <c r="CDE155" s="3060"/>
      <c r="CDF155" s="3060"/>
      <c r="CDG155" s="3060"/>
      <c r="CDH155" s="3060"/>
      <c r="CDI155" s="3060"/>
      <c r="CDJ155" s="3060"/>
      <c r="CDK155" s="3060"/>
      <c r="CDL155" s="3060"/>
      <c r="CDM155" s="3060"/>
      <c r="CDN155" s="3060"/>
      <c r="CDO155" s="3060"/>
      <c r="CDP155" s="3060"/>
      <c r="CDQ155" s="3060"/>
      <c r="CDR155" s="3060"/>
      <c r="CDS155" s="3060"/>
      <c r="CDT155" s="3060"/>
      <c r="CDU155" s="3060"/>
      <c r="CDV155" s="3060"/>
      <c r="CDW155" s="3060"/>
      <c r="CDX155" s="3060"/>
      <c r="CDY155" s="3060"/>
      <c r="CDZ155" s="3060"/>
      <c r="CEA155" s="3060"/>
      <c r="CEB155" s="3060"/>
      <c r="CEC155" s="3060"/>
      <c r="CED155" s="3060"/>
      <c r="CEE155" s="3060"/>
      <c r="CEF155" s="3060"/>
      <c r="CEG155" s="3060"/>
      <c r="CEH155" s="3060"/>
      <c r="CEI155" s="3060"/>
      <c r="CEJ155" s="3060"/>
      <c r="CEK155" s="3060"/>
      <c r="CEL155" s="3060"/>
      <c r="CEM155" s="3060"/>
      <c r="CEN155" s="3060"/>
      <c r="CEO155" s="3060"/>
      <c r="CEP155" s="3060"/>
      <c r="CEQ155" s="3060"/>
      <c r="CER155" s="3060"/>
      <c r="CES155" s="3060"/>
      <c r="CET155" s="3060"/>
      <c r="CEU155" s="3060"/>
      <c r="CEV155" s="3060"/>
      <c r="CEW155" s="3060"/>
      <c r="CEX155" s="3060"/>
      <c r="CEY155" s="3060"/>
      <c r="CEZ155" s="3060"/>
      <c r="CFA155" s="3060"/>
      <c r="CFB155" s="3060"/>
      <c r="CFC155" s="3060"/>
      <c r="CFD155" s="3060"/>
      <c r="CFE155" s="3060"/>
      <c r="CFF155" s="3060"/>
      <c r="CFG155" s="3060"/>
      <c r="CFH155" s="3060"/>
      <c r="CFI155" s="3060"/>
      <c r="CFJ155" s="3060"/>
      <c r="CFK155" s="3060"/>
      <c r="CFL155" s="3060"/>
      <c r="CFM155" s="3060"/>
      <c r="CFN155" s="3060"/>
      <c r="CFO155" s="3060"/>
      <c r="CFP155" s="3060"/>
      <c r="CFQ155" s="3060"/>
      <c r="CFR155" s="3060"/>
      <c r="CFS155" s="3060"/>
      <c r="CFT155" s="3060"/>
      <c r="CFU155" s="3060"/>
      <c r="CFV155" s="3060"/>
      <c r="CFW155" s="3060"/>
      <c r="CFX155" s="3060"/>
      <c r="CFY155" s="3060"/>
      <c r="CFZ155" s="3060"/>
      <c r="CGA155" s="3060"/>
      <c r="CGB155" s="3060"/>
      <c r="CGC155" s="3060"/>
      <c r="CGD155" s="3060"/>
      <c r="CGE155" s="3060"/>
      <c r="CGF155" s="3060"/>
      <c r="CGG155" s="3060"/>
      <c r="CGH155" s="3060"/>
      <c r="CGI155" s="3060"/>
      <c r="CGJ155" s="3060"/>
      <c r="CGK155" s="3060"/>
      <c r="CGL155" s="3060"/>
      <c r="CGM155" s="3060"/>
      <c r="CGN155" s="3060"/>
      <c r="CGO155" s="3060"/>
      <c r="CGP155" s="3060"/>
      <c r="CGQ155" s="3060"/>
      <c r="CGR155" s="3060"/>
      <c r="CGS155" s="3060"/>
      <c r="CGT155" s="3060"/>
      <c r="CGU155" s="3060"/>
      <c r="CGV155" s="3060"/>
      <c r="CGW155" s="3060"/>
      <c r="CGX155" s="3060"/>
      <c r="CGY155" s="3060"/>
      <c r="CGZ155" s="3060"/>
      <c r="CHA155" s="3060"/>
      <c r="CHB155" s="3060"/>
      <c r="CHC155" s="3060"/>
      <c r="CHD155" s="3060"/>
      <c r="CHE155" s="3060"/>
      <c r="CHF155" s="3060"/>
      <c r="CHG155" s="3060"/>
      <c r="CHH155" s="3060"/>
      <c r="CHI155" s="3060"/>
      <c r="CHJ155" s="3060"/>
      <c r="CHK155" s="3060"/>
      <c r="CHL155" s="3060"/>
      <c r="CHM155" s="3060"/>
      <c r="CHN155" s="3060"/>
      <c r="CHO155" s="3060"/>
      <c r="CHP155" s="3060"/>
      <c r="CHQ155" s="3060"/>
      <c r="CHR155" s="3060"/>
      <c r="CHS155" s="3060"/>
      <c r="CHT155" s="3060"/>
      <c r="CHU155" s="3060"/>
      <c r="CHV155" s="3060"/>
      <c r="CHW155" s="3060"/>
      <c r="CHX155" s="3060"/>
      <c r="CHY155" s="3060"/>
      <c r="CHZ155" s="3060"/>
      <c r="CIA155" s="3060"/>
      <c r="CIB155" s="3060"/>
      <c r="CIC155" s="3060"/>
      <c r="CID155" s="3060"/>
      <c r="CIE155" s="3060"/>
      <c r="CIF155" s="3060"/>
      <c r="CIG155" s="3060"/>
      <c r="CIH155" s="3060"/>
      <c r="CII155" s="3060"/>
      <c r="CIJ155" s="3060"/>
      <c r="CIK155" s="3060"/>
      <c r="CIL155" s="3060"/>
      <c r="CIM155" s="3060"/>
      <c r="CIN155" s="3060"/>
      <c r="CIO155" s="3060"/>
      <c r="CIP155" s="3060"/>
      <c r="CIQ155" s="3060"/>
      <c r="CIR155" s="3060"/>
      <c r="CIS155" s="3060"/>
      <c r="CIT155" s="3060"/>
      <c r="CIU155" s="3060"/>
      <c r="CIV155" s="3060"/>
      <c r="CIW155" s="3060"/>
      <c r="CIX155" s="3060"/>
      <c r="CIY155" s="3060"/>
      <c r="CIZ155" s="3060"/>
      <c r="CJA155" s="3060"/>
      <c r="CJB155" s="3060"/>
      <c r="CJC155" s="3060"/>
      <c r="CJD155" s="3060"/>
      <c r="CJE155" s="3060"/>
      <c r="CJF155" s="3060"/>
      <c r="CJG155" s="3060"/>
      <c r="CJH155" s="3060"/>
      <c r="CJI155" s="3060"/>
      <c r="CJJ155" s="3060"/>
      <c r="CJK155" s="3060"/>
      <c r="CJL155" s="3060"/>
      <c r="CJM155" s="3060"/>
      <c r="CJN155" s="3060"/>
      <c r="CJO155" s="3060"/>
      <c r="CJP155" s="3060"/>
      <c r="CJQ155" s="3060"/>
      <c r="CJR155" s="3060"/>
      <c r="CJS155" s="3060"/>
      <c r="CJT155" s="3060"/>
      <c r="CJU155" s="3060"/>
      <c r="CJV155" s="3060"/>
      <c r="CJW155" s="3060"/>
      <c r="CJX155" s="3060"/>
      <c r="CJY155" s="3060"/>
      <c r="CJZ155" s="3060"/>
      <c r="CKA155" s="3060"/>
      <c r="CKB155" s="3060"/>
      <c r="CKC155" s="3060"/>
      <c r="CKD155" s="3060"/>
      <c r="CKE155" s="3060"/>
      <c r="CKF155" s="3060"/>
      <c r="CKG155" s="3060"/>
      <c r="CKH155" s="3060"/>
      <c r="CKI155" s="3060"/>
      <c r="CKJ155" s="3060"/>
      <c r="CKK155" s="3060"/>
      <c r="CKL155" s="3060"/>
      <c r="CKM155" s="3060"/>
      <c r="CKN155" s="3060"/>
      <c r="CKO155" s="3060"/>
      <c r="CKP155" s="3060"/>
      <c r="CKQ155" s="3060"/>
      <c r="CKR155" s="3060"/>
      <c r="CKS155" s="3060"/>
      <c r="CKT155" s="3060"/>
      <c r="CKU155" s="3060"/>
      <c r="CKV155" s="3060"/>
      <c r="CKW155" s="3060"/>
      <c r="CKX155" s="3060"/>
      <c r="CKY155" s="3060"/>
      <c r="CKZ155" s="3060"/>
      <c r="CLA155" s="3060"/>
      <c r="CLB155" s="3060"/>
      <c r="CLC155" s="3060"/>
      <c r="CLD155" s="3060"/>
      <c r="CLE155" s="3060"/>
      <c r="CLF155" s="3060"/>
      <c r="CLG155" s="3060"/>
      <c r="CLH155" s="3060"/>
      <c r="CLI155" s="3060"/>
      <c r="CLJ155" s="3060"/>
      <c r="CLK155" s="3060"/>
      <c r="CLL155" s="3060"/>
      <c r="CLM155" s="3060"/>
      <c r="CLN155" s="3060"/>
      <c r="CLO155" s="3060"/>
      <c r="CLP155" s="3060"/>
      <c r="CLQ155" s="3060"/>
      <c r="CLR155" s="3060"/>
      <c r="CLS155" s="3060"/>
      <c r="CLT155" s="3060"/>
      <c r="CLU155" s="3060"/>
      <c r="CLV155" s="3060"/>
      <c r="CLW155" s="3060"/>
      <c r="CLX155" s="3060"/>
      <c r="CLY155" s="3060"/>
      <c r="CLZ155" s="3060"/>
      <c r="CMA155" s="3060"/>
      <c r="CMB155" s="3060"/>
      <c r="CMC155" s="3060"/>
      <c r="CMD155" s="3060"/>
      <c r="CME155" s="3060"/>
      <c r="CMF155" s="3060"/>
      <c r="CMG155" s="3060"/>
      <c r="CMH155" s="3060"/>
      <c r="CMI155" s="3060"/>
      <c r="CMJ155" s="3060"/>
      <c r="CMK155" s="3060"/>
      <c r="CML155" s="3060"/>
      <c r="CMM155" s="3060"/>
      <c r="CMN155" s="3060"/>
      <c r="CMO155" s="3060"/>
      <c r="CMP155" s="3060"/>
      <c r="CMQ155" s="3060"/>
      <c r="CMR155" s="3060"/>
      <c r="CMS155" s="3060"/>
      <c r="CMT155" s="3060"/>
      <c r="CMU155" s="3060"/>
      <c r="CMV155" s="3060"/>
      <c r="CMW155" s="3060"/>
      <c r="CMX155" s="3060"/>
      <c r="CMY155" s="3060"/>
      <c r="CMZ155" s="3060"/>
      <c r="CNA155" s="3060"/>
      <c r="CNB155" s="3060"/>
      <c r="CNC155" s="3060"/>
      <c r="CND155" s="3060"/>
      <c r="CNE155" s="3060"/>
      <c r="CNF155" s="3060"/>
      <c r="CNG155" s="3060"/>
      <c r="CNH155" s="3060"/>
      <c r="CNI155" s="3060"/>
      <c r="CNJ155" s="3060"/>
      <c r="CNK155" s="3060"/>
      <c r="CNL155" s="3060"/>
      <c r="CNM155" s="3060"/>
      <c r="CNN155" s="3060"/>
      <c r="CNO155" s="3060"/>
      <c r="CNP155" s="3060"/>
      <c r="CNQ155" s="3060"/>
      <c r="CNR155" s="3060"/>
      <c r="CNS155" s="3060"/>
      <c r="CNT155" s="3060"/>
      <c r="CNU155" s="3060"/>
      <c r="CNV155" s="3060"/>
      <c r="CNW155" s="3060"/>
      <c r="CNX155" s="3060"/>
      <c r="CNY155" s="3060"/>
      <c r="CNZ155" s="3060"/>
      <c r="COA155" s="3060"/>
      <c r="COB155" s="3060"/>
      <c r="COC155" s="3060"/>
      <c r="COD155" s="3060"/>
      <c r="COE155" s="3060"/>
      <c r="COF155" s="3060"/>
      <c r="COG155" s="3060"/>
      <c r="COH155" s="3060"/>
      <c r="COI155" s="3060"/>
      <c r="COJ155" s="3060"/>
      <c r="COK155" s="3060"/>
      <c r="COL155" s="3060"/>
      <c r="COM155" s="3060"/>
      <c r="CON155" s="3060"/>
      <c r="COO155" s="3060"/>
      <c r="COP155" s="3060"/>
      <c r="COQ155" s="3060"/>
      <c r="COR155" s="3060"/>
      <c r="COS155" s="3060"/>
      <c r="COT155" s="3060"/>
      <c r="COU155" s="3060"/>
      <c r="COV155" s="3060"/>
      <c r="COW155" s="3060"/>
      <c r="COX155" s="3060"/>
      <c r="COY155" s="3060"/>
      <c r="COZ155" s="3060"/>
      <c r="CPA155" s="3060"/>
      <c r="CPB155" s="3060"/>
      <c r="CPC155" s="3060"/>
      <c r="CPD155" s="3060"/>
      <c r="CPE155" s="3060"/>
      <c r="CPF155" s="3060"/>
      <c r="CPG155" s="3060"/>
      <c r="CPH155" s="3060"/>
      <c r="CPI155" s="3060"/>
      <c r="CPJ155" s="3060"/>
      <c r="CPK155" s="3060"/>
      <c r="CPL155" s="3060"/>
      <c r="CPM155" s="3060"/>
      <c r="CPN155" s="3060"/>
      <c r="CPO155" s="3060"/>
      <c r="CPP155" s="3060"/>
      <c r="CPQ155" s="3060"/>
      <c r="CPR155" s="3060"/>
      <c r="CPS155" s="3060"/>
      <c r="CPT155" s="3060"/>
      <c r="CPU155" s="3060"/>
      <c r="CPV155" s="3060"/>
      <c r="CPW155" s="3060"/>
      <c r="CPX155" s="3060"/>
      <c r="CPY155" s="3060"/>
      <c r="CPZ155" s="3060"/>
      <c r="CQA155" s="3060"/>
      <c r="CQB155" s="3060"/>
      <c r="CQC155" s="3060"/>
      <c r="CQD155" s="3060"/>
      <c r="CQE155" s="3060"/>
      <c r="CQF155" s="3060"/>
      <c r="CQG155" s="3060"/>
      <c r="CQH155" s="3060"/>
      <c r="CQI155" s="3060"/>
      <c r="CQJ155" s="3060"/>
      <c r="CQK155" s="3060"/>
      <c r="CQL155" s="3060"/>
      <c r="CQM155" s="3060"/>
      <c r="CQN155" s="3060"/>
      <c r="CQO155" s="3060"/>
      <c r="CQP155" s="3060"/>
      <c r="CQQ155" s="3060"/>
      <c r="CQR155" s="3060"/>
      <c r="CQS155" s="3060"/>
      <c r="CQT155" s="3060"/>
      <c r="CQU155" s="3060"/>
      <c r="CQV155" s="3060"/>
      <c r="CQW155" s="3060"/>
      <c r="CQX155" s="3060"/>
      <c r="CQY155" s="3060"/>
      <c r="CQZ155" s="3060"/>
      <c r="CRA155" s="3060"/>
      <c r="CRB155" s="3060"/>
      <c r="CRC155" s="3060"/>
      <c r="CRD155" s="3060"/>
      <c r="CRE155" s="3060"/>
      <c r="CRF155" s="3060"/>
      <c r="CRG155" s="3060"/>
      <c r="CRH155" s="3060"/>
      <c r="CRI155" s="3060"/>
      <c r="CRJ155" s="3060"/>
      <c r="CRK155" s="3060"/>
      <c r="CRL155" s="3060"/>
      <c r="CRM155" s="3060"/>
      <c r="CRN155" s="3060"/>
      <c r="CRO155" s="3060"/>
      <c r="CRP155" s="3060"/>
      <c r="CRQ155" s="3060"/>
      <c r="CRR155" s="3060"/>
      <c r="CRS155" s="3060"/>
      <c r="CRT155" s="3060"/>
      <c r="CRU155" s="3060"/>
      <c r="CRV155" s="3060"/>
      <c r="CRW155" s="3060"/>
      <c r="CRX155" s="3060"/>
      <c r="CRY155" s="3060"/>
      <c r="CRZ155" s="3060"/>
      <c r="CSA155" s="3060"/>
      <c r="CSB155" s="3060"/>
      <c r="CSC155" s="3060"/>
      <c r="CSD155" s="3060"/>
      <c r="CSE155" s="3060"/>
      <c r="CSF155" s="3060"/>
      <c r="CSG155" s="3060"/>
      <c r="CSH155" s="3060"/>
      <c r="CSI155" s="3060"/>
      <c r="CSJ155" s="3060"/>
      <c r="CSK155" s="3060"/>
      <c r="CSL155" s="3060"/>
      <c r="CSM155" s="3060"/>
      <c r="CSN155" s="3060"/>
      <c r="CSO155" s="3060"/>
      <c r="CSP155" s="3060"/>
      <c r="CSQ155" s="3060"/>
      <c r="CSR155" s="3060"/>
      <c r="CSS155" s="3060"/>
      <c r="CST155" s="3060"/>
      <c r="CSU155" s="3060"/>
      <c r="CSV155" s="3060"/>
      <c r="CSW155" s="3060"/>
      <c r="CSX155" s="3060"/>
      <c r="CSY155" s="3060"/>
      <c r="CSZ155" s="3060"/>
      <c r="CTA155" s="3060"/>
      <c r="CTB155" s="3060"/>
      <c r="CTC155" s="3060"/>
      <c r="CTD155" s="3060"/>
      <c r="CTE155" s="3060"/>
      <c r="CTF155" s="3060"/>
      <c r="CTG155" s="3060"/>
      <c r="CTH155" s="3060"/>
      <c r="CTI155" s="3060"/>
      <c r="CTJ155" s="3060"/>
      <c r="CTK155" s="3060"/>
      <c r="CTL155" s="3060"/>
      <c r="CTM155" s="3060"/>
      <c r="CTN155" s="3060"/>
      <c r="CTO155" s="3060"/>
      <c r="CTP155" s="3060"/>
      <c r="CTQ155" s="3060"/>
      <c r="CTR155" s="3060"/>
      <c r="CTS155" s="3060"/>
      <c r="CTT155" s="3060"/>
      <c r="CTU155" s="3060"/>
      <c r="CTV155" s="3060"/>
      <c r="CTW155" s="3060"/>
      <c r="CTX155" s="3060"/>
      <c r="CTY155" s="3060"/>
      <c r="CTZ155" s="3060"/>
      <c r="CUA155" s="3060"/>
      <c r="CUB155" s="3060"/>
      <c r="CUC155" s="3060"/>
      <c r="CUD155" s="3060"/>
      <c r="CUE155" s="3060"/>
      <c r="CUF155" s="3060"/>
      <c r="CUG155" s="3060"/>
      <c r="CUH155" s="3060"/>
      <c r="CUI155" s="3060"/>
      <c r="CUJ155" s="3060"/>
      <c r="CUK155" s="3060"/>
      <c r="CUL155" s="3060"/>
      <c r="CUM155" s="3060"/>
      <c r="CUN155" s="3060"/>
      <c r="CUO155" s="3060"/>
      <c r="CUP155" s="3060"/>
      <c r="CUQ155" s="3060"/>
      <c r="CUR155" s="3060"/>
      <c r="CUS155" s="3060"/>
      <c r="CUT155" s="3060"/>
      <c r="CUU155" s="3060"/>
      <c r="CUV155" s="3060"/>
      <c r="CUW155" s="3060"/>
      <c r="CUX155" s="3060"/>
      <c r="CUY155" s="3060"/>
      <c r="CUZ155" s="3060"/>
      <c r="CVA155" s="3060"/>
      <c r="CVB155" s="3060"/>
      <c r="CVC155" s="3060"/>
      <c r="CVD155" s="3060"/>
      <c r="CVE155" s="3060"/>
      <c r="CVF155" s="3060"/>
      <c r="CVG155" s="3060"/>
      <c r="CVH155" s="3060"/>
      <c r="CVI155" s="3060"/>
      <c r="CVJ155" s="3060"/>
      <c r="CVK155" s="3060"/>
      <c r="CVL155" s="3060"/>
      <c r="CVM155" s="3060"/>
      <c r="CVN155" s="3060"/>
      <c r="CVO155" s="3060"/>
      <c r="CVP155" s="3060"/>
      <c r="CVQ155" s="3060"/>
      <c r="CVR155" s="3060"/>
      <c r="CVS155" s="3060"/>
      <c r="CVT155" s="3060"/>
      <c r="CVU155" s="3060"/>
      <c r="CVV155" s="3060"/>
      <c r="CVW155" s="3060"/>
      <c r="CVX155" s="3060"/>
      <c r="CVY155" s="3060"/>
      <c r="CVZ155" s="3060"/>
      <c r="CWA155" s="3060"/>
      <c r="CWB155" s="3060"/>
      <c r="CWC155" s="3060"/>
      <c r="CWD155" s="3060"/>
      <c r="CWE155" s="3060"/>
      <c r="CWF155" s="3060"/>
      <c r="CWG155" s="3060"/>
      <c r="CWH155" s="3060"/>
      <c r="CWI155" s="3060"/>
      <c r="CWJ155" s="3060"/>
      <c r="CWK155" s="3060"/>
      <c r="CWL155" s="3060"/>
      <c r="CWM155" s="3060"/>
      <c r="CWN155" s="3060"/>
      <c r="CWO155" s="3060"/>
      <c r="CWP155" s="3060"/>
      <c r="CWQ155" s="3060"/>
      <c r="CWR155" s="3060"/>
      <c r="CWS155" s="3060"/>
      <c r="CWT155" s="3060"/>
      <c r="CWU155" s="3060"/>
      <c r="CWV155" s="3060"/>
      <c r="CWW155" s="3060"/>
      <c r="CWX155" s="3060"/>
      <c r="CWY155" s="3060"/>
      <c r="CWZ155" s="3060"/>
      <c r="CXA155" s="3060"/>
      <c r="CXB155" s="3060"/>
      <c r="CXC155" s="3060"/>
      <c r="CXD155" s="3060"/>
      <c r="CXE155" s="3060"/>
      <c r="CXF155" s="3060"/>
      <c r="CXG155" s="3060"/>
      <c r="CXH155" s="3060"/>
      <c r="CXI155" s="3060"/>
      <c r="CXJ155" s="3060"/>
      <c r="CXK155" s="3060"/>
      <c r="CXL155" s="3060"/>
      <c r="CXM155" s="3060"/>
      <c r="CXN155" s="3060"/>
      <c r="CXO155" s="3060"/>
      <c r="CXP155" s="3060"/>
      <c r="CXQ155" s="3060"/>
      <c r="CXR155" s="3060"/>
      <c r="CXS155" s="3060"/>
      <c r="CXT155" s="3060"/>
      <c r="CXU155" s="3060"/>
      <c r="CXV155" s="3060"/>
      <c r="CXW155" s="3060"/>
      <c r="CXX155" s="3060"/>
      <c r="CXY155" s="3060"/>
      <c r="CXZ155" s="3060"/>
      <c r="CYA155" s="3060"/>
      <c r="CYB155" s="3060"/>
      <c r="CYC155" s="3060"/>
      <c r="CYD155" s="3060"/>
      <c r="CYE155" s="3060"/>
      <c r="CYF155" s="3060"/>
      <c r="CYG155" s="3060"/>
      <c r="CYH155" s="3060"/>
      <c r="CYI155" s="3060"/>
      <c r="CYJ155" s="3060"/>
      <c r="CYK155" s="3060"/>
      <c r="CYL155" s="3060"/>
      <c r="CYM155" s="3060"/>
      <c r="CYN155" s="3060"/>
      <c r="CYO155" s="3060"/>
      <c r="CYP155" s="3060"/>
      <c r="CYQ155" s="3060"/>
      <c r="CYR155" s="3060"/>
      <c r="CYS155" s="3060"/>
      <c r="CYT155" s="3060"/>
      <c r="CYU155" s="3060"/>
      <c r="CYV155" s="3060"/>
      <c r="CYW155" s="3060"/>
      <c r="CYX155" s="3060"/>
      <c r="CYY155" s="3060"/>
      <c r="CYZ155" s="3060"/>
      <c r="CZA155" s="3060"/>
      <c r="CZB155" s="3060"/>
      <c r="CZC155" s="3060"/>
      <c r="CZD155" s="3060"/>
      <c r="CZE155" s="3060"/>
      <c r="CZF155" s="3060"/>
      <c r="CZG155" s="3060"/>
      <c r="CZH155" s="3060"/>
      <c r="CZI155" s="3060"/>
      <c r="CZJ155" s="3060"/>
      <c r="CZK155" s="3060"/>
      <c r="CZL155" s="3060"/>
      <c r="CZM155" s="3060"/>
      <c r="CZN155" s="3060"/>
      <c r="CZO155" s="3060"/>
      <c r="CZP155" s="3060"/>
      <c r="CZQ155" s="3060"/>
      <c r="CZR155" s="3060"/>
      <c r="CZS155" s="3060"/>
      <c r="CZT155" s="3060"/>
      <c r="CZU155" s="3060"/>
      <c r="CZV155" s="3060"/>
      <c r="CZW155" s="3060"/>
      <c r="CZX155" s="3060"/>
      <c r="CZY155" s="3060"/>
      <c r="CZZ155" s="3060"/>
      <c r="DAA155" s="3060"/>
      <c r="DAB155" s="3060"/>
      <c r="DAC155" s="3060"/>
      <c r="DAD155" s="3060"/>
      <c r="DAE155" s="3060"/>
      <c r="DAF155" s="3060"/>
      <c r="DAG155" s="3060"/>
      <c r="DAH155" s="3060"/>
      <c r="DAI155" s="3060"/>
      <c r="DAJ155" s="3060"/>
      <c r="DAK155" s="3060"/>
      <c r="DAL155" s="3060"/>
      <c r="DAM155" s="3060"/>
      <c r="DAN155" s="3060"/>
      <c r="DAO155" s="3060"/>
      <c r="DAP155" s="3060"/>
      <c r="DAQ155" s="3060"/>
      <c r="DAR155" s="3060"/>
      <c r="DAS155" s="3060"/>
      <c r="DAT155" s="3060"/>
      <c r="DAU155" s="3060"/>
      <c r="DAV155" s="3060"/>
      <c r="DAW155" s="3060"/>
      <c r="DAX155" s="3060"/>
      <c r="DAY155" s="3060"/>
      <c r="DAZ155" s="3060"/>
      <c r="DBA155" s="3060"/>
      <c r="DBB155" s="3060"/>
      <c r="DBC155" s="3060"/>
      <c r="DBD155" s="3060"/>
      <c r="DBE155" s="3060"/>
      <c r="DBF155" s="3060"/>
      <c r="DBG155" s="3060"/>
      <c r="DBH155" s="3060"/>
      <c r="DBI155" s="3060"/>
      <c r="DBJ155" s="3060"/>
      <c r="DBK155" s="3060"/>
      <c r="DBL155" s="3060"/>
      <c r="DBM155" s="3060"/>
      <c r="DBN155" s="3060"/>
      <c r="DBO155" s="3060"/>
      <c r="DBP155" s="3060"/>
      <c r="DBQ155" s="3060"/>
      <c r="DBR155" s="3060"/>
      <c r="DBS155" s="3060"/>
      <c r="DBT155" s="3060"/>
      <c r="DBU155" s="3060"/>
      <c r="DBV155" s="3060"/>
      <c r="DBW155" s="3060"/>
      <c r="DBX155" s="3060"/>
      <c r="DBY155" s="3060"/>
      <c r="DBZ155" s="3060"/>
      <c r="DCA155" s="3060"/>
      <c r="DCB155" s="3060"/>
      <c r="DCC155" s="3060"/>
      <c r="DCD155" s="3060"/>
      <c r="DCE155" s="3060"/>
      <c r="DCF155" s="3060"/>
      <c r="DCG155" s="3060"/>
      <c r="DCH155" s="3060"/>
      <c r="DCI155" s="3060"/>
      <c r="DCJ155" s="3060"/>
      <c r="DCK155" s="3060"/>
      <c r="DCL155" s="3060"/>
      <c r="DCM155" s="3060"/>
      <c r="DCN155" s="3060"/>
      <c r="DCO155" s="3060"/>
      <c r="DCP155" s="3060"/>
      <c r="DCQ155" s="3060"/>
      <c r="DCR155" s="3060"/>
      <c r="DCS155" s="3060"/>
      <c r="DCT155" s="3060"/>
      <c r="DCU155" s="3060"/>
      <c r="DCV155" s="3060"/>
      <c r="DCW155" s="3060"/>
      <c r="DCX155" s="3060"/>
      <c r="DCY155" s="3060"/>
      <c r="DCZ155" s="3060"/>
      <c r="DDA155" s="3060"/>
      <c r="DDB155" s="3060"/>
      <c r="DDC155" s="3060"/>
      <c r="DDD155" s="3060"/>
      <c r="DDE155" s="3060"/>
      <c r="DDF155" s="3060"/>
      <c r="DDG155" s="3060"/>
      <c r="DDH155" s="3060"/>
      <c r="DDI155" s="3060"/>
      <c r="DDJ155" s="3060"/>
      <c r="DDK155" s="3060"/>
      <c r="DDL155" s="3060"/>
      <c r="DDM155" s="3060"/>
      <c r="DDN155" s="3060"/>
      <c r="DDO155" s="3060"/>
      <c r="DDP155" s="3060"/>
      <c r="DDQ155" s="3060"/>
      <c r="DDR155" s="3060"/>
      <c r="DDS155" s="3060"/>
      <c r="DDT155" s="3060"/>
      <c r="DDU155" s="3060"/>
      <c r="DDV155" s="3060"/>
      <c r="DDW155" s="3060"/>
      <c r="DDX155" s="3060"/>
      <c r="DDY155" s="3060"/>
      <c r="DDZ155" s="3060"/>
      <c r="DEA155" s="3060"/>
      <c r="DEB155" s="3060"/>
      <c r="DEC155" s="3060"/>
      <c r="DED155" s="3060"/>
      <c r="DEE155" s="3060"/>
      <c r="DEF155" s="3060"/>
      <c r="DEG155" s="3060"/>
      <c r="DEH155" s="3060"/>
      <c r="DEI155" s="3060"/>
      <c r="DEJ155" s="3060"/>
      <c r="DEK155" s="3060"/>
      <c r="DEL155" s="3060"/>
      <c r="DEM155" s="3060"/>
      <c r="DEN155" s="3060"/>
      <c r="DEO155" s="3060"/>
      <c r="DEP155" s="3060"/>
      <c r="DEQ155" s="3060"/>
      <c r="DER155" s="3060"/>
      <c r="DES155" s="3060"/>
      <c r="DET155" s="3060"/>
      <c r="DEU155" s="3060"/>
      <c r="DEV155" s="3060"/>
      <c r="DEW155" s="3060"/>
      <c r="DEX155" s="3060"/>
      <c r="DEY155" s="3060"/>
      <c r="DEZ155" s="3060"/>
      <c r="DFA155" s="3060"/>
      <c r="DFB155" s="3060"/>
      <c r="DFC155" s="3060"/>
      <c r="DFD155" s="3060"/>
      <c r="DFE155" s="3060"/>
      <c r="DFF155" s="3060"/>
      <c r="DFG155" s="3060"/>
      <c r="DFH155" s="3060"/>
      <c r="DFI155" s="3060"/>
      <c r="DFJ155" s="3060"/>
      <c r="DFK155" s="3060"/>
      <c r="DFL155" s="3060"/>
      <c r="DFM155" s="3060"/>
      <c r="DFN155" s="3060"/>
      <c r="DFO155" s="3060"/>
      <c r="DFP155" s="3060"/>
      <c r="DFQ155" s="3060"/>
      <c r="DFR155" s="3060"/>
      <c r="DFS155" s="3060"/>
      <c r="DFT155" s="3060"/>
      <c r="DFU155" s="3060"/>
      <c r="DFV155" s="3060"/>
      <c r="DFW155" s="3060"/>
      <c r="DFX155" s="3060"/>
      <c r="DFY155" s="3060"/>
      <c r="DFZ155" s="3060"/>
      <c r="DGA155" s="3060"/>
      <c r="DGB155" s="3060"/>
      <c r="DGC155" s="3060"/>
      <c r="DGD155" s="3060"/>
      <c r="DGE155" s="3060"/>
      <c r="DGF155" s="3060"/>
      <c r="DGG155" s="3060"/>
      <c r="DGH155" s="3060"/>
      <c r="DGI155" s="3060"/>
      <c r="DGJ155" s="3060"/>
      <c r="DGK155" s="3060"/>
      <c r="DGL155" s="3060"/>
      <c r="DGM155" s="3060"/>
      <c r="DGN155" s="3060"/>
      <c r="DGO155" s="3060"/>
      <c r="DGP155" s="3060"/>
      <c r="DGQ155" s="3060"/>
      <c r="DGR155" s="3060"/>
      <c r="DGS155" s="3060"/>
      <c r="DGT155" s="3060"/>
      <c r="DGU155" s="3060"/>
      <c r="DGV155" s="3060"/>
      <c r="DGW155" s="3060"/>
      <c r="DGX155" s="3060"/>
      <c r="DGY155" s="3060"/>
      <c r="DGZ155" s="3060"/>
      <c r="DHA155" s="3060"/>
      <c r="DHB155" s="3060"/>
      <c r="DHC155" s="3060"/>
      <c r="DHD155" s="3060"/>
      <c r="DHE155" s="3060"/>
      <c r="DHF155" s="3060"/>
      <c r="DHG155" s="3060"/>
      <c r="DHH155" s="3060"/>
      <c r="DHI155" s="3060"/>
      <c r="DHJ155" s="3060"/>
      <c r="DHK155" s="3060"/>
      <c r="DHL155" s="3060"/>
      <c r="DHM155" s="3060"/>
      <c r="DHN155" s="3060"/>
      <c r="DHO155" s="3060"/>
      <c r="DHP155" s="3060"/>
      <c r="DHQ155" s="3060"/>
      <c r="DHR155" s="3060"/>
      <c r="DHS155" s="3060"/>
      <c r="DHT155" s="3060"/>
      <c r="DHU155" s="3060"/>
      <c r="DHV155" s="3060"/>
      <c r="DHW155" s="3060"/>
      <c r="DHX155" s="3060"/>
      <c r="DHY155" s="3060"/>
      <c r="DHZ155" s="3060"/>
      <c r="DIA155" s="3060"/>
      <c r="DIB155" s="3060"/>
      <c r="DIC155" s="3060"/>
      <c r="DID155" s="3060"/>
      <c r="DIE155" s="3060"/>
      <c r="DIF155" s="3060"/>
      <c r="DIG155" s="3060"/>
      <c r="DIH155" s="3060"/>
      <c r="DII155" s="3060"/>
      <c r="DIJ155" s="3060"/>
      <c r="DIK155" s="3060"/>
      <c r="DIL155" s="3060"/>
      <c r="DIM155" s="3060"/>
      <c r="DIN155" s="3060"/>
      <c r="DIO155" s="3060"/>
      <c r="DIP155" s="3060"/>
      <c r="DIQ155" s="3060"/>
      <c r="DIR155" s="3060"/>
      <c r="DIS155" s="3060"/>
      <c r="DIT155" s="3060"/>
      <c r="DIU155" s="3060"/>
      <c r="DIV155" s="3060"/>
      <c r="DIW155" s="3060"/>
      <c r="DIX155" s="3060"/>
      <c r="DIY155" s="3060"/>
      <c r="DIZ155" s="3060"/>
      <c r="DJA155" s="3060"/>
      <c r="DJB155" s="3060"/>
      <c r="DJC155" s="3060"/>
      <c r="DJD155" s="3060"/>
      <c r="DJE155" s="3060"/>
      <c r="DJF155" s="3060"/>
      <c r="DJG155" s="3060"/>
      <c r="DJH155" s="3060"/>
      <c r="DJI155" s="3060"/>
      <c r="DJJ155" s="3060"/>
      <c r="DJK155" s="3060"/>
      <c r="DJL155" s="3060"/>
      <c r="DJM155" s="3060"/>
      <c r="DJN155" s="3060"/>
      <c r="DJO155" s="3060"/>
      <c r="DJP155" s="3060"/>
      <c r="DJQ155" s="3060"/>
      <c r="DJR155" s="3060"/>
      <c r="DJS155" s="3060"/>
      <c r="DJT155" s="3060"/>
      <c r="DJU155" s="3060"/>
      <c r="DJV155" s="3060"/>
      <c r="DJW155" s="3060"/>
      <c r="DJX155" s="3060"/>
      <c r="DJY155" s="3060"/>
      <c r="DJZ155" s="3060"/>
      <c r="DKA155" s="3060"/>
      <c r="DKB155" s="3060"/>
      <c r="DKC155" s="3060"/>
      <c r="DKD155" s="3060"/>
      <c r="DKE155" s="3060"/>
      <c r="DKF155" s="3060"/>
      <c r="DKG155" s="3060"/>
      <c r="DKH155" s="3060"/>
      <c r="DKI155" s="3060"/>
      <c r="DKJ155" s="3060"/>
      <c r="DKK155" s="3060"/>
      <c r="DKL155" s="3060"/>
      <c r="DKM155" s="3060"/>
      <c r="DKN155" s="3060"/>
      <c r="DKO155" s="3060"/>
      <c r="DKP155" s="3060"/>
      <c r="DKQ155" s="3060"/>
      <c r="DKR155" s="3060"/>
      <c r="DKS155" s="3060"/>
      <c r="DKT155" s="3060"/>
      <c r="DKU155" s="3060"/>
      <c r="DKV155" s="3060"/>
      <c r="DKW155" s="3060"/>
      <c r="DKX155" s="3060"/>
      <c r="DKY155" s="3060"/>
      <c r="DKZ155" s="3060"/>
      <c r="DLA155" s="3060"/>
      <c r="DLB155" s="3060"/>
      <c r="DLC155" s="3060"/>
      <c r="DLD155" s="3060"/>
      <c r="DLE155" s="3060"/>
      <c r="DLF155" s="3060"/>
      <c r="DLG155" s="3060"/>
      <c r="DLH155" s="3060"/>
      <c r="DLI155" s="3060"/>
      <c r="DLJ155" s="3060"/>
      <c r="DLK155" s="3060"/>
      <c r="DLL155" s="3060"/>
      <c r="DLM155" s="3060"/>
      <c r="DLN155" s="3060"/>
      <c r="DLO155" s="3060"/>
      <c r="DLP155" s="3060"/>
      <c r="DLQ155" s="3060"/>
      <c r="DLR155" s="3060"/>
      <c r="DLS155" s="3060"/>
      <c r="DLT155" s="3060"/>
      <c r="DLU155" s="3060"/>
      <c r="DLV155" s="3060"/>
      <c r="DLW155" s="3060"/>
      <c r="DLX155" s="3060"/>
      <c r="DLY155" s="3060"/>
      <c r="DLZ155" s="3060"/>
      <c r="DMA155" s="3060"/>
      <c r="DMB155" s="3060"/>
      <c r="DMC155" s="3060"/>
      <c r="DMD155" s="3060"/>
      <c r="DME155" s="3060"/>
      <c r="DMF155" s="3060"/>
      <c r="DMG155" s="3060"/>
      <c r="DMH155" s="3060"/>
      <c r="DMI155" s="3060"/>
      <c r="DMJ155" s="3060"/>
      <c r="DMK155" s="3060"/>
      <c r="DML155" s="3060"/>
      <c r="DMM155" s="3060"/>
      <c r="DMN155" s="3060"/>
      <c r="DMO155" s="3060"/>
      <c r="DMP155" s="3060"/>
      <c r="DMQ155" s="3060"/>
      <c r="DMR155" s="3060"/>
      <c r="DMS155" s="3060"/>
      <c r="DMT155" s="3060"/>
      <c r="DMU155" s="3060"/>
      <c r="DMV155" s="3060"/>
      <c r="DMW155" s="3060"/>
      <c r="DMX155" s="3060"/>
      <c r="DMY155" s="3060"/>
      <c r="DMZ155" s="3060"/>
      <c r="DNA155" s="3060"/>
      <c r="DNB155" s="3060"/>
      <c r="DNC155" s="3060"/>
      <c r="DND155" s="3060"/>
      <c r="DNE155" s="3060"/>
      <c r="DNF155" s="3060"/>
      <c r="DNG155" s="3060"/>
      <c r="DNH155" s="3060"/>
      <c r="DNI155" s="3060"/>
      <c r="DNJ155" s="3060"/>
      <c r="DNK155" s="3060"/>
      <c r="DNL155" s="3060"/>
      <c r="DNM155" s="3060"/>
      <c r="DNN155" s="3060"/>
      <c r="DNO155" s="3060"/>
      <c r="DNP155" s="3060"/>
      <c r="DNQ155" s="3060"/>
      <c r="DNR155" s="3060"/>
      <c r="DNS155" s="3060"/>
      <c r="DNT155" s="3060"/>
      <c r="DNU155" s="3060"/>
      <c r="DNV155" s="3060"/>
      <c r="DNW155" s="3060"/>
      <c r="DNX155" s="3060"/>
      <c r="DNY155" s="3060"/>
      <c r="DNZ155" s="3060"/>
      <c r="DOA155" s="3060"/>
      <c r="DOB155" s="3060"/>
      <c r="DOC155" s="3060"/>
      <c r="DOD155" s="3060"/>
      <c r="DOE155" s="3060"/>
      <c r="DOF155" s="3060"/>
      <c r="DOG155" s="3060"/>
      <c r="DOH155" s="3060"/>
      <c r="DOI155" s="3060"/>
      <c r="DOJ155" s="3060"/>
      <c r="DOK155" s="3060"/>
      <c r="DOL155" s="3060"/>
      <c r="DOM155" s="3060"/>
      <c r="DON155" s="3060"/>
      <c r="DOO155" s="3060"/>
      <c r="DOP155" s="3060"/>
      <c r="DOQ155" s="3060"/>
      <c r="DOR155" s="3060"/>
      <c r="DOS155" s="3060"/>
      <c r="DOT155" s="3060"/>
      <c r="DOU155" s="3060"/>
      <c r="DOV155" s="3060"/>
      <c r="DOW155" s="3060"/>
      <c r="DOX155" s="3060"/>
      <c r="DOY155" s="3060"/>
      <c r="DOZ155" s="3060"/>
      <c r="DPA155" s="3060"/>
      <c r="DPB155" s="3060"/>
      <c r="DPC155" s="3060"/>
      <c r="DPD155" s="3060"/>
      <c r="DPE155" s="3060"/>
      <c r="DPF155" s="3060"/>
      <c r="DPG155" s="3060"/>
      <c r="DPH155" s="3060"/>
      <c r="DPI155" s="3060"/>
      <c r="DPJ155" s="3060"/>
      <c r="DPK155" s="3060"/>
      <c r="DPL155" s="3060"/>
      <c r="DPM155" s="3060"/>
      <c r="DPN155" s="3060"/>
      <c r="DPO155" s="3060"/>
      <c r="DPP155" s="3060"/>
      <c r="DPQ155" s="3060"/>
      <c r="DPR155" s="3060"/>
      <c r="DPS155" s="3060"/>
      <c r="DPT155" s="3060"/>
      <c r="DPU155" s="3060"/>
      <c r="DPV155" s="3060"/>
      <c r="DPW155" s="3060"/>
      <c r="DPX155" s="3060"/>
      <c r="DPY155" s="3060"/>
      <c r="DPZ155" s="3060"/>
      <c r="DQA155" s="3060"/>
      <c r="DQB155" s="3060"/>
      <c r="DQC155" s="3060"/>
      <c r="DQD155" s="3060"/>
      <c r="DQE155" s="3060"/>
      <c r="DQF155" s="3060"/>
      <c r="DQG155" s="3060"/>
      <c r="DQH155" s="3060"/>
      <c r="DQI155" s="3060"/>
      <c r="DQJ155" s="3060"/>
      <c r="DQK155" s="3060"/>
      <c r="DQL155" s="3060"/>
      <c r="DQM155" s="3060"/>
      <c r="DQN155" s="3060"/>
      <c r="DQO155" s="3060"/>
      <c r="DQP155" s="3060"/>
      <c r="DQQ155" s="3060"/>
      <c r="DQR155" s="3060"/>
      <c r="DQS155" s="3060"/>
      <c r="DQT155" s="3060"/>
      <c r="DQU155" s="3060"/>
      <c r="DQV155" s="3060"/>
      <c r="DQW155" s="3060"/>
      <c r="DQX155" s="3060"/>
      <c r="DQY155" s="3060"/>
      <c r="DQZ155" s="3060"/>
      <c r="DRA155" s="3060"/>
      <c r="DRB155" s="3060"/>
      <c r="DRC155" s="3060"/>
      <c r="DRD155" s="3060"/>
      <c r="DRE155" s="3060"/>
      <c r="DRF155" s="3060"/>
      <c r="DRG155" s="3060"/>
      <c r="DRH155" s="3060"/>
      <c r="DRI155" s="3060"/>
      <c r="DRJ155" s="3060"/>
      <c r="DRK155" s="3060"/>
      <c r="DRL155" s="3060"/>
      <c r="DRM155" s="3060"/>
      <c r="DRN155" s="3060"/>
      <c r="DRO155" s="3060"/>
      <c r="DRP155" s="3060"/>
      <c r="DRQ155" s="3060"/>
      <c r="DRR155" s="3060"/>
      <c r="DRS155" s="3060"/>
      <c r="DRT155" s="3060"/>
      <c r="DRU155" s="3060"/>
      <c r="DRV155" s="3060"/>
      <c r="DRW155" s="3060"/>
      <c r="DRX155" s="3060"/>
      <c r="DRY155" s="3060"/>
      <c r="DRZ155" s="3060"/>
      <c r="DSA155" s="3060"/>
      <c r="DSB155" s="3060"/>
      <c r="DSC155" s="3060"/>
      <c r="DSD155" s="3060"/>
      <c r="DSE155" s="3060"/>
      <c r="DSF155" s="3060"/>
      <c r="DSG155" s="3060"/>
      <c r="DSH155" s="3060"/>
      <c r="DSI155" s="3060"/>
      <c r="DSJ155" s="3060"/>
      <c r="DSK155" s="3060"/>
      <c r="DSL155" s="3060"/>
      <c r="DSM155" s="3060"/>
      <c r="DSN155" s="3060"/>
      <c r="DSO155" s="3060"/>
      <c r="DSP155" s="3060"/>
      <c r="DSQ155" s="3060"/>
      <c r="DSR155" s="3060"/>
      <c r="DSS155" s="3060"/>
      <c r="DST155" s="3060"/>
      <c r="DSU155" s="3060"/>
      <c r="DSV155" s="3060"/>
      <c r="DSW155" s="3060"/>
      <c r="DSX155" s="3060"/>
      <c r="DSY155" s="3060"/>
      <c r="DSZ155" s="3060"/>
      <c r="DTA155" s="3060"/>
      <c r="DTB155" s="3060"/>
      <c r="DTC155" s="3060"/>
      <c r="DTD155" s="3060"/>
      <c r="DTE155" s="3060"/>
      <c r="DTF155" s="3060"/>
      <c r="DTG155" s="3060"/>
      <c r="DTH155" s="3060"/>
      <c r="DTI155" s="3060"/>
      <c r="DTJ155" s="3060"/>
      <c r="DTK155" s="3060"/>
      <c r="DTL155" s="3060"/>
      <c r="DTM155" s="3060"/>
      <c r="DTN155" s="3060"/>
      <c r="DTO155" s="3060"/>
      <c r="DTP155" s="3060"/>
      <c r="DTQ155" s="3060"/>
      <c r="DTR155" s="3060"/>
      <c r="DTS155" s="3060"/>
      <c r="DTT155" s="3060"/>
      <c r="DTU155" s="3060"/>
      <c r="DTV155" s="3060"/>
      <c r="DTW155" s="3060"/>
      <c r="DTX155" s="3060"/>
      <c r="DTY155" s="3060"/>
      <c r="DTZ155" s="3060"/>
      <c r="DUA155" s="3060"/>
      <c r="DUB155" s="3060"/>
      <c r="DUC155" s="3060"/>
      <c r="DUD155" s="3060"/>
      <c r="DUE155" s="3060"/>
      <c r="DUF155" s="3060"/>
      <c r="DUG155" s="3060"/>
      <c r="DUH155" s="3060"/>
      <c r="DUI155" s="3060"/>
      <c r="DUJ155" s="3060"/>
      <c r="DUK155" s="3060"/>
      <c r="DUL155" s="3060"/>
      <c r="DUM155" s="3060"/>
      <c r="DUN155" s="3060"/>
      <c r="DUO155" s="3060"/>
      <c r="DUP155" s="3060"/>
      <c r="DUQ155" s="3060"/>
      <c r="DUR155" s="3060"/>
      <c r="DUS155" s="3060"/>
      <c r="DUT155" s="3060"/>
      <c r="DUU155" s="3060"/>
      <c r="DUV155" s="3060"/>
      <c r="DUW155" s="3060"/>
      <c r="DUX155" s="3060"/>
      <c r="DUY155" s="3060"/>
      <c r="DUZ155" s="3060"/>
      <c r="DVA155" s="3060"/>
      <c r="DVB155" s="3060"/>
      <c r="DVC155" s="3060"/>
      <c r="DVD155" s="3060"/>
      <c r="DVE155" s="3060"/>
      <c r="DVF155" s="3060"/>
      <c r="DVG155" s="3060"/>
      <c r="DVH155" s="3060"/>
      <c r="DVI155" s="3060"/>
      <c r="DVJ155" s="3060"/>
      <c r="DVK155" s="3060"/>
      <c r="DVL155" s="3060"/>
      <c r="DVM155" s="3060"/>
      <c r="DVN155" s="3060"/>
      <c r="DVO155" s="3060"/>
      <c r="DVP155" s="3060"/>
      <c r="DVQ155" s="3060"/>
      <c r="DVR155" s="3060"/>
      <c r="DVS155" s="3060"/>
      <c r="DVT155" s="3060"/>
      <c r="DVU155" s="3060"/>
      <c r="DVV155" s="3060"/>
      <c r="DVW155" s="3060"/>
      <c r="DVX155" s="3060"/>
      <c r="DVY155" s="3060"/>
      <c r="DVZ155" s="3060"/>
      <c r="DWA155" s="3060"/>
      <c r="DWB155" s="3060"/>
      <c r="DWC155" s="3060"/>
      <c r="DWD155" s="3060"/>
      <c r="DWE155" s="3060"/>
      <c r="DWF155" s="3060"/>
      <c r="DWG155" s="3060"/>
      <c r="DWH155" s="3060"/>
      <c r="DWI155" s="3060"/>
      <c r="DWJ155" s="3060"/>
      <c r="DWK155" s="3060"/>
      <c r="DWL155" s="3060"/>
      <c r="DWM155" s="3060"/>
      <c r="DWN155" s="3060"/>
      <c r="DWO155" s="3060"/>
      <c r="DWP155" s="3060"/>
      <c r="DWQ155" s="3060"/>
      <c r="DWR155" s="3060"/>
      <c r="DWS155" s="3060"/>
      <c r="DWT155" s="3060"/>
      <c r="DWU155" s="3060"/>
      <c r="DWV155" s="3060"/>
      <c r="DWW155" s="3060"/>
      <c r="DWX155" s="3060"/>
      <c r="DWY155" s="3060"/>
      <c r="DWZ155" s="3060"/>
      <c r="DXA155" s="3060"/>
      <c r="DXB155" s="3060"/>
      <c r="DXC155" s="3060"/>
      <c r="DXD155" s="3060"/>
      <c r="DXE155" s="3060"/>
      <c r="DXF155" s="3060"/>
      <c r="DXG155" s="3060"/>
      <c r="DXH155" s="3060"/>
      <c r="DXI155" s="3060"/>
      <c r="DXJ155" s="3060"/>
      <c r="DXK155" s="3060"/>
      <c r="DXL155" s="3060"/>
      <c r="DXM155" s="3060"/>
      <c r="DXN155" s="3060"/>
      <c r="DXO155" s="3060"/>
      <c r="DXP155" s="3060"/>
      <c r="DXQ155" s="3060"/>
      <c r="DXR155" s="3060"/>
      <c r="DXS155" s="3060"/>
      <c r="DXT155" s="3060"/>
      <c r="DXU155" s="3060"/>
      <c r="DXV155" s="3060"/>
      <c r="DXW155" s="3060"/>
      <c r="DXX155" s="3060"/>
      <c r="DXY155" s="3060"/>
      <c r="DXZ155" s="3060"/>
      <c r="DYA155" s="3060"/>
      <c r="DYB155" s="3060"/>
      <c r="DYC155" s="3060"/>
      <c r="DYD155" s="3060"/>
      <c r="DYE155" s="3060"/>
      <c r="DYF155" s="3060"/>
      <c r="DYG155" s="3060"/>
      <c r="DYH155" s="3060"/>
      <c r="DYI155" s="3060"/>
      <c r="DYJ155" s="3060"/>
      <c r="DYK155" s="3060"/>
      <c r="DYL155" s="3060"/>
      <c r="DYM155" s="3060"/>
      <c r="DYN155" s="3060"/>
      <c r="DYO155" s="3060"/>
      <c r="DYP155" s="3060"/>
      <c r="DYQ155" s="3060"/>
      <c r="DYR155" s="3060"/>
      <c r="DYS155" s="3060"/>
      <c r="DYT155" s="3060"/>
      <c r="DYU155" s="3060"/>
      <c r="DYV155" s="3060"/>
      <c r="DYW155" s="3060"/>
      <c r="DYX155" s="3060"/>
      <c r="DYY155" s="3060"/>
      <c r="DYZ155" s="3060"/>
      <c r="DZA155" s="3060"/>
      <c r="DZB155" s="3060"/>
      <c r="DZC155" s="3060"/>
      <c r="DZD155" s="3060"/>
      <c r="DZE155" s="3060"/>
      <c r="DZF155" s="3060"/>
      <c r="DZG155" s="3060"/>
      <c r="DZH155" s="3060"/>
      <c r="DZI155" s="3060"/>
      <c r="DZJ155" s="3060"/>
      <c r="DZK155" s="3060"/>
      <c r="DZL155" s="3060"/>
      <c r="DZM155" s="3060"/>
      <c r="DZN155" s="3060"/>
      <c r="DZO155" s="3060"/>
      <c r="DZP155" s="3060"/>
      <c r="DZQ155" s="3060"/>
      <c r="DZR155" s="3060"/>
      <c r="DZS155" s="3060"/>
      <c r="DZT155" s="3060"/>
      <c r="DZU155" s="3060"/>
      <c r="DZV155" s="3060"/>
      <c r="DZW155" s="3060"/>
      <c r="DZX155" s="3060"/>
      <c r="DZY155" s="3060"/>
      <c r="DZZ155" s="3060"/>
      <c r="EAA155" s="3060"/>
      <c r="EAB155" s="3060"/>
      <c r="EAC155" s="3060"/>
      <c r="EAD155" s="3060"/>
      <c r="EAE155" s="3060"/>
      <c r="EAF155" s="3060"/>
      <c r="EAG155" s="3060"/>
      <c r="EAH155" s="3060"/>
      <c r="EAI155" s="3060"/>
      <c r="EAJ155" s="3060"/>
      <c r="EAK155" s="3060"/>
      <c r="EAL155" s="3060"/>
      <c r="EAM155" s="3060"/>
      <c r="EAN155" s="3060"/>
      <c r="EAO155" s="3060"/>
      <c r="EAP155" s="3060"/>
      <c r="EAQ155" s="3060"/>
      <c r="EAR155" s="3060"/>
      <c r="EAS155" s="3060"/>
      <c r="EAT155" s="3060"/>
      <c r="EAU155" s="3060"/>
      <c r="EAV155" s="3060"/>
      <c r="EAW155" s="3060"/>
      <c r="EAX155" s="3060"/>
      <c r="EAY155" s="3060"/>
      <c r="EAZ155" s="3060"/>
      <c r="EBA155" s="3060"/>
      <c r="EBB155" s="3060"/>
      <c r="EBC155" s="3060"/>
      <c r="EBD155" s="3060"/>
      <c r="EBE155" s="3060"/>
      <c r="EBF155" s="3060"/>
      <c r="EBG155" s="3060"/>
      <c r="EBH155" s="3060"/>
      <c r="EBI155" s="3060"/>
      <c r="EBJ155" s="3060"/>
      <c r="EBK155" s="3060"/>
      <c r="EBL155" s="3060"/>
      <c r="EBM155" s="3060"/>
      <c r="EBN155" s="3060"/>
      <c r="EBO155" s="3060"/>
      <c r="EBP155" s="3060"/>
      <c r="EBQ155" s="3060"/>
      <c r="EBR155" s="3060"/>
      <c r="EBS155" s="3060"/>
      <c r="EBT155" s="3060"/>
      <c r="EBU155" s="3060"/>
      <c r="EBV155" s="3060"/>
      <c r="EBW155" s="3060"/>
      <c r="EBX155" s="3060"/>
      <c r="EBY155" s="3060"/>
      <c r="EBZ155" s="3060"/>
      <c r="ECA155" s="3060"/>
      <c r="ECB155" s="3060"/>
      <c r="ECC155" s="3060"/>
      <c r="ECD155" s="3060"/>
      <c r="ECE155" s="3060"/>
      <c r="ECF155" s="3060"/>
      <c r="ECG155" s="3060"/>
      <c r="ECH155" s="3060"/>
      <c r="ECI155" s="3060"/>
      <c r="ECJ155" s="3060"/>
      <c r="ECK155" s="3060"/>
      <c r="ECL155" s="3060"/>
      <c r="ECM155" s="3060"/>
      <c r="ECN155" s="3060"/>
      <c r="ECO155" s="3060"/>
      <c r="ECP155" s="3060"/>
      <c r="ECQ155" s="3060"/>
      <c r="ECR155" s="3060"/>
      <c r="ECS155" s="3060"/>
      <c r="ECT155" s="3060"/>
      <c r="ECU155" s="3060"/>
      <c r="ECV155" s="3060"/>
      <c r="ECW155" s="3060"/>
      <c r="ECX155" s="3060"/>
      <c r="ECY155" s="3060"/>
      <c r="ECZ155" s="3060"/>
      <c r="EDA155" s="3060"/>
      <c r="EDB155" s="3060"/>
      <c r="EDC155" s="3060"/>
      <c r="EDD155" s="3060"/>
      <c r="EDE155" s="3060"/>
      <c r="EDF155" s="3060"/>
      <c r="EDG155" s="3060"/>
      <c r="EDH155" s="3060"/>
      <c r="EDI155" s="3060"/>
      <c r="EDJ155" s="3060"/>
      <c r="EDK155" s="3060"/>
      <c r="EDL155" s="3060"/>
      <c r="EDM155" s="3060"/>
      <c r="EDN155" s="3060"/>
      <c r="EDO155" s="3060"/>
      <c r="EDP155" s="3060"/>
      <c r="EDQ155" s="3060"/>
      <c r="EDR155" s="3060"/>
      <c r="EDS155" s="3060"/>
      <c r="EDT155" s="3060"/>
      <c r="EDU155" s="3060"/>
      <c r="EDV155" s="3060"/>
      <c r="EDW155" s="3060"/>
      <c r="EDX155" s="3060"/>
      <c r="EDY155" s="3060"/>
      <c r="EDZ155" s="3060"/>
      <c r="EEA155" s="3060"/>
      <c r="EEB155" s="3060"/>
      <c r="EEC155" s="3060"/>
      <c r="EED155" s="3060"/>
      <c r="EEE155" s="3060"/>
      <c r="EEF155" s="3060"/>
      <c r="EEG155" s="3060"/>
      <c r="EEH155" s="3060"/>
      <c r="EEI155" s="3060"/>
      <c r="EEJ155" s="3060"/>
      <c r="EEK155" s="3060"/>
      <c r="EEL155" s="3060"/>
      <c r="EEM155" s="3060"/>
      <c r="EEN155" s="3060"/>
      <c r="EEO155" s="3060"/>
      <c r="EEP155" s="3060"/>
      <c r="EEQ155" s="3060"/>
      <c r="EER155" s="3060"/>
      <c r="EES155" s="3060"/>
      <c r="EET155" s="3060"/>
      <c r="EEU155" s="3060"/>
      <c r="EEV155" s="3060"/>
      <c r="EEW155" s="3060"/>
      <c r="EEX155" s="3060"/>
      <c r="EEY155" s="3060"/>
      <c r="EEZ155" s="3060"/>
      <c r="EFA155" s="3060"/>
      <c r="EFB155" s="3060"/>
      <c r="EFC155" s="3060"/>
      <c r="EFD155" s="3060"/>
      <c r="EFE155" s="3060"/>
      <c r="EFF155" s="3060"/>
      <c r="EFG155" s="3060"/>
      <c r="EFH155" s="3060"/>
      <c r="EFI155" s="3060"/>
      <c r="EFJ155" s="3060"/>
      <c r="EFK155" s="3060"/>
      <c r="EFL155" s="3060"/>
      <c r="EFM155" s="3060"/>
      <c r="EFN155" s="3060"/>
      <c r="EFO155" s="3060"/>
      <c r="EFP155" s="3060"/>
      <c r="EFQ155" s="3060"/>
      <c r="EFR155" s="3060"/>
      <c r="EFS155" s="3060"/>
      <c r="EFT155" s="3060"/>
      <c r="EFU155" s="3060"/>
      <c r="EFV155" s="3060"/>
      <c r="EFW155" s="3060"/>
      <c r="EFX155" s="3060"/>
      <c r="EFY155" s="3060"/>
      <c r="EFZ155" s="3060"/>
      <c r="EGA155" s="3060"/>
      <c r="EGB155" s="3060"/>
      <c r="EGC155" s="3060"/>
      <c r="EGD155" s="3060"/>
      <c r="EGE155" s="3060"/>
      <c r="EGF155" s="3060"/>
      <c r="EGG155" s="3060"/>
      <c r="EGH155" s="3060"/>
      <c r="EGI155" s="3060"/>
      <c r="EGJ155" s="3060"/>
      <c r="EGK155" s="3060"/>
      <c r="EGL155" s="3060"/>
      <c r="EGM155" s="3060"/>
      <c r="EGN155" s="3060"/>
      <c r="EGO155" s="3060"/>
      <c r="EGP155" s="3060"/>
      <c r="EGQ155" s="3060"/>
      <c r="EGR155" s="3060"/>
      <c r="EGS155" s="3060"/>
      <c r="EGT155" s="3060"/>
      <c r="EGU155" s="3060"/>
      <c r="EGV155" s="3060"/>
      <c r="EGW155" s="3060"/>
      <c r="EGX155" s="3060"/>
      <c r="EGY155" s="3060"/>
      <c r="EGZ155" s="3060"/>
      <c r="EHA155" s="3060"/>
      <c r="EHB155" s="3060"/>
      <c r="EHC155" s="3060"/>
      <c r="EHD155" s="3060"/>
      <c r="EHE155" s="3060"/>
      <c r="EHF155" s="3060"/>
      <c r="EHG155" s="3060"/>
      <c r="EHH155" s="3060"/>
      <c r="EHI155" s="3060"/>
      <c r="EHJ155" s="3060"/>
      <c r="EHK155" s="3060"/>
      <c r="EHL155" s="3060"/>
      <c r="EHM155" s="3060"/>
      <c r="EHN155" s="3060"/>
      <c r="EHO155" s="3060"/>
      <c r="EHP155" s="3060"/>
      <c r="EHQ155" s="3060"/>
      <c r="EHR155" s="3060"/>
      <c r="EHS155" s="3060"/>
      <c r="EHT155" s="3060"/>
      <c r="EHU155" s="3060"/>
      <c r="EHV155" s="3060"/>
      <c r="EHW155" s="3060"/>
      <c r="EHX155" s="3060"/>
      <c r="EHY155" s="3060"/>
      <c r="EHZ155" s="3060"/>
      <c r="EIA155" s="3060"/>
      <c r="EIB155" s="3060"/>
      <c r="EIC155" s="3060"/>
      <c r="EID155" s="3060"/>
      <c r="EIE155" s="3060"/>
      <c r="EIF155" s="3060"/>
      <c r="EIG155" s="3060"/>
      <c r="EIH155" s="3060"/>
      <c r="EII155" s="3060"/>
      <c r="EIJ155" s="3060"/>
      <c r="EIK155" s="3060"/>
      <c r="EIL155" s="3060"/>
      <c r="EIM155" s="3060"/>
      <c r="EIN155" s="3060"/>
      <c r="EIO155" s="3060"/>
      <c r="EIP155" s="3060"/>
      <c r="EIQ155" s="3060"/>
      <c r="EIR155" s="3060"/>
      <c r="EIS155" s="3060"/>
      <c r="EIT155" s="3060"/>
      <c r="EIU155" s="3060"/>
      <c r="EIV155" s="3060"/>
      <c r="EIW155" s="3060"/>
      <c r="EIX155" s="3060"/>
      <c r="EIY155" s="3060"/>
      <c r="EIZ155" s="3060"/>
      <c r="EJA155" s="3060"/>
      <c r="EJB155" s="3060"/>
      <c r="EJC155" s="3060"/>
      <c r="EJD155" s="3060"/>
      <c r="EJE155" s="3060"/>
      <c r="EJF155" s="3060"/>
      <c r="EJG155" s="3060"/>
      <c r="EJH155" s="3060"/>
      <c r="EJI155" s="3060"/>
      <c r="EJJ155" s="3060"/>
      <c r="EJK155" s="3060"/>
      <c r="EJL155" s="3060"/>
      <c r="EJM155" s="3060"/>
      <c r="EJN155" s="3060"/>
      <c r="EJO155" s="3060"/>
      <c r="EJP155" s="3060"/>
      <c r="EJQ155" s="3060"/>
      <c r="EJR155" s="3060"/>
      <c r="EJS155" s="3060"/>
      <c r="EJT155" s="3060"/>
      <c r="EJU155" s="3060"/>
      <c r="EJV155" s="3060"/>
      <c r="EJW155" s="3060"/>
      <c r="EJX155" s="3060"/>
      <c r="EJY155" s="3060"/>
      <c r="EJZ155" s="3060"/>
      <c r="EKA155" s="3060"/>
      <c r="EKB155" s="3060"/>
      <c r="EKC155" s="3060"/>
      <c r="EKD155" s="3060"/>
      <c r="EKE155" s="3060"/>
      <c r="EKF155" s="3060"/>
      <c r="EKG155" s="3060"/>
      <c r="EKH155" s="3060"/>
      <c r="EKI155" s="3060"/>
      <c r="EKJ155" s="3060"/>
      <c r="EKK155" s="3060"/>
      <c r="EKL155" s="3060"/>
      <c r="EKM155" s="3060"/>
      <c r="EKN155" s="3060"/>
      <c r="EKO155" s="3060"/>
      <c r="EKP155" s="3060"/>
      <c r="EKQ155" s="3060"/>
      <c r="EKR155" s="3060"/>
      <c r="EKS155" s="3060"/>
      <c r="EKT155" s="3060"/>
      <c r="EKU155" s="3060"/>
      <c r="EKV155" s="3060"/>
      <c r="EKW155" s="3060"/>
      <c r="EKX155" s="3060"/>
      <c r="EKY155" s="3060"/>
      <c r="EKZ155" s="3060"/>
      <c r="ELA155" s="3060"/>
      <c r="ELB155" s="3060"/>
      <c r="ELC155" s="3060"/>
      <c r="ELD155" s="3060"/>
      <c r="ELE155" s="3060"/>
      <c r="ELF155" s="3060"/>
      <c r="ELG155" s="3060"/>
      <c r="ELH155" s="3060"/>
      <c r="ELI155" s="3060"/>
      <c r="ELJ155" s="3060"/>
      <c r="ELK155" s="3060"/>
      <c r="ELL155" s="3060"/>
      <c r="ELM155" s="3060"/>
      <c r="ELN155" s="3060"/>
      <c r="ELO155" s="3060"/>
      <c r="ELP155" s="3060"/>
      <c r="ELQ155" s="3060"/>
      <c r="ELR155" s="3060"/>
      <c r="ELS155" s="3060"/>
      <c r="ELT155" s="3060"/>
      <c r="ELU155" s="3060"/>
      <c r="ELV155" s="3060"/>
      <c r="ELW155" s="3060"/>
      <c r="ELX155" s="3060"/>
      <c r="ELY155" s="3060"/>
      <c r="ELZ155" s="3060"/>
      <c r="EMA155" s="3060"/>
      <c r="EMB155" s="3060"/>
      <c r="EMC155" s="3060"/>
      <c r="EMD155" s="3060"/>
      <c r="EME155" s="3060"/>
      <c r="EMF155" s="3060"/>
      <c r="EMG155" s="3060"/>
      <c r="EMH155" s="3060"/>
      <c r="EMI155" s="3060"/>
      <c r="EMJ155" s="3060"/>
      <c r="EMK155" s="3060"/>
      <c r="EML155" s="3060"/>
      <c r="EMM155" s="3060"/>
      <c r="EMN155" s="3060"/>
      <c r="EMO155" s="3060"/>
      <c r="EMP155" s="3060"/>
      <c r="EMQ155" s="3060"/>
      <c r="EMR155" s="3060"/>
      <c r="EMS155" s="3060"/>
      <c r="EMT155" s="3060"/>
      <c r="EMU155" s="3060"/>
      <c r="EMV155" s="3060"/>
      <c r="EMW155" s="3060"/>
      <c r="EMX155" s="3060"/>
      <c r="EMY155" s="3060"/>
      <c r="EMZ155" s="3060"/>
      <c r="ENA155" s="3060"/>
      <c r="ENB155" s="3060"/>
      <c r="ENC155" s="3060"/>
      <c r="END155" s="3060"/>
      <c r="ENE155" s="3060"/>
      <c r="ENF155" s="3060"/>
      <c r="ENG155" s="3060"/>
      <c r="ENH155" s="3060"/>
      <c r="ENI155" s="3060"/>
      <c r="ENJ155" s="3060"/>
      <c r="ENK155" s="3060"/>
      <c r="ENL155" s="3060"/>
      <c r="ENM155" s="3060"/>
      <c r="ENN155" s="3060"/>
      <c r="ENO155" s="3060"/>
      <c r="ENP155" s="3060"/>
      <c r="ENQ155" s="3060"/>
      <c r="ENR155" s="3060"/>
      <c r="ENS155" s="3060"/>
      <c r="ENT155" s="3060"/>
      <c r="ENU155" s="3060"/>
      <c r="ENV155" s="3060"/>
      <c r="ENW155" s="3060"/>
      <c r="ENX155" s="3060"/>
      <c r="ENY155" s="3060"/>
      <c r="ENZ155" s="3060"/>
      <c r="EOA155" s="3060"/>
      <c r="EOB155" s="3060"/>
      <c r="EOC155" s="3060"/>
      <c r="EOD155" s="3060"/>
      <c r="EOE155" s="3060"/>
      <c r="EOF155" s="3060"/>
      <c r="EOG155" s="3060"/>
      <c r="EOH155" s="3060"/>
      <c r="EOI155" s="3060"/>
      <c r="EOJ155" s="3060"/>
      <c r="EOK155" s="3060"/>
      <c r="EOL155" s="3060"/>
      <c r="EOM155" s="3060"/>
      <c r="EON155" s="3060"/>
      <c r="EOO155" s="3060"/>
      <c r="EOP155" s="3060"/>
      <c r="EOQ155" s="3060"/>
      <c r="EOR155" s="3060"/>
      <c r="EOS155" s="3060"/>
      <c r="EOT155" s="3060"/>
      <c r="EOU155" s="3060"/>
      <c r="EOV155" s="3060"/>
      <c r="EOW155" s="3060"/>
      <c r="EOX155" s="3060"/>
      <c r="EOY155" s="3060"/>
      <c r="EOZ155" s="3060"/>
      <c r="EPA155" s="3060"/>
      <c r="EPB155" s="3060"/>
      <c r="EPC155" s="3060"/>
      <c r="EPD155" s="3060"/>
      <c r="EPE155" s="3060"/>
      <c r="EPF155" s="3060"/>
      <c r="EPG155" s="3060"/>
      <c r="EPH155" s="3060"/>
      <c r="EPI155" s="3060"/>
      <c r="EPJ155" s="3060"/>
      <c r="EPK155" s="3060"/>
      <c r="EPL155" s="3060"/>
      <c r="EPM155" s="3060"/>
      <c r="EPN155" s="3060"/>
      <c r="EPO155" s="3060"/>
      <c r="EPP155" s="3060"/>
      <c r="EPQ155" s="3060"/>
      <c r="EPR155" s="3060"/>
      <c r="EPS155" s="3060"/>
      <c r="EPT155" s="3060"/>
      <c r="EPU155" s="3060"/>
      <c r="EPV155" s="3060"/>
      <c r="EPW155" s="3060"/>
      <c r="EPX155" s="3060"/>
      <c r="EPY155" s="3060"/>
      <c r="EPZ155" s="3060"/>
      <c r="EQA155" s="3060"/>
      <c r="EQB155" s="3060"/>
      <c r="EQC155" s="3060"/>
      <c r="EQD155" s="3060"/>
      <c r="EQE155" s="3060"/>
      <c r="EQF155" s="3060"/>
      <c r="EQG155" s="3060"/>
      <c r="EQH155" s="3060"/>
      <c r="EQI155" s="3060"/>
      <c r="EQJ155" s="3060"/>
      <c r="EQK155" s="3060"/>
      <c r="EQL155" s="3060"/>
      <c r="EQM155" s="3060"/>
      <c r="EQN155" s="3060"/>
      <c r="EQO155" s="3060"/>
      <c r="EQP155" s="3060"/>
      <c r="EQQ155" s="3060"/>
      <c r="EQR155" s="3060"/>
      <c r="EQS155" s="3060"/>
      <c r="EQT155" s="3060"/>
      <c r="EQU155" s="3060"/>
      <c r="EQV155" s="3060"/>
      <c r="EQW155" s="3060"/>
      <c r="EQX155" s="3060"/>
      <c r="EQY155" s="3060"/>
      <c r="EQZ155" s="3060"/>
      <c r="ERA155" s="3060"/>
      <c r="ERB155" s="3060"/>
      <c r="ERC155" s="3060"/>
      <c r="ERD155" s="3060"/>
      <c r="ERE155" s="3060"/>
      <c r="ERF155" s="3060"/>
      <c r="ERG155" s="3060"/>
      <c r="ERH155" s="3060"/>
      <c r="ERI155" s="3060"/>
      <c r="ERJ155" s="3060"/>
      <c r="ERK155" s="3060"/>
      <c r="ERL155" s="3060"/>
      <c r="ERM155" s="3060"/>
      <c r="ERN155" s="3060"/>
      <c r="ERO155" s="3060"/>
      <c r="ERP155" s="3060"/>
      <c r="ERQ155" s="3060"/>
      <c r="ERR155" s="3060"/>
      <c r="ERS155" s="3060"/>
      <c r="ERT155" s="3060"/>
      <c r="ERU155" s="3060"/>
      <c r="ERV155" s="3060"/>
      <c r="ERW155" s="3060"/>
      <c r="ERX155" s="3060"/>
      <c r="ERY155" s="3060"/>
      <c r="ERZ155" s="3060"/>
      <c r="ESA155" s="3060"/>
      <c r="ESB155" s="3060"/>
      <c r="ESC155" s="3060"/>
      <c r="ESD155" s="3060"/>
      <c r="ESE155" s="3060"/>
      <c r="ESF155" s="3060"/>
      <c r="ESG155" s="3060"/>
      <c r="ESH155" s="3060"/>
      <c r="ESI155" s="3060"/>
      <c r="ESJ155" s="3060"/>
      <c r="ESK155" s="3060"/>
      <c r="ESL155" s="3060"/>
      <c r="ESM155" s="3060"/>
      <c r="ESN155" s="3060"/>
      <c r="ESO155" s="3060"/>
      <c r="ESP155" s="3060"/>
      <c r="ESQ155" s="3060"/>
      <c r="ESR155" s="3060"/>
      <c r="ESS155" s="3060"/>
      <c r="EST155" s="3060"/>
      <c r="ESU155" s="3060"/>
      <c r="ESV155" s="3060"/>
      <c r="ESW155" s="3060"/>
      <c r="ESX155" s="3060"/>
      <c r="ESY155" s="3060"/>
      <c r="ESZ155" s="3060"/>
      <c r="ETA155" s="3060"/>
      <c r="ETB155" s="3060"/>
      <c r="ETC155" s="3060"/>
      <c r="ETD155" s="3060"/>
      <c r="ETE155" s="3060"/>
      <c r="ETF155" s="3060"/>
      <c r="ETG155" s="3060"/>
      <c r="ETH155" s="3060"/>
      <c r="ETI155" s="3060"/>
      <c r="ETJ155" s="3060"/>
      <c r="ETK155" s="3060"/>
      <c r="ETL155" s="3060"/>
      <c r="ETM155" s="3060"/>
      <c r="ETN155" s="3060"/>
      <c r="ETO155" s="3060"/>
      <c r="ETP155" s="3060"/>
      <c r="ETQ155" s="3060"/>
      <c r="ETR155" s="3060"/>
      <c r="ETS155" s="3060"/>
      <c r="ETT155" s="3060"/>
      <c r="ETU155" s="3060"/>
      <c r="ETV155" s="3060"/>
      <c r="ETW155" s="3060"/>
      <c r="ETX155" s="3060"/>
      <c r="ETY155" s="3060"/>
      <c r="ETZ155" s="3060"/>
      <c r="EUA155" s="3060"/>
      <c r="EUB155" s="3060"/>
      <c r="EUC155" s="3060"/>
      <c r="EUD155" s="3060"/>
      <c r="EUE155" s="3060"/>
      <c r="EUF155" s="3060"/>
      <c r="EUG155" s="3060"/>
      <c r="EUH155" s="3060"/>
      <c r="EUI155" s="3060"/>
      <c r="EUJ155" s="3060"/>
      <c r="EUK155" s="3060"/>
      <c r="EUL155" s="3060"/>
      <c r="EUM155" s="3060"/>
      <c r="EUN155" s="3060"/>
      <c r="EUO155" s="3060"/>
      <c r="EUP155" s="3060"/>
      <c r="EUQ155" s="3060"/>
      <c r="EUR155" s="3060"/>
      <c r="EUS155" s="3060"/>
      <c r="EUT155" s="3060"/>
      <c r="EUU155" s="3060"/>
      <c r="EUV155" s="3060"/>
      <c r="EUW155" s="3060"/>
      <c r="EUX155" s="3060"/>
      <c r="EUY155" s="3060"/>
      <c r="EUZ155" s="3060"/>
      <c r="EVA155" s="3060"/>
      <c r="EVB155" s="3060"/>
      <c r="EVC155" s="3060"/>
      <c r="EVD155" s="3060"/>
      <c r="EVE155" s="3060"/>
      <c r="EVF155" s="3060"/>
      <c r="EVG155" s="3060"/>
      <c r="EVH155" s="3060"/>
      <c r="EVI155" s="3060"/>
      <c r="EVJ155" s="3060"/>
      <c r="EVK155" s="3060"/>
      <c r="EVL155" s="3060"/>
      <c r="EVM155" s="3060"/>
      <c r="EVN155" s="3060"/>
      <c r="EVO155" s="3060"/>
      <c r="EVP155" s="3060"/>
      <c r="EVQ155" s="3060"/>
      <c r="EVR155" s="3060"/>
      <c r="EVS155" s="3060"/>
      <c r="EVT155" s="3060"/>
      <c r="EVU155" s="3060"/>
      <c r="EVV155" s="3060"/>
      <c r="EVW155" s="3060"/>
      <c r="EVX155" s="3060"/>
      <c r="EVY155" s="3060"/>
      <c r="EVZ155" s="3060"/>
      <c r="EWA155" s="3060"/>
      <c r="EWB155" s="3060"/>
      <c r="EWC155" s="3060"/>
      <c r="EWD155" s="3060"/>
      <c r="EWE155" s="3060"/>
      <c r="EWF155" s="3060"/>
      <c r="EWG155" s="3060"/>
      <c r="EWH155" s="3060"/>
      <c r="EWI155" s="3060"/>
      <c r="EWJ155" s="3060"/>
      <c r="EWK155" s="3060"/>
      <c r="EWL155" s="3060"/>
      <c r="EWM155" s="3060"/>
      <c r="EWN155" s="3060"/>
      <c r="EWO155" s="3060"/>
      <c r="EWP155" s="3060"/>
      <c r="EWQ155" s="3060"/>
      <c r="EWR155" s="3060"/>
      <c r="EWS155" s="3060"/>
      <c r="EWT155" s="3060"/>
      <c r="EWU155" s="3060"/>
      <c r="EWV155" s="3060"/>
      <c r="EWW155" s="3060"/>
      <c r="EWX155" s="3060"/>
      <c r="EWY155" s="3060"/>
      <c r="EWZ155" s="3060"/>
      <c r="EXA155" s="3060"/>
      <c r="EXB155" s="3060"/>
      <c r="EXC155" s="3060"/>
      <c r="EXD155" s="3060"/>
      <c r="EXE155" s="3060"/>
      <c r="EXF155" s="3060"/>
      <c r="EXG155" s="3060"/>
      <c r="EXH155" s="3060"/>
      <c r="EXI155" s="3060"/>
      <c r="EXJ155" s="3060"/>
      <c r="EXK155" s="3060"/>
      <c r="EXL155" s="3060"/>
      <c r="EXM155" s="3060"/>
      <c r="EXN155" s="3060"/>
      <c r="EXO155" s="3060"/>
      <c r="EXP155" s="3060"/>
      <c r="EXQ155" s="3060"/>
      <c r="EXR155" s="3060"/>
      <c r="EXS155" s="3060"/>
      <c r="EXT155" s="3060"/>
      <c r="EXU155" s="3060"/>
      <c r="EXV155" s="3060"/>
      <c r="EXW155" s="3060"/>
      <c r="EXX155" s="3060"/>
      <c r="EXY155" s="3060"/>
      <c r="EXZ155" s="3060"/>
      <c r="EYA155" s="3060"/>
      <c r="EYB155" s="3060"/>
      <c r="EYC155" s="3060"/>
      <c r="EYD155" s="3060"/>
      <c r="EYE155" s="3060"/>
      <c r="EYF155" s="3060"/>
      <c r="EYG155" s="3060"/>
      <c r="EYH155" s="3060"/>
      <c r="EYI155" s="3060"/>
      <c r="EYJ155" s="3060"/>
      <c r="EYK155" s="3060"/>
      <c r="EYL155" s="3060"/>
      <c r="EYM155" s="3060"/>
      <c r="EYN155" s="3060"/>
      <c r="EYO155" s="3060"/>
      <c r="EYP155" s="3060"/>
      <c r="EYQ155" s="3060"/>
      <c r="EYR155" s="3060"/>
      <c r="EYS155" s="3060"/>
      <c r="EYT155" s="3060"/>
      <c r="EYU155" s="3060"/>
      <c r="EYV155" s="3060"/>
      <c r="EYW155" s="3060"/>
      <c r="EYX155" s="3060"/>
      <c r="EYY155" s="3060"/>
      <c r="EYZ155" s="3060"/>
      <c r="EZA155" s="3060"/>
      <c r="EZB155" s="3060"/>
      <c r="EZC155" s="3060"/>
      <c r="EZD155" s="3060"/>
      <c r="EZE155" s="3060"/>
      <c r="EZF155" s="3060"/>
      <c r="EZG155" s="3060"/>
      <c r="EZH155" s="3060"/>
      <c r="EZI155" s="3060"/>
      <c r="EZJ155" s="3060"/>
      <c r="EZK155" s="3060"/>
      <c r="EZL155" s="3060"/>
      <c r="EZM155" s="3060"/>
      <c r="EZN155" s="3060"/>
      <c r="EZO155" s="3060"/>
      <c r="EZP155" s="3060"/>
      <c r="EZQ155" s="3060"/>
      <c r="EZR155" s="3060"/>
      <c r="EZS155" s="3060"/>
      <c r="EZT155" s="3060"/>
      <c r="EZU155" s="3060"/>
      <c r="EZV155" s="3060"/>
      <c r="EZW155" s="3060"/>
      <c r="EZX155" s="3060"/>
      <c r="EZY155" s="3060"/>
      <c r="EZZ155" s="3060"/>
      <c r="FAA155" s="3060"/>
      <c r="FAB155" s="3060"/>
      <c r="FAC155" s="3060"/>
      <c r="FAD155" s="3060"/>
      <c r="FAE155" s="3060"/>
      <c r="FAF155" s="3060"/>
      <c r="FAG155" s="3060"/>
      <c r="FAH155" s="3060"/>
      <c r="FAI155" s="3060"/>
      <c r="FAJ155" s="3060"/>
      <c r="FAK155" s="3060"/>
      <c r="FAL155" s="3060"/>
      <c r="FAM155" s="3060"/>
      <c r="FAN155" s="3060"/>
      <c r="FAO155" s="3060"/>
      <c r="FAP155" s="3060"/>
      <c r="FAQ155" s="3060"/>
      <c r="FAR155" s="3060"/>
      <c r="FAS155" s="3060"/>
      <c r="FAT155" s="3060"/>
      <c r="FAU155" s="3060"/>
      <c r="FAV155" s="3060"/>
      <c r="FAW155" s="3060"/>
      <c r="FAX155" s="3060"/>
      <c r="FAY155" s="3060"/>
      <c r="FAZ155" s="3060"/>
      <c r="FBA155" s="3060"/>
      <c r="FBB155" s="3060"/>
      <c r="FBC155" s="3060"/>
      <c r="FBD155" s="3060"/>
      <c r="FBE155" s="3060"/>
      <c r="FBF155" s="3060"/>
      <c r="FBG155" s="3060"/>
      <c r="FBH155" s="3060"/>
      <c r="FBI155" s="3060"/>
      <c r="FBJ155" s="3060"/>
      <c r="FBK155" s="3060"/>
      <c r="FBL155" s="3060"/>
      <c r="FBM155" s="3060"/>
      <c r="FBN155" s="3060"/>
      <c r="FBO155" s="3060"/>
      <c r="FBP155" s="3060"/>
      <c r="FBQ155" s="3060"/>
      <c r="FBR155" s="3060"/>
      <c r="FBS155" s="3060"/>
      <c r="FBT155" s="3060"/>
      <c r="FBU155" s="3060"/>
      <c r="FBV155" s="3060"/>
      <c r="FBW155" s="3060"/>
      <c r="FBX155" s="3060"/>
      <c r="FBY155" s="3060"/>
      <c r="FBZ155" s="3060"/>
      <c r="FCA155" s="3060"/>
      <c r="FCB155" s="3060"/>
      <c r="FCC155" s="3060"/>
      <c r="FCD155" s="3060"/>
      <c r="FCE155" s="3060"/>
      <c r="FCF155" s="3060"/>
      <c r="FCG155" s="3060"/>
      <c r="FCH155" s="3060"/>
      <c r="FCI155" s="3060"/>
      <c r="FCJ155" s="3060"/>
      <c r="FCK155" s="3060"/>
      <c r="FCL155" s="3060"/>
      <c r="FCM155" s="3060"/>
      <c r="FCN155" s="3060"/>
      <c r="FCO155" s="3060"/>
      <c r="FCP155" s="3060"/>
      <c r="FCQ155" s="3060"/>
      <c r="FCR155" s="3060"/>
      <c r="FCS155" s="3060"/>
      <c r="FCT155" s="3060"/>
      <c r="FCU155" s="3060"/>
      <c r="FCV155" s="3060"/>
      <c r="FCW155" s="3060"/>
      <c r="FCX155" s="3060"/>
      <c r="FCY155" s="3060"/>
      <c r="FCZ155" s="3060"/>
      <c r="FDA155" s="3060"/>
      <c r="FDB155" s="3060"/>
      <c r="FDC155" s="3060"/>
      <c r="FDD155" s="3060"/>
      <c r="FDE155" s="3060"/>
      <c r="FDF155" s="3060"/>
      <c r="FDG155" s="3060"/>
      <c r="FDH155" s="3060"/>
      <c r="FDI155" s="3060"/>
      <c r="FDJ155" s="3060"/>
      <c r="FDK155" s="3060"/>
      <c r="FDL155" s="3060"/>
      <c r="FDM155" s="3060"/>
      <c r="FDN155" s="3060"/>
      <c r="FDO155" s="3060"/>
      <c r="FDP155" s="3060"/>
      <c r="FDQ155" s="3060"/>
      <c r="FDR155" s="3060"/>
      <c r="FDS155" s="3060"/>
      <c r="FDT155" s="3060"/>
      <c r="FDU155" s="3060"/>
      <c r="FDV155" s="3060"/>
      <c r="FDW155" s="3060"/>
      <c r="FDX155" s="3060"/>
      <c r="FDY155" s="3060"/>
      <c r="FDZ155" s="3060"/>
      <c r="FEA155" s="3060"/>
      <c r="FEB155" s="3060"/>
      <c r="FEC155" s="3060"/>
      <c r="FED155" s="3060"/>
      <c r="FEE155" s="3060"/>
      <c r="FEF155" s="3060"/>
      <c r="FEG155" s="3060"/>
      <c r="FEH155" s="3060"/>
      <c r="FEI155" s="3060"/>
      <c r="FEJ155" s="3060"/>
      <c r="FEK155" s="3060"/>
      <c r="FEL155" s="3060"/>
      <c r="FEM155" s="3060"/>
      <c r="FEN155" s="3060"/>
      <c r="FEO155" s="3060"/>
      <c r="FEP155" s="3060"/>
      <c r="FEQ155" s="3060"/>
      <c r="FER155" s="3060"/>
      <c r="FES155" s="3060"/>
      <c r="FET155" s="3060"/>
      <c r="FEU155" s="3060"/>
      <c r="FEV155" s="3060"/>
      <c r="FEW155" s="3060"/>
      <c r="FEX155" s="3060"/>
      <c r="FEY155" s="3060"/>
      <c r="FEZ155" s="3060"/>
      <c r="FFA155" s="3060"/>
      <c r="FFB155" s="3060"/>
      <c r="FFC155" s="3060"/>
      <c r="FFD155" s="3060"/>
      <c r="FFE155" s="3060"/>
      <c r="FFF155" s="3060"/>
      <c r="FFG155" s="3060"/>
      <c r="FFH155" s="3060"/>
      <c r="FFI155" s="3060"/>
      <c r="FFJ155" s="3060"/>
      <c r="FFK155" s="3060"/>
      <c r="FFL155" s="3060"/>
      <c r="FFM155" s="3060"/>
      <c r="FFN155" s="3060"/>
      <c r="FFO155" s="3060"/>
      <c r="FFP155" s="3060"/>
      <c r="FFQ155" s="3060"/>
      <c r="FFR155" s="3060"/>
      <c r="FFS155" s="3060"/>
      <c r="FFT155" s="3060"/>
      <c r="FFU155" s="3060"/>
      <c r="FFV155" s="3060"/>
      <c r="FFW155" s="3060"/>
      <c r="FFX155" s="3060"/>
      <c r="FFY155" s="3060"/>
      <c r="FFZ155" s="3060"/>
      <c r="FGA155" s="3060"/>
      <c r="FGB155" s="3060"/>
      <c r="FGC155" s="3060"/>
      <c r="FGD155" s="3060"/>
      <c r="FGE155" s="3060"/>
      <c r="FGF155" s="3060"/>
      <c r="FGG155" s="3060"/>
      <c r="FGH155" s="3060"/>
      <c r="FGI155" s="3060"/>
      <c r="FGJ155" s="3060"/>
      <c r="FGK155" s="3060"/>
      <c r="FGL155" s="3060"/>
      <c r="FGM155" s="3060"/>
      <c r="FGN155" s="3060"/>
      <c r="FGO155" s="3060"/>
      <c r="FGP155" s="3060"/>
      <c r="FGQ155" s="3060"/>
      <c r="FGR155" s="3060"/>
      <c r="FGS155" s="3060"/>
      <c r="FGT155" s="3060"/>
      <c r="FGU155" s="3060"/>
      <c r="FGV155" s="3060"/>
      <c r="FGW155" s="3060"/>
      <c r="FGX155" s="3060"/>
      <c r="FGY155" s="3060"/>
      <c r="FGZ155" s="3060"/>
      <c r="FHA155" s="3060"/>
      <c r="FHB155" s="3060"/>
      <c r="FHC155" s="3060"/>
      <c r="FHD155" s="3060"/>
      <c r="FHE155" s="3060"/>
      <c r="FHF155" s="3060"/>
      <c r="FHG155" s="3060"/>
      <c r="FHH155" s="3060"/>
      <c r="FHI155" s="3060"/>
      <c r="FHJ155" s="3060"/>
      <c r="FHK155" s="3060"/>
      <c r="FHL155" s="3060"/>
      <c r="FHM155" s="3060"/>
      <c r="FHN155" s="3060"/>
      <c r="FHO155" s="3060"/>
      <c r="FHP155" s="3060"/>
      <c r="FHQ155" s="3060"/>
      <c r="FHR155" s="3060"/>
      <c r="FHS155" s="3060"/>
      <c r="FHT155" s="3060"/>
      <c r="FHU155" s="3060"/>
      <c r="FHV155" s="3060"/>
      <c r="FHW155" s="3060"/>
      <c r="FHX155" s="3060"/>
      <c r="FHY155" s="3060"/>
      <c r="FHZ155" s="3060"/>
      <c r="FIA155" s="3060"/>
      <c r="FIB155" s="3060"/>
      <c r="FIC155" s="3060"/>
      <c r="FID155" s="3060"/>
      <c r="FIE155" s="3060"/>
      <c r="FIF155" s="3060"/>
      <c r="FIG155" s="3060"/>
      <c r="FIH155" s="3060"/>
      <c r="FII155" s="3060"/>
      <c r="FIJ155" s="3060"/>
      <c r="FIK155" s="3060"/>
      <c r="FIL155" s="3060"/>
      <c r="FIM155" s="3060"/>
      <c r="FIN155" s="3060"/>
      <c r="FIO155" s="3060"/>
      <c r="FIP155" s="3060"/>
      <c r="FIQ155" s="3060"/>
      <c r="FIR155" s="3060"/>
      <c r="FIS155" s="3060"/>
      <c r="FIT155" s="3060"/>
      <c r="FIU155" s="3060"/>
      <c r="FIV155" s="3060"/>
      <c r="FIW155" s="3060"/>
      <c r="FIX155" s="3060"/>
      <c r="FIY155" s="3060"/>
      <c r="FIZ155" s="3060"/>
      <c r="FJA155" s="3060"/>
      <c r="FJB155" s="3060"/>
      <c r="FJC155" s="3060"/>
      <c r="FJD155" s="3060"/>
      <c r="FJE155" s="3060"/>
      <c r="FJF155" s="3060"/>
      <c r="FJG155" s="3060"/>
      <c r="FJH155" s="3060"/>
      <c r="FJI155" s="3060"/>
      <c r="FJJ155" s="3060"/>
      <c r="FJK155" s="3060"/>
      <c r="FJL155" s="3060"/>
      <c r="FJM155" s="3060"/>
      <c r="FJN155" s="3060"/>
      <c r="FJO155" s="3060"/>
      <c r="FJP155" s="3060"/>
      <c r="FJQ155" s="3060"/>
      <c r="FJR155" s="3060"/>
      <c r="FJS155" s="3060"/>
      <c r="FJT155" s="3060"/>
      <c r="FJU155" s="3060"/>
      <c r="FJV155" s="3060"/>
      <c r="FJW155" s="3060"/>
      <c r="FJX155" s="3060"/>
      <c r="FJY155" s="3060"/>
      <c r="FJZ155" s="3060"/>
      <c r="FKA155" s="3060"/>
      <c r="FKB155" s="3060"/>
      <c r="FKC155" s="3060"/>
      <c r="FKD155" s="3060"/>
      <c r="FKE155" s="3060"/>
      <c r="FKF155" s="3060"/>
      <c r="FKG155" s="3060"/>
      <c r="FKH155" s="3060"/>
      <c r="FKI155" s="3060"/>
      <c r="FKJ155" s="3060"/>
      <c r="FKK155" s="3060"/>
      <c r="FKL155" s="3060"/>
      <c r="FKM155" s="3060"/>
      <c r="FKN155" s="3060"/>
      <c r="FKO155" s="3060"/>
      <c r="FKP155" s="3060"/>
      <c r="FKQ155" s="3060"/>
      <c r="FKR155" s="3060"/>
      <c r="FKS155" s="3060"/>
      <c r="FKT155" s="3060"/>
      <c r="FKU155" s="3060"/>
      <c r="FKV155" s="3060"/>
      <c r="FKW155" s="3060"/>
      <c r="FKX155" s="3060"/>
      <c r="FKY155" s="3060"/>
      <c r="FKZ155" s="3060"/>
      <c r="FLA155" s="3060"/>
      <c r="FLB155" s="3060"/>
      <c r="FLC155" s="3060"/>
      <c r="FLD155" s="3060"/>
      <c r="FLE155" s="3060"/>
      <c r="FLF155" s="3060"/>
      <c r="FLG155" s="3060"/>
      <c r="FLH155" s="3060"/>
      <c r="FLI155" s="3060"/>
      <c r="FLJ155" s="3060"/>
      <c r="FLK155" s="3060"/>
      <c r="FLL155" s="3060"/>
      <c r="FLM155" s="3060"/>
      <c r="FLN155" s="3060"/>
      <c r="FLO155" s="3060"/>
      <c r="FLP155" s="3060"/>
      <c r="FLQ155" s="3060"/>
      <c r="FLR155" s="3060"/>
      <c r="FLS155" s="3060"/>
      <c r="FLT155" s="3060"/>
      <c r="FLU155" s="3060"/>
      <c r="FLV155" s="3060"/>
      <c r="FLW155" s="3060"/>
      <c r="FLX155" s="3060"/>
      <c r="FLY155" s="3060"/>
      <c r="FLZ155" s="3060"/>
      <c r="FMA155" s="3060"/>
      <c r="FMB155" s="3060"/>
      <c r="FMC155" s="3060"/>
      <c r="FMD155" s="3060"/>
      <c r="FME155" s="3060"/>
      <c r="FMF155" s="3060"/>
      <c r="FMG155" s="3060"/>
      <c r="FMH155" s="3060"/>
      <c r="FMI155" s="3060"/>
      <c r="FMJ155" s="3060"/>
      <c r="FMK155" s="3060"/>
      <c r="FML155" s="3060"/>
      <c r="FMM155" s="3060"/>
      <c r="FMN155" s="3060"/>
      <c r="FMO155" s="3060"/>
      <c r="FMP155" s="3060"/>
      <c r="FMQ155" s="3060"/>
      <c r="FMR155" s="3060"/>
      <c r="FMS155" s="3060"/>
      <c r="FMT155" s="3060"/>
      <c r="FMU155" s="3060"/>
      <c r="FMV155" s="3060"/>
      <c r="FMW155" s="3060"/>
      <c r="FMX155" s="3060"/>
      <c r="FMY155" s="3060"/>
      <c r="FMZ155" s="3060"/>
      <c r="FNA155" s="3060"/>
      <c r="FNB155" s="3060"/>
      <c r="FNC155" s="3060"/>
      <c r="FND155" s="3060"/>
      <c r="FNE155" s="3060"/>
      <c r="FNF155" s="3060"/>
      <c r="FNG155" s="3060"/>
      <c r="FNH155" s="3060"/>
      <c r="FNI155" s="3060"/>
      <c r="FNJ155" s="3060"/>
      <c r="FNK155" s="3060"/>
      <c r="FNL155" s="3060"/>
      <c r="FNM155" s="3060"/>
      <c r="FNN155" s="3060"/>
      <c r="FNO155" s="3060"/>
      <c r="FNP155" s="3060"/>
      <c r="FNQ155" s="3060"/>
      <c r="FNR155" s="3060"/>
      <c r="FNS155" s="3060"/>
      <c r="FNT155" s="3060"/>
      <c r="FNU155" s="3060"/>
      <c r="FNV155" s="3060"/>
      <c r="FNW155" s="3060"/>
      <c r="FNX155" s="3060"/>
      <c r="FNY155" s="3060"/>
      <c r="FNZ155" s="3060"/>
      <c r="FOA155" s="3060"/>
      <c r="FOB155" s="3060"/>
      <c r="FOC155" s="3060"/>
      <c r="FOD155" s="3060"/>
      <c r="FOE155" s="3060"/>
      <c r="FOF155" s="3060"/>
      <c r="FOG155" s="3060"/>
      <c r="FOH155" s="3060"/>
      <c r="FOI155" s="3060"/>
      <c r="FOJ155" s="3060"/>
      <c r="FOK155" s="3060"/>
      <c r="FOL155" s="3060"/>
      <c r="FOM155" s="3060"/>
      <c r="FON155" s="3060"/>
      <c r="FOO155" s="3060"/>
      <c r="FOP155" s="3060"/>
      <c r="FOQ155" s="3060"/>
      <c r="FOR155" s="3060"/>
      <c r="FOS155" s="3060"/>
      <c r="FOT155" s="3060"/>
      <c r="FOU155" s="3060"/>
      <c r="FOV155" s="3060"/>
      <c r="FOW155" s="3060"/>
      <c r="FOX155" s="3060"/>
      <c r="FOY155" s="3060"/>
      <c r="FOZ155" s="3060"/>
      <c r="FPA155" s="3060"/>
      <c r="FPB155" s="3060"/>
      <c r="FPC155" s="3060"/>
      <c r="FPD155" s="3060"/>
      <c r="FPE155" s="3060"/>
      <c r="FPF155" s="3060"/>
      <c r="FPG155" s="3060"/>
      <c r="FPH155" s="3060"/>
      <c r="FPI155" s="3060"/>
      <c r="FPJ155" s="3060"/>
      <c r="FPK155" s="3060"/>
      <c r="FPL155" s="3060"/>
      <c r="FPM155" s="3060"/>
      <c r="FPN155" s="3060"/>
      <c r="FPO155" s="3060"/>
      <c r="FPP155" s="3060"/>
      <c r="FPQ155" s="3060"/>
      <c r="FPR155" s="3060"/>
      <c r="FPS155" s="3060"/>
      <c r="FPT155" s="3060"/>
      <c r="FPU155" s="3060"/>
      <c r="FPV155" s="3060"/>
      <c r="FPW155" s="3060"/>
      <c r="FPX155" s="3060"/>
      <c r="FPY155" s="3060"/>
      <c r="FPZ155" s="3060"/>
      <c r="FQA155" s="3060"/>
      <c r="FQB155" s="3060"/>
      <c r="FQC155" s="3060"/>
      <c r="FQD155" s="3060"/>
      <c r="FQE155" s="3060"/>
      <c r="FQF155" s="3060"/>
      <c r="FQG155" s="3060"/>
      <c r="FQH155" s="3060"/>
      <c r="FQI155" s="3060"/>
      <c r="FQJ155" s="3060"/>
      <c r="FQK155" s="3060"/>
      <c r="FQL155" s="3060"/>
      <c r="FQM155" s="3060"/>
      <c r="FQN155" s="3060"/>
      <c r="FQO155" s="3060"/>
      <c r="FQP155" s="3060"/>
      <c r="FQQ155" s="3060"/>
      <c r="FQR155" s="3060"/>
      <c r="FQS155" s="3060"/>
      <c r="FQT155" s="3060"/>
      <c r="FQU155" s="3060"/>
      <c r="FQV155" s="3060"/>
      <c r="FQW155" s="3060"/>
      <c r="FQX155" s="3060"/>
      <c r="FQY155" s="3060"/>
      <c r="FQZ155" s="3060"/>
      <c r="FRA155" s="3060"/>
      <c r="FRB155" s="3060"/>
      <c r="FRC155" s="3060"/>
      <c r="FRD155" s="3060"/>
      <c r="FRE155" s="3060"/>
      <c r="FRF155" s="3060"/>
      <c r="FRG155" s="3060"/>
      <c r="FRH155" s="3060"/>
      <c r="FRI155" s="3060"/>
      <c r="FRJ155" s="3060"/>
      <c r="FRK155" s="3060"/>
      <c r="FRL155" s="3060"/>
      <c r="FRM155" s="3060"/>
      <c r="FRN155" s="3060"/>
      <c r="FRO155" s="3060"/>
      <c r="FRP155" s="3060"/>
      <c r="FRQ155" s="3060"/>
      <c r="FRR155" s="3060"/>
      <c r="FRS155" s="3060"/>
      <c r="FRT155" s="3060"/>
      <c r="FRU155" s="3060"/>
      <c r="FRV155" s="3060"/>
      <c r="FRW155" s="3060"/>
      <c r="FRX155" s="3060"/>
      <c r="FRY155" s="3060"/>
      <c r="FRZ155" s="3060"/>
      <c r="FSA155" s="3060"/>
      <c r="FSB155" s="3060"/>
      <c r="FSC155" s="3060"/>
      <c r="FSD155" s="3060"/>
      <c r="FSE155" s="3060"/>
      <c r="FSF155" s="3060"/>
      <c r="FSG155" s="3060"/>
      <c r="FSH155" s="3060"/>
      <c r="FSI155" s="3060"/>
      <c r="FSJ155" s="3060"/>
      <c r="FSK155" s="3060"/>
      <c r="FSL155" s="3060"/>
      <c r="FSM155" s="3060"/>
      <c r="FSN155" s="3060"/>
      <c r="FSO155" s="3060"/>
      <c r="FSP155" s="3060"/>
      <c r="FSQ155" s="3060"/>
      <c r="FSR155" s="3060"/>
      <c r="FSS155" s="3060"/>
      <c r="FST155" s="3060"/>
      <c r="FSU155" s="3060"/>
      <c r="FSV155" s="3060"/>
      <c r="FSW155" s="3060"/>
      <c r="FSX155" s="3060"/>
      <c r="FSY155" s="3060"/>
      <c r="FSZ155" s="3060"/>
      <c r="FTA155" s="3060"/>
      <c r="FTB155" s="3060"/>
      <c r="FTC155" s="3060"/>
      <c r="FTD155" s="3060"/>
      <c r="FTE155" s="3060"/>
      <c r="FTF155" s="3060"/>
      <c r="FTG155" s="3060"/>
      <c r="FTH155" s="3060"/>
      <c r="FTI155" s="3060"/>
      <c r="FTJ155" s="3060"/>
      <c r="FTK155" s="3060"/>
      <c r="FTL155" s="3060"/>
      <c r="FTM155" s="3060"/>
      <c r="FTN155" s="3060"/>
      <c r="FTO155" s="3060"/>
      <c r="FTP155" s="3060"/>
      <c r="FTQ155" s="3060"/>
      <c r="FTR155" s="3060"/>
      <c r="FTS155" s="3060"/>
      <c r="FTT155" s="3060"/>
      <c r="FTU155" s="3060"/>
      <c r="FTV155" s="3060"/>
      <c r="FTW155" s="3060"/>
      <c r="FTX155" s="3060"/>
      <c r="FTY155" s="3060"/>
      <c r="FTZ155" s="3060"/>
      <c r="FUA155" s="3060"/>
      <c r="FUB155" s="3060"/>
      <c r="FUC155" s="3060"/>
      <c r="FUD155" s="3060"/>
      <c r="FUE155" s="3060"/>
      <c r="FUF155" s="3060"/>
      <c r="FUG155" s="3060"/>
      <c r="FUH155" s="3060"/>
      <c r="FUI155" s="3060"/>
      <c r="FUJ155" s="3060"/>
      <c r="FUK155" s="3060"/>
      <c r="FUL155" s="3060"/>
      <c r="FUM155" s="3060"/>
      <c r="FUN155" s="3060"/>
      <c r="FUO155" s="3060"/>
      <c r="FUP155" s="3060"/>
      <c r="FUQ155" s="3060"/>
      <c r="FUR155" s="3060"/>
      <c r="FUS155" s="3060"/>
      <c r="FUT155" s="3060"/>
      <c r="FUU155" s="3060"/>
      <c r="FUV155" s="3060"/>
      <c r="FUW155" s="3060"/>
      <c r="FUX155" s="3060"/>
      <c r="FUY155" s="3060"/>
      <c r="FUZ155" s="3060"/>
      <c r="FVA155" s="3060"/>
      <c r="FVB155" s="3060"/>
      <c r="FVC155" s="3060"/>
      <c r="FVD155" s="3060"/>
      <c r="FVE155" s="3060"/>
      <c r="FVF155" s="3060"/>
      <c r="FVG155" s="3060"/>
      <c r="FVH155" s="3060"/>
      <c r="FVI155" s="3060"/>
      <c r="FVJ155" s="3060"/>
      <c r="FVK155" s="3060"/>
      <c r="FVL155" s="3060"/>
      <c r="FVM155" s="3060"/>
      <c r="FVN155" s="3060"/>
      <c r="FVO155" s="3060"/>
      <c r="FVP155" s="3060"/>
      <c r="FVQ155" s="3060"/>
      <c r="FVR155" s="3060"/>
      <c r="FVS155" s="3060"/>
      <c r="FVT155" s="3060"/>
      <c r="FVU155" s="3060"/>
      <c r="FVV155" s="3060"/>
      <c r="FVW155" s="3060"/>
      <c r="FVX155" s="3060"/>
      <c r="FVY155" s="3060"/>
      <c r="FVZ155" s="3060"/>
      <c r="FWA155" s="3060"/>
      <c r="FWB155" s="3060"/>
      <c r="FWC155" s="3060"/>
      <c r="FWD155" s="3060"/>
      <c r="FWE155" s="3060"/>
      <c r="FWF155" s="3060"/>
      <c r="FWG155" s="3060"/>
      <c r="FWH155" s="3060"/>
      <c r="FWI155" s="3060"/>
      <c r="FWJ155" s="3060"/>
      <c r="FWK155" s="3060"/>
      <c r="FWL155" s="3060"/>
      <c r="FWM155" s="3060"/>
      <c r="FWN155" s="3060"/>
      <c r="FWO155" s="3060"/>
      <c r="FWP155" s="3060"/>
      <c r="FWQ155" s="3060"/>
      <c r="FWR155" s="3060"/>
      <c r="FWS155" s="3060"/>
      <c r="FWT155" s="3060"/>
      <c r="FWU155" s="3060"/>
      <c r="FWV155" s="3060"/>
      <c r="FWW155" s="3060"/>
      <c r="FWX155" s="3060"/>
      <c r="FWY155" s="3060"/>
      <c r="FWZ155" s="3060"/>
      <c r="FXA155" s="3060"/>
      <c r="FXB155" s="3060"/>
      <c r="FXC155" s="3060"/>
      <c r="FXD155" s="3060"/>
      <c r="FXE155" s="3060"/>
      <c r="FXF155" s="3060"/>
      <c r="FXG155" s="3060"/>
      <c r="FXH155" s="3060"/>
      <c r="FXI155" s="3060"/>
      <c r="FXJ155" s="3060"/>
      <c r="FXK155" s="3060"/>
      <c r="FXL155" s="3060"/>
      <c r="FXM155" s="3060"/>
      <c r="FXN155" s="3060"/>
      <c r="FXO155" s="3060"/>
      <c r="FXP155" s="3060"/>
      <c r="FXQ155" s="3060"/>
      <c r="FXR155" s="3060"/>
      <c r="FXS155" s="3060"/>
      <c r="FXT155" s="3060"/>
      <c r="FXU155" s="3060"/>
      <c r="FXV155" s="3060"/>
      <c r="FXW155" s="3060"/>
      <c r="FXX155" s="3060"/>
      <c r="FXY155" s="3060"/>
      <c r="FXZ155" s="3060"/>
      <c r="FYA155" s="3060"/>
      <c r="FYB155" s="3060"/>
      <c r="FYC155" s="3060"/>
      <c r="FYD155" s="3060"/>
      <c r="FYE155" s="3060"/>
      <c r="FYF155" s="3060"/>
      <c r="FYG155" s="3060"/>
      <c r="FYH155" s="3060"/>
      <c r="FYI155" s="3060"/>
      <c r="FYJ155" s="3060"/>
      <c r="FYK155" s="3060"/>
      <c r="FYL155" s="3060"/>
      <c r="FYM155" s="3060"/>
      <c r="FYN155" s="3060"/>
      <c r="FYO155" s="3060"/>
      <c r="FYP155" s="3060"/>
      <c r="FYQ155" s="3060"/>
      <c r="FYR155" s="3060"/>
      <c r="FYS155" s="3060"/>
      <c r="FYT155" s="3060"/>
      <c r="FYU155" s="3060"/>
      <c r="FYV155" s="3060"/>
      <c r="FYW155" s="3060"/>
      <c r="FYX155" s="3060"/>
      <c r="FYY155" s="3060"/>
      <c r="FYZ155" s="3060"/>
      <c r="FZA155" s="3060"/>
      <c r="FZB155" s="3060"/>
      <c r="FZC155" s="3060"/>
      <c r="FZD155" s="3060"/>
      <c r="FZE155" s="3060"/>
      <c r="FZF155" s="3060"/>
      <c r="FZG155" s="3060"/>
      <c r="FZH155" s="3060"/>
      <c r="FZI155" s="3060"/>
      <c r="FZJ155" s="3060"/>
      <c r="FZK155" s="3060"/>
      <c r="FZL155" s="3060"/>
      <c r="FZM155" s="3060"/>
      <c r="FZN155" s="3060"/>
      <c r="FZO155" s="3060"/>
      <c r="FZP155" s="3060"/>
      <c r="FZQ155" s="3060"/>
      <c r="FZR155" s="3060"/>
      <c r="FZS155" s="3060"/>
      <c r="FZT155" s="3060"/>
      <c r="FZU155" s="3060"/>
      <c r="FZV155" s="3060"/>
      <c r="FZW155" s="3060"/>
      <c r="FZX155" s="3060"/>
      <c r="FZY155" s="3060"/>
      <c r="FZZ155" s="3060"/>
      <c r="GAA155" s="3060"/>
      <c r="GAB155" s="3060"/>
      <c r="GAC155" s="3060"/>
      <c r="GAD155" s="3060"/>
      <c r="GAE155" s="3060"/>
      <c r="GAF155" s="3060"/>
      <c r="GAG155" s="3060"/>
      <c r="GAH155" s="3060"/>
      <c r="GAI155" s="3060"/>
      <c r="GAJ155" s="3060"/>
      <c r="GAK155" s="3060"/>
      <c r="GAL155" s="3060"/>
      <c r="GAM155" s="3060"/>
      <c r="GAN155" s="3060"/>
      <c r="GAO155" s="3060"/>
      <c r="GAP155" s="3060"/>
      <c r="GAQ155" s="3060"/>
      <c r="GAR155" s="3060"/>
      <c r="GAS155" s="3060"/>
      <c r="GAT155" s="3060"/>
      <c r="GAU155" s="3060"/>
      <c r="GAV155" s="3060"/>
      <c r="GAW155" s="3060"/>
      <c r="GAX155" s="3060"/>
      <c r="GAY155" s="3060"/>
      <c r="GAZ155" s="3060"/>
      <c r="GBA155" s="3060"/>
      <c r="GBB155" s="3060"/>
      <c r="GBC155" s="3060"/>
      <c r="GBD155" s="3060"/>
      <c r="GBE155" s="3060"/>
      <c r="GBF155" s="3060"/>
      <c r="GBG155" s="3060"/>
      <c r="GBH155" s="3060"/>
      <c r="GBI155" s="3060"/>
      <c r="GBJ155" s="3060"/>
      <c r="GBK155" s="3060"/>
      <c r="GBL155" s="3060"/>
      <c r="GBM155" s="3060"/>
      <c r="GBN155" s="3060"/>
      <c r="GBO155" s="3060"/>
      <c r="GBP155" s="3060"/>
      <c r="GBQ155" s="3060"/>
      <c r="GBR155" s="3060"/>
      <c r="GBS155" s="3060"/>
      <c r="GBT155" s="3060"/>
      <c r="GBU155" s="3060"/>
      <c r="GBV155" s="3060"/>
      <c r="GBW155" s="3060"/>
      <c r="GBX155" s="3060"/>
      <c r="GBY155" s="3060"/>
      <c r="GBZ155" s="3060"/>
      <c r="GCA155" s="3060"/>
      <c r="GCB155" s="3060"/>
      <c r="GCC155" s="3060"/>
      <c r="GCD155" s="3060"/>
      <c r="GCE155" s="3060"/>
      <c r="GCF155" s="3060"/>
      <c r="GCG155" s="3060"/>
      <c r="GCH155" s="3060"/>
      <c r="GCI155" s="3060"/>
      <c r="GCJ155" s="3060"/>
      <c r="GCK155" s="3060"/>
      <c r="GCL155" s="3060"/>
      <c r="GCM155" s="3060"/>
      <c r="GCN155" s="3060"/>
      <c r="GCO155" s="3060"/>
      <c r="GCP155" s="3060"/>
      <c r="GCQ155" s="3060"/>
      <c r="GCR155" s="3060"/>
      <c r="GCS155" s="3060"/>
      <c r="GCT155" s="3060"/>
      <c r="GCU155" s="3060"/>
      <c r="GCV155" s="3060"/>
      <c r="GCW155" s="3060"/>
      <c r="GCX155" s="3060"/>
      <c r="GCY155" s="3060"/>
      <c r="GCZ155" s="3060"/>
      <c r="GDA155" s="3060"/>
      <c r="GDB155" s="3060"/>
      <c r="GDC155" s="3060"/>
      <c r="GDD155" s="3060"/>
      <c r="GDE155" s="3060"/>
      <c r="GDF155" s="3060"/>
      <c r="GDG155" s="3060"/>
      <c r="GDH155" s="3060"/>
      <c r="GDI155" s="3060"/>
      <c r="GDJ155" s="3060"/>
      <c r="GDK155" s="3060"/>
      <c r="GDL155" s="3060"/>
      <c r="GDM155" s="3060"/>
      <c r="GDN155" s="3060"/>
      <c r="GDO155" s="3060"/>
      <c r="GDP155" s="3060"/>
      <c r="GDQ155" s="3060"/>
      <c r="GDR155" s="3060"/>
      <c r="GDS155" s="3060"/>
      <c r="GDT155" s="3060"/>
      <c r="GDU155" s="3060"/>
      <c r="GDV155" s="3060"/>
      <c r="GDW155" s="3060"/>
      <c r="GDX155" s="3060"/>
      <c r="GDY155" s="3060"/>
      <c r="GDZ155" s="3060"/>
      <c r="GEA155" s="3060"/>
      <c r="GEB155" s="3060"/>
      <c r="GEC155" s="3060"/>
      <c r="GED155" s="3060"/>
      <c r="GEE155" s="3060"/>
      <c r="GEF155" s="3060"/>
      <c r="GEG155" s="3060"/>
      <c r="GEH155" s="3060"/>
      <c r="GEI155" s="3060"/>
      <c r="GEJ155" s="3060"/>
      <c r="GEK155" s="3060"/>
      <c r="GEL155" s="3060"/>
      <c r="GEM155" s="3060"/>
      <c r="GEN155" s="3060"/>
      <c r="GEO155" s="3060"/>
      <c r="GEP155" s="3060"/>
      <c r="GEQ155" s="3060"/>
      <c r="GER155" s="3060"/>
      <c r="GES155" s="3060"/>
      <c r="GET155" s="3060"/>
      <c r="GEU155" s="3060"/>
      <c r="GEV155" s="3060"/>
      <c r="GEW155" s="3060"/>
      <c r="GEX155" s="3060"/>
      <c r="GEY155" s="3060"/>
      <c r="GEZ155" s="3060"/>
      <c r="GFA155" s="3060"/>
      <c r="GFB155" s="3060"/>
      <c r="GFC155" s="3060"/>
      <c r="GFD155" s="3060"/>
      <c r="GFE155" s="3060"/>
      <c r="GFF155" s="3060"/>
      <c r="GFG155" s="3060"/>
      <c r="GFH155" s="3060"/>
      <c r="GFI155" s="3060"/>
      <c r="GFJ155" s="3060"/>
      <c r="GFK155" s="3060"/>
      <c r="GFL155" s="3060"/>
      <c r="GFM155" s="3060"/>
      <c r="GFN155" s="3060"/>
      <c r="GFO155" s="3060"/>
      <c r="GFP155" s="3060"/>
      <c r="GFQ155" s="3060"/>
      <c r="GFR155" s="3060"/>
      <c r="GFS155" s="3060"/>
      <c r="GFT155" s="3060"/>
      <c r="GFU155" s="3060"/>
      <c r="GFV155" s="3060"/>
      <c r="GFW155" s="3060"/>
      <c r="GFX155" s="3060"/>
      <c r="GFY155" s="3060"/>
      <c r="GFZ155" s="3060"/>
      <c r="GGA155" s="3060"/>
      <c r="GGB155" s="3060"/>
      <c r="GGC155" s="3060"/>
      <c r="GGD155" s="3060"/>
      <c r="GGE155" s="3060"/>
      <c r="GGF155" s="3060"/>
      <c r="GGG155" s="3060"/>
      <c r="GGH155" s="3060"/>
      <c r="GGI155" s="3060"/>
      <c r="GGJ155" s="3060"/>
      <c r="GGK155" s="3060"/>
      <c r="GGL155" s="3060"/>
      <c r="GGM155" s="3060"/>
      <c r="GGN155" s="3060"/>
      <c r="GGO155" s="3060"/>
      <c r="GGP155" s="3060"/>
      <c r="GGQ155" s="3060"/>
      <c r="GGR155" s="3060"/>
      <c r="GGS155" s="3060"/>
      <c r="GGT155" s="3060"/>
      <c r="GGU155" s="3060"/>
      <c r="GGV155" s="3060"/>
      <c r="GGW155" s="3060"/>
      <c r="GGX155" s="3060"/>
      <c r="GGY155" s="3060"/>
      <c r="GGZ155" s="3060"/>
      <c r="GHA155" s="3060"/>
      <c r="GHB155" s="3060"/>
      <c r="GHC155" s="3060"/>
      <c r="GHD155" s="3060"/>
      <c r="GHE155" s="3060"/>
      <c r="GHF155" s="3060"/>
      <c r="GHG155" s="3060"/>
      <c r="GHH155" s="3060"/>
      <c r="GHI155" s="3060"/>
      <c r="GHJ155" s="3060"/>
      <c r="GHK155" s="3060"/>
      <c r="GHL155" s="3060"/>
      <c r="GHM155" s="3060"/>
      <c r="GHN155" s="3060"/>
      <c r="GHO155" s="3060"/>
      <c r="GHP155" s="3060"/>
      <c r="GHQ155" s="3060"/>
      <c r="GHR155" s="3060"/>
      <c r="GHS155" s="3060"/>
      <c r="GHT155" s="3060"/>
      <c r="GHU155" s="3060"/>
      <c r="GHV155" s="3060"/>
      <c r="GHW155" s="3060"/>
      <c r="GHX155" s="3060"/>
      <c r="GHY155" s="3060"/>
      <c r="GHZ155" s="3060"/>
      <c r="GIA155" s="3060"/>
      <c r="GIB155" s="3060"/>
      <c r="GIC155" s="3060"/>
      <c r="GID155" s="3060"/>
      <c r="GIE155" s="3060"/>
      <c r="GIF155" s="3060"/>
      <c r="GIG155" s="3060"/>
      <c r="GIH155" s="3060"/>
      <c r="GII155" s="3060"/>
      <c r="GIJ155" s="3060"/>
      <c r="GIK155" s="3060"/>
      <c r="GIL155" s="3060"/>
      <c r="GIM155" s="3060"/>
      <c r="GIN155" s="3060"/>
      <c r="GIO155" s="3060"/>
      <c r="GIP155" s="3060"/>
      <c r="GIQ155" s="3060"/>
      <c r="GIR155" s="3060"/>
      <c r="GIS155" s="3060"/>
      <c r="GIT155" s="3060"/>
      <c r="GIU155" s="3060"/>
      <c r="GIV155" s="3060"/>
      <c r="GIW155" s="3060"/>
      <c r="GIX155" s="3060"/>
      <c r="GIY155" s="3060"/>
      <c r="GIZ155" s="3060"/>
      <c r="GJA155" s="3060"/>
      <c r="GJB155" s="3060"/>
      <c r="GJC155" s="3060"/>
      <c r="GJD155" s="3060"/>
      <c r="GJE155" s="3060"/>
      <c r="GJF155" s="3060"/>
      <c r="GJG155" s="3060"/>
      <c r="GJH155" s="3060"/>
      <c r="GJI155" s="3060"/>
      <c r="GJJ155" s="3060"/>
      <c r="GJK155" s="3060"/>
      <c r="GJL155" s="3060"/>
      <c r="GJM155" s="3060"/>
      <c r="GJN155" s="3060"/>
      <c r="GJO155" s="3060"/>
      <c r="GJP155" s="3060"/>
      <c r="GJQ155" s="3060"/>
      <c r="GJR155" s="3060"/>
      <c r="GJS155" s="3060"/>
      <c r="GJT155" s="3060"/>
      <c r="GJU155" s="3060"/>
      <c r="GJV155" s="3060"/>
      <c r="GJW155" s="3060"/>
      <c r="GJX155" s="3060"/>
      <c r="GJY155" s="3060"/>
      <c r="GJZ155" s="3060"/>
      <c r="GKA155" s="3060"/>
      <c r="GKB155" s="3060"/>
      <c r="GKC155" s="3060"/>
      <c r="GKD155" s="3060"/>
      <c r="GKE155" s="3060"/>
      <c r="GKF155" s="3060"/>
      <c r="GKG155" s="3060"/>
      <c r="GKH155" s="3060"/>
      <c r="GKI155" s="3060"/>
      <c r="GKJ155" s="3060"/>
      <c r="GKK155" s="3060"/>
      <c r="GKL155" s="3060"/>
      <c r="GKM155" s="3060"/>
      <c r="GKN155" s="3060"/>
      <c r="GKO155" s="3060"/>
      <c r="GKP155" s="3060"/>
      <c r="GKQ155" s="3060"/>
      <c r="GKR155" s="3060"/>
      <c r="GKS155" s="3060"/>
      <c r="GKT155" s="3060"/>
      <c r="GKU155" s="3060"/>
      <c r="GKV155" s="3060"/>
      <c r="GKW155" s="3060"/>
      <c r="GKX155" s="3060"/>
      <c r="GKY155" s="3060"/>
      <c r="GKZ155" s="3060"/>
      <c r="GLA155" s="3060"/>
      <c r="GLB155" s="3060"/>
      <c r="GLC155" s="3060"/>
      <c r="GLD155" s="3060"/>
      <c r="GLE155" s="3060"/>
      <c r="GLF155" s="3060"/>
      <c r="GLG155" s="3060"/>
      <c r="GLH155" s="3060"/>
      <c r="GLI155" s="3060"/>
      <c r="GLJ155" s="3060"/>
      <c r="GLK155" s="3060"/>
      <c r="GLL155" s="3060"/>
      <c r="GLM155" s="3060"/>
      <c r="GLN155" s="3060"/>
      <c r="GLO155" s="3060"/>
      <c r="GLP155" s="3060"/>
      <c r="GLQ155" s="3060"/>
      <c r="GLR155" s="3060"/>
      <c r="GLS155" s="3060"/>
      <c r="GLT155" s="3060"/>
      <c r="GLU155" s="3060"/>
      <c r="GLV155" s="3060"/>
      <c r="GLW155" s="3060"/>
      <c r="GLX155" s="3060"/>
      <c r="GLY155" s="3060"/>
      <c r="GLZ155" s="3060"/>
      <c r="GMA155" s="3060"/>
      <c r="GMB155" s="3060"/>
      <c r="GMC155" s="3060"/>
      <c r="GMD155" s="3060"/>
      <c r="GME155" s="3060"/>
      <c r="GMF155" s="3060"/>
      <c r="GMG155" s="3060"/>
      <c r="GMH155" s="3060"/>
      <c r="GMI155" s="3060"/>
      <c r="GMJ155" s="3060"/>
      <c r="GMK155" s="3060"/>
      <c r="GML155" s="3060"/>
      <c r="GMM155" s="3060"/>
      <c r="GMN155" s="3060"/>
      <c r="GMO155" s="3060"/>
      <c r="GMP155" s="3060"/>
      <c r="GMQ155" s="3060"/>
      <c r="GMR155" s="3060"/>
      <c r="GMS155" s="3060"/>
      <c r="GMT155" s="3060"/>
      <c r="GMU155" s="3060"/>
      <c r="GMV155" s="3060"/>
      <c r="GMW155" s="3060"/>
      <c r="GMX155" s="3060"/>
      <c r="GMY155" s="3060"/>
      <c r="GMZ155" s="3060"/>
      <c r="GNA155" s="3060"/>
      <c r="GNB155" s="3060"/>
      <c r="GNC155" s="3060"/>
      <c r="GND155" s="3060"/>
      <c r="GNE155" s="3060"/>
      <c r="GNF155" s="3060"/>
      <c r="GNG155" s="3060"/>
      <c r="GNH155" s="3060"/>
      <c r="GNI155" s="3060"/>
      <c r="GNJ155" s="3060"/>
      <c r="GNK155" s="3060"/>
      <c r="GNL155" s="3060"/>
      <c r="GNM155" s="3060"/>
      <c r="GNN155" s="3060"/>
      <c r="GNO155" s="3060"/>
      <c r="GNP155" s="3060"/>
      <c r="GNQ155" s="3060"/>
      <c r="GNR155" s="3060"/>
      <c r="GNS155" s="3060"/>
      <c r="GNT155" s="3060"/>
      <c r="GNU155" s="3060"/>
      <c r="GNV155" s="3060"/>
      <c r="GNW155" s="3060"/>
      <c r="GNX155" s="3060"/>
      <c r="GNY155" s="3060"/>
      <c r="GNZ155" s="3060"/>
      <c r="GOA155" s="3060"/>
      <c r="GOB155" s="3060"/>
      <c r="GOC155" s="3060"/>
      <c r="GOD155" s="3060"/>
      <c r="GOE155" s="3060"/>
      <c r="GOF155" s="3060"/>
      <c r="GOG155" s="3060"/>
      <c r="GOH155" s="3060"/>
      <c r="GOI155" s="3060"/>
      <c r="GOJ155" s="3060"/>
      <c r="GOK155" s="3060"/>
      <c r="GOL155" s="3060"/>
      <c r="GOM155" s="3060"/>
      <c r="GON155" s="3060"/>
      <c r="GOO155" s="3060"/>
      <c r="GOP155" s="3060"/>
      <c r="GOQ155" s="3060"/>
      <c r="GOR155" s="3060"/>
      <c r="GOS155" s="3060"/>
      <c r="GOT155" s="3060"/>
      <c r="GOU155" s="3060"/>
      <c r="GOV155" s="3060"/>
      <c r="GOW155" s="3060"/>
      <c r="GOX155" s="3060"/>
      <c r="GOY155" s="3060"/>
      <c r="GOZ155" s="3060"/>
      <c r="GPA155" s="3060"/>
      <c r="GPB155" s="3060"/>
      <c r="GPC155" s="3060"/>
      <c r="GPD155" s="3060"/>
      <c r="GPE155" s="3060"/>
      <c r="GPF155" s="3060"/>
      <c r="GPG155" s="3060"/>
      <c r="GPH155" s="3060"/>
      <c r="GPI155" s="3060"/>
      <c r="GPJ155" s="3060"/>
      <c r="GPK155" s="3060"/>
      <c r="GPL155" s="3060"/>
      <c r="GPM155" s="3060"/>
      <c r="GPN155" s="3060"/>
      <c r="GPO155" s="3060"/>
      <c r="GPP155" s="3060"/>
      <c r="GPQ155" s="3060"/>
      <c r="GPR155" s="3060"/>
      <c r="GPS155" s="3060"/>
      <c r="GPT155" s="3060"/>
      <c r="GPU155" s="3060"/>
      <c r="GPV155" s="3060"/>
      <c r="GPW155" s="3060"/>
      <c r="GPX155" s="3060"/>
      <c r="GPY155" s="3060"/>
      <c r="GPZ155" s="3060"/>
      <c r="GQA155" s="3060"/>
      <c r="GQB155" s="3060"/>
      <c r="GQC155" s="3060"/>
      <c r="GQD155" s="3060"/>
      <c r="GQE155" s="3060"/>
      <c r="GQF155" s="3060"/>
      <c r="GQG155" s="3060"/>
      <c r="GQH155" s="3060"/>
      <c r="GQI155" s="3060"/>
      <c r="GQJ155" s="3060"/>
      <c r="GQK155" s="3060"/>
      <c r="GQL155" s="3060"/>
      <c r="GQM155" s="3060"/>
      <c r="GQN155" s="3060"/>
      <c r="GQO155" s="3060"/>
      <c r="GQP155" s="3060"/>
      <c r="GQQ155" s="3060"/>
      <c r="GQR155" s="3060"/>
      <c r="GQS155" s="3060"/>
      <c r="GQT155" s="3060"/>
      <c r="GQU155" s="3060"/>
      <c r="GQV155" s="3060"/>
      <c r="GQW155" s="3060"/>
      <c r="GQX155" s="3060"/>
      <c r="GQY155" s="3060"/>
      <c r="GQZ155" s="3060"/>
      <c r="GRA155" s="3060"/>
      <c r="GRB155" s="3060"/>
      <c r="GRC155" s="3060"/>
      <c r="GRD155" s="3060"/>
      <c r="GRE155" s="3060"/>
      <c r="GRF155" s="3060"/>
      <c r="GRG155" s="3060"/>
      <c r="GRH155" s="3060"/>
      <c r="GRI155" s="3060"/>
      <c r="GRJ155" s="3060"/>
      <c r="GRK155" s="3060"/>
      <c r="GRL155" s="3060"/>
      <c r="GRM155" s="3060"/>
      <c r="GRN155" s="3060"/>
      <c r="GRO155" s="3060"/>
      <c r="GRP155" s="3060"/>
      <c r="GRQ155" s="3060"/>
      <c r="GRR155" s="3060"/>
      <c r="GRS155" s="3060"/>
      <c r="GRT155" s="3060"/>
      <c r="GRU155" s="3060"/>
      <c r="GRV155" s="3060"/>
      <c r="GRW155" s="3060"/>
      <c r="GRX155" s="3060"/>
      <c r="GRY155" s="3060"/>
      <c r="GRZ155" s="3060"/>
      <c r="GSA155" s="3060"/>
      <c r="GSB155" s="3060"/>
      <c r="GSC155" s="3060"/>
      <c r="GSD155" s="3060"/>
      <c r="GSE155" s="3060"/>
      <c r="GSF155" s="3060"/>
      <c r="GSG155" s="3060"/>
      <c r="GSH155" s="3060"/>
      <c r="GSI155" s="3060"/>
      <c r="GSJ155" s="3060"/>
      <c r="GSK155" s="3060"/>
      <c r="GSL155" s="3060"/>
      <c r="GSM155" s="3060"/>
      <c r="GSN155" s="3060"/>
      <c r="GSO155" s="3060"/>
      <c r="GSP155" s="3060"/>
      <c r="GSQ155" s="3060"/>
      <c r="GSR155" s="3060"/>
      <c r="GSS155" s="3060"/>
      <c r="GST155" s="3060"/>
      <c r="GSU155" s="3060"/>
      <c r="GSV155" s="3060"/>
      <c r="GSW155" s="3060"/>
      <c r="GSX155" s="3060"/>
      <c r="GSY155" s="3060"/>
      <c r="GSZ155" s="3060"/>
      <c r="GTA155" s="3060"/>
      <c r="GTB155" s="3060"/>
      <c r="GTC155" s="3060"/>
      <c r="GTD155" s="3060"/>
      <c r="GTE155" s="3060"/>
      <c r="GTF155" s="3060"/>
      <c r="GTG155" s="3060"/>
      <c r="GTH155" s="3060"/>
      <c r="GTI155" s="3060"/>
      <c r="GTJ155" s="3060"/>
      <c r="GTK155" s="3060"/>
      <c r="GTL155" s="3060"/>
      <c r="GTM155" s="3060"/>
      <c r="GTN155" s="3060"/>
      <c r="GTO155" s="3060"/>
      <c r="GTP155" s="3060"/>
      <c r="GTQ155" s="3060"/>
      <c r="GTR155" s="3060"/>
      <c r="GTS155" s="3060"/>
      <c r="GTT155" s="3060"/>
      <c r="GTU155" s="3060"/>
      <c r="GTV155" s="3060"/>
      <c r="GTW155" s="3060"/>
      <c r="GTX155" s="3060"/>
      <c r="GTY155" s="3060"/>
      <c r="GTZ155" s="3060"/>
      <c r="GUA155" s="3060"/>
      <c r="GUB155" s="3060"/>
      <c r="GUC155" s="3060"/>
      <c r="GUD155" s="3060"/>
      <c r="GUE155" s="3060"/>
      <c r="GUF155" s="3060"/>
      <c r="GUG155" s="3060"/>
      <c r="GUH155" s="3060"/>
      <c r="GUI155" s="3060"/>
      <c r="GUJ155" s="3060"/>
      <c r="GUK155" s="3060"/>
      <c r="GUL155" s="3060"/>
      <c r="GUM155" s="3060"/>
      <c r="GUN155" s="3060"/>
      <c r="GUO155" s="3060"/>
      <c r="GUP155" s="3060"/>
      <c r="GUQ155" s="3060"/>
      <c r="GUR155" s="3060"/>
      <c r="GUS155" s="3060"/>
      <c r="GUT155" s="3060"/>
      <c r="GUU155" s="3060"/>
      <c r="GUV155" s="3060"/>
      <c r="GUW155" s="3060"/>
      <c r="GUX155" s="3060"/>
      <c r="GUY155" s="3060"/>
      <c r="GUZ155" s="3060"/>
      <c r="GVA155" s="3060"/>
      <c r="GVB155" s="3060"/>
      <c r="GVC155" s="3060"/>
      <c r="GVD155" s="3060"/>
      <c r="GVE155" s="3060"/>
      <c r="GVF155" s="3060"/>
      <c r="GVG155" s="3060"/>
      <c r="GVH155" s="3060"/>
      <c r="GVI155" s="3060"/>
      <c r="GVJ155" s="3060"/>
      <c r="GVK155" s="3060"/>
      <c r="GVL155" s="3060"/>
      <c r="GVM155" s="3060"/>
      <c r="GVN155" s="3060"/>
      <c r="GVO155" s="3060"/>
      <c r="GVP155" s="3060"/>
      <c r="GVQ155" s="3060"/>
      <c r="GVR155" s="3060"/>
      <c r="GVS155" s="3060"/>
      <c r="GVT155" s="3060"/>
      <c r="GVU155" s="3060"/>
      <c r="GVV155" s="3060"/>
      <c r="GVW155" s="3060"/>
      <c r="GVX155" s="3060"/>
      <c r="GVY155" s="3060"/>
      <c r="GVZ155" s="3060"/>
      <c r="GWA155" s="3060"/>
      <c r="GWB155" s="3060"/>
      <c r="GWC155" s="3060"/>
      <c r="GWD155" s="3060"/>
      <c r="GWE155" s="3060"/>
      <c r="GWF155" s="3060"/>
      <c r="GWG155" s="3060"/>
      <c r="GWH155" s="3060"/>
      <c r="GWI155" s="3060"/>
      <c r="GWJ155" s="3060"/>
      <c r="GWK155" s="3060"/>
      <c r="GWL155" s="3060"/>
      <c r="GWM155" s="3060"/>
      <c r="GWN155" s="3060"/>
      <c r="GWO155" s="3060"/>
      <c r="GWP155" s="3060"/>
      <c r="GWQ155" s="3060"/>
      <c r="GWR155" s="3060"/>
      <c r="GWS155" s="3060"/>
      <c r="GWT155" s="3060"/>
      <c r="GWU155" s="3060"/>
      <c r="GWV155" s="3060"/>
      <c r="GWW155" s="3060"/>
      <c r="GWX155" s="3060"/>
      <c r="GWY155" s="3060"/>
      <c r="GWZ155" s="3060"/>
      <c r="GXA155" s="3060"/>
      <c r="GXB155" s="3060"/>
      <c r="GXC155" s="3060"/>
      <c r="GXD155" s="3060"/>
      <c r="GXE155" s="3060"/>
      <c r="GXF155" s="3060"/>
      <c r="GXG155" s="3060"/>
      <c r="GXH155" s="3060"/>
      <c r="GXI155" s="3060"/>
      <c r="GXJ155" s="3060"/>
      <c r="GXK155" s="3060"/>
      <c r="GXL155" s="3060"/>
      <c r="GXM155" s="3060"/>
      <c r="GXN155" s="3060"/>
      <c r="GXO155" s="3060"/>
      <c r="GXP155" s="3060"/>
      <c r="GXQ155" s="3060"/>
      <c r="GXR155" s="3060"/>
      <c r="GXS155" s="3060"/>
      <c r="GXT155" s="3060"/>
      <c r="GXU155" s="3060"/>
      <c r="GXV155" s="3060"/>
      <c r="GXW155" s="3060"/>
      <c r="GXX155" s="3060"/>
      <c r="GXY155" s="3060"/>
      <c r="GXZ155" s="3060"/>
      <c r="GYA155" s="3060"/>
      <c r="GYB155" s="3060"/>
      <c r="GYC155" s="3060"/>
      <c r="GYD155" s="3060"/>
      <c r="GYE155" s="3060"/>
      <c r="GYF155" s="3060"/>
      <c r="GYG155" s="3060"/>
      <c r="GYH155" s="3060"/>
      <c r="GYI155" s="3060"/>
      <c r="GYJ155" s="3060"/>
      <c r="GYK155" s="3060"/>
      <c r="GYL155" s="3060"/>
      <c r="GYM155" s="3060"/>
      <c r="GYN155" s="3060"/>
      <c r="GYO155" s="3060"/>
      <c r="GYP155" s="3060"/>
      <c r="GYQ155" s="3060"/>
      <c r="GYR155" s="3060"/>
      <c r="GYS155" s="3060"/>
      <c r="GYT155" s="3060"/>
      <c r="GYU155" s="3060"/>
      <c r="GYV155" s="3060"/>
      <c r="GYW155" s="3060"/>
      <c r="GYX155" s="3060"/>
      <c r="GYY155" s="3060"/>
      <c r="GYZ155" s="3060"/>
      <c r="GZA155" s="3060"/>
      <c r="GZB155" s="3060"/>
      <c r="GZC155" s="3060"/>
      <c r="GZD155" s="3060"/>
      <c r="GZE155" s="3060"/>
      <c r="GZF155" s="3060"/>
      <c r="GZG155" s="3060"/>
      <c r="GZH155" s="3060"/>
      <c r="GZI155" s="3060"/>
      <c r="GZJ155" s="3060"/>
      <c r="GZK155" s="3060"/>
      <c r="GZL155" s="3060"/>
      <c r="GZM155" s="3060"/>
      <c r="GZN155" s="3060"/>
      <c r="GZO155" s="3060"/>
      <c r="GZP155" s="3060"/>
      <c r="GZQ155" s="3060"/>
      <c r="GZR155" s="3060"/>
      <c r="GZS155" s="3060"/>
      <c r="GZT155" s="3060"/>
      <c r="GZU155" s="3060"/>
      <c r="GZV155" s="3060"/>
      <c r="GZW155" s="3060"/>
      <c r="GZX155" s="3060"/>
      <c r="GZY155" s="3060"/>
      <c r="GZZ155" s="3060"/>
      <c r="HAA155" s="3060"/>
      <c r="HAB155" s="3060"/>
      <c r="HAC155" s="3060"/>
      <c r="HAD155" s="3060"/>
      <c r="HAE155" s="3060"/>
      <c r="HAF155" s="3060"/>
      <c r="HAG155" s="3060"/>
      <c r="HAH155" s="3060"/>
      <c r="HAI155" s="3060"/>
      <c r="HAJ155" s="3060"/>
      <c r="HAK155" s="3060"/>
      <c r="HAL155" s="3060"/>
      <c r="HAM155" s="3060"/>
      <c r="HAN155" s="3060"/>
      <c r="HAO155" s="3060"/>
      <c r="HAP155" s="3060"/>
      <c r="HAQ155" s="3060"/>
      <c r="HAR155" s="3060"/>
      <c r="HAS155" s="3060"/>
      <c r="HAT155" s="3060"/>
      <c r="HAU155" s="3060"/>
      <c r="HAV155" s="3060"/>
      <c r="HAW155" s="3060"/>
      <c r="HAX155" s="3060"/>
      <c r="HAY155" s="3060"/>
      <c r="HAZ155" s="3060"/>
      <c r="HBA155" s="3060"/>
      <c r="HBB155" s="3060"/>
      <c r="HBC155" s="3060"/>
      <c r="HBD155" s="3060"/>
      <c r="HBE155" s="3060"/>
      <c r="HBF155" s="3060"/>
      <c r="HBG155" s="3060"/>
      <c r="HBH155" s="3060"/>
      <c r="HBI155" s="3060"/>
      <c r="HBJ155" s="3060"/>
      <c r="HBK155" s="3060"/>
      <c r="HBL155" s="3060"/>
      <c r="HBM155" s="3060"/>
      <c r="HBN155" s="3060"/>
      <c r="HBO155" s="3060"/>
      <c r="HBP155" s="3060"/>
      <c r="HBQ155" s="3060"/>
      <c r="HBR155" s="3060"/>
      <c r="HBS155" s="3060"/>
      <c r="HBT155" s="3060"/>
      <c r="HBU155" s="3060"/>
      <c r="HBV155" s="3060"/>
      <c r="HBW155" s="3060"/>
      <c r="HBX155" s="3060"/>
      <c r="HBY155" s="3060"/>
      <c r="HBZ155" s="3060"/>
      <c r="HCA155" s="3060"/>
      <c r="HCB155" s="3060"/>
      <c r="HCC155" s="3060"/>
      <c r="HCD155" s="3060"/>
      <c r="HCE155" s="3060"/>
      <c r="HCF155" s="3060"/>
      <c r="HCG155" s="3060"/>
      <c r="HCH155" s="3060"/>
      <c r="HCI155" s="3060"/>
      <c r="HCJ155" s="3060"/>
      <c r="HCK155" s="3060"/>
      <c r="HCL155" s="3060"/>
      <c r="HCM155" s="3060"/>
      <c r="HCN155" s="3060"/>
      <c r="HCO155" s="3060"/>
      <c r="HCP155" s="3060"/>
      <c r="HCQ155" s="3060"/>
      <c r="HCR155" s="3060"/>
      <c r="HCS155" s="3060"/>
      <c r="HCT155" s="3060"/>
      <c r="HCU155" s="3060"/>
      <c r="HCV155" s="3060"/>
      <c r="HCW155" s="3060"/>
      <c r="HCX155" s="3060"/>
      <c r="HCY155" s="3060"/>
      <c r="HCZ155" s="3060"/>
      <c r="HDA155" s="3060"/>
      <c r="HDB155" s="3060"/>
      <c r="HDC155" s="3060"/>
      <c r="HDD155" s="3060"/>
      <c r="HDE155" s="3060"/>
      <c r="HDF155" s="3060"/>
      <c r="HDG155" s="3060"/>
      <c r="HDH155" s="3060"/>
      <c r="HDI155" s="3060"/>
      <c r="HDJ155" s="3060"/>
      <c r="HDK155" s="3060"/>
      <c r="HDL155" s="3060"/>
      <c r="HDM155" s="3060"/>
      <c r="HDN155" s="3060"/>
      <c r="HDO155" s="3060"/>
      <c r="HDP155" s="3060"/>
      <c r="HDQ155" s="3060"/>
      <c r="HDR155" s="3060"/>
      <c r="HDS155" s="3060"/>
      <c r="HDT155" s="3060"/>
      <c r="HDU155" s="3060"/>
      <c r="HDV155" s="3060"/>
      <c r="HDW155" s="3060"/>
      <c r="HDX155" s="3060"/>
      <c r="HDY155" s="3060"/>
      <c r="HDZ155" s="3060"/>
      <c r="HEA155" s="3060"/>
      <c r="HEB155" s="3060"/>
      <c r="HEC155" s="3060"/>
      <c r="HED155" s="3060"/>
      <c r="HEE155" s="3060"/>
      <c r="HEF155" s="3060"/>
      <c r="HEG155" s="3060"/>
      <c r="HEH155" s="3060"/>
      <c r="HEI155" s="3060"/>
      <c r="HEJ155" s="3060"/>
      <c r="HEK155" s="3060"/>
      <c r="HEL155" s="3060"/>
      <c r="HEM155" s="3060"/>
      <c r="HEN155" s="3060"/>
      <c r="HEO155" s="3060"/>
      <c r="HEP155" s="3060"/>
      <c r="HEQ155" s="3060"/>
      <c r="HER155" s="3060"/>
      <c r="HES155" s="3060"/>
      <c r="HET155" s="3060"/>
      <c r="HEU155" s="3060"/>
      <c r="HEV155" s="3060"/>
      <c r="HEW155" s="3060"/>
      <c r="HEX155" s="3060"/>
      <c r="HEY155" s="3060"/>
      <c r="HEZ155" s="3060"/>
      <c r="HFA155" s="3060"/>
      <c r="HFB155" s="3060"/>
      <c r="HFC155" s="3060"/>
      <c r="HFD155" s="3060"/>
      <c r="HFE155" s="3060"/>
      <c r="HFF155" s="3060"/>
      <c r="HFG155" s="3060"/>
      <c r="HFH155" s="3060"/>
      <c r="HFI155" s="3060"/>
      <c r="HFJ155" s="3060"/>
      <c r="HFK155" s="3060"/>
      <c r="HFL155" s="3060"/>
      <c r="HFM155" s="3060"/>
      <c r="HFN155" s="3060"/>
      <c r="HFO155" s="3060"/>
      <c r="HFP155" s="3060"/>
      <c r="HFQ155" s="3060"/>
      <c r="HFR155" s="3060"/>
      <c r="HFS155" s="3060"/>
      <c r="HFT155" s="3060"/>
      <c r="HFU155" s="3060"/>
      <c r="HFV155" s="3060"/>
      <c r="HFW155" s="3060"/>
      <c r="HFX155" s="3060"/>
      <c r="HFY155" s="3060"/>
      <c r="HFZ155" s="3060"/>
      <c r="HGA155" s="3060"/>
      <c r="HGB155" s="3060"/>
      <c r="HGC155" s="3060"/>
      <c r="HGD155" s="3060"/>
      <c r="HGE155" s="3060"/>
      <c r="HGF155" s="3060"/>
      <c r="HGG155" s="3060"/>
      <c r="HGH155" s="3060"/>
      <c r="HGI155" s="3060"/>
      <c r="HGJ155" s="3060"/>
      <c r="HGK155" s="3060"/>
      <c r="HGL155" s="3060"/>
      <c r="HGM155" s="3060"/>
      <c r="HGN155" s="3060"/>
      <c r="HGO155" s="3060"/>
      <c r="HGP155" s="3060"/>
      <c r="HGQ155" s="3060"/>
      <c r="HGR155" s="3060"/>
      <c r="HGS155" s="3060"/>
      <c r="HGT155" s="3060"/>
      <c r="HGU155" s="3060"/>
      <c r="HGV155" s="3060"/>
      <c r="HGW155" s="3060"/>
      <c r="HGX155" s="3060"/>
      <c r="HGY155" s="3060"/>
      <c r="HGZ155" s="3060"/>
      <c r="HHA155" s="3060"/>
      <c r="HHB155" s="3060"/>
      <c r="HHC155" s="3060"/>
      <c r="HHD155" s="3060"/>
      <c r="HHE155" s="3060"/>
      <c r="HHF155" s="3060"/>
      <c r="HHG155" s="3060"/>
      <c r="HHH155" s="3060"/>
      <c r="HHI155" s="3060"/>
      <c r="HHJ155" s="3060"/>
      <c r="HHK155" s="3060"/>
      <c r="HHL155" s="3060"/>
      <c r="HHM155" s="3060"/>
      <c r="HHN155" s="3060"/>
      <c r="HHO155" s="3060"/>
      <c r="HHP155" s="3060"/>
      <c r="HHQ155" s="3060"/>
      <c r="HHR155" s="3060"/>
      <c r="HHS155" s="3060"/>
      <c r="HHT155" s="3060"/>
      <c r="HHU155" s="3060"/>
      <c r="HHV155" s="3060"/>
      <c r="HHW155" s="3060"/>
      <c r="HHX155" s="3060"/>
      <c r="HHY155" s="3060"/>
      <c r="HHZ155" s="3060"/>
      <c r="HIA155" s="3060"/>
      <c r="HIB155" s="3060"/>
      <c r="HIC155" s="3060"/>
      <c r="HID155" s="3060"/>
      <c r="HIE155" s="3060"/>
      <c r="HIF155" s="3060"/>
      <c r="HIG155" s="3060"/>
      <c r="HIH155" s="3060"/>
      <c r="HII155" s="3060"/>
      <c r="HIJ155" s="3060"/>
      <c r="HIK155" s="3060"/>
      <c r="HIL155" s="3060"/>
      <c r="HIM155" s="3060"/>
      <c r="HIN155" s="3060"/>
      <c r="HIO155" s="3060"/>
      <c r="HIP155" s="3060"/>
      <c r="HIQ155" s="3060"/>
      <c r="HIR155" s="3060"/>
      <c r="HIS155" s="3060"/>
      <c r="HIT155" s="3060"/>
      <c r="HIU155" s="3060"/>
      <c r="HIV155" s="3060"/>
      <c r="HIW155" s="3060"/>
      <c r="HIX155" s="3060"/>
      <c r="HIY155" s="3060"/>
      <c r="HIZ155" s="3060"/>
      <c r="HJA155" s="3060"/>
      <c r="HJB155" s="3060"/>
      <c r="HJC155" s="3060"/>
      <c r="HJD155" s="3060"/>
      <c r="HJE155" s="3060"/>
      <c r="HJF155" s="3060"/>
      <c r="HJG155" s="3060"/>
      <c r="HJH155" s="3060"/>
      <c r="HJI155" s="3060"/>
      <c r="HJJ155" s="3060"/>
      <c r="HJK155" s="3060"/>
      <c r="HJL155" s="3060"/>
      <c r="HJM155" s="3060"/>
      <c r="HJN155" s="3060"/>
      <c r="HJO155" s="3060"/>
      <c r="HJP155" s="3060"/>
      <c r="HJQ155" s="3060"/>
      <c r="HJR155" s="3060"/>
      <c r="HJS155" s="3060"/>
      <c r="HJT155" s="3060"/>
      <c r="HJU155" s="3060"/>
      <c r="HJV155" s="3060"/>
      <c r="HJW155" s="3060"/>
      <c r="HJX155" s="3060"/>
      <c r="HJY155" s="3060"/>
      <c r="HJZ155" s="3060"/>
      <c r="HKA155" s="3060"/>
      <c r="HKB155" s="3060"/>
      <c r="HKC155" s="3060"/>
      <c r="HKD155" s="3060"/>
      <c r="HKE155" s="3060"/>
      <c r="HKF155" s="3060"/>
      <c r="HKG155" s="3060"/>
      <c r="HKH155" s="3060"/>
      <c r="HKI155" s="3060"/>
      <c r="HKJ155" s="3060"/>
      <c r="HKK155" s="3060"/>
      <c r="HKL155" s="3060"/>
      <c r="HKM155" s="3060"/>
      <c r="HKN155" s="3060"/>
      <c r="HKO155" s="3060"/>
      <c r="HKP155" s="3060"/>
      <c r="HKQ155" s="3060"/>
      <c r="HKR155" s="3060"/>
      <c r="HKS155" s="3060"/>
      <c r="HKT155" s="3060"/>
      <c r="HKU155" s="3060"/>
      <c r="HKV155" s="3060"/>
      <c r="HKW155" s="3060"/>
      <c r="HKX155" s="3060"/>
      <c r="HKY155" s="3060"/>
      <c r="HKZ155" s="3060"/>
      <c r="HLA155" s="3060"/>
      <c r="HLB155" s="3060"/>
      <c r="HLC155" s="3060"/>
      <c r="HLD155" s="3060"/>
      <c r="HLE155" s="3060"/>
      <c r="HLF155" s="3060"/>
      <c r="HLG155" s="3060"/>
      <c r="HLH155" s="3060"/>
      <c r="HLI155" s="3060"/>
      <c r="HLJ155" s="3060"/>
      <c r="HLK155" s="3060"/>
      <c r="HLL155" s="3060"/>
      <c r="HLM155" s="3060"/>
      <c r="HLN155" s="3060"/>
      <c r="HLO155" s="3060"/>
      <c r="HLP155" s="3060"/>
      <c r="HLQ155" s="3060"/>
      <c r="HLR155" s="3060"/>
      <c r="HLS155" s="3060"/>
      <c r="HLT155" s="3060"/>
      <c r="HLU155" s="3060"/>
      <c r="HLV155" s="3060"/>
      <c r="HLW155" s="3060"/>
      <c r="HLX155" s="3060"/>
      <c r="HLY155" s="3060"/>
      <c r="HLZ155" s="3060"/>
      <c r="HMA155" s="3060"/>
      <c r="HMB155" s="3060"/>
      <c r="HMC155" s="3060"/>
      <c r="HMD155" s="3060"/>
      <c r="HME155" s="3060"/>
      <c r="HMF155" s="3060"/>
      <c r="HMG155" s="3060"/>
      <c r="HMH155" s="3060"/>
      <c r="HMI155" s="3060"/>
      <c r="HMJ155" s="3060"/>
      <c r="HMK155" s="3060"/>
      <c r="HML155" s="3060"/>
      <c r="HMM155" s="3060"/>
      <c r="HMN155" s="3060"/>
      <c r="HMO155" s="3060"/>
      <c r="HMP155" s="3060"/>
      <c r="HMQ155" s="3060"/>
      <c r="HMR155" s="3060"/>
      <c r="HMS155" s="3060"/>
      <c r="HMT155" s="3060"/>
      <c r="HMU155" s="3060"/>
      <c r="HMV155" s="3060"/>
      <c r="HMW155" s="3060"/>
      <c r="HMX155" s="3060"/>
      <c r="HMY155" s="3060"/>
      <c r="HMZ155" s="3060"/>
      <c r="HNA155" s="3060"/>
      <c r="HNB155" s="3060"/>
      <c r="HNC155" s="3060"/>
      <c r="HND155" s="3060"/>
      <c r="HNE155" s="3060"/>
      <c r="HNF155" s="3060"/>
      <c r="HNG155" s="3060"/>
      <c r="HNH155" s="3060"/>
      <c r="HNI155" s="3060"/>
      <c r="HNJ155" s="3060"/>
      <c r="HNK155" s="3060"/>
      <c r="HNL155" s="3060"/>
      <c r="HNM155" s="3060"/>
      <c r="HNN155" s="3060"/>
      <c r="HNO155" s="3060"/>
      <c r="HNP155" s="3060"/>
      <c r="HNQ155" s="3060"/>
      <c r="HNR155" s="3060"/>
      <c r="HNS155" s="3060"/>
      <c r="HNT155" s="3060"/>
      <c r="HNU155" s="3060"/>
      <c r="HNV155" s="3060"/>
      <c r="HNW155" s="3060"/>
      <c r="HNX155" s="3060"/>
      <c r="HNY155" s="3060"/>
      <c r="HNZ155" s="3060"/>
      <c r="HOA155" s="3060"/>
      <c r="HOB155" s="3060"/>
      <c r="HOC155" s="3060"/>
      <c r="HOD155" s="3060"/>
      <c r="HOE155" s="3060"/>
      <c r="HOF155" s="3060"/>
      <c r="HOG155" s="3060"/>
      <c r="HOH155" s="3060"/>
      <c r="HOI155" s="3060"/>
      <c r="HOJ155" s="3060"/>
      <c r="HOK155" s="3060"/>
      <c r="HOL155" s="3060"/>
      <c r="HOM155" s="3060"/>
      <c r="HON155" s="3060"/>
      <c r="HOO155" s="3060"/>
      <c r="HOP155" s="3060"/>
      <c r="HOQ155" s="3060"/>
      <c r="HOR155" s="3060"/>
      <c r="HOS155" s="3060"/>
      <c r="HOT155" s="3060"/>
      <c r="HOU155" s="3060"/>
      <c r="HOV155" s="3060"/>
      <c r="HOW155" s="3060"/>
      <c r="HOX155" s="3060"/>
      <c r="HOY155" s="3060"/>
      <c r="HOZ155" s="3060"/>
      <c r="HPA155" s="3060"/>
      <c r="HPB155" s="3060"/>
      <c r="HPC155" s="3060"/>
      <c r="HPD155" s="3060"/>
      <c r="HPE155" s="3060"/>
      <c r="HPF155" s="3060"/>
      <c r="HPG155" s="3060"/>
      <c r="HPH155" s="3060"/>
      <c r="HPI155" s="3060"/>
      <c r="HPJ155" s="3060"/>
      <c r="HPK155" s="3060"/>
      <c r="HPL155" s="3060"/>
      <c r="HPM155" s="3060"/>
      <c r="HPN155" s="3060"/>
      <c r="HPO155" s="3060"/>
      <c r="HPP155" s="3060"/>
      <c r="HPQ155" s="3060"/>
      <c r="HPR155" s="3060"/>
      <c r="HPS155" s="3060"/>
      <c r="HPT155" s="3060"/>
      <c r="HPU155" s="3060"/>
      <c r="HPV155" s="3060"/>
      <c r="HPW155" s="3060"/>
      <c r="HPX155" s="3060"/>
      <c r="HPY155" s="3060"/>
      <c r="HPZ155" s="3060"/>
      <c r="HQA155" s="3060"/>
      <c r="HQB155" s="3060"/>
      <c r="HQC155" s="3060"/>
      <c r="HQD155" s="3060"/>
      <c r="HQE155" s="3060"/>
      <c r="HQF155" s="3060"/>
      <c r="HQG155" s="3060"/>
      <c r="HQH155" s="3060"/>
      <c r="HQI155" s="3060"/>
      <c r="HQJ155" s="3060"/>
      <c r="HQK155" s="3060"/>
      <c r="HQL155" s="3060"/>
      <c r="HQM155" s="3060"/>
      <c r="HQN155" s="3060"/>
      <c r="HQO155" s="3060"/>
      <c r="HQP155" s="3060"/>
      <c r="HQQ155" s="3060"/>
      <c r="HQR155" s="3060"/>
      <c r="HQS155" s="3060"/>
      <c r="HQT155" s="3060"/>
      <c r="HQU155" s="3060"/>
      <c r="HQV155" s="3060"/>
      <c r="HQW155" s="3060"/>
      <c r="HQX155" s="3060"/>
      <c r="HQY155" s="3060"/>
      <c r="HQZ155" s="3060"/>
      <c r="HRA155" s="3060"/>
      <c r="HRB155" s="3060"/>
      <c r="HRC155" s="3060"/>
      <c r="HRD155" s="3060"/>
      <c r="HRE155" s="3060"/>
      <c r="HRF155" s="3060"/>
      <c r="HRG155" s="3060"/>
      <c r="HRH155" s="3060"/>
      <c r="HRI155" s="3060"/>
      <c r="HRJ155" s="3060"/>
      <c r="HRK155" s="3060"/>
      <c r="HRL155" s="3060"/>
      <c r="HRM155" s="3060"/>
      <c r="HRN155" s="3060"/>
      <c r="HRO155" s="3060"/>
      <c r="HRP155" s="3060"/>
      <c r="HRQ155" s="3060"/>
      <c r="HRR155" s="3060"/>
      <c r="HRS155" s="3060"/>
      <c r="HRT155" s="3060"/>
      <c r="HRU155" s="3060"/>
      <c r="HRV155" s="3060"/>
      <c r="HRW155" s="3060"/>
      <c r="HRX155" s="3060"/>
      <c r="HRY155" s="3060"/>
      <c r="HRZ155" s="3060"/>
      <c r="HSA155" s="3060"/>
      <c r="HSB155" s="3060"/>
      <c r="HSC155" s="3060"/>
      <c r="HSD155" s="3060"/>
      <c r="HSE155" s="3060"/>
      <c r="HSF155" s="3060"/>
      <c r="HSG155" s="3060"/>
      <c r="HSH155" s="3060"/>
      <c r="HSI155" s="3060"/>
      <c r="HSJ155" s="3060"/>
      <c r="HSK155" s="3060"/>
      <c r="HSL155" s="3060"/>
      <c r="HSM155" s="3060"/>
      <c r="HSN155" s="3060"/>
      <c r="HSO155" s="3060"/>
      <c r="HSP155" s="3060"/>
      <c r="HSQ155" s="3060"/>
      <c r="HSR155" s="3060"/>
      <c r="HSS155" s="3060"/>
      <c r="HST155" s="3060"/>
      <c r="HSU155" s="3060"/>
      <c r="HSV155" s="3060"/>
      <c r="HSW155" s="3060"/>
      <c r="HSX155" s="3060"/>
      <c r="HSY155" s="3060"/>
      <c r="HSZ155" s="3060"/>
      <c r="HTA155" s="3060"/>
      <c r="HTB155" s="3060"/>
      <c r="HTC155" s="3060"/>
      <c r="HTD155" s="3060"/>
      <c r="HTE155" s="3060"/>
      <c r="HTF155" s="3060"/>
      <c r="HTG155" s="3060"/>
      <c r="HTH155" s="3060"/>
      <c r="HTI155" s="3060"/>
      <c r="HTJ155" s="3060"/>
      <c r="HTK155" s="3060"/>
      <c r="HTL155" s="3060"/>
      <c r="HTM155" s="3060"/>
      <c r="HTN155" s="3060"/>
      <c r="HTO155" s="3060"/>
      <c r="HTP155" s="3060"/>
      <c r="HTQ155" s="3060"/>
      <c r="HTR155" s="3060"/>
      <c r="HTS155" s="3060"/>
      <c r="HTT155" s="3060"/>
      <c r="HTU155" s="3060"/>
      <c r="HTV155" s="3060"/>
      <c r="HTW155" s="3060"/>
      <c r="HTX155" s="3060"/>
      <c r="HTY155" s="3060"/>
      <c r="HTZ155" s="3060"/>
      <c r="HUA155" s="3060"/>
      <c r="HUB155" s="3060"/>
      <c r="HUC155" s="3060"/>
      <c r="HUD155" s="3060"/>
      <c r="HUE155" s="3060"/>
      <c r="HUF155" s="3060"/>
      <c r="HUG155" s="3060"/>
      <c r="HUH155" s="3060"/>
      <c r="HUI155" s="3060"/>
      <c r="HUJ155" s="3060"/>
      <c r="HUK155" s="3060"/>
      <c r="HUL155" s="3060"/>
      <c r="HUM155" s="3060"/>
      <c r="HUN155" s="3060"/>
      <c r="HUO155" s="3060"/>
      <c r="HUP155" s="3060"/>
      <c r="HUQ155" s="3060"/>
      <c r="HUR155" s="3060"/>
      <c r="HUS155" s="3060"/>
      <c r="HUT155" s="3060"/>
      <c r="HUU155" s="3060"/>
      <c r="HUV155" s="3060"/>
      <c r="HUW155" s="3060"/>
      <c r="HUX155" s="3060"/>
      <c r="HUY155" s="3060"/>
      <c r="HUZ155" s="3060"/>
      <c r="HVA155" s="3060"/>
      <c r="HVB155" s="3060"/>
      <c r="HVC155" s="3060"/>
      <c r="HVD155" s="3060"/>
      <c r="HVE155" s="3060"/>
      <c r="HVF155" s="3060"/>
      <c r="HVG155" s="3060"/>
      <c r="HVH155" s="3060"/>
      <c r="HVI155" s="3060"/>
      <c r="HVJ155" s="3060"/>
      <c r="HVK155" s="3060"/>
      <c r="HVL155" s="3060"/>
      <c r="HVM155" s="3060"/>
      <c r="HVN155" s="3060"/>
      <c r="HVO155" s="3060"/>
      <c r="HVP155" s="3060"/>
      <c r="HVQ155" s="3060"/>
      <c r="HVR155" s="3060"/>
      <c r="HVS155" s="3060"/>
      <c r="HVT155" s="3060"/>
      <c r="HVU155" s="3060"/>
      <c r="HVV155" s="3060"/>
      <c r="HVW155" s="3060"/>
      <c r="HVX155" s="3060"/>
      <c r="HVY155" s="3060"/>
      <c r="HVZ155" s="3060"/>
      <c r="HWA155" s="3060"/>
      <c r="HWB155" s="3060"/>
      <c r="HWC155" s="3060"/>
      <c r="HWD155" s="3060"/>
      <c r="HWE155" s="3060"/>
      <c r="HWF155" s="3060"/>
      <c r="HWG155" s="3060"/>
      <c r="HWH155" s="3060"/>
      <c r="HWI155" s="3060"/>
      <c r="HWJ155" s="3060"/>
      <c r="HWK155" s="3060"/>
      <c r="HWL155" s="3060"/>
      <c r="HWM155" s="3060"/>
      <c r="HWN155" s="3060"/>
      <c r="HWO155" s="3060"/>
      <c r="HWP155" s="3060"/>
      <c r="HWQ155" s="3060"/>
      <c r="HWR155" s="3060"/>
      <c r="HWS155" s="3060"/>
      <c r="HWT155" s="3060"/>
      <c r="HWU155" s="3060"/>
      <c r="HWV155" s="3060"/>
      <c r="HWW155" s="3060"/>
      <c r="HWX155" s="3060"/>
      <c r="HWY155" s="3060"/>
      <c r="HWZ155" s="3060"/>
      <c r="HXA155" s="3060"/>
      <c r="HXB155" s="3060"/>
      <c r="HXC155" s="3060"/>
      <c r="HXD155" s="3060"/>
      <c r="HXE155" s="3060"/>
      <c r="HXF155" s="3060"/>
      <c r="HXG155" s="3060"/>
      <c r="HXH155" s="3060"/>
      <c r="HXI155" s="3060"/>
      <c r="HXJ155" s="3060"/>
      <c r="HXK155" s="3060"/>
      <c r="HXL155" s="3060"/>
      <c r="HXM155" s="3060"/>
      <c r="HXN155" s="3060"/>
      <c r="HXO155" s="3060"/>
      <c r="HXP155" s="3060"/>
      <c r="HXQ155" s="3060"/>
      <c r="HXR155" s="3060"/>
      <c r="HXS155" s="3060"/>
      <c r="HXT155" s="3060"/>
      <c r="HXU155" s="3060"/>
      <c r="HXV155" s="3060"/>
      <c r="HXW155" s="3060"/>
      <c r="HXX155" s="3060"/>
      <c r="HXY155" s="3060"/>
      <c r="HXZ155" s="3060"/>
      <c r="HYA155" s="3060"/>
      <c r="HYB155" s="3060"/>
      <c r="HYC155" s="3060"/>
      <c r="HYD155" s="3060"/>
      <c r="HYE155" s="3060"/>
      <c r="HYF155" s="3060"/>
      <c r="HYG155" s="3060"/>
      <c r="HYH155" s="3060"/>
      <c r="HYI155" s="3060"/>
      <c r="HYJ155" s="3060"/>
      <c r="HYK155" s="3060"/>
      <c r="HYL155" s="3060"/>
      <c r="HYM155" s="3060"/>
      <c r="HYN155" s="3060"/>
      <c r="HYO155" s="3060"/>
      <c r="HYP155" s="3060"/>
      <c r="HYQ155" s="3060"/>
      <c r="HYR155" s="3060"/>
      <c r="HYS155" s="3060"/>
      <c r="HYT155" s="3060"/>
      <c r="HYU155" s="3060"/>
      <c r="HYV155" s="3060"/>
      <c r="HYW155" s="3060"/>
      <c r="HYX155" s="3060"/>
      <c r="HYY155" s="3060"/>
      <c r="HYZ155" s="3060"/>
      <c r="HZA155" s="3060"/>
      <c r="HZB155" s="3060"/>
      <c r="HZC155" s="3060"/>
      <c r="HZD155" s="3060"/>
      <c r="HZE155" s="3060"/>
      <c r="HZF155" s="3060"/>
      <c r="HZG155" s="3060"/>
      <c r="HZH155" s="3060"/>
      <c r="HZI155" s="3060"/>
      <c r="HZJ155" s="3060"/>
      <c r="HZK155" s="3060"/>
      <c r="HZL155" s="3060"/>
      <c r="HZM155" s="3060"/>
      <c r="HZN155" s="3060"/>
      <c r="HZO155" s="3060"/>
      <c r="HZP155" s="3060"/>
      <c r="HZQ155" s="3060"/>
      <c r="HZR155" s="3060"/>
      <c r="HZS155" s="3060"/>
      <c r="HZT155" s="3060"/>
      <c r="HZU155" s="3060"/>
      <c r="HZV155" s="3060"/>
      <c r="HZW155" s="3060"/>
      <c r="HZX155" s="3060"/>
      <c r="HZY155" s="3060"/>
      <c r="HZZ155" s="3060"/>
      <c r="IAA155" s="3060"/>
      <c r="IAB155" s="3060"/>
      <c r="IAC155" s="3060"/>
      <c r="IAD155" s="3060"/>
      <c r="IAE155" s="3060"/>
      <c r="IAF155" s="3060"/>
      <c r="IAG155" s="3060"/>
      <c r="IAH155" s="3060"/>
      <c r="IAI155" s="3060"/>
      <c r="IAJ155" s="3060"/>
      <c r="IAK155" s="3060"/>
      <c r="IAL155" s="3060"/>
      <c r="IAM155" s="3060"/>
      <c r="IAN155" s="3060"/>
      <c r="IAO155" s="3060"/>
      <c r="IAP155" s="3060"/>
      <c r="IAQ155" s="3060"/>
      <c r="IAR155" s="3060"/>
      <c r="IAS155" s="3060"/>
      <c r="IAT155" s="3060"/>
      <c r="IAU155" s="3060"/>
      <c r="IAV155" s="3060"/>
      <c r="IAW155" s="3060"/>
      <c r="IAX155" s="3060"/>
      <c r="IAY155" s="3060"/>
      <c r="IAZ155" s="3060"/>
      <c r="IBA155" s="3060"/>
      <c r="IBB155" s="3060"/>
      <c r="IBC155" s="3060"/>
      <c r="IBD155" s="3060"/>
      <c r="IBE155" s="3060"/>
      <c r="IBF155" s="3060"/>
      <c r="IBG155" s="3060"/>
      <c r="IBH155" s="3060"/>
      <c r="IBI155" s="3060"/>
      <c r="IBJ155" s="3060"/>
      <c r="IBK155" s="3060"/>
      <c r="IBL155" s="3060"/>
      <c r="IBM155" s="3060"/>
      <c r="IBN155" s="3060"/>
      <c r="IBO155" s="3060"/>
      <c r="IBP155" s="3060"/>
      <c r="IBQ155" s="3060"/>
      <c r="IBR155" s="3060"/>
      <c r="IBS155" s="3060"/>
      <c r="IBT155" s="3060"/>
      <c r="IBU155" s="3060"/>
      <c r="IBV155" s="3060"/>
      <c r="IBW155" s="3060"/>
      <c r="IBX155" s="3060"/>
      <c r="IBY155" s="3060"/>
      <c r="IBZ155" s="3060"/>
      <c r="ICA155" s="3060"/>
      <c r="ICB155" s="3060"/>
      <c r="ICC155" s="3060"/>
      <c r="ICD155" s="3060"/>
      <c r="ICE155" s="3060"/>
      <c r="ICF155" s="3060"/>
      <c r="ICG155" s="3060"/>
      <c r="ICH155" s="3060"/>
      <c r="ICI155" s="3060"/>
      <c r="ICJ155" s="3060"/>
      <c r="ICK155" s="3060"/>
      <c r="ICL155" s="3060"/>
      <c r="ICM155" s="3060"/>
      <c r="ICN155" s="3060"/>
      <c r="ICO155" s="3060"/>
      <c r="ICP155" s="3060"/>
      <c r="ICQ155" s="3060"/>
      <c r="ICR155" s="3060"/>
      <c r="ICS155" s="3060"/>
      <c r="ICT155" s="3060"/>
      <c r="ICU155" s="3060"/>
      <c r="ICV155" s="3060"/>
      <c r="ICW155" s="3060"/>
      <c r="ICX155" s="3060"/>
      <c r="ICY155" s="3060"/>
      <c r="ICZ155" s="3060"/>
      <c r="IDA155" s="3060"/>
      <c r="IDB155" s="3060"/>
      <c r="IDC155" s="3060"/>
      <c r="IDD155" s="3060"/>
      <c r="IDE155" s="3060"/>
      <c r="IDF155" s="3060"/>
      <c r="IDG155" s="3060"/>
      <c r="IDH155" s="3060"/>
      <c r="IDI155" s="3060"/>
      <c r="IDJ155" s="3060"/>
      <c r="IDK155" s="3060"/>
      <c r="IDL155" s="3060"/>
      <c r="IDM155" s="3060"/>
      <c r="IDN155" s="3060"/>
      <c r="IDO155" s="3060"/>
      <c r="IDP155" s="3060"/>
      <c r="IDQ155" s="3060"/>
      <c r="IDR155" s="3060"/>
      <c r="IDS155" s="3060"/>
      <c r="IDT155" s="3060"/>
      <c r="IDU155" s="3060"/>
      <c r="IDV155" s="3060"/>
      <c r="IDW155" s="3060"/>
      <c r="IDX155" s="3060"/>
      <c r="IDY155" s="3060"/>
      <c r="IDZ155" s="3060"/>
      <c r="IEA155" s="3060"/>
      <c r="IEB155" s="3060"/>
      <c r="IEC155" s="3060"/>
      <c r="IED155" s="3060"/>
      <c r="IEE155" s="3060"/>
      <c r="IEF155" s="3060"/>
      <c r="IEG155" s="3060"/>
      <c r="IEH155" s="3060"/>
      <c r="IEI155" s="3060"/>
      <c r="IEJ155" s="3060"/>
      <c r="IEK155" s="3060"/>
      <c r="IEL155" s="3060"/>
      <c r="IEM155" s="3060"/>
      <c r="IEN155" s="3060"/>
      <c r="IEO155" s="3060"/>
      <c r="IEP155" s="3060"/>
      <c r="IEQ155" s="3060"/>
      <c r="IER155" s="3060"/>
      <c r="IES155" s="3060"/>
      <c r="IET155" s="3060"/>
      <c r="IEU155" s="3060"/>
      <c r="IEV155" s="3060"/>
      <c r="IEW155" s="3060"/>
      <c r="IEX155" s="3060"/>
      <c r="IEY155" s="3060"/>
      <c r="IEZ155" s="3060"/>
      <c r="IFA155" s="3060"/>
      <c r="IFB155" s="3060"/>
      <c r="IFC155" s="3060"/>
      <c r="IFD155" s="3060"/>
      <c r="IFE155" s="3060"/>
      <c r="IFF155" s="3060"/>
      <c r="IFG155" s="3060"/>
      <c r="IFH155" s="3060"/>
      <c r="IFI155" s="3060"/>
      <c r="IFJ155" s="3060"/>
      <c r="IFK155" s="3060"/>
      <c r="IFL155" s="3060"/>
      <c r="IFM155" s="3060"/>
      <c r="IFN155" s="3060"/>
      <c r="IFO155" s="3060"/>
      <c r="IFP155" s="3060"/>
      <c r="IFQ155" s="3060"/>
      <c r="IFR155" s="3060"/>
      <c r="IFS155" s="3060"/>
      <c r="IFT155" s="3060"/>
      <c r="IFU155" s="3060"/>
      <c r="IFV155" s="3060"/>
      <c r="IFW155" s="3060"/>
      <c r="IFX155" s="3060"/>
      <c r="IFY155" s="3060"/>
      <c r="IFZ155" s="3060"/>
      <c r="IGA155" s="3060"/>
      <c r="IGB155" s="3060"/>
      <c r="IGC155" s="3060"/>
      <c r="IGD155" s="3060"/>
      <c r="IGE155" s="3060"/>
      <c r="IGF155" s="3060"/>
      <c r="IGG155" s="3060"/>
      <c r="IGH155" s="3060"/>
      <c r="IGI155" s="3060"/>
      <c r="IGJ155" s="3060"/>
      <c r="IGK155" s="3060"/>
      <c r="IGL155" s="3060"/>
      <c r="IGM155" s="3060"/>
      <c r="IGN155" s="3060"/>
      <c r="IGO155" s="3060"/>
      <c r="IGP155" s="3060"/>
      <c r="IGQ155" s="3060"/>
      <c r="IGR155" s="3060"/>
      <c r="IGS155" s="3060"/>
      <c r="IGT155" s="3060"/>
      <c r="IGU155" s="3060"/>
      <c r="IGV155" s="3060"/>
      <c r="IGW155" s="3060"/>
      <c r="IGX155" s="3060"/>
      <c r="IGY155" s="3060"/>
      <c r="IGZ155" s="3060"/>
      <c r="IHA155" s="3060"/>
      <c r="IHB155" s="3060"/>
      <c r="IHC155" s="3060"/>
      <c r="IHD155" s="3060"/>
      <c r="IHE155" s="3060"/>
      <c r="IHF155" s="3060"/>
      <c r="IHG155" s="3060"/>
      <c r="IHH155" s="3060"/>
      <c r="IHI155" s="3060"/>
      <c r="IHJ155" s="3060"/>
      <c r="IHK155" s="3060"/>
      <c r="IHL155" s="3060"/>
      <c r="IHM155" s="3060"/>
      <c r="IHN155" s="3060"/>
      <c r="IHO155" s="3060"/>
      <c r="IHP155" s="3060"/>
      <c r="IHQ155" s="3060"/>
      <c r="IHR155" s="3060"/>
      <c r="IHS155" s="3060"/>
      <c r="IHT155" s="3060"/>
      <c r="IHU155" s="3060"/>
      <c r="IHV155" s="3060"/>
      <c r="IHW155" s="3060"/>
      <c r="IHX155" s="3060"/>
      <c r="IHY155" s="3060"/>
      <c r="IHZ155" s="3060"/>
      <c r="IIA155" s="3060"/>
      <c r="IIB155" s="3060"/>
      <c r="IIC155" s="3060"/>
      <c r="IID155" s="3060"/>
      <c r="IIE155" s="3060"/>
      <c r="IIF155" s="3060"/>
      <c r="IIG155" s="3060"/>
      <c r="IIH155" s="3060"/>
      <c r="III155" s="3060"/>
      <c r="IIJ155" s="3060"/>
      <c r="IIK155" s="3060"/>
      <c r="IIL155" s="3060"/>
      <c r="IIM155" s="3060"/>
      <c r="IIN155" s="3060"/>
      <c r="IIO155" s="3060"/>
      <c r="IIP155" s="3060"/>
      <c r="IIQ155" s="3060"/>
      <c r="IIR155" s="3060"/>
      <c r="IIS155" s="3060"/>
      <c r="IIT155" s="3060"/>
      <c r="IIU155" s="3060"/>
      <c r="IIV155" s="3060"/>
      <c r="IIW155" s="3060"/>
      <c r="IIX155" s="3060"/>
      <c r="IIY155" s="3060"/>
      <c r="IIZ155" s="3060"/>
      <c r="IJA155" s="3060"/>
      <c r="IJB155" s="3060"/>
      <c r="IJC155" s="3060"/>
      <c r="IJD155" s="3060"/>
      <c r="IJE155" s="3060"/>
      <c r="IJF155" s="3060"/>
      <c r="IJG155" s="3060"/>
      <c r="IJH155" s="3060"/>
      <c r="IJI155" s="3060"/>
      <c r="IJJ155" s="3060"/>
      <c r="IJK155" s="3060"/>
      <c r="IJL155" s="3060"/>
      <c r="IJM155" s="3060"/>
      <c r="IJN155" s="3060"/>
      <c r="IJO155" s="3060"/>
      <c r="IJP155" s="3060"/>
      <c r="IJQ155" s="3060"/>
      <c r="IJR155" s="3060"/>
      <c r="IJS155" s="3060"/>
      <c r="IJT155" s="3060"/>
      <c r="IJU155" s="3060"/>
      <c r="IJV155" s="3060"/>
      <c r="IJW155" s="3060"/>
      <c r="IJX155" s="3060"/>
      <c r="IJY155" s="3060"/>
      <c r="IJZ155" s="3060"/>
      <c r="IKA155" s="3060"/>
      <c r="IKB155" s="3060"/>
      <c r="IKC155" s="3060"/>
      <c r="IKD155" s="3060"/>
      <c r="IKE155" s="3060"/>
      <c r="IKF155" s="3060"/>
      <c r="IKG155" s="3060"/>
      <c r="IKH155" s="3060"/>
      <c r="IKI155" s="3060"/>
      <c r="IKJ155" s="3060"/>
      <c r="IKK155" s="3060"/>
      <c r="IKL155" s="3060"/>
      <c r="IKM155" s="3060"/>
      <c r="IKN155" s="3060"/>
      <c r="IKO155" s="3060"/>
      <c r="IKP155" s="3060"/>
      <c r="IKQ155" s="3060"/>
      <c r="IKR155" s="3060"/>
      <c r="IKS155" s="3060"/>
      <c r="IKT155" s="3060"/>
      <c r="IKU155" s="3060"/>
      <c r="IKV155" s="3060"/>
      <c r="IKW155" s="3060"/>
      <c r="IKX155" s="3060"/>
      <c r="IKY155" s="3060"/>
      <c r="IKZ155" s="3060"/>
      <c r="ILA155" s="3060"/>
      <c r="ILB155" s="3060"/>
      <c r="ILC155" s="3060"/>
      <c r="ILD155" s="3060"/>
      <c r="ILE155" s="3060"/>
      <c r="ILF155" s="3060"/>
      <c r="ILG155" s="3060"/>
      <c r="ILH155" s="3060"/>
      <c r="ILI155" s="3060"/>
      <c r="ILJ155" s="3060"/>
      <c r="ILK155" s="3060"/>
      <c r="ILL155" s="3060"/>
      <c r="ILM155" s="3060"/>
      <c r="ILN155" s="3060"/>
      <c r="ILO155" s="3060"/>
      <c r="ILP155" s="3060"/>
      <c r="ILQ155" s="3060"/>
      <c r="ILR155" s="3060"/>
      <c r="ILS155" s="3060"/>
      <c r="ILT155" s="3060"/>
      <c r="ILU155" s="3060"/>
      <c r="ILV155" s="3060"/>
      <c r="ILW155" s="3060"/>
      <c r="ILX155" s="3060"/>
      <c r="ILY155" s="3060"/>
      <c r="ILZ155" s="3060"/>
      <c r="IMA155" s="3060"/>
      <c r="IMB155" s="3060"/>
      <c r="IMC155" s="3060"/>
      <c r="IMD155" s="3060"/>
      <c r="IME155" s="3060"/>
      <c r="IMF155" s="3060"/>
      <c r="IMG155" s="3060"/>
      <c r="IMH155" s="3060"/>
      <c r="IMI155" s="3060"/>
      <c r="IMJ155" s="3060"/>
      <c r="IMK155" s="3060"/>
      <c r="IML155" s="3060"/>
      <c r="IMM155" s="3060"/>
      <c r="IMN155" s="3060"/>
      <c r="IMO155" s="3060"/>
      <c r="IMP155" s="3060"/>
      <c r="IMQ155" s="3060"/>
      <c r="IMR155" s="3060"/>
      <c r="IMS155" s="3060"/>
      <c r="IMT155" s="3060"/>
      <c r="IMU155" s="3060"/>
      <c r="IMV155" s="3060"/>
      <c r="IMW155" s="3060"/>
      <c r="IMX155" s="3060"/>
      <c r="IMY155" s="3060"/>
      <c r="IMZ155" s="3060"/>
      <c r="INA155" s="3060"/>
      <c r="INB155" s="3060"/>
      <c r="INC155" s="3060"/>
      <c r="IND155" s="3060"/>
      <c r="INE155" s="3060"/>
      <c r="INF155" s="3060"/>
      <c r="ING155" s="3060"/>
      <c r="INH155" s="3060"/>
      <c r="INI155" s="3060"/>
      <c r="INJ155" s="3060"/>
      <c r="INK155" s="3060"/>
      <c r="INL155" s="3060"/>
      <c r="INM155" s="3060"/>
      <c r="INN155" s="3060"/>
      <c r="INO155" s="3060"/>
      <c r="INP155" s="3060"/>
      <c r="INQ155" s="3060"/>
      <c r="INR155" s="3060"/>
      <c r="INS155" s="3060"/>
      <c r="INT155" s="3060"/>
      <c r="INU155" s="3060"/>
      <c r="INV155" s="3060"/>
      <c r="INW155" s="3060"/>
      <c r="INX155" s="3060"/>
      <c r="INY155" s="3060"/>
      <c r="INZ155" s="3060"/>
      <c r="IOA155" s="3060"/>
      <c r="IOB155" s="3060"/>
      <c r="IOC155" s="3060"/>
      <c r="IOD155" s="3060"/>
      <c r="IOE155" s="3060"/>
      <c r="IOF155" s="3060"/>
      <c r="IOG155" s="3060"/>
      <c r="IOH155" s="3060"/>
      <c r="IOI155" s="3060"/>
      <c r="IOJ155" s="3060"/>
      <c r="IOK155" s="3060"/>
      <c r="IOL155" s="3060"/>
      <c r="IOM155" s="3060"/>
      <c r="ION155" s="3060"/>
      <c r="IOO155" s="3060"/>
      <c r="IOP155" s="3060"/>
      <c r="IOQ155" s="3060"/>
      <c r="IOR155" s="3060"/>
      <c r="IOS155" s="3060"/>
      <c r="IOT155" s="3060"/>
      <c r="IOU155" s="3060"/>
      <c r="IOV155" s="3060"/>
      <c r="IOW155" s="3060"/>
      <c r="IOX155" s="3060"/>
      <c r="IOY155" s="3060"/>
      <c r="IOZ155" s="3060"/>
      <c r="IPA155" s="3060"/>
      <c r="IPB155" s="3060"/>
      <c r="IPC155" s="3060"/>
      <c r="IPD155" s="3060"/>
      <c r="IPE155" s="3060"/>
      <c r="IPF155" s="3060"/>
      <c r="IPG155" s="3060"/>
      <c r="IPH155" s="3060"/>
      <c r="IPI155" s="3060"/>
      <c r="IPJ155" s="3060"/>
      <c r="IPK155" s="3060"/>
      <c r="IPL155" s="3060"/>
      <c r="IPM155" s="3060"/>
      <c r="IPN155" s="3060"/>
      <c r="IPO155" s="3060"/>
      <c r="IPP155" s="3060"/>
      <c r="IPQ155" s="3060"/>
      <c r="IPR155" s="3060"/>
      <c r="IPS155" s="3060"/>
      <c r="IPT155" s="3060"/>
      <c r="IPU155" s="3060"/>
      <c r="IPV155" s="3060"/>
      <c r="IPW155" s="3060"/>
      <c r="IPX155" s="3060"/>
      <c r="IPY155" s="3060"/>
      <c r="IPZ155" s="3060"/>
      <c r="IQA155" s="3060"/>
      <c r="IQB155" s="3060"/>
      <c r="IQC155" s="3060"/>
      <c r="IQD155" s="3060"/>
      <c r="IQE155" s="3060"/>
      <c r="IQF155" s="3060"/>
      <c r="IQG155" s="3060"/>
      <c r="IQH155" s="3060"/>
      <c r="IQI155" s="3060"/>
      <c r="IQJ155" s="3060"/>
      <c r="IQK155" s="3060"/>
      <c r="IQL155" s="3060"/>
      <c r="IQM155" s="3060"/>
      <c r="IQN155" s="3060"/>
      <c r="IQO155" s="3060"/>
      <c r="IQP155" s="3060"/>
      <c r="IQQ155" s="3060"/>
      <c r="IQR155" s="3060"/>
      <c r="IQS155" s="3060"/>
      <c r="IQT155" s="3060"/>
      <c r="IQU155" s="3060"/>
      <c r="IQV155" s="3060"/>
      <c r="IQW155" s="3060"/>
      <c r="IQX155" s="3060"/>
      <c r="IQY155" s="3060"/>
      <c r="IQZ155" s="3060"/>
      <c r="IRA155" s="3060"/>
      <c r="IRB155" s="3060"/>
      <c r="IRC155" s="3060"/>
      <c r="IRD155" s="3060"/>
      <c r="IRE155" s="3060"/>
      <c r="IRF155" s="3060"/>
      <c r="IRG155" s="3060"/>
      <c r="IRH155" s="3060"/>
      <c r="IRI155" s="3060"/>
      <c r="IRJ155" s="3060"/>
      <c r="IRK155" s="3060"/>
      <c r="IRL155" s="3060"/>
      <c r="IRM155" s="3060"/>
      <c r="IRN155" s="3060"/>
      <c r="IRO155" s="3060"/>
      <c r="IRP155" s="3060"/>
      <c r="IRQ155" s="3060"/>
      <c r="IRR155" s="3060"/>
      <c r="IRS155" s="3060"/>
      <c r="IRT155" s="3060"/>
      <c r="IRU155" s="3060"/>
      <c r="IRV155" s="3060"/>
      <c r="IRW155" s="3060"/>
      <c r="IRX155" s="3060"/>
      <c r="IRY155" s="3060"/>
      <c r="IRZ155" s="3060"/>
      <c r="ISA155" s="3060"/>
      <c r="ISB155" s="3060"/>
      <c r="ISC155" s="3060"/>
      <c r="ISD155" s="3060"/>
      <c r="ISE155" s="3060"/>
      <c r="ISF155" s="3060"/>
      <c r="ISG155" s="3060"/>
      <c r="ISH155" s="3060"/>
      <c r="ISI155" s="3060"/>
      <c r="ISJ155" s="3060"/>
      <c r="ISK155" s="3060"/>
      <c r="ISL155" s="3060"/>
      <c r="ISM155" s="3060"/>
      <c r="ISN155" s="3060"/>
      <c r="ISO155" s="3060"/>
      <c r="ISP155" s="3060"/>
      <c r="ISQ155" s="3060"/>
      <c r="ISR155" s="3060"/>
      <c r="ISS155" s="3060"/>
      <c r="IST155" s="3060"/>
      <c r="ISU155" s="3060"/>
      <c r="ISV155" s="3060"/>
      <c r="ISW155" s="3060"/>
      <c r="ISX155" s="3060"/>
      <c r="ISY155" s="3060"/>
      <c r="ISZ155" s="3060"/>
      <c r="ITA155" s="3060"/>
      <c r="ITB155" s="3060"/>
      <c r="ITC155" s="3060"/>
      <c r="ITD155" s="3060"/>
      <c r="ITE155" s="3060"/>
      <c r="ITF155" s="3060"/>
      <c r="ITG155" s="3060"/>
      <c r="ITH155" s="3060"/>
      <c r="ITI155" s="3060"/>
      <c r="ITJ155" s="3060"/>
      <c r="ITK155" s="3060"/>
      <c r="ITL155" s="3060"/>
      <c r="ITM155" s="3060"/>
      <c r="ITN155" s="3060"/>
      <c r="ITO155" s="3060"/>
      <c r="ITP155" s="3060"/>
      <c r="ITQ155" s="3060"/>
      <c r="ITR155" s="3060"/>
      <c r="ITS155" s="3060"/>
      <c r="ITT155" s="3060"/>
      <c r="ITU155" s="3060"/>
      <c r="ITV155" s="3060"/>
      <c r="ITW155" s="3060"/>
      <c r="ITX155" s="3060"/>
      <c r="ITY155" s="3060"/>
      <c r="ITZ155" s="3060"/>
      <c r="IUA155" s="3060"/>
      <c r="IUB155" s="3060"/>
      <c r="IUC155" s="3060"/>
      <c r="IUD155" s="3060"/>
      <c r="IUE155" s="3060"/>
      <c r="IUF155" s="3060"/>
      <c r="IUG155" s="3060"/>
      <c r="IUH155" s="3060"/>
      <c r="IUI155" s="3060"/>
      <c r="IUJ155" s="3060"/>
      <c r="IUK155" s="3060"/>
      <c r="IUL155" s="3060"/>
      <c r="IUM155" s="3060"/>
      <c r="IUN155" s="3060"/>
      <c r="IUO155" s="3060"/>
      <c r="IUP155" s="3060"/>
      <c r="IUQ155" s="3060"/>
      <c r="IUR155" s="3060"/>
      <c r="IUS155" s="3060"/>
      <c r="IUT155" s="3060"/>
      <c r="IUU155" s="3060"/>
      <c r="IUV155" s="3060"/>
      <c r="IUW155" s="3060"/>
      <c r="IUX155" s="3060"/>
      <c r="IUY155" s="3060"/>
      <c r="IUZ155" s="3060"/>
      <c r="IVA155" s="3060"/>
      <c r="IVB155" s="3060"/>
      <c r="IVC155" s="3060"/>
      <c r="IVD155" s="3060"/>
      <c r="IVE155" s="3060"/>
      <c r="IVF155" s="3060"/>
      <c r="IVG155" s="3060"/>
      <c r="IVH155" s="3060"/>
      <c r="IVI155" s="3060"/>
      <c r="IVJ155" s="3060"/>
      <c r="IVK155" s="3060"/>
      <c r="IVL155" s="3060"/>
      <c r="IVM155" s="3060"/>
      <c r="IVN155" s="3060"/>
      <c r="IVO155" s="3060"/>
      <c r="IVP155" s="3060"/>
      <c r="IVQ155" s="3060"/>
      <c r="IVR155" s="3060"/>
      <c r="IVS155" s="3060"/>
      <c r="IVT155" s="3060"/>
      <c r="IVU155" s="3060"/>
      <c r="IVV155" s="3060"/>
      <c r="IVW155" s="3060"/>
      <c r="IVX155" s="3060"/>
      <c r="IVY155" s="3060"/>
      <c r="IVZ155" s="3060"/>
      <c r="IWA155" s="3060"/>
      <c r="IWB155" s="3060"/>
      <c r="IWC155" s="3060"/>
      <c r="IWD155" s="3060"/>
      <c r="IWE155" s="3060"/>
      <c r="IWF155" s="3060"/>
      <c r="IWG155" s="3060"/>
      <c r="IWH155" s="3060"/>
      <c r="IWI155" s="3060"/>
      <c r="IWJ155" s="3060"/>
      <c r="IWK155" s="3060"/>
      <c r="IWL155" s="3060"/>
      <c r="IWM155" s="3060"/>
      <c r="IWN155" s="3060"/>
      <c r="IWO155" s="3060"/>
      <c r="IWP155" s="3060"/>
      <c r="IWQ155" s="3060"/>
      <c r="IWR155" s="3060"/>
      <c r="IWS155" s="3060"/>
      <c r="IWT155" s="3060"/>
      <c r="IWU155" s="3060"/>
      <c r="IWV155" s="3060"/>
      <c r="IWW155" s="3060"/>
      <c r="IWX155" s="3060"/>
      <c r="IWY155" s="3060"/>
      <c r="IWZ155" s="3060"/>
      <c r="IXA155" s="3060"/>
      <c r="IXB155" s="3060"/>
      <c r="IXC155" s="3060"/>
      <c r="IXD155" s="3060"/>
      <c r="IXE155" s="3060"/>
      <c r="IXF155" s="3060"/>
      <c r="IXG155" s="3060"/>
      <c r="IXH155" s="3060"/>
      <c r="IXI155" s="3060"/>
      <c r="IXJ155" s="3060"/>
      <c r="IXK155" s="3060"/>
      <c r="IXL155" s="3060"/>
      <c r="IXM155" s="3060"/>
      <c r="IXN155" s="3060"/>
      <c r="IXO155" s="3060"/>
      <c r="IXP155" s="3060"/>
      <c r="IXQ155" s="3060"/>
      <c r="IXR155" s="3060"/>
      <c r="IXS155" s="3060"/>
      <c r="IXT155" s="3060"/>
      <c r="IXU155" s="3060"/>
      <c r="IXV155" s="3060"/>
      <c r="IXW155" s="3060"/>
      <c r="IXX155" s="3060"/>
      <c r="IXY155" s="3060"/>
      <c r="IXZ155" s="3060"/>
      <c r="IYA155" s="3060"/>
      <c r="IYB155" s="3060"/>
      <c r="IYC155" s="3060"/>
      <c r="IYD155" s="3060"/>
      <c r="IYE155" s="3060"/>
      <c r="IYF155" s="3060"/>
      <c r="IYG155" s="3060"/>
      <c r="IYH155" s="3060"/>
      <c r="IYI155" s="3060"/>
      <c r="IYJ155" s="3060"/>
      <c r="IYK155" s="3060"/>
      <c r="IYL155" s="3060"/>
      <c r="IYM155" s="3060"/>
      <c r="IYN155" s="3060"/>
      <c r="IYO155" s="3060"/>
      <c r="IYP155" s="3060"/>
      <c r="IYQ155" s="3060"/>
      <c r="IYR155" s="3060"/>
      <c r="IYS155" s="3060"/>
      <c r="IYT155" s="3060"/>
      <c r="IYU155" s="3060"/>
      <c r="IYV155" s="3060"/>
      <c r="IYW155" s="3060"/>
      <c r="IYX155" s="3060"/>
      <c r="IYY155" s="3060"/>
      <c r="IYZ155" s="3060"/>
      <c r="IZA155" s="3060"/>
      <c r="IZB155" s="3060"/>
      <c r="IZC155" s="3060"/>
      <c r="IZD155" s="3060"/>
      <c r="IZE155" s="3060"/>
      <c r="IZF155" s="3060"/>
      <c r="IZG155" s="3060"/>
      <c r="IZH155" s="3060"/>
      <c r="IZI155" s="3060"/>
      <c r="IZJ155" s="3060"/>
      <c r="IZK155" s="3060"/>
      <c r="IZL155" s="3060"/>
      <c r="IZM155" s="3060"/>
      <c r="IZN155" s="3060"/>
      <c r="IZO155" s="3060"/>
      <c r="IZP155" s="3060"/>
      <c r="IZQ155" s="3060"/>
      <c r="IZR155" s="3060"/>
      <c r="IZS155" s="3060"/>
      <c r="IZT155" s="3060"/>
      <c r="IZU155" s="3060"/>
      <c r="IZV155" s="3060"/>
      <c r="IZW155" s="3060"/>
      <c r="IZX155" s="3060"/>
      <c r="IZY155" s="3060"/>
      <c r="IZZ155" s="3060"/>
      <c r="JAA155" s="3060"/>
      <c r="JAB155" s="3060"/>
      <c r="JAC155" s="3060"/>
      <c r="JAD155" s="3060"/>
      <c r="JAE155" s="3060"/>
      <c r="JAF155" s="3060"/>
      <c r="JAG155" s="3060"/>
      <c r="JAH155" s="3060"/>
      <c r="JAI155" s="3060"/>
      <c r="JAJ155" s="3060"/>
      <c r="JAK155" s="3060"/>
      <c r="JAL155" s="3060"/>
      <c r="JAM155" s="3060"/>
      <c r="JAN155" s="3060"/>
      <c r="JAO155" s="3060"/>
      <c r="JAP155" s="3060"/>
      <c r="JAQ155" s="3060"/>
      <c r="JAR155" s="3060"/>
      <c r="JAS155" s="3060"/>
      <c r="JAT155" s="3060"/>
      <c r="JAU155" s="3060"/>
      <c r="JAV155" s="3060"/>
      <c r="JAW155" s="3060"/>
      <c r="JAX155" s="3060"/>
      <c r="JAY155" s="3060"/>
      <c r="JAZ155" s="3060"/>
      <c r="JBA155" s="3060"/>
      <c r="JBB155" s="3060"/>
      <c r="JBC155" s="3060"/>
      <c r="JBD155" s="3060"/>
      <c r="JBE155" s="3060"/>
      <c r="JBF155" s="3060"/>
      <c r="JBG155" s="3060"/>
      <c r="JBH155" s="3060"/>
      <c r="JBI155" s="3060"/>
      <c r="JBJ155" s="3060"/>
      <c r="JBK155" s="3060"/>
      <c r="JBL155" s="3060"/>
      <c r="JBM155" s="3060"/>
      <c r="JBN155" s="3060"/>
      <c r="JBO155" s="3060"/>
      <c r="JBP155" s="3060"/>
      <c r="JBQ155" s="3060"/>
      <c r="JBR155" s="3060"/>
      <c r="JBS155" s="3060"/>
      <c r="JBT155" s="3060"/>
      <c r="JBU155" s="3060"/>
      <c r="JBV155" s="3060"/>
      <c r="JBW155" s="3060"/>
      <c r="JBX155" s="3060"/>
      <c r="JBY155" s="3060"/>
      <c r="JBZ155" s="3060"/>
      <c r="JCA155" s="3060"/>
      <c r="JCB155" s="3060"/>
      <c r="JCC155" s="3060"/>
      <c r="JCD155" s="3060"/>
      <c r="JCE155" s="3060"/>
      <c r="JCF155" s="3060"/>
      <c r="JCG155" s="3060"/>
      <c r="JCH155" s="3060"/>
      <c r="JCI155" s="3060"/>
      <c r="JCJ155" s="3060"/>
      <c r="JCK155" s="3060"/>
      <c r="JCL155" s="3060"/>
      <c r="JCM155" s="3060"/>
      <c r="JCN155" s="3060"/>
      <c r="JCO155" s="3060"/>
      <c r="JCP155" s="3060"/>
      <c r="JCQ155" s="3060"/>
      <c r="JCR155" s="3060"/>
      <c r="JCS155" s="3060"/>
      <c r="JCT155" s="3060"/>
      <c r="JCU155" s="3060"/>
      <c r="JCV155" s="3060"/>
      <c r="JCW155" s="3060"/>
      <c r="JCX155" s="3060"/>
      <c r="JCY155" s="3060"/>
      <c r="JCZ155" s="3060"/>
      <c r="JDA155" s="3060"/>
      <c r="JDB155" s="3060"/>
      <c r="JDC155" s="3060"/>
      <c r="JDD155" s="3060"/>
      <c r="JDE155" s="3060"/>
      <c r="JDF155" s="3060"/>
      <c r="JDG155" s="3060"/>
      <c r="JDH155" s="3060"/>
      <c r="JDI155" s="3060"/>
      <c r="JDJ155" s="3060"/>
      <c r="JDK155" s="3060"/>
      <c r="JDL155" s="3060"/>
      <c r="JDM155" s="3060"/>
      <c r="JDN155" s="3060"/>
      <c r="JDO155" s="3060"/>
      <c r="JDP155" s="3060"/>
      <c r="JDQ155" s="3060"/>
      <c r="JDR155" s="3060"/>
      <c r="JDS155" s="3060"/>
      <c r="JDT155" s="3060"/>
      <c r="JDU155" s="3060"/>
      <c r="JDV155" s="3060"/>
      <c r="JDW155" s="3060"/>
      <c r="JDX155" s="3060"/>
      <c r="JDY155" s="3060"/>
      <c r="JDZ155" s="3060"/>
      <c r="JEA155" s="3060"/>
      <c r="JEB155" s="3060"/>
      <c r="JEC155" s="3060"/>
      <c r="JED155" s="3060"/>
      <c r="JEE155" s="3060"/>
      <c r="JEF155" s="3060"/>
      <c r="JEG155" s="3060"/>
      <c r="JEH155" s="3060"/>
      <c r="JEI155" s="3060"/>
      <c r="JEJ155" s="3060"/>
      <c r="JEK155" s="3060"/>
      <c r="JEL155" s="3060"/>
      <c r="JEM155" s="3060"/>
      <c r="JEN155" s="3060"/>
      <c r="JEO155" s="3060"/>
      <c r="JEP155" s="3060"/>
      <c r="JEQ155" s="3060"/>
      <c r="JER155" s="3060"/>
      <c r="JES155" s="3060"/>
      <c r="JET155" s="3060"/>
      <c r="JEU155" s="3060"/>
      <c r="JEV155" s="3060"/>
      <c r="JEW155" s="3060"/>
      <c r="JEX155" s="3060"/>
      <c r="JEY155" s="3060"/>
      <c r="JEZ155" s="3060"/>
      <c r="JFA155" s="3060"/>
      <c r="JFB155" s="3060"/>
      <c r="JFC155" s="3060"/>
      <c r="JFD155" s="3060"/>
      <c r="JFE155" s="3060"/>
      <c r="JFF155" s="3060"/>
      <c r="JFG155" s="3060"/>
      <c r="JFH155" s="3060"/>
      <c r="JFI155" s="3060"/>
      <c r="JFJ155" s="3060"/>
      <c r="JFK155" s="3060"/>
      <c r="JFL155" s="3060"/>
      <c r="JFM155" s="3060"/>
      <c r="JFN155" s="3060"/>
      <c r="JFO155" s="3060"/>
      <c r="JFP155" s="3060"/>
      <c r="JFQ155" s="3060"/>
      <c r="JFR155" s="3060"/>
      <c r="JFS155" s="3060"/>
      <c r="JFT155" s="3060"/>
      <c r="JFU155" s="3060"/>
      <c r="JFV155" s="3060"/>
      <c r="JFW155" s="3060"/>
      <c r="JFX155" s="3060"/>
      <c r="JFY155" s="3060"/>
      <c r="JFZ155" s="3060"/>
      <c r="JGA155" s="3060"/>
      <c r="JGB155" s="3060"/>
      <c r="JGC155" s="3060"/>
      <c r="JGD155" s="3060"/>
      <c r="JGE155" s="3060"/>
      <c r="JGF155" s="3060"/>
      <c r="JGG155" s="3060"/>
      <c r="JGH155" s="3060"/>
      <c r="JGI155" s="3060"/>
      <c r="JGJ155" s="3060"/>
      <c r="JGK155" s="3060"/>
      <c r="JGL155" s="3060"/>
      <c r="JGM155" s="3060"/>
      <c r="JGN155" s="3060"/>
      <c r="JGO155" s="3060"/>
      <c r="JGP155" s="3060"/>
      <c r="JGQ155" s="3060"/>
      <c r="JGR155" s="3060"/>
      <c r="JGS155" s="3060"/>
      <c r="JGT155" s="3060"/>
      <c r="JGU155" s="3060"/>
      <c r="JGV155" s="3060"/>
      <c r="JGW155" s="3060"/>
      <c r="JGX155" s="3060"/>
      <c r="JGY155" s="3060"/>
      <c r="JGZ155" s="3060"/>
      <c r="JHA155" s="3060"/>
      <c r="JHB155" s="3060"/>
      <c r="JHC155" s="3060"/>
      <c r="JHD155" s="3060"/>
      <c r="JHE155" s="3060"/>
      <c r="JHF155" s="3060"/>
      <c r="JHG155" s="3060"/>
      <c r="JHH155" s="3060"/>
      <c r="JHI155" s="3060"/>
      <c r="JHJ155" s="3060"/>
      <c r="JHK155" s="3060"/>
      <c r="JHL155" s="3060"/>
      <c r="JHM155" s="3060"/>
      <c r="JHN155" s="3060"/>
      <c r="JHO155" s="3060"/>
      <c r="JHP155" s="3060"/>
      <c r="JHQ155" s="3060"/>
      <c r="JHR155" s="3060"/>
      <c r="JHS155" s="3060"/>
      <c r="JHT155" s="3060"/>
      <c r="JHU155" s="3060"/>
      <c r="JHV155" s="3060"/>
      <c r="JHW155" s="3060"/>
      <c r="JHX155" s="3060"/>
      <c r="JHY155" s="3060"/>
      <c r="JHZ155" s="3060"/>
      <c r="JIA155" s="3060"/>
      <c r="JIB155" s="3060"/>
      <c r="JIC155" s="3060"/>
      <c r="JID155" s="3060"/>
      <c r="JIE155" s="3060"/>
      <c r="JIF155" s="3060"/>
      <c r="JIG155" s="3060"/>
      <c r="JIH155" s="3060"/>
      <c r="JII155" s="3060"/>
      <c r="JIJ155" s="3060"/>
      <c r="JIK155" s="3060"/>
      <c r="JIL155" s="3060"/>
      <c r="JIM155" s="3060"/>
      <c r="JIN155" s="3060"/>
      <c r="JIO155" s="3060"/>
      <c r="JIP155" s="3060"/>
      <c r="JIQ155" s="3060"/>
      <c r="JIR155" s="3060"/>
      <c r="JIS155" s="3060"/>
      <c r="JIT155" s="3060"/>
      <c r="JIU155" s="3060"/>
      <c r="JIV155" s="3060"/>
      <c r="JIW155" s="3060"/>
      <c r="JIX155" s="3060"/>
      <c r="JIY155" s="3060"/>
      <c r="JIZ155" s="3060"/>
      <c r="JJA155" s="3060"/>
      <c r="JJB155" s="3060"/>
      <c r="JJC155" s="3060"/>
      <c r="JJD155" s="3060"/>
      <c r="JJE155" s="3060"/>
      <c r="JJF155" s="3060"/>
      <c r="JJG155" s="3060"/>
      <c r="JJH155" s="3060"/>
      <c r="JJI155" s="3060"/>
      <c r="JJJ155" s="3060"/>
      <c r="JJK155" s="3060"/>
      <c r="JJL155" s="3060"/>
      <c r="JJM155" s="3060"/>
      <c r="JJN155" s="3060"/>
      <c r="JJO155" s="3060"/>
      <c r="JJP155" s="3060"/>
      <c r="JJQ155" s="3060"/>
      <c r="JJR155" s="3060"/>
      <c r="JJS155" s="3060"/>
      <c r="JJT155" s="3060"/>
      <c r="JJU155" s="3060"/>
      <c r="JJV155" s="3060"/>
      <c r="JJW155" s="3060"/>
      <c r="JJX155" s="3060"/>
      <c r="JJY155" s="3060"/>
      <c r="JJZ155" s="3060"/>
      <c r="JKA155" s="3060"/>
      <c r="JKB155" s="3060"/>
      <c r="JKC155" s="3060"/>
      <c r="JKD155" s="3060"/>
      <c r="JKE155" s="3060"/>
      <c r="JKF155" s="3060"/>
      <c r="JKG155" s="3060"/>
      <c r="JKH155" s="3060"/>
      <c r="JKI155" s="3060"/>
      <c r="JKJ155" s="3060"/>
      <c r="JKK155" s="3060"/>
      <c r="JKL155" s="3060"/>
      <c r="JKM155" s="3060"/>
      <c r="JKN155" s="3060"/>
      <c r="JKO155" s="3060"/>
      <c r="JKP155" s="3060"/>
      <c r="JKQ155" s="3060"/>
      <c r="JKR155" s="3060"/>
      <c r="JKS155" s="3060"/>
      <c r="JKT155" s="3060"/>
      <c r="JKU155" s="3060"/>
      <c r="JKV155" s="3060"/>
      <c r="JKW155" s="3060"/>
      <c r="JKX155" s="3060"/>
      <c r="JKY155" s="3060"/>
      <c r="JKZ155" s="3060"/>
      <c r="JLA155" s="3060"/>
      <c r="JLB155" s="3060"/>
      <c r="JLC155" s="3060"/>
      <c r="JLD155" s="3060"/>
      <c r="JLE155" s="3060"/>
      <c r="JLF155" s="3060"/>
      <c r="JLG155" s="3060"/>
      <c r="JLH155" s="3060"/>
      <c r="JLI155" s="3060"/>
      <c r="JLJ155" s="3060"/>
      <c r="JLK155" s="3060"/>
      <c r="JLL155" s="3060"/>
      <c r="JLM155" s="3060"/>
      <c r="JLN155" s="3060"/>
      <c r="JLO155" s="3060"/>
      <c r="JLP155" s="3060"/>
      <c r="JLQ155" s="3060"/>
      <c r="JLR155" s="3060"/>
      <c r="JLS155" s="3060"/>
      <c r="JLT155" s="3060"/>
      <c r="JLU155" s="3060"/>
      <c r="JLV155" s="3060"/>
      <c r="JLW155" s="3060"/>
      <c r="JLX155" s="3060"/>
      <c r="JLY155" s="3060"/>
      <c r="JLZ155" s="3060"/>
      <c r="JMA155" s="3060"/>
      <c r="JMB155" s="3060"/>
      <c r="JMC155" s="3060"/>
      <c r="JMD155" s="3060"/>
      <c r="JME155" s="3060"/>
      <c r="JMF155" s="3060"/>
      <c r="JMG155" s="3060"/>
      <c r="JMH155" s="3060"/>
      <c r="JMI155" s="3060"/>
      <c r="JMJ155" s="3060"/>
      <c r="JMK155" s="3060"/>
      <c r="JML155" s="3060"/>
      <c r="JMM155" s="3060"/>
      <c r="JMN155" s="3060"/>
      <c r="JMO155" s="3060"/>
      <c r="JMP155" s="3060"/>
      <c r="JMQ155" s="3060"/>
      <c r="JMR155" s="3060"/>
      <c r="JMS155" s="3060"/>
      <c r="JMT155" s="3060"/>
      <c r="JMU155" s="3060"/>
      <c r="JMV155" s="3060"/>
      <c r="JMW155" s="3060"/>
      <c r="JMX155" s="3060"/>
      <c r="JMY155" s="3060"/>
      <c r="JMZ155" s="3060"/>
      <c r="JNA155" s="3060"/>
      <c r="JNB155" s="3060"/>
      <c r="JNC155" s="3060"/>
      <c r="JND155" s="3060"/>
      <c r="JNE155" s="3060"/>
      <c r="JNF155" s="3060"/>
      <c r="JNG155" s="3060"/>
      <c r="JNH155" s="3060"/>
      <c r="JNI155" s="3060"/>
      <c r="JNJ155" s="3060"/>
      <c r="JNK155" s="3060"/>
      <c r="JNL155" s="3060"/>
      <c r="JNM155" s="3060"/>
      <c r="JNN155" s="3060"/>
      <c r="JNO155" s="3060"/>
      <c r="JNP155" s="3060"/>
      <c r="JNQ155" s="3060"/>
      <c r="JNR155" s="3060"/>
      <c r="JNS155" s="3060"/>
      <c r="JNT155" s="3060"/>
      <c r="JNU155" s="3060"/>
      <c r="JNV155" s="3060"/>
      <c r="JNW155" s="3060"/>
      <c r="JNX155" s="3060"/>
      <c r="JNY155" s="3060"/>
      <c r="JNZ155" s="3060"/>
      <c r="JOA155" s="3060"/>
      <c r="JOB155" s="3060"/>
      <c r="JOC155" s="3060"/>
      <c r="JOD155" s="3060"/>
      <c r="JOE155" s="3060"/>
      <c r="JOF155" s="3060"/>
      <c r="JOG155" s="3060"/>
      <c r="JOH155" s="3060"/>
      <c r="JOI155" s="3060"/>
      <c r="JOJ155" s="3060"/>
      <c r="JOK155" s="3060"/>
      <c r="JOL155" s="3060"/>
      <c r="JOM155" s="3060"/>
      <c r="JON155" s="3060"/>
      <c r="JOO155" s="3060"/>
      <c r="JOP155" s="3060"/>
      <c r="JOQ155" s="3060"/>
      <c r="JOR155" s="3060"/>
      <c r="JOS155" s="3060"/>
      <c r="JOT155" s="3060"/>
      <c r="JOU155" s="3060"/>
      <c r="JOV155" s="3060"/>
      <c r="JOW155" s="3060"/>
      <c r="JOX155" s="3060"/>
      <c r="JOY155" s="3060"/>
      <c r="JOZ155" s="3060"/>
      <c r="JPA155" s="3060"/>
      <c r="JPB155" s="3060"/>
      <c r="JPC155" s="3060"/>
      <c r="JPD155" s="3060"/>
      <c r="JPE155" s="3060"/>
      <c r="JPF155" s="3060"/>
      <c r="JPG155" s="3060"/>
      <c r="JPH155" s="3060"/>
      <c r="JPI155" s="3060"/>
      <c r="JPJ155" s="3060"/>
      <c r="JPK155" s="3060"/>
      <c r="JPL155" s="3060"/>
      <c r="JPM155" s="3060"/>
      <c r="JPN155" s="3060"/>
      <c r="JPO155" s="3060"/>
      <c r="JPP155" s="3060"/>
      <c r="JPQ155" s="3060"/>
      <c r="JPR155" s="3060"/>
      <c r="JPS155" s="3060"/>
      <c r="JPT155" s="3060"/>
      <c r="JPU155" s="3060"/>
      <c r="JPV155" s="3060"/>
      <c r="JPW155" s="3060"/>
      <c r="JPX155" s="3060"/>
      <c r="JPY155" s="3060"/>
      <c r="JPZ155" s="3060"/>
      <c r="JQA155" s="3060"/>
      <c r="JQB155" s="3060"/>
      <c r="JQC155" s="3060"/>
      <c r="JQD155" s="3060"/>
      <c r="JQE155" s="3060"/>
      <c r="JQF155" s="3060"/>
      <c r="JQG155" s="3060"/>
      <c r="JQH155" s="3060"/>
      <c r="JQI155" s="3060"/>
      <c r="JQJ155" s="3060"/>
      <c r="JQK155" s="3060"/>
      <c r="JQL155" s="3060"/>
      <c r="JQM155" s="3060"/>
      <c r="JQN155" s="3060"/>
      <c r="JQO155" s="3060"/>
      <c r="JQP155" s="3060"/>
      <c r="JQQ155" s="3060"/>
      <c r="JQR155" s="3060"/>
      <c r="JQS155" s="3060"/>
      <c r="JQT155" s="3060"/>
      <c r="JQU155" s="3060"/>
      <c r="JQV155" s="3060"/>
      <c r="JQW155" s="3060"/>
      <c r="JQX155" s="3060"/>
      <c r="JQY155" s="3060"/>
      <c r="JQZ155" s="3060"/>
      <c r="JRA155" s="3060"/>
      <c r="JRB155" s="3060"/>
      <c r="JRC155" s="3060"/>
      <c r="JRD155" s="3060"/>
      <c r="JRE155" s="3060"/>
      <c r="JRF155" s="3060"/>
      <c r="JRG155" s="3060"/>
      <c r="JRH155" s="3060"/>
      <c r="JRI155" s="3060"/>
      <c r="JRJ155" s="3060"/>
      <c r="JRK155" s="3060"/>
      <c r="JRL155" s="3060"/>
      <c r="JRM155" s="3060"/>
      <c r="JRN155" s="3060"/>
      <c r="JRO155" s="3060"/>
      <c r="JRP155" s="3060"/>
      <c r="JRQ155" s="3060"/>
      <c r="JRR155" s="3060"/>
      <c r="JRS155" s="3060"/>
      <c r="JRT155" s="3060"/>
      <c r="JRU155" s="3060"/>
      <c r="JRV155" s="3060"/>
      <c r="JRW155" s="3060"/>
      <c r="JRX155" s="3060"/>
      <c r="JRY155" s="3060"/>
      <c r="JRZ155" s="3060"/>
      <c r="JSA155" s="3060"/>
      <c r="JSB155" s="3060"/>
      <c r="JSC155" s="3060"/>
      <c r="JSD155" s="3060"/>
      <c r="JSE155" s="3060"/>
      <c r="JSF155" s="3060"/>
      <c r="JSG155" s="3060"/>
      <c r="JSH155" s="3060"/>
      <c r="JSI155" s="3060"/>
      <c r="JSJ155" s="3060"/>
      <c r="JSK155" s="3060"/>
      <c r="JSL155" s="3060"/>
      <c r="JSM155" s="3060"/>
      <c r="JSN155" s="3060"/>
      <c r="JSO155" s="3060"/>
      <c r="JSP155" s="3060"/>
      <c r="JSQ155" s="3060"/>
      <c r="JSR155" s="3060"/>
      <c r="JSS155" s="3060"/>
      <c r="JST155" s="3060"/>
      <c r="JSU155" s="3060"/>
      <c r="JSV155" s="3060"/>
      <c r="JSW155" s="3060"/>
      <c r="JSX155" s="3060"/>
      <c r="JSY155" s="3060"/>
      <c r="JSZ155" s="3060"/>
      <c r="JTA155" s="3060"/>
      <c r="JTB155" s="3060"/>
      <c r="JTC155" s="3060"/>
      <c r="JTD155" s="3060"/>
      <c r="JTE155" s="3060"/>
      <c r="JTF155" s="3060"/>
      <c r="JTG155" s="3060"/>
      <c r="JTH155" s="3060"/>
      <c r="JTI155" s="3060"/>
      <c r="JTJ155" s="3060"/>
      <c r="JTK155" s="3060"/>
      <c r="JTL155" s="3060"/>
      <c r="JTM155" s="3060"/>
      <c r="JTN155" s="3060"/>
      <c r="JTO155" s="3060"/>
      <c r="JTP155" s="3060"/>
      <c r="JTQ155" s="3060"/>
      <c r="JTR155" s="3060"/>
      <c r="JTS155" s="3060"/>
      <c r="JTT155" s="3060"/>
      <c r="JTU155" s="3060"/>
      <c r="JTV155" s="3060"/>
      <c r="JTW155" s="3060"/>
      <c r="JTX155" s="3060"/>
      <c r="JTY155" s="3060"/>
      <c r="JTZ155" s="3060"/>
      <c r="JUA155" s="3060"/>
      <c r="JUB155" s="3060"/>
      <c r="JUC155" s="3060"/>
      <c r="JUD155" s="3060"/>
      <c r="JUE155" s="3060"/>
      <c r="JUF155" s="3060"/>
      <c r="JUG155" s="3060"/>
      <c r="JUH155" s="3060"/>
      <c r="JUI155" s="3060"/>
      <c r="JUJ155" s="3060"/>
      <c r="JUK155" s="3060"/>
      <c r="JUL155" s="3060"/>
      <c r="JUM155" s="3060"/>
      <c r="JUN155" s="3060"/>
      <c r="JUO155" s="3060"/>
      <c r="JUP155" s="3060"/>
      <c r="JUQ155" s="3060"/>
      <c r="JUR155" s="3060"/>
      <c r="JUS155" s="3060"/>
      <c r="JUT155" s="3060"/>
      <c r="JUU155" s="3060"/>
      <c r="JUV155" s="3060"/>
      <c r="JUW155" s="3060"/>
      <c r="JUX155" s="3060"/>
      <c r="JUY155" s="3060"/>
      <c r="JUZ155" s="3060"/>
      <c r="JVA155" s="3060"/>
      <c r="JVB155" s="3060"/>
      <c r="JVC155" s="3060"/>
      <c r="JVD155" s="3060"/>
      <c r="JVE155" s="3060"/>
      <c r="JVF155" s="3060"/>
      <c r="JVG155" s="3060"/>
      <c r="JVH155" s="3060"/>
      <c r="JVI155" s="3060"/>
      <c r="JVJ155" s="3060"/>
      <c r="JVK155" s="3060"/>
      <c r="JVL155" s="3060"/>
      <c r="JVM155" s="3060"/>
      <c r="JVN155" s="3060"/>
      <c r="JVO155" s="3060"/>
      <c r="JVP155" s="3060"/>
      <c r="JVQ155" s="3060"/>
      <c r="JVR155" s="3060"/>
      <c r="JVS155" s="3060"/>
      <c r="JVT155" s="3060"/>
      <c r="JVU155" s="3060"/>
      <c r="JVV155" s="3060"/>
      <c r="JVW155" s="3060"/>
      <c r="JVX155" s="3060"/>
      <c r="JVY155" s="3060"/>
      <c r="JVZ155" s="3060"/>
      <c r="JWA155" s="3060"/>
      <c r="JWB155" s="3060"/>
      <c r="JWC155" s="3060"/>
      <c r="JWD155" s="3060"/>
      <c r="JWE155" s="3060"/>
      <c r="JWF155" s="3060"/>
      <c r="JWG155" s="3060"/>
      <c r="JWH155" s="3060"/>
      <c r="JWI155" s="3060"/>
      <c r="JWJ155" s="3060"/>
      <c r="JWK155" s="3060"/>
      <c r="JWL155" s="3060"/>
      <c r="JWM155" s="3060"/>
      <c r="JWN155" s="3060"/>
      <c r="JWO155" s="3060"/>
      <c r="JWP155" s="3060"/>
      <c r="JWQ155" s="3060"/>
      <c r="JWR155" s="3060"/>
      <c r="JWS155" s="3060"/>
      <c r="JWT155" s="3060"/>
      <c r="JWU155" s="3060"/>
      <c r="JWV155" s="3060"/>
      <c r="JWW155" s="3060"/>
      <c r="JWX155" s="3060"/>
      <c r="JWY155" s="3060"/>
      <c r="JWZ155" s="3060"/>
      <c r="JXA155" s="3060"/>
      <c r="JXB155" s="3060"/>
      <c r="JXC155" s="3060"/>
      <c r="JXD155" s="3060"/>
      <c r="JXE155" s="3060"/>
      <c r="JXF155" s="3060"/>
      <c r="JXG155" s="3060"/>
      <c r="JXH155" s="3060"/>
      <c r="JXI155" s="3060"/>
      <c r="JXJ155" s="3060"/>
      <c r="JXK155" s="3060"/>
      <c r="JXL155" s="3060"/>
      <c r="JXM155" s="3060"/>
      <c r="JXN155" s="3060"/>
      <c r="JXO155" s="3060"/>
      <c r="JXP155" s="3060"/>
      <c r="JXQ155" s="3060"/>
      <c r="JXR155" s="3060"/>
      <c r="JXS155" s="3060"/>
      <c r="JXT155" s="3060"/>
      <c r="JXU155" s="3060"/>
      <c r="JXV155" s="3060"/>
      <c r="JXW155" s="3060"/>
      <c r="JXX155" s="3060"/>
      <c r="JXY155" s="3060"/>
      <c r="JXZ155" s="3060"/>
      <c r="JYA155" s="3060"/>
      <c r="JYB155" s="3060"/>
      <c r="JYC155" s="3060"/>
      <c r="JYD155" s="3060"/>
      <c r="JYE155" s="3060"/>
      <c r="JYF155" s="3060"/>
      <c r="JYG155" s="3060"/>
      <c r="JYH155" s="3060"/>
      <c r="JYI155" s="3060"/>
      <c r="JYJ155" s="3060"/>
      <c r="JYK155" s="3060"/>
      <c r="JYL155" s="3060"/>
      <c r="JYM155" s="3060"/>
      <c r="JYN155" s="3060"/>
      <c r="JYO155" s="3060"/>
      <c r="JYP155" s="3060"/>
      <c r="JYQ155" s="3060"/>
      <c r="JYR155" s="3060"/>
      <c r="JYS155" s="3060"/>
      <c r="JYT155" s="3060"/>
      <c r="JYU155" s="3060"/>
      <c r="JYV155" s="3060"/>
      <c r="JYW155" s="3060"/>
      <c r="JYX155" s="3060"/>
      <c r="JYY155" s="3060"/>
      <c r="JYZ155" s="3060"/>
      <c r="JZA155" s="3060"/>
      <c r="JZB155" s="3060"/>
      <c r="JZC155" s="3060"/>
      <c r="JZD155" s="3060"/>
      <c r="JZE155" s="3060"/>
      <c r="JZF155" s="3060"/>
      <c r="JZG155" s="3060"/>
      <c r="JZH155" s="3060"/>
      <c r="JZI155" s="3060"/>
      <c r="JZJ155" s="3060"/>
      <c r="JZK155" s="3060"/>
      <c r="JZL155" s="3060"/>
      <c r="JZM155" s="3060"/>
      <c r="JZN155" s="3060"/>
      <c r="JZO155" s="3060"/>
      <c r="JZP155" s="3060"/>
      <c r="JZQ155" s="3060"/>
      <c r="JZR155" s="3060"/>
      <c r="JZS155" s="3060"/>
      <c r="JZT155" s="3060"/>
      <c r="JZU155" s="3060"/>
      <c r="JZV155" s="3060"/>
      <c r="JZW155" s="3060"/>
      <c r="JZX155" s="3060"/>
      <c r="JZY155" s="3060"/>
      <c r="JZZ155" s="3060"/>
      <c r="KAA155" s="3060"/>
      <c r="KAB155" s="3060"/>
      <c r="KAC155" s="3060"/>
      <c r="KAD155" s="3060"/>
      <c r="KAE155" s="3060"/>
      <c r="KAF155" s="3060"/>
      <c r="KAG155" s="3060"/>
      <c r="KAH155" s="3060"/>
      <c r="KAI155" s="3060"/>
      <c r="KAJ155" s="3060"/>
      <c r="KAK155" s="3060"/>
      <c r="KAL155" s="3060"/>
      <c r="KAM155" s="3060"/>
      <c r="KAN155" s="3060"/>
      <c r="KAO155" s="3060"/>
      <c r="KAP155" s="3060"/>
      <c r="KAQ155" s="3060"/>
      <c r="KAR155" s="3060"/>
      <c r="KAS155" s="3060"/>
      <c r="KAT155" s="3060"/>
      <c r="KAU155" s="3060"/>
      <c r="KAV155" s="3060"/>
      <c r="KAW155" s="3060"/>
      <c r="KAX155" s="3060"/>
      <c r="KAY155" s="3060"/>
      <c r="KAZ155" s="3060"/>
      <c r="KBA155" s="3060"/>
      <c r="KBB155" s="3060"/>
      <c r="KBC155" s="3060"/>
      <c r="KBD155" s="3060"/>
      <c r="KBE155" s="3060"/>
      <c r="KBF155" s="3060"/>
      <c r="KBG155" s="3060"/>
      <c r="KBH155" s="3060"/>
      <c r="KBI155" s="3060"/>
      <c r="KBJ155" s="3060"/>
      <c r="KBK155" s="3060"/>
      <c r="KBL155" s="3060"/>
      <c r="KBM155" s="3060"/>
      <c r="KBN155" s="3060"/>
      <c r="KBO155" s="3060"/>
      <c r="KBP155" s="3060"/>
      <c r="KBQ155" s="3060"/>
      <c r="KBR155" s="3060"/>
      <c r="KBS155" s="3060"/>
      <c r="KBT155" s="3060"/>
      <c r="KBU155" s="3060"/>
      <c r="KBV155" s="3060"/>
      <c r="KBW155" s="3060"/>
      <c r="KBX155" s="3060"/>
      <c r="KBY155" s="3060"/>
      <c r="KBZ155" s="3060"/>
      <c r="KCA155" s="3060"/>
      <c r="KCB155" s="3060"/>
      <c r="KCC155" s="3060"/>
      <c r="KCD155" s="3060"/>
      <c r="KCE155" s="3060"/>
      <c r="KCF155" s="3060"/>
      <c r="KCG155" s="3060"/>
      <c r="KCH155" s="3060"/>
      <c r="KCI155" s="3060"/>
      <c r="KCJ155" s="3060"/>
      <c r="KCK155" s="3060"/>
      <c r="KCL155" s="3060"/>
      <c r="KCM155" s="3060"/>
      <c r="KCN155" s="3060"/>
      <c r="KCO155" s="3060"/>
      <c r="KCP155" s="3060"/>
      <c r="KCQ155" s="3060"/>
      <c r="KCR155" s="3060"/>
      <c r="KCS155" s="3060"/>
      <c r="KCT155" s="3060"/>
      <c r="KCU155" s="3060"/>
      <c r="KCV155" s="3060"/>
      <c r="KCW155" s="3060"/>
      <c r="KCX155" s="3060"/>
      <c r="KCY155" s="3060"/>
      <c r="KCZ155" s="3060"/>
      <c r="KDA155" s="3060"/>
      <c r="KDB155" s="3060"/>
      <c r="KDC155" s="3060"/>
      <c r="KDD155" s="3060"/>
      <c r="KDE155" s="3060"/>
      <c r="KDF155" s="3060"/>
      <c r="KDG155" s="3060"/>
      <c r="KDH155" s="3060"/>
      <c r="KDI155" s="3060"/>
      <c r="KDJ155" s="3060"/>
      <c r="KDK155" s="3060"/>
      <c r="KDL155" s="3060"/>
      <c r="KDM155" s="3060"/>
      <c r="KDN155" s="3060"/>
      <c r="KDO155" s="3060"/>
      <c r="KDP155" s="3060"/>
      <c r="KDQ155" s="3060"/>
      <c r="KDR155" s="3060"/>
      <c r="KDS155" s="3060"/>
      <c r="KDT155" s="3060"/>
      <c r="KDU155" s="3060"/>
      <c r="KDV155" s="3060"/>
      <c r="KDW155" s="3060"/>
      <c r="KDX155" s="3060"/>
      <c r="KDY155" s="3060"/>
      <c r="KDZ155" s="3060"/>
      <c r="KEA155" s="3060"/>
      <c r="KEB155" s="3060"/>
      <c r="KEC155" s="3060"/>
      <c r="KED155" s="3060"/>
      <c r="KEE155" s="3060"/>
      <c r="KEF155" s="3060"/>
      <c r="KEG155" s="3060"/>
      <c r="KEH155" s="3060"/>
      <c r="KEI155" s="3060"/>
      <c r="KEJ155" s="3060"/>
      <c r="KEK155" s="3060"/>
      <c r="KEL155" s="3060"/>
      <c r="KEM155" s="3060"/>
      <c r="KEN155" s="3060"/>
      <c r="KEO155" s="3060"/>
      <c r="KEP155" s="3060"/>
      <c r="KEQ155" s="3060"/>
      <c r="KER155" s="3060"/>
      <c r="KES155" s="3060"/>
      <c r="KET155" s="3060"/>
      <c r="KEU155" s="3060"/>
      <c r="KEV155" s="3060"/>
      <c r="KEW155" s="3060"/>
      <c r="KEX155" s="3060"/>
      <c r="KEY155" s="3060"/>
      <c r="KEZ155" s="3060"/>
      <c r="KFA155" s="3060"/>
      <c r="KFB155" s="3060"/>
      <c r="KFC155" s="3060"/>
      <c r="KFD155" s="3060"/>
      <c r="KFE155" s="3060"/>
      <c r="KFF155" s="3060"/>
      <c r="KFG155" s="3060"/>
      <c r="KFH155" s="3060"/>
      <c r="KFI155" s="3060"/>
      <c r="KFJ155" s="3060"/>
      <c r="KFK155" s="3060"/>
      <c r="KFL155" s="3060"/>
      <c r="KFM155" s="3060"/>
      <c r="KFN155" s="3060"/>
      <c r="KFO155" s="3060"/>
      <c r="KFP155" s="3060"/>
      <c r="KFQ155" s="3060"/>
      <c r="KFR155" s="3060"/>
      <c r="KFS155" s="3060"/>
      <c r="KFT155" s="3060"/>
      <c r="KFU155" s="3060"/>
      <c r="KFV155" s="3060"/>
      <c r="KFW155" s="3060"/>
      <c r="KFX155" s="3060"/>
      <c r="KFY155" s="3060"/>
      <c r="KFZ155" s="3060"/>
      <c r="KGA155" s="3060"/>
      <c r="KGB155" s="3060"/>
      <c r="KGC155" s="3060"/>
      <c r="KGD155" s="3060"/>
      <c r="KGE155" s="3060"/>
      <c r="KGF155" s="3060"/>
      <c r="KGG155" s="3060"/>
      <c r="KGH155" s="3060"/>
      <c r="KGI155" s="3060"/>
      <c r="KGJ155" s="3060"/>
      <c r="KGK155" s="3060"/>
      <c r="KGL155" s="3060"/>
      <c r="KGM155" s="3060"/>
      <c r="KGN155" s="3060"/>
      <c r="KGO155" s="3060"/>
      <c r="KGP155" s="3060"/>
      <c r="KGQ155" s="3060"/>
      <c r="KGR155" s="3060"/>
      <c r="KGS155" s="3060"/>
      <c r="KGT155" s="3060"/>
      <c r="KGU155" s="3060"/>
      <c r="KGV155" s="3060"/>
      <c r="KGW155" s="3060"/>
      <c r="KGX155" s="3060"/>
      <c r="KGY155" s="3060"/>
      <c r="KGZ155" s="3060"/>
      <c r="KHA155" s="3060"/>
      <c r="KHB155" s="3060"/>
      <c r="KHC155" s="3060"/>
      <c r="KHD155" s="3060"/>
      <c r="KHE155" s="3060"/>
      <c r="KHF155" s="3060"/>
      <c r="KHG155" s="3060"/>
      <c r="KHH155" s="3060"/>
      <c r="KHI155" s="3060"/>
      <c r="KHJ155" s="3060"/>
      <c r="KHK155" s="3060"/>
      <c r="KHL155" s="3060"/>
      <c r="KHM155" s="3060"/>
      <c r="KHN155" s="3060"/>
      <c r="KHO155" s="3060"/>
      <c r="KHP155" s="3060"/>
      <c r="KHQ155" s="3060"/>
      <c r="KHR155" s="3060"/>
      <c r="KHS155" s="3060"/>
      <c r="KHT155" s="3060"/>
      <c r="KHU155" s="3060"/>
      <c r="KHV155" s="3060"/>
      <c r="KHW155" s="3060"/>
      <c r="KHX155" s="3060"/>
      <c r="KHY155" s="3060"/>
      <c r="KHZ155" s="3060"/>
      <c r="KIA155" s="3060"/>
      <c r="KIB155" s="3060"/>
      <c r="KIC155" s="3060"/>
      <c r="KID155" s="3060"/>
      <c r="KIE155" s="3060"/>
      <c r="KIF155" s="3060"/>
      <c r="KIG155" s="3060"/>
      <c r="KIH155" s="3060"/>
      <c r="KII155" s="3060"/>
      <c r="KIJ155" s="3060"/>
      <c r="KIK155" s="3060"/>
      <c r="KIL155" s="3060"/>
      <c r="KIM155" s="3060"/>
      <c r="KIN155" s="3060"/>
      <c r="KIO155" s="3060"/>
      <c r="KIP155" s="3060"/>
      <c r="KIQ155" s="3060"/>
      <c r="KIR155" s="3060"/>
      <c r="KIS155" s="3060"/>
      <c r="KIT155" s="3060"/>
      <c r="KIU155" s="3060"/>
      <c r="KIV155" s="3060"/>
      <c r="KIW155" s="3060"/>
      <c r="KIX155" s="3060"/>
      <c r="KIY155" s="3060"/>
      <c r="KIZ155" s="3060"/>
      <c r="KJA155" s="3060"/>
      <c r="KJB155" s="3060"/>
      <c r="KJC155" s="3060"/>
      <c r="KJD155" s="3060"/>
      <c r="KJE155" s="3060"/>
      <c r="KJF155" s="3060"/>
      <c r="KJG155" s="3060"/>
      <c r="KJH155" s="3060"/>
      <c r="KJI155" s="3060"/>
      <c r="KJJ155" s="3060"/>
      <c r="KJK155" s="3060"/>
      <c r="KJL155" s="3060"/>
      <c r="KJM155" s="3060"/>
      <c r="KJN155" s="3060"/>
      <c r="KJO155" s="3060"/>
      <c r="KJP155" s="3060"/>
      <c r="KJQ155" s="3060"/>
      <c r="KJR155" s="3060"/>
      <c r="KJS155" s="3060"/>
      <c r="KJT155" s="3060"/>
      <c r="KJU155" s="3060"/>
      <c r="KJV155" s="3060"/>
      <c r="KJW155" s="3060"/>
      <c r="KJX155" s="3060"/>
      <c r="KJY155" s="3060"/>
      <c r="KJZ155" s="3060"/>
      <c r="KKA155" s="3060"/>
      <c r="KKB155" s="3060"/>
      <c r="KKC155" s="3060"/>
      <c r="KKD155" s="3060"/>
      <c r="KKE155" s="3060"/>
      <c r="KKF155" s="3060"/>
      <c r="KKG155" s="3060"/>
      <c r="KKH155" s="3060"/>
      <c r="KKI155" s="3060"/>
      <c r="KKJ155" s="3060"/>
      <c r="KKK155" s="3060"/>
      <c r="KKL155" s="3060"/>
      <c r="KKM155" s="3060"/>
      <c r="KKN155" s="3060"/>
      <c r="KKO155" s="3060"/>
      <c r="KKP155" s="3060"/>
      <c r="KKQ155" s="3060"/>
      <c r="KKR155" s="3060"/>
      <c r="KKS155" s="3060"/>
      <c r="KKT155" s="3060"/>
      <c r="KKU155" s="3060"/>
      <c r="KKV155" s="3060"/>
      <c r="KKW155" s="3060"/>
      <c r="KKX155" s="3060"/>
      <c r="KKY155" s="3060"/>
      <c r="KKZ155" s="3060"/>
      <c r="KLA155" s="3060"/>
      <c r="KLB155" s="3060"/>
      <c r="KLC155" s="3060"/>
      <c r="KLD155" s="3060"/>
      <c r="KLE155" s="3060"/>
      <c r="KLF155" s="3060"/>
      <c r="KLG155" s="3060"/>
      <c r="KLH155" s="3060"/>
      <c r="KLI155" s="3060"/>
      <c r="KLJ155" s="3060"/>
      <c r="KLK155" s="3060"/>
      <c r="KLL155" s="3060"/>
      <c r="KLM155" s="3060"/>
      <c r="KLN155" s="3060"/>
      <c r="KLO155" s="3060"/>
      <c r="KLP155" s="3060"/>
      <c r="KLQ155" s="3060"/>
      <c r="KLR155" s="3060"/>
      <c r="KLS155" s="3060"/>
      <c r="KLT155" s="3060"/>
      <c r="KLU155" s="3060"/>
      <c r="KLV155" s="3060"/>
      <c r="KLW155" s="3060"/>
      <c r="KLX155" s="3060"/>
      <c r="KLY155" s="3060"/>
      <c r="KLZ155" s="3060"/>
      <c r="KMA155" s="3060"/>
      <c r="KMB155" s="3060"/>
      <c r="KMC155" s="3060"/>
      <c r="KMD155" s="3060"/>
      <c r="KME155" s="3060"/>
      <c r="KMF155" s="3060"/>
      <c r="KMG155" s="3060"/>
      <c r="KMH155" s="3060"/>
      <c r="KMI155" s="3060"/>
      <c r="KMJ155" s="3060"/>
      <c r="KMK155" s="3060"/>
      <c r="KML155" s="3060"/>
      <c r="KMM155" s="3060"/>
      <c r="KMN155" s="3060"/>
      <c r="KMO155" s="3060"/>
      <c r="KMP155" s="3060"/>
      <c r="KMQ155" s="3060"/>
      <c r="KMR155" s="3060"/>
      <c r="KMS155" s="3060"/>
      <c r="KMT155" s="3060"/>
      <c r="KMU155" s="3060"/>
      <c r="KMV155" s="3060"/>
      <c r="KMW155" s="3060"/>
      <c r="KMX155" s="3060"/>
      <c r="KMY155" s="3060"/>
      <c r="KMZ155" s="3060"/>
      <c r="KNA155" s="3060"/>
      <c r="KNB155" s="3060"/>
      <c r="KNC155" s="3060"/>
      <c r="KND155" s="3060"/>
      <c r="KNE155" s="3060"/>
      <c r="KNF155" s="3060"/>
      <c r="KNG155" s="3060"/>
      <c r="KNH155" s="3060"/>
      <c r="KNI155" s="3060"/>
      <c r="KNJ155" s="3060"/>
      <c r="KNK155" s="3060"/>
      <c r="KNL155" s="3060"/>
      <c r="KNM155" s="3060"/>
      <c r="KNN155" s="3060"/>
      <c r="KNO155" s="3060"/>
      <c r="KNP155" s="3060"/>
      <c r="KNQ155" s="3060"/>
      <c r="KNR155" s="3060"/>
      <c r="KNS155" s="3060"/>
      <c r="KNT155" s="3060"/>
      <c r="KNU155" s="3060"/>
      <c r="KNV155" s="3060"/>
      <c r="KNW155" s="3060"/>
      <c r="KNX155" s="3060"/>
      <c r="KNY155" s="3060"/>
      <c r="KNZ155" s="3060"/>
      <c r="KOA155" s="3060"/>
      <c r="KOB155" s="3060"/>
      <c r="KOC155" s="3060"/>
      <c r="KOD155" s="3060"/>
      <c r="KOE155" s="3060"/>
      <c r="KOF155" s="3060"/>
      <c r="KOG155" s="3060"/>
      <c r="KOH155" s="3060"/>
      <c r="KOI155" s="3060"/>
      <c r="KOJ155" s="3060"/>
      <c r="KOK155" s="3060"/>
      <c r="KOL155" s="3060"/>
      <c r="KOM155" s="3060"/>
      <c r="KON155" s="3060"/>
      <c r="KOO155" s="3060"/>
      <c r="KOP155" s="3060"/>
      <c r="KOQ155" s="3060"/>
      <c r="KOR155" s="3060"/>
      <c r="KOS155" s="3060"/>
      <c r="KOT155" s="3060"/>
      <c r="KOU155" s="3060"/>
      <c r="KOV155" s="3060"/>
      <c r="KOW155" s="3060"/>
      <c r="KOX155" s="3060"/>
      <c r="KOY155" s="3060"/>
      <c r="KOZ155" s="3060"/>
      <c r="KPA155" s="3060"/>
      <c r="KPB155" s="3060"/>
      <c r="KPC155" s="3060"/>
      <c r="KPD155" s="3060"/>
      <c r="KPE155" s="3060"/>
      <c r="KPF155" s="3060"/>
      <c r="KPG155" s="3060"/>
      <c r="KPH155" s="3060"/>
      <c r="KPI155" s="3060"/>
      <c r="KPJ155" s="3060"/>
      <c r="KPK155" s="3060"/>
      <c r="KPL155" s="3060"/>
      <c r="KPM155" s="3060"/>
      <c r="KPN155" s="3060"/>
      <c r="KPO155" s="3060"/>
      <c r="KPP155" s="3060"/>
      <c r="KPQ155" s="3060"/>
      <c r="KPR155" s="3060"/>
      <c r="KPS155" s="3060"/>
      <c r="KPT155" s="3060"/>
      <c r="KPU155" s="3060"/>
      <c r="KPV155" s="3060"/>
      <c r="KPW155" s="3060"/>
      <c r="KPX155" s="3060"/>
      <c r="KPY155" s="3060"/>
      <c r="KPZ155" s="3060"/>
      <c r="KQA155" s="3060"/>
      <c r="KQB155" s="3060"/>
      <c r="KQC155" s="3060"/>
      <c r="KQD155" s="3060"/>
      <c r="KQE155" s="3060"/>
      <c r="KQF155" s="3060"/>
      <c r="KQG155" s="3060"/>
      <c r="KQH155" s="3060"/>
      <c r="KQI155" s="3060"/>
      <c r="KQJ155" s="3060"/>
      <c r="KQK155" s="3060"/>
      <c r="KQL155" s="3060"/>
      <c r="KQM155" s="3060"/>
      <c r="KQN155" s="3060"/>
      <c r="KQO155" s="3060"/>
      <c r="KQP155" s="3060"/>
      <c r="KQQ155" s="3060"/>
      <c r="KQR155" s="3060"/>
      <c r="KQS155" s="3060"/>
      <c r="KQT155" s="3060"/>
      <c r="KQU155" s="3060"/>
      <c r="KQV155" s="3060"/>
      <c r="KQW155" s="3060"/>
      <c r="KQX155" s="3060"/>
      <c r="KQY155" s="3060"/>
      <c r="KQZ155" s="3060"/>
      <c r="KRA155" s="3060"/>
      <c r="KRB155" s="3060"/>
      <c r="KRC155" s="3060"/>
      <c r="KRD155" s="3060"/>
      <c r="KRE155" s="3060"/>
      <c r="KRF155" s="3060"/>
      <c r="KRG155" s="3060"/>
      <c r="KRH155" s="3060"/>
      <c r="KRI155" s="3060"/>
      <c r="KRJ155" s="3060"/>
      <c r="KRK155" s="3060"/>
      <c r="KRL155" s="3060"/>
      <c r="KRM155" s="3060"/>
      <c r="KRN155" s="3060"/>
      <c r="KRO155" s="3060"/>
      <c r="KRP155" s="3060"/>
      <c r="KRQ155" s="3060"/>
      <c r="KRR155" s="3060"/>
      <c r="KRS155" s="3060"/>
      <c r="KRT155" s="3060"/>
      <c r="KRU155" s="3060"/>
      <c r="KRV155" s="3060"/>
      <c r="KRW155" s="3060"/>
      <c r="KRX155" s="3060"/>
      <c r="KRY155" s="3060"/>
      <c r="KRZ155" s="3060"/>
      <c r="KSA155" s="3060"/>
      <c r="KSB155" s="3060"/>
      <c r="KSC155" s="3060"/>
      <c r="KSD155" s="3060"/>
      <c r="KSE155" s="3060"/>
      <c r="KSF155" s="3060"/>
      <c r="KSG155" s="3060"/>
      <c r="KSH155" s="3060"/>
      <c r="KSI155" s="3060"/>
      <c r="KSJ155" s="3060"/>
      <c r="KSK155" s="3060"/>
      <c r="KSL155" s="3060"/>
      <c r="KSM155" s="3060"/>
      <c r="KSN155" s="3060"/>
      <c r="KSO155" s="3060"/>
      <c r="KSP155" s="3060"/>
      <c r="KSQ155" s="3060"/>
      <c r="KSR155" s="3060"/>
      <c r="KSS155" s="3060"/>
      <c r="KST155" s="3060"/>
      <c r="KSU155" s="3060"/>
      <c r="KSV155" s="3060"/>
      <c r="KSW155" s="3060"/>
      <c r="KSX155" s="3060"/>
      <c r="KSY155" s="3060"/>
      <c r="KSZ155" s="3060"/>
      <c r="KTA155" s="3060"/>
      <c r="KTB155" s="3060"/>
      <c r="KTC155" s="3060"/>
      <c r="KTD155" s="3060"/>
      <c r="KTE155" s="3060"/>
      <c r="KTF155" s="3060"/>
      <c r="KTG155" s="3060"/>
      <c r="KTH155" s="3060"/>
      <c r="KTI155" s="3060"/>
      <c r="KTJ155" s="3060"/>
      <c r="KTK155" s="3060"/>
      <c r="KTL155" s="3060"/>
      <c r="KTM155" s="3060"/>
      <c r="KTN155" s="3060"/>
      <c r="KTO155" s="3060"/>
      <c r="KTP155" s="3060"/>
      <c r="KTQ155" s="3060"/>
      <c r="KTR155" s="3060"/>
      <c r="KTS155" s="3060"/>
      <c r="KTT155" s="3060"/>
      <c r="KTU155" s="3060"/>
      <c r="KTV155" s="3060"/>
      <c r="KTW155" s="3060"/>
      <c r="KTX155" s="3060"/>
      <c r="KTY155" s="3060"/>
      <c r="KTZ155" s="3060"/>
      <c r="KUA155" s="3060"/>
      <c r="KUB155" s="3060"/>
      <c r="KUC155" s="3060"/>
      <c r="KUD155" s="3060"/>
      <c r="KUE155" s="3060"/>
      <c r="KUF155" s="3060"/>
      <c r="KUG155" s="3060"/>
      <c r="KUH155" s="3060"/>
      <c r="KUI155" s="3060"/>
      <c r="KUJ155" s="3060"/>
      <c r="KUK155" s="3060"/>
      <c r="KUL155" s="3060"/>
      <c r="KUM155" s="3060"/>
      <c r="KUN155" s="3060"/>
      <c r="KUO155" s="3060"/>
      <c r="KUP155" s="3060"/>
      <c r="KUQ155" s="3060"/>
      <c r="KUR155" s="3060"/>
      <c r="KUS155" s="3060"/>
      <c r="KUT155" s="3060"/>
      <c r="KUU155" s="3060"/>
      <c r="KUV155" s="3060"/>
      <c r="KUW155" s="3060"/>
      <c r="KUX155" s="3060"/>
      <c r="KUY155" s="3060"/>
      <c r="KUZ155" s="3060"/>
      <c r="KVA155" s="3060"/>
      <c r="KVB155" s="3060"/>
      <c r="KVC155" s="3060"/>
      <c r="KVD155" s="3060"/>
      <c r="KVE155" s="3060"/>
      <c r="KVF155" s="3060"/>
      <c r="KVG155" s="3060"/>
      <c r="KVH155" s="3060"/>
      <c r="KVI155" s="3060"/>
      <c r="KVJ155" s="3060"/>
      <c r="KVK155" s="3060"/>
      <c r="KVL155" s="3060"/>
      <c r="KVM155" s="3060"/>
      <c r="KVN155" s="3060"/>
      <c r="KVO155" s="3060"/>
      <c r="KVP155" s="3060"/>
      <c r="KVQ155" s="3060"/>
      <c r="KVR155" s="3060"/>
      <c r="KVS155" s="3060"/>
      <c r="KVT155" s="3060"/>
      <c r="KVU155" s="3060"/>
      <c r="KVV155" s="3060"/>
      <c r="KVW155" s="3060"/>
      <c r="KVX155" s="3060"/>
      <c r="KVY155" s="3060"/>
      <c r="KVZ155" s="3060"/>
      <c r="KWA155" s="3060"/>
      <c r="KWB155" s="3060"/>
      <c r="KWC155" s="3060"/>
      <c r="KWD155" s="3060"/>
      <c r="KWE155" s="3060"/>
      <c r="KWF155" s="3060"/>
      <c r="KWG155" s="3060"/>
      <c r="KWH155" s="3060"/>
      <c r="KWI155" s="3060"/>
      <c r="KWJ155" s="3060"/>
      <c r="KWK155" s="3060"/>
      <c r="KWL155" s="3060"/>
      <c r="KWM155" s="3060"/>
      <c r="KWN155" s="3060"/>
      <c r="KWO155" s="3060"/>
      <c r="KWP155" s="3060"/>
      <c r="KWQ155" s="3060"/>
      <c r="KWR155" s="3060"/>
      <c r="KWS155" s="3060"/>
      <c r="KWT155" s="3060"/>
      <c r="KWU155" s="3060"/>
      <c r="KWV155" s="3060"/>
      <c r="KWW155" s="3060"/>
      <c r="KWX155" s="3060"/>
      <c r="KWY155" s="3060"/>
      <c r="KWZ155" s="3060"/>
      <c r="KXA155" s="3060"/>
      <c r="KXB155" s="3060"/>
      <c r="KXC155" s="3060"/>
      <c r="KXD155" s="3060"/>
      <c r="KXE155" s="3060"/>
      <c r="KXF155" s="3060"/>
      <c r="KXG155" s="3060"/>
      <c r="KXH155" s="3060"/>
      <c r="KXI155" s="3060"/>
      <c r="KXJ155" s="3060"/>
      <c r="KXK155" s="3060"/>
      <c r="KXL155" s="3060"/>
      <c r="KXM155" s="3060"/>
      <c r="KXN155" s="3060"/>
      <c r="KXO155" s="3060"/>
      <c r="KXP155" s="3060"/>
      <c r="KXQ155" s="3060"/>
      <c r="KXR155" s="3060"/>
      <c r="KXS155" s="3060"/>
      <c r="KXT155" s="3060"/>
      <c r="KXU155" s="3060"/>
      <c r="KXV155" s="3060"/>
      <c r="KXW155" s="3060"/>
      <c r="KXX155" s="3060"/>
      <c r="KXY155" s="3060"/>
      <c r="KXZ155" s="3060"/>
      <c r="KYA155" s="3060"/>
      <c r="KYB155" s="3060"/>
      <c r="KYC155" s="3060"/>
      <c r="KYD155" s="3060"/>
      <c r="KYE155" s="3060"/>
      <c r="KYF155" s="3060"/>
      <c r="KYG155" s="3060"/>
      <c r="KYH155" s="3060"/>
      <c r="KYI155" s="3060"/>
      <c r="KYJ155" s="3060"/>
      <c r="KYK155" s="3060"/>
      <c r="KYL155" s="3060"/>
      <c r="KYM155" s="3060"/>
      <c r="KYN155" s="3060"/>
      <c r="KYO155" s="3060"/>
      <c r="KYP155" s="3060"/>
      <c r="KYQ155" s="3060"/>
      <c r="KYR155" s="3060"/>
      <c r="KYS155" s="3060"/>
      <c r="KYT155" s="3060"/>
      <c r="KYU155" s="3060"/>
      <c r="KYV155" s="3060"/>
      <c r="KYW155" s="3060"/>
      <c r="KYX155" s="3060"/>
      <c r="KYY155" s="3060"/>
      <c r="KYZ155" s="3060"/>
      <c r="KZA155" s="3060"/>
      <c r="KZB155" s="3060"/>
      <c r="KZC155" s="3060"/>
      <c r="KZD155" s="3060"/>
      <c r="KZE155" s="3060"/>
      <c r="KZF155" s="3060"/>
      <c r="KZG155" s="3060"/>
      <c r="KZH155" s="3060"/>
      <c r="KZI155" s="3060"/>
      <c r="KZJ155" s="3060"/>
      <c r="KZK155" s="3060"/>
      <c r="KZL155" s="3060"/>
      <c r="KZM155" s="3060"/>
      <c r="KZN155" s="3060"/>
      <c r="KZO155" s="3060"/>
      <c r="KZP155" s="3060"/>
      <c r="KZQ155" s="3060"/>
      <c r="KZR155" s="3060"/>
      <c r="KZS155" s="3060"/>
      <c r="KZT155" s="3060"/>
      <c r="KZU155" s="3060"/>
      <c r="KZV155" s="3060"/>
      <c r="KZW155" s="3060"/>
      <c r="KZX155" s="3060"/>
      <c r="KZY155" s="3060"/>
      <c r="KZZ155" s="3060"/>
      <c r="LAA155" s="3060"/>
      <c r="LAB155" s="3060"/>
      <c r="LAC155" s="3060"/>
      <c r="LAD155" s="3060"/>
      <c r="LAE155" s="3060"/>
      <c r="LAF155" s="3060"/>
      <c r="LAG155" s="3060"/>
      <c r="LAH155" s="3060"/>
      <c r="LAI155" s="3060"/>
      <c r="LAJ155" s="3060"/>
      <c r="LAK155" s="3060"/>
      <c r="LAL155" s="3060"/>
      <c r="LAM155" s="3060"/>
      <c r="LAN155" s="3060"/>
      <c r="LAO155" s="3060"/>
      <c r="LAP155" s="3060"/>
      <c r="LAQ155" s="3060"/>
      <c r="LAR155" s="3060"/>
      <c r="LAS155" s="3060"/>
      <c r="LAT155" s="3060"/>
      <c r="LAU155" s="3060"/>
      <c r="LAV155" s="3060"/>
      <c r="LAW155" s="3060"/>
      <c r="LAX155" s="3060"/>
      <c r="LAY155" s="3060"/>
      <c r="LAZ155" s="3060"/>
      <c r="LBA155" s="3060"/>
      <c r="LBB155" s="3060"/>
      <c r="LBC155" s="3060"/>
      <c r="LBD155" s="3060"/>
      <c r="LBE155" s="3060"/>
      <c r="LBF155" s="3060"/>
      <c r="LBG155" s="3060"/>
      <c r="LBH155" s="3060"/>
      <c r="LBI155" s="3060"/>
      <c r="LBJ155" s="3060"/>
      <c r="LBK155" s="3060"/>
      <c r="LBL155" s="3060"/>
      <c r="LBM155" s="3060"/>
      <c r="LBN155" s="3060"/>
      <c r="LBO155" s="3060"/>
      <c r="LBP155" s="3060"/>
      <c r="LBQ155" s="3060"/>
      <c r="LBR155" s="3060"/>
      <c r="LBS155" s="3060"/>
      <c r="LBT155" s="3060"/>
      <c r="LBU155" s="3060"/>
      <c r="LBV155" s="3060"/>
      <c r="LBW155" s="3060"/>
      <c r="LBX155" s="3060"/>
      <c r="LBY155" s="3060"/>
      <c r="LBZ155" s="3060"/>
      <c r="LCA155" s="3060"/>
      <c r="LCB155" s="3060"/>
      <c r="LCC155" s="3060"/>
      <c r="LCD155" s="3060"/>
      <c r="LCE155" s="3060"/>
      <c r="LCF155" s="3060"/>
      <c r="LCG155" s="3060"/>
      <c r="LCH155" s="3060"/>
      <c r="LCI155" s="3060"/>
      <c r="LCJ155" s="3060"/>
      <c r="LCK155" s="3060"/>
      <c r="LCL155" s="3060"/>
      <c r="LCM155" s="3060"/>
      <c r="LCN155" s="3060"/>
      <c r="LCO155" s="3060"/>
      <c r="LCP155" s="3060"/>
      <c r="LCQ155" s="3060"/>
      <c r="LCR155" s="3060"/>
      <c r="LCS155" s="3060"/>
      <c r="LCT155" s="3060"/>
      <c r="LCU155" s="3060"/>
      <c r="LCV155" s="3060"/>
      <c r="LCW155" s="3060"/>
      <c r="LCX155" s="3060"/>
      <c r="LCY155" s="3060"/>
      <c r="LCZ155" s="3060"/>
      <c r="LDA155" s="3060"/>
      <c r="LDB155" s="3060"/>
      <c r="LDC155" s="3060"/>
      <c r="LDD155" s="3060"/>
      <c r="LDE155" s="3060"/>
      <c r="LDF155" s="3060"/>
      <c r="LDG155" s="3060"/>
      <c r="LDH155" s="3060"/>
      <c r="LDI155" s="3060"/>
      <c r="LDJ155" s="3060"/>
      <c r="LDK155" s="3060"/>
      <c r="LDL155" s="3060"/>
      <c r="LDM155" s="3060"/>
      <c r="LDN155" s="3060"/>
      <c r="LDO155" s="3060"/>
      <c r="LDP155" s="3060"/>
      <c r="LDQ155" s="3060"/>
      <c r="LDR155" s="3060"/>
      <c r="LDS155" s="3060"/>
      <c r="LDT155" s="3060"/>
      <c r="LDU155" s="3060"/>
      <c r="LDV155" s="3060"/>
      <c r="LDW155" s="3060"/>
      <c r="LDX155" s="3060"/>
      <c r="LDY155" s="3060"/>
      <c r="LDZ155" s="3060"/>
      <c r="LEA155" s="3060"/>
      <c r="LEB155" s="3060"/>
      <c r="LEC155" s="3060"/>
      <c r="LED155" s="3060"/>
      <c r="LEE155" s="3060"/>
      <c r="LEF155" s="3060"/>
      <c r="LEG155" s="3060"/>
      <c r="LEH155" s="3060"/>
      <c r="LEI155" s="3060"/>
      <c r="LEJ155" s="3060"/>
      <c r="LEK155" s="3060"/>
      <c r="LEL155" s="3060"/>
      <c r="LEM155" s="3060"/>
      <c r="LEN155" s="3060"/>
      <c r="LEO155" s="3060"/>
      <c r="LEP155" s="3060"/>
      <c r="LEQ155" s="3060"/>
      <c r="LER155" s="3060"/>
      <c r="LES155" s="3060"/>
      <c r="LET155" s="3060"/>
      <c r="LEU155" s="3060"/>
      <c r="LEV155" s="3060"/>
      <c r="LEW155" s="3060"/>
      <c r="LEX155" s="3060"/>
      <c r="LEY155" s="3060"/>
      <c r="LEZ155" s="3060"/>
      <c r="LFA155" s="3060"/>
      <c r="LFB155" s="3060"/>
      <c r="LFC155" s="3060"/>
      <c r="LFD155" s="3060"/>
      <c r="LFE155" s="3060"/>
      <c r="LFF155" s="3060"/>
      <c r="LFG155" s="3060"/>
      <c r="LFH155" s="3060"/>
      <c r="LFI155" s="3060"/>
      <c r="LFJ155" s="3060"/>
      <c r="LFK155" s="3060"/>
      <c r="LFL155" s="3060"/>
      <c r="LFM155" s="3060"/>
      <c r="LFN155" s="3060"/>
      <c r="LFO155" s="3060"/>
      <c r="LFP155" s="3060"/>
      <c r="LFQ155" s="3060"/>
      <c r="LFR155" s="3060"/>
      <c r="LFS155" s="3060"/>
      <c r="LFT155" s="3060"/>
      <c r="LFU155" s="3060"/>
      <c r="LFV155" s="3060"/>
      <c r="LFW155" s="3060"/>
      <c r="LFX155" s="3060"/>
      <c r="LFY155" s="3060"/>
      <c r="LFZ155" s="3060"/>
      <c r="LGA155" s="3060"/>
      <c r="LGB155" s="3060"/>
      <c r="LGC155" s="3060"/>
      <c r="LGD155" s="3060"/>
      <c r="LGE155" s="3060"/>
      <c r="LGF155" s="3060"/>
      <c r="LGG155" s="3060"/>
      <c r="LGH155" s="3060"/>
      <c r="LGI155" s="3060"/>
      <c r="LGJ155" s="3060"/>
      <c r="LGK155" s="3060"/>
      <c r="LGL155" s="3060"/>
      <c r="LGM155" s="3060"/>
      <c r="LGN155" s="3060"/>
      <c r="LGO155" s="3060"/>
      <c r="LGP155" s="3060"/>
      <c r="LGQ155" s="3060"/>
      <c r="LGR155" s="3060"/>
      <c r="LGS155" s="3060"/>
      <c r="LGT155" s="3060"/>
      <c r="LGU155" s="3060"/>
      <c r="LGV155" s="3060"/>
      <c r="LGW155" s="3060"/>
      <c r="LGX155" s="3060"/>
      <c r="LGY155" s="3060"/>
      <c r="LGZ155" s="3060"/>
      <c r="LHA155" s="3060"/>
      <c r="LHB155" s="3060"/>
      <c r="LHC155" s="3060"/>
      <c r="LHD155" s="3060"/>
      <c r="LHE155" s="3060"/>
      <c r="LHF155" s="3060"/>
      <c r="LHG155" s="3060"/>
      <c r="LHH155" s="3060"/>
      <c r="LHI155" s="3060"/>
      <c r="LHJ155" s="3060"/>
      <c r="LHK155" s="3060"/>
      <c r="LHL155" s="3060"/>
      <c r="LHM155" s="3060"/>
      <c r="LHN155" s="3060"/>
      <c r="LHO155" s="3060"/>
      <c r="LHP155" s="3060"/>
      <c r="LHQ155" s="3060"/>
      <c r="LHR155" s="3060"/>
      <c r="LHS155" s="3060"/>
      <c r="LHT155" s="3060"/>
      <c r="LHU155" s="3060"/>
      <c r="LHV155" s="3060"/>
      <c r="LHW155" s="3060"/>
      <c r="LHX155" s="3060"/>
      <c r="LHY155" s="3060"/>
      <c r="LHZ155" s="3060"/>
      <c r="LIA155" s="3060"/>
      <c r="LIB155" s="3060"/>
      <c r="LIC155" s="3060"/>
      <c r="LID155" s="3060"/>
      <c r="LIE155" s="3060"/>
      <c r="LIF155" s="3060"/>
      <c r="LIG155" s="3060"/>
      <c r="LIH155" s="3060"/>
      <c r="LII155" s="3060"/>
      <c r="LIJ155" s="3060"/>
      <c r="LIK155" s="3060"/>
      <c r="LIL155" s="3060"/>
      <c r="LIM155" s="3060"/>
      <c r="LIN155" s="3060"/>
      <c r="LIO155" s="3060"/>
      <c r="LIP155" s="3060"/>
      <c r="LIQ155" s="3060"/>
      <c r="LIR155" s="3060"/>
      <c r="LIS155" s="3060"/>
      <c r="LIT155" s="3060"/>
      <c r="LIU155" s="3060"/>
      <c r="LIV155" s="3060"/>
      <c r="LIW155" s="3060"/>
      <c r="LIX155" s="3060"/>
      <c r="LIY155" s="3060"/>
      <c r="LIZ155" s="3060"/>
      <c r="LJA155" s="3060"/>
      <c r="LJB155" s="3060"/>
      <c r="LJC155" s="3060"/>
      <c r="LJD155" s="3060"/>
      <c r="LJE155" s="3060"/>
      <c r="LJF155" s="3060"/>
      <c r="LJG155" s="3060"/>
      <c r="LJH155" s="3060"/>
      <c r="LJI155" s="3060"/>
      <c r="LJJ155" s="3060"/>
      <c r="LJK155" s="3060"/>
      <c r="LJL155" s="3060"/>
      <c r="LJM155" s="3060"/>
      <c r="LJN155" s="3060"/>
      <c r="LJO155" s="3060"/>
      <c r="LJP155" s="3060"/>
      <c r="LJQ155" s="3060"/>
      <c r="LJR155" s="3060"/>
      <c r="LJS155" s="3060"/>
      <c r="LJT155" s="3060"/>
      <c r="LJU155" s="3060"/>
      <c r="LJV155" s="3060"/>
      <c r="LJW155" s="3060"/>
      <c r="LJX155" s="3060"/>
      <c r="LJY155" s="3060"/>
      <c r="LJZ155" s="3060"/>
      <c r="LKA155" s="3060"/>
      <c r="LKB155" s="3060"/>
      <c r="LKC155" s="3060"/>
      <c r="LKD155" s="3060"/>
      <c r="LKE155" s="3060"/>
      <c r="LKF155" s="3060"/>
      <c r="LKG155" s="3060"/>
      <c r="LKH155" s="3060"/>
      <c r="LKI155" s="3060"/>
      <c r="LKJ155" s="3060"/>
      <c r="LKK155" s="3060"/>
      <c r="LKL155" s="3060"/>
      <c r="LKM155" s="3060"/>
      <c r="LKN155" s="3060"/>
      <c r="LKO155" s="3060"/>
      <c r="LKP155" s="3060"/>
      <c r="LKQ155" s="3060"/>
      <c r="LKR155" s="3060"/>
      <c r="LKS155" s="3060"/>
      <c r="LKT155" s="3060"/>
      <c r="LKU155" s="3060"/>
      <c r="LKV155" s="3060"/>
      <c r="LKW155" s="3060"/>
      <c r="LKX155" s="3060"/>
      <c r="LKY155" s="3060"/>
      <c r="LKZ155" s="3060"/>
      <c r="LLA155" s="3060"/>
      <c r="LLB155" s="3060"/>
      <c r="LLC155" s="3060"/>
      <c r="LLD155" s="3060"/>
      <c r="LLE155" s="3060"/>
      <c r="LLF155" s="3060"/>
      <c r="LLG155" s="3060"/>
      <c r="LLH155" s="3060"/>
      <c r="LLI155" s="3060"/>
      <c r="LLJ155" s="3060"/>
      <c r="LLK155" s="3060"/>
      <c r="LLL155" s="3060"/>
      <c r="LLM155" s="3060"/>
      <c r="LLN155" s="3060"/>
      <c r="LLO155" s="3060"/>
      <c r="LLP155" s="3060"/>
      <c r="LLQ155" s="3060"/>
      <c r="LLR155" s="3060"/>
      <c r="LLS155" s="3060"/>
      <c r="LLT155" s="3060"/>
      <c r="LLU155" s="3060"/>
      <c r="LLV155" s="3060"/>
      <c r="LLW155" s="3060"/>
      <c r="LLX155" s="3060"/>
      <c r="LLY155" s="3060"/>
      <c r="LLZ155" s="3060"/>
      <c r="LMA155" s="3060"/>
      <c r="LMB155" s="3060"/>
      <c r="LMC155" s="3060"/>
      <c r="LMD155" s="3060"/>
      <c r="LME155" s="3060"/>
      <c r="LMF155" s="3060"/>
      <c r="LMG155" s="3060"/>
      <c r="LMH155" s="3060"/>
      <c r="LMI155" s="3060"/>
      <c r="LMJ155" s="3060"/>
      <c r="LMK155" s="3060"/>
      <c r="LML155" s="3060"/>
      <c r="LMM155" s="3060"/>
      <c r="LMN155" s="3060"/>
      <c r="LMO155" s="3060"/>
      <c r="LMP155" s="3060"/>
      <c r="LMQ155" s="3060"/>
      <c r="LMR155" s="3060"/>
      <c r="LMS155" s="3060"/>
      <c r="LMT155" s="3060"/>
      <c r="LMU155" s="3060"/>
      <c r="LMV155" s="3060"/>
      <c r="LMW155" s="3060"/>
      <c r="LMX155" s="3060"/>
      <c r="LMY155" s="3060"/>
      <c r="LMZ155" s="3060"/>
      <c r="LNA155" s="3060"/>
      <c r="LNB155" s="3060"/>
      <c r="LNC155" s="3060"/>
      <c r="LND155" s="3060"/>
      <c r="LNE155" s="3060"/>
      <c r="LNF155" s="3060"/>
      <c r="LNG155" s="3060"/>
      <c r="LNH155" s="3060"/>
      <c r="LNI155" s="3060"/>
      <c r="LNJ155" s="3060"/>
      <c r="LNK155" s="3060"/>
      <c r="LNL155" s="3060"/>
      <c r="LNM155" s="3060"/>
      <c r="LNN155" s="3060"/>
      <c r="LNO155" s="3060"/>
      <c r="LNP155" s="3060"/>
      <c r="LNQ155" s="3060"/>
      <c r="LNR155" s="3060"/>
      <c r="LNS155" s="3060"/>
      <c r="LNT155" s="3060"/>
      <c r="LNU155" s="3060"/>
      <c r="LNV155" s="3060"/>
      <c r="LNW155" s="3060"/>
      <c r="LNX155" s="3060"/>
      <c r="LNY155" s="3060"/>
      <c r="LNZ155" s="3060"/>
      <c r="LOA155" s="3060"/>
      <c r="LOB155" s="3060"/>
      <c r="LOC155" s="3060"/>
      <c r="LOD155" s="3060"/>
      <c r="LOE155" s="3060"/>
      <c r="LOF155" s="3060"/>
      <c r="LOG155" s="3060"/>
      <c r="LOH155" s="3060"/>
      <c r="LOI155" s="3060"/>
      <c r="LOJ155" s="3060"/>
      <c r="LOK155" s="3060"/>
      <c r="LOL155" s="3060"/>
      <c r="LOM155" s="3060"/>
      <c r="LON155" s="3060"/>
      <c r="LOO155" s="3060"/>
      <c r="LOP155" s="3060"/>
      <c r="LOQ155" s="3060"/>
      <c r="LOR155" s="3060"/>
      <c r="LOS155" s="3060"/>
      <c r="LOT155" s="3060"/>
      <c r="LOU155" s="3060"/>
      <c r="LOV155" s="3060"/>
      <c r="LOW155" s="3060"/>
      <c r="LOX155" s="3060"/>
      <c r="LOY155" s="3060"/>
      <c r="LOZ155" s="3060"/>
      <c r="LPA155" s="3060"/>
      <c r="LPB155" s="3060"/>
      <c r="LPC155" s="3060"/>
      <c r="LPD155" s="3060"/>
      <c r="LPE155" s="3060"/>
      <c r="LPF155" s="3060"/>
      <c r="LPG155" s="3060"/>
      <c r="LPH155" s="3060"/>
      <c r="LPI155" s="3060"/>
      <c r="LPJ155" s="3060"/>
      <c r="LPK155" s="3060"/>
      <c r="LPL155" s="3060"/>
      <c r="LPM155" s="3060"/>
      <c r="LPN155" s="3060"/>
      <c r="LPO155" s="3060"/>
      <c r="LPP155" s="3060"/>
      <c r="LPQ155" s="3060"/>
      <c r="LPR155" s="3060"/>
      <c r="LPS155" s="3060"/>
      <c r="LPT155" s="3060"/>
      <c r="LPU155" s="3060"/>
      <c r="LPV155" s="3060"/>
      <c r="LPW155" s="3060"/>
      <c r="LPX155" s="3060"/>
      <c r="LPY155" s="3060"/>
      <c r="LPZ155" s="3060"/>
      <c r="LQA155" s="3060"/>
      <c r="LQB155" s="3060"/>
      <c r="LQC155" s="3060"/>
      <c r="LQD155" s="3060"/>
      <c r="LQE155" s="3060"/>
      <c r="LQF155" s="3060"/>
      <c r="LQG155" s="3060"/>
      <c r="LQH155" s="3060"/>
      <c r="LQI155" s="3060"/>
      <c r="LQJ155" s="3060"/>
      <c r="LQK155" s="3060"/>
      <c r="LQL155" s="3060"/>
      <c r="LQM155" s="3060"/>
      <c r="LQN155" s="3060"/>
      <c r="LQO155" s="3060"/>
      <c r="LQP155" s="3060"/>
      <c r="LQQ155" s="3060"/>
      <c r="LQR155" s="3060"/>
      <c r="LQS155" s="3060"/>
      <c r="LQT155" s="3060"/>
      <c r="LQU155" s="3060"/>
      <c r="LQV155" s="3060"/>
      <c r="LQW155" s="3060"/>
      <c r="LQX155" s="3060"/>
      <c r="LQY155" s="3060"/>
      <c r="LQZ155" s="3060"/>
      <c r="LRA155" s="3060"/>
      <c r="LRB155" s="3060"/>
      <c r="LRC155" s="3060"/>
      <c r="LRD155" s="3060"/>
      <c r="LRE155" s="3060"/>
      <c r="LRF155" s="3060"/>
      <c r="LRG155" s="3060"/>
      <c r="LRH155" s="3060"/>
      <c r="LRI155" s="3060"/>
      <c r="LRJ155" s="3060"/>
      <c r="LRK155" s="3060"/>
      <c r="LRL155" s="3060"/>
      <c r="LRM155" s="3060"/>
      <c r="LRN155" s="3060"/>
      <c r="LRO155" s="3060"/>
      <c r="LRP155" s="3060"/>
      <c r="LRQ155" s="3060"/>
      <c r="LRR155" s="3060"/>
      <c r="LRS155" s="3060"/>
      <c r="LRT155" s="3060"/>
      <c r="LRU155" s="3060"/>
      <c r="LRV155" s="3060"/>
      <c r="LRW155" s="3060"/>
      <c r="LRX155" s="3060"/>
      <c r="LRY155" s="3060"/>
      <c r="LRZ155" s="3060"/>
      <c r="LSA155" s="3060"/>
      <c r="LSB155" s="3060"/>
      <c r="LSC155" s="3060"/>
      <c r="LSD155" s="3060"/>
      <c r="LSE155" s="3060"/>
      <c r="LSF155" s="3060"/>
      <c r="LSG155" s="3060"/>
      <c r="LSH155" s="3060"/>
      <c r="LSI155" s="3060"/>
      <c r="LSJ155" s="3060"/>
      <c r="LSK155" s="3060"/>
      <c r="LSL155" s="3060"/>
      <c r="LSM155" s="3060"/>
      <c r="LSN155" s="3060"/>
      <c r="LSO155" s="3060"/>
      <c r="LSP155" s="3060"/>
      <c r="LSQ155" s="3060"/>
      <c r="LSR155" s="3060"/>
      <c r="LSS155" s="3060"/>
      <c r="LST155" s="3060"/>
      <c r="LSU155" s="3060"/>
      <c r="LSV155" s="3060"/>
      <c r="LSW155" s="3060"/>
      <c r="LSX155" s="3060"/>
      <c r="LSY155" s="3060"/>
      <c r="LSZ155" s="3060"/>
      <c r="LTA155" s="3060"/>
      <c r="LTB155" s="3060"/>
      <c r="LTC155" s="3060"/>
      <c r="LTD155" s="3060"/>
      <c r="LTE155" s="3060"/>
      <c r="LTF155" s="3060"/>
      <c r="LTG155" s="3060"/>
      <c r="LTH155" s="3060"/>
      <c r="LTI155" s="3060"/>
      <c r="LTJ155" s="3060"/>
      <c r="LTK155" s="3060"/>
      <c r="LTL155" s="3060"/>
      <c r="LTM155" s="3060"/>
      <c r="LTN155" s="3060"/>
      <c r="LTO155" s="3060"/>
      <c r="LTP155" s="3060"/>
      <c r="LTQ155" s="3060"/>
      <c r="LTR155" s="3060"/>
      <c r="LTS155" s="3060"/>
      <c r="LTT155" s="3060"/>
      <c r="LTU155" s="3060"/>
      <c r="LTV155" s="3060"/>
      <c r="LTW155" s="3060"/>
      <c r="LTX155" s="3060"/>
      <c r="LTY155" s="3060"/>
      <c r="LTZ155" s="3060"/>
      <c r="LUA155" s="3060"/>
      <c r="LUB155" s="3060"/>
      <c r="LUC155" s="3060"/>
      <c r="LUD155" s="3060"/>
      <c r="LUE155" s="3060"/>
      <c r="LUF155" s="3060"/>
      <c r="LUG155" s="3060"/>
      <c r="LUH155" s="3060"/>
      <c r="LUI155" s="3060"/>
      <c r="LUJ155" s="3060"/>
      <c r="LUK155" s="3060"/>
      <c r="LUL155" s="3060"/>
      <c r="LUM155" s="3060"/>
      <c r="LUN155" s="3060"/>
      <c r="LUO155" s="3060"/>
      <c r="LUP155" s="3060"/>
      <c r="LUQ155" s="3060"/>
      <c r="LUR155" s="3060"/>
      <c r="LUS155" s="3060"/>
      <c r="LUT155" s="3060"/>
      <c r="LUU155" s="3060"/>
      <c r="LUV155" s="3060"/>
      <c r="LUW155" s="3060"/>
      <c r="LUX155" s="3060"/>
      <c r="LUY155" s="3060"/>
      <c r="LUZ155" s="3060"/>
      <c r="LVA155" s="3060"/>
      <c r="LVB155" s="3060"/>
      <c r="LVC155" s="3060"/>
      <c r="LVD155" s="3060"/>
      <c r="LVE155" s="3060"/>
      <c r="LVF155" s="3060"/>
      <c r="LVG155" s="3060"/>
      <c r="LVH155" s="3060"/>
      <c r="LVI155" s="3060"/>
      <c r="LVJ155" s="3060"/>
      <c r="LVK155" s="3060"/>
      <c r="LVL155" s="3060"/>
      <c r="LVM155" s="3060"/>
      <c r="LVN155" s="3060"/>
      <c r="LVO155" s="3060"/>
      <c r="LVP155" s="3060"/>
      <c r="LVQ155" s="3060"/>
      <c r="LVR155" s="3060"/>
      <c r="LVS155" s="3060"/>
      <c r="LVT155" s="3060"/>
      <c r="LVU155" s="3060"/>
      <c r="LVV155" s="3060"/>
      <c r="LVW155" s="3060"/>
      <c r="LVX155" s="3060"/>
      <c r="LVY155" s="3060"/>
      <c r="LVZ155" s="3060"/>
      <c r="LWA155" s="3060"/>
      <c r="LWB155" s="3060"/>
      <c r="LWC155" s="3060"/>
      <c r="LWD155" s="3060"/>
      <c r="LWE155" s="3060"/>
      <c r="LWF155" s="3060"/>
      <c r="LWG155" s="3060"/>
      <c r="LWH155" s="3060"/>
      <c r="LWI155" s="3060"/>
      <c r="LWJ155" s="3060"/>
      <c r="LWK155" s="3060"/>
      <c r="LWL155" s="3060"/>
      <c r="LWM155" s="3060"/>
      <c r="LWN155" s="3060"/>
      <c r="LWO155" s="3060"/>
      <c r="LWP155" s="3060"/>
      <c r="LWQ155" s="3060"/>
      <c r="LWR155" s="3060"/>
      <c r="LWS155" s="3060"/>
      <c r="LWT155" s="3060"/>
      <c r="LWU155" s="3060"/>
      <c r="LWV155" s="3060"/>
      <c r="LWW155" s="3060"/>
      <c r="LWX155" s="3060"/>
      <c r="LWY155" s="3060"/>
      <c r="LWZ155" s="3060"/>
      <c r="LXA155" s="3060"/>
      <c r="LXB155" s="3060"/>
      <c r="LXC155" s="3060"/>
      <c r="LXD155" s="3060"/>
      <c r="LXE155" s="3060"/>
      <c r="LXF155" s="3060"/>
      <c r="LXG155" s="3060"/>
      <c r="LXH155" s="3060"/>
      <c r="LXI155" s="3060"/>
      <c r="LXJ155" s="3060"/>
      <c r="LXK155" s="3060"/>
      <c r="LXL155" s="3060"/>
      <c r="LXM155" s="3060"/>
      <c r="LXN155" s="3060"/>
      <c r="LXO155" s="3060"/>
      <c r="LXP155" s="3060"/>
      <c r="LXQ155" s="3060"/>
      <c r="LXR155" s="3060"/>
      <c r="LXS155" s="3060"/>
      <c r="LXT155" s="3060"/>
      <c r="LXU155" s="3060"/>
      <c r="LXV155" s="3060"/>
      <c r="LXW155" s="3060"/>
      <c r="LXX155" s="3060"/>
      <c r="LXY155" s="3060"/>
      <c r="LXZ155" s="3060"/>
      <c r="LYA155" s="3060"/>
      <c r="LYB155" s="3060"/>
      <c r="LYC155" s="3060"/>
      <c r="LYD155" s="3060"/>
      <c r="LYE155" s="3060"/>
      <c r="LYF155" s="3060"/>
      <c r="LYG155" s="3060"/>
      <c r="LYH155" s="3060"/>
      <c r="LYI155" s="3060"/>
      <c r="LYJ155" s="3060"/>
      <c r="LYK155" s="3060"/>
      <c r="LYL155" s="3060"/>
      <c r="LYM155" s="3060"/>
      <c r="LYN155" s="3060"/>
      <c r="LYO155" s="3060"/>
      <c r="LYP155" s="3060"/>
      <c r="LYQ155" s="3060"/>
      <c r="LYR155" s="3060"/>
      <c r="LYS155" s="3060"/>
      <c r="LYT155" s="3060"/>
      <c r="LYU155" s="3060"/>
      <c r="LYV155" s="3060"/>
      <c r="LYW155" s="3060"/>
      <c r="LYX155" s="3060"/>
      <c r="LYY155" s="3060"/>
      <c r="LYZ155" s="3060"/>
      <c r="LZA155" s="3060"/>
      <c r="LZB155" s="3060"/>
      <c r="LZC155" s="3060"/>
      <c r="LZD155" s="3060"/>
      <c r="LZE155" s="3060"/>
      <c r="LZF155" s="3060"/>
      <c r="LZG155" s="3060"/>
      <c r="LZH155" s="3060"/>
      <c r="LZI155" s="3060"/>
      <c r="LZJ155" s="3060"/>
      <c r="LZK155" s="3060"/>
      <c r="LZL155" s="3060"/>
      <c r="LZM155" s="3060"/>
      <c r="LZN155" s="3060"/>
      <c r="LZO155" s="3060"/>
      <c r="LZP155" s="3060"/>
      <c r="LZQ155" s="3060"/>
      <c r="LZR155" s="3060"/>
      <c r="LZS155" s="3060"/>
      <c r="LZT155" s="3060"/>
      <c r="LZU155" s="3060"/>
      <c r="LZV155" s="3060"/>
      <c r="LZW155" s="3060"/>
      <c r="LZX155" s="3060"/>
      <c r="LZY155" s="3060"/>
      <c r="LZZ155" s="3060"/>
      <c r="MAA155" s="3060"/>
      <c r="MAB155" s="3060"/>
      <c r="MAC155" s="3060"/>
      <c r="MAD155" s="3060"/>
      <c r="MAE155" s="3060"/>
      <c r="MAF155" s="3060"/>
      <c r="MAG155" s="3060"/>
      <c r="MAH155" s="3060"/>
      <c r="MAI155" s="3060"/>
      <c r="MAJ155" s="3060"/>
      <c r="MAK155" s="3060"/>
      <c r="MAL155" s="3060"/>
      <c r="MAM155" s="3060"/>
      <c r="MAN155" s="3060"/>
      <c r="MAO155" s="3060"/>
      <c r="MAP155" s="3060"/>
      <c r="MAQ155" s="3060"/>
      <c r="MAR155" s="3060"/>
      <c r="MAS155" s="3060"/>
      <c r="MAT155" s="3060"/>
      <c r="MAU155" s="3060"/>
      <c r="MAV155" s="3060"/>
      <c r="MAW155" s="3060"/>
      <c r="MAX155" s="3060"/>
      <c r="MAY155" s="3060"/>
      <c r="MAZ155" s="3060"/>
      <c r="MBA155" s="3060"/>
      <c r="MBB155" s="3060"/>
      <c r="MBC155" s="3060"/>
      <c r="MBD155" s="3060"/>
      <c r="MBE155" s="3060"/>
      <c r="MBF155" s="3060"/>
      <c r="MBG155" s="3060"/>
      <c r="MBH155" s="3060"/>
      <c r="MBI155" s="3060"/>
      <c r="MBJ155" s="3060"/>
      <c r="MBK155" s="3060"/>
      <c r="MBL155" s="3060"/>
      <c r="MBM155" s="3060"/>
      <c r="MBN155" s="3060"/>
      <c r="MBO155" s="3060"/>
      <c r="MBP155" s="3060"/>
      <c r="MBQ155" s="3060"/>
      <c r="MBR155" s="3060"/>
      <c r="MBS155" s="3060"/>
      <c r="MBT155" s="3060"/>
      <c r="MBU155" s="3060"/>
      <c r="MBV155" s="3060"/>
      <c r="MBW155" s="3060"/>
      <c r="MBX155" s="3060"/>
      <c r="MBY155" s="3060"/>
      <c r="MBZ155" s="3060"/>
      <c r="MCA155" s="3060"/>
      <c r="MCB155" s="3060"/>
      <c r="MCC155" s="3060"/>
      <c r="MCD155" s="3060"/>
      <c r="MCE155" s="3060"/>
      <c r="MCF155" s="3060"/>
      <c r="MCG155" s="3060"/>
      <c r="MCH155" s="3060"/>
      <c r="MCI155" s="3060"/>
      <c r="MCJ155" s="3060"/>
      <c r="MCK155" s="3060"/>
      <c r="MCL155" s="3060"/>
      <c r="MCM155" s="3060"/>
      <c r="MCN155" s="3060"/>
      <c r="MCO155" s="3060"/>
      <c r="MCP155" s="3060"/>
      <c r="MCQ155" s="3060"/>
      <c r="MCR155" s="3060"/>
      <c r="MCS155" s="3060"/>
      <c r="MCT155" s="3060"/>
      <c r="MCU155" s="3060"/>
      <c r="MCV155" s="3060"/>
      <c r="MCW155" s="3060"/>
      <c r="MCX155" s="3060"/>
      <c r="MCY155" s="3060"/>
      <c r="MCZ155" s="3060"/>
      <c r="MDA155" s="3060"/>
      <c r="MDB155" s="3060"/>
      <c r="MDC155" s="3060"/>
      <c r="MDD155" s="3060"/>
      <c r="MDE155" s="3060"/>
      <c r="MDF155" s="3060"/>
      <c r="MDG155" s="3060"/>
      <c r="MDH155" s="3060"/>
      <c r="MDI155" s="3060"/>
      <c r="MDJ155" s="3060"/>
      <c r="MDK155" s="3060"/>
      <c r="MDL155" s="3060"/>
      <c r="MDM155" s="3060"/>
      <c r="MDN155" s="3060"/>
      <c r="MDO155" s="3060"/>
      <c r="MDP155" s="3060"/>
      <c r="MDQ155" s="3060"/>
      <c r="MDR155" s="3060"/>
      <c r="MDS155" s="3060"/>
      <c r="MDT155" s="3060"/>
      <c r="MDU155" s="3060"/>
      <c r="MDV155" s="3060"/>
      <c r="MDW155" s="3060"/>
      <c r="MDX155" s="3060"/>
      <c r="MDY155" s="3060"/>
      <c r="MDZ155" s="3060"/>
      <c r="MEA155" s="3060"/>
      <c r="MEB155" s="3060"/>
      <c r="MEC155" s="3060"/>
      <c r="MED155" s="3060"/>
      <c r="MEE155" s="3060"/>
      <c r="MEF155" s="3060"/>
      <c r="MEG155" s="3060"/>
      <c r="MEH155" s="3060"/>
      <c r="MEI155" s="3060"/>
      <c r="MEJ155" s="3060"/>
      <c r="MEK155" s="3060"/>
      <c r="MEL155" s="3060"/>
      <c r="MEM155" s="3060"/>
      <c r="MEN155" s="3060"/>
      <c r="MEO155" s="3060"/>
      <c r="MEP155" s="3060"/>
      <c r="MEQ155" s="3060"/>
      <c r="MER155" s="3060"/>
      <c r="MES155" s="3060"/>
      <c r="MET155" s="3060"/>
      <c r="MEU155" s="3060"/>
      <c r="MEV155" s="3060"/>
      <c r="MEW155" s="3060"/>
      <c r="MEX155" s="3060"/>
      <c r="MEY155" s="3060"/>
      <c r="MEZ155" s="3060"/>
      <c r="MFA155" s="3060"/>
      <c r="MFB155" s="3060"/>
      <c r="MFC155" s="3060"/>
      <c r="MFD155" s="3060"/>
      <c r="MFE155" s="3060"/>
      <c r="MFF155" s="3060"/>
      <c r="MFG155" s="3060"/>
      <c r="MFH155" s="3060"/>
      <c r="MFI155" s="3060"/>
      <c r="MFJ155" s="3060"/>
      <c r="MFK155" s="3060"/>
      <c r="MFL155" s="3060"/>
      <c r="MFM155" s="3060"/>
      <c r="MFN155" s="3060"/>
      <c r="MFO155" s="3060"/>
      <c r="MFP155" s="3060"/>
      <c r="MFQ155" s="3060"/>
      <c r="MFR155" s="3060"/>
      <c r="MFS155" s="3060"/>
      <c r="MFT155" s="3060"/>
      <c r="MFU155" s="3060"/>
      <c r="MFV155" s="3060"/>
      <c r="MFW155" s="3060"/>
      <c r="MFX155" s="3060"/>
      <c r="MFY155" s="3060"/>
      <c r="MFZ155" s="3060"/>
      <c r="MGA155" s="3060"/>
      <c r="MGB155" s="3060"/>
      <c r="MGC155" s="3060"/>
      <c r="MGD155" s="3060"/>
      <c r="MGE155" s="3060"/>
      <c r="MGF155" s="3060"/>
      <c r="MGG155" s="3060"/>
      <c r="MGH155" s="3060"/>
      <c r="MGI155" s="3060"/>
      <c r="MGJ155" s="3060"/>
      <c r="MGK155" s="3060"/>
      <c r="MGL155" s="3060"/>
      <c r="MGM155" s="3060"/>
      <c r="MGN155" s="3060"/>
      <c r="MGO155" s="3060"/>
      <c r="MGP155" s="3060"/>
      <c r="MGQ155" s="3060"/>
      <c r="MGR155" s="3060"/>
      <c r="MGS155" s="3060"/>
      <c r="MGT155" s="3060"/>
      <c r="MGU155" s="3060"/>
      <c r="MGV155" s="3060"/>
      <c r="MGW155" s="3060"/>
      <c r="MGX155" s="3060"/>
      <c r="MGY155" s="3060"/>
      <c r="MGZ155" s="3060"/>
      <c r="MHA155" s="3060"/>
      <c r="MHB155" s="3060"/>
      <c r="MHC155" s="3060"/>
      <c r="MHD155" s="3060"/>
      <c r="MHE155" s="3060"/>
      <c r="MHF155" s="3060"/>
      <c r="MHG155" s="3060"/>
      <c r="MHH155" s="3060"/>
      <c r="MHI155" s="3060"/>
      <c r="MHJ155" s="3060"/>
      <c r="MHK155" s="3060"/>
      <c r="MHL155" s="3060"/>
      <c r="MHM155" s="3060"/>
      <c r="MHN155" s="3060"/>
      <c r="MHO155" s="3060"/>
      <c r="MHP155" s="3060"/>
      <c r="MHQ155" s="3060"/>
      <c r="MHR155" s="3060"/>
      <c r="MHS155" s="3060"/>
      <c r="MHT155" s="3060"/>
      <c r="MHU155" s="3060"/>
      <c r="MHV155" s="3060"/>
      <c r="MHW155" s="3060"/>
      <c r="MHX155" s="3060"/>
      <c r="MHY155" s="3060"/>
      <c r="MHZ155" s="3060"/>
      <c r="MIA155" s="3060"/>
      <c r="MIB155" s="3060"/>
      <c r="MIC155" s="3060"/>
      <c r="MID155" s="3060"/>
      <c r="MIE155" s="3060"/>
      <c r="MIF155" s="3060"/>
      <c r="MIG155" s="3060"/>
      <c r="MIH155" s="3060"/>
      <c r="MII155" s="3060"/>
      <c r="MIJ155" s="3060"/>
      <c r="MIK155" s="3060"/>
      <c r="MIL155" s="3060"/>
      <c r="MIM155" s="3060"/>
      <c r="MIN155" s="3060"/>
      <c r="MIO155" s="3060"/>
      <c r="MIP155" s="3060"/>
      <c r="MIQ155" s="3060"/>
      <c r="MIR155" s="3060"/>
      <c r="MIS155" s="3060"/>
      <c r="MIT155" s="3060"/>
      <c r="MIU155" s="3060"/>
      <c r="MIV155" s="3060"/>
      <c r="MIW155" s="3060"/>
      <c r="MIX155" s="3060"/>
      <c r="MIY155" s="3060"/>
      <c r="MIZ155" s="3060"/>
      <c r="MJA155" s="3060"/>
      <c r="MJB155" s="3060"/>
      <c r="MJC155" s="3060"/>
      <c r="MJD155" s="3060"/>
      <c r="MJE155" s="3060"/>
      <c r="MJF155" s="3060"/>
      <c r="MJG155" s="3060"/>
      <c r="MJH155" s="3060"/>
      <c r="MJI155" s="3060"/>
      <c r="MJJ155" s="3060"/>
      <c r="MJK155" s="3060"/>
      <c r="MJL155" s="3060"/>
      <c r="MJM155" s="3060"/>
      <c r="MJN155" s="3060"/>
      <c r="MJO155" s="3060"/>
      <c r="MJP155" s="3060"/>
      <c r="MJQ155" s="3060"/>
      <c r="MJR155" s="3060"/>
      <c r="MJS155" s="3060"/>
      <c r="MJT155" s="3060"/>
      <c r="MJU155" s="3060"/>
      <c r="MJV155" s="3060"/>
      <c r="MJW155" s="3060"/>
      <c r="MJX155" s="3060"/>
      <c r="MJY155" s="3060"/>
      <c r="MJZ155" s="3060"/>
      <c r="MKA155" s="3060"/>
      <c r="MKB155" s="3060"/>
      <c r="MKC155" s="3060"/>
      <c r="MKD155" s="3060"/>
      <c r="MKE155" s="3060"/>
      <c r="MKF155" s="3060"/>
      <c r="MKG155" s="3060"/>
      <c r="MKH155" s="3060"/>
      <c r="MKI155" s="3060"/>
      <c r="MKJ155" s="3060"/>
      <c r="MKK155" s="3060"/>
      <c r="MKL155" s="3060"/>
      <c r="MKM155" s="3060"/>
      <c r="MKN155" s="3060"/>
      <c r="MKO155" s="3060"/>
      <c r="MKP155" s="3060"/>
      <c r="MKQ155" s="3060"/>
      <c r="MKR155" s="3060"/>
      <c r="MKS155" s="3060"/>
      <c r="MKT155" s="3060"/>
      <c r="MKU155" s="3060"/>
      <c r="MKV155" s="3060"/>
      <c r="MKW155" s="3060"/>
      <c r="MKX155" s="3060"/>
      <c r="MKY155" s="3060"/>
      <c r="MKZ155" s="3060"/>
      <c r="MLA155" s="3060"/>
      <c r="MLB155" s="3060"/>
      <c r="MLC155" s="3060"/>
      <c r="MLD155" s="3060"/>
      <c r="MLE155" s="3060"/>
      <c r="MLF155" s="3060"/>
      <c r="MLG155" s="3060"/>
      <c r="MLH155" s="3060"/>
      <c r="MLI155" s="3060"/>
      <c r="MLJ155" s="3060"/>
      <c r="MLK155" s="3060"/>
      <c r="MLL155" s="3060"/>
      <c r="MLM155" s="3060"/>
      <c r="MLN155" s="3060"/>
      <c r="MLO155" s="3060"/>
      <c r="MLP155" s="3060"/>
      <c r="MLQ155" s="3060"/>
      <c r="MLR155" s="3060"/>
      <c r="MLS155" s="3060"/>
      <c r="MLT155" s="3060"/>
      <c r="MLU155" s="3060"/>
      <c r="MLV155" s="3060"/>
      <c r="MLW155" s="3060"/>
      <c r="MLX155" s="3060"/>
      <c r="MLY155" s="3060"/>
      <c r="MLZ155" s="3060"/>
      <c r="MMA155" s="3060"/>
      <c r="MMB155" s="3060"/>
      <c r="MMC155" s="3060"/>
      <c r="MMD155" s="3060"/>
      <c r="MME155" s="3060"/>
      <c r="MMF155" s="3060"/>
      <c r="MMG155" s="3060"/>
      <c r="MMH155" s="3060"/>
      <c r="MMI155" s="3060"/>
      <c r="MMJ155" s="3060"/>
      <c r="MMK155" s="3060"/>
      <c r="MML155" s="3060"/>
      <c r="MMM155" s="3060"/>
      <c r="MMN155" s="3060"/>
      <c r="MMO155" s="3060"/>
      <c r="MMP155" s="3060"/>
      <c r="MMQ155" s="3060"/>
      <c r="MMR155" s="3060"/>
      <c r="MMS155" s="3060"/>
      <c r="MMT155" s="3060"/>
      <c r="MMU155" s="3060"/>
      <c r="MMV155" s="3060"/>
      <c r="MMW155" s="3060"/>
      <c r="MMX155" s="3060"/>
      <c r="MMY155" s="3060"/>
      <c r="MMZ155" s="3060"/>
      <c r="MNA155" s="3060"/>
      <c r="MNB155" s="3060"/>
      <c r="MNC155" s="3060"/>
      <c r="MND155" s="3060"/>
      <c r="MNE155" s="3060"/>
      <c r="MNF155" s="3060"/>
      <c r="MNG155" s="3060"/>
      <c r="MNH155" s="3060"/>
      <c r="MNI155" s="3060"/>
      <c r="MNJ155" s="3060"/>
      <c r="MNK155" s="3060"/>
      <c r="MNL155" s="3060"/>
      <c r="MNM155" s="3060"/>
      <c r="MNN155" s="3060"/>
      <c r="MNO155" s="3060"/>
      <c r="MNP155" s="3060"/>
      <c r="MNQ155" s="3060"/>
      <c r="MNR155" s="3060"/>
      <c r="MNS155" s="3060"/>
      <c r="MNT155" s="3060"/>
      <c r="MNU155" s="3060"/>
      <c r="MNV155" s="3060"/>
      <c r="MNW155" s="3060"/>
      <c r="MNX155" s="3060"/>
      <c r="MNY155" s="3060"/>
      <c r="MNZ155" s="3060"/>
      <c r="MOA155" s="3060"/>
      <c r="MOB155" s="3060"/>
      <c r="MOC155" s="3060"/>
      <c r="MOD155" s="3060"/>
      <c r="MOE155" s="3060"/>
      <c r="MOF155" s="3060"/>
      <c r="MOG155" s="3060"/>
      <c r="MOH155" s="3060"/>
      <c r="MOI155" s="3060"/>
      <c r="MOJ155" s="3060"/>
      <c r="MOK155" s="3060"/>
      <c r="MOL155" s="3060"/>
      <c r="MOM155" s="3060"/>
      <c r="MON155" s="3060"/>
      <c r="MOO155" s="3060"/>
      <c r="MOP155" s="3060"/>
      <c r="MOQ155" s="3060"/>
      <c r="MOR155" s="3060"/>
      <c r="MOS155" s="3060"/>
      <c r="MOT155" s="3060"/>
      <c r="MOU155" s="3060"/>
      <c r="MOV155" s="3060"/>
      <c r="MOW155" s="3060"/>
      <c r="MOX155" s="3060"/>
      <c r="MOY155" s="3060"/>
      <c r="MOZ155" s="3060"/>
      <c r="MPA155" s="3060"/>
      <c r="MPB155" s="3060"/>
      <c r="MPC155" s="3060"/>
      <c r="MPD155" s="3060"/>
      <c r="MPE155" s="3060"/>
      <c r="MPF155" s="3060"/>
      <c r="MPG155" s="3060"/>
      <c r="MPH155" s="3060"/>
      <c r="MPI155" s="3060"/>
      <c r="MPJ155" s="3060"/>
      <c r="MPK155" s="3060"/>
      <c r="MPL155" s="3060"/>
      <c r="MPM155" s="3060"/>
      <c r="MPN155" s="3060"/>
      <c r="MPO155" s="3060"/>
      <c r="MPP155" s="3060"/>
      <c r="MPQ155" s="3060"/>
      <c r="MPR155" s="3060"/>
      <c r="MPS155" s="3060"/>
      <c r="MPT155" s="3060"/>
      <c r="MPU155" s="3060"/>
      <c r="MPV155" s="3060"/>
      <c r="MPW155" s="3060"/>
      <c r="MPX155" s="3060"/>
      <c r="MPY155" s="3060"/>
      <c r="MPZ155" s="3060"/>
      <c r="MQA155" s="3060"/>
      <c r="MQB155" s="3060"/>
      <c r="MQC155" s="3060"/>
      <c r="MQD155" s="3060"/>
      <c r="MQE155" s="3060"/>
      <c r="MQF155" s="3060"/>
      <c r="MQG155" s="3060"/>
      <c r="MQH155" s="3060"/>
      <c r="MQI155" s="3060"/>
      <c r="MQJ155" s="3060"/>
      <c r="MQK155" s="3060"/>
      <c r="MQL155" s="3060"/>
      <c r="MQM155" s="3060"/>
      <c r="MQN155" s="3060"/>
      <c r="MQO155" s="3060"/>
      <c r="MQP155" s="3060"/>
      <c r="MQQ155" s="3060"/>
      <c r="MQR155" s="3060"/>
      <c r="MQS155" s="3060"/>
      <c r="MQT155" s="3060"/>
      <c r="MQU155" s="3060"/>
      <c r="MQV155" s="3060"/>
      <c r="MQW155" s="3060"/>
      <c r="MQX155" s="3060"/>
      <c r="MQY155" s="3060"/>
      <c r="MQZ155" s="3060"/>
      <c r="MRA155" s="3060"/>
      <c r="MRB155" s="3060"/>
      <c r="MRC155" s="3060"/>
      <c r="MRD155" s="3060"/>
      <c r="MRE155" s="3060"/>
      <c r="MRF155" s="3060"/>
      <c r="MRG155" s="3060"/>
      <c r="MRH155" s="3060"/>
      <c r="MRI155" s="3060"/>
      <c r="MRJ155" s="3060"/>
      <c r="MRK155" s="3060"/>
      <c r="MRL155" s="3060"/>
      <c r="MRM155" s="3060"/>
      <c r="MRN155" s="3060"/>
      <c r="MRO155" s="3060"/>
      <c r="MRP155" s="3060"/>
      <c r="MRQ155" s="3060"/>
      <c r="MRR155" s="3060"/>
      <c r="MRS155" s="3060"/>
      <c r="MRT155" s="3060"/>
      <c r="MRU155" s="3060"/>
      <c r="MRV155" s="3060"/>
      <c r="MRW155" s="3060"/>
      <c r="MRX155" s="3060"/>
      <c r="MRY155" s="3060"/>
      <c r="MRZ155" s="3060"/>
      <c r="MSA155" s="3060"/>
      <c r="MSB155" s="3060"/>
      <c r="MSC155" s="3060"/>
      <c r="MSD155" s="3060"/>
      <c r="MSE155" s="3060"/>
      <c r="MSF155" s="3060"/>
      <c r="MSG155" s="3060"/>
      <c r="MSH155" s="3060"/>
      <c r="MSI155" s="3060"/>
      <c r="MSJ155" s="3060"/>
      <c r="MSK155" s="3060"/>
      <c r="MSL155" s="3060"/>
      <c r="MSM155" s="3060"/>
      <c r="MSN155" s="3060"/>
      <c r="MSO155" s="3060"/>
      <c r="MSP155" s="3060"/>
      <c r="MSQ155" s="3060"/>
      <c r="MSR155" s="3060"/>
      <c r="MSS155" s="3060"/>
      <c r="MST155" s="3060"/>
      <c r="MSU155" s="3060"/>
      <c r="MSV155" s="3060"/>
      <c r="MSW155" s="3060"/>
      <c r="MSX155" s="3060"/>
      <c r="MSY155" s="3060"/>
      <c r="MSZ155" s="3060"/>
      <c r="MTA155" s="3060"/>
      <c r="MTB155" s="3060"/>
      <c r="MTC155" s="3060"/>
      <c r="MTD155" s="3060"/>
      <c r="MTE155" s="3060"/>
      <c r="MTF155" s="3060"/>
      <c r="MTG155" s="3060"/>
      <c r="MTH155" s="3060"/>
      <c r="MTI155" s="3060"/>
      <c r="MTJ155" s="3060"/>
      <c r="MTK155" s="3060"/>
      <c r="MTL155" s="3060"/>
      <c r="MTM155" s="3060"/>
      <c r="MTN155" s="3060"/>
      <c r="MTO155" s="3060"/>
      <c r="MTP155" s="3060"/>
      <c r="MTQ155" s="3060"/>
      <c r="MTR155" s="3060"/>
      <c r="MTS155" s="3060"/>
      <c r="MTT155" s="3060"/>
      <c r="MTU155" s="3060"/>
      <c r="MTV155" s="3060"/>
      <c r="MTW155" s="3060"/>
      <c r="MTX155" s="3060"/>
      <c r="MTY155" s="3060"/>
      <c r="MTZ155" s="3060"/>
      <c r="MUA155" s="3060"/>
      <c r="MUB155" s="3060"/>
      <c r="MUC155" s="3060"/>
      <c r="MUD155" s="3060"/>
      <c r="MUE155" s="3060"/>
      <c r="MUF155" s="3060"/>
      <c r="MUG155" s="3060"/>
      <c r="MUH155" s="3060"/>
      <c r="MUI155" s="3060"/>
      <c r="MUJ155" s="3060"/>
      <c r="MUK155" s="3060"/>
      <c r="MUL155" s="3060"/>
      <c r="MUM155" s="3060"/>
      <c r="MUN155" s="3060"/>
      <c r="MUO155" s="3060"/>
      <c r="MUP155" s="3060"/>
      <c r="MUQ155" s="3060"/>
      <c r="MUR155" s="3060"/>
      <c r="MUS155" s="3060"/>
      <c r="MUT155" s="3060"/>
      <c r="MUU155" s="3060"/>
      <c r="MUV155" s="3060"/>
      <c r="MUW155" s="3060"/>
      <c r="MUX155" s="3060"/>
      <c r="MUY155" s="3060"/>
      <c r="MUZ155" s="3060"/>
      <c r="MVA155" s="3060"/>
      <c r="MVB155" s="3060"/>
      <c r="MVC155" s="3060"/>
      <c r="MVD155" s="3060"/>
      <c r="MVE155" s="3060"/>
      <c r="MVF155" s="3060"/>
      <c r="MVG155" s="3060"/>
      <c r="MVH155" s="3060"/>
      <c r="MVI155" s="3060"/>
      <c r="MVJ155" s="3060"/>
      <c r="MVK155" s="3060"/>
      <c r="MVL155" s="3060"/>
      <c r="MVM155" s="3060"/>
      <c r="MVN155" s="3060"/>
      <c r="MVO155" s="3060"/>
      <c r="MVP155" s="3060"/>
      <c r="MVQ155" s="3060"/>
      <c r="MVR155" s="3060"/>
      <c r="MVS155" s="3060"/>
      <c r="MVT155" s="3060"/>
      <c r="MVU155" s="3060"/>
      <c r="MVV155" s="3060"/>
      <c r="MVW155" s="3060"/>
      <c r="MVX155" s="3060"/>
      <c r="MVY155" s="3060"/>
      <c r="MVZ155" s="3060"/>
      <c r="MWA155" s="3060"/>
      <c r="MWB155" s="3060"/>
      <c r="MWC155" s="3060"/>
      <c r="MWD155" s="3060"/>
      <c r="MWE155" s="3060"/>
      <c r="MWF155" s="3060"/>
      <c r="MWG155" s="3060"/>
      <c r="MWH155" s="3060"/>
      <c r="MWI155" s="3060"/>
      <c r="MWJ155" s="3060"/>
      <c r="MWK155" s="3060"/>
      <c r="MWL155" s="3060"/>
      <c r="MWM155" s="3060"/>
      <c r="MWN155" s="3060"/>
      <c r="MWO155" s="3060"/>
      <c r="MWP155" s="3060"/>
      <c r="MWQ155" s="3060"/>
      <c r="MWR155" s="3060"/>
      <c r="MWS155" s="3060"/>
      <c r="MWT155" s="3060"/>
      <c r="MWU155" s="3060"/>
      <c r="MWV155" s="3060"/>
      <c r="MWW155" s="3060"/>
      <c r="MWX155" s="3060"/>
      <c r="MWY155" s="3060"/>
      <c r="MWZ155" s="3060"/>
      <c r="MXA155" s="3060"/>
      <c r="MXB155" s="3060"/>
      <c r="MXC155" s="3060"/>
      <c r="MXD155" s="3060"/>
      <c r="MXE155" s="3060"/>
      <c r="MXF155" s="3060"/>
      <c r="MXG155" s="3060"/>
      <c r="MXH155" s="3060"/>
      <c r="MXI155" s="3060"/>
      <c r="MXJ155" s="3060"/>
      <c r="MXK155" s="3060"/>
      <c r="MXL155" s="3060"/>
      <c r="MXM155" s="3060"/>
      <c r="MXN155" s="3060"/>
      <c r="MXO155" s="3060"/>
      <c r="MXP155" s="3060"/>
      <c r="MXQ155" s="3060"/>
      <c r="MXR155" s="3060"/>
      <c r="MXS155" s="3060"/>
      <c r="MXT155" s="3060"/>
      <c r="MXU155" s="3060"/>
      <c r="MXV155" s="3060"/>
      <c r="MXW155" s="3060"/>
      <c r="MXX155" s="3060"/>
      <c r="MXY155" s="3060"/>
      <c r="MXZ155" s="3060"/>
      <c r="MYA155" s="3060"/>
      <c r="MYB155" s="3060"/>
      <c r="MYC155" s="3060"/>
      <c r="MYD155" s="3060"/>
      <c r="MYE155" s="3060"/>
      <c r="MYF155" s="3060"/>
      <c r="MYG155" s="3060"/>
      <c r="MYH155" s="3060"/>
      <c r="MYI155" s="3060"/>
      <c r="MYJ155" s="3060"/>
      <c r="MYK155" s="3060"/>
      <c r="MYL155" s="3060"/>
      <c r="MYM155" s="3060"/>
      <c r="MYN155" s="3060"/>
      <c r="MYO155" s="3060"/>
      <c r="MYP155" s="3060"/>
      <c r="MYQ155" s="3060"/>
      <c r="MYR155" s="3060"/>
      <c r="MYS155" s="3060"/>
      <c r="MYT155" s="3060"/>
      <c r="MYU155" s="3060"/>
      <c r="MYV155" s="3060"/>
      <c r="MYW155" s="3060"/>
      <c r="MYX155" s="3060"/>
      <c r="MYY155" s="3060"/>
      <c r="MYZ155" s="3060"/>
      <c r="MZA155" s="3060"/>
      <c r="MZB155" s="3060"/>
      <c r="MZC155" s="3060"/>
      <c r="MZD155" s="3060"/>
      <c r="MZE155" s="3060"/>
      <c r="MZF155" s="3060"/>
      <c r="MZG155" s="3060"/>
      <c r="MZH155" s="3060"/>
      <c r="MZI155" s="3060"/>
      <c r="MZJ155" s="3060"/>
      <c r="MZK155" s="3060"/>
      <c r="MZL155" s="3060"/>
      <c r="MZM155" s="3060"/>
      <c r="MZN155" s="3060"/>
      <c r="MZO155" s="3060"/>
      <c r="MZP155" s="3060"/>
      <c r="MZQ155" s="3060"/>
      <c r="MZR155" s="3060"/>
      <c r="MZS155" s="3060"/>
      <c r="MZT155" s="3060"/>
      <c r="MZU155" s="3060"/>
      <c r="MZV155" s="3060"/>
      <c r="MZW155" s="3060"/>
      <c r="MZX155" s="3060"/>
      <c r="MZY155" s="3060"/>
      <c r="MZZ155" s="3060"/>
      <c r="NAA155" s="3060"/>
      <c r="NAB155" s="3060"/>
      <c r="NAC155" s="3060"/>
      <c r="NAD155" s="3060"/>
      <c r="NAE155" s="3060"/>
      <c r="NAF155" s="3060"/>
      <c r="NAG155" s="3060"/>
      <c r="NAH155" s="3060"/>
      <c r="NAI155" s="3060"/>
      <c r="NAJ155" s="3060"/>
      <c r="NAK155" s="3060"/>
      <c r="NAL155" s="3060"/>
      <c r="NAM155" s="3060"/>
      <c r="NAN155" s="3060"/>
      <c r="NAO155" s="3060"/>
      <c r="NAP155" s="3060"/>
      <c r="NAQ155" s="3060"/>
      <c r="NAR155" s="3060"/>
      <c r="NAS155" s="3060"/>
      <c r="NAT155" s="3060"/>
      <c r="NAU155" s="3060"/>
      <c r="NAV155" s="3060"/>
      <c r="NAW155" s="3060"/>
      <c r="NAX155" s="3060"/>
      <c r="NAY155" s="3060"/>
      <c r="NAZ155" s="3060"/>
      <c r="NBA155" s="3060"/>
      <c r="NBB155" s="3060"/>
      <c r="NBC155" s="3060"/>
      <c r="NBD155" s="3060"/>
      <c r="NBE155" s="3060"/>
      <c r="NBF155" s="3060"/>
      <c r="NBG155" s="3060"/>
      <c r="NBH155" s="3060"/>
      <c r="NBI155" s="3060"/>
      <c r="NBJ155" s="3060"/>
      <c r="NBK155" s="3060"/>
      <c r="NBL155" s="3060"/>
      <c r="NBM155" s="3060"/>
      <c r="NBN155" s="3060"/>
      <c r="NBO155" s="3060"/>
      <c r="NBP155" s="3060"/>
      <c r="NBQ155" s="3060"/>
      <c r="NBR155" s="3060"/>
      <c r="NBS155" s="3060"/>
      <c r="NBT155" s="3060"/>
      <c r="NBU155" s="3060"/>
      <c r="NBV155" s="3060"/>
      <c r="NBW155" s="3060"/>
      <c r="NBX155" s="3060"/>
      <c r="NBY155" s="3060"/>
      <c r="NBZ155" s="3060"/>
      <c r="NCA155" s="3060"/>
      <c r="NCB155" s="3060"/>
      <c r="NCC155" s="3060"/>
      <c r="NCD155" s="3060"/>
      <c r="NCE155" s="3060"/>
      <c r="NCF155" s="3060"/>
      <c r="NCG155" s="3060"/>
      <c r="NCH155" s="3060"/>
      <c r="NCI155" s="3060"/>
      <c r="NCJ155" s="3060"/>
      <c r="NCK155" s="3060"/>
      <c r="NCL155" s="3060"/>
      <c r="NCM155" s="3060"/>
      <c r="NCN155" s="3060"/>
      <c r="NCO155" s="3060"/>
      <c r="NCP155" s="3060"/>
      <c r="NCQ155" s="3060"/>
      <c r="NCR155" s="3060"/>
      <c r="NCS155" s="3060"/>
      <c r="NCT155" s="3060"/>
      <c r="NCU155" s="3060"/>
      <c r="NCV155" s="3060"/>
      <c r="NCW155" s="3060"/>
      <c r="NCX155" s="3060"/>
      <c r="NCY155" s="3060"/>
      <c r="NCZ155" s="3060"/>
      <c r="NDA155" s="3060"/>
      <c r="NDB155" s="3060"/>
      <c r="NDC155" s="3060"/>
      <c r="NDD155" s="3060"/>
      <c r="NDE155" s="3060"/>
      <c r="NDF155" s="3060"/>
      <c r="NDG155" s="3060"/>
      <c r="NDH155" s="3060"/>
      <c r="NDI155" s="3060"/>
      <c r="NDJ155" s="3060"/>
      <c r="NDK155" s="3060"/>
      <c r="NDL155" s="3060"/>
      <c r="NDM155" s="3060"/>
      <c r="NDN155" s="3060"/>
      <c r="NDO155" s="3060"/>
      <c r="NDP155" s="3060"/>
      <c r="NDQ155" s="3060"/>
      <c r="NDR155" s="3060"/>
      <c r="NDS155" s="3060"/>
      <c r="NDT155" s="3060"/>
      <c r="NDU155" s="3060"/>
      <c r="NDV155" s="3060"/>
      <c r="NDW155" s="3060"/>
      <c r="NDX155" s="3060"/>
      <c r="NDY155" s="3060"/>
      <c r="NDZ155" s="3060"/>
      <c r="NEA155" s="3060"/>
      <c r="NEB155" s="3060"/>
      <c r="NEC155" s="3060"/>
      <c r="NED155" s="3060"/>
      <c r="NEE155" s="3060"/>
      <c r="NEF155" s="3060"/>
      <c r="NEG155" s="3060"/>
      <c r="NEH155" s="3060"/>
      <c r="NEI155" s="3060"/>
      <c r="NEJ155" s="3060"/>
      <c r="NEK155" s="3060"/>
      <c r="NEL155" s="3060"/>
      <c r="NEM155" s="3060"/>
      <c r="NEN155" s="3060"/>
      <c r="NEO155" s="3060"/>
      <c r="NEP155" s="3060"/>
      <c r="NEQ155" s="3060"/>
      <c r="NER155" s="3060"/>
      <c r="NES155" s="3060"/>
      <c r="NET155" s="3060"/>
      <c r="NEU155" s="3060"/>
      <c r="NEV155" s="3060"/>
      <c r="NEW155" s="3060"/>
      <c r="NEX155" s="3060"/>
      <c r="NEY155" s="3060"/>
      <c r="NEZ155" s="3060"/>
      <c r="NFA155" s="3060"/>
      <c r="NFB155" s="3060"/>
      <c r="NFC155" s="3060"/>
      <c r="NFD155" s="3060"/>
      <c r="NFE155" s="3060"/>
      <c r="NFF155" s="3060"/>
      <c r="NFG155" s="3060"/>
      <c r="NFH155" s="3060"/>
      <c r="NFI155" s="3060"/>
      <c r="NFJ155" s="3060"/>
      <c r="NFK155" s="3060"/>
      <c r="NFL155" s="3060"/>
      <c r="NFM155" s="3060"/>
      <c r="NFN155" s="3060"/>
      <c r="NFO155" s="3060"/>
      <c r="NFP155" s="3060"/>
      <c r="NFQ155" s="3060"/>
      <c r="NFR155" s="3060"/>
      <c r="NFS155" s="3060"/>
      <c r="NFT155" s="3060"/>
      <c r="NFU155" s="3060"/>
      <c r="NFV155" s="3060"/>
      <c r="NFW155" s="3060"/>
      <c r="NFX155" s="3060"/>
      <c r="NFY155" s="3060"/>
      <c r="NFZ155" s="3060"/>
      <c r="NGA155" s="3060"/>
      <c r="NGB155" s="3060"/>
      <c r="NGC155" s="3060"/>
      <c r="NGD155" s="3060"/>
      <c r="NGE155" s="3060"/>
      <c r="NGF155" s="3060"/>
      <c r="NGG155" s="3060"/>
      <c r="NGH155" s="3060"/>
      <c r="NGI155" s="3060"/>
      <c r="NGJ155" s="3060"/>
      <c r="NGK155" s="3060"/>
      <c r="NGL155" s="3060"/>
      <c r="NGM155" s="3060"/>
      <c r="NGN155" s="3060"/>
      <c r="NGO155" s="3060"/>
      <c r="NGP155" s="3060"/>
      <c r="NGQ155" s="3060"/>
      <c r="NGR155" s="3060"/>
      <c r="NGS155" s="3060"/>
      <c r="NGT155" s="3060"/>
      <c r="NGU155" s="3060"/>
      <c r="NGV155" s="3060"/>
      <c r="NGW155" s="3060"/>
      <c r="NGX155" s="3060"/>
      <c r="NGY155" s="3060"/>
      <c r="NGZ155" s="3060"/>
      <c r="NHA155" s="3060"/>
      <c r="NHB155" s="3060"/>
      <c r="NHC155" s="3060"/>
      <c r="NHD155" s="3060"/>
      <c r="NHE155" s="3060"/>
      <c r="NHF155" s="3060"/>
      <c r="NHG155" s="3060"/>
      <c r="NHH155" s="3060"/>
      <c r="NHI155" s="3060"/>
      <c r="NHJ155" s="3060"/>
      <c r="NHK155" s="3060"/>
      <c r="NHL155" s="3060"/>
      <c r="NHM155" s="3060"/>
      <c r="NHN155" s="3060"/>
      <c r="NHO155" s="3060"/>
      <c r="NHP155" s="3060"/>
      <c r="NHQ155" s="3060"/>
      <c r="NHR155" s="3060"/>
      <c r="NHS155" s="3060"/>
      <c r="NHT155" s="3060"/>
      <c r="NHU155" s="3060"/>
      <c r="NHV155" s="3060"/>
      <c r="NHW155" s="3060"/>
      <c r="NHX155" s="3060"/>
      <c r="NHY155" s="3060"/>
      <c r="NHZ155" s="3060"/>
      <c r="NIA155" s="3060"/>
      <c r="NIB155" s="3060"/>
      <c r="NIC155" s="3060"/>
      <c r="NID155" s="3060"/>
      <c r="NIE155" s="3060"/>
      <c r="NIF155" s="3060"/>
      <c r="NIG155" s="3060"/>
      <c r="NIH155" s="3060"/>
      <c r="NII155" s="3060"/>
      <c r="NIJ155" s="3060"/>
      <c r="NIK155" s="3060"/>
      <c r="NIL155" s="3060"/>
      <c r="NIM155" s="3060"/>
      <c r="NIN155" s="3060"/>
      <c r="NIO155" s="3060"/>
      <c r="NIP155" s="3060"/>
      <c r="NIQ155" s="3060"/>
      <c r="NIR155" s="3060"/>
      <c r="NIS155" s="3060"/>
      <c r="NIT155" s="3060"/>
      <c r="NIU155" s="3060"/>
      <c r="NIV155" s="3060"/>
      <c r="NIW155" s="3060"/>
      <c r="NIX155" s="3060"/>
      <c r="NIY155" s="3060"/>
      <c r="NIZ155" s="3060"/>
      <c r="NJA155" s="3060"/>
      <c r="NJB155" s="3060"/>
      <c r="NJC155" s="3060"/>
      <c r="NJD155" s="3060"/>
      <c r="NJE155" s="3060"/>
      <c r="NJF155" s="3060"/>
      <c r="NJG155" s="3060"/>
      <c r="NJH155" s="3060"/>
      <c r="NJI155" s="3060"/>
      <c r="NJJ155" s="3060"/>
      <c r="NJK155" s="3060"/>
      <c r="NJL155" s="3060"/>
      <c r="NJM155" s="3060"/>
      <c r="NJN155" s="3060"/>
      <c r="NJO155" s="3060"/>
      <c r="NJP155" s="3060"/>
      <c r="NJQ155" s="3060"/>
      <c r="NJR155" s="3060"/>
      <c r="NJS155" s="3060"/>
      <c r="NJT155" s="3060"/>
      <c r="NJU155" s="3060"/>
      <c r="NJV155" s="3060"/>
      <c r="NJW155" s="3060"/>
      <c r="NJX155" s="3060"/>
      <c r="NJY155" s="3060"/>
      <c r="NJZ155" s="3060"/>
      <c r="NKA155" s="3060"/>
      <c r="NKB155" s="3060"/>
      <c r="NKC155" s="3060"/>
      <c r="NKD155" s="3060"/>
      <c r="NKE155" s="3060"/>
      <c r="NKF155" s="3060"/>
      <c r="NKG155" s="3060"/>
      <c r="NKH155" s="3060"/>
      <c r="NKI155" s="3060"/>
      <c r="NKJ155" s="3060"/>
      <c r="NKK155" s="3060"/>
      <c r="NKL155" s="3060"/>
      <c r="NKM155" s="3060"/>
      <c r="NKN155" s="3060"/>
      <c r="NKO155" s="3060"/>
      <c r="NKP155" s="3060"/>
      <c r="NKQ155" s="3060"/>
      <c r="NKR155" s="3060"/>
      <c r="NKS155" s="3060"/>
      <c r="NKT155" s="3060"/>
      <c r="NKU155" s="3060"/>
      <c r="NKV155" s="3060"/>
      <c r="NKW155" s="3060"/>
      <c r="NKX155" s="3060"/>
      <c r="NKY155" s="3060"/>
      <c r="NKZ155" s="3060"/>
      <c r="NLA155" s="3060"/>
      <c r="NLB155" s="3060"/>
      <c r="NLC155" s="3060"/>
      <c r="NLD155" s="3060"/>
      <c r="NLE155" s="3060"/>
      <c r="NLF155" s="3060"/>
      <c r="NLG155" s="3060"/>
      <c r="NLH155" s="3060"/>
      <c r="NLI155" s="3060"/>
      <c r="NLJ155" s="3060"/>
      <c r="NLK155" s="3060"/>
      <c r="NLL155" s="3060"/>
      <c r="NLM155" s="3060"/>
      <c r="NLN155" s="3060"/>
      <c r="NLO155" s="3060"/>
      <c r="NLP155" s="3060"/>
      <c r="NLQ155" s="3060"/>
      <c r="NLR155" s="3060"/>
      <c r="NLS155" s="3060"/>
      <c r="NLT155" s="3060"/>
      <c r="NLU155" s="3060"/>
      <c r="NLV155" s="3060"/>
      <c r="NLW155" s="3060"/>
      <c r="NLX155" s="3060"/>
      <c r="NLY155" s="3060"/>
      <c r="NLZ155" s="3060"/>
      <c r="NMA155" s="3060"/>
      <c r="NMB155" s="3060"/>
      <c r="NMC155" s="3060"/>
      <c r="NMD155" s="3060"/>
      <c r="NME155" s="3060"/>
      <c r="NMF155" s="3060"/>
      <c r="NMG155" s="3060"/>
      <c r="NMH155" s="3060"/>
      <c r="NMI155" s="3060"/>
      <c r="NMJ155" s="3060"/>
      <c r="NMK155" s="3060"/>
      <c r="NML155" s="3060"/>
      <c r="NMM155" s="3060"/>
      <c r="NMN155" s="3060"/>
      <c r="NMO155" s="3060"/>
      <c r="NMP155" s="3060"/>
      <c r="NMQ155" s="3060"/>
      <c r="NMR155" s="3060"/>
      <c r="NMS155" s="3060"/>
      <c r="NMT155" s="3060"/>
      <c r="NMU155" s="3060"/>
      <c r="NMV155" s="3060"/>
      <c r="NMW155" s="3060"/>
      <c r="NMX155" s="3060"/>
      <c r="NMY155" s="3060"/>
      <c r="NMZ155" s="3060"/>
      <c r="NNA155" s="3060"/>
      <c r="NNB155" s="3060"/>
      <c r="NNC155" s="3060"/>
      <c r="NND155" s="3060"/>
      <c r="NNE155" s="3060"/>
      <c r="NNF155" s="3060"/>
      <c r="NNG155" s="3060"/>
      <c r="NNH155" s="3060"/>
      <c r="NNI155" s="3060"/>
      <c r="NNJ155" s="3060"/>
      <c r="NNK155" s="3060"/>
      <c r="NNL155" s="3060"/>
      <c r="NNM155" s="3060"/>
      <c r="NNN155" s="3060"/>
      <c r="NNO155" s="3060"/>
      <c r="NNP155" s="3060"/>
      <c r="NNQ155" s="3060"/>
      <c r="NNR155" s="3060"/>
      <c r="NNS155" s="3060"/>
      <c r="NNT155" s="3060"/>
      <c r="NNU155" s="3060"/>
      <c r="NNV155" s="3060"/>
      <c r="NNW155" s="3060"/>
      <c r="NNX155" s="3060"/>
      <c r="NNY155" s="3060"/>
      <c r="NNZ155" s="3060"/>
      <c r="NOA155" s="3060"/>
      <c r="NOB155" s="3060"/>
      <c r="NOC155" s="3060"/>
      <c r="NOD155" s="3060"/>
      <c r="NOE155" s="3060"/>
      <c r="NOF155" s="3060"/>
      <c r="NOG155" s="3060"/>
      <c r="NOH155" s="3060"/>
      <c r="NOI155" s="3060"/>
      <c r="NOJ155" s="3060"/>
      <c r="NOK155" s="3060"/>
      <c r="NOL155" s="3060"/>
      <c r="NOM155" s="3060"/>
      <c r="NON155" s="3060"/>
      <c r="NOO155" s="3060"/>
      <c r="NOP155" s="3060"/>
      <c r="NOQ155" s="3060"/>
      <c r="NOR155" s="3060"/>
      <c r="NOS155" s="3060"/>
      <c r="NOT155" s="3060"/>
      <c r="NOU155" s="3060"/>
      <c r="NOV155" s="3060"/>
      <c r="NOW155" s="3060"/>
      <c r="NOX155" s="3060"/>
      <c r="NOY155" s="3060"/>
      <c r="NOZ155" s="3060"/>
      <c r="NPA155" s="3060"/>
      <c r="NPB155" s="3060"/>
      <c r="NPC155" s="3060"/>
      <c r="NPD155" s="3060"/>
      <c r="NPE155" s="3060"/>
      <c r="NPF155" s="3060"/>
      <c r="NPG155" s="3060"/>
      <c r="NPH155" s="3060"/>
      <c r="NPI155" s="3060"/>
      <c r="NPJ155" s="3060"/>
      <c r="NPK155" s="3060"/>
      <c r="NPL155" s="3060"/>
      <c r="NPM155" s="3060"/>
      <c r="NPN155" s="3060"/>
      <c r="NPO155" s="3060"/>
      <c r="NPP155" s="3060"/>
      <c r="NPQ155" s="3060"/>
      <c r="NPR155" s="3060"/>
      <c r="NPS155" s="3060"/>
      <c r="NPT155" s="3060"/>
      <c r="NPU155" s="3060"/>
      <c r="NPV155" s="3060"/>
      <c r="NPW155" s="3060"/>
      <c r="NPX155" s="3060"/>
      <c r="NPY155" s="3060"/>
      <c r="NPZ155" s="3060"/>
      <c r="NQA155" s="3060"/>
      <c r="NQB155" s="3060"/>
      <c r="NQC155" s="3060"/>
      <c r="NQD155" s="3060"/>
      <c r="NQE155" s="3060"/>
      <c r="NQF155" s="3060"/>
      <c r="NQG155" s="3060"/>
      <c r="NQH155" s="3060"/>
      <c r="NQI155" s="3060"/>
      <c r="NQJ155" s="3060"/>
      <c r="NQK155" s="3060"/>
      <c r="NQL155" s="3060"/>
      <c r="NQM155" s="3060"/>
      <c r="NQN155" s="3060"/>
      <c r="NQO155" s="3060"/>
      <c r="NQP155" s="3060"/>
      <c r="NQQ155" s="3060"/>
      <c r="NQR155" s="3060"/>
      <c r="NQS155" s="3060"/>
      <c r="NQT155" s="3060"/>
      <c r="NQU155" s="3060"/>
      <c r="NQV155" s="3060"/>
      <c r="NQW155" s="3060"/>
      <c r="NQX155" s="3060"/>
      <c r="NQY155" s="3060"/>
      <c r="NQZ155" s="3060"/>
      <c r="NRA155" s="3060"/>
      <c r="NRB155" s="3060"/>
      <c r="NRC155" s="3060"/>
      <c r="NRD155" s="3060"/>
      <c r="NRE155" s="3060"/>
      <c r="NRF155" s="3060"/>
      <c r="NRG155" s="3060"/>
      <c r="NRH155" s="3060"/>
      <c r="NRI155" s="3060"/>
      <c r="NRJ155" s="3060"/>
      <c r="NRK155" s="3060"/>
      <c r="NRL155" s="3060"/>
      <c r="NRM155" s="3060"/>
      <c r="NRN155" s="3060"/>
      <c r="NRO155" s="3060"/>
      <c r="NRP155" s="3060"/>
      <c r="NRQ155" s="3060"/>
      <c r="NRR155" s="3060"/>
      <c r="NRS155" s="3060"/>
      <c r="NRT155" s="3060"/>
      <c r="NRU155" s="3060"/>
      <c r="NRV155" s="3060"/>
      <c r="NRW155" s="3060"/>
      <c r="NRX155" s="3060"/>
      <c r="NRY155" s="3060"/>
      <c r="NRZ155" s="3060"/>
      <c r="NSA155" s="3060"/>
      <c r="NSB155" s="3060"/>
      <c r="NSC155" s="3060"/>
      <c r="NSD155" s="3060"/>
      <c r="NSE155" s="3060"/>
      <c r="NSF155" s="3060"/>
      <c r="NSG155" s="3060"/>
      <c r="NSH155" s="3060"/>
      <c r="NSI155" s="3060"/>
      <c r="NSJ155" s="3060"/>
      <c r="NSK155" s="3060"/>
      <c r="NSL155" s="3060"/>
      <c r="NSM155" s="3060"/>
      <c r="NSN155" s="3060"/>
      <c r="NSO155" s="3060"/>
      <c r="NSP155" s="3060"/>
      <c r="NSQ155" s="3060"/>
      <c r="NSR155" s="3060"/>
      <c r="NSS155" s="3060"/>
      <c r="NST155" s="3060"/>
      <c r="NSU155" s="3060"/>
      <c r="NSV155" s="3060"/>
      <c r="NSW155" s="3060"/>
      <c r="NSX155" s="3060"/>
      <c r="NSY155" s="3060"/>
      <c r="NSZ155" s="3060"/>
      <c r="NTA155" s="3060"/>
      <c r="NTB155" s="3060"/>
      <c r="NTC155" s="3060"/>
      <c r="NTD155" s="3060"/>
      <c r="NTE155" s="3060"/>
      <c r="NTF155" s="3060"/>
      <c r="NTG155" s="3060"/>
      <c r="NTH155" s="3060"/>
      <c r="NTI155" s="3060"/>
      <c r="NTJ155" s="3060"/>
      <c r="NTK155" s="3060"/>
      <c r="NTL155" s="3060"/>
      <c r="NTM155" s="3060"/>
      <c r="NTN155" s="3060"/>
      <c r="NTO155" s="3060"/>
      <c r="NTP155" s="3060"/>
      <c r="NTQ155" s="3060"/>
      <c r="NTR155" s="3060"/>
      <c r="NTS155" s="3060"/>
      <c r="NTT155" s="3060"/>
      <c r="NTU155" s="3060"/>
      <c r="NTV155" s="3060"/>
      <c r="NTW155" s="3060"/>
      <c r="NTX155" s="3060"/>
      <c r="NTY155" s="3060"/>
      <c r="NTZ155" s="3060"/>
      <c r="NUA155" s="3060"/>
      <c r="NUB155" s="3060"/>
      <c r="NUC155" s="3060"/>
      <c r="NUD155" s="3060"/>
      <c r="NUE155" s="3060"/>
      <c r="NUF155" s="3060"/>
      <c r="NUG155" s="3060"/>
      <c r="NUH155" s="3060"/>
      <c r="NUI155" s="3060"/>
      <c r="NUJ155" s="3060"/>
      <c r="NUK155" s="3060"/>
      <c r="NUL155" s="3060"/>
      <c r="NUM155" s="3060"/>
      <c r="NUN155" s="3060"/>
      <c r="NUO155" s="3060"/>
      <c r="NUP155" s="3060"/>
      <c r="NUQ155" s="3060"/>
      <c r="NUR155" s="3060"/>
      <c r="NUS155" s="3060"/>
      <c r="NUT155" s="3060"/>
      <c r="NUU155" s="3060"/>
      <c r="NUV155" s="3060"/>
      <c r="NUW155" s="3060"/>
      <c r="NUX155" s="3060"/>
      <c r="NUY155" s="3060"/>
      <c r="NUZ155" s="3060"/>
      <c r="NVA155" s="3060"/>
      <c r="NVB155" s="3060"/>
      <c r="NVC155" s="3060"/>
      <c r="NVD155" s="3060"/>
      <c r="NVE155" s="3060"/>
      <c r="NVF155" s="3060"/>
      <c r="NVG155" s="3060"/>
      <c r="NVH155" s="3060"/>
      <c r="NVI155" s="3060"/>
      <c r="NVJ155" s="3060"/>
      <c r="NVK155" s="3060"/>
      <c r="NVL155" s="3060"/>
      <c r="NVM155" s="3060"/>
      <c r="NVN155" s="3060"/>
      <c r="NVO155" s="3060"/>
      <c r="NVP155" s="3060"/>
      <c r="NVQ155" s="3060"/>
      <c r="NVR155" s="3060"/>
      <c r="NVS155" s="3060"/>
      <c r="NVT155" s="3060"/>
      <c r="NVU155" s="3060"/>
      <c r="NVV155" s="3060"/>
      <c r="NVW155" s="3060"/>
      <c r="NVX155" s="3060"/>
      <c r="NVY155" s="3060"/>
      <c r="NVZ155" s="3060"/>
      <c r="NWA155" s="3060"/>
      <c r="NWB155" s="3060"/>
      <c r="NWC155" s="3060"/>
      <c r="NWD155" s="3060"/>
      <c r="NWE155" s="3060"/>
      <c r="NWF155" s="3060"/>
      <c r="NWG155" s="3060"/>
      <c r="NWH155" s="3060"/>
      <c r="NWI155" s="3060"/>
      <c r="NWJ155" s="3060"/>
      <c r="NWK155" s="3060"/>
      <c r="NWL155" s="3060"/>
      <c r="NWM155" s="3060"/>
      <c r="NWN155" s="3060"/>
      <c r="NWO155" s="3060"/>
      <c r="NWP155" s="3060"/>
      <c r="NWQ155" s="3060"/>
      <c r="NWR155" s="3060"/>
      <c r="NWS155" s="3060"/>
      <c r="NWT155" s="3060"/>
      <c r="NWU155" s="3060"/>
      <c r="NWV155" s="3060"/>
      <c r="NWW155" s="3060"/>
      <c r="NWX155" s="3060"/>
      <c r="NWY155" s="3060"/>
      <c r="NWZ155" s="3060"/>
      <c r="NXA155" s="3060"/>
      <c r="NXB155" s="3060"/>
      <c r="NXC155" s="3060"/>
      <c r="NXD155" s="3060"/>
      <c r="NXE155" s="3060"/>
      <c r="NXF155" s="3060"/>
      <c r="NXG155" s="3060"/>
      <c r="NXH155" s="3060"/>
      <c r="NXI155" s="3060"/>
      <c r="NXJ155" s="3060"/>
      <c r="NXK155" s="3060"/>
      <c r="NXL155" s="3060"/>
      <c r="NXM155" s="3060"/>
      <c r="NXN155" s="3060"/>
      <c r="NXO155" s="3060"/>
      <c r="NXP155" s="3060"/>
      <c r="NXQ155" s="3060"/>
      <c r="NXR155" s="3060"/>
      <c r="NXS155" s="3060"/>
      <c r="NXT155" s="3060"/>
      <c r="NXU155" s="3060"/>
      <c r="NXV155" s="3060"/>
      <c r="NXW155" s="3060"/>
      <c r="NXX155" s="3060"/>
      <c r="NXY155" s="3060"/>
      <c r="NXZ155" s="3060"/>
      <c r="NYA155" s="3060"/>
      <c r="NYB155" s="3060"/>
      <c r="NYC155" s="3060"/>
      <c r="NYD155" s="3060"/>
      <c r="NYE155" s="3060"/>
      <c r="NYF155" s="3060"/>
      <c r="NYG155" s="3060"/>
      <c r="NYH155" s="3060"/>
      <c r="NYI155" s="3060"/>
      <c r="NYJ155" s="3060"/>
      <c r="NYK155" s="3060"/>
      <c r="NYL155" s="3060"/>
      <c r="NYM155" s="3060"/>
      <c r="NYN155" s="3060"/>
      <c r="NYO155" s="3060"/>
      <c r="NYP155" s="3060"/>
      <c r="NYQ155" s="3060"/>
      <c r="NYR155" s="3060"/>
      <c r="NYS155" s="3060"/>
      <c r="NYT155" s="3060"/>
      <c r="NYU155" s="3060"/>
      <c r="NYV155" s="3060"/>
      <c r="NYW155" s="3060"/>
      <c r="NYX155" s="3060"/>
      <c r="NYY155" s="3060"/>
      <c r="NYZ155" s="3060"/>
      <c r="NZA155" s="3060"/>
      <c r="NZB155" s="3060"/>
      <c r="NZC155" s="3060"/>
      <c r="NZD155" s="3060"/>
      <c r="NZE155" s="3060"/>
      <c r="NZF155" s="3060"/>
      <c r="NZG155" s="3060"/>
      <c r="NZH155" s="3060"/>
      <c r="NZI155" s="3060"/>
      <c r="NZJ155" s="3060"/>
      <c r="NZK155" s="3060"/>
      <c r="NZL155" s="3060"/>
      <c r="NZM155" s="3060"/>
      <c r="NZN155" s="3060"/>
      <c r="NZO155" s="3060"/>
      <c r="NZP155" s="3060"/>
      <c r="NZQ155" s="3060"/>
      <c r="NZR155" s="3060"/>
      <c r="NZS155" s="3060"/>
      <c r="NZT155" s="3060"/>
      <c r="NZU155" s="3060"/>
      <c r="NZV155" s="3060"/>
      <c r="NZW155" s="3060"/>
      <c r="NZX155" s="3060"/>
      <c r="NZY155" s="3060"/>
      <c r="NZZ155" s="3060"/>
      <c r="OAA155" s="3060"/>
      <c r="OAB155" s="3060"/>
      <c r="OAC155" s="3060"/>
      <c r="OAD155" s="3060"/>
      <c r="OAE155" s="3060"/>
      <c r="OAF155" s="3060"/>
      <c r="OAG155" s="3060"/>
      <c r="OAH155" s="3060"/>
      <c r="OAI155" s="3060"/>
      <c r="OAJ155" s="3060"/>
      <c r="OAK155" s="3060"/>
      <c r="OAL155" s="3060"/>
      <c r="OAM155" s="3060"/>
      <c r="OAN155" s="3060"/>
      <c r="OAO155" s="3060"/>
      <c r="OAP155" s="3060"/>
      <c r="OAQ155" s="3060"/>
      <c r="OAR155" s="3060"/>
      <c r="OAS155" s="3060"/>
      <c r="OAT155" s="3060"/>
      <c r="OAU155" s="3060"/>
      <c r="OAV155" s="3060"/>
      <c r="OAW155" s="3060"/>
      <c r="OAX155" s="3060"/>
      <c r="OAY155" s="3060"/>
      <c r="OAZ155" s="3060"/>
      <c r="OBA155" s="3060"/>
      <c r="OBB155" s="3060"/>
      <c r="OBC155" s="3060"/>
      <c r="OBD155" s="3060"/>
      <c r="OBE155" s="3060"/>
      <c r="OBF155" s="3060"/>
      <c r="OBG155" s="3060"/>
      <c r="OBH155" s="3060"/>
      <c r="OBI155" s="3060"/>
      <c r="OBJ155" s="3060"/>
      <c r="OBK155" s="3060"/>
      <c r="OBL155" s="3060"/>
      <c r="OBM155" s="3060"/>
      <c r="OBN155" s="3060"/>
      <c r="OBO155" s="3060"/>
      <c r="OBP155" s="3060"/>
      <c r="OBQ155" s="3060"/>
      <c r="OBR155" s="3060"/>
      <c r="OBS155" s="3060"/>
      <c r="OBT155" s="3060"/>
      <c r="OBU155" s="3060"/>
      <c r="OBV155" s="3060"/>
      <c r="OBW155" s="3060"/>
      <c r="OBX155" s="3060"/>
      <c r="OBY155" s="3060"/>
      <c r="OBZ155" s="3060"/>
      <c r="OCA155" s="3060"/>
      <c r="OCB155" s="3060"/>
      <c r="OCC155" s="3060"/>
      <c r="OCD155" s="3060"/>
      <c r="OCE155" s="3060"/>
      <c r="OCF155" s="3060"/>
      <c r="OCG155" s="3060"/>
      <c r="OCH155" s="3060"/>
      <c r="OCI155" s="3060"/>
      <c r="OCJ155" s="3060"/>
      <c r="OCK155" s="3060"/>
      <c r="OCL155" s="3060"/>
      <c r="OCM155" s="3060"/>
      <c r="OCN155" s="3060"/>
      <c r="OCO155" s="3060"/>
      <c r="OCP155" s="3060"/>
      <c r="OCQ155" s="3060"/>
      <c r="OCR155" s="3060"/>
      <c r="OCS155" s="3060"/>
      <c r="OCT155" s="3060"/>
      <c r="OCU155" s="3060"/>
      <c r="OCV155" s="3060"/>
      <c r="OCW155" s="3060"/>
      <c r="OCX155" s="3060"/>
      <c r="OCY155" s="3060"/>
      <c r="OCZ155" s="3060"/>
      <c r="ODA155" s="3060"/>
      <c r="ODB155" s="3060"/>
      <c r="ODC155" s="3060"/>
      <c r="ODD155" s="3060"/>
      <c r="ODE155" s="3060"/>
      <c r="ODF155" s="3060"/>
      <c r="ODG155" s="3060"/>
      <c r="ODH155" s="3060"/>
      <c r="ODI155" s="3060"/>
      <c r="ODJ155" s="3060"/>
      <c r="ODK155" s="3060"/>
      <c r="ODL155" s="3060"/>
      <c r="ODM155" s="3060"/>
      <c r="ODN155" s="3060"/>
      <c r="ODO155" s="3060"/>
      <c r="ODP155" s="3060"/>
      <c r="ODQ155" s="3060"/>
      <c r="ODR155" s="3060"/>
      <c r="ODS155" s="3060"/>
      <c r="ODT155" s="3060"/>
      <c r="ODU155" s="3060"/>
      <c r="ODV155" s="3060"/>
      <c r="ODW155" s="3060"/>
      <c r="ODX155" s="3060"/>
      <c r="ODY155" s="3060"/>
      <c r="ODZ155" s="3060"/>
      <c r="OEA155" s="3060"/>
      <c r="OEB155" s="3060"/>
      <c r="OEC155" s="3060"/>
      <c r="OED155" s="3060"/>
      <c r="OEE155" s="3060"/>
      <c r="OEF155" s="3060"/>
      <c r="OEG155" s="3060"/>
      <c r="OEH155" s="3060"/>
      <c r="OEI155" s="3060"/>
      <c r="OEJ155" s="3060"/>
      <c r="OEK155" s="3060"/>
      <c r="OEL155" s="3060"/>
      <c r="OEM155" s="3060"/>
      <c r="OEN155" s="3060"/>
      <c r="OEO155" s="3060"/>
      <c r="OEP155" s="3060"/>
      <c r="OEQ155" s="3060"/>
      <c r="OER155" s="3060"/>
      <c r="OES155" s="3060"/>
      <c r="OET155" s="3060"/>
      <c r="OEU155" s="3060"/>
      <c r="OEV155" s="3060"/>
      <c r="OEW155" s="3060"/>
      <c r="OEX155" s="3060"/>
      <c r="OEY155" s="3060"/>
      <c r="OEZ155" s="3060"/>
      <c r="OFA155" s="3060"/>
      <c r="OFB155" s="3060"/>
      <c r="OFC155" s="3060"/>
      <c r="OFD155" s="3060"/>
      <c r="OFE155" s="3060"/>
      <c r="OFF155" s="3060"/>
      <c r="OFG155" s="3060"/>
      <c r="OFH155" s="3060"/>
      <c r="OFI155" s="3060"/>
      <c r="OFJ155" s="3060"/>
      <c r="OFK155" s="3060"/>
      <c r="OFL155" s="3060"/>
      <c r="OFM155" s="3060"/>
      <c r="OFN155" s="3060"/>
      <c r="OFO155" s="3060"/>
      <c r="OFP155" s="3060"/>
      <c r="OFQ155" s="3060"/>
      <c r="OFR155" s="3060"/>
      <c r="OFS155" s="3060"/>
      <c r="OFT155" s="3060"/>
      <c r="OFU155" s="3060"/>
      <c r="OFV155" s="3060"/>
      <c r="OFW155" s="3060"/>
      <c r="OFX155" s="3060"/>
      <c r="OFY155" s="3060"/>
      <c r="OFZ155" s="3060"/>
      <c r="OGA155" s="3060"/>
      <c r="OGB155" s="3060"/>
      <c r="OGC155" s="3060"/>
      <c r="OGD155" s="3060"/>
      <c r="OGE155" s="3060"/>
      <c r="OGF155" s="3060"/>
      <c r="OGG155" s="3060"/>
      <c r="OGH155" s="3060"/>
      <c r="OGI155" s="3060"/>
      <c r="OGJ155" s="3060"/>
      <c r="OGK155" s="3060"/>
      <c r="OGL155" s="3060"/>
      <c r="OGM155" s="3060"/>
      <c r="OGN155" s="3060"/>
      <c r="OGO155" s="3060"/>
      <c r="OGP155" s="3060"/>
      <c r="OGQ155" s="3060"/>
      <c r="OGR155" s="3060"/>
      <c r="OGS155" s="3060"/>
      <c r="OGT155" s="3060"/>
      <c r="OGU155" s="3060"/>
      <c r="OGV155" s="3060"/>
      <c r="OGW155" s="3060"/>
      <c r="OGX155" s="3060"/>
      <c r="OGY155" s="3060"/>
      <c r="OGZ155" s="3060"/>
      <c r="OHA155" s="3060"/>
      <c r="OHB155" s="3060"/>
      <c r="OHC155" s="3060"/>
      <c r="OHD155" s="3060"/>
      <c r="OHE155" s="3060"/>
      <c r="OHF155" s="3060"/>
      <c r="OHG155" s="3060"/>
      <c r="OHH155" s="3060"/>
      <c r="OHI155" s="3060"/>
      <c r="OHJ155" s="3060"/>
      <c r="OHK155" s="3060"/>
      <c r="OHL155" s="3060"/>
      <c r="OHM155" s="3060"/>
      <c r="OHN155" s="3060"/>
      <c r="OHO155" s="3060"/>
      <c r="OHP155" s="3060"/>
      <c r="OHQ155" s="3060"/>
      <c r="OHR155" s="3060"/>
      <c r="OHS155" s="3060"/>
      <c r="OHT155" s="3060"/>
      <c r="OHU155" s="3060"/>
      <c r="OHV155" s="3060"/>
      <c r="OHW155" s="3060"/>
      <c r="OHX155" s="3060"/>
      <c r="OHY155" s="3060"/>
      <c r="OHZ155" s="3060"/>
      <c r="OIA155" s="3060"/>
      <c r="OIB155" s="3060"/>
      <c r="OIC155" s="3060"/>
      <c r="OID155" s="3060"/>
      <c r="OIE155" s="3060"/>
      <c r="OIF155" s="3060"/>
      <c r="OIG155" s="3060"/>
      <c r="OIH155" s="3060"/>
      <c r="OII155" s="3060"/>
      <c r="OIJ155" s="3060"/>
      <c r="OIK155" s="3060"/>
      <c r="OIL155" s="3060"/>
      <c r="OIM155" s="3060"/>
      <c r="OIN155" s="3060"/>
      <c r="OIO155" s="3060"/>
      <c r="OIP155" s="3060"/>
      <c r="OIQ155" s="3060"/>
      <c r="OIR155" s="3060"/>
      <c r="OIS155" s="3060"/>
      <c r="OIT155" s="3060"/>
      <c r="OIU155" s="3060"/>
      <c r="OIV155" s="3060"/>
      <c r="OIW155" s="3060"/>
      <c r="OIX155" s="3060"/>
      <c r="OIY155" s="3060"/>
      <c r="OIZ155" s="3060"/>
      <c r="OJA155" s="3060"/>
      <c r="OJB155" s="3060"/>
      <c r="OJC155" s="3060"/>
      <c r="OJD155" s="3060"/>
      <c r="OJE155" s="3060"/>
      <c r="OJF155" s="3060"/>
      <c r="OJG155" s="3060"/>
      <c r="OJH155" s="3060"/>
      <c r="OJI155" s="3060"/>
      <c r="OJJ155" s="3060"/>
      <c r="OJK155" s="3060"/>
      <c r="OJL155" s="3060"/>
      <c r="OJM155" s="3060"/>
      <c r="OJN155" s="3060"/>
      <c r="OJO155" s="3060"/>
      <c r="OJP155" s="3060"/>
      <c r="OJQ155" s="3060"/>
      <c r="OJR155" s="3060"/>
      <c r="OJS155" s="3060"/>
      <c r="OJT155" s="3060"/>
      <c r="OJU155" s="3060"/>
      <c r="OJV155" s="3060"/>
      <c r="OJW155" s="3060"/>
      <c r="OJX155" s="3060"/>
      <c r="OJY155" s="3060"/>
      <c r="OJZ155" s="3060"/>
      <c r="OKA155" s="3060"/>
      <c r="OKB155" s="3060"/>
      <c r="OKC155" s="3060"/>
      <c r="OKD155" s="3060"/>
      <c r="OKE155" s="3060"/>
      <c r="OKF155" s="3060"/>
      <c r="OKG155" s="3060"/>
      <c r="OKH155" s="3060"/>
      <c r="OKI155" s="3060"/>
      <c r="OKJ155" s="3060"/>
      <c r="OKK155" s="3060"/>
      <c r="OKL155" s="3060"/>
      <c r="OKM155" s="3060"/>
      <c r="OKN155" s="3060"/>
      <c r="OKO155" s="3060"/>
      <c r="OKP155" s="3060"/>
      <c r="OKQ155" s="3060"/>
      <c r="OKR155" s="3060"/>
      <c r="OKS155" s="3060"/>
      <c r="OKT155" s="3060"/>
      <c r="OKU155" s="3060"/>
      <c r="OKV155" s="3060"/>
      <c r="OKW155" s="3060"/>
      <c r="OKX155" s="3060"/>
      <c r="OKY155" s="3060"/>
      <c r="OKZ155" s="3060"/>
      <c r="OLA155" s="3060"/>
      <c r="OLB155" s="3060"/>
      <c r="OLC155" s="3060"/>
      <c r="OLD155" s="3060"/>
      <c r="OLE155" s="3060"/>
      <c r="OLF155" s="3060"/>
      <c r="OLG155" s="3060"/>
      <c r="OLH155" s="3060"/>
      <c r="OLI155" s="3060"/>
      <c r="OLJ155" s="3060"/>
      <c r="OLK155" s="3060"/>
      <c r="OLL155" s="3060"/>
      <c r="OLM155" s="3060"/>
      <c r="OLN155" s="3060"/>
      <c r="OLO155" s="3060"/>
      <c r="OLP155" s="3060"/>
      <c r="OLQ155" s="3060"/>
      <c r="OLR155" s="3060"/>
      <c r="OLS155" s="3060"/>
      <c r="OLT155" s="3060"/>
      <c r="OLU155" s="3060"/>
      <c r="OLV155" s="3060"/>
      <c r="OLW155" s="3060"/>
      <c r="OLX155" s="3060"/>
      <c r="OLY155" s="3060"/>
      <c r="OLZ155" s="3060"/>
      <c r="OMA155" s="3060"/>
      <c r="OMB155" s="3060"/>
      <c r="OMC155" s="3060"/>
      <c r="OMD155" s="3060"/>
      <c r="OME155" s="3060"/>
      <c r="OMF155" s="3060"/>
      <c r="OMG155" s="3060"/>
      <c r="OMH155" s="3060"/>
      <c r="OMI155" s="3060"/>
      <c r="OMJ155" s="3060"/>
      <c r="OMK155" s="3060"/>
      <c r="OML155" s="3060"/>
      <c r="OMM155" s="3060"/>
      <c r="OMN155" s="3060"/>
      <c r="OMO155" s="3060"/>
      <c r="OMP155" s="3060"/>
      <c r="OMQ155" s="3060"/>
      <c r="OMR155" s="3060"/>
      <c r="OMS155" s="3060"/>
      <c r="OMT155" s="3060"/>
      <c r="OMU155" s="3060"/>
      <c r="OMV155" s="3060"/>
      <c r="OMW155" s="3060"/>
      <c r="OMX155" s="3060"/>
      <c r="OMY155" s="3060"/>
      <c r="OMZ155" s="3060"/>
      <c r="ONA155" s="3060"/>
      <c r="ONB155" s="3060"/>
      <c r="ONC155" s="3060"/>
      <c r="OND155" s="3060"/>
      <c r="ONE155" s="3060"/>
      <c r="ONF155" s="3060"/>
      <c r="ONG155" s="3060"/>
      <c r="ONH155" s="3060"/>
      <c r="ONI155" s="3060"/>
      <c r="ONJ155" s="3060"/>
      <c r="ONK155" s="3060"/>
      <c r="ONL155" s="3060"/>
      <c r="ONM155" s="3060"/>
      <c r="ONN155" s="3060"/>
      <c r="ONO155" s="3060"/>
      <c r="ONP155" s="3060"/>
      <c r="ONQ155" s="3060"/>
      <c r="ONR155" s="3060"/>
      <c r="ONS155" s="3060"/>
      <c r="ONT155" s="3060"/>
      <c r="ONU155" s="3060"/>
      <c r="ONV155" s="3060"/>
      <c r="ONW155" s="3060"/>
      <c r="ONX155" s="3060"/>
      <c r="ONY155" s="3060"/>
      <c r="ONZ155" s="3060"/>
      <c r="OOA155" s="3060"/>
      <c r="OOB155" s="3060"/>
      <c r="OOC155" s="3060"/>
      <c r="OOD155" s="3060"/>
      <c r="OOE155" s="3060"/>
      <c r="OOF155" s="3060"/>
      <c r="OOG155" s="3060"/>
      <c r="OOH155" s="3060"/>
      <c r="OOI155" s="3060"/>
      <c r="OOJ155" s="3060"/>
      <c r="OOK155" s="3060"/>
      <c r="OOL155" s="3060"/>
      <c r="OOM155" s="3060"/>
      <c r="OON155" s="3060"/>
      <c r="OOO155" s="3060"/>
      <c r="OOP155" s="3060"/>
      <c r="OOQ155" s="3060"/>
      <c r="OOR155" s="3060"/>
      <c r="OOS155" s="3060"/>
      <c r="OOT155" s="3060"/>
      <c r="OOU155" s="3060"/>
      <c r="OOV155" s="3060"/>
      <c r="OOW155" s="3060"/>
      <c r="OOX155" s="3060"/>
      <c r="OOY155" s="3060"/>
      <c r="OOZ155" s="3060"/>
      <c r="OPA155" s="3060"/>
      <c r="OPB155" s="3060"/>
      <c r="OPC155" s="3060"/>
      <c r="OPD155" s="3060"/>
      <c r="OPE155" s="3060"/>
      <c r="OPF155" s="3060"/>
      <c r="OPG155" s="3060"/>
      <c r="OPH155" s="3060"/>
      <c r="OPI155" s="3060"/>
      <c r="OPJ155" s="3060"/>
      <c r="OPK155" s="3060"/>
      <c r="OPL155" s="3060"/>
      <c r="OPM155" s="3060"/>
      <c r="OPN155" s="3060"/>
      <c r="OPO155" s="3060"/>
      <c r="OPP155" s="3060"/>
      <c r="OPQ155" s="3060"/>
      <c r="OPR155" s="3060"/>
      <c r="OPS155" s="3060"/>
      <c r="OPT155" s="3060"/>
      <c r="OPU155" s="3060"/>
      <c r="OPV155" s="3060"/>
      <c r="OPW155" s="3060"/>
      <c r="OPX155" s="3060"/>
      <c r="OPY155" s="3060"/>
      <c r="OPZ155" s="3060"/>
      <c r="OQA155" s="3060"/>
      <c r="OQB155" s="3060"/>
      <c r="OQC155" s="3060"/>
      <c r="OQD155" s="3060"/>
      <c r="OQE155" s="3060"/>
      <c r="OQF155" s="3060"/>
      <c r="OQG155" s="3060"/>
      <c r="OQH155" s="3060"/>
      <c r="OQI155" s="3060"/>
      <c r="OQJ155" s="3060"/>
      <c r="OQK155" s="3060"/>
      <c r="OQL155" s="3060"/>
      <c r="OQM155" s="3060"/>
      <c r="OQN155" s="3060"/>
      <c r="OQO155" s="3060"/>
      <c r="OQP155" s="3060"/>
      <c r="OQQ155" s="3060"/>
      <c r="OQR155" s="3060"/>
      <c r="OQS155" s="3060"/>
      <c r="OQT155" s="3060"/>
      <c r="OQU155" s="3060"/>
      <c r="OQV155" s="3060"/>
      <c r="OQW155" s="3060"/>
      <c r="OQX155" s="3060"/>
      <c r="OQY155" s="3060"/>
      <c r="OQZ155" s="3060"/>
      <c r="ORA155" s="3060"/>
      <c r="ORB155" s="3060"/>
      <c r="ORC155" s="3060"/>
      <c r="ORD155" s="3060"/>
      <c r="ORE155" s="3060"/>
      <c r="ORF155" s="3060"/>
      <c r="ORG155" s="3060"/>
      <c r="ORH155" s="3060"/>
      <c r="ORI155" s="3060"/>
      <c r="ORJ155" s="3060"/>
      <c r="ORK155" s="3060"/>
      <c r="ORL155" s="3060"/>
      <c r="ORM155" s="3060"/>
      <c r="ORN155" s="3060"/>
      <c r="ORO155" s="3060"/>
      <c r="ORP155" s="3060"/>
      <c r="ORQ155" s="3060"/>
      <c r="ORR155" s="3060"/>
      <c r="ORS155" s="3060"/>
      <c r="ORT155" s="3060"/>
      <c r="ORU155" s="3060"/>
      <c r="ORV155" s="3060"/>
      <c r="ORW155" s="3060"/>
      <c r="ORX155" s="3060"/>
      <c r="ORY155" s="3060"/>
      <c r="ORZ155" s="3060"/>
      <c r="OSA155" s="3060"/>
      <c r="OSB155" s="3060"/>
      <c r="OSC155" s="3060"/>
      <c r="OSD155" s="3060"/>
      <c r="OSE155" s="3060"/>
      <c r="OSF155" s="3060"/>
      <c r="OSG155" s="3060"/>
      <c r="OSH155" s="3060"/>
      <c r="OSI155" s="3060"/>
      <c r="OSJ155" s="3060"/>
      <c r="OSK155" s="3060"/>
      <c r="OSL155" s="3060"/>
      <c r="OSM155" s="3060"/>
      <c r="OSN155" s="3060"/>
      <c r="OSO155" s="3060"/>
      <c r="OSP155" s="3060"/>
      <c r="OSQ155" s="3060"/>
      <c r="OSR155" s="3060"/>
      <c r="OSS155" s="3060"/>
      <c r="OST155" s="3060"/>
      <c r="OSU155" s="3060"/>
      <c r="OSV155" s="3060"/>
      <c r="OSW155" s="3060"/>
      <c r="OSX155" s="3060"/>
      <c r="OSY155" s="3060"/>
      <c r="OSZ155" s="3060"/>
      <c r="OTA155" s="3060"/>
      <c r="OTB155" s="3060"/>
      <c r="OTC155" s="3060"/>
      <c r="OTD155" s="3060"/>
      <c r="OTE155" s="3060"/>
      <c r="OTF155" s="3060"/>
      <c r="OTG155" s="3060"/>
      <c r="OTH155" s="3060"/>
      <c r="OTI155" s="3060"/>
      <c r="OTJ155" s="3060"/>
      <c r="OTK155" s="3060"/>
      <c r="OTL155" s="3060"/>
      <c r="OTM155" s="3060"/>
      <c r="OTN155" s="3060"/>
      <c r="OTO155" s="3060"/>
      <c r="OTP155" s="3060"/>
      <c r="OTQ155" s="3060"/>
      <c r="OTR155" s="3060"/>
      <c r="OTS155" s="3060"/>
      <c r="OTT155" s="3060"/>
      <c r="OTU155" s="3060"/>
      <c r="OTV155" s="3060"/>
      <c r="OTW155" s="3060"/>
      <c r="OTX155" s="3060"/>
      <c r="OTY155" s="3060"/>
      <c r="OTZ155" s="3060"/>
      <c r="OUA155" s="3060"/>
      <c r="OUB155" s="3060"/>
      <c r="OUC155" s="3060"/>
      <c r="OUD155" s="3060"/>
      <c r="OUE155" s="3060"/>
      <c r="OUF155" s="3060"/>
      <c r="OUG155" s="3060"/>
      <c r="OUH155" s="3060"/>
      <c r="OUI155" s="3060"/>
      <c r="OUJ155" s="3060"/>
      <c r="OUK155" s="3060"/>
      <c r="OUL155" s="3060"/>
      <c r="OUM155" s="3060"/>
      <c r="OUN155" s="3060"/>
      <c r="OUO155" s="3060"/>
      <c r="OUP155" s="3060"/>
      <c r="OUQ155" s="3060"/>
      <c r="OUR155" s="3060"/>
      <c r="OUS155" s="3060"/>
      <c r="OUT155" s="3060"/>
      <c r="OUU155" s="3060"/>
      <c r="OUV155" s="3060"/>
      <c r="OUW155" s="3060"/>
      <c r="OUX155" s="3060"/>
      <c r="OUY155" s="3060"/>
      <c r="OUZ155" s="3060"/>
      <c r="OVA155" s="3060"/>
      <c r="OVB155" s="3060"/>
      <c r="OVC155" s="3060"/>
      <c r="OVD155" s="3060"/>
      <c r="OVE155" s="3060"/>
      <c r="OVF155" s="3060"/>
      <c r="OVG155" s="3060"/>
      <c r="OVH155" s="3060"/>
      <c r="OVI155" s="3060"/>
      <c r="OVJ155" s="3060"/>
      <c r="OVK155" s="3060"/>
      <c r="OVL155" s="3060"/>
      <c r="OVM155" s="3060"/>
      <c r="OVN155" s="3060"/>
      <c r="OVO155" s="3060"/>
      <c r="OVP155" s="3060"/>
      <c r="OVQ155" s="3060"/>
      <c r="OVR155" s="3060"/>
      <c r="OVS155" s="3060"/>
      <c r="OVT155" s="3060"/>
      <c r="OVU155" s="3060"/>
      <c r="OVV155" s="3060"/>
      <c r="OVW155" s="3060"/>
      <c r="OVX155" s="3060"/>
      <c r="OVY155" s="3060"/>
      <c r="OVZ155" s="3060"/>
      <c r="OWA155" s="3060"/>
      <c r="OWB155" s="3060"/>
      <c r="OWC155" s="3060"/>
      <c r="OWD155" s="3060"/>
      <c r="OWE155" s="3060"/>
      <c r="OWF155" s="3060"/>
      <c r="OWG155" s="3060"/>
      <c r="OWH155" s="3060"/>
      <c r="OWI155" s="3060"/>
      <c r="OWJ155" s="3060"/>
      <c r="OWK155" s="3060"/>
      <c r="OWL155" s="3060"/>
      <c r="OWM155" s="3060"/>
      <c r="OWN155" s="3060"/>
      <c r="OWO155" s="3060"/>
      <c r="OWP155" s="3060"/>
      <c r="OWQ155" s="3060"/>
      <c r="OWR155" s="3060"/>
      <c r="OWS155" s="3060"/>
      <c r="OWT155" s="3060"/>
      <c r="OWU155" s="3060"/>
      <c r="OWV155" s="3060"/>
      <c r="OWW155" s="3060"/>
      <c r="OWX155" s="3060"/>
      <c r="OWY155" s="3060"/>
      <c r="OWZ155" s="3060"/>
      <c r="OXA155" s="3060"/>
      <c r="OXB155" s="3060"/>
      <c r="OXC155" s="3060"/>
      <c r="OXD155" s="3060"/>
      <c r="OXE155" s="3060"/>
      <c r="OXF155" s="3060"/>
      <c r="OXG155" s="3060"/>
      <c r="OXH155" s="3060"/>
      <c r="OXI155" s="3060"/>
      <c r="OXJ155" s="3060"/>
      <c r="OXK155" s="3060"/>
      <c r="OXL155" s="3060"/>
      <c r="OXM155" s="3060"/>
      <c r="OXN155" s="3060"/>
      <c r="OXO155" s="3060"/>
      <c r="OXP155" s="3060"/>
      <c r="OXQ155" s="3060"/>
      <c r="OXR155" s="3060"/>
      <c r="OXS155" s="3060"/>
      <c r="OXT155" s="3060"/>
      <c r="OXU155" s="3060"/>
      <c r="OXV155" s="3060"/>
      <c r="OXW155" s="3060"/>
      <c r="OXX155" s="3060"/>
      <c r="OXY155" s="3060"/>
      <c r="OXZ155" s="3060"/>
      <c r="OYA155" s="3060"/>
      <c r="OYB155" s="3060"/>
      <c r="OYC155" s="3060"/>
      <c r="OYD155" s="3060"/>
      <c r="OYE155" s="3060"/>
      <c r="OYF155" s="3060"/>
      <c r="OYG155" s="3060"/>
      <c r="OYH155" s="3060"/>
      <c r="OYI155" s="3060"/>
      <c r="OYJ155" s="3060"/>
      <c r="OYK155" s="3060"/>
      <c r="OYL155" s="3060"/>
      <c r="OYM155" s="3060"/>
      <c r="OYN155" s="3060"/>
      <c r="OYO155" s="3060"/>
      <c r="OYP155" s="3060"/>
      <c r="OYQ155" s="3060"/>
      <c r="OYR155" s="3060"/>
      <c r="OYS155" s="3060"/>
      <c r="OYT155" s="3060"/>
      <c r="OYU155" s="3060"/>
      <c r="OYV155" s="3060"/>
      <c r="OYW155" s="3060"/>
      <c r="OYX155" s="3060"/>
      <c r="OYY155" s="3060"/>
      <c r="OYZ155" s="3060"/>
      <c r="OZA155" s="3060"/>
      <c r="OZB155" s="3060"/>
      <c r="OZC155" s="3060"/>
      <c r="OZD155" s="3060"/>
      <c r="OZE155" s="3060"/>
      <c r="OZF155" s="3060"/>
      <c r="OZG155" s="3060"/>
      <c r="OZH155" s="3060"/>
      <c r="OZI155" s="3060"/>
      <c r="OZJ155" s="3060"/>
      <c r="OZK155" s="3060"/>
      <c r="OZL155" s="3060"/>
      <c r="OZM155" s="3060"/>
      <c r="OZN155" s="3060"/>
      <c r="OZO155" s="3060"/>
      <c r="OZP155" s="3060"/>
      <c r="OZQ155" s="3060"/>
      <c r="OZR155" s="3060"/>
      <c r="OZS155" s="3060"/>
      <c r="OZT155" s="3060"/>
      <c r="OZU155" s="3060"/>
      <c r="OZV155" s="3060"/>
      <c r="OZW155" s="3060"/>
      <c r="OZX155" s="3060"/>
      <c r="OZY155" s="3060"/>
      <c r="OZZ155" s="3060"/>
      <c r="PAA155" s="3060"/>
      <c r="PAB155" s="3060"/>
      <c r="PAC155" s="3060"/>
      <c r="PAD155" s="3060"/>
      <c r="PAE155" s="3060"/>
      <c r="PAF155" s="3060"/>
      <c r="PAG155" s="3060"/>
      <c r="PAH155" s="3060"/>
      <c r="PAI155" s="3060"/>
      <c r="PAJ155" s="3060"/>
      <c r="PAK155" s="3060"/>
      <c r="PAL155" s="3060"/>
      <c r="PAM155" s="3060"/>
      <c r="PAN155" s="3060"/>
      <c r="PAO155" s="3060"/>
      <c r="PAP155" s="3060"/>
      <c r="PAQ155" s="3060"/>
      <c r="PAR155" s="3060"/>
      <c r="PAS155" s="3060"/>
      <c r="PAT155" s="3060"/>
      <c r="PAU155" s="3060"/>
      <c r="PAV155" s="3060"/>
      <c r="PAW155" s="3060"/>
      <c r="PAX155" s="3060"/>
      <c r="PAY155" s="3060"/>
      <c r="PAZ155" s="3060"/>
      <c r="PBA155" s="3060"/>
      <c r="PBB155" s="3060"/>
      <c r="PBC155" s="3060"/>
      <c r="PBD155" s="3060"/>
      <c r="PBE155" s="3060"/>
      <c r="PBF155" s="3060"/>
      <c r="PBG155" s="3060"/>
      <c r="PBH155" s="3060"/>
      <c r="PBI155" s="3060"/>
      <c r="PBJ155" s="3060"/>
      <c r="PBK155" s="3060"/>
      <c r="PBL155" s="3060"/>
      <c r="PBM155" s="3060"/>
      <c r="PBN155" s="3060"/>
      <c r="PBO155" s="3060"/>
      <c r="PBP155" s="3060"/>
      <c r="PBQ155" s="3060"/>
      <c r="PBR155" s="3060"/>
      <c r="PBS155" s="3060"/>
      <c r="PBT155" s="3060"/>
      <c r="PBU155" s="3060"/>
      <c r="PBV155" s="3060"/>
      <c r="PBW155" s="3060"/>
      <c r="PBX155" s="3060"/>
      <c r="PBY155" s="3060"/>
      <c r="PBZ155" s="3060"/>
      <c r="PCA155" s="3060"/>
      <c r="PCB155" s="3060"/>
      <c r="PCC155" s="3060"/>
      <c r="PCD155" s="3060"/>
      <c r="PCE155" s="3060"/>
      <c r="PCF155" s="3060"/>
      <c r="PCG155" s="3060"/>
      <c r="PCH155" s="3060"/>
      <c r="PCI155" s="3060"/>
      <c r="PCJ155" s="3060"/>
      <c r="PCK155" s="3060"/>
      <c r="PCL155" s="3060"/>
      <c r="PCM155" s="3060"/>
      <c r="PCN155" s="3060"/>
      <c r="PCO155" s="3060"/>
      <c r="PCP155" s="3060"/>
      <c r="PCQ155" s="3060"/>
      <c r="PCR155" s="3060"/>
      <c r="PCS155" s="3060"/>
      <c r="PCT155" s="3060"/>
      <c r="PCU155" s="3060"/>
      <c r="PCV155" s="3060"/>
      <c r="PCW155" s="3060"/>
      <c r="PCX155" s="3060"/>
      <c r="PCY155" s="3060"/>
      <c r="PCZ155" s="3060"/>
      <c r="PDA155" s="3060"/>
      <c r="PDB155" s="3060"/>
      <c r="PDC155" s="3060"/>
      <c r="PDD155" s="3060"/>
      <c r="PDE155" s="3060"/>
      <c r="PDF155" s="3060"/>
      <c r="PDG155" s="3060"/>
      <c r="PDH155" s="3060"/>
      <c r="PDI155" s="3060"/>
      <c r="PDJ155" s="3060"/>
      <c r="PDK155" s="3060"/>
      <c r="PDL155" s="3060"/>
      <c r="PDM155" s="3060"/>
      <c r="PDN155" s="3060"/>
      <c r="PDO155" s="3060"/>
      <c r="PDP155" s="3060"/>
      <c r="PDQ155" s="3060"/>
      <c r="PDR155" s="3060"/>
      <c r="PDS155" s="3060"/>
      <c r="PDT155" s="3060"/>
      <c r="PDU155" s="3060"/>
      <c r="PDV155" s="3060"/>
      <c r="PDW155" s="3060"/>
      <c r="PDX155" s="3060"/>
      <c r="PDY155" s="3060"/>
      <c r="PDZ155" s="3060"/>
      <c r="PEA155" s="3060"/>
      <c r="PEB155" s="3060"/>
      <c r="PEC155" s="3060"/>
      <c r="PED155" s="3060"/>
      <c r="PEE155" s="3060"/>
      <c r="PEF155" s="3060"/>
      <c r="PEG155" s="3060"/>
      <c r="PEH155" s="3060"/>
      <c r="PEI155" s="3060"/>
      <c r="PEJ155" s="3060"/>
      <c r="PEK155" s="3060"/>
      <c r="PEL155" s="3060"/>
      <c r="PEM155" s="3060"/>
      <c r="PEN155" s="3060"/>
      <c r="PEO155" s="3060"/>
      <c r="PEP155" s="3060"/>
      <c r="PEQ155" s="3060"/>
      <c r="PER155" s="3060"/>
      <c r="PES155" s="3060"/>
      <c r="PET155" s="3060"/>
      <c r="PEU155" s="3060"/>
      <c r="PEV155" s="3060"/>
      <c r="PEW155" s="3060"/>
      <c r="PEX155" s="3060"/>
      <c r="PEY155" s="3060"/>
      <c r="PEZ155" s="3060"/>
      <c r="PFA155" s="3060"/>
      <c r="PFB155" s="3060"/>
      <c r="PFC155" s="3060"/>
      <c r="PFD155" s="3060"/>
      <c r="PFE155" s="3060"/>
      <c r="PFF155" s="3060"/>
      <c r="PFG155" s="3060"/>
      <c r="PFH155" s="3060"/>
      <c r="PFI155" s="3060"/>
      <c r="PFJ155" s="3060"/>
      <c r="PFK155" s="3060"/>
      <c r="PFL155" s="3060"/>
      <c r="PFM155" s="3060"/>
      <c r="PFN155" s="3060"/>
      <c r="PFO155" s="3060"/>
      <c r="PFP155" s="3060"/>
      <c r="PFQ155" s="3060"/>
      <c r="PFR155" s="3060"/>
      <c r="PFS155" s="3060"/>
      <c r="PFT155" s="3060"/>
      <c r="PFU155" s="3060"/>
      <c r="PFV155" s="3060"/>
      <c r="PFW155" s="3060"/>
      <c r="PFX155" s="3060"/>
      <c r="PFY155" s="3060"/>
      <c r="PFZ155" s="3060"/>
      <c r="PGA155" s="3060"/>
      <c r="PGB155" s="3060"/>
      <c r="PGC155" s="3060"/>
      <c r="PGD155" s="3060"/>
      <c r="PGE155" s="3060"/>
      <c r="PGF155" s="3060"/>
      <c r="PGG155" s="3060"/>
      <c r="PGH155" s="3060"/>
      <c r="PGI155" s="3060"/>
      <c r="PGJ155" s="3060"/>
      <c r="PGK155" s="3060"/>
      <c r="PGL155" s="3060"/>
      <c r="PGM155" s="3060"/>
      <c r="PGN155" s="3060"/>
      <c r="PGO155" s="3060"/>
      <c r="PGP155" s="3060"/>
      <c r="PGQ155" s="3060"/>
      <c r="PGR155" s="3060"/>
      <c r="PGS155" s="3060"/>
      <c r="PGT155" s="3060"/>
      <c r="PGU155" s="3060"/>
      <c r="PGV155" s="3060"/>
      <c r="PGW155" s="3060"/>
      <c r="PGX155" s="3060"/>
      <c r="PGY155" s="3060"/>
      <c r="PGZ155" s="3060"/>
      <c r="PHA155" s="3060"/>
      <c r="PHB155" s="3060"/>
      <c r="PHC155" s="3060"/>
      <c r="PHD155" s="3060"/>
      <c r="PHE155" s="3060"/>
      <c r="PHF155" s="3060"/>
      <c r="PHG155" s="3060"/>
      <c r="PHH155" s="3060"/>
      <c r="PHI155" s="3060"/>
      <c r="PHJ155" s="3060"/>
      <c r="PHK155" s="3060"/>
      <c r="PHL155" s="3060"/>
      <c r="PHM155" s="3060"/>
      <c r="PHN155" s="3060"/>
      <c r="PHO155" s="3060"/>
      <c r="PHP155" s="3060"/>
      <c r="PHQ155" s="3060"/>
      <c r="PHR155" s="3060"/>
      <c r="PHS155" s="3060"/>
      <c r="PHT155" s="3060"/>
      <c r="PHU155" s="3060"/>
      <c r="PHV155" s="3060"/>
      <c r="PHW155" s="3060"/>
      <c r="PHX155" s="3060"/>
      <c r="PHY155" s="3060"/>
      <c r="PHZ155" s="3060"/>
      <c r="PIA155" s="3060"/>
      <c r="PIB155" s="3060"/>
      <c r="PIC155" s="3060"/>
      <c r="PID155" s="3060"/>
      <c r="PIE155" s="3060"/>
      <c r="PIF155" s="3060"/>
      <c r="PIG155" s="3060"/>
      <c r="PIH155" s="3060"/>
      <c r="PII155" s="3060"/>
      <c r="PIJ155" s="3060"/>
      <c r="PIK155" s="3060"/>
      <c r="PIL155" s="3060"/>
      <c r="PIM155" s="3060"/>
      <c r="PIN155" s="3060"/>
      <c r="PIO155" s="3060"/>
      <c r="PIP155" s="3060"/>
      <c r="PIQ155" s="3060"/>
      <c r="PIR155" s="3060"/>
      <c r="PIS155" s="3060"/>
      <c r="PIT155" s="3060"/>
      <c r="PIU155" s="3060"/>
      <c r="PIV155" s="3060"/>
      <c r="PIW155" s="3060"/>
      <c r="PIX155" s="3060"/>
      <c r="PIY155" s="3060"/>
      <c r="PIZ155" s="3060"/>
      <c r="PJA155" s="3060"/>
      <c r="PJB155" s="3060"/>
      <c r="PJC155" s="3060"/>
      <c r="PJD155" s="3060"/>
      <c r="PJE155" s="3060"/>
      <c r="PJF155" s="3060"/>
      <c r="PJG155" s="3060"/>
      <c r="PJH155" s="3060"/>
      <c r="PJI155" s="3060"/>
      <c r="PJJ155" s="3060"/>
      <c r="PJK155" s="3060"/>
      <c r="PJL155" s="3060"/>
      <c r="PJM155" s="3060"/>
      <c r="PJN155" s="3060"/>
      <c r="PJO155" s="3060"/>
      <c r="PJP155" s="3060"/>
      <c r="PJQ155" s="3060"/>
      <c r="PJR155" s="3060"/>
      <c r="PJS155" s="3060"/>
      <c r="PJT155" s="3060"/>
      <c r="PJU155" s="3060"/>
      <c r="PJV155" s="3060"/>
      <c r="PJW155" s="3060"/>
      <c r="PJX155" s="3060"/>
      <c r="PJY155" s="3060"/>
      <c r="PJZ155" s="3060"/>
      <c r="PKA155" s="3060"/>
      <c r="PKB155" s="3060"/>
      <c r="PKC155" s="3060"/>
      <c r="PKD155" s="3060"/>
      <c r="PKE155" s="3060"/>
      <c r="PKF155" s="3060"/>
      <c r="PKG155" s="3060"/>
      <c r="PKH155" s="3060"/>
      <c r="PKI155" s="3060"/>
      <c r="PKJ155" s="3060"/>
      <c r="PKK155" s="3060"/>
      <c r="PKL155" s="3060"/>
      <c r="PKM155" s="3060"/>
      <c r="PKN155" s="3060"/>
      <c r="PKO155" s="3060"/>
      <c r="PKP155" s="3060"/>
      <c r="PKQ155" s="3060"/>
      <c r="PKR155" s="3060"/>
      <c r="PKS155" s="3060"/>
      <c r="PKT155" s="3060"/>
      <c r="PKU155" s="3060"/>
      <c r="PKV155" s="3060"/>
      <c r="PKW155" s="3060"/>
      <c r="PKX155" s="3060"/>
      <c r="PKY155" s="3060"/>
      <c r="PKZ155" s="3060"/>
      <c r="PLA155" s="3060"/>
      <c r="PLB155" s="3060"/>
      <c r="PLC155" s="3060"/>
      <c r="PLD155" s="3060"/>
      <c r="PLE155" s="3060"/>
      <c r="PLF155" s="3060"/>
      <c r="PLG155" s="3060"/>
      <c r="PLH155" s="3060"/>
      <c r="PLI155" s="3060"/>
      <c r="PLJ155" s="3060"/>
      <c r="PLK155" s="3060"/>
      <c r="PLL155" s="3060"/>
      <c r="PLM155" s="3060"/>
      <c r="PLN155" s="3060"/>
      <c r="PLO155" s="3060"/>
      <c r="PLP155" s="3060"/>
      <c r="PLQ155" s="3060"/>
      <c r="PLR155" s="3060"/>
      <c r="PLS155" s="3060"/>
      <c r="PLT155" s="3060"/>
      <c r="PLU155" s="3060"/>
      <c r="PLV155" s="3060"/>
      <c r="PLW155" s="3060"/>
      <c r="PLX155" s="3060"/>
      <c r="PLY155" s="3060"/>
      <c r="PLZ155" s="3060"/>
      <c r="PMA155" s="3060"/>
      <c r="PMB155" s="3060"/>
      <c r="PMC155" s="3060"/>
      <c r="PMD155" s="3060"/>
      <c r="PME155" s="3060"/>
      <c r="PMF155" s="3060"/>
      <c r="PMG155" s="3060"/>
      <c r="PMH155" s="3060"/>
      <c r="PMI155" s="3060"/>
      <c r="PMJ155" s="3060"/>
      <c r="PMK155" s="3060"/>
      <c r="PML155" s="3060"/>
      <c r="PMM155" s="3060"/>
      <c r="PMN155" s="3060"/>
      <c r="PMO155" s="3060"/>
      <c r="PMP155" s="3060"/>
      <c r="PMQ155" s="3060"/>
      <c r="PMR155" s="3060"/>
      <c r="PMS155" s="3060"/>
      <c r="PMT155" s="3060"/>
      <c r="PMU155" s="3060"/>
      <c r="PMV155" s="3060"/>
      <c r="PMW155" s="3060"/>
      <c r="PMX155" s="3060"/>
      <c r="PMY155" s="3060"/>
      <c r="PMZ155" s="3060"/>
      <c r="PNA155" s="3060"/>
      <c r="PNB155" s="3060"/>
      <c r="PNC155" s="3060"/>
      <c r="PND155" s="3060"/>
      <c r="PNE155" s="3060"/>
      <c r="PNF155" s="3060"/>
      <c r="PNG155" s="3060"/>
      <c r="PNH155" s="3060"/>
      <c r="PNI155" s="3060"/>
      <c r="PNJ155" s="3060"/>
      <c r="PNK155" s="3060"/>
      <c r="PNL155" s="3060"/>
      <c r="PNM155" s="3060"/>
      <c r="PNN155" s="3060"/>
      <c r="PNO155" s="3060"/>
      <c r="PNP155" s="3060"/>
      <c r="PNQ155" s="3060"/>
      <c r="PNR155" s="3060"/>
      <c r="PNS155" s="3060"/>
      <c r="PNT155" s="3060"/>
      <c r="PNU155" s="3060"/>
      <c r="PNV155" s="3060"/>
      <c r="PNW155" s="3060"/>
      <c r="PNX155" s="3060"/>
      <c r="PNY155" s="3060"/>
      <c r="PNZ155" s="3060"/>
      <c r="POA155" s="3060"/>
      <c r="POB155" s="3060"/>
      <c r="POC155" s="3060"/>
      <c r="POD155" s="3060"/>
      <c r="POE155" s="3060"/>
      <c r="POF155" s="3060"/>
      <c r="POG155" s="3060"/>
      <c r="POH155" s="3060"/>
      <c r="POI155" s="3060"/>
      <c r="POJ155" s="3060"/>
      <c r="POK155" s="3060"/>
      <c r="POL155" s="3060"/>
      <c r="POM155" s="3060"/>
      <c r="PON155" s="3060"/>
      <c r="POO155" s="3060"/>
      <c r="POP155" s="3060"/>
      <c r="POQ155" s="3060"/>
      <c r="POR155" s="3060"/>
      <c r="POS155" s="3060"/>
      <c r="POT155" s="3060"/>
      <c r="POU155" s="3060"/>
      <c r="POV155" s="3060"/>
      <c r="POW155" s="3060"/>
      <c r="POX155" s="3060"/>
      <c r="POY155" s="3060"/>
      <c r="POZ155" s="3060"/>
      <c r="PPA155" s="3060"/>
      <c r="PPB155" s="3060"/>
      <c r="PPC155" s="3060"/>
      <c r="PPD155" s="3060"/>
      <c r="PPE155" s="3060"/>
      <c r="PPF155" s="3060"/>
      <c r="PPG155" s="3060"/>
      <c r="PPH155" s="3060"/>
      <c r="PPI155" s="3060"/>
      <c r="PPJ155" s="3060"/>
      <c r="PPK155" s="3060"/>
      <c r="PPL155" s="3060"/>
      <c r="PPM155" s="3060"/>
      <c r="PPN155" s="3060"/>
      <c r="PPO155" s="3060"/>
      <c r="PPP155" s="3060"/>
      <c r="PPQ155" s="3060"/>
      <c r="PPR155" s="3060"/>
      <c r="PPS155" s="3060"/>
      <c r="PPT155" s="3060"/>
      <c r="PPU155" s="3060"/>
      <c r="PPV155" s="3060"/>
      <c r="PPW155" s="3060"/>
      <c r="PPX155" s="3060"/>
      <c r="PPY155" s="3060"/>
      <c r="PPZ155" s="3060"/>
      <c r="PQA155" s="3060"/>
      <c r="PQB155" s="3060"/>
      <c r="PQC155" s="3060"/>
      <c r="PQD155" s="3060"/>
      <c r="PQE155" s="3060"/>
      <c r="PQF155" s="3060"/>
      <c r="PQG155" s="3060"/>
      <c r="PQH155" s="3060"/>
      <c r="PQI155" s="3060"/>
      <c r="PQJ155" s="3060"/>
      <c r="PQK155" s="3060"/>
      <c r="PQL155" s="3060"/>
      <c r="PQM155" s="3060"/>
      <c r="PQN155" s="3060"/>
      <c r="PQO155" s="3060"/>
      <c r="PQP155" s="3060"/>
      <c r="PQQ155" s="3060"/>
      <c r="PQR155" s="3060"/>
      <c r="PQS155" s="3060"/>
      <c r="PQT155" s="3060"/>
      <c r="PQU155" s="3060"/>
      <c r="PQV155" s="3060"/>
      <c r="PQW155" s="3060"/>
      <c r="PQX155" s="3060"/>
      <c r="PQY155" s="3060"/>
      <c r="PQZ155" s="3060"/>
      <c r="PRA155" s="3060"/>
      <c r="PRB155" s="3060"/>
      <c r="PRC155" s="3060"/>
      <c r="PRD155" s="3060"/>
      <c r="PRE155" s="3060"/>
      <c r="PRF155" s="3060"/>
      <c r="PRG155" s="3060"/>
      <c r="PRH155" s="3060"/>
      <c r="PRI155" s="3060"/>
      <c r="PRJ155" s="3060"/>
      <c r="PRK155" s="3060"/>
      <c r="PRL155" s="3060"/>
      <c r="PRM155" s="3060"/>
      <c r="PRN155" s="3060"/>
      <c r="PRO155" s="3060"/>
      <c r="PRP155" s="3060"/>
      <c r="PRQ155" s="3060"/>
      <c r="PRR155" s="3060"/>
      <c r="PRS155" s="3060"/>
      <c r="PRT155" s="3060"/>
      <c r="PRU155" s="3060"/>
      <c r="PRV155" s="3060"/>
      <c r="PRW155" s="3060"/>
      <c r="PRX155" s="3060"/>
      <c r="PRY155" s="3060"/>
      <c r="PRZ155" s="3060"/>
      <c r="PSA155" s="3060"/>
      <c r="PSB155" s="3060"/>
      <c r="PSC155" s="3060"/>
      <c r="PSD155" s="3060"/>
      <c r="PSE155" s="3060"/>
      <c r="PSF155" s="3060"/>
      <c r="PSG155" s="3060"/>
      <c r="PSH155" s="3060"/>
      <c r="PSI155" s="3060"/>
      <c r="PSJ155" s="3060"/>
      <c r="PSK155" s="3060"/>
      <c r="PSL155" s="3060"/>
      <c r="PSM155" s="3060"/>
      <c r="PSN155" s="3060"/>
      <c r="PSO155" s="3060"/>
      <c r="PSP155" s="3060"/>
      <c r="PSQ155" s="3060"/>
      <c r="PSR155" s="3060"/>
      <c r="PSS155" s="3060"/>
      <c r="PST155" s="3060"/>
      <c r="PSU155" s="3060"/>
      <c r="PSV155" s="3060"/>
      <c r="PSW155" s="3060"/>
      <c r="PSX155" s="3060"/>
      <c r="PSY155" s="3060"/>
      <c r="PSZ155" s="3060"/>
      <c r="PTA155" s="3060"/>
      <c r="PTB155" s="3060"/>
      <c r="PTC155" s="3060"/>
      <c r="PTD155" s="3060"/>
      <c r="PTE155" s="3060"/>
      <c r="PTF155" s="3060"/>
      <c r="PTG155" s="3060"/>
      <c r="PTH155" s="3060"/>
      <c r="PTI155" s="3060"/>
      <c r="PTJ155" s="3060"/>
      <c r="PTK155" s="3060"/>
      <c r="PTL155" s="3060"/>
      <c r="PTM155" s="3060"/>
      <c r="PTN155" s="3060"/>
      <c r="PTO155" s="3060"/>
      <c r="PTP155" s="3060"/>
      <c r="PTQ155" s="3060"/>
      <c r="PTR155" s="3060"/>
      <c r="PTS155" s="3060"/>
      <c r="PTT155" s="3060"/>
      <c r="PTU155" s="3060"/>
      <c r="PTV155" s="3060"/>
      <c r="PTW155" s="3060"/>
      <c r="PTX155" s="3060"/>
      <c r="PTY155" s="3060"/>
      <c r="PTZ155" s="3060"/>
      <c r="PUA155" s="3060"/>
      <c r="PUB155" s="3060"/>
      <c r="PUC155" s="3060"/>
      <c r="PUD155" s="3060"/>
      <c r="PUE155" s="3060"/>
      <c r="PUF155" s="3060"/>
      <c r="PUG155" s="3060"/>
      <c r="PUH155" s="3060"/>
      <c r="PUI155" s="3060"/>
      <c r="PUJ155" s="3060"/>
      <c r="PUK155" s="3060"/>
      <c r="PUL155" s="3060"/>
      <c r="PUM155" s="3060"/>
      <c r="PUN155" s="3060"/>
      <c r="PUO155" s="3060"/>
      <c r="PUP155" s="3060"/>
      <c r="PUQ155" s="3060"/>
      <c r="PUR155" s="3060"/>
      <c r="PUS155" s="3060"/>
      <c r="PUT155" s="3060"/>
      <c r="PUU155" s="3060"/>
      <c r="PUV155" s="3060"/>
      <c r="PUW155" s="3060"/>
      <c r="PUX155" s="3060"/>
      <c r="PUY155" s="3060"/>
      <c r="PUZ155" s="3060"/>
      <c r="PVA155" s="3060"/>
      <c r="PVB155" s="3060"/>
      <c r="PVC155" s="3060"/>
      <c r="PVD155" s="3060"/>
      <c r="PVE155" s="3060"/>
      <c r="PVF155" s="3060"/>
      <c r="PVG155" s="3060"/>
      <c r="PVH155" s="3060"/>
      <c r="PVI155" s="3060"/>
      <c r="PVJ155" s="3060"/>
      <c r="PVK155" s="3060"/>
      <c r="PVL155" s="3060"/>
      <c r="PVM155" s="3060"/>
      <c r="PVN155" s="3060"/>
      <c r="PVO155" s="3060"/>
      <c r="PVP155" s="3060"/>
      <c r="PVQ155" s="3060"/>
      <c r="PVR155" s="3060"/>
      <c r="PVS155" s="3060"/>
      <c r="PVT155" s="3060"/>
      <c r="PVU155" s="3060"/>
      <c r="PVV155" s="3060"/>
      <c r="PVW155" s="3060"/>
      <c r="PVX155" s="3060"/>
      <c r="PVY155" s="3060"/>
      <c r="PVZ155" s="3060"/>
      <c r="PWA155" s="3060"/>
      <c r="PWB155" s="3060"/>
      <c r="PWC155" s="3060"/>
      <c r="PWD155" s="3060"/>
      <c r="PWE155" s="3060"/>
      <c r="PWF155" s="3060"/>
      <c r="PWG155" s="3060"/>
      <c r="PWH155" s="3060"/>
      <c r="PWI155" s="3060"/>
      <c r="PWJ155" s="3060"/>
      <c r="PWK155" s="3060"/>
      <c r="PWL155" s="3060"/>
      <c r="PWM155" s="3060"/>
      <c r="PWN155" s="3060"/>
      <c r="PWO155" s="3060"/>
      <c r="PWP155" s="3060"/>
      <c r="PWQ155" s="3060"/>
      <c r="PWR155" s="3060"/>
      <c r="PWS155" s="3060"/>
      <c r="PWT155" s="3060"/>
      <c r="PWU155" s="3060"/>
      <c r="PWV155" s="3060"/>
      <c r="PWW155" s="3060"/>
      <c r="PWX155" s="3060"/>
      <c r="PWY155" s="3060"/>
      <c r="PWZ155" s="3060"/>
      <c r="PXA155" s="3060"/>
      <c r="PXB155" s="3060"/>
      <c r="PXC155" s="3060"/>
      <c r="PXD155" s="3060"/>
      <c r="PXE155" s="3060"/>
      <c r="PXF155" s="3060"/>
      <c r="PXG155" s="3060"/>
      <c r="PXH155" s="3060"/>
      <c r="PXI155" s="3060"/>
      <c r="PXJ155" s="3060"/>
      <c r="PXK155" s="3060"/>
      <c r="PXL155" s="3060"/>
      <c r="PXM155" s="3060"/>
      <c r="PXN155" s="3060"/>
      <c r="PXO155" s="3060"/>
      <c r="PXP155" s="3060"/>
      <c r="PXQ155" s="3060"/>
      <c r="PXR155" s="3060"/>
      <c r="PXS155" s="3060"/>
      <c r="PXT155" s="3060"/>
      <c r="PXU155" s="3060"/>
      <c r="PXV155" s="3060"/>
      <c r="PXW155" s="3060"/>
      <c r="PXX155" s="3060"/>
      <c r="PXY155" s="3060"/>
      <c r="PXZ155" s="3060"/>
      <c r="PYA155" s="3060"/>
      <c r="PYB155" s="3060"/>
      <c r="PYC155" s="3060"/>
      <c r="PYD155" s="3060"/>
      <c r="PYE155" s="3060"/>
      <c r="PYF155" s="3060"/>
      <c r="PYG155" s="3060"/>
      <c r="PYH155" s="3060"/>
      <c r="PYI155" s="3060"/>
      <c r="PYJ155" s="3060"/>
      <c r="PYK155" s="3060"/>
      <c r="PYL155" s="3060"/>
      <c r="PYM155" s="3060"/>
      <c r="PYN155" s="3060"/>
      <c r="PYO155" s="3060"/>
      <c r="PYP155" s="3060"/>
      <c r="PYQ155" s="3060"/>
      <c r="PYR155" s="3060"/>
      <c r="PYS155" s="3060"/>
      <c r="PYT155" s="3060"/>
      <c r="PYU155" s="3060"/>
      <c r="PYV155" s="3060"/>
      <c r="PYW155" s="3060"/>
      <c r="PYX155" s="3060"/>
      <c r="PYY155" s="3060"/>
      <c r="PYZ155" s="3060"/>
      <c r="PZA155" s="3060"/>
      <c r="PZB155" s="3060"/>
      <c r="PZC155" s="3060"/>
      <c r="PZD155" s="3060"/>
      <c r="PZE155" s="3060"/>
      <c r="PZF155" s="3060"/>
      <c r="PZG155" s="3060"/>
      <c r="PZH155" s="3060"/>
      <c r="PZI155" s="3060"/>
      <c r="PZJ155" s="3060"/>
      <c r="PZK155" s="3060"/>
      <c r="PZL155" s="3060"/>
      <c r="PZM155" s="3060"/>
      <c r="PZN155" s="3060"/>
      <c r="PZO155" s="3060"/>
      <c r="PZP155" s="3060"/>
      <c r="PZQ155" s="3060"/>
      <c r="PZR155" s="3060"/>
      <c r="PZS155" s="3060"/>
      <c r="PZT155" s="3060"/>
      <c r="PZU155" s="3060"/>
      <c r="PZV155" s="3060"/>
      <c r="PZW155" s="3060"/>
      <c r="PZX155" s="3060"/>
      <c r="PZY155" s="3060"/>
      <c r="PZZ155" s="3060"/>
      <c r="QAA155" s="3060"/>
      <c r="QAB155" s="3060"/>
      <c r="QAC155" s="3060"/>
      <c r="QAD155" s="3060"/>
      <c r="QAE155" s="3060"/>
      <c r="QAF155" s="3060"/>
      <c r="QAG155" s="3060"/>
      <c r="QAH155" s="3060"/>
      <c r="QAI155" s="3060"/>
      <c r="QAJ155" s="3060"/>
      <c r="QAK155" s="3060"/>
      <c r="QAL155" s="3060"/>
      <c r="QAM155" s="3060"/>
      <c r="QAN155" s="3060"/>
      <c r="QAO155" s="3060"/>
      <c r="QAP155" s="3060"/>
      <c r="QAQ155" s="3060"/>
      <c r="QAR155" s="3060"/>
      <c r="QAS155" s="3060"/>
      <c r="QAT155" s="3060"/>
      <c r="QAU155" s="3060"/>
      <c r="QAV155" s="3060"/>
      <c r="QAW155" s="3060"/>
      <c r="QAX155" s="3060"/>
      <c r="QAY155" s="3060"/>
      <c r="QAZ155" s="3060"/>
      <c r="QBA155" s="3060"/>
      <c r="QBB155" s="3060"/>
      <c r="QBC155" s="3060"/>
      <c r="QBD155" s="3060"/>
      <c r="QBE155" s="3060"/>
      <c r="QBF155" s="3060"/>
      <c r="QBG155" s="3060"/>
      <c r="QBH155" s="3060"/>
      <c r="QBI155" s="3060"/>
      <c r="QBJ155" s="3060"/>
      <c r="QBK155" s="3060"/>
      <c r="QBL155" s="3060"/>
      <c r="QBM155" s="3060"/>
      <c r="QBN155" s="3060"/>
      <c r="QBO155" s="3060"/>
      <c r="QBP155" s="3060"/>
      <c r="QBQ155" s="3060"/>
      <c r="QBR155" s="3060"/>
      <c r="QBS155" s="3060"/>
      <c r="QBT155" s="3060"/>
      <c r="QBU155" s="3060"/>
      <c r="QBV155" s="3060"/>
      <c r="QBW155" s="3060"/>
      <c r="QBX155" s="3060"/>
      <c r="QBY155" s="3060"/>
      <c r="QBZ155" s="3060"/>
      <c r="QCA155" s="3060"/>
      <c r="QCB155" s="3060"/>
      <c r="QCC155" s="3060"/>
      <c r="QCD155" s="3060"/>
      <c r="QCE155" s="3060"/>
      <c r="QCF155" s="3060"/>
      <c r="QCG155" s="3060"/>
      <c r="QCH155" s="3060"/>
      <c r="QCI155" s="3060"/>
      <c r="QCJ155" s="3060"/>
      <c r="QCK155" s="3060"/>
      <c r="QCL155" s="3060"/>
      <c r="QCM155" s="3060"/>
      <c r="QCN155" s="3060"/>
      <c r="QCO155" s="3060"/>
      <c r="QCP155" s="3060"/>
      <c r="QCQ155" s="3060"/>
      <c r="QCR155" s="3060"/>
      <c r="QCS155" s="3060"/>
      <c r="QCT155" s="3060"/>
      <c r="QCU155" s="3060"/>
      <c r="QCV155" s="3060"/>
      <c r="QCW155" s="3060"/>
      <c r="QCX155" s="3060"/>
      <c r="QCY155" s="3060"/>
      <c r="QCZ155" s="3060"/>
      <c r="QDA155" s="3060"/>
      <c r="QDB155" s="3060"/>
      <c r="QDC155" s="3060"/>
      <c r="QDD155" s="3060"/>
      <c r="QDE155" s="3060"/>
      <c r="QDF155" s="3060"/>
      <c r="QDG155" s="3060"/>
      <c r="QDH155" s="3060"/>
      <c r="QDI155" s="3060"/>
      <c r="QDJ155" s="3060"/>
      <c r="QDK155" s="3060"/>
      <c r="QDL155" s="3060"/>
      <c r="QDM155" s="3060"/>
      <c r="QDN155" s="3060"/>
      <c r="QDO155" s="3060"/>
      <c r="QDP155" s="3060"/>
      <c r="QDQ155" s="3060"/>
      <c r="QDR155" s="3060"/>
      <c r="QDS155" s="3060"/>
      <c r="QDT155" s="3060"/>
      <c r="QDU155" s="3060"/>
      <c r="QDV155" s="3060"/>
      <c r="QDW155" s="3060"/>
      <c r="QDX155" s="3060"/>
      <c r="QDY155" s="3060"/>
      <c r="QDZ155" s="3060"/>
      <c r="QEA155" s="3060"/>
      <c r="QEB155" s="3060"/>
      <c r="QEC155" s="3060"/>
      <c r="QED155" s="3060"/>
      <c r="QEE155" s="3060"/>
      <c r="QEF155" s="3060"/>
      <c r="QEG155" s="3060"/>
      <c r="QEH155" s="3060"/>
      <c r="QEI155" s="3060"/>
      <c r="QEJ155" s="3060"/>
      <c r="QEK155" s="3060"/>
      <c r="QEL155" s="3060"/>
      <c r="QEM155" s="3060"/>
      <c r="QEN155" s="3060"/>
      <c r="QEO155" s="3060"/>
      <c r="QEP155" s="3060"/>
      <c r="QEQ155" s="3060"/>
      <c r="QER155" s="3060"/>
      <c r="QES155" s="3060"/>
      <c r="QET155" s="3060"/>
      <c r="QEU155" s="3060"/>
      <c r="QEV155" s="3060"/>
      <c r="QEW155" s="3060"/>
      <c r="QEX155" s="3060"/>
      <c r="QEY155" s="3060"/>
      <c r="QEZ155" s="3060"/>
      <c r="QFA155" s="3060"/>
      <c r="QFB155" s="3060"/>
      <c r="QFC155" s="3060"/>
      <c r="QFD155" s="3060"/>
      <c r="QFE155" s="3060"/>
      <c r="QFF155" s="3060"/>
      <c r="QFG155" s="3060"/>
      <c r="QFH155" s="3060"/>
      <c r="QFI155" s="3060"/>
      <c r="QFJ155" s="3060"/>
      <c r="QFK155" s="3060"/>
      <c r="QFL155" s="3060"/>
      <c r="QFM155" s="3060"/>
      <c r="QFN155" s="3060"/>
      <c r="QFO155" s="3060"/>
      <c r="QFP155" s="3060"/>
      <c r="QFQ155" s="3060"/>
      <c r="QFR155" s="3060"/>
      <c r="QFS155" s="3060"/>
      <c r="QFT155" s="3060"/>
      <c r="QFU155" s="3060"/>
      <c r="QFV155" s="3060"/>
      <c r="QFW155" s="3060"/>
      <c r="QFX155" s="3060"/>
      <c r="QFY155" s="3060"/>
      <c r="QFZ155" s="3060"/>
      <c r="QGA155" s="3060"/>
      <c r="QGB155" s="3060"/>
      <c r="QGC155" s="3060"/>
      <c r="QGD155" s="3060"/>
      <c r="QGE155" s="3060"/>
      <c r="QGF155" s="3060"/>
      <c r="QGG155" s="3060"/>
      <c r="QGH155" s="3060"/>
      <c r="QGI155" s="3060"/>
      <c r="QGJ155" s="3060"/>
      <c r="QGK155" s="3060"/>
      <c r="QGL155" s="3060"/>
      <c r="QGM155" s="3060"/>
      <c r="QGN155" s="3060"/>
      <c r="QGO155" s="3060"/>
      <c r="QGP155" s="3060"/>
      <c r="QGQ155" s="3060"/>
      <c r="QGR155" s="3060"/>
      <c r="QGS155" s="3060"/>
      <c r="QGT155" s="3060"/>
      <c r="QGU155" s="3060"/>
      <c r="QGV155" s="3060"/>
      <c r="QGW155" s="3060"/>
      <c r="QGX155" s="3060"/>
      <c r="QGY155" s="3060"/>
      <c r="QGZ155" s="3060"/>
      <c r="QHA155" s="3060"/>
      <c r="QHB155" s="3060"/>
      <c r="QHC155" s="3060"/>
      <c r="QHD155" s="3060"/>
      <c r="QHE155" s="3060"/>
      <c r="QHF155" s="3060"/>
      <c r="QHG155" s="3060"/>
      <c r="QHH155" s="3060"/>
      <c r="QHI155" s="3060"/>
      <c r="QHJ155" s="3060"/>
      <c r="QHK155" s="3060"/>
      <c r="QHL155" s="3060"/>
      <c r="QHM155" s="3060"/>
      <c r="QHN155" s="3060"/>
      <c r="QHO155" s="3060"/>
      <c r="QHP155" s="3060"/>
      <c r="QHQ155" s="3060"/>
      <c r="QHR155" s="3060"/>
      <c r="QHS155" s="3060"/>
      <c r="QHT155" s="3060"/>
      <c r="QHU155" s="3060"/>
      <c r="QHV155" s="3060"/>
      <c r="QHW155" s="3060"/>
      <c r="QHX155" s="3060"/>
      <c r="QHY155" s="3060"/>
      <c r="QHZ155" s="3060"/>
      <c r="QIA155" s="3060"/>
      <c r="QIB155" s="3060"/>
      <c r="QIC155" s="3060"/>
      <c r="QID155" s="3060"/>
      <c r="QIE155" s="3060"/>
      <c r="QIF155" s="3060"/>
      <c r="QIG155" s="3060"/>
      <c r="QIH155" s="3060"/>
      <c r="QII155" s="3060"/>
      <c r="QIJ155" s="3060"/>
      <c r="QIK155" s="3060"/>
      <c r="QIL155" s="3060"/>
      <c r="QIM155" s="3060"/>
      <c r="QIN155" s="3060"/>
      <c r="QIO155" s="3060"/>
      <c r="QIP155" s="3060"/>
      <c r="QIQ155" s="3060"/>
      <c r="QIR155" s="3060"/>
      <c r="QIS155" s="3060"/>
      <c r="QIT155" s="3060"/>
      <c r="QIU155" s="3060"/>
      <c r="QIV155" s="3060"/>
      <c r="QIW155" s="3060"/>
      <c r="QIX155" s="3060"/>
      <c r="QIY155" s="3060"/>
      <c r="QIZ155" s="3060"/>
      <c r="QJA155" s="3060"/>
      <c r="QJB155" s="3060"/>
      <c r="QJC155" s="3060"/>
      <c r="QJD155" s="3060"/>
      <c r="QJE155" s="3060"/>
      <c r="QJF155" s="3060"/>
      <c r="QJG155" s="3060"/>
      <c r="QJH155" s="3060"/>
      <c r="QJI155" s="3060"/>
      <c r="QJJ155" s="3060"/>
      <c r="QJK155" s="3060"/>
      <c r="QJL155" s="3060"/>
      <c r="QJM155" s="3060"/>
      <c r="QJN155" s="3060"/>
      <c r="QJO155" s="3060"/>
      <c r="QJP155" s="3060"/>
      <c r="QJQ155" s="3060"/>
      <c r="QJR155" s="3060"/>
      <c r="QJS155" s="3060"/>
      <c r="QJT155" s="3060"/>
      <c r="QJU155" s="3060"/>
      <c r="QJV155" s="3060"/>
      <c r="QJW155" s="3060"/>
      <c r="QJX155" s="3060"/>
      <c r="QJY155" s="3060"/>
      <c r="QJZ155" s="3060"/>
      <c r="QKA155" s="3060"/>
      <c r="QKB155" s="3060"/>
      <c r="QKC155" s="3060"/>
      <c r="QKD155" s="3060"/>
      <c r="QKE155" s="3060"/>
      <c r="QKF155" s="3060"/>
      <c r="QKG155" s="3060"/>
      <c r="QKH155" s="3060"/>
      <c r="QKI155" s="3060"/>
      <c r="QKJ155" s="3060"/>
      <c r="QKK155" s="3060"/>
      <c r="QKL155" s="3060"/>
      <c r="QKM155" s="3060"/>
      <c r="QKN155" s="3060"/>
      <c r="QKO155" s="3060"/>
      <c r="QKP155" s="3060"/>
      <c r="QKQ155" s="3060"/>
      <c r="QKR155" s="3060"/>
      <c r="QKS155" s="3060"/>
      <c r="QKT155" s="3060"/>
      <c r="QKU155" s="3060"/>
      <c r="QKV155" s="3060"/>
      <c r="QKW155" s="3060"/>
      <c r="QKX155" s="3060"/>
      <c r="QKY155" s="3060"/>
      <c r="QKZ155" s="3060"/>
      <c r="QLA155" s="3060"/>
      <c r="QLB155" s="3060"/>
      <c r="QLC155" s="3060"/>
      <c r="QLD155" s="3060"/>
      <c r="QLE155" s="3060"/>
      <c r="QLF155" s="3060"/>
      <c r="QLG155" s="3060"/>
      <c r="QLH155" s="3060"/>
      <c r="QLI155" s="3060"/>
      <c r="QLJ155" s="3060"/>
      <c r="QLK155" s="3060"/>
      <c r="QLL155" s="3060"/>
      <c r="QLM155" s="3060"/>
      <c r="QLN155" s="3060"/>
      <c r="QLO155" s="3060"/>
      <c r="QLP155" s="3060"/>
      <c r="QLQ155" s="3060"/>
      <c r="QLR155" s="3060"/>
      <c r="QLS155" s="3060"/>
      <c r="QLT155" s="3060"/>
      <c r="QLU155" s="3060"/>
      <c r="QLV155" s="3060"/>
      <c r="QLW155" s="3060"/>
      <c r="QLX155" s="3060"/>
      <c r="QLY155" s="3060"/>
      <c r="QLZ155" s="3060"/>
      <c r="QMA155" s="3060"/>
      <c r="QMB155" s="3060"/>
      <c r="QMC155" s="3060"/>
      <c r="QMD155" s="3060"/>
      <c r="QME155" s="3060"/>
      <c r="QMF155" s="3060"/>
      <c r="QMG155" s="3060"/>
      <c r="QMH155" s="3060"/>
      <c r="QMI155" s="3060"/>
      <c r="QMJ155" s="3060"/>
      <c r="QMK155" s="3060"/>
      <c r="QML155" s="3060"/>
      <c r="QMM155" s="3060"/>
      <c r="QMN155" s="3060"/>
      <c r="QMO155" s="3060"/>
      <c r="QMP155" s="3060"/>
      <c r="QMQ155" s="3060"/>
      <c r="QMR155" s="3060"/>
      <c r="QMS155" s="3060"/>
      <c r="QMT155" s="3060"/>
      <c r="QMU155" s="3060"/>
      <c r="QMV155" s="3060"/>
      <c r="QMW155" s="3060"/>
      <c r="QMX155" s="3060"/>
      <c r="QMY155" s="3060"/>
      <c r="QMZ155" s="3060"/>
      <c r="QNA155" s="3060"/>
      <c r="QNB155" s="3060"/>
      <c r="QNC155" s="3060"/>
      <c r="QND155" s="3060"/>
      <c r="QNE155" s="3060"/>
      <c r="QNF155" s="3060"/>
      <c r="QNG155" s="3060"/>
      <c r="QNH155" s="3060"/>
      <c r="QNI155" s="3060"/>
      <c r="QNJ155" s="3060"/>
      <c r="QNK155" s="3060"/>
      <c r="QNL155" s="3060"/>
      <c r="QNM155" s="3060"/>
      <c r="QNN155" s="3060"/>
      <c r="QNO155" s="3060"/>
      <c r="QNP155" s="3060"/>
      <c r="QNQ155" s="3060"/>
      <c r="QNR155" s="3060"/>
      <c r="QNS155" s="3060"/>
      <c r="QNT155" s="3060"/>
      <c r="QNU155" s="3060"/>
      <c r="QNV155" s="3060"/>
      <c r="QNW155" s="3060"/>
      <c r="QNX155" s="3060"/>
      <c r="QNY155" s="3060"/>
      <c r="QNZ155" s="3060"/>
      <c r="QOA155" s="3060"/>
      <c r="QOB155" s="3060"/>
      <c r="QOC155" s="3060"/>
      <c r="QOD155" s="3060"/>
      <c r="QOE155" s="3060"/>
      <c r="QOF155" s="3060"/>
      <c r="QOG155" s="3060"/>
      <c r="QOH155" s="3060"/>
      <c r="QOI155" s="3060"/>
      <c r="QOJ155" s="3060"/>
      <c r="QOK155" s="3060"/>
      <c r="QOL155" s="3060"/>
      <c r="QOM155" s="3060"/>
      <c r="QON155" s="3060"/>
      <c r="QOO155" s="3060"/>
      <c r="QOP155" s="3060"/>
      <c r="QOQ155" s="3060"/>
      <c r="QOR155" s="3060"/>
      <c r="QOS155" s="3060"/>
      <c r="QOT155" s="3060"/>
      <c r="QOU155" s="3060"/>
      <c r="QOV155" s="3060"/>
      <c r="QOW155" s="3060"/>
      <c r="QOX155" s="3060"/>
      <c r="QOY155" s="3060"/>
      <c r="QOZ155" s="3060"/>
      <c r="QPA155" s="3060"/>
      <c r="QPB155" s="3060"/>
      <c r="QPC155" s="3060"/>
      <c r="QPD155" s="3060"/>
      <c r="QPE155" s="3060"/>
      <c r="QPF155" s="3060"/>
      <c r="QPG155" s="3060"/>
      <c r="QPH155" s="3060"/>
      <c r="QPI155" s="3060"/>
      <c r="QPJ155" s="3060"/>
      <c r="QPK155" s="3060"/>
      <c r="QPL155" s="3060"/>
      <c r="QPM155" s="3060"/>
      <c r="QPN155" s="3060"/>
      <c r="QPO155" s="3060"/>
      <c r="QPP155" s="3060"/>
      <c r="QPQ155" s="3060"/>
      <c r="QPR155" s="3060"/>
      <c r="QPS155" s="3060"/>
      <c r="QPT155" s="3060"/>
      <c r="QPU155" s="3060"/>
      <c r="QPV155" s="3060"/>
      <c r="QPW155" s="3060"/>
      <c r="QPX155" s="3060"/>
      <c r="QPY155" s="3060"/>
      <c r="QPZ155" s="3060"/>
      <c r="QQA155" s="3060"/>
      <c r="QQB155" s="3060"/>
      <c r="QQC155" s="3060"/>
      <c r="QQD155" s="3060"/>
      <c r="QQE155" s="3060"/>
      <c r="QQF155" s="3060"/>
      <c r="QQG155" s="3060"/>
      <c r="QQH155" s="3060"/>
      <c r="QQI155" s="3060"/>
      <c r="QQJ155" s="3060"/>
      <c r="QQK155" s="3060"/>
      <c r="QQL155" s="3060"/>
      <c r="QQM155" s="3060"/>
      <c r="QQN155" s="3060"/>
      <c r="QQO155" s="3060"/>
      <c r="QQP155" s="3060"/>
      <c r="QQQ155" s="3060"/>
      <c r="QQR155" s="3060"/>
      <c r="QQS155" s="3060"/>
      <c r="QQT155" s="3060"/>
      <c r="QQU155" s="3060"/>
      <c r="QQV155" s="3060"/>
      <c r="QQW155" s="3060"/>
      <c r="QQX155" s="3060"/>
      <c r="QQY155" s="3060"/>
      <c r="QQZ155" s="3060"/>
      <c r="QRA155" s="3060"/>
      <c r="QRB155" s="3060"/>
      <c r="QRC155" s="3060"/>
      <c r="QRD155" s="3060"/>
      <c r="QRE155" s="3060"/>
      <c r="QRF155" s="3060"/>
      <c r="QRG155" s="3060"/>
      <c r="QRH155" s="3060"/>
      <c r="QRI155" s="3060"/>
      <c r="QRJ155" s="3060"/>
      <c r="QRK155" s="3060"/>
      <c r="QRL155" s="3060"/>
      <c r="QRM155" s="3060"/>
      <c r="QRN155" s="3060"/>
      <c r="QRO155" s="3060"/>
      <c r="QRP155" s="3060"/>
      <c r="QRQ155" s="3060"/>
      <c r="QRR155" s="3060"/>
      <c r="QRS155" s="3060"/>
      <c r="QRT155" s="3060"/>
      <c r="QRU155" s="3060"/>
      <c r="QRV155" s="3060"/>
      <c r="QRW155" s="3060"/>
      <c r="QRX155" s="3060"/>
      <c r="QRY155" s="3060"/>
      <c r="QRZ155" s="3060"/>
      <c r="QSA155" s="3060"/>
      <c r="QSB155" s="3060"/>
      <c r="QSC155" s="3060"/>
      <c r="QSD155" s="3060"/>
      <c r="QSE155" s="3060"/>
      <c r="QSF155" s="3060"/>
      <c r="QSG155" s="3060"/>
      <c r="QSH155" s="3060"/>
      <c r="QSI155" s="3060"/>
      <c r="QSJ155" s="3060"/>
      <c r="QSK155" s="3060"/>
      <c r="QSL155" s="3060"/>
      <c r="QSM155" s="3060"/>
      <c r="QSN155" s="3060"/>
      <c r="QSO155" s="3060"/>
      <c r="QSP155" s="3060"/>
      <c r="QSQ155" s="3060"/>
      <c r="QSR155" s="3060"/>
      <c r="QSS155" s="3060"/>
      <c r="QST155" s="3060"/>
      <c r="QSU155" s="3060"/>
      <c r="QSV155" s="3060"/>
      <c r="QSW155" s="3060"/>
      <c r="QSX155" s="3060"/>
      <c r="QSY155" s="3060"/>
      <c r="QSZ155" s="3060"/>
      <c r="QTA155" s="3060"/>
      <c r="QTB155" s="3060"/>
      <c r="QTC155" s="3060"/>
      <c r="QTD155" s="3060"/>
      <c r="QTE155" s="3060"/>
      <c r="QTF155" s="3060"/>
      <c r="QTG155" s="3060"/>
      <c r="QTH155" s="3060"/>
      <c r="QTI155" s="3060"/>
      <c r="QTJ155" s="3060"/>
      <c r="QTK155" s="3060"/>
      <c r="QTL155" s="3060"/>
      <c r="QTM155" s="3060"/>
      <c r="QTN155" s="3060"/>
      <c r="QTO155" s="3060"/>
      <c r="QTP155" s="3060"/>
      <c r="QTQ155" s="3060"/>
      <c r="QTR155" s="3060"/>
      <c r="QTS155" s="3060"/>
      <c r="QTT155" s="3060"/>
      <c r="QTU155" s="3060"/>
      <c r="QTV155" s="3060"/>
      <c r="QTW155" s="3060"/>
      <c r="QTX155" s="3060"/>
      <c r="QTY155" s="3060"/>
      <c r="QTZ155" s="3060"/>
      <c r="QUA155" s="3060"/>
      <c r="QUB155" s="3060"/>
      <c r="QUC155" s="3060"/>
      <c r="QUD155" s="3060"/>
      <c r="QUE155" s="3060"/>
      <c r="QUF155" s="3060"/>
      <c r="QUG155" s="3060"/>
      <c r="QUH155" s="3060"/>
      <c r="QUI155" s="3060"/>
      <c r="QUJ155" s="3060"/>
      <c r="QUK155" s="3060"/>
      <c r="QUL155" s="3060"/>
      <c r="QUM155" s="3060"/>
      <c r="QUN155" s="3060"/>
      <c r="QUO155" s="3060"/>
      <c r="QUP155" s="3060"/>
      <c r="QUQ155" s="3060"/>
      <c r="QUR155" s="3060"/>
      <c r="QUS155" s="3060"/>
      <c r="QUT155" s="3060"/>
      <c r="QUU155" s="3060"/>
      <c r="QUV155" s="3060"/>
      <c r="QUW155" s="3060"/>
      <c r="QUX155" s="3060"/>
      <c r="QUY155" s="3060"/>
      <c r="QUZ155" s="3060"/>
      <c r="QVA155" s="3060"/>
      <c r="QVB155" s="3060"/>
      <c r="QVC155" s="3060"/>
      <c r="QVD155" s="3060"/>
      <c r="QVE155" s="3060"/>
      <c r="QVF155" s="3060"/>
      <c r="QVG155" s="3060"/>
      <c r="QVH155" s="3060"/>
      <c r="QVI155" s="3060"/>
      <c r="QVJ155" s="3060"/>
      <c r="QVK155" s="3060"/>
      <c r="QVL155" s="3060"/>
      <c r="QVM155" s="3060"/>
      <c r="QVN155" s="3060"/>
      <c r="QVO155" s="3060"/>
      <c r="QVP155" s="3060"/>
      <c r="QVQ155" s="3060"/>
      <c r="QVR155" s="3060"/>
      <c r="QVS155" s="3060"/>
      <c r="QVT155" s="3060"/>
      <c r="QVU155" s="3060"/>
      <c r="QVV155" s="3060"/>
      <c r="QVW155" s="3060"/>
      <c r="QVX155" s="3060"/>
      <c r="QVY155" s="3060"/>
      <c r="QVZ155" s="3060"/>
      <c r="QWA155" s="3060"/>
      <c r="QWB155" s="3060"/>
      <c r="QWC155" s="3060"/>
      <c r="QWD155" s="3060"/>
      <c r="QWE155" s="3060"/>
      <c r="QWF155" s="3060"/>
      <c r="QWG155" s="3060"/>
      <c r="QWH155" s="3060"/>
      <c r="QWI155" s="3060"/>
      <c r="QWJ155" s="3060"/>
      <c r="QWK155" s="3060"/>
      <c r="QWL155" s="3060"/>
      <c r="QWM155" s="3060"/>
      <c r="QWN155" s="3060"/>
      <c r="QWO155" s="3060"/>
      <c r="QWP155" s="3060"/>
      <c r="QWQ155" s="3060"/>
      <c r="QWR155" s="3060"/>
      <c r="QWS155" s="3060"/>
      <c r="QWT155" s="3060"/>
      <c r="QWU155" s="3060"/>
      <c r="QWV155" s="3060"/>
      <c r="QWW155" s="3060"/>
      <c r="QWX155" s="3060"/>
      <c r="QWY155" s="3060"/>
      <c r="QWZ155" s="3060"/>
      <c r="QXA155" s="3060"/>
      <c r="QXB155" s="3060"/>
      <c r="QXC155" s="3060"/>
      <c r="QXD155" s="3060"/>
      <c r="QXE155" s="3060"/>
      <c r="QXF155" s="3060"/>
      <c r="QXG155" s="3060"/>
      <c r="QXH155" s="3060"/>
      <c r="QXI155" s="3060"/>
      <c r="QXJ155" s="3060"/>
      <c r="QXK155" s="3060"/>
      <c r="QXL155" s="3060"/>
      <c r="QXM155" s="3060"/>
      <c r="QXN155" s="3060"/>
      <c r="QXO155" s="3060"/>
      <c r="QXP155" s="3060"/>
      <c r="QXQ155" s="3060"/>
      <c r="QXR155" s="3060"/>
      <c r="QXS155" s="3060"/>
      <c r="QXT155" s="3060"/>
      <c r="QXU155" s="3060"/>
      <c r="QXV155" s="3060"/>
      <c r="QXW155" s="3060"/>
      <c r="QXX155" s="3060"/>
      <c r="QXY155" s="3060"/>
      <c r="QXZ155" s="3060"/>
      <c r="QYA155" s="3060"/>
      <c r="QYB155" s="3060"/>
      <c r="QYC155" s="3060"/>
      <c r="QYD155" s="3060"/>
      <c r="QYE155" s="3060"/>
      <c r="QYF155" s="3060"/>
      <c r="QYG155" s="3060"/>
      <c r="QYH155" s="3060"/>
      <c r="QYI155" s="3060"/>
      <c r="QYJ155" s="3060"/>
      <c r="QYK155" s="3060"/>
      <c r="QYL155" s="3060"/>
      <c r="QYM155" s="3060"/>
      <c r="QYN155" s="3060"/>
      <c r="QYO155" s="3060"/>
      <c r="QYP155" s="3060"/>
      <c r="QYQ155" s="3060"/>
      <c r="QYR155" s="3060"/>
      <c r="QYS155" s="3060"/>
      <c r="QYT155" s="3060"/>
      <c r="QYU155" s="3060"/>
      <c r="QYV155" s="3060"/>
      <c r="QYW155" s="3060"/>
      <c r="QYX155" s="3060"/>
      <c r="QYY155" s="3060"/>
      <c r="QYZ155" s="3060"/>
      <c r="QZA155" s="3060"/>
      <c r="QZB155" s="3060"/>
      <c r="QZC155" s="3060"/>
      <c r="QZD155" s="3060"/>
      <c r="QZE155" s="3060"/>
      <c r="QZF155" s="3060"/>
      <c r="QZG155" s="3060"/>
      <c r="QZH155" s="3060"/>
      <c r="QZI155" s="3060"/>
      <c r="QZJ155" s="3060"/>
      <c r="QZK155" s="3060"/>
      <c r="QZL155" s="3060"/>
      <c r="QZM155" s="3060"/>
      <c r="QZN155" s="3060"/>
      <c r="QZO155" s="3060"/>
      <c r="QZP155" s="3060"/>
      <c r="QZQ155" s="3060"/>
      <c r="QZR155" s="3060"/>
      <c r="QZS155" s="3060"/>
      <c r="QZT155" s="3060"/>
      <c r="QZU155" s="3060"/>
      <c r="QZV155" s="3060"/>
      <c r="QZW155" s="3060"/>
      <c r="QZX155" s="3060"/>
      <c r="QZY155" s="3060"/>
      <c r="QZZ155" s="3060"/>
      <c r="RAA155" s="3060"/>
      <c r="RAB155" s="3060"/>
      <c r="RAC155" s="3060"/>
      <c r="RAD155" s="3060"/>
      <c r="RAE155" s="3060"/>
      <c r="RAF155" s="3060"/>
      <c r="RAG155" s="3060"/>
      <c r="RAH155" s="3060"/>
      <c r="RAI155" s="3060"/>
      <c r="RAJ155" s="3060"/>
      <c r="RAK155" s="3060"/>
      <c r="RAL155" s="3060"/>
      <c r="RAM155" s="3060"/>
      <c r="RAN155" s="3060"/>
      <c r="RAO155" s="3060"/>
      <c r="RAP155" s="3060"/>
      <c r="RAQ155" s="3060"/>
      <c r="RAR155" s="3060"/>
      <c r="RAS155" s="3060"/>
      <c r="RAT155" s="3060"/>
      <c r="RAU155" s="3060"/>
      <c r="RAV155" s="3060"/>
      <c r="RAW155" s="3060"/>
      <c r="RAX155" s="3060"/>
      <c r="RAY155" s="3060"/>
      <c r="RAZ155" s="3060"/>
      <c r="RBA155" s="3060"/>
      <c r="RBB155" s="3060"/>
      <c r="RBC155" s="3060"/>
      <c r="RBD155" s="3060"/>
      <c r="RBE155" s="3060"/>
      <c r="RBF155" s="3060"/>
      <c r="RBG155" s="3060"/>
      <c r="RBH155" s="3060"/>
      <c r="RBI155" s="3060"/>
      <c r="RBJ155" s="3060"/>
      <c r="RBK155" s="3060"/>
      <c r="RBL155" s="3060"/>
      <c r="RBM155" s="3060"/>
      <c r="RBN155" s="3060"/>
      <c r="RBO155" s="3060"/>
      <c r="RBP155" s="3060"/>
      <c r="RBQ155" s="3060"/>
      <c r="RBR155" s="3060"/>
      <c r="RBS155" s="3060"/>
      <c r="RBT155" s="3060"/>
      <c r="RBU155" s="3060"/>
      <c r="RBV155" s="3060"/>
      <c r="RBW155" s="3060"/>
      <c r="RBX155" s="3060"/>
      <c r="RBY155" s="3060"/>
      <c r="RBZ155" s="3060"/>
      <c r="RCA155" s="3060"/>
      <c r="RCB155" s="3060"/>
      <c r="RCC155" s="3060"/>
      <c r="RCD155" s="3060"/>
      <c r="RCE155" s="3060"/>
      <c r="RCF155" s="3060"/>
      <c r="RCG155" s="3060"/>
      <c r="RCH155" s="3060"/>
      <c r="RCI155" s="3060"/>
      <c r="RCJ155" s="3060"/>
      <c r="RCK155" s="3060"/>
      <c r="RCL155" s="3060"/>
      <c r="RCM155" s="3060"/>
      <c r="RCN155" s="3060"/>
      <c r="RCO155" s="3060"/>
      <c r="RCP155" s="3060"/>
      <c r="RCQ155" s="3060"/>
      <c r="RCR155" s="3060"/>
      <c r="RCS155" s="3060"/>
      <c r="RCT155" s="3060"/>
      <c r="RCU155" s="3060"/>
      <c r="RCV155" s="3060"/>
      <c r="RCW155" s="3060"/>
      <c r="RCX155" s="3060"/>
      <c r="RCY155" s="3060"/>
      <c r="RCZ155" s="3060"/>
      <c r="RDA155" s="3060"/>
      <c r="RDB155" s="3060"/>
      <c r="RDC155" s="3060"/>
      <c r="RDD155" s="3060"/>
      <c r="RDE155" s="3060"/>
      <c r="RDF155" s="3060"/>
      <c r="RDG155" s="3060"/>
      <c r="RDH155" s="3060"/>
      <c r="RDI155" s="3060"/>
      <c r="RDJ155" s="3060"/>
      <c r="RDK155" s="3060"/>
      <c r="RDL155" s="3060"/>
      <c r="RDM155" s="3060"/>
      <c r="RDN155" s="3060"/>
      <c r="RDO155" s="3060"/>
      <c r="RDP155" s="3060"/>
      <c r="RDQ155" s="3060"/>
      <c r="RDR155" s="3060"/>
      <c r="RDS155" s="3060"/>
      <c r="RDT155" s="3060"/>
      <c r="RDU155" s="3060"/>
      <c r="RDV155" s="3060"/>
      <c r="RDW155" s="3060"/>
      <c r="RDX155" s="3060"/>
      <c r="RDY155" s="3060"/>
      <c r="RDZ155" s="3060"/>
      <c r="REA155" s="3060"/>
      <c r="REB155" s="3060"/>
      <c r="REC155" s="3060"/>
      <c r="RED155" s="3060"/>
      <c r="REE155" s="3060"/>
      <c r="REF155" s="3060"/>
      <c r="REG155" s="3060"/>
      <c r="REH155" s="3060"/>
      <c r="REI155" s="3060"/>
      <c r="REJ155" s="3060"/>
      <c r="REK155" s="3060"/>
      <c r="REL155" s="3060"/>
      <c r="REM155" s="3060"/>
      <c r="REN155" s="3060"/>
      <c r="REO155" s="3060"/>
      <c r="REP155" s="3060"/>
      <c r="REQ155" s="3060"/>
      <c r="RER155" s="3060"/>
      <c r="RES155" s="3060"/>
      <c r="RET155" s="3060"/>
      <c r="REU155" s="3060"/>
      <c r="REV155" s="3060"/>
      <c r="REW155" s="3060"/>
      <c r="REX155" s="3060"/>
      <c r="REY155" s="3060"/>
      <c r="REZ155" s="3060"/>
      <c r="RFA155" s="3060"/>
      <c r="RFB155" s="3060"/>
      <c r="RFC155" s="3060"/>
      <c r="RFD155" s="3060"/>
      <c r="RFE155" s="3060"/>
      <c r="RFF155" s="3060"/>
      <c r="RFG155" s="3060"/>
      <c r="RFH155" s="3060"/>
      <c r="RFI155" s="3060"/>
      <c r="RFJ155" s="3060"/>
      <c r="RFK155" s="3060"/>
      <c r="RFL155" s="3060"/>
      <c r="RFM155" s="3060"/>
      <c r="RFN155" s="3060"/>
      <c r="RFO155" s="3060"/>
      <c r="RFP155" s="3060"/>
      <c r="RFQ155" s="3060"/>
      <c r="RFR155" s="3060"/>
      <c r="RFS155" s="3060"/>
      <c r="RFT155" s="3060"/>
      <c r="RFU155" s="3060"/>
      <c r="RFV155" s="3060"/>
      <c r="RFW155" s="3060"/>
      <c r="RFX155" s="3060"/>
      <c r="RFY155" s="3060"/>
      <c r="RFZ155" s="3060"/>
      <c r="RGA155" s="3060"/>
      <c r="RGB155" s="3060"/>
      <c r="RGC155" s="3060"/>
      <c r="RGD155" s="3060"/>
      <c r="RGE155" s="3060"/>
      <c r="RGF155" s="3060"/>
      <c r="RGG155" s="3060"/>
      <c r="RGH155" s="3060"/>
      <c r="RGI155" s="3060"/>
      <c r="RGJ155" s="3060"/>
      <c r="RGK155" s="3060"/>
      <c r="RGL155" s="3060"/>
      <c r="RGM155" s="3060"/>
      <c r="RGN155" s="3060"/>
      <c r="RGO155" s="3060"/>
      <c r="RGP155" s="3060"/>
      <c r="RGQ155" s="3060"/>
      <c r="RGR155" s="3060"/>
      <c r="RGS155" s="3060"/>
      <c r="RGT155" s="3060"/>
      <c r="RGU155" s="3060"/>
      <c r="RGV155" s="3060"/>
      <c r="RGW155" s="3060"/>
      <c r="RGX155" s="3060"/>
      <c r="RGY155" s="3060"/>
      <c r="RGZ155" s="3060"/>
      <c r="RHA155" s="3060"/>
      <c r="RHB155" s="3060"/>
      <c r="RHC155" s="3060"/>
      <c r="RHD155" s="3060"/>
      <c r="RHE155" s="3060"/>
      <c r="RHF155" s="3060"/>
      <c r="RHG155" s="3060"/>
      <c r="RHH155" s="3060"/>
      <c r="RHI155" s="3060"/>
      <c r="RHJ155" s="3060"/>
      <c r="RHK155" s="3060"/>
      <c r="RHL155" s="3060"/>
      <c r="RHM155" s="3060"/>
      <c r="RHN155" s="3060"/>
      <c r="RHO155" s="3060"/>
      <c r="RHP155" s="3060"/>
      <c r="RHQ155" s="3060"/>
      <c r="RHR155" s="3060"/>
      <c r="RHS155" s="3060"/>
      <c r="RHT155" s="3060"/>
      <c r="RHU155" s="3060"/>
      <c r="RHV155" s="3060"/>
      <c r="RHW155" s="3060"/>
      <c r="RHX155" s="3060"/>
      <c r="RHY155" s="3060"/>
      <c r="RHZ155" s="3060"/>
      <c r="RIA155" s="3060"/>
      <c r="RIB155" s="3060"/>
      <c r="RIC155" s="3060"/>
      <c r="RID155" s="3060"/>
      <c r="RIE155" s="3060"/>
      <c r="RIF155" s="3060"/>
      <c r="RIG155" s="3060"/>
      <c r="RIH155" s="3060"/>
      <c r="RII155" s="3060"/>
      <c r="RIJ155" s="3060"/>
      <c r="RIK155" s="3060"/>
      <c r="RIL155" s="3060"/>
      <c r="RIM155" s="3060"/>
      <c r="RIN155" s="3060"/>
      <c r="RIO155" s="3060"/>
      <c r="RIP155" s="3060"/>
      <c r="RIQ155" s="3060"/>
      <c r="RIR155" s="3060"/>
      <c r="RIS155" s="3060"/>
      <c r="RIT155" s="3060"/>
      <c r="RIU155" s="3060"/>
      <c r="RIV155" s="3060"/>
      <c r="RIW155" s="3060"/>
      <c r="RIX155" s="3060"/>
      <c r="RIY155" s="3060"/>
      <c r="RIZ155" s="3060"/>
      <c r="RJA155" s="3060"/>
      <c r="RJB155" s="3060"/>
      <c r="RJC155" s="3060"/>
      <c r="RJD155" s="3060"/>
      <c r="RJE155" s="3060"/>
      <c r="RJF155" s="3060"/>
      <c r="RJG155" s="3060"/>
      <c r="RJH155" s="3060"/>
      <c r="RJI155" s="3060"/>
      <c r="RJJ155" s="3060"/>
      <c r="RJK155" s="3060"/>
      <c r="RJL155" s="3060"/>
      <c r="RJM155" s="3060"/>
      <c r="RJN155" s="3060"/>
      <c r="RJO155" s="3060"/>
      <c r="RJP155" s="3060"/>
      <c r="RJQ155" s="3060"/>
      <c r="RJR155" s="3060"/>
      <c r="RJS155" s="3060"/>
      <c r="RJT155" s="3060"/>
      <c r="RJU155" s="3060"/>
      <c r="RJV155" s="3060"/>
      <c r="RJW155" s="3060"/>
      <c r="RJX155" s="3060"/>
      <c r="RJY155" s="3060"/>
      <c r="RJZ155" s="3060"/>
      <c r="RKA155" s="3060"/>
      <c r="RKB155" s="3060"/>
      <c r="RKC155" s="3060"/>
      <c r="RKD155" s="3060"/>
      <c r="RKE155" s="3060"/>
      <c r="RKF155" s="3060"/>
      <c r="RKG155" s="3060"/>
      <c r="RKH155" s="3060"/>
      <c r="RKI155" s="3060"/>
      <c r="RKJ155" s="3060"/>
      <c r="RKK155" s="3060"/>
      <c r="RKL155" s="3060"/>
      <c r="RKM155" s="3060"/>
      <c r="RKN155" s="3060"/>
      <c r="RKO155" s="3060"/>
      <c r="RKP155" s="3060"/>
      <c r="RKQ155" s="3060"/>
      <c r="RKR155" s="3060"/>
      <c r="RKS155" s="3060"/>
      <c r="RKT155" s="3060"/>
      <c r="RKU155" s="3060"/>
      <c r="RKV155" s="3060"/>
      <c r="RKW155" s="3060"/>
      <c r="RKX155" s="3060"/>
      <c r="RKY155" s="3060"/>
      <c r="RKZ155" s="3060"/>
      <c r="RLA155" s="3060"/>
      <c r="RLB155" s="3060"/>
      <c r="RLC155" s="3060"/>
      <c r="RLD155" s="3060"/>
      <c r="RLE155" s="3060"/>
      <c r="RLF155" s="3060"/>
      <c r="RLG155" s="3060"/>
      <c r="RLH155" s="3060"/>
      <c r="RLI155" s="3060"/>
      <c r="RLJ155" s="3060"/>
      <c r="RLK155" s="3060"/>
      <c r="RLL155" s="3060"/>
      <c r="RLM155" s="3060"/>
      <c r="RLN155" s="3060"/>
      <c r="RLO155" s="3060"/>
      <c r="RLP155" s="3060"/>
      <c r="RLQ155" s="3060"/>
      <c r="RLR155" s="3060"/>
      <c r="RLS155" s="3060"/>
      <c r="RLT155" s="3060"/>
      <c r="RLU155" s="3060"/>
      <c r="RLV155" s="3060"/>
      <c r="RLW155" s="3060"/>
      <c r="RLX155" s="3060"/>
      <c r="RLY155" s="3060"/>
      <c r="RLZ155" s="3060"/>
      <c r="RMA155" s="3060"/>
      <c r="RMB155" s="3060"/>
      <c r="RMC155" s="3060"/>
      <c r="RMD155" s="3060"/>
      <c r="RME155" s="3060"/>
      <c r="RMF155" s="3060"/>
      <c r="RMG155" s="3060"/>
      <c r="RMH155" s="3060"/>
      <c r="RMI155" s="3060"/>
      <c r="RMJ155" s="3060"/>
      <c r="RMK155" s="3060"/>
      <c r="RML155" s="3060"/>
      <c r="RMM155" s="3060"/>
      <c r="RMN155" s="3060"/>
      <c r="RMO155" s="3060"/>
      <c r="RMP155" s="3060"/>
      <c r="RMQ155" s="3060"/>
      <c r="RMR155" s="3060"/>
      <c r="RMS155" s="3060"/>
      <c r="RMT155" s="3060"/>
      <c r="RMU155" s="3060"/>
      <c r="RMV155" s="3060"/>
      <c r="RMW155" s="3060"/>
      <c r="RMX155" s="3060"/>
      <c r="RMY155" s="3060"/>
      <c r="RMZ155" s="3060"/>
      <c r="RNA155" s="3060"/>
      <c r="RNB155" s="3060"/>
      <c r="RNC155" s="3060"/>
      <c r="RND155" s="3060"/>
      <c r="RNE155" s="3060"/>
      <c r="RNF155" s="3060"/>
      <c r="RNG155" s="3060"/>
      <c r="RNH155" s="3060"/>
      <c r="RNI155" s="3060"/>
      <c r="RNJ155" s="3060"/>
      <c r="RNK155" s="3060"/>
      <c r="RNL155" s="3060"/>
      <c r="RNM155" s="3060"/>
      <c r="RNN155" s="3060"/>
      <c r="RNO155" s="3060"/>
      <c r="RNP155" s="3060"/>
      <c r="RNQ155" s="3060"/>
      <c r="RNR155" s="3060"/>
      <c r="RNS155" s="3060"/>
      <c r="RNT155" s="3060"/>
      <c r="RNU155" s="3060"/>
      <c r="RNV155" s="3060"/>
      <c r="RNW155" s="3060"/>
      <c r="RNX155" s="3060"/>
      <c r="RNY155" s="3060"/>
      <c r="RNZ155" s="3060"/>
      <c r="ROA155" s="3060"/>
      <c r="ROB155" s="3060"/>
      <c r="ROC155" s="3060"/>
      <c r="ROD155" s="3060"/>
      <c r="ROE155" s="3060"/>
      <c r="ROF155" s="3060"/>
      <c r="ROG155" s="3060"/>
      <c r="ROH155" s="3060"/>
      <c r="ROI155" s="3060"/>
      <c r="ROJ155" s="3060"/>
      <c r="ROK155" s="3060"/>
      <c r="ROL155" s="3060"/>
      <c r="ROM155" s="3060"/>
      <c r="RON155" s="3060"/>
      <c r="ROO155" s="3060"/>
      <c r="ROP155" s="3060"/>
      <c r="ROQ155" s="3060"/>
      <c r="ROR155" s="3060"/>
      <c r="ROS155" s="3060"/>
      <c r="ROT155" s="3060"/>
      <c r="ROU155" s="3060"/>
      <c r="ROV155" s="3060"/>
      <c r="ROW155" s="3060"/>
      <c r="ROX155" s="3060"/>
      <c r="ROY155" s="3060"/>
      <c r="ROZ155" s="3060"/>
      <c r="RPA155" s="3060"/>
      <c r="RPB155" s="3060"/>
      <c r="RPC155" s="3060"/>
      <c r="RPD155" s="3060"/>
      <c r="RPE155" s="3060"/>
      <c r="RPF155" s="3060"/>
      <c r="RPG155" s="3060"/>
      <c r="RPH155" s="3060"/>
      <c r="RPI155" s="3060"/>
      <c r="RPJ155" s="3060"/>
      <c r="RPK155" s="3060"/>
      <c r="RPL155" s="3060"/>
      <c r="RPM155" s="3060"/>
      <c r="RPN155" s="3060"/>
      <c r="RPO155" s="3060"/>
      <c r="RPP155" s="3060"/>
      <c r="RPQ155" s="3060"/>
      <c r="RPR155" s="3060"/>
      <c r="RPS155" s="3060"/>
      <c r="RPT155" s="3060"/>
      <c r="RPU155" s="3060"/>
      <c r="RPV155" s="3060"/>
      <c r="RPW155" s="3060"/>
      <c r="RPX155" s="3060"/>
      <c r="RPY155" s="3060"/>
      <c r="RPZ155" s="3060"/>
      <c r="RQA155" s="3060"/>
      <c r="RQB155" s="3060"/>
      <c r="RQC155" s="3060"/>
      <c r="RQD155" s="3060"/>
      <c r="RQE155" s="3060"/>
      <c r="RQF155" s="3060"/>
      <c r="RQG155" s="3060"/>
      <c r="RQH155" s="3060"/>
      <c r="RQI155" s="3060"/>
      <c r="RQJ155" s="3060"/>
      <c r="RQK155" s="3060"/>
      <c r="RQL155" s="3060"/>
      <c r="RQM155" s="3060"/>
      <c r="RQN155" s="3060"/>
      <c r="RQO155" s="3060"/>
      <c r="RQP155" s="3060"/>
      <c r="RQQ155" s="3060"/>
      <c r="RQR155" s="3060"/>
      <c r="RQS155" s="3060"/>
      <c r="RQT155" s="3060"/>
      <c r="RQU155" s="3060"/>
      <c r="RQV155" s="3060"/>
      <c r="RQW155" s="3060"/>
      <c r="RQX155" s="3060"/>
      <c r="RQY155" s="3060"/>
      <c r="RQZ155" s="3060"/>
      <c r="RRA155" s="3060"/>
      <c r="RRB155" s="3060"/>
      <c r="RRC155" s="3060"/>
      <c r="RRD155" s="3060"/>
      <c r="RRE155" s="3060"/>
      <c r="RRF155" s="3060"/>
      <c r="RRG155" s="3060"/>
      <c r="RRH155" s="3060"/>
      <c r="RRI155" s="3060"/>
      <c r="RRJ155" s="3060"/>
      <c r="RRK155" s="3060"/>
      <c r="RRL155" s="3060"/>
      <c r="RRM155" s="3060"/>
      <c r="RRN155" s="3060"/>
      <c r="RRO155" s="3060"/>
      <c r="RRP155" s="3060"/>
      <c r="RRQ155" s="3060"/>
      <c r="RRR155" s="3060"/>
      <c r="RRS155" s="3060"/>
      <c r="RRT155" s="3060"/>
      <c r="RRU155" s="3060"/>
      <c r="RRV155" s="3060"/>
      <c r="RRW155" s="3060"/>
      <c r="RRX155" s="3060"/>
      <c r="RRY155" s="3060"/>
      <c r="RRZ155" s="3060"/>
      <c r="RSA155" s="3060"/>
      <c r="RSB155" s="3060"/>
      <c r="RSC155" s="3060"/>
      <c r="RSD155" s="3060"/>
      <c r="RSE155" s="3060"/>
      <c r="RSF155" s="3060"/>
      <c r="RSG155" s="3060"/>
      <c r="RSH155" s="3060"/>
      <c r="RSI155" s="3060"/>
      <c r="RSJ155" s="3060"/>
      <c r="RSK155" s="3060"/>
      <c r="RSL155" s="3060"/>
      <c r="RSM155" s="3060"/>
      <c r="RSN155" s="3060"/>
      <c r="RSO155" s="3060"/>
      <c r="RSP155" s="3060"/>
      <c r="RSQ155" s="3060"/>
      <c r="RSR155" s="3060"/>
      <c r="RSS155" s="3060"/>
      <c r="RST155" s="3060"/>
      <c r="RSU155" s="3060"/>
      <c r="RSV155" s="3060"/>
      <c r="RSW155" s="3060"/>
      <c r="RSX155" s="3060"/>
      <c r="RSY155" s="3060"/>
      <c r="RSZ155" s="3060"/>
      <c r="RTA155" s="3060"/>
      <c r="RTB155" s="3060"/>
      <c r="RTC155" s="3060"/>
      <c r="RTD155" s="3060"/>
      <c r="RTE155" s="3060"/>
      <c r="RTF155" s="3060"/>
      <c r="RTG155" s="3060"/>
      <c r="RTH155" s="3060"/>
      <c r="RTI155" s="3060"/>
      <c r="RTJ155" s="3060"/>
      <c r="RTK155" s="3060"/>
      <c r="RTL155" s="3060"/>
      <c r="RTM155" s="3060"/>
      <c r="RTN155" s="3060"/>
      <c r="RTO155" s="3060"/>
      <c r="RTP155" s="3060"/>
      <c r="RTQ155" s="3060"/>
      <c r="RTR155" s="3060"/>
      <c r="RTS155" s="3060"/>
      <c r="RTT155" s="3060"/>
      <c r="RTU155" s="3060"/>
      <c r="RTV155" s="3060"/>
      <c r="RTW155" s="3060"/>
      <c r="RTX155" s="3060"/>
      <c r="RTY155" s="3060"/>
      <c r="RTZ155" s="3060"/>
      <c r="RUA155" s="3060"/>
      <c r="RUB155" s="3060"/>
      <c r="RUC155" s="3060"/>
      <c r="RUD155" s="3060"/>
      <c r="RUE155" s="3060"/>
      <c r="RUF155" s="3060"/>
      <c r="RUG155" s="3060"/>
      <c r="RUH155" s="3060"/>
      <c r="RUI155" s="3060"/>
      <c r="RUJ155" s="3060"/>
      <c r="RUK155" s="3060"/>
      <c r="RUL155" s="3060"/>
      <c r="RUM155" s="3060"/>
      <c r="RUN155" s="3060"/>
      <c r="RUO155" s="3060"/>
      <c r="RUP155" s="3060"/>
      <c r="RUQ155" s="3060"/>
      <c r="RUR155" s="3060"/>
      <c r="RUS155" s="3060"/>
      <c r="RUT155" s="3060"/>
      <c r="RUU155" s="3060"/>
      <c r="RUV155" s="3060"/>
      <c r="RUW155" s="3060"/>
      <c r="RUX155" s="3060"/>
      <c r="RUY155" s="3060"/>
      <c r="RUZ155" s="3060"/>
      <c r="RVA155" s="3060"/>
      <c r="RVB155" s="3060"/>
      <c r="RVC155" s="3060"/>
      <c r="RVD155" s="3060"/>
      <c r="RVE155" s="3060"/>
      <c r="RVF155" s="3060"/>
      <c r="RVG155" s="3060"/>
      <c r="RVH155" s="3060"/>
      <c r="RVI155" s="3060"/>
      <c r="RVJ155" s="3060"/>
      <c r="RVK155" s="3060"/>
      <c r="RVL155" s="3060"/>
      <c r="RVM155" s="3060"/>
      <c r="RVN155" s="3060"/>
      <c r="RVO155" s="3060"/>
      <c r="RVP155" s="3060"/>
      <c r="RVQ155" s="3060"/>
      <c r="RVR155" s="3060"/>
      <c r="RVS155" s="3060"/>
      <c r="RVT155" s="3060"/>
      <c r="RVU155" s="3060"/>
      <c r="RVV155" s="3060"/>
      <c r="RVW155" s="3060"/>
      <c r="RVX155" s="3060"/>
      <c r="RVY155" s="3060"/>
      <c r="RVZ155" s="3060"/>
      <c r="RWA155" s="3060"/>
      <c r="RWB155" s="3060"/>
      <c r="RWC155" s="3060"/>
      <c r="RWD155" s="3060"/>
      <c r="RWE155" s="3060"/>
      <c r="RWF155" s="3060"/>
      <c r="RWG155" s="3060"/>
      <c r="RWH155" s="3060"/>
      <c r="RWI155" s="3060"/>
      <c r="RWJ155" s="3060"/>
      <c r="RWK155" s="3060"/>
      <c r="RWL155" s="3060"/>
      <c r="RWM155" s="3060"/>
      <c r="RWN155" s="3060"/>
      <c r="RWO155" s="3060"/>
      <c r="RWP155" s="3060"/>
      <c r="RWQ155" s="3060"/>
      <c r="RWR155" s="3060"/>
      <c r="RWS155" s="3060"/>
      <c r="RWT155" s="3060"/>
      <c r="RWU155" s="3060"/>
      <c r="RWV155" s="3060"/>
      <c r="RWW155" s="3060"/>
      <c r="RWX155" s="3060"/>
      <c r="RWY155" s="3060"/>
      <c r="RWZ155" s="3060"/>
      <c r="RXA155" s="3060"/>
      <c r="RXB155" s="3060"/>
      <c r="RXC155" s="3060"/>
      <c r="RXD155" s="3060"/>
      <c r="RXE155" s="3060"/>
      <c r="RXF155" s="3060"/>
      <c r="RXG155" s="3060"/>
      <c r="RXH155" s="3060"/>
      <c r="RXI155" s="3060"/>
      <c r="RXJ155" s="3060"/>
      <c r="RXK155" s="3060"/>
      <c r="RXL155" s="3060"/>
      <c r="RXM155" s="3060"/>
      <c r="RXN155" s="3060"/>
      <c r="RXO155" s="3060"/>
      <c r="RXP155" s="3060"/>
      <c r="RXQ155" s="3060"/>
      <c r="RXR155" s="3060"/>
      <c r="RXS155" s="3060"/>
      <c r="RXT155" s="3060"/>
      <c r="RXU155" s="3060"/>
      <c r="RXV155" s="3060"/>
      <c r="RXW155" s="3060"/>
      <c r="RXX155" s="3060"/>
      <c r="RXY155" s="3060"/>
      <c r="RXZ155" s="3060"/>
      <c r="RYA155" s="3060"/>
      <c r="RYB155" s="3060"/>
      <c r="RYC155" s="3060"/>
      <c r="RYD155" s="3060"/>
      <c r="RYE155" s="3060"/>
      <c r="RYF155" s="3060"/>
      <c r="RYG155" s="3060"/>
      <c r="RYH155" s="3060"/>
      <c r="RYI155" s="3060"/>
      <c r="RYJ155" s="3060"/>
      <c r="RYK155" s="3060"/>
      <c r="RYL155" s="3060"/>
      <c r="RYM155" s="3060"/>
      <c r="RYN155" s="3060"/>
      <c r="RYO155" s="3060"/>
      <c r="RYP155" s="3060"/>
      <c r="RYQ155" s="3060"/>
      <c r="RYR155" s="3060"/>
      <c r="RYS155" s="3060"/>
      <c r="RYT155" s="3060"/>
      <c r="RYU155" s="3060"/>
      <c r="RYV155" s="3060"/>
      <c r="RYW155" s="3060"/>
      <c r="RYX155" s="3060"/>
      <c r="RYY155" s="3060"/>
      <c r="RYZ155" s="3060"/>
      <c r="RZA155" s="3060"/>
      <c r="RZB155" s="3060"/>
      <c r="RZC155" s="3060"/>
      <c r="RZD155" s="3060"/>
      <c r="RZE155" s="3060"/>
      <c r="RZF155" s="3060"/>
      <c r="RZG155" s="3060"/>
      <c r="RZH155" s="3060"/>
      <c r="RZI155" s="3060"/>
      <c r="RZJ155" s="3060"/>
      <c r="RZK155" s="3060"/>
      <c r="RZL155" s="3060"/>
      <c r="RZM155" s="3060"/>
      <c r="RZN155" s="3060"/>
      <c r="RZO155" s="3060"/>
      <c r="RZP155" s="3060"/>
      <c r="RZQ155" s="3060"/>
      <c r="RZR155" s="3060"/>
      <c r="RZS155" s="3060"/>
      <c r="RZT155" s="3060"/>
      <c r="RZU155" s="3060"/>
      <c r="RZV155" s="3060"/>
      <c r="RZW155" s="3060"/>
      <c r="RZX155" s="3060"/>
      <c r="RZY155" s="3060"/>
      <c r="RZZ155" s="3060"/>
      <c r="SAA155" s="3060"/>
      <c r="SAB155" s="3060"/>
      <c r="SAC155" s="3060"/>
      <c r="SAD155" s="3060"/>
      <c r="SAE155" s="3060"/>
      <c r="SAF155" s="3060"/>
      <c r="SAG155" s="3060"/>
      <c r="SAH155" s="3060"/>
      <c r="SAI155" s="3060"/>
      <c r="SAJ155" s="3060"/>
      <c r="SAK155" s="3060"/>
      <c r="SAL155" s="3060"/>
      <c r="SAM155" s="3060"/>
      <c r="SAN155" s="3060"/>
      <c r="SAO155" s="3060"/>
      <c r="SAP155" s="3060"/>
      <c r="SAQ155" s="3060"/>
      <c r="SAR155" s="3060"/>
      <c r="SAS155" s="3060"/>
      <c r="SAT155" s="3060"/>
      <c r="SAU155" s="3060"/>
      <c r="SAV155" s="3060"/>
      <c r="SAW155" s="3060"/>
      <c r="SAX155" s="3060"/>
      <c r="SAY155" s="3060"/>
      <c r="SAZ155" s="3060"/>
      <c r="SBA155" s="3060"/>
      <c r="SBB155" s="3060"/>
      <c r="SBC155" s="3060"/>
      <c r="SBD155" s="3060"/>
      <c r="SBE155" s="3060"/>
      <c r="SBF155" s="3060"/>
      <c r="SBG155" s="3060"/>
      <c r="SBH155" s="3060"/>
      <c r="SBI155" s="3060"/>
      <c r="SBJ155" s="3060"/>
      <c r="SBK155" s="3060"/>
      <c r="SBL155" s="3060"/>
      <c r="SBM155" s="3060"/>
      <c r="SBN155" s="3060"/>
      <c r="SBO155" s="3060"/>
      <c r="SBP155" s="3060"/>
      <c r="SBQ155" s="3060"/>
      <c r="SBR155" s="3060"/>
      <c r="SBS155" s="3060"/>
      <c r="SBT155" s="3060"/>
      <c r="SBU155" s="3060"/>
      <c r="SBV155" s="3060"/>
      <c r="SBW155" s="3060"/>
      <c r="SBX155" s="3060"/>
      <c r="SBY155" s="3060"/>
      <c r="SBZ155" s="3060"/>
      <c r="SCA155" s="3060"/>
      <c r="SCB155" s="3060"/>
      <c r="SCC155" s="3060"/>
      <c r="SCD155" s="3060"/>
      <c r="SCE155" s="3060"/>
      <c r="SCF155" s="3060"/>
      <c r="SCG155" s="3060"/>
      <c r="SCH155" s="3060"/>
      <c r="SCI155" s="3060"/>
      <c r="SCJ155" s="3060"/>
      <c r="SCK155" s="3060"/>
      <c r="SCL155" s="3060"/>
      <c r="SCM155" s="3060"/>
      <c r="SCN155" s="3060"/>
      <c r="SCO155" s="3060"/>
      <c r="SCP155" s="3060"/>
      <c r="SCQ155" s="3060"/>
      <c r="SCR155" s="3060"/>
      <c r="SCS155" s="3060"/>
      <c r="SCT155" s="3060"/>
      <c r="SCU155" s="3060"/>
      <c r="SCV155" s="3060"/>
      <c r="SCW155" s="3060"/>
      <c r="SCX155" s="3060"/>
      <c r="SCY155" s="3060"/>
      <c r="SCZ155" s="3060"/>
      <c r="SDA155" s="3060"/>
      <c r="SDB155" s="3060"/>
      <c r="SDC155" s="3060"/>
      <c r="SDD155" s="3060"/>
      <c r="SDE155" s="3060"/>
      <c r="SDF155" s="3060"/>
      <c r="SDG155" s="3060"/>
      <c r="SDH155" s="3060"/>
      <c r="SDI155" s="3060"/>
      <c r="SDJ155" s="3060"/>
      <c r="SDK155" s="3060"/>
      <c r="SDL155" s="3060"/>
      <c r="SDM155" s="3060"/>
      <c r="SDN155" s="3060"/>
      <c r="SDO155" s="3060"/>
      <c r="SDP155" s="3060"/>
      <c r="SDQ155" s="3060"/>
      <c r="SDR155" s="3060"/>
      <c r="SDS155" s="3060"/>
      <c r="SDT155" s="3060"/>
      <c r="SDU155" s="3060"/>
      <c r="SDV155" s="3060"/>
      <c r="SDW155" s="3060"/>
      <c r="SDX155" s="3060"/>
      <c r="SDY155" s="3060"/>
      <c r="SDZ155" s="3060"/>
      <c r="SEA155" s="3060"/>
      <c r="SEB155" s="3060"/>
      <c r="SEC155" s="3060"/>
      <c r="SED155" s="3060"/>
      <c r="SEE155" s="3060"/>
      <c r="SEF155" s="3060"/>
      <c r="SEG155" s="3060"/>
      <c r="SEH155" s="3060"/>
      <c r="SEI155" s="3060"/>
      <c r="SEJ155" s="3060"/>
      <c r="SEK155" s="3060"/>
      <c r="SEL155" s="3060"/>
      <c r="SEM155" s="3060"/>
      <c r="SEN155" s="3060"/>
      <c r="SEO155" s="3060"/>
      <c r="SEP155" s="3060"/>
      <c r="SEQ155" s="3060"/>
      <c r="SER155" s="3060"/>
      <c r="SES155" s="3060"/>
      <c r="SET155" s="3060"/>
      <c r="SEU155" s="3060"/>
      <c r="SEV155" s="3060"/>
      <c r="SEW155" s="3060"/>
      <c r="SEX155" s="3060"/>
      <c r="SEY155" s="3060"/>
      <c r="SEZ155" s="3060"/>
      <c r="SFA155" s="3060"/>
      <c r="SFB155" s="3060"/>
      <c r="SFC155" s="3060"/>
      <c r="SFD155" s="3060"/>
      <c r="SFE155" s="3060"/>
      <c r="SFF155" s="3060"/>
      <c r="SFG155" s="3060"/>
      <c r="SFH155" s="3060"/>
      <c r="SFI155" s="3060"/>
      <c r="SFJ155" s="3060"/>
      <c r="SFK155" s="3060"/>
      <c r="SFL155" s="3060"/>
      <c r="SFM155" s="3060"/>
      <c r="SFN155" s="3060"/>
      <c r="SFO155" s="3060"/>
      <c r="SFP155" s="3060"/>
      <c r="SFQ155" s="3060"/>
      <c r="SFR155" s="3060"/>
      <c r="SFS155" s="3060"/>
      <c r="SFT155" s="3060"/>
      <c r="SFU155" s="3060"/>
      <c r="SFV155" s="3060"/>
      <c r="SFW155" s="3060"/>
      <c r="SFX155" s="3060"/>
      <c r="SFY155" s="3060"/>
      <c r="SFZ155" s="3060"/>
      <c r="SGA155" s="3060"/>
      <c r="SGB155" s="3060"/>
      <c r="SGC155" s="3060"/>
      <c r="SGD155" s="3060"/>
      <c r="SGE155" s="3060"/>
      <c r="SGF155" s="3060"/>
      <c r="SGG155" s="3060"/>
      <c r="SGH155" s="3060"/>
      <c r="SGI155" s="3060"/>
      <c r="SGJ155" s="3060"/>
      <c r="SGK155" s="3060"/>
      <c r="SGL155" s="3060"/>
      <c r="SGM155" s="3060"/>
      <c r="SGN155" s="3060"/>
      <c r="SGO155" s="3060"/>
      <c r="SGP155" s="3060"/>
      <c r="SGQ155" s="3060"/>
      <c r="SGR155" s="3060"/>
      <c r="SGS155" s="3060"/>
      <c r="SGT155" s="3060"/>
      <c r="SGU155" s="3060"/>
      <c r="SGV155" s="3060"/>
      <c r="SGW155" s="3060"/>
      <c r="SGX155" s="3060"/>
      <c r="SGY155" s="3060"/>
      <c r="SGZ155" s="3060"/>
      <c r="SHA155" s="3060"/>
      <c r="SHB155" s="3060"/>
      <c r="SHC155" s="3060"/>
      <c r="SHD155" s="3060"/>
      <c r="SHE155" s="3060"/>
      <c r="SHF155" s="3060"/>
      <c r="SHG155" s="3060"/>
      <c r="SHH155" s="3060"/>
      <c r="SHI155" s="3060"/>
      <c r="SHJ155" s="3060"/>
      <c r="SHK155" s="3060"/>
      <c r="SHL155" s="3060"/>
      <c r="SHM155" s="3060"/>
      <c r="SHN155" s="3060"/>
      <c r="SHO155" s="3060"/>
      <c r="SHP155" s="3060"/>
      <c r="SHQ155" s="3060"/>
      <c r="SHR155" s="3060"/>
      <c r="SHS155" s="3060"/>
      <c r="SHT155" s="3060"/>
      <c r="SHU155" s="3060"/>
      <c r="SHV155" s="3060"/>
      <c r="SHW155" s="3060"/>
      <c r="SHX155" s="3060"/>
      <c r="SHY155" s="3060"/>
      <c r="SHZ155" s="3060"/>
      <c r="SIA155" s="3060"/>
      <c r="SIB155" s="3060"/>
      <c r="SIC155" s="3060"/>
      <c r="SID155" s="3060"/>
      <c r="SIE155" s="3060"/>
      <c r="SIF155" s="3060"/>
      <c r="SIG155" s="3060"/>
      <c r="SIH155" s="3060"/>
      <c r="SII155" s="3060"/>
      <c r="SIJ155" s="3060"/>
      <c r="SIK155" s="3060"/>
      <c r="SIL155" s="3060"/>
      <c r="SIM155" s="3060"/>
      <c r="SIN155" s="3060"/>
      <c r="SIO155" s="3060"/>
      <c r="SIP155" s="3060"/>
      <c r="SIQ155" s="3060"/>
      <c r="SIR155" s="3060"/>
      <c r="SIS155" s="3060"/>
      <c r="SIT155" s="3060"/>
      <c r="SIU155" s="3060"/>
      <c r="SIV155" s="3060"/>
      <c r="SIW155" s="3060"/>
      <c r="SIX155" s="3060"/>
      <c r="SIY155" s="3060"/>
      <c r="SIZ155" s="3060"/>
      <c r="SJA155" s="3060"/>
      <c r="SJB155" s="3060"/>
      <c r="SJC155" s="3060"/>
      <c r="SJD155" s="3060"/>
      <c r="SJE155" s="3060"/>
      <c r="SJF155" s="3060"/>
      <c r="SJG155" s="3060"/>
      <c r="SJH155" s="3060"/>
      <c r="SJI155" s="3060"/>
      <c r="SJJ155" s="3060"/>
      <c r="SJK155" s="3060"/>
      <c r="SJL155" s="3060"/>
      <c r="SJM155" s="3060"/>
      <c r="SJN155" s="3060"/>
      <c r="SJO155" s="3060"/>
      <c r="SJP155" s="3060"/>
      <c r="SJQ155" s="3060"/>
      <c r="SJR155" s="3060"/>
      <c r="SJS155" s="3060"/>
      <c r="SJT155" s="3060"/>
      <c r="SJU155" s="3060"/>
      <c r="SJV155" s="3060"/>
      <c r="SJW155" s="3060"/>
      <c r="SJX155" s="3060"/>
      <c r="SJY155" s="3060"/>
      <c r="SJZ155" s="3060"/>
      <c r="SKA155" s="3060"/>
      <c r="SKB155" s="3060"/>
      <c r="SKC155" s="3060"/>
      <c r="SKD155" s="3060"/>
      <c r="SKE155" s="3060"/>
      <c r="SKF155" s="3060"/>
      <c r="SKG155" s="3060"/>
      <c r="SKH155" s="3060"/>
      <c r="SKI155" s="3060"/>
      <c r="SKJ155" s="3060"/>
      <c r="SKK155" s="3060"/>
      <c r="SKL155" s="3060"/>
      <c r="SKM155" s="3060"/>
      <c r="SKN155" s="3060"/>
      <c r="SKO155" s="3060"/>
      <c r="SKP155" s="3060"/>
      <c r="SKQ155" s="3060"/>
      <c r="SKR155" s="3060"/>
      <c r="SKS155" s="3060"/>
      <c r="SKT155" s="3060"/>
      <c r="SKU155" s="3060"/>
      <c r="SKV155" s="3060"/>
      <c r="SKW155" s="3060"/>
      <c r="SKX155" s="3060"/>
      <c r="SKY155" s="3060"/>
      <c r="SKZ155" s="3060"/>
      <c r="SLA155" s="3060"/>
      <c r="SLB155" s="3060"/>
      <c r="SLC155" s="3060"/>
      <c r="SLD155" s="3060"/>
      <c r="SLE155" s="3060"/>
      <c r="SLF155" s="3060"/>
      <c r="SLG155" s="3060"/>
      <c r="SLH155" s="3060"/>
      <c r="SLI155" s="3060"/>
      <c r="SLJ155" s="3060"/>
      <c r="SLK155" s="3060"/>
      <c r="SLL155" s="3060"/>
      <c r="SLM155" s="3060"/>
      <c r="SLN155" s="3060"/>
      <c r="SLO155" s="3060"/>
      <c r="SLP155" s="3060"/>
      <c r="SLQ155" s="3060"/>
      <c r="SLR155" s="3060"/>
      <c r="SLS155" s="3060"/>
      <c r="SLT155" s="3060"/>
      <c r="SLU155" s="3060"/>
      <c r="SLV155" s="3060"/>
      <c r="SLW155" s="3060"/>
      <c r="SLX155" s="3060"/>
      <c r="SLY155" s="3060"/>
      <c r="SLZ155" s="3060"/>
      <c r="SMA155" s="3060"/>
      <c r="SMB155" s="3060"/>
      <c r="SMC155" s="3060"/>
      <c r="SMD155" s="3060"/>
      <c r="SME155" s="3060"/>
      <c r="SMF155" s="3060"/>
      <c r="SMG155" s="3060"/>
      <c r="SMH155" s="3060"/>
      <c r="SMI155" s="3060"/>
      <c r="SMJ155" s="3060"/>
      <c r="SMK155" s="3060"/>
      <c r="SML155" s="3060"/>
      <c r="SMM155" s="3060"/>
      <c r="SMN155" s="3060"/>
      <c r="SMO155" s="3060"/>
      <c r="SMP155" s="3060"/>
      <c r="SMQ155" s="3060"/>
      <c r="SMR155" s="3060"/>
      <c r="SMS155" s="3060"/>
      <c r="SMT155" s="3060"/>
      <c r="SMU155" s="3060"/>
      <c r="SMV155" s="3060"/>
      <c r="SMW155" s="3060"/>
      <c r="SMX155" s="3060"/>
      <c r="SMY155" s="3060"/>
      <c r="SMZ155" s="3060"/>
      <c r="SNA155" s="3060"/>
      <c r="SNB155" s="3060"/>
      <c r="SNC155" s="3060"/>
      <c r="SND155" s="3060"/>
      <c r="SNE155" s="3060"/>
      <c r="SNF155" s="3060"/>
      <c r="SNG155" s="3060"/>
      <c r="SNH155" s="3060"/>
      <c r="SNI155" s="3060"/>
      <c r="SNJ155" s="3060"/>
      <c r="SNK155" s="3060"/>
      <c r="SNL155" s="3060"/>
      <c r="SNM155" s="3060"/>
      <c r="SNN155" s="3060"/>
      <c r="SNO155" s="3060"/>
      <c r="SNP155" s="3060"/>
      <c r="SNQ155" s="3060"/>
      <c r="SNR155" s="3060"/>
      <c r="SNS155" s="3060"/>
      <c r="SNT155" s="3060"/>
      <c r="SNU155" s="3060"/>
      <c r="SNV155" s="3060"/>
      <c r="SNW155" s="3060"/>
      <c r="SNX155" s="3060"/>
      <c r="SNY155" s="3060"/>
      <c r="SNZ155" s="3060"/>
      <c r="SOA155" s="3060"/>
      <c r="SOB155" s="3060"/>
      <c r="SOC155" s="3060"/>
      <c r="SOD155" s="3060"/>
      <c r="SOE155" s="3060"/>
      <c r="SOF155" s="3060"/>
      <c r="SOG155" s="3060"/>
      <c r="SOH155" s="3060"/>
      <c r="SOI155" s="3060"/>
      <c r="SOJ155" s="3060"/>
      <c r="SOK155" s="3060"/>
      <c r="SOL155" s="3060"/>
      <c r="SOM155" s="3060"/>
      <c r="SON155" s="3060"/>
      <c r="SOO155" s="3060"/>
      <c r="SOP155" s="3060"/>
      <c r="SOQ155" s="3060"/>
      <c r="SOR155" s="3060"/>
      <c r="SOS155" s="3060"/>
      <c r="SOT155" s="3060"/>
      <c r="SOU155" s="3060"/>
      <c r="SOV155" s="3060"/>
      <c r="SOW155" s="3060"/>
      <c r="SOX155" s="3060"/>
      <c r="SOY155" s="3060"/>
      <c r="SOZ155" s="3060"/>
      <c r="SPA155" s="3060"/>
      <c r="SPB155" s="3060"/>
      <c r="SPC155" s="3060"/>
      <c r="SPD155" s="3060"/>
      <c r="SPE155" s="3060"/>
      <c r="SPF155" s="3060"/>
      <c r="SPG155" s="3060"/>
      <c r="SPH155" s="3060"/>
      <c r="SPI155" s="3060"/>
      <c r="SPJ155" s="3060"/>
      <c r="SPK155" s="3060"/>
      <c r="SPL155" s="3060"/>
      <c r="SPM155" s="3060"/>
      <c r="SPN155" s="3060"/>
      <c r="SPO155" s="3060"/>
      <c r="SPP155" s="3060"/>
      <c r="SPQ155" s="3060"/>
      <c r="SPR155" s="3060"/>
      <c r="SPS155" s="3060"/>
      <c r="SPT155" s="3060"/>
      <c r="SPU155" s="3060"/>
      <c r="SPV155" s="3060"/>
      <c r="SPW155" s="3060"/>
      <c r="SPX155" s="3060"/>
      <c r="SPY155" s="3060"/>
      <c r="SPZ155" s="3060"/>
      <c r="SQA155" s="3060"/>
      <c r="SQB155" s="3060"/>
      <c r="SQC155" s="3060"/>
      <c r="SQD155" s="3060"/>
      <c r="SQE155" s="3060"/>
      <c r="SQF155" s="3060"/>
      <c r="SQG155" s="3060"/>
      <c r="SQH155" s="3060"/>
      <c r="SQI155" s="3060"/>
      <c r="SQJ155" s="3060"/>
      <c r="SQK155" s="3060"/>
      <c r="SQL155" s="3060"/>
      <c r="SQM155" s="3060"/>
      <c r="SQN155" s="3060"/>
      <c r="SQO155" s="3060"/>
      <c r="SQP155" s="3060"/>
      <c r="SQQ155" s="3060"/>
      <c r="SQR155" s="3060"/>
      <c r="SQS155" s="3060"/>
      <c r="SQT155" s="3060"/>
      <c r="SQU155" s="3060"/>
      <c r="SQV155" s="3060"/>
      <c r="SQW155" s="3060"/>
      <c r="SQX155" s="3060"/>
      <c r="SQY155" s="3060"/>
      <c r="SQZ155" s="3060"/>
      <c r="SRA155" s="3060"/>
      <c r="SRB155" s="3060"/>
      <c r="SRC155" s="3060"/>
      <c r="SRD155" s="3060"/>
      <c r="SRE155" s="3060"/>
      <c r="SRF155" s="3060"/>
      <c r="SRG155" s="3060"/>
      <c r="SRH155" s="3060"/>
      <c r="SRI155" s="3060"/>
      <c r="SRJ155" s="3060"/>
      <c r="SRK155" s="3060"/>
      <c r="SRL155" s="3060"/>
      <c r="SRM155" s="3060"/>
      <c r="SRN155" s="3060"/>
      <c r="SRO155" s="3060"/>
      <c r="SRP155" s="3060"/>
      <c r="SRQ155" s="3060"/>
      <c r="SRR155" s="3060"/>
      <c r="SRS155" s="3060"/>
      <c r="SRT155" s="3060"/>
      <c r="SRU155" s="3060"/>
      <c r="SRV155" s="3060"/>
      <c r="SRW155" s="3060"/>
      <c r="SRX155" s="3060"/>
      <c r="SRY155" s="3060"/>
      <c r="SRZ155" s="3060"/>
      <c r="SSA155" s="3060"/>
      <c r="SSB155" s="3060"/>
      <c r="SSC155" s="3060"/>
      <c r="SSD155" s="3060"/>
      <c r="SSE155" s="3060"/>
      <c r="SSF155" s="3060"/>
      <c r="SSG155" s="3060"/>
      <c r="SSH155" s="3060"/>
      <c r="SSI155" s="3060"/>
      <c r="SSJ155" s="3060"/>
      <c r="SSK155" s="3060"/>
      <c r="SSL155" s="3060"/>
      <c r="SSM155" s="3060"/>
      <c r="SSN155" s="3060"/>
      <c r="SSO155" s="3060"/>
      <c r="SSP155" s="3060"/>
      <c r="SSQ155" s="3060"/>
      <c r="SSR155" s="3060"/>
      <c r="SSS155" s="3060"/>
      <c r="SST155" s="3060"/>
      <c r="SSU155" s="3060"/>
      <c r="SSV155" s="3060"/>
      <c r="SSW155" s="3060"/>
      <c r="SSX155" s="3060"/>
      <c r="SSY155" s="3060"/>
      <c r="SSZ155" s="3060"/>
      <c r="STA155" s="3060"/>
      <c r="STB155" s="3060"/>
      <c r="STC155" s="3060"/>
      <c r="STD155" s="3060"/>
      <c r="STE155" s="3060"/>
      <c r="STF155" s="3060"/>
      <c r="STG155" s="3060"/>
      <c r="STH155" s="3060"/>
      <c r="STI155" s="3060"/>
      <c r="STJ155" s="3060"/>
      <c r="STK155" s="3060"/>
      <c r="STL155" s="3060"/>
      <c r="STM155" s="3060"/>
      <c r="STN155" s="3060"/>
      <c r="STO155" s="3060"/>
      <c r="STP155" s="3060"/>
      <c r="STQ155" s="3060"/>
      <c r="STR155" s="3060"/>
      <c r="STS155" s="3060"/>
      <c r="STT155" s="3060"/>
      <c r="STU155" s="3060"/>
      <c r="STV155" s="3060"/>
      <c r="STW155" s="3060"/>
      <c r="STX155" s="3060"/>
      <c r="STY155" s="3060"/>
      <c r="STZ155" s="3060"/>
      <c r="SUA155" s="3060"/>
      <c r="SUB155" s="3060"/>
      <c r="SUC155" s="3060"/>
      <c r="SUD155" s="3060"/>
      <c r="SUE155" s="3060"/>
      <c r="SUF155" s="3060"/>
      <c r="SUG155" s="3060"/>
      <c r="SUH155" s="3060"/>
      <c r="SUI155" s="3060"/>
      <c r="SUJ155" s="3060"/>
      <c r="SUK155" s="3060"/>
      <c r="SUL155" s="3060"/>
      <c r="SUM155" s="3060"/>
      <c r="SUN155" s="3060"/>
      <c r="SUO155" s="3060"/>
      <c r="SUP155" s="3060"/>
      <c r="SUQ155" s="3060"/>
      <c r="SUR155" s="3060"/>
      <c r="SUS155" s="3060"/>
      <c r="SUT155" s="3060"/>
      <c r="SUU155" s="3060"/>
      <c r="SUV155" s="3060"/>
      <c r="SUW155" s="3060"/>
      <c r="SUX155" s="3060"/>
      <c r="SUY155" s="3060"/>
      <c r="SUZ155" s="3060"/>
      <c r="SVA155" s="3060"/>
      <c r="SVB155" s="3060"/>
      <c r="SVC155" s="3060"/>
      <c r="SVD155" s="3060"/>
      <c r="SVE155" s="3060"/>
      <c r="SVF155" s="3060"/>
      <c r="SVG155" s="3060"/>
      <c r="SVH155" s="3060"/>
      <c r="SVI155" s="3060"/>
      <c r="SVJ155" s="3060"/>
      <c r="SVK155" s="3060"/>
      <c r="SVL155" s="3060"/>
      <c r="SVM155" s="3060"/>
      <c r="SVN155" s="3060"/>
      <c r="SVO155" s="3060"/>
      <c r="SVP155" s="3060"/>
      <c r="SVQ155" s="3060"/>
      <c r="SVR155" s="3060"/>
      <c r="SVS155" s="3060"/>
      <c r="SVT155" s="3060"/>
      <c r="SVU155" s="3060"/>
      <c r="SVV155" s="3060"/>
      <c r="SVW155" s="3060"/>
      <c r="SVX155" s="3060"/>
      <c r="SVY155" s="3060"/>
      <c r="SVZ155" s="3060"/>
      <c r="SWA155" s="3060"/>
      <c r="SWB155" s="3060"/>
      <c r="SWC155" s="3060"/>
      <c r="SWD155" s="3060"/>
      <c r="SWE155" s="3060"/>
      <c r="SWF155" s="3060"/>
      <c r="SWG155" s="3060"/>
      <c r="SWH155" s="3060"/>
      <c r="SWI155" s="3060"/>
      <c r="SWJ155" s="3060"/>
      <c r="SWK155" s="3060"/>
      <c r="SWL155" s="3060"/>
      <c r="SWM155" s="3060"/>
      <c r="SWN155" s="3060"/>
      <c r="SWO155" s="3060"/>
      <c r="SWP155" s="3060"/>
      <c r="SWQ155" s="3060"/>
      <c r="SWR155" s="3060"/>
      <c r="SWS155" s="3060"/>
      <c r="SWT155" s="3060"/>
      <c r="SWU155" s="3060"/>
      <c r="SWV155" s="3060"/>
      <c r="SWW155" s="3060"/>
      <c r="SWX155" s="3060"/>
      <c r="SWY155" s="3060"/>
      <c r="SWZ155" s="3060"/>
      <c r="SXA155" s="3060"/>
      <c r="SXB155" s="3060"/>
      <c r="SXC155" s="3060"/>
      <c r="SXD155" s="3060"/>
      <c r="SXE155" s="3060"/>
      <c r="SXF155" s="3060"/>
      <c r="SXG155" s="3060"/>
      <c r="SXH155" s="3060"/>
      <c r="SXI155" s="3060"/>
      <c r="SXJ155" s="3060"/>
      <c r="SXK155" s="3060"/>
      <c r="SXL155" s="3060"/>
      <c r="SXM155" s="3060"/>
      <c r="SXN155" s="3060"/>
      <c r="SXO155" s="3060"/>
      <c r="SXP155" s="3060"/>
      <c r="SXQ155" s="3060"/>
      <c r="SXR155" s="3060"/>
      <c r="SXS155" s="3060"/>
      <c r="SXT155" s="3060"/>
      <c r="SXU155" s="3060"/>
      <c r="SXV155" s="3060"/>
      <c r="SXW155" s="3060"/>
      <c r="SXX155" s="3060"/>
      <c r="SXY155" s="3060"/>
      <c r="SXZ155" s="3060"/>
      <c r="SYA155" s="3060"/>
      <c r="SYB155" s="3060"/>
      <c r="SYC155" s="3060"/>
      <c r="SYD155" s="3060"/>
      <c r="SYE155" s="3060"/>
      <c r="SYF155" s="3060"/>
      <c r="SYG155" s="3060"/>
      <c r="SYH155" s="3060"/>
      <c r="SYI155" s="3060"/>
      <c r="SYJ155" s="3060"/>
      <c r="SYK155" s="3060"/>
      <c r="SYL155" s="3060"/>
      <c r="SYM155" s="3060"/>
      <c r="SYN155" s="3060"/>
      <c r="SYO155" s="3060"/>
      <c r="SYP155" s="3060"/>
      <c r="SYQ155" s="3060"/>
      <c r="SYR155" s="3060"/>
      <c r="SYS155" s="3060"/>
      <c r="SYT155" s="3060"/>
      <c r="SYU155" s="3060"/>
      <c r="SYV155" s="3060"/>
      <c r="SYW155" s="3060"/>
      <c r="SYX155" s="3060"/>
      <c r="SYY155" s="3060"/>
      <c r="SYZ155" s="3060"/>
      <c r="SZA155" s="3060"/>
      <c r="SZB155" s="3060"/>
      <c r="SZC155" s="3060"/>
      <c r="SZD155" s="3060"/>
      <c r="SZE155" s="3060"/>
      <c r="SZF155" s="3060"/>
      <c r="SZG155" s="3060"/>
      <c r="SZH155" s="3060"/>
      <c r="SZI155" s="3060"/>
      <c r="SZJ155" s="3060"/>
      <c r="SZK155" s="3060"/>
      <c r="SZL155" s="3060"/>
      <c r="SZM155" s="3060"/>
      <c r="SZN155" s="3060"/>
      <c r="SZO155" s="3060"/>
      <c r="SZP155" s="3060"/>
      <c r="SZQ155" s="3060"/>
      <c r="SZR155" s="3060"/>
      <c r="SZS155" s="3060"/>
      <c r="SZT155" s="3060"/>
      <c r="SZU155" s="3060"/>
      <c r="SZV155" s="3060"/>
      <c r="SZW155" s="3060"/>
      <c r="SZX155" s="3060"/>
      <c r="SZY155" s="3060"/>
      <c r="SZZ155" s="3060"/>
      <c r="TAA155" s="3060"/>
      <c r="TAB155" s="3060"/>
      <c r="TAC155" s="3060"/>
      <c r="TAD155" s="3060"/>
      <c r="TAE155" s="3060"/>
      <c r="TAF155" s="3060"/>
      <c r="TAG155" s="3060"/>
      <c r="TAH155" s="3060"/>
      <c r="TAI155" s="3060"/>
      <c r="TAJ155" s="3060"/>
      <c r="TAK155" s="3060"/>
      <c r="TAL155" s="3060"/>
      <c r="TAM155" s="3060"/>
      <c r="TAN155" s="3060"/>
      <c r="TAO155" s="3060"/>
      <c r="TAP155" s="3060"/>
      <c r="TAQ155" s="3060"/>
      <c r="TAR155" s="3060"/>
      <c r="TAS155" s="3060"/>
      <c r="TAT155" s="3060"/>
      <c r="TAU155" s="3060"/>
      <c r="TAV155" s="3060"/>
      <c r="TAW155" s="3060"/>
      <c r="TAX155" s="3060"/>
      <c r="TAY155" s="3060"/>
      <c r="TAZ155" s="3060"/>
      <c r="TBA155" s="3060"/>
      <c r="TBB155" s="3060"/>
      <c r="TBC155" s="3060"/>
      <c r="TBD155" s="3060"/>
      <c r="TBE155" s="3060"/>
      <c r="TBF155" s="3060"/>
      <c r="TBG155" s="3060"/>
      <c r="TBH155" s="3060"/>
      <c r="TBI155" s="3060"/>
      <c r="TBJ155" s="3060"/>
      <c r="TBK155" s="3060"/>
      <c r="TBL155" s="3060"/>
      <c r="TBM155" s="3060"/>
      <c r="TBN155" s="3060"/>
      <c r="TBO155" s="3060"/>
      <c r="TBP155" s="3060"/>
      <c r="TBQ155" s="3060"/>
      <c r="TBR155" s="3060"/>
      <c r="TBS155" s="3060"/>
      <c r="TBT155" s="3060"/>
      <c r="TBU155" s="3060"/>
      <c r="TBV155" s="3060"/>
      <c r="TBW155" s="3060"/>
      <c r="TBX155" s="3060"/>
      <c r="TBY155" s="3060"/>
      <c r="TBZ155" s="3060"/>
      <c r="TCA155" s="3060"/>
      <c r="TCB155" s="3060"/>
      <c r="TCC155" s="3060"/>
      <c r="TCD155" s="3060"/>
      <c r="TCE155" s="3060"/>
      <c r="TCF155" s="3060"/>
      <c r="TCG155" s="3060"/>
      <c r="TCH155" s="3060"/>
      <c r="TCI155" s="3060"/>
      <c r="TCJ155" s="3060"/>
      <c r="TCK155" s="3060"/>
      <c r="TCL155" s="3060"/>
      <c r="TCM155" s="3060"/>
      <c r="TCN155" s="3060"/>
      <c r="TCO155" s="3060"/>
      <c r="TCP155" s="3060"/>
      <c r="TCQ155" s="3060"/>
      <c r="TCR155" s="3060"/>
      <c r="TCS155" s="3060"/>
      <c r="TCT155" s="3060"/>
      <c r="TCU155" s="3060"/>
      <c r="TCV155" s="3060"/>
      <c r="TCW155" s="3060"/>
      <c r="TCX155" s="3060"/>
      <c r="TCY155" s="3060"/>
      <c r="TCZ155" s="3060"/>
      <c r="TDA155" s="3060"/>
      <c r="TDB155" s="3060"/>
      <c r="TDC155" s="3060"/>
      <c r="TDD155" s="3060"/>
      <c r="TDE155" s="3060"/>
      <c r="TDF155" s="3060"/>
      <c r="TDG155" s="3060"/>
      <c r="TDH155" s="3060"/>
      <c r="TDI155" s="3060"/>
      <c r="TDJ155" s="3060"/>
      <c r="TDK155" s="3060"/>
      <c r="TDL155" s="3060"/>
      <c r="TDM155" s="3060"/>
      <c r="TDN155" s="3060"/>
      <c r="TDO155" s="3060"/>
      <c r="TDP155" s="3060"/>
      <c r="TDQ155" s="3060"/>
      <c r="TDR155" s="3060"/>
      <c r="TDS155" s="3060"/>
      <c r="TDT155" s="3060"/>
      <c r="TDU155" s="3060"/>
      <c r="TDV155" s="3060"/>
      <c r="TDW155" s="3060"/>
      <c r="TDX155" s="3060"/>
      <c r="TDY155" s="3060"/>
      <c r="TDZ155" s="3060"/>
      <c r="TEA155" s="3060"/>
      <c r="TEB155" s="3060"/>
      <c r="TEC155" s="3060"/>
      <c r="TED155" s="3060"/>
      <c r="TEE155" s="3060"/>
      <c r="TEF155" s="3060"/>
      <c r="TEG155" s="3060"/>
      <c r="TEH155" s="3060"/>
      <c r="TEI155" s="3060"/>
      <c r="TEJ155" s="3060"/>
      <c r="TEK155" s="3060"/>
      <c r="TEL155" s="3060"/>
      <c r="TEM155" s="3060"/>
      <c r="TEN155" s="3060"/>
      <c r="TEO155" s="3060"/>
      <c r="TEP155" s="3060"/>
      <c r="TEQ155" s="3060"/>
      <c r="TER155" s="3060"/>
      <c r="TES155" s="3060"/>
      <c r="TET155" s="3060"/>
      <c r="TEU155" s="3060"/>
      <c r="TEV155" s="3060"/>
      <c r="TEW155" s="3060"/>
      <c r="TEX155" s="3060"/>
      <c r="TEY155" s="3060"/>
      <c r="TEZ155" s="3060"/>
      <c r="TFA155" s="3060"/>
      <c r="TFB155" s="3060"/>
      <c r="TFC155" s="3060"/>
      <c r="TFD155" s="3060"/>
      <c r="TFE155" s="3060"/>
      <c r="TFF155" s="3060"/>
      <c r="TFG155" s="3060"/>
      <c r="TFH155" s="3060"/>
      <c r="TFI155" s="3060"/>
      <c r="TFJ155" s="3060"/>
      <c r="TFK155" s="3060"/>
      <c r="TFL155" s="3060"/>
      <c r="TFM155" s="3060"/>
      <c r="TFN155" s="3060"/>
      <c r="TFO155" s="3060"/>
      <c r="TFP155" s="3060"/>
      <c r="TFQ155" s="3060"/>
      <c r="TFR155" s="3060"/>
      <c r="TFS155" s="3060"/>
      <c r="TFT155" s="3060"/>
      <c r="TFU155" s="3060"/>
      <c r="TFV155" s="3060"/>
      <c r="TFW155" s="3060"/>
      <c r="TFX155" s="3060"/>
      <c r="TFY155" s="3060"/>
      <c r="TFZ155" s="3060"/>
      <c r="TGA155" s="3060"/>
      <c r="TGB155" s="3060"/>
      <c r="TGC155" s="3060"/>
      <c r="TGD155" s="3060"/>
      <c r="TGE155" s="3060"/>
      <c r="TGF155" s="3060"/>
      <c r="TGG155" s="3060"/>
      <c r="TGH155" s="3060"/>
      <c r="TGI155" s="3060"/>
      <c r="TGJ155" s="3060"/>
      <c r="TGK155" s="3060"/>
      <c r="TGL155" s="3060"/>
      <c r="TGM155" s="3060"/>
      <c r="TGN155" s="3060"/>
      <c r="TGO155" s="3060"/>
      <c r="TGP155" s="3060"/>
      <c r="TGQ155" s="3060"/>
      <c r="TGR155" s="3060"/>
      <c r="TGS155" s="3060"/>
      <c r="TGT155" s="3060"/>
      <c r="TGU155" s="3060"/>
      <c r="TGV155" s="3060"/>
      <c r="TGW155" s="3060"/>
      <c r="TGX155" s="3060"/>
      <c r="TGY155" s="3060"/>
      <c r="TGZ155" s="3060"/>
      <c r="THA155" s="3060"/>
      <c r="THB155" s="3060"/>
      <c r="THC155" s="3060"/>
      <c r="THD155" s="3060"/>
      <c r="THE155" s="3060"/>
      <c r="THF155" s="3060"/>
      <c r="THG155" s="3060"/>
      <c r="THH155" s="3060"/>
      <c r="THI155" s="3060"/>
      <c r="THJ155" s="3060"/>
      <c r="THK155" s="3060"/>
      <c r="THL155" s="3060"/>
      <c r="THM155" s="3060"/>
      <c r="THN155" s="3060"/>
      <c r="THO155" s="3060"/>
      <c r="THP155" s="3060"/>
      <c r="THQ155" s="3060"/>
      <c r="THR155" s="3060"/>
      <c r="THS155" s="3060"/>
      <c r="THT155" s="3060"/>
      <c r="THU155" s="3060"/>
      <c r="THV155" s="3060"/>
      <c r="THW155" s="3060"/>
      <c r="THX155" s="3060"/>
      <c r="THY155" s="3060"/>
      <c r="THZ155" s="3060"/>
      <c r="TIA155" s="3060"/>
      <c r="TIB155" s="3060"/>
      <c r="TIC155" s="3060"/>
      <c r="TID155" s="3060"/>
      <c r="TIE155" s="3060"/>
      <c r="TIF155" s="3060"/>
      <c r="TIG155" s="3060"/>
      <c r="TIH155" s="3060"/>
      <c r="TII155" s="3060"/>
      <c r="TIJ155" s="3060"/>
      <c r="TIK155" s="3060"/>
      <c r="TIL155" s="3060"/>
      <c r="TIM155" s="3060"/>
      <c r="TIN155" s="3060"/>
      <c r="TIO155" s="3060"/>
      <c r="TIP155" s="3060"/>
      <c r="TIQ155" s="3060"/>
      <c r="TIR155" s="3060"/>
      <c r="TIS155" s="3060"/>
      <c r="TIT155" s="3060"/>
      <c r="TIU155" s="3060"/>
      <c r="TIV155" s="3060"/>
      <c r="TIW155" s="3060"/>
      <c r="TIX155" s="3060"/>
      <c r="TIY155" s="3060"/>
      <c r="TIZ155" s="3060"/>
      <c r="TJA155" s="3060"/>
      <c r="TJB155" s="3060"/>
      <c r="TJC155" s="3060"/>
      <c r="TJD155" s="3060"/>
      <c r="TJE155" s="3060"/>
      <c r="TJF155" s="3060"/>
      <c r="TJG155" s="3060"/>
      <c r="TJH155" s="3060"/>
      <c r="TJI155" s="3060"/>
      <c r="TJJ155" s="3060"/>
      <c r="TJK155" s="3060"/>
      <c r="TJL155" s="3060"/>
      <c r="TJM155" s="3060"/>
      <c r="TJN155" s="3060"/>
      <c r="TJO155" s="3060"/>
      <c r="TJP155" s="3060"/>
      <c r="TJQ155" s="3060"/>
      <c r="TJR155" s="3060"/>
      <c r="TJS155" s="3060"/>
      <c r="TJT155" s="3060"/>
      <c r="TJU155" s="3060"/>
      <c r="TJV155" s="3060"/>
      <c r="TJW155" s="3060"/>
      <c r="TJX155" s="3060"/>
      <c r="TJY155" s="3060"/>
      <c r="TJZ155" s="3060"/>
      <c r="TKA155" s="3060"/>
      <c r="TKB155" s="3060"/>
      <c r="TKC155" s="3060"/>
      <c r="TKD155" s="3060"/>
      <c r="TKE155" s="3060"/>
      <c r="TKF155" s="3060"/>
      <c r="TKG155" s="3060"/>
      <c r="TKH155" s="3060"/>
      <c r="TKI155" s="3060"/>
      <c r="TKJ155" s="3060"/>
      <c r="TKK155" s="3060"/>
      <c r="TKL155" s="3060"/>
      <c r="TKM155" s="3060"/>
      <c r="TKN155" s="3060"/>
      <c r="TKO155" s="3060"/>
      <c r="TKP155" s="3060"/>
      <c r="TKQ155" s="3060"/>
      <c r="TKR155" s="3060"/>
      <c r="TKS155" s="3060"/>
      <c r="TKT155" s="3060"/>
      <c r="TKU155" s="3060"/>
      <c r="TKV155" s="3060"/>
      <c r="TKW155" s="3060"/>
      <c r="TKX155" s="3060"/>
      <c r="TKY155" s="3060"/>
      <c r="TKZ155" s="3060"/>
      <c r="TLA155" s="3060"/>
      <c r="TLB155" s="3060"/>
      <c r="TLC155" s="3060"/>
      <c r="TLD155" s="3060"/>
      <c r="TLE155" s="3060"/>
      <c r="TLF155" s="3060"/>
      <c r="TLG155" s="3060"/>
      <c r="TLH155" s="3060"/>
      <c r="TLI155" s="3060"/>
      <c r="TLJ155" s="3060"/>
      <c r="TLK155" s="3060"/>
      <c r="TLL155" s="3060"/>
      <c r="TLM155" s="3060"/>
      <c r="TLN155" s="3060"/>
      <c r="TLO155" s="3060"/>
      <c r="TLP155" s="3060"/>
      <c r="TLQ155" s="3060"/>
      <c r="TLR155" s="3060"/>
      <c r="TLS155" s="3060"/>
      <c r="TLT155" s="3060"/>
      <c r="TLU155" s="3060"/>
      <c r="TLV155" s="3060"/>
      <c r="TLW155" s="3060"/>
      <c r="TLX155" s="3060"/>
      <c r="TLY155" s="3060"/>
      <c r="TLZ155" s="3060"/>
      <c r="TMA155" s="3060"/>
      <c r="TMB155" s="3060"/>
      <c r="TMC155" s="3060"/>
      <c r="TMD155" s="3060"/>
      <c r="TME155" s="3060"/>
      <c r="TMF155" s="3060"/>
      <c r="TMG155" s="3060"/>
      <c r="TMH155" s="3060"/>
      <c r="TMI155" s="3060"/>
      <c r="TMJ155" s="3060"/>
      <c r="TMK155" s="3060"/>
      <c r="TML155" s="3060"/>
      <c r="TMM155" s="3060"/>
      <c r="TMN155" s="3060"/>
      <c r="TMO155" s="3060"/>
      <c r="TMP155" s="3060"/>
      <c r="TMQ155" s="3060"/>
      <c r="TMR155" s="3060"/>
      <c r="TMS155" s="3060"/>
      <c r="TMT155" s="3060"/>
      <c r="TMU155" s="3060"/>
      <c r="TMV155" s="3060"/>
      <c r="TMW155" s="3060"/>
      <c r="TMX155" s="3060"/>
      <c r="TMY155" s="3060"/>
      <c r="TMZ155" s="3060"/>
      <c r="TNA155" s="3060"/>
      <c r="TNB155" s="3060"/>
      <c r="TNC155" s="3060"/>
      <c r="TND155" s="3060"/>
      <c r="TNE155" s="3060"/>
      <c r="TNF155" s="3060"/>
      <c r="TNG155" s="3060"/>
      <c r="TNH155" s="3060"/>
      <c r="TNI155" s="3060"/>
      <c r="TNJ155" s="3060"/>
      <c r="TNK155" s="3060"/>
      <c r="TNL155" s="3060"/>
      <c r="TNM155" s="3060"/>
      <c r="TNN155" s="3060"/>
      <c r="TNO155" s="3060"/>
      <c r="TNP155" s="3060"/>
      <c r="TNQ155" s="3060"/>
      <c r="TNR155" s="3060"/>
      <c r="TNS155" s="3060"/>
      <c r="TNT155" s="3060"/>
      <c r="TNU155" s="3060"/>
      <c r="TNV155" s="3060"/>
      <c r="TNW155" s="3060"/>
      <c r="TNX155" s="3060"/>
      <c r="TNY155" s="3060"/>
      <c r="TNZ155" s="3060"/>
      <c r="TOA155" s="3060"/>
      <c r="TOB155" s="3060"/>
      <c r="TOC155" s="3060"/>
      <c r="TOD155" s="3060"/>
      <c r="TOE155" s="3060"/>
      <c r="TOF155" s="3060"/>
      <c r="TOG155" s="3060"/>
      <c r="TOH155" s="3060"/>
      <c r="TOI155" s="3060"/>
      <c r="TOJ155" s="3060"/>
      <c r="TOK155" s="3060"/>
      <c r="TOL155" s="3060"/>
      <c r="TOM155" s="3060"/>
      <c r="TON155" s="3060"/>
      <c r="TOO155" s="3060"/>
      <c r="TOP155" s="3060"/>
      <c r="TOQ155" s="3060"/>
      <c r="TOR155" s="3060"/>
      <c r="TOS155" s="3060"/>
      <c r="TOT155" s="3060"/>
      <c r="TOU155" s="3060"/>
      <c r="TOV155" s="3060"/>
      <c r="TOW155" s="3060"/>
      <c r="TOX155" s="3060"/>
      <c r="TOY155" s="3060"/>
      <c r="TOZ155" s="3060"/>
      <c r="TPA155" s="3060"/>
      <c r="TPB155" s="3060"/>
      <c r="TPC155" s="3060"/>
      <c r="TPD155" s="3060"/>
      <c r="TPE155" s="3060"/>
      <c r="TPF155" s="3060"/>
      <c r="TPG155" s="3060"/>
      <c r="TPH155" s="3060"/>
      <c r="TPI155" s="3060"/>
      <c r="TPJ155" s="3060"/>
      <c r="TPK155" s="3060"/>
      <c r="TPL155" s="3060"/>
      <c r="TPM155" s="3060"/>
      <c r="TPN155" s="3060"/>
      <c r="TPO155" s="3060"/>
      <c r="TPP155" s="3060"/>
      <c r="TPQ155" s="3060"/>
      <c r="TPR155" s="3060"/>
      <c r="TPS155" s="3060"/>
      <c r="TPT155" s="3060"/>
      <c r="TPU155" s="3060"/>
      <c r="TPV155" s="3060"/>
      <c r="TPW155" s="3060"/>
      <c r="TPX155" s="3060"/>
      <c r="TPY155" s="3060"/>
      <c r="TPZ155" s="3060"/>
      <c r="TQA155" s="3060"/>
      <c r="TQB155" s="3060"/>
      <c r="TQC155" s="3060"/>
      <c r="TQD155" s="3060"/>
      <c r="TQE155" s="3060"/>
      <c r="TQF155" s="3060"/>
      <c r="TQG155" s="3060"/>
      <c r="TQH155" s="3060"/>
      <c r="TQI155" s="3060"/>
      <c r="TQJ155" s="3060"/>
      <c r="TQK155" s="3060"/>
      <c r="TQL155" s="3060"/>
      <c r="TQM155" s="3060"/>
      <c r="TQN155" s="3060"/>
      <c r="TQO155" s="3060"/>
      <c r="TQP155" s="3060"/>
      <c r="TQQ155" s="3060"/>
      <c r="TQR155" s="3060"/>
      <c r="TQS155" s="3060"/>
      <c r="TQT155" s="3060"/>
      <c r="TQU155" s="3060"/>
      <c r="TQV155" s="3060"/>
      <c r="TQW155" s="3060"/>
      <c r="TQX155" s="3060"/>
      <c r="TQY155" s="3060"/>
      <c r="TQZ155" s="3060"/>
      <c r="TRA155" s="3060"/>
      <c r="TRB155" s="3060"/>
      <c r="TRC155" s="3060"/>
      <c r="TRD155" s="3060"/>
      <c r="TRE155" s="3060"/>
      <c r="TRF155" s="3060"/>
      <c r="TRG155" s="3060"/>
      <c r="TRH155" s="3060"/>
      <c r="TRI155" s="3060"/>
      <c r="TRJ155" s="3060"/>
      <c r="TRK155" s="3060"/>
      <c r="TRL155" s="3060"/>
      <c r="TRM155" s="3060"/>
      <c r="TRN155" s="3060"/>
      <c r="TRO155" s="3060"/>
      <c r="TRP155" s="3060"/>
      <c r="TRQ155" s="3060"/>
      <c r="TRR155" s="3060"/>
      <c r="TRS155" s="3060"/>
      <c r="TRT155" s="3060"/>
      <c r="TRU155" s="3060"/>
      <c r="TRV155" s="3060"/>
      <c r="TRW155" s="3060"/>
      <c r="TRX155" s="3060"/>
      <c r="TRY155" s="3060"/>
      <c r="TRZ155" s="3060"/>
      <c r="TSA155" s="3060"/>
      <c r="TSB155" s="3060"/>
      <c r="TSC155" s="3060"/>
      <c r="TSD155" s="3060"/>
      <c r="TSE155" s="3060"/>
      <c r="TSF155" s="3060"/>
      <c r="TSG155" s="3060"/>
      <c r="TSH155" s="3060"/>
      <c r="TSI155" s="3060"/>
      <c r="TSJ155" s="3060"/>
      <c r="TSK155" s="3060"/>
      <c r="TSL155" s="3060"/>
      <c r="TSM155" s="3060"/>
      <c r="TSN155" s="3060"/>
      <c r="TSO155" s="3060"/>
      <c r="TSP155" s="3060"/>
      <c r="TSQ155" s="3060"/>
      <c r="TSR155" s="3060"/>
      <c r="TSS155" s="3060"/>
      <c r="TST155" s="3060"/>
      <c r="TSU155" s="3060"/>
      <c r="TSV155" s="3060"/>
      <c r="TSW155" s="3060"/>
      <c r="TSX155" s="3060"/>
      <c r="TSY155" s="3060"/>
      <c r="TSZ155" s="3060"/>
      <c r="TTA155" s="3060"/>
      <c r="TTB155" s="3060"/>
      <c r="TTC155" s="3060"/>
      <c r="TTD155" s="3060"/>
      <c r="TTE155" s="3060"/>
      <c r="TTF155" s="3060"/>
      <c r="TTG155" s="3060"/>
      <c r="TTH155" s="3060"/>
      <c r="TTI155" s="3060"/>
      <c r="TTJ155" s="3060"/>
      <c r="TTK155" s="3060"/>
      <c r="TTL155" s="3060"/>
      <c r="TTM155" s="3060"/>
      <c r="TTN155" s="3060"/>
      <c r="TTO155" s="3060"/>
      <c r="TTP155" s="3060"/>
      <c r="TTQ155" s="3060"/>
      <c r="TTR155" s="3060"/>
      <c r="TTS155" s="3060"/>
      <c r="TTT155" s="3060"/>
      <c r="TTU155" s="3060"/>
      <c r="TTV155" s="3060"/>
      <c r="TTW155" s="3060"/>
      <c r="TTX155" s="3060"/>
      <c r="TTY155" s="3060"/>
      <c r="TTZ155" s="3060"/>
      <c r="TUA155" s="3060"/>
      <c r="TUB155" s="3060"/>
      <c r="TUC155" s="3060"/>
      <c r="TUD155" s="3060"/>
      <c r="TUE155" s="3060"/>
      <c r="TUF155" s="3060"/>
      <c r="TUG155" s="3060"/>
      <c r="TUH155" s="3060"/>
      <c r="TUI155" s="3060"/>
      <c r="TUJ155" s="3060"/>
      <c r="TUK155" s="3060"/>
      <c r="TUL155" s="3060"/>
      <c r="TUM155" s="3060"/>
      <c r="TUN155" s="3060"/>
      <c r="TUO155" s="3060"/>
      <c r="TUP155" s="3060"/>
      <c r="TUQ155" s="3060"/>
      <c r="TUR155" s="3060"/>
      <c r="TUS155" s="3060"/>
      <c r="TUT155" s="3060"/>
      <c r="TUU155" s="3060"/>
      <c r="TUV155" s="3060"/>
      <c r="TUW155" s="3060"/>
      <c r="TUX155" s="3060"/>
      <c r="TUY155" s="3060"/>
      <c r="TUZ155" s="3060"/>
      <c r="TVA155" s="3060"/>
      <c r="TVB155" s="3060"/>
      <c r="TVC155" s="3060"/>
      <c r="TVD155" s="3060"/>
      <c r="TVE155" s="3060"/>
      <c r="TVF155" s="3060"/>
      <c r="TVG155" s="3060"/>
      <c r="TVH155" s="3060"/>
      <c r="TVI155" s="3060"/>
      <c r="TVJ155" s="3060"/>
      <c r="TVK155" s="3060"/>
      <c r="TVL155" s="3060"/>
      <c r="TVM155" s="3060"/>
      <c r="TVN155" s="3060"/>
      <c r="TVO155" s="3060"/>
      <c r="TVP155" s="3060"/>
      <c r="TVQ155" s="3060"/>
      <c r="TVR155" s="3060"/>
      <c r="TVS155" s="3060"/>
      <c r="TVT155" s="3060"/>
      <c r="TVU155" s="3060"/>
      <c r="TVV155" s="3060"/>
      <c r="TVW155" s="3060"/>
      <c r="TVX155" s="3060"/>
      <c r="TVY155" s="3060"/>
      <c r="TVZ155" s="3060"/>
      <c r="TWA155" s="3060"/>
      <c r="TWB155" s="3060"/>
      <c r="TWC155" s="3060"/>
      <c r="TWD155" s="3060"/>
      <c r="TWE155" s="3060"/>
      <c r="TWF155" s="3060"/>
      <c r="TWG155" s="3060"/>
      <c r="TWH155" s="3060"/>
      <c r="TWI155" s="3060"/>
      <c r="TWJ155" s="3060"/>
      <c r="TWK155" s="3060"/>
      <c r="TWL155" s="3060"/>
      <c r="TWM155" s="3060"/>
      <c r="TWN155" s="3060"/>
      <c r="TWO155" s="3060"/>
      <c r="TWP155" s="3060"/>
      <c r="TWQ155" s="3060"/>
      <c r="TWR155" s="3060"/>
      <c r="TWS155" s="3060"/>
      <c r="TWT155" s="3060"/>
      <c r="TWU155" s="3060"/>
      <c r="TWV155" s="3060"/>
      <c r="TWW155" s="3060"/>
      <c r="TWX155" s="3060"/>
      <c r="TWY155" s="3060"/>
      <c r="TWZ155" s="3060"/>
      <c r="TXA155" s="3060"/>
      <c r="TXB155" s="3060"/>
      <c r="TXC155" s="3060"/>
      <c r="TXD155" s="3060"/>
      <c r="TXE155" s="3060"/>
      <c r="TXF155" s="3060"/>
      <c r="TXG155" s="3060"/>
      <c r="TXH155" s="3060"/>
      <c r="TXI155" s="3060"/>
      <c r="TXJ155" s="3060"/>
      <c r="TXK155" s="3060"/>
      <c r="TXL155" s="3060"/>
      <c r="TXM155" s="3060"/>
      <c r="TXN155" s="3060"/>
      <c r="TXO155" s="3060"/>
      <c r="TXP155" s="3060"/>
      <c r="TXQ155" s="3060"/>
      <c r="TXR155" s="3060"/>
      <c r="TXS155" s="3060"/>
      <c r="TXT155" s="3060"/>
      <c r="TXU155" s="3060"/>
      <c r="TXV155" s="3060"/>
      <c r="TXW155" s="3060"/>
      <c r="TXX155" s="3060"/>
      <c r="TXY155" s="3060"/>
      <c r="TXZ155" s="3060"/>
      <c r="TYA155" s="3060"/>
      <c r="TYB155" s="3060"/>
      <c r="TYC155" s="3060"/>
      <c r="TYD155" s="3060"/>
      <c r="TYE155" s="3060"/>
      <c r="TYF155" s="3060"/>
      <c r="TYG155" s="3060"/>
      <c r="TYH155" s="3060"/>
      <c r="TYI155" s="3060"/>
      <c r="TYJ155" s="3060"/>
      <c r="TYK155" s="3060"/>
      <c r="TYL155" s="3060"/>
      <c r="TYM155" s="3060"/>
      <c r="TYN155" s="3060"/>
      <c r="TYO155" s="3060"/>
      <c r="TYP155" s="3060"/>
      <c r="TYQ155" s="3060"/>
      <c r="TYR155" s="3060"/>
      <c r="TYS155" s="3060"/>
      <c r="TYT155" s="3060"/>
      <c r="TYU155" s="3060"/>
      <c r="TYV155" s="3060"/>
      <c r="TYW155" s="3060"/>
      <c r="TYX155" s="3060"/>
      <c r="TYY155" s="3060"/>
      <c r="TYZ155" s="3060"/>
      <c r="TZA155" s="3060"/>
      <c r="TZB155" s="3060"/>
      <c r="TZC155" s="3060"/>
      <c r="TZD155" s="3060"/>
      <c r="TZE155" s="3060"/>
      <c r="TZF155" s="3060"/>
      <c r="TZG155" s="3060"/>
      <c r="TZH155" s="3060"/>
      <c r="TZI155" s="3060"/>
      <c r="TZJ155" s="3060"/>
      <c r="TZK155" s="3060"/>
      <c r="TZL155" s="3060"/>
      <c r="TZM155" s="3060"/>
      <c r="TZN155" s="3060"/>
      <c r="TZO155" s="3060"/>
      <c r="TZP155" s="3060"/>
      <c r="TZQ155" s="3060"/>
      <c r="TZR155" s="3060"/>
      <c r="TZS155" s="3060"/>
      <c r="TZT155" s="3060"/>
      <c r="TZU155" s="3060"/>
      <c r="TZV155" s="3060"/>
      <c r="TZW155" s="3060"/>
      <c r="TZX155" s="3060"/>
      <c r="TZY155" s="3060"/>
      <c r="TZZ155" s="3060"/>
      <c r="UAA155" s="3060"/>
      <c r="UAB155" s="3060"/>
      <c r="UAC155" s="3060"/>
      <c r="UAD155" s="3060"/>
      <c r="UAE155" s="3060"/>
      <c r="UAF155" s="3060"/>
      <c r="UAG155" s="3060"/>
      <c r="UAH155" s="3060"/>
      <c r="UAI155" s="3060"/>
      <c r="UAJ155" s="3060"/>
      <c r="UAK155" s="3060"/>
      <c r="UAL155" s="3060"/>
      <c r="UAM155" s="3060"/>
      <c r="UAN155" s="3060"/>
      <c r="UAO155" s="3060"/>
      <c r="UAP155" s="3060"/>
      <c r="UAQ155" s="3060"/>
      <c r="UAR155" s="3060"/>
      <c r="UAS155" s="3060"/>
      <c r="UAT155" s="3060"/>
      <c r="UAU155" s="3060"/>
      <c r="UAV155" s="3060"/>
      <c r="UAW155" s="3060"/>
      <c r="UAX155" s="3060"/>
      <c r="UAY155" s="3060"/>
      <c r="UAZ155" s="3060"/>
      <c r="UBA155" s="3060"/>
      <c r="UBB155" s="3060"/>
      <c r="UBC155" s="3060"/>
      <c r="UBD155" s="3060"/>
      <c r="UBE155" s="3060"/>
      <c r="UBF155" s="3060"/>
      <c r="UBG155" s="3060"/>
      <c r="UBH155" s="3060"/>
      <c r="UBI155" s="3060"/>
      <c r="UBJ155" s="3060"/>
      <c r="UBK155" s="3060"/>
      <c r="UBL155" s="3060"/>
      <c r="UBM155" s="3060"/>
      <c r="UBN155" s="3060"/>
      <c r="UBO155" s="3060"/>
      <c r="UBP155" s="3060"/>
      <c r="UBQ155" s="3060"/>
      <c r="UBR155" s="3060"/>
      <c r="UBS155" s="3060"/>
      <c r="UBT155" s="3060"/>
      <c r="UBU155" s="3060"/>
      <c r="UBV155" s="3060"/>
      <c r="UBW155" s="3060"/>
      <c r="UBX155" s="3060"/>
      <c r="UBY155" s="3060"/>
      <c r="UBZ155" s="3060"/>
      <c r="UCA155" s="3060"/>
      <c r="UCB155" s="3060"/>
      <c r="UCC155" s="3060"/>
      <c r="UCD155" s="3060"/>
      <c r="UCE155" s="3060"/>
      <c r="UCF155" s="3060"/>
      <c r="UCG155" s="3060"/>
      <c r="UCH155" s="3060"/>
      <c r="UCI155" s="3060"/>
      <c r="UCJ155" s="3060"/>
      <c r="UCK155" s="3060"/>
      <c r="UCL155" s="3060"/>
      <c r="UCM155" s="3060"/>
      <c r="UCN155" s="3060"/>
      <c r="UCO155" s="3060"/>
      <c r="UCP155" s="3060"/>
      <c r="UCQ155" s="3060"/>
      <c r="UCR155" s="3060"/>
      <c r="UCS155" s="3060"/>
      <c r="UCT155" s="3060"/>
      <c r="UCU155" s="3060"/>
      <c r="UCV155" s="3060"/>
      <c r="UCW155" s="3060"/>
      <c r="UCX155" s="3060"/>
      <c r="UCY155" s="3060"/>
      <c r="UCZ155" s="3060"/>
      <c r="UDA155" s="3060"/>
      <c r="UDB155" s="3060"/>
      <c r="UDC155" s="3060"/>
      <c r="UDD155" s="3060"/>
      <c r="UDE155" s="3060"/>
      <c r="UDF155" s="3060"/>
      <c r="UDG155" s="3060"/>
      <c r="UDH155" s="3060"/>
      <c r="UDI155" s="3060"/>
      <c r="UDJ155" s="3060"/>
      <c r="UDK155" s="3060"/>
      <c r="UDL155" s="3060"/>
      <c r="UDM155" s="3060"/>
      <c r="UDN155" s="3060"/>
      <c r="UDO155" s="3060"/>
      <c r="UDP155" s="3060"/>
      <c r="UDQ155" s="3060"/>
      <c r="UDR155" s="3060"/>
      <c r="UDS155" s="3060"/>
      <c r="UDT155" s="3060"/>
      <c r="UDU155" s="3060"/>
      <c r="UDV155" s="3060"/>
      <c r="UDW155" s="3060"/>
      <c r="UDX155" s="3060"/>
      <c r="UDY155" s="3060"/>
      <c r="UDZ155" s="3060"/>
      <c r="UEA155" s="3060"/>
      <c r="UEB155" s="3060"/>
      <c r="UEC155" s="3060"/>
      <c r="UED155" s="3060"/>
      <c r="UEE155" s="3060"/>
      <c r="UEF155" s="3060"/>
      <c r="UEG155" s="3060"/>
      <c r="UEH155" s="3060"/>
      <c r="UEI155" s="3060"/>
      <c r="UEJ155" s="3060"/>
      <c r="UEK155" s="3060"/>
      <c r="UEL155" s="3060"/>
      <c r="UEM155" s="3060"/>
      <c r="UEN155" s="3060"/>
      <c r="UEO155" s="3060"/>
      <c r="UEP155" s="3060"/>
      <c r="UEQ155" s="3060"/>
      <c r="UER155" s="3060"/>
      <c r="UES155" s="3060"/>
      <c r="UET155" s="3060"/>
      <c r="UEU155" s="3060"/>
      <c r="UEV155" s="3060"/>
      <c r="UEW155" s="3060"/>
      <c r="UEX155" s="3060"/>
      <c r="UEY155" s="3060"/>
      <c r="UEZ155" s="3060"/>
      <c r="UFA155" s="3060"/>
      <c r="UFB155" s="3060"/>
      <c r="UFC155" s="3060"/>
      <c r="UFD155" s="3060"/>
      <c r="UFE155" s="3060"/>
      <c r="UFF155" s="3060"/>
      <c r="UFG155" s="3060"/>
      <c r="UFH155" s="3060"/>
      <c r="UFI155" s="3060"/>
      <c r="UFJ155" s="3060"/>
      <c r="UFK155" s="3060"/>
      <c r="UFL155" s="3060"/>
      <c r="UFM155" s="3060"/>
      <c r="UFN155" s="3060"/>
      <c r="UFO155" s="3060"/>
      <c r="UFP155" s="3060"/>
      <c r="UFQ155" s="3060"/>
      <c r="UFR155" s="3060"/>
      <c r="UFS155" s="3060"/>
      <c r="UFT155" s="3060"/>
      <c r="UFU155" s="3060"/>
      <c r="UFV155" s="3060"/>
      <c r="UFW155" s="3060"/>
      <c r="UFX155" s="3060"/>
      <c r="UFY155" s="3060"/>
      <c r="UFZ155" s="3060"/>
      <c r="UGA155" s="3060"/>
      <c r="UGB155" s="3060"/>
      <c r="UGC155" s="3060"/>
      <c r="UGD155" s="3060"/>
      <c r="UGE155" s="3060"/>
      <c r="UGF155" s="3060"/>
      <c r="UGG155" s="3060"/>
      <c r="UGH155" s="3060"/>
      <c r="UGI155" s="3060"/>
      <c r="UGJ155" s="3060"/>
      <c r="UGK155" s="3060"/>
      <c r="UGL155" s="3060"/>
      <c r="UGM155" s="3060"/>
      <c r="UGN155" s="3060"/>
      <c r="UGO155" s="3060"/>
      <c r="UGP155" s="3060"/>
      <c r="UGQ155" s="3060"/>
      <c r="UGR155" s="3060"/>
      <c r="UGS155" s="3060"/>
      <c r="UGT155" s="3060"/>
      <c r="UGU155" s="3060"/>
      <c r="UGV155" s="3060"/>
      <c r="UGW155" s="3060"/>
      <c r="UGX155" s="3060"/>
      <c r="UGY155" s="3060"/>
      <c r="UGZ155" s="3060"/>
      <c r="UHA155" s="3060"/>
      <c r="UHB155" s="3060"/>
      <c r="UHC155" s="3060"/>
      <c r="UHD155" s="3060"/>
      <c r="UHE155" s="3060"/>
      <c r="UHF155" s="3060"/>
      <c r="UHG155" s="3060"/>
      <c r="UHH155" s="3060"/>
      <c r="UHI155" s="3060"/>
      <c r="UHJ155" s="3060"/>
      <c r="UHK155" s="3060"/>
      <c r="UHL155" s="3060"/>
      <c r="UHM155" s="3060"/>
      <c r="UHN155" s="3060"/>
      <c r="UHO155" s="3060"/>
      <c r="UHP155" s="3060"/>
      <c r="UHQ155" s="3060"/>
      <c r="UHR155" s="3060"/>
      <c r="UHS155" s="3060"/>
      <c r="UHT155" s="3060"/>
      <c r="UHU155" s="3060"/>
      <c r="UHV155" s="3060"/>
      <c r="UHW155" s="3060"/>
      <c r="UHX155" s="3060"/>
      <c r="UHY155" s="3060"/>
      <c r="UHZ155" s="3060"/>
      <c r="UIA155" s="3060"/>
      <c r="UIB155" s="3060"/>
      <c r="UIC155" s="3060"/>
      <c r="UID155" s="3060"/>
      <c r="UIE155" s="3060"/>
      <c r="UIF155" s="3060"/>
      <c r="UIG155" s="3060"/>
      <c r="UIH155" s="3060"/>
      <c r="UII155" s="3060"/>
      <c r="UIJ155" s="3060"/>
      <c r="UIK155" s="3060"/>
      <c r="UIL155" s="3060"/>
      <c r="UIM155" s="3060"/>
      <c r="UIN155" s="3060"/>
      <c r="UIO155" s="3060"/>
      <c r="UIP155" s="3060"/>
      <c r="UIQ155" s="3060"/>
      <c r="UIR155" s="3060"/>
      <c r="UIS155" s="3060"/>
      <c r="UIT155" s="3060"/>
      <c r="UIU155" s="3060"/>
      <c r="UIV155" s="3060"/>
      <c r="UIW155" s="3060"/>
      <c r="UIX155" s="3060"/>
      <c r="UIY155" s="3060"/>
      <c r="UIZ155" s="3060"/>
      <c r="UJA155" s="3060"/>
      <c r="UJB155" s="3060"/>
      <c r="UJC155" s="3060"/>
      <c r="UJD155" s="3060"/>
      <c r="UJE155" s="3060"/>
      <c r="UJF155" s="3060"/>
      <c r="UJG155" s="3060"/>
      <c r="UJH155" s="3060"/>
      <c r="UJI155" s="3060"/>
      <c r="UJJ155" s="3060"/>
      <c r="UJK155" s="3060"/>
      <c r="UJL155" s="3060"/>
      <c r="UJM155" s="3060"/>
      <c r="UJN155" s="3060"/>
      <c r="UJO155" s="3060"/>
      <c r="UJP155" s="3060"/>
      <c r="UJQ155" s="3060"/>
      <c r="UJR155" s="3060"/>
      <c r="UJS155" s="3060"/>
      <c r="UJT155" s="3060"/>
      <c r="UJU155" s="3060"/>
      <c r="UJV155" s="3060"/>
      <c r="UJW155" s="3060"/>
      <c r="UJX155" s="3060"/>
      <c r="UJY155" s="3060"/>
      <c r="UJZ155" s="3060"/>
      <c r="UKA155" s="3060"/>
      <c r="UKB155" s="3060"/>
      <c r="UKC155" s="3060"/>
      <c r="UKD155" s="3060"/>
      <c r="UKE155" s="3060"/>
      <c r="UKF155" s="3060"/>
      <c r="UKG155" s="3060"/>
      <c r="UKH155" s="3060"/>
      <c r="UKI155" s="3060"/>
      <c r="UKJ155" s="3060"/>
      <c r="UKK155" s="3060"/>
      <c r="UKL155" s="3060"/>
      <c r="UKM155" s="3060"/>
      <c r="UKN155" s="3060"/>
      <c r="UKO155" s="3060"/>
      <c r="UKP155" s="3060"/>
      <c r="UKQ155" s="3060"/>
      <c r="UKR155" s="3060"/>
      <c r="UKS155" s="3060"/>
      <c r="UKT155" s="3060"/>
      <c r="UKU155" s="3060"/>
      <c r="UKV155" s="3060"/>
      <c r="UKW155" s="3060"/>
      <c r="UKX155" s="3060"/>
      <c r="UKY155" s="3060"/>
      <c r="UKZ155" s="3060"/>
      <c r="ULA155" s="3060"/>
      <c r="ULB155" s="3060"/>
      <c r="ULC155" s="3060"/>
      <c r="ULD155" s="3060"/>
      <c r="ULE155" s="3060"/>
      <c r="ULF155" s="3060"/>
      <c r="ULG155" s="3060"/>
      <c r="ULH155" s="3060"/>
      <c r="ULI155" s="3060"/>
      <c r="ULJ155" s="3060"/>
      <c r="ULK155" s="3060"/>
      <c r="ULL155" s="3060"/>
      <c r="ULM155" s="3060"/>
      <c r="ULN155" s="3060"/>
      <c r="ULO155" s="3060"/>
      <c r="ULP155" s="3060"/>
      <c r="ULQ155" s="3060"/>
      <c r="ULR155" s="3060"/>
      <c r="ULS155" s="3060"/>
      <c r="ULT155" s="3060"/>
      <c r="ULU155" s="3060"/>
      <c r="ULV155" s="3060"/>
      <c r="ULW155" s="3060"/>
      <c r="ULX155" s="3060"/>
      <c r="ULY155" s="3060"/>
      <c r="ULZ155" s="3060"/>
      <c r="UMA155" s="3060"/>
      <c r="UMB155" s="3060"/>
      <c r="UMC155" s="3060"/>
      <c r="UMD155" s="3060"/>
      <c r="UME155" s="3060"/>
      <c r="UMF155" s="3060"/>
      <c r="UMG155" s="3060"/>
      <c r="UMH155" s="3060"/>
      <c r="UMI155" s="3060"/>
      <c r="UMJ155" s="3060"/>
      <c r="UMK155" s="3060"/>
      <c r="UML155" s="3060"/>
      <c r="UMM155" s="3060"/>
      <c r="UMN155" s="3060"/>
      <c r="UMO155" s="3060"/>
      <c r="UMP155" s="3060"/>
      <c r="UMQ155" s="3060"/>
      <c r="UMR155" s="3060"/>
      <c r="UMS155" s="3060"/>
      <c r="UMT155" s="3060"/>
      <c r="UMU155" s="3060"/>
      <c r="UMV155" s="3060"/>
      <c r="UMW155" s="3060"/>
      <c r="UMX155" s="3060"/>
      <c r="UMY155" s="3060"/>
      <c r="UMZ155" s="3060"/>
      <c r="UNA155" s="3060"/>
      <c r="UNB155" s="3060"/>
      <c r="UNC155" s="3060"/>
      <c r="UND155" s="3060"/>
      <c r="UNE155" s="3060"/>
      <c r="UNF155" s="3060"/>
      <c r="UNG155" s="3060"/>
      <c r="UNH155" s="3060"/>
      <c r="UNI155" s="3060"/>
      <c r="UNJ155" s="3060"/>
      <c r="UNK155" s="3060"/>
      <c r="UNL155" s="3060"/>
      <c r="UNM155" s="3060"/>
      <c r="UNN155" s="3060"/>
      <c r="UNO155" s="3060"/>
      <c r="UNP155" s="3060"/>
      <c r="UNQ155" s="3060"/>
      <c r="UNR155" s="3060"/>
      <c r="UNS155" s="3060"/>
      <c r="UNT155" s="3060"/>
      <c r="UNU155" s="3060"/>
      <c r="UNV155" s="3060"/>
      <c r="UNW155" s="3060"/>
      <c r="UNX155" s="3060"/>
      <c r="UNY155" s="3060"/>
      <c r="UNZ155" s="3060"/>
      <c r="UOA155" s="3060"/>
      <c r="UOB155" s="3060"/>
      <c r="UOC155" s="3060"/>
      <c r="UOD155" s="3060"/>
      <c r="UOE155" s="3060"/>
      <c r="UOF155" s="3060"/>
      <c r="UOG155" s="3060"/>
      <c r="UOH155" s="3060"/>
      <c r="UOI155" s="3060"/>
      <c r="UOJ155" s="3060"/>
      <c r="UOK155" s="3060"/>
      <c r="UOL155" s="3060"/>
      <c r="UOM155" s="3060"/>
      <c r="UON155" s="3060"/>
      <c r="UOO155" s="3060"/>
      <c r="UOP155" s="3060"/>
      <c r="UOQ155" s="3060"/>
      <c r="UOR155" s="3060"/>
      <c r="UOS155" s="3060"/>
      <c r="UOT155" s="3060"/>
      <c r="UOU155" s="3060"/>
      <c r="UOV155" s="3060"/>
      <c r="UOW155" s="3060"/>
      <c r="UOX155" s="3060"/>
      <c r="UOY155" s="3060"/>
      <c r="UOZ155" s="3060"/>
      <c r="UPA155" s="3060"/>
      <c r="UPB155" s="3060"/>
      <c r="UPC155" s="3060"/>
      <c r="UPD155" s="3060"/>
      <c r="UPE155" s="3060"/>
      <c r="UPF155" s="3060"/>
      <c r="UPG155" s="3060"/>
      <c r="UPH155" s="3060"/>
      <c r="UPI155" s="3060"/>
      <c r="UPJ155" s="3060"/>
      <c r="UPK155" s="3060"/>
      <c r="UPL155" s="3060"/>
      <c r="UPM155" s="3060"/>
      <c r="UPN155" s="3060"/>
      <c r="UPO155" s="3060"/>
      <c r="UPP155" s="3060"/>
      <c r="UPQ155" s="3060"/>
      <c r="UPR155" s="3060"/>
      <c r="UPS155" s="3060"/>
      <c r="UPT155" s="3060"/>
      <c r="UPU155" s="3060"/>
      <c r="UPV155" s="3060"/>
      <c r="UPW155" s="3060"/>
      <c r="UPX155" s="3060"/>
      <c r="UPY155" s="3060"/>
      <c r="UPZ155" s="3060"/>
      <c r="UQA155" s="3060"/>
      <c r="UQB155" s="3060"/>
      <c r="UQC155" s="3060"/>
      <c r="UQD155" s="3060"/>
      <c r="UQE155" s="3060"/>
      <c r="UQF155" s="3060"/>
      <c r="UQG155" s="3060"/>
      <c r="UQH155" s="3060"/>
      <c r="UQI155" s="3060"/>
      <c r="UQJ155" s="3060"/>
      <c r="UQK155" s="3060"/>
      <c r="UQL155" s="3060"/>
      <c r="UQM155" s="3060"/>
      <c r="UQN155" s="3060"/>
      <c r="UQO155" s="3060"/>
      <c r="UQP155" s="3060"/>
      <c r="UQQ155" s="3060"/>
      <c r="UQR155" s="3060"/>
      <c r="UQS155" s="3060"/>
      <c r="UQT155" s="3060"/>
      <c r="UQU155" s="3060"/>
      <c r="UQV155" s="3060"/>
      <c r="UQW155" s="3060"/>
      <c r="UQX155" s="3060"/>
      <c r="UQY155" s="3060"/>
      <c r="UQZ155" s="3060"/>
      <c r="URA155" s="3060"/>
      <c r="URB155" s="3060"/>
      <c r="URC155" s="3060"/>
      <c r="URD155" s="3060"/>
      <c r="URE155" s="3060"/>
      <c r="URF155" s="3060"/>
      <c r="URG155" s="3060"/>
      <c r="URH155" s="3060"/>
      <c r="URI155" s="3060"/>
      <c r="URJ155" s="3060"/>
      <c r="URK155" s="3060"/>
      <c r="URL155" s="3060"/>
      <c r="URM155" s="3060"/>
      <c r="URN155" s="3060"/>
      <c r="URO155" s="3060"/>
      <c r="URP155" s="3060"/>
      <c r="URQ155" s="3060"/>
      <c r="URR155" s="3060"/>
      <c r="URS155" s="3060"/>
      <c r="URT155" s="3060"/>
      <c r="URU155" s="3060"/>
      <c r="URV155" s="3060"/>
      <c r="URW155" s="3060"/>
      <c r="URX155" s="3060"/>
      <c r="URY155" s="3060"/>
      <c r="URZ155" s="3060"/>
      <c r="USA155" s="3060"/>
      <c r="USB155" s="3060"/>
      <c r="USC155" s="3060"/>
      <c r="USD155" s="3060"/>
      <c r="USE155" s="3060"/>
      <c r="USF155" s="3060"/>
      <c r="USG155" s="3060"/>
      <c r="USH155" s="3060"/>
      <c r="USI155" s="3060"/>
      <c r="USJ155" s="3060"/>
      <c r="USK155" s="3060"/>
      <c r="USL155" s="3060"/>
      <c r="USM155" s="3060"/>
      <c r="USN155" s="3060"/>
      <c r="USO155" s="3060"/>
      <c r="USP155" s="3060"/>
      <c r="USQ155" s="3060"/>
      <c r="USR155" s="3060"/>
      <c r="USS155" s="3060"/>
      <c r="UST155" s="3060"/>
      <c r="USU155" s="3060"/>
      <c r="USV155" s="3060"/>
      <c r="USW155" s="3060"/>
      <c r="USX155" s="3060"/>
      <c r="USY155" s="3060"/>
      <c r="USZ155" s="3060"/>
      <c r="UTA155" s="3060"/>
      <c r="UTB155" s="3060"/>
      <c r="UTC155" s="3060"/>
      <c r="UTD155" s="3060"/>
      <c r="UTE155" s="3060"/>
      <c r="UTF155" s="3060"/>
      <c r="UTG155" s="3060"/>
      <c r="UTH155" s="3060"/>
      <c r="UTI155" s="3060"/>
      <c r="UTJ155" s="3060"/>
      <c r="UTK155" s="3060"/>
      <c r="UTL155" s="3060"/>
      <c r="UTM155" s="3060"/>
      <c r="UTN155" s="3060"/>
      <c r="UTO155" s="3060"/>
      <c r="UTP155" s="3060"/>
      <c r="UTQ155" s="3060"/>
      <c r="UTR155" s="3060"/>
      <c r="UTS155" s="3060"/>
      <c r="UTT155" s="3060"/>
      <c r="UTU155" s="3060"/>
      <c r="UTV155" s="3060"/>
      <c r="UTW155" s="3060"/>
      <c r="UTX155" s="3060"/>
      <c r="UTY155" s="3060"/>
      <c r="UTZ155" s="3060"/>
      <c r="UUA155" s="3060"/>
      <c r="UUB155" s="3060"/>
      <c r="UUC155" s="3060"/>
      <c r="UUD155" s="3060"/>
      <c r="UUE155" s="3060"/>
      <c r="UUF155" s="3060"/>
      <c r="UUG155" s="3060"/>
      <c r="UUH155" s="3060"/>
      <c r="UUI155" s="3060"/>
      <c r="UUJ155" s="3060"/>
      <c r="UUK155" s="3060"/>
      <c r="UUL155" s="3060"/>
      <c r="UUM155" s="3060"/>
      <c r="UUN155" s="3060"/>
      <c r="UUO155" s="3060"/>
      <c r="UUP155" s="3060"/>
      <c r="UUQ155" s="3060"/>
      <c r="UUR155" s="3060"/>
      <c r="UUS155" s="3060"/>
      <c r="UUT155" s="3060"/>
      <c r="UUU155" s="3060"/>
      <c r="UUV155" s="3060"/>
      <c r="UUW155" s="3060"/>
      <c r="UUX155" s="3060"/>
      <c r="UUY155" s="3060"/>
      <c r="UUZ155" s="3060"/>
      <c r="UVA155" s="3060"/>
      <c r="UVB155" s="3060"/>
      <c r="UVC155" s="3060"/>
      <c r="UVD155" s="3060"/>
      <c r="UVE155" s="3060"/>
      <c r="UVF155" s="3060"/>
      <c r="UVG155" s="3060"/>
      <c r="UVH155" s="3060"/>
      <c r="UVI155" s="3060"/>
      <c r="UVJ155" s="3060"/>
      <c r="UVK155" s="3060"/>
      <c r="UVL155" s="3060"/>
      <c r="UVM155" s="3060"/>
      <c r="UVN155" s="3060"/>
      <c r="UVO155" s="3060"/>
      <c r="UVP155" s="3060"/>
      <c r="UVQ155" s="3060"/>
      <c r="UVR155" s="3060"/>
      <c r="UVS155" s="3060"/>
      <c r="UVT155" s="3060"/>
      <c r="UVU155" s="3060"/>
      <c r="UVV155" s="3060"/>
      <c r="UVW155" s="3060"/>
      <c r="UVX155" s="3060"/>
      <c r="UVY155" s="3060"/>
      <c r="UVZ155" s="3060"/>
      <c r="UWA155" s="3060"/>
      <c r="UWB155" s="3060"/>
      <c r="UWC155" s="3060"/>
      <c r="UWD155" s="3060"/>
      <c r="UWE155" s="3060"/>
      <c r="UWF155" s="3060"/>
      <c r="UWG155" s="3060"/>
      <c r="UWH155" s="3060"/>
      <c r="UWI155" s="3060"/>
      <c r="UWJ155" s="3060"/>
      <c r="UWK155" s="3060"/>
      <c r="UWL155" s="3060"/>
      <c r="UWM155" s="3060"/>
      <c r="UWN155" s="3060"/>
      <c r="UWO155" s="3060"/>
      <c r="UWP155" s="3060"/>
      <c r="UWQ155" s="3060"/>
      <c r="UWR155" s="3060"/>
      <c r="UWS155" s="3060"/>
      <c r="UWT155" s="3060"/>
      <c r="UWU155" s="3060"/>
      <c r="UWV155" s="3060"/>
      <c r="UWW155" s="3060"/>
      <c r="UWX155" s="3060"/>
      <c r="UWY155" s="3060"/>
      <c r="UWZ155" s="3060"/>
      <c r="UXA155" s="3060"/>
      <c r="UXB155" s="3060"/>
      <c r="UXC155" s="3060"/>
      <c r="UXD155" s="3060"/>
      <c r="UXE155" s="3060"/>
      <c r="UXF155" s="3060"/>
      <c r="UXG155" s="3060"/>
      <c r="UXH155" s="3060"/>
      <c r="UXI155" s="3060"/>
      <c r="UXJ155" s="3060"/>
      <c r="UXK155" s="3060"/>
      <c r="UXL155" s="3060"/>
      <c r="UXM155" s="3060"/>
      <c r="UXN155" s="3060"/>
      <c r="UXO155" s="3060"/>
      <c r="UXP155" s="3060"/>
      <c r="UXQ155" s="3060"/>
      <c r="UXR155" s="3060"/>
      <c r="UXS155" s="3060"/>
      <c r="UXT155" s="3060"/>
      <c r="UXU155" s="3060"/>
      <c r="UXV155" s="3060"/>
      <c r="UXW155" s="3060"/>
      <c r="UXX155" s="3060"/>
      <c r="UXY155" s="3060"/>
      <c r="UXZ155" s="3060"/>
      <c r="UYA155" s="3060"/>
      <c r="UYB155" s="3060"/>
      <c r="UYC155" s="3060"/>
      <c r="UYD155" s="3060"/>
      <c r="UYE155" s="3060"/>
      <c r="UYF155" s="3060"/>
      <c r="UYG155" s="3060"/>
      <c r="UYH155" s="3060"/>
      <c r="UYI155" s="3060"/>
      <c r="UYJ155" s="3060"/>
      <c r="UYK155" s="3060"/>
      <c r="UYL155" s="3060"/>
      <c r="UYM155" s="3060"/>
      <c r="UYN155" s="3060"/>
      <c r="UYO155" s="3060"/>
      <c r="UYP155" s="3060"/>
      <c r="UYQ155" s="3060"/>
      <c r="UYR155" s="3060"/>
      <c r="UYS155" s="3060"/>
      <c r="UYT155" s="3060"/>
      <c r="UYU155" s="3060"/>
      <c r="UYV155" s="3060"/>
      <c r="UYW155" s="3060"/>
      <c r="UYX155" s="3060"/>
      <c r="UYY155" s="3060"/>
      <c r="UYZ155" s="3060"/>
      <c r="UZA155" s="3060"/>
      <c r="UZB155" s="3060"/>
      <c r="UZC155" s="3060"/>
      <c r="UZD155" s="3060"/>
      <c r="UZE155" s="3060"/>
      <c r="UZF155" s="3060"/>
      <c r="UZG155" s="3060"/>
      <c r="UZH155" s="3060"/>
      <c r="UZI155" s="3060"/>
      <c r="UZJ155" s="3060"/>
      <c r="UZK155" s="3060"/>
      <c r="UZL155" s="3060"/>
      <c r="UZM155" s="3060"/>
      <c r="UZN155" s="3060"/>
      <c r="UZO155" s="3060"/>
      <c r="UZP155" s="3060"/>
      <c r="UZQ155" s="3060"/>
      <c r="UZR155" s="3060"/>
      <c r="UZS155" s="3060"/>
      <c r="UZT155" s="3060"/>
      <c r="UZU155" s="3060"/>
      <c r="UZV155" s="3060"/>
      <c r="UZW155" s="3060"/>
      <c r="UZX155" s="3060"/>
      <c r="UZY155" s="3060"/>
      <c r="UZZ155" s="3060"/>
      <c r="VAA155" s="3060"/>
      <c r="VAB155" s="3060"/>
      <c r="VAC155" s="3060"/>
      <c r="VAD155" s="3060"/>
      <c r="VAE155" s="3060"/>
      <c r="VAF155" s="3060"/>
      <c r="VAG155" s="3060"/>
      <c r="VAH155" s="3060"/>
      <c r="VAI155" s="3060"/>
      <c r="VAJ155" s="3060"/>
      <c r="VAK155" s="3060"/>
      <c r="VAL155" s="3060"/>
      <c r="VAM155" s="3060"/>
      <c r="VAN155" s="3060"/>
      <c r="VAO155" s="3060"/>
      <c r="VAP155" s="3060"/>
      <c r="VAQ155" s="3060"/>
      <c r="VAR155" s="3060"/>
      <c r="VAS155" s="3060"/>
      <c r="VAT155" s="3060"/>
      <c r="VAU155" s="3060"/>
      <c r="VAV155" s="3060"/>
      <c r="VAW155" s="3060"/>
      <c r="VAX155" s="3060"/>
      <c r="VAY155" s="3060"/>
      <c r="VAZ155" s="3060"/>
      <c r="VBA155" s="3060"/>
      <c r="VBB155" s="3060"/>
      <c r="VBC155" s="3060"/>
      <c r="VBD155" s="3060"/>
      <c r="VBE155" s="3060"/>
      <c r="VBF155" s="3060"/>
      <c r="VBG155" s="3060"/>
      <c r="VBH155" s="3060"/>
      <c r="VBI155" s="3060"/>
      <c r="VBJ155" s="3060"/>
      <c r="VBK155" s="3060"/>
      <c r="VBL155" s="3060"/>
      <c r="VBM155" s="3060"/>
      <c r="VBN155" s="3060"/>
      <c r="VBO155" s="3060"/>
      <c r="VBP155" s="3060"/>
      <c r="VBQ155" s="3060"/>
      <c r="VBR155" s="3060"/>
      <c r="VBS155" s="3060"/>
      <c r="VBT155" s="3060"/>
      <c r="VBU155" s="3060"/>
      <c r="VBV155" s="3060"/>
      <c r="VBW155" s="3060"/>
      <c r="VBX155" s="3060"/>
      <c r="VBY155" s="3060"/>
      <c r="VBZ155" s="3060"/>
      <c r="VCA155" s="3060"/>
      <c r="VCB155" s="3060"/>
      <c r="VCC155" s="3060"/>
      <c r="VCD155" s="3060"/>
      <c r="VCE155" s="3060"/>
      <c r="VCF155" s="3060"/>
      <c r="VCG155" s="3060"/>
      <c r="VCH155" s="3060"/>
      <c r="VCI155" s="3060"/>
      <c r="VCJ155" s="3060"/>
      <c r="VCK155" s="3060"/>
      <c r="VCL155" s="3060"/>
      <c r="VCM155" s="3060"/>
      <c r="VCN155" s="3060"/>
      <c r="VCO155" s="3060"/>
      <c r="VCP155" s="3060"/>
      <c r="VCQ155" s="3060"/>
      <c r="VCR155" s="3060"/>
      <c r="VCS155" s="3060"/>
      <c r="VCT155" s="3060"/>
      <c r="VCU155" s="3060"/>
      <c r="VCV155" s="3060"/>
      <c r="VCW155" s="3060"/>
      <c r="VCX155" s="3060"/>
      <c r="VCY155" s="3060"/>
      <c r="VCZ155" s="3060"/>
      <c r="VDA155" s="3060"/>
      <c r="VDB155" s="3060"/>
      <c r="VDC155" s="3060"/>
      <c r="VDD155" s="3060"/>
      <c r="VDE155" s="3060"/>
      <c r="VDF155" s="3060"/>
      <c r="VDG155" s="3060"/>
      <c r="VDH155" s="3060"/>
      <c r="VDI155" s="3060"/>
      <c r="VDJ155" s="3060"/>
      <c r="VDK155" s="3060"/>
      <c r="VDL155" s="3060"/>
      <c r="VDM155" s="3060"/>
      <c r="VDN155" s="3060"/>
      <c r="VDO155" s="3060"/>
      <c r="VDP155" s="3060"/>
      <c r="VDQ155" s="3060"/>
      <c r="VDR155" s="3060"/>
      <c r="VDS155" s="3060"/>
      <c r="VDT155" s="3060"/>
      <c r="VDU155" s="3060"/>
      <c r="VDV155" s="3060"/>
      <c r="VDW155" s="3060"/>
      <c r="VDX155" s="3060"/>
      <c r="VDY155" s="3060"/>
      <c r="VDZ155" s="3060"/>
      <c r="VEA155" s="3060"/>
      <c r="VEB155" s="3060"/>
      <c r="VEC155" s="3060"/>
      <c r="VED155" s="3060"/>
      <c r="VEE155" s="3060"/>
      <c r="VEF155" s="3060"/>
      <c r="VEG155" s="3060"/>
      <c r="VEH155" s="3060"/>
      <c r="VEI155" s="3060"/>
      <c r="VEJ155" s="3060"/>
      <c r="VEK155" s="3060"/>
      <c r="VEL155" s="3060"/>
      <c r="VEM155" s="3060"/>
      <c r="VEN155" s="3060"/>
      <c r="VEO155" s="3060"/>
      <c r="VEP155" s="3060"/>
      <c r="VEQ155" s="3060"/>
      <c r="VER155" s="3060"/>
      <c r="VES155" s="3060"/>
      <c r="VET155" s="3060"/>
      <c r="VEU155" s="3060"/>
      <c r="VEV155" s="3060"/>
      <c r="VEW155" s="3060"/>
      <c r="VEX155" s="3060"/>
      <c r="VEY155" s="3060"/>
      <c r="VEZ155" s="3060"/>
      <c r="VFA155" s="3060"/>
      <c r="VFB155" s="3060"/>
      <c r="VFC155" s="3060"/>
      <c r="VFD155" s="3060"/>
      <c r="VFE155" s="3060"/>
      <c r="VFF155" s="3060"/>
      <c r="VFG155" s="3060"/>
      <c r="VFH155" s="3060"/>
      <c r="VFI155" s="3060"/>
      <c r="VFJ155" s="3060"/>
      <c r="VFK155" s="3060"/>
      <c r="VFL155" s="3060"/>
      <c r="VFM155" s="3060"/>
      <c r="VFN155" s="3060"/>
      <c r="VFO155" s="3060"/>
      <c r="VFP155" s="3060"/>
      <c r="VFQ155" s="3060"/>
      <c r="VFR155" s="3060"/>
      <c r="VFS155" s="3060"/>
      <c r="VFT155" s="3060"/>
      <c r="VFU155" s="3060"/>
      <c r="VFV155" s="3060"/>
      <c r="VFW155" s="3060"/>
      <c r="VFX155" s="3060"/>
      <c r="VFY155" s="3060"/>
      <c r="VFZ155" s="3060"/>
      <c r="VGA155" s="3060"/>
      <c r="VGB155" s="3060"/>
      <c r="VGC155" s="3060"/>
      <c r="VGD155" s="3060"/>
      <c r="VGE155" s="3060"/>
      <c r="VGF155" s="3060"/>
      <c r="VGG155" s="3060"/>
      <c r="VGH155" s="3060"/>
      <c r="VGI155" s="3060"/>
      <c r="VGJ155" s="3060"/>
      <c r="VGK155" s="3060"/>
      <c r="VGL155" s="3060"/>
      <c r="VGM155" s="3060"/>
      <c r="VGN155" s="3060"/>
      <c r="VGO155" s="3060"/>
      <c r="VGP155" s="3060"/>
      <c r="VGQ155" s="3060"/>
      <c r="VGR155" s="3060"/>
      <c r="VGS155" s="3060"/>
      <c r="VGT155" s="3060"/>
      <c r="VGU155" s="3060"/>
      <c r="VGV155" s="3060"/>
      <c r="VGW155" s="3060"/>
      <c r="VGX155" s="3060"/>
      <c r="VGY155" s="3060"/>
      <c r="VGZ155" s="3060"/>
      <c r="VHA155" s="3060"/>
      <c r="VHB155" s="3060"/>
      <c r="VHC155" s="3060"/>
      <c r="VHD155" s="3060"/>
      <c r="VHE155" s="3060"/>
      <c r="VHF155" s="3060"/>
      <c r="VHG155" s="3060"/>
      <c r="VHH155" s="3060"/>
      <c r="VHI155" s="3060"/>
      <c r="VHJ155" s="3060"/>
      <c r="VHK155" s="3060"/>
      <c r="VHL155" s="3060"/>
      <c r="VHM155" s="3060"/>
      <c r="VHN155" s="3060"/>
      <c r="VHO155" s="3060"/>
      <c r="VHP155" s="3060"/>
      <c r="VHQ155" s="3060"/>
      <c r="VHR155" s="3060"/>
      <c r="VHS155" s="3060"/>
      <c r="VHT155" s="3060"/>
      <c r="VHU155" s="3060"/>
      <c r="VHV155" s="3060"/>
      <c r="VHW155" s="3060"/>
      <c r="VHX155" s="3060"/>
      <c r="VHY155" s="3060"/>
      <c r="VHZ155" s="3060"/>
      <c r="VIA155" s="3060"/>
      <c r="VIB155" s="3060"/>
      <c r="VIC155" s="3060"/>
      <c r="VID155" s="3060"/>
      <c r="VIE155" s="3060"/>
      <c r="VIF155" s="3060"/>
      <c r="VIG155" s="3060"/>
      <c r="VIH155" s="3060"/>
      <c r="VII155" s="3060"/>
      <c r="VIJ155" s="3060"/>
      <c r="VIK155" s="3060"/>
      <c r="VIL155" s="3060"/>
      <c r="VIM155" s="3060"/>
      <c r="VIN155" s="3060"/>
      <c r="VIO155" s="3060"/>
      <c r="VIP155" s="3060"/>
      <c r="VIQ155" s="3060"/>
      <c r="VIR155" s="3060"/>
      <c r="VIS155" s="3060"/>
      <c r="VIT155" s="3060"/>
      <c r="VIU155" s="3060"/>
      <c r="VIV155" s="3060"/>
      <c r="VIW155" s="3060"/>
      <c r="VIX155" s="3060"/>
      <c r="VIY155" s="3060"/>
      <c r="VIZ155" s="3060"/>
      <c r="VJA155" s="3060"/>
      <c r="VJB155" s="3060"/>
      <c r="VJC155" s="3060"/>
      <c r="VJD155" s="3060"/>
      <c r="VJE155" s="3060"/>
      <c r="VJF155" s="3060"/>
      <c r="VJG155" s="3060"/>
      <c r="VJH155" s="3060"/>
      <c r="VJI155" s="3060"/>
      <c r="VJJ155" s="3060"/>
      <c r="VJK155" s="3060"/>
      <c r="VJL155" s="3060"/>
      <c r="VJM155" s="3060"/>
      <c r="VJN155" s="3060"/>
      <c r="VJO155" s="3060"/>
      <c r="VJP155" s="3060"/>
      <c r="VJQ155" s="3060"/>
      <c r="VJR155" s="3060"/>
      <c r="VJS155" s="3060"/>
      <c r="VJT155" s="3060"/>
      <c r="VJU155" s="3060"/>
      <c r="VJV155" s="3060"/>
      <c r="VJW155" s="3060"/>
      <c r="VJX155" s="3060"/>
      <c r="VJY155" s="3060"/>
      <c r="VJZ155" s="3060"/>
      <c r="VKA155" s="3060"/>
      <c r="VKB155" s="3060"/>
      <c r="VKC155" s="3060"/>
      <c r="VKD155" s="3060"/>
      <c r="VKE155" s="3060"/>
      <c r="VKF155" s="3060"/>
      <c r="VKG155" s="3060"/>
      <c r="VKH155" s="3060"/>
      <c r="VKI155" s="3060"/>
      <c r="VKJ155" s="3060"/>
      <c r="VKK155" s="3060"/>
      <c r="VKL155" s="3060"/>
      <c r="VKM155" s="3060"/>
      <c r="VKN155" s="3060"/>
      <c r="VKO155" s="3060"/>
      <c r="VKP155" s="3060"/>
      <c r="VKQ155" s="3060"/>
      <c r="VKR155" s="3060"/>
      <c r="VKS155" s="3060"/>
      <c r="VKT155" s="3060"/>
      <c r="VKU155" s="3060"/>
      <c r="VKV155" s="3060"/>
      <c r="VKW155" s="3060"/>
      <c r="VKX155" s="3060"/>
      <c r="VKY155" s="3060"/>
      <c r="VKZ155" s="3060"/>
      <c r="VLA155" s="3060"/>
      <c r="VLB155" s="3060"/>
      <c r="VLC155" s="3060"/>
      <c r="VLD155" s="3060"/>
      <c r="VLE155" s="3060"/>
      <c r="VLF155" s="3060"/>
      <c r="VLG155" s="3060"/>
      <c r="VLH155" s="3060"/>
      <c r="VLI155" s="3060"/>
      <c r="VLJ155" s="3060"/>
      <c r="VLK155" s="3060"/>
      <c r="VLL155" s="3060"/>
      <c r="VLM155" s="3060"/>
      <c r="VLN155" s="3060"/>
      <c r="VLO155" s="3060"/>
      <c r="VLP155" s="3060"/>
      <c r="VLQ155" s="3060"/>
      <c r="VLR155" s="3060"/>
      <c r="VLS155" s="3060"/>
      <c r="VLT155" s="3060"/>
      <c r="VLU155" s="3060"/>
      <c r="VLV155" s="3060"/>
      <c r="VLW155" s="3060"/>
      <c r="VLX155" s="3060"/>
      <c r="VLY155" s="3060"/>
      <c r="VLZ155" s="3060"/>
      <c r="VMA155" s="3060"/>
      <c r="VMB155" s="3060"/>
      <c r="VMC155" s="3060"/>
      <c r="VMD155" s="3060"/>
      <c r="VME155" s="3060"/>
      <c r="VMF155" s="3060"/>
      <c r="VMG155" s="3060"/>
      <c r="VMH155" s="3060"/>
      <c r="VMI155" s="3060"/>
      <c r="VMJ155" s="3060"/>
      <c r="VMK155" s="3060"/>
      <c r="VML155" s="3060"/>
      <c r="VMM155" s="3060"/>
      <c r="VMN155" s="3060"/>
      <c r="VMO155" s="3060"/>
      <c r="VMP155" s="3060"/>
      <c r="VMQ155" s="3060"/>
      <c r="VMR155" s="3060"/>
      <c r="VMS155" s="3060"/>
      <c r="VMT155" s="3060"/>
      <c r="VMU155" s="3060"/>
      <c r="VMV155" s="3060"/>
      <c r="VMW155" s="3060"/>
      <c r="VMX155" s="3060"/>
      <c r="VMY155" s="3060"/>
      <c r="VMZ155" s="3060"/>
      <c r="VNA155" s="3060"/>
      <c r="VNB155" s="3060"/>
      <c r="VNC155" s="3060"/>
      <c r="VND155" s="3060"/>
      <c r="VNE155" s="3060"/>
      <c r="VNF155" s="3060"/>
      <c r="VNG155" s="3060"/>
      <c r="VNH155" s="3060"/>
      <c r="VNI155" s="3060"/>
      <c r="VNJ155" s="3060"/>
      <c r="VNK155" s="3060"/>
      <c r="VNL155" s="3060"/>
      <c r="VNM155" s="3060"/>
      <c r="VNN155" s="3060"/>
      <c r="VNO155" s="3060"/>
      <c r="VNP155" s="3060"/>
      <c r="VNQ155" s="3060"/>
      <c r="VNR155" s="3060"/>
      <c r="VNS155" s="3060"/>
      <c r="VNT155" s="3060"/>
      <c r="VNU155" s="3060"/>
      <c r="VNV155" s="3060"/>
      <c r="VNW155" s="3060"/>
      <c r="VNX155" s="3060"/>
      <c r="VNY155" s="3060"/>
      <c r="VNZ155" s="3060"/>
      <c r="VOA155" s="3060"/>
      <c r="VOB155" s="3060"/>
      <c r="VOC155" s="3060"/>
      <c r="VOD155" s="3060"/>
      <c r="VOE155" s="3060"/>
      <c r="VOF155" s="3060"/>
      <c r="VOG155" s="3060"/>
      <c r="VOH155" s="3060"/>
      <c r="VOI155" s="3060"/>
      <c r="VOJ155" s="3060"/>
      <c r="VOK155" s="3060"/>
      <c r="VOL155" s="3060"/>
      <c r="VOM155" s="3060"/>
      <c r="VON155" s="3060"/>
      <c r="VOO155" s="3060"/>
      <c r="VOP155" s="3060"/>
      <c r="VOQ155" s="3060"/>
      <c r="VOR155" s="3060"/>
      <c r="VOS155" s="3060"/>
      <c r="VOT155" s="3060"/>
      <c r="VOU155" s="3060"/>
      <c r="VOV155" s="3060"/>
      <c r="VOW155" s="3060"/>
      <c r="VOX155" s="3060"/>
      <c r="VOY155" s="3060"/>
      <c r="VOZ155" s="3060"/>
      <c r="VPA155" s="3060"/>
      <c r="VPB155" s="3060"/>
      <c r="VPC155" s="3060"/>
      <c r="VPD155" s="3060"/>
      <c r="VPE155" s="3060"/>
      <c r="VPF155" s="3060"/>
      <c r="VPG155" s="3060"/>
      <c r="VPH155" s="3060"/>
      <c r="VPI155" s="3060"/>
      <c r="VPJ155" s="3060"/>
      <c r="VPK155" s="3060"/>
      <c r="VPL155" s="3060"/>
      <c r="VPM155" s="3060"/>
      <c r="VPN155" s="3060"/>
      <c r="VPO155" s="3060"/>
      <c r="VPP155" s="3060"/>
      <c r="VPQ155" s="3060"/>
      <c r="VPR155" s="3060"/>
      <c r="VPS155" s="3060"/>
      <c r="VPT155" s="3060"/>
      <c r="VPU155" s="3060"/>
      <c r="VPV155" s="3060"/>
      <c r="VPW155" s="3060"/>
      <c r="VPX155" s="3060"/>
      <c r="VPY155" s="3060"/>
      <c r="VPZ155" s="3060"/>
      <c r="VQA155" s="3060"/>
      <c r="VQB155" s="3060"/>
      <c r="VQC155" s="3060"/>
      <c r="VQD155" s="3060"/>
      <c r="VQE155" s="3060"/>
      <c r="VQF155" s="3060"/>
      <c r="VQG155" s="3060"/>
      <c r="VQH155" s="3060"/>
      <c r="VQI155" s="3060"/>
      <c r="VQJ155" s="3060"/>
      <c r="VQK155" s="3060"/>
      <c r="VQL155" s="3060"/>
      <c r="VQM155" s="3060"/>
      <c r="VQN155" s="3060"/>
      <c r="VQO155" s="3060"/>
      <c r="VQP155" s="3060"/>
      <c r="VQQ155" s="3060"/>
      <c r="VQR155" s="3060"/>
      <c r="VQS155" s="3060"/>
      <c r="VQT155" s="3060"/>
      <c r="VQU155" s="3060"/>
      <c r="VQV155" s="3060"/>
      <c r="VQW155" s="3060"/>
      <c r="VQX155" s="3060"/>
      <c r="VQY155" s="3060"/>
      <c r="VQZ155" s="3060"/>
      <c r="VRA155" s="3060"/>
      <c r="VRB155" s="3060"/>
      <c r="VRC155" s="3060"/>
      <c r="VRD155" s="3060"/>
      <c r="VRE155" s="3060"/>
      <c r="VRF155" s="3060"/>
      <c r="VRG155" s="3060"/>
      <c r="VRH155" s="3060"/>
      <c r="VRI155" s="3060"/>
      <c r="VRJ155" s="3060"/>
      <c r="VRK155" s="3060"/>
      <c r="VRL155" s="3060"/>
      <c r="VRM155" s="3060"/>
      <c r="VRN155" s="3060"/>
      <c r="VRO155" s="3060"/>
      <c r="VRP155" s="3060"/>
      <c r="VRQ155" s="3060"/>
      <c r="VRR155" s="3060"/>
      <c r="VRS155" s="3060"/>
      <c r="VRT155" s="3060"/>
      <c r="VRU155" s="3060"/>
      <c r="VRV155" s="3060"/>
      <c r="VRW155" s="3060"/>
      <c r="VRX155" s="3060"/>
      <c r="VRY155" s="3060"/>
      <c r="VRZ155" s="3060"/>
      <c r="VSA155" s="3060"/>
      <c r="VSB155" s="3060"/>
      <c r="VSC155" s="3060"/>
      <c r="VSD155" s="3060"/>
      <c r="VSE155" s="3060"/>
      <c r="VSF155" s="3060"/>
      <c r="VSG155" s="3060"/>
      <c r="VSH155" s="3060"/>
      <c r="VSI155" s="3060"/>
      <c r="VSJ155" s="3060"/>
      <c r="VSK155" s="3060"/>
      <c r="VSL155" s="3060"/>
      <c r="VSM155" s="3060"/>
      <c r="VSN155" s="3060"/>
      <c r="VSO155" s="3060"/>
      <c r="VSP155" s="3060"/>
      <c r="VSQ155" s="3060"/>
      <c r="VSR155" s="3060"/>
      <c r="VSS155" s="3060"/>
      <c r="VST155" s="3060"/>
      <c r="VSU155" s="3060"/>
      <c r="VSV155" s="3060"/>
      <c r="VSW155" s="3060"/>
      <c r="VSX155" s="3060"/>
      <c r="VSY155" s="3060"/>
      <c r="VSZ155" s="3060"/>
      <c r="VTA155" s="3060"/>
      <c r="VTB155" s="3060"/>
      <c r="VTC155" s="3060"/>
      <c r="VTD155" s="3060"/>
      <c r="VTE155" s="3060"/>
      <c r="VTF155" s="3060"/>
      <c r="VTG155" s="3060"/>
      <c r="VTH155" s="3060"/>
      <c r="VTI155" s="3060"/>
      <c r="VTJ155" s="3060"/>
      <c r="VTK155" s="3060"/>
      <c r="VTL155" s="3060"/>
      <c r="VTM155" s="3060"/>
      <c r="VTN155" s="3060"/>
      <c r="VTO155" s="3060"/>
      <c r="VTP155" s="3060"/>
      <c r="VTQ155" s="3060"/>
      <c r="VTR155" s="3060"/>
      <c r="VTS155" s="3060"/>
      <c r="VTT155" s="3060"/>
      <c r="VTU155" s="3060"/>
      <c r="VTV155" s="3060"/>
      <c r="VTW155" s="3060"/>
      <c r="VTX155" s="3060"/>
      <c r="VTY155" s="3060"/>
      <c r="VTZ155" s="3060"/>
      <c r="VUA155" s="3060"/>
      <c r="VUB155" s="3060"/>
      <c r="VUC155" s="3060"/>
      <c r="VUD155" s="3060"/>
      <c r="VUE155" s="3060"/>
      <c r="VUF155" s="3060"/>
      <c r="VUG155" s="3060"/>
      <c r="VUH155" s="3060"/>
      <c r="VUI155" s="3060"/>
      <c r="VUJ155" s="3060"/>
      <c r="VUK155" s="3060"/>
      <c r="VUL155" s="3060"/>
      <c r="VUM155" s="3060"/>
      <c r="VUN155" s="3060"/>
      <c r="VUO155" s="3060"/>
      <c r="VUP155" s="3060"/>
      <c r="VUQ155" s="3060"/>
      <c r="VUR155" s="3060"/>
      <c r="VUS155" s="3060"/>
      <c r="VUT155" s="3060"/>
      <c r="VUU155" s="3060"/>
      <c r="VUV155" s="3060"/>
      <c r="VUW155" s="3060"/>
      <c r="VUX155" s="3060"/>
      <c r="VUY155" s="3060"/>
      <c r="VUZ155" s="3060"/>
      <c r="VVA155" s="3060"/>
      <c r="VVB155" s="3060"/>
      <c r="VVC155" s="3060"/>
      <c r="VVD155" s="3060"/>
      <c r="VVE155" s="3060"/>
      <c r="VVF155" s="3060"/>
      <c r="VVG155" s="3060"/>
      <c r="VVH155" s="3060"/>
      <c r="VVI155" s="3060"/>
      <c r="VVJ155" s="3060"/>
      <c r="VVK155" s="3060"/>
      <c r="VVL155" s="3060"/>
      <c r="VVM155" s="3060"/>
      <c r="VVN155" s="3060"/>
      <c r="VVO155" s="3060"/>
      <c r="VVP155" s="3060"/>
      <c r="VVQ155" s="3060"/>
      <c r="VVR155" s="3060"/>
      <c r="VVS155" s="3060"/>
      <c r="VVT155" s="3060"/>
      <c r="VVU155" s="3060"/>
      <c r="VVV155" s="3060"/>
      <c r="VVW155" s="3060"/>
      <c r="VVX155" s="3060"/>
      <c r="VVY155" s="3060"/>
      <c r="VVZ155" s="3060"/>
      <c r="VWA155" s="3060"/>
      <c r="VWB155" s="3060"/>
      <c r="VWC155" s="3060"/>
      <c r="VWD155" s="3060"/>
      <c r="VWE155" s="3060"/>
      <c r="VWF155" s="3060"/>
      <c r="VWG155" s="3060"/>
      <c r="VWH155" s="3060"/>
      <c r="VWI155" s="3060"/>
      <c r="VWJ155" s="3060"/>
      <c r="VWK155" s="3060"/>
      <c r="VWL155" s="3060"/>
      <c r="VWM155" s="3060"/>
      <c r="VWN155" s="3060"/>
      <c r="VWO155" s="3060"/>
      <c r="VWP155" s="3060"/>
      <c r="VWQ155" s="3060"/>
      <c r="VWR155" s="3060"/>
      <c r="VWS155" s="3060"/>
      <c r="VWT155" s="3060"/>
      <c r="VWU155" s="3060"/>
      <c r="VWV155" s="3060"/>
      <c r="VWW155" s="3060"/>
      <c r="VWX155" s="3060"/>
      <c r="VWY155" s="3060"/>
      <c r="VWZ155" s="3060"/>
      <c r="VXA155" s="3060"/>
      <c r="VXB155" s="3060"/>
      <c r="VXC155" s="3060"/>
      <c r="VXD155" s="3060"/>
      <c r="VXE155" s="3060"/>
      <c r="VXF155" s="3060"/>
      <c r="VXG155" s="3060"/>
      <c r="VXH155" s="3060"/>
      <c r="VXI155" s="3060"/>
      <c r="VXJ155" s="3060"/>
      <c r="VXK155" s="3060"/>
      <c r="VXL155" s="3060"/>
      <c r="VXM155" s="3060"/>
      <c r="VXN155" s="3060"/>
      <c r="VXO155" s="3060"/>
      <c r="VXP155" s="3060"/>
      <c r="VXQ155" s="3060"/>
      <c r="VXR155" s="3060"/>
      <c r="VXS155" s="3060"/>
      <c r="VXT155" s="3060"/>
      <c r="VXU155" s="3060"/>
      <c r="VXV155" s="3060"/>
      <c r="VXW155" s="3060"/>
      <c r="VXX155" s="3060"/>
      <c r="VXY155" s="3060"/>
      <c r="VXZ155" s="3060"/>
      <c r="VYA155" s="3060"/>
      <c r="VYB155" s="3060"/>
      <c r="VYC155" s="3060"/>
      <c r="VYD155" s="3060"/>
      <c r="VYE155" s="3060"/>
      <c r="VYF155" s="3060"/>
      <c r="VYG155" s="3060"/>
      <c r="VYH155" s="3060"/>
      <c r="VYI155" s="3060"/>
      <c r="VYJ155" s="3060"/>
      <c r="VYK155" s="3060"/>
      <c r="VYL155" s="3060"/>
      <c r="VYM155" s="3060"/>
      <c r="VYN155" s="3060"/>
      <c r="VYO155" s="3060"/>
      <c r="VYP155" s="3060"/>
      <c r="VYQ155" s="3060"/>
      <c r="VYR155" s="3060"/>
      <c r="VYS155" s="3060"/>
      <c r="VYT155" s="3060"/>
      <c r="VYU155" s="3060"/>
      <c r="VYV155" s="3060"/>
      <c r="VYW155" s="3060"/>
      <c r="VYX155" s="3060"/>
      <c r="VYY155" s="3060"/>
      <c r="VYZ155" s="3060"/>
      <c r="VZA155" s="3060"/>
      <c r="VZB155" s="3060"/>
      <c r="VZC155" s="3060"/>
      <c r="VZD155" s="3060"/>
      <c r="VZE155" s="3060"/>
      <c r="VZF155" s="3060"/>
      <c r="VZG155" s="3060"/>
      <c r="VZH155" s="3060"/>
      <c r="VZI155" s="3060"/>
      <c r="VZJ155" s="3060"/>
      <c r="VZK155" s="3060"/>
      <c r="VZL155" s="3060"/>
      <c r="VZM155" s="3060"/>
      <c r="VZN155" s="3060"/>
      <c r="VZO155" s="3060"/>
      <c r="VZP155" s="3060"/>
      <c r="VZQ155" s="3060"/>
      <c r="VZR155" s="3060"/>
      <c r="VZS155" s="3060"/>
      <c r="VZT155" s="3060"/>
      <c r="VZU155" s="3060"/>
      <c r="VZV155" s="3060"/>
      <c r="VZW155" s="3060"/>
      <c r="VZX155" s="3060"/>
      <c r="VZY155" s="3060"/>
      <c r="VZZ155" s="3060"/>
      <c r="WAA155" s="3060"/>
      <c r="WAB155" s="3060"/>
      <c r="WAC155" s="3060"/>
      <c r="WAD155" s="3060"/>
      <c r="WAE155" s="3060"/>
      <c r="WAF155" s="3060"/>
      <c r="WAG155" s="3060"/>
      <c r="WAH155" s="3060"/>
      <c r="WAI155" s="3060"/>
      <c r="WAJ155" s="3060"/>
      <c r="WAK155" s="3060"/>
      <c r="WAL155" s="3060"/>
      <c r="WAM155" s="3060"/>
      <c r="WAN155" s="3060"/>
      <c r="WAO155" s="3060"/>
      <c r="WAP155" s="3060"/>
      <c r="WAQ155" s="3060"/>
      <c r="WAR155" s="3060"/>
      <c r="WAS155" s="3060"/>
      <c r="WAT155" s="3060"/>
      <c r="WAU155" s="3060"/>
      <c r="WAV155" s="3060"/>
      <c r="WAW155" s="3060"/>
      <c r="WAX155" s="3060"/>
      <c r="WAY155" s="3060"/>
      <c r="WAZ155" s="3060"/>
      <c r="WBA155" s="3060"/>
      <c r="WBB155" s="3060"/>
      <c r="WBC155" s="3060"/>
      <c r="WBD155" s="3060"/>
      <c r="WBE155" s="3060"/>
      <c r="WBF155" s="3060"/>
      <c r="WBG155" s="3060"/>
      <c r="WBH155" s="3060"/>
      <c r="WBI155" s="3060"/>
      <c r="WBJ155" s="3060"/>
      <c r="WBK155" s="3060"/>
      <c r="WBL155" s="3060"/>
      <c r="WBM155" s="3060"/>
      <c r="WBN155" s="3060"/>
      <c r="WBO155" s="3060"/>
      <c r="WBP155" s="3060"/>
      <c r="WBQ155" s="3060"/>
      <c r="WBR155" s="3060"/>
      <c r="WBS155" s="3060"/>
      <c r="WBT155" s="3060"/>
      <c r="WBU155" s="3060"/>
      <c r="WBV155" s="3060"/>
      <c r="WBW155" s="3060"/>
      <c r="WBX155" s="3060"/>
      <c r="WBY155" s="3060"/>
      <c r="WBZ155" s="3060"/>
      <c r="WCA155" s="3060"/>
      <c r="WCB155" s="3060"/>
      <c r="WCC155" s="3060"/>
      <c r="WCD155" s="3060"/>
      <c r="WCE155" s="3060"/>
      <c r="WCF155" s="3060"/>
      <c r="WCG155" s="3060"/>
      <c r="WCH155" s="3060"/>
      <c r="WCI155" s="3060"/>
      <c r="WCJ155" s="3060"/>
      <c r="WCK155" s="3060"/>
      <c r="WCL155" s="3060"/>
      <c r="WCM155" s="3060"/>
      <c r="WCN155" s="3060"/>
      <c r="WCO155" s="3060"/>
      <c r="WCP155" s="3060"/>
      <c r="WCQ155" s="3060"/>
      <c r="WCR155" s="3060"/>
      <c r="WCS155" s="3060"/>
      <c r="WCT155" s="3060"/>
      <c r="WCU155" s="3060"/>
      <c r="WCV155" s="3060"/>
      <c r="WCW155" s="3060"/>
      <c r="WCX155" s="3060"/>
      <c r="WCY155" s="3060"/>
      <c r="WCZ155" s="3060"/>
      <c r="WDA155" s="3060"/>
      <c r="WDB155" s="3060"/>
      <c r="WDC155" s="3060"/>
      <c r="WDD155" s="3060"/>
      <c r="WDE155" s="3060"/>
      <c r="WDF155" s="3060"/>
      <c r="WDG155" s="3060"/>
      <c r="WDH155" s="3060"/>
      <c r="WDI155" s="3060"/>
      <c r="WDJ155" s="3060"/>
      <c r="WDK155" s="3060"/>
      <c r="WDL155" s="3060"/>
      <c r="WDM155" s="3060"/>
      <c r="WDN155" s="3060"/>
      <c r="WDO155" s="3060"/>
      <c r="WDP155" s="3060"/>
      <c r="WDQ155" s="3060"/>
      <c r="WDR155" s="3060"/>
      <c r="WDS155" s="3060"/>
      <c r="WDT155" s="3060"/>
      <c r="WDU155" s="3060"/>
      <c r="WDV155" s="3060"/>
      <c r="WDW155" s="3060"/>
      <c r="WDX155" s="3060"/>
      <c r="WDY155" s="3060"/>
      <c r="WDZ155" s="3060"/>
      <c r="WEA155" s="3060"/>
      <c r="WEB155" s="3060"/>
      <c r="WEC155" s="3060"/>
      <c r="WED155" s="3060"/>
      <c r="WEE155" s="3060"/>
      <c r="WEF155" s="3060"/>
      <c r="WEG155" s="3060"/>
      <c r="WEH155" s="3060"/>
      <c r="WEI155" s="3060"/>
      <c r="WEJ155" s="3060"/>
      <c r="WEK155" s="3060"/>
      <c r="WEL155" s="3060"/>
      <c r="WEM155" s="3060"/>
      <c r="WEN155" s="3060"/>
      <c r="WEO155" s="3060"/>
      <c r="WEP155" s="3060"/>
      <c r="WEQ155" s="3060"/>
      <c r="WER155" s="3060"/>
      <c r="WES155" s="3060"/>
      <c r="WET155" s="3060"/>
      <c r="WEU155" s="3060"/>
      <c r="WEV155" s="3060"/>
      <c r="WEW155" s="3060"/>
      <c r="WEX155" s="3060"/>
      <c r="WEY155" s="3060"/>
      <c r="WEZ155" s="3060"/>
      <c r="WFA155" s="3060"/>
      <c r="WFB155" s="3060"/>
      <c r="WFC155" s="3060"/>
      <c r="WFD155" s="3060"/>
      <c r="WFE155" s="3060"/>
      <c r="WFF155" s="3060"/>
      <c r="WFG155" s="3060"/>
      <c r="WFH155" s="3060"/>
      <c r="WFI155" s="3060"/>
      <c r="WFJ155" s="3060"/>
      <c r="WFK155" s="3060"/>
      <c r="WFL155" s="3060"/>
      <c r="WFM155" s="3060"/>
      <c r="WFN155" s="3060"/>
      <c r="WFO155" s="3060"/>
      <c r="WFP155" s="3060"/>
      <c r="WFQ155" s="3060"/>
      <c r="WFR155" s="3060"/>
      <c r="WFS155" s="3060"/>
      <c r="WFT155" s="3060"/>
      <c r="WFU155" s="3060"/>
      <c r="WFV155" s="3060"/>
      <c r="WFW155" s="3060"/>
      <c r="WFX155" s="3060"/>
      <c r="WFY155" s="3060"/>
      <c r="WFZ155" s="3060"/>
      <c r="WGA155" s="3060"/>
      <c r="WGB155" s="3060"/>
      <c r="WGC155" s="3060"/>
      <c r="WGD155" s="3060"/>
      <c r="WGE155" s="3060"/>
      <c r="WGF155" s="3060"/>
      <c r="WGG155" s="3060"/>
      <c r="WGH155" s="3060"/>
      <c r="WGI155" s="3060"/>
      <c r="WGJ155" s="3060"/>
      <c r="WGK155" s="3060"/>
      <c r="WGL155" s="3060"/>
      <c r="WGM155" s="3060"/>
      <c r="WGN155" s="3060"/>
      <c r="WGO155" s="3060"/>
      <c r="WGP155" s="3060"/>
      <c r="WGQ155" s="3060"/>
      <c r="WGR155" s="3060"/>
      <c r="WGS155" s="3060"/>
      <c r="WGT155" s="3060"/>
      <c r="WGU155" s="3060"/>
      <c r="WGV155" s="3060"/>
      <c r="WGW155" s="3060"/>
      <c r="WGX155" s="3060"/>
      <c r="WGY155" s="3060"/>
      <c r="WGZ155" s="3060"/>
      <c r="WHA155" s="3060"/>
      <c r="WHB155" s="3060"/>
      <c r="WHC155" s="3060"/>
      <c r="WHD155" s="3060"/>
      <c r="WHE155" s="3060"/>
      <c r="WHF155" s="3060"/>
      <c r="WHG155" s="3060"/>
      <c r="WHH155" s="3060"/>
      <c r="WHI155" s="3060"/>
      <c r="WHJ155" s="3060"/>
      <c r="WHK155" s="3060"/>
      <c r="WHL155" s="3060"/>
      <c r="WHM155" s="3060"/>
      <c r="WHN155" s="3060"/>
      <c r="WHO155" s="3060"/>
      <c r="WHP155" s="3060"/>
      <c r="WHQ155" s="3060"/>
      <c r="WHR155" s="3060"/>
      <c r="WHS155" s="3060"/>
      <c r="WHT155" s="3060"/>
      <c r="WHU155" s="3060"/>
      <c r="WHV155" s="3060"/>
      <c r="WHW155" s="3060"/>
      <c r="WHX155" s="3060"/>
      <c r="WHY155" s="3060"/>
      <c r="WHZ155" s="3060"/>
      <c r="WIA155" s="3060"/>
      <c r="WIB155" s="3060"/>
      <c r="WIC155" s="3060"/>
      <c r="WID155" s="3060"/>
      <c r="WIE155" s="3060"/>
      <c r="WIF155" s="3060"/>
      <c r="WIG155" s="3060"/>
      <c r="WIH155" s="3060"/>
      <c r="WII155" s="3060"/>
      <c r="WIJ155" s="3060"/>
      <c r="WIK155" s="3060"/>
      <c r="WIL155" s="3060"/>
      <c r="WIM155" s="3060"/>
      <c r="WIN155" s="3060"/>
      <c r="WIO155" s="3060"/>
      <c r="WIP155" s="3060"/>
      <c r="WIQ155" s="3060"/>
      <c r="WIR155" s="3060"/>
      <c r="WIS155" s="3060"/>
      <c r="WIT155" s="3060"/>
      <c r="WIU155" s="3060"/>
      <c r="WIV155" s="3060"/>
      <c r="WIW155" s="3060"/>
      <c r="WIX155" s="3060"/>
      <c r="WIY155" s="3060"/>
      <c r="WIZ155" s="3060"/>
      <c r="WJA155" s="3060"/>
      <c r="WJB155" s="3060"/>
      <c r="WJC155" s="3060"/>
      <c r="WJD155" s="3060"/>
      <c r="WJE155" s="3060"/>
      <c r="WJF155" s="3060"/>
      <c r="WJG155" s="3060"/>
      <c r="WJH155" s="3060"/>
      <c r="WJI155" s="3060"/>
      <c r="WJJ155" s="3060"/>
      <c r="WJK155" s="3060"/>
      <c r="WJL155" s="3060"/>
      <c r="WJM155" s="3060"/>
      <c r="WJN155" s="3060"/>
      <c r="WJO155" s="3060"/>
      <c r="WJP155" s="3060"/>
      <c r="WJQ155" s="3060"/>
      <c r="WJR155" s="3060"/>
      <c r="WJS155" s="3060"/>
      <c r="WJT155" s="3060"/>
      <c r="WJU155" s="3060"/>
      <c r="WJV155" s="3060"/>
      <c r="WJW155" s="3060"/>
      <c r="WJX155" s="3060"/>
      <c r="WJY155" s="3060"/>
      <c r="WJZ155" s="3060"/>
      <c r="WKA155" s="3060"/>
      <c r="WKB155" s="3060"/>
      <c r="WKC155" s="3060"/>
      <c r="WKD155" s="3060"/>
      <c r="WKE155" s="3060"/>
      <c r="WKF155" s="3060"/>
      <c r="WKG155" s="3060"/>
      <c r="WKH155" s="3060"/>
      <c r="WKI155" s="3060"/>
      <c r="WKJ155" s="3060"/>
      <c r="WKK155" s="3060"/>
      <c r="WKL155" s="3060"/>
      <c r="WKM155" s="3060"/>
      <c r="WKN155" s="3060"/>
      <c r="WKO155" s="3060"/>
      <c r="WKP155" s="3060"/>
      <c r="WKQ155" s="3060"/>
      <c r="WKR155" s="3060"/>
      <c r="WKS155" s="3060"/>
      <c r="WKT155" s="3060"/>
      <c r="WKU155" s="3060"/>
      <c r="WKV155" s="3060"/>
      <c r="WKW155" s="3060"/>
      <c r="WKX155" s="3060"/>
      <c r="WKY155" s="3060"/>
      <c r="WKZ155" s="3060"/>
      <c r="WLA155" s="3060"/>
      <c r="WLB155" s="3060"/>
      <c r="WLC155" s="3060"/>
      <c r="WLD155" s="3060"/>
      <c r="WLE155" s="3060"/>
      <c r="WLF155" s="3060"/>
      <c r="WLG155" s="3060"/>
      <c r="WLH155" s="3060"/>
      <c r="WLI155" s="3060"/>
      <c r="WLJ155" s="3060"/>
      <c r="WLK155" s="3060"/>
      <c r="WLL155" s="3060"/>
      <c r="WLM155" s="3060"/>
      <c r="WLN155" s="3060"/>
      <c r="WLO155" s="3060"/>
      <c r="WLP155" s="3060"/>
      <c r="WLQ155" s="3060"/>
      <c r="WLR155" s="3060"/>
      <c r="WLS155" s="3060"/>
      <c r="WLT155" s="3060"/>
      <c r="WLU155" s="3060"/>
      <c r="WLV155" s="3060"/>
      <c r="WLW155" s="3060"/>
      <c r="WLX155" s="3060"/>
      <c r="WLY155" s="3060"/>
      <c r="WLZ155" s="3060"/>
      <c r="WMA155" s="3060"/>
      <c r="WMB155" s="3060"/>
      <c r="WMC155" s="3060"/>
      <c r="WMD155" s="3060"/>
      <c r="WME155" s="3060"/>
      <c r="WMF155" s="3060"/>
      <c r="WMG155" s="3060"/>
      <c r="WMH155" s="3060"/>
      <c r="WMI155" s="3060"/>
      <c r="WMJ155" s="3060"/>
      <c r="WMK155" s="3060"/>
      <c r="WML155" s="3060"/>
      <c r="WMM155" s="3060"/>
      <c r="WMN155" s="3060"/>
      <c r="WMO155" s="3060"/>
      <c r="WMP155" s="3060"/>
      <c r="WMQ155" s="3060"/>
      <c r="WMR155" s="3060"/>
      <c r="WMS155" s="3060"/>
      <c r="WMT155" s="3060"/>
      <c r="WMU155" s="3060"/>
      <c r="WMV155" s="3060"/>
      <c r="WMW155" s="3060"/>
      <c r="WMX155" s="3060"/>
      <c r="WMY155" s="3060"/>
      <c r="WMZ155" s="3060"/>
      <c r="WNA155" s="3060"/>
      <c r="WNB155" s="3060"/>
      <c r="WNC155" s="3060"/>
      <c r="WND155" s="3060"/>
      <c r="WNE155" s="3060"/>
      <c r="WNF155" s="3060"/>
      <c r="WNG155" s="3060"/>
      <c r="WNH155" s="3060"/>
      <c r="WNI155" s="3060"/>
      <c r="WNJ155" s="3060"/>
      <c r="WNK155" s="3060"/>
      <c r="WNL155" s="3060"/>
      <c r="WNM155" s="3060"/>
      <c r="WNN155" s="3060"/>
      <c r="WNO155" s="3060"/>
      <c r="WNP155" s="3060"/>
      <c r="WNQ155" s="3060"/>
      <c r="WNR155" s="3060"/>
      <c r="WNS155" s="3060"/>
      <c r="WNT155" s="3060"/>
      <c r="WNU155" s="3060"/>
      <c r="WNV155" s="3060"/>
      <c r="WNW155" s="3060"/>
      <c r="WNX155" s="3060"/>
      <c r="WNY155" s="3060"/>
      <c r="WNZ155" s="3060"/>
      <c r="WOA155" s="3060"/>
      <c r="WOB155" s="3060"/>
      <c r="WOC155" s="3060"/>
      <c r="WOD155" s="3060"/>
      <c r="WOE155" s="3060"/>
      <c r="WOF155" s="3060"/>
      <c r="WOG155" s="3060"/>
      <c r="WOH155" s="3060"/>
      <c r="WOI155" s="3060"/>
      <c r="WOJ155" s="3060"/>
      <c r="WOK155" s="3060"/>
      <c r="WOL155" s="3060"/>
      <c r="WOM155" s="3060"/>
      <c r="WON155" s="3060"/>
      <c r="WOO155" s="3060"/>
      <c r="WOP155" s="3060"/>
      <c r="WOQ155" s="3060"/>
      <c r="WOR155" s="3060"/>
      <c r="WOS155" s="3060"/>
      <c r="WOT155" s="3060"/>
      <c r="WOU155" s="3060"/>
      <c r="WOV155" s="3060"/>
      <c r="WOW155" s="3060"/>
      <c r="WOX155" s="3060"/>
      <c r="WOY155" s="3060"/>
      <c r="WOZ155" s="3060"/>
      <c r="WPA155" s="3060"/>
      <c r="WPB155" s="3060"/>
      <c r="WPC155" s="3060"/>
      <c r="WPD155" s="3060"/>
      <c r="WPE155" s="3060"/>
      <c r="WPF155" s="3060"/>
      <c r="WPG155" s="3060"/>
      <c r="WPH155" s="3060"/>
      <c r="WPI155" s="3060"/>
      <c r="WPJ155" s="3060"/>
      <c r="WPK155" s="3060"/>
      <c r="WPL155" s="3060"/>
      <c r="WPM155" s="3060"/>
      <c r="WPN155" s="3060"/>
      <c r="WPO155" s="3060"/>
      <c r="WPP155" s="3060"/>
      <c r="WPQ155" s="3060"/>
      <c r="WPR155" s="3060"/>
      <c r="WPS155" s="3060"/>
      <c r="WPT155" s="3060"/>
      <c r="WPU155" s="3060"/>
      <c r="WPV155" s="3060"/>
      <c r="WPW155" s="3060"/>
      <c r="WPX155" s="3060"/>
      <c r="WPY155" s="3060"/>
      <c r="WPZ155" s="3060"/>
      <c r="WQA155" s="3060"/>
      <c r="WQB155" s="3060"/>
      <c r="WQC155" s="3060"/>
      <c r="WQD155" s="3060"/>
      <c r="WQE155" s="3060"/>
      <c r="WQF155" s="3060"/>
      <c r="WQG155" s="3060"/>
      <c r="WQH155" s="3060"/>
      <c r="WQI155" s="3060"/>
      <c r="WQJ155" s="3060"/>
      <c r="WQK155" s="3060"/>
      <c r="WQL155" s="3060"/>
      <c r="WQM155" s="3060"/>
      <c r="WQN155" s="3060"/>
      <c r="WQO155" s="3060"/>
      <c r="WQP155" s="3060"/>
      <c r="WQQ155" s="3060"/>
      <c r="WQR155" s="3060"/>
      <c r="WQS155" s="3060"/>
      <c r="WQT155" s="3060"/>
      <c r="WQU155" s="3060"/>
      <c r="WQV155" s="3060"/>
      <c r="WQW155" s="3060"/>
      <c r="WQX155" s="3060"/>
      <c r="WQY155" s="3060"/>
      <c r="WQZ155" s="3060"/>
      <c r="WRA155" s="3060"/>
      <c r="WRB155" s="3060"/>
      <c r="WRC155" s="3060"/>
      <c r="WRD155" s="3060"/>
      <c r="WRE155" s="3060"/>
      <c r="WRF155" s="3060"/>
      <c r="WRG155" s="3060"/>
      <c r="WRH155" s="3060"/>
      <c r="WRI155" s="3060"/>
      <c r="WRJ155" s="3060"/>
      <c r="WRK155" s="3060"/>
      <c r="WRL155" s="3060"/>
      <c r="WRM155" s="3060"/>
      <c r="WRN155" s="3060"/>
      <c r="WRO155" s="3060"/>
      <c r="WRP155" s="3060"/>
      <c r="WRQ155" s="3060"/>
      <c r="WRR155" s="3060"/>
      <c r="WRS155" s="3060"/>
      <c r="WRT155" s="3060"/>
      <c r="WRU155" s="3060"/>
      <c r="WRV155" s="3060"/>
      <c r="WRW155" s="3060"/>
      <c r="WRX155" s="3060"/>
      <c r="WRY155" s="3060"/>
      <c r="WRZ155" s="3060"/>
      <c r="WSA155" s="3060"/>
      <c r="WSB155" s="3060"/>
      <c r="WSC155" s="3060"/>
      <c r="WSD155" s="3060"/>
      <c r="WSE155" s="3060"/>
      <c r="WSF155" s="3060"/>
      <c r="WSG155" s="3060"/>
      <c r="WSH155" s="3060"/>
      <c r="WSI155" s="3060"/>
      <c r="WSJ155" s="3060"/>
      <c r="WSK155" s="3060"/>
      <c r="WSL155" s="3060"/>
      <c r="WSM155" s="3060"/>
      <c r="WSN155" s="3060"/>
      <c r="WSO155" s="3060"/>
      <c r="WSP155" s="3060"/>
      <c r="WSQ155" s="3060"/>
      <c r="WSR155" s="3060"/>
      <c r="WSS155" s="3060"/>
      <c r="WST155" s="3060"/>
      <c r="WSU155" s="3060"/>
      <c r="WSV155" s="3060"/>
      <c r="WSW155" s="3060"/>
      <c r="WSX155" s="3060"/>
      <c r="WSY155" s="3060"/>
      <c r="WSZ155" s="3060"/>
      <c r="WTA155" s="3060"/>
      <c r="WTB155" s="3060"/>
      <c r="WTC155" s="3060"/>
      <c r="WTD155" s="3060"/>
      <c r="WTE155" s="3060"/>
      <c r="WTF155" s="3060"/>
      <c r="WTG155" s="3060"/>
      <c r="WTH155" s="3060"/>
      <c r="WTI155" s="3060"/>
      <c r="WTJ155" s="3060"/>
      <c r="WTK155" s="3060"/>
      <c r="WTL155" s="3060"/>
      <c r="WTM155" s="3060"/>
      <c r="WTN155" s="3060"/>
      <c r="WTO155" s="3060"/>
      <c r="WTP155" s="3060"/>
      <c r="WTQ155" s="3060"/>
      <c r="WTR155" s="3060"/>
      <c r="WTS155" s="3060"/>
      <c r="WTT155" s="3060"/>
      <c r="WTU155" s="3060"/>
      <c r="WTV155" s="3060"/>
      <c r="WTW155" s="3060"/>
      <c r="WTX155" s="3060"/>
      <c r="WTY155" s="3060"/>
      <c r="WTZ155" s="3060"/>
      <c r="WUA155" s="3060"/>
      <c r="WUB155" s="3060"/>
      <c r="WUC155" s="3060"/>
      <c r="WUD155" s="3060"/>
      <c r="WUE155" s="3060"/>
      <c r="WUF155" s="3060"/>
      <c r="WUG155" s="3060"/>
      <c r="WUH155" s="3060"/>
      <c r="WUI155" s="3060"/>
      <c r="WUJ155" s="3060"/>
      <c r="WUK155" s="3060"/>
      <c r="WUL155" s="3060"/>
      <c r="WUM155" s="3060"/>
      <c r="WUN155" s="3060"/>
      <c r="WUO155" s="3060"/>
      <c r="WUP155" s="3060"/>
      <c r="WUQ155" s="3060"/>
      <c r="WUR155" s="3060"/>
      <c r="WUS155" s="3060"/>
      <c r="WUT155" s="3060"/>
      <c r="WUU155" s="3060"/>
      <c r="WUV155" s="3060"/>
      <c r="WUW155" s="3060"/>
      <c r="WUX155" s="3060"/>
      <c r="WUY155" s="3060"/>
      <c r="WUZ155" s="3060"/>
      <c r="WVA155" s="3060"/>
      <c r="WVB155" s="3060"/>
      <c r="WVC155" s="3060"/>
      <c r="WVD155" s="3060"/>
      <c r="WVE155" s="3060"/>
      <c r="WVF155" s="3060"/>
      <c r="WVG155" s="3060"/>
      <c r="WVH155" s="3060"/>
      <c r="WVI155" s="3060"/>
      <c r="WVJ155" s="3060"/>
      <c r="WVK155" s="3060"/>
      <c r="WVL155" s="3060"/>
      <c r="WVM155" s="3060"/>
      <c r="WVN155" s="3060"/>
      <c r="WVO155" s="3060"/>
      <c r="WVP155" s="3060"/>
      <c r="WVQ155" s="3060"/>
      <c r="WVR155" s="3060"/>
      <c r="WVS155" s="3060"/>
      <c r="WVT155" s="3060"/>
      <c r="WVU155" s="3060"/>
      <c r="WVV155" s="3060"/>
      <c r="WVW155" s="3060"/>
      <c r="WVX155" s="3060"/>
      <c r="WVY155" s="3060"/>
      <c r="WVZ155" s="3060"/>
      <c r="WWA155" s="3060"/>
      <c r="WWB155" s="3060"/>
      <c r="WWC155" s="3060"/>
      <c r="WWD155" s="3060"/>
      <c r="WWE155" s="3060"/>
      <c r="WWF155" s="3060"/>
      <c r="WWG155" s="3060"/>
      <c r="WWH155" s="3060"/>
      <c r="WWI155" s="3060"/>
      <c r="WWJ155" s="3060"/>
      <c r="WWK155" s="3060"/>
      <c r="WWL155" s="3060"/>
      <c r="WWM155" s="3060"/>
      <c r="WWN155" s="3060"/>
      <c r="WWO155" s="3060"/>
      <c r="WWP155" s="3060"/>
      <c r="WWQ155" s="3060"/>
      <c r="WWR155" s="3060"/>
      <c r="WWS155" s="3060"/>
      <c r="WWT155" s="3060"/>
      <c r="WWU155" s="3060"/>
      <c r="WWV155" s="3060"/>
      <c r="WWW155" s="3060"/>
      <c r="WWX155" s="3060"/>
      <c r="WWY155" s="3060"/>
      <c r="WWZ155" s="3060"/>
      <c r="WXA155" s="3060"/>
      <c r="WXB155" s="3060"/>
      <c r="WXC155" s="3060"/>
      <c r="WXD155" s="3060"/>
      <c r="WXE155" s="3060"/>
      <c r="WXF155" s="3060"/>
      <c r="WXG155" s="3060"/>
      <c r="WXH155" s="3060"/>
      <c r="WXI155" s="3060"/>
      <c r="WXJ155" s="3060"/>
      <c r="WXK155" s="3060"/>
      <c r="WXL155" s="3060"/>
      <c r="WXM155" s="3060"/>
      <c r="WXN155" s="3060"/>
      <c r="WXO155" s="3060"/>
      <c r="WXP155" s="3060"/>
      <c r="WXQ155" s="3060"/>
      <c r="WXR155" s="3060"/>
      <c r="WXS155" s="3060"/>
      <c r="WXT155" s="3060"/>
      <c r="WXU155" s="3060"/>
      <c r="WXV155" s="3060"/>
      <c r="WXW155" s="3060"/>
      <c r="WXX155" s="3060"/>
      <c r="WXY155" s="3060"/>
      <c r="WXZ155" s="3060"/>
      <c r="WYA155" s="3060"/>
      <c r="WYB155" s="3060"/>
      <c r="WYC155" s="3060"/>
      <c r="WYD155" s="3060"/>
      <c r="WYE155" s="3060"/>
      <c r="WYF155" s="3060"/>
      <c r="WYG155" s="3060"/>
      <c r="WYH155" s="3060"/>
      <c r="WYI155" s="3060"/>
      <c r="WYJ155" s="3060"/>
      <c r="WYK155" s="3060"/>
      <c r="WYL155" s="3060"/>
      <c r="WYM155" s="3060"/>
      <c r="WYN155" s="3060"/>
      <c r="WYO155" s="3060"/>
      <c r="WYP155" s="3060"/>
      <c r="WYQ155" s="3060"/>
      <c r="WYR155" s="3060"/>
      <c r="WYS155" s="3060"/>
      <c r="WYT155" s="3060"/>
      <c r="WYU155" s="3060"/>
      <c r="WYV155" s="3060"/>
      <c r="WYW155" s="3060"/>
      <c r="WYX155" s="3060"/>
      <c r="WYY155" s="3060"/>
      <c r="WYZ155" s="3060"/>
      <c r="WZA155" s="3060"/>
      <c r="WZB155" s="3060"/>
      <c r="WZC155" s="3060"/>
      <c r="WZD155" s="3060"/>
      <c r="WZE155" s="3060"/>
      <c r="WZF155" s="3060"/>
      <c r="WZG155" s="3060"/>
      <c r="WZH155" s="3060"/>
      <c r="WZI155" s="3060"/>
      <c r="WZJ155" s="3060"/>
      <c r="WZK155" s="3060"/>
      <c r="WZL155" s="3060"/>
      <c r="WZM155" s="3060"/>
      <c r="WZN155" s="3060"/>
      <c r="WZO155" s="3060"/>
      <c r="WZP155" s="3060"/>
      <c r="WZQ155" s="3060"/>
      <c r="WZR155" s="3060"/>
      <c r="WZS155" s="3060"/>
      <c r="WZT155" s="3060"/>
      <c r="WZU155" s="3060"/>
      <c r="WZV155" s="3060"/>
      <c r="WZW155" s="3060"/>
      <c r="WZX155" s="3060"/>
      <c r="WZY155" s="3060"/>
      <c r="WZZ155" s="3060"/>
      <c r="XAA155" s="3060"/>
      <c r="XAB155" s="3060"/>
      <c r="XAC155" s="3060"/>
      <c r="XAD155" s="3060"/>
      <c r="XAE155" s="3060"/>
      <c r="XAF155" s="3060"/>
      <c r="XAG155" s="3060"/>
      <c r="XAH155" s="3060"/>
      <c r="XAI155" s="3060"/>
      <c r="XAJ155" s="3060"/>
      <c r="XAK155" s="3060"/>
      <c r="XAL155" s="3060"/>
      <c r="XAM155" s="3060"/>
      <c r="XAN155" s="3060"/>
      <c r="XAO155" s="3060"/>
      <c r="XAP155" s="3060"/>
      <c r="XAQ155" s="3060"/>
      <c r="XAR155" s="3060"/>
      <c r="XAS155" s="3060"/>
      <c r="XAT155" s="3060"/>
      <c r="XAU155" s="3060"/>
      <c r="XAV155" s="3060"/>
      <c r="XAW155" s="3060"/>
      <c r="XAX155" s="3060"/>
      <c r="XAY155" s="3060"/>
      <c r="XAZ155" s="3060"/>
      <c r="XBA155" s="3060"/>
      <c r="XBB155" s="3060"/>
      <c r="XBC155" s="3060"/>
      <c r="XBD155" s="3060"/>
      <c r="XBE155" s="3060"/>
      <c r="XBF155" s="3060"/>
      <c r="XBG155" s="3060"/>
      <c r="XBH155" s="3060"/>
      <c r="XBI155" s="3060"/>
      <c r="XBJ155" s="3060"/>
      <c r="XBK155" s="3060"/>
      <c r="XBL155" s="3060"/>
      <c r="XBM155" s="3060"/>
      <c r="XBN155" s="3060"/>
      <c r="XBO155" s="3060"/>
      <c r="XBP155" s="3060"/>
      <c r="XBQ155" s="3060"/>
      <c r="XBR155" s="3060"/>
      <c r="XBS155" s="3060"/>
      <c r="XBT155" s="3060"/>
      <c r="XBU155" s="3060"/>
      <c r="XBV155" s="3060"/>
      <c r="XBW155" s="3060"/>
      <c r="XBX155" s="3060"/>
      <c r="XBY155" s="3060"/>
      <c r="XBZ155" s="3060"/>
      <c r="XCA155" s="3060"/>
      <c r="XCB155" s="3060"/>
      <c r="XCC155" s="3060"/>
      <c r="XCD155" s="3060"/>
      <c r="XCE155" s="3060"/>
      <c r="XCF155" s="3060"/>
      <c r="XCG155" s="3060"/>
      <c r="XCH155" s="3060"/>
      <c r="XCI155" s="3060"/>
      <c r="XCJ155" s="3060"/>
      <c r="XCK155" s="3060"/>
      <c r="XCL155" s="3060"/>
      <c r="XCM155" s="3060"/>
      <c r="XCN155" s="3060"/>
      <c r="XCO155" s="3060"/>
      <c r="XCP155" s="3060"/>
      <c r="XCQ155" s="3060"/>
      <c r="XCR155" s="3060"/>
      <c r="XCS155" s="3060"/>
      <c r="XCT155" s="3060"/>
      <c r="XCU155" s="3060"/>
      <c r="XCV155" s="3060"/>
      <c r="XCW155" s="3060"/>
      <c r="XCX155" s="3060"/>
      <c r="XCY155" s="3060"/>
      <c r="XCZ155" s="3060"/>
      <c r="XDA155" s="3060"/>
      <c r="XDB155" s="3060"/>
      <c r="XDC155" s="3060"/>
      <c r="XDD155" s="3060"/>
      <c r="XDE155" s="3060"/>
      <c r="XDF155" s="3060"/>
      <c r="XDG155" s="3060"/>
      <c r="XDH155" s="3060"/>
      <c r="XDI155" s="3060"/>
      <c r="XDJ155" s="3060"/>
      <c r="XDK155" s="3060"/>
      <c r="XDL155" s="3060"/>
      <c r="XDM155" s="3060"/>
      <c r="XDN155" s="3060"/>
      <c r="XDO155" s="3060"/>
      <c r="XDP155" s="3060"/>
      <c r="XDQ155" s="3060"/>
      <c r="XDR155" s="3060"/>
      <c r="XDS155" s="3060"/>
      <c r="XDT155" s="3060"/>
      <c r="XDU155" s="3060"/>
      <c r="XDV155" s="3060"/>
      <c r="XDW155" s="3060"/>
      <c r="XDX155" s="3060"/>
      <c r="XDY155" s="3060"/>
      <c r="XDZ155" s="3060"/>
      <c r="XEA155" s="3060"/>
      <c r="XEB155" s="3060"/>
      <c r="XEC155" s="3060"/>
      <c r="XED155" s="3060"/>
      <c r="XEE155" s="3060"/>
      <c r="XEF155" s="3060"/>
      <c r="XEG155" s="3060"/>
      <c r="XEH155" s="3060"/>
      <c r="XEI155" s="3060"/>
      <c r="XEJ155" s="3060"/>
      <c r="XEK155" s="3060"/>
      <c r="XEL155" s="3060"/>
      <c r="XEM155" s="3060"/>
      <c r="XEN155" s="3060"/>
      <c r="XEO155" s="3060"/>
      <c r="XEP155" s="3060"/>
      <c r="XEQ155" s="3060"/>
      <c r="XER155" s="3060"/>
      <c r="XES155" s="3060"/>
      <c r="XET155" s="3060"/>
      <c r="XEU155" s="3060"/>
      <c r="XEV155" s="3060"/>
      <c r="XEW155" s="3060"/>
      <c r="XEX155" s="3060"/>
      <c r="XEY155" s="3060"/>
      <c r="XEZ155" s="3060"/>
      <c r="XFA155" s="3060"/>
      <c r="XFB155" s="3060"/>
      <c r="XFC155" s="3060"/>
      <c r="XFD155" s="3060"/>
    </row>
    <row r="156" spans="1:16384" s="3083" customFormat="1" ht="18.75" x14ac:dyDescent="0.2">
      <c r="A156" s="3082"/>
      <c r="B156" s="3061"/>
      <c r="C156" s="3061"/>
      <c r="D156" s="3061"/>
      <c r="E156" s="3061"/>
      <c r="F156" s="3061"/>
      <c r="G156" s="3061"/>
      <c r="H156" s="3061"/>
      <c r="I156" s="3061"/>
      <c r="J156" s="3061"/>
      <c r="K156" s="3061"/>
      <c r="L156" s="3061"/>
      <c r="M156" s="3061"/>
      <c r="N156" s="3061"/>
      <c r="O156" s="3061"/>
      <c r="P156" s="3061"/>
      <c r="Q156" s="3061"/>
      <c r="R156" s="3061"/>
      <c r="S156" s="2923"/>
      <c r="T156" s="3061"/>
      <c r="U156" s="3062"/>
      <c r="V156" s="3061"/>
      <c r="W156" s="3061"/>
      <c r="X156" s="3061"/>
      <c r="Y156" s="3061"/>
      <c r="Z156" s="3061"/>
      <c r="AA156" s="3061"/>
      <c r="AB156" s="3061"/>
      <c r="AC156" s="3061"/>
      <c r="AD156" s="3061"/>
      <c r="AE156" s="3061"/>
      <c r="AF156" s="3063"/>
      <c r="AG156" s="3060"/>
      <c r="AH156" s="3060"/>
      <c r="AI156" s="3060"/>
      <c r="AJ156" s="3060"/>
      <c r="AK156" s="3060"/>
      <c r="AL156" s="3060"/>
      <c r="AM156" s="3060"/>
      <c r="AN156" s="3060"/>
      <c r="AO156" s="3060"/>
      <c r="AP156" s="3060"/>
      <c r="AQ156" s="3060"/>
      <c r="AR156" s="3060"/>
      <c r="AS156" s="3060"/>
      <c r="AT156" s="3060"/>
      <c r="AU156" s="3060"/>
      <c r="AV156" s="3060"/>
      <c r="AW156" s="3060"/>
      <c r="AX156" s="3060"/>
      <c r="AY156" s="3060"/>
      <c r="AZ156" s="3060"/>
      <c r="BA156" s="3060"/>
      <c r="BB156" s="3060"/>
      <c r="BC156" s="3060"/>
      <c r="BD156" s="3060"/>
      <c r="BE156" s="3060"/>
      <c r="BF156" s="3060"/>
      <c r="BG156" s="3060"/>
      <c r="BH156" s="3060"/>
      <c r="BI156" s="3060"/>
      <c r="BJ156" s="3060"/>
      <c r="BK156" s="3060"/>
      <c r="BL156" s="3060"/>
      <c r="BM156" s="3060"/>
      <c r="BN156" s="3060"/>
      <c r="BO156" s="3060"/>
      <c r="BP156" s="3060"/>
      <c r="BQ156" s="3060"/>
      <c r="BR156" s="3060"/>
      <c r="BS156" s="3060"/>
      <c r="BT156" s="3060"/>
      <c r="BU156" s="3060"/>
      <c r="BV156" s="3060"/>
      <c r="BW156" s="3060"/>
      <c r="BX156" s="3060"/>
      <c r="BY156" s="3060"/>
      <c r="BZ156" s="3060"/>
      <c r="CA156" s="3060"/>
      <c r="CB156" s="3060"/>
      <c r="CC156" s="3060"/>
      <c r="CD156" s="3060"/>
      <c r="CE156" s="3060"/>
      <c r="CF156" s="3060"/>
      <c r="CG156" s="3060"/>
      <c r="CH156" s="3060"/>
      <c r="CI156" s="3060"/>
      <c r="CJ156" s="3060"/>
      <c r="CK156" s="3060"/>
      <c r="CL156" s="3060"/>
      <c r="CM156" s="3060"/>
      <c r="CN156" s="3060"/>
      <c r="CO156" s="3060"/>
      <c r="CP156" s="3060"/>
      <c r="CQ156" s="3060"/>
      <c r="CR156" s="3060"/>
      <c r="CS156" s="3060"/>
      <c r="CT156" s="3060"/>
      <c r="CU156" s="3060"/>
      <c r="CV156" s="3060"/>
      <c r="CW156" s="3060"/>
      <c r="CX156" s="3060"/>
      <c r="CY156" s="3060"/>
      <c r="CZ156" s="3060"/>
      <c r="DA156" s="3060"/>
      <c r="DB156" s="3060"/>
      <c r="DC156" s="3060"/>
      <c r="DD156" s="3060"/>
      <c r="DE156" s="3060"/>
      <c r="DF156" s="3060"/>
      <c r="DG156" s="3060"/>
      <c r="DH156" s="3060"/>
      <c r="DI156" s="3060"/>
      <c r="DJ156" s="3060"/>
      <c r="DK156" s="3060"/>
      <c r="DL156" s="3060"/>
      <c r="DM156" s="3060"/>
      <c r="DN156" s="3060"/>
      <c r="DO156" s="3060"/>
      <c r="DP156" s="3060"/>
      <c r="DQ156" s="3060"/>
      <c r="DR156" s="3060"/>
      <c r="DS156" s="3060"/>
      <c r="DT156" s="3060"/>
      <c r="DU156" s="3060"/>
      <c r="DV156" s="3060"/>
      <c r="DW156" s="3060"/>
      <c r="DX156" s="3060"/>
      <c r="DY156" s="3060"/>
      <c r="DZ156" s="3060"/>
      <c r="EA156" s="3060"/>
      <c r="EB156" s="3060"/>
      <c r="EC156" s="3060"/>
      <c r="ED156" s="3060"/>
      <c r="EE156" s="3060"/>
      <c r="EF156" s="3060"/>
      <c r="EG156" s="3060"/>
      <c r="EH156" s="3060"/>
      <c r="EI156" s="3060"/>
      <c r="EJ156" s="3060"/>
      <c r="EK156" s="3060"/>
      <c r="EL156" s="3060"/>
      <c r="EM156" s="3060"/>
      <c r="EN156" s="3060"/>
      <c r="EO156" s="3060"/>
      <c r="EP156" s="3060"/>
      <c r="EQ156" s="3060"/>
      <c r="ER156" s="3060"/>
      <c r="ES156" s="3060"/>
      <c r="ET156" s="3060"/>
      <c r="EU156" s="3060"/>
      <c r="EV156" s="3060"/>
      <c r="EW156" s="3060"/>
      <c r="EX156" s="3060"/>
      <c r="EY156" s="3060"/>
      <c r="EZ156" s="3060"/>
      <c r="FA156" s="3060"/>
      <c r="FB156" s="3060"/>
      <c r="FC156" s="3060"/>
      <c r="FD156" s="3060"/>
      <c r="FE156" s="3060"/>
      <c r="FF156" s="3060"/>
      <c r="FG156" s="3060"/>
      <c r="FH156" s="3060"/>
      <c r="FI156" s="3060"/>
      <c r="FJ156" s="3060"/>
      <c r="FK156" s="3060"/>
      <c r="FL156" s="3060"/>
      <c r="FM156" s="3060"/>
      <c r="FN156" s="3060"/>
      <c r="FO156" s="3060"/>
      <c r="FP156" s="3060"/>
      <c r="FQ156" s="3060"/>
      <c r="FR156" s="3060"/>
      <c r="FS156" s="3060"/>
      <c r="FT156" s="3060"/>
      <c r="FU156" s="3060"/>
      <c r="FV156" s="3060"/>
      <c r="FW156" s="3060"/>
      <c r="FX156" s="3060"/>
      <c r="FY156" s="3060"/>
      <c r="FZ156" s="3060"/>
      <c r="GA156" s="3060"/>
      <c r="GB156" s="3060"/>
      <c r="GC156" s="3060"/>
      <c r="GD156" s="3060"/>
      <c r="GE156" s="3060"/>
      <c r="GF156" s="3060"/>
      <c r="GG156" s="3060"/>
      <c r="GH156" s="3060"/>
      <c r="GI156" s="3060"/>
      <c r="GJ156" s="3060"/>
      <c r="GK156" s="3060"/>
      <c r="GL156" s="3060"/>
      <c r="GM156" s="3060"/>
      <c r="GN156" s="3060"/>
      <c r="GO156" s="3060"/>
      <c r="GP156" s="3060"/>
      <c r="GQ156" s="3060"/>
      <c r="GR156" s="3060"/>
      <c r="GS156" s="3060"/>
      <c r="GT156" s="3060"/>
      <c r="GU156" s="3060"/>
      <c r="GV156" s="3060"/>
      <c r="GW156" s="3060"/>
      <c r="GX156" s="3060"/>
      <c r="GY156" s="3060"/>
      <c r="GZ156" s="3060"/>
      <c r="HA156" s="3060"/>
      <c r="HB156" s="3060"/>
      <c r="HC156" s="3060"/>
      <c r="HD156" s="3060"/>
      <c r="HE156" s="3060"/>
      <c r="HF156" s="3060"/>
      <c r="HG156" s="3060"/>
      <c r="HH156" s="3060"/>
      <c r="HI156" s="3060"/>
      <c r="HJ156" s="3060"/>
      <c r="HK156" s="3060"/>
      <c r="HL156" s="3060"/>
      <c r="HM156" s="3060"/>
      <c r="HN156" s="3060"/>
      <c r="HO156" s="3060"/>
      <c r="HP156" s="3060"/>
      <c r="HQ156" s="3060"/>
      <c r="HR156" s="3060"/>
      <c r="HS156" s="3060"/>
      <c r="HT156" s="3060"/>
      <c r="HU156" s="3060"/>
      <c r="HV156" s="3060"/>
      <c r="HW156" s="3060"/>
      <c r="HX156" s="3060"/>
      <c r="HY156" s="3060"/>
      <c r="HZ156" s="3060"/>
      <c r="IA156" s="3060"/>
      <c r="IB156" s="3060"/>
      <c r="IC156" s="3060"/>
      <c r="ID156" s="3060"/>
      <c r="IE156" s="3060"/>
      <c r="IF156" s="3060"/>
      <c r="IG156" s="3060"/>
      <c r="IH156" s="3060"/>
      <c r="II156" s="3060"/>
      <c r="IJ156" s="3060"/>
      <c r="IK156" s="3060"/>
      <c r="IL156" s="3060"/>
      <c r="IM156" s="3060"/>
      <c r="IN156" s="3060"/>
      <c r="IO156" s="3060"/>
      <c r="IP156" s="3060"/>
      <c r="IQ156" s="3060"/>
      <c r="IR156" s="3060"/>
      <c r="IS156" s="3060"/>
      <c r="IT156" s="3060"/>
      <c r="IU156" s="3060"/>
      <c r="IV156" s="3060"/>
      <c r="IW156" s="3060"/>
      <c r="IX156" s="3060"/>
      <c r="IY156" s="3060"/>
      <c r="IZ156" s="3060"/>
      <c r="JA156" s="3060"/>
      <c r="JB156" s="3060"/>
      <c r="JC156" s="3060"/>
      <c r="JD156" s="3060"/>
      <c r="JE156" s="3060"/>
      <c r="JF156" s="3060"/>
      <c r="JG156" s="3060"/>
      <c r="JH156" s="3060"/>
      <c r="JI156" s="3060"/>
      <c r="JJ156" s="3060"/>
      <c r="JK156" s="3060"/>
      <c r="JL156" s="3060"/>
      <c r="JM156" s="3060"/>
      <c r="JN156" s="3060"/>
      <c r="JO156" s="3060"/>
      <c r="JP156" s="3060"/>
      <c r="JQ156" s="3060"/>
      <c r="JR156" s="3060"/>
      <c r="JS156" s="3060"/>
      <c r="JT156" s="3060"/>
      <c r="JU156" s="3060"/>
      <c r="JV156" s="3060"/>
      <c r="JW156" s="3060"/>
      <c r="JX156" s="3060"/>
      <c r="JY156" s="3060"/>
      <c r="JZ156" s="3060"/>
      <c r="KA156" s="3060"/>
      <c r="KB156" s="3060"/>
      <c r="KC156" s="3060"/>
      <c r="KD156" s="3060"/>
      <c r="KE156" s="3060"/>
      <c r="KF156" s="3060"/>
      <c r="KG156" s="3060"/>
      <c r="KH156" s="3060"/>
      <c r="KI156" s="3060"/>
      <c r="KJ156" s="3060"/>
      <c r="KK156" s="3060"/>
      <c r="KL156" s="3060"/>
      <c r="KM156" s="3060"/>
      <c r="KN156" s="3060"/>
      <c r="KO156" s="3060"/>
      <c r="KP156" s="3060"/>
      <c r="KQ156" s="3060"/>
      <c r="KR156" s="3060"/>
      <c r="KS156" s="3060"/>
      <c r="KT156" s="3060"/>
      <c r="KU156" s="3060"/>
      <c r="KV156" s="3060"/>
      <c r="KW156" s="3060"/>
      <c r="KX156" s="3060"/>
      <c r="KY156" s="3060"/>
      <c r="KZ156" s="3060"/>
      <c r="LA156" s="3060"/>
      <c r="LB156" s="3060"/>
      <c r="LC156" s="3060"/>
      <c r="LD156" s="3060"/>
      <c r="LE156" s="3060"/>
      <c r="LF156" s="3060"/>
      <c r="LG156" s="3060"/>
      <c r="LH156" s="3060"/>
      <c r="LI156" s="3060"/>
      <c r="LJ156" s="3060"/>
      <c r="LK156" s="3060"/>
      <c r="LL156" s="3060"/>
      <c r="LM156" s="3060"/>
      <c r="LN156" s="3060"/>
      <c r="LO156" s="3060"/>
      <c r="LP156" s="3060"/>
      <c r="LQ156" s="3060"/>
      <c r="LR156" s="3060"/>
      <c r="LS156" s="3060"/>
      <c r="LT156" s="3060"/>
      <c r="LU156" s="3060"/>
      <c r="LV156" s="3060"/>
      <c r="LW156" s="3060"/>
      <c r="LX156" s="3060"/>
      <c r="LY156" s="3060"/>
      <c r="LZ156" s="3060"/>
      <c r="MA156" s="3060"/>
      <c r="MB156" s="3060"/>
      <c r="MC156" s="3060"/>
      <c r="MD156" s="3060"/>
      <c r="ME156" s="3060"/>
      <c r="MF156" s="3060"/>
      <c r="MG156" s="3060"/>
      <c r="MH156" s="3060"/>
      <c r="MI156" s="3060"/>
      <c r="MJ156" s="3060"/>
      <c r="MK156" s="3060"/>
      <c r="ML156" s="3060"/>
      <c r="MM156" s="3060"/>
      <c r="MN156" s="3060"/>
      <c r="MO156" s="3060"/>
      <c r="MP156" s="3060"/>
      <c r="MQ156" s="3060"/>
      <c r="MR156" s="3060"/>
      <c r="MS156" s="3060"/>
      <c r="MT156" s="3060"/>
      <c r="MU156" s="3060"/>
      <c r="MV156" s="3060"/>
      <c r="MW156" s="3060"/>
      <c r="MX156" s="3060"/>
      <c r="MY156" s="3060"/>
      <c r="MZ156" s="3060"/>
      <c r="NA156" s="3060"/>
      <c r="NB156" s="3060"/>
      <c r="NC156" s="3060"/>
      <c r="ND156" s="3060"/>
      <c r="NE156" s="3060"/>
      <c r="NF156" s="3060"/>
      <c r="NG156" s="3060"/>
      <c r="NH156" s="3060"/>
      <c r="NI156" s="3060"/>
      <c r="NJ156" s="3060"/>
      <c r="NK156" s="3060"/>
      <c r="NL156" s="3060"/>
      <c r="NM156" s="3060"/>
      <c r="NN156" s="3060"/>
      <c r="NO156" s="3060"/>
      <c r="NP156" s="3060"/>
      <c r="NQ156" s="3060"/>
      <c r="NR156" s="3060"/>
      <c r="NS156" s="3060"/>
      <c r="NT156" s="3060"/>
      <c r="NU156" s="3060"/>
      <c r="NV156" s="3060"/>
      <c r="NW156" s="3060"/>
      <c r="NX156" s="3060"/>
      <c r="NY156" s="3060"/>
      <c r="NZ156" s="3060"/>
      <c r="OA156" s="3060"/>
      <c r="OB156" s="3060"/>
      <c r="OC156" s="3060"/>
      <c r="OD156" s="3060"/>
      <c r="OE156" s="3060"/>
      <c r="OF156" s="3060"/>
      <c r="OG156" s="3060"/>
      <c r="OH156" s="3060"/>
      <c r="OI156" s="3060"/>
      <c r="OJ156" s="3060"/>
      <c r="OK156" s="3060"/>
      <c r="OL156" s="3060"/>
      <c r="OM156" s="3060"/>
      <c r="ON156" s="3060"/>
      <c r="OO156" s="3060"/>
      <c r="OP156" s="3060"/>
      <c r="OQ156" s="3060"/>
      <c r="OR156" s="3060"/>
      <c r="OS156" s="3060"/>
      <c r="OT156" s="3060"/>
      <c r="OU156" s="3060"/>
      <c r="OV156" s="3060"/>
      <c r="OW156" s="3060"/>
      <c r="OX156" s="3060"/>
      <c r="OY156" s="3060"/>
      <c r="OZ156" s="3060"/>
      <c r="PA156" s="3060"/>
      <c r="PB156" s="3060"/>
      <c r="PC156" s="3060"/>
      <c r="PD156" s="3060"/>
      <c r="PE156" s="3060"/>
      <c r="PF156" s="3060"/>
      <c r="PG156" s="3060"/>
      <c r="PH156" s="3060"/>
      <c r="PI156" s="3060"/>
      <c r="PJ156" s="3060"/>
      <c r="PK156" s="3060"/>
      <c r="PL156" s="3060"/>
      <c r="PM156" s="3060"/>
      <c r="PN156" s="3060"/>
      <c r="PO156" s="3060"/>
      <c r="PP156" s="3060"/>
      <c r="PQ156" s="3060"/>
      <c r="PR156" s="3060"/>
      <c r="PS156" s="3060"/>
      <c r="PT156" s="3060"/>
      <c r="PU156" s="3060"/>
      <c r="PV156" s="3060"/>
      <c r="PW156" s="3060"/>
      <c r="PX156" s="3060"/>
      <c r="PY156" s="3060"/>
      <c r="PZ156" s="3060"/>
      <c r="QA156" s="3060"/>
      <c r="QB156" s="3060"/>
      <c r="QC156" s="3060"/>
      <c r="QD156" s="3060"/>
      <c r="QE156" s="3060"/>
      <c r="QF156" s="3060"/>
      <c r="QG156" s="3060"/>
      <c r="QH156" s="3060"/>
      <c r="QI156" s="3060"/>
      <c r="QJ156" s="3060"/>
      <c r="QK156" s="3060"/>
      <c r="QL156" s="3060"/>
      <c r="QM156" s="3060"/>
      <c r="QN156" s="3060"/>
      <c r="QO156" s="3060"/>
      <c r="QP156" s="3060"/>
      <c r="QQ156" s="3060"/>
      <c r="QR156" s="3060"/>
      <c r="QS156" s="3060"/>
      <c r="QT156" s="3060"/>
      <c r="QU156" s="3060"/>
      <c r="QV156" s="3060"/>
      <c r="QW156" s="3060"/>
      <c r="QX156" s="3060"/>
      <c r="QY156" s="3060"/>
      <c r="QZ156" s="3060"/>
      <c r="RA156" s="3060"/>
      <c r="RB156" s="3060"/>
      <c r="RC156" s="3060"/>
      <c r="RD156" s="3060"/>
      <c r="RE156" s="3060"/>
      <c r="RF156" s="3060"/>
      <c r="RG156" s="3060"/>
      <c r="RH156" s="3060"/>
      <c r="RI156" s="3060"/>
      <c r="RJ156" s="3060"/>
      <c r="RK156" s="3060"/>
      <c r="RL156" s="3060"/>
      <c r="RM156" s="3060"/>
      <c r="RN156" s="3060"/>
      <c r="RO156" s="3060"/>
      <c r="RP156" s="3060"/>
      <c r="RQ156" s="3060"/>
      <c r="RR156" s="3060"/>
      <c r="RS156" s="3060"/>
      <c r="RT156" s="3060"/>
      <c r="RU156" s="3060"/>
      <c r="RV156" s="3060"/>
      <c r="RW156" s="3060"/>
      <c r="RX156" s="3060"/>
      <c r="RY156" s="3060"/>
      <c r="RZ156" s="3060"/>
      <c r="SA156" s="3060"/>
      <c r="SB156" s="3060"/>
      <c r="SC156" s="3060"/>
      <c r="SD156" s="3060"/>
      <c r="SE156" s="3060"/>
      <c r="SF156" s="3060"/>
      <c r="SG156" s="3060"/>
      <c r="SH156" s="3060"/>
      <c r="SI156" s="3060"/>
      <c r="SJ156" s="3060"/>
      <c r="SK156" s="3060"/>
      <c r="SL156" s="3060"/>
      <c r="SM156" s="3060"/>
      <c r="SN156" s="3060"/>
      <c r="SO156" s="3060"/>
      <c r="SP156" s="3060"/>
      <c r="SQ156" s="3060"/>
      <c r="SR156" s="3060"/>
      <c r="SS156" s="3060"/>
      <c r="ST156" s="3060"/>
      <c r="SU156" s="3060"/>
      <c r="SV156" s="3060"/>
      <c r="SW156" s="3060"/>
      <c r="SX156" s="3060"/>
      <c r="SY156" s="3060"/>
      <c r="SZ156" s="3060"/>
      <c r="TA156" s="3060"/>
      <c r="TB156" s="3060"/>
      <c r="TC156" s="3060"/>
      <c r="TD156" s="3060"/>
      <c r="TE156" s="3060"/>
      <c r="TF156" s="3060"/>
      <c r="TG156" s="3060"/>
      <c r="TH156" s="3060"/>
      <c r="TI156" s="3060"/>
      <c r="TJ156" s="3060"/>
      <c r="TK156" s="3060"/>
      <c r="TL156" s="3060"/>
      <c r="TM156" s="3060"/>
      <c r="TN156" s="3060"/>
      <c r="TO156" s="3060"/>
      <c r="TP156" s="3060"/>
      <c r="TQ156" s="3060"/>
      <c r="TR156" s="3060"/>
      <c r="TS156" s="3060"/>
      <c r="TT156" s="3060"/>
      <c r="TU156" s="3060"/>
      <c r="TV156" s="3060"/>
      <c r="TW156" s="3060"/>
      <c r="TX156" s="3060"/>
      <c r="TY156" s="3060"/>
      <c r="TZ156" s="3060"/>
      <c r="UA156" s="3060"/>
      <c r="UB156" s="3060"/>
      <c r="UC156" s="3060"/>
      <c r="UD156" s="3060"/>
      <c r="UE156" s="3060"/>
      <c r="UF156" s="3060"/>
      <c r="UG156" s="3060"/>
      <c r="UH156" s="3060"/>
      <c r="UI156" s="3060"/>
      <c r="UJ156" s="3060"/>
      <c r="UK156" s="3060"/>
      <c r="UL156" s="3060"/>
      <c r="UM156" s="3060"/>
      <c r="UN156" s="3060"/>
      <c r="UO156" s="3060"/>
      <c r="UP156" s="3060"/>
      <c r="UQ156" s="3060"/>
      <c r="UR156" s="3060"/>
      <c r="US156" s="3060"/>
      <c r="UT156" s="3060"/>
      <c r="UU156" s="3060"/>
      <c r="UV156" s="3060"/>
      <c r="UW156" s="3060"/>
      <c r="UX156" s="3060"/>
      <c r="UY156" s="3060"/>
      <c r="UZ156" s="3060"/>
      <c r="VA156" s="3060"/>
      <c r="VB156" s="3060"/>
      <c r="VC156" s="3060"/>
      <c r="VD156" s="3060"/>
      <c r="VE156" s="3060"/>
      <c r="VF156" s="3060"/>
      <c r="VG156" s="3060"/>
      <c r="VH156" s="3060"/>
      <c r="VI156" s="3060"/>
      <c r="VJ156" s="3060"/>
      <c r="VK156" s="3060"/>
      <c r="VL156" s="3060"/>
      <c r="VM156" s="3060"/>
      <c r="VN156" s="3060"/>
      <c r="VO156" s="3060"/>
      <c r="VP156" s="3060"/>
      <c r="VQ156" s="3060"/>
      <c r="VR156" s="3060"/>
      <c r="VS156" s="3060"/>
      <c r="VT156" s="3060"/>
      <c r="VU156" s="3060"/>
      <c r="VV156" s="3060"/>
      <c r="VW156" s="3060"/>
      <c r="VX156" s="3060"/>
      <c r="VY156" s="3060"/>
      <c r="VZ156" s="3060"/>
      <c r="WA156" s="3060"/>
      <c r="WB156" s="3060"/>
      <c r="WC156" s="3060"/>
      <c r="WD156" s="3060"/>
      <c r="WE156" s="3060"/>
      <c r="WF156" s="3060"/>
      <c r="WG156" s="3060"/>
      <c r="WH156" s="3060"/>
      <c r="WI156" s="3060"/>
      <c r="WJ156" s="3060"/>
      <c r="WK156" s="3060"/>
      <c r="WL156" s="3060"/>
      <c r="WM156" s="3060"/>
      <c r="WN156" s="3060"/>
      <c r="WO156" s="3060"/>
      <c r="WP156" s="3060"/>
      <c r="WQ156" s="3060"/>
      <c r="WR156" s="3060"/>
      <c r="WS156" s="3060"/>
      <c r="WT156" s="3060"/>
      <c r="WU156" s="3060"/>
      <c r="WV156" s="3060"/>
      <c r="WW156" s="3060"/>
      <c r="WX156" s="3060"/>
      <c r="WY156" s="3060"/>
      <c r="WZ156" s="3060"/>
      <c r="XA156" s="3060"/>
      <c r="XB156" s="3060"/>
      <c r="XC156" s="3060"/>
      <c r="XD156" s="3060"/>
      <c r="XE156" s="3060"/>
      <c r="XF156" s="3060"/>
      <c r="XG156" s="3060"/>
      <c r="XH156" s="3060"/>
      <c r="XI156" s="3060"/>
      <c r="XJ156" s="3060"/>
      <c r="XK156" s="3060"/>
      <c r="XL156" s="3060"/>
      <c r="XM156" s="3060"/>
      <c r="XN156" s="3060"/>
      <c r="XO156" s="3060"/>
      <c r="XP156" s="3060"/>
      <c r="XQ156" s="3060"/>
      <c r="XR156" s="3060"/>
      <c r="XS156" s="3060"/>
      <c r="XT156" s="3060"/>
      <c r="XU156" s="3060"/>
      <c r="XV156" s="3060"/>
      <c r="XW156" s="3060"/>
      <c r="XX156" s="3060"/>
      <c r="XY156" s="3060"/>
      <c r="XZ156" s="3060"/>
      <c r="YA156" s="3060"/>
      <c r="YB156" s="3060"/>
      <c r="YC156" s="3060"/>
      <c r="YD156" s="3060"/>
      <c r="YE156" s="3060"/>
      <c r="YF156" s="3060"/>
      <c r="YG156" s="3060"/>
      <c r="YH156" s="3060"/>
      <c r="YI156" s="3060"/>
      <c r="YJ156" s="3060"/>
      <c r="YK156" s="3060"/>
      <c r="YL156" s="3060"/>
      <c r="YM156" s="3060"/>
      <c r="YN156" s="3060"/>
      <c r="YO156" s="3060"/>
      <c r="YP156" s="3060"/>
      <c r="YQ156" s="3060"/>
      <c r="YR156" s="3060"/>
      <c r="YS156" s="3060"/>
      <c r="YT156" s="3060"/>
      <c r="YU156" s="3060"/>
      <c r="YV156" s="3060"/>
      <c r="YW156" s="3060"/>
      <c r="YX156" s="3060"/>
      <c r="YY156" s="3060"/>
      <c r="YZ156" s="3060"/>
      <c r="ZA156" s="3060"/>
      <c r="ZB156" s="3060"/>
      <c r="ZC156" s="3060"/>
      <c r="ZD156" s="3060"/>
      <c r="ZE156" s="3060"/>
      <c r="ZF156" s="3060"/>
      <c r="ZG156" s="3060"/>
      <c r="ZH156" s="3060"/>
      <c r="ZI156" s="3060"/>
      <c r="ZJ156" s="3060"/>
      <c r="ZK156" s="3060"/>
      <c r="ZL156" s="3060"/>
      <c r="ZM156" s="3060"/>
      <c r="ZN156" s="3060"/>
      <c r="ZO156" s="3060"/>
      <c r="ZP156" s="3060"/>
      <c r="ZQ156" s="3060"/>
      <c r="ZR156" s="3060"/>
      <c r="ZS156" s="3060"/>
      <c r="ZT156" s="3060"/>
      <c r="ZU156" s="3060"/>
      <c r="ZV156" s="3060"/>
      <c r="ZW156" s="3060"/>
      <c r="ZX156" s="3060"/>
      <c r="ZY156" s="3060"/>
      <c r="ZZ156" s="3060"/>
      <c r="AAA156" s="3060"/>
      <c r="AAB156" s="3060"/>
      <c r="AAC156" s="3060"/>
      <c r="AAD156" s="3060"/>
      <c r="AAE156" s="3060"/>
      <c r="AAF156" s="3060"/>
      <c r="AAG156" s="3060"/>
      <c r="AAH156" s="3060"/>
      <c r="AAI156" s="3060"/>
      <c r="AAJ156" s="3060"/>
      <c r="AAK156" s="3060"/>
      <c r="AAL156" s="3060"/>
      <c r="AAM156" s="3060"/>
      <c r="AAN156" s="3060"/>
      <c r="AAO156" s="3060"/>
      <c r="AAP156" s="3060"/>
      <c r="AAQ156" s="3060"/>
      <c r="AAR156" s="3060"/>
      <c r="AAS156" s="3060"/>
      <c r="AAT156" s="3060"/>
      <c r="AAU156" s="3060"/>
      <c r="AAV156" s="3060"/>
      <c r="AAW156" s="3060"/>
      <c r="AAX156" s="3060"/>
      <c r="AAY156" s="3060"/>
      <c r="AAZ156" s="3060"/>
      <c r="ABA156" s="3060"/>
      <c r="ABB156" s="3060"/>
      <c r="ABC156" s="3060"/>
      <c r="ABD156" s="3060"/>
      <c r="ABE156" s="3060"/>
      <c r="ABF156" s="3060"/>
      <c r="ABG156" s="3060"/>
      <c r="ABH156" s="3060"/>
      <c r="ABI156" s="3060"/>
      <c r="ABJ156" s="3060"/>
      <c r="ABK156" s="3060"/>
      <c r="ABL156" s="3060"/>
      <c r="ABM156" s="3060"/>
      <c r="ABN156" s="3060"/>
      <c r="ABO156" s="3060"/>
      <c r="ABP156" s="3060"/>
      <c r="ABQ156" s="3060"/>
      <c r="ABR156" s="3060"/>
      <c r="ABS156" s="3060"/>
      <c r="ABT156" s="3060"/>
      <c r="ABU156" s="3060"/>
      <c r="ABV156" s="3060"/>
      <c r="ABW156" s="3060"/>
      <c r="ABX156" s="3060"/>
      <c r="ABY156" s="3060"/>
      <c r="ABZ156" s="3060"/>
      <c r="ACA156" s="3060"/>
      <c r="ACB156" s="3060"/>
      <c r="ACC156" s="3060"/>
      <c r="ACD156" s="3060"/>
      <c r="ACE156" s="3060"/>
      <c r="ACF156" s="3060"/>
      <c r="ACG156" s="3060"/>
      <c r="ACH156" s="3060"/>
      <c r="ACI156" s="3060"/>
      <c r="ACJ156" s="3060"/>
      <c r="ACK156" s="3060"/>
      <c r="ACL156" s="3060"/>
      <c r="ACM156" s="3060"/>
      <c r="ACN156" s="3060"/>
      <c r="ACO156" s="3060"/>
      <c r="ACP156" s="3060"/>
      <c r="ACQ156" s="3060"/>
      <c r="ACR156" s="3060"/>
      <c r="ACS156" s="3060"/>
      <c r="ACT156" s="3060"/>
      <c r="ACU156" s="3060"/>
      <c r="ACV156" s="3060"/>
      <c r="ACW156" s="3060"/>
      <c r="ACX156" s="3060"/>
      <c r="ACY156" s="3060"/>
      <c r="ACZ156" s="3060"/>
      <c r="ADA156" s="3060"/>
      <c r="ADB156" s="3060"/>
      <c r="ADC156" s="3060"/>
      <c r="ADD156" s="3060"/>
      <c r="ADE156" s="3060"/>
      <c r="ADF156" s="3060"/>
      <c r="ADG156" s="3060"/>
      <c r="ADH156" s="3060"/>
      <c r="ADI156" s="3060"/>
      <c r="ADJ156" s="3060"/>
      <c r="ADK156" s="3060"/>
      <c r="ADL156" s="3060"/>
      <c r="ADM156" s="3060"/>
      <c r="ADN156" s="3060"/>
      <c r="ADO156" s="3060"/>
      <c r="ADP156" s="3060"/>
      <c r="ADQ156" s="3060"/>
      <c r="ADR156" s="3060"/>
      <c r="ADS156" s="3060"/>
      <c r="ADT156" s="3060"/>
      <c r="ADU156" s="3060"/>
      <c r="ADV156" s="3060"/>
      <c r="ADW156" s="3060"/>
      <c r="ADX156" s="3060"/>
      <c r="ADY156" s="3060"/>
      <c r="ADZ156" s="3060"/>
      <c r="AEA156" s="3060"/>
      <c r="AEB156" s="3060"/>
      <c r="AEC156" s="3060"/>
      <c r="AED156" s="3060"/>
      <c r="AEE156" s="3060"/>
      <c r="AEF156" s="3060"/>
      <c r="AEG156" s="3060"/>
      <c r="AEH156" s="3060"/>
      <c r="AEI156" s="3060"/>
      <c r="AEJ156" s="3060"/>
      <c r="AEK156" s="3060"/>
      <c r="AEL156" s="3060"/>
      <c r="AEM156" s="3060"/>
      <c r="AEN156" s="3060"/>
      <c r="AEO156" s="3060"/>
      <c r="AEP156" s="3060"/>
      <c r="AEQ156" s="3060"/>
      <c r="AER156" s="3060"/>
      <c r="AES156" s="3060"/>
      <c r="AET156" s="3060"/>
      <c r="AEU156" s="3060"/>
      <c r="AEV156" s="3060"/>
      <c r="AEW156" s="3060"/>
      <c r="AEX156" s="3060"/>
      <c r="AEY156" s="3060"/>
      <c r="AEZ156" s="3060"/>
      <c r="AFA156" s="3060"/>
      <c r="AFB156" s="3060"/>
      <c r="AFC156" s="3060"/>
      <c r="AFD156" s="3060"/>
      <c r="AFE156" s="3060"/>
      <c r="AFF156" s="3060"/>
      <c r="AFG156" s="3060"/>
      <c r="AFH156" s="3060"/>
      <c r="AFI156" s="3060"/>
      <c r="AFJ156" s="3060"/>
      <c r="AFK156" s="3060"/>
      <c r="AFL156" s="3060"/>
      <c r="AFM156" s="3060"/>
      <c r="AFN156" s="3060"/>
      <c r="AFO156" s="3060"/>
      <c r="AFP156" s="3060"/>
      <c r="AFQ156" s="3060"/>
      <c r="AFR156" s="3060"/>
      <c r="AFS156" s="3060"/>
      <c r="AFT156" s="3060"/>
      <c r="AFU156" s="3060"/>
      <c r="AFV156" s="3060"/>
      <c r="AFW156" s="3060"/>
      <c r="AFX156" s="3060"/>
      <c r="AFY156" s="3060"/>
      <c r="AFZ156" s="3060"/>
      <c r="AGA156" s="3060"/>
      <c r="AGB156" s="3060"/>
      <c r="AGC156" s="3060"/>
      <c r="AGD156" s="3060"/>
      <c r="AGE156" s="3060"/>
      <c r="AGF156" s="3060"/>
      <c r="AGG156" s="3060"/>
      <c r="AGH156" s="3060"/>
      <c r="AGI156" s="3060"/>
      <c r="AGJ156" s="3060"/>
      <c r="AGK156" s="3060"/>
      <c r="AGL156" s="3060"/>
      <c r="AGM156" s="3060"/>
      <c r="AGN156" s="3060"/>
      <c r="AGO156" s="3060"/>
      <c r="AGP156" s="3060"/>
      <c r="AGQ156" s="3060"/>
      <c r="AGR156" s="3060"/>
      <c r="AGS156" s="3060"/>
      <c r="AGT156" s="3060"/>
      <c r="AGU156" s="3060"/>
      <c r="AGV156" s="3060"/>
      <c r="AGW156" s="3060"/>
      <c r="AGX156" s="3060"/>
      <c r="AGY156" s="3060"/>
      <c r="AGZ156" s="3060"/>
      <c r="AHA156" s="3060"/>
      <c r="AHB156" s="3060"/>
      <c r="AHC156" s="3060"/>
      <c r="AHD156" s="3060"/>
      <c r="AHE156" s="3060"/>
      <c r="AHF156" s="3060"/>
      <c r="AHG156" s="3060"/>
      <c r="AHH156" s="3060"/>
      <c r="AHI156" s="3060"/>
      <c r="AHJ156" s="3060"/>
      <c r="AHK156" s="3060"/>
      <c r="AHL156" s="3060"/>
      <c r="AHM156" s="3060"/>
      <c r="AHN156" s="3060"/>
      <c r="AHO156" s="3060"/>
      <c r="AHP156" s="3060"/>
      <c r="AHQ156" s="3060"/>
      <c r="AHR156" s="3060"/>
      <c r="AHS156" s="3060"/>
      <c r="AHT156" s="3060"/>
      <c r="AHU156" s="3060"/>
      <c r="AHV156" s="3060"/>
      <c r="AHW156" s="3060"/>
      <c r="AHX156" s="3060"/>
      <c r="AHY156" s="3060"/>
      <c r="AHZ156" s="3060"/>
      <c r="AIA156" s="3060"/>
      <c r="AIB156" s="3060"/>
      <c r="AIC156" s="3060"/>
      <c r="AID156" s="3060"/>
      <c r="AIE156" s="3060"/>
      <c r="AIF156" s="3060"/>
      <c r="AIG156" s="3060"/>
      <c r="AIH156" s="3060"/>
      <c r="AII156" s="3060"/>
      <c r="AIJ156" s="3060"/>
      <c r="AIK156" s="3060"/>
      <c r="AIL156" s="3060"/>
      <c r="AIM156" s="3060"/>
      <c r="AIN156" s="3060"/>
      <c r="AIO156" s="3060"/>
      <c r="AIP156" s="3060"/>
      <c r="AIQ156" s="3060"/>
      <c r="AIR156" s="3060"/>
      <c r="AIS156" s="3060"/>
      <c r="AIT156" s="3060"/>
      <c r="AIU156" s="3060"/>
      <c r="AIV156" s="3060"/>
      <c r="AIW156" s="3060"/>
      <c r="AIX156" s="3060"/>
      <c r="AIY156" s="3060"/>
      <c r="AIZ156" s="3060"/>
      <c r="AJA156" s="3060"/>
      <c r="AJB156" s="3060"/>
      <c r="AJC156" s="3060"/>
      <c r="AJD156" s="3060"/>
      <c r="AJE156" s="3060"/>
      <c r="AJF156" s="3060"/>
      <c r="AJG156" s="3060"/>
      <c r="AJH156" s="3060"/>
      <c r="AJI156" s="3060"/>
      <c r="AJJ156" s="3060"/>
      <c r="AJK156" s="3060"/>
      <c r="AJL156" s="3060"/>
      <c r="AJM156" s="3060"/>
      <c r="AJN156" s="3060"/>
      <c r="AJO156" s="3060"/>
      <c r="AJP156" s="3060"/>
      <c r="AJQ156" s="3060"/>
      <c r="AJR156" s="3060"/>
      <c r="AJS156" s="3060"/>
      <c r="AJT156" s="3060"/>
      <c r="AJU156" s="3060"/>
      <c r="AJV156" s="3060"/>
      <c r="AJW156" s="3060"/>
      <c r="AJX156" s="3060"/>
      <c r="AJY156" s="3060"/>
      <c r="AJZ156" s="3060"/>
      <c r="AKA156" s="3060"/>
      <c r="AKB156" s="3060"/>
      <c r="AKC156" s="3060"/>
      <c r="AKD156" s="3060"/>
      <c r="AKE156" s="3060"/>
      <c r="AKF156" s="3060"/>
      <c r="AKG156" s="3060"/>
      <c r="AKH156" s="3060"/>
      <c r="AKI156" s="3060"/>
      <c r="AKJ156" s="3060"/>
      <c r="AKK156" s="3060"/>
      <c r="AKL156" s="3060"/>
      <c r="AKM156" s="3060"/>
      <c r="AKN156" s="3060"/>
      <c r="AKO156" s="3060"/>
      <c r="AKP156" s="3060"/>
      <c r="AKQ156" s="3060"/>
      <c r="AKR156" s="3060"/>
      <c r="AKS156" s="3060"/>
      <c r="AKT156" s="3060"/>
      <c r="AKU156" s="3060"/>
      <c r="AKV156" s="3060"/>
      <c r="AKW156" s="3060"/>
      <c r="AKX156" s="3060"/>
      <c r="AKY156" s="3060"/>
      <c r="AKZ156" s="3060"/>
      <c r="ALA156" s="3060"/>
      <c r="ALB156" s="3060"/>
      <c r="ALC156" s="3060"/>
      <c r="ALD156" s="3060"/>
      <c r="ALE156" s="3060"/>
      <c r="ALF156" s="3060"/>
      <c r="ALG156" s="3060"/>
      <c r="ALH156" s="3060"/>
      <c r="ALI156" s="3060"/>
      <c r="ALJ156" s="3060"/>
      <c r="ALK156" s="3060"/>
      <c r="ALL156" s="3060"/>
      <c r="ALM156" s="3060"/>
      <c r="ALN156" s="3060"/>
      <c r="ALO156" s="3060"/>
      <c r="ALP156" s="3060"/>
      <c r="ALQ156" s="3060"/>
      <c r="ALR156" s="3060"/>
      <c r="ALS156" s="3060"/>
      <c r="ALT156" s="3060"/>
      <c r="ALU156" s="3060"/>
      <c r="ALV156" s="3060"/>
      <c r="ALW156" s="3060"/>
      <c r="ALX156" s="3060"/>
      <c r="ALY156" s="3060"/>
      <c r="ALZ156" s="3060"/>
      <c r="AMA156" s="3060"/>
      <c r="AMB156" s="3060"/>
      <c r="AMC156" s="3060"/>
      <c r="AMD156" s="3060"/>
      <c r="AME156" s="3060"/>
      <c r="AMF156" s="3060"/>
      <c r="AMG156" s="3060"/>
      <c r="AMH156" s="3060"/>
      <c r="AMI156" s="3060"/>
      <c r="AMJ156" s="3060"/>
      <c r="AMK156" s="3060"/>
      <c r="AML156" s="3060"/>
      <c r="AMM156" s="3060"/>
      <c r="AMN156" s="3060"/>
      <c r="AMO156" s="3060"/>
      <c r="AMP156" s="3060"/>
      <c r="AMQ156" s="3060"/>
      <c r="AMR156" s="3060"/>
      <c r="AMS156" s="3060"/>
      <c r="AMT156" s="3060"/>
      <c r="AMU156" s="3060"/>
      <c r="AMV156" s="3060"/>
      <c r="AMW156" s="3060"/>
      <c r="AMX156" s="3060"/>
      <c r="AMY156" s="3060"/>
      <c r="AMZ156" s="3060"/>
      <c r="ANA156" s="3060"/>
      <c r="ANB156" s="3060"/>
      <c r="ANC156" s="3060"/>
      <c r="AND156" s="3060"/>
      <c r="ANE156" s="3060"/>
      <c r="ANF156" s="3060"/>
      <c r="ANG156" s="3060"/>
      <c r="ANH156" s="3060"/>
      <c r="ANI156" s="3060"/>
      <c r="ANJ156" s="3060"/>
      <c r="ANK156" s="3060"/>
      <c r="ANL156" s="3060"/>
      <c r="ANM156" s="3060"/>
      <c r="ANN156" s="3060"/>
      <c r="ANO156" s="3060"/>
      <c r="ANP156" s="3060"/>
      <c r="ANQ156" s="3060"/>
      <c r="ANR156" s="3060"/>
      <c r="ANS156" s="3060"/>
      <c r="ANT156" s="3060"/>
      <c r="ANU156" s="3060"/>
      <c r="ANV156" s="3060"/>
      <c r="ANW156" s="3060"/>
      <c r="ANX156" s="3060"/>
      <c r="ANY156" s="3060"/>
      <c r="ANZ156" s="3060"/>
      <c r="AOA156" s="3060"/>
      <c r="AOB156" s="3060"/>
      <c r="AOC156" s="3060"/>
      <c r="AOD156" s="3060"/>
      <c r="AOE156" s="3060"/>
      <c r="AOF156" s="3060"/>
      <c r="AOG156" s="3060"/>
      <c r="AOH156" s="3060"/>
      <c r="AOI156" s="3060"/>
      <c r="AOJ156" s="3060"/>
      <c r="AOK156" s="3060"/>
      <c r="AOL156" s="3060"/>
      <c r="AOM156" s="3060"/>
      <c r="AON156" s="3060"/>
      <c r="AOO156" s="3060"/>
      <c r="AOP156" s="3060"/>
      <c r="AOQ156" s="3060"/>
      <c r="AOR156" s="3060"/>
      <c r="AOS156" s="3060"/>
      <c r="AOT156" s="3060"/>
      <c r="AOU156" s="3060"/>
      <c r="AOV156" s="3060"/>
      <c r="AOW156" s="3060"/>
      <c r="AOX156" s="3060"/>
      <c r="AOY156" s="3060"/>
      <c r="AOZ156" s="3060"/>
      <c r="APA156" s="3060"/>
      <c r="APB156" s="3060"/>
      <c r="APC156" s="3060"/>
      <c r="APD156" s="3060"/>
      <c r="APE156" s="3060"/>
      <c r="APF156" s="3060"/>
      <c r="APG156" s="3060"/>
      <c r="APH156" s="3060"/>
      <c r="API156" s="3060"/>
      <c r="APJ156" s="3060"/>
      <c r="APK156" s="3060"/>
      <c r="APL156" s="3060"/>
      <c r="APM156" s="3060"/>
      <c r="APN156" s="3060"/>
      <c r="APO156" s="3060"/>
      <c r="APP156" s="3060"/>
      <c r="APQ156" s="3060"/>
      <c r="APR156" s="3060"/>
      <c r="APS156" s="3060"/>
      <c r="APT156" s="3060"/>
      <c r="APU156" s="3060"/>
      <c r="APV156" s="3060"/>
      <c r="APW156" s="3060"/>
      <c r="APX156" s="3060"/>
      <c r="APY156" s="3060"/>
      <c r="APZ156" s="3060"/>
      <c r="AQA156" s="3060"/>
      <c r="AQB156" s="3060"/>
      <c r="AQC156" s="3060"/>
      <c r="AQD156" s="3060"/>
      <c r="AQE156" s="3060"/>
      <c r="AQF156" s="3060"/>
      <c r="AQG156" s="3060"/>
      <c r="AQH156" s="3060"/>
      <c r="AQI156" s="3060"/>
      <c r="AQJ156" s="3060"/>
      <c r="AQK156" s="3060"/>
      <c r="AQL156" s="3060"/>
      <c r="AQM156" s="3060"/>
      <c r="AQN156" s="3060"/>
      <c r="AQO156" s="3060"/>
      <c r="AQP156" s="3060"/>
      <c r="AQQ156" s="3060"/>
      <c r="AQR156" s="3060"/>
      <c r="AQS156" s="3060"/>
      <c r="AQT156" s="3060"/>
      <c r="AQU156" s="3060"/>
      <c r="AQV156" s="3060"/>
      <c r="AQW156" s="3060"/>
      <c r="AQX156" s="3060"/>
      <c r="AQY156" s="3060"/>
      <c r="AQZ156" s="3060"/>
      <c r="ARA156" s="3060"/>
      <c r="ARB156" s="3060"/>
      <c r="ARC156" s="3060"/>
      <c r="ARD156" s="3060"/>
      <c r="ARE156" s="3060"/>
      <c r="ARF156" s="3060"/>
      <c r="ARG156" s="3060"/>
      <c r="ARH156" s="3060"/>
      <c r="ARI156" s="3060"/>
      <c r="ARJ156" s="3060"/>
      <c r="ARK156" s="3060"/>
      <c r="ARL156" s="3060"/>
      <c r="ARM156" s="3060"/>
      <c r="ARN156" s="3060"/>
      <c r="ARO156" s="3060"/>
      <c r="ARP156" s="3060"/>
      <c r="ARQ156" s="3060"/>
      <c r="ARR156" s="3060"/>
      <c r="ARS156" s="3060"/>
      <c r="ART156" s="3060"/>
      <c r="ARU156" s="3060"/>
      <c r="ARV156" s="3060"/>
      <c r="ARW156" s="3060"/>
      <c r="ARX156" s="3060"/>
      <c r="ARY156" s="3060"/>
      <c r="ARZ156" s="3060"/>
      <c r="ASA156" s="3060"/>
      <c r="ASB156" s="3060"/>
      <c r="ASC156" s="3060"/>
      <c r="ASD156" s="3060"/>
      <c r="ASE156" s="3060"/>
      <c r="ASF156" s="3060"/>
      <c r="ASG156" s="3060"/>
      <c r="ASH156" s="3060"/>
      <c r="ASI156" s="3060"/>
      <c r="ASJ156" s="3060"/>
      <c r="ASK156" s="3060"/>
      <c r="ASL156" s="3060"/>
      <c r="ASM156" s="3060"/>
      <c r="ASN156" s="3060"/>
      <c r="ASO156" s="3060"/>
      <c r="ASP156" s="3060"/>
      <c r="ASQ156" s="3060"/>
      <c r="ASR156" s="3060"/>
      <c r="ASS156" s="3060"/>
      <c r="AST156" s="3060"/>
      <c r="ASU156" s="3060"/>
      <c r="ASV156" s="3060"/>
      <c r="ASW156" s="3060"/>
      <c r="ASX156" s="3060"/>
      <c r="ASY156" s="3060"/>
      <c r="ASZ156" s="3060"/>
      <c r="ATA156" s="3060"/>
      <c r="ATB156" s="3060"/>
      <c r="ATC156" s="3060"/>
      <c r="ATD156" s="3060"/>
      <c r="ATE156" s="3060"/>
      <c r="ATF156" s="3060"/>
      <c r="ATG156" s="3060"/>
      <c r="ATH156" s="3060"/>
      <c r="ATI156" s="3060"/>
      <c r="ATJ156" s="3060"/>
      <c r="ATK156" s="3060"/>
      <c r="ATL156" s="3060"/>
      <c r="ATM156" s="3060"/>
      <c r="ATN156" s="3060"/>
      <c r="ATO156" s="3060"/>
      <c r="ATP156" s="3060"/>
      <c r="ATQ156" s="3060"/>
      <c r="ATR156" s="3060"/>
      <c r="ATS156" s="3060"/>
      <c r="ATT156" s="3060"/>
      <c r="ATU156" s="3060"/>
      <c r="ATV156" s="3060"/>
      <c r="ATW156" s="3060"/>
      <c r="ATX156" s="3060"/>
      <c r="ATY156" s="3060"/>
      <c r="ATZ156" s="3060"/>
      <c r="AUA156" s="3060"/>
      <c r="AUB156" s="3060"/>
      <c r="AUC156" s="3060"/>
      <c r="AUD156" s="3060"/>
      <c r="AUE156" s="3060"/>
      <c r="AUF156" s="3060"/>
      <c r="AUG156" s="3060"/>
      <c r="AUH156" s="3060"/>
      <c r="AUI156" s="3060"/>
      <c r="AUJ156" s="3060"/>
      <c r="AUK156" s="3060"/>
      <c r="AUL156" s="3060"/>
      <c r="AUM156" s="3060"/>
      <c r="AUN156" s="3060"/>
      <c r="AUO156" s="3060"/>
      <c r="AUP156" s="3060"/>
      <c r="AUQ156" s="3060"/>
      <c r="AUR156" s="3060"/>
      <c r="AUS156" s="3060"/>
      <c r="AUT156" s="3060"/>
      <c r="AUU156" s="3060"/>
      <c r="AUV156" s="3060"/>
      <c r="AUW156" s="3060"/>
      <c r="AUX156" s="3060"/>
      <c r="AUY156" s="3060"/>
      <c r="AUZ156" s="3060"/>
      <c r="AVA156" s="3060"/>
      <c r="AVB156" s="3060"/>
      <c r="AVC156" s="3060"/>
      <c r="AVD156" s="3060"/>
      <c r="AVE156" s="3060"/>
      <c r="AVF156" s="3060"/>
      <c r="AVG156" s="3060"/>
      <c r="AVH156" s="3060"/>
      <c r="AVI156" s="3060"/>
      <c r="AVJ156" s="3060"/>
      <c r="AVK156" s="3060"/>
      <c r="AVL156" s="3060"/>
      <c r="AVM156" s="3060"/>
      <c r="AVN156" s="3060"/>
      <c r="AVO156" s="3060"/>
      <c r="AVP156" s="3060"/>
      <c r="AVQ156" s="3060"/>
      <c r="AVR156" s="3060"/>
      <c r="AVS156" s="3060"/>
      <c r="AVT156" s="3060"/>
      <c r="AVU156" s="3060"/>
      <c r="AVV156" s="3060"/>
      <c r="AVW156" s="3060"/>
      <c r="AVX156" s="3060"/>
      <c r="AVY156" s="3060"/>
      <c r="AVZ156" s="3060"/>
      <c r="AWA156" s="3060"/>
      <c r="AWB156" s="3060"/>
      <c r="AWC156" s="3060"/>
      <c r="AWD156" s="3060"/>
      <c r="AWE156" s="3060"/>
      <c r="AWF156" s="3060"/>
      <c r="AWG156" s="3060"/>
      <c r="AWH156" s="3060"/>
      <c r="AWI156" s="3060"/>
      <c r="AWJ156" s="3060"/>
      <c r="AWK156" s="3060"/>
      <c r="AWL156" s="3060"/>
      <c r="AWM156" s="3060"/>
      <c r="AWN156" s="3060"/>
      <c r="AWO156" s="3060"/>
      <c r="AWP156" s="3060"/>
      <c r="AWQ156" s="3060"/>
      <c r="AWR156" s="3060"/>
      <c r="AWS156" s="3060"/>
      <c r="AWT156" s="3060"/>
      <c r="AWU156" s="3060"/>
      <c r="AWV156" s="3060"/>
      <c r="AWW156" s="3060"/>
      <c r="AWX156" s="3060"/>
      <c r="AWY156" s="3060"/>
      <c r="AWZ156" s="3060"/>
      <c r="AXA156" s="3060"/>
      <c r="AXB156" s="3060"/>
      <c r="AXC156" s="3060"/>
      <c r="AXD156" s="3060"/>
      <c r="AXE156" s="3060"/>
      <c r="AXF156" s="3060"/>
      <c r="AXG156" s="3060"/>
      <c r="AXH156" s="3060"/>
      <c r="AXI156" s="3060"/>
      <c r="AXJ156" s="3060"/>
      <c r="AXK156" s="3060"/>
      <c r="AXL156" s="3060"/>
      <c r="AXM156" s="3060"/>
      <c r="AXN156" s="3060"/>
      <c r="AXO156" s="3060"/>
      <c r="AXP156" s="3060"/>
      <c r="AXQ156" s="3060"/>
      <c r="AXR156" s="3060"/>
      <c r="AXS156" s="3060"/>
      <c r="AXT156" s="3060"/>
      <c r="AXU156" s="3060"/>
      <c r="AXV156" s="3060"/>
      <c r="AXW156" s="3060"/>
      <c r="AXX156" s="3060"/>
      <c r="AXY156" s="3060"/>
      <c r="AXZ156" s="3060"/>
      <c r="AYA156" s="3060"/>
      <c r="AYB156" s="3060"/>
      <c r="AYC156" s="3060"/>
      <c r="AYD156" s="3060"/>
      <c r="AYE156" s="3060"/>
      <c r="AYF156" s="3060"/>
      <c r="AYG156" s="3060"/>
      <c r="AYH156" s="3060"/>
      <c r="AYI156" s="3060"/>
      <c r="AYJ156" s="3060"/>
      <c r="AYK156" s="3060"/>
      <c r="AYL156" s="3060"/>
      <c r="AYM156" s="3060"/>
      <c r="AYN156" s="3060"/>
      <c r="AYO156" s="3060"/>
      <c r="AYP156" s="3060"/>
      <c r="AYQ156" s="3060"/>
      <c r="AYR156" s="3060"/>
      <c r="AYS156" s="3060"/>
      <c r="AYT156" s="3060"/>
      <c r="AYU156" s="3060"/>
      <c r="AYV156" s="3060"/>
      <c r="AYW156" s="3060"/>
      <c r="AYX156" s="3060"/>
      <c r="AYY156" s="3060"/>
      <c r="AYZ156" s="3060"/>
      <c r="AZA156" s="3060"/>
      <c r="AZB156" s="3060"/>
      <c r="AZC156" s="3060"/>
      <c r="AZD156" s="3060"/>
      <c r="AZE156" s="3060"/>
      <c r="AZF156" s="3060"/>
      <c r="AZG156" s="3060"/>
      <c r="AZH156" s="3060"/>
      <c r="AZI156" s="3060"/>
      <c r="AZJ156" s="3060"/>
      <c r="AZK156" s="3060"/>
      <c r="AZL156" s="3060"/>
      <c r="AZM156" s="3060"/>
      <c r="AZN156" s="3060"/>
      <c r="AZO156" s="3060"/>
      <c r="AZP156" s="3060"/>
      <c r="AZQ156" s="3060"/>
      <c r="AZR156" s="3060"/>
      <c r="AZS156" s="3060"/>
      <c r="AZT156" s="3060"/>
      <c r="AZU156" s="3060"/>
      <c r="AZV156" s="3060"/>
      <c r="AZW156" s="3060"/>
      <c r="AZX156" s="3060"/>
      <c r="AZY156" s="3060"/>
      <c r="AZZ156" s="3060"/>
      <c r="BAA156" s="3060"/>
      <c r="BAB156" s="3060"/>
      <c r="BAC156" s="3060"/>
      <c r="BAD156" s="3060"/>
      <c r="BAE156" s="3060"/>
      <c r="BAF156" s="3060"/>
      <c r="BAG156" s="3060"/>
      <c r="BAH156" s="3060"/>
      <c r="BAI156" s="3060"/>
      <c r="BAJ156" s="3060"/>
      <c r="BAK156" s="3060"/>
      <c r="BAL156" s="3060"/>
      <c r="BAM156" s="3060"/>
      <c r="BAN156" s="3060"/>
      <c r="BAO156" s="3060"/>
      <c r="BAP156" s="3060"/>
      <c r="BAQ156" s="3060"/>
      <c r="BAR156" s="3060"/>
      <c r="BAS156" s="3060"/>
      <c r="BAT156" s="3060"/>
      <c r="BAU156" s="3060"/>
      <c r="BAV156" s="3060"/>
      <c r="BAW156" s="3060"/>
      <c r="BAX156" s="3060"/>
      <c r="BAY156" s="3060"/>
      <c r="BAZ156" s="3060"/>
      <c r="BBA156" s="3060"/>
      <c r="BBB156" s="3060"/>
      <c r="BBC156" s="3060"/>
      <c r="BBD156" s="3060"/>
      <c r="BBE156" s="3060"/>
      <c r="BBF156" s="3060"/>
      <c r="BBG156" s="3060"/>
      <c r="BBH156" s="3060"/>
      <c r="BBI156" s="3060"/>
      <c r="BBJ156" s="3060"/>
      <c r="BBK156" s="3060"/>
      <c r="BBL156" s="3060"/>
      <c r="BBM156" s="3060"/>
      <c r="BBN156" s="3060"/>
      <c r="BBO156" s="3060"/>
      <c r="BBP156" s="3060"/>
      <c r="BBQ156" s="3060"/>
      <c r="BBR156" s="3060"/>
      <c r="BBS156" s="3060"/>
      <c r="BBT156" s="3060"/>
      <c r="BBU156" s="3060"/>
      <c r="BBV156" s="3060"/>
      <c r="BBW156" s="3060"/>
      <c r="BBX156" s="3060"/>
      <c r="BBY156" s="3060"/>
      <c r="BBZ156" s="3060"/>
      <c r="BCA156" s="3060"/>
      <c r="BCB156" s="3060"/>
      <c r="BCC156" s="3060"/>
      <c r="BCD156" s="3060"/>
      <c r="BCE156" s="3060"/>
      <c r="BCF156" s="3060"/>
      <c r="BCG156" s="3060"/>
      <c r="BCH156" s="3060"/>
      <c r="BCI156" s="3060"/>
      <c r="BCJ156" s="3060"/>
      <c r="BCK156" s="3060"/>
      <c r="BCL156" s="3060"/>
      <c r="BCM156" s="3060"/>
      <c r="BCN156" s="3060"/>
      <c r="BCO156" s="3060"/>
      <c r="BCP156" s="3060"/>
      <c r="BCQ156" s="3060"/>
      <c r="BCR156" s="3060"/>
      <c r="BCS156" s="3060"/>
      <c r="BCT156" s="3060"/>
      <c r="BCU156" s="3060"/>
      <c r="BCV156" s="3060"/>
      <c r="BCW156" s="3060"/>
      <c r="BCX156" s="3060"/>
      <c r="BCY156" s="3060"/>
      <c r="BCZ156" s="3060"/>
      <c r="BDA156" s="3060"/>
      <c r="BDB156" s="3060"/>
      <c r="BDC156" s="3060"/>
      <c r="BDD156" s="3060"/>
      <c r="BDE156" s="3060"/>
      <c r="BDF156" s="3060"/>
      <c r="BDG156" s="3060"/>
      <c r="BDH156" s="3060"/>
      <c r="BDI156" s="3060"/>
      <c r="BDJ156" s="3060"/>
      <c r="BDK156" s="3060"/>
      <c r="BDL156" s="3060"/>
      <c r="BDM156" s="3060"/>
      <c r="BDN156" s="3060"/>
      <c r="BDO156" s="3060"/>
      <c r="BDP156" s="3060"/>
      <c r="BDQ156" s="3060"/>
      <c r="BDR156" s="3060"/>
      <c r="BDS156" s="3060"/>
      <c r="BDT156" s="3060"/>
      <c r="BDU156" s="3060"/>
      <c r="BDV156" s="3060"/>
      <c r="BDW156" s="3060"/>
      <c r="BDX156" s="3060"/>
      <c r="BDY156" s="3060"/>
      <c r="BDZ156" s="3060"/>
      <c r="BEA156" s="3060"/>
      <c r="BEB156" s="3060"/>
      <c r="BEC156" s="3060"/>
      <c r="BED156" s="3060"/>
      <c r="BEE156" s="3060"/>
      <c r="BEF156" s="3060"/>
      <c r="BEG156" s="3060"/>
      <c r="BEH156" s="3060"/>
      <c r="BEI156" s="3060"/>
      <c r="BEJ156" s="3060"/>
      <c r="BEK156" s="3060"/>
      <c r="BEL156" s="3060"/>
      <c r="BEM156" s="3060"/>
      <c r="BEN156" s="3060"/>
      <c r="BEO156" s="3060"/>
      <c r="BEP156" s="3060"/>
      <c r="BEQ156" s="3060"/>
      <c r="BER156" s="3060"/>
      <c r="BES156" s="3060"/>
      <c r="BET156" s="3060"/>
      <c r="BEU156" s="3060"/>
      <c r="BEV156" s="3060"/>
      <c r="BEW156" s="3060"/>
      <c r="BEX156" s="3060"/>
      <c r="BEY156" s="3060"/>
      <c r="BEZ156" s="3060"/>
      <c r="BFA156" s="3060"/>
      <c r="BFB156" s="3060"/>
      <c r="BFC156" s="3060"/>
      <c r="BFD156" s="3060"/>
      <c r="BFE156" s="3060"/>
      <c r="BFF156" s="3060"/>
      <c r="BFG156" s="3060"/>
      <c r="BFH156" s="3060"/>
      <c r="BFI156" s="3060"/>
      <c r="BFJ156" s="3060"/>
      <c r="BFK156" s="3060"/>
      <c r="BFL156" s="3060"/>
      <c r="BFM156" s="3060"/>
      <c r="BFN156" s="3060"/>
      <c r="BFO156" s="3060"/>
      <c r="BFP156" s="3060"/>
      <c r="BFQ156" s="3060"/>
      <c r="BFR156" s="3060"/>
      <c r="BFS156" s="3060"/>
      <c r="BFT156" s="3060"/>
      <c r="BFU156" s="3060"/>
      <c r="BFV156" s="3060"/>
      <c r="BFW156" s="3060"/>
      <c r="BFX156" s="3060"/>
      <c r="BFY156" s="3060"/>
      <c r="BFZ156" s="3060"/>
      <c r="BGA156" s="3060"/>
      <c r="BGB156" s="3060"/>
      <c r="BGC156" s="3060"/>
      <c r="BGD156" s="3060"/>
      <c r="BGE156" s="3060"/>
      <c r="BGF156" s="3060"/>
      <c r="BGG156" s="3060"/>
      <c r="BGH156" s="3060"/>
      <c r="BGI156" s="3060"/>
      <c r="BGJ156" s="3060"/>
      <c r="BGK156" s="3060"/>
      <c r="BGL156" s="3060"/>
      <c r="BGM156" s="3060"/>
      <c r="BGN156" s="3060"/>
      <c r="BGO156" s="3060"/>
      <c r="BGP156" s="3060"/>
      <c r="BGQ156" s="3060"/>
      <c r="BGR156" s="3060"/>
      <c r="BGS156" s="3060"/>
      <c r="BGT156" s="3060"/>
      <c r="BGU156" s="3060"/>
      <c r="BGV156" s="3060"/>
      <c r="BGW156" s="3060"/>
      <c r="BGX156" s="3060"/>
      <c r="BGY156" s="3060"/>
      <c r="BGZ156" s="3060"/>
      <c r="BHA156" s="3060"/>
      <c r="BHB156" s="3060"/>
      <c r="BHC156" s="3060"/>
      <c r="BHD156" s="3060"/>
      <c r="BHE156" s="3060"/>
      <c r="BHF156" s="3060"/>
      <c r="BHG156" s="3060"/>
      <c r="BHH156" s="3060"/>
      <c r="BHI156" s="3060"/>
      <c r="BHJ156" s="3060"/>
      <c r="BHK156" s="3060"/>
      <c r="BHL156" s="3060"/>
      <c r="BHM156" s="3060"/>
      <c r="BHN156" s="3060"/>
      <c r="BHO156" s="3060"/>
      <c r="BHP156" s="3060"/>
      <c r="BHQ156" s="3060"/>
      <c r="BHR156" s="3060"/>
      <c r="BHS156" s="3060"/>
      <c r="BHT156" s="3060"/>
      <c r="BHU156" s="3060"/>
      <c r="BHV156" s="3060"/>
      <c r="BHW156" s="3060"/>
      <c r="BHX156" s="3060"/>
      <c r="BHY156" s="3060"/>
      <c r="BHZ156" s="3060"/>
      <c r="BIA156" s="3060"/>
      <c r="BIB156" s="3060"/>
      <c r="BIC156" s="3060"/>
      <c r="BID156" s="3060"/>
      <c r="BIE156" s="3060"/>
      <c r="BIF156" s="3060"/>
      <c r="BIG156" s="3060"/>
      <c r="BIH156" s="3060"/>
      <c r="BII156" s="3060"/>
      <c r="BIJ156" s="3060"/>
      <c r="BIK156" s="3060"/>
      <c r="BIL156" s="3060"/>
      <c r="BIM156" s="3060"/>
      <c r="BIN156" s="3060"/>
      <c r="BIO156" s="3060"/>
      <c r="BIP156" s="3060"/>
      <c r="BIQ156" s="3060"/>
      <c r="BIR156" s="3060"/>
      <c r="BIS156" s="3060"/>
      <c r="BIT156" s="3060"/>
      <c r="BIU156" s="3060"/>
      <c r="BIV156" s="3060"/>
      <c r="BIW156" s="3060"/>
      <c r="BIX156" s="3060"/>
      <c r="BIY156" s="3060"/>
      <c r="BIZ156" s="3060"/>
      <c r="BJA156" s="3060"/>
      <c r="BJB156" s="3060"/>
      <c r="BJC156" s="3060"/>
      <c r="BJD156" s="3060"/>
      <c r="BJE156" s="3060"/>
      <c r="BJF156" s="3060"/>
      <c r="BJG156" s="3060"/>
      <c r="BJH156" s="3060"/>
      <c r="BJI156" s="3060"/>
      <c r="BJJ156" s="3060"/>
      <c r="BJK156" s="3060"/>
      <c r="BJL156" s="3060"/>
      <c r="BJM156" s="3060"/>
      <c r="BJN156" s="3060"/>
      <c r="BJO156" s="3060"/>
      <c r="BJP156" s="3060"/>
      <c r="BJQ156" s="3060"/>
      <c r="BJR156" s="3060"/>
      <c r="BJS156" s="3060"/>
      <c r="BJT156" s="3060"/>
      <c r="BJU156" s="3060"/>
      <c r="BJV156" s="3060"/>
      <c r="BJW156" s="3060"/>
      <c r="BJX156" s="3060"/>
      <c r="BJY156" s="3060"/>
      <c r="BJZ156" s="3060"/>
      <c r="BKA156" s="3060"/>
      <c r="BKB156" s="3060"/>
      <c r="BKC156" s="3060"/>
      <c r="BKD156" s="3060"/>
      <c r="BKE156" s="3060"/>
      <c r="BKF156" s="3060"/>
      <c r="BKG156" s="3060"/>
      <c r="BKH156" s="3060"/>
      <c r="BKI156" s="3060"/>
      <c r="BKJ156" s="3060"/>
      <c r="BKK156" s="3060"/>
      <c r="BKL156" s="3060"/>
      <c r="BKM156" s="3060"/>
      <c r="BKN156" s="3060"/>
      <c r="BKO156" s="3060"/>
      <c r="BKP156" s="3060"/>
      <c r="BKQ156" s="3060"/>
      <c r="BKR156" s="3060"/>
      <c r="BKS156" s="3060"/>
      <c r="BKT156" s="3060"/>
      <c r="BKU156" s="3060"/>
      <c r="BKV156" s="3060"/>
      <c r="BKW156" s="3060"/>
      <c r="BKX156" s="3060"/>
      <c r="BKY156" s="3060"/>
      <c r="BKZ156" s="3060"/>
      <c r="BLA156" s="3060"/>
      <c r="BLB156" s="3060"/>
      <c r="BLC156" s="3060"/>
      <c r="BLD156" s="3060"/>
      <c r="BLE156" s="3060"/>
      <c r="BLF156" s="3060"/>
      <c r="BLG156" s="3060"/>
      <c r="BLH156" s="3060"/>
      <c r="BLI156" s="3060"/>
      <c r="BLJ156" s="3060"/>
      <c r="BLK156" s="3060"/>
      <c r="BLL156" s="3060"/>
      <c r="BLM156" s="3060"/>
      <c r="BLN156" s="3060"/>
      <c r="BLO156" s="3060"/>
      <c r="BLP156" s="3060"/>
      <c r="BLQ156" s="3060"/>
      <c r="BLR156" s="3060"/>
      <c r="BLS156" s="3060"/>
      <c r="BLT156" s="3060"/>
      <c r="BLU156" s="3060"/>
      <c r="BLV156" s="3060"/>
      <c r="BLW156" s="3060"/>
      <c r="BLX156" s="3060"/>
      <c r="BLY156" s="3060"/>
      <c r="BLZ156" s="3060"/>
      <c r="BMA156" s="3060"/>
      <c r="BMB156" s="3060"/>
      <c r="BMC156" s="3060"/>
      <c r="BMD156" s="3060"/>
      <c r="BME156" s="3060"/>
      <c r="BMF156" s="3060"/>
      <c r="BMG156" s="3060"/>
      <c r="BMH156" s="3060"/>
      <c r="BMI156" s="3060"/>
      <c r="BMJ156" s="3060"/>
      <c r="BMK156" s="3060"/>
      <c r="BML156" s="3060"/>
      <c r="BMM156" s="3060"/>
      <c r="BMN156" s="3060"/>
      <c r="BMO156" s="3060"/>
      <c r="BMP156" s="3060"/>
      <c r="BMQ156" s="3060"/>
      <c r="BMR156" s="3060"/>
      <c r="BMS156" s="3060"/>
      <c r="BMT156" s="3060"/>
      <c r="BMU156" s="3060"/>
      <c r="BMV156" s="3060"/>
      <c r="BMW156" s="3060"/>
      <c r="BMX156" s="3060"/>
      <c r="BMY156" s="3060"/>
      <c r="BMZ156" s="3060"/>
      <c r="BNA156" s="3060"/>
      <c r="BNB156" s="3060"/>
      <c r="BNC156" s="3060"/>
      <c r="BND156" s="3060"/>
      <c r="BNE156" s="3060"/>
      <c r="BNF156" s="3060"/>
      <c r="BNG156" s="3060"/>
      <c r="BNH156" s="3060"/>
      <c r="BNI156" s="3060"/>
      <c r="BNJ156" s="3060"/>
      <c r="BNK156" s="3060"/>
      <c r="BNL156" s="3060"/>
      <c r="BNM156" s="3060"/>
      <c r="BNN156" s="3060"/>
      <c r="BNO156" s="3060"/>
      <c r="BNP156" s="3060"/>
      <c r="BNQ156" s="3060"/>
      <c r="BNR156" s="3060"/>
      <c r="BNS156" s="3060"/>
      <c r="BNT156" s="3060"/>
      <c r="BNU156" s="3060"/>
      <c r="BNV156" s="3060"/>
      <c r="BNW156" s="3060"/>
      <c r="BNX156" s="3060"/>
      <c r="BNY156" s="3060"/>
      <c r="BNZ156" s="3060"/>
      <c r="BOA156" s="3060"/>
      <c r="BOB156" s="3060"/>
      <c r="BOC156" s="3060"/>
      <c r="BOD156" s="3060"/>
      <c r="BOE156" s="3060"/>
      <c r="BOF156" s="3060"/>
      <c r="BOG156" s="3060"/>
      <c r="BOH156" s="3060"/>
      <c r="BOI156" s="3060"/>
      <c r="BOJ156" s="3060"/>
      <c r="BOK156" s="3060"/>
      <c r="BOL156" s="3060"/>
      <c r="BOM156" s="3060"/>
      <c r="BON156" s="3060"/>
      <c r="BOO156" s="3060"/>
      <c r="BOP156" s="3060"/>
      <c r="BOQ156" s="3060"/>
      <c r="BOR156" s="3060"/>
      <c r="BOS156" s="3060"/>
      <c r="BOT156" s="3060"/>
      <c r="BOU156" s="3060"/>
      <c r="BOV156" s="3060"/>
      <c r="BOW156" s="3060"/>
      <c r="BOX156" s="3060"/>
      <c r="BOY156" s="3060"/>
      <c r="BOZ156" s="3060"/>
      <c r="BPA156" s="3060"/>
      <c r="BPB156" s="3060"/>
      <c r="BPC156" s="3060"/>
      <c r="BPD156" s="3060"/>
      <c r="BPE156" s="3060"/>
      <c r="BPF156" s="3060"/>
      <c r="BPG156" s="3060"/>
      <c r="BPH156" s="3060"/>
      <c r="BPI156" s="3060"/>
      <c r="BPJ156" s="3060"/>
      <c r="BPK156" s="3060"/>
      <c r="BPL156" s="3060"/>
      <c r="BPM156" s="3060"/>
      <c r="BPN156" s="3060"/>
      <c r="BPO156" s="3060"/>
      <c r="BPP156" s="3060"/>
      <c r="BPQ156" s="3060"/>
      <c r="BPR156" s="3060"/>
      <c r="BPS156" s="3060"/>
      <c r="BPT156" s="3060"/>
      <c r="BPU156" s="3060"/>
      <c r="BPV156" s="3060"/>
      <c r="BPW156" s="3060"/>
      <c r="BPX156" s="3060"/>
      <c r="BPY156" s="3060"/>
      <c r="BPZ156" s="3060"/>
      <c r="BQA156" s="3060"/>
      <c r="BQB156" s="3060"/>
      <c r="BQC156" s="3060"/>
      <c r="BQD156" s="3060"/>
      <c r="BQE156" s="3060"/>
      <c r="BQF156" s="3060"/>
      <c r="BQG156" s="3060"/>
      <c r="BQH156" s="3060"/>
      <c r="BQI156" s="3060"/>
      <c r="BQJ156" s="3060"/>
      <c r="BQK156" s="3060"/>
      <c r="BQL156" s="3060"/>
      <c r="BQM156" s="3060"/>
      <c r="BQN156" s="3060"/>
      <c r="BQO156" s="3060"/>
      <c r="BQP156" s="3060"/>
      <c r="BQQ156" s="3060"/>
      <c r="BQR156" s="3060"/>
      <c r="BQS156" s="3060"/>
      <c r="BQT156" s="3060"/>
      <c r="BQU156" s="3060"/>
      <c r="BQV156" s="3060"/>
      <c r="BQW156" s="3060"/>
      <c r="BQX156" s="3060"/>
      <c r="BQY156" s="3060"/>
      <c r="BQZ156" s="3060"/>
      <c r="BRA156" s="3060"/>
      <c r="BRB156" s="3060"/>
      <c r="BRC156" s="3060"/>
      <c r="BRD156" s="3060"/>
      <c r="BRE156" s="3060"/>
      <c r="BRF156" s="3060"/>
      <c r="BRG156" s="3060"/>
      <c r="BRH156" s="3060"/>
      <c r="BRI156" s="3060"/>
      <c r="BRJ156" s="3060"/>
      <c r="BRK156" s="3060"/>
      <c r="BRL156" s="3060"/>
      <c r="BRM156" s="3060"/>
      <c r="BRN156" s="3060"/>
      <c r="BRO156" s="3060"/>
      <c r="BRP156" s="3060"/>
      <c r="BRQ156" s="3060"/>
      <c r="BRR156" s="3060"/>
      <c r="BRS156" s="3060"/>
      <c r="BRT156" s="3060"/>
      <c r="BRU156" s="3060"/>
      <c r="BRV156" s="3060"/>
      <c r="BRW156" s="3060"/>
      <c r="BRX156" s="3060"/>
      <c r="BRY156" s="3060"/>
      <c r="BRZ156" s="3060"/>
      <c r="BSA156" s="3060"/>
      <c r="BSB156" s="3060"/>
      <c r="BSC156" s="3060"/>
      <c r="BSD156" s="3060"/>
      <c r="BSE156" s="3060"/>
      <c r="BSF156" s="3060"/>
      <c r="BSG156" s="3060"/>
      <c r="BSH156" s="3060"/>
      <c r="BSI156" s="3060"/>
      <c r="BSJ156" s="3060"/>
      <c r="BSK156" s="3060"/>
      <c r="BSL156" s="3060"/>
      <c r="BSM156" s="3060"/>
      <c r="BSN156" s="3060"/>
      <c r="BSO156" s="3060"/>
      <c r="BSP156" s="3060"/>
      <c r="BSQ156" s="3060"/>
      <c r="BSR156" s="3060"/>
      <c r="BSS156" s="3060"/>
      <c r="BST156" s="3060"/>
      <c r="BSU156" s="3060"/>
      <c r="BSV156" s="3060"/>
      <c r="BSW156" s="3060"/>
      <c r="BSX156" s="3060"/>
      <c r="BSY156" s="3060"/>
      <c r="BSZ156" s="3060"/>
      <c r="BTA156" s="3060"/>
      <c r="BTB156" s="3060"/>
      <c r="BTC156" s="3060"/>
      <c r="BTD156" s="3060"/>
      <c r="BTE156" s="3060"/>
      <c r="BTF156" s="3060"/>
      <c r="BTG156" s="3060"/>
      <c r="BTH156" s="3060"/>
      <c r="BTI156" s="3060"/>
      <c r="BTJ156" s="3060"/>
      <c r="BTK156" s="3060"/>
      <c r="BTL156" s="3060"/>
      <c r="BTM156" s="3060"/>
      <c r="BTN156" s="3060"/>
      <c r="BTO156" s="3060"/>
      <c r="BTP156" s="3060"/>
      <c r="BTQ156" s="3060"/>
      <c r="BTR156" s="3060"/>
      <c r="BTS156" s="3060"/>
      <c r="BTT156" s="3060"/>
      <c r="BTU156" s="3060"/>
      <c r="BTV156" s="3060"/>
      <c r="BTW156" s="3060"/>
      <c r="BTX156" s="3060"/>
      <c r="BTY156" s="3060"/>
      <c r="BTZ156" s="3060"/>
      <c r="BUA156" s="3060"/>
      <c r="BUB156" s="3060"/>
      <c r="BUC156" s="3060"/>
      <c r="BUD156" s="3060"/>
      <c r="BUE156" s="3060"/>
      <c r="BUF156" s="3060"/>
      <c r="BUG156" s="3060"/>
      <c r="BUH156" s="3060"/>
      <c r="BUI156" s="3060"/>
      <c r="BUJ156" s="3060"/>
      <c r="BUK156" s="3060"/>
      <c r="BUL156" s="3060"/>
      <c r="BUM156" s="3060"/>
      <c r="BUN156" s="3060"/>
      <c r="BUO156" s="3060"/>
      <c r="BUP156" s="3060"/>
      <c r="BUQ156" s="3060"/>
      <c r="BUR156" s="3060"/>
      <c r="BUS156" s="3060"/>
      <c r="BUT156" s="3060"/>
      <c r="BUU156" s="3060"/>
      <c r="BUV156" s="3060"/>
      <c r="BUW156" s="3060"/>
      <c r="BUX156" s="3060"/>
      <c r="BUY156" s="3060"/>
      <c r="BUZ156" s="3060"/>
      <c r="BVA156" s="3060"/>
      <c r="BVB156" s="3060"/>
      <c r="BVC156" s="3060"/>
      <c r="BVD156" s="3060"/>
      <c r="BVE156" s="3060"/>
      <c r="BVF156" s="3060"/>
      <c r="BVG156" s="3060"/>
      <c r="BVH156" s="3060"/>
      <c r="BVI156" s="3060"/>
      <c r="BVJ156" s="3060"/>
      <c r="BVK156" s="3060"/>
      <c r="BVL156" s="3060"/>
      <c r="BVM156" s="3060"/>
      <c r="BVN156" s="3060"/>
      <c r="BVO156" s="3060"/>
      <c r="BVP156" s="3060"/>
      <c r="BVQ156" s="3060"/>
      <c r="BVR156" s="3060"/>
      <c r="BVS156" s="3060"/>
      <c r="BVT156" s="3060"/>
      <c r="BVU156" s="3060"/>
      <c r="BVV156" s="3060"/>
      <c r="BVW156" s="3060"/>
      <c r="BVX156" s="3060"/>
      <c r="BVY156" s="3060"/>
      <c r="BVZ156" s="3060"/>
      <c r="BWA156" s="3060"/>
      <c r="BWB156" s="3060"/>
      <c r="BWC156" s="3060"/>
      <c r="BWD156" s="3060"/>
      <c r="BWE156" s="3060"/>
      <c r="BWF156" s="3060"/>
      <c r="BWG156" s="3060"/>
      <c r="BWH156" s="3060"/>
      <c r="BWI156" s="3060"/>
      <c r="BWJ156" s="3060"/>
      <c r="BWK156" s="3060"/>
      <c r="BWL156" s="3060"/>
      <c r="BWM156" s="3060"/>
      <c r="BWN156" s="3060"/>
      <c r="BWO156" s="3060"/>
      <c r="BWP156" s="3060"/>
      <c r="BWQ156" s="3060"/>
      <c r="BWR156" s="3060"/>
      <c r="BWS156" s="3060"/>
      <c r="BWT156" s="3060"/>
      <c r="BWU156" s="3060"/>
      <c r="BWV156" s="3060"/>
      <c r="BWW156" s="3060"/>
      <c r="BWX156" s="3060"/>
      <c r="BWY156" s="3060"/>
      <c r="BWZ156" s="3060"/>
      <c r="BXA156" s="3060"/>
      <c r="BXB156" s="3060"/>
      <c r="BXC156" s="3060"/>
      <c r="BXD156" s="3060"/>
      <c r="BXE156" s="3060"/>
      <c r="BXF156" s="3060"/>
      <c r="BXG156" s="3060"/>
      <c r="BXH156" s="3060"/>
      <c r="BXI156" s="3060"/>
      <c r="BXJ156" s="3060"/>
      <c r="BXK156" s="3060"/>
      <c r="BXL156" s="3060"/>
      <c r="BXM156" s="3060"/>
      <c r="BXN156" s="3060"/>
      <c r="BXO156" s="3060"/>
      <c r="BXP156" s="3060"/>
      <c r="BXQ156" s="3060"/>
      <c r="BXR156" s="3060"/>
      <c r="BXS156" s="3060"/>
      <c r="BXT156" s="3060"/>
      <c r="BXU156" s="3060"/>
      <c r="BXV156" s="3060"/>
      <c r="BXW156" s="3060"/>
      <c r="BXX156" s="3060"/>
      <c r="BXY156" s="3060"/>
      <c r="BXZ156" s="3060"/>
      <c r="BYA156" s="3060"/>
      <c r="BYB156" s="3060"/>
      <c r="BYC156" s="3060"/>
      <c r="BYD156" s="3060"/>
      <c r="BYE156" s="3060"/>
      <c r="BYF156" s="3060"/>
      <c r="BYG156" s="3060"/>
      <c r="BYH156" s="3060"/>
      <c r="BYI156" s="3060"/>
      <c r="BYJ156" s="3060"/>
      <c r="BYK156" s="3060"/>
      <c r="BYL156" s="3060"/>
      <c r="BYM156" s="3060"/>
      <c r="BYN156" s="3060"/>
      <c r="BYO156" s="3060"/>
      <c r="BYP156" s="3060"/>
      <c r="BYQ156" s="3060"/>
      <c r="BYR156" s="3060"/>
      <c r="BYS156" s="3060"/>
      <c r="BYT156" s="3060"/>
      <c r="BYU156" s="3060"/>
      <c r="BYV156" s="3060"/>
      <c r="BYW156" s="3060"/>
      <c r="BYX156" s="3060"/>
      <c r="BYY156" s="3060"/>
      <c r="BYZ156" s="3060"/>
      <c r="BZA156" s="3060"/>
      <c r="BZB156" s="3060"/>
      <c r="BZC156" s="3060"/>
      <c r="BZD156" s="3060"/>
      <c r="BZE156" s="3060"/>
      <c r="BZF156" s="3060"/>
      <c r="BZG156" s="3060"/>
      <c r="BZH156" s="3060"/>
      <c r="BZI156" s="3060"/>
      <c r="BZJ156" s="3060"/>
      <c r="BZK156" s="3060"/>
      <c r="BZL156" s="3060"/>
      <c r="BZM156" s="3060"/>
      <c r="BZN156" s="3060"/>
      <c r="BZO156" s="3060"/>
      <c r="BZP156" s="3060"/>
      <c r="BZQ156" s="3060"/>
      <c r="BZR156" s="3060"/>
      <c r="BZS156" s="3060"/>
      <c r="BZT156" s="3060"/>
      <c r="BZU156" s="3060"/>
      <c r="BZV156" s="3060"/>
      <c r="BZW156" s="3060"/>
      <c r="BZX156" s="3060"/>
      <c r="BZY156" s="3060"/>
      <c r="BZZ156" s="3060"/>
      <c r="CAA156" s="3060"/>
      <c r="CAB156" s="3060"/>
      <c r="CAC156" s="3060"/>
      <c r="CAD156" s="3060"/>
      <c r="CAE156" s="3060"/>
      <c r="CAF156" s="3060"/>
      <c r="CAG156" s="3060"/>
      <c r="CAH156" s="3060"/>
      <c r="CAI156" s="3060"/>
      <c r="CAJ156" s="3060"/>
      <c r="CAK156" s="3060"/>
      <c r="CAL156" s="3060"/>
      <c r="CAM156" s="3060"/>
      <c r="CAN156" s="3060"/>
      <c r="CAO156" s="3060"/>
      <c r="CAP156" s="3060"/>
      <c r="CAQ156" s="3060"/>
      <c r="CAR156" s="3060"/>
      <c r="CAS156" s="3060"/>
      <c r="CAT156" s="3060"/>
      <c r="CAU156" s="3060"/>
      <c r="CAV156" s="3060"/>
      <c r="CAW156" s="3060"/>
      <c r="CAX156" s="3060"/>
      <c r="CAY156" s="3060"/>
      <c r="CAZ156" s="3060"/>
      <c r="CBA156" s="3060"/>
      <c r="CBB156" s="3060"/>
      <c r="CBC156" s="3060"/>
      <c r="CBD156" s="3060"/>
      <c r="CBE156" s="3060"/>
      <c r="CBF156" s="3060"/>
      <c r="CBG156" s="3060"/>
      <c r="CBH156" s="3060"/>
      <c r="CBI156" s="3060"/>
      <c r="CBJ156" s="3060"/>
      <c r="CBK156" s="3060"/>
      <c r="CBL156" s="3060"/>
      <c r="CBM156" s="3060"/>
      <c r="CBN156" s="3060"/>
      <c r="CBO156" s="3060"/>
      <c r="CBP156" s="3060"/>
      <c r="CBQ156" s="3060"/>
      <c r="CBR156" s="3060"/>
      <c r="CBS156" s="3060"/>
      <c r="CBT156" s="3060"/>
      <c r="CBU156" s="3060"/>
      <c r="CBV156" s="3060"/>
      <c r="CBW156" s="3060"/>
      <c r="CBX156" s="3060"/>
      <c r="CBY156" s="3060"/>
      <c r="CBZ156" s="3060"/>
      <c r="CCA156" s="3060"/>
      <c r="CCB156" s="3060"/>
      <c r="CCC156" s="3060"/>
      <c r="CCD156" s="3060"/>
      <c r="CCE156" s="3060"/>
      <c r="CCF156" s="3060"/>
      <c r="CCG156" s="3060"/>
      <c r="CCH156" s="3060"/>
      <c r="CCI156" s="3060"/>
      <c r="CCJ156" s="3060"/>
      <c r="CCK156" s="3060"/>
      <c r="CCL156" s="3060"/>
      <c r="CCM156" s="3060"/>
      <c r="CCN156" s="3060"/>
      <c r="CCO156" s="3060"/>
      <c r="CCP156" s="3060"/>
      <c r="CCQ156" s="3060"/>
      <c r="CCR156" s="3060"/>
      <c r="CCS156" s="3060"/>
      <c r="CCT156" s="3060"/>
      <c r="CCU156" s="3060"/>
      <c r="CCV156" s="3060"/>
      <c r="CCW156" s="3060"/>
      <c r="CCX156" s="3060"/>
      <c r="CCY156" s="3060"/>
      <c r="CCZ156" s="3060"/>
      <c r="CDA156" s="3060"/>
      <c r="CDB156" s="3060"/>
      <c r="CDC156" s="3060"/>
      <c r="CDD156" s="3060"/>
      <c r="CDE156" s="3060"/>
      <c r="CDF156" s="3060"/>
      <c r="CDG156" s="3060"/>
      <c r="CDH156" s="3060"/>
      <c r="CDI156" s="3060"/>
      <c r="CDJ156" s="3060"/>
      <c r="CDK156" s="3060"/>
      <c r="CDL156" s="3060"/>
      <c r="CDM156" s="3060"/>
      <c r="CDN156" s="3060"/>
      <c r="CDO156" s="3060"/>
      <c r="CDP156" s="3060"/>
      <c r="CDQ156" s="3060"/>
      <c r="CDR156" s="3060"/>
      <c r="CDS156" s="3060"/>
      <c r="CDT156" s="3060"/>
      <c r="CDU156" s="3060"/>
      <c r="CDV156" s="3060"/>
      <c r="CDW156" s="3060"/>
      <c r="CDX156" s="3060"/>
      <c r="CDY156" s="3060"/>
      <c r="CDZ156" s="3060"/>
      <c r="CEA156" s="3060"/>
      <c r="CEB156" s="3060"/>
      <c r="CEC156" s="3060"/>
      <c r="CED156" s="3060"/>
      <c r="CEE156" s="3060"/>
      <c r="CEF156" s="3060"/>
      <c r="CEG156" s="3060"/>
      <c r="CEH156" s="3060"/>
      <c r="CEI156" s="3060"/>
      <c r="CEJ156" s="3060"/>
      <c r="CEK156" s="3060"/>
      <c r="CEL156" s="3060"/>
      <c r="CEM156" s="3060"/>
      <c r="CEN156" s="3060"/>
      <c r="CEO156" s="3060"/>
      <c r="CEP156" s="3060"/>
      <c r="CEQ156" s="3060"/>
      <c r="CER156" s="3060"/>
      <c r="CES156" s="3060"/>
      <c r="CET156" s="3060"/>
      <c r="CEU156" s="3060"/>
      <c r="CEV156" s="3060"/>
      <c r="CEW156" s="3060"/>
      <c r="CEX156" s="3060"/>
      <c r="CEY156" s="3060"/>
      <c r="CEZ156" s="3060"/>
      <c r="CFA156" s="3060"/>
      <c r="CFB156" s="3060"/>
      <c r="CFC156" s="3060"/>
      <c r="CFD156" s="3060"/>
      <c r="CFE156" s="3060"/>
      <c r="CFF156" s="3060"/>
      <c r="CFG156" s="3060"/>
      <c r="CFH156" s="3060"/>
      <c r="CFI156" s="3060"/>
      <c r="CFJ156" s="3060"/>
      <c r="CFK156" s="3060"/>
      <c r="CFL156" s="3060"/>
      <c r="CFM156" s="3060"/>
      <c r="CFN156" s="3060"/>
      <c r="CFO156" s="3060"/>
      <c r="CFP156" s="3060"/>
      <c r="CFQ156" s="3060"/>
      <c r="CFR156" s="3060"/>
      <c r="CFS156" s="3060"/>
      <c r="CFT156" s="3060"/>
      <c r="CFU156" s="3060"/>
      <c r="CFV156" s="3060"/>
      <c r="CFW156" s="3060"/>
      <c r="CFX156" s="3060"/>
      <c r="CFY156" s="3060"/>
      <c r="CFZ156" s="3060"/>
      <c r="CGA156" s="3060"/>
      <c r="CGB156" s="3060"/>
      <c r="CGC156" s="3060"/>
      <c r="CGD156" s="3060"/>
      <c r="CGE156" s="3060"/>
      <c r="CGF156" s="3060"/>
      <c r="CGG156" s="3060"/>
      <c r="CGH156" s="3060"/>
      <c r="CGI156" s="3060"/>
      <c r="CGJ156" s="3060"/>
      <c r="CGK156" s="3060"/>
      <c r="CGL156" s="3060"/>
      <c r="CGM156" s="3060"/>
      <c r="CGN156" s="3060"/>
      <c r="CGO156" s="3060"/>
      <c r="CGP156" s="3060"/>
      <c r="CGQ156" s="3060"/>
      <c r="CGR156" s="3060"/>
      <c r="CGS156" s="3060"/>
      <c r="CGT156" s="3060"/>
      <c r="CGU156" s="3060"/>
      <c r="CGV156" s="3060"/>
      <c r="CGW156" s="3060"/>
      <c r="CGX156" s="3060"/>
      <c r="CGY156" s="3060"/>
      <c r="CGZ156" s="3060"/>
      <c r="CHA156" s="3060"/>
      <c r="CHB156" s="3060"/>
      <c r="CHC156" s="3060"/>
      <c r="CHD156" s="3060"/>
      <c r="CHE156" s="3060"/>
      <c r="CHF156" s="3060"/>
      <c r="CHG156" s="3060"/>
      <c r="CHH156" s="3060"/>
      <c r="CHI156" s="3060"/>
      <c r="CHJ156" s="3060"/>
      <c r="CHK156" s="3060"/>
      <c r="CHL156" s="3060"/>
      <c r="CHM156" s="3060"/>
      <c r="CHN156" s="3060"/>
      <c r="CHO156" s="3060"/>
      <c r="CHP156" s="3060"/>
      <c r="CHQ156" s="3060"/>
      <c r="CHR156" s="3060"/>
      <c r="CHS156" s="3060"/>
      <c r="CHT156" s="3060"/>
      <c r="CHU156" s="3060"/>
      <c r="CHV156" s="3060"/>
      <c r="CHW156" s="3060"/>
      <c r="CHX156" s="3060"/>
      <c r="CHY156" s="3060"/>
      <c r="CHZ156" s="3060"/>
      <c r="CIA156" s="3060"/>
      <c r="CIB156" s="3060"/>
      <c r="CIC156" s="3060"/>
      <c r="CID156" s="3060"/>
      <c r="CIE156" s="3060"/>
      <c r="CIF156" s="3060"/>
      <c r="CIG156" s="3060"/>
      <c r="CIH156" s="3060"/>
      <c r="CII156" s="3060"/>
      <c r="CIJ156" s="3060"/>
      <c r="CIK156" s="3060"/>
      <c r="CIL156" s="3060"/>
      <c r="CIM156" s="3060"/>
      <c r="CIN156" s="3060"/>
      <c r="CIO156" s="3060"/>
      <c r="CIP156" s="3060"/>
      <c r="CIQ156" s="3060"/>
      <c r="CIR156" s="3060"/>
      <c r="CIS156" s="3060"/>
      <c r="CIT156" s="3060"/>
      <c r="CIU156" s="3060"/>
      <c r="CIV156" s="3060"/>
      <c r="CIW156" s="3060"/>
      <c r="CIX156" s="3060"/>
      <c r="CIY156" s="3060"/>
      <c r="CIZ156" s="3060"/>
      <c r="CJA156" s="3060"/>
      <c r="CJB156" s="3060"/>
      <c r="CJC156" s="3060"/>
      <c r="CJD156" s="3060"/>
      <c r="CJE156" s="3060"/>
      <c r="CJF156" s="3060"/>
      <c r="CJG156" s="3060"/>
      <c r="CJH156" s="3060"/>
      <c r="CJI156" s="3060"/>
      <c r="CJJ156" s="3060"/>
      <c r="CJK156" s="3060"/>
      <c r="CJL156" s="3060"/>
      <c r="CJM156" s="3060"/>
      <c r="CJN156" s="3060"/>
      <c r="CJO156" s="3060"/>
      <c r="CJP156" s="3060"/>
      <c r="CJQ156" s="3060"/>
      <c r="CJR156" s="3060"/>
      <c r="CJS156" s="3060"/>
      <c r="CJT156" s="3060"/>
      <c r="CJU156" s="3060"/>
      <c r="CJV156" s="3060"/>
      <c r="CJW156" s="3060"/>
      <c r="CJX156" s="3060"/>
      <c r="CJY156" s="3060"/>
      <c r="CJZ156" s="3060"/>
      <c r="CKA156" s="3060"/>
      <c r="CKB156" s="3060"/>
      <c r="CKC156" s="3060"/>
      <c r="CKD156" s="3060"/>
      <c r="CKE156" s="3060"/>
      <c r="CKF156" s="3060"/>
      <c r="CKG156" s="3060"/>
      <c r="CKH156" s="3060"/>
      <c r="CKI156" s="3060"/>
      <c r="CKJ156" s="3060"/>
      <c r="CKK156" s="3060"/>
      <c r="CKL156" s="3060"/>
      <c r="CKM156" s="3060"/>
      <c r="CKN156" s="3060"/>
      <c r="CKO156" s="3060"/>
      <c r="CKP156" s="3060"/>
      <c r="CKQ156" s="3060"/>
      <c r="CKR156" s="3060"/>
      <c r="CKS156" s="3060"/>
      <c r="CKT156" s="3060"/>
      <c r="CKU156" s="3060"/>
      <c r="CKV156" s="3060"/>
      <c r="CKW156" s="3060"/>
      <c r="CKX156" s="3060"/>
      <c r="CKY156" s="3060"/>
      <c r="CKZ156" s="3060"/>
      <c r="CLA156" s="3060"/>
      <c r="CLB156" s="3060"/>
      <c r="CLC156" s="3060"/>
      <c r="CLD156" s="3060"/>
      <c r="CLE156" s="3060"/>
      <c r="CLF156" s="3060"/>
      <c r="CLG156" s="3060"/>
      <c r="CLH156" s="3060"/>
      <c r="CLI156" s="3060"/>
      <c r="CLJ156" s="3060"/>
      <c r="CLK156" s="3060"/>
      <c r="CLL156" s="3060"/>
      <c r="CLM156" s="3060"/>
      <c r="CLN156" s="3060"/>
      <c r="CLO156" s="3060"/>
      <c r="CLP156" s="3060"/>
      <c r="CLQ156" s="3060"/>
      <c r="CLR156" s="3060"/>
      <c r="CLS156" s="3060"/>
      <c r="CLT156" s="3060"/>
      <c r="CLU156" s="3060"/>
      <c r="CLV156" s="3060"/>
      <c r="CLW156" s="3060"/>
      <c r="CLX156" s="3060"/>
      <c r="CLY156" s="3060"/>
      <c r="CLZ156" s="3060"/>
      <c r="CMA156" s="3060"/>
      <c r="CMB156" s="3060"/>
      <c r="CMC156" s="3060"/>
      <c r="CMD156" s="3060"/>
      <c r="CME156" s="3060"/>
      <c r="CMF156" s="3060"/>
      <c r="CMG156" s="3060"/>
      <c r="CMH156" s="3060"/>
      <c r="CMI156" s="3060"/>
      <c r="CMJ156" s="3060"/>
      <c r="CMK156" s="3060"/>
      <c r="CML156" s="3060"/>
      <c r="CMM156" s="3060"/>
      <c r="CMN156" s="3060"/>
      <c r="CMO156" s="3060"/>
      <c r="CMP156" s="3060"/>
      <c r="CMQ156" s="3060"/>
      <c r="CMR156" s="3060"/>
      <c r="CMS156" s="3060"/>
      <c r="CMT156" s="3060"/>
      <c r="CMU156" s="3060"/>
      <c r="CMV156" s="3060"/>
      <c r="CMW156" s="3060"/>
      <c r="CMX156" s="3060"/>
      <c r="CMY156" s="3060"/>
      <c r="CMZ156" s="3060"/>
      <c r="CNA156" s="3060"/>
      <c r="CNB156" s="3060"/>
      <c r="CNC156" s="3060"/>
      <c r="CND156" s="3060"/>
      <c r="CNE156" s="3060"/>
      <c r="CNF156" s="3060"/>
      <c r="CNG156" s="3060"/>
      <c r="CNH156" s="3060"/>
      <c r="CNI156" s="3060"/>
      <c r="CNJ156" s="3060"/>
      <c r="CNK156" s="3060"/>
      <c r="CNL156" s="3060"/>
      <c r="CNM156" s="3060"/>
      <c r="CNN156" s="3060"/>
      <c r="CNO156" s="3060"/>
      <c r="CNP156" s="3060"/>
      <c r="CNQ156" s="3060"/>
      <c r="CNR156" s="3060"/>
      <c r="CNS156" s="3060"/>
      <c r="CNT156" s="3060"/>
      <c r="CNU156" s="3060"/>
      <c r="CNV156" s="3060"/>
      <c r="CNW156" s="3060"/>
      <c r="CNX156" s="3060"/>
      <c r="CNY156" s="3060"/>
      <c r="CNZ156" s="3060"/>
      <c r="COA156" s="3060"/>
      <c r="COB156" s="3060"/>
      <c r="COC156" s="3060"/>
      <c r="COD156" s="3060"/>
      <c r="COE156" s="3060"/>
      <c r="COF156" s="3060"/>
      <c r="COG156" s="3060"/>
      <c r="COH156" s="3060"/>
      <c r="COI156" s="3060"/>
      <c r="COJ156" s="3060"/>
      <c r="COK156" s="3060"/>
      <c r="COL156" s="3060"/>
      <c r="COM156" s="3060"/>
      <c r="CON156" s="3060"/>
      <c r="COO156" s="3060"/>
      <c r="COP156" s="3060"/>
      <c r="COQ156" s="3060"/>
      <c r="COR156" s="3060"/>
      <c r="COS156" s="3060"/>
      <c r="COT156" s="3060"/>
      <c r="COU156" s="3060"/>
      <c r="COV156" s="3060"/>
      <c r="COW156" s="3060"/>
      <c r="COX156" s="3060"/>
      <c r="COY156" s="3060"/>
      <c r="COZ156" s="3060"/>
      <c r="CPA156" s="3060"/>
      <c r="CPB156" s="3060"/>
      <c r="CPC156" s="3060"/>
      <c r="CPD156" s="3060"/>
      <c r="CPE156" s="3060"/>
      <c r="CPF156" s="3060"/>
      <c r="CPG156" s="3060"/>
      <c r="CPH156" s="3060"/>
      <c r="CPI156" s="3060"/>
      <c r="CPJ156" s="3060"/>
      <c r="CPK156" s="3060"/>
      <c r="CPL156" s="3060"/>
      <c r="CPM156" s="3060"/>
      <c r="CPN156" s="3060"/>
      <c r="CPO156" s="3060"/>
      <c r="CPP156" s="3060"/>
      <c r="CPQ156" s="3060"/>
      <c r="CPR156" s="3060"/>
      <c r="CPS156" s="3060"/>
      <c r="CPT156" s="3060"/>
      <c r="CPU156" s="3060"/>
      <c r="CPV156" s="3060"/>
      <c r="CPW156" s="3060"/>
      <c r="CPX156" s="3060"/>
      <c r="CPY156" s="3060"/>
      <c r="CPZ156" s="3060"/>
      <c r="CQA156" s="3060"/>
      <c r="CQB156" s="3060"/>
      <c r="CQC156" s="3060"/>
      <c r="CQD156" s="3060"/>
      <c r="CQE156" s="3060"/>
      <c r="CQF156" s="3060"/>
      <c r="CQG156" s="3060"/>
      <c r="CQH156" s="3060"/>
      <c r="CQI156" s="3060"/>
      <c r="CQJ156" s="3060"/>
      <c r="CQK156" s="3060"/>
      <c r="CQL156" s="3060"/>
      <c r="CQM156" s="3060"/>
      <c r="CQN156" s="3060"/>
      <c r="CQO156" s="3060"/>
      <c r="CQP156" s="3060"/>
      <c r="CQQ156" s="3060"/>
      <c r="CQR156" s="3060"/>
      <c r="CQS156" s="3060"/>
      <c r="CQT156" s="3060"/>
      <c r="CQU156" s="3060"/>
      <c r="CQV156" s="3060"/>
      <c r="CQW156" s="3060"/>
      <c r="CQX156" s="3060"/>
      <c r="CQY156" s="3060"/>
      <c r="CQZ156" s="3060"/>
      <c r="CRA156" s="3060"/>
      <c r="CRB156" s="3060"/>
      <c r="CRC156" s="3060"/>
      <c r="CRD156" s="3060"/>
      <c r="CRE156" s="3060"/>
      <c r="CRF156" s="3060"/>
      <c r="CRG156" s="3060"/>
      <c r="CRH156" s="3060"/>
      <c r="CRI156" s="3060"/>
      <c r="CRJ156" s="3060"/>
      <c r="CRK156" s="3060"/>
      <c r="CRL156" s="3060"/>
      <c r="CRM156" s="3060"/>
      <c r="CRN156" s="3060"/>
      <c r="CRO156" s="3060"/>
      <c r="CRP156" s="3060"/>
      <c r="CRQ156" s="3060"/>
      <c r="CRR156" s="3060"/>
      <c r="CRS156" s="3060"/>
      <c r="CRT156" s="3060"/>
      <c r="CRU156" s="3060"/>
      <c r="CRV156" s="3060"/>
      <c r="CRW156" s="3060"/>
      <c r="CRX156" s="3060"/>
      <c r="CRY156" s="3060"/>
      <c r="CRZ156" s="3060"/>
      <c r="CSA156" s="3060"/>
      <c r="CSB156" s="3060"/>
      <c r="CSC156" s="3060"/>
      <c r="CSD156" s="3060"/>
      <c r="CSE156" s="3060"/>
      <c r="CSF156" s="3060"/>
      <c r="CSG156" s="3060"/>
      <c r="CSH156" s="3060"/>
      <c r="CSI156" s="3060"/>
      <c r="CSJ156" s="3060"/>
      <c r="CSK156" s="3060"/>
      <c r="CSL156" s="3060"/>
      <c r="CSM156" s="3060"/>
      <c r="CSN156" s="3060"/>
      <c r="CSO156" s="3060"/>
      <c r="CSP156" s="3060"/>
      <c r="CSQ156" s="3060"/>
      <c r="CSR156" s="3060"/>
      <c r="CSS156" s="3060"/>
      <c r="CST156" s="3060"/>
      <c r="CSU156" s="3060"/>
      <c r="CSV156" s="3060"/>
      <c r="CSW156" s="3060"/>
      <c r="CSX156" s="3060"/>
      <c r="CSY156" s="3060"/>
      <c r="CSZ156" s="3060"/>
      <c r="CTA156" s="3060"/>
      <c r="CTB156" s="3060"/>
      <c r="CTC156" s="3060"/>
      <c r="CTD156" s="3060"/>
      <c r="CTE156" s="3060"/>
      <c r="CTF156" s="3060"/>
      <c r="CTG156" s="3060"/>
      <c r="CTH156" s="3060"/>
      <c r="CTI156" s="3060"/>
      <c r="CTJ156" s="3060"/>
      <c r="CTK156" s="3060"/>
      <c r="CTL156" s="3060"/>
      <c r="CTM156" s="3060"/>
      <c r="CTN156" s="3060"/>
      <c r="CTO156" s="3060"/>
      <c r="CTP156" s="3060"/>
      <c r="CTQ156" s="3060"/>
      <c r="CTR156" s="3060"/>
      <c r="CTS156" s="3060"/>
      <c r="CTT156" s="3060"/>
      <c r="CTU156" s="3060"/>
      <c r="CTV156" s="3060"/>
      <c r="CTW156" s="3060"/>
      <c r="CTX156" s="3060"/>
      <c r="CTY156" s="3060"/>
      <c r="CTZ156" s="3060"/>
      <c r="CUA156" s="3060"/>
      <c r="CUB156" s="3060"/>
      <c r="CUC156" s="3060"/>
      <c r="CUD156" s="3060"/>
      <c r="CUE156" s="3060"/>
      <c r="CUF156" s="3060"/>
      <c r="CUG156" s="3060"/>
      <c r="CUH156" s="3060"/>
      <c r="CUI156" s="3060"/>
      <c r="CUJ156" s="3060"/>
      <c r="CUK156" s="3060"/>
      <c r="CUL156" s="3060"/>
      <c r="CUM156" s="3060"/>
      <c r="CUN156" s="3060"/>
      <c r="CUO156" s="3060"/>
      <c r="CUP156" s="3060"/>
      <c r="CUQ156" s="3060"/>
      <c r="CUR156" s="3060"/>
      <c r="CUS156" s="3060"/>
      <c r="CUT156" s="3060"/>
      <c r="CUU156" s="3060"/>
      <c r="CUV156" s="3060"/>
      <c r="CUW156" s="3060"/>
      <c r="CUX156" s="3060"/>
      <c r="CUY156" s="3060"/>
      <c r="CUZ156" s="3060"/>
      <c r="CVA156" s="3060"/>
      <c r="CVB156" s="3060"/>
      <c r="CVC156" s="3060"/>
      <c r="CVD156" s="3060"/>
      <c r="CVE156" s="3060"/>
      <c r="CVF156" s="3060"/>
      <c r="CVG156" s="3060"/>
      <c r="CVH156" s="3060"/>
      <c r="CVI156" s="3060"/>
      <c r="CVJ156" s="3060"/>
      <c r="CVK156" s="3060"/>
      <c r="CVL156" s="3060"/>
      <c r="CVM156" s="3060"/>
      <c r="CVN156" s="3060"/>
      <c r="CVO156" s="3060"/>
      <c r="CVP156" s="3060"/>
      <c r="CVQ156" s="3060"/>
      <c r="CVR156" s="3060"/>
      <c r="CVS156" s="3060"/>
      <c r="CVT156" s="3060"/>
      <c r="CVU156" s="3060"/>
      <c r="CVV156" s="3060"/>
      <c r="CVW156" s="3060"/>
      <c r="CVX156" s="3060"/>
      <c r="CVY156" s="3060"/>
      <c r="CVZ156" s="3060"/>
      <c r="CWA156" s="3060"/>
      <c r="CWB156" s="3060"/>
      <c r="CWC156" s="3060"/>
      <c r="CWD156" s="3060"/>
      <c r="CWE156" s="3060"/>
      <c r="CWF156" s="3060"/>
      <c r="CWG156" s="3060"/>
      <c r="CWH156" s="3060"/>
      <c r="CWI156" s="3060"/>
      <c r="CWJ156" s="3060"/>
      <c r="CWK156" s="3060"/>
      <c r="CWL156" s="3060"/>
      <c r="CWM156" s="3060"/>
      <c r="CWN156" s="3060"/>
      <c r="CWO156" s="3060"/>
      <c r="CWP156" s="3060"/>
      <c r="CWQ156" s="3060"/>
      <c r="CWR156" s="3060"/>
      <c r="CWS156" s="3060"/>
      <c r="CWT156" s="3060"/>
      <c r="CWU156" s="3060"/>
      <c r="CWV156" s="3060"/>
      <c r="CWW156" s="3060"/>
      <c r="CWX156" s="3060"/>
      <c r="CWY156" s="3060"/>
      <c r="CWZ156" s="3060"/>
      <c r="CXA156" s="3060"/>
      <c r="CXB156" s="3060"/>
      <c r="CXC156" s="3060"/>
      <c r="CXD156" s="3060"/>
      <c r="CXE156" s="3060"/>
      <c r="CXF156" s="3060"/>
      <c r="CXG156" s="3060"/>
      <c r="CXH156" s="3060"/>
      <c r="CXI156" s="3060"/>
      <c r="CXJ156" s="3060"/>
      <c r="CXK156" s="3060"/>
      <c r="CXL156" s="3060"/>
      <c r="CXM156" s="3060"/>
      <c r="CXN156" s="3060"/>
      <c r="CXO156" s="3060"/>
      <c r="CXP156" s="3060"/>
      <c r="CXQ156" s="3060"/>
      <c r="CXR156" s="3060"/>
      <c r="CXS156" s="3060"/>
      <c r="CXT156" s="3060"/>
      <c r="CXU156" s="3060"/>
      <c r="CXV156" s="3060"/>
      <c r="CXW156" s="3060"/>
      <c r="CXX156" s="3060"/>
      <c r="CXY156" s="3060"/>
      <c r="CXZ156" s="3060"/>
      <c r="CYA156" s="3060"/>
      <c r="CYB156" s="3060"/>
      <c r="CYC156" s="3060"/>
      <c r="CYD156" s="3060"/>
      <c r="CYE156" s="3060"/>
      <c r="CYF156" s="3060"/>
      <c r="CYG156" s="3060"/>
      <c r="CYH156" s="3060"/>
      <c r="CYI156" s="3060"/>
      <c r="CYJ156" s="3060"/>
      <c r="CYK156" s="3060"/>
      <c r="CYL156" s="3060"/>
      <c r="CYM156" s="3060"/>
      <c r="CYN156" s="3060"/>
      <c r="CYO156" s="3060"/>
      <c r="CYP156" s="3060"/>
      <c r="CYQ156" s="3060"/>
      <c r="CYR156" s="3060"/>
      <c r="CYS156" s="3060"/>
      <c r="CYT156" s="3060"/>
      <c r="CYU156" s="3060"/>
      <c r="CYV156" s="3060"/>
      <c r="CYW156" s="3060"/>
      <c r="CYX156" s="3060"/>
      <c r="CYY156" s="3060"/>
      <c r="CYZ156" s="3060"/>
      <c r="CZA156" s="3060"/>
      <c r="CZB156" s="3060"/>
      <c r="CZC156" s="3060"/>
      <c r="CZD156" s="3060"/>
      <c r="CZE156" s="3060"/>
      <c r="CZF156" s="3060"/>
      <c r="CZG156" s="3060"/>
      <c r="CZH156" s="3060"/>
      <c r="CZI156" s="3060"/>
      <c r="CZJ156" s="3060"/>
      <c r="CZK156" s="3060"/>
      <c r="CZL156" s="3060"/>
      <c r="CZM156" s="3060"/>
      <c r="CZN156" s="3060"/>
      <c r="CZO156" s="3060"/>
      <c r="CZP156" s="3060"/>
      <c r="CZQ156" s="3060"/>
      <c r="CZR156" s="3060"/>
      <c r="CZS156" s="3060"/>
      <c r="CZT156" s="3060"/>
      <c r="CZU156" s="3060"/>
      <c r="CZV156" s="3060"/>
      <c r="CZW156" s="3060"/>
      <c r="CZX156" s="3060"/>
      <c r="CZY156" s="3060"/>
      <c r="CZZ156" s="3060"/>
      <c r="DAA156" s="3060"/>
      <c r="DAB156" s="3060"/>
      <c r="DAC156" s="3060"/>
      <c r="DAD156" s="3060"/>
      <c r="DAE156" s="3060"/>
      <c r="DAF156" s="3060"/>
      <c r="DAG156" s="3060"/>
      <c r="DAH156" s="3060"/>
      <c r="DAI156" s="3060"/>
      <c r="DAJ156" s="3060"/>
      <c r="DAK156" s="3060"/>
      <c r="DAL156" s="3060"/>
      <c r="DAM156" s="3060"/>
      <c r="DAN156" s="3060"/>
      <c r="DAO156" s="3060"/>
      <c r="DAP156" s="3060"/>
      <c r="DAQ156" s="3060"/>
      <c r="DAR156" s="3060"/>
      <c r="DAS156" s="3060"/>
      <c r="DAT156" s="3060"/>
      <c r="DAU156" s="3060"/>
      <c r="DAV156" s="3060"/>
      <c r="DAW156" s="3060"/>
      <c r="DAX156" s="3060"/>
      <c r="DAY156" s="3060"/>
      <c r="DAZ156" s="3060"/>
      <c r="DBA156" s="3060"/>
      <c r="DBB156" s="3060"/>
      <c r="DBC156" s="3060"/>
      <c r="DBD156" s="3060"/>
      <c r="DBE156" s="3060"/>
      <c r="DBF156" s="3060"/>
      <c r="DBG156" s="3060"/>
      <c r="DBH156" s="3060"/>
      <c r="DBI156" s="3060"/>
      <c r="DBJ156" s="3060"/>
      <c r="DBK156" s="3060"/>
      <c r="DBL156" s="3060"/>
      <c r="DBM156" s="3060"/>
      <c r="DBN156" s="3060"/>
      <c r="DBO156" s="3060"/>
      <c r="DBP156" s="3060"/>
      <c r="DBQ156" s="3060"/>
      <c r="DBR156" s="3060"/>
      <c r="DBS156" s="3060"/>
      <c r="DBT156" s="3060"/>
      <c r="DBU156" s="3060"/>
      <c r="DBV156" s="3060"/>
      <c r="DBW156" s="3060"/>
      <c r="DBX156" s="3060"/>
      <c r="DBY156" s="3060"/>
      <c r="DBZ156" s="3060"/>
      <c r="DCA156" s="3060"/>
      <c r="DCB156" s="3060"/>
      <c r="DCC156" s="3060"/>
      <c r="DCD156" s="3060"/>
      <c r="DCE156" s="3060"/>
      <c r="DCF156" s="3060"/>
      <c r="DCG156" s="3060"/>
      <c r="DCH156" s="3060"/>
      <c r="DCI156" s="3060"/>
      <c r="DCJ156" s="3060"/>
      <c r="DCK156" s="3060"/>
      <c r="DCL156" s="3060"/>
      <c r="DCM156" s="3060"/>
      <c r="DCN156" s="3060"/>
      <c r="DCO156" s="3060"/>
      <c r="DCP156" s="3060"/>
      <c r="DCQ156" s="3060"/>
      <c r="DCR156" s="3060"/>
      <c r="DCS156" s="3060"/>
      <c r="DCT156" s="3060"/>
      <c r="DCU156" s="3060"/>
      <c r="DCV156" s="3060"/>
      <c r="DCW156" s="3060"/>
      <c r="DCX156" s="3060"/>
      <c r="DCY156" s="3060"/>
      <c r="DCZ156" s="3060"/>
      <c r="DDA156" s="3060"/>
      <c r="DDB156" s="3060"/>
      <c r="DDC156" s="3060"/>
      <c r="DDD156" s="3060"/>
      <c r="DDE156" s="3060"/>
      <c r="DDF156" s="3060"/>
      <c r="DDG156" s="3060"/>
      <c r="DDH156" s="3060"/>
      <c r="DDI156" s="3060"/>
      <c r="DDJ156" s="3060"/>
      <c r="DDK156" s="3060"/>
      <c r="DDL156" s="3060"/>
      <c r="DDM156" s="3060"/>
      <c r="DDN156" s="3060"/>
      <c r="DDO156" s="3060"/>
      <c r="DDP156" s="3060"/>
      <c r="DDQ156" s="3060"/>
      <c r="DDR156" s="3060"/>
      <c r="DDS156" s="3060"/>
      <c r="DDT156" s="3060"/>
      <c r="DDU156" s="3060"/>
      <c r="DDV156" s="3060"/>
      <c r="DDW156" s="3060"/>
      <c r="DDX156" s="3060"/>
      <c r="DDY156" s="3060"/>
      <c r="DDZ156" s="3060"/>
      <c r="DEA156" s="3060"/>
      <c r="DEB156" s="3060"/>
      <c r="DEC156" s="3060"/>
      <c r="DED156" s="3060"/>
      <c r="DEE156" s="3060"/>
      <c r="DEF156" s="3060"/>
      <c r="DEG156" s="3060"/>
      <c r="DEH156" s="3060"/>
      <c r="DEI156" s="3060"/>
      <c r="DEJ156" s="3060"/>
      <c r="DEK156" s="3060"/>
      <c r="DEL156" s="3060"/>
      <c r="DEM156" s="3060"/>
      <c r="DEN156" s="3060"/>
      <c r="DEO156" s="3060"/>
      <c r="DEP156" s="3060"/>
      <c r="DEQ156" s="3060"/>
      <c r="DER156" s="3060"/>
      <c r="DES156" s="3060"/>
      <c r="DET156" s="3060"/>
      <c r="DEU156" s="3060"/>
      <c r="DEV156" s="3060"/>
      <c r="DEW156" s="3060"/>
      <c r="DEX156" s="3060"/>
      <c r="DEY156" s="3060"/>
      <c r="DEZ156" s="3060"/>
      <c r="DFA156" s="3060"/>
      <c r="DFB156" s="3060"/>
      <c r="DFC156" s="3060"/>
      <c r="DFD156" s="3060"/>
      <c r="DFE156" s="3060"/>
      <c r="DFF156" s="3060"/>
      <c r="DFG156" s="3060"/>
      <c r="DFH156" s="3060"/>
      <c r="DFI156" s="3060"/>
      <c r="DFJ156" s="3060"/>
      <c r="DFK156" s="3060"/>
      <c r="DFL156" s="3060"/>
      <c r="DFM156" s="3060"/>
      <c r="DFN156" s="3060"/>
      <c r="DFO156" s="3060"/>
      <c r="DFP156" s="3060"/>
      <c r="DFQ156" s="3060"/>
      <c r="DFR156" s="3060"/>
      <c r="DFS156" s="3060"/>
      <c r="DFT156" s="3060"/>
      <c r="DFU156" s="3060"/>
      <c r="DFV156" s="3060"/>
      <c r="DFW156" s="3060"/>
      <c r="DFX156" s="3060"/>
      <c r="DFY156" s="3060"/>
      <c r="DFZ156" s="3060"/>
      <c r="DGA156" s="3060"/>
      <c r="DGB156" s="3060"/>
      <c r="DGC156" s="3060"/>
      <c r="DGD156" s="3060"/>
      <c r="DGE156" s="3060"/>
      <c r="DGF156" s="3060"/>
      <c r="DGG156" s="3060"/>
      <c r="DGH156" s="3060"/>
      <c r="DGI156" s="3060"/>
      <c r="DGJ156" s="3060"/>
      <c r="DGK156" s="3060"/>
      <c r="DGL156" s="3060"/>
      <c r="DGM156" s="3060"/>
      <c r="DGN156" s="3060"/>
      <c r="DGO156" s="3060"/>
      <c r="DGP156" s="3060"/>
      <c r="DGQ156" s="3060"/>
      <c r="DGR156" s="3060"/>
      <c r="DGS156" s="3060"/>
      <c r="DGT156" s="3060"/>
      <c r="DGU156" s="3060"/>
      <c r="DGV156" s="3060"/>
      <c r="DGW156" s="3060"/>
      <c r="DGX156" s="3060"/>
      <c r="DGY156" s="3060"/>
      <c r="DGZ156" s="3060"/>
      <c r="DHA156" s="3060"/>
      <c r="DHB156" s="3060"/>
      <c r="DHC156" s="3060"/>
      <c r="DHD156" s="3060"/>
      <c r="DHE156" s="3060"/>
      <c r="DHF156" s="3060"/>
      <c r="DHG156" s="3060"/>
      <c r="DHH156" s="3060"/>
      <c r="DHI156" s="3060"/>
      <c r="DHJ156" s="3060"/>
      <c r="DHK156" s="3060"/>
      <c r="DHL156" s="3060"/>
      <c r="DHM156" s="3060"/>
      <c r="DHN156" s="3060"/>
      <c r="DHO156" s="3060"/>
      <c r="DHP156" s="3060"/>
      <c r="DHQ156" s="3060"/>
      <c r="DHR156" s="3060"/>
      <c r="DHS156" s="3060"/>
      <c r="DHT156" s="3060"/>
      <c r="DHU156" s="3060"/>
      <c r="DHV156" s="3060"/>
      <c r="DHW156" s="3060"/>
      <c r="DHX156" s="3060"/>
      <c r="DHY156" s="3060"/>
      <c r="DHZ156" s="3060"/>
      <c r="DIA156" s="3060"/>
      <c r="DIB156" s="3060"/>
      <c r="DIC156" s="3060"/>
      <c r="DID156" s="3060"/>
      <c r="DIE156" s="3060"/>
      <c r="DIF156" s="3060"/>
      <c r="DIG156" s="3060"/>
      <c r="DIH156" s="3060"/>
      <c r="DII156" s="3060"/>
      <c r="DIJ156" s="3060"/>
      <c r="DIK156" s="3060"/>
      <c r="DIL156" s="3060"/>
      <c r="DIM156" s="3060"/>
      <c r="DIN156" s="3060"/>
      <c r="DIO156" s="3060"/>
      <c r="DIP156" s="3060"/>
      <c r="DIQ156" s="3060"/>
      <c r="DIR156" s="3060"/>
      <c r="DIS156" s="3060"/>
      <c r="DIT156" s="3060"/>
      <c r="DIU156" s="3060"/>
      <c r="DIV156" s="3060"/>
      <c r="DIW156" s="3060"/>
      <c r="DIX156" s="3060"/>
      <c r="DIY156" s="3060"/>
      <c r="DIZ156" s="3060"/>
      <c r="DJA156" s="3060"/>
      <c r="DJB156" s="3060"/>
      <c r="DJC156" s="3060"/>
      <c r="DJD156" s="3060"/>
      <c r="DJE156" s="3060"/>
      <c r="DJF156" s="3060"/>
      <c r="DJG156" s="3060"/>
      <c r="DJH156" s="3060"/>
      <c r="DJI156" s="3060"/>
      <c r="DJJ156" s="3060"/>
      <c r="DJK156" s="3060"/>
      <c r="DJL156" s="3060"/>
      <c r="DJM156" s="3060"/>
      <c r="DJN156" s="3060"/>
      <c r="DJO156" s="3060"/>
      <c r="DJP156" s="3060"/>
      <c r="DJQ156" s="3060"/>
      <c r="DJR156" s="3060"/>
      <c r="DJS156" s="3060"/>
      <c r="DJT156" s="3060"/>
      <c r="DJU156" s="3060"/>
      <c r="DJV156" s="3060"/>
      <c r="DJW156" s="3060"/>
      <c r="DJX156" s="3060"/>
      <c r="DJY156" s="3060"/>
      <c r="DJZ156" s="3060"/>
      <c r="DKA156" s="3060"/>
      <c r="DKB156" s="3060"/>
      <c r="DKC156" s="3060"/>
      <c r="DKD156" s="3060"/>
      <c r="DKE156" s="3060"/>
      <c r="DKF156" s="3060"/>
      <c r="DKG156" s="3060"/>
      <c r="DKH156" s="3060"/>
      <c r="DKI156" s="3060"/>
      <c r="DKJ156" s="3060"/>
      <c r="DKK156" s="3060"/>
      <c r="DKL156" s="3060"/>
      <c r="DKM156" s="3060"/>
      <c r="DKN156" s="3060"/>
      <c r="DKO156" s="3060"/>
      <c r="DKP156" s="3060"/>
      <c r="DKQ156" s="3060"/>
      <c r="DKR156" s="3060"/>
      <c r="DKS156" s="3060"/>
      <c r="DKT156" s="3060"/>
      <c r="DKU156" s="3060"/>
      <c r="DKV156" s="3060"/>
      <c r="DKW156" s="3060"/>
      <c r="DKX156" s="3060"/>
      <c r="DKY156" s="3060"/>
      <c r="DKZ156" s="3060"/>
      <c r="DLA156" s="3060"/>
      <c r="DLB156" s="3060"/>
      <c r="DLC156" s="3060"/>
      <c r="DLD156" s="3060"/>
      <c r="DLE156" s="3060"/>
      <c r="DLF156" s="3060"/>
      <c r="DLG156" s="3060"/>
      <c r="DLH156" s="3060"/>
      <c r="DLI156" s="3060"/>
      <c r="DLJ156" s="3060"/>
      <c r="DLK156" s="3060"/>
      <c r="DLL156" s="3060"/>
      <c r="DLM156" s="3060"/>
      <c r="DLN156" s="3060"/>
      <c r="DLO156" s="3060"/>
      <c r="DLP156" s="3060"/>
      <c r="DLQ156" s="3060"/>
      <c r="DLR156" s="3060"/>
      <c r="DLS156" s="3060"/>
      <c r="DLT156" s="3060"/>
      <c r="DLU156" s="3060"/>
      <c r="DLV156" s="3060"/>
      <c r="DLW156" s="3060"/>
      <c r="DLX156" s="3060"/>
      <c r="DLY156" s="3060"/>
      <c r="DLZ156" s="3060"/>
      <c r="DMA156" s="3060"/>
      <c r="DMB156" s="3060"/>
      <c r="DMC156" s="3060"/>
      <c r="DMD156" s="3060"/>
      <c r="DME156" s="3060"/>
      <c r="DMF156" s="3060"/>
      <c r="DMG156" s="3060"/>
      <c r="DMH156" s="3060"/>
      <c r="DMI156" s="3060"/>
      <c r="DMJ156" s="3060"/>
      <c r="DMK156" s="3060"/>
      <c r="DML156" s="3060"/>
      <c r="DMM156" s="3060"/>
      <c r="DMN156" s="3060"/>
      <c r="DMO156" s="3060"/>
      <c r="DMP156" s="3060"/>
      <c r="DMQ156" s="3060"/>
      <c r="DMR156" s="3060"/>
      <c r="DMS156" s="3060"/>
      <c r="DMT156" s="3060"/>
      <c r="DMU156" s="3060"/>
      <c r="DMV156" s="3060"/>
      <c r="DMW156" s="3060"/>
      <c r="DMX156" s="3060"/>
      <c r="DMY156" s="3060"/>
      <c r="DMZ156" s="3060"/>
      <c r="DNA156" s="3060"/>
      <c r="DNB156" s="3060"/>
      <c r="DNC156" s="3060"/>
      <c r="DND156" s="3060"/>
      <c r="DNE156" s="3060"/>
      <c r="DNF156" s="3060"/>
      <c r="DNG156" s="3060"/>
      <c r="DNH156" s="3060"/>
      <c r="DNI156" s="3060"/>
      <c r="DNJ156" s="3060"/>
      <c r="DNK156" s="3060"/>
      <c r="DNL156" s="3060"/>
      <c r="DNM156" s="3060"/>
      <c r="DNN156" s="3060"/>
      <c r="DNO156" s="3060"/>
      <c r="DNP156" s="3060"/>
      <c r="DNQ156" s="3060"/>
      <c r="DNR156" s="3060"/>
      <c r="DNS156" s="3060"/>
      <c r="DNT156" s="3060"/>
      <c r="DNU156" s="3060"/>
      <c r="DNV156" s="3060"/>
      <c r="DNW156" s="3060"/>
      <c r="DNX156" s="3060"/>
      <c r="DNY156" s="3060"/>
      <c r="DNZ156" s="3060"/>
      <c r="DOA156" s="3060"/>
      <c r="DOB156" s="3060"/>
      <c r="DOC156" s="3060"/>
      <c r="DOD156" s="3060"/>
      <c r="DOE156" s="3060"/>
      <c r="DOF156" s="3060"/>
      <c r="DOG156" s="3060"/>
      <c r="DOH156" s="3060"/>
      <c r="DOI156" s="3060"/>
      <c r="DOJ156" s="3060"/>
      <c r="DOK156" s="3060"/>
      <c r="DOL156" s="3060"/>
      <c r="DOM156" s="3060"/>
      <c r="DON156" s="3060"/>
      <c r="DOO156" s="3060"/>
      <c r="DOP156" s="3060"/>
      <c r="DOQ156" s="3060"/>
      <c r="DOR156" s="3060"/>
      <c r="DOS156" s="3060"/>
      <c r="DOT156" s="3060"/>
      <c r="DOU156" s="3060"/>
      <c r="DOV156" s="3060"/>
      <c r="DOW156" s="3060"/>
      <c r="DOX156" s="3060"/>
      <c r="DOY156" s="3060"/>
      <c r="DOZ156" s="3060"/>
      <c r="DPA156" s="3060"/>
      <c r="DPB156" s="3060"/>
      <c r="DPC156" s="3060"/>
      <c r="DPD156" s="3060"/>
      <c r="DPE156" s="3060"/>
      <c r="DPF156" s="3060"/>
      <c r="DPG156" s="3060"/>
      <c r="DPH156" s="3060"/>
      <c r="DPI156" s="3060"/>
      <c r="DPJ156" s="3060"/>
      <c r="DPK156" s="3060"/>
      <c r="DPL156" s="3060"/>
      <c r="DPM156" s="3060"/>
      <c r="DPN156" s="3060"/>
      <c r="DPO156" s="3060"/>
      <c r="DPP156" s="3060"/>
      <c r="DPQ156" s="3060"/>
      <c r="DPR156" s="3060"/>
      <c r="DPS156" s="3060"/>
      <c r="DPT156" s="3060"/>
      <c r="DPU156" s="3060"/>
      <c r="DPV156" s="3060"/>
      <c r="DPW156" s="3060"/>
      <c r="DPX156" s="3060"/>
      <c r="DPY156" s="3060"/>
      <c r="DPZ156" s="3060"/>
      <c r="DQA156" s="3060"/>
      <c r="DQB156" s="3060"/>
      <c r="DQC156" s="3060"/>
      <c r="DQD156" s="3060"/>
      <c r="DQE156" s="3060"/>
      <c r="DQF156" s="3060"/>
      <c r="DQG156" s="3060"/>
      <c r="DQH156" s="3060"/>
      <c r="DQI156" s="3060"/>
      <c r="DQJ156" s="3060"/>
      <c r="DQK156" s="3060"/>
      <c r="DQL156" s="3060"/>
      <c r="DQM156" s="3060"/>
      <c r="DQN156" s="3060"/>
      <c r="DQO156" s="3060"/>
      <c r="DQP156" s="3060"/>
      <c r="DQQ156" s="3060"/>
      <c r="DQR156" s="3060"/>
      <c r="DQS156" s="3060"/>
      <c r="DQT156" s="3060"/>
      <c r="DQU156" s="3060"/>
      <c r="DQV156" s="3060"/>
      <c r="DQW156" s="3060"/>
      <c r="DQX156" s="3060"/>
      <c r="DQY156" s="3060"/>
      <c r="DQZ156" s="3060"/>
      <c r="DRA156" s="3060"/>
      <c r="DRB156" s="3060"/>
      <c r="DRC156" s="3060"/>
      <c r="DRD156" s="3060"/>
      <c r="DRE156" s="3060"/>
      <c r="DRF156" s="3060"/>
      <c r="DRG156" s="3060"/>
      <c r="DRH156" s="3060"/>
      <c r="DRI156" s="3060"/>
      <c r="DRJ156" s="3060"/>
      <c r="DRK156" s="3060"/>
      <c r="DRL156" s="3060"/>
      <c r="DRM156" s="3060"/>
      <c r="DRN156" s="3060"/>
      <c r="DRO156" s="3060"/>
      <c r="DRP156" s="3060"/>
      <c r="DRQ156" s="3060"/>
      <c r="DRR156" s="3060"/>
      <c r="DRS156" s="3060"/>
      <c r="DRT156" s="3060"/>
      <c r="DRU156" s="3060"/>
      <c r="DRV156" s="3060"/>
      <c r="DRW156" s="3060"/>
      <c r="DRX156" s="3060"/>
      <c r="DRY156" s="3060"/>
      <c r="DRZ156" s="3060"/>
      <c r="DSA156" s="3060"/>
      <c r="DSB156" s="3060"/>
      <c r="DSC156" s="3060"/>
      <c r="DSD156" s="3060"/>
      <c r="DSE156" s="3060"/>
      <c r="DSF156" s="3060"/>
      <c r="DSG156" s="3060"/>
      <c r="DSH156" s="3060"/>
      <c r="DSI156" s="3060"/>
      <c r="DSJ156" s="3060"/>
      <c r="DSK156" s="3060"/>
      <c r="DSL156" s="3060"/>
      <c r="DSM156" s="3060"/>
      <c r="DSN156" s="3060"/>
      <c r="DSO156" s="3060"/>
      <c r="DSP156" s="3060"/>
      <c r="DSQ156" s="3060"/>
      <c r="DSR156" s="3060"/>
      <c r="DSS156" s="3060"/>
      <c r="DST156" s="3060"/>
      <c r="DSU156" s="3060"/>
      <c r="DSV156" s="3060"/>
      <c r="DSW156" s="3060"/>
      <c r="DSX156" s="3060"/>
      <c r="DSY156" s="3060"/>
      <c r="DSZ156" s="3060"/>
      <c r="DTA156" s="3060"/>
      <c r="DTB156" s="3060"/>
      <c r="DTC156" s="3060"/>
      <c r="DTD156" s="3060"/>
      <c r="DTE156" s="3060"/>
      <c r="DTF156" s="3060"/>
      <c r="DTG156" s="3060"/>
      <c r="DTH156" s="3060"/>
      <c r="DTI156" s="3060"/>
      <c r="DTJ156" s="3060"/>
      <c r="DTK156" s="3060"/>
      <c r="DTL156" s="3060"/>
      <c r="DTM156" s="3060"/>
      <c r="DTN156" s="3060"/>
      <c r="DTO156" s="3060"/>
      <c r="DTP156" s="3060"/>
      <c r="DTQ156" s="3060"/>
      <c r="DTR156" s="3060"/>
      <c r="DTS156" s="3060"/>
      <c r="DTT156" s="3060"/>
      <c r="DTU156" s="3060"/>
      <c r="DTV156" s="3060"/>
      <c r="DTW156" s="3060"/>
      <c r="DTX156" s="3060"/>
      <c r="DTY156" s="3060"/>
      <c r="DTZ156" s="3060"/>
      <c r="DUA156" s="3060"/>
      <c r="DUB156" s="3060"/>
      <c r="DUC156" s="3060"/>
      <c r="DUD156" s="3060"/>
      <c r="DUE156" s="3060"/>
      <c r="DUF156" s="3060"/>
      <c r="DUG156" s="3060"/>
      <c r="DUH156" s="3060"/>
      <c r="DUI156" s="3060"/>
      <c r="DUJ156" s="3060"/>
      <c r="DUK156" s="3060"/>
      <c r="DUL156" s="3060"/>
      <c r="DUM156" s="3060"/>
      <c r="DUN156" s="3060"/>
      <c r="DUO156" s="3060"/>
      <c r="DUP156" s="3060"/>
      <c r="DUQ156" s="3060"/>
      <c r="DUR156" s="3060"/>
      <c r="DUS156" s="3060"/>
      <c r="DUT156" s="3060"/>
      <c r="DUU156" s="3060"/>
      <c r="DUV156" s="3060"/>
      <c r="DUW156" s="3060"/>
      <c r="DUX156" s="3060"/>
      <c r="DUY156" s="3060"/>
      <c r="DUZ156" s="3060"/>
      <c r="DVA156" s="3060"/>
      <c r="DVB156" s="3060"/>
      <c r="DVC156" s="3060"/>
      <c r="DVD156" s="3060"/>
      <c r="DVE156" s="3060"/>
      <c r="DVF156" s="3060"/>
      <c r="DVG156" s="3060"/>
      <c r="DVH156" s="3060"/>
      <c r="DVI156" s="3060"/>
      <c r="DVJ156" s="3060"/>
      <c r="DVK156" s="3060"/>
      <c r="DVL156" s="3060"/>
      <c r="DVM156" s="3060"/>
      <c r="DVN156" s="3060"/>
      <c r="DVO156" s="3060"/>
      <c r="DVP156" s="3060"/>
      <c r="DVQ156" s="3060"/>
      <c r="DVR156" s="3060"/>
      <c r="DVS156" s="3060"/>
      <c r="DVT156" s="3060"/>
      <c r="DVU156" s="3060"/>
      <c r="DVV156" s="3060"/>
      <c r="DVW156" s="3060"/>
      <c r="DVX156" s="3060"/>
      <c r="DVY156" s="3060"/>
      <c r="DVZ156" s="3060"/>
      <c r="DWA156" s="3060"/>
      <c r="DWB156" s="3060"/>
      <c r="DWC156" s="3060"/>
      <c r="DWD156" s="3060"/>
      <c r="DWE156" s="3060"/>
      <c r="DWF156" s="3060"/>
      <c r="DWG156" s="3060"/>
      <c r="DWH156" s="3060"/>
      <c r="DWI156" s="3060"/>
      <c r="DWJ156" s="3060"/>
      <c r="DWK156" s="3060"/>
      <c r="DWL156" s="3060"/>
      <c r="DWM156" s="3060"/>
      <c r="DWN156" s="3060"/>
      <c r="DWO156" s="3060"/>
      <c r="DWP156" s="3060"/>
      <c r="DWQ156" s="3060"/>
      <c r="DWR156" s="3060"/>
      <c r="DWS156" s="3060"/>
      <c r="DWT156" s="3060"/>
      <c r="DWU156" s="3060"/>
      <c r="DWV156" s="3060"/>
      <c r="DWW156" s="3060"/>
      <c r="DWX156" s="3060"/>
      <c r="DWY156" s="3060"/>
      <c r="DWZ156" s="3060"/>
      <c r="DXA156" s="3060"/>
      <c r="DXB156" s="3060"/>
      <c r="DXC156" s="3060"/>
      <c r="DXD156" s="3060"/>
      <c r="DXE156" s="3060"/>
      <c r="DXF156" s="3060"/>
      <c r="DXG156" s="3060"/>
      <c r="DXH156" s="3060"/>
      <c r="DXI156" s="3060"/>
      <c r="DXJ156" s="3060"/>
      <c r="DXK156" s="3060"/>
      <c r="DXL156" s="3060"/>
      <c r="DXM156" s="3060"/>
      <c r="DXN156" s="3060"/>
      <c r="DXO156" s="3060"/>
      <c r="DXP156" s="3060"/>
      <c r="DXQ156" s="3060"/>
      <c r="DXR156" s="3060"/>
      <c r="DXS156" s="3060"/>
      <c r="DXT156" s="3060"/>
      <c r="DXU156" s="3060"/>
      <c r="DXV156" s="3060"/>
      <c r="DXW156" s="3060"/>
      <c r="DXX156" s="3060"/>
      <c r="DXY156" s="3060"/>
      <c r="DXZ156" s="3060"/>
      <c r="DYA156" s="3060"/>
      <c r="DYB156" s="3060"/>
      <c r="DYC156" s="3060"/>
      <c r="DYD156" s="3060"/>
      <c r="DYE156" s="3060"/>
      <c r="DYF156" s="3060"/>
      <c r="DYG156" s="3060"/>
      <c r="DYH156" s="3060"/>
      <c r="DYI156" s="3060"/>
      <c r="DYJ156" s="3060"/>
      <c r="DYK156" s="3060"/>
      <c r="DYL156" s="3060"/>
      <c r="DYM156" s="3060"/>
      <c r="DYN156" s="3060"/>
      <c r="DYO156" s="3060"/>
      <c r="DYP156" s="3060"/>
      <c r="DYQ156" s="3060"/>
      <c r="DYR156" s="3060"/>
      <c r="DYS156" s="3060"/>
      <c r="DYT156" s="3060"/>
      <c r="DYU156" s="3060"/>
      <c r="DYV156" s="3060"/>
      <c r="DYW156" s="3060"/>
      <c r="DYX156" s="3060"/>
      <c r="DYY156" s="3060"/>
      <c r="DYZ156" s="3060"/>
      <c r="DZA156" s="3060"/>
      <c r="DZB156" s="3060"/>
      <c r="DZC156" s="3060"/>
      <c r="DZD156" s="3060"/>
      <c r="DZE156" s="3060"/>
      <c r="DZF156" s="3060"/>
      <c r="DZG156" s="3060"/>
      <c r="DZH156" s="3060"/>
      <c r="DZI156" s="3060"/>
      <c r="DZJ156" s="3060"/>
      <c r="DZK156" s="3060"/>
      <c r="DZL156" s="3060"/>
      <c r="DZM156" s="3060"/>
      <c r="DZN156" s="3060"/>
      <c r="DZO156" s="3060"/>
      <c r="DZP156" s="3060"/>
      <c r="DZQ156" s="3060"/>
      <c r="DZR156" s="3060"/>
      <c r="DZS156" s="3060"/>
      <c r="DZT156" s="3060"/>
      <c r="DZU156" s="3060"/>
      <c r="DZV156" s="3060"/>
      <c r="DZW156" s="3060"/>
      <c r="DZX156" s="3060"/>
      <c r="DZY156" s="3060"/>
      <c r="DZZ156" s="3060"/>
      <c r="EAA156" s="3060"/>
      <c r="EAB156" s="3060"/>
      <c r="EAC156" s="3060"/>
      <c r="EAD156" s="3060"/>
      <c r="EAE156" s="3060"/>
      <c r="EAF156" s="3060"/>
      <c r="EAG156" s="3060"/>
      <c r="EAH156" s="3060"/>
      <c r="EAI156" s="3060"/>
      <c r="EAJ156" s="3060"/>
      <c r="EAK156" s="3060"/>
      <c r="EAL156" s="3060"/>
      <c r="EAM156" s="3060"/>
      <c r="EAN156" s="3060"/>
      <c r="EAO156" s="3060"/>
      <c r="EAP156" s="3060"/>
      <c r="EAQ156" s="3060"/>
      <c r="EAR156" s="3060"/>
      <c r="EAS156" s="3060"/>
      <c r="EAT156" s="3060"/>
      <c r="EAU156" s="3060"/>
      <c r="EAV156" s="3060"/>
      <c r="EAW156" s="3060"/>
      <c r="EAX156" s="3060"/>
      <c r="EAY156" s="3060"/>
      <c r="EAZ156" s="3060"/>
      <c r="EBA156" s="3060"/>
      <c r="EBB156" s="3060"/>
      <c r="EBC156" s="3060"/>
      <c r="EBD156" s="3060"/>
      <c r="EBE156" s="3060"/>
      <c r="EBF156" s="3060"/>
      <c r="EBG156" s="3060"/>
      <c r="EBH156" s="3060"/>
      <c r="EBI156" s="3060"/>
      <c r="EBJ156" s="3060"/>
      <c r="EBK156" s="3060"/>
      <c r="EBL156" s="3060"/>
      <c r="EBM156" s="3060"/>
      <c r="EBN156" s="3060"/>
      <c r="EBO156" s="3060"/>
      <c r="EBP156" s="3060"/>
      <c r="EBQ156" s="3060"/>
      <c r="EBR156" s="3060"/>
      <c r="EBS156" s="3060"/>
      <c r="EBT156" s="3060"/>
      <c r="EBU156" s="3060"/>
      <c r="EBV156" s="3060"/>
      <c r="EBW156" s="3060"/>
      <c r="EBX156" s="3060"/>
      <c r="EBY156" s="3060"/>
      <c r="EBZ156" s="3060"/>
      <c r="ECA156" s="3060"/>
      <c r="ECB156" s="3060"/>
      <c r="ECC156" s="3060"/>
      <c r="ECD156" s="3060"/>
      <c r="ECE156" s="3060"/>
      <c r="ECF156" s="3060"/>
      <c r="ECG156" s="3060"/>
      <c r="ECH156" s="3060"/>
      <c r="ECI156" s="3060"/>
      <c r="ECJ156" s="3060"/>
      <c r="ECK156" s="3060"/>
      <c r="ECL156" s="3060"/>
      <c r="ECM156" s="3060"/>
      <c r="ECN156" s="3060"/>
      <c r="ECO156" s="3060"/>
      <c r="ECP156" s="3060"/>
      <c r="ECQ156" s="3060"/>
      <c r="ECR156" s="3060"/>
      <c r="ECS156" s="3060"/>
      <c r="ECT156" s="3060"/>
      <c r="ECU156" s="3060"/>
      <c r="ECV156" s="3060"/>
      <c r="ECW156" s="3060"/>
      <c r="ECX156" s="3060"/>
      <c r="ECY156" s="3060"/>
      <c r="ECZ156" s="3060"/>
      <c r="EDA156" s="3060"/>
      <c r="EDB156" s="3060"/>
      <c r="EDC156" s="3060"/>
      <c r="EDD156" s="3060"/>
      <c r="EDE156" s="3060"/>
      <c r="EDF156" s="3060"/>
      <c r="EDG156" s="3060"/>
      <c r="EDH156" s="3060"/>
      <c r="EDI156" s="3060"/>
      <c r="EDJ156" s="3060"/>
      <c r="EDK156" s="3060"/>
      <c r="EDL156" s="3060"/>
      <c r="EDM156" s="3060"/>
      <c r="EDN156" s="3060"/>
      <c r="EDO156" s="3060"/>
      <c r="EDP156" s="3060"/>
      <c r="EDQ156" s="3060"/>
      <c r="EDR156" s="3060"/>
      <c r="EDS156" s="3060"/>
      <c r="EDT156" s="3060"/>
      <c r="EDU156" s="3060"/>
      <c r="EDV156" s="3060"/>
      <c r="EDW156" s="3060"/>
      <c r="EDX156" s="3060"/>
      <c r="EDY156" s="3060"/>
      <c r="EDZ156" s="3060"/>
      <c r="EEA156" s="3060"/>
      <c r="EEB156" s="3060"/>
      <c r="EEC156" s="3060"/>
      <c r="EED156" s="3060"/>
      <c r="EEE156" s="3060"/>
      <c r="EEF156" s="3060"/>
      <c r="EEG156" s="3060"/>
      <c r="EEH156" s="3060"/>
      <c r="EEI156" s="3060"/>
      <c r="EEJ156" s="3060"/>
      <c r="EEK156" s="3060"/>
      <c r="EEL156" s="3060"/>
      <c r="EEM156" s="3060"/>
      <c r="EEN156" s="3060"/>
      <c r="EEO156" s="3060"/>
      <c r="EEP156" s="3060"/>
      <c r="EEQ156" s="3060"/>
      <c r="EER156" s="3060"/>
      <c r="EES156" s="3060"/>
      <c r="EET156" s="3060"/>
      <c r="EEU156" s="3060"/>
      <c r="EEV156" s="3060"/>
      <c r="EEW156" s="3060"/>
      <c r="EEX156" s="3060"/>
      <c r="EEY156" s="3060"/>
      <c r="EEZ156" s="3060"/>
      <c r="EFA156" s="3060"/>
      <c r="EFB156" s="3060"/>
      <c r="EFC156" s="3060"/>
      <c r="EFD156" s="3060"/>
      <c r="EFE156" s="3060"/>
      <c r="EFF156" s="3060"/>
      <c r="EFG156" s="3060"/>
      <c r="EFH156" s="3060"/>
      <c r="EFI156" s="3060"/>
      <c r="EFJ156" s="3060"/>
      <c r="EFK156" s="3060"/>
      <c r="EFL156" s="3060"/>
      <c r="EFM156" s="3060"/>
      <c r="EFN156" s="3060"/>
      <c r="EFO156" s="3060"/>
      <c r="EFP156" s="3060"/>
      <c r="EFQ156" s="3060"/>
      <c r="EFR156" s="3060"/>
      <c r="EFS156" s="3060"/>
      <c r="EFT156" s="3060"/>
      <c r="EFU156" s="3060"/>
      <c r="EFV156" s="3060"/>
      <c r="EFW156" s="3060"/>
      <c r="EFX156" s="3060"/>
      <c r="EFY156" s="3060"/>
      <c r="EFZ156" s="3060"/>
      <c r="EGA156" s="3060"/>
      <c r="EGB156" s="3060"/>
      <c r="EGC156" s="3060"/>
      <c r="EGD156" s="3060"/>
      <c r="EGE156" s="3060"/>
      <c r="EGF156" s="3060"/>
      <c r="EGG156" s="3060"/>
      <c r="EGH156" s="3060"/>
      <c r="EGI156" s="3060"/>
      <c r="EGJ156" s="3060"/>
      <c r="EGK156" s="3060"/>
      <c r="EGL156" s="3060"/>
      <c r="EGM156" s="3060"/>
      <c r="EGN156" s="3060"/>
      <c r="EGO156" s="3060"/>
      <c r="EGP156" s="3060"/>
      <c r="EGQ156" s="3060"/>
      <c r="EGR156" s="3060"/>
      <c r="EGS156" s="3060"/>
      <c r="EGT156" s="3060"/>
      <c r="EGU156" s="3060"/>
      <c r="EGV156" s="3060"/>
      <c r="EGW156" s="3060"/>
      <c r="EGX156" s="3060"/>
      <c r="EGY156" s="3060"/>
      <c r="EGZ156" s="3060"/>
      <c r="EHA156" s="3060"/>
      <c r="EHB156" s="3060"/>
      <c r="EHC156" s="3060"/>
      <c r="EHD156" s="3060"/>
      <c r="EHE156" s="3060"/>
      <c r="EHF156" s="3060"/>
      <c r="EHG156" s="3060"/>
      <c r="EHH156" s="3060"/>
      <c r="EHI156" s="3060"/>
      <c r="EHJ156" s="3060"/>
      <c r="EHK156" s="3060"/>
      <c r="EHL156" s="3060"/>
      <c r="EHM156" s="3060"/>
      <c r="EHN156" s="3060"/>
      <c r="EHO156" s="3060"/>
      <c r="EHP156" s="3060"/>
      <c r="EHQ156" s="3060"/>
      <c r="EHR156" s="3060"/>
      <c r="EHS156" s="3060"/>
      <c r="EHT156" s="3060"/>
      <c r="EHU156" s="3060"/>
      <c r="EHV156" s="3060"/>
      <c r="EHW156" s="3060"/>
      <c r="EHX156" s="3060"/>
      <c r="EHY156" s="3060"/>
      <c r="EHZ156" s="3060"/>
      <c r="EIA156" s="3060"/>
      <c r="EIB156" s="3060"/>
      <c r="EIC156" s="3060"/>
      <c r="EID156" s="3060"/>
      <c r="EIE156" s="3060"/>
      <c r="EIF156" s="3060"/>
      <c r="EIG156" s="3060"/>
      <c r="EIH156" s="3060"/>
      <c r="EII156" s="3060"/>
      <c r="EIJ156" s="3060"/>
      <c r="EIK156" s="3060"/>
      <c r="EIL156" s="3060"/>
      <c r="EIM156" s="3060"/>
      <c r="EIN156" s="3060"/>
      <c r="EIO156" s="3060"/>
      <c r="EIP156" s="3060"/>
      <c r="EIQ156" s="3060"/>
      <c r="EIR156" s="3060"/>
      <c r="EIS156" s="3060"/>
      <c r="EIT156" s="3060"/>
      <c r="EIU156" s="3060"/>
      <c r="EIV156" s="3060"/>
      <c r="EIW156" s="3060"/>
      <c r="EIX156" s="3060"/>
      <c r="EIY156" s="3060"/>
      <c r="EIZ156" s="3060"/>
      <c r="EJA156" s="3060"/>
      <c r="EJB156" s="3060"/>
      <c r="EJC156" s="3060"/>
      <c r="EJD156" s="3060"/>
      <c r="EJE156" s="3060"/>
      <c r="EJF156" s="3060"/>
      <c r="EJG156" s="3060"/>
      <c r="EJH156" s="3060"/>
      <c r="EJI156" s="3060"/>
      <c r="EJJ156" s="3060"/>
      <c r="EJK156" s="3060"/>
      <c r="EJL156" s="3060"/>
      <c r="EJM156" s="3060"/>
      <c r="EJN156" s="3060"/>
      <c r="EJO156" s="3060"/>
      <c r="EJP156" s="3060"/>
      <c r="EJQ156" s="3060"/>
      <c r="EJR156" s="3060"/>
      <c r="EJS156" s="3060"/>
      <c r="EJT156" s="3060"/>
      <c r="EJU156" s="3060"/>
      <c r="EJV156" s="3060"/>
      <c r="EJW156" s="3060"/>
      <c r="EJX156" s="3060"/>
      <c r="EJY156" s="3060"/>
      <c r="EJZ156" s="3060"/>
      <c r="EKA156" s="3060"/>
      <c r="EKB156" s="3060"/>
      <c r="EKC156" s="3060"/>
      <c r="EKD156" s="3060"/>
      <c r="EKE156" s="3060"/>
      <c r="EKF156" s="3060"/>
      <c r="EKG156" s="3060"/>
      <c r="EKH156" s="3060"/>
      <c r="EKI156" s="3060"/>
      <c r="EKJ156" s="3060"/>
      <c r="EKK156" s="3060"/>
      <c r="EKL156" s="3060"/>
      <c r="EKM156" s="3060"/>
      <c r="EKN156" s="3060"/>
      <c r="EKO156" s="3060"/>
      <c r="EKP156" s="3060"/>
      <c r="EKQ156" s="3060"/>
      <c r="EKR156" s="3060"/>
      <c r="EKS156" s="3060"/>
      <c r="EKT156" s="3060"/>
      <c r="EKU156" s="3060"/>
      <c r="EKV156" s="3060"/>
      <c r="EKW156" s="3060"/>
      <c r="EKX156" s="3060"/>
      <c r="EKY156" s="3060"/>
      <c r="EKZ156" s="3060"/>
      <c r="ELA156" s="3060"/>
      <c r="ELB156" s="3060"/>
      <c r="ELC156" s="3060"/>
      <c r="ELD156" s="3060"/>
      <c r="ELE156" s="3060"/>
      <c r="ELF156" s="3060"/>
      <c r="ELG156" s="3060"/>
      <c r="ELH156" s="3060"/>
      <c r="ELI156" s="3060"/>
      <c r="ELJ156" s="3060"/>
      <c r="ELK156" s="3060"/>
      <c r="ELL156" s="3060"/>
      <c r="ELM156" s="3060"/>
      <c r="ELN156" s="3060"/>
      <c r="ELO156" s="3060"/>
      <c r="ELP156" s="3060"/>
      <c r="ELQ156" s="3060"/>
      <c r="ELR156" s="3060"/>
      <c r="ELS156" s="3060"/>
      <c r="ELT156" s="3060"/>
      <c r="ELU156" s="3060"/>
      <c r="ELV156" s="3060"/>
      <c r="ELW156" s="3060"/>
      <c r="ELX156" s="3060"/>
      <c r="ELY156" s="3060"/>
      <c r="ELZ156" s="3060"/>
      <c r="EMA156" s="3060"/>
      <c r="EMB156" s="3060"/>
      <c r="EMC156" s="3060"/>
      <c r="EMD156" s="3060"/>
      <c r="EME156" s="3060"/>
      <c r="EMF156" s="3060"/>
      <c r="EMG156" s="3060"/>
      <c r="EMH156" s="3060"/>
      <c r="EMI156" s="3060"/>
      <c r="EMJ156" s="3060"/>
      <c r="EMK156" s="3060"/>
      <c r="EML156" s="3060"/>
      <c r="EMM156" s="3060"/>
      <c r="EMN156" s="3060"/>
      <c r="EMO156" s="3060"/>
      <c r="EMP156" s="3060"/>
      <c r="EMQ156" s="3060"/>
      <c r="EMR156" s="3060"/>
      <c r="EMS156" s="3060"/>
      <c r="EMT156" s="3060"/>
      <c r="EMU156" s="3060"/>
      <c r="EMV156" s="3060"/>
      <c r="EMW156" s="3060"/>
      <c r="EMX156" s="3060"/>
      <c r="EMY156" s="3060"/>
      <c r="EMZ156" s="3060"/>
      <c r="ENA156" s="3060"/>
      <c r="ENB156" s="3060"/>
      <c r="ENC156" s="3060"/>
      <c r="END156" s="3060"/>
      <c r="ENE156" s="3060"/>
      <c r="ENF156" s="3060"/>
      <c r="ENG156" s="3060"/>
      <c r="ENH156" s="3060"/>
      <c r="ENI156" s="3060"/>
      <c r="ENJ156" s="3060"/>
      <c r="ENK156" s="3060"/>
      <c r="ENL156" s="3060"/>
      <c r="ENM156" s="3060"/>
      <c r="ENN156" s="3060"/>
      <c r="ENO156" s="3060"/>
      <c r="ENP156" s="3060"/>
      <c r="ENQ156" s="3060"/>
      <c r="ENR156" s="3060"/>
      <c r="ENS156" s="3060"/>
      <c r="ENT156" s="3060"/>
      <c r="ENU156" s="3060"/>
      <c r="ENV156" s="3060"/>
      <c r="ENW156" s="3060"/>
      <c r="ENX156" s="3060"/>
      <c r="ENY156" s="3060"/>
      <c r="ENZ156" s="3060"/>
      <c r="EOA156" s="3060"/>
      <c r="EOB156" s="3060"/>
      <c r="EOC156" s="3060"/>
      <c r="EOD156" s="3060"/>
      <c r="EOE156" s="3060"/>
      <c r="EOF156" s="3060"/>
      <c r="EOG156" s="3060"/>
      <c r="EOH156" s="3060"/>
      <c r="EOI156" s="3060"/>
      <c r="EOJ156" s="3060"/>
      <c r="EOK156" s="3060"/>
      <c r="EOL156" s="3060"/>
      <c r="EOM156" s="3060"/>
      <c r="EON156" s="3060"/>
      <c r="EOO156" s="3060"/>
      <c r="EOP156" s="3060"/>
      <c r="EOQ156" s="3060"/>
      <c r="EOR156" s="3060"/>
      <c r="EOS156" s="3060"/>
      <c r="EOT156" s="3060"/>
      <c r="EOU156" s="3060"/>
      <c r="EOV156" s="3060"/>
      <c r="EOW156" s="3060"/>
      <c r="EOX156" s="3060"/>
      <c r="EOY156" s="3060"/>
      <c r="EOZ156" s="3060"/>
      <c r="EPA156" s="3060"/>
      <c r="EPB156" s="3060"/>
      <c r="EPC156" s="3060"/>
      <c r="EPD156" s="3060"/>
      <c r="EPE156" s="3060"/>
      <c r="EPF156" s="3060"/>
      <c r="EPG156" s="3060"/>
      <c r="EPH156" s="3060"/>
      <c r="EPI156" s="3060"/>
      <c r="EPJ156" s="3060"/>
      <c r="EPK156" s="3060"/>
      <c r="EPL156" s="3060"/>
      <c r="EPM156" s="3060"/>
      <c r="EPN156" s="3060"/>
      <c r="EPO156" s="3060"/>
      <c r="EPP156" s="3060"/>
      <c r="EPQ156" s="3060"/>
      <c r="EPR156" s="3060"/>
      <c r="EPS156" s="3060"/>
      <c r="EPT156" s="3060"/>
      <c r="EPU156" s="3060"/>
      <c r="EPV156" s="3060"/>
      <c r="EPW156" s="3060"/>
      <c r="EPX156" s="3060"/>
      <c r="EPY156" s="3060"/>
      <c r="EPZ156" s="3060"/>
      <c r="EQA156" s="3060"/>
      <c r="EQB156" s="3060"/>
      <c r="EQC156" s="3060"/>
      <c r="EQD156" s="3060"/>
      <c r="EQE156" s="3060"/>
      <c r="EQF156" s="3060"/>
      <c r="EQG156" s="3060"/>
      <c r="EQH156" s="3060"/>
      <c r="EQI156" s="3060"/>
      <c r="EQJ156" s="3060"/>
      <c r="EQK156" s="3060"/>
      <c r="EQL156" s="3060"/>
      <c r="EQM156" s="3060"/>
      <c r="EQN156" s="3060"/>
      <c r="EQO156" s="3060"/>
      <c r="EQP156" s="3060"/>
      <c r="EQQ156" s="3060"/>
      <c r="EQR156" s="3060"/>
      <c r="EQS156" s="3060"/>
      <c r="EQT156" s="3060"/>
      <c r="EQU156" s="3060"/>
      <c r="EQV156" s="3060"/>
      <c r="EQW156" s="3060"/>
      <c r="EQX156" s="3060"/>
      <c r="EQY156" s="3060"/>
      <c r="EQZ156" s="3060"/>
      <c r="ERA156" s="3060"/>
      <c r="ERB156" s="3060"/>
      <c r="ERC156" s="3060"/>
      <c r="ERD156" s="3060"/>
      <c r="ERE156" s="3060"/>
      <c r="ERF156" s="3060"/>
      <c r="ERG156" s="3060"/>
      <c r="ERH156" s="3060"/>
      <c r="ERI156" s="3060"/>
      <c r="ERJ156" s="3060"/>
      <c r="ERK156" s="3060"/>
      <c r="ERL156" s="3060"/>
      <c r="ERM156" s="3060"/>
      <c r="ERN156" s="3060"/>
      <c r="ERO156" s="3060"/>
      <c r="ERP156" s="3060"/>
      <c r="ERQ156" s="3060"/>
      <c r="ERR156" s="3060"/>
      <c r="ERS156" s="3060"/>
      <c r="ERT156" s="3060"/>
      <c r="ERU156" s="3060"/>
      <c r="ERV156" s="3060"/>
      <c r="ERW156" s="3060"/>
      <c r="ERX156" s="3060"/>
      <c r="ERY156" s="3060"/>
      <c r="ERZ156" s="3060"/>
      <c r="ESA156" s="3060"/>
      <c r="ESB156" s="3060"/>
      <c r="ESC156" s="3060"/>
      <c r="ESD156" s="3060"/>
      <c r="ESE156" s="3060"/>
      <c r="ESF156" s="3060"/>
      <c r="ESG156" s="3060"/>
      <c r="ESH156" s="3060"/>
      <c r="ESI156" s="3060"/>
      <c r="ESJ156" s="3060"/>
      <c r="ESK156" s="3060"/>
      <c r="ESL156" s="3060"/>
      <c r="ESM156" s="3060"/>
      <c r="ESN156" s="3060"/>
      <c r="ESO156" s="3060"/>
      <c r="ESP156" s="3060"/>
      <c r="ESQ156" s="3060"/>
      <c r="ESR156" s="3060"/>
      <c r="ESS156" s="3060"/>
      <c r="EST156" s="3060"/>
      <c r="ESU156" s="3060"/>
      <c r="ESV156" s="3060"/>
      <c r="ESW156" s="3060"/>
      <c r="ESX156" s="3060"/>
      <c r="ESY156" s="3060"/>
      <c r="ESZ156" s="3060"/>
      <c r="ETA156" s="3060"/>
      <c r="ETB156" s="3060"/>
      <c r="ETC156" s="3060"/>
      <c r="ETD156" s="3060"/>
      <c r="ETE156" s="3060"/>
      <c r="ETF156" s="3060"/>
      <c r="ETG156" s="3060"/>
      <c r="ETH156" s="3060"/>
      <c r="ETI156" s="3060"/>
      <c r="ETJ156" s="3060"/>
      <c r="ETK156" s="3060"/>
      <c r="ETL156" s="3060"/>
      <c r="ETM156" s="3060"/>
      <c r="ETN156" s="3060"/>
      <c r="ETO156" s="3060"/>
      <c r="ETP156" s="3060"/>
      <c r="ETQ156" s="3060"/>
      <c r="ETR156" s="3060"/>
      <c r="ETS156" s="3060"/>
      <c r="ETT156" s="3060"/>
      <c r="ETU156" s="3060"/>
      <c r="ETV156" s="3060"/>
      <c r="ETW156" s="3060"/>
      <c r="ETX156" s="3060"/>
      <c r="ETY156" s="3060"/>
      <c r="ETZ156" s="3060"/>
      <c r="EUA156" s="3060"/>
      <c r="EUB156" s="3060"/>
      <c r="EUC156" s="3060"/>
      <c r="EUD156" s="3060"/>
      <c r="EUE156" s="3060"/>
      <c r="EUF156" s="3060"/>
      <c r="EUG156" s="3060"/>
      <c r="EUH156" s="3060"/>
      <c r="EUI156" s="3060"/>
      <c r="EUJ156" s="3060"/>
      <c r="EUK156" s="3060"/>
      <c r="EUL156" s="3060"/>
      <c r="EUM156" s="3060"/>
      <c r="EUN156" s="3060"/>
      <c r="EUO156" s="3060"/>
      <c r="EUP156" s="3060"/>
      <c r="EUQ156" s="3060"/>
      <c r="EUR156" s="3060"/>
      <c r="EUS156" s="3060"/>
      <c r="EUT156" s="3060"/>
      <c r="EUU156" s="3060"/>
      <c r="EUV156" s="3060"/>
      <c r="EUW156" s="3060"/>
      <c r="EUX156" s="3060"/>
      <c r="EUY156" s="3060"/>
      <c r="EUZ156" s="3060"/>
      <c r="EVA156" s="3060"/>
      <c r="EVB156" s="3060"/>
      <c r="EVC156" s="3060"/>
      <c r="EVD156" s="3060"/>
      <c r="EVE156" s="3060"/>
      <c r="EVF156" s="3060"/>
      <c r="EVG156" s="3060"/>
      <c r="EVH156" s="3060"/>
      <c r="EVI156" s="3060"/>
      <c r="EVJ156" s="3060"/>
      <c r="EVK156" s="3060"/>
      <c r="EVL156" s="3060"/>
      <c r="EVM156" s="3060"/>
      <c r="EVN156" s="3060"/>
      <c r="EVO156" s="3060"/>
      <c r="EVP156" s="3060"/>
      <c r="EVQ156" s="3060"/>
      <c r="EVR156" s="3060"/>
      <c r="EVS156" s="3060"/>
      <c r="EVT156" s="3060"/>
      <c r="EVU156" s="3060"/>
      <c r="EVV156" s="3060"/>
      <c r="EVW156" s="3060"/>
      <c r="EVX156" s="3060"/>
      <c r="EVY156" s="3060"/>
      <c r="EVZ156" s="3060"/>
      <c r="EWA156" s="3060"/>
      <c r="EWB156" s="3060"/>
      <c r="EWC156" s="3060"/>
      <c r="EWD156" s="3060"/>
      <c r="EWE156" s="3060"/>
      <c r="EWF156" s="3060"/>
      <c r="EWG156" s="3060"/>
      <c r="EWH156" s="3060"/>
      <c r="EWI156" s="3060"/>
      <c r="EWJ156" s="3060"/>
      <c r="EWK156" s="3060"/>
      <c r="EWL156" s="3060"/>
      <c r="EWM156" s="3060"/>
      <c r="EWN156" s="3060"/>
      <c r="EWO156" s="3060"/>
      <c r="EWP156" s="3060"/>
      <c r="EWQ156" s="3060"/>
      <c r="EWR156" s="3060"/>
      <c r="EWS156" s="3060"/>
      <c r="EWT156" s="3060"/>
      <c r="EWU156" s="3060"/>
      <c r="EWV156" s="3060"/>
      <c r="EWW156" s="3060"/>
      <c r="EWX156" s="3060"/>
      <c r="EWY156" s="3060"/>
      <c r="EWZ156" s="3060"/>
      <c r="EXA156" s="3060"/>
      <c r="EXB156" s="3060"/>
      <c r="EXC156" s="3060"/>
      <c r="EXD156" s="3060"/>
      <c r="EXE156" s="3060"/>
      <c r="EXF156" s="3060"/>
      <c r="EXG156" s="3060"/>
      <c r="EXH156" s="3060"/>
      <c r="EXI156" s="3060"/>
      <c r="EXJ156" s="3060"/>
      <c r="EXK156" s="3060"/>
      <c r="EXL156" s="3060"/>
      <c r="EXM156" s="3060"/>
      <c r="EXN156" s="3060"/>
      <c r="EXO156" s="3060"/>
      <c r="EXP156" s="3060"/>
      <c r="EXQ156" s="3060"/>
      <c r="EXR156" s="3060"/>
      <c r="EXS156" s="3060"/>
      <c r="EXT156" s="3060"/>
      <c r="EXU156" s="3060"/>
      <c r="EXV156" s="3060"/>
      <c r="EXW156" s="3060"/>
      <c r="EXX156" s="3060"/>
      <c r="EXY156" s="3060"/>
      <c r="EXZ156" s="3060"/>
      <c r="EYA156" s="3060"/>
      <c r="EYB156" s="3060"/>
      <c r="EYC156" s="3060"/>
      <c r="EYD156" s="3060"/>
      <c r="EYE156" s="3060"/>
      <c r="EYF156" s="3060"/>
      <c r="EYG156" s="3060"/>
      <c r="EYH156" s="3060"/>
      <c r="EYI156" s="3060"/>
      <c r="EYJ156" s="3060"/>
      <c r="EYK156" s="3060"/>
      <c r="EYL156" s="3060"/>
      <c r="EYM156" s="3060"/>
      <c r="EYN156" s="3060"/>
      <c r="EYO156" s="3060"/>
      <c r="EYP156" s="3060"/>
      <c r="EYQ156" s="3060"/>
      <c r="EYR156" s="3060"/>
      <c r="EYS156" s="3060"/>
      <c r="EYT156" s="3060"/>
      <c r="EYU156" s="3060"/>
      <c r="EYV156" s="3060"/>
      <c r="EYW156" s="3060"/>
      <c r="EYX156" s="3060"/>
      <c r="EYY156" s="3060"/>
      <c r="EYZ156" s="3060"/>
      <c r="EZA156" s="3060"/>
      <c r="EZB156" s="3060"/>
      <c r="EZC156" s="3060"/>
      <c r="EZD156" s="3060"/>
      <c r="EZE156" s="3060"/>
      <c r="EZF156" s="3060"/>
      <c r="EZG156" s="3060"/>
      <c r="EZH156" s="3060"/>
      <c r="EZI156" s="3060"/>
      <c r="EZJ156" s="3060"/>
      <c r="EZK156" s="3060"/>
      <c r="EZL156" s="3060"/>
      <c r="EZM156" s="3060"/>
      <c r="EZN156" s="3060"/>
      <c r="EZO156" s="3060"/>
      <c r="EZP156" s="3060"/>
      <c r="EZQ156" s="3060"/>
      <c r="EZR156" s="3060"/>
      <c r="EZS156" s="3060"/>
      <c r="EZT156" s="3060"/>
      <c r="EZU156" s="3060"/>
      <c r="EZV156" s="3060"/>
      <c r="EZW156" s="3060"/>
      <c r="EZX156" s="3060"/>
      <c r="EZY156" s="3060"/>
      <c r="EZZ156" s="3060"/>
      <c r="FAA156" s="3060"/>
      <c r="FAB156" s="3060"/>
      <c r="FAC156" s="3060"/>
      <c r="FAD156" s="3060"/>
      <c r="FAE156" s="3060"/>
      <c r="FAF156" s="3060"/>
      <c r="FAG156" s="3060"/>
      <c r="FAH156" s="3060"/>
      <c r="FAI156" s="3060"/>
      <c r="FAJ156" s="3060"/>
      <c r="FAK156" s="3060"/>
      <c r="FAL156" s="3060"/>
      <c r="FAM156" s="3060"/>
      <c r="FAN156" s="3060"/>
      <c r="FAO156" s="3060"/>
      <c r="FAP156" s="3060"/>
      <c r="FAQ156" s="3060"/>
      <c r="FAR156" s="3060"/>
      <c r="FAS156" s="3060"/>
      <c r="FAT156" s="3060"/>
      <c r="FAU156" s="3060"/>
      <c r="FAV156" s="3060"/>
      <c r="FAW156" s="3060"/>
      <c r="FAX156" s="3060"/>
      <c r="FAY156" s="3060"/>
      <c r="FAZ156" s="3060"/>
      <c r="FBA156" s="3060"/>
      <c r="FBB156" s="3060"/>
      <c r="FBC156" s="3060"/>
      <c r="FBD156" s="3060"/>
      <c r="FBE156" s="3060"/>
      <c r="FBF156" s="3060"/>
      <c r="FBG156" s="3060"/>
      <c r="FBH156" s="3060"/>
      <c r="FBI156" s="3060"/>
      <c r="FBJ156" s="3060"/>
      <c r="FBK156" s="3060"/>
      <c r="FBL156" s="3060"/>
      <c r="FBM156" s="3060"/>
      <c r="FBN156" s="3060"/>
      <c r="FBO156" s="3060"/>
      <c r="FBP156" s="3060"/>
      <c r="FBQ156" s="3060"/>
      <c r="FBR156" s="3060"/>
      <c r="FBS156" s="3060"/>
      <c r="FBT156" s="3060"/>
      <c r="FBU156" s="3060"/>
      <c r="FBV156" s="3060"/>
      <c r="FBW156" s="3060"/>
      <c r="FBX156" s="3060"/>
      <c r="FBY156" s="3060"/>
      <c r="FBZ156" s="3060"/>
      <c r="FCA156" s="3060"/>
      <c r="FCB156" s="3060"/>
      <c r="FCC156" s="3060"/>
      <c r="FCD156" s="3060"/>
      <c r="FCE156" s="3060"/>
      <c r="FCF156" s="3060"/>
      <c r="FCG156" s="3060"/>
      <c r="FCH156" s="3060"/>
      <c r="FCI156" s="3060"/>
      <c r="FCJ156" s="3060"/>
      <c r="FCK156" s="3060"/>
      <c r="FCL156" s="3060"/>
      <c r="FCM156" s="3060"/>
      <c r="FCN156" s="3060"/>
      <c r="FCO156" s="3060"/>
      <c r="FCP156" s="3060"/>
      <c r="FCQ156" s="3060"/>
      <c r="FCR156" s="3060"/>
      <c r="FCS156" s="3060"/>
      <c r="FCT156" s="3060"/>
      <c r="FCU156" s="3060"/>
      <c r="FCV156" s="3060"/>
      <c r="FCW156" s="3060"/>
      <c r="FCX156" s="3060"/>
      <c r="FCY156" s="3060"/>
      <c r="FCZ156" s="3060"/>
      <c r="FDA156" s="3060"/>
      <c r="FDB156" s="3060"/>
      <c r="FDC156" s="3060"/>
      <c r="FDD156" s="3060"/>
      <c r="FDE156" s="3060"/>
      <c r="FDF156" s="3060"/>
      <c r="FDG156" s="3060"/>
      <c r="FDH156" s="3060"/>
      <c r="FDI156" s="3060"/>
      <c r="FDJ156" s="3060"/>
      <c r="FDK156" s="3060"/>
      <c r="FDL156" s="3060"/>
      <c r="FDM156" s="3060"/>
      <c r="FDN156" s="3060"/>
      <c r="FDO156" s="3060"/>
      <c r="FDP156" s="3060"/>
      <c r="FDQ156" s="3060"/>
      <c r="FDR156" s="3060"/>
      <c r="FDS156" s="3060"/>
      <c r="FDT156" s="3060"/>
      <c r="FDU156" s="3060"/>
      <c r="FDV156" s="3060"/>
      <c r="FDW156" s="3060"/>
      <c r="FDX156" s="3060"/>
      <c r="FDY156" s="3060"/>
      <c r="FDZ156" s="3060"/>
      <c r="FEA156" s="3060"/>
      <c r="FEB156" s="3060"/>
      <c r="FEC156" s="3060"/>
      <c r="FED156" s="3060"/>
      <c r="FEE156" s="3060"/>
      <c r="FEF156" s="3060"/>
      <c r="FEG156" s="3060"/>
      <c r="FEH156" s="3060"/>
      <c r="FEI156" s="3060"/>
      <c r="FEJ156" s="3060"/>
      <c r="FEK156" s="3060"/>
      <c r="FEL156" s="3060"/>
      <c r="FEM156" s="3060"/>
      <c r="FEN156" s="3060"/>
      <c r="FEO156" s="3060"/>
      <c r="FEP156" s="3060"/>
      <c r="FEQ156" s="3060"/>
      <c r="FER156" s="3060"/>
      <c r="FES156" s="3060"/>
      <c r="FET156" s="3060"/>
      <c r="FEU156" s="3060"/>
      <c r="FEV156" s="3060"/>
      <c r="FEW156" s="3060"/>
      <c r="FEX156" s="3060"/>
      <c r="FEY156" s="3060"/>
      <c r="FEZ156" s="3060"/>
      <c r="FFA156" s="3060"/>
      <c r="FFB156" s="3060"/>
      <c r="FFC156" s="3060"/>
      <c r="FFD156" s="3060"/>
      <c r="FFE156" s="3060"/>
      <c r="FFF156" s="3060"/>
      <c r="FFG156" s="3060"/>
      <c r="FFH156" s="3060"/>
      <c r="FFI156" s="3060"/>
      <c r="FFJ156" s="3060"/>
      <c r="FFK156" s="3060"/>
      <c r="FFL156" s="3060"/>
      <c r="FFM156" s="3060"/>
      <c r="FFN156" s="3060"/>
      <c r="FFO156" s="3060"/>
      <c r="FFP156" s="3060"/>
      <c r="FFQ156" s="3060"/>
      <c r="FFR156" s="3060"/>
      <c r="FFS156" s="3060"/>
      <c r="FFT156" s="3060"/>
      <c r="FFU156" s="3060"/>
      <c r="FFV156" s="3060"/>
      <c r="FFW156" s="3060"/>
      <c r="FFX156" s="3060"/>
      <c r="FFY156" s="3060"/>
      <c r="FFZ156" s="3060"/>
      <c r="FGA156" s="3060"/>
      <c r="FGB156" s="3060"/>
      <c r="FGC156" s="3060"/>
      <c r="FGD156" s="3060"/>
      <c r="FGE156" s="3060"/>
      <c r="FGF156" s="3060"/>
      <c r="FGG156" s="3060"/>
      <c r="FGH156" s="3060"/>
      <c r="FGI156" s="3060"/>
      <c r="FGJ156" s="3060"/>
      <c r="FGK156" s="3060"/>
      <c r="FGL156" s="3060"/>
      <c r="FGM156" s="3060"/>
      <c r="FGN156" s="3060"/>
      <c r="FGO156" s="3060"/>
      <c r="FGP156" s="3060"/>
      <c r="FGQ156" s="3060"/>
      <c r="FGR156" s="3060"/>
      <c r="FGS156" s="3060"/>
      <c r="FGT156" s="3060"/>
      <c r="FGU156" s="3060"/>
      <c r="FGV156" s="3060"/>
      <c r="FGW156" s="3060"/>
      <c r="FGX156" s="3060"/>
      <c r="FGY156" s="3060"/>
      <c r="FGZ156" s="3060"/>
      <c r="FHA156" s="3060"/>
      <c r="FHB156" s="3060"/>
      <c r="FHC156" s="3060"/>
      <c r="FHD156" s="3060"/>
      <c r="FHE156" s="3060"/>
      <c r="FHF156" s="3060"/>
      <c r="FHG156" s="3060"/>
      <c r="FHH156" s="3060"/>
      <c r="FHI156" s="3060"/>
      <c r="FHJ156" s="3060"/>
      <c r="FHK156" s="3060"/>
      <c r="FHL156" s="3060"/>
      <c r="FHM156" s="3060"/>
      <c r="FHN156" s="3060"/>
      <c r="FHO156" s="3060"/>
      <c r="FHP156" s="3060"/>
      <c r="FHQ156" s="3060"/>
      <c r="FHR156" s="3060"/>
      <c r="FHS156" s="3060"/>
      <c r="FHT156" s="3060"/>
      <c r="FHU156" s="3060"/>
      <c r="FHV156" s="3060"/>
      <c r="FHW156" s="3060"/>
      <c r="FHX156" s="3060"/>
      <c r="FHY156" s="3060"/>
      <c r="FHZ156" s="3060"/>
      <c r="FIA156" s="3060"/>
      <c r="FIB156" s="3060"/>
      <c r="FIC156" s="3060"/>
      <c r="FID156" s="3060"/>
      <c r="FIE156" s="3060"/>
      <c r="FIF156" s="3060"/>
      <c r="FIG156" s="3060"/>
      <c r="FIH156" s="3060"/>
      <c r="FII156" s="3060"/>
      <c r="FIJ156" s="3060"/>
      <c r="FIK156" s="3060"/>
      <c r="FIL156" s="3060"/>
      <c r="FIM156" s="3060"/>
      <c r="FIN156" s="3060"/>
      <c r="FIO156" s="3060"/>
      <c r="FIP156" s="3060"/>
      <c r="FIQ156" s="3060"/>
      <c r="FIR156" s="3060"/>
      <c r="FIS156" s="3060"/>
      <c r="FIT156" s="3060"/>
      <c r="FIU156" s="3060"/>
      <c r="FIV156" s="3060"/>
      <c r="FIW156" s="3060"/>
      <c r="FIX156" s="3060"/>
      <c r="FIY156" s="3060"/>
      <c r="FIZ156" s="3060"/>
      <c r="FJA156" s="3060"/>
      <c r="FJB156" s="3060"/>
      <c r="FJC156" s="3060"/>
      <c r="FJD156" s="3060"/>
      <c r="FJE156" s="3060"/>
      <c r="FJF156" s="3060"/>
      <c r="FJG156" s="3060"/>
      <c r="FJH156" s="3060"/>
      <c r="FJI156" s="3060"/>
      <c r="FJJ156" s="3060"/>
      <c r="FJK156" s="3060"/>
      <c r="FJL156" s="3060"/>
      <c r="FJM156" s="3060"/>
      <c r="FJN156" s="3060"/>
      <c r="FJO156" s="3060"/>
      <c r="FJP156" s="3060"/>
      <c r="FJQ156" s="3060"/>
      <c r="FJR156" s="3060"/>
      <c r="FJS156" s="3060"/>
      <c r="FJT156" s="3060"/>
      <c r="FJU156" s="3060"/>
      <c r="FJV156" s="3060"/>
      <c r="FJW156" s="3060"/>
      <c r="FJX156" s="3060"/>
      <c r="FJY156" s="3060"/>
      <c r="FJZ156" s="3060"/>
      <c r="FKA156" s="3060"/>
      <c r="FKB156" s="3060"/>
      <c r="FKC156" s="3060"/>
      <c r="FKD156" s="3060"/>
      <c r="FKE156" s="3060"/>
      <c r="FKF156" s="3060"/>
      <c r="FKG156" s="3060"/>
      <c r="FKH156" s="3060"/>
      <c r="FKI156" s="3060"/>
      <c r="FKJ156" s="3060"/>
      <c r="FKK156" s="3060"/>
      <c r="FKL156" s="3060"/>
      <c r="FKM156" s="3060"/>
      <c r="FKN156" s="3060"/>
      <c r="FKO156" s="3060"/>
      <c r="FKP156" s="3060"/>
      <c r="FKQ156" s="3060"/>
      <c r="FKR156" s="3060"/>
      <c r="FKS156" s="3060"/>
      <c r="FKT156" s="3060"/>
      <c r="FKU156" s="3060"/>
      <c r="FKV156" s="3060"/>
      <c r="FKW156" s="3060"/>
      <c r="FKX156" s="3060"/>
      <c r="FKY156" s="3060"/>
      <c r="FKZ156" s="3060"/>
      <c r="FLA156" s="3060"/>
      <c r="FLB156" s="3060"/>
      <c r="FLC156" s="3060"/>
      <c r="FLD156" s="3060"/>
      <c r="FLE156" s="3060"/>
      <c r="FLF156" s="3060"/>
      <c r="FLG156" s="3060"/>
      <c r="FLH156" s="3060"/>
      <c r="FLI156" s="3060"/>
      <c r="FLJ156" s="3060"/>
      <c r="FLK156" s="3060"/>
      <c r="FLL156" s="3060"/>
      <c r="FLM156" s="3060"/>
      <c r="FLN156" s="3060"/>
      <c r="FLO156" s="3060"/>
      <c r="FLP156" s="3060"/>
      <c r="FLQ156" s="3060"/>
      <c r="FLR156" s="3060"/>
      <c r="FLS156" s="3060"/>
      <c r="FLT156" s="3060"/>
      <c r="FLU156" s="3060"/>
      <c r="FLV156" s="3060"/>
      <c r="FLW156" s="3060"/>
      <c r="FLX156" s="3060"/>
      <c r="FLY156" s="3060"/>
      <c r="FLZ156" s="3060"/>
      <c r="FMA156" s="3060"/>
      <c r="FMB156" s="3060"/>
      <c r="FMC156" s="3060"/>
      <c r="FMD156" s="3060"/>
      <c r="FME156" s="3060"/>
      <c r="FMF156" s="3060"/>
      <c r="FMG156" s="3060"/>
      <c r="FMH156" s="3060"/>
      <c r="FMI156" s="3060"/>
      <c r="FMJ156" s="3060"/>
      <c r="FMK156" s="3060"/>
      <c r="FML156" s="3060"/>
      <c r="FMM156" s="3060"/>
      <c r="FMN156" s="3060"/>
      <c r="FMO156" s="3060"/>
      <c r="FMP156" s="3060"/>
      <c r="FMQ156" s="3060"/>
      <c r="FMR156" s="3060"/>
      <c r="FMS156" s="3060"/>
      <c r="FMT156" s="3060"/>
      <c r="FMU156" s="3060"/>
      <c r="FMV156" s="3060"/>
      <c r="FMW156" s="3060"/>
      <c r="FMX156" s="3060"/>
      <c r="FMY156" s="3060"/>
      <c r="FMZ156" s="3060"/>
      <c r="FNA156" s="3060"/>
      <c r="FNB156" s="3060"/>
      <c r="FNC156" s="3060"/>
      <c r="FND156" s="3060"/>
      <c r="FNE156" s="3060"/>
      <c r="FNF156" s="3060"/>
      <c r="FNG156" s="3060"/>
      <c r="FNH156" s="3060"/>
      <c r="FNI156" s="3060"/>
      <c r="FNJ156" s="3060"/>
      <c r="FNK156" s="3060"/>
      <c r="FNL156" s="3060"/>
      <c r="FNM156" s="3060"/>
      <c r="FNN156" s="3060"/>
      <c r="FNO156" s="3060"/>
      <c r="FNP156" s="3060"/>
      <c r="FNQ156" s="3060"/>
      <c r="FNR156" s="3060"/>
      <c r="FNS156" s="3060"/>
      <c r="FNT156" s="3060"/>
      <c r="FNU156" s="3060"/>
      <c r="FNV156" s="3060"/>
      <c r="FNW156" s="3060"/>
      <c r="FNX156" s="3060"/>
      <c r="FNY156" s="3060"/>
      <c r="FNZ156" s="3060"/>
      <c r="FOA156" s="3060"/>
      <c r="FOB156" s="3060"/>
      <c r="FOC156" s="3060"/>
      <c r="FOD156" s="3060"/>
      <c r="FOE156" s="3060"/>
      <c r="FOF156" s="3060"/>
      <c r="FOG156" s="3060"/>
      <c r="FOH156" s="3060"/>
      <c r="FOI156" s="3060"/>
      <c r="FOJ156" s="3060"/>
      <c r="FOK156" s="3060"/>
      <c r="FOL156" s="3060"/>
      <c r="FOM156" s="3060"/>
      <c r="FON156" s="3060"/>
      <c r="FOO156" s="3060"/>
      <c r="FOP156" s="3060"/>
      <c r="FOQ156" s="3060"/>
      <c r="FOR156" s="3060"/>
      <c r="FOS156" s="3060"/>
      <c r="FOT156" s="3060"/>
      <c r="FOU156" s="3060"/>
      <c r="FOV156" s="3060"/>
      <c r="FOW156" s="3060"/>
      <c r="FOX156" s="3060"/>
      <c r="FOY156" s="3060"/>
      <c r="FOZ156" s="3060"/>
      <c r="FPA156" s="3060"/>
      <c r="FPB156" s="3060"/>
      <c r="FPC156" s="3060"/>
      <c r="FPD156" s="3060"/>
      <c r="FPE156" s="3060"/>
      <c r="FPF156" s="3060"/>
      <c r="FPG156" s="3060"/>
      <c r="FPH156" s="3060"/>
      <c r="FPI156" s="3060"/>
      <c r="FPJ156" s="3060"/>
      <c r="FPK156" s="3060"/>
      <c r="FPL156" s="3060"/>
      <c r="FPM156" s="3060"/>
      <c r="FPN156" s="3060"/>
      <c r="FPO156" s="3060"/>
      <c r="FPP156" s="3060"/>
      <c r="FPQ156" s="3060"/>
      <c r="FPR156" s="3060"/>
      <c r="FPS156" s="3060"/>
      <c r="FPT156" s="3060"/>
      <c r="FPU156" s="3060"/>
      <c r="FPV156" s="3060"/>
      <c r="FPW156" s="3060"/>
      <c r="FPX156" s="3060"/>
      <c r="FPY156" s="3060"/>
      <c r="FPZ156" s="3060"/>
      <c r="FQA156" s="3060"/>
      <c r="FQB156" s="3060"/>
      <c r="FQC156" s="3060"/>
      <c r="FQD156" s="3060"/>
      <c r="FQE156" s="3060"/>
      <c r="FQF156" s="3060"/>
      <c r="FQG156" s="3060"/>
      <c r="FQH156" s="3060"/>
      <c r="FQI156" s="3060"/>
      <c r="FQJ156" s="3060"/>
      <c r="FQK156" s="3060"/>
      <c r="FQL156" s="3060"/>
      <c r="FQM156" s="3060"/>
      <c r="FQN156" s="3060"/>
      <c r="FQO156" s="3060"/>
      <c r="FQP156" s="3060"/>
      <c r="FQQ156" s="3060"/>
      <c r="FQR156" s="3060"/>
      <c r="FQS156" s="3060"/>
      <c r="FQT156" s="3060"/>
      <c r="FQU156" s="3060"/>
      <c r="FQV156" s="3060"/>
      <c r="FQW156" s="3060"/>
      <c r="FQX156" s="3060"/>
      <c r="FQY156" s="3060"/>
      <c r="FQZ156" s="3060"/>
      <c r="FRA156" s="3060"/>
      <c r="FRB156" s="3060"/>
      <c r="FRC156" s="3060"/>
      <c r="FRD156" s="3060"/>
      <c r="FRE156" s="3060"/>
      <c r="FRF156" s="3060"/>
      <c r="FRG156" s="3060"/>
      <c r="FRH156" s="3060"/>
      <c r="FRI156" s="3060"/>
      <c r="FRJ156" s="3060"/>
      <c r="FRK156" s="3060"/>
      <c r="FRL156" s="3060"/>
      <c r="FRM156" s="3060"/>
      <c r="FRN156" s="3060"/>
      <c r="FRO156" s="3060"/>
      <c r="FRP156" s="3060"/>
      <c r="FRQ156" s="3060"/>
      <c r="FRR156" s="3060"/>
      <c r="FRS156" s="3060"/>
      <c r="FRT156" s="3060"/>
      <c r="FRU156" s="3060"/>
      <c r="FRV156" s="3060"/>
      <c r="FRW156" s="3060"/>
      <c r="FRX156" s="3060"/>
      <c r="FRY156" s="3060"/>
      <c r="FRZ156" s="3060"/>
      <c r="FSA156" s="3060"/>
      <c r="FSB156" s="3060"/>
      <c r="FSC156" s="3060"/>
      <c r="FSD156" s="3060"/>
      <c r="FSE156" s="3060"/>
      <c r="FSF156" s="3060"/>
      <c r="FSG156" s="3060"/>
      <c r="FSH156" s="3060"/>
      <c r="FSI156" s="3060"/>
      <c r="FSJ156" s="3060"/>
      <c r="FSK156" s="3060"/>
      <c r="FSL156" s="3060"/>
      <c r="FSM156" s="3060"/>
      <c r="FSN156" s="3060"/>
      <c r="FSO156" s="3060"/>
      <c r="FSP156" s="3060"/>
      <c r="FSQ156" s="3060"/>
      <c r="FSR156" s="3060"/>
      <c r="FSS156" s="3060"/>
      <c r="FST156" s="3060"/>
      <c r="FSU156" s="3060"/>
      <c r="FSV156" s="3060"/>
      <c r="FSW156" s="3060"/>
      <c r="FSX156" s="3060"/>
      <c r="FSY156" s="3060"/>
      <c r="FSZ156" s="3060"/>
      <c r="FTA156" s="3060"/>
      <c r="FTB156" s="3060"/>
      <c r="FTC156" s="3060"/>
      <c r="FTD156" s="3060"/>
      <c r="FTE156" s="3060"/>
      <c r="FTF156" s="3060"/>
      <c r="FTG156" s="3060"/>
      <c r="FTH156" s="3060"/>
      <c r="FTI156" s="3060"/>
      <c r="FTJ156" s="3060"/>
      <c r="FTK156" s="3060"/>
      <c r="FTL156" s="3060"/>
      <c r="FTM156" s="3060"/>
      <c r="FTN156" s="3060"/>
      <c r="FTO156" s="3060"/>
      <c r="FTP156" s="3060"/>
      <c r="FTQ156" s="3060"/>
      <c r="FTR156" s="3060"/>
      <c r="FTS156" s="3060"/>
      <c r="FTT156" s="3060"/>
      <c r="FTU156" s="3060"/>
      <c r="FTV156" s="3060"/>
      <c r="FTW156" s="3060"/>
      <c r="FTX156" s="3060"/>
      <c r="FTY156" s="3060"/>
      <c r="FTZ156" s="3060"/>
      <c r="FUA156" s="3060"/>
      <c r="FUB156" s="3060"/>
      <c r="FUC156" s="3060"/>
      <c r="FUD156" s="3060"/>
      <c r="FUE156" s="3060"/>
      <c r="FUF156" s="3060"/>
      <c r="FUG156" s="3060"/>
      <c r="FUH156" s="3060"/>
      <c r="FUI156" s="3060"/>
      <c r="FUJ156" s="3060"/>
      <c r="FUK156" s="3060"/>
      <c r="FUL156" s="3060"/>
      <c r="FUM156" s="3060"/>
      <c r="FUN156" s="3060"/>
      <c r="FUO156" s="3060"/>
      <c r="FUP156" s="3060"/>
      <c r="FUQ156" s="3060"/>
      <c r="FUR156" s="3060"/>
      <c r="FUS156" s="3060"/>
      <c r="FUT156" s="3060"/>
      <c r="FUU156" s="3060"/>
      <c r="FUV156" s="3060"/>
      <c r="FUW156" s="3060"/>
      <c r="FUX156" s="3060"/>
      <c r="FUY156" s="3060"/>
      <c r="FUZ156" s="3060"/>
      <c r="FVA156" s="3060"/>
      <c r="FVB156" s="3060"/>
      <c r="FVC156" s="3060"/>
      <c r="FVD156" s="3060"/>
      <c r="FVE156" s="3060"/>
      <c r="FVF156" s="3060"/>
      <c r="FVG156" s="3060"/>
      <c r="FVH156" s="3060"/>
      <c r="FVI156" s="3060"/>
      <c r="FVJ156" s="3060"/>
      <c r="FVK156" s="3060"/>
      <c r="FVL156" s="3060"/>
      <c r="FVM156" s="3060"/>
      <c r="FVN156" s="3060"/>
      <c r="FVO156" s="3060"/>
      <c r="FVP156" s="3060"/>
      <c r="FVQ156" s="3060"/>
      <c r="FVR156" s="3060"/>
      <c r="FVS156" s="3060"/>
      <c r="FVT156" s="3060"/>
      <c r="FVU156" s="3060"/>
      <c r="FVV156" s="3060"/>
      <c r="FVW156" s="3060"/>
      <c r="FVX156" s="3060"/>
      <c r="FVY156" s="3060"/>
      <c r="FVZ156" s="3060"/>
      <c r="FWA156" s="3060"/>
      <c r="FWB156" s="3060"/>
      <c r="FWC156" s="3060"/>
      <c r="FWD156" s="3060"/>
      <c r="FWE156" s="3060"/>
      <c r="FWF156" s="3060"/>
      <c r="FWG156" s="3060"/>
      <c r="FWH156" s="3060"/>
      <c r="FWI156" s="3060"/>
      <c r="FWJ156" s="3060"/>
      <c r="FWK156" s="3060"/>
      <c r="FWL156" s="3060"/>
      <c r="FWM156" s="3060"/>
      <c r="FWN156" s="3060"/>
      <c r="FWO156" s="3060"/>
      <c r="FWP156" s="3060"/>
      <c r="FWQ156" s="3060"/>
      <c r="FWR156" s="3060"/>
      <c r="FWS156" s="3060"/>
      <c r="FWT156" s="3060"/>
      <c r="FWU156" s="3060"/>
      <c r="FWV156" s="3060"/>
      <c r="FWW156" s="3060"/>
      <c r="FWX156" s="3060"/>
      <c r="FWY156" s="3060"/>
      <c r="FWZ156" s="3060"/>
      <c r="FXA156" s="3060"/>
      <c r="FXB156" s="3060"/>
      <c r="FXC156" s="3060"/>
      <c r="FXD156" s="3060"/>
      <c r="FXE156" s="3060"/>
      <c r="FXF156" s="3060"/>
      <c r="FXG156" s="3060"/>
      <c r="FXH156" s="3060"/>
      <c r="FXI156" s="3060"/>
      <c r="FXJ156" s="3060"/>
      <c r="FXK156" s="3060"/>
      <c r="FXL156" s="3060"/>
      <c r="FXM156" s="3060"/>
      <c r="FXN156" s="3060"/>
      <c r="FXO156" s="3060"/>
      <c r="FXP156" s="3060"/>
      <c r="FXQ156" s="3060"/>
      <c r="FXR156" s="3060"/>
      <c r="FXS156" s="3060"/>
      <c r="FXT156" s="3060"/>
      <c r="FXU156" s="3060"/>
      <c r="FXV156" s="3060"/>
      <c r="FXW156" s="3060"/>
      <c r="FXX156" s="3060"/>
      <c r="FXY156" s="3060"/>
      <c r="FXZ156" s="3060"/>
      <c r="FYA156" s="3060"/>
      <c r="FYB156" s="3060"/>
      <c r="FYC156" s="3060"/>
      <c r="FYD156" s="3060"/>
      <c r="FYE156" s="3060"/>
      <c r="FYF156" s="3060"/>
      <c r="FYG156" s="3060"/>
      <c r="FYH156" s="3060"/>
      <c r="FYI156" s="3060"/>
      <c r="FYJ156" s="3060"/>
      <c r="FYK156" s="3060"/>
      <c r="FYL156" s="3060"/>
      <c r="FYM156" s="3060"/>
      <c r="FYN156" s="3060"/>
      <c r="FYO156" s="3060"/>
      <c r="FYP156" s="3060"/>
      <c r="FYQ156" s="3060"/>
      <c r="FYR156" s="3060"/>
      <c r="FYS156" s="3060"/>
      <c r="FYT156" s="3060"/>
      <c r="FYU156" s="3060"/>
      <c r="FYV156" s="3060"/>
      <c r="FYW156" s="3060"/>
      <c r="FYX156" s="3060"/>
      <c r="FYY156" s="3060"/>
      <c r="FYZ156" s="3060"/>
      <c r="FZA156" s="3060"/>
      <c r="FZB156" s="3060"/>
      <c r="FZC156" s="3060"/>
      <c r="FZD156" s="3060"/>
      <c r="FZE156" s="3060"/>
      <c r="FZF156" s="3060"/>
      <c r="FZG156" s="3060"/>
      <c r="FZH156" s="3060"/>
      <c r="FZI156" s="3060"/>
      <c r="FZJ156" s="3060"/>
      <c r="FZK156" s="3060"/>
      <c r="FZL156" s="3060"/>
      <c r="FZM156" s="3060"/>
      <c r="FZN156" s="3060"/>
      <c r="FZO156" s="3060"/>
      <c r="FZP156" s="3060"/>
      <c r="FZQ156" s="3060"/>
      <c r="FZR156" s="3060"/>
      <c r="FZS156" s="3060"/>
      <c r="FZT156" s="3060"/>
      <c r="FZU156" s="3060"/>
      <c r="FZV156" s="3060"/>
      <c r="FZW156" s="3060"/>
      <c r="FZX156" s="3060"/>
      <c r="FZY156" s="3060"/>
      <c r="FZZ156" s="3060"/>
      <c r="GAA156" s="3060"/>
      <c r="GAB156" s="3060"/>
      <c r="GAC156" s="3060"/>
      <c r="GAD156" s="3060"/>
      <c r="GAE156" s="3060"/>
      <c r="GAF156" s="3060"/>
      <c r="GAG156" s="3060"/>
      <c r="GAH156" s="3060"/>
      <c r="GAI156" s="3060"/>
      <c r="GAJ156" s="3060"/>
      <c r="GAK156" s="3060"/>
      <c r="GAL156" s="3060"/>
      <c r="GAM156" s="3060"/>
      <c r="GAN156" s="3060"/>
      <c r="GAO156" s="3060"/>
      <c r="GAP156" s="3060"/>
      <c r="GAQ156" s="3060"/>
      <c r="GAR156" s="3060"/>
      <c r="GAS156" s="3060"/>
      <c r="GAT156" s="3060"/>
      <c r="GAU156" s="3060"/>
      <c r="GAV156" s="3060"/>
      <c r="GAW156" s="3060"/>
      <c r="GAX156" s="3060"/>
      <c r="GAY156" s="3060"/>
      <c r="GAZ156" s="3060"/>
      <c r="GBA156" s="3060"/>
      <c r="GBB156" s="3060"/>
      <c r="GBC156" s="3060"/>
      <c r="GBD156" s="3060"/>
      <c r="GBE156" s="3060"/>
      <c r="GBF156" s="3060"/>
      <c r="GBG156" s="3060"/>
      <c r="GBH156" s="3060"/>
      <c r="GBI156" s="3060"/>
      <c r="GBJ156" s="3060"/>
      <c r="GBK156" s="3060"/>
      <c r="GBL156" s="3060"/>
      <c r="GBM156" s="3060"/>
      <c r="GBN156" s="3060"/>
      <c r="GBO156" s="3060"/>
      <c r="GBP156" s="3060"/>
      <c r="GBQ156" s="3060"/>
      <c r="GBR156" s="3060"/>
      <c r="GBS156" s="3060"/>
      <c r="GBT156" s="3060"/>
      <c r="GBU156" s="3060"/>
      <c r="GBV156" s="3060"/>
      <c r="GBW156" s="3060"/>
      <c r="GBX156" s="3060"/>
      <c r="GBY156" s="3060"/>
      <c r="GBZ156" s="3060"/>
      <c r="GCA156" s="3060"/>
      <c r="GCB156" s="3060"/>
      <c r="GCC156" s="3060"/>
      <c r="GCD156" s="3060"/>
      <c r="GCE156" s="3060"/>
      <c r="GCF156" s="3060"/>
      <c r="GCG156" s="3060"/>
      <c r="GCH156" s="3060"/>
      <c r="GCI156" s="3060"/>
      <c r="GCJ156" s="3060"/>
      <c r="GCK156" s="3060"/>
      <c r="GCL156" s="3060"/>
      <c r="GCM156" s="3060"/>
      <c r="GCN156" s="3060"/>
      <c r="GCO156" s="3060"/>
      <c r="GCP156" s="3060"/>
      <c r="GCQ156" s="3060"/>
      <c r="GCR156" s="3060"/>
      <c r="GCS156" s="3060"/>
      <c r="GCT156" s="3060"/>
      <c r="GCU156" s="3060"/>
      <c r="GCV156" s="3060"/>
      <c r="GCW156" s="3060"/>
      <c r="GCX156" s="3060"/>
      <c r="GCY156" s="3060"/>
      <c r="GCZ156" s="3060"/>
      <c r="GDA156" s="3060"/>
      <c r="GDB156" s="3060"/>
      <c r="GDC156" s="3060"/>
      <c r="GDD156" s="3060"/>
      <c r="GDE156" s="3060"/>
      <c r="GDF156" s="3060"/>
      <c r="GDG156" s="3060"/>
      <c r="GDH156" s="3060"/>
      <c r="GDI156" s="3060"/>
      <c r="GDJ156" s="3060"/>
      <c r="GDK156" s="3060"/>
      <c r="GDL156" s="3060"/>
      <c r="GDM156" s="3060"/>
      <c r="GDN156" s="3060"/>
      <c r="GDO156" s="3060"/>
      <c r="GDP156" s="3060"/>
      <c r="GDQ156" s="3060"/>
      <c r="GDR156" s="3060"/>
      <c r="GDS156" s="3060"/>
      <c r="GDT156" s="3060"/>
      <c r="GDU156" s="3060"/>
      <c r="GDV156" s="3060"/>
      <c r="GDW156" s="3060"/>
      <c r="GDX156" s="3060"/>
      <c r="GDY156" s="3060"/>
      <c r="GDZ156" s="3060"/>
      <c r="GEA156" s="3060"/>
      <c r="GEB156" s="3060"/>
      <c r="GEC156" s="3060"/>
      <c r="GED156" s="3060"/>
      <c r="GEE156" s="3060"/>
      <c r="GEF156" s="3060"/>
      <c r="GEG156" s="3060"/>
      <c r="GEH156" s="3060"/>
      <c r="GEI156" s="3060"/>
      <c r="GEJ156" s="3060"/>
      <c r="GEK156" s="3060"/>
      <c r="GEL156" s="3060"/>
      <c r="GEM156" s="3060"/>
      <c r="GEN156" s="3060"/>
      <c r="GEO156" s="3060"/>
      <c r="GEP156" s="3060"/>
      <c r="GEQ156" s="3060"/>
      <c r="GER156" s="3060"/>
      <c r="GES156" s="3060"/>
      <c r="GET156" s="3060"/>
      <c r="GEU156" s="3060"/>
      <c r="GEV156" s="3060"/>
      <c r="GEW156" s="3060"/>
      <c r="GEX156" s="3060"/>
      <c r="GEY156" s="3060"/>
      <c r="GEZ156" s="3060"/>
      <c r="GFA156" s="3060"/>
      <c r="GFB156" s="3060"/>
      <c r="GFC156" s="3060"/>
      <c r="GFD156" s="3060"/>
      <c r="GFE156" s="3060"/>
      <c r="GFF156" s="3060"/>
      <c r="GFG156" s="3060"/>
      <c r="GFH156" s="3060"/>
      <c r="GFI156" s="3060"/>
      <c r="GFJ156" s="3060"/>
      <c r="GFK156" s="3060"/>
      <c r="GFL156" s="3060"/>
      <c r="GFM156" s="3060"/>
      <c r="GFN156" s="3060"/>
      <c r="GFO156" s="3060"/>
      <c r="GFP156" s="3060"/>
      <c r="GFQ156" s="3060"/>
      <c r="GFR156" s="3060"/>
      <c r="GFS156" s="3060"/>
      <c r="GFT156" s="3060"/>
      <c r="GFU156" s="3060"/>
      <c r="GFV156" s="3060"/>
      <c r="GFW156" s="3060"/>
      <c r="GFX156" s="3060"/>
      <c r="GFY156" s="3060"/>
      <c r="GFZ156" s="3060"/>
      <c r="GGA156" s="3060"/>
      <c r="GGB156" s="3060"/>
      <c r="GGC156" s="3060"/>
      <c r="GGD156" s="3060"/>
      <c r="GGE156" s="3060"/>
      <c r="GGF156" s="3060"/>
      <c r="GGG156" s="3060"/>
      <c r="GGH156" s="3060"/>
      <c r="GGI156" s="3060"/>
      <c r="GGJ156" s="3060"/>
      <c r="GGK156" s="3060"/>
      <c r="GGL156" s="3060"/>
      <c r="GGM156" s="3060"/>
      <c r="GGN156" s="3060"/>
      <c r="GGO156" s="3060"/>
      <c r="GGP156" s="3060"/>
      <c r="GGQ156" s="3060"/>
      <c r="GGR156" s="3060"/>
      <c r="GGS156" s="3060"/>
      <c r="GGT156" s="3060"/>
      <c r="GGU156" s="3060"/>
      <c r="GGV156" s="3060"/>
      <c r="GGW156" s="3060"/>
      <c r="GGX156" s="3060"/>
      <c r="GGY156" s="3060"/>
      <c r="GGZ156" s="3060"/>
      <c r="GHA156" s="3060"/>
      <c r="GHB156" s="3060"/>
      <c r="GHC156" s="3060"/>
      <c r="GHD156" s="3060"/>
      <c r="GHE156" s="3060"/>
      <c r="GHF156" s="3060"/>
      <c r="GHG156" s="3060"/>
      <c r="GHH156" s="3060"/>
      <c r="GHI156" s="3060"/>
      <c r="GHJ156" s="3060"/>
      <c r="GHK156" s="3060"/>
      <c r="GHL156" s="3060"/>
      <c r="GHM156" s="3060"/>
      <c r="GHN156" s="3060"/>
      <c r="GHO156" s="3060"/>
      <c r="GHP156" s="3060"/>
      <c r="GHQ156" s="3060"/>
      <c r="GHR156" s="3060"/>
      <c r="GHS156" s="3060"/>
      <c r="GHT156" s="3060"/>
      <c r="GHU156" s="3060"/>
      <c r="GHV156" s="3060"/>
      <c r="GHW156" s="3060"/>
      <c r="GHX156" s="3060"/>
      <c r="GHY156" s="3060"/>
      <c r="GHZ156" s="3060"/>
      <c r="GIA156" s="3060"/>
      <c r="GIB156" s="3060"/>
      <c r="GIC156" s="3060"/>
      <c r="GID156" s="3060"/>
      <c r="GIE156" s="3060"/>
      <c r="GIF156" s="3060"/>
      <c r="GIG156" s="3060"/>
      <c r="GIH156" s="3060"/>
      <c r="GII156" s="3060"/>
      <c r="GIJ156" s="3060"/>
      <c r="GIK156" s="3060"/>
      <c r="GIL156" s="3060"/>
      <c r="GIM156" s="3060"/>
      <c r="GIN156" s="3060"/>
      <c r="GIO156" s="3060"/>
      <c r="GIP156" s="3060"/>
      <c r="GIQ156" s="3060"/>
      <c r="GIR156" s="3060"/>
      <c r="GIS156" s="3060"/>
      <c r="GIT156" s="3060"/>
      <c r="GIU156" s="3060"/>
      <c r="GIV156" s="3060"/>
      <c r="GIW156" s="3060"/>
      <c r="GIX156" s="3060"/>
      <c r="GIY156" s="3060"/>
      <c r="GIZ156" s="3060"/>
      <c r="GJA156" s="3060"/>
      <c r="GJB156" s="3060"/>
      <c r="GJC156" s="3060"/>
      <c r="GJD156" s="3060"/>
      <c r="GJE156" s="3060"/>
      <c r="GJF156" s="3060"/>
      <c r="GJG156" s="3060"/>
      <c r="GJH156" s="3060"/>
      <c r="GJI156" s="3060"/>
      <c r="GJJ156" s="3060"/>
      <c r="GJK156" s="3060"/>
      <c r="GJL156" s="3060"/>
      <c r="GJM156" s="3060"/>
      <c r="GJN156" s="3060"/>
      <c r="GJO156" s="3060"/>
      <c r="GJP156" s="3060"/>
      <c r="GJQ156" s="3060"/>
      <c r="GJR156" s="3060"/>
      <c r="GJS156" s="3060"/>
      <c r="GJT156" s="3060"/>
      <c r="GJU156" s="3060"/>
      <c r="GJV156" s="3060"/>
      <c r="GJW156" s="3060"/>
      <c r="GJX156" s="3060"/>
      <c r="GJY156" s="3060"/>
      <c r="GJZ156" s="3060"/>
      <c r="GKA156" s="3060"/>
      <c r="GKB156" s="3060"/>
      <c r="GKC156" s="3060"/>
      <c r="GKD156" s="3060"/>
      <c r="GKE156" s="3060"/>
      <c r="GKF156" s="3060"/>
      <c r="GKG156" s="3060"/>
      <c r="GKH156" s="3060"/>
      <c r="GKI156" s="3060"/>
      <c r="GKJ156" s="3060"/>
      <c r="GKK156" s="3060"/>
      <c r="GKL156" s="3060"/>
      <c r="GKM156" s="3060"/>
      <c r="GKN156" s="3060"/>
      <c r="GKO156" s="3060"/>
      <c r="GKP156" s="3060"/>
      <c r="GKQ156" s="3060"/>
      <c r="GKR156" s="3060"/>
      <c r="GKS156" s="3060"/>
      <c r="GKT156" s="3060"/>
      <c r="GKU156" s="3060"/>
      <c r="GKV156" s="3060"/>
      <c r="GKW156" s="3060"/>
      <c r="GKX156" s="3060"/>
      <c r="GKY156" s="3060"/>
      <c r="GKZ156" s="3060"/>
      <c r="GLA156" s="3060"/>
      <c r="GLB156" s="3060"/>
      <c r="GLC156" s="3060"/>
      <c r="GLD156" s="3060"/>
      <c r="GLE156" s="3060"/>
      <c r="GLF156" s="3060"/>
      <c r="GLG156" s="3060"/>
      <c r="GLH156" s="3060"/>
      <c r="GLI156" s="3060"/>
      <c r="GLJ156" s="3060"/>
      <c r="GLK156" s="3060"/>
      <c r="GLL156" s="3060"/>
      <c r="GLM156" s="3060"/>
      <c r="GLN156" s="3060"/>
      <c r="GLO156" s="3060"/>
      <c r="GLP156" s="3060"/>
      <c r="GLQ156" s="3060"/>
      <c r="GLR156" s="3060"/>
      <c r="GLS156" s="3060"/>
      <c r="GLT156" s="3060"/>
      <c r="GLU156" s="3060"/>
      <c r="GLV156" s="3060"/>
      <c r="GLW156" s="3060"/>
      <c r="GLX156" s="3060"/>
      <c r="GLY156" s="3060"/>
      <c r="GLZ156" s="3060"/>
      <c r="GMA156" s="3060"/>
      <c r="GMB156" s="3060"/>
      <c r="GMC156" s="3060"/>
      <c r="GMD156" s="3060"/>
      <c r="GME156" s="3060"/>
      <c r="GMF156" s="3060"/>
      <c r="GMG156" s="3060"/>
      <c r="GMH156" s="3060"/>
      <c r="GMI156" s="3060"/>
      <c r="GMJ156" s="3060"/>
      <c r="GMK156" s="3060"/>
      <c r="GML156" s="3060"/>
      <c r="GMM156" s="3060"/>
      <c r="GMN156" s="3060"/>
      <c r="GMO156" s="3060"/>
      <c r="GMP156" s="3060"/>
      <c r="GMQ156" s="3060"/>
      <c r="GMR156" s="3060"/>
      <c r="GMS156" s="3060"/>
      <c r="GMT156" s="3060"/>
      <c r="GMU156" s="3060"/>
      <c r="GMV156" s="3060"/>
      <c r="GMW156" s="3060"/>
      <c r="GMX156" s="3060"/>
      <c r="GMY156" s="3060"/>
      <c r="GMZ156" s="3060"/>
      <c r="GNA156" s="3060"/>
      <c r="GNB156" s="3060"/>
      <c r="GNC156" s="3060"/>
      <c r="GND156" s="3060"/>
      <c r="GNE156" s="3060"/>
      <c r="GNF156" s="3060"/>
      <c r="GNG156" s="3060"/>
      <c r="GNH156" s="3060"/>
      <c r="GNI156" s="3060"/>
      <c r="GNJ156" s="3060"/>
      <c r="GNK156" s="3060"/>
      <c r="GNL156" s="3060"/>
      <c r="GNM156" s="3060"/>
      <c r="GNN156" s="3060"/>
      <c r="GNO156" s="3060"/>
      <c r="GNP156" s="3060"/>
      <c r="GNQ156" s="3060"/>
      <c r="GNR156" s="3060"/>
      <c r="GNS156" s="3060"/>
      <c r="GNT156" s="3060"/>
      <c r="GNU156" s="3060"/>
      <c r="GNV156" s="3060"/>
      <c r="GNW156" s="3060"/>
      <c r="GNX156" s="3060"/>
      <c r="GNY156" s="3060"/>
      <c r="GNZ156" s="3060"/>
      <c r="GOA156" s="3060"/>
      <c r="GOB156" s="3060"/>
      <c r="GOC156" s="3060"/>
      <c r="GOD156" s="3060"/>
      <c r="GOE156" s="3060"/>
      <c r="GOF156" s="3060"/>
      <c r="GOG156" s="3060"/>
      <c r="GOH156" s="3060"/>
      <c r="GOI156" s="3060"/>
      <c r="GOJ156" s="3060"/>
      <c r="GOK156" s="3060"/>
      <c r="GOL156" s="3060"/>
      <c r="GOM156" s="3060"/>
      <c r="GON156" s="3060"/>
      <c r="GOO156" s="3060"/>
      <c r="GOP156" s="3060"/>
      <c r="GOQ156" s="3060"/>
      <c r="GOR156" s="3060"/>
      <c r="GOS156" s="3060"/>
      <c r="GOT156" s="3060"/>
      <c r="GOU156" s="3060"/>
      <c r="GOV156" s="3060"/>
      <c r="GOW156" s="3060"/>
      <c r="GOX156" s="3060"/>
      <c r="GOY156" s="3060"/>
      <c r="GOZ156" s="3060"/>
      <c r="GPA156" s="3060"/>
      <c r="GPB156" s="3060"/>
      <c r="GPC156" s="3060"/>
      <c r="GPD156" s="3060"/>
      <c r="GPE156" s="3060"/>
      <c r="GPF156" s="3060"/>
      <c r="GPG156" s="3060"/>
      <c r="GPH156" s="3060"/>
      <c r="GPI156" s="3060"/>
      <c r="GPJ156" s="3060"/>
      <c r="GPK156" s="3060"/>
      <c r="GPL156" s="3060"/>
      <c r="GPM156" s="3060"/>
      <c r="GPN156" s="3060"/>
      <c r="GPO156" s="3060"/>
      <c r="GPP156" s="3060"/>
      <c r="GPQ156" s="3060"/>
      <c r="GPR156" s="3060"/>
      <c r="GPS156" s="3060"/>
      <c r="GPT156" s="3060"/>
      <c r="GPU156" s="3060"/>
      <c r="GPV156" s="3060"/>
      <c r="GPW156" s="3060"/>
      <c r="GPX156" s="3060"/>
      <c r="GPY156" s="3060"/>
      <c r="GPZ156" s="3060"/>
      <c r="GQA156" s="3060"/>
      <c r="GQB156" s="3060"/>
      <c r="GQC156" s="3060"/>
      <c r="GQD156" s="3060"/>
      <c r="GQE156" s="3060"/>
      <c r="GQF156" s="3060"/>
      <c r="GQG156" s="3060"/>
      <c r="GQH156" s="3060"/>
      <c r="GQI156" s="3060"/>
      <c r="GQJ156" s="3060"/>
      <c r="GQK156" s="3060"/>
      <c r="GQL156" s="3060"/>
      <c r="GQM156" s="3060"/>
      <c r="GQN156" s="3060"/>
      <c r="GQO156" s="3060"/>
      <c r="GQP156" s="3060"/>
      <c r="GQQ156" s="3060"/>
      <c r="GQR156" s="3060"/>
      <c r="GQS156" s="3060"/>
      <c r="GQT156" s="3060"/>
      <c r="GQU156" s="3060"/>
      <c r="GQV156" s="3060"/>
      <c r="GQW156" s="3060"/>
      <c r="GQX156" s="3060"/>
      <c r="GQY156" s="3060"/>
      <c r="GQZ156" s="3060"/>
      <c r="GRA156" s="3060"/>
      <c r="GRB156" s="3060"/>
      <c r="GRC156" s="3060"/>
      <c r="GRD156" s="3060"/>
      <c r="GRE156" s="3060"/>
      <c r="GRF156" s="3060"/>
      <c r="GRG156" s="3060"/>
      <c r="GRH156" s="3060"/>
      <c r="GRI156" s="3060"/>
      <c r="GRJ156" s="3060"/>
      <c r="GRK156" s="3060"/>
      <c r="GRL156" s="3060"/>
      <c r="GRM156" s="3060"/>
      <c r="GRN156" s="3060"/>
      <c r="GRO156" s="3060"/>
      <c r="GRP156" s="3060"/>
      <c r="GRQ156" s="3060"/>
      <c r="GRR156" s="3060"/>
      <c r="GRS156" s="3060"/>
      <c r="GRT156" s="3060"/>
      <c r="GRU156" s="3060"/>
      <c r="GRV156" s="3060"/>
      <c r="GRW156" s="3060"/>
      <c r="GRX156" s="3060"/>
      <c r="GRY156" s="3060"/>
      <c r="GRZ156" s="3060"/>
      <c r="GSA156" s="3060"/>
      <c r="GSB156" s="3060"/>
      <c r="GSC156" s="3060"/>
      <c r="GSD156" s="3060"/>
      <c r="GSE156" s="3060"/>
      <c r="GSF156" s="3060"/>
      <c r="GSG156" s="3060"/>
      <c r="GSH156" s="3060"/>
      <c r="GSI156" s="3060"/>
      <c r="GSJ156" s="3060"/>
      <c r="GSK156" s="3060"/>
      <c r="GSL156" s="3060"/>
      <c r="GSM156" s="3060"/>
      <c r="GSN156" s="3060"/>
      <c r="GSO156" s="3060"/>
      <c r="GSP156" s="3060"/>
      <c r="GSQ156" s="3060"/>
      <c r="GSR156" s="3060"/>
      <c r="GSS156" s="3060"/>
      <c r="GST156" s="3060"/>
      <c r="GSU156" s="3060"/>
      <c r="GSV156" s="3060"/>
      <c r="GSW156" s="3060"/>
      <c r="GSX156" s="3060"/>
      <c r="GSY156" s="3060"/>
      <c r="GSZ156" s="3060"/>
      <c r="GTA156" s="3060"/>
      <c r="GTB156" s="3060"/>
      <c r="GTC156" s="3060"/>
      <c r="GTD156" s="3060"/>
      <c r="GTE156" s="3060"/>
      <c r="GTF156" s="3060"/>
      <c r="GTG156" s="3060"/>
      <c r="GTH156" s="3060"/>
      <c r="GTI156" s="3060"/>
      <c r="GTJ156" s="3060"/>
      <c r="GTK156" s="3060"/>
      <c r="GTL156" s="3060"/>
      <c r="GTM156" s="3060"/>
      <c r="GTN156" s="3060"/>
      <c r="GTO156" s="3060"/>
      <c r="GTP156" s="3060"/>
      <c r="GTQ156" s="3060"/>
      <c r="GTR156" s="3060"/>
      <c r="GTS156" s="3060"/>
      <c r="GTT156" s="3060"/>
      <c r="GTU156" s="3060"/>
      <c r="GTV156" s="3060"/>
      <c r="GTW156" s="3060"/>
      <c r="GTX156" s="3060"/>
      <c r="GTY156" s="3060"/>
      <c r="GTZ156" s="3060"/>
      <c r="GUA156" s="3060"/>
      <c r="GUB156" s="3060"/>
      <c r="GUC156" s="3060"/>
      <c r="GUD156" s="3060"/>
      <c r="GUE156" s="3060"/>
      <c r="GUF156" s="3060"/>
      <c r="GUG156" s="3060"/>
      <c r="GUH156" s="3060"/>
      <c r="GUI156" s="3060"/>
      <c r="GUJ156" s="3060"/>
      <c r="GUK156" s="3060"/>
      <c r="GUL156" s="3060"/>
      <c r="GUM156" s="3060"/>
      <c r="GUN156" s="3060"/>
      <c r="GUO156" s="3060"/>
      <c r="GUP156" s="3060"/>
      <c r="GUQ156" s="3060"/>
      <c r="GUR156" s="3060"/>
      <c r="GUS156" s="3060"/>
      <c r="GUT156" s="3060"/>
      <c r="GUU156" s="3060"/>
      <c r="GUV156" s="3060"/>
      <c r="GUW156" s="3060"/>
      <c r="GUX156" s="3060"/>
      <c r="GUY156" s="3060"/>
      <c r="GUZ156" s="3060"/>
      <c r="GVA156" s="3060"/>
      <c r="GVB156" s="3060"/>
      <c r="GVC156" s="3060"/>
      <c r="GVD156" s="3060"/>
      <c r="GVE156" s="3060"/>
      <c r="GVF156" s="3060"/>
      <c r="GVG156" s="3060"/>
      <c r="GVH156" s="3060"/>
      <c r="GVI156" s="3060"/>
      <c r="GVJ156" s="3060"/>
      <c r="GVK156" s="3060"/>
      <c r="GVL156" s="3060"/>
      <c r="GVM156" s="3060"/>
      <c r="GVN156" s="3060"/>
      <c r="GVO156" s="3060"/>
      <c r="GVP156" s="3060"/>
      <c r="GVQ156" s="3060"/>
      <c r="GVR156" s="3060"/>
      <c r="GVS156" s="3060"/>
      <c r="GVT156" s="3060"/>
      <c r="GVU156" s="3060"/>
      <c r="GVV156" s="3060"/>
      <c r="GVW156" s="3060"/>
      <c r="GVX156" s="3060"/>
      <c r="GVY156" s="3060"/>
      <c r="GVZ156" s="3060"/>
      <c r="GWA156" s="3060"/>
      <c r="GWB156" s="3060"/>
      <c r="GWC156" s="3060"/>
      <c r="GWD156" s="3060"/>
      <c r="GWE156" s="3060"/>
      <c r="GWF156" s="3060"/>
      <c r="GWG156" s="3060"/>
      <c r="GWH156" s="3060"/>
      <c r="GWI156" s="3060"/>
      <c r="GWJ156" s="3060"/>
      <c r="GWK156" s="3060"/>
      <c r="GWL156" s="3060"/>
      <c r="GWM156" s="3060"/>
      <c r="GWN156" s="3060"/>
      <c r="GWO156" s="3060"/>
      <c r="GWP156" s="3060"/>
      <c r="GWQ156" s="3060"/>
      <c r="GWR156" s="3060"/>
      <c r="GWS156" s="3060"/>
      <c r="GWT156" s="3060"/>
      <c r="GWU156" s="3060"/>
      <c r="GWV156" s="3060"/>
      <c r="GWW156" s="3060"/>
      <c r="GWX156" s="3060"/>
      <c r="GWY156" s="3060"/>
      <c r="GWZ156" s="3060"/>
      <c r="GXA156" s="3060"/>
      <c r="GXB156" s="3060"/>
      <c r="GXC156" s="3060"/>
      <c r="GXD156" s="3060"/>
      <c r="GXE156" s="3060"/>
      <c r="GXF156" s="3060"/>
      <c r="GXG156" s="3060"/>
      <c r="GXH156" s="3060"/>
      <c r="GXI156" s="3060"/>
      <c r="GXJ156" s="3060"/>
      <c r="GXK156" s="3060"/>
      <c r="GXL156" s="3060"/>
      <c r="GXM156" s="3060"/>
      <c r="GXN156" s="3060"/>
      <c r="GXO156" s="3060"/>
      <c r="GXP156" s="3060"/>
      <c r="GXQ156" s="3060"/>
      <c r="GXR156" s="3060"/>
      <c r="GXS156" s="3060"/>
      <c r="GXT156" s="3060"/>
      <c r="GXU156" s="3060"/>
      <c r="GXV156" s="3060"/>
      <c r="GXW156" s="3060"/>
      <c r="GXX156" s="3060"/>
      <c r="GXY156" s="3060"/>
      <c r="GXZ156" s="3060"/>
      <c r="GYA156" s="3060"/>
      <c r="GYB156" s="3060"/>
      <c r="GYC156" s="3060"/>
      <c r="GYD156" s="3060"/>
      <c r="GYE156" s="3060"/>
      <c r="GYF156" s="3060"/>
      <c r="GYG156" s="3060"/>
      <c r="GYH156" s="3060"/>
      <c r="GYI156" s="3060"/>
      <c r="GYJ156" s="3060"/>
      <c r="GYK156" s="3060"/>
      <c r="GYL156" s="3060"/>
      <c r="GYM156" s="3060"/>
      <c r="GYN156" s="3060"/>
      <c r="GYO156" s="3060"/>
      <c r="GYP156" s="3060"/>
      <c r="GYQ156" s="3060"/>
      <c r="GYR156" s="3060"/>
      <c r="GYS156" s="3060"/>
      <c r="GYT156" s="3060"/>
      <c r="GYU156" s="3060"/>
      <c r="GYV156" s="3060"/>
      <c r="GYW156" s="3060"/>
      <c r="GYX156" s="3060"/>
      <c r="GYY156" s="3060"/>
      <c r="GYZ156" s="3060"/>
      <c r="GZA156" s="3060"/>
      <c r="GZB156" s="3060"/>
      <c r="GZC156" s="3060"/>
      <c r="GZD156" s="3060"/>
      <c r="GZE156" s="3060"/>
      <c r="GZF156" s="3060"/>
      <c r="GZG156" s="3060"/>
      <c r="GZH156" s="3060"/>
      <c r="GZI156" s="3060"/>
      <c r="GZJ156" s="3060"/>
      <c r="GZK156" s="3060"/>
      <c r="GZL156" s="3060"/>
      <c r="GZM156" s="3060"/>
      <c r="GZN156" s="3060"/>
      <c r="GZO156" s="3060"/>
      <c r="GZP156" s="3060"/>
      <c r="GZQ156" s="3060"/>
      <c r="GZR156" s="3060"/>
      <c r="GZS156" s="3060"/>
      <c r="GZT156" s="3060"/>
      <c r="GZU156" s="3060"/>
      <c r="GZV156" s="3060"/>
      <c r="GZW156" s="3060"/>
      <c r="GZX156" s="3060"/>
      <c r="GZY156" s="3060"/>
      <c r="GZZ156" s="3060"/>
      <c r="HAA156" s="3060"/>
      <c r="HAB156" s="3060"/>
      <c r="HAC156" s="3060"/>
      <c r="HAD156" s="3060"/>
      <c r="HAE156" s="3060"/>
      <c r="HAF156" s="3060"/>
      <c r="HAG156" s="3060"/>
      <c r="HAH156" s="3060"/>
      <c r="HAI156" s="3060"/>
      <c r="HAJ156" s="3060"/>
      <c r="HAK156" s="3060"/>
      <c r="HAL156" s="3060"/>
      <c r="HAM156" s="3060"/>
      <c r="HAN156" s="3060"/>
      <c r="HAO156" s="3060"/>
      <c r="HAP156" s="3060"/>
      <c r="HAQ156" s="3060"/>
      <c r="HAR156" s="3060"/>
      <c r="HAS156" s="3060"/>
      <c r="HAT156" s="3060"/>
      <c r="HAU156" s="3060"/>
      <c r="HAV156" s="3060"/>
      <c r="HAW156" s="3060"/>
      <c r="HAX156" s="3060"/>
      <c r="HAY156" s="3060"/>
      <c r="HAZ156" s="3060"/>
      <c r="HBA156" s="3060"/>
      <c r="HBB156" s="3060"/>
      <c r="HBC156" s="3060"/>
      <c r="HBD156" s="3060"/>
      <c r="HBE156" s="3060"/>
      <c r="HBF156" s="3060"/>
      <c r="HBG156" s="3060"/>
      <c r="HBH156" s="3060"/>
      <c r="HBI156" s="3060"/>
      <c r="HBJ156" s="3060"/>
      <c r="HBK156" s="3060"/>
      <c r="HBL156" s="3060"/>
      <c r="HBM156" s="3060"/>
      <c r="HBN156" s="3060"/>
      <c r="HBO156" s="3060"/>
      <c r="HBP156" s="3060"/>
      <c r="HBQ156" s="3060"/>
      <c r="HBR156" s="3060"/>
      <c r="HBS156" s="3060"/>
      <c r="HBT156" s="3060"/>
      <c r="HBU156" s="3060"/>
      <c r="HBV156" s="3060"/>
      <c r="HBW156" s="3060"/>
      <c r="HBX156" s="3060"/>
      <c r="HBY156" s="3060"/>
      <c r="HBZ156" s="3060"/>
      <c r="HCA156" s="3060"/>
      <c r="HCB156" s="3060"/>
      <c r="HCC156" s="3060"/>
      <c r="HCD156" s="3060"/>
      <c r="HCE156" s="3060"/>
      <c r="HCF156" s="3060"/>
      <c r="HCG156" s="3060"/>
      <c r="HCH156" s="3060"/>
      <c r="HCI156" s="3060"/>
      <c r="HCJ156" s="3060"/>
      <c r="HCK156" s="3060"/>
      <c r="HCL156" s="3060"/>
      <c r="HCM156" s="3060"/>
      <c r="HCN156" s="3060"/>
      <c r="HCO156" s="3060"/>
      <c r="HCP156" s="3060"/>
      <c r="HCQ156" s="3060"/>
      <c r="HCR156" s="3060"/>
      <c r="HCS156" s="3060"/>
      <c r="HCT156" s="3060"/>
      <c r="HCU156" s="3060"/>
      <c r="HCV156" s="3060"/>
      <c r="HCW156" s="3060"/>
      <c r="HCX156" s="3060"/>
      <c r="HCY156" s="3060"/>
      <c r="HCZ156" s="3060"/>
      <c r="HDA156" s="3060"/>
      <c r="HDB156" s="3060"/>
      <c r="HDC156" s="3060"/>
      <c r="HDD156" s="3060"/>
      <c r="HDE156" s="3060"/>
      <c r="HDF156" s="3060"/>
      <c r="HDG156" s="3060"/>
      <c r="HDH156" s="3060"/>
      <c r="HDI156" s="3060"/>
      <c r="HDJ156" s="3060"/>
      <c r="HDK156" s="3060"/>
      <c r="HDL156" s="3060"/>
      <c r="HDM156" s="3060"/>
      <c r="HDN156" s="3060"/>
      <c r="HDO156" s="3060"/>
      <c r="HDP156" s="3060"/>
      <c r="HDQ156" s="3060"/>
      <c r="HDR156" s="3060"/>
      <c r="HDS156" s="3060"/>
      <c r="HDT156" s="3060"/>
      <c r="HDU156" s="3060"/>
      <c r="HDV156" s="3060"/>
      <c r="HDW156" s="3060"/>
      <c r="HDX156" s="3060"/>
      <c r="HDY156" s="3060"/>
      <c r="HDZ156" s="3060"/>
      <c r="HEA156" s="3060"/>
      <c r="HEB156" s="3060"/>
      <c r="HEC156" s="3060"/>
      <c r="HED156" s="3060"/>
      <c r="HEE156" s="3060"/>
      <c r="HEF156" s="3060"/>
      <c r="HEG156" s="3060"/>
      <c r="HEH156" s="3060"/>
      <c r="HEI156" s="3060"/>
      <c r="HEJ156" s="3060"/>
      <c r="HEK156" s="3060"/>
      <c r="HEL156" s="3060"/>
      <c r="HEM156" s="3060"/>
      <c r="HEN156" s="3060"/>
      <c r="HEO156" s="3060"/>
      <c r="HEP156" s="3060"/>
      <c r="HEQ156" s="3060"/>
      <c r="HER156" s="3060"/>
      <c r="HES156" s="3060"/>
      <c r="HET156" s="3060"/>
      <c r="HEU156" s="3060"/>
      <c r="HEV156" s="3060"/>
      <c r="HEW156" s="3060"/>
      <c r="HEX156" s="3060"/>
      <c r="HEY156" s="3060"/>
      <c r="HEZ156" s="3060"/>
      <c r="HFA156" s="3060"/>
      <c r="HFB156" s="3060"/>
      <c r="HFC156" s="3060"/>
      <c r="HFD156" s="3060"/>
      <c r="HFE156" s="3060"/>
      <c r="HFF156" s="3060"/>
      <c r="HFG156" s="3060"/>
      <c r="HFH156" s="3060"/>
      <c r="HFI156" s="3060"/>
      <c r="HFJ156" s="3060"/>
      <c r="HFK156" s="3060"/>
      <c r="HFL156" s="3060"/>
      <c r="HFM156" s="3060"/>
      <c r="HFN156" s="3060"/>
      <c r="HFO156" s="3060"/>
      <c r="HFP156" s="3060"/>
      <c r="HFQ156" s="3060"/>
      <c r="HFR156" s="3060"/>
      <c r="HFS156" s="3060"/>
      <c r="HFT156" s="3060"/>
      <c r="HFU156" s="3060"/>
      <c r="HFV156" s="3060"/>
      <c r="HFW156" s="3060"/>
      <c r="HFX156" s="3060"/>
      <c r="HFY156" s="3060"/>
      <c r="HFZ156" s="3060"/>
      <c r="HGA156" s="3060"/>
      <c r="HGB156" s="3060"/>
      <c r="HGC156" s="3060"/>
      <c r="HGD156" s="3060"/>
      <c r="HGE156" s="3060"/>
      <c r="HGF156" s="3060"/>
      <c r="HGG156" s="3060"/>
      <c r="HGH156" s="3060"/>
      <c r="HGI156" s="3060"/>
      <c r="HGJ156" s="3060"/>
      <c r="HGK156" s="3060"/>
      <c r="HGL156" s="3060"/>
      <c r="HGM156" s="3060"/>
      <c r="HGN156" s="3060"/>
      <c r="HGO156" s="3060"/>
      <c r="HGP156" s="3060"/>
      <c r="HGQ156" s="3060"/>
      <c r="HGR156" s="3060"/>
      <c r="HGS156" s="3060"/>
      <c r="HGT156" s="3060"/>
      <c r="HGU156" s="3060"/>
      <c r="HGV156" s="3060"/>
      <c r="HGW156" s="3060"/>
      <c r="HGX156" s="3060"/>
      <c r="HGY156" s="3060"/>
      <c r="HGZ156" s="3060"/>
      <c r="HHA156" s="3060"/>
      <c r="HHB156" s="3060"/>
      <c r="HHC156" s="3060"/>
      <c r="HHD156" s="3060"/>
      <c r="HHE156" s="3060"/>
      <c r="HHF156" s="3060"/>
      <c r="HHG156" s="3060"/>
      <c r="HHH156" s="3060"/>
      <c r="HHI156" s="3060"/>
      <c r="HHJ156" s="3060"/>
      <c r="HHK156" s="3060"/>
      <c r="HHL156" s="3060"/>
      <c r="HHM156" s="3060"/>
      <c r="HHN156" s="3060"/>
      <c r="HHO156" s="3060"/>
      <c r="HHP156" s="3060"/>
      <c r="HHQ156" s="3060"/>
      <c r="HHR156" s="3060"/>
      <c r="HHS156" s="3060"/>
      <c r="HHT156" s="3060"/>
      <c r="HHU156" s="3060"/>
      <c r="HHV156" s="3060"/>
      <c r="HHW156" s="3060"/>
      <c r="HHX156" s="3060"/>
      <c r="HHY156" s="3060"/>
      <c r="HHZ156" s="3060"/>
      <c r="HIA156" s="3060"/>
      <c r="HIB156" s="3060"/>
      <c r="HIC156" s="3060"/>
      <c r="HID156" s="3060"/>
      <c r="HIE156" s="3060"/>
      <c r="HIF156" s="3060"/>
      <c r="HIG156" s="3060"/>
      <c r="HIH156" s="3060"/>
      <c r="HII156" s="3060"/>
      <c r="HIJ156" s="3060"/>
      <c r="HIK156" s="3060"/>
      <c r="HIL156" s="3060"/>
      <c r="HIM156" s="3060"/>
      <c r="HIN156" s="3060"/>
      <c r="HIO156" s="3060"/>
      <c r="HIP156" s="3060"/>
      <c r="HIQ156" s="3060"/>
      <c r="HIR156" s="3060"/>
      <c r="HIS156" s="3060"/>
      <c r="HIT156" s="3060"/>
      <c r="HIU156" s="3060"/>
      <c r="HIV156" s="3060"/>
      <c r="HIW156" s="3060"/>
      <c r="HIX156" s="3060"/>
      <c r="HIY156" s="3060"/>
      <c r="HIZ156" s="3060"/>
      <c r="HJA156" s="3060"/>
      <c r="HJB156" s="3060"/>
      <c r="HJC156" s="3060"/>
      <c r="HJD156" s="3060"/>
      <c r="HJE156" s="3060"/>
      <c r="HJF156" s="3060"/>
      <c r="HJG156" s="3060"/>
      <c r="HJH156" s="3060"/>
      <c r="HJI156" s="3060"/>
      <c r="HJJ156" s="3060"/>
      <c r="HJK156" s="3060"/>
      <c r="HJL156" s="3060"/>
      <c r="HJM156" s="3060"/>
      <c r="HJN156" s="3060"/>
      <c r="HJO156" s="3060"/>
      <c r="HJP156" s="3060"/>
      <c r="HJQ156" s="3060"/>
      <c r="HJR156" s="3060"/>
      <c r="HJS156" s="3060"/>
      <c r="HJT156" s="3060"/>
      <c r="HJU156" s="3060"/>
      <c r="HJV156" s="3060"/>
      <c r="HJW156" s="3060"/>
      <c r="HJX156" s="3060"/>
      <c r="HJY156" s="3060"/>
      <c r="HJZ156" s="3060"/>
      <c r="HKA156" s="3060"/>
      <c r="HKB156" s="3060"/>
      <c r="HKC156" s="3060"/>
      <c r="HKD156" s="3060"/>
      <c r="HKE156" s="3060"/>
      <c r="HKF156" s="3060"/>
      <c r="HKG156" s="3060"/>
      <c r="HKH156" s="3060"/>
      <c r="HKI156" s="3060"/>
      <c r="HKJ156" s="3060"/>
      <c r="HKK156" s="3060"/>
      <c r="HKL156" s="3060"/>
      <c r="HKM156" s="3060"/>
      <c r="HKN156" s="3060"/>
      <c r="HKO156" s="3060"/>
      <c r="HKP156" s="3060"/>
      <c r="HKQ156" s="3060"/>
      <c r="HKR156" s="3060"/>
      <c r="HKS156" s="3060"/>
      <c r="HKT156" s="3060"/>
      <c r="HKU156" s="3060"/>
      <c r="HKV156" s="3060"/>
      <c r="HKW156" s="3060"/>
      <c r="HKX156" s="3060"/>
      <c r="HKY156" s="3060"/>
      <c r="HKZ156" s="3060"/>
      <c r="HLA156" s="3060"/>
      <c r="HLB156" s="3060"/>
      <c r="HLC156" s="3060"/>
      <c r="HLD156" s="3060"/>
      <c r="HLE156" s="3060"/>
      <c r="HLF156" s="3060"/>
      <c r="HLG156" s="3060"/>
      <c r="HLH156" s="3060"/>
      <c r="HLI156" s="3060"/>
      <c r="HLJ156" s="3060"/>
      <c r="HLK156" s="3060"/>
      <c r="HLL156" s="3060"/>
      <c r="HLM156" s="3060"/>
      <c r="HLN156" s="3060"/>
      <c r="HLO156" s="3060"/>
      <c r="HLP156" s="3060"/>
      <c r="HLQ156" s="3060"/>
      <c r="HLR156" s="3060"/>
      <c r="HLS156" s="3060"/>
      <c r="HLT156" s="3060"/>
      <c r="HLU156" s="3060"/>
      <c r="HLV156" s="3060"/>
      <c r="HLW156" s="3060"/>
      <c r="HLX156" s="3060"/>
      <c r="HLY156" s="3060"/>
      <c r="HLZ156" s="3060"/>
      <c r="HMA156" s="3060"/>
      <c r="HMB156" s="3060"/>
      <c r="HMC156" s="3060"/>
      <c r="HMD156" s="3060"/>
      <c r="HME156" s="3060"/>
      <c r="HMF156" s="3060"/>
      <c r="HMG156" s="3060"/>
      <c r="HMH156" s="3060"/>
      <c r="HMI156" s="3060"/>
      <c r="HMJ156" s="3060"/>
      <c r="HMK156" s="3060"/>
      <c r="HML156" s="3060"/>
      <c r="HMM156" s="3060"/>
      <c r="HMN156" s="3060"/>
      <c r="HMO156" s="3060"/>
      <c r="HMP156" s="3060"/>
      <c r="HMQ156" s="3060"/>
      <c r="HMR156" s="3060"/>
      <c r="HMS156" s="3060"/>
      <c r="HMT156" s="3060"/>
      <c r="HMU156" s="3060"/>
      <c r="HMV156" s="3060"/>
      <c r="HMW156" s="3060"/>
      <c r="HMX156" s="3060"/>
      <c r="HMY156" s="3060"/>
      <c r="HMZ156" s="3060"/>
      <c r="HNA156" s="3060"/>
      <c r="HNB156" s="3060"/>
      <c r="HNC156" s="3060"/>
      <c r="HND156" s="3060"/>
      <c r="HNE156" s="3060"/>
      <c r="HNF156" s="3060"/>
      <c r="HNG156" s="3060"/>
      <c r="HNH156" s="3060"/>
      <c r="HNI156" s="3060"/>
      <c r="HNJ156" s="3060"/>
      <c r="HNK156" s="3060"/>
      <c r="HNL156" s="3060"/>
      <c r="HNM156" s="3060"/>
      <c r="HNN156" s="3060"/>
      <c r="HNO156" s="3060"/>
      <c r="HNP156" s="3060"/>
      <c r="HNQ156" s="3060"/>
      <c r="HNR156" s="3060"/>
      <c r="HNS156" s="3060"/>
      <c r="HNT156" s="3060"/>
      <c r="HNU156" s="3060"/>
      <c r="HNV156" s="3060"/>
      <c r="HNW156" s="3060"/>
      <c r="HNX156" s="3060"/>
      <c r="HNY156" s="3060"/>
      <c r="HNZ156" s="3060"/>
      <c r="HOA156" s="3060"/>
      <c r="HOB156" s="3060"/>
      <c r="HOC156" s="3060"/>
      <c r="HOD156" s="3060"/>
      <c r="HOE156" s="3060"/>
      <c r="HOF156" s="3060"/>
      <c r="HOG156" s="3060"/>
      <c r="HOH156" s="3060"/>
      <c r="HOI156" s="3060"/>
      <c r="HOJ156" s="3060"/>
      <c r="HOK156" s="3060"/>
      <c r="HOL156" s="3060"/>
      <c r="HOM156" s="3060"/>
      <c r="HON156" s="3060"/>
      <c r="HOO156" s="3060"/>
      <c r="HOP156" s="3060"/>
      <c r="HOQ156" s="3060"/>
      <c r="HOR156" s="3060"/>
      <c r="HOS156" s="3060"/>
      <c r="HOT156" s="3060"/>
      <c r="HOU156" s="3060"/>
      <c r="HOV156" s="3060"/>
      <c r="HOW156" s="3060"/>
      <c r="HOX156" s="3060"/>
      <c r="HOY156" s="3060"/>
      <c r="HOZ156" s="3060"/>
      <c r="HPA156" s="3060"/>
      <c r="HPB156" s="3060"/>
      <c r="HPC156" s="3060"/>
      <c r="HPD156" s="3060"/>
      <c r="HPE156" s="3060"/>
      <c r="HPF156" s="3060"/>
      <c r="HPG156" s="3060"/>
      <c r="HPH156" s="3060"/>
      <c r="HPI156" s="3060"/>
      <c r="HPJ156" s="3060"/>
      <c r="HPK156" s="3060"/>
      <c r="HPL156" s="3060"/>
      <c r="HPM156" s="3060"/>
      <c r="HPN156" s="3060"/>
      <c r="HPO156" s="3060"/>
      <c r="HPP156" s="3060"/>
      <c r="HPQ156" s="3060"/>
      <c r="HPR156" s="3060"/>
      <c r="HPS156" s="3060"/>
      <c r="HPT156" s="3060"/>
      <c r="HPU156" s="3060"/>
      <c r="HPV156" s="3060"/>
      <c r="HPW156" s="3060"/>
      <c r="HPX156" s="3060"/>
      <c r="HPY156" s="3060"/>
      <c r="HPZ156" s="3060"/>
      <c r="HQA156" s="3060"/>
      <c r="HQB156" s="3060"/>
      <c r="HQC156" s="3060"/>
      <c r="HQD156" s="3060"/>
      <c r="HQE156" s="3060"/>
      <c r="HQF156" s="3060"/>
      <c r="HQG156" s="3060"/>
      <c r="HQH156" s="3060"/>
      <c r="HQI156" s="3060"/>
      <c r="HQJ156" s="3060"/>
      <c r="HQK156" s="3060"/>
      <c r="HQL156" s="3060"/>
      <c r="HQM156" s="3060"/>
      <c r="HQN156" s="3060"/>
      <c r="HQO156" s="3060"/>
      <c r="HQP156" s="3060"/>
      <c r="HQQ156" s="3060"/>
      <c r="HQR156" s="3060"/>
      <c r="HQS156" s="3060"/>
      <c r="HQT156" s="3060"/>
      <c r="HQU156" s="3060"/>
      <c r="HQV156" s="3060"/>
      <c r="HQW156" s="3060"/>
      <c r="HQX156" s="3060"/>
      <c r="HQY156" s="3060"/>
      <c r="HQZ156" s="3060"/>
      <c r="HRA156" s="3060"/>
      <c r="HRB156" s="3060"/>
      <c r="HRC156" s="3060"/>
      <c r="HRD156" s="3060"/>
      <c r="HRE156" s="3060"/>
      <c r="HRF156" s="3060"/>
      <c r="HRG156" s="3060"/>
      <c r="HRH156" s="3060"/>
      <c r="HRI156" s="3060"/>
      <c r="HRJ156" s="3060"/>
      <c r="HRK156" s="3060"/>
      <c r="HRL156" s="3060"/>
      <c r="HRM156" s="3060"/>
      <c r="HRN156" s="3060"/>
      <c r="HRO156" s="3060"/>
      <c r="HRP156" s="3060"/>
      <c r="HRQ156" s="3060"/>
      <c r="HRR156" s="3060"/>
      <c r="HRS156" s="3060"/>
      <c r="HRT156" s="3060"/>
      <c r="HRU156" s="3060"/>
      <c r="HRV156" s="3060"/>
      <c r="HRW156" s="3060"/>
      <c r="HRX156" s="3060"/>
      <c r="HRY156" s="3060"/>
      <c r="HRZ156" s="3060"/>
      <c r="HSA156" s="3060"/>
      <c r="HSB156" s="3060"/>
      <c r="HSC156" s="3060"/>
      <c r="HSD156" s="3060"/>
      <c r="HSE156" s="3060"/>
      <c r="HSF156" s="3060"/>
      <c r="HSG156" s="3060"/>
      <c r="HSH156" s="3060"/>
      <c r="HSI156" s="3060"/>
      <c r="HSJ156" s="3060"/>
      <c r="HSK156" s="3060"/>
      <c r="HSL156" s="3060"/>
      <c r="HSM156" s="3060"/>
      <c r="HSN156" s="3060"/>
      <c r="HSO156" s="3060"/>
      <c r="HSP156" s="3060"/>
      <c r="HSQ156" s="3060"/>
      <c r="HSR156" s="3060"/>
      <c r="HSS156" s="3060"/>
      <c r="HST156" s="3060"/>
      <c r="HSU156" s="3060"/>
      <c r="HSV156" s="3060"/>
      <c r="HSW156" s="3060"/>
      <c r="HSX156" s="3060"/>
      <c r="HSY156" s="3060"/>
      <c r="HSZ156" s="3060"/>
      <c r="HTA156" s="3060"/>
      <c r="HTB156" s="3060"/>
      <c r="HTC156" s="3060"/>
      <c r="HTD156" s="3060"/>
      <c r="HTE156" s="3060"/>
      <c r="HTF156" s="3060"/>
      <c r="HTG156" s="3060"/>
      <c r="HTH156" s="3060"/>
      <c r="HTI156" s="3060"/>
      <c r="HTJ156" s="3060"/>
      <c r="HTK156" s="3060"/>
      <c r="HTL156" s="3060"/>
      <c r="HTM156" s="3060"/>
      <c r="HTN156" s="3060"/>
      <c r="HTO156" s="3060"/>
      <c r="HTP156" s="3060"/>
      <c r="HTQ156" s="3060"/>
      <c r="HTR156" s="3060"/>
      <c r="HTS156" s="3060"/>
      <c r="HTT156" s="3060"/>
      <c r="HTU156" s="3060"/>
      <c r="HTV156" s="3060"/>
      <c r="HTW156" s="3060"/>
      <c r="HTX156" s="3060"/>
      <c r="HTY156" s="3060"/>
      <c r="HTZ156" s="3060"/>
      <c r="HUA156" s="3060"/>
      <c r="HUB156" s="3060"/>
      <c r="HUC156" s="3060"/>
      <c r="HUD156" s="3060"/>
      <c r="HUE156" s="3060"/>
      <c r="HUF156" s="3060"/>
      <c r="HUG156" s="3060"/>
      <c r="HUH156" s="3060"/>
      <c r="HUI156" s="3060"/>
      <c r="HUJ156" s="3060"/>
      <c r="HUK156" s="3060"/>
      <c r="HUL156" s="3060"/>
      <c r="HUM156" s="3060"/>
      <c r="HUN156" s="3060"/>
      <c r="HUO156" s="3060"/>
      <c r="HUP156" s="3060"/>
      <c r="HUQ156" s="3060"/>
      <c r="HUR156" s="3060"/>
      <c r="HUS156" s="3060"/>
      <c r="HUT156" s="3060"/>
      <c r="HUU156" s="3060"/>
      <c r="HUV156" s="3060"/>
      <c r="HUW156" s="3060"/>
      <c r="HUX156" s="3060"/>
      <c r="HUY156" s="3060"/>
      <c r="HUZ156" s="3060"/>
      <c r="HVA156" s="3060"/>
      <c r="HVB156" s="3060"/>
      <c r="HVC156" s="3060"/>
      <c r="HVD156" s="3060"/>
      <c r="HVE156" s="3060"/>
      <c r="HVF156" s="3060"/>
      <c r="HVG156" s="3060"/>
      <c r="HVH156" s="3060"/>
      <c r="HVI156" s="3060"/>
      <c r="HVJ156" s="3060"/>
      <c r="HVK156" s="3060"/>
      <c r="HVL156" s="3060"/>
      <c r="HVM156" s="3060"/>
      <c r="HVN156" s="3060"/>
      <c r="HVO156" s="3060"/>
      <c r="HVP156" s="3060"/>
      <c r="HVQ156" s="3060"/>
      <c r="HVR156" s="3060"/>
      <c r="HVS156" s="3060"/>
      <c r="HVT156" s="3060"/>
      <c r="HVU156" s="3060"/>
      <c r="HVV156" s="3060"/>
      <c r="HVW156" s="3060"/>
      <c r="HVX156" s="3060"/>
      <c r="HVY156" s="3060"/>
      <c r="HVZ156" s="3060"/>
      <c r="HWA156" s="3060"/>
      <c r="HWB156" s="3060"/>
      <c r="HWC156" s="3060"/>
      <c r="HWD156" s="3060"/>
      <c r="HWE156" s="3060"/>
      <c r="HWF156" s="3060"/>
      <c r="HWG156" s="3060"/>
      <c r="HWH156" s="3060"/>
      <c r="HWI156" s="3060"/>
      <c r="HWJ156" s="3060"/>
      <c r="HWK156" s="3060"/>
      <c r="HWL156" s="3060"/>
      <c r="HWM156" s="3060"/>
      <c r="HWN156" s="3060"/>
      <c r="HWO156" s="3060"/>
      <c r="HWP156" s="3060"/>
      <c r="HWQ156" s="3060"/>
      <c r="HWR156" s="3060"/>
      <c r="HWS156" s="3060"/>
      <c r="HWT156" s="3060"/>
      <c r="HWU156" s="3060"/>
      <c r="HWV156" s="3060"/>
      <c r="HWW156" s="3060"/>
      <c r="HWX156" s="3060"/>
      <c r="HWY156" s="3060"/>
      <c r="HWZ156" s="3060"/>
      <c r="HXA156" s="3060"/>
      <c r="HXB156" s="3060"/>
      <c r="HXC156" s="3060"/>
      <c r="HXD156" s="3060"/>
      <c r="HXE156" s="3060"/>
      <c r="HXF156" s="3060"/>
      <c r="HXG156" s="3060"/>
      <c r="HXH156" s="3060"/>
      <c r="HXI156" s="3060"/>
      <c r="HXJ156" s="3060"/>
      <c r="HXK156" s="3060"/>
      <c r="HXL156" s="3060"/>
      <c r="HXM156" s="3060"/>
      <c r="HXN156" s="3060"/>
      <c r="HXO156" s="3060"/>
      <c r="HXP156" s="3060"/>
      <c r="HXQ156" s="3060"/>
      <c r="HXR156" s="3060"/>
      <c r="HXS156" s="3060"/>
      <c r="HXT156" s="3060"/>
      <c r="HXU156" s="3060"/>
      <c r="HXV156" s="3060"/>
      <c r="HXW156" s="3060"/>
      <c r="HXX156" s="3060"/>
      <c r="HXY156" s="3060"/>
      <c r="HXZ156" s="3060"/>
      <c r="HYA156" s="3060"/>
      <c r="HYB156" s="3060"/>
      <c r="HYC156" s="3060"/>
      <c r="HYD156" s="3060"/>
      <c r="HYE156" s="3060"/>
      <c r="HYF156" s="3060"/>
      <c r="HYG156" s="3060"/>
      <c r="HYH156" s="3060"/>
      <c r="HYI156" s="3060"/>
      <c r="HYJ156" s="3060"/>
      <c r="HYK156" s="3060"/>
      <c r="HYL156" s="3060"/>
      <c r="HYM156" s="3060"/>
      <c r="HYN156" s="3060"/>
      <c r="HYO156" s="3060"/>
      <c r="HYP156" s="3060"/>
      <c r="HYQ156" s="3060"/>
      <c r="HYR156" s="3060"/>
      <c r="HYS156" s="3060"/>
      <c r="HYT156" s="3060"/>
      <c r="HYU156" s="3060"/>
      <c r="HYV156" s="3060"/>
      <c r="HYW156" s="3060"/>
      <c r="HYX156" s="3060"/>
      <c r="HYY156" s="3060"/>
      <c r="HYZ156" s="3060"/>
      <c r="HZA156" s="3060"/>
      <c r="HZB156" s="3060"/>
      <c r="HZC156" s="3060"/>
      <c r="HZD156" s="3060"/>
      <c r="HZE156" s="3060"/>
      <c r="HZF156" s="3060"/>
      <c r="HZG156" s="3060"/>
      <c r="HZH156" s="3060"/>
      <c r="HZI156" s="3060"/>
      <c r="HZJ156" s="3060"/>
      <c r="HZK156" s="3060"/>
      <c r="HZL156" s="3060"/>
      <c r="HZM156" s="3060"/>
      <c r="HZN156" s="3060"/>
      <c r="HZO156" s="3060"/>
      <c r="HZP156" s="3060"/>
      <c r="HZQ156" s="3060"/>
      <c r="HZR156" s="3060"/>
      <c r="HZS156" s="3060"/>
      <c r="HZT156" s="3060"/>
      <c r="HZU156" s="3060"/>
      <c r="HZV156" s="3060"/>
      <c r="HZW156" s="3060"/>
      <c r="HZX156" s="3060"/>
      <c r="HZY156" s="3060"/>
      <c r="HZZ156" s="3060"/>
      <c r="IAA156" s="3060"/>
      <c r="IAB156" s="3060"/>
      <c r="IAC156" s="3060"/>
      <c r="IAD156" s="3060"/>
      <c r="IAE156" s="3060"/>
      <c r="IAF156" s="3060"/>
      <c r="IAG156" s="3060"/>
      <c r="IAH156" s="3060"/>
      <c r="IAI156" s="3060"/>
      <c r="IAJ156" s="3060"/>
      <c r="IAK156" s="3060"/>
      <c r="IAL156" s="3060"/>
      <c r="IAM156" s="3060"/>
      <c r="IAN156" s="3060"/>
      <c r="IAO156" s="3060"/>
      <c r="IAP156" s="3060"/>
      <c r="IAQ156" s="3060"/>
      <c r="IAR156" s="3060"/>
      <c r="IAS156" s="3060"/>
      <c r="IAT156" s="3060"/>
      <c r="IAU156" s="3060"/>
      <c r="IAV156" s="3060"/>
      <c r="IAW156" s="3060"/>
      <c r="IAX156" s="3060"/>
      <c r="IAY156" s="3060"/>
      <c r="IAZ156" s="3060"/>
      <c r="IBA156" s="3060"/>
      <c r="IBB156" s="3060"/>
      <c r="IBC156" s="3060"/>
      <c r="IBD156" s="3060"/>
      <c r="IBE156" s="3060"/>
      <c r="IBF156" s="3060"/>
      <c r="IBG156" s="3060"/>
      <c r="IBH156" s="3060"/>
      <c r="IBI156" s="3060"/>
      <c r="IBJ156" s="3060"/>
      <c r="IBK156" s="3060"/>
      <c r="IBL156" s="3060"/>
      <c r="IBM156" s="3060"/>
      <c r="IBN156" s="3060"/>
      <c r="IBO156" s="3060"/>
      <c r="IBP156" s="3060"/>
      <c r="IBQ156" s="3060"/>
      <c r="IBR156" s="3060"/>
      <c r="IBS156" s="3060"/>
      <c r="IBT156" s="3060"/>
      <c r="IBU156" s="3060"/>
      <c r="IBV156" s="3060"/>
      <c r="IBW156" s="3060"/>
      <c r="IBX156" s="3060"/>
      <c r="IBY156" s="3060"/>
      <c r="IBZ156" s="3060"/>
      <c r="ICA156" s="3060"/>
      <c r="ICB156" s="3060"/>
      <c r="ICC156" s="3060"/>
      <c r="ICD156" s="3060"/>
      <c r="ICE156" s="3060"/>
      <c r="ICF156" s="3060"/>
      <c r="ICG156" s="3060"/>
      <c r="ICH156" s="3060"/>
      <c r="ICI156" s="3060"/>
      <c r="ICJ156" s="3060"/>
      <c r="ICK156" s="3060"/>
      <c r="ICL156" s="3060"/>
      <c r="ICM156" s="3060"/>
      <c r="ICN156" s="3060"/>
      <c r="ICO156" s="3060"/>
      <c r="ICP156" s="3060"/>
      <c r="ICQ156" s="3060"/>
      <c r="ICR156" s="3060"/>
      <c r="ICS156" s="3060"/>
      <c r="ICT156" s="3060"/>
      <c r="ICU156" s="3060"/>
      <c r="ICV156" s="3060"/>
      <c r="ICW156" s="3060"/>
      <c r="ICX156" s="3060"/>
      <c r="ICY156" s="3060"/>
      <c r="ICZ156" s="3060"/>
      <c r="IDA156" s="3060"/>
      <c r="IDB156" s="3060"/>
      <c r="IDC156" s="3060"/>
      <c r="IDD156" s="3060"/>
      <c r="IDE156" s="3060"/>
      <c r="IDF156" s="3060"/>
      <c r="IDG156" s="3060"/>
      <c r="IDH156" s="3060"/>
      <c r="IDI156" s="3060"/>
      <c r="IDJ156" s="3060"/>
      <c r="IDK156" s="3060"/>
      <c r="IDL156" s="3060"/>
      <c r="IDM156" s="3060"/>
      <c r="IDN156" s="3060"/>
      <c r="IDO156" s="3060"/>
      <c r="IDP156" s="3060"/>
      <c r="IDQ156" s="3060"/>
      <c r="IDR156" s="3060"/>
      <c r="IDS156" s="3060"/>
      <c r="IDT156" s="3060"/>
      <c r="IDU156" s="3060"/>
      <c r="IDV156" s="3060"/>
      <c r="IDW156" s="3060"/>
      <c r="IDX156" s="3060"/>
      <c r="IDY156" s="3060"/>
      <c r="IDZ156" s="3060"/>
      <c r="IEA156" s="3060"/>
      <c r="IEB156" s="3060"/>
      <c r="IEC156" s="3060"/>
      <c r="IED156" s="3060"/>
      <c r="IEE156" s="3060"/>
      <c r="IEF156" s="3060"/>
      <c r="IEG156" s="3060"/>
      <c r="IEH156" s="3060"/>
      <c r="IEI156" s="3060"/>
      <c r="IEJ156" s="3060"/>
      <c r="IEK156" s="3060"/>
      <c r="IEL156" s="3060"/>
      <c r="IEM156" s="3060"/>
      <c r="IEN156" s="3060"/>
      <c r="IEO156" s="3060"/>
      <c r="IEP156" s="3060"/>
      <c r="IEQ156" s="3060"/>
      <c r="IER156" s="3060"/>
      <c r="IES156" s="3060"/>
      <c r="IET156" s="3060"/>
      <c r="IEU156" s="3060"/>
      <c r="IEV156" s="3060"/>
      <c r="IEW156" s="3060"/>
      <c r="IEX156" s="3060"/>
      <c r="IEY156" s="3060"/>
      <c r="IEZ156" s="3060"/>
      <c r="IFA156" s="3060"/>
      <c r="IFB156" s="3060"/>
      <c r="IFC156" s="3060"/>
      <c r="IFD156" s="3060"/>
      <c r="IFE156" s="3060"/>
      <c r="IFF156" s="3060"/>
      <c r="IFG156" s="3060"/>
      <c r="IFH156" s="3060"/>
      <c r="IFI156" s="3060"/>
      <c r="IFJ156" s="3060"/>
      <c r="IFK156" s="3060"/>
      <c r="IFL156" s="3060"/>
      <c r="IFM156" s="3060"/>
      <c r="IFN156" s="3060"/>
      <c r="IFO156" s="3060"/>
      <c r="IFP156" s="3060"/>
      <c r="IFQ156" s="3060"/>
      <c r="IFR156" s="3060"/>
      <c r="IFS156" s="3060"/>
      <c r="IFT156" s="3060"/>
      <c r="IFU156" s="3060"/>
      <c r="IFV156" s="3060"/>
      <c r="IFW156" s="3060"/>
      <c r="IFX156" s="3060"/>
      <c r="IFY156" s="3060"/>
      <c r="IFZ156" s="3060"/>
      <c r="IGA156" s="3060"/>
      <c r="IGB156" s="3060"/>
      <c r="IGC156" s="3060"/>
      <c r="IGD156" s="3060"/>
      <c r="IGE156" s="3060"/>
      <c r="IGF156" s="3060"/>
      <c r="IGG156" s="3060"/>
      <c r="IGH156" s="3060"/>
      <c r="IGI156" s="3060"/>
      <c r="IGJ156" s="3060"/>
      <c r="IGK156" s="3060"/>
      <c r="IGL156" s="3060"/>
      <c r="IGM156" s="3060"/>
      <c r="IGN156" s="3060"/>
      <c r="IGO156" s="3060"/>
      <c r="IGP156" s="3060"/>
      <c r="IGQ156" s="3060"/>
      <c r="IGR156" s="3060"/>
      <c r="IGS156" s="3060"/>
      <c r="IGT156" s="3060"/>
      <c r="IGU156" s="3060"/>
      <c r="IGV156" s="3060"/>
      <c r="IGW156" s="3060"/>
      <c r="IGX156" s="3060"/>
      <c r="IGY156" s="3060"/>
      <c r="IGZ156" s="3060"/>
      <c r="IHA156" s="3060"/>
      <c r="IHB156" s="3060"/>
      <c r="IHC156" s="3060"/>
      <c r="IHD156" s="3060"/>
      <c r="IHE156" s="3060"/>
      <c r="IHF156" s="3060"/>
      <c r="IHG156" s="3060"/>
      <c r="IHH156" s="3060"/>
      <c r="IHI156" s="3060"/>
      <c r="IHJ156" s="3060"/>
      <c r="IHK156" s="3060"/>
      <c r="IHL156" s="3060"/>
      <c r="IHM156" s="3060"/>
      <c r="IHN156" s="3060"/>
      <c r="IHO156" s="3060"/>
      <c r="IHP156" s="3060"/>
      <c r="IHQ156" s="3060"/>
      <c r="IHR156" s="3060"/>
      <c r="IHS156" s="3060"/>
      <c r="IHT156" s="3060"/>
      <c r="IHU156" s="3060"/>
      <c r="IHV156" s="3060"/>
      <c r="IHW156" s="3060"/>
      <c r="IHX156" s="3060"/>
      <c r="IHY156" s="3060"/>
      <c r="IHZ156" s="3060"/>
      <c r="IIA156" s="3060"/>
      <c r="IIB156" s="3060"/>
      <c r="IIC156" s="3060"/>
      <c r="IID156" s="3060"/>
      <c r="IIE156" s="3060"/>
      <c r="IIF156" s="3060"/>
      <c r="IIG156" s="3060"/>
      <c r="IIH156" s="3060"/>
      <c r="III156" s="3060"/>
      <c r="IIJ156" s="3060"/>
      <c r="IIK156" s="3060"/>
      <c r="IIL156" s="3060"/>
      <c r="IIM156" s="3060"/>
      <c r="IIN156" s="3060"/>
      <c r="IIO156" s="3060"/>
      <c r="IIP156" s="3060"/>
      <c r="IIQ156" s="3060"/>
      <c r="IIR156" s="3060"/>
      <c r="IIS156" s="3060"/>
      <c r="IIT156" s="3060"/>
      <c r="IIU156" s="3060"/>
      <c r="IIV156" s="3060"/>
      <c r="IIW156" s="3060"/>
      <c r="IIX156" s="3060"/>
      <c r="IIY156" s="3060"/>
      <c r="IIZ156" s="3060"/>
      <c r="IJA156" s="3060"/>
      <c r="IJB156" s="3060"/>
      <c r="IJC156" s="3060"/>
      <c r="IJD156" s="3060"/>
      <c r="IJE156" s="3060"/>
      <c r="IJF156" s="3060"/>
      <c r="IJG156" s="3060"/>
      <c r="IJH156" s="3060"/>
      <c r="IJI156" s="3060"/>
      <c r="IJJ156" s="3060"/>
      <c r="IJK156" s="3060"/>
      <c r="IJL156" s="3060"/>
      <c r="IJM156" s="3060"/>
      <c r="IJN156" s="3060"/>
      <c r="IJO156" s="3060"/>
      <c r="IJP156" s="3060"/>
      <c r="IJQ156" s="3060"/>
      <c r="IJR156" s="3060"/>
      <c r="IJS156" s="3060"/>
      <c r="IJT156" s="3060"/>
      <c r="IJU156" s="3060"/>
      <c r="IJV156" s="3060"/>
      <c r="IJW156" s="3060"/>
      <c r="IJX156" s="3060"/>
      <c r="IJY156" s="3060"/>
      <c r="IJZ156" s="3060"/>
      <c r="IKA156" s="3060"/>
      <c r="IKB156" s="3060"/>
      <c r="IKC156" s="3060"/>
      <c r="IKD156" s="3060"/>
      <c r="IKE156" s="3060"/>
      <c r="IKF156" s="3060"/>
      <c r="IKG156" s="3060"/>
      <c r="IKH156" s="3060"/>
      <c r="IKI156" s="3060"/>
      <c r="IKJ156" s="3060"/>
      <c r="IKK156" s="3060"/>
      <c r="IKL156" s="3060"/>
      <c r="IKM156" s="3060"/>
      <c r="IKN156" s="3060"/>
      <c r="IKO156" s="3060"/>
      <c r="IKP156" s="3060"/>
      <c r="IKQ156" s="3060"/>
      <c r="IKR156" s="3060"/>
      <c r="IKS156" s="3060"/>
      <c r="IKT156" s="3060"/>
      <c r="IKU156" s="3060"/>
      <c r="IKV156" s="3060"/>
      <c r="IKW156" s="3060"/>
      <c r="IKX156" s="3060"/>
      <c r="IKY156" s="3060"/>
      <c r="IKZ156" s="3060"/>
      <c r="ILA156" s="3060"/>
      <c r="ILB156" s="3060"/>
      <c r="ILC156" s="3060"/>
      <c r="ILD156" s="3060"/>
      <c r="ILE156" s="3060"/>
      <c r="ILF156" s="3060"/>
      <c r="ILG156" s="3060"/>
      <c r="ILH156" s="3060"/>
      <c r="ILI156" s="3060"/>
      <c r="ILJ156" s="3060"/>
      <c r="ILK156" s="3060"/>
      <c r="ILL156" s="3060"/>
      <c r="ILM156" s="3060"/>
      <c r="ILN156" s="3060"/>
      <c r="ILO156" s="3060"/>
      <c r="ILP156" s="3060"/>
      <c r="ILQ156" s="3060"/>
      <c r="ILR156" s="3060"/>
      <c r="ILS156" s="3060"/>
      <c r="ILT156" s="3060"/>
      <c r="ILU156" s="3060"/>
      <c r="ILV156" s="3060"/>
      <c r="ILW156" s="3060"/>
      <c r="ILX156" s="3060"/>
      <c r="ILY156" s="3060"/>
      <c r="ILZ156" s="3060"/>
      <c r="IMA156" s="3060"/>
      <c r="IMB156" s="3060"/>
      <c r="IMC156" s="3060"/>
      <c r="IMD156" s="3060"/>
      <c r="IME156" s="3060"/>
      <c r="IMF156" s="3060"/>
      <c r="IMG156" s="3060"/>
      <c r="IMH156" s="3060"/>
      <c r="IMI156" s="3060"/>
      <c r="IMJ156" s="3060"/>
      <c r="IMK156" s="3060"/>
      <c r="IML156" s="3060"/>
      <c r="IMM156" s="3060"/>
      <c r="IMN156" s="3060"/>
      <c r="IMO156" s="3060"/>
      <c r="IMP156" s="3060"/>
      <c r="IMQ156" s="3060"/>
      <c r="IMR156" s="3060"/>
      <c r="IMS156" s="3060"/>
      <c r="IMT156" s="3060"/>
      <c r="IMU156" s="3060"/>
      <c r="IMV156" s="3060"/>
      <c r="IMW156" s="3060"/>
      <c r="IMX156" s="3060"/>
      <c r="IMY156" s="3060"/>
      <c r="IMZ156" s="3060"/>
      <c r="INA156" s="3060"/>
      <c r="INB156" s="3060"/>
      <c r="INC156" s="3060"/>
      <c r="IND156" s="3060"/>
      <c r="INE156" s="3060"/>
      <c r="INF156" s="3060"/>
      <c r="ING156" s="3060"/>
      <c r="INH156" s="3060"/>
      <c r="INI156" s="3060"/>
      <c r="INJ156" s="3060"/>
      <c r="INK156" s="3060"/>
      <c r="INL156" s="3060"/>
      <c r="INM156" s="3060"/>
      <c r="INN156" s="3060"/>
      <c r="INO156" s="3060"/>
      <c r="INP156" s="3060"/>
      <c r="INQ156" s="3060"/>
      <c r="INR156" s="3060"/>
      <c r="INS156" s="3060"/>
      <c r="INT156" s="3060"/>
      <c r="INU156" s="3060"/>
      <c r="INV156" s="3060"/>
      <c r="INW156" s="3060"/>
      <c r="INX156" s="3060"/>
      <c r="INY156" s="3060"/>
      <c r="INZ156" s="3060"/>
      <c r="IOA156" s="3060"/>
      <c r="IOB156" s="3060"/>
      <c r="IOC156" s="3060"/>
      <c r="IOD156" s="3060"/>
      <c r="IOE156" s="3060"/>
      <c r="IOF156" s="3060"/>
      <c r="IOG156" s="3060"/>
      <c r="IOH156" s="3060"/>
      <c r="IOI156" s="3060"/>
      <c r="IOJ156" s="3060"/>
      <c r="IOK156" s="3060"/>
      <c r="IOL156" s="3060"/>
      <c r="IOM156" s="3060"/>
      <c r="ION156" s="3060"/>
      <c r="IOO156" s="3060"/>
      <c r="IOP156" s="3060"/>
      <c r="IOQ156" s="3060"/>
      <c r="IOR156" s="3060"/>
      <c r="IOS156" s="3060"/>
      <c r="IOT156" s="3060"/>
      <c r="IOU156" s="3060"/>
      <c r="IOV156" s="3060"/>
      <c r="IOW156" s="3060"/>
      <c r="IOX156" s="3060"/>
      <c r="IOY156" s="3060"/>
      <c r="IOZ156" s="3060"/>
      <c r="IPA156" s="3060"/>
      <c r="IPB156" s="3060"/>
      <c r="IPC156" s="3060"/>
      <c r="IPD156" s="3060"/>
      <c r="IPE156" s="3060"/>
      <c r="IPF156" s="3060"/>
      <c r="IPG156" s="3060"/>
      <c r="IPH156" s="3060"/>
      <c r="IPI156" s="3060"/>
      <c r="IPJ156" s="3060"/>
      <c r="IPK156" s="3060"/>
      <c r="IPL156" s="3060"/>
      <c r="IPM156" s="3060"/>
      <c r="IPN156" s="3060"/>
      <c r="IPO156" s="3060"/>
      <c r="IPP156" s="3060"/>
      <c r="IPQ156" s="3060"/>
      <c r="IPR156" s="3060"/>
      <c r="IPS156" s="3060"/>
      <c r="IPT156" s="3060"/>
      <c r="IPU156" s="3060"/>
      <c r="IPV156" s="3060"/>
      <c r="IPW156" s="3060"/>
      <c r="IPX156" s="3060"/>
      <c r="IPY156" s="3060"/>
      <c r="IPZ156" s="3060"/>
      <c r="IQA156" s="3060"/>
      <c r="IQB156" s="3060"/>
      <c r="IQC156" s="3060"/>
      <c r="IQD156" s="3060"/>
      <c r="IQE156" s="3060"/>
      <c r="IQF156" s="3060"/>
      <c r="IQG156" s="3060"/>
      <c r="IQH156" s="3060"/>
      <c r="IQI156" s="3060"/>
      <c r="IQJ156" s="3060"/>
      <c r="IQK156" s="3060"/>
      <c r="IQL156" s="3060"/>
      <c r="IQM156" s="3060"/>
      <c r="IQN156" s="3060"/>
      <c r="IQO156" s="3060"/>
      <c r="IQP156" s="3060"/>
      <c r="IQQ156" s="3060"/>
      <c r="IQR156" s="3060"/>
      <c r="IQS156" s="3060"/>
      <c r="IQT156" s="3060"/>
      <c r="IQU156" s="3060"/>
      <c r="IQV156" s="3060"/>
      <c r="IQW156" s="3060"/>
      <c r="IQX156" s="3060"/>
      <c r="IQY156" s="3060"/>
      <c r="IQZ156" s="3060"/>
      <c r="IRA156" s="3060"/>
      <c r="IRB156" s="3060"/>
      <c r="IRC156" s="3060"/>
      <c r="IRD156" s="3060"/>
      <c r="IRE156" s="3060"/>
      <c r="IRF156" s="3060"/>
      <c r="IRG156" s="3060"/>
      <c r="IRH156" s="3060"/>
      <c r="IRI156" s="3060"/>
      <c r="IRJ156" s="3060"/>
      <c r="IRK156" s="3060"/>
      <c r="IRL156" s="3060"/>
      <c r="IRM156" s="3060"/>
      <c r="IRN156" s="3060"/>
      <c r="IRO156" s="3060"/>
      <c r="IRP156" s="3060"/>
      <c r="IRQ156" s="3060"/>
      <c r="IRR156" s="3060"/>
      <c r="IRS156" s="3060"/>
      <c r="IRT156" s="3060"/>
      <c r="IRU156" s="3060"/>
      <c r="IRV156" s="3060"/>
      <c r="IRW156" s="3060"/>
      <c r="IRX156" s="3060"/>
      <c r="IRY156" s="3060"/>
      <c r="IRZ156" s="3060"/>
      <c r="ISA156" s="3060"/>
      <c r="ISB156" s="3060"/>
      <c r="ISC156" s="3060"/>
      <c r="ISD156" s="3060"/>
      <c r="ISE156" s="3060"/>
      <c r="ISF156" s="3060"/>
      <c r="ISG156" s="3060"/>
      <c r="ISH156" s="3060"/>
      <c r="ISI156" s="3060"/>
      <c r="ISJ156" s="3060"/>
      <c r="ISK156" s="3060"/>
      <c r="ISL156" s="3060"/>
      <c r="ISM156" s="3060"/>
      <c r="ISN156" s="3060"/>
      <c r="ISO156" s="3060"/>
      <c r="ISP156" s="3060"/>
      <c r="ISQ156" s="3060"/>
      <c r="ISR156" s="3060"/>
      <c r="ISS156" s="3060"/>
      <c r="IST156" s="3060"/>
      <c r="ISU156" s="3060"/>
      <c r="ISV156" s="3060"/>
      <c r="ISW156" s="3060"/>
      <c r="ISX156" s="3060"/>
      <c r="ISY156" s="3060"/>
      <c r="ISZ156" s="3060"/>
      <c r="ITA156" s="3060"/>
      <c r="ITB156" s="3060"/>
      <c r="ITC156" s="3060"/>
      <c r="ITD156" s="3060"/>
      <c r="ITE156" s="3060"/>
      <c r="ITF156" s="3060"/>
      <c r="ITG156" s="3060"/>
      <c r="ITH156" s="3060"/>
      <c r="ITI156" s="3060"/>
      <c r="ITJ156" s="3060"/>
      <c r="ITK156" s="3060"/>
      <c r="ITL156" s="3060"/>
      <c r="ITM156" s="3060"/>
      <c r="ITN156" s="3060"/>
      <c r="ITO156" s="3060"/>
      <c r="ITP156" s="3060"/>
      <c r="ITQ156" s="3060"/>
      <c r="ITR156" s="3060"/>
      <c r="ITS156" s="3060"/>
      <c r="ITT156" s="3060"/>
      <c r="ITU156" s="3060"/>
      <c r="ITV156" s="3060"/>
      <c r="ITW156" s="3060"/>
      <c r="ITX156" s="3060"/>
      <c r="ITY156" s="3060"/>
      <c r="ITZ156" s="3060"/>
      <c r="IUA156" s="3060"/>
      <c r="IUB156" s="3060"/>
      <c r="IUC156" s="3060"/>
      <c r="IUD156" s="3060"/>
      <c r="IUE156" s="3060"/>
      <c r="IUF156" s="3060"/>
      <c r="IUG156" s="3060"/>
      <c r="IUH156" s="3060"/>
      <c r="IUI156" s="3060"/>
      <c r="IUJ156" s="3060"/>
      <c r="IUK156" s="3060"/>
      <c r="IUL156" s="3060"/>
      <c r="IUM156" s="3060"/>
      <c r="IUN156" s="3060"/>
      <c r="IUO156" s="3060"/>
      <c r="IUP156" s="3060"/>
      <c r="IUQ156" s="3060"/>
      <c r="IUR156" s="3060"/>
      <c r="IUS156" s="3060"/>
      <c r="IUT156" s="3060"/>
      <c r="IUU156" s="3060"/>
      <c r="IUV156" s="3060"/>
      <c r="IUW156" s="3060"/>
      <c r="IUX156" s="3060"/>
      <c r="IUY156" s="3060"/>
      <c r="IUZ156" s="3060"/>
      <c r="IVA156" s="3060"/>
      <c r="IVB156" s="3060"/>
      <c r="IVC156" s="3060"/>
      <c r="IVD156" s="3060"/>
      <c r="IVE156" s="3060"/>
      <c r="IVF156" s="3060"/>
      <c r="IVG156" s="3060"/>
      <c r="IVH156" s="3060"/>
      <c r="IVI156" s="3060"/>
      <c r="IVJ156" s="3060"/>
      <c r="IVK156" s="3060"/>
      <c r="IVL156" s="3060"/>
      <c r="IVM156" s="3060"/>
      <c r="IVN156" s="3060"/>
      <c r="IVO156" s="3060"/>
      <c r="IVP156" s="3060"/>
      <c r="IVQ156" s="3060"/>
      <c r="IVR156" s="3060"/>
      <c r="IVS156" s="3060"/>
      <c r="IVT156" s="3060"/>
      <c r="IVU156" s="3060"/>
      <c r="IVV156" s="3060"/>
      <c r="IVW156" s="3060"/>
      <c r="IVX156" s="3060"/>
      <c r="IVY156" s="3060"/>
      <c r="IVZ156" s="3060"/>
      <c r="IWA156" s="3060"/>
      <c r="IWB156" s="3060"/>
      <c r="IWC156" s="3060"/>
      <c r="IWD156" s="3060"/>
      <c r="IWE156" s="3060"/>
      <c r="IWF156" s="3060"/>
      <c r="IWG156" s="3060"/>
      <c r="IWH156" s="3060"/>
      <c r="IWI156" s="3060"/>
      <c r="IWJ156" s="3060"/>
      <c r="IWK156" s="3060"/>
      <c r="IWL156" s="3060"/>
      <c r="IWM156" s="3060"/>
      <c r="IWN156" s="3060"/>
      <c r="IWO156" s="3060"/>
      <c r="IWP156" s="3060"/>
      <c r="IWQ156" s="3060"/>
      <c r="IWR156" s="3060"/>
      <c r="IWS156" s="3060"/>
      <c r="IWT156" s="3060"/>
      <c r="IWU156" s="3060"/>
      <c r="IWV156" s="3060"/>
      <c r="IWW156" s="3060"/>
      <c r="IWX156" s="3060"/>
      <c r="IWY156" s="3060"/>
      <c r="IWZ156" s="3060"/>
      <c r="IXA156" s="3060"/>
      <c r="IXB156" s="3060"/>
      <c r="IXC156" s="3060"/>
      <c r="IXD156" s="3060"/>
      <c r="IXE156" s="3060"/>
      <c r="IXF156" s="3060"/>
      <c r="IXG156" s="3060"/>
      <c r="IXH156" s="3060"/>
      <c r="IXI156" s="3060"/>
      <c r="IXJ156" s="3060"/>
      <c r="IXK156" s="3060"/>
      <c r="IXL156" s="3060"/>
      <c r="IXM156" s="3060"/>
      <c r="IXN156" s="3060"/>
      <c r="IXO156" s="3060"/>
      <c r="IXP156" s="3060"/>
      <c r="IXQ156" s="3060"/>
      <c r="IXR156" s="3060"/>
      <c r="IXS156" s="3060"/>
      <c r="IXT156" s="3060"/>
      <c r="IXU156" s="3060"/>
      <c r="IXV156" s="3060"/>
      <c r="IXW156" s="3060"/>
      <c r="IXX156" s="3060"/>
      <c r="IXY156" s="3060"/>
      <c r="IXZ156" s="3060"/>
      <c r="IYA156" s="3060"/>
      <c r="IYB156" s="3060"/>
      <c r="IYC156" s="3060"/>
      <c r="IYD156" s="3060"/>
      <c r="IYE156" s="3060"/>
      <c r="IYF156" s="3060"/>
      <c r="IYG156" s="3060"/>
      <c r="IYH156" s="3060"/>
      <c r="IYI156" s="3060"/>
      <c r="IYJ156" s="3060"/>
      <c r="IYK156" s="3060"/>
      <c r="IYL156" s="3060"/>
      <c r="IYM156" s="3060"/>
      <c r="IYN156" s="3060"/>
      <c r="IYO156" s="3060"/>
      <c r="IYP156" s="3060"/>
      <c r="IYQ156" s="3060"/>
      <c r="IYR156" s="3060"/>
      <c r="IYS156" s="3060"/>
      <c r="IYT156" s="3060"/>
      <c r="IYU156" s="3060"/>
      <c r="IYV156" s="3060"/>
      <c r="IYW156" s="3060"/>
      <c r="IYX156" s="3060"/>
      <c r="IYY156" s="3060"/>
      <c r="IYZ156" s="3060"/>
      <c r="IZA156" s="3060"/>
      <c r="IZB156" s="3060"/>
      <c r="IZC156" s="3060"/>
      <c r="IZD156" s="3060"/>
      <c r="IZE156" s="3060"/>
      <c r="IZF156" s="3060"/>
      <c r="IZG156" s="3060"/>
      <c r="IZH156" s="3060"/>
      <c r="IZI156" s="3060"/>
      <c r="IZJ156" s="3060"/>
      <c r="IZK156" s="3060"/>
      <c r="IZL156" s="3060"/>
      <c r="IZM156" s="3060"/>
      <c r="IZN156" s="3060"/>
      <c r="IZO156" s="3060"/>
      <c r="IZP156" s="3060"/>
      <c r="IZQ156" s="3060"/>
      <c r="IZR156" s="3060"/>
      <c r="IZS156" s="3060"/>
      <c r="IZT156" s="3060"/>
      <c r="IZU156" s="3060"/>
      <c r="IZV156" s="3060"/>
      <c r="IZW156" s="3060"/>
      <c r="IZX156" s="3060"/>
      <c r="IZY156" s="3060"/>
      <c r="IZZ156" s="3060"/>
      <c r="JAA156" s="3060"/>
      <c r="JAB156" s="3060"/>
      <c r="JAC156" s="3060"/>
      <c r="JAD156" s="3060"/>
      <c r="JAE156" s="3060"/>
      <c r="JAF156" s="3060"/>
      <c r="JAG156" s="3060"/>
      <c r="JAH156" s="3060"/>
      <c r="JAI156" s="3060"/>
      <c r="JAJ156" s="3060"/>
      <c r="JAK156" s="3060"/>
      <c r="JAL156" s="3060"/>
      <c r="JAM156" s="3060"/>
      <c r="JAN156" s="3060"/>
      <c r="JAO156" s="3060"/>
      <c r="JAP156" s="3060"/>
      <c r="JAQ156" s="3060"/>
      <c r="JAR156" s="3060"/>
      <c r="JAS156" s="3060"/>
      <c r="JAT156" s="3060"/>
      <c r="JAU156" s="3060"/>
      <c r="JAV156" s="3060"/>
      <c r="JAW156" s="3060"/>
      <c r="JAX156" s="3060"/>
      <c r="JAY156" s="3060"/>
      <c r="JAZ156" s="3060"/>
      <c r="JBA156" s="3060"/>
      <c r="JBB156" s="3060"/>
      <c r="JBC156" s="3060"/>
      <c r="JBD156" s="3060"/>
      <c r="JBE156" s="3060"/>
      <c r="JBF156" s="3060"/>
      <c r="JBG156" s="3060"/>
      <c r="JBH156" s="3060"/>
      <c r="JBI156" s="3060"/>
      <c r="JBJ156" s="3060"/>
      <c r="JBK156" s="3060"/>
      <c r="JBL156" s="3060"/>
      <c r="JBM156" s="3060"/>
      <c r="JBN156" s="3060"/>
      <c r="JBO156" s="3060"/>
      <c r="JBP156" s="3060"/>
      <c r="JBQ156" s="3060"/>
      <c r="JBR156" s="3060"/>
      <c r="JBS156" s="3060"/>
      <c r="JBT156" s="3060"/>
      <c r="JBU156" s="3060"/>
      <c r="JBV156" s="3060"/>
      <c r="JBW156" s="3060"/>
      <c r="JBX156" s="3060"/>
      <c r="JBY156" s="3060"/>
      <c r="JBZ156" s="3060"/>
      <c r="JCA156" s="3060"/>
      <c r="JCB156" s="3060"/>
      <c r="JCC156" s="3060"/>
      <c r="JCD156" s="3060"/>
      <c r="JCE156" s="3060"/>
      <c r="JCF156" s="3060"/>
      <c r="JCG156" s="3060"/>
      <c r="JCH156" s="3060"/>
      <c r="JCI156" s="3060"/>
      <c r="JCJ156" s="3060"/>
      <c r="JCK156" s="3060"/>
      <c r="JCL156" s="3060"/>
      <c r="JCM156" s="3060"/>
      <c r="JCN156" s="3060"/>
      <c r="JCO156" s="3060"/>
      <c r="JCP156" s="3060"/>
      <c r="JCQ156" s="3060"/>
      <c r="JCR156" s="3060"/>
      <c r="JCS156" s="3060"/>
      <c r="JCT156" s="3060"/>
      <c r="JCU156" s="3060"/>
      <c r="JCV156" s="3060"/>
      <c r="JCW156" s="3060"/>
      <c r="JCX156" s="3060"/>
      <c r="JCY156" s="3060"/>
      <c r="JCZ156" s="3060"/>
      <c r="JDA156" s="3060"/>
      <c r="JDB156" s="3060"/>
      <c r="JDC156" s="3060"/>
      <c r="JDD156" s="3060"/>
      <c r="JDE156" s="3060"/>
      <c r="JDF156" s="3060"/>
      <c r="JDG156" s="3060"/>
      <c r="JDH156" s="3060"/>
      <c r="JDI156" s="3060"/>
      <c r="JDJ156" s="3060"/>
      <c r="JDK156" s="3060"/>
      <c r="JDL156" s="3060"/>
      <c r="JDM156" s="3060"/>
      <c r="JDN156" s="3060"/>
      <c r="JDO156" s="3060"/>
      <c r="JDP156" s="3060"/>
      <c r="JDQ156" s="3060"/>
      <c r="JDR156" s="3060"/>
      <c r="JDS156" s="3060"/>
      <c r="JDT156" s="3060"/>
      <c r="JDU156" s="3060"/>
      <c r="JDV156" s="3060"/>
      <c r="JDW156" s="3060"/>
      <c r="JDX156" s="3060"/>
      <c r="JDY156" s="3060"/>
      <c r="JDZ156" s="3060"/>
      <c r="JEA156" s="3060"/>
      <c r="JEB156" s="3060"/>
      <c r="JEC156" s="3060"/>
      <c r="JED156" s="3060"/>
      <c r="JEE156" s="3060"/>
      <c r="JEF156" s="3060"/>
      <c r="JEG156" s="3060"/>
      <c r="JEH156" s="3060"/>
      <c r="JEI156" s="3060"/>
      <c r="JEJ156" s="3060"/>
      <c r="JEK156" s="3060"/>
      <c r="JEL156" s="3060"/>
      <c r="JEM156" s="3060"/>
      <c r="JEN156" s="3060"/>
      <c r="JEO156" s="3060"/>
      <c r="JEP156" s="3060"/>
      <c r="JEQ156" s="3060"/>
      <c r="JER156" s="3060"/>
      <c r="JES156" s="3060"/>
      <c r="JET156" s="3060"/>
      <c r="JEU156" s="3060"/>
      <c r="JEV156" s="3060"/>
      <c r="JEW156" s="3060"/>
      <c r="JEX156" s="3060"/>
      <c r="JEY156" s="3060"/>
      <c r="JEZ156" s="3060"/>
      <c r="JFA156" s="3060"/>
      <c r="JFB156" s="3060"/>
      <c r="JFC156" s="3060"/>
      <c r="JFD156" s="3060"/>
      <c r="JFE156" s="3060"/>
      <c r="JFF156" s="3060"/>
      <c r="JFG156" s="3060"/>
      <c r="JFH156" s="3060"/>
      <c r="JFI156" s="3060"/>
      <c r="JFJ156" s="3060"/>
      <c r="JFK156" s="3060"/>
      <c r="JFL156" s="3060"/>
      <c r="JFM156" s="3060"/>
      <c r="JFN156" s="3060"/>
      <c r="JFO156" s="3060"/>
      <c r="JFP156" s="3060"/>
      <c r="JFQ156" s="3060"/>
      <c r="JFR156" s="3060"/>
      <c r="JFS156" s="3060"/>
      <c r="JFT156" s="3060"/>
      <c r="JFU156" s="3060"/>
      <c r="JFV156" s="3060"/>
      <c r="JFW156" s="3060"/>
      <c r="JFX156" s="3060"/>
      <c r="JFY156" s="3060"/>
      <c r="JFZ156" s="3060"/>
      <c r="JGA156" s="3060"/>
      <c r="JGB156" s="3060"/>
      <c r="JGC156" s="3060"/>
      <c r="JGD156" s="3060"/>
      <c r="JGE156" s="3060"/>
      <c r="JGF156" s="3060"/>
      <c r="JGG156" s="3060"/>
      <c r="JGH156" s="3060"/>
      <c r="JGI156" s="3060"/>
      <c r="JGJ156" s="3060"/>
      <c r="JGK156" s="3060"/>
      <c r="JGL156" s="3060"/>
      <c r="JGM156" s="3060"/>
      <c r="JGN156" s="3060"/>
      <c r="JGO156" s="3060"/>
      <c r="JGP156" s="3060"/>
      <c r="JGQ156" s="3060"/>
      <c r="JGR156" s="3060"/>
      <c r="JGS156" s="3060"/>
      <c r="JGT156" s="3060"/>
      <c r="JGU156" s="3060"/>
      <c r="JGV156" s="3060"/>
      <c r="JGW156" s="3060"/>
      <c r="JGX156" s="3060"/>
      <c r="JGY156" s="3060"/>
      <c r="JGZ156" s="3060"/>
      <c r="JHA156" s="3060"/>
      <c r="JHB156" s="3060"/>
      <c r="JHC156" s="3060"/>
      <c r="JHD156" s="3060"/>
      <c r="JHE156" s="3060"/>
      <c r="JHF156" s="3060"/>
      <c r="JHG156" s="3060"/>
      <c r="JHH156" s="3060"/>
      <c r="JHI156" s="3060"/>
      <c r="JHJ156" s="3060"/>
      <c r="JHK156" s="3060"/>
      <c r="JHL156" s="3060"/>
      <c r="JHM156" s="3060"/>
      <c r="JHN156" s="3060"/>
      <c r="JHO156" s="3060"/>
      <c r="JHP156" s="3060"/>
      <c r="JHQ156" s="3060"/>
      <c r="JHR156" s="3060"/>
      <c r="JHS156" s="3060"/>
      <c r="JHT156" s="3060"/>
      <c r="JHU156" s="3060"/>
      <c r="JHV156" s="3060"/>
      <c r="JHW156" s="3060"/>
      <c r="JHX156" s="3060"/>
      <c r="JHY156" s="3060"/>
      <c r="JHZ156" s="3060"/>
      <c r="JIA156" s="3060"/>
      <c r="JIB156" s="3060"/>
      <c r="JIC156" s="3060"/>
      <c r="JID156" s="3060"/>
      <c r="JIE156" s="3060"/>
      <c r="JIF156" s="3060"/>
      <c r="JIG156" s="3060"/>
      <c r="JIH156" s="3060"/>
      <c r="JII156" s="3060"/>
      <c r="JIJ156" s="3060"/>
      <c r="JIK156" s="3060"/>
      <c r="JIL156" s="3060"/>
      <c r="JIM156" s="3060"/>
      <c r="JIN156" s="3060"/>
      <c r="JIO156" s="3060"/>
      <c r="JIP156" s="3060"/>
      <c r="JIQ156" s="3060"/>
      <c r="JIR156" s="3060"/>
      <c r="JIS156" s="3060"/>
      <c r="JIT156" s="3060"/>
      <c r="JIU156" s="3060"/>
      <c r="JIV156" s="3060"/>
      <c r="JIW156" s="3060"/>
      <c r="JIX156" s="3060"/>
      <c r="JIY156" s="3060"/>
      <c r="JIZ156" s="3060"/>
      <c r="JJA156" s="3060"/>
      <c r="JJB156" s="3060"/>
      <c r="JJC156" s="3060"/>
      <c r="JJD156" s="3060"/>
      <c r="JJE156" s="3060"/>
      <c r="JJF156" s="3060"/>
      <c r="JJG156" s="3060"/>
      <c r="JJH156" s="3060"/>
      <c r="JJI156" s="3060"/>
      <c r="JJJ156" s="3060"/>
      <c r="JJK156" s="3060"/>
      <c r="JJL156" s="3060"/>
      <c r="JJM156" s="3060"/>
      <c r="JJN156" s="3060"/>
      <c r="JJO156" s="3060"/>
      <c r="JJP156" s="3060"/>
      <c r="JJQ156" s="3060"/>
      <c r="JJR156" s="3060"/>
      <c r="JJS156" s="3060"/>
      <c r="JJT156" s="3060"/>
      <c r="JJU156" s="3060"/>
      <c r="JJV156" s="3060"/>
      <c r="JJW156" s="3060"/>
      <c r="JJX156" s="3060"/>
      <c r="JJY156" s="3060"/>
      <c r="JJZ156" s="3060"/>
      <c r="JKA156" s="3060"/>
      <c r="JKB156" s="3060"/>
      <c r="JKC156" s="3060"/>
      <c r="JKD156" s="3060"/>
      <c r="JKE156" s="3060"/>
      <c r="JKF156" s="3060"/>
      <c r="JKG156" s="3060"/>
      <c r="JKH156" s="3060"/>
      <c r="JKI156" s="3060"/>
      <c r="JKJ156" s="3060"/>
      <c r="JKK156" s="3060"/>
      <c r="JKL156" s="3060"/>
      <c r="JKM156" s="3060"/>
      <c r="JKN156" s="3060"/>
      <c r="JKO156" s="3060"/>
      <c r="JKP156" s="3060"/>
      <c r="JKQ156" s="3060"/>
      <c r="JKR156" s="3060"/>
      <c r="JKS156" s="3060"/>
      <c r="JKT156" s="3060"/>
      <c r="JKU156" s="3060"/>
      <c r="JKV156" s="3060"/>
      <c r="JKW156" s="3060"/>
      <c r="JKX156" s="3060"/>
      <c r="JKY156" s="3060"/>
      <c r="JKZ156" s="3060"/>
      <c r="JLA156" s="3060"/>
      <c r="JLB156" s="3060"/>
      <c r="JLC156" s="3060"/>
      <c r="JLD156" s="3060"/>
      <c r="JLE156" s="3060"/>
      <c r="JLF156" s="3060"/>
      <c r="JLG156" s="3060"/>
      <c r="JLH156" s="3060"/>
      <c r="JLI156" s="3060"/>
      <c r="JLJ156" s="3060"/>
      <c r="JLK156" s="3060"/>
      <c r="JLL156" s="3060"/>
      <c r="JLM156" s="3060"/>
      <c r="JLN156" s="3060"/>
      <c r="JLO156" s="3060"/>
      <c r="JLP156" s="3060"/>
      <c r="JLQ156" s="3060"/>
      <c r="JLR156" s="3060"/>
      <c r="JLS156" s="3060"/>
      <c r="JLT156" s="3060"/>
      <c r="JLU156" s="3060"/>
      <c r="JLV156" s="3060"/>
      <c r="JLW156" s="3060"/>
      <c r="JLX156" s="3060"/>
      <c r="JLY156" s="3060"/>
      <c r="JLZ156" s="3060"/>
      <c r="JMA156" s="3060"/>
      <c r="JMB156" s="3060"/>
      <c r="JMC156" s="3060"/>
      <c r="JMD156" s="3060"/>
      <c r="JME156" s="3060"/>
      <c r="JMF156" s="3060"/>
      <c r="JMG156" s="3060"/>
      <c r="JMH156" s="3060"/>
      <c r="JMI156" s="3060"/>
      <c r="JMJ156" s="3060"/>
      <c r="JMK156" s="3060"/>
      <c r="JML156" s="3060"/>
      <c r="JMM156" s="3060"/>
      <c r="JMN156" s="3060"/>
      <c r="JMO156" s="3060"/>
      <c r="JMP156" s="3060"/>
      <c r="JMQ156" s="3060"/>
      <c r="JMR156" s="3060"/>
      <c r="JMS156" s="3060"/>
      <c r="JMT156" s="3060"/>
      <c r="JMU156" s="3060"/>
      <c r="JMV156" s="3060"/>
      <c r="JMW156" s="3060"/>
      <c r="JMX156" s="3060"/>
      <c r="JMY156" s="3060"/>
      <c r="JMZ156" s="3060"/>
      <c r="JNA156" s="3060"/>
      <c r="JNB156" s="3060"/>
      <c r="JNC156" s="3060"/>
      <c r="JND156" s="3060"/>
      <c r="JNE156" s="3060"/>
      <c r="JNF156" s="3060"/>
      <c r="JNG156" s="3060"/>
      <c r="JNH156" s="3060"/>
      <c r="JNI156" s="3060"/>
      <c r="JNJ156" s="3060"/>
      <c r="JNK156" s="3060"/>
      <c r="JNL156" s="3060"/>
      <c r="JNM156" s="3060"/>
      <c r="JNN156" s="3060"/>
      <c r="JNO156" s="3060"/>
      <c r="JNP156" s="3060"/>
      <c r="JNQ156" s="3060"/>
      <c r="JNR156" s="3060"/>
      <c r="JNS156" s="3060"/>
      <c r="JNT156" s="3060"/>
      <c r="JNU156" s="3060"/>
      <c r="JNV156" s="3060"/>
      <c r="JNW156" s="3060"/>
      <c r="JNX156" s="3060"/>
      <c r="JNY156" s="3060"/>
      <c r="JNZ156" s="3060"/>
      <c r="JOA156" s="3060"/>
      <c r="JOB156" s="3060"/>
      <c r="JOC156" s="3060"/>
      <c r="JOD156" s="3060"/>
      <c r="JOE156" s="3060"/>
      <c r="JOF156" s="3060"/>
      <c r="JOG156" s="3060"/>
      <c r="JOH156" s="3060"/>
      <c r="JOI156" s="3060"/>
      <c r="JOJ156" s="3060"/>
      <c r="JOK156" s="3060"/>
      <c r="JOL156" s="3060"/>
      <c r="JOM156" s="3060"/>
      <c r="JON156" s="3060"/>
      <c r="JOO156" s="3060"/>
      <c r="JOP156" s="3060"/>
      <c r="JOQ156" s="3060"/>
      <c r="JOR156" s="3060"/>
      <c r="JOS156" s="3060"/>
      <c r="JOT156" s="3060"/>
      <c r="JOU156" s="3060"/>
      <c r="JOV156" s="3060"/>
      <c r="JOW156" s="3060"/>
      <c r="JOX156" s="3060"/>
      <c r="JOY156" s="3060"/>
      <c r="JOZ156" s="3060"/>
      <c r="JPA156" s="3060"/>
      <c r="JPB156" s="3060"/>
      <c r="JPC156" s="3060"/>
      <c r="JPD156" s="3060"/>
      <c r="JPE156" s="3060"/>
      <c r="JPF156" s="3060"/>
      <c r="JPG156" s="3060"/>
      <c r="JPH156" s="3060"/>
      <c r="JPI156" s="3060"/>
      <c r="JPJ156" s="3060"/>
      <c r="JPK156" s="3060"/>
      <c r="JPL156" s="3060"/>
      <c r="JPM156" s="3060"/>
      <c r="JPN156" s="3060"/>
      <c r="JPO156" s="3060"/>
      <c r="JPP156" s="3060"/>
      <c r="JPQ156" s="3060"/>
      <c r="JPR156" s="3060"/>
      <c r="JPS156" s="3060"/>
      <c r="JPT156" s="3060"/>
      <c r="JPU156" s="3060"/>
      <c r="JPV156" s="3060"/>
      <c r="JPW156" s="3060"/>
      <c r="JPX156" s="3060"/>
      <c r="JPY156" s="3060"/>
      <c r="JPZ156" s="3060"/>
      <c r="JQA156" s="3060"/>
      <c r="JQB156" s="3060"/>
      <c r="JQC156" s="3060"/>
      <c r="JQD156" s="3060"/>
      <c r="JQE156" s="3060"/>
      <c r="JQF156" s="3060"/>
      <c r="JQG156" s="3060"/>
      <c r="JQH156" s="3060"/>
      <c r="JQI156" s="3060"/>
      <c r="JQJ156" s="3060"/>
      <c r="JQK156" s="3060"/>
      <c r="JQL156" s="3060"/>
      <c r="JQM156" s="3060"/>
      <c r="JQN156" s="3060"/>
      <c r="JQO156" s="3060"/>
      <c r="JQP156" s="3060"/>
      <c r="JQQ156" s="3060"/>
      <c r="JQR156" s="3060"/>
      <c r="JQS156" s="3060"/>
      <c r="JQT156" s="3060"/>
      <c r="JQU156" s="3060"/>
      <c r="JQV156" s="3060"/>
      <c r="JQW156" s="3060"/>
      <c r="JQX156" s="3060"/>
      <c r="JQY156" s="3060"/>
      <c r="JQZ156" s="3060"/>
      <c r="JRA156" s="3060"/>
      <c r="JRB156" s="3060"/>
      <c r="JRC156" s="3060"/>
      <c r="JRD156" s="3060"/>
      <c r="JRE156" s="3060"/>
      <c r="JRF156" s="3060"/>
      <c r="JRG156" s="3060"/>
      <c r="JRH156" s="3060"/>
      <c r="JRI156" s="3060"/>
      <c r="JRJ156" s="3060"/>
      <c r="JRK156" s="3060"/>
      <c r="JRL156" s="3060"/>
      <c r="JRM156" s="3060"/>
      <c r="JRN156" s="3060"/>
      <c r="JRO156" s="3060"/>
      <c r="JRP156" s="3060"/>
      <c r="JRQ156" s="3060"/>
      <c r="JRR156" s="3060"/>
      <c r="JRS156" s="3060"/>
      <c r="JRT156" s="3060"/>
      <c r="JRU156" s="3060"/>
      <c r="JRV156" s="3060"/>
      <c r="JRW156" s="3060"/>
      <c r="JRX156" s="3060"/>
      <c r="JRY156" s="3060"/>
      <c r="JRZ156" s="3060"/>
      <c r="JSA156" s="3060"/>
      <c r="JSB156" s="3060"/>
      <c r="JSC156" s="3060"/>
      <c r="JSD156" s="3060"/>
      <c r="JSE156" s="3060"/>
      <c r="JSF156" s="3060"/>
      <c r="JSG156" s="3060"/>
      <c r="JSH156" s="3060"/>
      <c r="JSI156" s="3060"/>
      <c r="JSJ156" s="3060"/>
      <c r="JSK156" s="3060"/>
      <c r="JSL156" s="3060"/>
      <c r="JSM156" s="3060"/>
      <c r="JSN156" s="3060"/>
      <c r="JSO156" s="3060"/>
      <c r="JSP156" s="3060"/>
      <c r="JSQ156" s="3060"/>
      <c r="JSR156" s="3060"/>
      <c r="JSS156" s="3060"/>
      <c r="JST156" s="3060"/>
      <c r="JSU156" s="3060"/>
      <c r="JSV156" s="3060"/>
      <c r="JSW156" s="3060"/>
      <c r="JSX156" s="3060"/>
      <c r="JSY156" s="3060"/>
      <c r="JSZ156" s="3060"/>
      <c r="JTA156" s="3060"/>
      <c r="JTB156" s="3060"/>
      <c r="JTC156" s="3060"/>
      <c r="JTD156" s="3060"/>
      <c r="JTE156" s="3060"/>
      <c r="JTF156" s="3060"/>
      <c r="JTG156" s="3060"/>
      <c r="JTH156" s="3060"/>
      <c r="JTI156" s="3060"/>
      <c r="JTJ156" s="3060"/>
      <c r="JTK156" s="3060"/>
      <c r="JTL156" s="3060"/>
      <c r="JTM156" s="3060"/>
      <c r="JTN156" s="3060"/>
      <c r="JTO156" s="3060"/>
      <c r="JTP156" s="3060"/>
      <c r="JTQ156" s="3060"/>
      <c r="JTR156" s="3060"/>
      <c r="JTS156" s="3060"/>
      <c r="JTT156" s="3060"/>
      <c r="JTU156" s="3060"/>
      <c r="JTV156" s="3060"/>
      <c r="JTW156" s="3060"/>
      <c r="JTX156" s="3060"/>
      <c r="JTY156" s="3060"/>
      <c r="JTZ156" s="3060"/>
      <c r="JUA156" s="3060"/>
      <c r="JUB156" s="3060"/>
      <c r="JUC156" s="3060"/>
      <c r="JUD156" s="3060"/>
      <c r="JUE156" s="3060"/>
      <c r="JUF156" s="3060"/>
      <c r="JUG156" s="3060"/>
      <c r="JUH156" s="3060"/>
      <c r="JUI156" s="3060"/>
      <c r="JUJ156" s="3060"/>
      <c r="JUK156" s="3060"/>
      <c r="JUL156" s="3060"/>
      <c r="JUM156" s="3060"/>
      <c r="JUN156" s="3060"/>
      <c r="JUO156" s="3060"/>
      <c r="JUP156" s="3060"/>
      <c r="JUQ156" s="3060"/>
      <c r="JUR156" s="3060"/>
      <c r="JUS156" s="3060"/>
      <c r="JUT156" s="3060"/>
      <c r="JUU156" s="3060"/>
      <c r="JUV156" s="3060"/>
      <c r="JUW156" s="3060"/>
      <c r="JUX156" s="3060"/>
      <c r="JUY156" s="3060"/>
      <c r="JUZ156" s="3060"/>
      <c r="JVA156" s="3060"/>
      <c r="JVB156" s="3060"/>
      <c r="JVC156" s="3060"/>
      <c r="JVD156" s="3060"/>
      <c r="JVE156" s="3060"/>
      <c r="JVF156" s="3060"/>
      <c r="JVG156" s="3060"/>
      <c r="JVH156" s="3060"/>
      <c r="JVI156" s="3060"/>
      <c r="JVJ156" s="3060"/>
      <c r="JVK156" s="3060"/>
      <c r="JVL156" s="3060"/>
      <c r="JVM156" s="3060"/>
      <c r="JVN156" s="3060"/>
      <c r="JVO156" s="3060"/>
      <c r="JVP156" s="3060"/>
      <c r="JVQ156" s="3060"/>
      <c r="JVR156" s="3060"/>
      <c r="JVS156" s="3060"/>
      <c r="JVT156" s="3060"/>
      <c r="JVU156" s="3060"/>
      <c r="JVV156" s="3060"/>
      <c r="JVW156" s="3060"/>
      <c r="JVX156" s="3060"/>
      <c r="JVY156" s="3060"/>
      <c r="JVZ156" s="3060"/>
      <c r="JWA156" s="3060"/>
      <c r="JWB156" s="3060"/>
      <c r="JWC156" s="3060"/>
      <c r="JWD156" s="3060"/>
      <c r="JWE156" s="3060"/>
      <c r="JWF156" s="3060"/>
      <c r="JWG156" s="3060"/>
      <c r="JWH156" s="3060"/>
      <c r="JWI156" s="3060"/>
      <c r="JWJ156" s="3060"/>
      <c r="JWK156" s="3060"/>
      <c r="JWL156" s="3060"/>
      <c r="JWM156" s="3060"/>
      <c r="JWN156" s="3060"/>
      <c r="JWO156" s="3060"/>
      <c r="JWP156" s="3060"/>
      <c r="JWQ156" s="3060"/>
      <c r="JWR156" s="3060"/>
      <c r="JWS156" s="3060"/>
      <c r="JWT156" s="3060"/>
      <c r="JWU156" s="3060"/>
      <c r="JWV156" s="3060"/>
      <c r="JWW156" s="3060"/>
      <c r="JWX156" s="3060"/>
      <c r="JWY156" s="3060"/>
      <c r="JWZ156" s="3060"/>
      <c r="JXA156" s="3060"/>
      <c r="JXB156" s="3060"/>
      <c r="JXC156" s="3060"/>
      <c r="JXD156" s="3060"/>
      <c r="JXE156" s="3060"/>
      <c r="JXF156" s="3060"/>
      <c r="JXG156" s="3060"/>
      <c r="JXH156" s="3060"/>
      <c r="JXI156" s="3060"/>
      <c r="JXJ156" s="3060"/>
      <c r="JXK156" s="3060"/>
      <c r="JXL156" s="3060"/>
      <c r="JXM156" s="3060"/>
      <c r="JXN156" s="3060"/>
      <c r="JXO156" s="3060"/>
      <c r="JXP156" s="3060"/>
      <c r="JXQ156" s="3060"/>
      <c r="JXR156" s="3060"/>
      <c r="JXS156" s="3060"/>
      <c r="JXT156" s="3060"/>
      <c r="JXU156" s="3060"/>
      <c r="JXV156" s="3060"/>
      <c r="JXW156" s="3060"/>
      <c r="JXX156" s="3060"/>
      <c r="JXY156" s="3060"/>
      <c r="JXZ156" s="3060"/>
      <c r="JYA156" s="3060"/>
      <c r="JYB156" s="3060"/>
      <c r="JYC156" s="3060"/>
      <c r="JYD156" s="3060"/>
      <c r="JYE156" s="3060"/>
      <c r="JYF156" s="3060"/>
      <c r="JYG156" s="3060"/>
      <c r="JYH156" s="3060"/>
      <c r="JYI156" s="3060"/>
      <c r="JYJ156" s="3060"/>
      <c r="JYK156" s="3060"/>
      <c r="JYL156" s="3060"/>
      <c r="JYM156" s="3060"/>
      <c r="JYN156" s="3060"/>
      <c r="JYO156" s="3060"/>
      <c r="JYP156" s="3060"/>
      <c r="JYQ156" s="3060"/>
      <c r="JYR156" s="3060"/>
      <c r="JYS156" s="3060"/>
      <c r="JYT156" s="3060"/>
      <c r="JYU156" s="3060"/>
      <c r="JYV156" s="3060"/>
      <c r="JYW156" s="3060"/>
      <c r="JYX156" s="3060"/>
      <c r="JYY156" s="3060"/>
      <c r="JYZ156" s="3060"/>
      <c r="JZA156" s="3060"/>
      <c r="JZB156" s="3060"/>
      <c r="JZC156" s="3060"/>
      <c r="JZD156" s="3060"/>
      <c r="JZE156" s="3060"/>
      <c r="JZF156" s="3060"/>
      <c r="JZG156" s="3060"/>
      <c r="JZH156" s="3060"/>
      <c r="JZI156" s="3060"/>
      <c r="JZJ156" s="3060"/>
      <c r="JZK156" s="3060"/>
      <c r="JZL156" s="3060"/>
      <c r="JZM156" s="3060"/>
      <c r="JZN156" s="3060"/>
      <c r="JZO156" s="3060"/>
      <c r="JZP156" s="3060"/>
      <c r="JZQ156" s="3060"/>
      <c r="JZR156" s="3060"/>
      <c r="JZS156" s="3060"/>
      <c r="JZT156" s="3060"/>
      <c r="JZU156" s="3060"/>
      <c r="JZV156" s="3060"/>
      <c r="JZW156" s="3060"/>
      <c r="JZX156" s="3060"/>
      <c r="JZY156" s="3060"/>
      <c r="JZZ156" s="3060"/>
      <c r="KAA156" s="3060"/>
      <c r="KAB156" s="3060"/>
      <c r="KAC156" s="3060"/>
      <c r="KAD156" s="3060"/>
      <c r="KAE156" s="3060"/>
      <c r="KAF156" s="3060"/>
      <c r="KAG156" s="3060"/>
      <c r="KAH156" s="3060"/>
      <c r="KAI156" s="3060"/>
      <c r="KAJ156" s="3060"/>
      <c r="KAK156" s="3060"/>
      <c r="KAL156" s="3060"/>
      <c r="KAM156" s="3060"/>
      <c r="KAN156" s="3060"/>
      <c r="KAO156" s="3060"/>
      <c r="KAP156" s="3060"/>
      <c r="KAQ156" s="3060"/>
      <c r="KAR156" s="3060"/>
      <c r="KAS156" s="3060"/>
      <c r="KAT156" s="3060"/>
      <c r="KAU156" s="3060"/>
      <c r="KAV156" s="3060"/>
      <c r="KAW156" s="3060"/>
      <c r="KAX156" s="3060"/>
      <c r="KAY156" s="3060"/>
      <c r="KAZ156" s="3060"/>
      <c r="KBA156" s="3060"/>
      <c r="KBB156" s="3060"/>
      <c r="KBC156" s="3060"/>
      <c r="KBD156" s="3060"/>
      <c r="KBE156" s="3060"/>
      <c r="KBF156" s="3060"/>
      <c r="KBG156" s="3060"/>
      <c r="KBH156" s="3060"/>
      <c r="KBI156" s="3060"/>
      <c r="KBJ156" s="3060"/>
      <c r="KBK156" s="3060"/>
      <c r="KBL156" s="3060"/>
      <c r="KBM156" s="3060"/>
      <c r="KBN156" s="3060"/>
      <c r="KBO156" s="3060"/>
      <c r="KBP156" s="3060"/>
      <c r="KBQ156" s="3060"/>
      <c r="KBR156" s="3060"/>
      <c r="KBS156" s="3060"/>
      <c r="KBT156" s="3060"/>
      <c r="KBU156" s="3060"/>
      <c r="KBV156" s="3060"/>
      <c r="KBW156" s="3060"/>
      <c r="KBX156" s="3060"/>
      <c r="KBY156" s="3060"/>
      <c r="KBZ156" s="3060"/>
      <c r="KCA156" s="3060"/>
      <c r="KCB156" s="3060"/>
      <c r="KCC156" s="3060"/>
      <c r="KCD156" s="3060"/>
      <c r="KCE156" s="3060"/>
      <c r="KCF156" s="3060"/>
      <c r="KCG156" s="3060"/>
      <c r="KCH156" s="3060"/>
      <c r="KCI156" s="3060"/>
      <c r="KCJ156" s="3060"/>
      <c r="KCK156" s="3060"/>
      <c r="KCL156" s="3060"/>
      <c r="KCM156" s="3060"/>
      <c r="KCN156" s="3060"/>
      <c r="KCO156" s="3060"/>
      <c r="KCP156" s="3060"/>
      <c r="KCQ156" s="3060"/>
      <c r="KCR156" s="3060"/>
      <c r="KCS156" s="3060"/>
      <c r="KCT156" s="3060"/>
      <c r="KCU156" s="3060"/>
      <c r="KCV156" s="3060"/>
      <c r="KCW156" s="3060"/>
      <c r="KCX156" s="3060"/>
      <c r="KCY156" s="3060"/>
      <c r="KCZ156" s="3060"/>
      <c r="KDA156" s="3060"/>
      <c r="KDB156" s="3060"/>
      <c r="KDC156" s="3060"/>
      <c r="KDD156" s="3060"/>
      <c r="KDE156" s="3060"/>
      <c r="KDF156" s="3060"/>
      <c r="KDG156" s="3060"/>
      <c r="KDH156" s="3060"/>
      <c r="KDI156" s="3060"/>
      <c r="KDJ156" s="3060"/>
      <c r="KDK156" s="3060"/>
      <c r="KDL156" s="3060"/>
      <c r="KDM156" s="3060"/>
      <c r="KDN156" s="3060"/>
      <c r="KDO156" s="3060"/>
      <c r="KDP156" s="3060"/>
      <c r="KDQ156" s="3060"/>
      <c r="KDR156" s="3060"/>
      <c r="KDS156" s="3060"/>
      <c r="KDT156" s="3060"/>
      <c r="KDU156" s="3060"/>
      <c r="KDV156" s="3060"/>
      <c r="KDW156" s="3060"/>
      <c r="KDX156" s="3060"/>
      <c r="KDY156" s="3060"/>
      <c r="KDZ156" s="3060"/>
      <c r="KEA156" s="3060"/>
      <c r="KEB156" s="3060"/>
      <c r="KEC156" s="3060"/>
      <c r="KED156" s="3060"/>
      <c r="KEE156" s="3060"/>
      <c r="KEF156" s="3060"/>
      <c r="KEG156" s="3060"/>
      <c r="KEH156" s="3060"/>
      <c r="KEI156" s="3060"/>
      <c r="KEJ156" s="3060"/>
      <c r="KEK156" s="3060"/>
      <c r="KEL156" s="3060"/>
      <c r="KEM156" s="3060"/>
      <c r="KEN156" s="3060"/>
      <c r="KEO156" s="3060"/>
      <c r="KEP156" s="3060"/>
      <c r="KEQ156" s="3060"/>
      <c r="KER156" s="3060"/>
      <c r="KES156" s="3060"/>
      <c r="KET156" s="3060"/>
      <c r="KEU156" s="3060"/>
      <c r="KEV156" s="3060"/>
      <c r="KEW156" s="3060"/>
      <c r="KEX156" s="3060"/>
      <c r="KEY156" s="3060"/>
      <c r="KEZ156" s="3060"/>
      <c r="KFA156" s="3060"/>
      <c r="KFB156" s="3060"/>
      <c r="KFC156" s="3060"/>
      <c r="KFD156" s="3060"/>
      <c r="KFE156" s="3060"/>
      <c r="KFF156" s="3060"/>
      <c r="KFG156" s="3060"/>
      <c r="KFH156" s="3060"/>
      <c r="KFI156" s="3060"/>
      <c r="KFJ156" s="3060"/>
      <c r="KFK156" s="3060"/>
      <c r="KFL156" s="3060"/>
      <c r="KFM156" s="3060"/>
      <c r="KFN156" s="3060"/>
      <c r="KFO156" s="3060"/>
      <c r="KFP156" s="3060"/>
      <c r="KFQ156" s="3060"/>
      <c r="KFR156" s="3060"/>
      <c r="KFS156" s="3060"/>
      <c r="KFT156" s="3060"/>
      <c r="KFU156" s="3060"/>
      <c r="KFV156" s="3060"/>
      <c r="KFW156" s="3060"/>
      <c r="KFX156" s="3060"/>
      <c r="KFY156" s="3060"/>
      <c r="KFZ156" s="3060"/>
      <c r="KGA156" s="3060"/>
      <c r="KGB156" s="3060"/>
      <c r="KGC156" s="3060"/>
      <c r="KGD156" s="3060"/>
      <c r="KGE156" s="3060"/>
      <c r="KGF156" s="3060"/>
      <c r="KGG156" s="3060"/>
      <c r="KGH156" s="3060"/>
      <c r="KGI156" s="3060"/>
      <c r="KGJ156" s="3060"/>
      <c r="KGK156" s="3060"/>
      <c r="KGL156" s="3060"/>
      <c r="KGM156" s="3060"/>
      <c r="KGN156" s="3060"/>
      <c r="KGO156" s="3060"/>
      <c r="KGP156" s="3060"/>
      <c r="KGQ156" s="3060"/>
      <c r="KGR156" s="3060"/>
      <c r="KGS156" s="3060"/>
      <c r="KGT156" s="3060"/>
      <c r="KGU156" s="3060"/>
      <c r="KGV156" s="3060"/>
      <c r="KGW156" s="3060"/>
      <c r="KGX156" s="3060"/>
      <c r="KGY156" s="3060"/>
      <c r="KGZ156" s="3060"/>
      <c r="KHA156" s="3060"/>
      <c r="KHB156" s="3060"/>
      <c r="KHC156" s="3060"/>
      <c r="KHD156" s="3060"/>
      <c r="KHE156" s="3060"/>
      <c r="KHF156" s="3060"/>
      <c r="KHG156" s="3060"/>
      <c r="KHH156" s="3060"/>
      <c r="KHI156" s="3060"/>
      <c r="KHJ156" s="3060"/>
      <c r="KHK156" s="3060"/>
      <c r="KHL156" s="3060"/>
      <c r="KHM156" s="3060"/>
      <c r="KHN156" s="3060"/>
      <c r="KHO156" s="3060"/>
      <c r="KHP156" s="3060"/>
      <c r="KHQ156" s="3060"/>
      <c r="KHR156" s="3060"/>
      <c r="KHS156" s="3060"/>
      <c r="KHT156" s="3060"/>
      <c r="KHU156" s="3060"/>
      <c r="KHV156" s="3060"/>
      <c r="KHW156" s="3060"/>
      <c r="KHX156" s="3060"/>
      <c r="KHY156" s="3060"/>
      <c r="KHZ156" s="3060"/>
      <c r="KIA156" s="3060"/>
      <c r="KIB156" s="3060"/>
      <c r="KIC156" s="3060"/>
      <c r="KID156" s="3060"/>
      <c r="KIE156" s="3060"/>
      <c r="KIF156" s="3060"/>
      <c r="KIG156" s="3060"/>
      <c r="KIH156" s="3060"/>
      <c r="KII156" s="3060"/>
      <c r="KIJ156" s="3060"/>
      <c r="KIK156" s="3060"/>
      <c r="KIL156" s="3060"/>
      <c r="KIM156" s="3060"/>
      <c r="KIN156" s="3060"/>
      <c r="KIO156" s="3060"/>
      <c r="KIP156" s="3060"/>
      <c r="KIQ156" s="3060"/>
      <c r="KIR156" s="3060"/>
      <c r="KIS156" s="3060"/>
      <c r="KIT156" s="3060"/>
      <c r="KIU156" s="3060"/>
      <c r="KIV156" s="3060"/>
      <c r="KIW156" s="3060"/>
      <c r="KIX156" s="3060"/>
      <c r="KIY156" s="3060"/>
      <c r="KIZ156" s="3060"/>
      <c r="KJA156" s="3060"/>
      <c r="KJB156" s="3060"/>
      <c r="KJC156" s="3060"/>
      <c r="KJD156" s="3060"/>
      <c r="KJE156" s="3060"/>
      <c r="KJF156" s="3060"/>
      <c r="KJG156" s="3060"/>
      <c r="KJH156" s="3060"/>
      <c r="KJI156" s="3060"/>
      <c r="KJJ156" s="3060"/>
      <c r="KJK156" s="3060"/>
      <c r="KJL156" s="3060"/>
      <c r="KJM156" s="3060"/>
      <c r="KJN156" s="3060"/>
      <c r="KJO156" s="3060"/>
      <c r="KJP156" s="3060"/>
      <c r="KJQ156" s="3060"/>
      <c r="KJR156" s="3060"/>
      <c r="KJS156" s="3060"/>
      <c r="KJT156" s="3060"/>
      <c r="KJU156" s="3060"/>
      <c r="KJV156" s="3060"/>
      <c r="KJW156" s="3060"/>
      <c r="KJX156" s="3060"/>
      <c r="KJY156" s="3060"/>
      <c r="KJZ156" s="3060"/>
      <c r="KKA156" s="3060"/>
      <c r="KKB156" s="3060"/>
      <c r="KKC156" s="3060"/>
      <c r="KKD156" s="3060"/>
      <c r="KKE156" s="3060"/>
      <c r="KKF156" s="3060"/>
      <c r="KKG156" s="3060"/>
      <c r="KKH156" s="3060"/>
      <c r="KKI156" s="3060"/>
      <c r="KKJ156" s="3060"/>
      <c r="KKK156" s="3060"/>
      <c r="KKL156" s="3060"/>
      <c r="KKM156" s="3060"/>
      <c r="KKN156" s="3060"/>
      <c r="KKO156" s="3060"/>
      <c r="KKP156" s="3060"/>
      <c r="KKQ156" s="3060"/>
      <c r="KKR156" s="3060"/>
      <c r="KKS156" s="3060"/>
      <c r="KKT156" s="3060"/>
      <c r="KKU156" s="3060"/>
      <c r="KKV156" s="3060"/>
      <c r="KKW156" s="3060"/>
      <c r="KKX156" s="3060"/>
      <c r="KKY156" s="3060"/>
      <c r="KKZ156" s="3060"/>
      <c r="KLA156" s="3060"/>
      <c r="KLB156" s="3060"/>
      <c r="KLC156" s="3060"/>
      <c r="KLD156" s="3060"/>
      <c r="KLE156" s="3060"/>
      <c r="KLF156" s="3060"/>
      <c r="KLG156" s="3060"/>
      <c r="KLH156" s="3060"/>
      <c r="KLI156" s="3060"/>
      <c r="KLJ156" s="3060"/>
      <c r="KLK156" s="3060"/>
      <c r="KLL156" s="3060"/>
      <c r="KLM156" s="3060"/>
      <c r="KLN156" s="3060"/>
      <c r="KLO156" s="3060"/>
      <c r="KLP156" s="3060"/>
      <c r="KLQ156" s="3060"/>
      <c r="KLR156" s="3060"/>
      <c r="KLS156" s="3060"/>
      <c r="KLT156" s="3060"/>
      <c r="KLU156" s="3060"/>
      <c r="KLV156" s="3060"/>
      <c r="KLW156" s="3060"/>
      <c r="KLX156" s="3060"/>
      <c r="KLY156" s="3060"/>
      <c r="KLZ156" s="3060"/>
      <c r="KMA156" s="3060"/>
      <c r="KMB156" s="3060"/>
      <c r="KMC156" s="3060"/>
      <c r="KMD156" s="3060"/>
      <c r="KME156" s="3060"/>
      <c r="KMF156" s="3060"/>
      <c r="KMG156" s="3060"/>
      <c r="KMH156" s="3060"/>
      <c r="KMI156" s="3060"/>
      <c r="KMJ156" s="3060"/>
      <c r="KMK156" s="3060"/>
      <c r="KML156" s="3060"/>
      <c r="KMM156" s="3060"/>
      <c r="KMN156" s="3060"/>
      <c r="KMO156" s="3060"/>
      <c r="KMP156" s="3060"/>
      <c r="KMQ156" s="3060"/>
      <c r="KMR156" s="3060"/>
      <c r="KMS156" s="3060"/>
      <c r="KMT156" s="3060"/>
      <c r="KMU156" s="3060"/>
      <c r="KMV156" s="3060"/>
      <c r="KMW156" s="3060"/>
      <c r="KMX156" s="3060"/>
      <c r="KMY156" s="3060"/>
      <c r="KMZ156" s="3060"/>
      <c r="KNA156" s="3060"/>
      <c r="KNB156" s="3060"/>
      <c r="KNC156" s="3060"/>
      <c r="KND156" s="3060"/>
      <c r="KNE156" s="3060"/>
      <c r="KNF156" s="3060"/>
      <c r="KNG156" s="3060"/>
      <c r="KNH156" s="3060"/>
      <c r="KNI156" s="3060"/>
      <c r="KNJ156" s="3060"/>
      <c r="KNK156" s="3060"/>
      <c r="KNL156" s="3060"/>
      <c r="KNM156" s="3060"/>
      <c r="KNN156" s="3060"/>
      <c r="KNO156" s="3060"/>
      <c r="KNP156" s="3060"/>
      <c r="KNQ156" s="3060"/>
      <c r="KNR156" s="3060"/>
      <c r="KNS156" s="3060"/>
      <c r="KNT156" s="3060"/>
      <c r="KNU156" s="3060"/>
      <c r="KNV156" s="3060"/>
      <c r="KNW156" s="3060"/>
      <c r="KNX156" s="3060"/>
      <c r="KNY156" s="3060"/>
      <c r="KNZ156" s="3060"/>
      <c r="KOA156" s="3060"/>
      <c r="KOB156" s="3060"/>
      <c r="KOC156" s="3060"/>
      <c r="KOD156" s="3060"/>
      <c r="KOE156" s="3060"/>
      <c r="KOF156" s="3060"/>
      <c r="KOG156" s="3060"/>
      <c r="KOH156" s="3060"/>
      <c r="KOI156" s="3060"/>
      <c r="KOJ156" s="3060"/>
      <c r="KOK156" s="3060"/>
      <c r="KOL156" s="3060"/>
      <c r="KOM156" s="3060"/>
      <c r="KON156" s="3060"/>
      <c r="KOO156" s="3060"/>
      <c r="KOP156" s="3060"/>
      <c r="KOQ156" s="3060"/>
      <c r="KOR156" s="3060"/>
      <c r="KOS156" s="3060"/>
      <c r="KOT156" s="3060"/>
      <c r="KOU156" s="3060"/>
      <c r="KOV156" s="3060"/>
      <c r="KOW156" s="3060"/>
      <c r="KOX156" s="3060"/>
      <c r="KOY156" s="3060"/>
      <c r="KOZ156" s="3060"/>
      <c r="KPA156" s="3060"/>
      <c r="KPB156" s="3060"/>
      <c r="KPC156" s="3060"/>
      <c r="KPD156" s="3060"/>
      <c r="KPE156" s="3060"/>
      <c r="KPF156" s="3060"/>
      <c r="KPG156" s="3060"/>
      <c r="KPH156" s="3060"/>
      <c r="KPI156" s="3060"/>
      <c r="KPJ156" s="3060"/>
      <c r="KPK156" s="3060"/>
      <c r="KPL156" s="3060"/>
      <c r="KPM156" s="3060"/>
      <c r="KPN156" s="3060"/>
      <c r="KPO156" s="3060"/>
      <c r="KPP156" s="3060"/>
      <c r="KPQ156" s="3060"/>
      <c r="KPR156" s="3060"/>
      <c r="KPS156" s="3060"/>
      <c r="KPT156" s="3060"/>
      <c r="KPU156" s="3060"/>
      <c r="KPV156" s="3060"/>
      <c r="KPW156" s="3060"/>
      <c r="KPX156" s="3060"/>
      <c r="KPY156" s="3060"/>
      <c r="KPZ156" s="3060"/>
      <c r="KQA156" s="3060"/>
      <c r="KQB156" s="3060"/>
      <c r="KQC156" s="3060"/>
      <c r="KQD156" s="3060"/>
      <c r="KQE156" s="3060"/>
      <c r="KQF156" s="3060"/>
      <c r="KQG156" s="3060"/>
      <c r="KQH156" s="3060"/>
      <c r="KQI156" s="3060"/>
      <c r="KQJ156" s="3060"/>
      <c r="KQK156" s="3060"/>
      <c r="KQL156" s="3060"/>
      <c r="KQM156" s="3060"/>
      <c r="KQN156" s="3060"/>
      <c r="KQO156" s="3060"/>
      <c r="KQP156" s="3060"/>
      <c r="KQQ156" s="3060"/>
      <c r="KQR156" s="3060"/>
      <c r="KQS156" s="3060"/>
      <c r="KQT156" s="3060"/>
      <c r="KQU156" s="3060"/>
      <c r="KQV156" s="3060"/>
      <c r="KQW156" s="3060"/>
      <c r="KQX156" s="3060"/>
      <c r="KQY156" s="3060"/>
      <c r="KQZ156" s="3060"/>
      <c r="KRA156" s="3060"/>
      <c r="KRB156" s="3060"/>
      <c r="KRC156" s="3060"/>
      <c r="KRD156" s="3060"/>
      <c r="KRE156" s="3060"/>
      <c r="KRF156" s="3060"/>
      <c r="KRG156" s="3060"/>
      <c r="KRH156" s="3060"/>
      <c r="KRI156" s="3060"/>
      <c r="KRJ156" s="3060"/>
      <c r="KRK156" s="3060"/>
      <c r="KRL156" s="3060"/>
      <c r="KRM156" s="3060"/>
      <c r="KRN156" s="3060"/>
      <c r="KRO156" s="3060"/>
      <c r="KRP156" s="3060"/>
      <c r="KRQ156" s="3060"/>
      <c r="KRR156" s="3060"/>
      <c r="KRS156" s="3060"/>
      <c r="KRT156" s="3060"/>
      <c r="KRU156" s="3060"/>
      <c r="KRV156" s="3060"/>
      <c r="KRW156" s="3060"/>
      <c r="KRX156" s="3060"/>
      <c r="KRY156" s="3060"/>
      <c r="KRZ156" s="3060"/>
      <c r="KSA156" s="3060"/>
      <c r="KSB156" s="3060"/>
      <c r="KSC156" s="3060"/>
      <c r="KSD156" s="3060"/>
      <c r="KSE156" s="3060"/>
      <c r="KSF156" s="3060"/>
      <c r="KSG156" s="3060"/>
      <c r="KSH156" s="3060"/>
      <c r="KSI156" s="3060"/>
      <c r="KSJ156" s="3060"/>
      <c r="KSK156" s="3060"/>
      <c r="KSL156" s="3060"/>
      <c r="KSM156" s="3060"/>
      <c r="KSN156" s="3060"/>
      <c r="KSO156" s="3060"/>
      <c r="KSP156" s="3060"/>
      <c r="KSQ156" s="3060"/>
      <c r="KSR156" s="3060"/>
      <c r="KSS156" s="3060"/>
      <c r="KST156" s="3060"/>
      <c r="KSU156" s="3060"/>
      <c r="KSV156" s="3060"/>
      <c r="KSW156" s="3060"/>
      <c r="KSX156" s="3060"/>
      <c r="KSY156" s="3060"/>
      <c r="KSZ156" s="3060"/>
      <c r="KTA156" s="3060"/>
      <c r="KTB156" s="3060"/>
      <c r="KTC156" s="3060"/>
      <c r="KTD156" s="3060"/>
      <c r="KTE156" s="3060"/>
      <c r="KTF156" s="3060"/>
      <c r="KTG156" s="3060"/>
      <c r="KTH156" s="3060"/>
      <c r="KTI156" s="3060"/>
      <c r="KTJ156" s="3060"/>
      <c r="KTK156" s="3060"/>
      <c r="KTL156" s="3060"/>
      <c r="KTM156" s="3060"/>
      <c r="KTN156" s="3060"/>
      <c r="KTO156" s="3060"/>
      <c r="KTP156" s="3060"/>
      <c r="KTQ156" s="3060"/>
      <c r="KTR156" s="3060"/>
      <c r="KTS156" s="3060"/>
      <c r="KTT156" s="3060"/>
      <c r="KTU156" s="3060"/>
      <c r="KTV156" s="3060"/>
      <c r="KTW156" s="3060"/>
      <c r="KTX156" s="3060"/>
      <c r="KTY156" s="3060"/>
      <c r="KTZ156" s="3060"/>
      <c r="KUA156" s="3060"/>
      <c r="KUB156" s="3060"/>
      <c r="KUC156" s="3060"/>
      <c r="KUD156" s="3060"/>
      <c r="KUE156" s="3060"/>
      <c r="KUF156" s="3060"/>
      <c r="KUG156" s="3060"/>
      <c r="KUH156" s="3060"/>
      <c r="KUI156" s="3060"/>
      <c r="KUJ156" s="3060"/>
      <c r="KUK156" s="3060"/>
      <c r="KUL156" s="3060"/>
      <c r="KUM156" s="3060"/>
      <c r="KUN156" s="3060"/>
      <c r="KUO156" s="3060"/>
      <c r="KUP156" s="3060"/>
      <c r="KUQ156" s="3060"/>
      <c r="KUR156" s="3060"/>
      <c r="KUS156" s="3060"/>
      <c r="KUT156" s="3060"/>
      <c r="KUU156" s="3060"/>
      <c r="KUV156" s="3060"/>
      <c r="KUW156" s="3060"/>
      <c r="KUX156" s="3060"/>
      <c r="KUY156" s="3060"/>
      <c r="KUZ156" s="3060"/>
      <c r="KVA156" s="3060"/>
      <c r="KVB156" s="3060"/>
      <c r="KVC156" s="3060"/>
      <c r="KVD156" s="3060"/>
      <c r="KVE156" s="3060"/>
      <c r="KVF156" s="3060"/>
      <c r="KVG156" s="3060"/>
      <c r="KVH156" s="3060"/>
      <c r="KVI156" s="3060"/>
      <c r="KVJ156" s="3060"/>
      <c r="KVK156" s="3060"/>
      <c r="KVL156" s="3060"/>
      <c r="KVM156" s="3060"/>
      <c r="KVN156" s="3060"/>
      <c r="KVO156" s="3060"/>
      <c r="KVP156" s="3060"/>
      <c r="KVQ156" s="3060"/>
      <c r="KVR156" s="3060"/>
      <c r="KVS156" s="3060"/>
      <c r="KVT156" s="3060"/>
      <c r="KVU156" s="3060"/>
      <c r="KVV156" s="3060"/>
      <c r="KVW156" s="3060"/>
      <c r="KVX156" s="3060"/>
      <c r="KVY156" s="3060"/>
      <c r="KVZ156" s="3060"/>
      <c r="KWA156" s="3060"/>
      <c r="KWB156" s="3060"/>
      <c r="KWC156" s="3060"/>
      <c r="KWD156" s="3060"/>
      <c r="KWE156" s="3060"/>
      <c r="KWF156" s="3060"/>
      <c r="KWG156" s="3060"/>
      <c r="KWH156" s="3060"/>
      <c r="KWI156" s="3060"/>
      <c r="KWJ156" s="3060"/>
      <c r="KWK156" s="3060"/>
      <c r="KWL156" s="3060"/>
      <c r="KWM156" s="3060"/>
      <c r="KWN156" s="3060"/>
      <c r="KWO156" s="3060"/>
      <c r="KWP156" s="3060"/>
      <c r="KWQ156" s="3060"/>
      <c r="KWR156" s="3060"/>
      <c r="KWS156" s="3060"/>
      <c r="KWT156" s="3060"/>
      <c r="KWU156" s="3060"/>
      <c r="KWV156" s="3060"/>
      <c r="KWW156" s="3060"/>
      <c r="KWX156" s="3060"/>
      <c r="KWY156" s="3060"/>
      <c r="KWZ156" s="3060"/>
      <c r="KXA156" s="3060"/>
      <c r="KXB156" s="3060"/>
      <c r="KXC156" s="3060"/>
      <c r="KXD156" s="3060"/>
      <c r="KXE156" s="3060"/>
      <c r="KXF156" s="3060"/>
      <c r="KXG156" s="3060"/>
      <c r="KXH156" s="3060"/>
      <c r="KXI156" s="3060"/>
      <c r="KXJ156" s="3060"/>
      <c r="KXK156" s="3060"/>
      <c r="KXL156" s="3060"/>
      <c r="KXM156" s="3060"/>
      <c r="KXN156" s="3060"/>
      <c r="KXO156" s="3060"/>
      <c r="KXP156" s="3060"/>
      <c r="KXQ156" s="3060"/>
      <c r="KXR156" s="3060"/>
      <c r="KXS156" s="3060"/>
      <c r="KXT156" s="3060"/>
      <c r="KXU156" s="3060"/>
      <c r="KXV156" s="3060"/>
      <c r="KXW156" s="3060"/>
      <c r="KXX156" s="3060"/>
      <c r="KXY156" s="3060"/>
      <c r="KXZ156" s="3060"/>
      <c r="KYA156" s="3060"/>
      <c r="KYB156" s="3060"/>
      <c r="KYC156" s="3060"/>
      <c r="KYD156" s="3060"/>
      <c r="KYE156" s="3060"/>
      <c r="KYF156" s="3060"/>
      <c r="KYG156" s="3060"/>
      <c r="KYH156" s="3060"/>
      <c r="KYI156" s="3060"/>
      <c r="KYJ156" s="3060"/>
      <c r="KYK156" s="3060"/>
      <c r="KYL156" s="3060"/>
      <c r="KYM156" s="3060"/>
      <c r="KYN156" s="3060"/>
      <c r="KYO156" s="3060"/>
      <c r="KYP156" s="3060"/>
      <c r="KYQ156" s="3060"/>
      <c r="KYR156" s="3060"/>
      <c r="KYS156" s="3060"/>
      <c r="KYT156" s="3060"/>
      <c r="KYU156" s="3060"/>
      <c r="KYV156" s="3060"/>
      <c r="KYW156" s="3060"/>
      <c r="KYX156" s="3060"/>
      <c r="KYY156" s="3060"/>
      <c r="KYZ156" s="3060"/>
      <c r="KZA156" s="3060"/>
      <c r="KZB156" s="3060"/>
      <c r="KZC156" s="3060"/>
      <c r="KZD156" s="3060"/>
      <c r="KZE156" s="3060"/>
      <c r="KZF156" s="3060"/>
      <c r="KZG156" s="3060"/>
      <c r="KZH156" s="3060"/>
      <c r="KZI156" s="3060"/>
      <c r="KZJ156" s="3060"/>
      <c r="KZK156" s="3060"/>
      <c r="KZL156" s="3060"/>
      <c r="KZM156" s="3060"/>
      <c r="KZN156" s="3060"/>
      <c r="KZO156" s="3060"/>
      <c r="KZP156" s="3060"/>
      <c r="KZQ156" s="3060"/>
      <c r="KZR156" s="3060"/>
      <c r="KZS156" s="3060"/>
      <c r="KZT156" s="3060"/>
      <c r="KZU156" s="3060"/>
      <c r="KZV156" s="3060"/>
      <c r="KZW156" s="3060"/>
      <c r="KZX156" s="3060"/>
      <c r="KZY156" s="3060"/>
      <c r="KZZ156" s="3060"/>
      <c r="LAA156" s="3060"/>
      <c r="LAB156" s="3060"/>
      <c r="LAC156" s="3060"/>
      <c r="LAD156" s="3060"/>
      <c r="LAE156" s="3060"/>
      <c r="LAF156" s="3060"/>
      <c r="LAG156" s="3060"/>
      <c r="LAH156" s="3060"/>
      <c r="LAI156" s="3060"/>
      <c r="LAJ156" s="3060"/>
      <c r="LAK156" s="3060"/>
      <c r="LAL156" s="3060"/>
      <c r="LAM156" s="3060"/>
      <c r="LAN156" s="3060"/>
      <c r="LAO156" s="3060"/>
      <c r="LAP156" s="3060"/>
      <c r="LAQ156" s="3060"/>
      <c r="LAR156" s="3060"/>
      <c r="LAS156" s="3060"/>
      <c r="LAT156" s="3060"/>
      <c r="LAU156" s="3060"/>
      <c r="LAV156" s="3060"/>
      <c r="LAW156" s="3060"/>
      <c r="LAX156" s="3060"/>
      <c r="LAY156" s="3060"/>
      <c r="LAZ156" s="3060"/>
      <c r="LBA156" s="3060"/>
      <c r="LBB156" s="3060"/>
      <c r="LBC156" s="3060"/>
      <c r="LBD156" s="3060"/>
      <c r="LBE156" s="3060"/>
      <c r="LBF156" s="3060"/>
      <c r="LBG156" s="3060"/>
      <c r="LBH156" s="3060"/>
      <c r="LBI156" s="3060"/>
      <c r="LBJ156" s="3060"/>
      <c r="LBK156" s="3060"/>
      <c r="LBL156" s="3060"/>
      <c r="LBM156" s="3060"/>
      <c r="LBN156" s="3060"/>
      <c r="LBO156" s="3060"/>
      <c r="LBP156" s="3060"/>
      <c r="LBQ156" s="3060"/>
      <c r="LBR156" s="3060"/>
      <c r="LBS156" s="3060"/>
      <c r="LBT156" s="3060"/>
      <c r="LBU156" s="3060"/>
      <c r="LBV156" s="3060"/>
      <c r="LBW156" s="3060"/>
      <c r="LBX156" s="3060"/>
      <c r="LBY156" s="3060"/>
      <c r="LBZ156" s="3060"/>
      <c r="LCA156" s="3060"/>
      <c r="LCB156" s="3060"/>
      <c r="LCC156" s="3060"/>
      <c r="LCD156" s="3060"/>
      <c r="LCE156" s="3060"/>
      <c r="LCF156" s="3060"/>
      <c r="LCG156" s="3060"/>
      <c r="LCH156" s="3060"/>
      <c r="LCI156" s="3060"/>
      <c r="LCJ156" s="3060"/>
      <c r="LCK156" s="3060"/>
      <c r="LCL156" s="3060"/>
      <c r="LCM156" s="3060"/>
      <c r="LCN156" s="3060"/>
      <c r="LCO156" s="3060"/>
      <c r="LCP156" s="3060"/>
      <c r="LCQ156" s="3060"/>
      <c r="LCR156" s="3060"/>
      <c r="LCS156" s="3060"/>
      <c r="LCT156" s="3060"/>
      <c r="LCU156" s="3060"/>
      <c r="LCV156" s="3060"/>
      <c r="LCW156" s="3060"/>
      <c r="LCX156" s="3060"/>
      <c r="LCY156" s="3060"/>
      <c r="LCZ156" s="3060"/>
      <c r="LDA156" s="3060"/>
      <c r="LDB156" s="3060"/>
      <c r="LDC156" s="3060"/>
      <c r="LDD156" s="3060"/>
      <c r="LDE156" s="3060"/>
      <c r="LDF156" s="3060"/>
      <c r="LDG156" s="3060"/>
      <c r="LDH156" s="3060"/>
      <c r="LDI156" s="3060"/>
      <c r="LDJ156" s="3060"/>
      <c r="LDK156" s="3060"/>
      <c r="LDL156" s="3060"/>
      <c r="LDM156" s="3060"/>
      <c r="LDN156" s="3060"/>
      <c r="LDO156" s="3060"/>
      <c r="LDP156" s="3060"/>
      <c r="LDQ156" s="3060"/>
      <c r="LDR156" s="3060"/>
      <c r="LDS156" s="3060"/>
      <c r="LDT156" s="3060"/>
      <c r="LDU156" s="3060"/>
      <c r="LDV156" s="3060"/>
      <c r="LDW156" s="3060"/>
      <c r="LDX156" s="3060"/>
      <c r="LDY156" s="3060"/>
      <c r="LDZ156" s="3060"/>
      <c r="LEA156" s="3060"/>
      <c r="LEB156" s="3060"/>
      <c r="LEC156" s="3060"/>
      <c r="LED156" s="3060"/>
      <c r="LEE156" s="3060"/>
      <c r="LEF156" s="3060"/>
      <c r="LEG156" s="3060"/>
      <c r="LEH156" s="3060"/>
      <c r="LEI156" s="3060"/>
      <c r="LEJ156" s="3060"/>
      <c r="LEK156" s="3060"/>
      <c r="LEL156" s="3060"/>
      <c r="LEM156" s="3060"/>
      <c r="LEN156" s="3060"/>
      <c r="LEO156" s="3060"/>
      <c r="LEP156" s="3060"/>
      <c r="LEQ156" s="3060"/>
      <c r="LER156" s="3060"/>
      <c r="LES156" s="3060"/>
      <c r="LET156" s="3060"/>
      <c r="LEU156" s="3060"/>
      <c r="LEV156" s="3060"/>
      <c r="LEW156" s="3060"/>
      <c r="LEX156" s="3060"/>
      <c r="LEY156" s="3060"/>
      <c r="LEZ156" s="3060"/>
      <c r="LFA156" s="3060"/>
      <c r="LFB156" s="3060"/>
      <c r="LFC156" s="3060"/>
      <c r="LFD156" s="3060"/>
      <c r="LFE156" s="3060"/>
      <c r="LFF156" s="3060"/>
      <c r="LFG156" s="3060"/>
      <c r="LFH156" s="3060"/>
      <c r="LFI156" s="3060"/>
      <c r="LFJ156" s="3060"/>
      <c r="LFK156" s="3060"/>
      <c r="LFL156" s="3060"/>
      <c r="LFM156" s="3060"/>
      <c r="LFN156" s="3060"/>
      <c r="LFO156" s="3060"/>
      <c r="LFP156" s="3060"/>
      <c r="LFQ156" s="3060"/>
      <c r="LFR156" s="3060"/>
      <c r="LFS156" s="3060"/>
      <c r="LFT156" s="3060"/>
      <c r="LFU156" s="3060"/>
      <c r="LFV156" s="3060"/>
      <c r="LFW156" s="3060"/>
      <c r="LFX156" s="3060"/>
      <c r="LFY156" s="3060"/>
      <c r="LFZ156" s="3060"/>
      <c r="LGA156" s="3060"/>
      <c r="LGB156" s="3060"/>
      <c r="LGC156" s="3060"/>
      <c r="LGD156" s="3060"/>
      <c r="LGE156" s="3060"/>
      <c r="LGF156" s="3060"/>
      <c r="LGG156" s="3060"/>
      <c r="LGH156" s="3060"/>
      <c r="LGI156" s="3060"/>
      <c r="LGJ156" s="3060"/>
      <c r="LGK156" s="3060"/>
      <c r="LGL156" s="3060"/>
      <c r="LGM156" s="3060"/>
      <c r="LGN156" s="3060"/>
      <c r="LGO156" s="3060"/>
      <c r="LGP156" s="3060"/>
      <c r="LGQ156" s="3060"/>
      <c r="LGR156" s="3060"/>
      <c r="LGS156" s="3060"/>
      <c r="LGT156" s="3060"/>
      <c r="LGU156" s="3060"/>
      <c r="LGV156" s="3060"/>
      <c r="LGW156" s="3060"/>
      <c r="LGX156" s="3060"/>
      <c r="LGY156" s="3060"/>
      <c r="LGZ156" s="3060"/>
      <c r="LHA156" s="3060"/>
      <c r="LHB156" s="3060"/>
      <c r="LHC156" s="3060"/>
      <c r="LHD156" s="3060"/>
      <c r="LHE156" s="3060"/>
      <c r="LHF156" s="3060"/>
      <c r="LHG156" s="3060"/>
      <c r="LHH156" s="3060"/>
      <c r="LHI156" s="3060"/>
      <c r="LHJ156" s="3060"/>
      <c r="LHK156" s="3060"/>
      <c r="LHL156" s="3060"/>
      <c r="LHM156" s="3060"/>
      <c r="LHN156" s="3060"/>
      <c r="LHO156" s="3060"/>
      <c r="LHP156" s="3060"/>
      <c r="LHQ156" s="3060"/>
      <c r="LHR156" s="3060"/>
      <c r="LHS156" s="3060"/>
      <c r="LHT156" s="3060"/>
      <c r="LHU156" s="3060"/>
      <c r="LHV156" s="3060"/>
      <c r="LHW156" s="3060"/>
      <c r="LHX156" s="3060"/>
      <c r="LHY156" s="3060"/>
      <c r="LHZ156" s="3060"/>
      <c r="LIA156" s="3060"/>
      <c r="LIB156" s="3060"/>
      <c r="LIC156" s="3060"/>
      <c r="LID156" s="3060"/>
      <c r="LIE156" s="3060"/>
      <c r="LIF156" s="3060"/>
      <c r="LIG156" s="3060"/>
      <c r="LIH156" s="3060"/>
      <c r="LII156" s="3060"/>
      <c r="LIJ156" s="3060"/>
      <c r="LIK156" s="3060"/>
      <c r="LIL156" s="3060"/>
      <c r="LIM156" s="3060"/>
      <c r="LIN156" s="3060"/>
      <c r="LIO156" s="3060"/>
      <c r="LIP156" s="3060"/>
      <c r="LIQ156" s="3060"/>
      <c r="LIR156" s="3060"/>
      <c r="LIS156" s="3060"/>
      <c r="LIT156" s="3060"/>
      <c r="LIU156" s="3060"/>
      <c r="LIV156" s="3060"/>
      <c r="LIW156" s="3060"/>
      <c r="LIX156" s="3060"/>
      <c r="LIY156" s="3060"/>
      <c r="LIZ156" s="3060"/>
      <c r="LJA156" s="3060"/>
      <c r="LJB156" s="3060"/>
      <c r="LJC156" s="3060"/>
      <c r="LJD156" s="3060"/>
      <c r="LJE156" s="3060"/>
      <c r="LJF156" s="3060"/>
      <c r="LJG156" s="3060"/>
      <c r="LJH156" s="3060"/>
      <c r="LJI156" s="3060"/>
      <c r="LJJ156" s="3060"/>
      <c r="LJK156" s="3060"/>
      <c r="LJL156" s="3060"/>
      <c r="LJM156" s="3060"/>
      <c r="LJN156" s="3060"/>
      <c r="LJO156" s="3060"/>
      <c r="LJP156" s="3060"/>
      <c r="LJQ156" s="3060"/>
      <c r="LJR156" s="3060"/>
      <c r="LJS156" s="3060"/>
      <c r="LJT156" s="3060"/>
      <c r="LJU156" s="3060"/>
      <c r="LJV156" s="3060"/>
      <c r="LJW156" s="3060"/>
      <c r="LJX156" s="3060"/>
      <c r="LJY156" s="3060"/>
      <c r="LJZ156" s="3060"/>
      <c r="LKA156" s="3060"/>
      <c r="LKB156" s="3060"/>
      <c r="LKC156" s="3060"/>
      <c r="LKD156" s="3060"/>
      <c r="LKE156" s="3060"/>
      <c r="LKF156" s="3060"/>
      <c r="LKG156" s="3060"/>
      <c r="LKH156" s="3060"/>
      <c r="LKI156" s="3060"/>
      <c r="LKJ156" s="3060"/>
      <c r="LKK156" s="3060"/>
      <c r="LKL156" s="3060"/>
      <c r="LKM156" s="3060"/>
      <c r="LKN156" s="3060"/>
      <c r="LKO156" s="3060"/>
      <c r="LKP156" s="3060"/>
      <c r="LKQ156" s="3060"/>
      <c r="LKR156" s="3060"/>
      <c r="LKS156" s="3060"/>
      <c r="LKT156" s="3060"/>
      <c r="LKU156" s="3060"/>
      <c r="LKV156" s="3060"/>
      <c r="LKW156" s="3060"/>
      <c r="LKX156" s="3060"/>
      <c r="LKY156" s="3060"/>
      <c r="LKZ156" s="3060"/>
      <c r="LLA156" s="3060"/>
      <c r="LLB156" s="3060"/>
      <c r="LLC156" s="3060"/>
      <c r="LLD156" s="3060"/>
      <c r="LLE156" s="3060"/>
      <c r="LLF156" s="3060"/>
      <c r="LLG156" s="3060"/>
      <c r="LLH156" s="3060"/>
      <c r="LLI156" s="3060"/>
      <c r="LLJ156" s="3060"/>
      <c r="LLK156" s="3060"/>
      <c r="LLL156" s="3060"/>
      <c r="LLM156" s="3060"/>
      <c r="LLN156" s="3060"/>
      <c r="LLO156" s="3060"/>
      <c r="LLP156" s="3060"/>
      <c r="LLQ156" s="3060"/>
      <c r="LLR156" s="3060"/>
      <c r="LLS156" s="3060"/>
      <c r="LLT156" s="3060"/>
      <c r="LLU156" s="3060"/>
      <c r="LLV156" s="3060"/>
      <c r="LLW156" s="3060"/>
      <c r="LLX156" s="3060"/>
      <c r="LLY156" s="3060"/>
      <c r="LLZ156" s="3060"/>
      <c r="LMA156" s="3060"/>
      <c r="LMB156" s="3060"/>
      <c r="LMC156" s="3060"/>
      <c r="LMD156" s="3060"/>
      <c r="LME156" s="3060"/>
      <c r="LMF156" s="3060"/>
      <c r="LMG156" s="3060"/>
      <c r="LMH156" s="3060"/>
      <c r="LMI156" s="3060"/>
      <c r="LMJ156" s="3060"/>
      <c r="LMK156" s="3060"/>
      <c r="LML156" s="3060"/>
      <c r="LMM156" s="3060"/>
      <c r="LMN156" s="3060"/>
      <c r="LMO156" s="3060"/>
      <c r="LMP156" s="3060"/>
      <c r="LMQ156" s="3060"/>
      <c r="LMR156" s="3060"/>
      <c r="LMS156" s="3060"/>
      <c r="LMT156" s="3060"/>
      <c r="LMU156" s="3060"/>
      <c r="LMV156" s="3060"/>
      <c r="LMW156" s="3060"/>
      <c r="LMX156" s="3060"/>
      <c r="LMY156" s="3060"/>
      <c r="LMZ156" s="3060"/>
      <c r="LNA156" s="3060"/>
      <c r="LNB156" s="3060"/>
      <c r="LNC156" s="3060"/>
      <c r="LND156" s="3060"/>
      <c r="LNE156" s="3060"/>
      <c r="LNF156" s="3060"/>
      <c r="LNG156" s="3060"/>
      <c r="LNH156" s="3060"/>
      <c r="LNI156" s="3060"/>
      <c r="LNJ156" s="3060"/>
      <c r="LNK156" s="3060"/>
      <c r="LNL156" s="3060"/>
      <c r="LNM156" s="3060"/>
      <c r="LNN156" s="3060"/>
      <c r="LNO156" s="3060"/>
      <c r="LNP156" s="3060"/>
      <c r="LNQ156" s="3060"/>
      <c r="LNR156" s="3060"/>
      <c r="LNS156" s="3060"/>
      <c r="LNT156" s="3060"/>
      <c r="LNU156" s="3060"/>
      <c r="LNV156" s="3060"/>
      <c r="LNW156" s="3060"/>
      <c r="LNX156" s="3060"/>
      <c r="LNY156" s="3060"/>
      <c r="LNZ156" s="3060"/>
      <c r="LOA156" s="3060"/>
      <c r="LOB156" s="3060"/>
      <c r="LOC156" s="3060"/>
      <c r="LOD156" s="3060"/>
      <c r="LOE156" s="3060"/>
      <c r="LOF156" s="3060"/>
      <c r="LOG156" s="3060"/>
      <c r="LOH156" s="3060"/>
      <c r="LOI156" s="3060"/>
      <c r="LOJ156" s="3060"/>
      <c r="LOK156" s="3060"/>
      <c r="LOL156" s="3060"/>
      <c r="LOM156" s="3060"/>
      <c r="LON156" s="3060"/>
      <c r="LOO156" s="3060"/>
      <c r="LOP156" s="3060"/>
      <c r="LOQ156" s="3060"/>
      <c r="LOR156" s="3060"/>
      <c r="LOS156" s="3060"/>
      <c r="LOT156" s="3060"/>
      <c r="LOU156" s="3060"/>
      <c r="LOV156" s="3060"/>
      <c r="LOW156" s="3060"/>
      <c r="LOX156" s="3060"/>
      <c r="LOY156" s="3060"/>
      <c r="LOZ156" s="3060"/>
      <c r="LPA156" s="3060"/>
      <c r="LPB156" s="3060"/>
      <c r="LPC156" s="3060"/>
      <c r="LPD156" s="3060"/>
      <c r="LPE156" s="3060"/>
      <c r="LPF156" s="3060"/>
      <c r="LPG156" s="3060"/>
      <c r="LPH156" s="3060"/>
      <c r="LPI156" s="3060"/>
      <c r="LPJ156" s="3060"/>
      <c r="LPK156" s="3060"/>
      <c r="LPL156" s="3060"/>
      <c r="LPM156" s="3060"/>
      <c r="LPN156" s="3060"/>
      <c r="LPO156" s="3060"/>
      <c r="LPP156" s="3060"/>
      <c r="LPQ156" s="3060"/>
      <c r="LPR156" s="3060"/>
      <c r="LPS156" s="3060"/>
      <c r="LPT156" s="3060"/>
      <c r="LPU156" s="3060"/>
      <c r="LPV156" s="3060"/>
      <c r="LPW156" s="3060"/>
      <c r="LPX156" s="3060"/>
      <c r="LPY156" s="3060"/>
      <c r="LPZ156" s="3060"/>
      <c r="LQA156" s="3060"/>
      <c r="LQB156" s="3060"/>
      <c r="LQC156" s="3060"/>
      <c r="LQD156" s="3060"/>
      <c r="LQE156" s="3060"/>
      <c r="LQF156" s="3060"/>
      <c r="LQG156" s="3060"/>
      <c r="LQH156" s="3060"/>
      <c r="LQI156" s="3060"/>
      <c r="LQJ156" s="3060"/>
      <c r="LQK156" s="3060"/>
      <c r="LQL156" s="3060"/>
      <c r="LQM156" s="3060"/>
      <c r="LQN156" s="3060"/>
      <c r="LQO156" s="3060"/>
      <c r="LQP156" s="3060"/>
      <c r="LQQ156" s="3060"/>
      <c r="LQR156" s="3060"/>
      <c r="LQS156" s="3060"/>
      <c r="LQT156" s="3060"/>
      <c r="LQU156" s="3060"/>
      <c r="LQV156" s="3060"/>
      <c r="LQW156" s="3060"/>
      <c r="LQX156" s="3060"/>
      <c r="LQY156" s="3060"/>
      <c r="LQZ156" s="3060"/>
      <c r="LRA156" s="3060"/>
      <c r="LRB156" s="3060"/>
      <c r="LRC156" s="3060"/>
      <c r="LRD156" s="3060"/>
      <c r="LRE156" s="3060"/>
      <c r="LRF156" s="3060"/>
      <c r="LRG156" s="3060"/>
      <c r="LRH156" s="3060"/>
      <c r="LRI156" s="3060"/>
      <c r="LRJ156" s="3060"/>
      <c r="LRK156" s="3060"/>
      <c r="LRL156" s="3060"/>
      <c r="LRM156" s="3060"/>
      <c r="LRN156" s="3060"/>
      <c r="LRO156" s="3060"/>
      <c r="LRP156" s="3060"/>
      <c r="LRQ156" s="3060"/>
      <c r="LRR156" s="3060"/>
      <c r="LRS156" s="3060"/>
      <c r="LRT156" s="3060"/>
      <c r="LRU156" s="3060"/>
      <c r="LRV156" s="3060"/>
      <c r="LRW156" s="3060"/>
      <c r="LRX156" s="3060"/>
      <c r="LRY156" s="3060"/>
      <c r="LRZ156" s="3060"/>
      <c r="LSA156" s="3060"/>
      <c r="LSB156" s="3060"/>
      <c r="LSC156" s="3060"/>
      <c r="LSD156" s="3060"/>
      <c r="LSE156" s="3060"/>
      <c r="LSF156" s="3060"/>
      <c r="LSG156" s="3060"/>
      <c r="LSH156" s="3060"/>
      <c r="LSI156" s="3060"/>
      <c r="LSJ156" s="3060"/>
      <c r="LSK156" s="3060"/>
      <c r="LSL156" s="3060"/>
      <c r="LSM156" s="3060"/>
      <c r="LSN156" s="3060"/>
      <c r="LSO156" s="3060"/>
      <c r="LSP156" s="3060"/>
      <c r="LSQ156" s="3060"/>
      <c r="LSR156" s="3060"/>
      <c r="LSS156" s="3060"/>
      <c r="LST156" s="3060"/>
      <c r="LSU156" s="3060"/>
      <c r="LSV156" s="3060"/>
      <c r="LSW156" s="3060"/>
      <c r="LSX156" s="3060"/>
      <c r="LSY156" s="3060"/>
      <c r="LSZ156" s="3060"/>
      <c r="LTA156" s="3060"/>
      <c r="LTB156" s="3060"/>
      <c r="LTC156" s="3060"/>
      <c r="LTD156" s="3060"/>
      <c r="LTE156" s="3060"/>
      <c r="LTF156" s="3060"/>
      <c r="LTG156" s="3060"/>
      <c r="LTH156" s="3060"/>
      <c r="LTI156" s="3060"/>
      <c r="LTJ156" s="3060"/>
      <c r="LTK156" s="3060"/>
      <c r="LTL156" s="3060"/>
      <c r="LTM156" s="3060"/>
      <c r="LTN156" s="3060"/>
      <c r="LTO156" s="3060"/>
      <c r="LTP156" s="3060"/>
      <c r="LTQ156" s="3060"/>
      <c r="LTR156" s="3060"/>
      <c r="LTS156" s="3060"/>
      <c r="LTT156" s="3060"/>
      <c r="LTU156" s="3060"/>
      <c r="LTV156" s="3060"/>
      <c r="LTW156" s="3060"/>
      <c r="LTX156" s="3060"/>
      <c r="LTY156" s="3060"/>
      <c r="LTZ156" s="3060"/>
      <c r="LUA156" s="3060"/>
      <c r="LUB156" s="3060"/>
      <c r="LUC156" s="3060"/>
      <c r="LUD156" s="3060"/>
      <c r="LUE156" s="3060"/>
      <c r="LUF156" s="3060"/>
      <c r="LUG156" s="3060"/>
      <c r="LUH156" s="3060"/>
      <c r="LUI156" s="3060"/>
      <c r="LUJ156" s="3060"/>
      <c r="LUK156" s="3060"/>
      <c r="LUL156" s="3060"/>
      <c r="LUM156" s="3060"/>
      <c r="LUN156" s="3060"/>
      <c r="LUO156" s="3060"/>
      <c r="LUP156" s="3060"/>
      <c r="LUQ156" s="3060"/>
      <c r="LUR156" s="3060"/>
      <c r="LUS156" s="3060"/>
      <c r="LUT156" s="3060"/>
      <c r="LUU156" s="3060"/>
      <c r="LUV156" s="3060"/>
      <c r="LUW156" s="3060"/>
      <c r="LUX156" s="3060"/>
      <c r="LUY156" s="3060"/>
      <c r="LUZ156" s="3060"/>
      <c r="LVA156" s="3060"/>
      <c r="LVB156" s="3060"/>
      <c r="LVC156" s="3060"/>
      <c r="LVD156" s="3060"/>
      <c r="LVE156" s="3060"/>
      <c r="LVF156" s="3060"/>
      <c r="LVG156" s="3060"/>
      <c r="LVH156" s="3060"/>
      <c r="LVI156" s="3060"/>
      <c r="LVJ156" s="3060"/>
      <c r="LVK156" s="3060"/>
      <c r="LVL156" s="3060"/>
      <c r="LVM156" s="3060"/>
      <c r="LVN156" s="3060"/>
      <c r="LVO156" s="3060"/>
      <c r="LVP156" s="3060"/>
      <c r="LVQ156" s="3060"/>
      <c r="LVR156" s="3060"/>
      <c r="LVS156" s="3060"/>
      <c r="LVT156" s="3060"/>
      <c r="LVU156" s="3060"/>
      <c r="LVV156" s="3060"/>
      <c r="LVW156" s="3060"/>
      <c r="LVX156" s="3060"/>
      <c r="LVY156" s="3060"/>
      <c r="LVZ156" s="3060"/>
      <c r="LWA156" s="3060"/>
      <c r="LWB156" s="3060"/>
      <c r="LWC156" s="3060"/>
      <c r="LWD156" s="3060"/>
      <c r="LWE156" s="3060"/>
      <c r="LWF156" s="3060"/>
      <c r="LWG156" s="3060"/>
      <c r="LWH156" s="3060"/>
      <c r="LWI156" s="3060"/>
      <c r="LWJ156" s="3060"/>
      <c r="LWK156" s="3060"/>
      <c r="LWL156" s="3060"/>
      <c r="LWM156" s="3060"/>
      <c r="LWN156" s="3060"/>
      <c r="LWO156" s="3060"/>
      <c r="LWP156" s="3060"/>
      <c r="LWQ156" s="3060"/>
      <c r="LWR156" s="3060"/>
      <c r="LWS156" s="3060"/>
      <c r="LWT156" s="3060"/>
      <c r="LWU156" s="3060"/>
      <c r="LWV156" s="3060"/>
      <c r="LWW156" s="3060"/>
      <c r="LWX156" s="3060"/>
      <c r="LWY156" s="3060"/>
      <c r="LWZ156" s="3060"/>
      <c r="LXA156" s="3060"/>
      <c r="LXB156" s="3060"/>
      <c r="LXC156" s="3060"/>
      <c r="LXD156" s="3060"/>
      <c r="LXE156" s="3060"/>
      <c r="LXF156" s="3060"/>
      <c r="LXG156" s="3060"/>
      <c r="LXH156" s="3060"/>
      <c r="LXI156" s="3060"/>
      <c r="LXJ156" s="3060"/>
      <c r="LXK156" s="3060"/>
      <c r="LXL156" s="3060"/>
      <c r="LXM156" s="3060"/>
      <c r="LXN156" s="3060"/>
      <c r="LXO156" s="3060"/>
      <c r="LXP156" s="3060"/>
      <c r="LXQ156" s="3060"/>
      <c r="LXR156" s="3060"/>
      <c r="LXS156" s="3060"/>
      <c r="LXT156" s="3060"/>
      <c r="LXU156" s="3060"/>
      <c r="LXV156" s="3060"/>
      <c r="LXW156" s="3060"/>
      <c r="LXX156" s="3060"/>
      <c r="LXY156" s="3060"/>
      <c r="LXZ156" s="3060"/>
      <c r="LYA156" s="3060"/>
      <c r="LYB156" s="3060"/>
      <c r="LYC156" s="3060"/>
      <c r="LYD156" s="3060"/>
      <c r="LYE156" s="3060"/>
      <c r="LYF156" s="3060"/>
      <c r="LYG156" s="3060"/>
      <c r="LYH156" s="3060"/>
      <c r="LYI156" s="3060"/>
      <c r="LYJ156" s="3060"/>
      <c r="LYK156" s="3060"/>
      <c r="LYL156" s="3060"/>
      <c r="LYM156" s="3060"/>
      <c r="LYN156" s="3060"/>
      <c r="LYO156" s="3060"/>
      <c r="LYP156" s="3060"/>
      <c r="LYQ156" s="3060"/>
      <c r="LYR156" s="3060"/>
      <c r="LYS156" s="3060"/>
      <c r="LYT156" s="3060"/>
      <c r="LYU156" s="3060"/>
      <c r="LYV156" s="3060"/>
      <c r="LYW156" s="3060"/>
      <c r="LYX156" s="3060"/>
      <c r="LYY156" s="3060"/>
      <c r="LYZ156" s="3060"/>
      <c r="LZA156" s="3060"/>
      <c r="LZB156" s="3060"/>
      <c r="LZC156" s="3060"/>
      <c r="LZD156" s="3060"/>
      <c r="LZE156" s="3060"/>
      <c r="LZF156" s="3060"/>
      <c r="LZG156" s="3060"/>
      <c r="LZH156" s="3060"/>
      <c r="LZI156" s="3060"/>
      <c r="LZJ156" s="3060"/>
      <c r="LZK156" s="3060"/>
      <c r="LZL156" s="3060"/>
      <c r="LZM156" s="3060"/>
      <c r="LZN156" s="3060"/>
      <c r="LZO156" s="3060"/>
      <c r="LZP156" s="3060"/>
      <c r="LZQ156" s="3060"/>
      <c r="LZR156" s="3060"/>
      <c r="LZS156" s="3060"/>
      <c r="LZT156" s="3060"/>
      <c r="LZU156" s="3060"/>
      <c r="LZV156" s="3060"/>
      <c r="LZW156" s="3060"/>
      <c r="LZX156" s="3060"/>
      <c r="LZY156" s="3060"/>
      <c r="LZZ156" s="3060"/>
      <c r="MAA156" s="3060"/>
      <c r="MAB156" s="3060"/>
      <c r="MAC156" s="3060"/>
      <c r="MAD156" s="3060"/>
      <c r="MAE156" s="3060"/>
      <c r="MAF156" s="3060"/>
      <c r="MAG156" s="3060"/>
      <c r="MAH156" s="3060"/>
      <c r="MAI156" s="3060"/>
      <c r="MAJ156" s="3060"/>
      <c r="MAK156" s="3060"/>
      <c r="MAL156" s="3060"/>
      <c r="MAM156" s="3060"/>
      <c r="MAN156" s="3060"/>
      <c r="MAO156" s="3060"/>
      <c r="MAP156" s="3060"/>
      <c r="MAQ156" s="3060"/>
      <c r="MAR156" s="3060"/>
      <c r="MAS156" s="3060"/>
      <c r="MAT156" s="3060"/>
      <c r="MAU156" s="3060"/>
      <c r="MAV156" s="3060"/>
      <c r="MAW156" s="3060"/>
      <c r="MAX156" s="3060"/>
      <c r="MAY156" s="3060"/>
      <c r="MAZ156" s="3060"/>
      <c r="MBA156" s="3060"/>
      <c r="MBB156" s="3060"/>
      <c r="MBC156" s="3060"/>
      <c r="MBD156" s="3060"/>
      <c r="MBE156" s="3060"/>
      <c r="MBF156" s="3060"/>
      <c r="MBG156" s="3060"/>
      <c r="MBH156" s="3060"/>
      <c r="MBI156" s="3060"/>
      <c r="MBJ156" s="3060"/>
      <c r="MBK156" s="3060"/>
      <c r="MBL156" s="3060"/>
      <c r="MBM156" s="3060"/>
      <c r="MBN156" s="3060"/>
      <c r="MBO156" s="3060"/>
      <c r="MBP156" s="3060"/>
      <c r="MBQ156" s="3060"/>
      <c r="MBR156" s="3060"/>
      <c r="MBS156" s="3060"/>
      <c r="MBT156" s="3060"/>
      <c r="MBU156" s="3060"/>
      <c r="MBV156" s="3060"/>
      <c r="MBW156" s="3060"/>
      <c r="MBX156" s="3060"/>
      <c r="MBY156" s="3060"/>
      <c r="MBZ156" s="3060"/>
      <c r="MCA156" s="3060"/>
      <c r="MCB156" s="3060"/>
      <c r="MCC156" s="3060"/>
      <c r="MCD156" s="3060"/>
      <c r="MCE156" s="3060"/>
      <c r="MCF156" s="3060"/>
      <c r="MCG156" s="3060"/>
      <c r="MCH156" s="3060"/>
      <c r="MCI156" s="3060"/>
      <c r="MCJ156" s="3060"/>
      <c r="MCK156" s="3060"/>
      <c r="MCL156" s="3060"/>
      <c r="MCM156" s="3060"/>
      <c r="MCN156" s="3060"/>
      <c r="MCO156" s="3060"/>
      <c r="MCP156" s="3060"/>
      <c r="MCQ156" s="3060"/>
      <c r="MCR156" s="3060"/>
      <c r="MCS156" s="3060"/>
      <c r="MCT156" s="3060"/>
      <c r="MCU156" s="3060"/>
      <c r="MCV156" s="3060"/>
      <c r="MCW156" s="3060"/>
      <c r="MCX156" s="3060"/>
      <c r="MCY156" s="3060"/>
      <c r="MCZ156" s="3060"/>
      <c r="MDA156" s="3060"/>
      <c r="MDB156" s="3060"/>
      <c r="MDC156" s="3060"/>
      <c r="MDD156" s="3060"/>
      <c r="MDE156" s="3060"/>
      <c r="MDF156" s="3060"/>
      <c r="MDG156" s="3060"/>
      <c r="MDH156" s="3060"/>
      <c r="MDI156" s="3060"/>
      <c r="MDJ156" s="3060"/>
      <c r="MDK156" s="3060"/>
      <c r="MDL156" s="3060"/>
      <c r="MDM156" s="3060"/>
      <c r="MDN156" s="3060"/>
      <c r="MDO156" s="3060"/>
      <c r="MDP156" s="3060"/>
      <c r="MDQ156" s="3060"/>
      <c r="MDR156" s="3060"/>
      <c r="MDS156" s="3060"/>
      <c r="MDT156" s="3060"/>
      <c r="MDU156" s="3060"/>
      <c r="MDV156" s="3060"/>
      <c r="MDW156" s="3060"/>
      <c r="MDX156" s="3060"/>
      <c r="MDY156" s="3060"/>
      <c r="MDZ156" s="3060"/>
      <c r="MEA156" s="3060"/>
      <c r="MEB156" s="3060"/>
      <c r="MEC156" s="3060"/>
      <c r="MED156" s="3060"/>
      <c r="MEE156" s="3060"/>
      <c r="MEF156" s="3060"/>
      <c r="MEG156" s="3060"/>
      <c r="MEH156" s="3060"/>
      <c r="MEI156" s="3060"/>
      <c r="MEJ156" s="3060"/>
      <c r="MEK156" s="3060"/>
      <c r="MEL156" s="3060"/>
      <c r="MEM156" s="3060"/>
      <c r="MEN156" s="3060"/>
      <c r="MEO156" s="3060"/>
      <c r="MEP156" s="3060"/>
      <c r="MEQ156" s="3060"/>
      <c r="MER156" s="3060"/>
      <c r="MES156" s="3060"/>
      <c r="MET156" s="3060"/>
      <c r="MEU156" s="3060"/>
      <c r="MEV156" s="3060"/>
      <c r="MEW156" s="3060"/>
      <c r="MEX156" s="3060"/>
      <c r="MEY156" s="3060"/>
      <c r="MEZ156" s="3060"/>
      <c r="MFA156" s="3060"/>
      <c r="MFB156" s="3060"/>
      <c r="MFC156" s="3060"/>
      <c r="MFD156" s="3060"/>
      <c r="MFE156" s="3060"/>
      <c r="MFF156" s="3060"/>
      <c r="MFG156" s="3060"/>
      <c r="MFH156" s="3060"/>
      <c r="MFI156" s="3060"/>
      <c r="MFJ156" s="3060"/>
      <c r="MFK156" s="3060"/>
      <c r="MFL156" s="3060"/>
      <c r="MFM156" s="3060"/>
      <c r="MFN156" s="3060"/>
      <c r="MFO156" s="3060"/>
      <c r="MFP156" s="3060"/>
      <c r="MFQ156" s="3060"/>
      <c r="MFR156" s="3060"/>
      <c r="MFS156" s="3060"/>
      <c r="MFT156" s="3060"/>
      <c r="MFU156" s="3060"/>
      <c r="MFV156" s="3060"/>
      <c r="MFW156" s="3060"/>
      <c r="MFX156" s="3060"/>
      <c r="MFY156" s="3060"/>
      <c r="MFZ156" s="3060"/>
      <c r="MGA156" s="3060"/>
      <c r="MGB156" s="3060"/>
      <c r="MGC156" s="3060"/>
      <c r="MGD156" s="3060"/>
      <c r="MGE156" s="3060"/>
      <c r="MGF156" s="3060"/>
      <c r="MGG156" s="3060"/>
      <c r="MGH156" s="3060"/>
      <c r="MGI156" s="3060"/>
      <c r="MGJ156" s="3060"/>
      <c r="MGK156" s="3060"/>
      <c r="MGL156" s="3060"/>
      <c r="MGM156" s="3060"/>
      <c r="MGN156" s="3060"/>
      <c r="MGO156" s="3060"/>
      <c r="MGP156" s="3060"/>
      <c r="MGQ156" s="3060"/>
      <c r="MGR156" s="3060"/>
      <c r="MGS156" s="3060"/>
      <c r="MGT156" s="3060"/>
      <c r="MGU156" s="3060"/>
      <c r="MGV156" s="3060"/>
      <c r="MGW156" s="3060"/>
      <c r="MGX156" s="3060"/>
      <c r="MGY156" s="3060"/>
      <c r="MGZ156" s="3060"/>
      <c r="MHA156" s="3060"/>
      <c r="MHB156" s="3060"/>
      <c r="MHC156" s="3060"/>
      <c r="MHD156" s="3060"/>
      <c r="MHE156" s="3060"/>
      <c r="MHF156" s="3060"/>
      <c r="MHG156" s="3060"/>
      <c r="MHH156" s="3060"/>
      <c r="MHI156" s="3060"/>
      <c r="MHJ156" s="3060"/>
      <c r="MHK156" s="3060"/>
      <c r="MHL156" s="3060"/>
      <c r="MHM156" s="3060"/>
      <c r="MHN156" s="3060"/>
      <c r="MHO156" s="3060"/>
      <c r="MHP156" s="3060"/>
      <c r="MHQ156" s="3060"/>
      <c r="MHR156" s="3060"/>
      <c r="MHS156" s="3060"/>
      <c r="MHT156" s="3060"/>
      <c r="MHU156" s="3060"/>
      <c r="MHV156" s="3060"/>
      <c r="MHW156" s="3060"/>
      <c r="MHX156" s="3060"/>
      <c r="MHY156" s="3060"/>
      <c r="MHZ156" s="3060"/>
      <c r="MIA156" s="3060"/>
      <c r="MIB156" s="3060"/>
      <c r="MIC156" s="3060"/>
      <c r="MID156" s="3060"/>
      <c r="MIE156" s="3060"/>
      <c r="MIF156" s="3060"/>
      <c r="MIG156" s="3060"/>
      <c r="MIH156" s="3060"/>
      <c r="MII156" s="3060"/>
      <c r="MIJ156" s="3060"/>
      <c r="MIK156" s="3060"/>
      <c r="MIL156" s="3060"/>
      <c r="MIM156" s="3060"/>
      <c r="MIN156" s="3060"/>
      <c r="MIO156" s="3060"/>
      <c r="MIP156" s="3060"/>
      <c r="MIQ156" s="3060"/>
      <c r="MIR156" s="3060"/>
      <c r="MIS156" s="3060"/>
      <c r="MIT156" s="3060"/>
      <c r="MIU156" s="3060"/>
      <c r="MIV156" s="3060"/>
      <c r="MIW156" s="3060"/>
      <c r="MIX156" s="3060"/>
      <c r="MIY156" s="3060"/>
      <c r="MIZ156" s="3060"/>
      <c r="MJA156" s="3060"/>
      <c r="MJB156" s="3060"/>
      <c r="MJC156" s="3060"/>
      <c r="MJD156" s="3060"/>
      <c r="MJE156" s="3060"/>
      <c r="MJF156" s="3060"/>
      <c r="MJG156" s="3060"/>
      <c r="MJH156" s="3060"/>
      <c r="MJI156" s="3060"/>
      <c r="MJJ156" s="3060"/>
      <c r="MJK156" s="3060"/>
      <c r="MJL156" s="3060"/>
      <c r="MJM156" s="3060"/>
      <c r="MJN156" s="3060"/>
      <c r="MJO156" s="3060"/>
      <c r="MJP156" s="3060"/>
      <c r="MJQ156" s="3060"/>
      <c r="MJR156" s="3060"/>
      <c r="MJS156" s="3060"/>
      <c r="MJT156" s="3060"/>
      <c r="MJU156" s="3060"/>
      <c r="MJV156" s="3060"/>
      <c r="MJW156" s="3060"/>
      <c r="MJX156" s="3060"/>
      <c r="MJY156" s="3060"/>
      <c r="MJZ156" s="3060"/>
      <c r="MKA156" s="3060"/>
      <c r="MKB156" s="3060"/>
      <c r="MKC156" s="3060"/>
      <c r="MKD156" s="3060"/>
      <c r="MKE156" s="3060"/>
      <c r="MKF156" s="3060"/>
      <c r="MKG156" s="3060"/>
      <c r="MKH156" s="3060"/>
      <c r="MKI156" s="3060"/>
      <c r="MKJ156" s="3060"/>
      <c r="MKK156" s="3060"/>
      <c r="MKL156" s="3060"/>
      <c r="MKM156" s="3060"/>
      <c r="MKN156" s="3060"/>
      <c r="MKO156" s="3060"/>
      <c r="MKP156" s="3060"/>
      <c r="MKQ156" s="3060"/>
      <c r="MKR156" s="3060"/>
      <c r="MKS156" s="3060"/>
      <c r="MKT156" s="3060"/>
      <c r="MKU156" s="3060"/>
      <c r="MKV156" s="3060"/>
      <c r="MKW156" s="3060"/>
      <c r="MKX156" s="3060"/>
      <c r="MKY156" s="3060"/>
      <c r="MKZ156" s="3060"/>
      <c r="MLA156" s="3060"/>
      <c r="MLB156" s="3060"/>
      <c r="MLC156" s="3060"/>
      <c r="MLD156" s="3060"/>
      <c r="MLE156" s="3060"/>
      <c r="MLF156" s="3060"/>
      <c r="MLG156" s="3060"/>
      <c r="MLH156" s="3060"/>
      <c r="MLI156" s="3060"/>
      <c r="MLJ156" s="3060"/>
      <c r="MLK156" s="3060"/>
      <c r="MLL156" s="3060"/>
      <c r="MLM156" s="3060"/>
      <c r="MLN156" s="3060"/>
      <c r="MLO156" s="3060"/>
      <c r="MLP156" s="3060"/>
      <c r="MLQ156" s="3060"/>
      <c r="MLR156" s="3060"/>
      <c r="MLS156" s="3060"/>
      <c r="MLT156" s="3060"/>
      <c r="MLU156" s="3060"/>
      <c r="MLV156" s="3060"/>
      <c r="MLW156" s="3060"/>
      <c r="MLX156" s="3060"/>
      <c r="MLY156" s="3060"/>
      <c r="MLZ156" s="3060"/>
      <c r="MMA156" s="3060"/>
      <c r="MMB156" s="3060"/>
      <c r="MMC156" s="3060"/>
      <c r="MMD156" s="3060"/>
      <c r="MME156" s="3060"/>
      <c r="MMF156" s="3060"/>
      <c r="MMG156" s="3060"/>
      <c r="MMH156" s="3060"/>
      <c r="MMI156" s="3060"/>
      <c r="MMJ156" s="3060"/>
      <c r="MMK156" s="3060"/>
      <c r="MML156" s="3060"/>
      <c r="MMM156" s="3060"/>
      <c r="MMN156" s="3060"/>
      <c r="MMO156" s="3060"/>
      <c r="MMP156" s="3060"/>
      <c r="MMQ156" s="3060"/>
      <c r="MMR156" s="3060"/>
      <c r="MMS156" s="3060"/>
      <c r="MMT156" s="3060"/>
      <c r="MMU156" s="3060"/>
      <c r="MMV156" s="3060"/>
      <c r="MMW156" s="3060"/>
      <c r="MMX156" s="3060"/>
      <c r="MMY156" s="3060"/>
      <c r="MMZ156" s="3060"/>
      <c r="MNA156" s="3060"/>
      <c r="MNB156" s="3060"/>
      <c r="MNC156" s="3060"/>
      <c r="MND156" s="3060"/>
      <c r="MNE156" s="3060"/>
      <c r="MNF156" s="3060"/>
      <c r="MNG156" s="3060"/>
      <c r="MNH156" s="3060"/>
      <c r="MNI156" s="3060"/>
      <c r="MNJ156" s="3060"/>
      <c r="MNK156" s="3060"/>
      <c r="MNL156" s="3060"/>
      <c r="MNM156" s="3060"/>
      <c r="MNN156" s="3060"/>
      <c r="MNO156" s="3060"/>
      <c r="MNP156" s="3060"/>
      <c r="MNQ156" s="3060"/>
      <c r="MNR156" s="3060"/>
      <c r="MNS156" s="3060"/>
      <c r="MNT156" s="3060"/>
      <c r="MNU156" s="3060"/>
      <c r="MNV156" s="3060"/>
      <c r="MNW156" s="3060"/>
      <c r="MNX156" s="3060"/>
      <c r="MNY156" s="3060"/>
      <c r="MNZ156" s="3060"/>
      <c r="MOA156" s="3060"/>
      <c r="MOB156" s="3060"/>
      <c r="MOC156" s="3060"/>
      <c r="MOD156" s="3060"/>
      <c r="MOE156" s="3060"/>
      <c r="MOF156" s="3060"/>
      <c r="MOG156" s="3060"/>
      <c r="MOH156" s="3060"/>
      <c r="MOI156" s="3060"/>
      <c r="MOJ156" s="3060"/>
      <c r="MOK156" s="3060"/>
      <c r="MOL156" s="3060"/>
      <c r="MOM156" s="3060"/>
      <c r="MON156" s="3060"/>
      <c r="MOO156" s="3060"/>
      <c r="MOP156" s="3060"/>
      <c r="MOQ156" s="3060"/>
      <c r="MOR156" s="3060"/>
      <c r="MOS156" s="3060"/>
      <c r="MOT156" s="3060"/>
      <c r="MOU156" s="3060"/>
      <c r="MOV156" s="3060"/>
      <c r="MOW156" s="3060"/>
      <c r="MOX156" s="3060"/>
      <c r="MOY156" s="3060"/>
      <c r="MOZ156" s="3060"/>
      <c r="MPA156" s="3060"/>
      <c r="MPB156" s="3060"/>
      <c r="MPC156" s="3060"/>
      <c r="MPD156" s="3060"/>
      <c r="MPE156" s="3060"/>
      <c r="MPF156" s="3060"/>
      <c r="MPG156" s="3060"/>
      <c r="MPH156" s="3060"/>
      <c r="MPI156" s="3060"/>
      <c r="MPJ156" s="3060"/>
      <c r="MPK156" s="3060"/>
      <c r="MPL156" s="3060"/>
      <c r="MPM156" s="3060"/>
      <c r="MPN156" s="3060"/>
      <c r="MPO156" s="3060"/>
      <c r="MPP156" s="3060"/>
      <c r="MPQ156" s="3060"/>
      <c r="MPR156" s="3060"/>
      <c r="MPS156" s="3060"/>
      <c r="MPT156" s="3060"/>
      <c r="MPU156" s="3060"/>
      <c r="MPV156" s="3060"/>
      <c r="MPW156" s="3060"/>
      <c r="MPX156" s="3060"/>
      <c r="MPY156" s="3060"/>
      <c r="MPZ156" s="3060"/>
      <c r="MQA156" s="3060"/>
      <c r="MQB156" s="3060"/>
      <c r="MQC156" s="3060"/>
      <c r="MQD156" s="3060"/>
      <c r="MQE156" s="3060"/>
      <c r="MQF156" s="3060"/>
      <c r="MQG156" s="3060"/>
      <c r="MQH156" s="3060"/>
      <c r="MQI156" s="3060"/>
      <c r="MQJ156" s="3060"/>
      <c r="MQK156" s="3060"/>
      <c r="MQL156" s="3060"/>
      <c r="MQM156" s="3060"/>
      <c r="MQN156" s="3060"/>
      <c r="MQO156" s="3060"/>
      <c r="MQP156" s="3060"/>
      <c r="MQQ156" s="3060"/>
      <c r="MQR156" s="3060"/>
      <c r="MQS156" s="3060"/>
      <c r="MQT156" s="3060"/>
      <c r="MQU156" s="3060"/>
      <c r="MQV156" s="3060"/>
      <c r="MQW156" s="3060"/>
      <c r="MQX156" s="3060"/>
      <c r="MQY156" s="3060"/>
      <c r="MQZ156" s="3060"/>
      <c r="MRA156" s="3060"/>
      <c r="MRB156" s="3060"/>
      <c r="MRC156" s="3060"/>
      <c r="MRD156" s="3060"/>
      <c r="MRE156" s="3060"/>
      <c r="MRF156" s="3060"/>
      <c r="MRG156" s="3060"/>
      <c r="MRH156" s="3060"/>
      <c r="MRI156" s="3060"/>
      <c r="MRJ156" s="3060"/>
      <c r="MRK156" s="3060"/>
      <c r="MRL156" s="3060"/>
      <c r="MRM156" s="3060"/>
      <c r="MRN156" s="3060"/>
      <c r="MRO156" s="3060"/>
      <c r="MRP156" s="3060"/>
      <c r="MRQ156" s="3060"/>
      <c r="MRR156" s="3060"/>
      <c r="MRS156" s="3060"/>
      <c r="MRT156" s="3060"/>
      <c r="MRU156" s="3060"/>
      <c r="MRV156" s="3060"/>
      <c r="MRW156" s="3060"/>
      <c r="MRX156" s="3060"/>
      <c r="MRY156" s="3060"/>
      <c r="MRZ156" s="3060"/>
      <c r="MSA156" s="3060"/>
      <c r="MSB156" s="3060"/>
      <c r="MSC156" s="3060"/>
      <c r="MSD156" s="3060"/>
      <c r="MSE156" s="3060"/>
      <c r="MSF156" s="3060"/>
      <c r="MSG156" s="3060"/>
      <c r="MSH156" s="3060"/>
      <c r="MSI156" s="3060"/>
      <c r="MSJ156" s="3060"/>
      <c r="MSK156" s="3060"/>
      <c r="MSL156" s="3060"/>
      <c r="MSM156" s="3060"/>
      <c r="MSN156" s="3060"/>
      <c r="MSO156" s="3060"/>
      <c r="MSP156" s="3060"/>
      <c r="MSQ156" s="3060"/>
      <c r="MSR156" s="3060"/>
      <c r="MSS156" s="3060"/>
      <c r="MST156" s="3060"/>
      <c r="MSU156" s="3060"/>
      <c r="MSV156" s="3060"/>
      <c r="MSW156" s="3060"/>
      <c r="MSX156" s="3060"/>
      <c r="MSY156" s="3060"/>
      <c r="MSZ156" s="3060"/>
      <c r="MTA156" s="3060"/>
      <c r="MTB156" s="3060"/>
      <c r="MTC156" s="3060"/>
      <c r="MTD156" s="3060"/>
      <c r="MTE156" s="3060"/>
      <c r="MTF156" s="3060"/>
      <c r="MTG156" s="3060"/>
      <c r="MTH156" s="3060"/>
      <c r="MTI156" s="3060"/>
      <c r="MTJ156" s="3060"/>
      <c r="MTK156" s="3060"/>
      <c r="MTL156" s="3060"/>
      <c r="MTM156" s="3060"/>
      <c r="MTN156" s="3060"/>
      <c r="MTO156" s="3060"/>
      <c r="MTP156" s="3060"/>
      <c r="MTQ156" s="3060"/>
      <c r="MTR156" s="3060"/>
      <c r="MTS156" s="3060"/>
      <c r="MTT156" s="3060"/>
      <c r="MTU156" s="3060"/>
      <c r="MTV156" s="3060"/>
      <c r="MTW156" s="3060"/>
      <c r="MTX156" s="3060"/>
      <c r="MTY156" s="3060"/>
      <c r="MTZ156" s="3060"/>
      <c r="MUA156" s="3060"/>
      <c r="MUB156" s="3060"/>
      <c r="MUC156" s="3060"/>
      <c r="MUD156" s="3060"/>
      <c r="MUE156" s="3060"/>
      <c r="MUF156" s="3060"/>
      <c r="MUG156" s="3060"/>
      <c r="MUH156" s="3060"/>
      <c r="MUI156" s="3060"/>
      <c r="MUJ156" s="3060"/>
      <c r="MUK156" s="3060"/>
      <c r="MUL156" s="3060"/>
      <c r="MUM156" s="3060"/>
      <c r="MUN156" s="3060"/>
      <c r="MUO156" s="3060"/>
      <c r="MUP156" s="3060"/>
      <c r="MUQ156" s="3060"/>
      <c r="MUR156" s="3060"/>
      <c r="MUS156" s="3060"/>
      <c r="MUT156" s="3060"/>
      <c r="MUU156" s="3060"/>
      <c r="MUV156" s="3060"/>
      <c r="MUW156" s="3060"/>
      <c r="MUX156" s="3060"/>
      <c r="MUY156" s="3060"/>
      <c r="MUZ156" s="3060"/>
      <c r="MVA156" s="3060"/>
      <c r="MVB156" s="3060"/>
      <c r="MVC156" s="3060"/>
      <c r="MVD156" s="3060"/>
      <c r="MVE156" s="3060"/>
      <c r="MVF156" s="3060"/>
      <c r="MVG156" s="3060"/>
      <c r="MVH156" s="3060"/>
      <c r="MVI156" s="3060"/>
      <c r="MVJ156" s="3060"/>
      <c r="MVK156" s="3060"/>
      <c r="MVL156" s="3060"/>
      <c r="MVM156" s="3060"/>
      <c r="MVN156" s="3060"/>
      <c r="MVO156" s="3060"/>
      <c r="MVP156" s="3060"/>
      <c r="MVQ156" s="3060"/>
      <c r="MVR156" s="3060"/>
      <c r="MVS156" s="3060"/>
      <c r="MVT156" s="3060"/>
      <c r="MVU156" s="3060"/>
      <c r="MVV156" s="3060"/>
      <c r="MVW156" s="3060"/>
      <c r="MVX156" s="3060"/>
      <c r="MVY156" s="3060"/>
      <c r="MVZ156" s="3060"/>
      <c r="MWA156" s="3060"/>
      <c r="MWB156" s="3060"/>
      <c r="MWC156" s="3060"/>
      <c r="MWD156" s="3060"/>
      <c r="MWE156" s="3060"/>
      <c r="MWF156" s="3060"/>
      <c r="MWG156" s="3060"/>
      <c r="MWH156" s="3060"/>
      <c r="MWI156" s="3060"/>
      <c r="MWJ156" s="3060"/>
      <c r="MWK156" s="3060"/>
      <c r="MWL156" s="3060"/>
      <c r="MWM156" s="3060"/>
      <c r="MWN156" s="3060"/>
      <c r="MWO156" s="3060"/>
      <c r="MWP156" s="3060"/>
      <c r="MWQ156" s="3060"/>
      <c r="MWR156" s="3060"/>
      <c r="MWS156" s="3060"/>
      <c r="MWT156" s="3060"/>
      <c r="MWU156" s="3060"/>
      <c r="MWV156" s="3060"/>
      <c r="MWW156" s="3060"/>
      <c r="MWX156" s="3060"/>
      <c r="MWY156" s="3060"/>
      <c r="MWZ156" s="3060"/>
      <c r="MXA156" s="3060"/>
      <c r="MXB156" s="3060"/>
      <c r="MXC156" s="3060"/>
      <c r="MXD156" s="3060"/>
      <c r="MXE156" s="3060"/>
      <c r="MXF156" s="3060"/>
      <c r="MXG156" s="3060"/>
      <c r="MXH156" s="3060"/>
      <c r="MXI156" s="3060"/>
      <c r="MXJ156" s="3060"/>
      <c r="MXK156" s="3060"/>
      <c r="MXL156" s="3060"/>
      <c r="MXM156" s="3060"/>
      <c r="MXN156" s="3060"/>
      <c r="MXO156" s="3060"/>
      <c r="MXP156" s="3060"/>
      <c r="MXQ156" s="3060"/>
      <c r="MXR156" s="3060"/>
      <c r="MXS156" s="3060"/>
      <c r="MXT156" s="3060"/>
      <c r="MXU156" s="3060"/>
      <c r="MXV156" s="3060"/>
      <c r="MXW156" s="3060"/>
      <c r="MXX156" s="3060"/>
      <c r="MXY156" s="3060"/>
      <c r="MXZ156" s="3060"/>
      <c r="MYA156" s="3060"/>
      <c r="MYB156" s="3060"/>
      <c r="MYC156" s="3060"/>
      <c r="MYD156" s="3060"/>
      <c r="MYE156" s="3060"/>
      <c r="MYF156" s="3060"/>
      <c r="MYG156" s="3060"/>
      <c r="MYH156" s="3060"/>
      <c r="MYI156" s="3060"/>
      <c r="MYJ156" s="3060"/>
      <c r="MYK156" s="3060"/>
      <c r="MYL156" s="3060"/>
      <c r="MYM156" s="3060"/>
      <c r="MYN156" s="3060"/>
      <c r="MYO156" s="3060"/>
      <c r="MYP156" s="3060"/>
      <c r="MYQ156" s="3060"/>
      <c r="MYR156" s="3060"/>
      <c r="MYS156" s="3060"/>
      <c r="MYT156" s="3060"/>
      <c r="MYU156" s="3060"/>
      <c r="MYV156" s="3060"/>
      <c r="MYW156" s="3060"/>
      <c r="MYX156" s="3060"/>
      <c r="MYY156" s="3060"/>
      <c r="MYZ156" s="3060"/>
      <c r="MZA156" s="3060"/>
      <c r="MZB156" s="3060"/>
      <c r="MZC156" s="3060"/>
      <c r="MZD156" s="3060"/>
      <c r="MZE156" s="3060"/>
      <c r="MZF156" s="3060"/>
      <c r="MZG156" s="3060"/>
      <c r="MZH156" s="3060"/>
      <c r="MZI156" s="3060"/>
      <c r="MZJ156" s="3060"/>
      <c r="MZK156" s="3060"/>
      <c r="MZL156" s="3060"/>
      <c r="MZM156" s="3060"/>
      <c r="MZN156" s="3060"/>
      <c r="MZO156" s="3060"/>
      <c r="MZP156" s="3060"/>
      <c r="MZQ156" s="3060"/>
      <c r="MZR156" s="3060"/>
      <c r="MZS156" s="3060"/>
      <c r="MZT156" s="3060"/>
      <c r="MZU156" s="3060"/>
      <c r="MZV156" s="3060"/>
      <c r="MZW156" s="3060"/>
      <c r="MZX156" s="3060"/>
      <c r="MZY156" s="3060"/>
      <c r="MZZ156" s="3060"/>
      <c r="NAA156" s="3060"/>
      <c r="NAB156" s="3060"/>
      <c r="NAC156" s="3060"/>
      <c r="NAD156" s="3060"/>
      <c r="NAE156" s="3060"/>
      <c r="NAF156" s="3060"/>
      <c r="NAG156" s="3060"/>
      <c r="NAH156" s="3060"/>
      <c r="NAI156" s="3060"/>
      <c r="NAJ156" s="3060"/>
      <c r="NAK156" s="3060"/>
      <c r="NAL156" s="3060"/>
      <c r="NAM156" s="3060"/>
      <c r="NAN156" s="3060"/>
      <c r="NAO156" s="3060"/>
      <c r="NAP156" s="3060"/>
      <c r="NAQ156" s="3060"/>
      <c r="NAR156" s="3060"/>
      <c r="NAS156" s="3060"/>
      <c r="NAT156" s="3060"/>
      <c r="NAU156" s="3060"/>
      <c r="NAV156" s="3060"/>
      <c r="NAW156" s="3060"/>
      <c r="NAX156" s="3060"/>
      <c r="NAY156" s="3060"/>
      <c r="NAZ156" s="3060"/>
      <c r="NBA156" s="3060"/>
      <c r="NBB156" s="3060"/>
      <c r="NBC156" s="3060"/>
      <c r="NBD156" s="3060"/>
      <c r="NBE156" s="3060"/>
      <c r="NBF156" s="3060"/>
      <c r="NBG156" s="3060"/>
      <c r="NBH156" s="3060"/>
      <c r="NBI156" s="3060"/>
      <c r="NBJ156" s="3060"/>
      <c r="NBK156" s="3060"/>
      <c r="NBL156" s="3060"/>
      <c r="NBM156" s="3060"/>
      <c r="NBN156" s="3060"/>
      <c r="NBO156" s="3060"/>
      <c r="NBP156" s="3060"/>
      <c r="NBQ156" s="3060"/>
      <c r="NBR156" s="3060"/>
      <c r="NBS156" s="3060"/>
      <c r="NBT156" s="3060"/>
      <c r="NBU156" s="3060"/>
      <c r="NBV156" s="3060"/>
      <c r="NBW156" s="3060"/>
      <c r="NBX156" s="3060"/>
      <c r="NBY156" s="3060"/>
      <c r="NBZ156" s="3060"/>
      <c r="NCA156" s="3060"/>
      <c r="NCB156" s="3060"/>
      <c r="NCC156" s="3060"/>
      <c r="NCD156" s="3060"/>
      <c r="NCE156" s="3060"/>
      <c r="NCF156" s="3060"/>
      <c r="NCG156" s="3060"/>
      <c r="NCH156" s="3060"/>
      <c r="NCI156" s="3060"/>
      <c r="NCJ156" s="3060"/>
      <c r="NCK156" s="3060"/>
      <c r="NCL156" s="3060"/>
      <c r="NCM156" s="3060"/>
      <c r="NCN156" s="3060"/>
      <c r="NCO156" s="3060"/>
      <c r="NCP156" s="3060"/>
      <c r="NCQ156" s="3060"/>
      <c r="NCR156" s="3060"/>
      <c r="NCS156" s="3060"/>
      <c r="NCT156" s="3060"/>
      <c r="NCU156" s="3060"/>
      <c r="NCV156" s="3060"/>
      <c r="NCW156" s="3060"/>
      <c r="NCX156" s="3060"/>
      <c r="NCY156" s="3060"/>
      <c r="NCZ156" s="3060"/>
      <c r="NDA156" s="3060"/>
      <c r="NDB156" s="3060"/>
      <c r="NDC156" s="3060"/>
      <c r="NDD156" s="3060"/>
      <c r="NDE156" s="3060"/>
      <c r="NDF156" s="3060"/>
      <c r="NDG156" s="3060"/>
      <c r="NDH156" s="3060"/>
      <c r="NDI156" s="3060"/>
      <c r="NDJ156" s="3060"/>
      <c r="NDK156" s="3060"/>
      <c r="NDL156" s="3060"/>
      <c r="NDM156" s="3060"/>
      <c r="NDN156" s="3060"/>
      <c r="NDO156" s="3060"/>
      <c r="NDP156" s="3060"/>
      <c r="NDQ156" s="3060"/>
      <c r="NDR156" s="3060"/>
      <c r="NDS156" s="3060"/>
      <c r="NDT156" s="3060"/>
      <c r="NDU156" s="3060"/>
      <c r="NDV156" s="3060"/>
      <c r="NDW156" s="3060"/>
      <c r="NDX156" s="3060"/>
      <c r="NDY156" s="3060"/>
      <c r="NDZ156" s="3060"/>
      <c r="NEA156" s="3060"/>
      <c r="NEB156" s="3060"/>
      <c r="NEC156" s="3060"/>
      <c r="NED156" s="3060"/>
      <c r="NEE156" s="3060"/>
      <c r="NEF156" s="3060"/>
      <c r="NEG156" s="3060"/>
      <c r="NEH156" s="3060"/>
      <c r="NEI156" s="3060"/>
      <c r="NEJ156" s="3060"/>
      <c r="NEK156" s="3060"/>
      <c r="NEL156" s="3060"/>
      <c r="NEM156" s="3060"/>
      <c r="NEN156" s="3060"/>
      <c r="NEO156" s="3060"/>
      <c r="NEP156" s="3060"/>
      <c r="NEQ156" s="3060"/>
      <c r="NER156" s="3060"/>
      <c r="NES156" s="3060"/>
      <c r="NET156" s="3060"/>
      <c r="NEU156" s="3060"/>
      <c r="NEV156" s="3060"/>
      <c r="NEW156" s="3060"/>
      <c r="NEX156" s="3060"/>
      <c r="NEY156" s="3060"/>
      <c r="NEZ156" s="3060"/>
      <c r="NFA156" s="3060"/>
      <c r="NFB156" s="3060"/>
      <c r="NFC156" s="3060"/>
      <c r="NFD156" s="3060"/>
      <c r="NFE156" s="3060"/>
      <c r="NFF156" s="3060"/>
      <c r="NFG156" s="3060"/>
      <c r="NFH156" s="3060"/>
      <c r="NFI156" s="3060"/>
      <c r="NFJ156" s="3060"/>
      <c r="NFK156" s="3060"/>
      <c r="NFL156" s="3060"/>
      <c r="NFM156" s="3060"/>
      <c r="NFN156" s="3060"/>
      <c r="NFO156" s="3060"/>
      <c r="NFP156" s="3060"/>
      <c r="NFQ156" s="3060"/>
      <c r="NFR156" s="3060"/>
      <c r="NFS156" s="3060"/>
      <c r="NFT156" s="3060"/>
      <c r="NFU156" s="3060"/>
      <c r="NFV156" s="3060"/>
      <c r="NFW156" s="3060"/>
      <c r="NFX156" s="3060"/>
      <c r="NFY156" s="3060"/>
      <c r="NFZ156" s="3060"/>
      <c r="NGA156" s="3060"/>
      <c r="NGB156" s="3060"/>
      <c r="NGC156" s="3060"/>
      <c r="NGD156" s="3060"/>
      <c r="NGE156" s="3060"/>
      <c r="NGF156" s="3060"/>
      <c r="NGG156" s="3060"/>
      <c r="NGH156" s="3060"/>
      <c r="NGI156" s="3060"/>
      <c r="NGJ156" s="3060"/>
      <c r="NGK156" s="3060"/>
      <c r="NGL156" s="3060"/>
      <c r="NGM156" s="3060"/>
      <c r="NGN156" s="3060"/>
      <c r="NGO156" s="3060"/>
      <c r="NGP156" s="3060"/>
      <c r="NGQ156" s="3060"/>
      <c r="NGR156" s="3060"/>
      <c r="NGS156" s="3060"/>
      <c r="NGT156" s="3060"/>
      <c r="NGU156" s="3060"/>
      <c r="NGV156" s="3060"/>
      <c r="NGW156" s="3060"/>
      <c r="NGX156" s="3060"/>
      <c r="NGY156" s="3060"/>
      <c r="NGZ156" s="3060"/>
      <c r="NHA156" s="3060"/>
      <c r="NHB156" s="3060"/>
      <c r="NHC156" s="3060"/>
      <c r="NHD156" s="3060"/>
      <c r="NHE156" s="3060"/>
      <c r="NHF156" s="3060"/>
      <c r="NHG156" s="3060"/>
      <c r="NHH156" s="3060"/>
      <c r="NHI156" s="3060"/>
      <c r="NHJ156" s="3060"/>
      <c r="NHK156" s="3060"/>
      <c r="NHL156" s="3060"/>
      <c r="NHM156" s="3060"/>
      <c r="NHN156" s="3060"/>
      <c r="NHO156" s="3060"/>
      <c r="NHP156" s="3060"/>
      <c r="NHQ156" s="3060"/>
      <c r="NHR156" s="3060"/>
      <c r="NHS156" s="3060"/>
      <c r="NHT156" s="3060"/>
      <c r="NHU156" s="3060"/>
      <c r="NHV156" s="3060"/>
      <c r="NHW156" s="3060"/>
      <c r="NHX156" s="3060"/>
      <c r="NHY156" s="3060"/>
      <c r="NHZ156" s="3060"/>
      <c r="NIA156" s="3060"/>
      <c r="NIB156" s="3060"/>
      <c r="NIC156" s="3060"/>
      <c r="NID156" s="3060"/>
      <c r="NIE156" s="3060"/>
      <c r="NIF156" s="3060"/>
      <c r="NIG156" s="3060"/>
      <c r="NIH156" s="3060"/>
      <c r="NII156" s="3060"/>
      <c r="NIJ156" s="3060"/>
      <c r="NIK156" s="3060"/>
      <c r="NIL156" s="3060"/>
      <c r="NIM156" s="3060"/>
      <c r="NIN156" s="3060"/>
      <c r="NIO156" s="3060"/>
      <c r="NIP156" s="3060"/>
      <c r="NIQ156" s="3060"/>
      <c r="NIR156" s="3060"/>
      <c r="NIS156" s="3060"/>
      <c r="NIT156" s="3060"/>
      <c r="NIU156" s="3060"/>
      <c r="NIV156" s="3060"/>
      <c r="NIW156" s="3060"/>
      <c r="NIX156" s="3060"/>
      <c r="NIY156" s="3060"/>
      <c r="NIZ156" s="3060"/>
      <c r="NJA156" s="3060"/>
      <c r="NJB156" s="3060"/>
      <c r="NJC156" s="3060"/>
      <c r="NJD156" s="3060"/>
      <c r="NJE156" s="3060"/>
      <c r="NJF156" s="3060"/>
      <c r="NJG156" s="3060"/>
      <c r="NJH156" s="3060"/>
      <c r="NJI156" s="3060"/>
      <c r="NJJ156" s="3060"/>
      <c r="NJK156" s="3060"/>
      <c r="NJL156" s="3060"/>
      <c r="NJM156" s="3060"/>
      <c r="NJN156" s="3060"/>
      <c r="NJO156" s="3060"/>
      <c r="NJP156" s="3060"/>
      <c r="NJQ156" s="3060"/>
      <c r="NJR156" s="3060"/>
      <c r="NJS156" s="3060"/>
      <c r="NJT156" s="3060"/>
      <c r="NJU156" s="3060"/>
      <c r="NJV156" s="3060"/>
      <c r="NJW156" s="3060"/>
      <c r="NJX156" s="3060"/>
      <c r="NJY156" s="3060"/>
      <c r="NJZ156" s="3060"/>
      <c r="NKA156" s="3060"/>
      <c r="NKB156" s="3060"/>
      <c r="NKC156" s="3060"/>
      <c r="NKD156" s="3060"/>
      <c r="NKE156" s="3060"/>
      <c r="NKF156" s="3060"/>
      <c r="NKG156" s="3060"/>
      <c r="NKH156" s="3060"/>
      <c r="NKI156" s="3060"/>
      <c r="NKJ156" s="3060"/>
      <c r="NKK156" s="3060"/>
      <c r="NKL156" s="3060"/>
      <c r="NKM156" s="3060"/>
      <c r="NKN156" s="3060"/>
      <c r="NKO156" s="3060"/>
      <c r="NKP156" s="3060"/>
      <c r="NKQ156" s="3060"/>
      <c r="NKR156" s="3060"/>
      <c r="NKS156" s="3060"/>
      <c r="NKT156" s="3060"/>
      <c r="NKU156" s="3060"/>
      <c r="NKV156" s="3060"/>
      <c r="NKW156" s="3060"/>
      <c r="NKX156" s="3060"/>
      <c r="NKY156" s="3060"/>
      <c r="NKZ156" s="3060"/>
      <c r="NLA156" s="3060"/>
      <c r="NLB156" s="3060"/>
      <c r="NLC156" s="3060"/>
      <c r="NLD156" s="3060"/>
      <c r="NLE156" s="3060"/>
      <c r="NLF156" s="3060"/>
      <c r="NLG156" s="3060"/>
      <c r="NLH156" s="3060"/>
      <c r="NLI156" s="3060"/>
      <c r="NLJ156" s="3060"/>
      <c r="NLK156" s="3060"/>
      <c r="NLL156" s="3060"/>
      <c r="NLM156" s="3060"/>
      <c r="NLN156" s="3060"/>
      <c r="NLO156" s="3060"/>
      <c r="NLP156" s="3060"/>
      <c r="NLQ156" s="3060"/>
      <c r="NLR156" s="3060"/>
      <c r="NLS156" s="3060"/>
      <c r="NLT156" s="3060"/>
      <c r="NLU156" s="3060"/>
      <c r="NLV156" s="3060"/>
      <c r="NLW156" s="3060"/>
      <c r="NLX156" s="3060"/>
      <c r="NLY156" s="3060"/>
      <c r="NLZ156" s="3060"/>
      <c r="NMA156" s="3060"/>
      <c r="NMB156" s="3060"/>
      <c r="NMC156" s="3060"/>
      <c r="NMD156" s="3060"/>
      <c r="NME156" s="3060"/>
      <c r="NMF156" s="3060"/>
      <c r="NMG156" s="3060"/>
      <c r="NMH156" s="3060"/>
      <c r="NMI156" s="3060"/>
      <c r="NMJ156" s="3060"/>
      <c r="NMK156" s="3060"/>
      <c r="NML156" s="3060"/>
      <c r="NMM156" s="3060"/>
      <c r="NMN156" s="3060"/>
      <c r="NMO156" s="3060"/>
      <c r="NMP156" s="3060"/>
      <c r="NMQ156" s="3060"/>
      <c r="NMR156" s="3060"/>
      <c r="NMS156" s="3060"/>
      <c r="NMT156" s="3060"/>
      <c r="NMU156" s="3060"/>
      <c r="NMV156" s="3060"/>
      <c r="NMW156" s="3060"/>
      <c r="NMX156" s="3060"/>
      <c r="NMY156" s="3060"/>
      <c r="NMZ156" s="3060"/>
      <c r="NNA156" s="3060"/>
      <c r="NNB156" s="3060"/>
      <c r="NNC156" s="3060"/>
      <c r="NND156" s="3060"/>
      <c r="NNE156" s="3060"/>
      <c r="NNF156" s="3060"/>
      <c r="NNG156" s="3060"/>
      <c r="NNH156" s="3060"/>
      <c r="NNI156" s="3060"/>
      <c r="NNJ156" s="3060"/>
      <c r="NNK156" s="3060"/>
      <c r="NNL156" s="3060"/>
      <c r="NNM156" s="3060"/>
      <c r="NNN156" s="3060"/>
      <c r="NNO156" s="3060"/>
      <c r="NNP156" s="3060"/>
      <c r="NNQ156" s="3060"/>
      <c r="NNR156" s="3060"/>
      <c r="NNS156" s="3060"/>
      <c r="NNT156" s="3060"/>
      <c r="NNU156" s="3060"/>
      <c r="NNV156" s="3060"/>
      <c r="NNW156" s="3060"/>
      <c r="NNX156" s="3060"/>
      <c r="NNY156" s="3060"/>
      <c r="NNZ156" s="3060"/>
      <c r="NOA156" s="3060"/>
      <c r="NOB156" s="3060"/>
      <c r="NOC156" s="3060"/>
      <c r="NOD156" s="3060"/>
      <c r="NOE156" s="3060"/>
      <c r="NOF156" s="3060"/>
      <c r="NOG156" s="3060"/>
      <c r="NOH156" s="3060"/>
      <c r="NOI156" s="3060"/>
      <c r="NOJ156" s="3060"/>
      <c r="NOK156" s="3060"/>
      <c r="NOL156" s="3060"/>
      <c r="NOM156" s="3060"/>
      <c r="NON156" s="3060"/>
      <c r="NOO156" s="3060"/>
      <c r="NOP156" s="3060"/>
      <c r="NOQ156" s="3060"/>
      <c r="NOR156" s="3060"/>
      <c r="NOS156" s="3060"/>
      <c r="NOT156" s="3060"/>
      <c r="NOU156" s="3060"/>
      <c r="NOV156" s="3060"/>
      <c r="NOW156" s="3060"/>
      <c r="NOX156" s="3060"/>
      <c r="NOY156" s="3060"/>
      <c r="NOZ156" s="3060"/>
      <c r="NPA156" s="3060"/>
      <c r="NPB156" s="3060"/>
      <c r="NPC156" s="3060"/>
      <c r="NPD156" s="3060"/>
      <c r="NPE156" s="3060"/>
      <c r="NPF156" s="3060"/>
      <c r="NPG156" s="3060"/>
      <c r="NPH156" s="3060"/>
      <c r="NPI156" s="3060"/>
      <c r="NPJ156" s="3060"/>
      <c r="NPK156" s="3060"/>
      <c r="NPL156" s="3060"/>
      <c r="NPM156" s="3060"/>
      <c r="NPN156" s="3060"/>
      <c r="NPO156" s="3060"/>
      <c r="NPP156" s="3060"/>
      <c r="NPQ156" s="3060"/>
      <c r="NPR156" s="3060"/>
      <c r="NPS156" s="3060"/>
      <c r="NPT156" s="3060"/>
      <c r="NPU156" s="3060"/>
      <c r="NPV156" s="3060"/>
      <c r="NPW156" s="3060"/>
      <c r="NPX156" s="3060"/>
      <c r="NPY156" s="3060"/>
      <c r="NPZ156" s="3060"/>
      <c r="NQA156" s="3060"/>
      <c r="NQB156" s="3060"/>
      <c r="NQC156" s="3060"/>
      <c r="NQD156" s="3060"/>
      <c r="NQE156" s="3060"/>
      <c r="NQF156" s="3060"/>
      <c r="NQG156" s="3060"/>
      <c r="NQH156" s="3060"/>
      <c r="NQI156" s="3060"/>
      <c r="NQJ156" s="3060"/>
      <c r="NQK156" s="3060"/>
      <c r="NQL156" s="3060"/>
      <c r="NQM156" s="3060"/>
      <c r="NQN156" s="3060"/>
      <c r="NQO156" s="3060"/>
      <c r="NQP156" s="3060"/>
      <c r="NQQ156" s="3060"/>
      <c r="NQR156" s="3060"/>
      <c r="NQS156" s="3060"/>
      <c r="NQT156" s="3060"/>
      <c r="NQU156" s="3060"/>
      <c r="NQV156" s="3060"/>
      <c r="NQW156" s="3060"/>
      <c r="NQX156" s="3060"/>
      <c r="NQY156" s="3060"/>
      <c r="NQZ156" s="3060"/>
      <c r="NRA156" s="3060"/>
      <c r="NRB156" s="3060"/>
      <c r="NRC156" s="3060"/>
      <c r="NRD156" s="3060"/>
      <c r="NRE156" s="3060"/>
      <c r="NRF156" s="3060"/>
      <c r="NRG156" s="3060"/>
      <c r="NRH156" s="3060"/>
      <c r="NRI156" s="3060"/>
      <c r="NRJ156" s="3060"/>
      <c r="NRK156" s="3060"/>
      <c r="NRL156" s="3060"/>
      <c r="NRM156" s="3060"/>
      <c r="NRN156" s="3060"/>
      <c r="NRO156" s="3060"/>
      <c r="NRP156" s="3060"/>
      <c r="NRQ156" s="3060"/>
      <c r="NRR156" s="3060"/>
      <c r="NRS156" s="3060"/>
      <c r="NRT156" s="3060"/>
      <c r="NRU156" s="3060"/>
      <c r="NRV156" s="3060"/>
      <c r="NRW156" s="3060"/>
      <c r="NRX156" s="3060"/>
      <c r="NRY156" s="3060"/>
      <c r="NRZ156" s="3060"/>
      <c r="NSA156" s="3060"/>
      <c r="NSB156" s="3060"/>
      <c r="NSC156" s="3060"/>
      <c r="NSD156" s="3060"/>
      <c r="NSE156" s="3060"/>
      <c r="NSF156" s="3060"/>
      <c r="NSG156" s="3060"/>
      <c r="NSH156" s="3060"/>
      <c r="NSI156" s="3060"/>
      <c r="NSJ156" s="3060"/>
      <c r="NSK156" s="3060"/>
      <c r="NSL156" s="3060"/>
      <c r="NSM156" s="3060"/>
      <c r="NSN156" s="3060"/>
      <c r="NSO156" s="3060"/>
      <c r="NSP156" s="3060"/>
      <c r="NSQ156" s="3060"/>
      <c r="NSR156" s="3060"/>
      <c r="NSS156" s="3060"/>
      <c r="NST156" s="3060"/>
      <c r="NSU156" s="3060"/>
      <c r="NSV156" s="3060"/>
      <c r="NSW156" s="3060"/>
      <c r="NSX156" s="3060"/>
      <c r="NSY156" s="3060"/>
      <c r="NSZ156" s="3060"/>
      <c r="NTA156" s="3060"/>
      <c r="NTB156" s="3060"/>
      <c r="NTC156" s="3060"/>
      <c r="NTD156" s="3060"/>
      <c r="NTE156" s="3060"/>
      <c r="NTF156" s="3060"/>
      <c r="NTG156" s="3060"/>
      <c r="NTH156" s="3060"/>
      <c r="NTI156" s="3060"/>
      <c r="NTJ156" s="3060"/>
      <c r="NTK156" s="3060"/>
      <c r="NTL156" s="3060"/>
      <c r="NTM156" s="3060"/>
      <c r="NTN156" s="3060"/>
      <c r="NTO156" s="3060"/>
      <c r="NTP156" s="3060"/>
      <c r="NTQ156" s="3060"/>
      <c r="NTR156" s="3060"/>
      <c r="NTS156" s="3060"/>
      <c r="NTT156" s="3060"/>
      <c r="NTU156" s="3060"/>
      <c r="NTV156" s="3060"/>
      <c r="NTW156" s="3060"/>
      <c r="NTX156" s="3060"/>
      <c r="NTY156" s="3060"/>
      <c r="NTZ156" s="3060"/>
      <c r="NUA156" s="3060"/>
      <c r="NUB156" s="3060"/>
      <c r="NUC156" s="3060"/>
      <c r="NUD156" s="3060"/>
      <c r="NUE156" s="3060"/>
      <c r="NUF156" s="3060"/>
      <c r="NUG156" s="3060"/>
      <c r="NUH156" s="3060"/>
      <c r="NUI156" s="3060"/>
      <c r="NUJ156" s="3060"/>
      <c r="NUK156" s="3060"/>
      <c r="NUL156" s="3060"/>
      <c r="NUM156" s="3060"/>
      <c r="NUN156" s="3060"/>
      <c r="NUO156" s="3060"/>
      <c r="NUP156" s="3060"/>
      <c r="NUQ156" s="3060"/>
      <c r="NUR156" s="3060"/>
      <c r="NUS156" s="3060"/>
      <c r="NUT156" s="3060"/>
      <c r="NUU156" s="3060"/>
      <c r="NUV156" s="3060"/>
      <c r="NUW156" s="3060"/>
      <c r="NUX156" s="3060"/>
      <c r="NUY156" s="3060"/>
      <c r="NUZ156" s="3060"/>
      <c r="NVA156" s="3060"/>
      <c r="NVB156" s="3060"/>
      <c r="NVC156" s="3060"/>
      <c r="NVD156" s="3060"/>
      <c r="NVE156" s="3060"/>
      <c r="NVF156" s="3060"/>
      <c r="NVG156" s="3060"/>
      <c r="NVH156" s="3060"/>
      <c r="NVI156" s="3060"/>
      <c r="NVJ156" s="3060"/>
      <c r="NVK156" s="3060"/>
      <c r="NVL156" s="3060"/>
      <c r="NVM156" s="3060"/>
      <c r="NVN156" s="3060"/>
      <c r="NVO156" s="3060"/>
      <c r="NVP156" s="3060"/>
      <c r="NVQ156" s="3060"/>
      <c r="NVR156" s="3060"/>
      <c r="NVS156" s="3060"/>
      <c r="NVT156" s="3060"/>
      <c r="NVU156" s="3060"/>
      <c r="NVV156" s="3060"/>
      <c r="NVW156" s="3060"/>
      <c r="NVX156" s="3060"/>
      <c r="NVY156" s="3060"/>
      <c r="NVZ156" s="3060"/>
      <c r="NWA156" s="3060"/>
      <c r="NWB156" s="3060"/>
      <c r="NWC156" s="3060"/>
      <c r="NWD156" s="3060"/>
      <c r="NWE156" s="3060"/>
      <c r="NWF156" s="3060"/>
      <c r="NWG156" s="3060"/>
      <c r="NWH156" s="3060"/>
      <c r="NWI156" s="3060"/>
      <c r="NWJ156" s="3060"/>
      <c r="NWK156" s="3060"/>
      <c r="NWL156" s="3060"/>
      <c r="NWM156" s="3060"/>
      <c r="NWN156" s="3060"/>
      <c r="NWO156" s="3060"/>
      <c r="NWP156" s="3060"/>
      <c r="NWQ156" s="3060"/>
      <c r="NWR156" s="3060"/>
      <c r="NWS156" s="3060"/>
      <c r="NWT156" s="3060"/>
      <c r="NWU156" s="3060"/>
      <c r="NWV156" s="3060"/>
      <c r="NWW156" s="3060"/>
      <c r="NWX156" s="3060"/>
      <c r="NWY156" s="3060"/>
      <c r="NWZ156" s="3060"/>
      <c r="NXA156" s="3060"/>
      <c r="NXB156" s="3060"/>
      <c r="NXC156" s="3060"/>
      <c r="NXD156" s="3060"/>
      <c r="NXE156" s="3060"/>
      <c r="NXF156" s="3060"/>
      <c r="NXG156" s="3060"/>
      <c r="NXH156" s="3060"/>
      <c r="NXI156" s="3060"/>
      <c r="NXJ156" s="3060"/>
      <c r="NXK156" s="3060"/>
      <c r="NXL156" s="3060"/>
      <c r="NXM156" s="3060"/>
      <c r="NXN156" s="3060"/>
      <c r="NXO156" s="3060"/>
      <c r="NXP156" s="3060"/>
      <c r="NXQ156" s="3060"/>
      <c r="NXR156" s="3060"/>
      <c r="NXS156" s="3060"/>
      <c r="NXT156" s="3060"/>
      <c r="NXU156" s="3060"/>
      <c r="NXV156" s="3060"/>
      <c r="NXW156" s="3060"/>
      <c r="NXX156" s="3060"/>
      <c r="NXY156" s="3060"/>
      <c r="NXZ156" s="3060"/>
      <c r="NYA156" s="3060"/>
      <c r="NYB156" s="3060"/>
      <c r="NYC156" s="3060"/>
      <c r="NYD156" s="3060"/>
      <c r="NYE156" s="3060"/>
      <c r="NYF156" s="3060"/>
      <c r="NYG156" s="3060"/>
      <c r="NYH156" s="3060"/>
      <c r="NYI156" s="3060"/>
      <c r="NYJ156" s="3060"/>
      <c r="NYK156" s="3060"/>
      <c r="NYL156" s="3060"/>
      <c r="NYM156" s="3060"/>
      <c r="NYN156" s="3060"/>
      <c r="NYO156" s="3060"/>
      <c r="NYP156" s="3060"/>
      <c r="NYQ156" s="3060"/>
      <c r="NYR156" s="3060"/>
      <c r="NYS156" s="3060"/>
      <c r="NYT156" s="3060"/>
      <c r="NYU156" s="3060"/>
      <c r="NYV156" s="3060"/>
      <c r="NYW156" s="3060"/>
      <c r="NYX156" s="3060"/>
      <c r="NYY156" s="3060"/>
      <c r="NYZ156" s="3060"/>
      <c r="NZA156" s="3060"/>
      <c r="NZB156" s="3060"/>
      <c r="NZC156" s="3060"/>
      <c r="NZD156" s="3060"/>
      <c r="NZE156" s="3060"/>
      <c r="NZF156" s="3060"/>
      <c r="NZG156" s="3060"/>
      <c r="NZH156" s="3060"/>
      <c r="NZI156" s="3060"/>
      <c r="NZJ156" s="3060"/>
      <c r="NZK156" s="3060"/>
      <c r="NZL156" s="3060"/>
      <c r="NZM156" s="3060"/>
      <c r="NZN156" s="3060"/>
      <c r="NZO156" s="3060"/>
      <c r="NZP156" s="3060"/>
      <c r="NZQ156" s="3060"/>
      <c r="NZR156" s="3060"/>
      <c r="NZS156" s="3060"/>
      <c r="NZT156" s="3060"/>
      <c r="NZU156" s="3060"/>
      <c r="NZV156" s="3060"/>
      <c r="NZW156" s="3060"/>
      <c r="NZX156" s="3060"/>
      <c r="NZY156" s="3060"/>
      <c r="NZZ156" s="3060"/>
      <c r="OAA156" s="3060"/>
      <c r="OAB156" s="3060"/>
      <c r="OAC156" s="3060"/>
      <c r="OAD156" s="3060"/>
      <c r="OAE156" s="3060"/>
      <c r="OAF156" s="3060"/>
      <c r="OAG156" s="3060"/>
      <c r="OAH156" s="3060"/>
      <c r="OAI156" s="3060"/>
      <c r="OAJ156" s="3060"/>
      <c r="OAK156" s="3060"/>
      <c r="OAL156" s="3060"/>
      <c r="OAM156" s="3060"/>
      <c r="OAN156" s="3060"/>
      <c r="OAO156" s="3060"/>
      <c r="OAP156" s="3060"/>
      <c r="OAQ156" s="3060"/>
      <c r="OAR156" s="3060"/>
      <c r="OAS156" s="3060"/>
      <c r="OAT156" s="3060"/>
      <c r="OAU156" s="3060"/>
      <c r="OAV156" s="3060"/>
      <c r="OAW156" s="3060"/>
      <c r="OAX156" s="3060"/>
      <c r="OAY156" s="3060"/>
      <c r="OAZ156" s="3060"/>
      <c r="OBA156" s="3060"/>
      <c r="OBB156" s="3060"/>
      <c r="OBC156" s="3060"/>
      <c r="OBD156" s="3060"/>
      <c r="OBE156" s="3060"/>
      <c r="OBF156" s="3060"/>
      <c r="OBG156" s="3060"/>
      <c r="OBH156" s="3060"/>
      <c r="OBI156" s="3060"/>
      <c r="OBJ156" s="3060"/>
      <c r="OBK156" s="3060"/>
      <c r="OBL156" s="3060"/>
      <c r="OBM156" s="3060"/>
      <c r="OBN156" s="3060"/>
      <c r="OBO156" s="3060"/>
      <c r="OBP156" s="3060"/>
      <c r="OBQ156" s="3060"/>
      <c r="OBR156" s="3060"/>
      <c r="OBS156" s="3060"/>
      <c r="OBT156" s="3060"/>
      <c r="OBU156" s="3060"/>
      <c r="OBV156" s="3060"/>
      <c r="OBW156" s="3060"/>
      <c r="OBX156" s="3060"/>
      <c r="OBY156" s="3060"/>
      <c r="OBZ156" s="3060"/>
      <c r="OCA156" s="3060"/>
      <c r="OCB156" s="3060"/>
      <c r="OCC156" s="3060"/>
      <c r="OCD156" s="3060"/>
      <c r="OCE156" s="3060"/>
      <c r="OCF156" s="3060"/>
      <c r="OCG156" s="3060"/>
      <c r="OCH156" s="3060"/>
      <c r="OCI156" s="3060"/>
      <c r="OCJ156" s="3060"/>
      <c r="OCK156" s="3060"/>
      <c r="OCL156" s="3060"/>
      <c r="OCM156" s="3060"/>
      <c r="OCN156" s="3060"/>
      <c r="OCO156" s="3060"/>
      <c r="OCP156" s="3060"/>
      <c r="OCQ156" s="3060"/>
      <c r="OCR156" s="3060"/>
      <c r="OCS156" s="3060"/>
      <c r="OCT156" s="3060"/>
      <c r="OCU156" s="3060"/>
      <c r="OCV156" s="3060"/>
      <c r="OCW156" s="3060"/>
      <c r="OCX156" s="3060"/>
      <c r="OCY156" s="3060"/>
      <c r="OCZ156" s="3060"/>
      <c r="ODA156" s="3060"/>
      <c r="ODB156" s="3060"/>
      <c r="ODC156" s="3060"/>
      <c r="ODD156" s="3060"/>
      <c r="ODE156" s="3060"/>
      <c r="ODF156" s="3060"/>
      <c r="ODG156" s="3060"/>
      <c r="ODH156" s="3060"/>
      <c r="ODI156" s="3060"/>
      <c r="ODJ156" s="3060"/>
      <c r="ODK156" s="3060"/>
      <c r="ODL156" s="3060"/>
      <c r="ODM156" s="3060"/>
      <c r="ODN156" s="3060"/>
      <c r="ODO156" s="3060"/>
      <c r="ODP156" s="3060"/>
      <c r="ODQ156" s="3060"/>
      <c r="ODR156" s="3060"/>
      <c r="ODS156" s="3060"/>
      <c r="ODT156" s="3060"/>
      <c r="ODU156" s="3060"/>
      <c r="ODV156" s="3060"/>
      <c r="ODW156" s="3060"/>
      <c r="ODX156" s="3060"/>
      <c r="ODY156" s="3060"/>
      <c r="ODZ156" s="3060"/>
      <c r="OEA156" s="3060"/>
      <c r="OEB156" s="3060"/>
      <c r="OEC156" s="3060"/>
      <c r="OED156" s="3060"/>
      <c r="OEE156" s="3060"/>
      <c r="OEF156" s="3060"/>
      <c r="OEG156" s="3060"/>
      <c r="OEH156" s="3060"/>
      <c r="OEI156" s="3060"/>
      <c r="OEJ156" s="3060"/>
      <c r="OEK156" s="3060"/>
      <c r="OEL156" s="3060"/>
      <c r="OEM156" s="3060"/>
      <c r="OEN156" s="3060"/>
      <c r="OEO156" s="3060"/>
      <c r="OEP156" s="3060"/>
      <c r="OEQ156" s="3060"/>
      <c r="OER156" s="3060"/>
      <c r="OES156" s="3060"/>
      <c r="OET156" s="3060"/>
      <c r="OEU156" s="3060"/>
      <c r="OEV156" s="3060"/>
      <c r="OEW156" s="3060"/>
      <c r="OEX156" s="3060"/>
      <c r="OEY156" s="3060"/>
      <c r="OEZ156" s="3060"/>
      <c r="OFA156" s="3060"/>
      <c r="OFB156" s="3060"/>
      <c r="OFC156" s="3060"/>
      <c r="OFD156" s="3060"/>
      <c r="OFE156" s="3060"/>
      <c r="OFF156" s="3060"/>
      <c r="OFG156" s="3060"/>
      <c r="OFH156" s="3060"/>
      <c r="OFI156" s="3060"/>
      <c r="OFJ156" s="3060"/>
      <c r="OFK156" s="3060"/>
      <c r="OFL156" s="3060"/>
      <c r="OFM156" s="3060"/>
      <c r="OFN156" s="3060"/>
      <c r="OFO156" s="3060"/>
      <c r="OFP156" s="3060"/>
      <c r="OFQ156" s="3060"/>
      <c r="OFR156" s="3060"/>
      <c r="OFS156" s="3060"/>
      <c r="OFT156" s="3060"/>
      <c r="OFU156" s="3060"/>
      <c r="OFV156" s="3060"/>
      <c r="OFW156" s="3060"/>
      <c r="OFX156" s="3060"/>
      <c r="OFY156" s="3060"/>
      <c r="OFZ156" s="3060"/>
      <c r="OGA156" s="3060"/>
      <c r="OGB156" s="3060"/>
      <c r="OGC156" s="3060"/>
      <c r="OGD156" s="3060"/>
      <c r="OGE156" s="3060"/>
      <c r="OGF156" s="3060"/>
      <c r="OGG156" s="3060"/>
      <c r="OGH156" s="3060"/>
      <c r="OGI156" s="3060"/>
      <c r="OGJ156" s="3060"/>
      <c r="OGK156" s="3060"/>
      <c r="OGL156" s="3060"/>
      <c r="OGM156" s="3060"/>
      <c r="OGN156" s="3060"/>
      <c r="OGO156" s="3060"/>
      <c r="OGP156" s="3060"/>
      <c r="OGQ156" s="3060"/>
      <c r="OGR156" s="3060"/>
      <c r="OGS156" s="3060"/>
      <c r="OGT156" s="3060"/>
      <c r="OGU156" s="3060"/>
      <c r="OGV156" s="3060"/>
      <c r="OGW156" s="3060"/>
      <c r="OGX156" s="3060"/>
      <c r="OGY156" s="3060"/>
      <c r="OGZ156" s="3060"/>
      <c r="OHA156" s="3060"/>
      <c r="OHB156" s="3060"/>
      <c r="OHC156" s="3060"/>
      <c r="OHD156" s="3060"/>
      <c r="OHE156" s="3060"/>
      <c r="OHF156" s="3060"/>
      <c r="OHG156" s="3060"/>
      <c r="OHH156" s="3060"/>
      <c r="OHI156" s="3060"/>
      <c r="OHJ156" s="3060"/>
      <c r="OHK156" s="3060"/>
      <c r="OHL156" s="3060"/>
      <c r="OHM156" s="3060"/>
      <c r="OHN156" s="3060"/>
      <c r="OHO156" s="3060"/>
      <c r="OHP156" s="3060"/>
      <c r="OHQ156" s="3060"/>
      <c r="OHR156" s="3060"/>
      <c r="OHS156" s="3060"/>
      <c r="OHT156" s="3060"/>
      <c r="OHU156" s="3060"/>
      <c r="OHV156" s="3060"/>
      <c r="OHW156" s="3060"/>
      <c r="OHX156" s="3060"/>
      <c r="OHY156" s="3060"/>
      <c r="OHZ156" s="3060"/>
      <c r="OIA156" s="3060"/>
      <c r="OIB156" s="3060"/>
      <c r="OIC156" s="3060"/>
      <c r="OID156" s="3060"/>
      <c r="OIE156" s="3060"/>
      <c r="OIF156" s="3060"/>
      <c r="OIG156" s="3060"/>
      <c r="OIH156" s="3060"/>
      <c r="OII156" s="3060"/>
      <c r="OIJ156" s="3060"/>
      <c r="OIK156" s="3060"/>
      <c r="OIL156" s="3060"/>
      <c r="OIM156" s="3060"/>
      <c r="OIN156" s="3060"/>
      <c r="OIO156" s="3060"/>
      <c r="OIP156" s="3060"/>
      <c r="OIQ156" s="3060"/>
      <c r="OIR156" s="3060"/>
      <c r="OIS156" s="3060"/>
      <c r="OIT156" s="3060"/>
      <c r="OIU156" s="3060"/>
      <c r="OIV156" s="3060"/>
      <c r="OIW156" s="3060"/>
      <c r="OIX156" s="3060"/>
      <c r="OIY156" s="3060"/>
      <c r="OIZ156" s="3060"/>
      <c r="OJA156" s="3060"/>
      <c r="OJB156" s="3060"/>
      <c r="OJC156" s="3060"/>
      <c r="OJD156" s="3060"/>
      <c r="OJE156" s="3060"/>
      <c r="OJF156" s="3060"/>
      <c r="OJG156" s="3060"/>
      <c r="OJH156" s="3060"/>
      <c r="OJI156" s="3060"/>
      <c r="OJJ156" s="3060"/>
      <c r="OJK156" s="3060"/>
      <c r="OJL156" s="3060"/>
      <c r="OJM156" s="3060"/>
      <c r="OJN156" s="3060"/>
      <c r="OJO156" s="3060"/>
      <c r="OJP156" s="3060"/>
      <c r="OJQ156" s="3060"/>
      <c r="OJR156" s="3060"/>
      <c r="OJS156" s="3060"/>
      <c r="OJT156" s="3060"/>
      <c r="OJU156" s="3060"/>
      <c r="OJV156" s="3060"/>
      <c r="OJW156" s="3060"/>
      <c r="OJX156" s="3060"/>
      <c r="OJY156" s="3060"/>
      <c r="OJZ156" s="3060"/>
      <c r="OKA156" s="3060"/>
      <c r="OKB156" s="3060"/>
      <c r="OKC156" s="3060"/>
      <c r="OKD156" s="3060"/>
      <c r="OKE156" s="3060"/>
      <c r="OKF156" s="3060"/>
      <c r="OKG156" s="3060"/>
      <c r="OKH156" s="3060"/>
      <c r="OKI156" s="3060"/>
      <c r="OKJ156" s="3060"/>
      <c r="OKK156" s="3060"/>
      <c r="OKL156" s="3060"/>
      <c r="OKM156" s="3060"/>
      <c r="OKN156" s="3060"/>
      <c r="OKO156" s="3060"/>
      <c r="OKP156" s="3060"/>
      <c r="OKQ156" s="3060"/>
      <c r="OKR156" s="3060"/>
      <c r="OKS156" s="3060"/>
      <c r="OKT156" s="3060"/>
      <c r="OKU156" s="3060"/>
      <c r="OKV156" s="3060"/>
      <c r="OKW156" s="3060"/>
      <c r="OKX156" s="3060"/>
      <c r="OKY156" s="3060"/>
      <c r="OKZ156" s="3060"/>
      <c r="OLA156" s="3060"/>
      <c r="OLB156" s="3060"/>
      <c r="OLC156" s="3060"/>
      <c r="OLD156" s="3060"/>
      <c r="OLE156" s="3060"/>
      <c r="OLF156" s="3060"/>
      <c r="OLG156" s="3060"/>
      <c r="OLH156" s="3060"/>
      <c r="OLI156" s="3060"/>
      <c r="OLJ156" s="3060"/>
      <c r="OLK156" s="3060"/>
      <c r="OLL156" s="3060"/>
      <c r="OLM156" s="3060"/>
      <c r="OLN156" s="3060"/>
      <c r="OLO156" s="3060"/>
      <c r="OLP156" s="3060"/>
      <c r="OLQ156" s="3060"/>
      <c r="OLR156" s="3060"/>
      <c r="OLS156" s="3060"/>
      <c r="OLT156" s="3060"/>
      <c r="OLU156" s="3060"/>
      <c r="OLV156" s="3060"/>
      <c r="OLW156" s="3060"/>
      <c r="OLX156" s="3060"/>
      <c r="OLY156" s="3060"/>
      <c r="OLZ156" s="3060"/>
      <c r="OMA156" s="3060"/>
      <c r="OMB156" s="3060"/>
      <c r="OMC156" s="3060"/>
      <c r="OMD156" s="3060"/>
      <c r="OME156" s="3060"/>
      <c r="OMF156" s="3060"/>
      <c r="OMG156" s="3060"/>
      <c r="OMH156" s="3060"/>
      <c r="OMI156" s="3060"/>
      <c r="OMJ156" s="3060"/>
      <c r="OMK156" s="3060"/>
      <c r="OML156" s="3060"/>
      <c r="OMM156" s="3060"/>
      <c r="OMN156" s="3060"/>
      <c r="OMO156" s="3060"/>
      <c r="OMP156" s="3060"/>
      <c r="OMQ156" s="3060"/>
      <c r="OMR156" s="3060"/>
      <c r="OMS156" s="3060"/>
      <c r="OMT156" s="3060"/>
      <c r="OMU156" s="3060"/>
      <c r="OMV156" s="3060"/>
      <c r="OMW156" s="3060"/>
      <c r="OMX156" s="3060"/>
      <c r="OMY156" s="3060"/>
      <c r="OMZ156" s="3060"/>
      <c r="ONA156" s="3060"/>
      <c r="ONB156" s="3060"/>
      <c r="ONC156" s="3060"/>
      <c r="OND156" s="3060"/>
      <c r="ONE156" s="3060"/>
      <c r="ONF156" s="3060"/>
      <c r="ONG156" s="3060"/>
      <c r="ONH156" s="3060"/>
      <c r="ONI156" s="3060"/>
      <c r="ONJ156" s="3060"/>
      <c r="ONK156" s="3060"/>
      <c r="ONL156" s="3060"/>
      <c r="ONM156" s="3060"/>
      <c r="ONN156" s="3060"/>
      <c r="ONO156" s="3060"/>
      <c r="ONP156" s="3060"/>
      <c r="ONQ156" s="3060"/>
      <c r="ONR156" s="3060"/>
      <c r="ONS156" s="3060"/>
      <c r="ONT156" s="3060"/>
      <c r="ONU156" s="3060"/>
      <c r="ONV156" s="3060"/>
      <c r="ONW156" s="3060"/>
      <c r="ONX156" s="3060"/>
      <c r="ONY156" s="3060"/>
      <c r="ONZ156" s="3060"/>
      <c r="OOA156" s="3060"/>
      <c r="OOB156" s="3060"/>
      <c r="OOC156" s="3060"/>
      <c r="OOD156" s="3060"/>
      <c r="OOE156" s="3060"/>
      <c r="OOF156" s="3060"/>
      <c r="OOG156" s="3060"/>
      <c r="OOH156" s="3060"/>
      <c r="OOI156" s="3060"/>
      <c r="OOJ156" s="3060"/>
      <c r="OOK156" s="3060"/>
      <c r="OOL156" s="3060"/>
      <c r="OOM156" s="3060"/>
      <c r="OON156" s="3060"/>
      <c r="OOO156" s="3060"/>
      <c r="OOP156" s="3060"/>
      <c r="OOQ156" s="3060"/>
      <c r="OOR156" s="3060"/>
      <c r="OOS156" s="3060"/>
      <c r="OOT156" s="3060"/>
      <c r="OOU156" s="3060"/>
      <c r="OOV156" s="3060"/>
      <c r="OOW156" s="3060"/>
      <c r="OOX156" s="3060"/>
      <c r="OOY156" s="3060"/>
      <c r="OOZ156" s="3060"/>
      <c r="OPA156" s="3060"/>
      <c r="OPB156" s="3060"/>
      <c r="OPC156" s="3060"/>
      <c r="OPD156" s="3060"/>
      <c r="OPE156" s="3060"/>
      <c r="OPF156" s="3060"/>
      <c r="OPG156" s="3060"/>
      <c r="OPH156" s="3060"/>
      <c r="OPI156" s="3060"/>
      <c r="OPJ156" s="3060"/>
      <c r="OPK156" s="3060"/>
      <c r="OPL156" s="3060"/>
      <c r="OPM156" s="3060"/>
      <c r="OPN156" s="3060"/>
      <c r="OPO156" s="3060"/>
      <c r="OPP156" s="3060"/>
      <c r="OPQ156" s="3060"/>
      <c r="OPR156" s="3060"/>
      <c r="OPS156" s="3060"/>
      <c r="OPT156" s="3060"/>
      <c r="OPU156" s="3060"/>
      <c r="OPV156" s="3060"/>
      <c r="OPW156" s="3060"/>
      <c r="OPX156" s="3060"/>
      <c r="OPY156" s="3060"/>
      <c r="OPZ156" s="3060"/>
      <c r="OQA156" s="3060"/>
      <c r="OQB156" s="3060"/>
      <c r="OQC156" s="3060"/>
      <c r="OQD156" s="3060"/>
      <c r="OQE156" s="3060"/>
      <c r="OQF156" s="3060"/>
      <c r="OQG156" s="3060"/>
      <c r="OQH156" s="3060"/>
      <c r="OQI156" s="3060"/>
      <c r="OQJ156" s="3060"/>
      <c r="OQK156" s="3060"/>
      <c r="OQL156" s="3060"/>
      <c r="OQM156" s="3060"/>
      <c r="OQN156" s="3060"/>
      <c r="OQO156" s="3060"/>
      <c r="OQP156" s="3060"/>
      <c r="OQQ156" s="3060"/>
      <c r="OQR156" s="3060"/>
      <c r="OQS156" s="3060"/>
      <c r="OQT156" s="3060"/>
      <c r="OQU156" s="3060"/>
      <c r="OQV156" s="3060"/>
      <c r="OQW156" s="3060"/>
      <c r="OQX156" s="3060"/>
      <c r="OQY156" s="3060"/>
      <c r="OQZ156" s="3060"/>
      <c r="ORA156" s="3060"/>
      <c r="ORB156" s="3060"/>
      <c r="ORC156" s="3060"/>
      <c r="ORD156" s="3060"/>
      <c r="ORE156" s="3060"/>
      <c r="ORF156" s="3060"/>
      <c r="ORG156" s="3060"/>
      <c r="ORH156" s="3060"/>
      <c r="ORI156" s="3060"/>
      <c r="ORJ156" s="3060"/>
      <c r="ORK156" s="3060"/>
      <c r="ORL156" s="3060"/>
      <c r="ORM156" s="3060"/>
      <c r="ORN156" s="3060"/>
      <c r="ORO156" s="3060"/>
      <c r="ORP156" s="3060"/>
      <c r="ORQ156" s="3060"/>
      <c r="ORR156" s="3060"/>
      <c r="ORS156" s="3060"/>
      <c r="ORT156" s="3060"/>
      <c r="ORU156" s="3060"/>
      <c r="ORV156" s="3060"/>
      <c r="ORW156" s="3060"/>
      <c r="ORX156" s="3060"/>
      <c r="ORY156" s="3060"/>
      <c r="ORZ156" s="3060"/>
      <c r="OSA156" s="3060"/>
      <c r="OSB156" s="3060"/>
      <c r="OSC156" s="3060"/>
      <c r="OSD156" s="3060"/>
      <c r="OSE156" s="3060"/>
      <c r="OSF156" s="3060"/>
      <c r="OSG156" s="3060"/>
      <c r="OSH156" s="3060"/>
      <c r="OSI156" s="3060"/>
      <c r="OSJ156" s="3060"/>
      <c r="OSK156" s="3060"/>
      <c r="OSL156" s="3060"/>
      <c r="OSM156" s="3060"/>
      <c r="OSN156" s="3060"/>
      <c r="OSO156" s="3060"/>
      <c r="OSP156" s="3060"/>
      <c r="OSQ156" s="3060"/>
      <c r="OSR156" s="3060"/>
      <c r="OSS156" s="3060"/>
      <c r="OST156" s="3060"/>
      <c r="OSU156" s="3060"/>
      <c r="OSV156" s="3060"/>
      <c r="OSW156" s="3060"/>
      <c r="OSX156" s="3060"/>
      <c r="OSY156" s="3060"/>
      <c r="OSZ156" s="3060"/>
      <c r="OTA156" s="3060"/>
      <c r="OTB156" s="3060"/>
      <c r="OTC156" s="3060"/>
      <c r="OTD156" s="3060"/>
      <c r="OTE156" s="3060"/>
      <c r="OTF156" s="3060"/>
      <c r="OTG156" s="3060"/>
      <c r="OTH156" s="3060"/>
      <c r="OTI156" s="3060"/>
      <c r="OTJ156" s="3060"/>
      <c r="OTK156" s="3060"/>
      <c r="OTL156" s="3060"/>
      <c r="OTM156" s="3060"/>
      <c r="OTN156" s="3060"/>
      <c r="OTO156" s="3060"/>
      <c r="OTP156" s="3060"/>
      <c r="OTQ156" s="3060"/>
      <c r="OTR156" s="3060"/>
      <c r="OTS156" s="3060"/>
      <c r="OTT156" s="3060"/>
      <c r="OTU156" s="3060"/>
      <c r="OTV156" s="3060"/>
      <c r="OTW156" s="3060"/>
      <c r="OTX156" s="3060"/>
      <c r="OTY156" s="3060"/>
      <c r="OTZ156" s="3060"/>
      <c r="OUA156" s="3060"/>
      <c r="OUB156" s="3060"/>
      <c r="OUC156" s="3060"/>
      <c r="OUD156" s="3060"/>
      <c r="OUE156" s="3060"/>
      <c r="OUF156" s="3060"/>
      <c r="OUG156" s="3060"/>
      <c r="OUH156" s="3060"/>
      <c r="OUI156" s="3060"/>
      <c r="OUJ156" s="3060"/>
      <c r="OUK156" s="3060"/>
      <c r="OUL156" s="3060"/>
      <c r="OUM156" s="3060"/>
      <c r="OUN156" s="3060"/>
      <c r="OUO156" s="3060"/>
      <c r="OUP156" s="3060"/>
      <c r="OUQ156" s="3060"/>
      <c r="OUR156" s="3060"/>
      <c r="OUS156" s="3060"/>
      <c r="OUT156" s="3060"/>
      <c r="OUU156" s="3060"/>
      <c r="OUV156" s="3060"/>
      <c r="OUW156" s="3060"/>
      <c r="OUX156" s="3060"/>
      <c r="OUY156" s="3060"/>
      <c r="OUZ156" s="3060"/>
      <c r="OVA156" s="3060"/>
      <c r="OVB156" s="3060"/>
      <c r="OVC156" s="3060"/>
      <c r="OVD156" s="3060"/>
      <c r="OVE156" s="3060"/>
      <c r="OVF156" s="3060"/>
      <c r="OVG156" s="3060"/>
      <c r="OVH156" s="3060"/>
      <c r="OVI156" s="3060"/>
      <c r="OVJ156" s="3060"/>
      <c r="OVK156" s="3060"/>
      <c r="OVL156" s="3060"/>
      <c r="OVM156" s="3060"/>
      <c r="OVN156" s="3060"/>
      <c r="OVO156" s="3060"/>
      <c r="OVP156" s="3060"/>
      <c r="OVQ156" s="3060"/>
      <c r="OVR156" s="3060"/>
      <c r="OVS156" s="3060"/>
      <c r="OVT156" s="3060"/>
      <c r="OVU156" s="3060"/>
      <c r="OVV156" s="3060"/>
      <c r="OVW156" s="3060"/>
      <c r="OVX156" s="3060"/>
      <c r="OVY156" s="3060"/>
      <c r="OVZ156" s="3060"/>
      <c r="OWA156" s="3060"/>
      <c r="OWB156" s="3060"/>
      <c r="OWC156" s="3060"/>
      <c r="OWD156" s="3060"/>
      <c r="OWE156" s="3060"/>
      <c r="OWF156" s="3060"/>
      <c r="OWG156" s="3060"/>
      <c r="OWH156" s="3060"/>
      <c r="OWI156" s="3060"/>
      <c r="OWJ156" s="3060"/>
      <c r="OWK156" s="3060"/>
      <c r="OWL156" s="3060"/>
      <c r="OWM156" s="3060"/>
      <c r="OWN156" s="3060"/>
      <c r="OWO156" s="3060"/>
      <c r="OWP156" s="3060"/>
      <c r="OWQ156" s="3060"/>
      <c r="OWR156" s="3060"/>
      <c r="OWS156" s="3060"/>
      <c r="OWT156" s="3060"/>
      <c r="OWU156" s="3060"/>
      <c r="OWV156" s="3060"/>
      <c r="OWW156" s="3060"/>
      <c r="OWX156" s="3060"/>
      <c r="OWY156" s="3060"/>
      <c r="OWZ156" s="3060"/>
      <c r="OXA156" s="3060"/>
      <c r="OXB156" s="3060"/>
      <c r="OXC156" s="3060"/>
      <c r="OXD156" s="3060"/>
      <c r="OXE156" s="3060"/>
      <c r="OXF156" s="3060"/>
      <c r="OXG156" s="3060"/>
      <c r="OXH156" s="3060"/>
      <c r="OXI156" s="3060"/>
      <c r="OXJ156" s="3060"/>
      <c r="OXK156" s="3060"/>
      <c r="OXL156" s="3060"/>
      <c r="OXM156" s="3060"/>
      <c r="OXN156" s="3060"/>
      <c r="OXO156" s="3060"/>
      <c r="OXP156" s="3060"/>
      <c r="OXQ156" s="3060"/>
      <c r="OXR156" s="3060"/>
      <c r="OXS156" s="3060"/>
      <c r="OXT156" s="3060"/>
      <c r="OXU156" s="3060"/>
      <c r="OXV156" s="3060"/>
      <c r="OXW156" s="3060"/>
      <c r="OXX156" s="3060"/>
      <c r="OXY156" s="3060"/>
      <c r="OXZ156" s="3060"/>
      <c r="OYA156" s="3060"/>
      <c r="OYB156" s="3060"/>
      <c r="OYC156" s="3060"/>
      <c r="OYD156" s="3060"/>
      <c r="OYE156" s="3060"/>
      <c r="OYF156" s="3060"/>
      <c r="OYG156" s="3060"/>
      <c r="OYH156" s="3060"/>
      <c r="OYI156" s="3060"/>
      <c r="OYJ156" s="3060"/>
      <c r="OYK156" s="3060"/>
      <c r="OYL156" s="3060"/>
      <c r="OYM156" s="3060"/>
      <c r="OYN156" s="3060"/>
      <c r="OYO156" s="3060"/>
      <c r="OYP156" s="3060"/>
      <c r="OYQ156" s="3060"/>
      <c r="OYR156" s="3060"/>
      <c r="OYS156" s="3060"/>
      <c r="OYT156" s="3060"/>
      <c r="OYU156" s="3060"/>
      <c r="OYV156" s="3060"/>
      <c r="OYW156" s="3060"/>
      <c r="OYX156" s="3060"/>
      <c r="OYY156" s="3060"/>
      <c r="OYZ156" s="3060"/>
      <c r="OZA156" s="3060"/>
      <c r="OZB156" s="3060"/>
      <c r="OZC156" s="3060"/>
      <c r="OZD156" s="3060"/>
      <c r="OZE156" s="3060"/>
      <c r="OZF156" s="3060"/>
      <c r="OZG156" s="3060"/>
      <c r="OZH156" s="3060"/>
      <c r="OZI156" s="3060"/>
      <c r="OZJ156" s="3060"/>
      <c r="OZK156" s="3060"/>
      <c r="OZL156" s="3060"/>
      <c r="OZM156" s="3060"/>
      <c r="OZN156" s="3060"/>
      <c r="OZO156" s="3060"/>
      <c r="OZP156" s="3060"/>
      <c r="OZQ156" s="3060"/>
      <c r="OZR156" s="3060"/>
      <c r="OZS156" s="3060"/>
      <c r="OZT156" s="3060"/>
      <c r="OZU156" s="3060"/>
      <c r="OZV156" s="3060"/>
      <c r="OZW156" s="3060"/>
      <c r="OZX156" s="3060"/>
      <c r="OZY156" s="3060"/>
      <c r="OZZ156" s="3060"/>
      <c r="PAA156" s="3060"/>
      <c r="PAB156" s="3060"/>
      <c r="PAC156" s="3060"/>
      <c r="PAD156" s="3060"/>
      <c r="PAE156" s="3060"/>
      <c r="PAF156" s="3060"/>
      <c r="PAG156" s="3060"/>
      <c r="PAH156" s="3060"/>
      <c r="PAI156" s="3060"/>
      <c r="PAJ156" s="3060"/>
      <c r="PAK156" s="3060"/>
      <c r="PAL156" s="3060"/>
      <c r="PAM156" s="3060"/>
      <c r="PAN156" s="3060"/>
      <c r="PAO156" s="3060"/>
      <c r="PAP156" s="3060"/>
      <c r="PAQ156" s="3060"/>
      <c r="PAR156" s="3060"/>
      <c r="PAS156" s="3060"/>
      <c r="PAT156" s="3060"/>
      <c r="PAU156" s="3060"/>
      <c r="PAV156" s="3060"/>
      <c r="PAW156" s="3060"/>
      <c r="PAX156" s="3060"/>
      <c r="PAY156" s="3060"/>
      <c r="PAZ156" s="3060"/>
      <c r="PBA156" s="3060"/>
      <c r="PBB156" s="3060"/>
      <c r="PBC156" s="3060"/>
      <c r="PBD156" s="3060"/>
      <c r="PBE156" s="3060"/>
      <c r="PBF156" s="3060"/>
      <c r="PBG156" s="3060"/>
      <c r="PBH156" s="3060"/>
      <c r="PBI156" s="3060"/>
      <c r="PBJ156" s="3060"/>
      <c r="PBK156" s="3060"/>
      <c r="PBL156" s="3060"/>
      <c r="PBM156" s="3060"/>
      <c r="PBN156" s="3060"/>
      <c r="PBO156" s="3060"/>
      <c r="PBP156" s="3060"/>
      <c r="PBQ156" s="3060"/>
      <c r="PBR156" s="3060"/>
      <c r="PBS156" s="3060"/>
      <c r="PBT156" s="3060"/>
      <c r="PBU156" s="3060"/>
      <c r="PBV156" s="3060"/>
      <c r="PBW156" s="3060"/>
      <c r="PBX156" s="3060"/>
      <c r="PBY156" s="3060"/>
      <c r="PBZ156" s="3060"/>
      <c r="PCA156" s="3060"/>
      <c r="PCB156" s="3060"/>
      <c r="PCC156" s="3060"/>
      <c r="PCD156" s="3060"/>
      <c r="PCE156" s="3060"/>
      <c r="PCF156" s="3060"/>
      <c r="PCG156" s="3060"/>
      <c r="PCH156" s="3060"/>
      <c r="PCI156" s="3060"/>
      <c r="PCJ156" s="3060"/>
      <c r="PCK156" s="3060"/>
      <c r="PCL156" s="3060"/>
      <c r="PCM156" s="3060"/>
      <c r="PCN156" s="3060"/>
      <c r="PCO156" s="3060"/>
      <c r="PCP156" s="3060"/>
      <c r="PCQ156" s="3060"/>
      <c r="PCR156" s="3060"/>
      <c r="PCS156" s="3060"/>
      <c r="PCT156" s="3060"/>
      <c r="PCU156" s="3060"/>
      <c r="PCV156" s="3060"/>
      <c r="PCW156" s="3060"/>
      <c r="PCX156" s="3060"/>
      <c r="PCY156" s="3060"/>
      <c r="PCZ156" s="3060"/>
      <c r="PDA156" s="3060"/>
      <c r="PDB156" s="3060"/>
      <c r="PDC156" s="3060"/>
      <c r="PDD156" s="3060"/>
      <c r="PDE156" s="3060"/>
      <c r="PDF156" s="3060"/>
      <c r="PDG156" s="3060"/>
      <c r="PDH156" s="3060"/>
      <c r="PDI156" s="3060"/>
      <c r="PDJ156" s="3060"/>
      <c r="PDK156" s="3060"/>
      <c r="PDL156" s="3060"/>
      <c r="PDM156" s="3060"/>
      <c r="PDN156" s="3060"/>
      <c r="PDO156" s="3060"/>
      <c r="PDP156" s="3060"/>
      <c r="PDQ156" s="3060"/>
      <c r="PDR156" s="3060"/>
      <c r="PDS156" s="3060"/>
      <c r="PDT156" s="3060"/>
      <c r="PDU156" s="3060"/>
      <c r="PDV156" s="3060"/>
      <c r="PDW156" s="3060"/>
      <c r="PDX156" s="3060"/>
      <c r="PDY156" s="3060"/>
      <c r="PDZ156" s="3060"/>
      <c r="PEA156" s="3060"/>
      <c r="PEB156" s="3060"/>
      <c r="PEC156" s="3060"/>
      <c r="PED156" s="3060"/>
      <c r="PEE156" s="3060"/>
      <c r="PEF156" s="3060"/>
      <c r="PEG156" s="3060"/>
      <c r="PEH156" s="3060"/>
      <c r="PEI156" s="3060"/>
      <c r="PEJ156" s="3060"/>
      <c r="PEK156" s="3060"/>
      <c r="PEL156" s="3060"/>
      <c r="PEM156" s="3060"/>
      <c r="PEN156" s="3060"/>
      <c r="PEO156" s="3060"/>
      <c r="PEP156" s="3060"/>
      <c r="PEQ156" s="3060"/>
      <c r="PER156" s="3060"/>
      <c r="PES156" s="3060"/>
      <c r="PET156" s="3060"/>
      <c r="PEU156" s="3060"/>
      <c r="PEV156" s="3060"/>
      <c r="PEW156" s="3060"/>
      <c r="PEX156" s="3060"/>
      <c r="PEY156" s="3060"/>
      <c r="PEZ156" s="3060"/>
      <c r="PFA156" s="3060"/>
      <c r="PFB156" s="3060"/>
      <c r="PFC156" s="3060"/>
      <c r="PFD156" s="3060"/>
      <c r="PFE156" s="3060"/>
      <c r="PFF156" s="3060"/>
      <c r="PFG156" s="3060"/>
      <c r="PFH156" s="3060"/>
      <c r="PFI156" s="3060"/>
      <c r="PFJ156" s="3060"/>
      <c r="PFK156" s="3060"/>
      <c r="PFL156" s="3060"/>
      <c r="PFM156" s="3060"/>
      <c r="PFN156" s="3060"/>
      <c r="PFO156" s="3060"/>
      <c r="PFP156" s="3060"/>
      <c r="PFQ156" s="3060"/>
      <c r="PFR156" s="3060"/>
      <c r="PFS156" s="3060"/>
      <c r="PFT156" s="3060"/>
      <c r="PFU156" s="3060"/>
      <c r="PFV156" s="3060"/>
      <c r="PFW156" s="3060"/>
      <c r="PFX156" s="3060"/>
      <c r="PFY156" s="3060"/>
      <c r="PFZ156" s="3060"/>
      <c r="PGA156" s="3060"/>
      <c r="PGB156" s="3060"/>
      <c r="PGC156" s="3060"/>
      <c r="PGD156" s="3060"/>
      <c r="PGE156" s="3060"/>
      <c r="PGF156" s="3060"/>
      <c r="PGG156" s="3060"/>
      <c r="PGH156" s="3060"/>
      <c r="PGI156" s="3060"/>
      <c r="PGJ156" s="3060"/>
      <c r="PGK156" s="3060"/>
      <c r="PGL156" s="3060"/>
      <c r="PGM156" s="3060"/>
      <c r="PGN156" s="3060"/>
      <c r="PGO156" s="3060"/>
      <c r="PGP156" s="3060"/>
      <c r="PGQ156" s="3060"/>
      <c r="PGR156" s="3060"/>
      <c r="PGS156" s="3060"/>
      <c r="PGT156" s="3060"/>
      <c r="PGU156" s="3060"/>
      <c r="PGV156" s="3060"/>
      <c r="PGW156" s="3060"/>
      <c r="PGX156" s="3060"/>
      <c r="PGY156" s="3060"/>
      <c r="PGZ156" s="3060"/>
      <c r="PHA156" s="3060"/>
      <c r="PHB156" s="3060"/>
      <c r="PHC156" s="3060"/>
      <c r="PHD156" s="3060"/>
      <c r="PHE156" s="3060"/>
      <c r="PHF156" s="3060"/>
      <c r="PHG156" s="3060"/>
      <c r="PHH156" s="3060"/>
      <c r="PHI156" s="3060"/>
      <c r="PHJ156" s="3060"/>
      <c r="PHK156" s="3060"/>
      <c r="PHL156" s="3060"/>
      <c r="PHM156" s="3060"/>
      <c r="PHN156" s="3060"/>
      <c r="PHO156" s="3060"/>
      <c r="PHP156" s="3060"/>
      <c r="PHQ156" s="3060"/>
      <c r="PHR156" s="3060"/>
      <c r="PHS156" s="3060"/>
      <c r="PHT156" s="3060"/>
      <c r="PHU156" s="3060"/>
      <c r="PHV156" s="3060"/>
      <c r="PHW156" s="3060"/>
      <c r="PHX156" s="3060"/>
      <c r="PHY156" s="3060"/>
      <c r="PHZ156" s="3060"/>
      <c r="PIA156" s="3060"/>
      <c r="PIB156" s="3060"/>
      <c r="PIC156" s="3060"/>
      <c r="PID156" s="3060"/>
      <c r="PIE156" s="3060"/>
      <c r="PIF156" s="3060"/>
      <c r="PIG156" s="3060"/>
      <c r="PIH156" s="3060"/>
      <c r="PII156" s="3060"/>
      <c r="PIJ156" s="3060"/>
      <c r="PIK156" s="3060"/>
      <c r="PIL156" s="3060"/>
      <c r="PIM156" s="3060"/>
      <c r="PIN156" s="3060"/>
      <c r="PIO156" s="3060"/>
      <c r="PIP156" s="3060"/>
      <c r="PIQ156" s="3060"/>
      <c r="PIR156" s="3060"/>
      <c r="PIS156" s="3060"/>
      <c r="PIT156" s="3060"/>
      <c r="PIU156" s="3060"/>
      <c r="PIV156" s="3060"/>
      <c r="PIW156" s="3060"/>
      <c r="PIX156" s="3060"/>
      <c r="PIY156" s="3060"/>
      <c r="PIZ156" s="3060"/>
      <c r="PJA156" s="3060"/>
      <c r="PJB156" s="3060"/>
      <c r="PJC156" s="3060"/>
      <c r="PJD156" s="3060"/>
      <c r="PJE156" s="3060"/>
      <c r="PJF156" s="3060"/>
      <c r="PJG156" s="3060"/>
      <c r="PJH156" s="3060"/>
      <c r="PJI156" s="3060"/>
      <c r="PJJ156" s="3060"/>
      <c r="PJK156" s="3060"/>
      <c r="PJL156" s="3060"/>
      <c r="PJM156" s="3060"/>
      <c r="PJN156" s="3060"/>
      <c r="PJO156" s="3060"/>
      <c r="PJP156" s="3060"/>
      <c r="PJQ156" s="3060"/>
      <c r="PJR156" s="3060"/>
      <c r="PJS156" s="3060"/>
      <c r="PJT156" s="3060"/>
      <c r="PJU156" s="3060"/>
      <c r="PJV156" s="3060"/>
      <c r="PJW156" s="3060"/>
      <c r="PJX156" s="3060"/>
      <c r="PJY156" s="3060"/>
      <c r="PJZ156" s="3060"/>
      <c r="PKA156" s="3060"/>
      <c r="PKB156" s="3060"/>
      <c r="PKC156" s="3060"/>
      <c r="PKD156" s="3060"/>
      <c r="PKE156" s="3060"/>
      <c r="PKF156" s="3060"/>
      <c r="PKG156" s="3060"/>
      <c r="PKH156" s="3060"/>
      <c r="PKI156" s="3060"/>
      <c r="PKJ156" s="3060"/>
      <c r="PKK156" s="3060"/>
      <c r="PKL156" s="3060"/>
      <c r="PKM156" s="3060"/>
      <c r="PKN156" s="3060"/>
      <c r="PKO156" s="3060"/>
      <c r="PKP156" s="3060"/>
      <c r="PKQ156" s="3060"/>
      <c r="PKR156" s="3060"/>
      <c r="PKS156" s="3060"/>
      <c r="PKT156" s="3060"/>
      <c r="PKU156" s="3060"/>
      <c r="PKV156" s="3060"/>
      <c r="PKW156" s="3060"/>
      <c r="PKX156" s="3060"/>
      <c r="PKY156" s="3060"/>
      <c r="PKZ156" s="3060"/>
      <c r="PLA156" s="3060"/>
      <c r="PLB156" s="3060"/>
      <c r="PLC156" s="3060"/>
      <c r="PLD156" s="3060"/>
      <c r="PLE156" s="3060"/>
      <c r="PLF156" s="3060"/>
      <c r="PLG156" s="3060"/>
      <c r="PLH156" s="3060"/>
      <c r="PLI156" s="3060"/>
      <c r="PLJ156" s="3060"/>
      <c r="PLK156" s="3060"/>
      <c r="PLL156" s="3060"/>
      <c r="PLM156" s="3060"/>
      <c r="PLN156" s="3060"/>
      <c r="PLO156" s="3060"/>
      <c r="PLP156" s="3060"/>
      <c r="PLQ156" s="3060"/>
      <c r="PLR156" s="3060"/>
      <c r="PLS156" s="3060"/>
      <c r="PLT156" s="3060"/>
      <c r="PLU156" s="3060"/>
      <c r="PLV156" s="3060"/>
      <c r="PLW156" s="3060"/>
      <c r="PLX156" s="3060"/>
      <c r="PLY156" s="3060"/>
      <c r="PLZ156" s="3060"/>
      <c r="PMA156" s="3060"/>
      <c r="PMB156" s="3060"/>
      <c r="PMC156" s="3060"/>
      <c r="PMD156" s="3060"/>
      <c r="PME156" s="3060"/>
      <c r="PMF156" s="3060"/>
      <c r="PMG156" s="3060"/>
      <c r="PMH156" s="3060"/>
      <c r="PMI156" s="3060"/>
      <c r="PMJ156" s="3060"/>
      <c r="PMK156" s="3060"/>
      <c r="PML156" s="3060"/>
      <c r="PMM156" s="3060"/>
      <c r="PMN156" s="3060"/>
      <c r="PMO156" s="3060"/>
      <c r="PMP156" s="3060"/>
      <c r="PMQ156" s="3060"/>
      <c r="PMR156" s="3060"/>
      <c r="PMS156" s="3060"/>
      <c r="PMT156" s="3060"/>
      <c r="PMU156" s="3060"/>
      <c r="PMV156" s="3060"/>
      <c r="PMW156" s="3060"/>
      <c r="PMX156" s="3060"/>
      <c r="PMY156" s="3060"/>
      <c r="PMZ156" s="3060"/>
      <c r="PNA156" s="3060"/>
      <c r="PNB156" s="3060"/>
      <c r="PNC156" s="3060"/>
      <c r="PND156" s="3060"/>
      <c r="PNE156" s="3060"/>
      <c r="PNF156" s="3060"/>
      <c r="PNG156" s="3060"/>
      <c r="PNH156" s="3060"/>
      <c r="PNI156" s="3060"/>
      <c r="PNJ156" s="3060"/>
      <c r="PNK156" s="3060"/>
      <c r="PNL156" s="3060"/>
      <c r="PNM156" s="3060"/>
      <c r="PNN156" s="3060"/>
      <c r="PNO156" s="3060"/>
      <c r="PNP156" s="3060"/>
      <c r="PNQ156" s="3060"/>
      <c r="PNR156" s="3060"/>
      <c r="PNS156" s="3060"/>
      <c r="PNT156" s="3060"/>
      <c r="PNU156" s="3060"/>
      <c r="PNV156" s="3060"/>
      <c r="PNW156" s="3060"/>
      <c r="PNX156" s="3060"/>
      <c r="PNY156" s="3060"/>
      <c r="PNZ156" s="3060"/>
      <c r="POA156" s="3060"/>
      <c r="POB156" s="3060"/>
      <c r="POC156" s="3060"/>
      <c r="POD156" s="3060"/>
      <c r="POE156" s="3060"/>
      <c r="POF156" s="3060"/>
      <c r="POG156" s="3060"/>
      <c r="POH156" s="3060"/>
      <c r="POI156" s="3060"/>
      <c r="POJ156" s="3060"/>
      <c r="POK156" s="3060"/>
      <c r="POL156" s="3060"/>
      <c r="POM156" s="3060"/>
      <c r="PON156" s="3060"/>
      <c r="POO156" s="3060"/>
      <c r="POP156" s="3060"/>
      <c r="POQ156" s="3060"/>
      <c r="POR156" s="3060"/>
      <c r="POS156" s="3060"/>
      <c r="POT156" s="3060"/>
      <c r="POU156" s="3060"/>
      <c r="POV156" s="3060"/>
      <c r="POW156" s="3060"/>
      <c r="POX156" s="3060"/>
      <c r="POY156" s="3060"/>
      <c r="POZ156" s="3060"/>
      <c r="PPA156" s="3060"/>
      <c r="PPB156" s="3060"/>
      <c r="PPC156" s="3060"/>
      <c r="PPD156" s="3060"/>
      <c r="PPE156" s="3060"/>
      <c r="PPF156" s="3060"/>
      <c r="PPG156" s="3060"/>
      <c r="PPH156" s="3060"/>
      <c r="PPI156" s="3060"/>
      <c r="PPJ156" s="3060"/>
      <c r="PPK156" s="3060"/>
      <c r="PPL156" s="3060"/>
      <c r="PPM156" s="3060"/>
      <c r="PPN156" s="3060"/>
      <c r="PPO156" s="3060"/>
      <c r="PPP156" s="3060"/>
      <c r="PPQ156" s="3060"/>
      <c r="PPR156" s="3060"/>
      <c r="PPS156" s="3060"/>
      <c r="PPT156" s="3060"/>
      <c r="PPU156" s="3060"/>
      <c r="PPV156" s="3060"/>
      <c r="PPW156" s="3060"/>
      <c r="PPX156" s="3060"/>
      <c r="PPY156" s="3060"/>
      <c r="PPZ156" s="3060"/>
      <c r="PQA156" s="3060"/>
      <c r="PQB156" s="3060"/>
      <c r="PQC156" s="3060"/>
      <c r="PQD156" s="3060"/>
      <c r="PQE156" s="3060"/>
      <c r="PQF156" s="3060"/>
      <c r="PQG156" s="3060"/>
      <c r="PQH156" s="3060"/>
      <c r="PQI156" s="3060"/>
      <c r="PQJ156" s="3060"/>
      <c r="PQK156" s="3060"/>
      <c r="PQL156" s="3060"/>
      <c r="PQM156" s="3060"/>
      <c r="PQN156" s="3060"/>
      <c r="PQO156" s="3060"/>
      <c r="PQP156" s="3060"/>
      <c r="PQQ156" s="3060"/>
      <c r="PQR156" s="3060"/>
      <c r="PQS156" s="3060"/>
      <c r="PQT156" s="3060"/>
      <c r="PQU156" s="3060"/>
      <c r="PQV156" s="3060"/>
      <c r="PQW156" s="3060"/>
      <c r="PQX156" s="3060"/>
      <c r="PQY156" s="3060"/>
      <c r="PQZ156" s="3060"/>
      <c r="PRA156" s="3060"/>
      <c r="PRB156" s="3060"/>
      <c r="PRC156" s="3060"/>
      <c r="PRD156" s="3060"/>
      <c r="PRE156" s="3060"/>
      <c r="PRF156" s="3060"/>
      <c r="PRG156" s="3060"/>
      <c r="PRH156" s="3060"/>
      <c r="PRI156" s="3060"/>
      <c r="PRJ156" s="3060"/>
      <c r="PRK156" s="3060"/>
      <c r="PRL156" s="3060"/>
      <c r="PRM156" s="3060"/>
      <c r="PRN156" s="3060"/>
      <c r="PRO156" s="3060"/>
      <c r="PRP156" s="3060"/>
      <c r="PRQ156" s="3060"/>
      <c r="PRR156" s="3060"/>
      <c r="PRS156" s="3060"/>
      <c r="PRT156" s="3060"/>
      <c r="PRU156" s="3060"/>
      <c r="PRV156" s="3060"/>
      <c r="PRW156" s="3060"/>
      <c r="PRX156" s="3060"/>
      <c r="PRY156" s="3060"/>
      <c r="PRZ156" s="3060"/>
      <c r="PSA156" s="3060"/>
      <c r="PSB156" s="3060"/>
      <c r="PSC156" s="3060"/>
      <c r="PSD156" s="3060"/>
      <c r="PSE156" s="3060"/>
      <c r="PSF156" s="3060"/>
      <c r="PSG156" s="3060"/>
      <c r="PSH156" s="3060"/>
      <c r="PSI156" s="3060"/>
      <c r="PSJ156" s="3060"/>
      <c r="PSK156" s="3060"/>
      <c r="PSL156" s="3060"/>
      <c r="PSM156" s="3060"/>
      <c r="PSN156" s="3060"/>
      <c r="PSO156" s="3060"/>
      <c r="PSP156" s="3060"/>
      <c r="PSQ156" s="3060"/>
      <c r="PSR156" s="3060"/>
      <c r="PSS156" s="3060"/>
      <c r="PST156" s="3060"/>
      <c r="PSU156" s="3060"/>
      <c r="PSV156" s="3060"/>
      <c r="PSW156" s="3060"/>
      <c r="PSX156" s="3060"/>
      <c r="PSY156" s="3060"/>
      <c r="PSZ156" s="3060"/>
      <c r="PTA156" s="3060"/>
      <c r="PTB156" s="3060"/>
      <c r="PTC156" s="3060"/>
      <c r="PTD156" s="3060"/>
      <c r="PTE156" s="3060"/>
      <c r="PTF156" s="3060"/>
      <c r="PTG156" s="3060"/>
      <c r="PTH156" s="3060"/>
      <c r="PTI156" s="3060"/>
      <c r="PTJ156" s="3060"/>
      <c r="PTK156" s="3060"/>
      <c r="PTL156" s="3060"/>
      <c r="PTM156" s="3060"/>
      <c r="PTN156" s="3060"/>
      <c r="PTO156" s="3060"/>
      <c r="PTP156" s="3060"/>
      <c r="PTQ156" s="3060"/>
      <c r="PTR156" s="3060"/>
      <c r="PTS156" s="3060"/>
      <c r="PTT156" s="3060"/>
      <c r="PTU156" s="3060"/>
      <c r="PTV156" s="3060"/>
      <c r="PTW156" s="3060"/>
      <c r="PTX156" s="3060"/>
      <c r="PTY156" s="3060"/>
      <c r="PTZ156" s="3060"/>
      <c r="PUA156" s="3060"/>
      <c r="PUB156" s="3060"/>
      <c r="PUC156" s="3060"/>
      <c r="PUD156" s="3060"/>
      <c r="PUE156" s="3060"/>
      <c r="PUF156" s="3060"/>
      <c r="PUG156" s="3060"/>
      <c r="PUH156" s="3060"/>
      <c r="PUI156" s="3060"/>
      <c r="PUJ156" s="3060"/>
      <c r="PUK156" s="3060"/>
      <c r="PUL156" s="3060"/>
      <c r="PUM156" s="3060"/>
      <c r="PUN156" s="3060"/>
      <c r="PUO156" s="3060"/>
      <c r="PUP156" s="3060"/>
      <c r="PUQ156" s="3060"/>
      <c r="PUR156" s="3060"/>
      <c r="PUS156" s="3060"/>
      <c r="PUT156" s="3060"/>
      <c r="PUU156" s="3060"/>
      <c r="PUV156" s="3060"/>
      <c r="PUW156" s="3060"/>
      <c r="PUX156" s="3060"/>
      <c r="PUY156" s="3060"/>
      <c r="PUZ156" s="3060"/>
      <c r="PVA156" s="3060"/>
      <c r="PVB156" s="3060"/>
      <c r="PVC156" s="3060"/>
      <c r="PVD156" s="3060"/>
      <c r="PVE156" s="3060"/>
      <c r="PVF156" s="3060"/>
      <c r="PVG156" s="3060"/>
      <c r="PVH156" s="3060"/>
      <c r="PVI156" s="3060"/>
      <c r="PVJ156" s="3060"/>
      <c r="PVK156" s="3060"/>
      <c r="PVL156" s="3060"/>
      <c r="PVM156" s="3060"/>
      <c r="PVN156" s="3060"/>
      <c r="PVO156" s="3060"/>
      <c r="PVP156" s="3060"/>
      <c r="PVQ156" s="3060"/>
      <c r="PVR156" s="3060"/>
      <c r="PVS156" s="3060"/>
      <c r="PVT156" s="3060"/>
      <c r="PVU156" s="3060"/>
      <c r="PVV156" s="3060"/>
      <c r="PVW156" s="3060"/>
      <c r="PVX156" s="3060"/>
      <c r="PVY156" s="3060"/>
      <c r="PVZ156" s="3060"/>
      <c r="PWA156" s="3060"/>
      <c r="PWB156" s="3060"/>
      <c r="PWC156" s="3060"/>
      <c r="PWD156" s="3060"/>
      <c r="PWE156" s="3060"/>
      <c r="PWF156" s="3060"/>
      <c r="PWG156" s="3060"/>
      <c r="PWH156" s="3060"/>
      <c r="PWI156" s="3060"/>
      <c r="PWJ156" s="3060"/>
      <c r="PWK156" s="3060"/>
      <c r="PWL156" s="3060"/>
      <c r="PWM156" s="3060"/>
      <c r="PWN156" s="3060"/>
      <c r="PWO156" s="3060"/>
      <c r="PWP156" s="3060"/>
      <c r="PWQ156" s="3060"/>
      <c r="PWR156" s="3060"/>
      <c r="PWS156" s="3060"/>
      <c r="PWT156" s="3060"/>
      <c r="PWU156" s="3060"/>
      <c r="PWV156" s="3060"/>
      <c r="PWW156" s="3060"/>
      <c r="PWX156" s="3060"/>
      <c r="PWY156" s="3060"/>
      <c r="PWZ156" s="3060"/>
      <c r="PXA156" s="3060"/>
      <c r="PXB156" s="3060"/>
      <c r="PXC156" s="3060"/>
      <c r="PXD156" s="3060"/>
      <c r="PXE156" s="3060"/>
      <c r="PXF156" s="3060"/>
      <c r="PXG156" s="3060"/>
      <c r="PXH156" s="3060"/>
      <c r="PXI156" s="3060"/>
      <c r="PXJ156" s="3060"/>
      <c r="PXK156" s="3060"/>
      <c r="PXL156" s="3060"/>
      <c r="PXM156" s="3060"/>
      <c r="PXN156" s="3060"/>
      <c r="PXO156" s="3060"/>
      <c r="PXP156" s="3060"/>
      <c r="PXQ156" s="3060"/>
      <c r="PXR156" s="3060"/>
      <c r="PXS156" s="3060"/>
      <c r="PXT156" s="3060"/>
      <c r="PXU156" s="3060"/>
      <c r="PXV156" s="3060"/>
      <c r="PXW156" s="3060"/>
      <c r="PXX156" s="3060"/>
      <c r="PXY156" s="3060"/>
      <c r="PXZ156" s="3060"/>
      <c r="PYA156" s="3060"/>
      <c r="PYB156" s="3060"/>
      <c r="PYC156" s="3060"/>
      <c r="PYD156" s="3060"/>
      <c r="PYE156" s="3060"/>
      <c r="PYF156" s="3060"/>
      <c r="PYG156" s="3060"/>
      <c r="PYH156" s="3060"/>
      <c r="PYI156" s="3060"/>
      <c r="PYJ156" s="3060"/>
      <c r="PYK156" s="3060"/>
      <c r="PYL156" s="3060"/>
      <c r="PYM156" s="3060"/>
      <c r="PYN156" s="3060"/>
      <c r="PYO156" s="3060"/>
      <c r="PYP156" s="3060"/>
      <c r="PYQ156" s="3060"/>
      <c r="PYR156" s="3060"/>
      <c r="PYS156" s="3060"/>
      <c r="PYT156" s="3060"/>
      <c r="PYU156" s="3060"/>
      <c r="PYV156" s="3060"/>
      <c r="PYW156" s="3060"/>
      <c r="PYX156" s="3060"/>
      <c r="PYY156" s="3060"/>
      <c r="PYZ156" s="3060"/>
      <c r="PZA156" s="3060"/>
      <c r="PZB156" s="3060"/>
      <c r="PZC156" s="3060"/>
      <c r="PZD156" s="3060"/>
      <c r="PZE156" s="3060"/>
      <c r="PZF156" s="3060"/>
      <c r="PZG156" s="3060"/>
      <c r="PZH156" s="3060"/>
      <c r="PZI156" s="3060"/>
      <c r="PZJ156" s="3060"/>
      <c r="PZK156" s="3060"/>
      <c r="PZL156" s="3060"/>
      <c r="PZM156" s="3060"/>
      <c r="PZN156" s="3060"/>
      <c r="PZO156" s="3060"/>
      <c r="PZP156" s="3060"/>
      <c r="PZQ156" s="3060"/>
      <c r="PZR156" s="3060"/>
      <c r="PZS156" s="3060"/>
      <c r="PZT156" s="3060"/>
      <c r="PZU156" s="3060"/>
      <c r="PZV156" s="3060"/>
      <c r="PZW156" s="3060"/>
      <c r="PZX156" s="3060"/>
      <c r="PZY156" s="3060"/>
      <c r="PZZ156" s="3060"/>
      <c r="QAA156" s="3060"/>
      <c r="QAB156" s="3060"/>
      <c r="QAC156" s="3060"/>
      <c r="QAD156" s="3060"/>
      <c r="QAE156" s="3060"/>
      <c r="QAF156" s="3060"/>
      <c r="QAG156" s="3060"/>
      <c r="QAH156" s="3060"/>
      <c r="QAI156" s="3060"/>
      <c r="QAJ156" s="3060"/>
      <c r="QAK156" s="3060"/>
      <c r="QAL156" s="3060"/>
      <c r="QAM156" s="3060"/>
      <c r="QAN156" s="3060"/>
      <c r="QAO156" s="3060"/>
      <c r="QAP156" s="3060"/>
      <c r="QAQ156" s="3060"/>
      <c r="QAR156" s="3060"/>
      <c r="QAS156" s="3060"/>
      <c r="QAT156" s="3060"/>
      <c r="QAU156" s="3060"/>
      <c r="QAV156" s="3060"/>
      <c r="QAW156" s="3060"/>
      <c r="QAX156" s="3060"/>
      <c r="QAY156" s="3060"/>
      <c r="QAZ156" s="3060"/>
      <c r="QBA156" s="3060"/>
      <c r="QBB156" s="3060"/>
      <c r="QBC156" s="3060"/>
      <c r="QBD156" s="3060"/>
      <c r="QBE156" s="3060"/>
      <c r="QBF156" s="3060"/>
      <c r="QBG156" s="3060"/>
      <c r="QBH156" s="3060"/>
      <c r="QBI156" s="3060"/>
      <c r="QBJ156" s="3060"/>
      <c r="QBK156" s="3060"/>
      <c r="QBL156" s="3060"/>
      <c r="QBM156" s="3060"/>
      <c r="QBN156" s="3060"/>
      <c r="QBO156" s="3060"/>
      <c r="QBP156" s="3060"/>
      <c r="QBQ156" s="3060"/>
      <c r="QBR156" s="3060"/>
      <c r="QBS156" s="3060"/>
      <c r="QBT156" s="3060"/>
      <c r="QBU156" s="3060"/>
      <c r="QBV156" s="3060"/>
      <c r="QBW156" s="3060"/>
      <c r="QBX156" s="3060"/>
      <c r="QBY156" s="3060"/>
      <c r="QBZ156" s="3060"/>
      <c r="QCA156" s="3060"/>
      <c r="QCB156" s="3060"/>
      <c r="QCC156" s="3060"/>
      <c r="QCD156" s="3060"/>
      <c r="QCE156" s="3060"/>
      <c r="QCF156" s="3060"/>
      <c r="QCG156" s="3060"/>
      <c r="QCH156" s="3060"/>
      <c r="QCI156" s="3060"/>
      <c r="QCJ156" s="3060"/>
      <c r="QCK156" s="3060"/>
      <c r="QCL156" s="3060"/>
      <c r="QCM156" s="3060"/>
      <c r="QCN156" s="3060"/>
      <c r="QCO156" s="3060"/>
      <c r="QCP156" s="3060"/>
      <c r="QCQ156" s="3060"/>
      <c r="QCR156" s="3060"/>
      <c r="QCS156" s="3060"/>
      <c r="QCT156" s="3060"/>
      <c r="QCU156" s="3060"/>
      <c r="QCV156" s="3060"/>
      <c r="QCW156" s="3060"/>
      <c r="QCX156" s="3060"/>
      <c r="QCY156" s="3060"/>
      <c r="QCZ156" s="3060"/>
      <c r="QDA156" s="3060"/>
      <c r="QDB156" s="3060"/>
      <c r="QDC156" s="3060"/>
      <c r="QDD156" s="3060"/>
      <c r="QDE156" s="3060"/>
      <c r="QDF156" s="3060"/>
      <c r="QDG156" s="3060"/>
      <c r="QDH156" s="3060"/>
      <c r="QDI156" s="3060"/>
      <c r="QDJ156" s="3060"/>
      <c r="QDK156" s="3060"/>
      <c r="QDL156" s="3060"/>
      <c r="QDM156" s="3060"/>
      <c r="QDN156" s="3060"/>
      <c r="QDO156" s="3060"/>
      <c r="QDP156" s="3060"/>
      <c r="QDQ156" s="3060"/>
      <c r="QDR156" s="3060"/>
      <c r="QDS156" s="3060"/>
      <c r="QDT156" s="3060"/>
      <c r="QDU156" s="3060"/>
      <c r="QDV156" s="3060"/>
      <c r="QDW156" s="3060"/>
      <c r="QDX156" s="3060"/>
      <c r="QDY156" s="3060"/>
      <c r="QDZ156" s="3060"/>
      <c r="QEA156" s="3060"/>
      <c r="QEB156" s="3060"/>
      <c r="QEC156" s="3060"/>
      <c r="QED156" s="3060"/>
      <c r="QEE156" s="3060"/>
      <c r="QEF156" s="3060"/>
      <c r="QEG156" s="3060"/>
      <c r="QEH156" s="3060"/>
      <c r="QEI156" s="3060"/>
      <c r="QEJ156" s="3060"/>
      <c r="QEK156" s="3060"/>
      <c r="QEL156" s="3060"/>
      <c r="QEM156" s="3060"/>
      <c r="QEN156" s="3060"/>
      <c r="QEO156" s="3060"/>
      <c r="QEP156" s="3060"/>
      <c r="QEQ156" s="3060"/>
      <c r="QER156" s="3060"/>
      <c r="QES156" s="3060"/>
      <c r="QET156" s="3060"/>
      <c r="QEU156" s="3060"/>
      <c r="QEV156" s="3060"/>
      <c r="QEW156" s="3060"/>
      <c r="QEX156" s="3060"/>
      <c r="QEY156" s="3060"/>
      <c r="QEZ156" s="3060"/>
      <c r="QFA156" s="3060"/>
      <c r="QFB156" s="3060"/>
      <c r="QFC156" s="3060"/>
      <c r="QFD156" s="3060"/>
      <c r="QFE156" s="3060"/>
      <c r="QFF156" s="3060"/>
      <c r="QFG156" s="3060"/>
      <c r="QFH156" s="3060"/>
      <c r="QFI156" s="3060"/>
      <c r="QFJ156" s="3060"/>
      <c r="QFK156" s="3060"/>
      <c r="QFL156" s="3060"/>
      <c r="QFM156" s="3060"/>
      <c r="QFN156" s="3060"/>
      <c r="QFO156" s="3060"/>
      <c r="QFP156" s="3060"/>
      <c r="QFQ156" s="3060"/>
      <c r="QFR156" s="3060"/>
      <c r="QFS156" s="3060"/>
      <c r="QFT156" s="3060"/>
      <c r="QFU156" s="3060"/>
      <c r="QFV156" s="3060"/>
      <c r="QFW156" s="3060"/>
      <c r="QFX156" s="3060"/>
      <c r="QFY156" s="3060"/>
      <c r="QFZ156" s="3060"/>
      <c r="QGA156" s="3060"/>
      <c r="QGB156" s="3060"/>
      <c r="QGC156" s="3060"/>
      <c r="QGD156" s="3060"/>
      <c r="QGE156" s="3060"/>
      <c r="QGF156" s="3060"/>
      <c r="QGG156" s="3060"/>
      <c r="QGH156" s="3060"/>
      <c r="QGI156" s="3060"/>
      <c r="QGJ156" s="3060"/>
      <c r="QGK156" s="3060"/>
      <c r="QGL156" s="3060"/>
      <c r="QGM156" s="3060"/>
      <c r="QGN156" s="3060"/>
      <c r="QGO156" s="3060"/>
      <c r="QGP156" s="3060"/>
      <c r="QGQ156" s="3060"/>
      <c r="QGR156" s="3060"/>
      <c r="QGS156" s="3060"/>
      <c r="QGT156" s="3060"/>
      <c r="QGU156" s="3060"/>
      <c r="QGV156" s="3060"/>
      <c r="QGW156" s="3060"/>
      <c r="QGX156" s="3060"/>
      <c r="QGY156" s="3060"/>
      <c r="QGZ156" s="3060"/>
      <c r="QHA156" s="3060"/>
      <c r="QHB156" s="3060"/>
      <c r="QHC156" s="3060"/>
      <c r="QHD156" s="3060"/>
      <c r="QHE156" s="3060"/>
      <c r="QHF156" s="3060"/>
      <c r="QHG156" s="3060"/>
      <c r="QHH156" s="3060"/>
      <c r="QHI156" s="3060"/>
      <c r="QHJ156" s="3060"/>
      <c r="QHK156" s="3060"/>
      <c r="QHL156" s="3060"/>
      <c r="QHM156" s="3060"/>
      <c r="QHN156" s="3060"/>
      <c r="QHO156" s="3060"/>
      <c r="QHP156" s="3060"/>
      <c r="QHQ156" s="3060"/>
      <c r="QHR156" s="3060"/>
      <c r="QHS156" s="3060"/>
      <c r="QHT156" s="3060"/>
      <c r="QHU156" s="3060"/>
      <c r="QHV156" s="3060"/>
      <c r="QHW156" s="3060"/>
      <c r="QHX156" s="3060"/>
      <c r="QHY156" s="3060"/>
      <c r="QHZ156" s="3060"/>
      <c r="QIA156" s="3060"/>
      <c r="QIB156" s="3060"/>
      <c r="QIC156" s="3060"/>
      <c r="QID156" s="3060"/>
      <c r="QIE156" s="3060"/>
      <c r="QIF156" s="3060"/>
      <c r="QIG156" s="3060"/>
      <c r="QIH156" s="3060"/>
      <c r="QII156" s="3060"/>
      <c r="QIJ156" s="3060"/>
      <c r="QIK156" s="3060"/>
      <c r="QIL156" s="3060"/>
      <c r="QIM156" s="3060"/>
      <c r="QIN156" s="3060"/>
      <c r="QIO156" s="3060"/>
      <c r="QIP156" s="3060"/>
      <c r="QIQ156" s="3060"/>
      <c r="QIR156" s="3060"/>
      <c r="QIS156" s="3060"/>
      <c r="QIT156" s="3060"/>
      <c r="QIU156" s="3060"/>
      <c r="QIV156" s="3060"/>
      <c r="QIW156" s="3060"/>
      <c r="QIX156" s="3060"/>
      <c r="QIY156" s="3060"/>
      <c r="QIZ156" s="3060"/>
      <c r="QJA156" s="3060"/>
      <c r="QJB156" s="3060"/>
      <c r="QJC156" s="3060"/>
      <c r="QJD156" s="3060"/>
      <c r="QJE156" s="3060"/>
      <c r="QJF156" s="3060"/>
      <c r="QJG156" s="3060"/>
      <c r="QJH156" s="3060"/>
      <c r="QJI156" s="3060"/>
      <c r="QJJ156" s="3060"/>
      <c r="QJK156" s="3060"/>
      <c r="QJL156" s="3060"/>
      <c r="QJM156" s="3060"/>
      <c r="QJN156" s="3060"/>
      <c r="QJO156" s="3060"/>
      <c r="QJP156" s="3060"/>
      <c r="QJQ156" s="3060"/>
      <c r="QJR156" s="3060"/>
      <c r="QJS156" s="3060"/>
      <c r="QJT156" s="3060"/>
      <c r="QJU156" s="3060"/>
      <c r="QJV156" s="3060"/>
      <c r="QJW156" s="3060"/>
      <c r="QJX156" s="3060"/>
      <c r="QJY156" s="3060"/>
      <c r="QJZ156" s="3060"/>
      <c r="QKA156" s="3060"/>
      <c r="QKB156" s="3060"/>
      <c r="QKC156" s="3060"/>
      <c r="QKD156" s="3060"/>
      <c r="QKE156" s="3060"/>
      <c r="QKF156" s="3060"/>
      <c r="QKG156" s="3060"/>
      <c r="QKH156" s="3060"/>
      <c r="QKI156" s="3060"/>
      <c r="QKJ156" s="3060"/>
      <c r="QKK156" s="3060"/>
      <c r="QKL156" s="3060"/>
      <c r="QKM156" s="3060"/>
      <c r="QKN156" s="3060"/>
      <c r="QKO156" s="3060"/>
      <c r="QKP156" s="3060"/>
      <c r="QKQ156" s="3060"/>
      <c r="QKR156" s="3060"/>
      <c r="QKS156" s="3060"/>
      <c r="QKT156" s="3060"/>
      <c r="QKU156" s="3060"/>
      <c r="QKV156" s="3060"/>
      <c r="QKW156" s="3060"/>
      <c r="QKX156" s="3060"/>
      <c r="QKY156" s="3060"/>
      <c r="QKZ156" s="3060"/>
      <c r="QLA156" s="3060"/>
      <c r="QLB156" s="3060"/>
      <c r="QLC156" s="3060"/>
      <c r="QLD156" s="3060"/>
      <c r="QLE156" s="3060"/>
      <c r="QLF156" s="3060"/>
      <c r="QLG156" s="3060"/>
      <c r="QLH156" s="3060"/>
      <c r="QLI156" s="3060"/>
      <c r="QLJ156" s="3060"/>
      <c r="QLK156" s="3060"/>
      <c r="QLL156" s="3060"/>
      <c r="QLM156" s="3060"/>
      <c r="QLN156" s="3060"/>
      <c r="QLO156" s="3060"/>
      <c r="QLP156" s="3060"/>
      <c r="QLQ156" s="3060"/>
      <c r="QLR156" s="3060"/>
      <c r="QLS156" s="3060"/>
      <c r="QLT156" s="3060"/>
      <c r="QLU156" s="3060"/>
      <c r="QLV156" s="3060"/>
      <c r="QLW156" s="3060"/>
      <c r="QLX156" s="3060"/>
      <c r="QLY156" s="3060"/>
      <c r="QLZ156" s="3060"/>
      <c r="QMA156" s="3060"/>
      <c r="QMB156" s="3060"/>
      <c r="QMC156" s="3060"/>
      <c r="QMD156" s="3060"/>
      <c r="QME156" s="3060"/>
      <c r="QMF156" s="3060"/>
      <c r="QMG156" s="3060"/>
      <c r="QMH156" s="3060"/>
      <c r="QMI156" s="3060"/>
      <c r="QMJ156" s="3060"/>
      <c r="QMK156" s="3060"/>
      <c r="QML156" s="3060"/>
      <c r="QMM156" s="3060"/>
      <c r="QMN156" s="3060"/>
      <c r="QMO156" s="3060"/>
      <c r="QMP156" s="3060"/>
      <c r="QMQ156" s="3060"/>
      <c r="QMR156" s="3060"/>
      <c r="QMS156" s="3060"/>
      <c r="QMT156" s="3060"/>
      <c r="QMU156" s="3060"/>
      <c r="QMV156" s="3060"/>
      <c r="QMW156" s="3060"/>
      <c r="QMX156" s="3060"/>
      <c r="QMY156" s="3060"/>
      <c r="QMZ156" s="3060"/>
      <c r="QNA156" s="3060"/>
      <c r="QNB156" s="3060"/>
      <c r="QNC156" s="3060"/>
      <c r="QND156" s="3060"/>
      <c r="QNE156" s="3060"/>
      <c r="QNF156" s="3060"/>
      <c r="QNG156" s="3060"/>
      <c r="QNH156" s="3060"/>
      <c r="QNI156" s="3060"/>
      <c r="QNJ156" s="3060"/>
      <c r="QNK156" s="3060"/>
      <c r="QNL156" s="3060"/>
      <c r="QNM156" s="3060"/>
      <c r="QNN156" s="3060"/>
      <c r="QNO156" s="3060"/>
      <c r="QNP156" s="3060"/>
      <c r="QNQ156" s="3060"/>
      <c r="QNR156" s="3060"/>
      <c r="QNS156" s="3060"/>
      <c r="QNT156" s="3060"/>
      <c r="QNU156" s="3060"/>
      <c r="QNV156" s="3060"/>
      <c r="QNW156" s="3060"/>
      <c r="QNX156" s="3060"/>
      <c r="QNY156" s="3060"/>
      <c r="QNZ156" s="3060"/>
      <c r="QOA156" s="3060"/>
      <c r="QOB156" s="3060"/>
      <c r="QOC156" s="3060"/>
      <c r="QOD156" s="3060"/>
      <c r="QOE156" s="3060"/>
      <c r="QOF156" s="3060"/>
      <c r="QOG156" s="3060"/>
      <c r="QOH156" s="3060"/>
      <c r="QOI156" s="3060"/>
      <c r="QOJ156" s="3060"/>
      <c r="QOK156" s="3060"/>
      <c r="QOL156" s="3060"/>
      <c r="QOM156" s="3060"/>
      <c r="QON156" s="3060"/>
      <c r="QOO156" s="3060"/>
      <c r="QOP156" s="3060"/>
      <c r="QOQ156" s="3060"/>
      <c r="QOR156" s="3060"/>
      <c r="QOS156" s="3060"/>
      <c r="QOT156" s="3060"/>
      <c r="QOU156" s="3060"/>
      <c r="QOV156" s="3060"/>
      <c r="QOW156" s="3060"/>
      <c r="QOX156" s="3060"/>
      <c r="QOY156" s="3060"/>
      <c r="QOZ156" s="3060"/>
      <c r="QPA156" s="3060"/>
      <c r="QPB156" s="3060"/>
      <c r="QPC156" s="3060"/>
      <c r="QPD156" s="3060"/>
      <c r="QPE156" s="3060"/>
      <c r="QPF156" s="3060"/>
      <c r="QPG156" s="3060"/>
      <c r="QPH156" s="3060"/>
      <c r="QPI156" s="3060"/>
      <c r="QPJ156" s="3060"/>
      <c r="QPK156" s="3060"/>
      <c r="QPL156" s="3060"/>
      <c r="QPM156" s="3060"/>
      <c r="QPN156" s="3060"/>
      <c r="QPO156" s="3060"/>
      <c r="QPP156" s="3060"/>
      <c r="QPQ156" s="3060"/>
      <c r="QPR156" s="3060"/>
      <c r="QPS156" s="3060"/>
      <c r="QPT156" s="3060"/>
      <c r="QPU156" s="3060"/>
      <c r="QPV156" s="3060"/>
      <c r="QPW156" s="3060"/>
      <c r="QPX156" s="3060"/>
      <c r="QPY156" s="3060"/>
      <c r="QPZ156" s="3060"/>
      <c r="QQA156" s="3060"/>
      <c r="QQB156" s="3060"/>
      <c r="QQC156" s="3060"/>
      <c r="QQD156" s="3060"/>
      <c r="QQE156" s="3060"/>
      <c r="QQF156" s="3060"/>
      <c r="QQG156" s="3060"/>
      <c r="QQH156" s="3060"/>
      <c r="QQI156" s="3060"/>
      <c r="QQJ156" s="3060"/>
      <c r="QQK156" s="3060"/>
      <c r="QQL156" s="3060"/>
      <c r="QQM156" s="3060"/>
      <c r="QQN156" s="3060"/>
      <c r="QQO156" s="3060"/>
      <c r="QQP156" s="3060"/>
      <c r="QQQ156" s="3060"/>
      <c r="QQR156" s="3060"/>
      <c r="QQS156" s="3060"/>
      <c r="QQT156" s="3060"/>
      <c r="QQU156" s="3060"/>
      <c r="QQV156" s="3060"/>
      <c r="QQW156" s="3060"/>
      <c r="QQX156" s="3060"/>
      <c r="QQY156" s="3060"/>
      <c r="QQZ156" s="3060"/>
      <c r="QRA156" s="3060"/>
      <c r="QRB156" s="3060"/>
      <c r="QRC156" s="3060"/>
      <c r="QRD156" s="3060"/>
      <c r="QRE156" s="3060"/>
      <c r="QRF156" s="3060"/>
      <c r="QRG156" s="3060"/>
      <c r="QRH156" s="3060"/>
      <c r="QRI156" s="3060"/>
      <c r="QRJ156" s="3060"/>
      <c r="QRK156" s="3060"/>
      <c r="QRL156" s="3060"/>
      <c r="QRM156" s="3060"/>
      <c r="QRN156" s="3060"/>
      <c r="QRO156" s="3060"/>
      <c r="QRP156" s="3060"/>
      <c r="QRQ156" s="3060"/>
      <c r="QRR156" s="3060"/>
      <c r="QRS156" s="3060"/>
      <c r="QRT156" s="3060"/>
      <c r="QRU156" s="3060"/>
      <c r="QRV156" s="3060"/>
      <c r="QRW156" s="3060"/>
      <c r="QRX156" s="3060"/>
      <c r="QRY156" s="3060"/>
      <c r="QRZ156" s="3060"/>
      <c r="QSA156" s="3060"/>
      <c r="QSB156" s="3060"/>
      <c r="QSC156" s="3060"/>
      <c r="QSD156" s="3060"/>
      <c r="QSE156" s="3060"/>
      <c r="QSF156" s="3060"/>
      <c r="QSG156" s="3060"/>
      <c r="QSH156" s="3060"/>
      <c r="QSI156" s="3060"/>
      <c r="QSJ156" s="3060"/>
      <c r="QSK156" s="3060"/>
      <c r="QSL156" s="3060"/>
      <c r="QSM156" s="3060"/>
      <c r="QSN156" s="3060"/>
      <c r="QSO156" s="3060"/>
      <c r="QSP156" s="3060"/>
      <c r="QSQ156" s="3060"/>
      <c r="QSR156" s="3060"/>
      <c r="QSS156" s="3060"/>
      <c r="QST156" s="3060"/>
      <c r="QSU156" s="3060"/>
      <c r="QSV156" s="3060"/>
      <c r="QSW156" s="3060"/>
      <c r="QSX156" s="3060"/>
      <c r="QSY156" s="3060"/>
      <c r="QSZ156" s="3060"/>
      <c r="QTA156" s="3060"/>
      <c r="QTB156" s="3060"/>
      <c r="QTC156" s="3060"/>
      <c r="QTD156" s="3060"/>
      <c r="QTE156" s="3060"/>
      <c r="QTF156" s="3060"/>
      <c r="QTG156" s="3060"/>
      <c r="QTH156" s="3060"/>
      <c r="QTI156" s="3060"/>
      <c r="QTJ156" s="3060"/>
      <c r="QTK156" s="3060"/>
      <c r="QTL156" s="3060"/>
      <c r="QTM156" s="3060"/>
      <c r="QTN156" s="3060"/>
      <c r="QTO156" s="3060"/>
      <c r="QTP156" s="3060"/>
      <c r="QTQ156" s="3060"/>
      <c r="QTR156" s="3060"/>
      <c r="QTS156" s="3060"/>
      <c r="QTT156" s="3060"/>
      <c r="QTU156" s="3060"/>
      <c r="QTV156" s="3060"/>
      <c r="QTW156" s="3060"/>
      <c r="QTX156" s="3060"/>
      <c r="QTY156" s="3060"/>
      <c r="QTZ156" s="3060"/>
      <c r="QUA156" s="3060"/>
      <c r="QUB156" s="3060"/>
      <c r="QUC156" s="3060"/>
      <c r="QUD156" s="3060"/>
      <c r="QUE156" s="3060"/>
      <c r="QUF156" s="3060"/>
      <c r="QUG156" s="3060"/>
      <c r="QUH156" s="3060"/>
      <c r="QUI156" s="3060"/>
      <c r="QUJ156" s="3060"/>
      <c r="QUK156" s="3060"/>
      <c r="QUL156" s="3060"/>
      <c r="QUM156" s="3060"/>
      <c r="QUN156" s="3060"/>
      <c r="QUO156" s="3060"/>
      <c r="QUP156" s="3060"/>
      <c r="QUQ156" s="3060"/>
      <c r="QUR156" s="3060"/>
      <c r="QUS156" s="3060"/>
      <c r="QUT156" s="3060"/>
      <c r="QUU156" s="3060"/>
      <c r="QUV156" s="3060"/>
      <c r="QUW156" s="3060"/>
      <c r="QUX156" s="3060"/>
      <c r="QUY156" s="3060"/>
      <c r="QUZ156" s="3060"/>
      <c r="QVA156" s="3060"/>
      <c r="QVB156" s="3060"/>
      <c r="QVC156" s="3060"/>
      <c r="QVD156" s="3060"/>
      <c r="QVE156" s="3060"/>
      <c r="QVF156" s="3060"/>
      <c r="QVG156" s="3060"/>
      <c r="QVH156" s="3060"/>
      <c r="QVI156" s="3060"/>
      <c r="QVJ156" s="3060"/>
      <c r="QVK156" s="3060"/>
      <c r="QVL156" s="3060"/>
      <c r="QVM156" s="3060"/>
      <c r="QVN156" s="3060"/>
      <c r="QVO156" s="3060"/>
      <c r="QVP156" s="3060"/>
      <c r="QVQ156" s="3060"/>
      <c r="QVR156" s="3060"/>
      <c r="QVS156" s="3060"/>
      <c r="QVT156" s="3060"/>
      <c r="QVU156" s="3060"/>
      <c r="QVV156" s="3060"/>
      <c r="QVW156" s="3060"/>
      <c r="QVX156" s="3060"/>
      <c r="QVY156" s="3060"/>
      <c r="QVZ156" s="3060"/>
      <c r="QWA156" s="3060"/>
      <c r="QWB156" s="3060"/>
      <c r="QWC156" s="3060"/>
      <c r="QWD156" s="3060"/>
      <c r="QWE156" s="3060"/>
      <c r="QWF156" s="3060"/>
      <c r="QWG156" s="3060"/>
      <c r="QWH156" s="3060"/>
      <c r="QWI156" s="3060"/>
      <c r="QWJ156" s="3060"/>
      <c r="QWK156" s="3060"/>
      <c r="QWL156" s="3060"/>
      <c r="QWM156" s="3060"/>
      <c r="QWN156" s="3060"/>
      <c r="QWO156" s="3060"/>
      <c r="QWP156" s="3060"/>
      <c r="QWQ156" s="3060"/>
      <c r="QWR156" s="3060"/>
      <c r="QWS156" s="3060"/>
      <c r="QWT156" s="3060"/>
      <c r="QWU156" s="3060"/>
      <c r="QWV156" s="3060"/>
      <c r="QWW156" s="3060"/>
      <c r="QWX156" s="3060"/>
      <c r="QWY156" s="3060"/>
      <c r="QWZ156" s="3060"/>
      <c r="QXA156" s="3060"/>
      <c r="QXB156" s="3060"/>
      <c r="QXC156" s="3060"/>
      <c r="QXD156" s="3060"/>
      <c r="QXE156" s="3060"/>
      <c r="QXF156" s="3060"/>
      <c r="QXG156" s="3060"/>
      <c r="QXH156" s="3060"/>
      <c r="QXI156" s="3060"/>
      <c r="QXJ156" s="3060"/>
      <c r="QXK156" s="3060"/>
      <c r="QXL156" s="3060"/>
      <c r="QXM156" s="3060"/>
      <c r="QXN156" s="3060"/>
      <c r="QXO156" s="3060"/>
      <c r="QXP156" s="3060"/>
      <c r="QXQ156" s="3060"/>
      <c r="QXR156" s="3060"/>
      <c r="QXS156" s="3060"/>
      <c r="QXT156" s="3060"/>
      <c r="QXU156" s="3060"/>
      <c r="QXV156" s="3060"/>
      <c r="QXW156" s="3060"/>
      <c r="QXX156" s="3060"/>
      <c r="QXY156" s="3060"/>
      <c r="QXZ156" s="3060"/>
      <c r="QYA156" s="3060"/>
      <c r="QYB156" s="3060"/>
      <c r="QYC156" s="3060"/>
      <c r="QYD156" s="3060"/>
      <c r="QYE156" s="3060"/>
      <c r="QYF156" s="3060"/>
      <c r="QYG156" s="3060"/>
      <c r="QYH156" s="3060"/>
      <c r="QYI156" s="3060"/>
      <c r="QYJ156" s="3060"/>
      <c r="QYK156" s="3060"/>
      <c r="QYL156" s="3060"/>
      <c r="QYM156" s="3060"/>
      <c r="QYN156" s="3060"/>
      <c r="QYO156" s="3060"/>
      <c r="QYP156" s="3060"/>
      <c r="QYQ156" s="3060"/>
      <c r="QYR156" s="3060"/>
      <c r="QYS156" s="3060"/>
      <c r="QYT156" s="3060"/>
      <c r="QYU156" s="3060"/>
      <c r="QYV156" s="3060"/>
      <c r="QYW156" s="3060"/>
      <c r="QYX156" s="3060"/>
      <c r="QYY156" s="3060"/>
      <c r="QYZ156" s="3060"/>
      <c r="QZA156" s="3060"/>
      <c r="QZB156" s="3060"/>
      <c r="QZC156" s="3060"/>
      <c r="QZD156" s="3060"/>
      <c r="QZE156" s="3060"/>
      <c r="QZF156" s="3060"/>
      <c r="QZG156" s="3060"/>
      <c r="QZH156" s="3060"/>
      <c r="QZI156" s="3060"/>
      <c r="QZJ156" s="3060"/>
      <c r="QZK156" s="3060"/>
      <c r="QZL156" s="3060"/>
      <c r="QZM156" s="3060"/>
      <c r="QZN156" s="3060"/>
      <c r="QZO156" s="3060"/>
      <c r="QZP156" s="3060"/>
      <c r="QZQ156" s="3060"/>
      <c r="QZR156" s="3060"/>
      <c r="QZS156" s="3060"/>
      <c r="QZT156" s="3060"/>
      <c r="QZU156" s="3060"/>
      <c r="QZV156" s="3060"/>
      <c r="QZW156" s="3060"/>
      <c r="QZX156" s="3060"/>
      <c r="QZY156" s="3060"/>
      <c r="QZZ156" s="3060"/>
      <c r="RAA156" s="3060"/>
      <c r="RAB156" s="3060"/>
      <c r="RAC156" s="3060"/>
      <c r="RAD156" s="3060"/>
      <c r="RAE156" s="3060"/>
      <c r="RAF156" s="3060"/>
      <c r="RAG156" s="3060"/>
      <c r="RAH156" s="3060"/>
      <c r="RAI156" s="3060"/>
      <c r="RAJ156" s="3060"/>
      <c r="RAK156" s="3060"/>
      <c r="RAL156" s="3060"/>
      <c r="RAM156" s="3060"/>
      <c r="RAN156" s="3060"/>
      <c r="RAO156" s="3060"/>
      <c r="RAP156" s="3060"/>
      <c r="RAQ156" s="3060"/>
      <c r="RAR156" s="3060"/>
      <c r="RAS156" s="3060"/>
      <c r="RAT156" s="3060"/>
      <c r="RAU156" s="3060"/>
      <c r="RAV156" s="3060"/>
      <c r="RAW156" s="3060"/>
      <c r="RAX156" s="3060"/>
      <c r="RAY156" s="3060"/>
      <c r="RAZ156" s="3060"/>
      <c r="RBA156" s="3060"/>
      <c r="RBB156" s="3060"/>
      <c r="RBC156" s="3060"/>
      <c r="RBD156" s="3060"/>
      <c r="RBE156" s="3060"/>
      <c r="RBF156" s="3060"/>
      <c r="RBG156" s="3060"/>
      <c r="RBH156" s="3060"/>
      <c r="RBI156" s="3060"/>
      <c r="RBJ156" s="3060"/>
      <c r="RBK156" s="3060"/>
      <c r="RBL156" s="3060"/>
      <c r="RBM156" s="3060"/>
      <c r="RBN156" s="3060"/>
      <c r="RBO156" s="3060"/>
      <c r="RBP156" s="3060"/>
      <c r="RBQ156" s="3060"/>
      <c r="RBR156" s="3060"/>
      <c r="RBS156" s="3060"/>
      <c r="RBT156" s="3060"/>
      <c r="RBU156" s="3060"/>
      <c r="RBV156" s="3060"/>
      <c r="RBW156" s="3060"/>
      <c r="RBX156" s="3060"/>
      <c r="RBY156" s="3060"/>
      <c r="RBZ156" s="3060"/>
      <c r="RCA156" s="3060"/>
      <c r="RCB156" s="3060"/>
      <c r="RCC156" s="3060"/>
      <c r="RCD156" s="3060"/>
      <c r="RCE156" s="3060"/>
      <c r="RCF156" s="3060"/>
      <c r="RCG156" s="3060"/>
      <c r="RCH156" s="3060"/>
      <c r="RCI156" s="3060"/>
      <c r="RCJ156" s="3060"/>
      <c r="RCK156" s="3060"/>
      <c r="RCL156" s="3060"/>
      <c r="RCM156" s="3060"/>
      <c r="RCN156" s="3060"/>
      <c r="RCO156" s="3060"/>
      <c r="RCP156" s="3060"/>
      <c r="RCQ156" s="3060"/>
      <c r="RCR156" s="3060"/>
      <c r="RCS156" s="3060"/>
      <c r="RCT156" s="3060"/>
      <c r="RCU156" s="3060"/>
      <c r="RCV156" s="3060"/>
      <c r="RCW156" s="3060"/>
      <c r="RCX156" s="3060"/>
      <c r="RCY156" s="3060"/>
      <c r="RCZ156" s="3060"/>
      <c r="RDA156" s="3060"/>
      <c r="RDB156" s="3060"/>
      <c r="RDC156" s="3060"/>
      <c r="RDD156" s="3060"/>
      <c r="RDE156" s="3060"/>
      <c r="RDF156" s="3060"/>
      <c r="RDG156" s="3060"/>
      <c r="RDH156" s="3060"/>
      <c r="RDI156" s="3060"/>
      <c r="RDJ156" s="3060"/>
      <c r="RDK156" s="3060"/>
      <c r="RDL156" s="3060"/>
      <c r="RDM156" s="3060"/>
      <c r="RDN156" s="3060"/>
      <c r="RDO156" s="3060"/>
      <c r="RDP156" s="3060"/>
      <c r="RDQ156" s="3060"/>
      <c r="RDR156" s="3060"/>
      <c r="RDS156" s="3060"/>
      <c r="RDT156" s="3060"/>
      <c r="RDU156" s="3060"/>
      <c r="RDV156" s="3060"/>
      <c r="RDW156" s="3060"/>
      <c r="RDX156" s="3060"/>
      <c r="RDY156" s="3060"/>
      <c r="RDZ156" s="3060"/>
      <c r="REA156" s="3060"/>
      <c r="REB156" s="3060"/>
      <c r="REC156" s="3060"/>
      <c r="RED156" s="3060"/>
      <c r="REE156" s="3060"/>
      <c r="REF156" s="3060"/>
      <c r="REG156" s="3060"/>
      <c r="REH156" s="3060"/>
      <c r="REI156" s="3060"/>
      <c r="REJ156" s="3060"/>
      <c r="REK156" s="3060"/>
      <c r="REL156" s="3060"/>
      <c r="REM156" s="3060"/>
      <c r="REN156" s="3060"/>
      <c r="REO156" s="3060"/>
      <c r="REP156" s="3060"/>
      <c r="REQ156" s="3060"/>
      <c r="RER156" s="3060"/>
      <c r="RES156" s="3060"/>
      <c r="RET156" s="3060"/>
      <c r="REU156" s="3060"/>
      <c r="REV156" s="3060"/>
      <c r="REW156" s="3060"/>
      <c r="REX156" s="3060"/>
      <c r="REY156" s="3060"/>
      <c r="REZ156" s="3060"/>
      <c r="RFA156" s="3060"/>
      <c r="RFB156" s="3060"/>
      <c r="RFC156" s="3060"/>
      <c r="RFD156" s="3060"/>
      <c r="RFE156" s="3060"/>
      <c r="RFF156" s="3060"/>
      <c r="RFG156" s="3060"/>
      <c r="RFH156" s="3060"/>
      <c r="RFI156" s="3060"/>
      <c r="RFJ156" s="3060"/>
      <c r="RFK156" s="3060"/>
      <c r="RFL156" s="3060"/>
      <c r="RFM156" s="3060"/>
      <c r="RFN156" s="3060"/>
      <c r="RFO156" s="3060"/>
      <c r="RFP156" s="3060"/>
      <c r="RFQ156" s="3060"/>
      <c r="RFR156" s="3060"/>
      <c r="RFS156" s="3060"/>
      <c r="RFT156" s="3060"/>
      <c r="RFU156" s="3060"/>
      <c r="RFV156" s="3060"/>
      <c r="RFW156" s="3060"/>
      <c r="RFX156" s="3060"/>
      <c r="RFY156" s="3060"/>
      <c r="RFZ156" s="3060"/>
      <c r="RGA156" s="3060"/>
      <c r="RGB156" s="3060"/>
      <c r="RGC156" s="3060"/>
      <c r="RGD156" s="3060"/>
      <c r="RGE156" s="3060"/>
      <c r="RGF156" s="3060"/>
      <c r="RGG156" s="3060"/>
      <c r="RGH156" s="3060"/>
      <c r="RGI156" s="3060"/>
      <c r="RGJ156" s="3060"/>
      <c r="RGK156" s="3060"/>
      <c r="RGL156" s="3060"/>
      <c r="RGM156" s="3060"/>
      <c r="RGN156" s="3060"/>
      <c r="RGO156" s="3060"/>
      <c r="RGP156" s="3060"/>
      <c r="RGQ156" s="3060"/>
      <c r="RGR156" s="3060"/>
      <c r="RGS156" s="3060"/>
      <c r="RGT156" s="3060"/>
      <c r="RGU156" s="3060"/>
      <c r="RGV156" s="3060"/>
      <c r="RGW156" s="3060"/>
      <c r="RGX156" s="3060"/>
      <c r="RGY156" s="3060"/>
      <c r="RGZ156" s="3060"/>
      <c r="RHA156" s="3060"/>
      <c r="RHB156" s="3060"/>
      <c r="RHC156" s="3060"/>
      <c r="RHD156" s="3060"/>
      <c r="RHE156" s="3060"/>
      <c r="RHF156" s="3060"/>
      <c r="RHG156" s="3060"/>
      <c r="RHH156" s="3060"/>
      <c r="RHI156" s="3060"/>
      <c r="RHJ156" s="3060"/>
      <c r="RHK156" s="3060"/>
      <c r="RHL156" s="3060"/>
      <c r="RHM156" s="3060"/>
      <c r="RHN156" s="3060"/>
      <c r="RHO156" s="3060"/>
      <c r="RHP156" s="3060"/>
      <c r="RHQ156" s="3060"/>
      <c r="RHR156" s="3060"/>
      <c r="RHS156" s="3060"/>
      <c r="RHT156" s="3060"/>
      <c r="RHU156" s="3060"/>
      <c r="RHV156" s="3060"/>
      <c r="RHW156" s="3060"/>
      <c r="RHX156" s="3060"/>
      <c r="RHY156" s="3060"/>
      <c r="RHZ156" s="3060"/>
      <c r="RIA156" s="3060"/>
      <c r="RIB156" s="3060"/>
      <c r="RIC156" s="3060"/>
      <c r="RID156" s="3060"/>
      <c r="RIE156" s="3060"/>
      <c r="RIF156" s="3060"/>
      <c r="RIG156" s="3060"/>
      <c r="RIH156" s="3060"/>
      <c r="RII156" s="3060"/>
      <c r="RIJ156" s="3060"/>
      <c r="RIK156" s="3060"/>
      <c r="RIL156" s="3060"/>
      <c r="RIM156" s="3060"/>
      <c r="RIN156" s="3060"/>
      <c r="RIO156" s="3060"/>
      <c r="RIP156" s="3060"/>
      <c r="RIQ156" s="3060"/>
      <c r="RIR156" s="3060"/>
      <c r="RIS156" s="3060"/>
      <c r="RIT156" s="3060"/>
      <c r="RIU156" s="3060"/>
      <c r="RIV156" s="3060"/>
      <c r="RIW156" s="3060"/>
      <c r="RIX156" s="3060"/>
      <c r="RIY156" s="3060"/>
      <c r="RIZ156" s="3060"/>
      <c r="RJA156" s="3060"/>
      <c r="RJB156" s="3060"/>
      <c r="RJC156" s="3060"/>
      <c r="RJD156" s="3060"/>
      <c r="RJE156" s="3060"/>
      <c r="RJF156" s="3060"/>
      <c r="RJG156" s="3060"/>
      <c r="RJH156" s="3060"/>
      <c r="RJI156" s="3060"/>
      <c r="RJJ156" s="3060"/>
      <c r="RJK156" s="3060"/>
      <c r="RJL156" s="3060"/>
      <c r="RJM156" s="3060"/>
      <c r="RJN156" s="3060"/>
      <c r="RJO156" s="3060"/>
      <c r="RJP156" s="3060"/>
      <c r="RJQ156" s="3060"/>
      <c r="RJR156" s="3060"/>
      <c r="RJS156" s="3060"/>
      <c r="RJT156" s="3060"/>
      <c r="RJU156" s="3060"/>
      <c r="RJV156" s="3060"/>
      <c r="RJW156" s="3060"/>
      <c r="RJX156" s="3060"/>
      <c r="RJY156" s="3060"/>
      <c r="RJZ156" s="3060"/>
      <c r="RKA156" s="3060"/>
      <c r="RKB156" s="3060"/>
      <c r="RKC156" s="3060"/>
      <c r="RKD156" s="3060"/>
      <c r="RKE156" s="3060"/>
      <c r="RKF156" s="3060"/>
      <c r="RKG156" s="3060"/>
      <c r="RKH156" s="3060"/>
      <c r="RKI156" s="3060"/>
      <c r="RKJ156" s="3060"/>
      <c r="RKK156" s="3060"/>
      <c r="RKL156" s="3060"/>
      <c r="RKM156" s="3060"/>
      <c r="RKN156" s="3060"/>
      <c r="RKO156" s="3060"/>
      <c r="RKP156" s="3060"/>
      <c r="RKQ156" s="3060"/>
      <c r="RKR156" s="3060"/>
      <c r="RKS156" s="3060"/>
      <c r="RKT156" s="3060"/>
      <c r="RKU156" s="3060"/>
      <c r="RKV156" s="3060"/>
      <c r="RKW156" s="3060"/>
      <c r="RKX156" s="3060"/>
      <c r="RKY156" s="3060"/>
      <c r="RKZ156" s="3060"/>
      <c r="RLA156" s="3060"/>
      <c r="RLB156" s="3060"/>
      <c r="RLC156" s="3060"/>
      <c r="RLD156" s="3060"/>
      <c r="RLE156" s="3060"/>
      <c r="RLF156" s="3060"/>
      <c r="RLG156" s="3060"/>
      <c r="RLH156" s="3060"/>
      <c r="RLI156" s="3060"/>
      <c r="RLJ156" s="3060"/>
      <c r="RLK156" s="3060"/>
      <c r="RLL156" s="3060"/>
      <c r="RLM156" s="3060"/>
      <c r="RLN156" s="3060"/>
      <c r="RLO156" s="3060"/>
      <c r="RLP156" s="3060"/>
      <c r="RLQ156" s="3060"/>
      <c r="RLR156" s="3060"/>
      <c r="RLS156" s="3060"/>
      <c r="RLT156" s="3060"/>
      <c r="RLU156" s="3060"/>
      <c r="RLV156" s="3060"/>
      <c r="RLW156" s="3060"/>
      <c r="RLX156" s="3060"/>
      <c r="RLY156" s="3060"/>
      <c r="RLZ156" s="3060"/>
      <c r="RMA156" s="3060"/>
      <c r="RMB156" s="3060"/>
      <c r="RMC156" s="3060"/>
      <c r="RMD156" s="3060"/>
      <c r="RME156" s="3060"/>
      <c r="RMF156" s="3060"/>
      <c r="RMG156" s="3060"/>
      <c r="RMH156" s="3060"/>
      <c r="RMI156" s="3060"/>
      <c r="RMJ156" s="3060"/>
      <c r="RMK156" s="3060"/>
      <c r="RML156" s="3060"/>
      <c r="RMM156" s="3060"/>
      <c r="RMN156" s="3060"/>
      <c r="RMO156" s="3060"/>
      <c r="RMP156" s="3060"/>
      <c r="RMQ156" s="3060"/>
      <c r="RMR156" s="3060"/>
      <c r="RMS156" s="3060"/>
      <c r="RMT156" s="3060"/>
      <c r="RMU156" s="3060"/>
      <c r="RMV156" s="3060"/>
      <c r="RMW156" s="3060"/>
      <c r="RMX156" s="3060"/>
      <c r="RMY156" s="3060"/>
      <c r="RMZ156" s="3060"/>
      <c r="RNA156" s="3060"/>
      <c r="RNB156" s="3060"/>
      <c r="RNC156" s="3060"/>
      <c r="RND156" s="3060"/>
      <c r="RNE156" s="3060"/>
      <c r="RNF156" s="3060"/>
      <c r="RNG156" s="3060"/>
      <c r="RNH156" s="3060"/>
      <c r="RNI156" s="3060"/>
      <c r="RNJ156" s="3060"/>
      <c r="RNK156" s="3060"/>
      <c r="RNL156" s="3060"/>
      <c r="RNM156" s="3060"/>
      <c r="RNN156" s="3060"/>
      <c r="RNO156" s="3060"/>
      <c r="RNP156" s="3060"/>
      <c r="RNQ156" s="3060"/>
      <c r="RNR156" s="3060"/>
      <c r="RNS156" s="3060"/>
      <c r="RNT156" s="3060"/>
      <c r="RNU156" s="3060"/>
      <c r="RNV156" s="3060"/>
      <c r="RNW156" s="3060"/>
      <c r="RNX156" s="3060"/>
      <c r="RNY156" s="3060"/>
      <c r="RNZ156" s="3060"/>
      <c r="ROA156" s="3060"/>
      <c r="ROB156" s="3060"/>
      <c r="ROC156" s="3060"/>
      <c r="ROD156" s="3060"/>
      <c r="ROE156" s="3060"/>
      <c r="ROF156" s="3060"/>
      <c r="ROG156" s="3060"/>
      <c r="ROH156" s="3060"/>
      <c r="ROI156" s="3060"/>
      <c r="ROJ156" s="3060"/>
      <c r="ROK156" s="3060"/>
      <c r="ROL156" s="3060"/>
      <c r="ROM156" s="3060"/>
      <c r="RON156" s="3060"/>
      <c r="ROO156" s="3060"/>
      <c r="ROP156" s="3060"/>
      <c r="ROQ156" s="3060"/>
      <c r="ROR156" s="3060"/>
      <c r="ROS156" s="3060"/>
      <c r="ROT156" s="3060"/>
      <c r="ROU156" s="3060"/>
      <c r="ROV156" s="3060"/>
      <c r="ROW156" s="3060"/>
      <c r="ROX156" s="3060"/>
      <c r="ROY156" s="3060"/>
      <c r="ROZ156" s="3060"/>
      <c r="RPA156" s="3060"/>
      <c r="RPB156" s="3060"/>
      <c r="RPC156" s="3060"/>
      <c r="RPD156" s="3060"/>
      <c r="RPE156" s="3060"/>
      <c r="RPF156" s="3060"/>
      <c r="RPG156" s="3060"/>
      <c r="RPH156" s="3060"/>
      <c r="RPI156" s="3060"/>
      <c r="RPJ156" s="3060"/>
      <c r="RPK156" s="3060"/>
      <c r="RPL156" s="3060"/>
      <c r="RPM156" s="3060"/>
      <c r="RPN156" s="3060"/>
      <c r="RPO156" s="3060"/>
      <c r="RPP156" s="3060"/>
      <c r="RPQ156" s="3060"/>
      <c r="RPR156" s="3060"/>
      <c r="RPS156" s="3060"/>
      <c r="RPT156" s="3060"/>
      <c r="RPU156" s="3060"/>
      <c r="RPV156" s="3060"/>
      <c r="RPW156" s="3060"/>
      <c r="RPX156" s="3060"/>
      <c r="RPY156" s="3060"/>
      <c r="RPZ156" s="3060"/>
      <c r="RQA156" s="3060"/>
      <c r="RQB156" s="3060"/>
      <c r="RQC156" s="3060"/>
      <c r="RQD156" s="3060"/>
      <c r="RQE156" s="3060"/>
      <c r="RQF156" s="3060"/>
      <c r="RQG156" s="3060"/>
      <c r="RQH156" s="3060"/>
      <c r="RQI156" s="3060"/>
      <c r="RQJ156" s="3060"/>
      <c r="RQK156" s="3060"/>
      <c r="RQL156" s="3060"/>
      <c r="RQM156" s="3060"/>
      <c r="RQN156" s="3060"/>
      <c r="RQO156" s="3060"/>
      <c r="RQP156" s="3060"/>
      <c r="RQQ156" s="3060"/>
      <c r="RQR156" s="3060"/>
      <c r="RQS156" s="3060"/>
      <c r="RQT156" s="3060"/>
      <c r="RQU156" s="3060"/>
      <c r="RQV156" s="3060"/>
      <c r="RQW156" s="3060"/>
      <c r="RQX156" s="3060"/>
      <c r="RQY156" s="3060"/>
      <c r="RQZ156" s="3060"/>
      <c r="RRA156" s="3060"/>
      <c r="RRB156" s="3060"/>
      <c r="RRC156" s="3060"/>
      <c r="RRD156" s="3060"/>
      <c r="RRE156" s="3060"/>
      <c r="RRF156" s="3060"/>
      <c r="RRG156" s="3060"/>
      <c r="RRH156" s="3060"/>
      <c r="RRI156" s="3060"/>
      <c r="RRJ156" s="3060"/>
      <c r="RRK156" s="3060"/>
      <c r="RRL156" s="3060"/>
      <c r="RRM156" s="3060"/>
      <c r="RRN156" s="3060"/>
      <c r="RRO156" s="3060"/>
      <c r="RRP156" s="3060"/>
      <c r="RRQ156" s="3060"/>
      <c r="RRR156" s="3060"/>
      <c r="RRS156" s="3060"/>
      <c r="RRT156" s="3060"/>
      <c r="RRU156" s="3060"/>
      <c r="RRV156" s="3060"/>
      <c r="RRW156" s="3060"/>
      <c r="RRX156" s="3060"/>
      <c r="RRY156" s="3060"/>
      <c r="RRZ156" s="3060"/>
      <c r="RSA156" s="3060"/>
      <c r="RSB156" s="3060"/>
      <c r="RSC156" s="3060"/>
      <c r="RSD156" s="3060"/>
      <c r="RSE156" s="3060"/>
      <c r="RSF156" s="3060"/>
      <c r="RSG156" s="3060"/>
      <c r="RSH156" s="3060"/>
      <c r="RSI156" s="3060"/>
      <c r="RSJ156" s="3060"/>
      <c r="RSK156" s="3060"/>
      <c r="RSL156" s="3060"/>
      <c r="RSM156" s="3060"/>
      <c r="RSN156" s="3060"/>
      <c r="RSO156" s="3060"/>
      <c r="RSP156" s="3060"/>
      <c r="RSQ156" s="3060"/>
      <c r="RSR156" s="3060"/>
      <c r="RSS156" s="3060"/>
      <c r="RST156" s="3060"/>
      <c r="RSU156" s="3060"/>
      <c r="RSV156" s="3060"/>
      <c r="RSW156" s="3060"/>
      <c r="RSX156" s="3060"/>
      <c r="RSY156" s="3060"/>
      <c r="RSZ156" s="3060"/>
      <c r="RTA156" s="3060"/>
      <c r="RTB156" s="3060"/>
      <c r="RTC156" s="3060"/>
      <c r="RTD156" s="3060"/>
      <c r="RTE156" s="3060"/>
      <c r="RTF156" s="3060"/>
      <c r="RTG156" s="3060"/>
      <c r="RTH156" s="3060"/>
      <c r="RTI156" s="3060"/>
      <c r="RTJ156" s="3060"/>
      <c r="RTK156" s="3060"/>
      <c r="RTL156" s="3060"/>
      <c r="RTM156" s="3060"/>
      <c r="RTN156" s="3060"/>
      <c r="RTO156" s="3060"/>
      <c r="RTP156" s="3060"/>
      <c r="RTQ156" s="3060"/>
      <c r="RTR156" s="3060"/>
      <c r="RTS156" s="3060"/>
      <c r="RTT156" s="3060"/>
      <c r="RTU156" s="3060"/>
      <c r="RTV156" s="3060"/>
      <c r="RTW156" s="3060"/>
      <c r="RTX156" s="3060"/>
      <c r="RTY156" s="3060"/>
      <c r="RTZ156" s="3060"/>
      <c r="RUA156" s="3060"/>
      <c r="RUB156" s="3060"/>
      <c r="RUC156" s="3060"/>
      <c r="RUD156" s="3060"/>
      <c r="RUE156" s="3060"/>
      <c r="RUF156" s="3060"/>
      <c r="RUG156" s="3060"/>
      <c r="RUH156" s="3060"/>
      <c r="RUI156" s="3060"/>
      <c r="RUJ156" s="3060"/>
      <c r="RUK156" s="3060"/>
      <c r="RUL156" s="3060"/>
      <c r="RUM156" s="3060"/>
      <c r="RUN156" s="3060"/>
      <c r="RUO156" s="3060"/>
      <c r="RUP156" s="3060"/>
      <c r="RUQ156" s="3060"/>
      <c r="RUR156" s="3060"/>
      <c r="RUS156" s="3060"/>
      <c r="RUT156" s="3060"/>
      <c r="RUU156" s="3060"/>
      <c r="RUV156" s="3060"/>
      <c r="RUW156" s="3060"/>
      <c r="RUX156" s="3060"/>
      <c r="RUY156" s="3060"/>
      <c r="RUZ156" s="3060"/>
      <c r="RVA156" s="3060"/>
      <c r="RVB156" s="3060"/>
      <c r="RVC156" s="3060"/>
      <c r="RVD156" s="3060"/>
      <c r="RVE156" s="3060"/>
      <c r="RVF156" s="3060"/>
      <c r="RVG156" s="3060"/>
      <c r="RVH156" s="3060"/>
      <c r="RVI156" s="3060"/>
      <c r="RVJ156" s="3060"/>
      <c r="RVK156" s="3060"/>
      <c r="RVL156" s="3060"/>
      <c r="RVM156" s="3060"/>
      <c r="RVN156" s="3060"/>
      <c r="RVO156" s="3060"/>
      <c r="RVP156" s="3060"/>
      <c r="RVQ156" s="3060"/>
      <c r="RVR156" s="3060"/>
      <c r="RVS156" s="3060"/>
      <c r="RVT156" s="3060"/>
      <c r="RVU156" s="3060"/>
      <c r="RVV156" s="3060"/>
      <c r="RVW156" s="3060"/>
      <c r="RVX156" s="3060"/>
      <c r="RVY156" s="3060"/>
      <c r="RVZ156" s="3060"/>
      <c r="RWA156" s="3060"/>
      <c r="RWB156" s="3060"/>
      <c r="RWC156" s="3060"/>
      <c r="RWD156" s="3060"/>
      <c r="RWE156" s="3060"/>
      <c r="RWF156" s="3060"/>
      <c r="RWG156" s="3060"/>
      <c r="RWH156" s="3060"/>
      <c r="RWI156" s="3060"/>
      <c r="RWJ156" s="3060"/>
      <c r="RWK156" s="3060"/>
      <c r="RWL156" s="3060"/>
      <c r="RWM156" s="3060"/>
      <c r="RWN156" s="3060"/>
      <c r="RWO156" s="3060"/>
      <c r="RWP156" s="3060"/>
      <c r="RWQ156" s="3060"/>
      <c r="RWR156" s="3060"/>
      <c r="RWS156" s="3060"/>
      <c r="RWT156" s="3060"/>
      <c r="RWU156" s="3060"/>
      <c r="RWV156" s="3060"/>
      <c r="RWW156" s="3060"/>
      <c r="RWX156" s="3060"/>
      <c r="RWY156" s="3060"/>
      <c r="RWZ156" s="3060"/>
      <c r="RXA156" s="3060"/>
      <c r="RXB156" s="3060"/>
      <c r="RXC156" s="3060"/>
      <c r="RXD156" s="3060"/>
      <c r="RXE156" s="3060"/>
      <c r="RXF156" s="3060"/>
      <c r="RXG156" s="3060"/>
      <c r="RXH156" s="3060"/>
      <c r="RXI156" s="3060"/>
      <c r="RXJ156" s="3060"/>
      <c r="RXK156" s="3060"/>
      <c r="RXL156" s="3060"/>
      <c r="RXM156" s="3060"/>
      <c r="RXN156" s="3060"/>
      <c r="RXO156" s="3060"/>
      <c r="RXP156" s="3060"/>
      <c r="RXQ156" s="3060"/>
      <c r="RXR156" s="3060"/>
      <c r="RXS156" s="3060"/>
      <c r="RXT156" s="3060"/>
      <c r="RXU156" s="3060"/>
      <c r="RXV156" s="3060"/>
      <c r="RXW156" s="3060"/>
      <c r="RXX156" s="3060"/>
      <c r="RXY156" s="3060"/>
      <c r="RXZ156" s="3060"/>
      <c r="RYA156" s="3060"/>
      <c r="RYB156" s="3060"/>
      <c r="RYC156" s="3060"/>
      <c r="RYD156" s="3060"/>
      <c r="RYE156" s="3060"/>
      <c r="RYF156" s="3060"/>
      <c r="RYG156" s="3060"/>
      <c r="RYH156" s="3060"/>
      <c r="RYI156" s="3060"/>
      <c r="RYJ156" s="3060"/>
      <c r="RYK156" s="3060"/>
      <c r="RYL156" s="3060"/>
      <c r="RYM156" s="3060"/>
      <c r="RYN156" s="3060"/>
      <c r="RYO156" s="3060"/>
      <c r="RYP156" s="3060"/>
      <c r="RYQ156" s="3060"/>
      <c r="RYR156" s="3060"/>
      <c r="RYS156" s="3060"/>
      <c r="RYT156" s="3060"/>
      <c r="RYU156" s="3060"/>
      <c r="RYV156" s="3060"/>
      <c r="RYW156" s="3060"/>
      <c r="RYX156" s="3060"/>
      <c r="RYY156" s="3060"/>
      <c r="RYZ156" s="3060"/>
      <c r="RZA156" s="3060"/>
      <c r="RZB156" s="3060"/>
      <c r="RZC156" s="3060"/>
      <c r="RZD156" s="3060"/>
      <c r="RZE156" s="3060"/>
      <c r="RZF156" s="3060"/>
      <c r="RZG156" s="3060"/>
      <c r="RZH156" s="3060"/>
      <c r="RZI156" s="3060"/>
      <c r="RZJ156" s="3060"/>
      <c r="RZK156" s="3060"/>
      <c r="RZL156" s="3060"/>
      <c r="RZM156" s="3060"/>
      <c r="RZN156" s="3060"/>
      <c r="RZO156" s="3060"/>
      <c r="RZP156" s="3060"/>
      <c r="RZQ156" s="3060"/>
      <c r="RZR156" s="3060"/>
      <c r="RZS156" s="3060"/>
      <c r="RZT156" s="3060"/>
      <c r="RZU156" s="3060"/>
      <c r="RZV156" s="3060"/>
      <c r="RZW156" s="3060"/>
      <c r="RZX156" s="3060"/>
      <c r="RZY156" s="3060"/>
      <c r="RZZ156" s="3060"/>
      <c r="SAA156" s="3060"/>
      <c r="SAB156" s="3060"/>
      <c r="SAC156" s="3060"/>
      <c r="SAD156" s="3060"/>
      <c r="SAE156" s="3060"/>
      <c r="SAF156" s="3060"/>
      <c r="SAG156" s="3060"/>
      <c r="SAH156" s="3060"/>
      <c r="SAI156" s="3060"/>
      <c r="SAJ156" s="3060"/>
      <c r="SAK156" s="3060"/>
      <c r="SAL156" s="3060"/>
      <c r="SAM156" s="3060"/>
      <c r="SAN156" s="3060"/>
      <c r="SAO156" s="3060"/>
      <c r="SAP156" s="3060"/>
      <c r="SAQ156" s="3060"/>
      <c r="SAR156" s="3060"/>
      <c r="SAS156" s="3060"/>
      <c r="SAT156" s="3060"/>
      <c r="SAU156" s="3060"/>
      <c r="SAV156" s="3060"/>
      <c r="SAW156" s="3060"/>
      <c r="SAX156" s="3060"/>
      <c r="SAY156" s="3060"/>
      <c r="SAZ156" s="3060"/>
      <c r="SBA156" s="3060"/>
      <c r="SBB156" s="3060"/>
      <c r="SBC156" s="3060"/>
      <c r="SBD156" s="3060"/>
      <c r="SBE156" s="3060"/>
      <c r="SBF156" s="3060"/>
      <c r="SBG156" s="3060"/>
      <c r="SBH156" s="3060"/>
      <c r="SBI156" s="3060"/>
      <c r="SBJ156" s="3060"/>
      <c r="SBK156" s="3060"/>
      <c r="SBL156" s="3060"/>
      <c r="SBM156" s="3060"/>
      <c r="SBN156" s="3060"/>
      <c r="SBO156" s="3060"/>
      <c r="SBP156" s="3060"/>
      <c r="SBQ156" s="3060"/>
      <c r="SBR156" s="3060"/>
      <c r="SBS156" s="3060"/>
      <c r="SBT156" s="3060"/>
      <c r="SBU156" s="3060"/>
      <c r="SBV156" s="3060"/>
      <c r="SBW156" s="3060"/>
      <c r="SBX156" s="3060"/>
      <c r="SBY156" s="3060"/>
      <c r="SBZ156" s="3060"/>
      <c r="SCA156" s="3060"/>
      <c r="SCB156" s="3060"/>
      <c r="SCC156" s="3060"/>
      <c r="SCD156" s="3060"/>
      <c r="SCE156" s="3060"/>
      <c r="SCF156" s="3060"/>
      <c r="SCG156" s="3060"/>
      <c r="SCH156" s="3060"/>
      <c r="SCI156" s="3060"/>
      <c r="SCJ156" s="3060"/>
      <c r="SCK156" s="3060"/>
      <c r="SCL156" s="3060"/>
      <c r="SCM156" s="3060"/>
      <c r="SCN156" s="3060"/>
      <c r="SCO156" s="3060"/>
      <c r="SCP156" s="3060"/>
      <c r="SCQ156" s="3060"/>
      <c r="SCR156" s="3060"/>
      <c r="SCS156" s="3060"/>
      <c r="SCT156" s="3060"/>
      <c r="SCU156" s="3060"/>
      <c r="SCV156" s="3060"/>
      <c r="SCW156" s="3060"/>
      <c r="SCX156" s="3060"/>
      <c r="SCY156" s="3060"/>
      <c r="SCZ156" s="3060"/>
      <c r="SDA156" s="3060"/>
      <c r="SDB156" s="3060"/>
      <c r="SDC156" s="3060"/>
      <c r="SDD156" s="3060"/>
      <c r="SDE156" s="3060"/>
      <c r="SDF156" s="3060"/>
      <c r="SDG156" s="3060"/>
      <c r="SDH156" s="3060"/>
      <c r="SDI156" s="3060"/>
      <c r="SDJ156" s="3060"/>
      <c r="SDK156" s="3060"/>
      <c r="SDL156" s="3060"/>
      <c r="SDM156" s="3060"/>
      <c r="SDN156" s="3060"/>
      <c r="SDO156" s="3060"/>
      <c r="SDP156" s="3060"/>
      <c r="SDQ156" s="3060"/>
      <c r="SDR156" s="3060"/>
      <c r="SDS156" s="3060"/>
      <c r="SDT156" s="3060"/>
      <c r="SDU156" s="3060"/>
      <c r="SDV156" s="3060"/>
      <c r="SDW156" s="3060"/>
      <c r="SDX156" s="3060"/>
      <c r="SDY156" s="3060"/>
      <c r="SDZ156" s="3060"/>
      <c r="SEA156" s="3060"/>
      <c r="SEB156" s="3060"/>
      <c r="SEC156" s="3060"/>
      <c r="SED156" s="3060"/>
      <c r="SEE156" s="3060"/>
      <c r="SEF156" s="3060"/>
      <c r="SEG156" s="3060"/>
      <c r="SEH156" s="3060"/>
      <c r="SEI156" s="3060"/>
      <c r="SEJ156" s="3060"/>
      <c r="SEK156" s="3060"/>
      <c r="SEL156" s="3060"/>
      <c r="SEM156" s="3060"/>
      <c r="SEN156" s="3060"/>
      <c r="SEO156" s="3060"/>
      <c r="SEP156" s="3060"/>
      <c r="SEQ156" s="3060"/>
      <c r="SER156" s="3060"/>
      <c r="SES156" s="3060"/>
      <c r="SET156" s="3060"/>
      <c r="SEU156" s="3060"/>
      <c r="SEV156" s="3060"/>
      <c r="SEW156" s="3060"/>
      <c r="SEX156" s="3060"/>
      <c r="SEY156" s="3060"/>
      <c r="SEZ156" s="3060"/>
      <c r="SFA156" s="3060"/>
      <c r="SFB156" s="3060"/>
      <c r="SFC156" s="3060"/>
      <c r="SFD156" s="3060"/>
      <c r="SFE156" s="3060"/>
      <c r="SFF156" s="3060"/>
      <c r="SFG156" s="3060"/>
      <c r="SFH156" s="3060"/>
      <c r="SFI156" s="3060"/>
      <c r="SFJ156" s="3060"/>
      <c r="SFK156" s="3060"/>
      <c r="SFL156" s="3060"/>
      <c r="SFM156" s="3060"/>
      <c r="SFN156" s="3060"/>
      <c r="SFO156" s="3060"/>
      <c r="SFP156" s="3060"/>
      <c r="SFQ156" s="3060"/>
      <c r="SFR156" s="3060"/>
      <c r="SFS156" s="3060"/>
      <c r="SFT156" s="3060"/>
      <c r="SFU156" s="3060"/>
      <c r="SFV156" s="3060"/>
      <c r="SFW156" s="3060"/>
      <c r="SFX156" s="3060"/>
      <c r="SFY156" s="3060"/>
      <c r="SFZ156" s="3060"/>
      <c r="SGA156" s="3060"/>
      <c r="SGB156" s="3060"/>
      <c r="SGC156" s="3060"/>
      <c r="SGD156" s="3060"/>
      <c r="SGE156" s="3060"/>
      <c r="SGF156" s="3060"/>
      <c r="SGG156" s="3060"/>
      <c r="SGH156" s="3060"/>
      <c r="SGI156" s="3060"/>
      <c r="SGJ156" s="3060"/>
      <c r="SGK156" s="3060"/>
      <c r="SGL156" s="3060"/>
      <c r="SGM156" s="3060"/>
      <c r="SGN156" s="3060"/>
      <c r="SGO156" s="3060"/>
      <c r="SGP156" s="3060"/>
      <c r="SGQ156" s="3060"/>
      <c r="SGR156" s="3060"/>
      <c r="SGS156" s="3060"/>
      <c r="SGT156" s="3060"/>
      <c r="SGU156" s="3060"/>
      <c r="SGV156" s="3060"/>
      <c r="SGW156" s="3060"/>
      <c r="SGX156" s="3060"/>
      <c r="SGY156" s="3060"/>
      <c r="SGZ156" s="3060"/>
      <c r="SHA156" s="3060"/>
      <c r="SHB156" s="3060"/>
      <c r="SHC156" s="3060"/>
      <c r="SHD156" s="3060"/>
      <c r="SHE156" s="3060"/>
      <c r="SHF156" s="3060"/>
      <c r="SHG156" s="3060"/>
      <c r="SHH156" s="3060"/>
      <c r="SHI156" s="3060"/>
      <c r="SHJ156" s="3060"/>
      <c r="SHK156" s="3060"/>
      <c r="SHL156" s="3060"/>
      <c r="SHM156" s="3060"/>
      <c r="SHN156" s="3060"/>
      <c r="SHO156" s="3060"/>
      <c r="SHP156" s="3060"/>
      <c r="SHQ156" s="3060"/>
      <c r="SHR156" s="3060"/>
      <c r="SHS156" s="3060"/>
      <c r="SHT156" s="3060"/>
      <c r="SHU156" s="3060"/>
      <c r="SHV156" s="3060"/>
      <c r="SHW156" s="3060"/>
      <c r="SHX156" s="3060"/>
      <c r="SHY156" s="3060"/>
      <c r="SHZ156" s="3060"/>
      <c r="SIA156" s="3060"/>
      <c r="SIB156" s="3060"/>
      <c r="SIC156" s="3060"/>
      <c r="SID156" s="3060"/>
      <c r="SIE156" s="3060"/>
      <c r="SIF156" s="3060"/>
      <c r="SIG156" s="3060"/>
      <c r="SIH156" s="3060"/>
      <c r="SII156" s="3060"/>
      <c r="SIJ156" s="3060"/>
      <c r="SIK156" s="3060"/>
      <c r="SIL156" s="3060"/>
      <c r="SIM156" s="3060"/>
      <c r="SIN156" s="3060"/>
      <c r="SIO156" s="3060"/>
      <c r="SIP156" s="3060"/>
      <c r="SIQ156" s="3060"/>
      <c r="SIR156" s="3060"/>
      <c r="SIS156" s="3060"/>
      <c r="SIT156" s="3060"/>
      <c r="SIU156" s="3060"/>
      <c r="SIV156" s="3060"/>
      <c r="SIW156" s="3060"/>
      <c r="SIX156" s="3060"/>
      <c r="SIY156" s="3060"/>
      <c r="SIZ156" s="3060"/>
      <c r="SJA156" s="3060"/>
      <c r="SJB156" s="3060"/>
      <c r="SJC156" s="3060"/>
      <c r="SJD156" s="3060"/>
      <c r="SJE156" s="3060"/>
      <c r="SJF156" s="3060"/>
      <c r="SJG156" s="3060"/>
      <c r="SJH156" s="3060"/>
      <c r="SJI156" s="3060"/>
      <c r="SJJ156" s="3060"/>
      <c r="SJK156" s="3060"/>
      <c r="SJL156" s="3060"/>
      <c r="SJM156" s="3060"/>
      <c r="SJN156" s="3060"/>
      <c r="SJO156" s="3060"/>
      <c r="SJP156" s="3060"/>
      <c r="SJQ156" s="3060"/>
      <c r="SJR156" s="3060"/>
      <c r="SJS156" s="3060"/>
      <c r="SJT156" s="3060"/>
      <c r="SJU156" s="3060"/>
      <c r="SJV156" s="3060"/>
      <c r="SJW156" s="3060"/>
      <c r="SJX156" s="3060"/>
      <c r="SJY156" s="3060"/>
      <c r="SJZ156" s="3060"/>
      <c r="SKA156" s="3060"/>
      <c r="SKB156" s="3060"/>
      <c r="SKC156" s="3060"/>
      <c r="SKD156" s="3060"/>
      <c r="SKE156" s="3060"/>
      <c r="SKF156" s="3060"/>
      <c r="SKG156" s="3060"/>
      <c r="SKH156" s="3060"/>
      <c r="SKI156" s="3060"/>
      <c r="SKJ156" s="3060"/>
      <c r="SKK156" s="3060"/>
      <c r="SKL156" s="3060"/>
      <c r="SKM156" s="3060"/>
      <c r="SKN156" s="3060"/>
      <c r="SKO156" s="3060"/>
      <c r="SKP156" s="3060"/>
      <c r="SKQ156" s="3060"/>
      <c r="SKR156" s="3060"/>
      <c r="SKS156" s="3060"/>
      <c r="SKT156" s="3060"/>
      <c r="SKU156" s="3060"/>
      <c r="SKV156" s="3060"/>
      <c r="SKW156" s="3060"/>
      <c r="SKX156" s="3060"/>
      <c r="SKY156" s="3060"/>
      <c r="SKZ156" s="3060"/>
      <c r="SLA156" s="3060"/>
      <c r="SLB156" s="3060"/>
      <c r="SLC156" s="3060"/>
      <c r="SLD156" s="3060"/>
      <c r="SLE156" s="3060"/>
      <c r="SLF156" s="3060"/>
      <c r="SLG156" s="3060"/>
      <c r="SLH156" s="3060"/>
      <c r="SLI156" s="3060"/>
      <c r="SLJ156" s="3060"/>
      <c r="SLK156" s="3060"/>
      <c r="SLL156" s="3060"/>
      <c r="SLM156" s="3060"/>
      <c r="SLN156" s="3060"/>
      <c r="SLO156" s="3060"/>
      <c r="SLP156" s="3060"/>
      <c r="SLQ156" s="3060"/>
      <c r="SLR156" s="3060"/>
      <c r="SLS156" s="3060"/>
      <c r="SLT156" s="3060"/>
      <c r="SLU156" s="3060"/>
      <c r="SLV156" s="3060"/>
      <c r="SLW156" s="3060"/>
      <c r="SLX156" s="3060"/>
      <c r="SLY156" s="3060"/>
      <c r="SLZ156" s="3060"/>
      <c r="SMA156" s="3060"/>
      <c r="SMB156" s="3060"/>
      <c r="SMC156" s="3060"/>
      <c r="SMD156" s="3060"/>
      <c r="SME156" s="3060"/>
      <c r="SMF156" s="3060"/>
      <c r="SMG156" s="3060"/>
      <c r="SMH156" s="3060"/>
      <c r="SMI156" s="3060"/>
      <c r="SMJ156" s="3060"/>
      <c r="SMK156" s="3060"/>
      <c r="SML156" s="3060"/>
      <c r="SMM156" s="3060"/>
      <c r="SMN156" s="3060"/>
      <c r="SMO156" s="3060"/>
      <c r="SMP156" s="3060"/>
      <c r="SMQ156" s="3060"/>
      <c r="SMR156" s="3060"/>
      <c r="SMS156" s="3060"/>
      <c r="SMT156" s="3060"/>
      <c r="SMU156" s="3060"/>
      <c r="SMV156" s="3060"/>
      <c r="SMW156" s="3060"/>
      <c r="SMX156" s="3060"/>
      <c r="SMY156" s="3060"/>
      <c r="SMZ156" s="3060"/>
      <c r="SNA156" s="3060"/>
      <c r="SNB156" s="3060"/>
      <c r="SNC156" s="3060"/>
      <c r="SND156" s="3060"/>
      <c r="SNE156" s="3060"/>
      <c r="SNF156" s="3060"/>
      <c r="SNG156" s="3060"/>
      <c r="SNH156" s="3060"/>
      <c r="SNI156" s="3060"/>
      <c r="SNJ156" s="3060"/>
      <c r="SNK156" s="3060"/>
      <c r="SNL156" s="3060"/>
      <c r="SNM156" s="3060"/>
      <c r="SNN156" s="3060"/>
      <c r="SNO156" s="3060"/>
      <c r="SNP156" s="3060"/>
      <c r="SNQ156" s="3060"/>
      <c r="SNR156" s="3060"/>
      <c r="SNS156" s="3060"/>
      <c r="SNT156" s="3060"/>
      <c r="SNU156" s="3060"/>
      <c r="SNV156" s="3060"/>
      <c r="SNW156" s="3060"/>
      <c r="SNX156" s="3060"/>
      <c r="SNY156" s="3060"/>
      <c r="SNZ156" s="3060"/>
      <c r="SOA156" s="3060"/>
      <c r="SOB156" s="3060"/>
      <c r="SOC156" s="3060"/>
      <c r="SOD156" s="3060"/>
      <c r="SOE156" s="3060"/>
      <c r="SOF156" s="3060"/>
      <c r="SOG156" s="3060"/>
      <c r="SOH156" s="3060"/>
      <c r="SOI156" s="3060"/>
      <c r="SOJ156" s="3060"/>
      <c r="SOK156" s="3060"/>
      <c r="SOL156" s="3060"/>
      <c r="SOM156" s="3060"/>
      <c r="SON156" s="3060"/>
      <c r="SOO156" s="3060"/>
      <c r="SOP156" s="3060"/>
      <c r="SOQ156" s="3060"/>
      <c r="SOR156" s="3060"/>
      <c r="SOS156" s="3060"/>
      <c r="SOT156" s="3060"/>
      <c r="SOU156" s="3060"/>
      <c r="SOV156" s="3060"/>
      <c r="SOW156" s="3060"/>
      <c r="SOX156" s="3060"/>
      <c r="SOY156" s="3060"/>
      <c r="SOZ156" s="3060"/>
      <c r="SPA156" s="3060"/>
      <c r="SPB156" s="3060"/>
      <c r="SPC156" s="3060"/>
      <c r="SPD156" s="3060"/>
      <c r="SPE156" s="3060"/>
      <c r="SPF156" s="3060"/>
      <c r="SPG156" s="3060"/>
      <c r="SPH156" s="3060"/>
      <c r="SPI156" s="3060"/>
      <c r="SPJ156" s="3060"/>
      <c r="SPK156" s="3060"/>
      <c r="SPL156" s="3060"/>
      <c r="SPM156" s="3060"/>
      <c r="SPN156" s="3060"/>
      <c r="SPO156" s="3060"/>
      <c r="SPP156" s="3060"/>
      <c r="SPQ156" s="3060"/>
      <c r="SPR156" s="3060"/>
      <c r="SPS156" s="3060"/>
      <c r="SPT156" s="3060"/>
      <c r="SPU156" s="3060"/>
      <c r="SPV156" s="3060"/>
      <c r="SPW156" s="3060"/>
      <c r="SPX156" s="3060"/>
      <c r="SPY156" s="3060"/>
      <c r="SPZ156" s="3060"/>
      <c r="SQA156" s="3060"/>
      <c r="SQB156" s="3060"/>
      <c r="SQC156" s="3060"/>
      <c r="SQD156" s="3060"/>
      <c r="SQE156" s="3060"/>
      <c r="SQF156" s="3060"/>
      <c r="SQG156" s="3060"/>
      <c r="SQH156" s="3060"/>
      <c r="SQI156" s="3060"/>
      <c r="SQJ156" s="3060"/>
      <c r="SQK156" s="3060"/>
      <c r="SQL156" s="3060"/>
      <c r="SQM156" s="3060"/>
      <c r="SQN156" s="3060"/>
      <c r="SQO156" s="3060"/>
      <c r="SQP156" s="3060"/>
      <c r="SQQ156" s="3060"/>
      <c r="SQR156" s="3060"/>
      <c r="SQS156" s="3060"/>
      <c r="SQT156" s="3060"/>
      <c r="SQU156" s="3060"/>
      <c r="SQV156" s="3060"/>
      <c r="SQW156" s="3060"/>
      <c r="SQX156" s="3060"/>
      <c r="SQY156" s="3060"/>
      <c r="SQZ156" s="3060"/>
      <c r="SRA156" s="3060"/>
      <c r="SRB156" s="3060"/>
      <c r="SRC156" s="3060"/>
      <c r="SRD156" s="3060"/>
      <c r="SRE156" s="3060"/>
      <c r="SRF156" s="3060"/>
      <c r="SRG156" s="3060"/>
      <c r="SRH156" s="3060"/>
      <c r="SRI156" s="3060"/>
      <c r="SRJ156" s="3060"/>
      <c r="SRK156" s="3060"/>
      <c r="SRL156" s="3060"/>
      <c r="SRM156" s="3060"/>
      <c r="SRN156" s="3060"/>
      <c r="SRO156" s="3060"/>
      <c r="SRP156" s="3060"/>
      <c r="SRQ156" s="3060"/>
      <c r="SRR156" s="3060"/>
      <c r="SRS156" s="3060"/>
      <c r="SRT156" s="3060"/>
      <c r="SRU156" s="3060"/>
      <c r="SRV156" s="3060"/>
      <c r="SRW156" s="3060"/>
      <c r="SRX156" s="3060"/>
      <c r="SRY156" s="3060"/>
      <c r="SRZ156" s="3060"/>
      <c r="SSA156" s="3060"/>
      <c r="SSB156" s="3060"/>
      <c r="SSC156" s="3060"/>
      <c r="SSD156" s="3060"/>
      <c r="SSE156" s="3060"/>
      <c r="SSF156" s="3060"/>
      <c r="SSG156" s="3060"/>
      <c r="SSH156" s="3060"/>
      <c r="SSI156" s="3060"/>
      <c r="SSJ156" s="3060"/>
      <c r="SSK156" s="3060"/>
      <c r="SSL156" s="3060"/>
      <c r="SSM156" s="3060"/>
      <c r="SSN156" s="3060"/>
      <c r="SSO156" s="3060"/>
      <c r="SSP156" s="3060"/>
      <c r="SSQ156" s="3060"/>
      <c r="SSR156" s="3060"/>
      <c r="SSS156" s="3060"/>
      <c r="SST156" s="3060"/>
      <c r="SSU156" s="3060"/>
      <c r="SSV156" s="3060"/>
      <c r="SSW156" s="3060"/>
      <c r="SSX156" s="3060"/>
      <c r="SSY156" s="3060"/>
      <c r="SSZ156" s="3060"/>
      <c r="STA156" s="3060"/>
      <c r="STB156" s="3060"/>
      <c r="STC156" s="3060"/>
      <c r="STD156" s="3060"/>
      <c r="STE156" s="3060"/>
      <c r="STF156" s="3060"/>
      <c r="STG156" s="3060"/>
      <c r="STH156" s="3060"/>
      <c r="STI156" s="3060"/>
      <c r="STJ156" s="3060"/>
      <c r="STK156" s="3060"/>
      <c r="STL156" s="3060"/>
      <c r="STM156" s="3060"/>
      <c r="STN156" s="3060"/>
      <c r="STO156" s="3060"/>
      <c r="STP156" s="3060"/>
      <c r="STQ156" s="3060"/>
      <c r="STR156" s="3060"/>
      <c r="STS156" s="3060"/>
      <c r="STT156" s="3060"/>
      <c r="STU156" s="3060"/>
      <c r="STV156" s="3060"/>
      <c r="STW156" s="3060"/>
      <c r="STX156" s="3060"/>
      <c r="STY156" s="3060"/>
      <c r="STZ156" s="3060"/>
      <c r="SUA156" s="3060"/>
      <c r="SUB156" s="3060"/>
      <c r="SUC156" s="3060"/>
      <c r="SUD156" s="3060"/>
      <c r="SUE156" s="3060"/>
      <c r="SUF156" s="3060"/>
      <c r="SUG156" s="3060"/>
      <c r="SUH156" s="3060"/>
      <c r="SUI156" s="3060"/>
      <c r="SUJ156" s="3060"/>
      <c r="SUK156" s="3060"/>
      <c r="SUL156" s="3060"/>
      <c r="SUM156" s="3060"/>
      <c r="SUN156" s="3060"/>
      <c r="SUO156" s="3060"/>
      <c r="SUP156" s="3060"/>
      <c r="SUQ156" s="3060"/>
      <c r="SUR156" s="3060"/>
      <c r="SUS156" s="3060"/>
      <c r="SUT156" s="3060"/>
      <c r="SUU156" s="3060"/>
      <c r="SUV156" s="3060"/>
      <c r="SUW156" s="3060"/>
      <c r="SUX156" s="3060"/>
      <c r="SUY156" s="3060"/>
      <c r="SUZ156" s="3060"/>
      <c r="SVA156" s="3060"/>
      <c r="SVB156" s="3060"/>
      <c r="SVC156" s="3060"/>
      <c r="SVD156" s="3060"/>
      <c r="SVE156" s="3060"/>
      <c r="SVF156" s="3060"/>
      <c r="SVG156" s="3060"/>
      <c r="SVH156" s="3060"/>
      <c r="SVI156" s="3060"/>
      <c r="SVJ156" s="3060"/>
      <c r="SVK156" s="3060"/>
      <c r="SVL156" s="3060"/>
      <c r="SVM156" s="3060"/>
      <c r="SVN156" s="3060"/>
      <c r="SVO156" s="3060"/>
      <c r="SVP156" s="3060"/>
      <c r="SVQ156" s="3060"/>
      <c r="SVR156" s="3060"/>
      <c r="SVS156" s="3060"/>
      <c r="SVT156" s="3060"/>
      <c r="SVU156" s="3060"/>
      <c r="SVV156" s="3060"/>
      <c r="SVW156" s="3060"/>
      <c r="SVX156" s="3060"/>
      <c r="SVY156" s="3060"/>
      <c r="SVZ156" s="3060"/>
      <c r="SWA156" s="3060"/>
      <c r="SWB156" s="3060"/>
      <c r="SWC156" s="3060"/>
      <c r="SWD156" s="3060"/>
      <c r="SWE156" s="3060"/>
      <c r="SWF156" s="3060"/>
      <c r="SWG156" s="3060"/>
      <c r="SWH156" s="3060"/>
      <c r="SWI156" s="3060"/>
      <c r="SWJ156" s="3060"/>
      <c r="SWK156" s="3060"/>
      <c r="SWL156" s="3060"/>
      <c r="SWM156" s="3060"/>
      <c r="SWN156" s="3060"/>
      <c r="SWO156" s="3060"/>
      <c r="SWP156" s="3060"/>
      <c r="SWQ156" s="3060"/>
      <c r="SWR156" s="3060"/>
      <c r="SWS156" s="3060"/>
      <c r="SWT156" s="3060"/>
      <c r="SWU156" s="3060"/>
      <c r="SWV156" s="3060"/>
      <c r="SWW156" s="3060"/>
      <c r="SWX156" s="3060"/>
      <c r="SWY156" s="3060"/>
      <c r="SWZ156" s="3060"/>
      <c r="SXA156" s="3060"/>
      <c r="SXB156" s="3060"/>
      <c r="SXC156" s="3060"/>
      <c r="SXD156" s="3060"/>
      <c r="SXE156" s="3060"/>
      <c r="SXF156" s="3060"/>
      <c r="SXG156" s="3060"/>
      <c r="SXH156" s="3060"/>
      <c r="SXI156" s="3060"/>
      <c r="SXJ156" s="3060"/>
      <c r="SXK156" s="3060"/>
      <c r="SXL156" s="3060"/>
      <c r="SXM156" s="3060"/>
      <c r="SXN156" s="3060"/>
      <c r="SXO156" s="3060"/>
      <c r="SXP156" s="3060"/>
      <c r="SXQ156" s="3060"/>
      <c r="SXR156" s="3060"/>
      <c r="SXS156" s="3060"/>
      <c r="SXT156" s="3060"/>
      <c r="SXU156" s="3060"/>
      <c r="SXV156" s="3060"/>
      <c r="SXW156" s="3060"/>
      <c r="SXX156" s="3060"/>
      <c r="SXY156" s="3060"/>
      <c r="SXZ156" s="3060"/>
      <c r="SYA156" s="3060"/>
      <c r="SYB156" s="3060"/>
      <c r="SYC156" s="3060"/>
      <c r="SYD156" s="3060"/>
      <c r="SYE156" s="3060"/>
      <c r="SYF156" s="3060"/>
      <c r="SYG156" s="3060"/>
      <c r="SYH156" s="3060"/>
      <c r="SYI156" s="3060"/>
      <c r="SYJ156" s="3060"/>
      <c r="SYK156" s="3060"/>
      <c r="SYL156" s="3060"/>
      <c r="SYM156" s="3060"/>
      <c r="SYN156" s="3060"/>
      <c r="SYO156" s="3060"/>
      <c r="SYP156" s="3060"/>
      <c r="SYQ156" s="3060"/>
      <c r="SYR156" s="3060"/>
      <c r="SYS156" s="3060"/>
      <c r="SYT156" s="3060"/>
      <c r="SYU156" s="3060"/>
      <c r="SYV156" s="3060"/>
      <c r="SYW156" s="3060"/>
      <c r="SYX156" s="3060"/>
      <c r="SYY156" s="3060"/>
      <c r="SYZ156" s="3060"/>
      <c r="SZA156" s="3060"/>
      <c r="SZB156" s="3060"/>
      <c r="SZC156" s="3060"/>
      <c r="SZD156" s="3060"/>
      <c r="SZE156" s="3060"/>
      <c r="SZF156" s="3060"/>
      <c r="SZG156" s="3060"/>
      <c r="SZH156" s="3060"/>
      <c r="SZI156" s="3060"/>
      <c r="SZJ156" s="3060"/>
      <c r="SZK156" s="3060"/>
      <c r="SZL156" s="3060"/>
      <c r="SZM156" s="3060"/>
      <c r="SZN156" s="3060"/>
      <c r="SZO156" s="3060"/>
      <c r="SZP156" s="3060"/>
      <c r="SZQ156" s="3060"/>
      <c r="SZR156" s="3060"/>
      <c r="SZS156" s="3060"/>
      <c r="SZT156" s="3060"/>
      <c r="SZU156" s="3060"/>
      <c r="SZV156" s="3060"/>
      <c r="SZW156" s="3060"/>
      <c r="SZX156" s="3060"/>
      <c r="SZY156" s="3060"/>
      <c r="SZZ156" s="3060"/>
      <c r="TAA156" s="3060"/>
      <c r="TAB156" s="3060"/>
      <c r="TAC156" s="3060"/>
      <c r="TAD156" s="3060"/>
      <c r="TAE156" s="3060"/>
      <c r="TAF156" s="3060"/>
      <c r="TAG156" s="3060"/>
      <c r="TAH156" s="3060"/>
      <c r="TAI156" s="3060"/>
      <c r="TAJ156" s="3060"/>
      <c r="TAK156" s="3060"/>
      <c r="TAL156" s="3060"/>
      <c r="TAM156" s="3060"/>
      <c r="TAN156" s="3060"/>
      <c r="TAO156" s="3060"/>
      <c r="TAP156" s="3060"/>
      <c r="TAQ156" s="3060"/>
      <c r="TAR156" s="3060"/>
      <c r="TAS156" s="3060"/>
      <c r="TAT156" s="3060"/>
      <c r="TAU156" s="3060"/>
      <c r="TAV156" s="3060"/>
      <c r="TAW156" s="3060"/>
      <c r="TAX156" s="3060"/>
      <c r="TAY156" s="3060"/>
      <c r="TAZ156" s="3060"/>
      <c r="TBA156" s="3060"/>
      <c r="TBB156" s="3060"/>
      <c r="TBC156" s="3060"/>
      <c r="TBD156" s="3060"/>
      <c r="TBE156" s="3060"/>
      <c r="TBF156" s="3060"/>
      <c r="TBG156" s="3060"/>
      <c r="TBH156" s="3060"/>
      <c r="TBI156" s="3060"/>
      <c r="TBJ156" s="3060"/>
      <c r="TBK156" s="3060"/>
      <c r="TBL156" s="3060"/>
      <c r="TBM156" s="3060"/>
      <c r="TBN156" s="3060"/>
      <c r="TBO156" s="3060"/>
      <c r="TBP156" s="3060"/>
      <c r="TBQ156" s="3060"/>
      <c r="TBR156" s="3060"/>
      <c r="TBS156" s="3060"/>
      <c r="TBT156" s="3060"/>
      <c r="TBU156" s="3060"/>
      <c r="TBV156" s="3060"/>
      <c r="TBW156" s="3060"/>
      <c r="TBX156" s="3060"/>
      <c r="TBY156" s="3060"/>
      <c r="TBZ156" s="3060"/>
      <c r="TCA156" s="3060"/>
      <c r="TCB156" s="3060"/>
      <c r="TCC156" s="3060"/>
      <c r="TCD156" s="3060"/>
      <c r="TCE156" s="3060"/>
      <c r="TCF156" s="3060"/>
      <c r="TCG156" s="3060"/>
      <c r="TCH156" s="3060"/>
      <c r="TCI156" s="3060"/>
      <c r="TCJ156" s="3060"/>
      <c r="TCK156" s="3060"/>
      <c r="TCL156" s="3060"/>
      <c r="TCM156" s="3060"/>
      <c r="TCN156" s="3060"/>
      <c r="TCO156" s="3060"/>
      <c r="TCP156" s="3060"/>
      <c r="TCQ156" s="3060"/>
      <c r="TCR156" s="3060"/>
      <c r="TCS156" s="3060"/>
      <c r="TCT156" s="3060"/>
      <c r="TCU156" s="3060"/>
      <c r="TCV156" s="3060"/>
      <c r="TCW156" s="3060"/>
      <c r="TCX156" s="3060"/>
      <c r="TCY156" s="3060"/>
      <c r="TCZ156" s="3060"/>
      <c r="TDA156" s="3060"/>
      <c r="TDB156" s="3060"/>
      <c r="TDC156" s="3060"/>
      <c r="TDD156" s="3060"/>
      <c r="TDE156" s="3060"/>
      <c r="TDF156" s="3060"/>
      <c r="TDG156" s="3060"/>
      <c r="TDH156" s="3060"/>
      <c r="TDI156" s="3060"/>
      <c r="TDJ156" s="3060"/>
      <c r="TDK156" s="3060"/>
      <c r="TDL156" s="3060"/>
      <c r="TDM156" s="3060"/>
      <c r="TDN156" s="3060"/>
      <c r="TDO156" s="3060"/>
      <c r="TDP156" s="3060"/>
      <c r="TDQ156" s="3060"/>
      <c r="TDR156" s="3060"/>
      <c r="TDS156" s="3060"/>
      <c r="TDT156" s="3060"/>
      <c r="TDU156" s="3060"/>
      <c r="TDV156" s="3060"/>
      <c r="TDW156" s="3060"/>
      <c r="TDX156" s="3060"/>
      <c r="TDY156" s="3060"/>
      <c r="TDZ156" s="3060"/>
      <c r="TEA156" s="3060"/>
      <c r="TEB156" s="3060"/>
      <c r="TEC156" s="3060"/>
      <c r="TED156" s="3060"/>
      <c r="TEE156" s="3060"/>
      <c r="TEF156" s="3060"/>
      <c r="TEG156" s="3060"/>
      <c r="TEH156" s="3060"/>
      <c r="TEI156" s="3060"/>
      <c r="TEJ156" s="3060"/>
      <c r="TEK156" s="3060"/>
      <c r="TEL156" s="3060"/>
      <c r="TEM156" s="3060"/>
      <c r="TEN156" s="3060"/>
      <c r="TEO156" s="3060"/>
      <c r="TEP156" s="3060"/>
      <c r="TEQ156" s="3060"/>
      <c r="TER156" s="3060"/>
      <c r="TES156" s="3060"/>
      <c r="TET156" s="3060"/>
      <c r="TEU156" s="3060"/>
      <c r="TEV156" s="3060"/>
      <c r="TEW156" s="3060"/>
      <c r="TEX156" s="3060"/>
      <c r="TEY156" s="3060"/>
      <c r="TEZ156" s="3060"/>
      <c r="TFA156" s="3060"/>
      <c r="TFB156" s="3060"/>
      <c r="TFC156" s="3060"/>
      <c r="TFD156" s="3060"/>
      <c r="TFE156" s="3060"/>
      <c r="TFF156" s="3060"/>
      <c r="TFG156" s="3060"/>
      <c r="TFH156" s="3060"/>
      <c r="TFI156" s="3060"/>
      <c r="TFJ156" s="3060"/>
      <c r="TFK156" s="3060"/>
      <c r="TFL156" s="3060"/>
      <c r="TFM156" s="3060"/>
      <c r="TFN156" s="3060"/>
      <c r="TFO156" s="3060"/>
      <c r="TFP156" s="3060"/>
      <c r="TFQ156" s="3060"/>
      <c r="TFR156" s="3060"/>
      <c r="TFS156" s="3060"/>
      <c r="TFT156" s="3060"/>
      <c r="TFU156" s="3060"/>
      <c r="TFV156" s="3060"/>
      <c r="TFW156" s="3060"/>
      <c r="TFX156" s="3060"/>
      <c r="TFY156" s="3060"/>
      <c r="TFZ156" s="3060"/>
      <c r="TGA156" s="3060"/>
      <c r="TGB156" s="3060"/>
      <c r="TGC156" s="3060"/>
      <c r="TGD156" s="3060"/>
      <c r="TGE156" s="3060"/>
      <c r="TGF156" s="3060"/>
      <c r="TGG156" s="3060"/>
      <c r="TGH156" s="3060"/>
      <c r="TGI156" s="3060"/>
      <c r="TGJ156" s="3060"/>
      <c r="TGK156" s="3060"/>
      <c r="TGL156" s="3060"/>
      <c r="TGM156" s="3060"/>
      <c r="TGN156" s="3060"/>
      <c r="TGO156" s="3060"/>
      <c r="TGP156" s="3060"/>
      <c r="TGQ156" s="3060"/>
      <c r="TGR156" s="3060"/>
      <c r="TGS156" s="3060"/>
      <c r="TGT156" s="3060"/>
      <c r="TGU156" s="3060"/>
      <c r="TGV156" s="3060"/>
      <c r="TGW156" s="3060"/>
      <c r="TGX156" s="3060"/>
      <c r="TGY156" s="3060"/>
      <c r="TGZ156" s="3060"/>
      <c r="THA156" s="3060"/>
      <c r="THB156" s="3060"/>
      <c r="THC156" s="3060"/>
      <c r="THD156" s="3060"/>
      <c r="THE156" s="3060"/>
      <c r="THF156" s="3060"/>
      <c r="THG156" s="3060"/>
      <c r="THH156" s="3060"/>
      <c r="THI156" s="3060"/>
      <c r="THJ156" s="3060"/>
      <c r="THK156" s="3060"/>
      <c r="THL156" s="3060"/>
      <c r="THM156" s="3060"/>
      <c r="THN156" s="3060"/>
      <c r="THO156" s="3060"/>
      <c r="THP156" s="3060"/>
      <c r="THQ156" s="3060"/>
      <c r="THR156" s="3060"/>
      <c r="THS156" s="3060"/>
      <c r="THT156" s="3060"/>
      <c r="THU156" s="3060"/>
      <c r="THV156" s="3060"/>
      <c r="THW156" s="3060"/>
      <c r="THX156" s="3060"/>
      <c r="THY156" s="3060"/>
      <c r="THZ156" s="3060"/>
      <c r="TIA156" s="3060"/>
      <c r="TIB156" s="3060"/>
      <c r="TIC156" s="3060"/>
      <c r="TID156" s="3060"/>
      <c r="TIE156" s="3060"/>
      <c r="TIF156" s="3060"/>
      <c r="TIG156" s="3060"/>
      <c r="TIH156" s="3060"/>
      <c r="TII156" s="3060"/>
      <c r="TIJ156" s="3060"/>
      <c r="TIK156" s="3060"/>
      <c r="TIL156" s="3060"/>
      <c r="TIM156" s="3060"/>
      <c r="TIN156" s="3060"/>
      <c r="TIO156" s="3060"/>
      <c r="TIP156" s="3060"/>
      <c r="TIQ156" s="3060"/>
      <c r="TIR156" s="3060"/>
      <c r="TIS156" s="3060"/>
      <c r="TIT156" s="3060"/>
      <c r="TIU156" s="3060"/>
      <c r="TIV156" s="3060"/>
      <c r="TIW156" s="3060"/>
      <c r="TIX156" s="3060"/>
      <c r="TIY156" s="3060"/>
      <c r="TIZ156" s="3060"/>
      <c r="TJA156" s="3060"/>
      <c r="TJB156" s="3060"/>
      <c r="TJC156" s="3060"/>
      <c r="TJD156" s="3060"/>
      <c r="TJE156" s="3060"/>
      <c r="TJF156" s="3060"/>
      <c r="TJG156" s="3060"/>
      <c r="TJH156" s="3060"/>
      <c r="TJI156" s="3060"/>
      <c r="TJJ156" s="3060"/>
      <c r="TJK156" s="3060"/>
      <c r="TJL156" s="3060"/>
      <c r="TJM156" s="3060"/>
      <c r="TJN156" s="3060"/>
      <c r="TJO156" s="3060"/>
      <c r="TJP156" s="3060"/>
      <c r="TJQ156" s="3060"/>
      <c r="TJR156" s="3060"/>
      <c r="TJS156" s="3060"/>
      <c r="TJT156" s="3060"/>
      <c r="TJU156" s="3060"/>
      <c r="TJV156" s="3060"/>
      <c r="TJW156" s="3060"/>
      <c r="TJX156" s="3060"/>
      <c r="TJY156" s="3060"/>
      <c r="TJZ156" s="3060"/>
      <c r="TKA156" s="3060"/>
      <c r="TKB156" s="3060"/>
      <c r="TKC156" s="3060"/>
      <c r="TKD156" s="3060"/>
      <c r="TKE156" s="3060"/>
      <c r="TKF156" s="3060"/>
      <c r="TKG156" s="3060"/>
      <c r="TKH156" s="3060"/>
      <c r="TKI156" s="3060"/>
      <c r="TKJ156" s="3060"/>
      <c r="TKK156" s="3060"/>
      <c r="TKL156" s="3060"/>
      <c r="TKM156" s="3060"/>
      <c r="TKN156" s="3060"/>
      <c r="TKO156" s="3060"/>
      <c r="TKP156" s="3060"/>
      <c r="TKQ156" s="3060"/>
      <c r="TKR156" s="3060"/>
      <c r="TKS156" s="3060"/>
      <c r="TKT156" s="3060"/>
      <c r="TKU156" s="3060"/>
      <c r="TKV156" s="3060"/>
      <c r="TKW156" s="3060"/>
      <c r="TKX156" s="3060"/>
      <c r="TKY156" s="3060"/>
      <c r="TKZ156" s="3060"/>
      <c r="TLA156" s="3060"/>
      <c r="TLB156" s="3060"/>
      <c r="TLC156" s="3060"/>
      <c r="TLD156" s="3060"/>
      <c r="TLE156" s="3060"/>
      <c r="TLF156" s="3060"/>
      <c r="TLG156" s="3060"/>
      <c r="TLH156" s="3060"/>
      <c r="TLI156" s="3060"/>
      <c r="TLJ156" s="3060"/>
      <c r="TLK156" s="3060"/>
      <c r="TLL156" s="3060"/>
      <c r="TLM156" s="3060"/>
      <c r="TLN156" s="3060"/>
      <c r="TLO156" s="3060"/>
      <c r="TLP156" s="3060"/>
      <c r="TLQ156" s="3060"/>
      <c r="TLR156" s="3060"/>
      <c r="TLS156" s="3060"/>
      <c r="TLT156" s="3060"/>
      <c r="TLU156" s="3060"/>
      <c r="TLV156" s="3060"/>
      <c r="TLW156" s="3060"/>
      <c r="TLX156" s="3060"/>
      <c r="TLY156" s="3060"/>
      <c r="TLZ156" s="3060"/>
      <c r="TMA156" s="3060"/>
      <c r="TMB156" s="3060"/>
      <c r="TMC156" s="3060"/>
      <c r="TMD156" s="3060"/>
      <c r="TME156" s="3060"/>
      <c r="TMF156" s="3060"/>
      <c r="TMG156" s="3060"/>
      <c r="TMH156" s="3060"/>
      <c r="TMI156" s="3060"/>
      <c r="TMJ156" s="3060"/>
      <c r="TMK156" s="3060"/>
      <c r="TML156" s="3060"/>
      <c r="TMM156" s="3060"/>
      <c r="TMN156" s="3060"/>
      <c r="TMO156" s="3060"/>
      <c r="TMP156" s="3060"/>
      <c r="TMQ156" s="3060"/>
      <c r="TMR156" s="3060"/>
      <c r="TMS156" s="3060"/>
      <c r="TMT156" s="3060"/>
      <c r="TMU156" s="3060"/>
      <c r="TMV156" s="3060"/>
      <c r="TMW156" s="3060"/>
      <c r="TMX156" s="3060"/>
      <c r="TMY156" s="3060"/>
      <c r="TMZ156" s="3060"/>
      <c r="TNA156" s="3060"/>
      <c r="TNB156" s="3060"/>
      <c r="TNC156" s="3060"/>
      <c r="TND156" s="3060"/>
      <c r="TNE156" s="3060"/>
      <c r="TNF156" s="3060"/>
      <c r="TNG156" s="3060"/>
      <c r="TNH156" s="3060"/>
      <c r="TNI156" s="3060"/>
      <c r="TNJ156" s="3060"/>
      <c r="TNK156" s="3060"/>
      <c r="TNL156" s="3060"/>
      <c r="TNM156" s="3060"/>
      <c r="TNN156" s="3060"/>
      <c r="TNO156" s="3060"/>
      <c r="TNP156" s="3060"/>
      <c r="TNQ156" s="3060"/>
      <c r="TNR156" s="3060"/>
      <c r="TNS156" s="3060"/>
      <c r="TNT156" s="3060"/>
      <c r="TNU156" s="3060"/>
      <c r="TNV156" s="3060"/>
      <c r="TNW156" s="3060"/>
      <c r="TNX156" s="3060"/>
      <c r="TNY156" s="3060"/>
      <c r="TNZ156" s="3060"/>
      <c r="TOA156" s="3060"/>
      <c r="TOB156" s="3060"/>
      <c r="TOC156" s="3060"/>
      <c r="TOD156" s="3060"/>
      <c r="TOE156" s="3060"/>
      <c r="TOF156" s="3060"/>
      <c r="TOG156" s="3060"/>
      <c r="TOH156" s="3060"/>
      <c r="TOI156" s="3060"/>
      <c r="TOJ156" s="3060"/>
      <c r="TOK156" s="3060"/>
      <c r="TOL156" s="3060"/>
      <c r="TOM156" s="3060"/>
      <c r="TON156" s="3060"/>
      <c r="TOO156" s="3060"/>
      <c r="TOP156" s="3060"/>
      <c r="TOQ156" s="3060"/>
      <c r="TOR156" s="3060"/>
      <c r="TOS156" s="3060"/>
      <c r="TOT156" s="3060"/>
      <c r="TOU156" s="3060"/>
      <c r="TOV156" s="3060"/>
      <c r="TOW156" s="3060"/>
      <c r="TOX156" s="3060"/>
      <c r="TOY156" s="3060"/>
      <c r="TOZ156" s="3060"/>
      <c r="TPA156" s="3060"/>
      <c r="TPB156" s="3060"/>
      <c r="TPC156" s="3060"/>
      <c r="TPD156" s="3060"/>
      <c r="TPE156" s="3060"/>
      <c r="TPF156" s="3060"/>
      <c r="TPG156" s="3060"/>
      <c r="TPH156" s="3060"/>
      <c r="TPI156" s="3060"/>
      <c r="TPJ156" s="3060"/>
      <c r="TPK156" s="3060"/>
      <c r="TPL156" s="3060"/>
      <c r="TPM156" s="3060"/>
      <c r="TPN156" s="3060"/>
      <c r="TPO156" s="3060"/>
      <c r="TPP156" s="3060"/>
      <c r="TPQ156" s="3060"/>
      <c r="TPR156" s="3060"/>
      <c r="TPS156" s="3060"/>
      <c r="TPT156" s="3060"/>
      <c r="TPU156" s="3060"/>
      <c r="TPV156" s="3060"/>
      <c r="TPW156" s="3060"/>
      <c r="TPX156" s="3060"/>
      <c r="TPY156" s="3060"/>
      <c r="TPZ156" s="3060"/>
      <c r="TQA156" s="3060"/>
      <c r="TQB156" s="3060"/>
      <c r="TQC156" s="3060"/>
      <c r="TQD156" s="3060"/>
      <c r="TQE156" s="3060"/>
      <c r="TQF156" s="3060"/>
      <c r="TQG156" s="3060"/>
      <c r="TQH156" s="3060"/>
      <c r="TQI156" s="3060"/>
      <c r="TQJ156" s="3060"/>
      <c r="TQK156" s="3060"/>
      <c r="TQL156" s="3060"/>
      <c r="TQM156" s="3060"/>
      <c r="TQN156" s="3060"/>
      <c r="TQO156" s="3060"/>
      <c r="TQP156" s="3060"/>
      <c r="TQQ156" s="3060"/>
      <c r="TQR156" s="3060"/>
      <c r="TQS156" s="3060"/>
      <c r="TQT156" s="3060"/>
      <c r="TQU156" s="3060"/>
      <c r="TQV156" s="3060"/>
      <c r="TQW156" s="3060"/>
      <c r="TQX156" s="3060"/>
      <c r="TQY156" s="3060"/>
      <c r="TQZ156" s="3060"/>
      <c r="TRA156" s="3060"/>
      <c r="TRB156" s="3060"/>
      <c r="TRC156" s="3060"/>
      <c r="TRD156" s="3060"/>
      <c r="TRE156" s="3060"/>
      <c r="TRF156" s="3060"/>
      <c r="TRG156" s="3060"/>
      <c r="TRH156" s="3060"/>
      <c r="TRI156" s="3060"/>
      <c r="TRJ156" s="3060"/>
      <c r="TRK156" s="3060"/>
      <c r="TRL156" s="3060"/>
      <c r="TRM156" s="3060"/>
      <c r="TRN156" s="3060"/>
      <c r="TRO156" s="3060"/>
      <c r="TRP156" s="3060"/>
      <c r="TRQ156" s="3060"/>
      <c r="TRR156" s="3060"/>
      <c r="TRS156" s="3060"/>
      <c r="TRT156" s="3060"/>
      <c r="TRU156" s="3060"/>
      <c r="TRV156" s="3060"/>
      <c r="TRW156" s="3060"/>
      <c r="TRX156" s="3060"/>
      <c r="TRY156" s="3060"/>
      <c r="TRZ156" s="3060"/>
      <c r="TSA156" s="3060"/>
      <c r="TSB156" s="3060"/>
      <c r="TSC156" s="3060"/>
      <c r="TSD156" s="3060"/>
      <c r="TSE156" s="3060"/>
      <c r="TSF156" s="3060"/>
      <c r="TSG156" s="3060"/>
      <c r="TSH156" s="3060"/>
      <c r="TSI156" s="3060"/>
      <c r="TSJ156" s="3060"/>
      <c r="TSK156" s="3060"/>
      <c r="TSL156" s="3060"/>
      <c r="TSM156" s="3060"/>
      <c r="TSN156" s="3060"/>
      <c r="TSO156" s="3060"/>
      <c r="TSP156" s="3060"/>
      <c r="TSQ156" s="3060"/>
      <c r="TSR156" s="3060"/>
      <c r="TSS156" s="3060"/>
      <c r="TST156" s="3060"/>
      <c r="TSU156" s="3060"/>
      <c r="TSV156" s="3060"/>
      <c r="TSW156" s="3060"/>
      <c r="TSX156" s="3060"/>
      <c r="TSY156" s="3060"/>
      <c r="TSZ156" s="3060"/>
      <c r="TTA156" s="3060"/>
      <c r="TTB156" s="3060"/>
      <c r="TTC156" s="3060"/>
      <c r="TTD156" s="3060"/>
      <c r="TTE156" s="3060"/>
      <c r="TTF156" s="3060"/>
      <c r="TTG156" s="3060"/>
      <c r="TTH156" s="3060"/>
      <c r="TTI156" s="3060"/>
      <c r="TTJ156" s="3060"/>
      <c r="TTK156" s="3060"/>
      <c r="TTL156" s="3060"/>
      <c r="TTM156" s="3060"/>
      <c r="TTN156" s="3060"/>
      <c r="TTO156" s="3060"/>
      <c r="TTP156" s="3060"/>
      <c r="TTQ156" s="3060"/>
      <c r="TTR156" s="3060"/>
      <c r="TTS156" s="3060"/>
      <c r="TTT156" s="3060"/>
      <c r="TTU156" s="3060"/>
      <c r="TTV156" s="3060"/>
      <c r="TTW156" s="3060"/>
      <c r="TTX156" s="3060"/>
      <c r="TTY156" s="3060"/>
      <c r="TTZ156" s="3060"/>
      <c r="TUA156" s="3060"/>
      <c r="TUB156" s="3060"/>
      <c r="TUC156" s="3060"/>
      <c r="TUD156" s="3060"/>
      <c r="TUE156" s="3060"/>
      <c r="TUF156" s="3060"/>
      <c r="TUG156" s="3060"/>
      <c r="TUH156" s="3060"/>
      <c r="TUI156" s="3060"/>
      <c r="TUJ156" s="3060"/>
      <c r="TUK156" s="3060"/>
      <c r="TUL156" s="3060"/>
      <c r="TUM156" s="3060"/>
      <c r="TUN156" s="3060"/>
      <c r="TUO156" s="3060"/>
      <c r="TUP156" s="3060"/>
      <c r="TUQ156" s="3060"/>
      <c r="TUR156" s="3060"/>
      <c r="TUS156" s="3060"/>
      <c r="TUT156" s="3060"/>
      <c r="TUU156" s="3060"/>
      <c r="TUV156" s="3060"/>
      <c r="TUW156" s="3060"/>
      <c r="TUX156" s="3060"/>
      <c r="TUY156" s="3060"/>
      <c r="TUZ156" s="3060"/>
      <c r="TVA156" s="3060"/>
      <c r="TVB156" s="3060"/>
      <c r="TVC156" s="3060"/>
      <c r="TVD156" s="3060"/>
      <c r="TVE156" s="3060"/>
      <c r="TVF156" s="3060"/>
      <c r="TVG156" s="3060"/>
      <c r="TVH156" s="3060"/>
      <c r="TVI156" s="3060"/>
      <c r="TVJ156" s="3060"/>
      <c r="TVK156" s="3060"/>
      <c r="TVL156" s="3060"/>
      <c r="TVM156" s="3060"/>
      <c r="TVN156" s="3060"/>
      <c r="TVO156" s="3060"/>
      <c r="TVP156" s="3060"/>
      <c r="TVQ156" s="3060"/>
      <c r="TVR156" s="3060"/>
      <c r="TVS156" s="3060"/>
      <c r="TVT156" s="3060"/>
      <c r="TVU156" s="3060"/>
      <c r="TVV156" s="3060"/>
      <c r="TVW156" s="3060"/>
      <c r="TVX156" s="3060"/>
      <c r="TVY156" s="3060"/>
      <c r="TVZ156" s="3060"/>
      <c r="TWA156" s="3060"/>
      <c r="TWB156" s="3060"/>
      <c r="TWC156" s="3060"/>
      <c r="TWD156" s="3060"/>
      <c r="TWE156" s="3060"/>
      <c r="TWF156" s="3060"/>
      <c r="TWG156" s="3060"/>
      <c r="TWH156" s="3060"/>
      <c r="TWI156" s="3060"/>
      <c r="TWJ156" s="3060"/>
      <c r="TWK156" s="3060"/>
      <c r="TWL156" s="3060"/>
      <c r="TWM156" s="3060"/>
      <c r="TWN156" s="3060"/>
      <c r="TWO156" s="3060"/>
      <c r="TWP156" s="3060"/>
      <c r="TWQ156" s="3060"/>
      <c r="TWR156" s="3060"/>
      <c r="TWS156" s="3060"/>
      <c r="TWT156" s="3060"/>
      <c r="TWU156" s="3060"/>
      <c r="TWV156" s="3060"/>
      <c r="TWW156" s="3060"/>
      <c r="TWX156" s="3060"/>
      <c r="TWY156" s="3060"/>
      <c r="TWZ156" s="3060"/>
      <c r="TXA156" s="3060"/>
      <c r="TXB156" s="3060"/>
      <c r="TXC156" s="3060"/>
      <c r="TXD156" s="3060"/>
      <c r="TXE156" s="3060"/>
      <c r="TXF156" s="3060"/>
      <c r="TXG156" s="3060"/>
      <c r="TXH156" s="3060"/>
      <c r="TXI156" s="3060"/>
      <c r="TXJ156" s="3060"/>
      <c r="TXK156" s="3060"/>
      <c r="TXL156" s="3060"/>
      <c r="TXM156" s="3060"/>
      <c r="TXN156" s="3060"/>
      <c r="TXO156" s="3060"/>
      <c r="TXP156" s="3060"/>
      <c r="TXQ156" s="3060"/>
      <c r="TXR156" s="3060"/>
      <c r="TXS156" s="3060"/>
      <c r="TXT156" s="3060"/>
      <c r="TXU156" s="3060"/>
      <c r="TXV156" s="3060"/>
      <c r="TXW156" s="3060"/>
      <c r="TXX156" s="3060"/>
      <c r="TXY156" s="3060"/>
      <c r="TXZ156" s="3060"/>
      <c r="TYA156" s="3060"/>
      <c r="TYB156" s="3060"/>
      <c r="TYC156" s="3060"/>
      <c r="TYD156" s="3060"/>
      <c r="TYE156" s="3060"/>
      <c r="TYF156" s="3060"/>
      <c r="TYG156" s="3060"/>
      <c r="TYH156" s="3060"/>
      <c r="TYI156" s="3060"/>
      <c r="TYJ156" s="3060"/>
      <c r="TYK156" s="3060"/>
      <c r="TYL156" s="3060"/>
      <c r="TYM156" s="3060"/>
      <c r="TYN156" s="3060"/>
      <c r="TYO156" s="3060"/>
      <c r="TYP156" s="3060"/>
      <c r="TYQ156" s="3060"/>
      <c r="TYR156" s="3060"/>
      <c r="TYS156" s="3060"/>
      <c r="TYT156" s="3060"/>
      <c r="TYU156" s="3060"/>
      <c r="TYV156" s="3060"/>
      <c r="TYW156" s="3060"/>
      <c r="TYX156" s="3060"/>
      <c r="TYY156" s="3060"/>
      <c r="TYZ156" s="3060"/>
      <c r="TZA156" s="3060"/>
      <c r="TZB156" s="3060"/>
      <c r="TZC156" s="3060"/>
      <c r="TZD156" s="3060"/>
      <c r="TZE156" s="3060"/>
      <c r="TZF156" s="3060"/>
      <c r="TZG156" s="3060"/>
      <c r="TZH156" s="3060"/>
      <c r="TZI156" s="3060"/>
      <c r="TZJ156" s="3060"/>
      <c r="TZK156" s="3060"/>
      <c r="TZL156" s="3060"/>
      <c r="TZM156" s="3060"/>
      <c r="TZN156" s="3060"/>
      <c r="TZO156" s="3060"/>
      <c r="TZP156" s="3060"/>
      <c r="TZQ156" s="3060"/>
      <c r="TZR156" s="3060"/>
      <c r="TZS156" s="3060"/>
      <c r="TZT156" s="3060"/>
      <c r="TZU156" s="3060"/>
      <c r="TZV156" s="3060"/>
      <c r="TZW156" s="3060"/>
      <c r="TZX156" s="3060"/>
      <c r="TZY156" s="3060"/>
      <c r="TZZ156" s="3060"/>
      <c r="UAA156" s="3060"/>
      <c r="UAB156" s="3060"/>
      <c r="UAC156" s="3060"/>
      <c r="UAD156" s="3060"/>
      <c r="UAE156" s="3060"/>
      <c r="UAF156" s="3060"/>
      <c r="UAG156" s="3060"/>
      <c r="UAH156" s="3060"/>
      <c r="UAI156" s="3060"/>
      <c r="UAJ156" s="3060"/>
      <c r="UAK156" s="3060"/>
      <c r="UAL156" s="3060"/>
      <c r="UAM156" s="3060"/>
      <c r="UAN156" s="3060"/>
      <c r="UAO156" s="3060"/>
      <c r="UAP156" s="3060"/>
      <c r="UAQ156" s="3060"/>
      <c r="UAR156" s="3060"/>
      <c r="UAS156" s="3060"/>
      <c r="UAT156" s="3060"/>
      <c r="UAU156" s="3060"/>
      <c r="UAV156" s="3060"/>
      <c r="UAW156" s="3060"/>
      <c r="UAX156" s="3060"/>
      <c r="UAY156" s="3060"/>
      <c r="UAZ156" s="3060"/>
      <c r="UBA156" s="3060"/>
      <c r="UBB156" s="3060"/>
      <c r="UBC156" s="3060"/>
      <c r="UBD156" s="3060"/>
      <c r="UBE156" s="3060"/>
      <c r="UBF156" s="3060"/>
      <c r="UBG156" s="3060"/>
      <c r="UBH156" s="3060"/>
      <c r="UBI156" s="3060"/>
      <c r="UBJ156" s="3060"/>
      <c r="UBK156" s="3060"/>
      <c r="UBL156" s="3060"/>
      <c r="UBM156" s="3060"/>
      <c r="UBN156" s="3060"/>
      <c r="UBO156" s="3060"/>
      <c r="UBP156" s="3060"/>
      <c r="UBQ156" s="3060"/>
      <c r="UBR156" s="3060"/>
      <c r="UBS156" s="3060"/>
      <c r="UBT156" s="3060"/>
      <c r="UBU156" s="3060"/>
      <c r="UBV156" s="3060"/>
      <c r="UBW156" s="3060"/>
      <c r="UBX156" s="3060"/>
      <c r="UBY156" s="3060"/>
      <c r="UBZ156" s="3060"/>
      <c r="UCA156" s="3060"/>
      <c r="UCB156" s="3060"/>
      <c r="UCC156" s="3060"/>
      <c r="UCD156" s="3060"/>
      <c r="UCE156" s="3060"/>
      <c r="UCF156" s="3060"/>
      <c r="UCG156" s="3060"/>
      <c r="UCH156" s="3060"/>
      <c r="UCI156" s="3060"/>
      <c r="UCJ156" s="3060"/>
      <c r="UCK156" s="3060"/>
      <c r="UCL156" s="3060"/>
      <c r="UCM156" s="3060"/>
      <c r="UCN156" s="3060"/>
      <c r="UCO156" s="3060"/>
      <c r="UCP156" s="3060"/>
      <c r="UCQ156" s="3060"/>
      <c r="UCR156" s="3060"/>
      <c r="UCS156" s="3060"/>
      <c r="UCT156" s="3060"/>
      <c r="UCU156" s="3060"/>
      <c r="UCV156" s="3060"/>
      <c r="UCW156" s="3060"/>
      <c r="UCX156" s="3060"/>
      <c r="UCY156" s="3060"/>
      <c r="UCZ156" s="3060"/>
      <c r="UDA156" s="3060"/>
      <c r="UDB156" s="3060"/>
      <c r="UDC156" s="3060"/>
      <c r="UDD156" s="3060"/>
      <c r="UDE156" s="3060"/>
      <c r="UDF156" s="3060"/>
      <c r="UDG156" s="3060"/>
      <c r="UDH156" s="3060"/>
      <c r="UDI156" s="3060"/>
      <c r="UDJ156" s="3060"/>
      <c r="UDK156" s="3060"/>
      <c r="UDL156" s="3060"/>
      <c r="UDM156" s="3060"/>
      <c r="UDN156" s="3060"/>
      <c r="UDO156" s="3060"/>
      <c r="UDP156" s="3060"/>
      <c r="UDQ156" s="3060"/>
      <c r="UDR156" s="3060"/>
      <c r="UDS156" s="3060"/>
      <c r="UDT156" s="3060"/>
      <c r="UDU156" s="3060"/>
      <c r="UDV156" s="3060"/>
      <c r="UDW156" s="3060"/>
      <c r="UDX156" s="3060"/>
      <c r="UDY156" s="3060"/>
      <c r="UDZ156" s="3060"/>
      <c r="UEA156" s="3060"/>
      <c r="UEB156" s="3060"/>
      <c r="UEC156" s="3060"/>
      <c r="UED156" s="3060"/>
      <c r="UEE156" s="3060"/>
      <c r="UEF156" s="3060"/>
      <c r="UEG156" s="3060"/>
      <c r="UEH156" s="3060"/>
      <c r="UEI156" s="3060"/>
      <c r="UEJ156" s="3060"/>
      <c r="UEK156" s="3060"/>
      <c r="UEL156" s="3060"/>
      <c r="UEM156" s="3060"/>
      <c r="UEN156" s="3060"/>
      <c r="UEO156" s="3060"/>
      <c r="UEP156" s="3060"/>
      <c r="UEQ156" s="3060"/>
      <c r="UER156" s="3060"/>
      <c r="UES156" s="3060"/>
      <c r="UET156" s="3060"/>
      <c r="UEU156" s="3060"/>
      <c r="UEV156" s="3060"/>
      <c r="UEW156" s="3060"/>
      <c r="UEX156" s="3060"/>
      <c r="UEY156" s="3060"/>
      <c r="UEZ156" s="3060"/>
      <c r="UFA156" s="3060"/>
      <c r="UFB156" s="3060"/>
      <c r="UFC156" s="3060"/>
      <c r="UFD156" s="3060"/>
      <c r="UFE156" s="3060"/>
      <c r="UFF156" s="3060"/>
      <c r="UFG156" s="3060"/>
      <c r="UFH156" s="3060"/>
      <c r="UFI156" s="3060"/>
      <c r="UFJ156" s="3060"/>
      <c r="UFK156" s="3060"/>
      <c r="UFL156" s="3060"/>
      <c r="UFM156" s="3060"/>
      <c r="UFN156" s="3060"/>
      <c r="UFO156" s="3060"/>
      <c r="UFP156" s="3060"/>
      <c r="UFQ156" s="3060"/>
      <c r="UFR156" s="3060"/>
      <c r="UFS156" s="3060"/>
      <c r="UFT156" s="3060"/>
      <c r="UFU156" s="3060"/>
      <c r="UFV156" s="3060"/>
      <c r="UFW156" s="3060"/>
      <c r="UFX156" s="3060"/>
      <c r="UFY156" s="3060"/>
      <c r="UFZ156" s="3060"/>
      <c r="UGA156" s="3060"/>
      <c r="UGB156" s="3060"/>
      <c r="UGC156" s="3060"/>
      <c r="UGD156" s="3060"/>
      <c r="UGE156" s="3060"/>
      <c r="UGF156" s="3060"/>
      <c r="UGG156" s="3060"/>
      <c r="UGH156" s="3060"/>
      <c r="UGI156" s="3060"/>
      <c r="UGJ156" s="3060"/>
      <c r="UGK156" s="3060"/>
      <c r="UGL156" s="3060"/>
      <c r="UGM156" s="3060"/>
      <c r="UGN156" s="3060"/>
      <c r="UGO156" s="3060"/>
      <c r="UGP156" s="3060"/>
      <c r="UGQ156" s="3060"/>
      <c r="UGR156" s="3060"/>
      <c r="UGS156" s="3060"/>
      <c r="UGT156" s="3060"/>
      <c r="UGU156" s="3060"/>
      <c r="UGV156" s="3060"/>
      <c r="UGW156" s="3060"/>
      <c r="UGX156" s="3060"/>
      <c r="UGY156" s="3060"/>
      <c r="UGZ156" s="3060"/>
      <c r="UHA156" s="3060"/>
      <c r="UHB156" s="3060"/>
      <c r="UHC156" s="3060"/>
      <c r="UHD156" s="3060"/>
      <c r="UHE156" s="3060"/>
      <c r="UHF156" s="3060"/>
      <c r="UHG156" s="3060"/>
      <c r="UHH156" s="3060"/>
      <c r="UHI156" s="3060"/>
      <c r="UHJ156" s="3060"/>
      <c r="UHK156" s="3060"/>
      <c r="UHL156" s="3060"/>
      <c r="UHM156" s="3060"/>
      <c r="UHN156" s="3060"/>
      <c r="UHO156" s="3060"/>
      <c r="UHP156" s="3060"/>
      <c r="UHQ156" s="3060"/>
      <c r="UHR156" s="3060"/>
      <c r="UHS156" s="3060"/>
      <c r="UHT156" s="3060"/>
      <c r="UHU156" s="3060"/>
      <c r="UHV156" s="3060"/>
      <c r="UHW156" s="3060"/>
      <c r="UHX156" s="3060"/>
      <c r="UHY156" s="3060"/>
      <c r="UHZ156" s="3060"/>
      <c r="UIA156" s="3060"/>
      <c r="UIB156" s="3060"/>
      <c r="UIC156" s="3060"/>
      <c r="UID156" s="3060"/>
      <c r="UIE156" s="3060"/>
      <c r="UIF156" s="3060"/>
      <c r="UIG156" s="3060"/>
      <c r="UIH156" s="3060"/>
      <c r="UII156" s="3060"/>
      <c r="UIJ156" s="3060"/>
      <c r="UIK156" s="3060"/>
      <c r="UIL156" s="3060"/>
      <c r="UIM156" s="3060"/>
      <c r="UIN156" s="3060"/>
      <c r="UIO156" s="3060"/>
      <c r="UIP156" s="3060"/>
      <c r="UIQ156" s="3060"/>
      <c r="UIR156" s="3060"/>
      <c r="UIS156" s="3060"/>
      <c r="UIT156" s="3060"/>
      <c r="UIU156" s="3060"/>
      <c r="UIV156" s="3060"/>
      <c r="UIW156" s="3060"/>
      <c r="UIX156" s="3060"/>
      <c r="UIY156" s="3060"/>
      <c r="UIZ156" s="3060"/>
      <c r="UJA156" s="3060"/>
      <c r="UJB156" s="3060"/>
      <c r="UJC156" s="3060"/>
      <c r="UJD156" s="3060"/>
      <c r="UJE156" s="3060"/>
      <c r="UJF156" s="3060"/>
      <c r="UJG156" s="3060"/>
      <c r="UJH156" s="3060"/>
      <c r="UJI156" s="3060"/>
      <c r="UJJ156" s="3060"/>
      <c r="UJK156" s="3060"/>
      <c r="UJL156" s="3060"/>
      <c r="UJM156" s="3060"/>
      <c r="UJN156" s="3060"/>
      <c r="UJO156" s="3060"/>
      <c r="UJP156" s="3060"/>
      <c r="UJQ156" s="3060"/>
      <c r="UJR156" s="3060"/>
      <c r="UJS156" s="3060"/>
      <c r="UJT156" s="3060"/>
      <c r="UJU156" s="3060"/>
      <c r="UJV156" s="3060"/>
      <c r="UJW156" s="3060"/>
      <c r="UJX156" s="3060"/>
      <c r="UJY156" s="3060"/>
      <c r="UJZ156" s="3060"/>
      <c r="UKA156" s="3060"/>
      <c r="UKB156" s="3060"/>
      <c r="UKC156" s="3060"/>
      <c r="UKD156" s="3060"/>
      <c r="UKE156" s="3060"/>
      <c r="UKF156" s="3060"/>
      <c r="UKG156" s="3060"/>
      <c r="UKH156" s="3060"/>
      <c r="UKI156" s="3060"/>
      <c r="UKJ156" s="3060"/>
      <c r="UKK156" s="3060"/>
      <c r="UKL156" s="3060"/>
      <c r="UKM156" s="3060"/>
      <c r="UKN156" s="3060"/>
      <c r="UKO156" s="3060"/>
      <c r="UKP156" s="3060"/>
      <c r="UKQ156" s="3060"/>
      <c r="UKR156" s="3060"/>
      <c r="UKS156" s="3060"/>
      <c r="UKT156" s="3060"/>
      <c r="UKU156" s="3060"/>
      <c r="UKV156" s="3060"/>
      <c r="UKW156" s="3060"/>
      <c r="UKX156" s="3060"/>
      <c r="UKY156" s="3060"/>
      <c r="UKZ156" s="3060"/>
      <c r="ULA156" s="3060"/>
      <c r="ULB156" s="3060"/>
      <c r="ULC156" s="3060"/>
      <c r="ULD156" s="3060"/>
      <c r="ULE156" s="3060"/>
      <c r="ULF156" s="3060"/>
      <c r="ULG156" s="3060"/>
      <c r="ULH156" s="3060"/>
      <c r="ULI156" s="3060"/>
      <c r="ULJ156" s="3060"/>
      <c r="ULK156" s="3060"/>
      <c r="ULL156" s="3060"/>
      <c r="ULM156" s="3060"/>
      <c r="ULN156" s="3060"/>
      <c r="ULO156" s="3060"/>
      <c r="ULP156" s="3060"/>
      <c r="ULQ156" s="3060"/>
      <c r="ULR156" s="3060"/>
      <c r="ULS156" s="3060"/>
      <c r="ULT156" s="3060"/>
      <c r="ULU156" s="3060"/>
      <c r="ULV156" s="3060"/>
      <c r="ULW156" s="3060"/>
      <c r="ULX156" s="3060"/>
      <c r="ULY156" s="3060"/>
      <c r="ULZ156" s="3060"/>
      <c r="UMA156" s="3060"/>
      <c r="UMB156" s="3060"/>
      <c r="UMC156" s="3060"/>
      <c r="UMD156" s="3060"/>
      <c r="UME156" s="3060"/>
      <c r="UMF156" s="3060"/>
      <c r="UMG156" s="3060"/>
      <c r="UMH156" s="3060"/>
      <c r="UMI156" s="3060"/>
      <c r="UMJ156" s="3060"/>
      <c r="UMK156" s="3060"/>
      <c r="UML156" s="3060"/>
      <c r="UMM156" s="3060"/>
      <c r="UMN156" s="3060"/>
      <c r="UMO156" s="3060"/>
      <c r="UMP156" s="3060"/>
      <c r="UMQ156" s="3060"/>
      <c r="UMR156" s="3060"/>
      <c r="UMS156" s="3060"/>
      <c r="UMT156" s="3060"/>
      <c r="UMU156" s="3060"/>
      <c r="UMV156" s="3060"/>
      <c r="UMW156" s="3060"/>
      <c r="UMX156" s="3060"/>
      <c r="UMY156" s="3060"/>
      <c r="UMZ156" s="3060"/>
      <c r="UNA156" s="3060"/>
      <c r="UNB156" s="3060"/>
      <c r="UNC156" s="3060"/>
      <c r="UND156" s="3060"/>
      <c r="UNE156" s="3060"/>
      <c r="UNF156" s="3060"/>
      <c r="UNG156" s="3060"/>
      <c r="UNH156" s="3060"/>
      <c r="UNI156" s="3060"/>
      <c r="UNJ156" s="3060"/>
      <c r="UNK156" s="3060"/>
      <c r="UNL156" s="3060"/>
      <c r="UNM156" s="3060"/>
      <c r="UNN156" s="3060"/>
      <c r="UNO156" s="3060"/>
      <c r="UNP156" s="3060"/>
      <c r="UNQ156" s="3060"/>
      <c r="UNR156" s="3060"/>
      <c r="UNS156" s="3060"/>
      <c r="UNT156" s="3060"/>
      <c r="UNU156" s="3060"/>
      <c r="UNV156" s="3060"/>
      <c r="UNW156" s="3060"/>
      <c r="UNX156" s="3060"/>
      <c r="UNY156" s="3060"/>
      <c r="UNZ156" s="3060"/>
      <c r="UOA156" s="3060"/>
      <c r="UOB156" s="3060"/>
      <c r="UOC156" s="3060"/>
      <c r="UOD156" s="3060"/>
      <c r="UOE156" s="3060"/>
      <c r="UOF156" s="3060"/>
      <c r="UOG156" s="3060"/>
      <c r="UOH156" s="3060"/>
      <c r="UOI156" s="3060"/>
      <c r="UOJ156" s="3060"/>
      <c r="UOK156" s="3060"/>
      <c r="UOL156" s="3060"/>
      <c r="UOM156" s="3060"/>
      <c r="UON156" s="3060"/>
      <c r="UOO156" s="3060"/>
      <c r="UOP156" s="3060"/>
      <c r="UOQ156" s="3060"/>
      <c r="UOR156" s="3060"/>
      <c r="UOS156" s="3060"/>
      <c r="UOT156" s="3060"/>
      <c r="UOU156" s="3060"/>
      <c r="UOV156" s="3060"/>
      <c r="UOW156" s="3060"/>
      <c r="UOX156" s="3060"/>
      <c r="UOY156" s="3060"/>
      <c r="UOZ156" s="3060"/>
      <c r="UPA156" s="3060"/>
      <c r="UPB156" s="3060"/>
      <c r="UPC156" s="3060"/>
      <c r="UPD156" s="3060"/>
      <c r="UPE156" s="3060"/>
      <c r="UPF156" s="3060"/>
      <c r="UPG156" s="3060"/>
      <c r="UPH156" s="3060"/>
      <c r="UPI156" s="3060"/>
      <c r="UPJ156" s="3060"/>
      <c r="UPK156" s="3060"/>
      <c r="UPL156" s="3060"/>
      <c r="UPM156" s="3060"/>
      <c r="UPN156" s="3060"/>
      <c r="UPO156" s="3060"/>
      <c r="UPP156" s="3060"/>
      <c r="UPQ156" s="3060"/>
      <c r="UPR156" s="3060"/>
      <c r="UPS156" s="3060"/>
      <c r="UPT156" s="3060"/>
      <c r="UPU156" s="3060"/>
      <c r="UPV156" s="3060"/>
      <c r="UPW156" s="3060"/>
      <c r="UPX156" s="3060"/>
      <c r="UPY156" s="3060"/>
      <c r="UPZ156" s="3060"/>
      <c r="UQA156" s="3060"/>
      <c r="UQB156" s="3060"/>
      <c r="UQC156" s="3060"/>
      <c r="UQD156" s="3060"/>
      <c r="UQE156" s="3060"/>
      <c r="UQF156" s="3060"/>
      <c r="UQG156" s="3060"/>
      <c r="UQH156" s="3060"/>
      <c r="UQI156" s="3060"/>
      <c r="UQJ156" s="3060"/>
      <c r="UQK156" s="3060"/>
      <c r="UQL156" s="3060"/>
      <c r="UQM156" s="3060"/>
      <c r="UQN156" s="3060"/>
      <c r="UQO156" s="3060"/>
      <c r="UQP156" s="3060"/>
      <c r="UQQ156" s="3060"/>
      <c r="UQR156" s="3060"/>
      <c r="UQS156" s="3060"/>
      <c r="UQT156" s="3060"/>
      <c r="UQU156" s="3060"/>
      <c r="UQV156" s="3060"/>
      <c r="UQW156" s="3060"/>
      <c r="UQX156" s="3060"/>
      <c r="UQY156" s="3060"/>
      <c r="UQZ156" s="3060"/>
      <c r="URA156" s="3060"/>
      <c r="URB156" s="3060"/>
      <c r="URC156" s="3060"/>
      <c r="URD156" s="3060"/>
      <c r="URE156" s="3060"/>
      <c r="URF156" s="3060"/>
      <c r="URG156" s="3060"/>
      <c r="URH156" s="3060"/>
      <c r="URI156" s="3060"/>
      <c r="URJ156" s="3060"/>
      <c r="URK156" s="3060"/>
      <c r="URL156" s="3060"/>
      <c r="URM156" s="3060"/>
      <c r="URN156" s="3060"/>
      <c r="URO156" s="3060"/>
      <c r="URP156" s="3060"/>
      <c r="URQ156" s="3060"/>
      <c r="URR156" s="3060"/>
      <c r="URS156" s="3060"/>
      <c r="URT156" s="3060"/>
      <c r="URU156" s="3060"/>
      <c r="URV156" s="3060"/>
      <c r="URW156" s="3060"/>
      <c r="URX156" s="3060"/>
      <c r="URY156" s="3060"/>
      <c r="URZ156" s="3060"/>
      <c r="USA156" s="3060"/>
      <c r="USB156" s="3060"/>
      <c r="USC156" s="3060"/>
      <c r="USD156" s="3060"/>
      <c r="USE156" s="3060"/>
      <c r="USF156" s="3060"/>
      <c r="USG156" s="3060"/>
      <c r="USH156" s="3060"/>
      <c r="USI156" s="3060"/>
      <c r="USJ156" s="3060"/>
      <c r="USK156" s="3060"/>
      <c r="USL156" s="3060"/>
      <c r="USM156" s="3060"/>
      <c r="USN156" s="3060"/>
      <c r="USO156" s="3060"/>
      <c r="USP156" s="3060"/>
      <c r="USQ156" s="3060"/>
      <c r="USR156" s="3060"/>
      <c r="USS156" s="3060"/>
      <c r="UST156" s="3060"/>
      <c r="USU156" s="3060"/>
      <c r="USV156" s="3060"/>
      <c r="USW156" s="3060"/>
      <c r="USX156" s="3060"/>
      <c r="USY156" s="3060"/>
      <c r="USZ156" s="3060"/>
      <c r="UTA156" s="3060"/>
      <c r="UTB156" s="3060"/>
      <c r="UTC156" s="3060"/>
      <c r="UTD156" s="3060"/>
      <c r="UTE156" s="3060"/>
      <c r="UTF156" s="3060"/>
      <c r="UTG156" s="3060"/>
      <c r="UTH156" s="3060"/>
      <c r="UTI156" s="3060"/>
      <c r="UTJ156" s="3060"/>
      <c r="UTK156" s="3060"/>
      <c r="UTL156" s="3060"/>
      <c r="UTM156" s="3060"/>
      <c r="UTN156" s="3060"/>
      <c r="UTO156" s="3060"/>
      <c r="UTP156" s="3060"/>
      <c r="UTQ156" s="3060"/>
      <c r="UTR156" s="3060"/>
      <c r="UTS156" s="3060"/>
      <c r="UTT156" s="3060"/>
      <c r="UTU156" s="3060"/>
      <c r="UTV156" s="3060"/>
      <c r="UTW156" s="3060"/>
      <c r="UTX156" s="3060"/>
      <c r="UTY156" s="3060"/>
      <c r="UTZ156" s="3060"/>
      <c r="UUA156" s="3060"/>
      <c r="UUB156" s="3060"/>
      <c r="UUC156" s="3060"/>
      <c r="UUD156" s="3060"/>
      <c r="UUE156" s="3060"/>
      <c r="UUF156" s="3060"/>
      <c r="UUG156" s="3060"/>
      <c r="UUH156" s="3060"/>
      <c r="UUI156" s="3060"/>
      <c r="UUJ156" s="3060"/>
      <c r="UUK156" s="3060"/>
      <c r="UUL156" s="3060"/>
      <c r="UUM156" s="3060"/>
      <c r="UUN156" s="3060"/>
      <c r="UUO156" s="3060"/>
      <c r="UUP156" s="3060"/>
      <c r="UUQ156" s="3060"/>
      <c r="UUR156" s="3060"/>
      <c r="UUS156" s="3060"/>
      <c r="UUT156" s="3060"/>
      <c r="UUU156" s="3060"/>
      <c r="UUV156" s="3060"/>
      <c r="UUW156" s="3060"/>
      <c r="UUX156" s="3060"/>
      <c r="UUY156" s="3060"/>
      <c r="UUZ156" s="3060"/>
      <c r="UVA156" s="3060"/>
      <c r="UVB156" s="3060"/>
      <c r="UVC156" s="3060"/>
      <c r="UVD156" s="3060"/>
      <c r="UVE156" s="3060"/>
      <c r="UVF156" s="3060"/>
      <c r="UVG156" s="3060"/>
      <c r="UVH156" s="3060"/>
      <c r="UVI156" s="3060"/>
      <c r="UVJ156" s="3060"/>
      <c r="UVK156" s="3060"/>
      <c r="UVL156" s="3060"/>
      <c r="UVM156" s="3060"/>
      <c r="UVN156" s="3060"/>
      <c r="UVO156" s="3060"/>
      <c r="UVP156" s="3060"/>
      <c r="UVQ156" s="3060"/>
      <c r="UVR156" s="3060"/>
      <c r="UVS156" s="3060"/>
      <c r="UVT156" s="3060"/>
      <c r="UVU156" s="3060"/>
      <c r="UVV156" s="3060"/>
      <c r="UVW156" s="3060"/>
      <c r="UVX156" s="3060"/>
      <c r="UVY156" s="3060"/>
      <c r="UVZ156" s="3060"/>
      <c r="UWA156" s="3060"/>
      <c r="UWB156" s="3060"/>
      <c r="UWC156" s="3060"/>
      <c r="UWD156" s="3060"/>
      <c r="UWE156" s="3060"/>
      <c r="UWF156" s="3060"/>
      <c r="UWG156" s="3060"/>
      <c r="UWH156" s="3060"/>
      <c r="UWI156" s="3060"/>
      <c r="UWJ156" s="3060"/>
      <c r="UWK156" s="3060"/>
      <c r="UWL156" s="3060"/>
      <c r="UWM156" s="3060"/>
      <c r="UWN156" s="3060"/>
      <c r="UWO156" s="3060"/>
      <c r="UWP156" s="3060"/>
      <c r="UWQ156" s="3060"/>
      <c r="UWR156" s="3060"/>
      <c r="UWS156" s="3060"/>
      <c r="UWT156" s="3060"/>
      <c r="UWU156" s="3060"/>
      <c r="UWV156" s="3060"/>
      <c r="UWW156" s="3060"/>
      <c r="UWX156" s="3060"/>
      <c r="UWY156" s="3060"/>
      <c r="UWZ156" s="3060"/>
      <c r="UXA156" s="3060"/>
      <c r="UXB156" s="3060"/>
      <c r="UXC156" s="3060"/>
      <c r="UXD156" s="3060"/>
      <c r="UXE156" s="3060"/>
      <c r="UXF156" s="3060"/>
      <c r="UXG156" s="3060"/>
      <c r="UXH156" s="3060"/>
      <c r="UXI156" s="3060"/>
      <c r="UXJ156" s="3060"/>
      <c r="UXK156" s="3060"/>
      <c r="UXL156" s="3060"/>
      <c r="UXM156" s="3060"/>
      <c r="UXN156" s="3060"/>
      <c r="UXO156" s="3060"/>
      <c r="UXP156" s="3060"/>
      <c r="UXQ156" s="3060"/>
      <c r="UXR156" s="3060"/>
      <c r="UXS156" s="3060"/>
      <c r="UXT156" s="3060"/>
      <c r="UXU156" s="3060"/>
      <c r="UXV156" s="3060"/>
      <c r="UXW156" s="3060"/>
      <c r="UXX156" s="3060"/>
      <c r="UXY156" s="3060"/>
      <c r="UXZ156" s="3060"/>
      <c r="UYA156" s="3060"/>
      <c r="UYB156" s="3060"/>
      <c r="UYC156" s="3060"/>
      <c r="UYD156" s="3060"/>
      <c r="UYE156" s="3060"/>
      <c r="UYF156" s="3060"/>
      <c r="UYG156" s="3060"/>
      <c r="UYH156" s="3060"/>
      <c r="UYI156" s="3060"/>
      <c r="UYJ156" s="3060"/>
      <c r="UYK156" s="3060"/>
      <c r="UYL156" s="3060"/>
      <c r="UYM156" s="3060"/>
      <c r="UYN156" s="3060"/>
      <c r="UYO156" s="3060"/>
      <c r="UYP156" s="3060"/>
      <c r="UYQ156" s="3060"/>
      <c r="UYR156" s="3060"/>
      <c r="UYS156" s="3060"/>
      <c r="UYT156" s="3060"/>
      <c r="UYU156" s="3060"/>
      <c r="UYV156" s="3060"/>
      <c r="UYW156" s="3060"/>
      <c r="UYX156" s="3060"/>
      <c r="UYY156" s="3060"/>
      <c r="UYZ156" s="3060"/>
      <c r="UZA156" s="3060"/>
      <c r="UZB156" s="3060"/>
      <c r="UZC156" s="3060"/>
      <c r="UZD156" s="3060"/>
      <c r="UZE156" s="3060"/>
      <c r="UZF156" s="3060"/>
      <c r="UZG156" s="3060"/>
      <c r="UZH156" s="3060"/>
      <c r="UZI156" s="3060"/>
      <c r="UZJ156" s="3060"/>
      <c r="UZK156" s="3060"/>
      <c r="UZL156" s="3060"/>
      <c r="UZM156" s="3060"/>
      <c r="UZN156" s="3060"/>
      <c r="UZO156" s="3060"/>
      <c r="UZP156" s="3060"/>
      <c r="UZQ156" s="3060"/>
      <c r="UZR156" s="3060"/>
      <c r="UZS156" s="3060"/>
      <c r="UZT156" s="3060"/>
      <c r="UZU156" s="3060"/>
      <c r="UZV156" s="3060"/>
      <c r="UZW156" s="3060"/>
      <c r="UZX156" s="3060"/>
      <c r="UZY156" s="3060"/>
      <c r="UZZ156" s="3060"/>
      <c r="VAA156" s="3060"/>
      <c r="VAB156" s="3060"/>
      <c r="VAC156" s="3060"/>
      <c r="VAD156" s="3060"/>
      <c r="VAE156" s="3060"/>
      <c r="VAF156" s="3060"/>
      <c r="VAG156" s="3060"/>
      <c r="VAH156" s="3060"/>
      <c r="VAI156" s="3060"/>
      <c r="VAJ156" s="3060"/>
      <c r="VAK156" s="3060"/>
      <c r="VAL156" s="3060"/>
      <c r="VAM156" s="3060"/>
      <c r="VAN156" s="3060"/>
      <c r="VAO156" s="3060"/>
      <c r="VAP156" s="3060"/>
      <c r="VAQ156" s="3060"/>
      <c r="VAR156" s="3060"/>
      <c r="VAS156" s="3060"/>
      <c r="VAT156" s="3060"/>
      <c r="VAU156" s="3060"/>
      <c r="VAV156" s="3060"/>
      <c r="VAW156" s="3060"/>
      <c r="VAX156" s="3060"/>
      <c r="VAY156" s="3060"/>
      <c r="VAZ156" s="3060"/>
      <c r="VBA156" s="3060"/>
      <c r="VBB156" s="3060"/>
      <c r="VBC156" s="3060"/>
      <c r="VBD156" s="3060"/>
      <c r="VBE156" s="3060"/>
      <c r="VBF156" s="3060"/>
      <c r="VBG156" s="3060"/>
      <c r="VBH156" s="3060"/>
      <c r="VBI156" s="3060"/>
      <c r="VBJ156" s="3060"/>
      <c r="VBK156" s="3060"/>
      <c r="VBL156" s="3060"/>
      <c r="VBM156" s="3060"/>
      <c r="VBN156" s="3060"/>
      <c r="VBO156" s="3060"/>
      <c r="VBP156" s="3060"/>
      <c r="VBQ156" s="3060"/>
      <c r="VBR156" s="3060"/>
      <c r="VBS156" s="3060"/>
      <c r="VBT156" s="3060"/>
      <c r="VBU156" s="3060"/>
      <c r="VBV156" s="3060"/>
      <c r="VBW156" s="3060"/>
      <c r="VBX156" s="3060"/>
      <c r="VBY156" s="3060"/>
      <c r="VBZ156" s="3060"/>
      <c r="VCA156" s="3060"/>
      <c r="VCB156" s="3060"/>
      <c r="VCC156" s="3060"/>
      <c r="VCD156" s="3060"/>
      <c r="VCE156" s="3060"/>
      <c r="VCF156" s="3060"/>
      <c r="VCG156" s="3060"/>
      <c r="VCH156" s="3060"/>
      <c r="VCI156" s="3060"/>
      <c r="VCJ156" s="3060"/>
      <c r="VCK156" s="3060"/>
      <c r="VCL156" s="3060"/>
      <c r="VCM156" s="3060"/>
      <c r="VCN156" s="3060"/>
      <c r="VCO156" s="3060"/>
      <c r="VCP156" s="3060"/>
      <c r="VCQ156" s="3060"/>
      <c r="VCR156" s="3060"/>
      <c r="VCS156" s="3060"/>
      <c r="VCT156" s="3060"/>
      <c r="VCU156" s="3060"/>
      <c r="VCV156" s="3060"/>
      <c r="VCW156" s="3060"/>
      <c r="VCX156" s="3060"/>
      <c r="VCY156" s="3060"/>
      <c r="VCZ156" s="3060"/>
      <c r="VDA156" s="3060"/>
      <c r="VDB156" s="3060"/>
      <c r="VDC156" s="3060"/>
      <c r="VDD156" s="3060"/>
      <c r="VDE156" s="3060"/>
      <c r="VDF156" s="3060"/>
      <c r="VDG156" s="3060"/>
      <c r="VDH156" s="3060"/>
      <c r="VDI156" s="3060"/>
      <c r="VDJ156" s="3060"/>
      <c r="VDK156" s="3060"/>
      <c r="VDL156" s="3060"/>
      <c r="VDM156" s="3060"/>
      <c r="VDN156" s="3060"/>
      <c r="VDO156" s="3060"/>
      <c r="VDP156" s="3060"/>
      <c r="VDQ156" s="3060"/>
      <c r="VDR156" s="3060"/>
      <c r="VDS156" s="3060"/>
      <c r="VDT156" s="3060"/>
      <c r="VDU156" s="3060"/>
      <c r="VDV156" s="3060"/>
      <c r="VDW156" s="3060"/>
      <c r="VDX156" s="3060"/>
      <c r="VDY156" s="3060"/>
      <c r="VDZ156" s="3060"/>
      <c r="VEA156" s="3060"/>
      <c r="VEB156" s="3060"/>
      <c r="VEC156" s="3060"/>
      <c r="VED156" s="3060"/>
      <c r="VEE156" s="3060"/>
      <c r="VEF156" s="3060"/>
      <c r="VEG156" s="3060"/>
      <c r="VEH156" s="3060"/>
      <c r="VEI156" s="3060"/>
      <c r="VEJ156" s="3060"/>
      <c r="VEK156" s="3060"/>
      <c r="VEL156" s="3060"/>
      <c r="VEM156" s="3060"/>
      <c r="VEN156" s="3060"/>
      <c r="VEO156" s="3060"/>
      <c r="VEP156" s="3060"/>
      <c r="VEQ156" s="3060"/>
      <c r="VER156" s="3060"/>
      <c r="VES156" s="3060"/>
      <c r="VET156" s="3060"/>
      <c r="VEU156" s="3060"/>
      <c r="VEV156" s="3060"/>
      <c r="VEW156" s="3060"/>
      <c r="VEX156" s="3060"/>
      <c r="VEY156" s="3060"/>
      <c r="VEZ156" s="3060"/>
      <c r="VFA156" s="3060"/>
      <c r="VFB156" s="3060"/>
      <c r="VFC156" s="3060"/>
      <c r="VFD156" s="3060"/>
      <c r="VFE156" s="3060"/>
      <c r="VFF156" s="3060"/>
      <c r="VFG156" s="3060"/>
      <c r="VFH156" s="3060"/>
      <c r="VFI156" s="3060"/>
      <c r="VFJ156" s="3060"/>
      <c r="VFK156" s="3060"/>
      <c r="VFL156" s="3060"/>
      <c r="VFM156" s="3060"/>
      <c r="VFN156" s="3060"/>
      <c r="VFO156" s="3060"/>
      <c r="VFP156" s="3060"/>
      <c r="VFQ156" s="3060"/>
      <c r="VFR156" s="3060"/>
      <c r="VFS156" s="3060"/>
      <c r="VFT156" s="3060"/>
      <c r="VFU156" s="3060"/>
      <c r="VFV156" s="3060"/>
      <c r="VFW156" s="3060"/>
      <c r="VFX156" s="3060"/>
      <c r="VFY156" s="3060"/>
      <c r="VFZ156" s="3060"/>
      <c r="VGA156" s="3060"/>
      <c r="VGB156" s="3060"/>
      <c r="VGC156" s="3060"/>
      <c r="VGD156" s="3060"/>
      <c r="VGE156" s="3060"/>
      <c r="VGF156" s="3060"/>
      <c r="VGG156" s="3060"/>
      <c r="VGH156" s="3060"/>
      <c r="VGI156" s="3060"/>
      <c r="VGJ156" s="3060"/>
      <c r="VGK156" s="3060"/>
      <c r="VGL156" s="3060"/>
      <c r="VGM156" s="3060"/>
      <c r="VGN156" s="3060"/>
      <c r="VGO156" s="3060"/>
      <c r="VGP156" s="3060"/>
      <c r="VGQ156" s="3060"/>
      <c r="VGR156" s="3060"/>
      <c r="VGS156" s="3060"/>
      <c r="VGT156" s="3060"/>
      <c r="VGU156" s="3060"/>
      <c r="VGV156" s="3060"/>
      <c r="VGW156" s="3060"/>
      <c r="VGX156" s="3060"/>
      <c r="VGY156" s="3060"/>
      <c r="VGZ156" s="3060"/>
      <c r="VHA156" s="3060"/>
      <c r="VHB156" s="3060"/>
      <c r="VHC156" s="3060"/>
      <c r="VHD156" s="3060"/>
      <c r="VHE156" s="3060"/>
      <c r="VHF156" s="3060"/>
      <c r="VHG156" s="3060"/>
      <c r="VHH156" s="3060"/>
      <c r="VHI156" s="3060"/>
      <c r="VHJ156" s="3060"/>
      <c r="VHK156" s="3060"/>
      <c r="VHL156" s="3060"/>
      <c r="VHM156" s="3060"/>
      <c r="VHN156" s="3060"/>
      <c r="VHO156" s="3060"/>
      <c r="VHP156" s="3060"/>
      <c r="VHQ156" s="3060"/>
      <c r="VHR156" s="3060"/>
      <c r="VHS156" s="3060"/>
      <c r="VHT156" s="3060"/>
      <c r="VHU156" s="3060"/>
      <c r="VHV156" s="3060"/>
      <c r="VHW156" s="3060"/>
      <c r="VHX156" s="3060"/>
      <c r="VHY156" s="3060"/>
      <c r="VHZ156" s="3060"/>
      <c r="VIA156" s="3060"/>
      <c r="VIB156" s="3060"/>
      <c r="VIC156" s="3060"/>
      <c r="VID156" s="3060"/>
      <c r="VIE156" s="3060"/>
      <c r="VIF156" s="3060"/>
      <c r="VIG156" s="3060"/>
      <c r="VIH156" s="3060"/>
      <c r="VII156" s="3060"/>
      <c r="VIJ156" s="3060"/>
      <c r="VIK156" s="3060"/>
      <c r="VIL156" s="3060"/>
      <c r="VIM156" s="3060"/>
      <c r="VIN156" s="3060"/>
      <c r="VIO156" s="3060"/>
      <c r="VIP156" s="3060"/>
      <c r="VIQ156" s="3060"/>
      <c r="VIR156" s="3060"/>
      <c r="VIS156" s="3060"/>
      <c r="VIT156" s="3060"/>
      <c r="VIU156" s="3060"/>
      <c r="VIV156" s="3060"/>
      <c r="VIW156" s="3060"/>
      <c r="VIX156" s="3060"/>
      <c r="VIY156" s="3060"/>
      <c r="VIZ156" s="3060"/>
      <c r="VJA156" s="3060"/>
      <c r="VJB156" s="3060"/>
      <c r="VJC156" s="3060"/>
      <c r="VJD156" s="3060"/>
      <c r="VJE156" s="3060"/>
      <c r="VJF156" s="3060"/>
      <c r="VJG156" s="3060"/>
      <c r="VJH156" s="3060"/>
      <c r="VJI156" s="3060"/>
      <c r="VJJ156" s="3060"/>
      <c r="VJK156" s="3060"/>
      <c r="VJL156" s="3060"/>
      <c r="VJM156" s="3060"/>
      <c r="VJN156" s="3060"/>
      <c r="VJO156" s="3060"/>
      <c r="VJP156" s="3060"/>
      <c r="VJQ156" s="3060"/>
      <c r="VJR156" s="3060"/>
      <c r="VJS156" s="3060"/>
      <c r="VJT156" s="3060"/>
      <c r="VJU156" s="3060"/>
      <c r="VJV156" s="3060"/>
      <c r="VJW156" s="3060"/>
      <c r="VJX156" s="3060"/>
      <c r="VJY156" s="3060"/>
      <c r="VJZ156" s="3060"/>
      <c r="VKA156" s="3060"/>
      <c r="VKB156" s="3060"/>
      <c r="VKC156" s="3060"/>
      <c r="VKD156" s="3060"/>
      <c r="VKE156" s="3060"/>
      <c r="VKF156" s="3060"/>
      <c r="VKG156" s="3060"/>
      <c r="VKH156" s="3060"/>
      <c r="VKI156" s="3060"/>
      <c r="VKJ156" s="3060"/>
      <c r="VKK156" s="3060"/>
      <c r="VKL156" s="3060"/>
      <c r="VKM156" s="3060"/>
      <c r="VKN156" s="3060"/>
      <c r="VKO156" s="3060"/>
      <c r="VKP156" s="3060"/>
      <c r="VKQ156" s="3060"/>
      <c r="VKR156" s="3060"/>
      <c r="VKS156" s="3060"/>
      <c r="VKT156" s="3060"/>
      <c r="VKU156" s="3060"/>
      <c r="VKV156" s="3060"/>
      <c r="VKW156" s="3060"/>
      <c r="VKX156" s="3060"/>
      <c r="VKY156" s="3060"/>
      <c r="VKZ156" s="3060"/>
      <c r="VLA156" s="3060"/>
      <c r="VLB156" s="3060"/>
      <c r="VLC156" s="3060"/>
      <c r="VLD156" s="3060"/>
      <c r="VLE156" s="3060"/>
      <c r="VLF156" s="3060"/>
      <c r="VLG156" s="3060"/>
      <c r="VLH156" s="3060"/>
      <c r="VLI156" s="3060"/>
      <c r="VLJ156" s="3060"/>
      <c r="VLK156" s="3060"/>
      <c r="VLL156" s="3060"/>
      <c r="VLM156" s="3060"/>
      <c r="VLN156" s="3060"/>
      <c r="VLO156" s="3060"/>
      <c r="VLP156" s="3060"/>
      <c r="VLQ156" s="3060"/>
      <c r="VLR156" s="3060"/>
      <c r="VLS156" s="3060"/>
      <c r="VLT156" s="3060"/>
      <c r="VLU156" s="3060"/>
      <c r="VLV156" s="3060"/>
      <c r="VLW156" s="3060"/>
      <c r="VLX156" s="3060"/>
      <c r="VLY156" s="3060"/>
      <c r="VLZ156" s="3060"/>
      <c r="VMA156" s="3060"/>
      <c r="VMB156" s="3060"/>
      <c r="VMC156" s="3060"/>
      <c r="VMD156" s="3060"/>
      <c r="VME156" s="3060"/>
      <c r="VMF156" s="3060"/>
      <c r="VMG156" s="3060"/>
      <c r="VMH156" s="3060"/>
      <c r="VMI156" s="3060"/>
      <c r="VMJ156" s="3060"/>
      <c r="VMK156" s="3060"/>
      <c r="VML156" s="3060"/>
      <c r="VMM156" s="3060"/>
      <c r="VMN156" s="3060"/>
      <c r="VMO156" s="3060"/>
      <c r="VMP156" s="3060"/>
      <c r="VMQ156" s="3060"/>
      <c r="VMR156" s="3060"/>
      <c r="VMS156" s="3060"/>
      <c r="VMT156" s="3060"/>
      <c r="VMU156" s="3060"/>
      <c r="VMV156" s="3060"/>
      <c r="VMW156" s="3060"/>
      <c r="VMX156" s="3060"/>
      <c r="VMY156" s="3060"/>
      <c r="VMZ156" s="3060"/>
      <c r="VNA156" s="3060"/>
      <c r="VNB156" s="3060"/>
      <c r="VNC156" s="3060"/>
      <c r="VND156" s="3060"/>
      <c r="VNE156" s="3060"/>
      <c r="VNF156" s="3060"/>
      <c r="VNG156" s="3060"/>
      <c r="VNH156" s="3060"/>
      <c r="VNI156" s="3060"/>
      <c r="VNJ156" s="3060"/>
      <c r="VNK156" s="3060"/>
      <c r="VNL156" s="3060"/>
      <c r="VNM156" s="3060"/>
      <c r="VNN156" s="3060"/>
      <c r="VNO156" s="3060"/>
      <c r="VNP156" s="3060"/>
      <c r="VNQ156" s="3060"/>
      <c r="VNR156" s="3060"/>
      <c r="VNS156" s="3060"/>
      <c r="VNT156" s="3060"/>
      <c r="VNU156" s="3060"/>
      <c r="VNV156" s="3060"/>
      <c r="VNW156" s="3060"/>
      <c r="VNX156" s="3060"/>
      <c r="VNY156" s="3060"/>
      <c r="VNZ156" s="3060"/>
      <c r="VOA156" s="3060"/>
      <c r="VOB156" s="3060"/>
      <c r="VOC156" s="3060"/>
      <c r="VOD156" s="3060"/>
      <c r="VOE156" s="3060"/>
      <c r="VOF156" s="3060"/>
      <c r="VOG156" s="3060"/>
      <c r="VOH156" s="3060"/>
      <c r="VOI156" s="3060"/>
      <c r="VOJ156" s="3060"/>
      <c r="VOK156" s="3060"/>
      <c r="VOL156" s="3060"/>
      <c r="VOM156" s="3060"/>
      <c r="VON156" s="3060"/>
      <c r="VOO156" s="3060"/>
      <c r="VOP156" s="3060"/>
      <c r="VOQ156" s="3060"/>
      <c r="VOR156" s="3060"/>
      <c r="VOS156" s="3060"/>
      <c r="VOT156" s="3060"/>
      <c r="VOU156" s="3060"/>
      <c r="VOV156" s="3060"/>
      <c r="VOW156" s="3060"/>
      <c r="VOX156" s="3060"/>
      <c r="VOY156" s="3060"/>
      <c r="VOZ156" s="3060"/>
      <c r="VPA156" s="3060"/>
      <c r="VPB156" s="3060"/>
      <c r="VPC156" s="3060"/>
      <c r="VPD156" s="3060"/>
      <c r="VPE156" s="3060"/>
      <c r="VPF156" s="3060"/>
      <c r="VPG156" s="3060"/>
      <c r="VPH156" s="3060"/>
      <c r="VPI156" s="3060"/>
      <c r="VPJ156" s="3060"/>
      <c r="VPK156" s="3060"/>
      <c r="VPL156" s="3060"/>
      <c r="VPM156" s="3060"/>
      <c r="VPN156" s="3060"/>
      <c r="VPO156" s="3060"/>
      <c r="VPP156" s="3060"/>
      <c r="VPQ156" s="3060"/>
      <c r="VPR156" s="3060"/>
      <c r="VPS156" s="3060"/>
      <c r="VPT156" s="3060"/>
      <c r="VPU156" s="3060"/>
      <c r="VPV156" s="3060"/>
      <c r="VPW156" s="3060"/>
      <c r="VPX156" s="3060"/>
      <c r="VPY156" s="3060"/>
      <c r="VPZ156" s="3060"/>
      <c r="VQA156" s="3060"/>
      <c r="VQB156" s="3060"/>
      <c r="VQC156" s="3060"/>
      <c r="VQD156" s="3060"/>
      <c r="VQE156" s="3060"/>
      <c r="VQF156" s="3060"/>
      <c r="VQG156" s="3060"/>
      <c r="VQH156" s="3060"/>
      <c r="VQI156" s="3060"/>
      <c r="VQJ156" s="3060"/>
      <c r="VQK156" s="3060"/>
      <c r="VQL156" s="3060"/>
      <c r="VQM156" s="3060"/>
      <c r="VQN156" s="3060"/>
      <c r="VQO156" s="3060"/>
      <c r="VQP156" s="3060"/>
      <c r="VQQ156" s="3060"/>
      <c r="VQR156" s="3060"/>
      <c r="VQS156" s="3060"/>
      <c r="VQT156" s="3060"/>
      <c r="VQU156" s="3060"/>
      <c r="VQV156" s="3060"/>
      <c r="VQW156" s="3060"/>
      <c r="VQX156" s="3060"/>
      <c r="VQY156" s="3060"/>
      <c r="VQZ156" s="3060"/>
      <c r="VRA156" s="3060"/>
      <c r="VRB156" s="3060"/>
      <c r="VRC156" s="3060"/>
      <c r="VRD156" s="3060"/>
      <c r="VRE156" s="3060"/>
      <c r="VRF156" s="3060"/>
      <c r="VRG156" s="3060"/>
      <c r="VRH156" s="3060"/>
      <c r="VRI156" s="3060"/>
      <c r="VRJ156" s="3060"/>
      <c r="VRK156" s="3060"/>
      <c r="VRL156" s="3060"/>
      <c r="VRM156" s="3060"/>
      <c r="VRN156" s="3060"/>
      <c r="VRO156" s="3060"/>
      <c r="VRP156" s="3060"/>
      <c r="VRQ156" s="3060"/>
      <c r="VRR156" s="3060"/>
      <c r="VRS156" s="3060"/>
      <c r="VRT156" s="3060"/>
      <c r="VRU156" s="3060"/>
      <c r="VRV156" s="3060"/>
      <c r="VRW156" s="3060"/>
      <c r="VRX156" s="3060"/>
      <c r="VRY156" s="3060"/>
      <c r="VRZ156" s="3060"/>
      <c r="VSA156" s="3060"/>
      <c r="VSB156" s="3060"/>
      <c r="VSC156" s="3060"/>
      <c r="VSD156" s="3060"/>
      <c r="VSE156" s="3060"/>
      <c r="VSF156" s="3060"/>
      <c r="VSG156" s="3060"/>
      <c r="VSH156" s="3060"/>
      <c r="VSI156" s="3060"/>
      <c r="VSJ156" s="3060"/>
      <c r="VSK156" s="3060"/>
      <c r="VSL156" s="3060"/>
      <c r="VSM156" s="3060"/>
      <c r="VSN156" s="3060"/>
      <c r="VSO156" s="3060"/>
      <c r="VSP156" s="3060"/>
      <c r="VSQ156" s="3060"/>
      <c r="VSR156" s="3060"/>
      <c r="VSS156" s="3060"/>
      <c r="VST156" s="3060"/>
      <c r="VSU156" s="3060"/>
      <c r="VSV156" s="3060"/>
      <c r="VSW156" s="3060"/>
      <c r="VSX156" s="3060"/>
      <c r="VSY156" s="3060"/>
      <c r="VSZ156" s="3060"/>
      <c r="VTA156" s="3060"/>
      <c r="VTB156" s="3060"/>
      <c r="VTC156" s="3060"/>
      <c r="VTD156" s="3060"/>
      <c r="VTE156" s="3060"/>
      <c r="VTF156" s="3060"/>
      <c r="VTG156" s="3060"/>
      <c r="VTH156" s="3060"/>
      <c r="VTI156" s="3060"/>
      <c r="VTJ156" s="3060"/>
      <c r="VTK156" s="3060"/>
      <c r="VTL156" s="3060"/>
      <c r="VTM156" s="3060"/>
      <c r="VTN156" s="3060"/>
      <c r="VTO156" s="3060"/>
      <c r="VTP156" s="3060"/>
      <c r="VTQ156" s="3060"/>
      <c r="VTR156" s="3060"/>
      <c r="VTS156" s="3060"/>
      <c r="VTT156" s="3060"/>
      <c r="VTU156" s="3060"/>
      <c r="VTV156" s="3060"/>
      <c r="VTW156" s="3060"/>
      <c r="VTX156" s="3060"/>
      <c r="VTY156" s="3060"/>
      <c r="VTZ156" s="3060"/>
      <c r="VUA156" s="3060"/>
      <c r="VUB156" s="3060"/>
      <c r="VUC156" s="3060"/>
      <c r="VUD156" s="3060"/>
      <c r="VUE156" s="3060"/>
      <c r="VUF156" s="3060"/>
      <c r="VUG156" s="3060"/>
      <c r="VUH156" s="3060"/>
      <c r="VUI156" s="3060"/>
      <c r="VUJ156" s="3060"/>
      <c r="VUK156" s="3060"/>
      <c r="VUL156" s="3060"/>
      <c r="VUM156" s="3060"/>
      <c r="VUN156" s="3060"/>
      <c r="VUO156" s="3060"/>
      <c r="VUP156" s="3060"/>
      <c r="VUQ156" s="3060"/>
      <c r="VUR156" s="3060"/>
      <c r="VUS156" s="3060"/>
      <c r="VUT156" s="3060"/>
      <c r="VUU156" s="3060"/>
      <c r="VUV156" s="3060"/>
      <c r="VUW156" s="3060"/>
      <c r="VUX156" s="3060"/>
      <c r="VUY156" s="3060"/>
      <c r="VUZ156" s="3060"/>
      <c r="VVA156" s="3060"/>
      <c r="VVB156" s="3060"/>
      <c r="VVC156" s="3060"/>
      <c r="VVD156" s="3060"/>
      <c r="VVE156" s="3060"/>
      <c r="VVF156" s="3060"/>
      <c r="VVG156" s="3060"/>
      <c r="VVH156" s="3060"/>
      <c r="VVI156" s="3060"/>
      <c r="VVJ156" s="3060"/>
      <c r="VVK156" s="3060"/>
      <c r="VVL156" s="3060"/>
      <c r="VVM156" s="3060"/>
      <c r="VVN156" s="3060"/>
      <c r="VVO156" s="3060"/>
      <c r="VVP156" s="3060"/>
      <c r="VVQ156" s="3060"/>
      <c r="VVR156" s="3060"/>
      <c r="VVS156" s="3060"/>
      <c r="VVT156" s="3060"/>
      <c r="VVU156" s="3060"/>
      <c r="VVV156" s="3060"/>
      <c r="VVW156" s="3060"/>
      <c r="VVX156" s="3060"/>
      <c r="VVY156" s="3060"/>
      <c r="VVZ156" s="3060"/>
      <c r="VWA156" s="3060"/>
      <c r="VWB156" s="3060"/>
      <c r="VWC156" s="3060"/>
      <c r="VWD156" s="3060"/>
      <c r="VWE156" s="3060"/>
      <c r="VWF156" s="3060"/>
      <c r="VWG156" s="3060"/>
      <c r="VWH156" s="3060"/>
      <c r="VWI156" s="3060"/>
      <c r="VWJ156" s="3060"/>
      <c r="VWK156" s="3060"/>
      <c r="VWL156" s="3060"/>
      <c r="VWM156" s="3060"/>
      <c r="VWN156" s="3060"/>
      <c r="VWO156" s="3060"/>
      <c r="VWP156" s="3060"/>
      <c r="VWQ156" s="3060"/>
      <c r="VWR156" s="3060"/>
      <c r="VWS156" s="3060"/>
      <c r="VWT156" s="3060"/>
      <c r="VWU156" s="3060"/>
      <c r="VWV156" s="3060"/>
      <c r="VWW156" s="3060"/>
      <c r="VWX156" s="3060"/>
      <c r="VWY156" s="3060"/>
      <c r="VWZ156" s="3060"/>
      <c r="VXA156" s="3060"/>
      <c r="VXB156" s="3060"/>
      <c r="VXC156" s="3060"/>
      <c r="VXD156" s="3060"/>
      <c r="VXE156" s="3060"/>
      <c r="VXF156" s="3060"/>
      <c r="VXG156" s="3060"/>
      <c r="VXH156" s="3060"/>
      <c r="VXI156" s="3060"/>
      <c r="VXJ156" s="3060"/>
      <c r="VXK156" s="3060"/>
      <c r="VXL156" s="3060"/>
      <c r="VXM156" s="3060"/>
      <c r="VXN156" s="3060"/>
      <c r="VXO156" s="3060"/>
      <c r="VXP156" s="3060"/>
      <c r="VXQ156" s="3060"/>
      <c r="VXR156" s="3060"/>
      <c r="VXS156" s="3060"/>
      <c r="VXT156" s="3060"/>
      <c r="VXU156" s="3060"/>
      <c r="VXV156" s="3060"/>
      <c r="VXW156" s="3060"/>
      <c r="VXX156" s="3060"/>
      <c r="VXY156" s="3060"/>
      <c r="VXZ156" s="3060"/>
      <c r="VYA156" s="3060"/>
      <c r="VYB156" s="3060"/>
      <c r="VYC156" s="3060"/>
      <c r="VYD156" s="3060"/>
      <c r="VYE156" s="3060"/>
      <c r="VYF156" s="3060"/>
      <c r="VYG156" s="3060"/>
      <c r="VYH156" s="3060"/>
      <c r="VYI156" s="3060"/>
      <c r="VYJ156" s="3060"/>
      <c r="VYK156" s="3060"/>
      <c r="VYL156" s="3060"/>
      <c r="VYM156" s="3060"/>
      <c r="VYN156" s="3060"/>
      <c r="VYO156" s="3060"/>
      <c r="VYP156" s="3060"/>
      <c r="VYQ156" s="3060"/>
      <c r="VYR156" s="3060"/>
      <c r="VYS156" s="3060"/>
      <c r="VYT156" s="3060"/>
      <c r="VYU156" s="3060"/>
      <c r="VYV156" s="3060"/>
      <c r="VYW156" s="3060"/>
      <c r="VYX156" s="3060"/>
      <c r="VYY156" s="3060"/>
      <c r="VYZ156" s="3060"/>
      <c r="VZA156" s="3060"/>
      <c r="VZB156" s="3060"/>
      <c r="VZC156" s="3060"/>
      <c r="VZD156" s="3060"/>
      <c r="VZE156" s="3060"/>
      <c r="VZF156" s="3060"/>
      <c r="VZG156" s="3060"/>
      <c r="VZH156" s="3060"/>
      <c r="VZI156" s="3060"/>
      <c r="VZJ156" s="3060"/>
      <c r="VZK156" s="3060"/>
      <c r="VZL156" s="3060"/>
      <c r="VZM156" s="3060"/>
      <c r="VZN156" s="3060"/>
      <c r="VZO156" s="3060"/>
      <c r="VZP156" s="3060"/>
      <c r="VZQ156" s="3060"/>
      <c r="VZR156" s="3060"/>
      <c r="VZS156" s="3060"/>
      <c r="VZT156" s="3060"/>
      <c r="VZU156" s="3060"/>
      <c r="VZV156" s="3060"/>
      <c r="VZW156" s="3060"/>
      <c r="VZX156" s="3060"/>
      <c r="VZY156" s="3060"/>
      <c r="VZZ156" s="3060"/>
      <c r="WAA156" s="3060"/>
      <c r="WAB156" s="3060"/>
      <c r="WAC156" s="3060"/>
      <c r="WAD156" s="3060"/>
      <c r="WAE156" s="3060"/>
      <c r="WAF156" s="3060"/>
      <c r="WAG156" s="3060"/>
      <c r="WAH156" s="3060"/>
      <c r="WAI156" s="3060"/>
      <c r="WAJ156" s="3060"/>
      <c r="WAK156" s="3060"/>
      <c r="WAL156" s="3060"/>
      <c r="WAM156" s="3060"/>
      <c r="WAN156" s="3060"/>
      <c r="WAO156" s="3060"/>
      <c r="WAP156" s="3060"/>
      <c r="WAQ156" s="3060"/>
      <c r="WAR156" s="3060"/>
      <c r="WAS156" s="3060"/>
      <c r="WAT156" s="3060"/>
      <c r="WAU156" s="3060"/>
      <c r="WAV156" s="3060"/>
      <c r="WAW156" s="3060"/>
      <c r="WAX156" s="3060"/>
      <c r="WAY156" s="3060"/>
      <c r="WAZ156" s="3060"/>
      <c r="WBA156" s="3060"/>
      <c r="WBB156" s="3060"/>
      <c r="WBC156" s="3060"/>
      <c r="WBD156" s="3060"/>
      <c r="WBE156" s="3060"/>
      <c r="WBF156" s="3060"/>
      <c r="WBG156" s="3060"/>
      <c r="WBH156" s="3060"/>
      <c r="WBI156" s="3060"/>
      <c r="WBJ156" s="3060"/>
      <c r="WBK156" s="3060"/>
      <c r="WBL156" s="3060"/>
      <c r="WBM156" s="3060"/>
      <c r="WBN156" s="3060"/>
      <c r="WBO156" s="3060"/>
      <c r="WBP156" s="3060"/>
      <c r="WBQ156" s="3060"/>
      <c r="WBR156" s="3060"/>
      <c r="WBS156" s="3060"/>
      <c r="WBT156" s="3060"/>
      <c r="WBU156" s="3060"/>
      <c r="WBV156" s="3060"/>
      <c r="WBW156" s="3060"/>
      <c r="WBX156" s="3060"/>
      <c r="WBY156" s="3060"/>
      <c r="WBZ156" s="3060"/>
      <c r="WCA156" s="3060"/>
      <c r="WCB156" s="3060"/>
      <c r="WCC156" s="3060"/>
      <c r="WCD156" s="3060"/>
      <c r="WCE156" s="3060"/>
      <c r="WCF156" s="3060"/>
      <c r="WCG156" s="3060"/>
      <c r="WCH156" s="3060"/>
      <c r="WCI156" s="3060"/>
      <c r="WCJ156" s="3060"/>
      <c r="WCK156" s="3060"/>
      <c r="WCL156" s="3060"/>
      <c r="WCM156" s="3060"/>
      <c r="WCN156" s="3060"/>
      <c r="WCO156" s="3060"/>
      <c r="WCP156" s="3060"/>
      <c r="WCQ156" s="3060"/>
      <c r="WCR156" s="3060"/>
      <c r="WCS156" s="3060"/>
      <c r="WCT156" s="3060"/>
      <c r="WCU156" s="3060"/>
      <c r="WCV156" s="3060"/>
      <c r="WCW156" s="3060"/>
      <c r="WCX156" s="3060"/>
      <c r="WCY156" s="3060"/>
      <c r="WCZ156" s="3060"/>
      <c r="WDA156" s="3060"/>
      <c r="WDB156" s="3060"/>
      <c r="WDC156" s="3060"/>
      <c r="WDD156" s="3060"/>
      <c r="WDE156" s="3060"/>
      <c r="WDF156" s="3060"/>
      <c r="WDG156" s="3060"/>
      <c r="WDH156" s="3060"/>
      <c r="WDI156" s="3060"/>
      <c r="WDJ156" s="3060"/>
      <c r="WDK156" s="3060"/>
      <c r="WDL156" s="3060"/>
      <c r="WDM156" s="3060"/>
      <c r="WDN156" s="3060"/>
      <c r="WDO156" s="3060"/>
      <c r="WDP156" s="3060"/>
      <c r="WDQ156" s="3060"/>
      <c r="WDR156" s="3060"/>
      <c r="WDS156" s="3060"/>
      <c r="WDT156" s="3060"/>
      <c r="WDU156" s="3060"/>
      <c r="WDV156" s="3060"/>
      <c r="WDW156" s="3060"/>
      <c r="WDX156" s="3060"/>
      <c r="WDY156" s="3060"/>
      <c r="WDZ156" s="3060"/>
      <c r="WEA156" s="3060"/>
      <c r="WEB156" s="3060"/>
      <c r="WEC156" s="3060"/>
      <c r="WED156" s="3060"/>
      <c r="WEE156" s="3060"/>
      <c r="WEF156" s="3060"/>
      <c r="WEG156" s="3060"/>
      <c r="WEH156" s="3060"/>
      <c r="WEI156" s="3060"/>
      <c r="WEJ156" s="3060"/>
      <c r="WEK156" s="3060"/>
      <c r="WEL156" s="3060"/>
      <c r="WEM156" s="3060"/>
      <c r="WEN156" s="3060"/>
      <c r="WEO156" s="3060"/>
      <c r="WEP156" s="3060"/>
      <c r="WEQ156" s="3060"/>
      <c r="WER156" s="3060"/>
      <c r="WES156" s="3060"/>
      <c r="WET156" s="3060"/>
      <c r="WEU156" s="3060"/>
      <c r="WEV156" s="3060"/>
      <c r="WEW156" s="3060"/>
      <c r="WEX156" s="3060"/>
      <c r="WEY156" s="3060"/>
      <c r="WEZ156" s="3060"/>
      <c r="WFA156" s="3060"/>
      <c r="WFB156" s="3060"/>
      <c r="WFC156" s="3060"/>
      <c r="WFD156" s="3060"/>
      <c r="WFE156" s="3060"/>
      <c r="WFF156" s="3060"/>
      <c r="WFG156" s="3060"/>
      <c r="WFH156" s="3060"/>
      <c r="WFI156" s="3060"/>
      <c r="WFJ156" s="3060"/>
      <c r="WFK156" s="3060"/>
      <c r="WFL156" s="3060"/>
      <c r="WFM156" s="3060"/>
      <c r="WFN156" s="3060"/>
      <c r="WFO156" s="3060"/>
      <c r="WFP156" s="3060"/>
      <c r="WFQ156" s="3060"/>
      <c r="WFR156" s="3060"/>
      <c r="WFS156" s="3060"/>
      <c r="WFT156" s="3060"/>
      <c r="WFU156" s="3060"/>
      <c r="WFV156" s="3060"/>
      <c r="WFW156" s="3060"/>
      <c r="WFX156" s="3060"/>
      <c r="WFY156" s="3060"/>
      <c r="WFZ156" s="3060"/>
      <c r="WGA156" s="3060"/>
      <c r="WGB156" s="3060"/>
      <c r="WGC156" s="3060"/>
      <c r="WGD156" s="3060"/>
      <c r="WGE156" s="3060"/>
      <c r="WGF156" s="3060"/>
      <c r="WGG156" s="3060"/>
      <c r="WGH156" s="3060"/>
      <c r="WGI156" s="3060"/>
      <c r="WGJ156" s="3060"/>
      <c r="WGK156" s="3060"/>
      <c r="WGL156" s="3060"/>
      <c r="WGM156" s="3060"/>
      <c r="WGN156" s="3060"/>
      <c r="WGO156" s="3060"/>
      <c r="WGP156" s="3060"/>
      <c r="WGQ156" s="3060"/>
      <c r="WGR156" s="3060"/>
      <c r="WGS156" s="3060"/>
      <c r="WGT156" s="3060"/>
      <c r="WGU156" s="3060"/>
      <c r="WGV156" s="3060"/>
      <c r="WGW156" s="3060"/>
      <c r="WGX156" s="3060"/>
      <c r="WGY156" s="3060"/>
      <c r="WGZ156" s="3060"/>
      <c r="WHA156" s="3060"/>
      <c r="WHB156" s="3060"/>
      <c r="WHC156" s="3060"/>
      <c r="WHD156" s="3060"/>
      <c r="WHE156" s="3060"/>
      <c r="WHF156" s="3060"/>
      <c r="WHG156" s="3060"/>
      <c r="WHH156" s="3060"/>
      <c r="WHI156" s="3060"/>
      <c r="WHJ156" s="3060"/>
      <c r="WHK156" s="3060"/>
      <c r="WHL156" s="3060"/>
      <c r="WHM156" s="3060"/>
      <c r="WHN156" s="3060"/>
      <c r="WHO156" s="3060"/>
      <c r="WHP156" s="3060"/>
      <c r="WHQ156" s="3060"/>
      <c r="WHR156" s="3060"/>
      <c r="WHS156" s="3060"/>
      <c r="WHT156" s="3060"/>
      <c r="WHU156" s="3060"/>
      <c r="WHV156" s="3060"/>
      <c r="WHW156" s="3060"/>
      <c r="WHX156" s="3060"/>
      <c r="WHY156" s="3060"/>
      <c r="WHZ156" s="3060"/>
      <c r="WIA156" s="3060"/>
      <c r="WIB156" s="3060"/>
      <c r="WIC156" s="3060"/>
      <c r="WID156" s="3060"/>
      <c r="WIE156" s="3060"/>
      <c r="WIF156" s="3060"/>
      <c r="WIG156" s="3060"/>
      <c r="WIH156" s="3060"/>
      <c r="WII156" s="3060"/>
      <c r="WIJ156" s="3060"/>
      <c r="WIK156" s="3060"/>
      <c r="WIL156" s="3060"/>
      <c r="WIM156" s="3060"/>
      <c r="WIN156" s="3060"/>
      <c r="WIO156" s="3060"/>
      <c r="WIP156" s="3060"/>
      <c r="WIQ156" s="3060"/>
      <c r="WIR156" s="3060"/>
      <c r="WIS156" s="3060"/>
      <c r="WIT156" s="3060"/>
      <c r="WIU156" s="3060"/>
      <c r="WIV156" s="3060"/>
      <c r="WIW156" s="3060"/>
      <c r="WIX156" s="3060"/>
      <c r="WIY156" s="3060"/>
      <c r="WIZ156" s="3060"/>
      <c r="WJA156" s="3060"/>
      <c r="WJB156" s="3060"/>
      <c r="WJC156" s="3060"/>
      <c r="WJD156" s="3060"/>
      <c r="WJE156" s="3060"/>
      <c r="WJF156" s="3060"/>
      <c r="WJG156" s="3060"/>
      <c r="WJH156" s="3060"/>
      <c r="WJI156" s="3060"/>
      <c r="WJJ156" s="3060"/>
      <c r="WJK156" s="3060"/>
      <c r="WJL156" s="3060"/>
      <c r="WJM156" s="3060"/>
      <c r="WJN156" s="3060"/>
      <c r="WJO156" s="3060"/>
      <c r="WJP156" s="3060"/>
      <c r="WJQ156" s="3060"/>
      <c r="WJR156" s="3060"/>
      <c r="WJS156" s="3060"/>
      <c r="WJT156" s="3060"/>
      <c r="WJU156" s="3060"/>
      <c r="WJV156" s="3060"/>
      <c r="WJW156" s="3060"/>
      <c r="WJX156" s="3060"/>
      <c r="WJY156" s="3060"/>
      <c r="WJZ156" s="3060"/>
      <c r="WKA156" s="3060"/>
      <c r="WKB156" s="3060"/>
      <c r="WKC156" s="3060"/>
      <c r="WKD156" s="3060"/>
      <c r="WKE156" s="3060"/>
      <c r="WKF156" s="3060"/>
      <c r="WKG156" s="3060"/>
      <c r="WKH156" s="3060"/>
      <c r="WKI156" s="3060"/>
      <c r="WKJ156" s="3060"/>
      <c r="WKK156" s="3060"/>
      <c r="WKL156" s="3060"/>
      <c r="WKM156" s="3060"/>
      <c r="WKN156" s="3060"/>
      <c r="WKO156" s="3060"/>
      <c r="WKP156" s="3060"/>
      <c r="WKQ156" s="3060"/>
      <c r="WKR156" s="3060"/>
      <c r="WKS156" s="3060"/>
      <c r="WKT156" s="3060"/>
      <c r="WKU156" s="3060"/>
      <c r="WKV156" s="3060"/>
      <c r="WKW156" s="3060"/>
      <c r="WKX156" s="3060"/>
      <c r="WKY156" s="3060"/>
      <c r="WKZ156" s="3060"/>
      <c r="WLA156" s="3060"/>
      <c r="WLB156" s="3060"/>
      <c r="WLC156" s="3060"/>
      <c r="WLD156" s="3060"/>
      <c r="WLE156" s="3060"/>
      <c r="WLF156" s="3060"/>
      <c r="WLG156" s="3060"/>
      <c r="WLH156" s="3060"/>
      <c r="WLI156" s="3060"/>
      <c r="WLJ156" s="3060"/>
      <c r="WLK156" s="3060"/>
      <c r="WLL156" s="3060"/>
      <c r="WLM156" s="3060"/>
      <c r="WLN156" s="3060"/>
      <c r="WLO156" s="3060"/>
      <c r="WLP156" s="3060"/>
      <c r="WLQ156" s="3060"/>
      <c r="WLR156" s="3060"/>
      <c r="WLS156" s="3060"/>
      <c r="WLT156" s="3060"/>
      <c r="WLU156" s="3060"/>
      <c r="WLV156" s="3060"/>
      <c r="WLW156" s="3060"/>
      <c r="WLX156" s="3060"/>
      <c r="WLY156" s="3060"/>
      <c r="WLZ156" s="3060"/>
      <c r="WMA156" s="3060"/>
      <c r="WMB156" s="3060"/>
      <c r="WMC156" s="3060"/>
      <c r="WMD156" s="3060"/>
      <c r="WME156" s="3060"/>
      <c r="WMF156" s="3060"/>
      <c r="WMG156" s="3060"/>
      <c r="WMH156" s="3060"/>
      <c r="WMI156" s="3060"/>
      <c r="WMJ156" s="3060"/>
      <c r="WMK156" s="3060"/>
      <c r="WML156" s="3060"/>
      <c r="WMM156" s="3060"/>
      <c r="WMN156" s="3060"/>
      <c r="WMO156" s="3060"/>
      <c r="WMP156" s="3060"/>
      <c r="WMQ156" s="3060"/>
      <c r="WMR156" s="3060"/>
      <c r="WMS156" s="3060"/>
      <c r="WMT156" s="3060"/>
      <c r="WMU156" s="3060"/>
      <c r="WMV156" s="3060"/>
      <c r="WMW156" s="3060"/>
      <c r="WMX156" s="3060"/>
      <c r="WMY156" s="3060"/>
      <c r="WMZ156" s="3060"/>
      <c r="WNA156" s="3060"/>
      <c r="WNB156" s="3060"/>
      <c r="WNC156" s="3060"/>
      <c r="WND156" s="3060"/>
      <c r="WNE156" s="3060"/>
      <c r="WNF156" s="3060"/>
      <c r="WNG156" s="3060"/>
      <c r="WNH156" s="3060"/>
      <c r="WNI156" s="3060"/>
      <c r="WNJ156" s="3060"/>
      <c r="WNK156" s="3060"/>
      <c r="WNL156" s="3060"/>
      <c r="WNM156" s="3060"/>
      <c r="WNN156" s="3060"/>
      <c r="WNO156" s="3060"/>
      <c r="WNP156" s="3060"/>
      <c r="WNQ156" s="3060"/>
      <c r="WNR156" s="3060"/>
      <c r="WNS156" s="3060"/>
      <c r="WNT156" s="3060"/>
      <c r="WNU156" s="3060"/>
      <c r="WNV156" s="3060"/>
      <c r="WNW156" s="3060"/>
      <c r="WNX156" s="3060"/>
      <c r="WNY156" s="3060"/>
      <c r="WNZ156" s="3060"/>
      <c r="WOA156" s="3060"/>
      <c r="WOB156" s="3060"/>
      <c r="WOC156" s="3060"/>
      <c r="WOD156" s="3060"/>
      <c r="WOE156" s="3060"/>
      <c r="WOF156" s="3060"/>
      <c r="WOG156" s="3060"/>
      <c r="WOH156" s="3060"/>
      <c r="WOI156" s="3060"/>
      <c r="WOJ156" s="3060"/>
      <c r="WOK156" s="3060"/>
      <c r="WOL156" s="3060"/>
      <c r="WOM156" s="3060"/>
      <c r="WON156" s="3060"/>
      <c r="WOO156" s="3060"/>
      <c r="WOP156" s="3060"/>
      <c r="WOQ156" s="3060"/>
      <c r="WOR156" s="3060"/>
      <c r="WOS156" s="3060"/>
      <c r="WOT156" s="3060"/>
      <c r="WOU156" s="3060"/>
      <c r="WOV156" s="3060"/>
      <c r="WOW156" s="3060"/>
      <c r="WOX156" s="3060"/>
      <c r="WOY156" s="3060"/>
      <c r="WOZ156" s="3060"/>
      <c r="WPA156" s="3060"/>
      <c r="WPB156" s="3060"/>
      <c r="WPC156" s="3060"/>
      <c r="WPD156" s="3060"/>
      <c r="WPE156" s="3060"/>
      <c r="WPF156" s="3060"/>
      <c r="WPG156" s="3060"/>
      <c r="WPH156" s="3060"/>
      <c r="WPI156" s="3060"/>
      <c r="WPJ156" s="3060"/>
      <c r="WPK156" s="3060"/>
      <c r="WPL156" s="3060"/>
      <c r="WPM156" s="3060"/>
      <c r="WPN156" s="3060"/>
      <c r="WPO156" s="3060"/>
      <c r="WPP156" s="3060"/>
      <c r="WPQ156" s="3060"/>
      <c r="WPR156" s="3060"/>
      <c r="WPS156" s="3060"/>
      <c r="WPT156" s="3060"/>
      <c r="WPU156" s="3060"/>
      <c r="WPV156" s="3060"/>
      <c r="WPW156" s="3060"/>
      <c r="WPX156" s="3060"/>
      <c r="WPY156" s="3060"/>
      <c r="WPZ156" s="3060"/>
      <c r="WQA156" s="3060"/>
      <c r="WQB156" s="3060"/>
      <c r="WQC156" s="3060"/>
      <c r="WQD156" s="3060"/>
      <c r="WQE156" s="3060"/>
      <c r="WQF156" s="3060"/>
      <c r="WQG156" s="3060"/>
      <c r="WQH156" s="3060"/>
      <c r="WQI156" s="3060"/>
      <c r="WQJ156" s="3060"/>
      <c r="WQK156" s="3060"/>
      <c r="WQL156" s="3060"/>
      <c r="WQM156" s="3060"/>
      <c r="WQN156" s="3060"/>
      <c r="WQO156" s="3060"/>
      <c r="WQP156" s="3060"/>
      <c r="WQQ156" s="3060"/>
      <c r="WQR156" s="3060"/>
      <c r="WQS156" s="3060"/>
      <c r="WQT156" s="3060"/>
      <c r="WQU156" s="3060"/>
      <c r="WQV156" s="3060"/>
      <c r="WQW156" s="3060"/>
      <c r="WQX156" s="3060"/>
      <c r="WQY156" s="3060"/>
      <c r="WQZ156" s="3060"/>
      <c r="WRA156" s="3060"/>
      <c r="WRB156" s="3060"/>
      <c r="WRC156" s="3060"/>
      <c r="WRD156" s="3060"/>
      <c r="WRE156" s="3060"/>
      <c r="WRF156" s="3060"/>
      <c r="WRG156" s="3060"/>
      <c r="WRH156" s="3060"/>
      <c r="WRI156" s="3060"/>
      <c r="WRJ156" s="3060"/>
      <c r="WRK156" s="3060"/>
      <c r="WRL156" s="3060"/>
      <c r="WRM156" s="3060"/>
      <c r="WRN156" s="3060"/>
      <c r="WRO156" s="3060"/>
      <c r="WRP156" s="3060"/>
      <c r="WRQ156" s="3060"/>
      <c r="WRR156" s="3060"/>
      <c r="WRS156" s="3060"/>
      <c r="WRT156" s="3060"/>
      <c r="WRU156" s="3060"/>
      <c r="WRV156" s="3060"/>
      <c r="WRW156" s="3060"/>
      <c r="WRX156" s="3060"/>
      <c r="WRY156" s="3060"/>
      <c r="WRZ156" s="3060"/>
      <c r="WSA156" s="3060"/>
      <c r="WSB156" s="3060"/>
      <c r="WSC156" s="3060"/>
      <c r="WSD156" s="3060"/>
      <c r="WSE156" s="3060"/>
      <c r="WSF156" s="3060"/>
      <c r="WSG156" s="3060"/>
      <c r="WSH156" s="3060"/>
      <c r="WSI156" s="3060"/>
      <c r="WSJ156" s="3060"/>
      <c r="WSK156" s="3060"/>
      <c r="WSL156" s="3060"/>
      <c r="WSM156" s="3060"/>
      <c r="WSN156" s="3060"/>
      <c r="WSO156" s="3060"/>
      <c r="WSP156" s="3060"/>
      <c r="WSQ156" s="3060"/>
      <c r="WSR156" s="3060"/>
      <c r="WSS156" s="3060"/>
      <c r="WST156" s="3060"/>
      <c r="WSU156" s="3060"/>
      <c r="WSV156" s="3060"/>
      <c r="WSW156" s="3060"/>
      <c r="WSX156" s="3060"/>
      <c r="WSY156" s="3060"/>
      <c r="WSZ156" s="3060"/>
      <c r="WTA156" s="3060"/>
      <c r="WTB156" s="3060"/>
      <c r="WTC156" s="3060"/>
      <c r="WTD156" s="3060"/>
      <c r="WTE156" s="3060"/>
      <c r="WTF156" s="3060"/>
      <c r="WTG156" s="3060"/>
      <c r="WTH156" s="3060"/>
      <c r="WTI156" s="3060"/>
      <c r="WTJ156" s="3060"/>
      <c r="WTK156" s="3060"/>
      <c r="WTL156" s="3060"/>
      <c r="WTM156" s="3060"/>
      <c r="WTN156" s="3060"/>
      <c r="WTO156" s="3060"/>
      <c r="WTP156" s="3060"/>
      <c r="WTQ156" s="3060"/>
      <c r="WTR156" s="3060"/>
      <c r="WTS156" s="3060"/>
      <c r="WTT156" s="3060"/>
      <c r="WTU156" s="3060"/>
      <c r="WTV156" s="3060"/>
      <c r="WTW156" s="3060"/>
      <c r="WTX156" s="3060"/>
      <c r="WTY156" s="3060"/>
      <c r="WTZ156" s="3060"/>
      <c r="WUA156" s="3060"/>
      <c r="WUB156" s="3060"/>
      <c r="WUC156" s="3060"/>
      <c r="WUD156" s="3060"/>
      <c r="WUE156" s="3060"/>
      <c r="WUF156" s="3060"/>
      <c r="WUG156" s="3060"/>
      <c r="WUH156" s="3060"/>
      <c r="WUI156" s="3060"/>
      <c r="WUJ156" s="3060"/>
      <c r="WUK156" s="3060"/>
      <c r="WUL156" s="3060"/>
      <c r="WUM156" s="3060"/>
      <c r="WUN156" s="3060"/>
      <c r="WUO156" s="3060"/>
      <c r="WUP156" s="3060"/>
      <c r="WUQ156" s="3060"/>
      <c r="WUR156" s="3060"/>
      <c r="WUS156" s="3060"/>
      <c r="WUT156" s="3060"/>
      <c r="WUU156" s="3060"/>
      <c r="WUV156" s="3060"/>
      <c r="WUW156" s="3060"/>
      <c r="WUX156" s="3060"/>
      <c r="WUY156" s="3060"/>
      <c r="WUZ156" s="3060"/>
      <c r="WVA156" s="3060"/>
      <c r="WVB156" s="3060"/>
      <c r="WVC156" s="3060"/>
      <c r="WVD156" s="3060"/>
      <c r="WVE156" s="3060"/>
      <c r="WVF156" s="3060"/>
      <c r="WVG156" s="3060"/>
      <c r="WVH156" s="3060"/>
      <c r="WVI156" s="3060"/>
      <c r="WVJ156" s="3060"/>
      <c r="WVK156" s="3060"/>
      <c r="WVL156" s="3060"/>
      <c r="WVM156" s="3060"/>
      <c r="WVN156" s="3060"/>
      <c r="WVO156" s="3060"/>
      <c r="WVP156" s="3060"/>
      <c r="WVQ156" s="3060"/>
      <c r="WVR156" s="3060"/>
      <c r="WVS156" s="3060"/>
      <c r="WVT156" s="3060"/>
      <c r="WVU156" s="3060"/>
      <c r="WVV156" s="3060"/>
      <c r="WVW156" s="3060"/>
      <c r="WVX156" s="3060"/>
      <c r="WVY156" s="3060"/>
      <c r="WVZ156" s="3060"/>
      <c r="WWA156" s="3060"/>
      <c r="WWB156" s="3060"/>
      <c r="WWC156" s="3060"/>
      <c r="WWD156" s="3060"/>
      <c r="WWE156" s="3060"/>
      <c r="WWF156" s="3060"/>
      <c r="WWG156" s="3060"/>
      <c r="WWH156" s="3060"/>
      <c r="WWI156" s="3060"/>
      <c r="WWJ156" s="3060"/>
      <c r="WWK156" s="3060"/>
      <c r="WWL156" s="3060"/>
      <c r="WWM156" s="3060"/>
      <c r="WWN156" s="3060"/>
      <c r="WWO156" s="3060"/>
      <c r="WWP156" s="3060"/>
      <c r="WWQ156" s="3060"/>
      <c r="WWR156" s="3060"/>
      <c r="WWS156" s="3060"/>
      <c r="WWT156" s="3060"/>
      <c r="WWU156" s="3060"/>
      <c r="WWV156" s="3060"/>
      <c r="WWW156" s="3060"/>
      <c r="WWX156" s="3060"/>
      <c r="WWY156" s="3060"/>
      <c r="WWZ156" s="3060"/>
      <c r="WXA156" s="3060"/>
      <c r="WXB156" s="3060"/>
      <c r="WXC156" s="3060"/>
      <c r="WXD156" s="3060"/>
      <c r="WXE156" s="3060"/>
      <c r="WXF156" s="3060"/>
      <c r="WXG156" s="3060"/>
      <c r="WXH156" s="3060"/>
      <c r="WXI156" s="3060"/>
      <c r="WXJ156" s="3060"/>
      <c r="WXK156" s="3060"/>
      <c r="WXL156" s="3060"/>
      <c r="WXM156" s="3060"/>
      <c r="WXN156" s="3060"/>
      <c r="WXO156" s="3060"/>
      <c r="WXP156" s="3060"/>
      <c r="WXQ156" s="3060"/>
      <c r="WXR156" s="3060"/>
      <c r="WXS156" s="3060"/>
      <c r="WXT156" s="3060"/>
      <c r="WXU156" s="3060"/>
      <c r="WXV156" s="3060"/>
      <c r="WXW156" s="3060"/>
      <c r="WXX156" s="3060"/>
      <c r="WXY156" s="3060"/>
      <c r="WXZ156" s="3060"/>
      <c r="WYA156" s="3060"/>
      <c r="WYB156" s="3060"/>
      <c r="WYC156" s="3060"/>
      <c r="WYD156" s="3060"/>
      <c r="WYE156" s="3060"/>
      <c r="WYF156" s="3060"/>
      <c r="WYG156" s="3060"/>
      <c r="WYH156" s="3060"/>
      <c r="WYI156" s="3060"/>
      <c r="WYJ156" s="3060"/>
      <c r="WYK156" s="3060"/>
      <c r="WYL156" s="3060"/>
      <c r="WYM156" s="3060"/>
      <c r="WYN156" s="3060"/>
      <c r="WYO156" s="3060"/>
      <c r="WYP156" s="3060"/>
      <c r="WYQ156" s="3060"/>
      <c r="WYR156" s="3060"/>
      <c r="WYS156" s="3060"/>
      <c r="WYT156" s="3060"/>
      <c r="WYU156" s="3060"/>
      <c r="WYV156" s="3060"/>
      <c r="WYW156" s="3060"/>
      <c r="WYX156" s="3060"/>
      <c r="WYY156" s="3060"/>
      <c r="WYZ156" s="3060"/>
      <c r="WZA156" s="3060"/>
      <c r="WZB156" s="3060"/>
      <c r="WZC156" s="3060"/>
      <c r="WZD156" s="3060"/>
      <c r="WZE156" s="3060"/>
      <c r="WZF156" s="3060"/>
      <c r="WZG156" s="3060"/>
      <c r="WZH156" s="3060"/>
      <c r="WZI156" s="3060"/>
      <c r="WZJ156" s="3060"/>
      <c r="WZK156" s="3060"/>
      <c r="WZL156" s="3060"/>
      <c r="WZM156" s="3060"/>
      <c r="WZN156" s="3060"/>
      <c r="WZO156" s="3060"/>
      <c r="WZP156" s="3060"/>
      <c r="WZQ156" s="3060"/>
      <c r="WZR156" s="3060"/>
      <c r="WZS156" s="3060"/>
      <c r="WZT156" s="3060"/>
      <c r="WZU156" s="3060"/>
      <c r="WZV156" s="3060"/>
      <c r="WZW156" s="3060"/>
      <c r="WZX156" s="3060"/>
      <c r="WZY156" s="3060"/>
      <c r="WZZ156" s="3060"/>
      <c r="XAA156" s="3060"/>
      <c r="XAB156" s="3060"/>
      <c r="XAC156" s="3060"/>
      <c r="XAD156" s="3060"/>
      <c r="XAE156" s="3060"/>
      <c r="XAF156" s="3060"/>
      <c r="XAG156" s="3060"/>
      <c r="XAH156" s="3060"/>
      <c r="XAI156" s="3060"/>
      <c r="XAJ156" s="3060"/>
      <c r="XAK156" s="3060"/>
      <c r="XAL156" s="3060"/>
      <c r="XAM156" s="3060"/>
      <c r="XAN156" s="3060"/>
      <c r="XAO156" s="3060"/>
      <c r="XAP156" s="3060"/>
      <c r="XAQ156" s="3060"/>
      <c r="XAR156" s="3060"/>
      <c r="XAS156" s="3060"/>
      <c r="XAT156" s="3060"/>
      <c r="XAU156" s="3060"/>
      <c r="XAV156" s="3060"/>
      <c r="XAW156" s="3060"/>
      <c r="XAX156" s="3060"/>
      <c r="XAY156" s="3060"/>
      <c r="XAZ156" s="3060"/>
      <c r="XBA156" s="3060"/>
      <c r="XBB156" s="3060"/>
      <c r="XBC156" s="3060"/>
      <c r="XBD156" s="3060"/>
      <c r="XBE156" s="3060"/>
      <c r="XBF156" s="3060"/>
      <c r="XBG156" s="3060"/>
      <c r="XBH156" s="3060"/>
      <c r="XBI156" s="3060"/>
      <c r="XBJ156" s="3060"/>
      <c r="XBK156" s="3060"/>
      <c r="XBL156" s="3060"/>
      <c r="XBM156" s="3060"/>
      <c r="XBN156" s="3060"/>
      <c r="XBO156" s="3060"/>
      <c r="XBP156" s="3060"/>
      <c r="XBQ156" s="3060"/>
      <c r="XBR156" s="3060"/>
      <c r="XBS156" s="3060"/>
      <c r="XBT156" s="3060"/>
      <c r="XBU156" s="3060"/>
      <c r="XBV156" s="3060"/>
      <c r="XBW156" s="3060"/>
      <c r="XBX156" s="3060"/>
      <c r="XBY156" s="3060"/>
      <c r="XBZ156" s="3060"/>
      <c r="XCA156" s="3060"/>
      <c r="XCB156" s="3060"/>
      <c r="XCC156" s="3060"/>
      <c r="XCD156" s="3060"/>
      <c r="XCE156" s="3060"/>
      <c r="XCF156" s="3060"/>
      <c r="XCG156" s="3060"/>
      <c r="XCH156" s="3060"/>
      <c r="XCI156" s="3060"/>
      <c r="XCJ156" s="3060"/>
      <c r="XCK156" s="3060"/>
      <c r="XCL156" s="3060"/>
      <c r="XCM156" s="3060"/>
      <c r="XCN156" s="3060"/>
      <c r="XCO156" s="3060"/>
      <c r="XCP156" s="3060"/>
      <c r="XCQ156" s="3060"/>
      <c r="XCR156" s="3060"/>
      <c r="XCS156" s="3060"/>
      <c r="XCT156" s="3060"/>
      <c r="XCU156" s="3060"/>
      <c r="XCV156" s="3060"/>
      <c r="XCW156" s="3060"/>
      <c r="XCX156" s="3060"/>
      <c r="XCY156" s="3060"/>
      <c r="XCZ156" s="3060"/>
      <c r="XDA156" s="3060"/>
      <c r="XDB156" s="3060"/>
      <c r="XDC156" s="3060"/>
      <c r="XDD156" s="3060"/>
      <c r="XDE156" s="3060"/>
      <c r="XDF156" s="3060"/>
      <c r="XDG156" s="3060"/>
      <c r="XDH156" s="3060"/>
      <c r="XDI156" s="3060"/>
      <c r="XDJ156" s="3060"/>
      <c r="XDK156" s="3060"/>
      <c r="XDL156" s="3060"/>
      <c r="XDM156" s="3060"/>
      <c r="XDN156" s="3060"/>
      <c r="XDO156" s="3060"/>
      <c r="XDP156" s="3060"/>
      <c r="XDQ156" s="3060"/>
      <c r="XDR156" s="3060"/>
      <c r="XDS156" s="3060"/>
      <c r="XDT156" s="3060"/>
      <c r="XDU156" s="3060"/>
      <c r="XDV156" s="3060"/>
      <c r="XDW156" s="3060"/>
      <c r="XDX156" s="3060"/>
      <c r="XDY156" s="3060"/>
      <c r="XDZ156" s="3060"/>
      <c r="XEA156" s="3060"/>
      <c r="XEB156" s="3060"/>
      <c r="XEC156" s="3060"/>
      <c r="XED156" s="3060"/>
      <c r="XEE156" s="3060"/>
      <c r="XEF156" s="3060"/>
      <c r="XEG156" s="3060"/>
      <c r="XEH156" s="3060"/>
      <c r="XEI156" s="3060"/>
      <c r="XEJ156" s="3060"/>
      <c r="XEK156" s="3060"/>
      <c r="XEL156" s="3060"/>
      <c r="XEM156" s="3060"/>
      <c r="XEN156" s="3060"/>
      <c r="XEO156" s="3060"/>
      <c r="XEP156" s="3060"/>
      <c r="XEQ156" s="3060"/>
      <c r="XER156" s="3060"/>
      <c r="XES156" s="3060"/>
      <c r="XET156" s="3060"/>
      <c r="XEU156" s="3060"/>
      <c r="XEV156" s="3060"/>
      <c r="XEW156" s="3060"/>
      <c r="XEX156" s="3060"/>
      <c r="XEY156" s="3060"/>
      <c r="XEZ156" s="3060"/>
      <c r="XFA156" s="3060"/>
      <c r="XFB156" s="3060"/>
      <c r="XFC156" s="3060"/>
      <c r="XFD156" s="3060"/>
    </row>
    <row r="157" spans="1:16384" s="3083" customFormat="1" x14ac:dyDescent="0.2">
      <c r="A157" s="3060"/>
      <c r="B157" s="3061"/>
      <c r="C157" s="3061"/>
      <c r="D157" s="3061"/>
      <c r="E157" s="3061"/>
      <c r="F157" s="3061"/>
      <c r="G157" s="3061"/>
      <c r="H157" s="3061"/>
      <c r="I157" s="3061"/>
      <c r="J157" s="3061"/>
      <c r="K157" s="3061"/>
      <c r="L157" s="3061"/>
      <c r="M157" s="3061"/>
      <c r="N157" s="3061"/>
      <c r="O157" s="3061"/>
      <c r="P157" s="3061"/>
      <c r="Q157" s="3061"/>
      <c r="R157" s="3061"/>
      <c r="S157" s="2923"/>
      <c r="T157" s="3061"/>
      <c r="U157" s="3062"/>
      <c r="V157" s="3061"/>
      <c r="W157" s="3061"/>
      <c r="X157" s="3061"/>
      <c r="Y157" s="3061"/>
      <c r="Z157" s="3061"/>
      <c r="AA157" s="3061"/>
      <c r="AB157" s="3061"/>
      <c r="AC157" s="3061"/>
      <c r="AD157" s="3061"/>
      <c r="AE157" s="3061"/>
      <c r="AF157" s="3063"/>
      <c r="AG157" s="3060"/>
      <c r="AH157" s="3060"/>
      <c r="AI157" s="3060"/>
      <c r="AJ157" s="3060"/>
      <c r="AK157" s="3060"/>
      <c r="AL157" s="3060"/>
      <c r="AM157" s="3060"/>
      <c r="AN157" s="3060"/>
      <c r="AO157" s="3060"/>
      <c r="AP157" s="3060"/>
      <c r="AQ157" s="3060"/>
      <c r="AR157" s="3060"/>
      <c r="AS157" s="3060"/>
      <c r="AT157" s="3060"/>
      <c r="AU157" s="3060"/>
      <c r="AV157" s="3060"/>
      <c r="AW157" s="3060"/>
      <c r="AX157" s="3060"/>
      <c r="AY157" s="3060"/>
      <c r="AZ157" s="3060"/>
      <c r="BA157" s="3060"/>
      <c r="BB157" s="3060"/>
      <c r="BC157" s="3060"/>
      <c r="BD157" s="3060"/>
      <c r="BE157" s="3060"/>
      <c r="BF157" s="3060"/>
      <c r="BG157" s="3060"/>
      <c r="BH157" s="3060"/>
      <c r="BI157" s="3060"/>
      <c r="BJ157" s="3060"/>
      <c r="BK157" s="3060"/>
      <c r="BL157" s="3060"/>
      <c r="BM157" s="3060"/>
      <c r="BN157" s="3060"/>
      <c r="BO157" s="3060"/>
      <c r="BP157" s="3060"/>
      <c r="BQ157" s="3060"/>
      <c r="BR157" s="3060"/>
      <c r="BS157" s="3060"/>
      <c r="BT157" s="3060"/>
      <c r="BU157" s="3060"/>
      <c r="BV157" s="3060"/>
      <c r="BW157" s="3060"/>
      <c r="BX157" s="3060"/>
      <c r="BY157" s="3060"/>
      <c r="BZ157" s="3060"/>
      <c r="CA157" s="3060"/>
      <c r="CB157" s="3060"/>
      <c r="CC157" s="3060"/>
      <c r="CD157" s="3060"/>
      <c r="CE157" s="3060"/>
      <c r="CF157" s="3060"/>
      <c r="CG157" s="3060"/>
      <c r="CH157" s="3060"/>
      <c r="CI157" s="3060"/>
      <c r="CJ157" s="3060"/>
      <c r="CK157" s="3060"/>
      <c r="CL157" s="3060"/>
      <c r="CM157" s="3060"/>
      <c r="CN157" s="3060"/>
      <c r="CO157" s="3060"/>
      <c r="CP157" s="3060"/>
      <c r="CQ157" s="3060"/>
      <c r="CR157" s="3060"/>
      <c r="CS157" s="3060"/>
      <c r="CT157" s="3060"/>
      <c r="CU157" s="3060"/>
      <c r="CV157" s="3060"/>
      <c r="CW157" s="3060"/>
      <c r="CX157" s="3060"/>
      <c r="CY157" s="3060"/>
      <c r="CZ157" s="3060"/>
      <c r="DA157" s="3060"/>
      <c r="DB157" s="3060"/>
      <c r="DC157" s="3060"/>
      <c r="DD157" s="3060"/>
      <c r="DE157" s="3060"/>
      <c r="DF157" s="3060"/>
      <c r="DG157" s="3060"/>
      <c r="DH157" s="3060"/>
      <c r="DI157" s="3060"/>
      <c r="DJ157" s="3060"/>
      <c r="DK157" s="3060"/>
      <c r="DL157" s="3060"/>
      <c r="DM157" s="3060"/>
      <c r="DN157" s="3060"/>
      <c r="DO157" s="3060"/>
      <c r="DP157" s="3060"/>
      <c r="DQ157" s="3060"/>
      <c r="DR157" s="3060"/>
      <c r="DS157" s="3060"/>
      <c r="DT157" s="3060"/>
      <c r="DU157" s="3060"/>
      <c r="DV157" s="3060"/>
      <c r="DW157" s="3060"/>
      <c r="DX157" s="3060"/>
      <c r="DY157" s="3060"/>
      <c r="DZ157" s="3060"/>
      <c r="EA157" s="3060"/>
      <c r="EB157" s="3060"/>
      <c r="EC157" s="3060"/>
      <c r="ED157" s="3060"/>
      <c r="EE157" s="3060"/>
      <c r="EF157" s="3060"/>
      <c r="EG157" s="3060"/>
      <c r="EH157" s="3060"/>
      <c r="EI157" s="3060"/>
      <c r="EJ157" s="3060"/>
      <c r="EK157" s="3060"/>
      <c r="EL157" s="3060"/>
      <c r="EM157" s="3060"/>
      <c r="EN157" s="3060"/>
      <c r="EO157" s="3060"/>
      <c r="EP157" s="3060"/>
      <c r="EQ157" s="3060"/>
      <c r="ER157" s="3060"/>
      <c r="ES157" s="3060"/>
      <c r="ET157" s="3060"/>
      <c r="EU157" s="3060"/>
      <c r="EV157" s="3060"/>
      <c r="EW157" s="3060"/>
      <c r="EX157" s="3060"/>
      <c r="EY157" s="3060"/>
      <c r="EZ157" s="3060"/>
      <c r="FA157" s="3060"/>
      <c r="FB157" s="3060"/>
      <c r="FC157" s="3060"/>
      <c r="FD157" s="3060"/>
      <c r="FE157" s="3060"/>
      <c r="FF157" s="3060"/>
      <c r="FG157" s="3060"/>
      <c r="FH157" s="3060"/>
      <c r="FI157" s="3060"/>
      <c r="FJ157" s="3060"/>
      <c r="FK157" s="3060"/>
      <c r="FL157" s="3060"/>
      <c r="FM157" s="3060"/>
      <c r="FN157" s="3060"/>
      <c r="FO157" s="3060"/>
      <c r="FP157" s="3060"/>
      <c r="FQ157" s="3060"/>
      <c r="FR157" s="3060"/>
      <c r="FS157" s="3060"/>
      <c r="FT157" s="3060"/>
      <c r="FU157" s="3060"/>
      <c r="FV157" s="3060"/>
      <c r="FW157" s="3060"/>
      <c r="FX157" s="3060"/>
      <c r="FY157" s="3060"/>
      <c r="FZ157" s="3060"/>
      <c r="GA157" s="3060"/>
      <c r="GB157" s="3060"/>
      <c r="GC157" s="3060"/>
      <c r="GD157" s="3060"/>
      <c r="GE157" s="3060"/>
      <c r="GF157" s="3060"/>
      <c r="GG157" s="3060"/>
      <c r="GH157" s="3060"/>
      <c r="GI157" s="3060"/>
      <c r="GJ157" s="3060"/>
      <c r="GK157" s="3060"/>
      <c r="GL157" s="3060"/>
      <c r="GM157" s="3060"/>
      <c r="GN157" s="3060"/>
      <c r="GO157" s="3060"/>
      <c r="GP157" s="3060"/>
      <c r="GQ157" s="3060"/>
      <c r="GR157" s="3060"/>
      <c r="GS157" s="3060"/>
      <c r="GT157" s="3060"/>
      <c r="GU157" s="3060"/>
      <c r="GV157" s="3060"/>
      <c r="GW157" s="3060"/>
      <c r="GX157" s="3060"/>
      <c r="GY157" s="3060"/>
      <c r="GZ157" s="3060"/>
      <c r="HA157" s="3060"/>
      <c r="HB157" s="3060"/>
      <c r="HC157" s="3060"/>
      <c r="HD157" s="3060"/>
      <c r="HE157" s="3060"/>
      <c r="HF157" s="3060"/>
      <c r="HG157" s="3060"/>
      <c r="HH157" s="3060"/>
      <c r="HI157" s="3060"/>
      <c r="HJ157" s="3060"/>
      <c r="HK157" s="3060"/>
      <c r="HL157" s="3060"/>
      <c r="HM157" s="3060"/>
      <c r="HN157" s="3060"/>
      <c r="HO157" s="3060"/>
      <c r="HP157" s="3060"/>
      <c r="HQ157" s="3060"/>
      <c r="HR157" s="3060"/>
      <c r="HS157" s="3060"/>
      <c r="HT157" s="3060"/>
      <c r="HU157" s="3060"/>
      <c r="HV157" s="3060"/>
      <c r="HW157" s="3060"/>
      <c r="HX157" s="3060"/>
      <c r="HY157" s="3060"/>
      <c r="HZ157" s="3060"/>
      <c r="IA157" s="3060"/>
      <c r="IB157" s="3060"/>
      <c r="IC157" s="3060"/>
      <c r="ID157" s="3060"/>
      <c r="IE157" s="3060"/>
      <c r="IF157" s="3060"/>
      <c r="IG157" s="3060"/>
      <c r="IH157" s="3060"/>
      <c r="II157" s="3060"/>
      <c r="IJ157" s="3060"/>
      <c r="IK157" s="3060"/>
      <c r="IL157" s="3060"/>
      <c r="IM157" s="3060"/>
      <c r="IN157" s="3060"/>
      <c r="IO157" s="3060"/>
      <c r="IP157" s="3060"/>
      <c r="IQ157" s="3060"/>
      <c r="IR157" s="3060"/>
      <c r="IS157" s="3060"/>
      <c r="IT157" s="3060"/>
      <c r="IU157" s="3060"/>
      <c r="IV157" s="3060"/>
      <c r="IW157" s="3060"/>
      <c r="IX157" s="3060"/>
      <c r="IY157" s="3060"/>
      <c r="IZ157" s="3060"/>
      <c r="JA157" s="3060"/>
      <c r="JB157" s="3060"/>
      <c r="JC157" s="3060"/>
      <c r="JD157" s="3060"/>
      <c r="JE157" s="3060"/>
      <c r="JF157" s="3060"/>
      <c r="JG157" s="3060"/>
      <c r="JH157" s="3060"/>
      <c r="JI157" s="3060"/>
      <c r="JJ157" s="3060"/>
      <c r="JK157" s="3060"/>
      <c r="JL157" s="3060"/>
      <c r="JM157" s="3060"/>
      <c r="JN157" s="3060"/>
      <c r="JO157" s="3060"/>
      <c r="JP157" s="3060"/>
      <c r="JQ157" s="3060"/>
      <c r="JR157" s="3060"/>
      <c r="JS157" s="3060"/>
      <c r="JT157" s="3060"/>
      <c r="JU157" s="3060"/>
      <c r="JV157" s="3060"/>
      <c r="JW157" s="3060"/>
      <c r="JX157" s="3060"/>
      <c r="JY157" s="3060"/>
      <c r="JZ157" s="3060"/>
      <c r="KA157" s="3060"/>
      <c r="KB157" s="3060"/>
      <c r="KC157" s="3060"/>
      <c r="KD157" s="3060"/>
      <c r="KE157" s="3060"/>
      <c r="KF157" s="3060"/>
      <c r="KG157" s="3060"/>
      <c r="KH157" s="3060"/>
      <c r="KI157" s="3060"/>
      <c r="KJ157" s="3060"/>
      <c r="KK157" s="3060"/>
      <c r="KL157" s="3060"/>
      <c r="KM157" s="3060"/>
      <c r="KN157" s="3060"/>
      <c r="KO157" s="3060"/>
      <c r="KP157" s="3060"/>
      <c r="KQ157" s="3060"/>
      <c r="KR157" s="3060"/>
      <c r="KS157" s="3060"/>
      <c r="KT157" s="3060"/>
      <c r="KU157" s="3060"/>
      <c r="KV157" s="3060"/>
      <c r="KW157" s="3060"/>
      <c r="KX157" s="3060"/>
      <c r="KY157" s="3060"/>
      <c r="KZ157" s="3060"/>
      <c r="LA157" s="3060"/>
      <c r="LB157" s="3060"/>
      <c r="LC157" s="3060"/>
      <c r="LD157" s="3060"/>
      <c r="LE157" s="3060"/>
      <c r="LF157" s="3060"/>
      <c r="LG157" s="3060"/>
      <c r="LH157" s="3060"/>
      <c r="LI157" s="3060"/>
      <c r="LJ157" s="3060"/>
      <c r="LK157" s="3060"/>
      <c r="LL157" s="3060"/>
      <c r="LM157" s="3060"/>
      <c r="LN157" s="3060"/>
      <c r="LO157" s="3060"/>
      <c r="LP157" s="3060"/>
      <c r="LQ157" s="3060"/>
      <c r="LR157" s="3060"/>
      <c r="LS157" s="3060"/>
      <c r="LT157" s="3060"/>
      <c r="LU157" s="3060"/>
      <c r="LV157" s="3060"/>
      <c r="LW157" s="3060"/>
      <c r="LX157" s="3060"/>
      <c r="LY157" s="3060"/>
      <c r="LZ157" s="3060"/>
      <c r="MA157" s="3060"/>
      <c r="MB157" s="3060"/>
      <c r="MC157" s="3060"/>
      <c r="MD157" s="3060"/>
      <c r="ME157" s="3060"/>
      <c r="MF157" s="3060"/>
      <c r="MG157" s="3060"/>
      <c r="MH157" s="3060"/>
      <c r="MI157" s="3060"/>
      <c r="MJ157" s="3060"/>
      <c r="MK157" s="3060"/>
      <c r="ML157" s="3060"/>
      <c r="MM157" s="3060"/>
      <c r="MN157" s="3060"/>
      <c r="MO157" s="3060"/>
      <c r="MP157" s="3060"/>
      <c r="MQ157" s="3060"/>
      <c r="MR157" s="3060"/>
      <c r="MS157" s="3060"/>
      <c r="MT157" s="3060"/>
      <c r="MU157" s="3060"/>
      <c r="MV157" s="3060"/>
      <c r="MW157" s="3060"/>
      <c r="MX157" s="3060"/>
      <c r="MY157" s="3060"/>
      <c r="MZ157" s="3060"/>
      <c r="NA157" s="3060"/>
      <c r="NB157" s="3060"/>
      <c r="NC157" s="3060"/>
      <c r="ND157" s="3060"/>
      <c r="NE157" s="3060"/>
      <c r="NF157" s="3060"/>
      <c r="NG157" s="3060"/>
      <c r="NH157" s="3060"/>
      <c r="NI157" s="3060"/>
      <c r="NJ157" s="3060"/>
      <c r="NK157" s="3060"/>
      <c r="NL157" s="3060"/>
      <c r="NM157" s="3060"/>
      <c r="NN157" s="3060"/>
      <c r="NO157" s="3060"/>
      <c r="NP157" s="3060"/>
      <c r="NQ157" s="3060"/>
      <c r="NR157" s="3060"/>
      <c r="NS157" s="3060"/>
      <c r="NT157" s="3060"/>
      <c r="NU157" s="3060"/>
      <c r="NV157" s="3060"/>
      <c r="NW157" s="3060"/>
      <c r="NX157" s="3060"/>
      <c r="NY157" s="3060"/>
      <c r="NZ157" s="3060"/>
      <c r="OA157" s="3060"/>
      <c r="OB157" s="3060"/>
      <c r="OC157" s="3060"/>
      <c r="OD157" s="3060"/>
      <c r="OE157" s="3060"/>
      <c r="OF157" s="3060"/>
      <c r="OG157" s="3060"/>
      <c r="OH157" s="3060"/>
      <c r="OI157" s="3060"/>
      <c r="OJ157" s="3060"/>
      <c r="OK157" s="3060"/>
      <c r="OL157" s="3060"/>
      <c r="OM157" s="3060"/>
      <c r="ON157" s="3060"/>
      <c r="OO157" s="3060"/>
      <c r="OP157" s="3060"/>
      <c r="OQ157" s="3060"/>
      <c r="OR157" s="3060"/>
      <c r="OS157" s="3060"/>
      <c r="OT157" s="3060"/>
      <c r="OU157" s="3060"/>
      <c r="OV157" s="3060"/>
      <c r="OW157" s="3060"/>
      <c r="OX157" s="3060"/>
      <c r="OY157" s="3060"/>
      <c r="OZ157" s="3060"/>
      <c r="PA157" s="3060"/>
      <c r="PB157" s="3060"/>
      <c r="PC157" s="3060"/>
      <c r="PD157" s="3060"/>
      <c r="PE157" s="3060"/>
      <c r="PF157" s="3060"/>
      <c r="PG157" s="3060"/>
      <c r="PH157" s="3060"/>
      <c r="PI157" s="3060"/>
      <c r="PJ157" s="3060"/>
      <c r="PK157" s="3060"/>
      <c r="PL157" s="3060"/>
      <c r="PM157" s="3060"/>
      <c r="PN157" s="3060"/>
      <c r="PO157" s="3060"/>
      <c r="PP157" s="3060"/>
      <c r="PQ157" s="3060"/>
      <c r="PR157" s="3060"/>
      <c r="PS157" s="3060"/>
      <c r="PT157" s="3060"/>
      <c r="PU157" s="3060"/>
      <c r="PV157" s="3060"/>
      <c r="PW157" s="3060"/>
      <c r="PX157" s="3060"/>
      <c r="PY157" s="3060"/>
      <c r="PZ157" s="3060"/>
      <c r="QA157" s="3060"/>
      <c r="QB157" s="3060"/>
      <c r="QC157" s="3060"/>
      <c r="QD157" s="3060"/>
      <c r="QE157" s="3060"/>
      <c r="QF157" s="3060"/>
      <c r="QG157" s="3060"/>
      <c r="QH157" s="3060"/>
      <c r="QI157" s="3060"/>
      <c r="QJ157" s="3060"/>
      <c r="QK157" s="3060"/>
      <c r="QL157" s="3060"/>
      <c r="QM157" s="3060"/>
      <c r="QN157" s="3060"/>
      <c r="QO157" s="3060"/>
      <c r="QP157" s="3060"/>
      <c r="QQ157" s="3060"/>
      <c r="QR157" s="3060"/>
      <c r="QS157" s="3060"/>
      <c r="QT157" s="3060"/>
      <c r="QU157" s="3060"/>
      <c r="QV157" s="3060"/>
      <c r="QW157" s="3060"/>
      <c r="QX157" s="3060"/>
      <c r="QY157" s="3060"/>
      <c r="QZ157" s="3060"/>
      <c r="RA157" s="3060"/>
      <c r="RB157" s="3060"/>
      <c r="RC157" s="3060"/>
      <c r="RD157" s="3060"/>
      <c r="RE157" s="3060"/>
      <c r="RF157" s="3060"/>
      <c r="RG157" s="3060"/>
      <c r="RH157" s="3060"/>
      <c r="RI157" s="3060"/>
      <c r="RJ157" s="3060"/>
      <c r="RK157" s="3060"/>
      <c r="RL157" s="3060"/>
      <c r="RM157" s="3060"/>
      <c r="RN157" s="3060"/>
      <c r="RO157" s="3060"/>
      <c r="RP157" s="3060"/>
      <c r="RQ157" s="3060"/>
      <c r="RR157" s="3060"/>
      <c r="RS157" s="3060"/>
      <c r="RT157" s="3060"/>
      <c r="RU157" s="3060"/>
      <c r="RV157" s="3060"/>
      <c r="RW157" s="3060"/>
      <c r="RX157" s="3060"/>
      <c r="RY157" s="3060"/>
      <c r="RZ157" s="3060"/>
      <c r="SA157" s="3060"/>
      <c r="SB157" s="3060"/>
      <c r="SC157" s="3060"/>
      <c r="SD157" s="3060"/>
      <c r="SE157" s="3060"/>
      <c r="SF157" s="3060"/>
      <c r="SG157" s="3060"/>
      <c r="SH157" s="3060"/>
      <c r="SI157" s="3060"/>
      <c r="SJ157" s="3060"/>
      <c r="SK157" s="3060"/>
      <c r="SL157" s="3060"/>
      <c r="SM157" s="3060"/>
      <c r="SN157" s="3060"/>
      <c r="SO157" s="3060"/>
      <c r="SP157" s="3060"/>
      <c r="SQ157" s="3060"/>
      <c r="SR157" s="3060"/>
      <c r="SS157" s="3060"/>
      <c r="ST157" s="3060"/>
      <c r="SU157" s="3060"/>
      <c r="SV157" s="3060"/>
      <c r="SW157" s="3060"/>
      <c r="SX157" s="3060"/>
      <c r="SY157" s="3060"/>
      <c r="SZ157" s="3060"/>
      <c r="TA157" s="3060"/>
      <c r="TB157" s="3060"/>
      <c r="TC157" s="3060"/>
      <c r="TD157" s="3060"/>
      <c r="TE157" s="3060"/>
      <c r="TF157" s="3060"/>
      <c r="TG157" s="3060"/>
      <c r="TH157" s="3060"/>
      <c r="TI157" s="3060"/>
      <c r="TJ157" s="3060"/>
      <c r="TK157" s="3060"/>
      <c r="TL157" s="3060"/>
      <c r="TM157" s="3060"/>
      <c r="TN157" s="3060"/>
      <c r="TO157" s="3060"/>
      <c r="TP157" s="3060"/>
      <c r="TQ157" s="3060"/>
      <c r="TR157" s="3060"/>
      <c r="TS157" s="3060"/>
      <c r="TT157" s="3060"/>
      <c r="TU157" s="3060"/>
      <c r="TV157" s="3060"/>
      <c r="TW157" s="3060"/>
      <c r="TX157" s="3060"/>
      <c r="TY157" s="3060"/>
      <c r="TZ157" s="3060"/>
      <c r="UA157" s="3060"/>
      <c r="UB157" s="3060"/>
      <c r="UC157" s="3060"/>
      <c r="UD157" s="3060"/>
      <c r="UE157" s="3060"/>
      <c r="UF157" s="3060"/>
      <c r="UG157" s="3060"/>
      <c r="UH157" s="3060"/>
      <c r="UI157" s="3060"/>
      <c r="UJ157" s="3060"/>
      <c r="UK157" s="3060"/>
      <c r="UL157" s="3060"/>
      <c r="UM157" s="3060"/>
      <c r="UN157" s="3060"/>
      <c r="UO157" s="3060"/>
      <c r="UP157" s="3060"/>
      <c r="UQ157" s="3060"/>
      <c r="UR157" s="3060"/>
      <c r="US157" s="3060"/>
      <c r="UT157" s="3060"/>
      <c r="UU157" s="3060"/>
      <c r="UV157" s="3060"/>
      <c r="UW157" s="3060"/>
      <c r="UX157" s="3060"/>
      <c r="UY157" s="3060"/>
      <c r="UZ157" s="3060"/>
      <c r="VA157" s="3060"/>
      <c r="VB157" s="3060"/>
      <c r="VC157" s="3060"/>
      <c r="VD157" s="3060"/>
      <c r="VE157" s="3060"/>
      <c r="VF157" s="3060"/>
      <c r="VG157" s="3060"/>
      <c r="VH157" s="3060"/>
      <c r="VI157" s="3060"/>
      <c r="VJ157" s="3060"/>
      <c r="VK157" s="3060"/>
      <c r="VL157" s="3060"/>
      <c r="VM157" s="3060"/>
      <c r="VN157" s="3060"/>
      <c r="VO157" s="3060"/>
      <c r="VP157" s="3060"/>
      <c r="VQ157" s="3060"/>
      <c r="VR157" s="3060"/>
      <c r="VS157" s="3060"/>
      <c r="VT157" s="3060"/>
      <c r="VU157" s="3060"/>
      <c r="VV157" s="3060"/>
      <c r="VW157" s="3060"/>
      <c r="VX157" s="3060"/>
      <c r="VY157" s="3060"/>
      <c r="VZ157" s="3060"/>
      <c r="WA157" s="3060"/>
      <c r="WB157" s="3060"/>
      <c r="WC157" s="3060"/>
      <c r="WD157" s="3060"/>
      <c r="WE157" s="3060"/>
      <c r="WF157" s="3060"/>
      <c r="WG157" s="3060"/>
      <c r="WH157" s="3060"/>
      <c r="WI157" s="3060"/>
      <c r="WJ157" s="3060"/>
      <c r="WK157" s="3060"/>
      <c r="WL157" s="3060"/>
      <c r="WM157" s="3060"/>
      <c r="WN157" s="3060"/>
      <c r="WO157" s="3060"/>
      <c r="WP157" s="3060"/>
      <c r="WQ157" s="3060"/>
      <c r="WR157" s="3060"/>
      <c r="WS157" s="3060"/>
      <c r="WT157" s="3060"/>
      <c r="WU157" s="3060"/>
      <c r="WV157" s="3060"/>
      <c r="WW157" s="3060"/>
      <c r="WX157" s="3060"/>
      <c r="WY157" s="3060"/>
      <c r="WZ157" s="3060"/>
      <c r="XA157" s="3060"/>
      <c r="XB157" s="3060"/>
      <c r="XC157" s="3060"/>
      <c r="XD157" s="3060"/>
      <c r="XE157" s="3060"/>
      <c r="XF157" s="3060"/>
      <c r="XG157" s="3060"/>
      <c r="XH157" s="3060"/>
      <c r="XI157" s="3060"/>
      <c r="XJ157" s="3060"/>
      <c r="XK157" s="3060"/>
      <c r="XL157" s="3060"/>
      <c r="XM157" s="3060"/>
      <c r="XN157" s="3060"/>
      <c r="XO157" s="3060"/>
      <c r="XP157" s="3060"/>
      <c r="XQ157" s="3060"/>
      <c r="XR157" s="3060"/>
      <c r="XS157" s="3060"/>
      <c r="XT157" s="3060"/>
      <c r="XU157" s="3060"/>
      <c r="XV157" s="3060"/>
      <c r="XW157" s="3060"/>
      <c r="XX157" s="3060"/>
      <c r="XY157" s="3060"/>
      <c r="XZ157" s="3060"/>
      <c r="YA157" s="3060"/>
      <c r="YB157" s="3060"/>
      <c r="YC157" s="3060"/>
      <c r="YD157" s="3060"/>
      <c r="YE157" s="3060"/>
      <c r="YF157" s="3060"/>
      <c r="YG157" s="3060"/>
      <c r="YH157" s="3060"/>
      <c r="YI157" s="3060"/>
      <c r="YJ157" s="3060"/>
      <c r="YK157" s="3060"/>
      <c r="YL157" s="3060"/>
      <c r="YM157" s="3060"/>
      <c r="YN157" s="3060"/>
      <c r="YO157" s="3060"/>
      <c r="YP157" s="3060"/>
      <c r="YQ157" s="3060"/>
      <c r="YR157" s="3060"/>
      <c r="YS157" s="3060"/>
      <c r="YT157" s="3060"/>
      <c r="YU157" s="3060"/>
      <c r="YV157" s="3060"/>
      <c r="YW157" s="3060"/>
      <c r="YX157" s="3060"/>
      <c r="YY157" s="3060"/>
      <c r="YZ157" s="3060"/>
      <c r="ZA157" s="3060"/>
      <c r="ZB157" s="3060"/>
      <c r="ZC157" s="3060"/>
      <c r="ZD157" s="3060"/>
      <c r="ZE157" s="3060"/>
      <c r="ZF157" s="3060"/>
      <c r="ZG157" s="3060"/>
      <c r="ZH157" s="3060"/>
      <c r="ZI157" s="3060"/>
      <c r="ZJ157" s="3060"/>
      <c r="ZK157" s="3060"/>
      <c r="ZL157" s="3060"/>
      <c r="ZM157" s="3060"/>
      <c r="ZN157" s="3060"/>
      <c r="ZO157" s="3060"/>
      <c r="ZP157" s="3060"/>
      <c r="ZQ157" s="3060"/>
      <c r="ZR157" s="3060"/>
      <c r="ZS157" s="3060"/>
      <c r="ZT157" s="3060"/>
      <c r="ZU157" s="3060"/>
      <c r="ZV157" s="3060"/>
      <c r="ZW157" s="3060"/>
      <c r="ZX157" s="3060"/>
      <c r="ZY157" s="3060"/>
      <c r="ZZ157" s="3060"/>
      <c r="AAA157" s="3060"/>
      <c r="AAB157" s="3060"/>
      <c r="AAC157" s="3060"/>
      <c r="AAD157" s="3060"/>
      <c r="AAE157" s="3060"/>
      <c r="AAF157" s="3060"/>
      <c r="AAG157" s="3060"/>
      <c r="AAH157" s="3060"/>
      <c r="AAI157" s="3060"/>
      <c r="AAJ157" s="3060"/>
      <c r="AAK157" s="3060"/>
      <c r="AAL157" s="3060"/>
      <c r="AAM157" s="3060"/>
      <c r="AAN157" s="3060"/>
      <c r="AAO157" s="3060"/>
      <c r="AAP157" s="3060"/>
      <c r="AAQ157" s="3060"/>
      <c r="AAR157" s="3060"/>
      <c r="AAS157" s="3060"/>
      <c r="AAT157" s="3060"/>
      <c r="AAU157" s="3060"/>
      <c r="AAV157" s="3060"/>
      <c r="AAW157" s="3060"/>
      <c r="AAX157" s="3060"/>
      <c r="AAY157" s="3060"/>
      <c r="AAZ157" s="3060"/>
      <c r="ABA157" s="3060"/>
      <c r="ABB157" s="3060"/>
      <c r="ABC157" s="3060"/>
      <c r="ABD157" s="3060"/>
      <c r="ABE157" s="3060"/>
      <c r="ABF157" s="3060"/>
      <c r="ABG157" s="3060"/>
      <c r="ABH157" s="3060"/>
      <c r="ABI157" s="3060"/>
      <c r="ABJ157" s="3060"/>
      <c r="ABK157" s="3060"/>
      <c r="ABL157" s="3060"/>
      <c r="ABM157" s="3060"/>
      <c r="ABN157" s="3060"/>
      <c r="ABO157" s="3060"/>
      <c r="ABP157" s="3060"/>
      <c r="ABQ157" s="3060"/>
      <c r="ABR157" s="3060"/>
      <c r="ABS157" s="3060"/>
      <c r="ABT157" s="3060"/>
      <c r="ABU157" s="3060"/>
      <c r="ABV157" s="3060"/>
      <c r="ABW157" s="3060"/>
      <c r="ABX157" s="3060"/>
      <c r="ABY157" s="3060"/>
      <c r="ABZ157" s="3060"/>
      <c r="ACA157" s="3060"/>
      <c r="ACB157" s="3060"/>
      <c r="ACC157" s="3060"/>
      <c r="ACD157" s="3060"/>
      <c r="ACE157" s="3060"/>
      <c r="ACF157" s="3060"/>
      <c r="ACG157" s="3060"/>
      <c r="ACH157" s="3060"/>
      <c r="ACI157" s="3060"/>
      <c r="ACJ157" s="3060"/>
      <c r="ACK157" s="3060"/>
      <c r="ACL157" s="3060"/>
      <c r="ACM157" s="3060"/>
      <c r="ACN157" s="3060"/>
      <c r="ACO157" s="3060"/>
      <c r="ACP157" s="3060"/>
      <c r="ACQ157" s="3060"/>
      <c r="ACR157" s="3060"/>
      <c r="ACS157" s="3060"/>
      <c r="ACT157" s="3060"/>
      <c r="ACU157" s="3060"/>
      <c r="ACV157" s="3060"/>
      <c r="ACW157" s="3060"/>
      <c r="ACX157" s="3060"/>
      <c r="ACY157" s="3060"/>
      <c r="ACZ157" s="3060"/>
      <c r="ADA157" s="3060"/>
      <c r="ADB157" s="3060"/>
      <c r="ADC157" s="3060"/>
      <c r="ADD157" s="3060"/>
      <c r="ADE157" s="3060"/>
      <c r="ADF157" s="3060"/>
      <c r="ADG157" s="3060"/>
      <c r="ADH157" s="3060"/>
      <c r="ADI157" s="3060"/>
      <c r="ADJ157" s="3060"/>
      <c r="ADK157" s="3060"/>
      <c r="ADL157" s="3060"/>
      <c r="ADM157" s="3060"/>
      <c r="ADN157" s="3060"/>
      <c r="ADO157" s="3060"/>
      <c r="ADP157" s="3060"/>
      <c r="ADQ157" s="3060"/>
      <c r="ADR157" s="3060"/>
      <c r="ADS157" s="3060"/>
      <c r="ADT157" s="3060"/>
      <c r="ADU157" s="3060"/>
      <c r="ADV157" s="3060"/>
      <c r="ADW157" s="3060"/>
      <c r="ADX157" s="3060"/>
      <c r="ADY157" s="3060"/>
      <c r="ADZ157" s="3060"/>
      <c r="AEA157" s="3060"/>
      <c r="AEB157" s="3060"/>
      <c r="AEC157" s="3060"/>
      <c r="AED157" s="3060"/>
      <c r="AEE157" s="3060"/>
      <c r="AEF157" s="3060"/>
      <c r="AEG157" s="3060"/>
      <c r="AEH157" s="3060"/>
      <c r="AEI157" s="3060"/>
      <c r="AEJ157" s="3060"/>
      <c r="AEK157" s="3060"/>
      <c r="AEL157" s="3060"/>
      <c r="AEM157" s="3060"/>
      <c r="AEN157" s="3060"/>
      <c r="AEO157" s="3060"/>
      <c r="AEP157" s="3060"/>
      <c r="AEQ157" s="3060"/>
      <c r="AER157" s="3060"/>
      <c r="AES157" s="3060"/>
      <c r="AET157" s="3060"/>
      <c r="AEU157" s="3060"/>
      <c r="AEV157" s="3060"/>
      <c r="AEW157" s="3060"/>
      <c r="AEX157" s="3060"/>
      <c r="AEY157" s="3060"/>
      <c r="AEZ157" s="3060"/>
      <c r="AFA157" s="3060"/>
      <c r="AFB157" s="3060"/>
      <c r="AFC157" s="3060"/>
      <c r="AFD157" s="3060"/>
      <c r="AFE157" s="3060"/>
      <c r="AFF157" s="3060"/>
      <c r="AFG157" s="3060"/>
      <c r="AFH157" s="3060"/>
      <c r="AFI157" s="3060"/>
      <c r="AFJ157" s="3060"/>
      <c r="AFK157" s="3060"/>
      <c r="AFL157" s="3060"/>
      <c r="AFM157" s="3060"/>
      <c r="AFN157" s="3060"/>
      <c r="AFO157" s="3060"/>
      <c r="AFP157" s="3060"/>
      <c r="AFQ157" s="3060"/>
      <c r="AFR157" s="3060"/>
      <c r="AFS157" s="3060"/>
      <c r="AFT157" s="3060"/>
      <c r="AFU157" s="3060"/>
      <c r="AFV157" s="3060"/>
      <c r="AFW157" s="3060"/>
      <c r="AFX157" s="3060"/>
      <c r="AFY157" s="3060"/>
      <c r="AFZ157" s="3060"/>
      <c r="AGA157" s="3060"/>
      <c r="AGB157" s="3060"/>
      <c r="AGC157" s="3060"/>
      <c r="AGD157" s="3060"/>
      <c r="AGE157" s="3060"/>
      <c r="AGF157" s="3060"/>
      <c r="AGG157" s="3060"/>
      <c r="AGH157" s="3060"/>
      <c r="AGI157" s="3060"/>
      <c r="AGJ157" s="3060"/>
      <c r="AGK157" s="3060"/>
      <c r="AGL157" s="3060"/>
      <c r="AGM157" s="3060"/>
      <c r="AGN157" s="3060"/>
      <c r="AGO157" s="3060"/>
      <c r="AGP157" s="3060"/>
      <c r="AGQ157" s="3060"/>
      <c r="AGR157" s="3060"/>
      <c r="AGS157" s="3060"/>
      <c r="AGT157" s="3060"/>
      <c r="AGU157" s="3060"/>
      <c r="AGV157" s="3060"/>
      <c r="AGW157" s="3060"/>
      <c r="AGX157" s="3060"/>
      <c r="AGY157" s="3060"/>
      <c r="AGZ157" s="3060"/>
      <c r="AHA157" s="3060"/>
      <c r="AHB157" s="3060"/>
      <c r="AHC157" s="3060"/>
      <c r="AHD157" s="3060"/>
      <c r="AHE157" s="3060"/>
      <c r="AHF157" s="3060"/>
      <c r="AHG157" s="3060"/>
      <c r="AHH157" s="3060"/>
      <c r="AHI157" s="3060"/>
      <c r="AHJ157" s="3060"/>
      <c r="AHK157" s="3060"/>
      <c r="AHL157" s="3060"/>
      <c r="AHM157" s="3060"/>
      <c r="AHN157" s="3060"/>
      <c r="AHO157" s="3060"/>
      <c r="AHP157" s="3060"/>
      <c r="AHQ157" s="3060"/>
      <c r="AHR157" s="3060"/>
      <c r="AHS157" s="3060"/>
      <c r="AHT157" s="3060"/>
      <c r="AHU157" s="3060"/>
      <c r="AHV157" s="3060"/>
      <c r="AHW157" s="3060"/>
      <c r="AHX157" s="3060"/>
      <c r="AHY157" s="3060"/>
      <c r="AHZ157" s="3060"/>
      <c r="AIA157" s="3060"/>
      <c r="AIB157" s="3060"/>
      <c r="AIC157" s="3060"/>
      <c r="AID157" s="3060"/>
      <c r="AIE157" s="3060"/>
      <c r="AIF157" s="3060"/>
      <c r="AIG157" s="3060"/>
      <c r="AIH157" s="3060"/>
      <c r="AII157" s="3060"/>
      <c r="AIJ157" s="3060"/>
      <c r="AIK157" s="3060"/>
      <c r="AIL157" s="3060"/>
      <c r="AIM157" s="3060"/>
      <c r="AIN157" s="3060"/>
      <c r="AIO157" s="3060"/>
      <c r="AIP157" s="3060"/>
      <c r="AIQ157" s="3060"/>
      <c r="AIR157" s="3060"/>
      <c r="AIS157" s="3060"/>
      <c r="AIT157" s="3060"/>
      <c r="AIU157" s="3060"/>
      <c r="AIV157" s="3060"/>
      <c r="AIW157" s="3060"/>
      <c r="AIX157" s="3060"/>
      <c r="AIY157" s="3060"/>
      <c r="AIZ157" s="3060"/>
      <c r="AJA157" s="3060"/>
      <c r="AJB157" s="3060"/>
      <c r="AJC157" s="3060"/>
      <c r="AJD157" s="3060"/>
      <c r="AJE157" s="3060"/>
      <c r="AJF157" s="3060"/>
      <c r="AJG157" s="3060"/>
      <c r="AJH157" s="3060"/>
      <c r="AJI157" s="3060"/>
      <c r="AJJ157" s="3060"/>
      <c r="AJK157" s="3060"/>
      <c r="AJL157" s="3060"/>
      <c r="AJM157" s="3060"/>
      <c r="AJN157" s="3060"/>
      <c r="AJO157" s="3060"/>
      <c r="AJP157" s="3060"/>
      <c r="AJQ157" s="3060"/>
      <c r="AJR157" s="3060"/>
      <c r="AJS157" s="3060"/>
      <c r="AJT157" s="3060"/>
      <c r="AJU157" s="3060"/>
      <c r="AJV157" s="3060"/>
      <c r="AJW157" s="3060"/>
      <c r="AJX157" s="3060"/>
      <c r="AJY157" s="3060"/>
      <c r="AJZ157" s="3060"/>
      <c r="AKA157" s="3060"/>
      <c r="AKB157" s="3060"/>
      <c r="AKC157" s="3060"/>
      <c r="AKD157" s="3060"/>
      <c r="AKE157" s="3060"/>
      <c r="AKF157" s="3060"/>
      <c r="AKG157" s="3060"/>
      <c r="AKH157" s="3060"/>
      <c r="AKI157" s="3060"/>
      <c r="AKJ157" s="3060"/>
      <c r="AKK157" s="3060"/>
      <c r="AKL157" s="3060"/>
      <c r="AKM157" s="3060"/>
      <c r="AKN157" s="3060"/>
      <c r="AKO157" s="3060"/>
      <c r="AKP157" s="3060"/>
      <c r="AKQ157" s="3060"/>
      <c r="AKR157" s="3060"/>
      <c r="AKS157" s="3060"/>
      <c r="AKT157" s="3060"/>
      <c r="AKU157" s="3060"/>
      <c r="AKV157" s="3060"/>
      <c r="AKW157" s="3060"/>
      <c r="AKX157" s="3060"/>
      <c r="AKY157" s="3060"/>
      <c r="AKZ157" s="3060"/>
      <c r="ALA157" s="3060"/>
      <c r="ALB157" s="3060"/>
      <c r="ALC157" s="3060"/>
      <c r="ALD157" s="3060"/>
      <c r="ALE157" s="3060"/>
      <c r="ALF157" s="3060"/>
      <c r="ALG157" s="3060"/>
      <c r="ALH157" s="3060"/>
      <c r="ALI157" s="3060"/>
      <c r="ALJ157" s="3060"/>
      <c r="ALK157" s="3060"/>
      <c r="ALL157" s="3060"/>
      <c r="ALM157" s="3060"/>
      <c r="ALN157" s="3060"/>
      <c r="ALO157" s="3060"/>
      <c r="ALP157" s="3060"/>
      <c r="ALQ157" s="3060"/>
      <c r="ALR157" s="3060"/>
      <c r="ALS157" s="3060"/>
      <c r="ALT157" s="3060"/>
      <c r="ALU157" s="3060"/>
      <c r="ALV157" s="3060"/>
      <c r="ALW157" s="3060"/>
      <c r="ALX157" s="3060"/>
      <c r="ALY157" s="3060"/>
      <c r="ALZ157" s="3060"/>
      <c r="AMA157" s="3060"/>
      <c r="AMB157" s="3060"/>
      <c r="AMC157" s="3060"/>
      <c r="AMD157" s="3060"/>
      <c r="AME157" s="3060"/>
      <c r="AMF157" s="3060"/>
      <c r="AMG157" s="3060"/>
      <c r="AMH157" s="3060"/>
      <c r="AMI157" s="3060"/>
      <c r="AMJ157" s="3060"/>
      <c r="AMK157" s="3060"/>
      <c r="AML157" s="3060"/>
      <c r="AMM157" s="3060"/>
      <c r="AMN157" s="3060"/>
      <c r="AMO157" s="3060"/>
      <c r="AMP157" s="3060"/>
      <c r="AMQ157" s="3060"/>
      <c r="AMR157" s="3060"/>
      <c r="AMS157" s="3060"/>
      <c r="AMT157" s="3060"/>
      <c r="AMU157" s="3060"/>
      <c r="AMV157" s="3060"/>
      <c r="AMW157" s="3060"/>
      <c r="AMX157" s="3060"/>
      <c r="AMY157" s="3060"/>
      <c r="AMZ157" s="3060"/>
      <c r="ANA157" s="3060"/>
      <c r="ANB157" s="3060"/>
      <c r="ANC157" s="3060"/>
      <c r="AND157" s="3060"/>
      <c r="ANE157" s="3060"/>
      <c r="ANF157" s="3060"/>
      <c r="ANG157" s="3060"/>
      <c r="ANH157" s="3060"/>
      <c r="ANI157" s="3060"/>
      <c r="ANJ157" s="3060"/>
      <c r="ANK157" s="3060"/>
      <c r="ANL157" s="3060"/>
      <c r="ANM157" s="3060"/>
      <c r="ANN157" s="3060"/>
      <c r="ANO157" s="3060"/>
      <c r="ANP157" s="3060"/>
      <c r="ANQ157" s="3060"/>
      <c r="ANR157" s="3060"/>
      <c r="ANS157" s="3060"/>
      <c r="ANT157" s="3060"/>
      <c r="ANU157" s="3060"/>
      <c r="ANV157" s="3060"/>
      <c r="ANW157" s="3060"/>
      <c r="ANX157" s="3060"/>
      <c r="ANY157" s="3060"/>
      <c r="ANZ157" s="3060"/>
      <c r="AOA157" s="3060"/>
      <c r="AOB157" s="3060"/>
      <c r="AOC157" s="3060"/>
      <c r="AOD157" s="3060"/>
      <c r="AOE157" s="3060"/>
      <c r="AOF157" s="3060"/>
      <c r="AOG157" s="3060"/>
      <c r="AOH157" s="3060"/>
      <c r="AOI157" s="3060"/>
      <c r="AOJ157" s="3060"/>
      <c r="AOK157" s="3060"/>
      <c r="AOL157" s="3060"/>
      <c r="AOM157" s="3060"/>
      <c r="AON157" s="3060"/>
      <c r="AOO157" s="3060"/>
      <c r="AOP157" s="3060"/>
      <c r="AOQ157" s="3060"/>
      <c r="AOR157" s="3060"/>
      <c r="AOS157" s="3060"/>
      <c r="AOT157" s="3060"/>
      <c r="AOU157" s="3060"/>
      <c r="AOV157" s="3060"/>
      <c r="AOW157" s="3060"/>
      <c r="AOX157" s="3060"/>
      <c r="AOY157" s="3060"/>
      <c r="AOZ157" s="3060"/>
      <c r="APA157" s="3060"/>
      <c r="APB157" s="3060"/>
      <c r="APC157" s="3060"/>
      <c r="APD157" s="3060"/>
      <c r="APE157" s="3060"/>
      <c r="APF157" s="3060"/>
      <c r="APG157" s="3060"/>
      <c r="APH157" s="3060"/>
      <c r="API157" s="3060"/>
      <c r="APJ157" s="3060"/>
      <c r="APK157" s="3060"/>
      <c r="APL157" s="3060"/>
      <c r="APM157" s="3060"/>
      <c r="APN157" s="3060"/>
      <c r="APO157" s="3060"/>
      <c r="APP157" s="3060"/>
      <c r="APQ157" s="3060"/>
      <c r="APR157" s="3060"/>
      <c r="APS157" s="3060"/>
      <c r="APT157" s="3060"/>
      <c r="APU157" s="3060"/>
      <c r="APV157" s="3060"/>
      <c r="APW157" s="3060"/>
      <c r="APX157" s="3060"/>
      <c r="APY157" s="3060"/>
      <c r="APZ157" s="3060"/>
      <c r="AQA157" s="3060"/>
      <c r="AQB157" s="3060"/>
      <c r="AQC157" s="3060"/>
      <c r="AQD157" s="3060"/>
      <c r="AQE157" s="3060"/>
      <c r="AQF157" s="3060"/>
      <c r="AQG157" s="3060"/>
      <c r="AQH157" s="3060"/>
      <c r="AQI157" s="3060"/>
      <c r="AQJ157" s="3060"/>
      <c r="AQK157" s="3060"/>
      <c r="AQL157" s="3060"/>
      <c r="AQM157" s="3060"/>
      <c r="AQN157" s="3060"/>
      <c r="AQO157" s="3060"/>
      <c r="AQP157" s="3060"/>
      <c r="AQQ157" s="3060"/>
      <c r="AQR157" s="3060"/>
      <c r="AQS157" s="3060"/>
      <c r="AQT157" s="3060"/>
      <c r="AQU157" s="3060"/>
      <c r="AQV157" s="3060"/>
      <c r="AQW157" s="3060"/>
      <c r="AQX157" s="3060"/>
      <c r="AQY157" s="3060"/>
      <c r="AQZ157" s="3060"/>
      <c r="ARA157" s="3060"/>
      <c r="ARB157" s="3060"/>
      <c r="ARC157" s="3060"/>
      <c r="ARD157" s="3060"/>
      <c r="ARE157" s="3060"/>
      <c r="ARF157" s="3060"/>
      <c r="ARG157" s="3060"/>
      <c r="ARH157" s="3060"/>
      <c r="ARI157" s="3060"/>
      <c r="ARJ157" s="3060"/>
      <c r="ARK157" s="3060"/>
      <c r="ARL157" s="3060"/>
      <c r="ARM157" s="3060"/>
      <c r="ARN157" s="3060"/>
      <c r="ARO157" s="3060"/>
      <c r="ARP157" s="3060"/>
      <c r="ARQ157" s="3060"/>
      <c r="ARR157" s="3060"/>
      <c r="ARS157" s="3060"/>
      <c r="ART157" s="3060"/>
      <c r="ARU157" s="3060"/>
      <c r="ARV157" s="3060"/>
      <c r="ARW157" s="3060"/>
      <c r="ARX157" s="3060"/>
      <c r="ARY157" s="3060"/>
      <c r="ARZ157" s="3060"/>
      <c r="ASA157" s="3060"/>
      <c r="ASB157" s="3060"/>
      <c r="ASC157" s="3060"/>
      <c r="ASD157" s="3060"/>
      <c r="ASE157" s="3060"/>
      <c r="ASF157" s="3060"/>
      <c r="ASG157" s="3060"/>
      <c r="ASH157" s="3060"/>
      <c r="ASI157" s="3060"/>
      <c r="ASJ157" s="3060"/>
      <c r="ASK157" s="3060"/>
      <c r="ASL157" s="3060"/>
      <c r="ASM157" s="3060"/>
      <c r="ASN157" s="3060"/>
      <c r="ASO157" s="3060"/>
      <c r="ASP157" s="3060"/>
      <c r="ASQ157" s="3060"/>
      <c r="ASR157" s="3060"/>
      <c r="ASS157" s="3060"/>
      <c r="AST157" s="3060"/>
      <c r="ASU157" s="3060"/>
      <c r="ASV157" s="3060"/>
      <c r="ASW157" s="3060"/>
      <c r="ASX157" s="3060"/>
      <c r="ASY157" s="3060"/>
      <c r="ASZ157" s="3060"/>
      <c r="ATA157" s="3060"/>
      <c r="ATB157" s="3060"/>
      <c r="ATC157" s="3060"/>
      <c r="ATD157" s="3060"/>
      <c r="ATE157" s="3060"/>
      <c r="ATF157" s="3060"/>
      <c r="ATG157" s="3060"/>
      <c r="ATH157" s="3060"/>
      <c r="ATI157" s="3060"/>
      <c r="ATJ157" s="3060"/>
      <c r="ATK157" s="3060"/>
      <c r="ATL157" s="3060"/>
      <c r="ATM157" s="3060"/>
      <c r="ATN157" s="3060"/>
      <c r="ATO157" s="3060"/>
      <c r="ATP157" s="3060"/>
      <c r="ATQ157" s="3060"/>
      <c r="ATR157" s="3060"/>
      <c r="ATS157" s="3060"/>
      <c r="ATT157" s="3060"/>
      <c r="ATU157" s="3060"/>
      <c r="ATV157" s="3060"/>
      <c r="ATW157" s="3060"/>
      <c r="ATX157" s="3060"/>
      <c r="ATY157" s="3060"/>
      <c r="ATZ157" s="3060"/>
      <c r="AUA157" s="3060"/>
      <c r="AUB157" s="3060"/>
      <c r="AUC157" s="3060"/>
      <c r="AUD157" s="3060"/>
      <c r="AUE157" s="3060"/>
      <c r="AUF157" s="3060"/>
      <c r="AUG157" s="3060"/>
      <c r="AUH157" s="3060"/>
      <c r="AUI157" s="3060"/>
      <c r="AUJ157" s="3060"/>
      <c r="AUK157" s="3060"/>
      <c r="AUL157" s="3060"/>
      <c r="AUM157" s="3060"/>
      <c r="AUN157" s="3060"/>
      <c r="AUO157" s="3060"/>
      <c r="AUP157" s="3060"/>
      <c r="AUQ157" s="3060"/>
      <c r="AUR157" s="3060"/>
      <c r="AUS157" s="3060"/>
      <c r="AUT157" s="3060"/>
      <c r="AUU157" s="3060"/>
      <c r="AUV157" s="3060"/>
      <c r="AUW157" s="3060"/>
      <c r="AUX157" s="3060"/>
      <c r="AUY157" s="3060"/>
      <c r="AUZ157" s="3060"/>
      <c r="AVA157" s="3060"/>
      <c r="AVB157" s="3060"/>
      <c r="AVC157" s="3060"/>
      <c r="AVD157" s="3060"/>
      <c r="AVE157" s="3060"/>
      <c r="AVF157" s="3060"/>
      <c r="AVG157" s="3060"/>
      <c r="AVH157" s="3060"/>
      <c r="AVI157" s="3060"/>
      <c r="AVJ157" s="3060"/>
      <c r="AVK157" s="3060"/>
      <c r="AVL157" s="3060"/>
      <c r="AVM157" s="3060"/>
      <c r="AVN157" s="3060"/>
      <c r="AVO157" s="3060"/>
      <c r="AVP157" s="3060"/>
      <c r="AVQ157" s="3060"/>
      <c r="AVR157" s="3060"/>
      <c r="AVS157" s="3060"/>
      <c r="AVT157" s="3060"/>
      <c r="AVU157" s="3060"/>
      <c r="AVV157" s="3060"/>
      <c r="AVW157" s="3060"/>
      <c r="AVX157" s="3060"/>
      <c r="AVY157" s="3060"/>
      <c r="AVZ157" s="3060"/>
      <c r="AWA157" s="3060"/>
      <c r="AWB157" s="3060"/>
      <c r="AWC157" s="3060"/>
      <c r="AWD157" s="3060"/>
      <c r="AWE157" s="3060"/>
      <c r="AWF157" s="3060"/>
      <c r="AWG157" s="3060"/>
      <c r="AWH157" s="3060"/>
      <c r="AWI157" s="3060"/>
      <c r="AWJ157" s="3060"/>
      <c r="AWK157" s="3060"/>
      <c r="AWL157" s="3060"/>
      <c r="AWM157" s="3060"/>
      <c r="AWN157" s="3060"/>
      <c r="AWO157" s="3060"/>
      <c r="AWP157" s="3060"/>
      <c r="AWQ157" s="3060"/>
      <c r="AWR157" s="3060"/>
      <c r="AWS157" s="3060"/>
      <c r="AWT157" s="3060"/>
      <c r="AWU157" s="3060"/>
      <c r="AWV157" s="3060"/>
      <c r="AWW157" s="3060"/>
      <c r="AWX157" s="3060"/>
      <c r="AWY157" s="3060"/>
      <c r="AWZ157" s="3060"/>
      <c r="AXA157" s="3060"/>
      <c r="AXB157" s="3060"/>
      <c r="AXC157" s="3060"/>
      <c r="AXD157" s="3060"/>
      <c r="AXE157" s="3060"/>
      <c r="AXF157" s="3060"/>
      <c r="AXG157" s="3060"/>
      <c r="AXH157" s="3060"/>
      <c r="AXI157" s="3060"/>
      <c r="AXJ157" s="3060"/>
      <c r="AXK157" s="3060"/>
      <c r="AXL157" s="3060"/>
      <c r="AXM157" s="3060"/>
      <c r="AXN157" s="3060"/>
      <c r="AXO157" s="3060"/>
      <c r="AXP157" s="3060"/>
      <c r="AXQ157" s="3060"/>
      <c r="AXR157" s="3060"/>
      <c r="AXS157" s="3060"/>
      <c r="AXT157" s="3060"/>
      <c r="AXU157" s="3060"/>
      <c r="AXV157" s="3060"/>
      <c r="AXW157" s="3060"/>
      <c r="AXX157" s="3060"/>
      <c r="AXY157" s="3060"/>
      <c r="AXZ157" s="3060"/>
      <c r="AYA157" s="3060"/>
      <c r="AYB157" s="3060"/>
      <c r="AYC157" s="3060"/>
      <c r="AYD157" s="3060"/>
      <c r="AYE157" s="3060"/>
      <c r="AYF157" s="3060"/>
      <c r="AYG157" s="3060"/>
      <c r="AYH157" s="3060"/>
      <c r="AYI157" s="3060"/>
      <c r="AYJ157" s="3060"/>
      <c r="AYK157" s="3060"/>
      <c r="AYL157" s="3060"/>
      <c r="AYM157" s="3060"/>
      <c r="AYN157" s="3060"/>
      <c r="AYO157" s="3060"/>
      <c r="AYP157" s="3060"/>
      <c r="AYQ157" s="3060"/>
      <c r="AYR157" s="3060"/>
      <c r="AYS157" s="3060"/>
      <c r="AYT157" s="3060"/>
      <c r="AYU157" s="3060"/>
      <c r="AYV157" s="3060"/>
      <c r="AYW157" s="3060"/>
      <c r="AYX157" s="3060"/>
      <c r="AYY157" s="3060"/>
      <c r="AYZ157" s="3060"/>
      <c r="AZA157" s="3060"/>
      <c r="AZB157" s="3060"/>
      <c r="AZC157" s="3060"/>
      <c r="AZD157" s="3060"/>
      <c r="AZE157" s="3060"/>
      <c r="AZF157" s="3060"/>
      <c r="AZG157" s="3060"/>
      <c r="AZH157" s="3060"/>
      <c r="AZI157" s="3060"/>
      <c r="AZJ157" s="3060"/>
      <c r="AZK157" s="3060"/>
      <c r="AZL157" s="3060"/>
      <c r="AZM157" s="3060"/>
      <c r="AZN157" s="3060"/>
      <c r="AZO157" s="3060"/>
      <c r="AZP157" s="3060"/>
      <c r="AZQ157" s="3060"/>
      <c r="AZR157" s="3060"/>
      <c r="AZS157" s="3060"/>
      <c r="AZT157" s="3060"/>
      <c r="AZU157" s="3060"/>
      <c r="AZV157" s="3060"/>
      <c r="AZW157" s="3060"/>
      <c r="AZX157" s="3060"/>
      <c r="AZY157" s="3060"/>
      <c r="AZZ157" s="3060"/>
      <c r="BAA157" s="3060"/>
      <c r="BAB157" s="3060"/>
      <c r="BAC157" s="3060"/>
      <c r="BAD157" s="3060"/>
      <c r="BAE157" s="3060"/>
      <c r="BAF157" s="3060"/>
      <c r="BAG157" s="3060"/>
      <c r="BAH157" s="3060"/>
      <c r="BAI157" s="3060"/>
      <c r="BAJ157" s="3060"/>
      <c r="BAK157" s="3060"/>
      <c r="BAL157" s="3060"/>
      <c r="BAM157" s="3060"/>
      <c r="BAN157" s="3060"/>
      <c r="BAO157" s="3060"/>
      <c r="BAP157" s="3060"/>
      <c r="BAQ157" s="3060"/>
      <c r="BAR157" s="3060"/>
      <c r="BAS157" s="3060"/>
      <c r="BAT157" s="3060"/>
      <c r="BAU157" s="3060"/>
      <c r="BAV157" s="3060"/>
      <c r="BAW157" s="3060"/>
      <c r="BAX157" s="3060"/>
      <c r="BAY157" s="3060"/>
      <c r="BAZ157" s="3060"/>
      <c r="BBA157" s="3060"/>
      <c r="BBB157" s="3060"/>
      <c r="BBC157" s="3060"/>
      <c r="BBD157" s="3060"/>
      <c r="BBE157" s="3060"/>
      <c r="BBF157" s="3060"/>
      <c r="BBG157" s="3060"/>
      <c r="BBH157" s="3060"/>
      <c r="BBI157" s="3060"/>
      <c r="BBJ157" s="3060"/>
      <c r="BBK157" s="3060"/>
      <c r="BBL157" s="3060"/>
      <c r="BBM157" s="3060"/>
      <c r="BBN157" s="3060"/>
      <c r="BBO157" s="3060"/>
      <c r="BBP157" s="3060"/>
      <c r="BBQ157" s="3060"/>
      <c r="BBR157" s="3060"/>
      <c r="BBS157" s="3060"/>
      <c r="BBT157" s="3060"/>
      <c r="BBU157" s="3060"/>
      <c r="BBV157" s="3060"/>
      <c r="BBW157" s="3060"/>
      <c r="BBX157" s="3060"/>
      <c r="BBY157" s="3060"/>
      <c r="BBZ157" s="3060"/>
      <c r="BCA157" s="3060"/>
      <c r="BCB157" s="3060"/>
      <c r="BCC157" s="3060"/>
      <c r="BCD157" s="3060"/>
      <c r="BCE157" s="3060"/>
      <c r="BCF157" s="3060"/>
      <c r="BCG157" s="3060"/>
      <c r="BCH157" s="3060"/>
      <c r="BCI157" s="3060"/>
      <c r="BCJ157" s="3060"/>
      <c r="BCK157" s="3060"/>
      <c r="BCL157" s="3060"/>
      <c r="BCM157" s="3060"/>
      <c r="BCN157" s="3060"/>
      <c r="BCO157" s="3060"/>
      <c r="BCP157" s="3060"/>
      <c r="BCQ157" s="3060"/>
      <c r="BCR157" s="3060"/>
      <c r="BCS157" s="3060"/>
      <c r="BCT157" s="3060"/>
      <c r="BCU157" s="3060"/>
      <c r="BCV157" s="3060"/>
      <c r="BCW157" s="3060"/>
      <c r="BCX157" s="3060"/>
      <c r="BCY157" s="3060"/>
      <c r="BCZ157" s="3060"/>
      <c r="BDA157" s="3060"/>
      <c r="BDB157" s="3060"/>
      <c r="BDC157" s="3060"/>
      <c r="BDD157" s="3060"/>
      <c r="BDE157" s="3060"/>
      <c r="BDF157" s="3060"/>
      <c r="BDG157" s="3060"/>
      <c r="BDH157" s="3060"/>
      <c r="BDI157" s="3060"/>
      <c r="BDJ157" s="3060"/>
      <c r="BDK157" s="3060"/>
      <c r="BDL157" s="3060"/>
      <c r="BDM157" s="3060"/>
      <c r="BDN157" s="3060"/>
      <c r="BDO157" s="3060"/>
      <c r="BDP157" s="3060"/>
      <c r="BDQ157" s="3060"/>
      <c r="BDR157" s="3060"/>
      <c r="BDS157" s="3060"/>
      <c r="BDT157" s="3060"/>
      <c r="BDU157" s="3060"/>
      <c r="BDV157" s="3060"/>
      <c r="BDW157" s="3060"/>
      <c r="BDX157" s="3060"/>
      <c r="BDY157" s="3060"/>
      <c r="BDZ157" s="3060"/>
      <c r="BEA157" s="3060"/>
      <c r="BEB157" s="3060"/>
      <c r="BEC157" s="3060"/>
      <c r="BED157" s="3060"/>
      <c r="BEE157" s="3060"/>
      <c r="BEF157" s="3060"/>
      <c r="BEG157" s="3060"/>
      <c r="BEH157" s="3060"/>
      <c r="BEI157" s="3060"/>
      <c r="BEJ157" s="3060"/>
      <c r="BEK157" s="3060"/>
      <c r="BEL157" s="3060"/>
      <c r="BEM157" s="3060"/>
      <c r="BEN157" s="3060"/>
      <c r="BEO157" s="3060"/>
      <c r="BEP157" s="3060"/>
      <c r="BEQ157" s="3060"/>
      <c r="BER157" s="3060"/>
      <c r="BES157" s="3060"/>
      <c r="BET157" s="3060"/>
      <c r="BEU157" s="3060"/>
      <c r="BEV157" s="3060"/>
      <c r="BEW157" s="3060"/>
      <c r="BEX157" s="3060"/>
      <c r="BEY157" s="3060"/>
      <c r="BEZ157" s="3060"/>
      <c r="BFA157" s="3060"/>
      <c r="BFB157" s="3060"/>
      <c r="BFC157" s="3060"/>
      <c r="BFD157" s="3060"/>
      <c r="BFE157" s="3060"/>
      <c r="BFF157" s="3060"/>
      <c r="BFG157" s="3060"/>
      <c r="BFH157" s="3060"/>
      <c r="BFI157" s="3060"/>
      <c r="BFJ157" s="3060"/>
      <c r="BFK157" s="3060"/>
      <c r="BFL157" s="3060"/>
      <c r="BFM157" s="3060"/>
      <c r="BFN157" s="3060"/>
      <c r="BFO157" s="3060"/>
      <c r="BFP157" s="3060"/>
      <c r="BFQ157" s="3060"/>
      <c r="BFR157" s="3060"/>
      <c r="BFS157" s="3060"/>
      <c r="BFT157" s="3060"/>
      <c r="BFU157" s="3060"/>
      <c r="BFV157" s="3060"/>
      <c r="BFW157" s="3060"/>
      <c r="BFX157" s="3060"/>
      <c r="BFY157" s="3060"/>
      <c r="BFZ157" s="3060"/>
      <c r="BGA157" s="3060"/>
      <c r="BGB157" s="3060"/>
      <c r="BGC157" s="3060"/>
      <c r="BGD157" s="3060"/>
      <c r="BGE157" s="3060"/>
      <c r="BGF157" s="3060"/>
      <c r="BGG157" s="3060"/>
      <c r="BGH157" s="3060"/>
      <c r="BGI157" s="3060"/>
      <c r="BGJ157" s="3060"/>
      <c r="BGK157" s="3060"/>
      <c r="BGL157" s="3060"/>
      <c r="BGM157" s="3060"/>
      <c r="BGN157" s="3060"/>
      <c r="BGO157" s="3060"/>
      <c r="BGP157" s="3060"/>
      <c r="BGQ157" s="3060"/>
      <c r="BGR157" s="3060"/>
      <c r="BGS157" s="3060"/>
      <c r="BGT157" s="3060"/>
      <c r="BGU157" s="3060"/>
      <c r="BGV157" s="3060"/>
      <c r="BGW157" s="3060"/>
      <c r="BGX157" s="3060"/>
      <c r="BGY157" s="3060"/>
      <c r="BGZ157" s="3060"/>
      <c r="BHA157" s="3060"/>
      <c r="BHB157" s="3060"/>
      <c r="BHC157" s="3060"/>
      <c r="BHD157" s="3060"/>
      <c r="BHE157" s="3060"/>
      <c r="BHF157" s="3060"/>
      <c r="BHG157" s="3060"/>
      <c r="BHH157" s="3060"/>
      <c r="BHI157" s="3060"/>
      <c r="BHJ157" s="3060"/>
      <c r="BHK157" s="3060"/>
      <c r="BHL157" s="3060"/>
      <c r="BHM157" s="3060"/>
      <c r="BHN157" s="3060"/>
      <c r="BHO157" s="3060"/>
      <c r="BHP157" s="3060"/>
      <c r="BHQ157" s="3060"/>
      <c r="BHR157" s="3060"/>
      <c r="BHS157" s="3060"/>
      <c r="BHT157" s="3060"/>
      <c r="BHU157" s="3060"/>
      <c r="BHV157" s="3060"/>
      <c r="BHW157" s="3060"/>
      <c r="BHX157" s="3060"/>
      <c r="BHY157" s="3060"/>
      <c r="BHZ157" s="3060"/>
      <c r="BIA157" s="3060"/>
      <c r="BIB157" s="3060"/>
      <c r="BIC157" s="3060"/>
      <c r="BID157" s="3060"/>
      <c r="BIE157" s="3060"/>
      <c r="BIF157" s="3060"/>
      <c r="BIG157" s="3060"/>
      <c r="BIH157" s="3060"/>
      <c r="BII157" s="3060"/>
      <c r="BIJ157" s="3060"/>
      <c r="BIK157" s="3060"/>
      <c r="BIL157" s="3060"/>
      <c r="BIM157" s="3060"/>
      <c r="BIN157" s="3060"/>
      <c r="BIO157" s="3060"/>
      <c r="BIP157" s="3060"/>
      <c r="BIQ157" s="3060"/>
      <c r="BIR157" s="3060"/>
      <c r="BIS157" s="3060"/>
      <c r="BIT157" s="3060"/>
      <c r="BIU157" s="3060"/>
      <c r="BIV157" s="3060"/>
      <c r="BIW157" s="3060"/>
      <c r="BIX157" s="3060"/>
      <c r="BIY157" s="3060"/>
      <c r="BIZ157" s="3060"/>
      <c r="BJA157" s="3060"/>
      <c r="BJB157" s="3060"/>
      <c r="BJC157" s="3060"/>
      <c r="BJD157" s="3060"/>
      <c r="BJE157" s="3060"/>
      <c r="BJF157" s="3060"/>
      <c r="BJG157" s="3060"/>
      <c r="BJH157" s="3060"/>
      <c r="BJI157" s="3060"/>
      <c r="BJJ157" s="3060"/>
      <c r="BJK157" s="3060"/>
      <c r="BJL157" s="3060"/>
      <c r="BJM157" s="3060"/>
      <c r="BJN157" s="3060"/>
      <c r="BJO157" s="3060"/>
      <c r="BJP157" s="3060"/>
      <c r="BJQ157" s="3060"/>
      <c r="BJR157" s="3060"/>
      <c r="BJS157" s="3060"/>
      <c r="BJT157" s="3060"/>
      <c r="BJU157" s="3060"/>
      <c r="BJV157" s="3060"/>
      <c r="BJW157" s="3060"/>
      <c r="BJX157" s="3060"/>
      <c r="BJY157" s="3060"/>
      <c r="BJZ157" s="3060"/>
      <c r="BKA157" s="3060"/>
      <c r="BKB157" s="3060"/>
      <c r="BKC157" s="3060"/>
      <c r="BKD157" s="3060"/>
      <c r="BKE157" s="3060"/>
      <c r="BKF157" s="3060"/>
      <c r="BKG157" s="3060"/>
      <c r="BKH157" s="3060"/>
      <c r="BKI157" s="3060"/>
      <c r="BKJ157" s="3060"/>
      <c r="BKK157" s="3060"/>
      <c r="BKL157" s="3060"/>
      <c r="BKM157" s="3060"/>
      <c r="BKN157" s="3060"/>
      <c r="BKO157" s="3060"/>
      <c r="BKP157" s="3060"/>
      <c r="BKQ157" s="3060"/>
      <c r="BKR157" s="3060"/>
      <c r="BKS157" s="3060"/>
      <c r="BKT157" s="3060"/>
      <c r="BKU157" s="3060"/>
      <c r="BKV157" s="3060"/>
      <c r="BKW157" s="3060"/>
      <c r="BKX157" s="3060"/>
      <c r="BKY157" s="3060"/>
      <c r="BKZ157" s="3060"/>
      <c r="BLA157" s="3060"/>
      <c r="BLB157" s="3060"/>
      <c r="BLC157" s="3060"/>
      <c r="BLD157" s="3060"/>
      <c r="BLE157" s="3060"/>
      <c r="BLF157" s="3060"/>
      <c r="BLG157" s="3060"/>
      <c r="BLH157" s="3060"/>
      <c r="BLI157" s="3060"/>
      <c r="BLJ157" s="3060"/>
      <c r="BLK157" s="3060"/>
      <c r="BLL157" s="3060"/>
      <c r="BLM157" s="3060"/>
      <c r="BLN157" s="3060"/>
      <c r="BLO157" s="3060"/>
      <c r="BLP157" s="3060"/>
      <c r="BLQ157" s="3060"/>
      <c r="BLR157" s="3060"/>
      <c r="BLS157" s="3060"/>
      <c r="BLT157" s="3060"/>
      <c r="BLU157" s="3060"/>
      <c r="BLV157" s="3060"/>
      <c r="BLW157" s="3060"/>
      <c r="BLX157" s="3060"/>
      <c r="BLY157" s="3060"/>
      <c r="BLZ157" s="3060"/>
      <c r="BMA157" s="3060"/>
      <c r="BMB157" s="3060"/>
      <c r="BMC157" s="3060"/>
      <c r="BMD157" s="3060"/>
      <c r="BME157" s="3060"/>
      <c r="BMF157" s="3060"/>
      <c r="BMG157" s="3060"/>
      <c r="BMH157" s="3060"/>
      <c r="BMI157" s="3060"/>
      <c r="BMJ157" s="3060"/>
      <c r="BMK157" s="3060"/>
      <c r="BML157" s="3060"/>
      <c r="BMM157" s="3060"/>
      <c r="BMN157" s="3060"/>
      <c r="BMO157" s="3060"/>
      <c r="BMP157" s="3060"/>
      <c r="BMQ157" s="3060"/>
      <c r="BMR157" s="3060"/>
      <c r="BMS157" s="3060"/>
      <c r="BMT157" s="3060"/>
      <c r="BMU157" s="3060"/>
      <c r="BMV157" s="3060"/>
      <c r="BMW157" s="3060"/>
      <c r="BMX157" s="3060"/>
      <c r="BMY157" s="3060"/>
      <c r="BMZ157" s="3060"/>
      <c r="BNA157" s="3060"/>
      <c r="BNB157" s="3060"/>
      <c r="BNC157" s="3060"/>
      <c r="BND157" s="3060"/>
      <c r="BNE157" s="3060"/>
      <c r="BNF157" s="3060"/>
      <c r="BNG157" s="3060"/>
      <c r="BNH157" s="3060"/>
      <c r="BNI157" s="3060"/>
      <c r="BNJ157" s="3060"/>
      <c r="BNK157" s="3060"/>
      <c r="BNL157" s="3060"/>
      <c r="BNM157" s="3060"/>
      <c r="BNN157" s="3060"/>
      <c r="BNO157" s="3060"/>
      <c r="BNP157" s="3060"/>
      <c r="BNQ157" s="3060"/>
      <c r="BNR157" s="3060"/>
      <c r="BNS157" s="3060"/>
      <c r="BNT157" s="3060"/>
      <c r="BNU157" s="3060"/>
      <c r="BNV157" s="3060"/>
      <c r="BNW157" s="3060"/>
      <c r="BNX157" s="3060"/>
      <c r="BNY157" s="3060"/>
      <c r="BNZ157" s="3060"/>
      <c r="BOA157" s="3060"/>
      <c r="BOB157" s="3060"/>
      <c r="BOC157" s="3060"/>
      <c r="BOD157" s="3060"/>
      <c r="BOE157" s="3060"/>
      <c r="BOF157" s="3060"/>
      <c r="BOG157" s="3060"/>
      <c r="BOH157" s="3060"/>
      <c r="BOI157" s="3060"/>
      <c r="BOJ157" s="3060"/>
      <c r="BOK157" s="3060"/>
      <c r="BOL157" s="3060"/>
      <c r="BOM157" s="3060"/>
      <c r="BON157" s="3060"/>
      <c r="BOO157" s="3060"/>
      <c r="BOP157" s="3060"/>
      <c r="BOQ157" s="3060"/>
      <c r="BOR157" s="3060"/>
      <c r="BOS157" s="3060"/>
      <c r="BOT157" s="3060"/>
      <c r="BOU157" s="3060"/>
      <c r="BOV157" s="3060"/>
      <c r="BOW157" s="3060"/>
      <c r="BOX157" s="3060"/>
      <c r="BOY157" s="3060"/>
      <c r="BOZ157" s="3060"/>
      <c r="BPA157" s="3060"/>
      <c r="BPB157" s="3060"/>
      <c r="BPC157" s="3060"/>
      <c r="BPD157" s="3060"/>
      <c r="BPE157" s="3060"/>
      <c r="BPF157" s="3060"/>
      <c r="BPG157" s="3060"/>
      <c r="BPH157" s="3060"/>
      <c r="BPI157" s="3060"/>
      <c r="BPJ157" s="3060"/>
      <c r="BPK157" s="3060"/>
      <c r="BPL157" s="3060"/>
      <c r="BPM157" s="3060"/>
      <c r="BPN157" s="3060"/>
      <c r="BPO157" s="3060"/>
      <c r="BPP157" s="3060"/>
      <c r="BPQ157" s="3060"/>
      <c r="BPR157" s="3060"/>
      <c r="BPS157" s="3060"/>
      <c r="BPT157" s="3060"/>
      <c r="BPU157" s="3060"/>
      <c r="BPV157" s="3060"/>
      <c r="BPW157" s="3060"/>
      <c r="BPX157" s="3060"/>
      <c r="BPY157" s="3060"/>
      <c r="BPZ157" s="3060"/>
      <c r="BQA157" s="3060"/>
      <c r="BQB157" s="3060"/>
      <c r="BQC157" s="3060"/>
      <c r="BQD157" s="3060"/>
      <c r="BQE157" s="3060"/>
      <c r="BQF157" s="3060"/>
      <c r="BQG157" s="3060"/>
      <c r="BQH157" s="3060"/>
      <c r="BQI157" s="3060"/>
      <c r="BQJ157" s="3060"/>
      <c r="BQK157" s="3060"/>
      <c r="BQL157" s="3060"/>
      <c r="BQM157" s="3060"/>
      <c r="BQN157" s="3060"/>
      <c r="BQO157" s="3060"/>
      <c r="BQP157" s="3060"/>
      <c r="BQQ157" s="3060"/>
      <c r="BQR157" s="3060"/>
      <c r="BQS157" s="3060"/>
      <c r="BQT157" s="3060"/>
      <c r="BQU157" s="3060"/>
      <c r="BQV157" s="3060"/>
      <c r="BQW157" s="3060"/>
      <c r="BQX157" s="3060"/>
      <c r="BQY157" s="3060"/>
      <c r="BQZ157" s="3060"/>
      <c r="BRA157" s="3060"/>
      <c r="BRB157" s="3060"/>
      <c r="BRC157" s="3060"/>
      <c r="BRD157" s="3060"/>
      <c r="BRE157" s="3060"/>
      <c r="BRF157" s="3060"/>
      <c r="BRG157" s="3060"/>
      <c r="BRH157" s="3060"/>
      <c r="BRI157" s="3060"/>
      <c r="BRJ157" s="3060"/>
      <c r="BRK157" s="3060"/>
      <c r="BRL157" s="3060"/>
      <c r="BRM157" s="3060"/>
      <c r="BRN157" s="3060"/>
      <c r="BRO157" s="3060"/>
      <c r="BRP157" s="3060"/>
      <c r="BRQ157" s="3060"/>
      <c r="BRR157" s="3060"/>
      <c r="BRS157" s="3060"/>
      <c r="BRT157" s="3060"/>
      <c r="BRU157" s="3060"/>
      <c r="BRV157" s="3060"/>
      <c r="BRW157" s="3060"/>
      <c r="BRX157" s="3060"/>
      <c r="BRY157" s="3060"/>
      <c r="BRZ157" s="3060"/>
      <c r="BSA157" s="3060"/>
      <c r="BSB157" s="3060"/>
      <c r="BSC157" s="3060"/>
      <c r="BSD157" s="3060"/>
      <c r="BSE157" s="3060"/>
      <c r="BSF157" s="3060"/>
      <c r="BSG157" s="3060"/>
      <c r="BSH157" s="3060"/>
      <c r="BSI157" s="3060"/>
      <c r="BSJ157" s="3060"/>
      <c r="BSK157" s="3060"/>
      <c r="BSL157" s="3060"/>
      <c r="BSM157" s="3060"/>
      <c r="BSN157" s="3060"/>
      <c r="BSO157" s="3060"/>
      <c r="BSP157" s="3060"/>
      <c r="BSQ157" s="3060"/>
      <c r="BSR157" s="3060"/>
      <c r="BSS157" s="3060"/>
      <c r="BST157" s="3060"/>
      <c r="BSU157" s="3060"/>
      <c r="BSV157" s="3060"/>
      <c r="BSW157" s="3060"/>
      <c r="BSX157" s="3060"/>
      <c r="BSY157" s="3060"/>
      <c r="BSZ157" s="3060"/>
      <c r="BTA157" s="3060"/>
      <c r="BTB157" s="3060"/>
      <c r="BTC157" s="3060"/>
      <c r="BTD157" s="3060"/>
      <c r="BTE157" s="3060"/>
      <c r="BTF157" s="3060"/>
      <c r="BTG157" s="3060"/>
      <c r="BTH157" s="3060"/>
      <c r="BTI157" s="3060"/>
      <c r="BTJ157" s="3060"/>
      <c r="BTK157" s="3060"/>
      <c r="BTL157" s="3060"/>
      <c r="BTM157" s="3060"/>
      <c r="BTN157" s="3060"/>
      <c r="BTO157" s="3060"/>
      <c r="BTP157" s="3060"/>
      <c r="BTQ157" s="3060"/>
      <c r="BTR157" s="3060"/>
      <c r="BTS157" s="3060"/>
      <c r="BTT157" s="3060"/>
      <c r="BTU157" s="3060"/>
      <c r="BTV157" s="3060"/>
      <c r="BTW157" s="3060"/>
      <c r="BTX157" s="3060"/>
      <c r="BTY157" s="3060"/>
      <c r="BTZ157" s="3060"/>
      <c r="BUA157" s="3060"/>
      <c r="BUB157" s="3060"/>
      <c r="BUC157" s="3060"/>
      <c r="BUD157" s="3060"/>
      <c r="BUE157" s="3060"/>
      <c r="BUF157" s="3060"/>
      <c r="BUG157" s="3060"/>
      <c r="BUH157" s="3060"/>
      <c r="BUI157" s="3060"/>
      <c r="BUJ157" s="3060"/>
      <c r="BUK157" s="3060"/>
      <c r="BUL157" s="3060"/>
      <c r="BUM157" s="3060"/>
      <c r="BUN157" s="3060"/>
      <c r="BUO157" s="3060"/>
      <c r="BUP157" s="3060"/>
      <c r="BUQ157" s="3060"/>
      <c r="BUR157" s="3060"/>
      <c r="BUS157" s="3060"/>
      <c r="BUT157" s="3060"/>
      <c r="BUU157" s="3060"/>
      <c r="BUV157" s="3060"/>
      <c r="BUW157" s="3060"/>
      <c r="BUX157" s="3060"/>
      <c r="BUY157" s="3060"/>
      <c r="BUZ157" s="3060"/>
      <c r="BVA157" s="3060"/>
      <c r="BVB157" s="3060"/>
      <c r="BVC157" s="3060"/>
      <c r="BVD157" s="3060"/>
      <c r="BVE157" s="3060"/>
      <c r="BVF157" s="3060"/>
      <c r="BVG157" s="3060"/>
      <c r="BVH157" s="3060"/>
      <c r="BVI157" s="3060"/>
      <c r="BVJ157" s="3060"/>
      <c r="BVK157" s="3060"/>
      <c r="BVL157" s="3060"/>
      <c r="BVM157" s="3060"/>
      <c r="BVN157" s="3060"/>
      <c r="BVO157" s="3060"/>
      <c r="BVP157" s="3060"/>
      <c r="BVQ157" s="3060"/>
      <c r="BVR157" s="3060"/>
      <c r="BVS157" s="3060"/>
      <c r="BVT157" s="3060"/>
      <c r="BVU157" s="3060"/>
      <c r="BVV157" s="3060"/>
      <c r="BVW157" s="3060"/>
      <c r="BVX157" s="3060"/>
      <c r="BVY157" s="3060"/>
      <c r="BVZ157" s="3060"/>
      <c r="BWA157" s="3060"/>
      <c r="BWB157" s="3060"/>
      <c r="BWC157" s="3060"/>
      <c r="BWD157" s="3060"/>
      <c r="BWE157" s="3060"/>
      <c r="BWF157" s="3060"/>
      <c r="BWG157" s="3060"/>
      <c r="BWH157" s="3060"/>
      <c r="BWI157" s="3060"/>
      <c r="BWJ157" s="3060"/>
      <c r="BWK157" s="3060"/>
      <c r="BWL157" s="3060"/>
      <c r="BWM157" s="3060"/>
      <c r="BWN157" s="3060"/>
      <c r="BWO157" s="3060"/>
      <c r="BWP157" s="3060"/>
      <c r="BWQ157" s="3060"/>
      <c r="BWR157" s="3060"/>
      <c r="BWS157" s="3060"/>
      <c r="BWT157" s="3060"/>
      <c r="BWU157" s="3060"/>
      <c r="BWV157" s="3060"/>
      <c r="BWW157" s="3060"/>
      <c r="BWX157" s="3060"/>
      <c r="BWY157" s="3060"/>
      <c r="BWZ157" s="3060"/>
      <c r="BXA157" s="3060"/>
      <c r="BXB157" s="3060"/>
      <c r="BXC157" s="3060"/>
      <c r="BXD157" s="3060"/>
      <c r="BXE157" s="3060"/>
      <c r="BXF157" s="3060"/>
      <c r="BXG157" s="3060"/>
      <c r="BXH157" s="3060"/>
      <c r="BXI157" s="3060"/>
      <c r="BXJ157" s="3060"/>
      <c r="BXK157" s="3060"/>
      <c r="BXL157" s="3060"/>
      <c r="BXM157" s="3060"/>
      <c r="BXN157" s="3060"/>
      <c r="BXO157" s="3060"/>
      <c r="BXP157" s="3060"/>
      <c r="BXQ157" s="3060"/>
      <c r="BXR157" s="3060"/>
      <c r="BXS157" s="3060"/>
      <c r="BXT157" s="3060"/>
      <c r="BXU157" s="3060"/>
      <c r="BXV157" s="3060"/>
      <c r="BXW157" s="3060"/>
      <c r="BXX157" s="3060"/>
      <c r="BXY157" s="3060"/>
      <c r="BXZ157" s="3060"/>
      <c r="BYA157" s="3060"/>
      <c r="BYB157" s="3060"/>
      <c r="BYC157" s="3060"/>
      <c r="BYD157" s="3060"/>
      <c r="BYE157" s="3060"/>
      <c r="BYF157" s="3060"/>
      <c r="BYG157" s="3060"/>
      <c r="BYH157" s="3060"/>
      <c r="BYI157" s="3060"/>
      <c r="BYJ157" s="3060"/>
      <c r="BYK157" s="3060"/>
      <c r="BYL157" s="3060"/>
      <c r="BYM157" s="3060"/>
      <c r="BYN157" s="3060"/>
      <c r="BYO157" s="3060"/>
      <c r="BYP157" s="3060"/>
      <c r="BYQ157" s="3060"/>
      <c r="BYR157" s="3060"/>
      <c r="BYS157" s="3060"/>
      <c r="BYT157" s="3060"/>
      <c r="BYU157" s="3060"/>
      <c r="BYV157" s="3060"/>
      <c r="BYW157" s="3060"/>
      <c r="BYX157" s="3060"/>
      <c r="BYY157" s="3060"/>
      <c r="BYZ157" s="3060"/>
      <c r="BZA157" s="3060"/>
      <c r="BZB157" s="3060"/>
      <c r="BZC157" s="3060"/>
      <c r="BZD157" s="3060"/>
      <c r="BZE157" s="3060"/>
      <c r="BZF157" s="3060"/>
      <c r="BZG157" s="3060"/>
      <c r="BZH157" s="3060"/>
      <c r="BZI157" s="3060"/>
      <c r="BZJ157" s="3060"/>
      <c r="BZK157" s="3060"/>
      <c r="BZL157" s="3060"/>
      <c r="BZM157" s="3060"/>
      <c r="BZN157" s="3060"/>
      <c r="BZO157" s="3060"/>
      <c r="BZP157" s="3060"/>
      <c r="BZQ157" s="3060"/>
      <c r="BZR157" s="3060"/>
      <c r="BZS157" s="3060"/>
      <c r="BZT157" s="3060"/>
      <c r="BZU157" s="3060"/>
      <c r="BZV157" s="3060"/>
      <c r="BZW157" s="3060"/>
      <c r="BZX157" s="3060"/>
      <c r="BZY157" s="3060"/>
      <c r="BZZ157" s="3060"/>
      <c r="CAA157" s="3060"/>
      <c r="CAB157" s="3060"/>
      <c r="CAC157" s="3060"/>
      <c r="CAD157" s="3060"/>
      <c r="CAE157" s="3060"/>
      <c r="CAF157" s="3060"/>
      <c r="CAG157" s="3060"/>
      <c r="CAH157" s="3060"/>
      <c r="CAI157" s="3060"/>
      <c r="CAJ157" s="3060"/>
      <c r="CAK157" s="3060"/>
      <c r="CAL157" s="3060"/>
      <c r="CAM157" s="3060"/>
      <c r="CAN157" s="3060"/>
      <c r="CAO157" s="3060"/>
      <c r="CAP157" s="3060"/>
      <c r="CAQ157" s="3060"/>
      <c r="CAR157" s="3060"/>
      <c r="CAS157" s="3060"/>
      <c r="CAT157" s="3060"/>
      <c r="CAU157" s="3060"/>
      <c r="CAV157" s="3060"/>
      <c r="CAW157" s="3060"/>
      <c r="CAX157" s="3060"/>
      <c r="CAY157" s="3060"/>
      <c r="CAZ157" s="3060"/>
      <c r="CBA157" s="3060"/>
      <c r="CBB157" s="3060"/>
      <c r="CBC157" s="3060"/>
      <c r="CBD157" s="3060"/>
      <c r="CBE157" s="3060"/>
      <c r="CBF157" s="3060"/>
      <c r="CBG157" s="3060"/>
      <c r="CBH157" s="3060"/>
      <c r="CBI157" s="3060"/>
      <c r="CBJ157" s="3060"/>
      <c r="CBK157" s="3060"/>
      <c r="CBL157" s="3060"/>
      <c r="CBM157" s="3060"/>
      <c r="CBN157" s="3060"/>
      <c r="CBO157" s="3060"/>
      <c r="CBP157" s="3060"/>
      <c r="CBQ157" s="3060"/>
      <c r="CBR157" s="3060"/>
      <c r="CBS157" s="3060"/>
      <c r="CBT157" s="3060"/>
      <c r="CBU157" s="3060"/>
      <c r="CBV157" s="3060"/>
      <c r="CBW157" s="3060"/>
      <c r="CBX157" s="3060"/>
      <c r="CBY157" s="3060"/>
      <c r="CBZ157" s="3060"/>
      <c r="CCA157" s="3060"/>
      <c r="CCB157" s="3060"/>
      <c r="CCC157" s="3060"/>
      <c r="CCD157" s="3060"/>
      <c r="CCE157" s="3060"/>
      <c r="CCF157" s="3060"/>
      <c r="CCG157" s="3060"/>
      <c r="CCH157" s="3060"/>
      <c r="CCI157" s="3060"/>
      <c r="CCJ157" s="3060"/>
      <c r="CCK157" s="3060"/>
      <c r="CCL157" s="3060"/>
      <c r="CCM157" s="3060"/>
      <c r="CCN157" s="3060"/>
      <c r="CCO157" s="3060"/>
      <c r="CCP157" s="3060"/>
      <c r="CCQ157" s="3060"/>
      <c r="CCR157" s="3060"/>
      <c r="CCS157" s="3060"/>
      <c r="CCT157" s="3060"/>
      <c r="CCU157" s="3060"/>
      <c r="CCV157" s="3060"/>
      <c r="CCW157" s="3060"/>
      <c r="CCX157" s="3060"/>
      <c r="CCY157" s="3060"/>
      <c r="CCZ157" s="3060"/>
      <c r="CDA157" s="3060"/>
      <c r="CDB157" s="3060"/>
      <c r="CDC157" s="3060"/>
      <c r="CDD157" s="3060"/>
      <c r="CDE157" s="3060"/>
      <c r="CDF157" s="3060"/>
      <c r="CDG157" s="3060"/>
      <c r="CDH157" s="3060"/>
      <c r="CDI157" s="3060"/>
      <c r="CDJ157" s="3060"/>
      <c r="CDK157" s="3060"/>
      <c r="CDL157" s="3060"/>
      <c r="CDM157" s="3060"/>
      <c r="CDN157" s="3060"/>
      <c r="CDO157" s="3060"/>
      <c r="CDP157" s="3060"/>
      <c r="CDQ157" s="3060"/>
      <c r="CDR157" s="3060"/>
      <c r="CDS157" s="3060"/>
      <c r="CDT157" s="3060"/>
      <c r="CDU157" s="3060"/>
      <c r="CDV157" s="3060"/>
      <c r="CDW157" s="3060"/>
      <c r="CDX157" s="3060"/>
      <c r="CDY157" s="3060"/>
      <c r="CDZ157" s="3060"/>
      <c r="CEA157" s="3060"/>
      <c r="CEB157" s="3060"/>
      <c r="CEC157" s="3060"/>
      <c r="CED157" s="3060"/>
      <c r="CEE157" s="3060"/>
      <c r="CEF157" s="3060"/>
      <c r="CEG157" s="3060"/>
      <c r="CEH157" s="3060"/>
      <c r="CEI157" s="3060"/>
      <c r="CEJ157" s="3060"/>
      <c r="CEK157" s="3060"/>
      <c r="CEL157" s="3060"/>
      <c r="CEM157" s="3060"/>
      <c r="CEN157" s="3060"/>
      <c r="CEO157" s="3060"/>
      <c r="CEP157" s="3060"/>
      <c r="CEQ157" s="3060"/>
      <c r="CER157" s="3060"/>
      <c r="CES157" s="3060"/>
      <c r="CET157" s="3060"/>
      <c r="CEU157" s="3060"/>
      <c r="CEV157" s="3060"/>
      <c r="CEW157" s="3060"/>
      <c r="CEX157" s="3060"/>
      <c r="CEY157" s="3060"/>
      <c r="CEZ157" s="3060"/>
      <c r="CFA157" s="3060"/>
      <c r="CFB157" s="3060"/>
      <c r="CFC157" s="3060"/>
      <c r="CFD157" s="3060"/>
      <c r="CFE157" s="3060"/>
      <c r="CFF157" s="3060"/>
      <c r="CFG157" s="3060"/>
      <c r="CFH157" s="3060"/>
      <c r="CFI157" s="3060"/>
      <c r="CFJ157" s="3060"/>
      <c r="CFK157" s="3060"/>
      <c r="CFL157" s="3060"/>
      <c r="CFM157" s="3060"/>
      <c r="CFN157" s="3060"/>
      <c r="CFO157" s="3060"/>
      <c r="CFP157" s="3060"/>
      <c r="CFQ157" s="3060"/>
      <c r="CFR157" s="3060"/>
      <c r="CFS157" s="3060"/>
      <c r="CFT157" s="3060"/>
      <c r="CFU157" s="3060"/>
      <c r="CFV157" s="3060"/>
      <c r="CFW157" s="3060"/>
      <c r="CFX157" s="3060"/>
      <c r="CFY157" s="3060"/>
      <c r="CFZ157" s="3060"/>
      <c r="CGA157" s="3060"/>
      <c r="CGB157" s="3060"/>
      <c r="CGC157" s="3060"/>
      <c r="CGD157" s="3060"/>
      <c r="CGE157" s="3060"/>
      <c r="CGF157" s="3060"/>
      <c r="CGG157" s="3060"/>
      <c r="CGH157" s="3060"/>
      <c r="CGI157" s="3060"/>
      <c r="CGJ157" s="3060"/>
      <c r="CGK157" s="3060"/>
      <c r="CGL157" s="3060"/>
      <c r="CGM157" s="3060"/>
      <c r="CGN157" s="3060"/>
      <c r="CGO157" s="3060"/>
      <c r="CGP157" s="3060"/>
      <c r="CGQ157" s="3060"/>
      <c r="CGR157" s="3060"/>
      <c r="CGS157" s="3060"/>
      <c r="CGT157" s="3060"/>
      <c r="CGU157" s="3060"/>
      <c r="CGV157" s="3060"/>
      <c r="CGW157" s="3060"/>
      <c r="CGX157" s="3060"/>
      <c r="CGY157" s="3060"/>
      <c r="CGZ157" s="3060"/>
      <c r="CHA157" s="3060"/>
      <c r="CHB157" s="3060"/>
      <c r="CHC157" s="3060"/>
      <c r="CHD157" s="3060"/>
      <c r="CHE157" s="3060"/>
      <c r="CHF157" s="3060"/>
      <c r="CHG157" s="3060"/>
      <c r="CHH157" s="3060"/>
      <c r="CHI157" s="3060"/>
      <c r="CHJ157" s="3060"/>
      <c r="CHK157" s="3060"/>
      <c r="CHL157" s="3060"/>
      <c r="CHM157" s="3060"/>
      <c r="CHN157" s="3060"/>
      <c r="CHO157" s="3060"/>
      <c r="CHP157" s="3060"/>
      <c r="CHQ157" s="3060"/>
      <c r="CHR157" s="3060"/>
      <c r="CHS157" s="3060"/>
      <c r="CHT157" s="3060"/>
      <c r="CHU157" s="3060"/>
      <c r="CHV157" s="3060"/>
      <c r="CHW157" s="3060"/>
      <c r="CHX157" s="3060"/>
      <c r="CHY157" s="3060"/>
      <c r="CHZ157" s="3060"/>
      <c r="CIA157" s="3060"/>
      <c r="CIB157" s="3060"/>
      <c r="CIC157" s="3060"/>
      <c r="CID157" s="3060"/>
      <c r="CIE157" s="3060"/>
      <c r="CIF157" s="3060"/>
      <c r="CIG157" s="3060"/>
      <c r="CIH157" s="3060"/>
      <c r="CII157" s="3060"/>
      <c r="CIJ157" s="3060"/>
      <c r="CIK157" s="3060"/>
      <c r="CIL157" s="3060"/>
      <c r="CIM157" s="3060"/>
      <c r="CIN157" s="3060"/>
      <c r="CIO157" s="3060"/>
      <c r="CIP157" s="3060"/>
      <c r="CIQ157" s="3060"/>
      <c r="CIR157" s="3060"/>
      <c r="CIS157" s="3060"/>
      <c r="CIT157" s="3060"/>
      <c r="CIU157" s="3060"/>
      <c r="CIV157" s="3060"/>
      <c r="CIW157" s="3060"/>
      <c r="CIX157" s="3060"/>
      <c r="CIY157" s="3060"/>
      <c r="CIZ157" s="3060"/>
      <c r="CJA157" s="3060"/>
      <c r="CJB157" s="3060"/>
      <c r="CJC157" s="3060"/>
      <c r="CJD157" s="3060"/>
      <c r="CJE157" s="3060"/>
      <c r="CJF157" s="3060"/>
      <c r="CJG157" s="3060"/>
      <c r="CJH157" s="3060"/>
      <c r="CJI157" s="3060"/>
      <c r="CJJ157" s="3060"/>
      <c r="CJK157" s="3060"/>
      <c r="CJL157" s="3060"/>
      <c r="CJM157" s="3060"/>
      <c r="CJN157" s="3060"/>
      <c r="CJO157" s="3060"/>
      <c r="CJP157" s="3060"/>
      <c r="CJQ157" s="3060"/>
      <c r="CJR157" s="3060"/>
      <c r="CJS157" s="3060"/>
      <c r="CJT157" s="3060"/>
      <c r="CJU157" s="3060"/>
      <c r="CJV157" s="3060"/>
      <c r="CJW157" s="3060"/>
      <c r="CJX157" s="3060"/>
      <c r="CJY157" s="3060"/>
      <c r="CJZ157" s="3060"/>
      <c r="CKA157" s="3060"/>
      <c r="CKB157" s="3060"/>
      <c r="CKC157" s="3060"/>
      <c r="CKD157" s="3060"/>
      <c r="CKE157" s="3060"/>
      <c r="CKF157" s="3060"/>
      <c r="CKG157" s="3060"/>
      <c r="CKH157" s="3060"/>
      <c r="CKI157" s="3060"/>
      <c r="CKJ157" s="3060"/>
      <c r="CKK157" s="3060"/>
      <c r="CKL157" s="3060"/>
      <c r="CKM157" s="3060"/>
      <c r="CKN157" s="3060"/>
      <c r="CKO157" s="3060"/>
      <c r="CKP157" s="3060"/>
      <c r="CKQ157" s="3060"/>
      <c r="CKR157" s="3060"/>
      <c r="CKS157" s="3060"/>
      <c r="CKT157" s="3060"/>
      <c r="CKU157" s="3060"/>
      <c r="CKV157" s="3060"/>
      <c r="CKW157" s="3060"/>
      <c r="CKX157" s="3060"/>
      <c r="CKY157" s="3060"/>
      <c r="CKZ157" s="3060"/>
      <c r="CLA157" s="3060"/>
      <c r="CLB157" s="3060"/>
      <c r="CLC157" s="3060"/>
      <c r="CLD157" s="3060"/>
      <c r="CLE157" s="3060"/>
      <c r="CLF157" s="3060"/>
      <c r="CLG157" s="3060"/>
      <c r="CLH157" s="3060"/>
      <c r="CLI157" s="3060"/>
      <c r="CLJ157" s="3060"/>
      <c r="CLK157" s="3060"/>
      <c r="CLL157" s="3060"/>
      <c r="CLM157" s="3060"/>
      <c r="CLN157" s="3060"/>
      <c r="CLO157" s="3060"/>
      <c r="CLP157" s="3060"/>
      <c r="CLQ157" s="3060"/>
      <c r="CLR157" s="3060"/>
      <c r="CLS157" s="3060"/>
      <c r="CLT157" s="3060"/>
      <c r="CLU157" s="3060"/>
      <c r="CLV157" s="3060"/>
      <c r="CLW157" s="3060"/>
      <c r="CLX157" s="3060"/>
      <c r="CLY157" s="3060"/>
      <c r="CLZ157" s="3060"/>
      <c r="CMA157" s="3060"/>
      <c r="CMB157" s="3060"/>
      <c r="CMC157" s="3060"/>
      <c r="CMD157" s="3060"/>
      <c r="CME157" s="3060"/>
      <c r="CMF157" s="3060"/>
      <c r="CMG157" s="3060"/>
      <c r="CMH157" s="3060"/>
      <c r="CMI157" s="3060"/>
      <c r="CMJ157" s="3060"/>
      <c r="CMK157" s="3060"/>
      <c r="CML157" s="3060"/>
      <c r="CMM157" s="3060"/>
      <c r="CMN157" s="3060"/>
      <c r="CMO157" s="3060"/>
      <c r="CMP157" s="3060"/>
      <c r="CMQ157" s="3060"/>
      <c r="CMR157" s="3060"/>
      <c r="CMS157" s="3060"/>
      <c r="CMT157" s="3060"/>
      <c r="CMU157" s="3060"/>
      <c r="CMV157" s="3060"/>
      <c r="CMW157" s="3060"/>
      <c r="CMX157" s="3060"/>
      <c r="CMY157" s="3060"/>
      <c r="CMZ157" s="3060"/>
      <c r="CNA157" s="3060"/>
      <c r="CNB157" s="3060"/>
      <c r="CNC157" s="3060"/>
      <c r="CND157" s="3060"/>
      <c r="CNE157" s="3060"/>
      <c r="CNF157" s="3060"/>
      <c r="CNG157" s="3060"/>
      <c r="CNH157" s="3060"/>
      <c r="CNI157" s="3060"/>
      <c r="CNJ157" s="3060"/>
      <c r="CNK157" s="3060"/>
      <c r="CNL157" s="3060"/>
      <c r="CNM157" s="3060"/>
      <c r="CNN157" s="3060"/>
      <c r="CNO157" s="3060"/>
      <c r="CNP157" s="3060"/>
      <c r="CNQ157" s="3060"/>
      <c r="CNR157" s="3060"/>
      <c r="CNS157" s="3060"/>
      <c r="CNT157" s="3060"/>
      <c r="CNU157" s="3060"/>
      <c r="CNV157" s="3060"/>
      <c r="CNW157" s="3060"/>
      <c r="CNX157" s="3060"/>
      <c r="CNY157" s="3060"/>
      <c r="CNZ157" s="3060"/>
      <c r="COA157" s="3060"/>
      <c r="COB157" s="3060"/>
      <c r="COC157" s="3060"/>
      <c r="COD157" s="3060"/>
      <c r="COE157" s="3060"/>
      <c r="COF157" s="3060"/>
      <c r="COG157" s="3060"/>
      <c r="COH157" s="3060"/>
      <c r="COI157" s="3060"/>
      <c r="COJ157" s="3060"/>
      <c r="COK157" s="3060"/>
      <c r="COL157" s="3060"/>
      <c r="COM157" s="3060"/>
      <c r="CON157" s="3060"/>
      <c r="COO157" s="3060"/>
      <c r="COP157" s="3060"/>
      <c r="COQ157" s="3060"/>
      <c r="COR157" s="3060"/>
      <c r="COS157" s="3060"/>
      <c r="COT157" s="3060"/>
      <c r="COU157" s="3060"/>
      <c r="COV157" s="3060"/>
      <c r="COW157" s="3060"/>
      <c r="COX157" s="3060"/>
      <c r="COY157" s="3060"/>
      <c r="COZ157" s="3060"/>
      <c r="CPA157" s="3060"/>
      <c r="CPB157" s="3060"/>
      <c r="CPC157" s="3060"/>
      <c r="CPD157" s="3060"/>
      <c r="CPE157" s="3060"/>
      <c r="CPF157" s="3060"/>
      <c r="CPG157" s="3060"/>
      <c r="CPH157" s="3060"/>
      <c r="CPI157" s="3060"/>
      <c r="CPJ157" s="3060"/>
      <c r="CPK157" s="3060"/>
      <c r="CPL157" s="3060"/>
      <c r="CPM157" s="3060"/>
      <c r="CPN157" s="3060"/>
      <c r="CPO157" s="3060"/>
      <c r="CPP157" s="3060"/>
      <c r="CPQ157" s="3060"/>
      <c r="CPR157" s="3060"/>
      <c r="CPS157" s="3060"/>
      <c r="CPT157" s="3060"/>
      <c r="CPU157" s="3060"/>
      <c r="CPV157" s="3060"/>
      <c r="CPW157" s="3060"/>
      <c r="CPX157" s="3060"/>
      <c r="CPY157" s="3060"/>
      <c r="CPZ157" s="3060"/>
      <c r="CQA157" s="3060"/>
      <c r="CQB157" s="3060"/>
      <c r="CQC157" s="3060"/>
      <c r="CQD157" s="3060"/>
      <c r="CQE157" s="3060"/>
      <c r="CQF157" s="3060"/>
      <c r="CQG157" s="3060"/>
      <c r="CQH157" s="3060"/>
      <c r="CQI157" s="3060"/>
      <c r="CQJ157" s="3060"/>
      <c r="CQK157" s="3060"/>
      <c r="CQL157" s="3060"/>
      <c r="CQM157" s="3060"/>
      <c r="CQN157" s="3060"/>
      <c r="CQO157" s="3060"/>
      <c r="CQP157" s="3060"/>
      <c r="CQQ157" s="3060"/>
      <c r="CQR157" s="3060"/>
      <c r="CQS157" s="3060"/>
      <c r="CQT157" s="3060"/>
      <c r="CQU157" s="3060"/>
      <c r="CQV157" s="3060"/>
      <c r="CQW157" s="3060"/>
      <c r="CQX157" s="3060"/>
      <c r="CQY157" s="3060"/>
      <c r="CQZ157" s="3060"/>
      <c r="CRA157" s="3060"/>
      <c r="CRB157" s="3060"/>
      <c r="CRC157" s="3060"/>
      <c r="CRD157" s="3060"/>
      <c r="CRE157" s="3060"/>
      <c r="CRF157" s="3060"/>
      <c r="CRG157" s="3060"/>
      <c r="CRH157" s="3060"/>
      <c r="CRI157" s="3060"/>
      <c r="CRJ157" s="3060"/>
      <c r="CRK157" s="3060"/>
      <c r="CRL157" s="3060"/>
      <c r="CRM157" s="3060"/>
      <c r="CRN157" s="3060"/>
      <c r="CRO157" s="3060"/>
      <c r="CRP157" s="3060"/>
      <c r="CRQ157" s="3060"/>
      <c r="CRR157" s="3060"/>
      <c r="CRS157" s="3060"/>
      <c r="CRT157" s="3060"/>
      <c r="CRU157" s="3060"/>
      <c r="CRV157" s="3060"/>
      <c r="CRW157" s="3060"/>
      <c r="CRX157" s="3060"/>
      <c r="CRY157" s="3060"/>
      <c r="CRZ157" s="3060"/>
      <c r="CSA157" s="3060"/>
      <c r="CSB157" s="3060"/>
      <c r="CSC157" s="3060"/>
      <c r="CSD157" s="3060"/>
      <c r="CSE157" s="3060"/>
      <c r="CSF157" s="3060"/>
      <c r="CSG157" s="3060"/>
      <c r="CSH157" s="3060"/>
      <c r="CSI157" s="3060"/>
      <c r="CSJ157" s="3060"/>
      <c r="CSK157" s="3060"/>
      <c r="CSL157" s="3060"/>
      <c r="CSM157" s="3060"/>
      <c r="CSN157" s="3060"/>
      <c r="CSO157" s="3060"/>
      <c r="CSP157" s="3060"/>
      <c r="CSQ157" s="3060"/>
      <c r="CSR157" s="3060"/>
      <c r="CSS157" s="3060"/>
      <c r="CST157" s="3060"/>
      <c r="CSU157" s="3060"/>
      <c r="CSV157" s="3060"/>
      <c r="CSW157" s="3060"/>
      <c r="CSX157" s="3060"/>
      <c r="CSY157" s="3060"/>
      <c r="CSZ157" s="3060"/>
      <c r="CTA157" s="3060"/>
      <c r="CTB157" s="3060"/>
      <c r="CTC157" s="3060"/>
      <c r="CTD157" s="3060"/>
      <c r="CTE157" s="3060"/>
      <c r="CTF157" s="3060"/>
      <c r="CTG157" s="3060"/>
      <c r="CTH157" s="3060"/>
      <c r="CTI157" s="3060"/>
      <c r="CTJ157" s="3060"/>
      <c r="CTK157" s="3060"/>
      <c r="CTL157" s="3060"/>
      <c r="CTM157" s="3060"/>
      <c r="CTN157" s="3060"/>
      <c r="CTO157" s="3060"/>
      <c r="CTP157" s="3060"/>
      <c r="CTQ157" s="3060"/>
      <c r="CTR157" s="3060"/>
      <c r="CTS157" s="3060"/>
      <c r="CTT157" s="3060"/>
      <c r="CTU157" s="3060"/>
      <c r="CTV157" s="3060"/>
      <c r="CTW157" s="3060"/>
      <c r="CTX157" s="3060"/>
      <c r="CTY157" s="3060"/>
      <c r="CTZ157" s="3060"/>
      <c r="CUA157" s="3060"/>
      <c r="CUB157" s="3060"/>
      <c r="CUC157" s="3060"/>
      <c r="CUD157" s="3060"/>
      <c r="CUE157" s="3060"/>
      <c r="CUF157" s="3060"/>
      <c r="CUG157" s="3060"/>
      <c r="CUH157" s="3060"/>
      <c r="CUI157" s="3060"/>
      <c r="CUJ157" s="3060"/>
      <c r="CUK157" s="3060"/>
      <c r="CUL157" s="3060"/>
      <c r="CUM157" s="3060"/>
      <c r="CUN157" s="3060"/>
      <c r="CUO157" s="3060"/>
      <c r="CUP157" s="3060"/>
      <c r="CUQ157" s="3060"/>
      <c r="CUR157" s="3060"/>
      <c r="CUS157" s="3060"/>
      <c r="CUT157" s="3060"/>
      <c r="CUU157" s="3060"/>
      <c r="CUV157" s="3060"/>
      <c r="CUW157" s="3060"/>
      <c r="CUX157" s="3060"/>
      <c r="CUY157" s="3060"/>
      <c r="CUZ157" s="3060"/>
      <c r="CVA157" s="3060"/>
      <c r="CVB157" s="3060"/>
      <c r="CVC157" s="3060"/>
      <c r="CVD157" s="3060"/>
      <c r="CVE157" s="3060"/>
      <c r="CVF157" s="3060"/>
      <c r="CVG157" s="3060"/>
      <c r="CVH157" s="3060"/>
      <c r="CVI157" s="3060"/>
      <c r="CVJ157" s="3060"/>
      <c r="CVK157" s="3060"/>
      <c r="CVL157" s="3060"/>
      <c r="CVM157" s="3060"/>
      <c r="CVN157" s="3060"/>
      <c r="CVO157" s="3060"/>
      <c r="CVP157" s="3060"/>
      <c r="CVQ157" s="3060"/>
      <c r="CVR157" s="3060"/>
      <c r="CVS157" s="3060"/>
      <c r="CVT157" s="3060"/>
      <c r="CVU157" s="3060"/>
      <c r="CVV157" s="3060"/>
      <c r="CVW157" s="3060"/>
      <c r="CVX157" s="3060"/>
      <c r="CVY157" s="3060"/>
      <c r="CVZ157" s="3060"/>
      <c r="CWA157" s="3060"/>
      <c r="CWB157" s="3060"/>
      <c r="CWC157" s="3060"/>
      <c r="CWD157" s="3060"/>
      <c r="CWE157" s="3060"/>
      <c r="CWF157" s="3060"/>
      <c r="CWG157" s="3060"/>
      <c r="CWH157" s="3060"/>
      <c r="CWI157" s="3060"/>
      <c r="CWJ157" s="3060"/>
      <c r="CWK157" s="3060"/>
      <c r="CWL157" s="3060"/>
      <c r="CWM157" s="3060"/>
      <c r="CWN157" s="3060"/>
      <c r="CWO157" s="3060"/>
      <c r="CWP157" s="3060"/>
      <c r="CWQ157" s="3060"/>
      <c r="CWR157" s="3060"/>
      <c r="CWS157" s="3060"/>
      <c r="CWT157" s="3060"/>
      <c r="CWU157" s="3060"/>
      <c r="CWV157" s="3060"/>
      <c r="CWW157" s="3060"/>
      <c r="CWX157" s="3060"/>
      <c r="CWY157" s="3060"/>
      <c r="CWZ157" s="3060"/>
      <c r="CXA157" s="3060"/>
      <c r="CXB157" s="3060"/>
      <c r="CXC157" s="3060"/>
      <c r="CXD157" s="3060"/>
      <c r="CXE157" s="3060"/>
      <c r="CXF157" s="3060"/>
      <c r="CXG157" s="3060"/>
      <c r="CXH157" s="3060"/>
      <c r="CXI157" s="3060"/>
      <c r="CXJ157" s="3060"/>
      <c r="CXK157" s="3060"/>
      <c r="CXL157" s="3060"/>
      <c r="CXM157" s="3060"/>
      <c r="CXN157" s="3060"/>
      <c r="CXO157" s="3060"/>
      <c r="CXP157" s="3060"/>
      <c r="CXQ157" s="3060"/>
      <c r="CXR157" s="3060"/>
      <c r="CXS157" s="3060"/>
      <c r="CXT157" s="3060"/>
      <c r="CXU157" s="3060"/>
      <c r="CXV157" s="3060"/>
      <c r="CXW157" s="3060"/>
      <c r="CXX157" s="3060"/>
      <c r="CXY157" s="3060"/>
      <c r="CXZ157" s="3060"/>
      <c r="CYA157" s="3060"/>
      <c r="CYB157" s="3060"/>
      <c r="CYC157" s="3060"/>
      <c r="CYD157" s="3060"/>
      <c r="CYE157" s="3060"/>
      <c r="CYF157" s="3060"/>
      <c r="CYG157" s="3060"/>
      <c r="CYH157" s="3060"/>
      <c r="CYI157" s="3060"/>
      <c r="CYJ157" s="3060"/>
      <c r="CYK157" s="3060"/>
      <c r="CYL157" s="3060"/>
      <c r="CYM157" s="3060"/>
      <c r="CYN157" s="3060"/>
      <c r="CYO157" s="3060"/>
      <c r="CYP157" s="3060"/>
      <c r="CYQ157" s="3060"/>
      <c r="CYR157" s="3060"/>
      <c r="CYS157" s="3060"/>
      <c r="CYT157" s="3060"/>
      <c r="CYU157" s="3060"/>
      <c r="CYV157" s="3060"/>
      <c r="CYW157" s="3060"/>
      <c r="CYX157" s="3060"/>
      <c r="CYY157" s="3060"/>
      <c r="CYZ157" s="3060"/>
      <c r="CZA157" s="3060"/>
      <c r="CZB157" s="3060"/>
      <c r="CZC157" s="3060"/>
      <c r="CZD157" s="3060"/>
      <c r="CZE157" s="3060"/>
      <c r="CZF157" s="3060"/>
      <c r="CZG157" s="3060"/>
      <c r="CZH157" s="3060"/>
      <c r="CZI157" s="3060"/>
      <c r="CZJ157" s="3060"/>
      <c r="CZK157" s="3060"/>
      <c r="CZL157" s="3060"/>
      <c r="CZM157" s="3060"/>
      <c r="CZN157" s="3060"/>
      <c r="CZO157" s="3060"/>
      <c r="CZP157" s="3060"/>
      <c r="CZQ157" s="3060"/>
      <c r="CZR157" s="3060"/>
      <c r="CZS157" s="3060"/>
      <c r="CZT157" s="3060"/>
      <c r="CZU157" s="3060"/>
      <c r="CZV157" s="3060"/>
      <c r="CZW157" s="3060"/>
      <c r="CZX157" s="3060"/>
      <c r="CZY157" s="3060"/>
      <c r="CZZ157" s="3060"/>
      <c r="DAA157" s="3060"/>
      <c r="DAB157" s="3060"/>
      <c r="DAC157" s="3060"/>
      <c r="DAD157" s="3060"/>
      <c r="DAE157" s="3060"/>
      <c r="DAF157" s="3060"/>
      <c r="DAG157" s="3060"/>
      <c r="DAH157" s="3060"/>
      <c r="DAI157" s="3060"/>
      <c r="DAJ157" s="3060"/>
      <c r="DAK157" s="3060"/>
      <c r="DAL157" s="3060"/>
      <c r="DAM157" s="3060"/>
      <c r="DAN157" s="3060"/>
      <c r="DAO157" s="3060"/>
      <c r="DAP157" s="3060"/>
      <c r="DAQ157" s="3060"/>
      <c r="DAR157" s="3060"/>
      <c r="DAS157" s="3060"/>
      <c r="DAT157" s="3060"/>
      <c r="DAU157" s="3060"/>
      <c r="DAV157" s="3060"/>
      <c r="DAW157" s="3060"/>
      <c r="DAX157" s="3060"/>
      <c r="DAY157" s="3060"/>
      <c r="DAZ157" s="3060"/>
      <c r="DBA157" s="3060"/>
      <c r="DBB157" s="3060"/>
      <c r="DBC157" s="3060"/>
      <c r="DBD157" s="3060"/>
      <c r="DBE157" s="3060"/>
      <c r="DBF157" s="3060"/>
      <c r="DBG157" s="3060"/>
      <c r="DBH157" s="3060"/>
      <c r="DBI157" s="3060"/>
      <c r="DBJ157" s="3060"/>
      <c r="DBK157" s="3060"/>
      <c r="DBL157" s="3060"/>
      <c r="DBM157" s="3060"/>
      <c r="DBN157" s="3060"/>
      <c r="DBO157" s="3060"/>
      <c r="DBP157" s="3060"/>
      <c r="DBQ157" s="3060"/>
      <c r="DBR157" s="3060"/>
      <c r="DBS157" s="3060"/>
      <c r="DBT157" s="3060"/>
      <c r="DBU157" s="3060"/>
      <c r="DBV157" s="3060"/>
      <c r="DBW157" s="3060"/>
      <c r="DBX157" s="3060"/>
      <c r="DBY157" s="3060"/>
      <c r="DBZ157" s="3060"/>
      <c r="DCA157" s="3060"/>
      <c r="DCB157" s="3060"/>
      <c r="DCC157" s="3060"/>
      <c r="DCD157" s="3060"/>
      <c r="DCE157" s="3060"/>
      <c r="DCF157" s="3060"/>
      <c r="DCG157" s="3060"/>
      <c r="DCH157" s="3060"/>
      <c r="DCI157" s="3060"/>
      <c r="DCJ157" s="3060"/>
      <c r="DCK157" s="3060"/>
      <c r="DCL157" s="3060"/>
      <c r="DCM157" s="3060"/>
      <c r="DCN157" s="3060"/>
      <c r="DCO157" s="3060"/>
      <c r="DCP157" s="3060"/>
      <c r="DCQ157" s="3060"/>
      <c r="DCR157" s="3060"/>
      <c r="DCS157" s="3060"/>
      <c r="DCT157" s="3060"/>
      <c r="DCU157" s="3060"/>
      <c r="DCV157" s="3060"/>
      <c r="DCW157" s="3060"/>
      <c r="DCX157" s="3060"/>
      <c r="DCY157" s="3060"/>
      <c r="DCZ157" s="3060"/>
      <c r="DDA157" s="3060"/>
      <c r="DDB157" s="3060"/>
      <c r="DDC157" s="3060"/>
      <c r="DDD157" s="3060"/>
      <c r="DDE157" s="3060"/>
      <c r="DDF157" s="3060"/>
      <c r="DDG157" s="3060"/>
      <c r="DDH157" s="3060"/>
      <c r="DDI157" s="3060"/>
      <c r="DDJ157" s="3060"/>
      <c r="DDK157" s="3060"/>
      <c r="DDL157" s="3060"/>
      <c r="DDM157" s="3060"/>
      <c r="DDN157" s="3060"/>
      <c r="DDO157" s="3060"/>
      <c r="DDP157" s="3060"/>
      <c r="DDQ157" s="3060"/>
      <c r="DDR157" s="3060"/>
      <c r="DDS157" s="3060"/>
      <c r="DDT157" s="3060"/>
      <c r="DDU157" s="3060"/>
      <c r="DDV157" s="3060"/>
      <c r="DDW157" s="3060"/>
      <c r="DDX157" s="3060"/>
      <c r="DDY157" s="3060"/>
      <c r="DDZ157" s="3060"/>
      <c r="DEA157" s="3060"/>
      <c r="DEB157" s="3060"/>
      <c r="DEC157" s="3060"/>
      <c r="DED157" s="3060"/>
      <c r="DEE157" s="3060"/>
      <c r="DEF157" s="3060"/>
      <c r="DEG157" s="3060"/>
      <c r="DEH157" s="3060"/>
      <c r="DEI157" s="3060"/>
      <c r="DEJ157" s="3060"/>
      <c r="DEK157" s="3060"/>
      <c r="DEL157" s="3060"/>
      <c r="DEM157" s="3060"/>
      <c r="DEN157" s="3060"/>
      <c r="DEO157" s="3060"/>
      <c r="DEP157" s="3060"/>
      <c r="DEQ157" s="3060"/>
      <c r="DER157" s="3060"/>
      <c r="DES157" s="3060"/>
      <c r="DET157" s="3060"/>
      <c r="DEU157" s="3060"/>
      <c r="DEV157" s="3060"/>
      <c r="DEW157" s="3060"/>
      <c r="DEX157" s="3060"/>
      <c r="DEY157" s="3060"/>
      <c r="DEZ157" s="3060"/>
      <c r="DFA157" s="3060"/>
      <c r="DFB157" s="3060"/>
      <c r="DFC157" s="3060"/>
      <c r="DFD157" s="3060"/>
      <c r="DFE157" s="3060"/>
      <c r="DFF157" s="3060"/>
      <c r="DFG157" s="3060"/>
      <c r="DFH157" s="3060"/>
      <c r="DFI157" s="3060"/>
      <c r="DFJ157" s="3060"/>
      <c r="DFK157" s="3060"/>
      <c r="DFL157" s="3060"/>
      <c r="DFM157" s="3060"/>
      <c r="DFN157" s="3060"/>
      <c r="DFO157" s="3060"/>
      <c r="DFP157" s="3060"/>
      <c r="DFQ157" s="3060"/>
      <c r="DFR157" s="3060"/>
      <c r="DFS157" s="3060"/>
      <c r="DFT157" s="3060"/>
      <c r="DFU157" s="3060"/>
      <c r="DFV157" s="3060"/>
      <c r="DFW157" s="3060"/>
      <c r="DFX157" s="3060"/>
      <c r="DFY157" s="3060"/>
      <c r="DFZ157" s="3060"/>
      <c r="DGA157" s="3060"/>
      <c r="DGB157" s="3060"/>
      <c r="DGC157" s="3060"/>
      <c r="DGD157" s="3060"/>
      <c r="DGE157" s="3060"/>
      <c r="DGF157" s="3060"/>
      <c r="DGG157" s="3060"/>
      <c r="DGH157" s="3060"/>
      <c r="DGI157" s="3060"/>
      <c r="DGJ157" s="3060"/>
      <c r="DGK157" s="3060"/>
      <c r="DGL157" s="3060"/>
      <c r="DGM157" s="3060"/>
      <c r="DGN157" s="3060"/>
      <c r="DGO157" s="3060"/>
      <c r="DGP157" s="3060"/>
      <c r="DGQ157" s="3060"/>
      <c r="DGR157" s="3060"/>
      <c r="DGS157" s="3060"/>
      <c r="DGT157" s="3060"/>
      <c r="DGU157" s="3060"/>
      <c r="DGV157" s="3060"/>
      <c r="DGW157" s="3060"/>
      <c r="DGX157" s="3060"/>
      <c r="DGY157" s="3060"/>
      <c r="DGZ157" s="3060"/>
      <c r="DHA157" s="3060"/>
      <c r="DHB157" s="3060"/>
      <c r="DHC157" s="3060"/>
      <c r="DHD157" s="3060"/>
      <c r="DHE157" s="3060"/>
      <c r="DHF157" s="3060"/>
      <c r="DHG157" s="3060"/>
      <c r="DHH157" s="3060"/>
      <c r="DHI157" s="3060"/>
      <c r="DHJ157" s="3060"/>
      <c r="DHK157" s="3060"/>
      <c r="DHL157" s="3060"/>
      <c r="DHM157" s="3060"/>
      <c r="DHN157" s="3060"/>
      <c r="DHO157" s="3060"/>
      <c r="DHP157" s="3060"/>
      <c r="DHQ157" s="3060"/>
      <c r="DHR157" s="3060"/>
      <c r="DHS157" s="3060"/>
      <c r="DHT157" s="3060"/>
      <c r="DHU157" s="3060"/>
      <c r="DHV157" s="3060"/>
      <c r="DHW157" s="3060"/>
      <c r="DHX157" s="3060"/>
      <c r="DHY157" s="3060"/>
      <c r="DHZ157" s="3060"/>
      <c r="DIA157" s="3060"/>
      <c r="DIB157" s="3060"/>
      <c r="DIC157" s="3060"/>
      <c r="DID157" s="3060"/>
      <c r="DIE157" s="3060"/>
      <c r="DIF157" s="3060"/>
      <c r="DIG157" s="3060"/>
      <c r="DIH157" s="3060"/>
      <c r="DII157" s="3060"/>
      <c r="DIJ157" s="3060"/>
      <c r="DIK157" s="3060"/>
      <c r="DIL157" s="3060"/>
      <c r="DIM157" s="3060"/>
      <c r="DIN157" s="3060"/>
      <c r="DIO157" s="3060"/>
      <c r="DIP157" s="3060"/>
      <c r="DIQ157" s="3060"/>
      <c r="DIR157" s="3060"/>
      <c r="DIS157" s="3060"/>
      <c r="DIT157" s="3060"/>
      <c r="DIU157" s="3060"/>
      <c r="DIV157" s="3060"/>
      <c r="DIW157" s="3060"/>
      <c r="DIX157" s="3060"/>
      <c r="DIY157" s="3060"/>
      <c r="DIZ157" s="3060"/>
      <c r="DJA157" s="3060"/>
      <c r="DJB157" s="3060"/>
      <c r="DJC157" s="3060"/>
      <c r="DJD157" s="3060"/>
      <c r="DJE157" s="3060"/>
      <c r="DJF157" s="3060"/>
      <c r="DJG157" s="3060"/>
      <c r="DJH157" s="3060"/>
      <c r="DJI157" s="3060"/>
      <c r="DJJ157" s="3060"/>
      <c r="DJK157" s="3060"/>
      <c r="DJL157" s="3060"/>
      <c r="DJM157" s="3060"/>
      <c r="DJN157" s="3060"/>
      <c r="DJO157" s="3060"/>
      <c r="DJP157" s="3060"/>
      <c r="DJQ157" s="3060"/>
      <c r="DJR157" s="3060"/>
      <c r="DJS157" s="3060"/>
      <c r="DJT157" s="3060"/>
      <c r="DJU157" s="3060"/>
      <c r="DJV157" s="3060"/>
      <c r="DJW157" s="3060"/>
      <c r="DJX157" s="3060"/>
      <c r="DJY157" s="3060"/>
      <c r="DJZ157" s="3060"/>
      <c r="DKA157" s="3060"/>
      <c r="DKB157" s="3060"/>
      <c r="DKC157" s="3060"/>
      <c r="DKD157" s="3060"/>
      <c r="DKE157" s="3060"/>
      <c r="DKF157" s="3060"/>
      <c r="DKG157" s="3060"/>
      <c r="DKH157" s="3060"/>
      <c r="DKI157" s="3060"/>
      <c r="DKJ157" s="3060"/>
      <c r="DKK157" s="3060"/>
      <c r="DKL157" s="3060"/>
      <c r="DKM157" s="3060"/>
      <c r="DKN157" s="3060"/>
      <c r="DKO157" s="3060"/>
      <c r="DKP157" s="3060"/>
      <c r="DKQ157" s="3060"/>
      <c r="DKR157" s="3060"/>
      <c r="DKS157" s="3060"/>
      <c r="DKT157" s="3060"/>
      <c r="DKU157" s="3060"/>
      <c r="DKV157" s="3060"/>
      <c r="DKW157" s="3060"/>
      <c r="DKX157" s="3060"/>
      <c r="DKY157" s="3060"/>
      <c r="DKZ157" s="3060"/>
      <c r="DLA157" s="3060"/>
      <c r="DLB157" s="3060"/>
      <c r="DLC157" s="3060"/>
      <c r="DLD157" s="3060"/>
      <c r="DLE157" s="3060"/>
      <c r="DLF157" s="3060"/>
      <c r="DLG157" s="3060"/>
      <c r="DLH157" s="3060"/>
      <c r="DLI157" s="3060"/>
      <c r="DLJ157" s="3060"/>
      <c r="DLK157" s="3060"/>
      <c r="DLL157" s="3060"/>
      <c r="DLM157" s="3060"/>
      <c r="DLN157" s="3060"/>
      <c r="DLO157" s="3060"/>
      <c r="DLP157" s="3060"/>
      <c r="DLQ157" s="3060"/>
      <c r="DLR157" s="3060"/>
      <c r="DLS157" s="3060"/>
      <c r="DLT157" s="3060"/>
      <c r="DLU157" s="3060"/>
      <c r="DLV157" s="3060"/>
      <c r="DLW157" s="3060"/>
      <c r="DLX157" s="3060"/>
      <c r="DLY157" s="3060"/>
      <c r="DLZ157" s="3060"/>
      <c r="DMA157" s="3060"/>
      <c r="DMB157" s="3060"/>
      <c r="DMC157" s="3060"/>
      <c r="DMD157" s="3060"/>
      <c r="DME157" s="3060"/>
      <c r="DMF157" s="3060"/>
      <c r="DMG157" s="3060"/>
      <c r="DMH157" s="3060"/>
      <c r="DMI157" s="3060"/>
      <c r="DMJ157" s="3060"/>
      <c r="DMK157" s="3060"/>
      <c r="DML157" s="3060"/>
      <c r="DMM157" s="3060"/>
      <c r="DMN157" s="3060"/>
      <c r="DMO157" s="3060"/>
      <c r="DMP157" s="3060"/>
      <c r="DMQ157" s="3060"/>
      <c r="DMR157" s="3060"/>
      <c r="DMS157" s="3060"/>
      <c r="DMT157" s="3060"/>
      <c r="DMU157" s="3060"/>
      <c r="DMV157" s="3060"/>
      <c r="DMW157" s="3060"/>
      <c r="DMX157" s="3060"/>
      <c r="DMY157" s="3060"/>
      <c r="DMZ157" s="3060"/>
      <c r="DNA157" s="3060"/>
      <c r="DNB157" s="3060"/>
      <c r="DNC157" s="3060"/>
      <c r="DND157" s="3060"/>
      <c r="DNE157" s="3060"/>
      <c r="DNF157" s="3060"/>
      <c r="DNG157" s="3060"/>
      <c r="DNH157" s="3060"/>
      <c r="DNI157" s="3060"/>
      <c r="DNJ157" s="3060"/>
      <c r="DNK157" s="3060"/>
      <c r="DNL157" s="3060"/>
      <c r="DNM157" s="3060"/>
      <c r="DNN157" s="3060"/>
      <c r="DNO157" s="3060"/>
      <c r="DNP157" s="3060"/>
      <c r="DNQ157" s="3060"/>
      <c r="DNR157" s="3060"/>
      <c r="DNS157" s="3060"/>
      <c r="DNT157" s="3060"/>
      <c r="DNU157" s="3060"/>
      <c r="DNV157" s="3060"/>
      <c r="DNW157" s="3060"/>
      <c r="DNX157" s="3060"/>
      <c r="DNY157" s="3060"/>
      <c r="DNZ157" s="3060"/>
      <c r="DOA157" s="3060"/>
      <c r="DOB157" s="3060"/>
      <c r="DOC157" s="3060"/>
      <c r="DOD157" s="3060"/>
      <c r="DOE157" s="3060"/>
      <c r="DOF157" s="3060"/>
      <c r="DOG157" s="3060"/>
      <c r="DOH157" s="3060"/>
      <c r="DOI157" s="3060"/>
      <c r="DOJ157" s="3060"/>
      <c r="DOK157" s="3060"/>
      <c r="DOL157" s="3060"/>
      <c r="DOM157" s="3060"/>
      <c r="DON157" s="3060"/>
      <c r="DOO157" s="3060"/>
      <c r="DOP157" s="3060"/>
      <c r="DOQ157" s="3060"/>
      <c r="DOR157" s="3060"/>
      <c r="DOS157" s="3060"/>
      <c r="DOT157" s="3060"/>
      <c r="DOU157" s="3060"/>
      <c r="DOV157" s="3060"/>
      <c r="DOW157" s="3060"/>
      <c r="DOX157" s="3060"/>
      <c r="DOY157" s="3060"/>
      <c r="DOZ157" s="3060"/>
      <c r="DPA157" s="3060"/>
      <c r="DPB157" s="3060"/>
      <c r="DPC157" s="3060"/>
      <c r="DPD157" s="3060"/>
      <c r="DPE157" s="3060"/>
      <c r="DPF157" s="3060"/>
      <c r="DPG157" s="3060"/>
      <c r="DPH157" s="3060"/>
      <c r="DPI157" s="3060"/>
      <c r="DPJ157" s="3060"/>
      <c r="DPK157" s="3060"/>
      <c r="DPL157" s="3060"/>
      <c r="DPM157" s="3060"/>
      <c r="DPN157" s="3060"/>
      <c r="DPO157" s="3060"/>
      <c r="DPP157" s="3060"/>
      <c r="DPQ157" s="3060"/>
      <c r="DPR157" s="3060"/>
      <c r="DPS157" s="3060"/>
      <c r="DPT157" s="3060"/>
      <c r="DPU157" s="3060"/>
      <c r="DPV157" s="3060"/>
      <c r="DPW157" s="3060"/>
      <c r="DPX157" s="3060"/>
      <c r="DPY157" s="3060"/>
      <c r="DPZ157" s="3060"/>
      <c r="DQA157" s="3060"/>
      <c r="DQB157" s="3060"/>
      <c r="DQC157" s="3060"/>
      <c r="DQD157" s="3060"/>
      <c r="DQE157" s="3060"/>
      <c r="DQF157" s="3060"/>
      <c r="DQG157" s="3060"/>
      <c r="DQH157" s="3060"/>
      <c r="DQI157" s="3060"/>
      <c r="DQJ157" s="3060"/>
      <c r="DQK157" s="3060"/>
      <c r="DQL157" s="3060"/>
      <c r="DQM157" s="3060"/>
      <c r="DQN157" s="3060"/>
      <c r="DQO157" s="3060"/>
      <c r="DQP157" s="3060"/>
      <c r="DQQ157" s="3060"/>
      <c r="DQR157" s="3060"/>
      <c r="DQS157" s="3060"/>
      <c r="DQT157" s="3060"/>
      <c r="DQU157" s="3060"/>
      <c r="DQV157" s="3060"/>
      <c r="DQW157" s="3060"/>
      <c r="DQX157" s="3060"/>
      <c r="DQY157" s="3060"/>
      <c r="DQZ157" s="3060"/>
      <c r="DRA157" s="3060"/>
      <c r="DRB157" s="3060"/>
      <c r="DRC157" s="3060"/>
      <c r="DRD157" s="3060"/>
      <c r="DRE157" s="3060"/>
      <c r="DRF157" s="3060"/>
      <c r="DRG157" s="3060"/>
      <c r="DRH157" s="3060"/>
      <c r="DRI157" s="3060"/>
      <c r="DRJ157" s="3060"/>
      <c r="DRK157" s="3060"/>
      <c r="DRL157" s="3060"/>
      <c r="DRM157" s="3060"/>
      <c r="DRN157" s="3060"/>
      <c r="DRO157" s="3060"/>
      <c r="DRP157" s="3060"/>
      <c r="DRQ157" s="3060"/>
      <c r="DRR157" s="3060"/>
      <c r="DRS157" s="3060"/>
      <c r="DRT157" s="3060"/>
      <c r="DRU157" s="3060"/>
      <c r="DRV157" s="3060"/>
      <c r="DRW157" s="3060"/>
      <c r="DRX157" s="3060"/>
      <c r="DRY157" s="3060"/>
      <c r="DRZ157" s="3060"/>
      <c r="DSA157" s="3060"/>
      <c r="DSB157" s="3060"/>
      <c r="DSC157" s="3060"/>
      <c r="DSD157" s="3060"/>
      <c r="DSE157" s="3060"/>
      <c r="DSF157" s="3060"/>
      <c r="DSG157" s="3060"/>
      <c r="DSH157" s="3060"/>
      <c r="DSI157" s="3060"/>
      <c r="DSJ157" s="3060"/>
      <c r="DSK157" s="3060"/>
      <c r="DSL157" s="3060"/>
      <c r="DSM157" s="3060"/>
      <c r="DSN157" s="3060"/>
      <c r="DSO157" s="3060"/>
      <c r="DSP157" s="3060"/>
      <c r="DSQ157" s="3060"/>
      <c r="DSR157" s="3060"/>
      <c r="DSS157" s="3060"/>
      <c r="DST157" s="3060"/>
      <c r="DSU157" s="3060"/>
      <c r="DSV157" s="3060"/>
      <c r="DSW157" s="3060"/>
      <c r="DSX157" s="3060"/>
      <c r="DSY157" s="3060"/>
      <c r="DSZ157" s="3060"/>
      <c r="DTA157" s="3060"/>
      <c r="DTB157" s="3060"/>
      <c r="DTC157" s="3060"/>
      <c r="DTD157" s="3060"/>
      <c r="DTE157" s="3060"/>
      <c r="DTF157" s="3060"/>
      <c r="DTG157" s="3060"/>
      <c r="DTH157" s="3060"/>
      <c r="DTI157" s="3060"/>
      <c r="DTJ157" s="3060"/>
      <c r="DTK157" s="3060"/>
      <c r="DTL157" s="3060"/>
      <c r="DTM157" s="3060"/>
      <c r="DTN157" s="3060"/>
      <c r="DTO157" s="3060"/>
      <c r="DTP157" s="3060"/>
      <c r="DTQ157" s="3060"/>
      <c r="DTR157" s="3060"/>
      <c r="DTS157" s="3060"/>
      <c r="DTT157" s="3060"/>
      <c r="DTU157" s="3060"/>
      <c r="DTV157" s="3060"/>
      <c r="DTW157" s="3060"/>
      <c r="DTX157" s="3060"/>
      <c r="DTY157" s="3060"/>
      <c r="DTZ157" s="3060"/>
      <c r="DUA157" s="3060"/>
      <c r="DUB157" s="3060"/>
      <c r="DUC157" s="3060"/>
      <c r="DUD157" s="3060"/>
      <c r="DUE157" s="3060"/>
      <c r="DUF157" s="3060"/>
      <c r="DUG157" s="3060"/>
      <c r="DUH157" s="3060"/>
      <c r="DUI157" s="3060"/>
      <c r="DUJ157" s="3060"/>
      <c r="DUK157" s="3060"/>
      <c r="DUL157" s="3060"/>
      <c r="DUM157" s="3060"/>
      <c r="DUN157" s="3060"/>
      <c r="DUO157" s="3060"/>
      <c r="DUP157" s="3060"/>
      <c r="DUQ157" s="3060"/>
      <c r="DUR157" s="3060"/>
      <c r="DUS157" s="3060"/>
      <c r="DUT157" s="3060"/>
      <c r="DUU157" s="3060"/>
      <c r="DUV157" s="3060"/>
      <c r="DUW157" s="3060"/>
      <c r="DUX157" s="3060"/>
      <c r="DUY157" s="3060"/>
      <c r="DUZ157" s="3060"/>
      <c r="DVA157" s="3060"/>
      <c r="DVB157" s="3060"/>
      <c r="DVC157" s="3060"/>
      <c r="DVD157" s="3060"/>
      <c r="DVE157" s="3060"/>
      <c r="DVF157" s="3060"/>
      <c r="DVG157" s="3060"/>
      <c r="DVH157" s="3060"/>
      <c r="DVI157" s="3060"/>
      <c r="DVJ157" s="3060"/>
      <c r="DVK157" s="3060"/>
      <c r="DVL157" s="3060"/>
      <c r="DVM157" s="3060"/>
      <c r="DVN157" s="3060"/>
      <c r="DVO157" s="3060"/>
      <c r="DVP157" s="3060"/>
      <c r="DVQ157" s="3060"/>
      <c r="DVR157" s="3060"/>
      <c r="DVS157" s="3060"/>
      <c r="DVT157" s="3060"/>
      <c r="DVU157" s="3060"/>
      <c r="DVV157" s="3060"/>
      <c r="DVW157" s="3060"/>
      <c r="DVX157" s="3060"/>
      <c r="DVY157" s="3060"/>
      <c r="DVZ157" s="3060"/>
      <c r="DWA157" s="3060"/>
      <c r="DWB157" s="3060"/>
      <c r="DWC157" s="3060"/>
      <c r="DWD157" s="3060"/>
      <c r="DWE157" s="3060"/>
      <c r="DWF157" s="3060"/>
      <c r="DWG157" s="3060"/>
      <c r="DWH157" s="3060"/>
      <c r="DWI157" s="3060"/>
      <c r="DWJ157" s="3060"/>
      <c r="DWK157" s="3060"/>
      <c r="DWL157" s="3060"/>
      <c r="DWM157" s="3060"/>
      <c r="DWN157" s="3060"/>
      <c r="DWO157" s="3060"/>
      <c r="DWP157" s="3060"/>
      <c r="DWQ157" s="3060"/>
      <c r="DWR157" s="3060"/>
      <c r="DWS157" s="3060"/>
      <c r="DWT157" s="3060"/>
      <c r="DWU157" s="3060"/>
      <c r="DWV157" s="3060"/>
      <c r="DWW157" s="3060"/>
      <c r="DWX157" s="3060"/>
      <c r="DWY157" s="3060"/>
      <c r="DWZ157" s="3060"/>
      <c r="DXA157" s="3060"/>
      <c r="DXB157" s="3060"/>
      <c r="DXC157" s="3060"/>
      <c r="DXD157" s="3060"/>
      <c r="DXE157" s="3060"/>
      <c r="DXF157" s="3060"/>
      <c r="DXG157" s="3060"/>
      <c r="DXH157" s="3060"/>
      <c r="DXI157" s="3060"/>
      <c r="DXJ157" s="3060"/>
      <c r="DXK157" s="3060"/>
      <c r="DXL157" s="3060"/>
      <c r="DXM157" s="3060"/>
      <c r="DXN157" s="3060"/>
      <c r="DXO157" s="3060"/>
      <c r="DXP157" s="3060"/>
      <c r="DXQ157" s="3060"/>
      <c r="DXR157" s="3060"/>
      <c r="DXS157" s="3060"/>
      <c r="DXT157" s="3060"/>
      <c r="DXU157" s="3060"/>
      <c r="DXV157" s="3060"/>
      <c r="DXW157" s="3060"/>
      <c r="DXX157" s="3060"/>
      <c r="DXY157" s="3060"/>
      <c r="DXZ157" s="3060"/>
      <c r="DYA157" s="3060"/>
      <c r="DYB157" s="3060"/>
      <c r="DYC157" s="3060"/>
      <c r="DYD157" s="3060"/>
      <c r="DYE157" s="3060"/>
      <c r="DYF157" s="3060"/>
      <c r="DYG157" s="3060"/>
      <c r="DYH157" s="3060"/>
      <c r="DYI157" s="3060"/>
      <c r="DYJ157" s="3060"/>
      <c r="DYK157" s="3060"/>
      <c r="DYL157" s="3060"/>
      <c r="DYM157" s="3060"/>
      <c r="DYN157" s="3060"/>
      <c r="DYO157" s="3060"/>
      <c r="DYP157" s="3060"/>
      <c r="DYQ157" s="3060"/>
      <c r="DYR157" s="3060"/>
      <c r="DYS157" s="3060"/>
      <c r="DYT157" s="3060"/>
      <c r="DYU157" s="3060"/>
      <c r="DYV157" s="3060"/>
      <c r="DYW157" s="3060"/>
      <c r="DYX157" s="3060"/>
      <c r="DYY157" s="3060"/>
      <c r="DYZ157" s="3060"/>
      <c r="DZA157" s="3060"/>
      <c r="DZB157" s="3060"/>
      <c r="DZC157" s="3060"/>
      <c r="DZD157" s="3060"/>
      <c r="DZE157" s="3060"/>
      <c r="DZF157" s="3060"/>
      <c r="DZG157" s="3060"/>
      <c r="DZH157" s="3060"/>
      <c r="DZI157" s="3060"/>
      <c r="DZJ157" s="3060"/>
      <c r="DZK157" s="3060"/>
      <c r="DZL157" s="3060"/>
      <c r="DZM157" s="3060"/>
      <c r="DZN157" s="3060"/>
      <c r="DZO157" s="3060"/>
      <c r="DZP157" s="3060"/>
      <c r="DZQ157" s="3060"/>
      <c r="DZR157" s="3060"/>
      <c r="DZS157" s="3060"/>
      <c r="DZT157" s="3060"/>
      <c r="DZU157" s="3060"/>
      <c r="DZV157" s="3060"/>
      <c r="DZW157" s="3060"/>
      <c r="DZX157" s="3060"/>
      <c r="DZY157" s="3060"/>
      <c r="DZZ157" s="3060"/>
      <c r="EAA157" s="3060"/>
      <c r="EAB157" s="3060"/>
      <c r="EAC157" s="3060"/>
      <c r="EAD157" s="3060"/>
      <c r="EAE157" s="3060"/>
      <c r="EAF157" s="3060"/>
      <c r="EAG157" s="3060"/>
      <c r="EAH157" s="3060"/>
      <c r="EAI157" s="3060"/>
      <c r="EAJ157" s="3060"/>
      <c r="EAK157" s="3060"/>
      <c r="EAL157" s="3060"/>
      <c r="EAM157" s="3060"/>
      <c r="EAN157" s="3060"/>
      <c r="EAO157" s="3060"/>
      <c r="EAP157" s="3060"/>
      <c r="EAQ157" s="3060"/>
      <c r="EAR157" s="3060"/>
      <c r="EAS157" s="3060"/>
      <c r="EAT157" s="3060"/>
      <c r="EAU157" s="3060"/>
      <c r="EAV157" s="3060"/>
      <c r="EAW157" s="3060"/>
      <c r="EAX157" s="3060"/>
      <c r="EAY157" s="3060"/>
      <c r="EAZ157" s="3060"/>
      <c r="EBA157" s="3060"/>
      <c r="EBB157" s="3060"/>
      <c r="EBC157" s="3060"/>
      <c r="EBD157" s="3060"/>
      <c r="EBE157" s="3060"/>
      <c r="EBF157" s="3060"/>
      <c r="EBG157" s="3060"/>
      <c r="EBH157" s="3060"/>
      <c r="EBI157" s="3060"/>
      <c r="EBJ157" s="3060"/>
      <c r="EBK157" s="3060"/>
      <c r="EBL157" s="3060"/>
      <c r="EBM157" s="3060"/>
      <c r="EBN157" s="3060"/>
      <c r="EBO157" s="3060"/>
      <c r="EBP157" s="3060"/>
      <c r="EBQ157" s="3060"/>
      <c r="EBR157" s="3060"/>
      <c r="EBS157" s="3060"/>
      <c r="EBT157" s="3060"/>
      <c r="EBU157" s="3060"/>
      <c r="EBV157" s="3060"/>
      <c r="EBW157" s="3060"/>
      <c r="EBX157" s="3060"/>
      <c r="EBY157" s="3060"/>
      <c r="EBZ157" s="3060"/>
      <c r="ECA157" s="3060"/>
      <c r="ECB157" s="3060"/>
      <c r="ECC157" s="3060"/>
      <c r="ECD157" s="3060"/>
      <c r="ECE157" s="3060"/>
      <c r="ECF157" s="3060"/>
      <c r="ECG157" s="3060"/>
      <c r="ECH157" s="3060"/>
      <c r="ECI157" s="3060"/>
      <c r="ECJ157" s="3060"/>
      <c r="ECK157" s="3060"/>
      <c r="ECL157" s="3060"/>
      <c r="ECM157" s="3060"/>
      <c r="ECN157" s="3060"/>
      <c r="ECO157" s="3060"/>
      <c r="ECP157" s="3060"/>
      <c r="ECQ157" s="3060"/>
      <c r="ECR157" s="3060"/>
      <c r="ECS157" s="3060"/>
      <c r="ECT157" s="3060"/>
      <c r="ECU157" s="3060"/>
      <c r="ECV157" s="3060"/>
      <c r="ECW157" s="3060"/>
      <c r="ECX157" s="3060"/>
      <c r="ECY157" s="3060"/>
      <c r="ECZ157" s="3060"/>
      <c r="EDA157" s="3060"/>
      <c r="EDB157" s="3060"/>
      <c r="EDC157" s="3060"/>
      <c r="EDD157" s="3060"/>
      <c r="EDE157" s="3060"/>
      <c r="EDF157" s="3060"/>
      <c r="EDG157" s="3060"/>
      <c r="EDH157" s="3060"/>
      <c r="EDI157" s="3060"/>
      <c r="EDJ157" s="3060"/>
      <c r="EDK157" s="3060"/>
      <c r="EDL157" s="3060"/>
      <c r="EDM157" s="3060"/>
      <c r="EDN157" s="3060"/>
      <c r="EDO157" s="3060"/>
      <c r="EDP157" s="3060"/>
      <c r="EDQ157" s="3060"/>
      <c r="EDR157" s="3060"/>
      <c r="EDS157" s="3060"/>
      <c r="EDT157" s="3060"/>
      <c r="EDU157" s="3060"/>
      <c r="EDV157" s="3060"/>
      <c r="EDW157" s="3060"/>
      <c r="EDX157" s="3060"/>
      <c r="EDY157" s="3060"/>
      <c r="EDZ157" s="3060"/>
      <c r="EEA157" s="3060"/>
      <c r="EEB157" s="3060"/>
      <c r="EEC157" s="3060"/>
      <c r="EED157" s="3060"/>
      <c r="EEE157" s="3060"/>
      <c r="EEF157" s="3060"/>
      <c r="EEG157" s="3060"/>
      <c r="EEH157" s="3060"/>
      <c r="EEI157" s="3060"/>
      <c r="EEJ157" s="3060"/>
      <c r="EEK157" s="3060"/>
      <c r="EEL157" s="3060"/>
      <c r="EEM157" s="3060"/>
      <c r="EEN157" s="3060"/>
      <c r="EEO157" s="3060"/>
      <c r="EEP157" s="3060"/>
      <c r="EEQ157" s="3060"/>
      <c r="EER157" s="3060"/>
      <c r="EES157" s="3060"/>
      <c r="EET157" s="3060"/>
      <c r="EEU157" s="3060"/>
      <c r="EEV157" s="3060"/>
      <c r="EEW157" s="3060"/>
      <c r="EEX157" s="3060"/>
      <c r="EEY157" s="3060"/>
      <c r="EEZ157" s="3060"/>
      <c r="EFA157" s="3060"/>
      <c r="EFB157" s="3060"/>
      <c r="EFC157" s="3060"/>
      <c r="EFD157" s="3060"/>
      <c r="EFE157" s="3060"/>
      <c r="EFF157" s="3060"/>
      <c r="EFG157" s="3060"/>
      <c r="EFH157" s="3060"/>
      <c r="EFI157" s="3060"/>
      <c r="EFJ157" s="3060"/>
      <c r="EFK157" s="3060"/>
      <c r="EFL157" s="3060"/>
      <c r="EFM157" s="3060"/>
      <c r="EFN157" s="3060"/>
      <c r="EFO157" s="3060"/>
      <c r="EFP157" s="3060"/>
      <c r="EFQ157" s="3060"/>
      <c r="EFR157" s="3060"/>
      <c r="EFS157" s="3060"/>
      <c r="EFT157" s="3060"/>
      <c r="EFU157" s="3060"/>
      <c r="EFV157" s="3060"/>
      <c r="EFW157" s="3060"/>
      <c r="EFX157" s="3060"/>
      <c r="EFY157" s="3060"/>
      <c r="EFZ157" s="3060"/>
      <c r="EGA157" s="3060"/>
      <c r="EGB157" s="3060"/>
      <c r="EGC157" s="3060"/>
      <c r="EGD157" s="3060"/>
      <c r="EGE157" s="3060"/>
      <c r="EGF157" s="3060"/>
      <c r="EGG157" s="3060"/>
      <c r="EGH157" s="3060"/>
      <c r="EGI157" s="3060"/>
      <c r="EGJ157" s="3060"/>
      <c r="EGK157" s="3060"/>
      <c r="EGL157" s="3060"/>
      <c r="EGM157" s="3060"/>
      <c r="EGN157" s="3060"/>
      <c r="EGO157" s="3060"/>
      <c r="EGP157" s="3060"/>
      <c r="EGQ157" s="3060"/>
      <c r="EGR157" s="3060"/>
      <c r="EGS157" s="3060"/>
      <c r="EGT157" s="3060"/>
      <c r="EGU157" s="3060"/>
      <c r="EGV157" s="3060"/>
      <c r="EGW157" s="3060"/>
      <c r="EGX157" s="3060"/>
      <c r="EGY157" s="3060"/>
      <c r="EGZ157" s="3060"/>
      <c r="EHA157" s="3060"/>
      <c r="EHB157" s="3060"/>
      <c r="EHC157" s="3060"/>
      <c r="EHD157" s="3060"/>
      <c r="EHE157" s="3060"/>
      <c r="EHF157" s="3060"/>
      <c r="EHG157" s="3060"/>
      <c r="EHH157" s="3060"/>
      <c r="EHI157" s="3060"/>
      <c r="EHJ157" s="3060"/>
      <c r="EHK157" s="3060"/>
      <c r="EHL157" s="3060"/>
      <c r="EHM157" s="3060"/>
      <c r="EHN157" s="3060"/>
      <c r="EHO157" s="3060"/>
      <c r="EHP157" s="3060"/>
      <c r="EHQ157" s="3060"/>
      <c r="EHR157" s="3060"/>
      <c r="EHS157" s="3060"/>
      <c r="EHT157" s="3060"/>
      <c r="EHU157" s="3060"/>
      <c r="EHV157" s="3060"/>
      <c r="EHW157" s="3060"/>
      <c r="EHX157" s="3060"/>
      <c r="EHY157" s="3060"/>
      <c r="EHZ157" s="3060"/>
      <c r="EIA157" s="3060"/>
      <c r="EIB157" s="3060"/>
      <c r="EIC157" s="3060"/>
      <c r="EID157" s="3060"/>
      <c r="EIE157" s="3060"/>
      <c r="EIF157" s="3060"/>
      <c r="EIG157" s="3060"/>
      <c r="EIH157" s="3060"/>
      <c r="EII157" s="3060"/>
      <c r="EIJ157" s="3060"/>
      <c r="EIK157" s="3060"/>
      <c r="EIL157" s="3060"/>
      <c r="EIM157" s="3060"/>
      <c r="EIN157" s="3060"/>
      <c r="EIO157" s="3060"/>
      <c r="EIP157" s="3060"/>
      <c r="EIQ157" s="3060"/>
      <c r="EIR157" s="3060"/>
      <c r="EIS157" s="3060"/>
      <c r="EIT157" s="3060"/>
      <c r="EIU157" s="3060"/>
      <c r="EIV157" s="3060"/>
      <c r="EIW157" s="3060"/>
      <c r="EIX157" s="3060"/>
      <c r="EIY157" s="3060"/>
      <c r="EIZ157" s="3060"/>
      <c r="EJA157" s="3060"/>
      <c r="EJB157" s="3060"/>
      <c r="EJC157" s="3060"/>
      <c r="EJD157" s="3060"/>
      <c r="EJE157" s="3060"/>
      <c r="EJF157" s="3060"/>
      <c r="EJG157" s="3060"/>
      <c r="EJH157" s="3060"/>
      <c r="EJI157" s="3060"/>
      <c r="EJJ157" s="3060"/>
      <c r="EJK157" s="3060"/>
      <c r="EJL157" s="3060"/>
      <c r="EJM157" s="3060"/>
      <c r="EJN157" s="3060"/>
      <c r="EJO157" s="3060"/>
      <c r="EJP157" s="3060"/>
      <c r="EJQ157" s="3060"/>
      <c r="EJR157" s="3060"/>
      <c r="EJS157" s="3060"/>
      <c r="EJT157" s="3060"/>
      <c r="EJU157" s="3060"/>
      <c r="EJV157" s="3060"/>
      <c r="EJW157" s="3060"/>
      <c r="EJX157" s="3060"/>
      <c r="EJY157" s="3060"/>
      <c r="EJZ157" s="3060"/>
      <c r="EKA157" s="3060"/>
      <c r="EKB157" s="3060"/>
      <c r="EKC157" s="3060"/>
      <c r="EKD157" s="3060"/>
      <c r="EKE157" s="3060"/>
      <c r="EKF157" s="3060"/>
      <c r="EKG157" s="3060"/>
      <c r="EKH157" s="3060"/>
      <c r="EKI157" s="3060"/>
      <c r="EKJ157" s="3060"/>
      <c r="EKK157" s="3060"/>
      <c r="EKL157" s="3060"/>
      <c r="EKM157" s="3060"/>
      <c r="EKN157" s="3060"/>
      <c r="EKO157" s="3060"/>
      <c r="EKP157" s="3060"/>
      <c r="EKQ157" s="3060"/>
      <c r="EKR157" s="3060"/>
      <c r="EKS157" s="3060"/>
      <c r="EKT157" s="3060"/>
      <c r="EKU157" s="3060"/>
      <c r="EKV157" s="3060"/>
      <c r="EKW157" s="3060"/>
      <c r="EKX157" s="3060"/>
      <c r="EKY157" s="3060"/>
      <c r="EKZ157" s="3060"/>
      <c r="ELA157" s="3060"/>
      <c r="ELB157" s="3060"/>
      <c r="ELC157" s="3060"/>
      <c r="ELD157" s="3060"/>
      <c r="ELE157" s="3060"/>
      <c r="ELF157" s="3060"/>
      <c r="ELG157" s="3060"/>
      <c r="ELH157" s="3060"/>
      <c r="ELI157" s="3060"/>
      <c r="ELJ157" s="3060"/>
      <c r="ELK157" s="3060"/>
      <c r="ELL157" s="3060"/>
      <c r="ELM157" s="3060"/>
      <c r="ELN157" s="3060"/>
      <c r="ELO157" s="3060"/>
      <c r="ELP157" s="3060"/>
      <c r="ELQ157" s="3060"/>
      <c r="ELR157" s="3060"/>
      <c r="ELS157" s="3060"/>
      <c r="ELT157" s="3060"/>
      <c r="ELU157" s="3060"/>
      <c r="ELV157" s="3060"/>
      <c r="ELW157" s="3060"/>
      <c r="ELX157" s="3060"/>
      <c r="ELY157" s="3060"/>
      <c r="ELZ157" s="3060"/>
      <c r="EMA157" s="3060"/>
      <c r="EMB157" s="3060"/>
      <c r="EMC157" s="3060"/>
      <c r="EMD157" s="3060"/>
      <c r="EME157" s="3060"/>
      <c r="EMF157" s="3060"/>
      <c r="EMG157" s="3060"/>
      <c r="EMH157" s="3060"/>
      <c r="EMI157" s="3060"/>
      <c r="EMJ157" s="3060"/>
      <c r="EMK157" s="3060"/>
      <c r="EML157" s="3060"/>
      <c r="EMM157" s="3060"/>
      <c r="EMN157" s="3060"/>
      <c r="EMO157" s="3060"/>
      <c r="EMP157" s="3060"/>
      <c r="EMQ157" s="3060"/>
      <c r="EMR157" s="3060"/>
      <c r="EMS157" s="3060"/>
      <c r="EMT157" s="3060"/>
      <c r="EMU157" s="3060"/>
      <c r="EMV157" s="3060"/>
      <c r="EMW157" s="3060"/>
      <c r="EMX157" s="3060"/>
      <c r="EMY157" s="3060"/>
      <c r="EMZ157" s="3060"/>
      <c r="ENA157" s="3060"/>
      <c r="ENB157" s="3060"/>
      <c r="ENC157" s="3060"/>
      <c r="END157" s="3060"/>
      <c r="ENE157" s="3060"/>
      <c r="ENF157" s="3060"/>
      <c r="ENG157" s="3060"/>
      <c r="ENH157" s="3060"/>
      <c r="ENI157" s="3060"/>
      <c r="ENJ157" s="3060"/>
      <c r="ENK157" s="3060"/>
      <c r="ENL157" s="3060"/>
      <c r="ENM157" s="3060"/>
      <c r="ENN157" s="3060"/>
      <c r="ENO157" s="3060"/>
      <c r="ENP157" s="3060"/>
      <c r="ENQ157" s="3060"/>
      <c r="ENR157" s="3060"/>
      <c r="ENS157" s="3060"/>
      <c r="ENT157" s="3060"/>
      <c r="ENU157" s="3060"/>
      <c r="ENV157" s="3060"/>
      <c r="ENW157" s="3060"/>
      <c r="ENX157" s="3060"/>
      <c r="ENY157" s="3060"/>
      <c r="ENZ157" s="3060"/>
      <c r="EOA157" s="3060"/>
      <c r="EOB157" s="3060"/>
      <c r="EOC157" s="3060"/>
      <c r="EOD157" s="3060"/>
      <c r="EOE157" s="3060"/>
      <c r="EOF157" s="3060"/>
      <c r="EOG157" s="3060"/>
      <c r="EOH157" s="3060"/>
      <c r="EOI157" s="3060"/>
      <c r="EOJ157" s="3060"/>
      <c r="EOK157" s="3060"/>
      <c r="EOL157" s="3060"/>
      <c r="EOM157" s="3060"/>
      <c r="EON157" s="3060"/>
      <c r="EOO157" s="3060"/>
      <c r="EOP157" s="3060"/>
      <c r="EOQ157" s="3060"/>
      <c r="EOR157" s="3060"/>
      <c r="EOS157" s="3060"/>
      <c r="EOT157" s="3060"/>
      <c r="EOU157" s="3060"/>
      <c r="EOV157" s="3060"/>
      <c r="EOW157" s="3060"/>
      <c r="EOX157" s="3060"/>
      <c r="EOY157" s="3060"/>
      <c r="EOZ157" s="3060"/>
      <c r="EPA157" s="3060"/>
      <c r="EPB157" s="3060"/>
      <c r="EPC157" s="3060"/>
      <c r="EPD157" s="3060"/>
      <c r="EPE157" s="3060"/>
      <c r="EPF157" s="3060"/>
      <c r="EPG157" s="3060"/>
      <c r="EPH157" s="3060"/>
      <c r="EPI157" s="3060"/>
      <c r="EPJ157" s="3060"/>
      <c r="EPK157" s="3060"/>
      <c r="EPL157" s="3060"/>
      <c r="EPM157" s="3060"/>
      <c r="EPN157" s="3060"/>
      <c r="EPO157" s="3060"/>
      <c r="EPP157" s="3060"/>
      <c r="EPQ157" s="3060"/>
      <c r="EPR157" s="3060"/>
      <c r="EPS157" s="3060"/>
      <c r="EPT157" s="3060"/>
      <c r="EPU157" s="3060"/>
      <c r="EPV157" s="3060"/>
      <c r="EPW157" s="3060"/>
      <c r="EPX157" s="3060"/>
      <c r="EPY157" s="3060"/>
      <c r="EPZ157" s="3060"/>
      <c r="EQA157" s="3060"/>
      <c r="EQB157" s="3060"/>
      <c r="EQC157" s="3060"/>
      <c r="EQD157" s="3060"/>
      <c r="EQE157" s="3060"/>
      <c r="EQF157" s="3060"/>
      <c r="EQG157" s="3060"/>
      <c r="EQH157" s="3060"/>
      <c r="EQI157" s="3060"/>
      <c r="EQJ157" s="3060"/>
      <c r="EQK157" s="3060"/>
      <c r="EQL157" s="3060"/>
      <c r="EQM157" s="3060"/>
      <c r="EQN157" s="3060"/>
      <c r="EQO157" s="3060"/>
      <c r="EQP157" s="3060"/>
      <c r="EQQ157" s="3060"/>
      <c r="EQR157" s="3060"/>
      <c r="EQS157" s="3060"/>
      <c r="EQT157" s="3060"/>
      <c r="EQU157" s="3060"/>
      <c r="EQV157" s="3060"/>
      <c r="EQW157" s="3060"/>
      <c r="EQX157" s="3060"/>
      <c r="EQY157" s="3060"/>
      <c r="EQZ157" s="3060"/>
      <c r="ERA157" s="3060"/>
      <c r="ERB157" s="3060"/>
      <c r="ERC157" s="3060"/>
      <c r="ERD157" s="3060"/>
      <c r="ERE157" s="3060"/>
      <c r="ERF157" s="3060"/>
      <c r="ERG157" s="3060"/>
      <c r="ERH157" s="3060"/>
      <c r="ERI157" s="3060"/>
      <c r="ERJ157" s="3060"/>
      <c r="ERK157" s="3060"/>
      <c r="ERL157" s="3060"/>
      <c r="ERM157" s="3060"/>
      <c r="ERN157" s="3060"/>
      <c r="ERO157" s="3060"/>
      <c r="ERP157" s="3060"/>
      <c r="ERQ157" s="3060"/>
      <c r="ERR157" s="3060"/>
      <c r="ERS157" s="3060"/>
      <c r="ERT157" s="3060"/>
      <c r="ERU157" s="3060"/>
      <c r="ERV157" s="3060"/>
      <c r="ERW157" s="3060"/>
      <c r="ERX157" s="3060"/>
      <c r="ERY157" s="3060"/>
      <c r="ERZ157" s="3060"/>
      <c r="ESA157" s="3060"/>
      <c r="ESB157" s="3060"/>
      <c r="ESC157" s="3060"/>
      <c r="ESD157" s="3060"/>
      <c r="ESE157" s="3060"/>
      <c r="ESF157" s="3060"/>
      <c r="ESG157" s="3060"/>
      <c r="ESH157" s="3060"/>
      <c r="ESI157" s="3060"/>
      <c r="ESJ157" s="3060"/>
      <c r="ESK157" s="3060"/>
      <c r="ESL157" s="3060"/>
      <c r="ESM157" s="3060"/>
      <c r="ESN157" s="3060"/>
      <c r="ESO157" s="3060"/>
      <c r="ESP157" s="3060"/>
      <c r="ESQ157" s="3060"/>
      <c r="ESR157" s="3060"/>
      <c r="ESS157" s="3060"/>
      <c r="EST157" s="3060"/>
      <c r="ESU157" s="3060"/>
      <c r="ESV157" s="3060"/>
      <c r="ESW157" s="3060"/>
      <c r="ESX157" s="3060"/>
      <c r="ESY157" s="3060"/>
      <c r="ESZ157" s="3060"/>
      <c r="ETA157" s="3060"/>
      <c r="ETB157" s="3060"/>
      <c r="ETC157" s="3060"/>
      <c r="ETD157" s="3060"/>
      <c r="ETE157" s="3060"/>
      <c r="ETF157" s="3060"/>
      <c r="ETG157" s="3060"/>
      <c r="ETH157" s="3060"/>
      <c r="ETI157" s="3060"/>
      <c r="ETJ157" s="3060"/>
      <c r="ETK157" s="3060"/>
      <c r="ETL157" s="3060"/>
      <c r="ETM157" s="3060"/>
      <c r="ETN157" s="3060"/>
      <c r="ETO157" s="3060"/>
      <c r="ETP157" s="3060"/>
      <c r="ETQ157" s="3060"/>
      <c r="ETR157" s="3060"/>
      <c r="ETS157" s="3060"/>
      <c r="ETT157" s="3060"/>
      <c r="ETU157" s="3060"/>
      <c r="ETV157" s="3060"/>
      <c r="ETW157" s="3060"/>
      <c r="ETX157" s="3060"/>
      <c r="ETY157" s="3060"/>
      <c r="ETZ157" s="3060"/>
      <c r="EUA157" s="3060"/>
      <c r="EUB157" s="3060"/>
      <c r="EUC157" s="3060"/>
      <c r="EUD157" s="3060"/>
      <c r="EUE157" s="3060"/>
      <c r="EUF157" s="3060"/>
      <c r="EUG157" s="3060"/>
      <c r="EUH157" s="3060"/>
      <c r="EUI157" s="3060"/>
      <c r="EUJ157" s="3060"/>
      <c r="EUK157" s="3060"/>
      <c r="EUL157" s="3060"/>
      <c r="EUM157" s="3060"/>
      <c r="EUN157" s="3060"/>
      <c r="EUO157" s="3060"/>
      <c r="EUP157" s="3060"/>
      <c r="EUQ157" s="3060"/>
      <c r="EUR157" s="3060"/>
      <c r="EUS157" s="3060"/>
      <c r="EUT157" s="3060"/>
      <c r="EUU157" s="3060"/>
      <c r="EUV157" s="3060"/>
      <c r="EUW157" s="3060"/>
      <c r="EUX157" s="3060"/>
      <c r="EUY157" s="3060"/>
      <c r="EUZ157" s="3060"/>
      <c r="EVA157" s="3060"/>
      <c r="EVB157" s="3060"/>
      <c r="EVC157" s="3060"/>
      <c r="EVD157" s="3060"/>
      <c r="EVE157" s="3060"/>
      <c r="EVF157" s="3060"/>
      <c r="EVG157" s="3060"/>
      <c r="EVH157" s="3060"/>
      <c r="EVI157" s="3060"/>
      <c r="EVJ157" s="3060"/>
      <c r="EVK157" s="3060"/>
      <c r="EVL157" s="3060"/>
      <c r="EVM157" s="3060"/>
      <c r="EVN157" s="3060"/>
      <c r="EVO157" s="3060"/>
      <c r="EVP157" s="3060"/>
      <c r="EVQ157" s="3060"/>
      <c r="EVR157" s="3060"/>
      <c r="EVS157" s="3060"/>
      <c r="EVT157" s="3060"/>
      <c r="EVU157" s="3060"/>
      <c r="EVV157" s="3060"/>
      <c r="EVW157" s="3060"/>
      <c r="EVX157" s="3060"/>
      <c r="EVY157" s="3060"/>
      <c r="EVZ157" s="3060"/>
      <c r="EWA157" s="3060"/>
      <c r="EWB157" s="3060"/>
      <c r="EWC157" s="3060"/>
      <c r="EWD157" s="3060"/>
      <c r="EWE157" s="3060"/>
      <c r="EWF157" s="3060"/>
      <c r="EWG157" s="3060"/>
      <c r="EWH157" s="3060"/>
      <c r="EWI157" s="3060"/>
      <c r="EWJ157" s="3060"/>
      <c r="EWK157" s="3060"/>
      <c r="EWL157" s="3060"/>
      <c r="EWM157" s="3060"/>
      <c r="EWN157" s="3060"/>
      <c r="EWO157" s="3060"/>
      <c r="EWP157" s="3060"/>
      <c r="EWQ157" s="3060"/>
      <c r="EWR157" s="3060"/>
      <c r="EWS157" s="3060"/>
      <c r="EWT157" s="3060"/>
      <c r="EWU157" s="3060"/>
      <c r="EWV157" s="3060"/>
      <c r="EWW157" s="3060"/>
      <c r="EWX157" s="3060"/>
      <c r="EWY157" s="3060"/>
      <c r="EWZ157" s="3060"/>
      <c r="EXA157" s="3060"/>
      <c r="EXB157" s="3060"/>
      <c r="EXC157" s="3060"/>
      <c r="EXD157" s="3060"/>
      <c r="EXE157" s="3060"/>
      <c r="EXF157" s="3060"/>
      <c r="EXG157" s="3060"/>
      <c r="EXH157" s="3060"/>
      <c r="EXI157" s="3060"/>
      <c r="EXJ157" s="3060"/>
      <c r="EXK157" s="3060"/>
      <c r="EXL157" s="3060"/>
      <c r="EXM157" s="3060"/>
      <c r="EXN157" s="3060"/>
      <c r="EXO157" s="3060"/>
      <c r="EXP157" s="3060"/>
      <c r="EXQ157" s="3060"/>
      <c r="EXR157" s="3060"/>
      <c r="EXS157" s="3060"/>
      <c r="EXT157" s="3060"/>
      <c r="EXU157" s="3060"/>
      <c r="EXV157" s="3060"/>
      <c r="EXW157" s="3060"/>
      <c r="EXX157" s="3060"/>
      <c r="EXY157" s="3060"/>
      <c r="EXZ157" s="3060"/>
      <c r="EYA157" s="3060"/>
      <c r="EYB157" s="3060"/>
      <c r="EYC157" s="3060"/>
      <c r="EYD157" s="3060"/>
      <c r="EYE157" s="3060"/>
      <c r="EYF157" s="3060"/>
      <c r="EYG157" s="3060"/>
      <c r="EYH157" s="3060"/>
      <c r="EYI157" s="3060"/>
      <c r="EYJ157" s="3060"/>
      <c r="EYK157" s="3060"/>
      <c r="EYL157" s="3060"/>
      <c r="EYM157" s="3060"/>
      <c r="EYN157" s="3060"/>
      <c r="EYO157" s="3060"/>
      <c r="EYP157" s="3060"/>
      <c r="EYQ157" s="3060"/>
      <c r="EYR157" s="3060"/>
      <c r="EYS157" s="3060"/>
      <c r="EYT157" s="3060"/>
      <c r="EYU157" s="3060"/>
      <c r="EYV157" s="3060"/>
      <c r="EYW157" s="3060"/>
      <c r="EYX157" s="3060"/>
      <c r="EYY157" s="3060"/>
      <c r="EYZ157" s="3060"/>
      <c r="EZA157" s="3060"/>
      <c r="EZB157" s="3060"/>
      <c r="EZC157" s="3060"/>
      <c r="EZD157" s="3060"/>
      <c r="EZE157" s="3060"/>
      <c r="EZF157" s="3060"/>
      <c r="EZG157" s="3060"/>
      <c r="EZH157" s="3060"/>
      <c r="EZI157" s="3060"/>
      <c r="EZJ157" s="3060"/>
      <c r="EZK157" s="3060"/>
      <c r="EZL157" s="3060"/>
      <c r="EZM157" s="3060"/>
      <c r="EZN157" s="3060"/>
      <c r="EZO157" s="3060"/>
      <c r="EZP157" s="3060"/>
      <c r="EZQ157" s="3060"/>
      <c r="EZR157" s="3060"/>
      <c r="EZS157" s="3060"/>
      <c r="EZT157" s="3060"/>
      <c r="EZU157" s="3060"/>
      <c r="EZV157" s="3060"/>
      <c r="EZW157" s="3060"/>
      <c r="EZX157" s="3060"/>
      <c r="EZY157" s="3060"/>
      <c r="EZZ157" s="3060"/>
      <c r="FAA157" s="3060"/>
      <c r="FAB157" s="3060"/>
      <c r="FAC157" s="3060"/>
      <c r="FAD157" s="3060"/>
      <c r="FAE157" s="3060"/>
      <c r="FAF157" s="3060"/>
      <c r="FAG157" s="3060"/>
      <c r="FAH157" s="3060"/>
      <c r="FAI157" s="3060"/>
      <c r="FAJ157" s="3060"/>
      <c r="FAK157" s="3060"/>
      <c r="FAL157" s="3060"/>
      <c r="FAM157" s="3060"/>
      <c r="FAN157" s="3060"/>
      <c r="FAO157" s="3060"/>
      <c r="FAP157" s="3060"/>
      <c r="FAQ157" s="3060"/>
      <c r="FAR157" s="3060"/>
      <c r="FAS157" s="3060"/>
      <c r="FAT157" s="3060"/>
      <c r="FAU157" s="3060"/>
      <c r="FAV157" s="3060"/>
      <c r="FAW157" s="3060"/>
      <c r="FAX157" s="3060"/>
      <c r="FAY157" s="3060"/>
      <c r="FAZ157" s="3060"/>
      <c r="FBA157" s="3060"/>
      <c r="FBB157" s="3060"/>
      <c r="FBC157" s="3060"/>
      <c r="FBD157" s="3060"/>
      <c r="FBE157" s="3060"/>
      <c r="FBF157" s="3060"/>
      <c r="FBG157" s="3060"/>
      <c r="FBH157" s="3060"/>
      <c r="FBI157" s="3060"/>
      <c r="FBJ157" s="3060"/>
      <c r="FBK157" s="3060"/>
      <c r="FBL157" s="3060"/>
      <c r="FBM157" s="3060"/>
      <c r="FBN157" s="3060"/>
      <c r="FBO157" s="3060"/>
      <c r="FBP157" s="3060"/>
      <c r="FBQ157" s="3060"/>
      <c r="FBR157" s="3060"/>
      <c r="FBS157" s="3060"/>
      <c r="FBT157" s="3060"/>
      <c r="FBU157" s="3060"/>
      <c r="FBV157" s="3060"/>
      <c r="FBW157" s="3060"/>
      <c r="FBX157" s="3060"/>
      <c r="FBY157" s="3060"/>
      <c r="FBZ157" s="3060"/>
      <c r="FCA157" s="3060"/>
      <c r="FCB157" s="3060"/>
      <c r="FCC157" s="3060"/>
      <c r="FCD157" s="3060"/>
      <c r="FCE157" s="3060"/>
      <c r="FCF157" s="3060"/>
      <c r="FCG157" s="3060"/>
      <c r="FCH157" s="3060"/>
      <c r="FCI157" s="3060"/>
      <c r="FCJ157" s="3060"/>
      <c r="FCK157" s="3060"/>
      <c r="FCL157" s="3060"/>
      <c r="FCM157" s="3060"/>
      <c r="FCN157" s="3060"/>
      <c r="FCO157" s="3060"/>
      <c r="FCP157" s="3060"/>
      <c r="FCQ157" s="3060"/>
      <c r="FCR157" s="3060"/>
      <c r="FCS157" s="3060"/>
      <c r="FCT157" s="3060"/>
      <c r="FCU157" s="3060"/>
      <c r="FCV157" s="3060"/>
      <c r="FCW157" s="3060"/>
      <c r="FCX157" s="3060"/>
      <c r="FCY157" s="3060"/>
      <c r="FCZ157" s="3060"/>
      <c r="FDA157" s="3060"/>
      <c r="FDB157" s="3060"/>
      <c r="FDC157" s="3060"/>
      <c r="FDD157" s="3060"/>
      <c r="FDE157" s="3060"/>
      <c r="FDF157" s="3060"/>
      <c r="FDG157" s="3060"/>
      <c r="FDH157" s="3060"/>
      <c r="FDI157" s="3060"/>
      <c r="FDJ157" s="3060"/>
      <c r="FDK157" s="3060"/>
      <c r="FDL157" s="3060"/>
      <c r="FDM157" s="3060"/>
      <c r="FDN157" s="3060"/>
      <c r="FDO157" s="3060"/>
      <c r="FDP157" s="3060"/>
      <c r="FDQ157" s="3060"/>
      <c r="FDR157" s="3060"/>
      <c r="FDS157" s="3060"/>
      <c r="FDT157" s="3060"/>
      <c r="FDU157" s="3060"/>
      <c r="FDV157" s="3060"/>
      <c r="FDW157" s="3060"/>
      <c r="FDX157" s="3060"/>
      <c r="FDY157" s="3060"/>
      <c r="FDZ157" s="3060"/>
      <c r="FEA157" s="3060"/>
      <c r="FEB157" s="3060"/>
      <c r="FEC157" s="3060"/>
      <c r="FED157" s="3060"/>
      <c r="FEE157" s="3060"/>
      <c r="FEF157" s="3060"/>
      <c r="FEG157" s="3060"/>
      <c r="FEH157" s="3060"/>
      <c r="FEI157" s="3060"/>
      <c r="FEJ157" s="3060"/>
      <c r="FEK157" s="3060"/>
      <c r="FEL157" s="3060"/>
      <c r="FEM157" s="3060"/>
      <c r="FEN157" s="3060"/>
      <c r="FEO157" s="3060"/>
      <c r="FEP157" s="3060"/>
      <c r="FEQ157" s="3060"/>
      <c r="FER157" s="3060"/>
      <c r="FES157" s="3060"/>
      <c r="FET157" s="3060"/>
      <c r="FEU157" s="3060"/>
      <c r="FEV157" s="3060"/>
      <c r="FEW157" s="3060"/>
      <c r="FEX157" s="3060"/>
      <c r="FEY157" s="3060"/>
      <c r="FEZ157" s="3060"/>
      <c r="FFA157" s="3060"/>
      <c r="FFB157" s="3060"/>
      <c r="FFC157" s="3060"/>
      <c r="FFD157" s="3060"/>
      <c r="FFE157" s="3060"/>
      <c r="FFF157" s="3060"/>
      <c r="FFG157" s="3060"/>
      <c r="FFH157" s="3060"/>
      <c r="FFI157" s="3060"/>
      <c r="FFJ157" s="3060"/>
      <c r="FFK157" s="3060"/>
      <c r="FFL157" s="3060"/>
      <c r="FFM157" s="3060"/>
      <c r="FFN157" s="3060"/>
      <c r="FFO157" s="3060"/>
      <c r="FFP157" s="3060"/>
      <c r="FFQ157" s="3060"/>
      <c r="FFR157" s="3060"/>
      <c r="FFS157" s="3060"/>
      <c r="FFT157" s="3060"/>
      <c r="FFU157" s="3060"/>
      <c r="FFV157" s="3060"/>
      <c r="FFW157" s="3060"/>
      <c r="FFX157" s="3060"/>
      <c r="FFY157" s="3060"/>
      <c r="FFZ157" s="3060"/>
      <c r="FGA157" s="3060"/>
      <c r="FGB157" s="3060"/>
      <c r="FGC157" s="3060"/>
      <c r="FGD157" s="3060"/>
      <c r="FGE157" s="3060"/>
      <c r="FGF157" s="3060"/>
      <c r="FGG157" s="3060"/>
      <c r="FGH157" s="3060"/>
      <c r="FGI157" s="3060"/>
      <c r="FGJ157" s="3060"/>
      <c r="FGK157" s="3060"/>
      <c r="FGL157" s="3060"/>
      <c r="FGM157" s="3060"/>
      <c r="FGN157" s="3060"/>
      <c r="FGO157" s="3060"/>
      <c r="FGP157" s="3060"/>
      <c r="FGQ157" s="3060"/>
      <c r="FGR157" s="3060"/>
      <c r="FGS157" s="3060"/>
      <c r="FGT157" s="3060"/>
      <c r="FGU157" s="3060"/>
      <c r="FGV157" s="3060"/>
      <c r="FGW157" s="3060"/>
      <c r="FGX157" s="3060"/>
      <c r="FGY157" s="3060"/>
      <c r="FGZ157" s="3060"/>
      <c r="FHA157" s="3060"/>
      <c r="FHB157" s="3060"/>
      <c r="FHC157" s="3060"/>
      <c r="FHD157" s="3060"/>
      <c r="FHE157" s="3060"/>
      <c r="FHF157" s="3060"/>
      <c r="FHG157" s="3060"/>
      <c r="FHH157" s="3060"/>
      <c r="FHI157" s="3060"/>
      <c r="FHJ157" s="3060"/>
      <c r="FHK157" s="3060"/>
      <c r="FHL157" s="3060"/>
      <c r="FHM157" s="3060"/>
      <c r="FHN157" s="3060"/>
      <c r="FHO157" s="3060"/>
      <c r="FHP157" s="3060"/>
      <c r="FHQ157" s="3060"/>
      <c r="FHR157" s="3060"/>
      <c r="FHS157" s="3060"/>
      <c r="FHT157" s="3060"/>
      <c r="FHU157" s="3060"/>
      <c r="FHV157" s="3060"/>
      <c r="FHW157" s="3060"/>
      <c r="FHX157" s="3060"/>
      <c r="FHY157" s="3060"/>
      <c r="FHZ157" s="3060"/>
      <c r="FIA157" s="3060"/>
      <c r="FIB157" s="3060"/>
      <c r="FIC157" s="3060"/>
      <c r="FID157" s="3060"/>
      <c r="FIE157" s="3060"/>
      <c r="FIF157" s="3060"/>
      <c r="FIG157" s="3060"/>
      <c r="FIH157" s="3060"/>
      <c r="FII157" s="3060"/>
      <c r="FIJ157" s="3060"/>
      <c r="FIK157" s="3060"/>
      <c r="FIL157" s="3060"/>
      <c r="FIM157" s="3060"/>
      <c r="FIN157" s="3060"/>
      <c r="FIO157" s="3060"/>
      <c r="FIP157" s="3060"/>
      <c r="FIQ157" s="3060"/>
      <c r="FIR157" s="3060"/>
      <c r="FIS157" s="3060"/>
      <c r="FIT157" s="3060"/>
      <c r="FIU157" s="3060"/>
      <c r="FIV157" s="3060"/>
      <c r="FIW157" s="3060"/>
      <c r="FIX157" s="3060"/>
      <c r="FIY157" s="3060"/>
      <c r="FIZ157" s="3060"/>
      <c r="FJA157" s="3060"/>
      <c r="FJB157" s="3060"/>
      <c r="FJC157" s="3060"/>
      <c r="FJD157" s="3060"/>
      <c r="FJE157" s="3060"/>
      <c r="FJF157" s="3060"/>
      <c r="FJG157" s="3060"/>
      <c r="FJH157" s="3060"/>
      <c r="FJI157" s="3060"/>
      <c r="FJJ157" s="3060"/>
      <c r="FJK157" s="3060"/>
      <c r="FJL157" s="3060"/>
      <c r="FJM157" s="3060"/>
      <c r="FJN157" s="3060"/>
      <c r="FJO157" s="3060"/>
      <c r="FJP157" s="3060"/>
      <c r="FJQ157" s="3060"/>
      <c r="FJR157" s="3060"/>
      <c r="FJS157" s="3060"/>
      <c r="FJT157" s="3060"/>
      <c r="FJU157" s="3060"/>
      <c r="FJV157" s="3060"/>
      <c r="FJW157" s="3060"/>
      <c r="FJX157" s="3060"/>
      <c r="FJY157" s="3060"/>
      <c r="FJZ157" s="3060"/>
      <c r="FKA157" s="3060"/>
      <c r="FKB157" s="3060"/>
      <c r="FKC157" s="3060"/>
      <c r="FKD157" s="3060"/>
      <c r="FKE157" s="3060"/>
      <c r="FKF157" s="3060"/>
      <c r="FKG157" s="3060"/>
      <c r="FKH157" s="3060"/>
      <c r="FKI157" s="3060"/>
      <c r="FKJ157" s="3060"/>
      <c r="FKK157" s="3060"/>
      <c r="FKL157" s="3060"/>
      <c r="FKM157" s="3060"/>
      <c r="FKN157" s="3060"/>
      <c r="FKO157" s="3060"/>
      <c r="FKP157" s="3060"/>
      <c r="FKQ157" s="3060"/>
      <c r="FKR157" s="3060"/>
      <c r="FKS157" s="3060"/>
      <c r="FKT157" s="3060"/>
      <c r="FKU157" s="3060"/>
      <c r="FKV157" s="3060"/>
      <c r="FKW157" s="3060"/>
      <c r="FKX157" s="3060"/>
      <c r="FKY157" s="3060"/>
      <c r="FKZ157" s="3060"/>
      <c r="FLA157" s="3060"/>
      <c r="FLB157" s="3060"/>
      <c r="FLC157" s="3060"/>
      <c r="FLD157" s="3060"/>
      <c r="FLE157" s="3060"/>
      <c r="FLF157" s="3060"/>
      <c r="FLG157" s="3060"/>
      <c r="FLH157" s="3060"/>
      <c r="FLI157" s="3060"/>
      <c r="FLJ157" s="3060"/>
      <c r="FLK157" s="3060"/>
      <c r="FLL157" s="3060"/>
      <c r="FLM157" s="3060"/>
      <c r="FLN157" s="3060"/>
      <c r="FLO157" s="3060"/>
      <c r="FLP157" s="3060"/>
      <c r="FLQ157" s="3060"/>
      <c r="FLR157" s="3060"/>
      <c r="FLS157" s="3060"/>
      <c r="FLT157" s="3060"/>
      <c r="FLU157" s="3060"/>
      <c r="FLV157" s="3060"/>
      <c r="FLW157" s="3060"/>
      <c r="FLX157" s="3060"/>
      <c r="FLY157" s="3060"/>
      <c r="FLZ157" s="3060"/>
      <c r="FMA157" s="3060"/>
      <c r="FMB157" s="3060"/>
      <c r="FMC157" s="3060"/>
      <c r="FMD157" s="3060"/>
      <c r="FME157" s="3060"/>
      <c r="FMF157" s="3060"/>
      <c r="FMG157" s="3060"/>
      <c r="FMH157" s="3060"/>
      <c r="FMI157" s="3060"/>
      <c r="FMJ157" s="3060"/>
      <c r="FMK157" s="3060"/>
      <c r="FML157" s="3060"/>
      <c r="FMM157" s="3060"/>
      <c r="FMN157" s="3060"/>
      <c r="FMO157" s="3060"/>
      <c r="FMP157" s="3060"/>
      <c r="FMQ157" s="3060"/>
      <c r="FMR157" s="3060"/>
      <c r="FMS157" s="3060"/>
      <c r="FMT157" s="3060"/>
      <c r="FMU157" s="3060"/>
      <c r="FMV157" s="3060"/>
      <c r="FMW157" s="3060"/>
      <c r="FMX157" s="3060"/>
      <c r="FMY157" s="3060"/>
      <c r="FMZ157" s="3060"/>
      <c r="FNA157" s="3060"/>
      <c r="FNB157" s="3060"/>
      <c r="FNC157" s="3060"/>
      <c r="FND157" s="3060"/>
      <c r="FNE157" s="3060"/>
      <c r="FNF157" s="3060"/>
      <c r="FNG157" s="3060"/>
      <c r="FNH157" s="3060"/>
      <c r="FNI157" s="3060"/>
      <c r="FNJ157" s="3060"/>
      <c r="FNK157" s="3060"/>
      <c r="FNL157" s="3060"/>
      <c r="FNM157" s="3060"/>
      <c r="FNN157" s="3060"/>
      <c r="FNO157" s="3060"/>
      <c r="FNP157" s="3060"/>
      <c r="FNQ157" s="3060"/>
      <c r="FNR157" s="3060"/>
      <c r="FNS157" s="3060"/>
      <c r="FNT157" s="3060"/>
      <c r="FNU157" s="3060"/>
      <c r="FNV157" s="3060"/>
      <c r="FNW157" s="3060"/>
      <c r="FNX157" s="3060"/>
      <c r="FNY157" s="3060"/>
      <c r="FNZ157" s="3060"/>
      <c r="FOA157" s="3060"/>
      <c r="FOB157" s="3060"/>
      <c r="FOC157" s="3060"/>
      <c r="FOD157" s="3060"/>
      <c r="FOE157" s="3060"/>
      <c r="FOF157" s="3060"/>
      <c r="FOG157" s="3060"/>
      <c r="FOH157" s="3060"/>
      <c r="FOI157" s="3060"/>
      <c r="FOJ157" s="3060"/>
      <c r="FOK157" s="3060"/>
      <c r="FOL157" s="3060"/>
      <c r="FOM157" s="3060"/>
      <c r="FON157" s="3060"/>
      <c r="FOO157" s="3060"/>
      <c r="FOP157" s="3060"/>
      <c r="FOQ157" s="3060"/>
      <c r="FOR157" s="3060"/>
      <c r="FOS157" s="3060"/>
      <c r="FOT157" s="3060"/>
      <c r="FOU157" s="3060"/>
      <c r="FOV157" s="3060"/>
      <c r="FOW157" s="3060"/>
      <c r="FOX157" s="3060"/>
      <c r="FOY157" s="3060"/>
      <c r="FOZ157" s="3060"/>
      <c r="FPA157" s="3060"/>
      <c r="FPB157" s="3060"/>
      <c r="FPC157" s="3060"/>
      <c r="FPD157" s="3060"/>
      <c r="FPE157" s="3060"/>
      <c r="FPF157" s="3060"/>
      <c r="FPG157" s="3060"/>
      <c r="FPH157" s="3060"/>
      <c r="FPI157" s="3060"/>
      <c r="FPJ157" s="3060"/>
      <c r="FPK157" s="3060"/>
      <c r="FPL157" s="3060"/>
      <c r="FPM157" s="3060"/>
      <c r="FPN157" s="3060"/>
      <c r="FPO157" s="3060"/>
      <c r="FPP157" s="3060"/>
      <c r="FPQ157" s="3060"/>
      <c r="FPR157" s="3060"/>
      <c r="FPS157" s="3060"/>
      <c r="FPT157" s="3060"/>
      <c r="FPU157" s="3060"/>
      <c r="FPV157" s="3060"/>
      <c r="FPW157" s="3060"/>
      <c r="FPX157" s="3060"/>
      <c r="FPY157" s="3060"/>
      <c r="FPZ157" s="3060"/>
      <c r="FQA157" s="3060"/>
      <c r="FQB157" s="3060"/>
      <c r="FQC157" s="3060"/>
      <c r="FQD157" s="3060"/>
      <c r="FQE157" s="3060"/>
      <c r="FQF157" s="3060"/>
      <c r="FQG157" s="3060"/>
      <c r="FQH157" s="3060"/>
      <c r="FQI157" s="3060"/>
      <c r="FQJ157" s="3060"/>
      <c r="FQK157" s="3060"/>
      <c r="FQL157" s="3060"/>
      <c r="FQM157" s="3060"/>
      <c r="FQN157" s="3060"/>
      <c r="FQO157" s="3060"/>
      <c r="FQP157" s="3060"/>
      <c r="FQQ157" s="3060"/>
      <c r="FQR157" s="3060"/>
      <c r="FQS157" s="3060"/>
      <c r="FQT157" s="3060"/>
      <c r="FQU157" s="3060"/>
      <c r="FQV157" s="3060"/>
      <c r="FQW157" s="3060"/>
      <c r="FQX157" s="3060"/>
      <c r="FQY157" s="3060"/>
      <c r="FQZ157" s="3060"/>
      <c r="FRA157" s="3060"/>
      <c r="FRB157" s="3060"/>
      <c r="FRC157" s="3060"/>
      <c r="FRD157" s="3060"/>
      <c r="FRE157" s="3060"/>
      <c r="FRF157" s="3060"/>
      <c r="FRG157" s="3060"/>
      <c r="FRH157" s="3060"/>
      <c r="FRI157" s="3060"/>
      <c r="FRJ157" s="3060"/>
      <c r="FRK157" s="3060"/>
      <c r="FRL157" s="3060"/>
      <c r="FRM157" s="3060"/>
      <c r="FRN157" s="3060"/>
      <c r="FRO157" s="3060"/>
      <c r="FRP157" s="3060"/>
      <c r="FRQ157" s="3060"/>
      <c r="FRR157" s="3060"/>
      <c r="FRS157" s="3060"/>
      <c r="FRT157" s="3060"/>
      <c r="FRU157" s="3060"/>
      <c r="FRV157" s="3060"/>
      <c r="FRW157" s="3060"/>
      <c r="FRX157" s="3060"/>
      <c r="FRY157" s="3060"/>
      <c r="FRZ157" s="3060"/>
      <c r="FSA157" s="3060"/>
      <c r="FSB157" s="3060"/>
      <c r="FSC157" s="3060"/>
      <c r="FSD157" s="3060"/>
      <c r="FSE157" s="3060"/>
      <c r="FSF157" s="3060"/>
      <c r="FSG157" s="3060"/>
      <c r="FSH157" s="3060"/>
      <c r="FSI157" s="3060"/>
      <c r="FSJ157" s="3060"/>
      <c r="FSK157" s="3060"/>
      <c r="FSL157" s="3060"/>
      <c r="FSM157" s="3060"/>
      <c r="FSN157" s="3060"/>
      <c r="FSO157" s="3060"/>
      <c r="FSP157" s="3060"/>
      <c r="FSQ157" s="3060"/>
      <c r="FSR157" s="3060"/>
      <c r="FSS157" s="3060"/>
      <c r="FST157" s="3060"/>
      <c r="FSU157" s="3060"/>
      <c r="FSV157" s="3060"/>
      <c r="FSW157" s="3060"/>
      <c r="FSX157" s="3060"/>
      <c r="FSY157" s="3060"/>
      <c r="FSZ157" s="3060"/>
      <c r="FTA157" s="3060"/>
      <c r="FTB157" s="3060"/>
      <c r="FTC157" s="3060"/>
      <c r="FTD157" s="3060"/>
      <c r="FTE157" s="3060"/>
      <c r="FTF157" s="3060"/>
      <c r="FTG157" s="3060"/>
      <c r="FTH157" s="3060"/>
      <c r="FTI157" s="3060"/>
      <c r="FTJ157" s="3060"/>
      <c r="FTK157" s="3060"/>
      <c r="FTL157" s="3060"/>
      <c r="FTM157" s="3060"/>
      <c r="FTN157" s="3060"/>
      <c r="FTO157" s="3060"/>
      <c r="FTP157" s="3060"/>
      <c r="FTQ157" s="3060"/>
      <c r="FTR157" s="3060"/>
      <c r="FTS157" s="3060"/>
      <c r="FTT157" s="3060"/>
      <c r="FTU157" s="3060"/>
      <c r="FTV157" s="3060"/>
      <c r="FTW157" s="3060"/>
      <c r="FTX157" s="3060"/>
      <c r="FTY157" s="3060"/>
      <c r="FTZ157" s="3060"/>
      <c r="FUA157" s="3060"/>
      <c r="FUB157" s="3060"/>
      <c r="FUC157" s="3060"/>
      <c r="FUD157" s="3060"/>
      <c r="FUE157" s="3060"/>
      <c r="FUF157" s="3060"/>
      <c r="FUG157" s="3060"/>
      <c r="FUH157" s="3060"/>
      <c r="FUI157" s="3060"/>
      <c r="FUJ157" s="3060"/>
      <c r="FUK157" s="3060"/>
      <c r="FUL157" s="3060"/>
      <c r="FUM157" s="3060"/>
      <c r="FUN157" s="3060"/>
      <c r="FUO157" s="3060"/>
      <c r="FUP157" s="3060"/>
      <c r="FUQ157" s="3060"/>
      <c r="FUR157" s="3060"/>
      <c r="FUS157" s="3060"/>
      <c r="FUT157" s="3060"/>
      <c r="FUU157" s="3060"/>
      <c r="FUV157" s="3060"/>
      <c r="FUW157" s="3060"/>
      <c r="FUX157" s="3060"/>
      <c r="FUY157" s="3060"/>
      <c r="FUZ157" s="3060"/>
      <c r="FVA157" s="3060"/>
      <c r="FVB157" s="3060"/>
      <c r="FVC157" s="3060"/>
      <c r="FVD157" s="3060"/>
      <c r="FVE157" s="3060"/>
      <c r="FVF157" s="3060"/>
      <c r="FVG157" s="3060"/>
      <c r="FVH157" s="3060"/>
      <c r="FVI157" s="3060"/>
      <c r="FVJ157" s="3060"/>
      <c r="FVK157" s="3060"/>
      <c r="FVL157" s="3060"/>
      <c r="FVM157" s="3060"/>
      <c r="FVN157" s="3060"/>
      <c r="FVO157" s="3060"/>
      <c r="FVP157" s="3060"/>
      <c r="FVQ157" s="3060"/>
      <c r="FVR157" s="3060"/>
      <c r="FVS157" s="3060"/>
      <c r="FVT157" s="3060"/>
      <c r="FVU157" s="3060"/>
      <c r="FVV157" s="3060"/>
      <c r="FVW157" s="3060"/>
      <c r="FVX157" s="3060"/>
      <c r="FVY157" s="3060"/>
      <c r="FVZ157" s="3060"/>
      <c r="FWA157" s="3060"/>
      <c r="FWB157" s="3060"/>
      <c r="FWC157" s="3060"/>
      <c r="FWD157" s="3060"/>
      <c r="FWE157" s="3060"/>
      <c r="FWF157" s="3060"/>
      <c r="FWG157" s="3060"/>
      <c r="FWH157" s="3060"/>
      <c r="FWI157" s="3060"/>
      <c r="FWJ157" s="3060"/>
      <c r="FWK157" s="3060"/>
      <c r="FWL157" s="3060"/>
      <c r="FWM157" s="3060"/>
      <c r="FWN157" s="3060"/>
      <c r="FWO157" s="3060"/>
      <c r="FWP157" s="3060"/>
      <c r="FWQ157" s="3060"/>
      <c r="FWR157" s="3060"/>
      <c r="FWS157" s="3060"/>
      <c r="FWT157" s="3060"/>
      <c r="FWU157" s="3060"/>
      <c r="FWV157" s="3060"/>
      <c r="FWW157" s="3060"/>
      <c r="FWX157" s="3060"/>
      <c r="FWY157" s="3060"/>
      <c r="FWZ157" s="3060"/>
      <c r="FXA157" s="3060"/>
      <c r="FXB157" s="3060"/>
      <c r="FXC157" s="3060"/>
      <c r="FXD157" s="3060"/>
      <c r="FXE157" s="3060"/>
      <c r="FXF157" s="3060"/>
      <c r="FXG157" s="3060"/>
      <c r="FXH157" s="3060"/>
      <c r="FXI157" s="3060"/>
      <c r="FXJ157" s="3060"/>
      <c r="FXK157" s="3060"/>
      <c r="FXL157" s="3060"/>
      <c r="FXM157" s="3060"/>
      <c r="FXN157" s="3060"/>
      <c r="FXO157" s="3060"/>
      <c r="FXP157" s="3060"/>
      <c r="FXQ157" s="3060"/>
      <c r="FXR157" s="3060"/>
      <c r="FXS157" s="3060"/>
      <c r="FXT157" s="3060"/>
      <c r="FXU157" s="3060"/>
      <c r="FXV157" s="3060"/>
      <c r="FXW157" s="3060"/>
      <c r="FXX157" s="3060"/>
      <c r="FXY157" s="3060"/>
      <c r="FXZ157" s="3060"/>
      <c r="FYA157" s="3060"/>
      <c r="FYB157" s="3060"/>
      <c r="FYC157" s="3060"/>
      <c r="FYD157" s="3060"/>
      <c r="FYE157" s="3060"/>
      <c r="FYF157" s="3060"/>
      <c r="FYG157" s="3060"/>
      <c r="FYH157" s="3060"/>
      <c r="FYI157" s="3060"/>
      <c r="FYJ157" s="3060"/>
      <c r="FYK157" s="3060"/>
      <c r="FYL157" s="3060"/>
      <c r="FYM157" s="3060"/>
      <c r="FYN157" s="3060"/>
      <c r="FYO157" s="3060"/>
      <c r="FYP157" s="3060"/>
      <c r="FYQ157" s="3060"/>
      <c r="FYR157" s="3060"/>
      <c r="FYS157" s="3060"/>
      <c r="FYT157" s="3060"/>
      <c r="FYU157" s="3060"/>
      <c r="FYV157" s="3060"/>
      <c r="FYW157" s="3060"/>
      <c r="FYX157" s="3060"/>
      <c r="FYY157" s="3060"/>
      <c r="FYZ157" s="3060"/>
      <c r="FZA157" s="3060"/>
      <c r="FZB157" s="3060"/>
      <c r="FZC157" s="3060"/>
      <c r="FZD157" s="3060"/>
      <c r="FZE157" s="3060"/>
      <c r="FZF157" s="3060"/>
      <c r="FZG157" s="3060"/>
      <c r="FZH157" s="3060"/>
      <c r="FZI157" s="3060"/>
      <c r="FZJ157" s="3060"/>
      <c r="FZK157" s="3060"/>
      <c r="FZL157" s="3060"/>
      <c r="FZM157" s="3060"/>
      <c r="FZN157" s="3060"/>
      <c r="FZO157" s="3060"/>
      <c r="FZP157" s="3060"/>
      <c r="FZQ157" s="3060"/>
      <c r="FZR157" s="3060"/>
      <c r="FZS157" s="3060"/>
      <c r="FZT157" s="3060"/>
      <c r="FZU157" s="3060"/>
      <c r="FZV157" s="3060"/>
      <c r="FZW157" s="3060"/>
      <c r="FZX157" s="3060"/>
      <c r="FZY157" s="3060"/>
      <c r="FZZ157" s="3060"/>
      <c r="GAA157" s="3060"/>
      <c r="GAB157" s="3060"/>
      <c r="GAC157" s="3060"/>
      <c r="GAD157" s="3060"/>
      <c r="GAE157" s="3060"/>
      <c r="GAF157" s="3060"/>
      <c r="GAG157" s="3060"/>
      <c r="GAH157" s="3060"/>
      <c r="GAI157" s="3060"/>
      <c r="GAJ157" s="3060"/>
      <c r="GAK157" s="3060"/>
      <c r="GAL157" s="3060"/>
      <c r="GAM157" s="3060"/>
      <c r="GAN157" s="3060"/>
      <c r="GAO157" s="3060"/>
      <c r="GAP157" s="3060"/>
      <c r="GAQ157" s="3060"/>
      <c r="GAR157" s="3060"/>
      <c r="GAS157" s="3060"/>
      <c r="GAT157" s="3060"/>
      <c r="GAU157" s="3060"/>
      <c r="GAV157" s="3060"/>
      <c r="GAW157" s="3060"/>
      <c r="GAX157" s="3060"/>
      <c r="GAY157" s="3060"/>
      <c r="GAZ157" s="3060"/>
      <c r="GBA157" s="3060"/>
      <c r="GBB157" s="3060"/>
      <c r="GBC157" s="3060"/>
      <c r="GBD157" s="3060"/>
      <c r="GBE157" s="3060"/>
      <c r="GBF157" s="3060"/>
      <c r="GBG157" s="3060"/>
      <c r="GBH157" s="3060"/>
      <c r="GBI157" s="3060"/>
      <c r="GBJ157" s="3060"/>
      <c r="GBK157" s="3060"/>
      <c r="GBL157" s="3060"/>
      <c r="GBM157" s="3060"/>
      <c r="GBN157" s="3060"/>
      <c r="GBO157" s="3060"/>
      <c r="GBP157" s="3060"/>
      <c r="GBQ157" s="3060"/>
      <c r="GBR157" s="3060"/>
      <c r="GBS157" s="3060"/>
      <c r="GBT157" s="3060"/>
      <c r="GBU157" s="3060"/>
      <c r="GBV157" s="3060"/>
      <c r="GBW157" s="3060"/>
      <c r="GBX157" s="3060"/>
      <c r="GBY157" s="3060"/>
      <c r="GBZ157" s="3060"/>
      <c r="GCA157" s="3060"/>
      <c r="GCB157" s="3060"/>
      <c r="GCC157" s="3060"/>
      <c r="GCD157" s="3060"/>
      <c r="GCE157" s="3060"/>
      <c r="GCF157" s="3060"/>
      <c r="GCG157" s="3060"/>
      <c r="GCH157" s="3060"/>
      <c r="GCI157" s="3060"/>
      <c r="GCJ157" s="3060"/>
      <c r="GCK157" s="3060"/>
      <c r="GCL157" s="3060"/>
      <c r="GCM157" s="3060"/>
      <c r="GCN157" s="3060"/>
      <c r="GCO157" s="3060"/>
      <c r="GCP157" s="3060"/>
      <c r="GCQ157" s="3060"/>
      <c r="GCR157" s="3060"/>
      <c r="GCS157" s="3060"/>
      <c r="GCT157" s="3060"/>
      <c r="GCU157" s="3060"/>
      <c r="GCV157" s="3060"/>
      <c r="GCW157" s="3060"/>
      <c r="GCX157" s="3060"/>
      <c r="GCY157" s="3060"/>
      <c r="GCZ157" s="3060"/>
      <c r="GDA157" s="3060"/>
      <c r="GDB157" s="3060"/>
      <c r="GDC157" s="3060"/>
      <c r="GDD157" s="3060"/>
      <c r="GDE157" s="3060"/>
      <c r="GDF157" s="3060"/>
      <c r="GDG157" s="3060"/>
      <c r="GDH157" s="3060"/>
      <c r="GDI157" s="3060"/>
      <c r="GDJ157" s="3060"/>
      <c r="GDK157" s="3060"/>
      <c r="GDL157" s="3060"/>
      <c r="GDM157" s="3060"/>
      <c r="GDN157" s="3060"/>
      <c r="GDO157" s="3060"/>
      <c r="GDP157" s="3060"/>
      <c r="GDQ157" s="3060"/>
      <c r="GDR157" s="3060"/>
      <c r="GDS157" s="3060"/>
      <c r="GDT157" s="3060"/>
      <c r="GDU157" s="3060"/>
      <c r="GDV157" s="3060"/>
      <c r="GDW157" s="3060"/>
      <c r="GDX157" s="3060"/>
      <c r="GDY157" s="3060"/>
      <c r="GDZ157" s="3060"/>
      <c r="GEA157" s="3060"/>
      <c r="GEB157" s="3060"/>
      <c r="GEC157" s="3060"/>
      <c r="GED157" s="3060"/>
      <c r="GEE157" s="3060"/>
      <c r="GEF157" s="3060"/>
      <c r="GEG157" s="3060"/>
      <c r="GEH157" s="3060"/>
      <c r="GEI157" s="3060"/>
      <c r="GEJ157" s="3060"/>
      <c r="GEK157" s="3060"/>
      <c r="GEL157" s="3060"/>
      <c r="GEM157" s="3060"/>
      <c r="GEN157" s="3060"/>
      <c r="GEO157" s="3060"/>
      <c r="GEP157" s="3060"/>
      <c r="GEQ157" s="3060"/>
      <c r="GER157" s="3060"/>
      <c r="GES157" s="3060"/>
      <c r="GET157" s="3060"/>
      <c r="GEU157" s="3060"/>
      <c r="GEV157" s="3060"/>
      <c r="GEW157" s="3060"/>
      <c r="GEX157" s="3060"/>
      <c r="GEY157" s="3060"/>
      <c r="GEZ157" s="3060"/>
      <c r="GFA157" s="3060"/>
      <c r="GFB157" s="3060"/>
      <c r="GFC157" s="3060"/>
      <c r="GFD157" s="3060"/>
      <c r="GFE157" s="3060"/>
      <c r="GFF157" s="3060"/>
      <c r="GFG157" s="3060"/>
      <c r="GFH157" s="3060"/>
      <c r="GFI157" s="3060"/>
      <c r="GFJ157" s="3060"/>
      <c r="GFK157" s="3060"/>
      <c r="GFL157" s="3060"/>
      <c r="GFM157" s="3060"/>
      <c r="GFN157" s="3060"/>
      <c r="GFO157" s="3060"/>
      <c r="GFP157" s="3060"/>
      <c r="GFQ157" s="3060"/>
      <c r="GFR157" s="3060"/>
      <c r="GFS157" s="3060"/>
      <c r="GFT157" s="3060"/>
      <c r="GFU157" s="3060"/>
      <c r="GFV157" s="3060"/>
      <c r="GFW157" s="3060"/>
      <c r="GFX157" s="3060"/>
      <c r="GFY157" s="3060"/>
      <c r="GFZ157" s="3060"/>
      <c r="GGA157" s="3060"/>
      <c r="GGB157" s="3060"/>
      <c r="GGC157" s="3060"/>
      <c r="GGD157" s="3060"/>
      <c r="GGE157" s="3060"/>
      <c r="GGF157" s="3060"/>
      <c r="GGG157" s="3060"/>
      <c r="GGH157" s="3060"/>
      <c r="GGI157" s="3060"/>
      <c r="GGJ157" s="3060"/>
      <c r="GGK157" s="3060"/>
      <c r="GGL157" s="3060"/>
      <c r="GGM157" s="3060"/>
      <c r="GGN157" s="3060"/>
      <c r="GGO157" s="3060"/>
      <c r="GGP157" s="3060"/>
      <c r="GGQ157" s="3060"/>
      <c r="GGR157" s="3060"/>
      <c r="GGS157" s="3060"/>
      <c r="GGT157" s="3060"/>
      <c r="GGU157" s="3060"/>
      <c r="GGV157" s="3060"/>
      <c r="GGW157" s="3060"/>
      <c r="GGX157" s="3060"/>
      <c r="GGY157" s="3060"/>
      <c r="GGZ157" s="3060"/>
      <c r="GHA157" s="3060"/>
      <c r="GHB157" s="3060"/>
      <c r="GHC157" s="3060"/>
      <c r="GHD157" s="3060"/>
      <c r="GHE157" s="3060"/>
      <c r="GHF157" s="3060"/>
      <c r="GHG157" s="3060"/>
      <c r="GHH157" s="3060"/>
      <c r="GHI157" s="3060"/>
      <c r="GHJ157" s="3060"/>
      <c r="GHK157" s="3060"/>
      <c r="GHL157" s="3060"/>
      <c r="GHM157" s="3060"/>
      <c r="GHN157" s="3060"/>
      <c r="GHO157" s="3060"/>
      <c r="GHP157" s="3060"/>
      <c r="GHQ157" s="3060"/>
      <c r="GHR157" s="3060"/>
      <c r="GHS157" s="3060"/>
      <c r="GHT157" s="3060"/>
      <c r="GHU157" s="3060"/>
      <c r="GHV157" s="3060"/>
      <c r="GHW157" s="3060"/>
      <c r="GHX157" s="3060"/>
      <c r="GHY157" s="3060"/>
      <c r="GHZ157" s="3060"/>
      <c r="GIA157" s="3060"/>
      <c r="GIB157" s="3060"/>
      <c r="GIC157" s="3060"/>
      <c r="GID157" s="3060"/>
      <c r="GIE157" s="3060"/>
      <c r="GIF157" s="3060"/>
      <c r="GIG157" s="3060"/>
      <c r="GIH157" s="3060"/>
      <c r="GII157" s="3060"/>
      <c r="GIJ157" s="3060"/>
      <c r="GIK157" s="3060"/>
      <c r="GIL157" s="3060"/>
      <c r="GIM157" s="3060"/>
      <c r="GIN157" s="3060"/>
      <c r="GIO157" s="3060"/>
      <c r="GIP157" s="3060"/>
      <c r="GIQ157" s="3060"/>
      <c r="GIR157" s="3060"/>
      <c r="GIS157" s="3060"/>
      <c r="GIT157" s="3060"/>
      <c r="GIU157" s="3060"/>
      <c r="GIV157" s="3060"/>
      <c r="GIW157" s="3060"/>
      <c r="GIX157" s="3060"/>
      <c r="GIY157" s="3060"/>
      <c r="GIZ157" s="3060"/>
      <c r="GJA157" s="3060"/>
      <c r="GJB157" s="3060"/>
      <c r="GJC157" s="3060"/>
      <c r="GJD157" s="3060"/>
      <c r="GJE157" s="3060"/>
      <c r="GJF157" s="3060"/>
      <c r="GJG157" s="3060"/>
      <c r="GJH157" s="3060"/>
      <c r="GJI157" s="3060"/>
      <c r="GJJ157" s="3060"/>
      <c r="GJK157" s="3060"/>
      <c r="GJL157" s="3060"/>
      <c r="GJM157" s="3060"/>
      <c r="GJN157" s="3060"/>
      <c r="GJO157" s="3060"/>
      <c r="GJP157" s="3060"/>
      <c r="GJQ157" s="3060"/>
      <c r="GJR157" s="3060"/>
      <c r="GJS157" s="3060"/>
      <c r="GJT157" s="3060"/>
      <c r="GJU157" s="3060"/>
      <c r="GJV157" s="3060"/>
      <c r="GJW157" s="3060"/>
      <c r="GJX157" s="3060"/>
      <c r="GJY157" s="3060"/>
      <c r="GJZ157" s="3060"/>
      <c r="GKA157" s="3060"/>
      <c r="GKB157" s="3060"/>
      <c r="GKC157" s="3060"/>
      <c r="GKD157" s="3060"/>
      <c r="GKE157" s="3060"/>
      <c r="GKF157" s="3060"/>
      <c r="GKG157" s="3060"/>
      <c r="GKH157" s="3060"/>
      <c r="GKI157" s="3060"/>
      <c r="GKJ157" s="3060"/>
      <c r="GKK157" s="3060"/>
      <c r="GKL157" s="3060"/>
      <c r="GKM157" s="3060"/>
      <c r="GKN157" s="3060"/>
      <c r="GKO157" s="3060"/>
      <c r="GKP157" s="3060"/>
      <c r="GKQ157" s="3060"/>
      <c r="GKR157" s="3060"/>
      <c r="GKS157" s="3060"/>
      <c r="GKT157" s="3060"/>
      <c r="GKU157" s="3060"/>
      <c r="GKV157" s="3060"/>
      <c r="GKW157" s="3060"/>
      <c r="GKX157" s="3060"/>
      <c r="GKY157" s="3060"/>
      <c r="GKZ157" s="3060"/>
      <c r="GLA157" s="3060"/>
      <c r="GLB157" s="3060"/>
      <c r="GLC157" s="3060"/>
      <c r="GLD157" s="3060"/>
      <c r="GLE157" s="3060"/>
      <c r="GLF157" s="3060"/>
      <c r="GLG157" s="3060"/>
      <c r="GLH157" s="3060"/>
      <c r="GLI157" s="3060"/>
      <c r="GLJ157" s="3060"/>
      <c r="GLK157" s="3060"/>
      <c r="GLL157" s="3060"/>
      <c r="GLM157" s="3060"/>
      <c r="GLN157" s="3060"/>
      <c r="GLO157" s="3060"/>
      <c r="GLP157" s="3060"/>
      <c r="GLQ157" s="3060"/>
      <c r="GLR157" s="3060"/>
      <c r="GLS157" s="3060"/>
      <c r="GLT157" s="3060"/>
      <c r="GLU157" s="3060"/>
      <c r="GLV157" s="3060"/>
      <c r="GLW157" s="3060"/>
      <c r="GLX157" s="3060"/>
      <c r="GLY157" s="3060"/>
      <c r="GLZ157" s="3060"/>
      <c r="GMA157" s="3060"/>
      <c r="GMB157" s="3060"/>
      <c r="GMC157" s="3060"/>
      <c r="GMD157" s="3060"/>
      <c r="GME157" s="3060"/>
      <c r="GMF157" s="3060"/>
      <c r="GMG157" s="3060"/>
      <c r="GMH157" s="3060"/>
      <c r="GMI157" s="3060"/>
      <c r="GMJ157" s="3060"/>
      <c r="GMK157" s="3060"/>
      <c r="GML157" s="3060"/>
      <c r="GMM157" s="3060"/>
      <c r="GMN157" s="3060"/>
      <c r="GMO157" s="3060"/>
      <c r="GMP157" s="3060"/>
      <c r="GMQ157" s="3060"/>
      <c r="GMR157" s="3060"/>
      <c r="GMS157" s="3060"/>
      <c r="GMT157" s="3060"/>
      <c r="GMU157" s="3060"/>
      <c r="GMV157" s="3060"/>
      <c r="GMW157" s="3060"/>
      <c r="GMX157" s="3060"/>
      <c r="GMY157" s="3060"/>
      <c r="GMZ157" s="3060"/>
      <c r="GNA157" s="3060"/>
      <c r="GNB157" s="3060"/>
      <c r="GNC157" s="3060"/>
      <c r="GND157" s="3060"/>
      <c r="GNE157" s="3060"/>
      <c r="GNF157" s="3060"/>
      <c r="GNG157" s="3060"/>
      <c r="GNH157" s="3060"/>
      <c r="GNI157" s="3060"/>
      <c r="GNJ157" s="3060"/>
      <c r="GNK157" s="3060"/>
      <c r="GNL157" s="3060"/>
      <c r="GNM157" s="3060"/>
      <c r="GNN157" s="3060"/>
      <c r="GNO157" s="3060"/>
      <c r="GNP157" s="3060"/>
      <c r="GNQ157" s="3060"/>
      <c r="GNR157" s="3060"/>
      <c r="GNS157" s="3060"/>
      <c r="GNT157" s="3060"/>
      <c r="GNU157" s="3060"/>
      <c r="GNV157" s="3060"/>
      <c r="GNW157" s="3060"/>
      <c r="GNX157" s="3060"/>
      <c r="GNY157" s="3060"/>
      <c r="GNZ157" s="3060"/>
      <c r="GOA157" s="3060"/>
      <c r="GOB157" s="3060"/>
      <c r="GOC157" s="3060"/>
      <c r="GOD157" s="3060"/>
      <c r="GOE157" s="3060"/>
      <c r="GOF157" s="3060"/>
      <c r="GOG157" s="3060"/>
      <c r="GOH157" s="3060"/>
      <c r="GOI157" s="3060"/>
      <c r="GOJ157" s="3060"/>
      <c r="GOK157" s="3060"/>
      <c r="GOL157" s="3060"/>
      <c r="GOM157" s="3060"/>
      <c r="GON157" s="3060"/>
      <c r="GOO157" s="3060"/>
      <c r="GOP157" s="3060"/>
      <c r="GOQ157" s="3060"/>
      <c r="GOR157" s="3060"/>
      <c r="GOS157" s="3060"/>
      <c r="GOT157" s="3060"/>
      <c r="GOU157" s="3060"/>
      <c r="GOV157" s="3060"/>
      <c r="GOW157" s="3060"/>
      <c r="GOX157" s="3060"/>
      <c r="GOY157" s="3060"/>
      <c r="GOZ157" s="3060"/>
      <c r="GPA157" s="3060"/>
      <c r="GPB157" s="3060"/>
      <c r="GPC157" s="3060"/>
      <c r="GPD157" s="3060"/>
      <c r="GPE157" s="3060"/>
      <c r="GPF157" s="3060"/>
      <c r="GPG157" s="3060"/>
      <c r="GPH157" s="3060"/>
      <c r="GPI157" s="3060"/>
      <c r="GPJ157" s="3060"/>
      <c r="GPK157" s="3060"/>
      <c r="GPL157" s="3060"/>
      <c r="GPM157" s="3060"/>
      <c r="GPN157" s="3060"/>
      <c r="GPO157" s="3060"/>
      <c r="GPP157" s="3060"/>
      <c r="GPQ157" s="3060"/>
      <c r="GPR157" s="3060"/>
      <c r="GPS157" s="3060"/>
      <c r="GPT157" s="3060"/>
      <c r="GPU157" s="3060"/>
      <c r="GPV157" s="3060"/>
      <c r="GPW157" s="3060"/>
      <c r="GPX157" s="3060"/>
      <c r="GPY157" s="3060"/>
      <c r="GPZ157" s="3060"/>
      <c r="GQA157" s="3060"/>
      <c r="GQB157" s="3060"/>
      <c r="GQC157" s="3060"/>
      <c r="GQD157" s="3060"/>
      <c r="GQE157" s="3060"/>
      <c r="GQF157" s="3060"/>
      <c r="GQG157" s="3060"/>
      <c r="GQH157" s="3060"/>
      <c r="GQI157" s="3060"/>
      <c r="GQJ157" s="3060"/>
      <c r="GQK157" s="3060"/>
      <c r="GQL157" s="3060"/>
      <c r="GQM157" s="3060"/>
      <c r="GQN157" s="3060"/>
      <c r="GQO157" s="3060"/>
      <c r="GQP157" s="3060"/>
      <c r="GQQ157" s="3060"/>
      <c r="GQR157" s="3060"/>
      <c r="GQS157" s="3060"/>
      <c r="GQT157" s="3060"/>
      <c r="GQU157" s="3060"/>
      <c r="GQV157" s="3060"/>
      <c r="GQW157" s="3060"/>
      <c r="GQX157" s="3060"/>
      <c r="GQY157" s="3060"/>
      <c r="GQZ157" s="3060"/>
      <c r="GRA157" s="3060"/>
      <c r="GRB157" s="3060"/>
      <c r="GRC157" s="3060"/>
      <c r="GRD157" s="3060"/>
      <c r="GRE157" s="3060"/>
      <c r="GRF157" s="3060"/>
      <c r="GRG157" s="3060"/>
      <c r="GRH157" s="3060"/>
      <c r="GRI157" s="3060"/>
      <c r="GRJ157" s="3060"/>
      <c r="GRK157" s="3060"/>
      <c r="GRL157" s="3060"/>
      <c r="GRM157" s="3060"/>
      <c r="GRN157" s="3060"/>
      <c r="GRO157" s="3060"/>
      <c r="GRP157" s="3060"/>
      <c r="GRQ157" s="3060"/>
      <c r="GRR157" s="3060"/>
      <c r="GRS157" s="3060"/>
      <c r="GRT157" s="3060"/>
      <c r="GRU157" s="3060"/>
      <c r="GRV157" s="3060"/>
      <c r="GRW157" s="3060"/>
      <c r="GRX157" s="3060"/>
      <c r="GRY157" s="3060"/>
      <c r="GRZ157" s="3060"/>
      <c r="GSA157" s="3060"/>
      <c r="GSB157" s="3060"/>
      <c r="GSC157" s="3060"/>
      <c r="GSD157" s="3060"/>
      <c r="GSE157" s="3060"/>
      <c r="GSF157" s="3060"/>
      <c r="GSG157" s="3060"/>
      <c r="GSH157" s="3060"/>
      <c r="GSI157" s="3060"/>
      <c r="GSJ157" s="3060"/>
      <c r="GSK157" s="3060"/>
      <c r="GSL157" s="3060"/>
      <c r="GSM157" s="3060"/>
      <c r="GSN157" s="3060"/>
      <c r="GSO157" s="3060"/>
      <c r="GSP157" s="3060"/>
      <c r="GSQ157" s="3060"/>
      <c r="GSR157" s="3060"/>
      <c r="GSS157" s="3060"/>
      <c r="GST157" s="3060"/>
      <c r="GSU157" s="3060"/>
      <c r="GSV157" s="3060"/>
      <c r="GSW157" s="3060"/>
      <c r="GSX157" s="3060"/>
      <c r="GSY157" s="3060"/>
      <c r="GSZ157" s="3060"/>
      <c r="GTA157" s="3060"/>
      <c r="GTB157" s="3060"/>
      <c r="GTC157" s="3060"/>
      <c r="GTD157" s="3060"/>
      <c r="GTE157" s="3060"/>
      <c r="GTF157" s="3060"/>
      <c r="GTG157" s="3060"/>
      <c r="GTH157" s="3060"/>
      <c r="GTI157" s="3060"/>
      <c r="GTJ157" s="3060"/>
      <c r="GTK157" s="3060"/>
      <c r="GTL157" s="3060"/>
      <c r="GTM157" s="3060"/>
      <c r="GTN157" s="3060"/>
      <c r="GTO157" s="3060"/>
      <c r="GTP157" s="3060"/>
      <c r="GTQ157" s="3060"/>
      <c r="GTR157" s="3060"/>
      <c r="GTS157" s="3060"/>
      <c r="GTT157" s="3060"/>
      <c r="GTU157" s="3060"/>
      <c r="GTV157" s="3060"/>
      <c r="GTW157" s="3060"/>
      <c r="GTX157" s="3060"/>
      <c r="GTY157" s="3060"/>
      <c r="GTZ157" s="3060"/>
      <c r="GUA157" s="3060"/>
      <c r="GUB157" s="3060"/>
      <c r="GUC157" s="3060"/>
      <c r="GUD157" s="3060"/>
      <c r="GUE157" s="3060"/>
      <c r="GUF157" s="3060"/>
      <c r="GUG157" s="3060"/>
      <c r="GUH157" s="3060"/>
      <c r="GUI157" s="3060"/>
      <c r="GUJ157" s="3060"/>
      <c r="GUK157" s="3060"/>
      <c r="GUL157" s="3060"/>
      <c r="GUM157" s="3060"/>
      <c r="GUN157" s="3060"/>
      <c r="GUO157" s="3060"/>
      <c r="GUP157" s="3060"/>
      <c r="GUQ157" s="3060"/>
      <c r="GUR157" s="3060"/>
      <c r="GUS157" s="3060"/>
      <c r="GUT157" s="3060"/>
      <c r="GUU157" s="3060"/>
      <c r="GUV157" s="3060"/>
      <c r="GUW157" s="3060"/>
      <c r="GUX157" s="3060"/>
      <c r="GUY157" s="3060"/>
      <c r="GUZ157" s="3060"/>
      <c r="GVA157" s="3060"/>
      <c r="GVB157" s="3060"/>
      <c r="GVC157" s="3060"/>
      <c r="GVD157" s="3060"/>
      <c r="GVE157" s="3060"/>
      <c r="GVF157" s="3060"/>
      <c r="GVG157" s="3060"/>
      <c r="GVH157" s="3060"/>
      <c r="GVI157" s="3060"/>
      <c r="GVJ157" s="3060"/>
      <c r="GVK157" s="3060"/>
      <c r="GVL157" s="3060"/>
      <c r="GVM157" s="3060"/>
      <c r="GVN157" s="3060"/>
      <c r="GVO157" s="3060"/>
      <c r="GVP157" s="3060"/>
      <c r="GVQ157" s="3060"/>
      <c r="GVR157" s="3060"/>
      <c r="GVS157" s="3060"/>
      <c r="GVT157" s="3060"/>
      <c r="GVU157" s="3060"/>
      <c r="GVV157" s="3060"/>
      <c r="GVW157" s="3060"/>
      <c r="GVX157" s="3060"/>
      <c r="GVY157" s="3060"/>
      <c r="GVZ157" s="3060"/>
      <c r="GWA157" s="3060"/>
      <c r="GWB157" s="3060"/>
      <c r="GWC157" s="3060"/>
      <c r="GWD157" s="3060"/>
      <c r="GWE157" s="3060"/>
      <c r="GWF157" s="3060"/>
      <c r="GWG157" s="3060"/>
      <c r="GWH157" s="3060"/>
      <c r="GWI157" s="3060"/>
      <c r="GWJ157" s="3060"/>
      <c r="GWK157" s="3060"/>
      <c r="GWL157" s="3060"/>
      <c r="GWM157" s="3060"/>
      <c r="GWN157" s="3060"/>
      <c r="GWO157" s="3060"/>
      <c r="GWP157" s="3060"/>
      <c r="GWQ157" s="3060"/>
      <c r="GWR157" s="3060"/>
      <c r="GWS157" s="3060"/>
      <c r="GWT157" s="3060"/>
      <c r="GWU157" s="3060"/>
      <c r="GWV157" s="3060"/>
      <c r="GWW157" s="3060"/>
      <c r="GWX157" s="3060"/>
      <c r="GWY157" s="3060"/>
      <c r="GWZ157" s="3060"/>
      <c r="GXA157" s="3060"/>
      <c r="GXB157" s="3060"/>
      <c r="GXC157" s="3060"/>
      <c r="GXD157" s="3060"/>
      <c r="GXE157" s="3060"/>
      <c r="GXF157" s="3060"/>
      <c r="GXG157" s="3060"/>
      <c r="GXH157" s="3060"/>
      <c r="GXI157" s="3060"/>
      <c r="GXJ157" s="3060"/>
      <c r="GXK157" s="3060"/>
      <c r="GXL157" s="3060"/>
      <c r="GXM157" s="3060"/>
      <c r="GXN157" s="3060"/>
      <c r="GXO157" s="3060"/>
      <c r="GXP157" s="3060"/>
      <c r="GXQ157" s="3060"/>
      <c r="GXR157" s="3060"/>
      <c r="GXS157" s="3060"/>
      <c r="GXT157" s="3060"/>
      <c r="GXU157" s="3060"/>
      <c r="GXV157" s="3060"/>
      <c r="GXW157" s="3060"/>
      <c r="GXX157" s="3060"/>
      <c r="GXY157" s="3060"/>
      <c r="GXZ157" s="3060"/>
      <c r="GYA157" s="3060"/>
      <c r="GYB157" s="3060"/>
      <c r="GYC157" s="3060"/>
      <c r="GYD157" s="3060"/>
      <c r="GYE157" s="3060"/>
      <c r="GYF157" s="3060"/>
      <c r="GYG157" s="3060"/>
      <c r="GYH157" s="3060"/>
      <c r="GYI157" s="3060"/>
      <c r="GYJ157" s="3060"/>
      <c r="GYK157" s="3060"/>
      <c r="GYL157" s="3060"/>
      <c r="GYM157" s="3060"/>
      <c r="GYN157" s="3060"/>
      <c r="GYO157" s="3060"/>
      <c r="GYP157" s="3060"/>
      <c r="GYQ157" s="3060"/>
      <c r="GYR157" s="3060"/>
      <c r="GYS157" s="3060"/>
      <c r="GYT157" s="3060"/>
      <c r="GYU157" s="3060"/>
      <c r="GYV157" s="3060"/>
      <c r="GYW157" s="3060"/>
      <c r="GYX157" s="3060"/>
      <c r="GYY157" s="3060"/>
      <c r="GYZ157" s="3060"/>
      <c r="GZA157" s="3060"/>
      <c r="GZB157" s="3060"/>
      <c r="GZC157" s="3060"/>
      <c r="GZD157" s="3060"/>
      <c r="GZE157" s="3060"/>
      <c r="GZF157" s="3060"/>
      <c r="GZG157" s="3060"/>
      <c r="GZH157" s="3060"/>
      <c r="GZI157" s="3060"/>
      <c r="GZJ157" s="3060"/>
      <c r="GZK157" s="3060"/>
      <c r="GZL157" s="3060"/>
      <c r="GZM157" s="3060"/>
      <c r="GZN157" s="3060"/>
      <c r="GZO157" s="3060"/>
      <c r="GZP157" s="3060"/>
      <c r="GZQ157" s="3060"/>
      <c r="GZR157" s="3060"/>
      <c r="GZS157" s="3060"/>
      <c r="GZT157" s="3060"/>
      <c r="GZU157" s="3060"/>
      <c r="GZV157" s="3060"/>
      <c r="GZW157" s="3060"/>
      <c r="GZX157" s="3060"/>
      <c r="GZY157" s="3060"/>
      <c r="GZZ157" s="3060"/>
      <c r="HAA157" s="3060"/>
      <c r="HAB157" s="3060"/>
      <c r="HAC157" s="3060"/>
      <c r="HAD157" s="3060"/>
      <c r="HAE157" s="3060"/>
      <c r="HAF157" s="3060"/>
      <c r="HAG157" s="3060"/>
      <c r="HAH157" s="3060"/>
      <c r="HAI157" s="3060"/>
      <c r="HAJ157" s="3060"/>
      <c r="HAK157" s="3060"/>
      <c r="HAL157" s="3060"/>
      <c r="HAM157" s="3060"/>
      <c r="HAN157" s="3060"/>
      <c r="HAO157" s="3060"/>
      <c r="HAP157" s="3060"/>
      <c r="HAQ157" s="3060"/>
      <c r="HAR157" s="3060"/>
      <c r="HAS157" s="3060"/>
      <c r="HAT157" s="3060"/>
      <c r="HAU157" s="3060"/>
      <c r="HAV157" s="3060"/>
      <c r="HAW157" s="3060"/>
      <c r="HAX157" s="3060"/>
      <c r="HAY157" s="3060"/>
      <c r="HAZ157" s="3060"/>
      <c r="HBA157" s="3060"/>
      <c r="HBB157" s="3060"/>
      <c r="HBC157" s="3060"/>
      <c r="HBD157" s="3060"/>
      <c r="HBE157" s="3060"/>
      <c r="HBF157" s="3060"/>
      <c r="HBG157" s="3060"/>
      <c r="HBH157" s="3060"/>
      <c r="HBI157" s="3060"/>
      <c r="HBJ157" s="3060"/>
      <c r="HBK157" s="3060"/>
      <c r="HBL157" s="3060"/>
      <c r="HBM157" s="3060"/>
      <c r="HBN157" s="3060"/>
      <c r="HBO157" s="3060"/>
      <c r="HBP157" s="3060"/>
      <c r="HBQ157" s="3060"/>
      <c r="HBR157" s="3060"/>
      <c r="HBS157" s="3060"/>
      <c r="HBT157" s="3060"/>
      <c r="HBU157" s="3060"/>
      <c r="HBV157" s="3060"/>
      <c r="HBW157" s="3060"/>
      <c r="HBX157" s="3060"/>
      <c r="HBY157" s="3060"/>
      <c r="HBZ157" s="3060"/>
      <c r="HCA157" s="3060"/>
      <c r="HCB157" s="3060"/>
      <c r="HCC157" s="3060"/>
      <c r="HCD157" s="3060"/>
      <c r="HCE157" s="3060"/>
      <c r="HCF157" s="3060"/>
      <c r="HCG157" s="3060"/>
      <c r="HCH157" s="3060"/>
      <c r="HCI157" s="3060"/>
      <c r="HCJ157" s="3060"/>
      <c r="HCK157" s="3060"/>
      <c r="HCL157" s="3060"/>
      <c r="HCM157" s="3060"/>
      <c r="HCN157" s="3060"/>
      <c r="HCO157" s="3060"/>
      <c r="HCP157" s="3060"/>
      <c r="HCQ157" s="3060"/>
      <c r="HCR157" s="3060"/>
      <c r="HCS157" s="3060"/>
      <c r="HCT157" s="3060"/>
      <c r="HCU157" s="3060"/>
      <c r="HCV157" s="3060"/>
      <c r="HCW157" s="3060"/>
      <c r="HCX157" s="3060"/>
      <c r="HCY157" s="3060"/>
      <c r="HCZ157" s="3060"/>
      <c r="HDA157" s="3060"/>
      <c r="HDB157" s="3060"/>
      <c r="HDC157" s="3060"/>
      <c r="HDD157" s="3060"/>
      <c r="HDE157" s="3060"/>
      <c r="HDF157" s="3060"/>
      <c r="HDG157" s="3060"/>
      <c r="HDH157" s="3060"/>
      <c r="HDI157" s="3060"/>
      <c r="HDJ157" s="3060"/>
      <c r="HDK157" s="3060"/>
      <c r="HDL157" s="3060"/>
      <c r="HDM157" s="3060"/>
      <c r="HDN157" s="3060"/>
      <c r="HDO157" s="3060"/>
      <c r="HDP157" s="3060"/>
      <c r="HDQ157" s="3060"/>
      <c r="HDR157" s="3060"/>
      <c r="HDS157" s="3060"/>
      <c r="HDT157" s="3060"/>
      <c r="HDU157" s="3060"/>
      <c r="HDV157" s="3060"/>
      <c r="HDW157" s="3060"/>
      <c r="HDX157" s="3060"/>
      <c r="HDY157" s="3060"/>
      <c r="HDZ157" s="3060"/>
      <c r="HEA157" s="3060"/>
      <c r="HEB157" s="3060"/>
      <c r="HEC157" s="3060"/>
      <c r="HED157" s="3060"/>
      <c r="HEE157" s="3060"/>
      <c r="HEF157" s="3060"/>
      <c r="HEG157" s="3060"/>
      <c r="HEH157" s="3060"/>
      <c r="HEI157" s="3060"/>
      <c r="HEJ157" s="3060"/>
      <c r="HEK157" s="3060"/>
      <c r="HEL157" s="3060"/>
      <c r="HEM157" s="3060"/>
      <c r="HEN157" s="3060"/>
      <c r="HEO157" s="3060"/>
      <c r="HEP157" s="3060"/>
      <c r="HEQ157" s="3060"/>
      <c r="HER157" s="3060"/>
      <c r="HES157" s="3060"/>
      <c r="HET157" s="3060"/>
      <c r="HEU157" s="3060"/>
      <c r="HEV157" s="3060"/>
      <c r="HEW157" s="3060"/>
      <c r="HEX157" s="3060"/>
      <c r="HEY157" s="3060"/>
      <c r="HEZ157" s="3060"/>
      <c r="HFA157" s="3060"/>
      <c r="HFB157" s="3060"/>
      <c r="HFC157" s="3060"/>
      <c r="HFD157" s="3060"/>
      <c r="HFE157" s="3060"/>
      <c r="HFF157" s="3060"/>
      <c r="HFG157" s="3060"/>
      <c r="HFH157" s="3060"/>
      <c r="HFI157" s="3060"/>
      <c r="HFJ157" s="3060"/>
      <c r="HFK157" s="3060"/>
      <c r="HFL157" s="3060"/>
      <c r="HFM157" s="3060"/>
      <c r="HFN157" s="3060"/>
      <c r="HFO157" s="3060"/>
      <c r="HFP157" s="3060"/>
      <c r="HFQ157" s="3060"/>
      <c r="HFR157" s="3060"/>
      <c r="HFS157" s="3060"/>
      <c r="HFT157" s="3060"/>
      <c r="HFU157" s="3060"/>
      <c r="HFV157" s="3060"/>
      <c r="HFW157" s="3060"/>
      <c r="HFX157" s="3060"/>
      <c r="HFY157" s="3060"/>
      <c r="HFZ157" s="3060"/>
      <c r="HGA157" s="3060"/>
      <c r="HGB157" s="3060"/>
      <c r="HGC157" s="3060"/>
      <c r="HGD157" s="3060"/>
      <c r="HGE157" s="3060"/>
      <c r="HGF157" s="3060"/>
      <c r="HGG157" s="3060"/>
      <c r="HGH157" s="3060"/>
      <c r="HGI157" s="3060"/>
      <c r="HGJ157" s="3060"/>
      <c r="HGK157" s="3060"/>
      <c r="HGL157" s="3060"/>
      <c r="HGM157" s="3060"/>
      <c r="HGN157" s="3060"/>
      <c r="HGO157" s="3060"/>
      <c r="HGP157" s="3060"/>
      <c r="HGQ157" s="3060"/>
      <c r="HGR157" s="3060"/>
      <c r="HGS157" s="3060"/>
      <c r="HGT157" s="3060"/>
      <c r="HGU157" s="3060"/>
      <c r="HGV157" s="3060"/>
      <c r="HGW157" s="3060"/>
      <c r="HGX157" s="3060"/>
      <c r="HGY157" s="3060"/>
      <c r="HGZ157" s="3060"/>
      <c r="HHA157" s="3060"/>
      <c r="HHB157" s="3060"/>
      <c r="HHC157" s="3060"/>
      <c r="HHD157" s="3060"/>
      <c r="HHE157" s="3060"/>
      <c r="HHF157" s="3060"/>
      <c r="HHG157" s="3060"/>
      <c r="HHH157" s="3060"/>
      <c r="HHI157" s="3060"/>
      <c r="HHJ157" s="3060"/>
      <c r="HHK157" s="3060"/>
      <c r="HHL157" s="3060"/>
      <c r="HHM157" s="3060"/>
      <c r="HHN157" s="3060"/>
      <c r="HHO157" s="3060"/>
      <c r="HHP157" s="3060"/>
      <c r="HHQ157" s="3060"/>
      <c r="HHR157" s="3060"/>
      <c r="HHS157" s="3060"/>
      <c r="HHT157" s="3060"/>
      <c r="HHU157" s="3060"/>
      <c r="HHV157" s="3060"/>
      <c r="HHW157" s="3060"/>
      <c r="HHX157" s="3060"/>
      <c r="HHY157" s="3060"/>
      <c r="HHZ157" s="3060"/>
      <c r="HIA157" s="3060"/>
      <c r="HIB157" s="3060"/>
      <c r="HIC157" s="3060"/>
      <c r="HID157" s="3060"/>
      <c r="HIE157" s="3060"/>
      <c r="HIF157" s="3060"/>
      <c r="HIG157" s="3060"/>
      <c r="HIH157" s="3060"/>
      <c r="HII157" s="3060"/>
      <c r="HIJ157" s="3060"/>
      <c r="HIK157" s="3060"/>
      <c r="HIL157" s="3060"/>
      <c r="HIM157" s="3060"/>
      <c r="HIN157" s="3060"/>
      <c r="HIO157" s="3060"/>
      <c r="HIP157" s="3060"/>
      <c r="HIQ157" s="3060"/>
      <c r="HIR157" s="3060"/>
      <c r="HIS157" s="3060"/>
      <c r="HIT157" s="3060"/>
      <c r="HIU157" s="3060"/>
      <c r="HIV157" s="3060"/>
      <c r="HIW157" s="3060"/>
      <c r="HIX157" s="3060"/>
      <c r="HIY157" s="3060"/>
      <c r="HIZ157" s="3060"/>
      <c r="HJA157" s="3060"/>
      <c r="HJB157" s="3060"/>
      <c r="HJC157" s="3060"/>
      <c r="HJD157" s="3060"/>
      <c r="HJE157" s="3060"/>
      <c r="HJF157" s="3060"/>
      <c r="HJG157" s="3060"/>
      <c r="HJH157" s="3060"/>
      <c r="HJI157" s="3060"/>
      <c r="HJJ157" s="3060"/>
      <c r="HJK157" s="3060"/>
      <c r="HJL157" s="3060"/>
      <c r="HJM157" s="3060"/>
      <c r="HJN157" s="3060"/>
      <c r="HJO157" s="3060"/>
      <c r="HJP157" s="3060"/>
      <c r="HJQ157" s="3060"/>
      <c r="HJR157" s="3060"/>
      <c r="HJS157" s="3060"/>
      <c r="HJT157" s="3060"/>
      <c r="HJU157" s="3060"/>
      <c r="HJV157" s="3060"/>
      <c r="HJW157" s="3060"/>
      <c r="HJX157" s="3060"/>
      <c r="HJY157" s="3060"/>
      <c r="HJZ157" s="3060"/>
      <c r="HKA157" s="3060"/>
      <c r="HKB157" s="3060"/>
      <c r="HKC157" s="3060"/>
      <c r="HKD157" s="3060"/>
      <c r="HKE157" s="3060"/>
      <c r="HKF157" s="3060"/>
      <c r="HKG157" s="3060"/>
      <c r="HKH157" s="3060"/>
      <c r="HKI157" s="3060"/>
      <c r="HKJ157" s="3060"/>
      <c r="HKK157" s="3060"/>
      <c r="HKL157" s="3060"/>
      <c r="HKM157" s="3060"/>
      <c r="HKN157" s="3060"/>
      <c r="HKO157" s="3060"/>
      <c r="HKP157" s="3060"/>
      <c r="HKQ157" s="3060"/>
      <c r="HKR157" s="3060"/>
      <c r="HKS157" s="3060"/>
      <c r="HKT157" s="3060"/>
      <c r="HKU157" s="3060"/>
      <c r="HKV157" s="3060"/>
      <c r="HKW157" s="3060"/>
      <c r="HKX157" s="3060"/>
      <c r="HKY157" s="3060"/>
      <c r="HKZ157" s="3060"/>
      <c r="HLA157" s="3060"/>
      <c r="HLB157" s="3060"/>
      <c r="HLC157" s="3060"/>
      <c r="HLD157" s="3060"/>
      <c r="HLE157" s="3060"/>
      <c r="HLF157" s="3060"/>
      <c r="HLG157" s="3060"/>
      <c r="HLH157" s="3060"/>
      <c r="HLI157" s="3060"/>
      <c r="HLJ157" s="3060"/>
      <c r="HLK157" s="3060"/>
      <c r="HLL157" s="3060"/>
      <c r="HLM157" s="3060"/>
      <c r="HLN157" s="3060"/>
      <c r="HLO157" s="3060"/>
      <c r="HLP157" s="3060"/>
      <c r="HLQ157" s="3060"/>
      <c r="HLR157" s="3060"/>
      <c r="HLS157" s="3060"/>
      <c r="HLT157" s="3060"/>
      <c r="HLU157" s="3060"/>
      <c r="HLV157" s="3060"/>
      <c r="HLW157" s="3060"/>
      <c r="HLX157" s="3060"/>
      <c r="HLY157" s="3060"/>
      <c r="HLZ157" s="3060"/>
      <c r="HMA157" s="3060"/>
      <c r="HMB157" s="3060"/>
      <c r="HMC157" s="3060"/>
      <c r="HMD157" s="3060"/>
      <c r="HME157" s="3060"/>
      <c r="HMF157" s="3060"/>
      <c r="HMG157" s="3060"/>
      <c r="HMH157" s="3060"/>
      <c r="HMI157" s="3060"/>
      <c r="HMJ157" s="3060"/>
      <c r="HMK157" s="3060"/>
      <c r="HML157" s="3060"/>
      <c r="HMM157" s="3060"/>
      <c r="HMN157" s="3060"/>
      <c r="HMO157" s="3060"/>
      <c r="HMP157" s="3060"/>
      <c r="HMQ157" s="3060"/>
      <c r="HMR157" s="3060"/>
      <c r="HMS157" s="3060"/>
      <c r="HMT157" s="3060"/>
      <c r="HMU157" s="3060"/>
      <c r="HMV157" s="3060"/>
      <c r="HMW157" s="3060"/>
      <c r="HMX157" s="3060"/>
      <c r="HMY157" s="3060"/>
      <c r="HMZ157" s="3060"/>
      <c r="HNA157" s="3060"/>
      <c r="HNB157" s="3060"/>
      <c r="HNC157" s="3060"/>
      <c r="HND157" s="3060"/>
      <c r="HNE157" s="3060"/>
      <c r="HNF157" s="3060"/>
      <c r="HNG157" s="3060"/>
      <c r="HNH157" s="3060"/>
      <c r="HNI157" s="3060"/>
      <c r="HNJ157" s="3060"/>
      <c r="HNK157" s="3060"/>
      <c r="HNL157" s="3060"/>
      <c r="HNM157" s="3060"/>
      <c r="HNN157" s="3060"/>
      <c r="HNO157" s="3060"/>
      <c r="HNP157" s="3060"/>
      <c r="HNQ157" s="3060"/>
      <c r="HNR157" s="3060"/>
      <c r="HNS157" s="3060"/>
      <c r="HNT157" s="3060"/>
      <c r="HNU157" s="3060"/>
      <c r="HNV157" s="3060"/>
      <c r="HNW157" s="3060"/>
      <c r="HNX157" s="3060"/>
      <c r="HNY157" s="3060"/>
      <c r="HNZ157" s="3060"/>
      <c r="HOA157" s="3060"/>
      <c r="HOB157" s="3060"/>
      <c r="HOC157" s="3060"/>
      <c r="HOD157" s="3060"/>
      <c r="HOE157" s="3060"/>
      <c r="HOF157" s="3060"/>
      <c r="HOG157" s="3060"/>
      <c r="HOH157" s="3060"/>
      <c r="HOI157" s="3060"/>
      <c r="HOJ157" s="3060"/>
      <c r="HOK157" s="3060"/>
      <c r="HOL157" s="3060"/>
      <c r="HOM157" s="3060"/>
      <c r="HON157" s="3060"/>
      <c r="HOO157" s="3060"/>
      <c r="HOP157" s="3060"/>
      <c r="HOQ157" s="3060"/>
      <c r="HOR157" s="3060"/>
      <c r="HOS157" s="3060"/>
      <c r="HOT157" s="3060"/>
      <c r="HOU157" s="3060"/>
      <c r="HOV157" s="3060"/>
      <c r="HOW157" s="3060"/>
      <c r="HOX157" s="3060"/>
      <c r="HOY157" s="3060"/>
      <c r="HOZ157" s="3060"/>
      <c r="HPA157" s="3060"/>
      <c r="HPB157" s="3060"/>
      <c r="HPC157" s="3060"/>
      <c r="HPD157" s="3060"/>
      <c r="HPE157" s="3060"/>
      <c r="HPF157" s="3060"/>
      <c r="HPG157" s="3060"/>
      <c r="HPH157" s="3060"/>
      <c r="HPI157" s="3060"/>
      <c r="HPJ157" s="3060"/>
      <c r="HPK157" s="3060"/>
      <c r="HPL157" s="3060"/>
      <c r="HPM157" s="3060"/>
      <c r="HPN157" s="3060"/>
      <c r="HPO157" s="3060"/>
      <c r="HPP157" s="3060"/>
      <c r="HPQ157" s="3060"/>
      <c r="HPR157" s="3060"/>
      <c r="HPS157" s="3060"/>
      <c r="HPT157" s="3060"/>
      <c r="HPU157" s="3060"/>
      <c r="HPV157" s="3060"/>
      <c r="HPW157" s="3060"/>
      <c r="HPX157" s="3060"/>
      <c r="HPY157" s="3060"/>
      <c r="HPZ157" s="3060"/>
      <c r="HQA157" s="3060"/>
      <c r="HQB157" s="3060"/>
      <c r="HQC157" s="3060"/>
      <c r="HQD157" s="3060"/>
      <c r="HQE157" s="3060"/>
      <c r="HQF157" s="3060"/>
      <c r="HQG157" s="3060"/>
      <c r="HQH157" s="3060"/>
      <c r="HQI157" s="3060"/>
      <c r="HQJ157" s="3060"/>
      <c r="HQK157" s="3060"/>
      <c r="HQL157" s="3060"/>
      <c r="HQM157" s="3060"/>
      <c r="HQN157" s="3060"/>
      <c r="HQO157" s="3060"/>
      <c r="HQP157" s="3060"/>
      <c r="HQQ157" s="3060"/>
      <c r="HQR157" s="3060"/>
      <c r="HQS157" s="3060"/>
      <c r="HQT157" s="3060"/>
      <c r="HQU157" s="3060"/>
      <c r="HQV157" s="3060"/>
      <c r="HQW157" s="3060"/>
      <c r="HQX157" s="3060"/>
      <c r="HQY157" s="3060"/>
      <c r="HQZ157" s="3060"/>
      <c r="HRA157" s="3060"/>
      <c r="HRB157" s="3060"/>
      <c r="HRC157" s="3060"/>
      <c r="HRD157" s="3060"/>
      <c r="HRE157" s="3060"/>
      <c r="HRF157" s="3060"/>
      <c r="HRG157" s="3060"/>
      <c r="HRH157" s="3060"/>
      <c r="HRI157" s="3060"/>
      <c r="HRJ157" s="3060"/>
      <c r="HRK157" s="3060"/>
      <c r="HRL157" s="3060"/>
      <c r="HRM157" s="3060"/>
      <c r="HRN157" s="3060"/>
      <c r="HRO157" s="3060"/>
      <c r="HRP157" s="3060"/>
      <c r="HRQ157" s="3060"/>
      <c r="HRR157" s="3060"/>
      <c r="HRS157" s="3060"/>
      <c r="HRT157" s="3060"/>
      <c r="HRU157" s="3060"/>
      <c r="HRV157" s="3060"/>
      <c r="HRW157" s="3060"/>
      <c r="HRX157" s="3060"/>
      <c r="HRY157" s="3060"/>
      <c r="HRZ157" s="3060"/>
      <c r="HSA157" s="3060"/>
      <c r="HSB157" s="3060"/>
      <c r="HSC157" s="3060"/>
      <c r="HSD157" s="3060"/>
      <c r="HSE157" s="3060"/>
      <c r="HSF157" s="3060"/>
      <c r="HSG157" s="3060"/>
      <c r="HSH157" s="3060"/>
      <c r="HSI157" s="3060"/>
      <c r="HSJ157" s="3060"/>
      <c r="HSK157" s="3060"/>
      <c r="HSL157" s="3060"/>
      <c r="HSM157" s="3060"/>
      <c r="HSN157" s="3060"/>
      <c r="HSO157" s="3060"/>
      <c r="HSP157" s="3060"/>
      <c r="HSQ157" s="3060"/>
      <c r="HSR157" s="3060"/>
      <c r="HSS157" s="3060"/>
      <c r="HST157" s="3060"/>
      <c r="HSU157" s="3060"/>
      <c r="HSV157" s="3060"/>
      <c r="HSW157" s="3060"/>
      <c r="HSX157" s="3060"/>
      <c r="HSY157" s="3060"/>
      <c r="HSZ157" s="3060"/>
      <c r="HTA157" s="3060"/>
      <c r="HTB157" s="3060"/>
      <c r="HTC157" s="3060"/>
      <c r="HTD157" s="3060"/>
      <c r="HTE157" s="3060"/>
      <c r="HTF157" s="3060"/>
      <c r="HTG157" s="3060"/>
      <c r="HTH157" s="3060"/>
      <c r="HTI157" s="3060"/>
      <c r="HTJ157" s="3060"/>
      <c r="HTK157" s="3060"/>
      <c r="HTL157" s="3060"/>
      <c r="HTM157" s="3060"/>
      <c r="HTN157" s="3060"/>
      <c r="HTO157" s="3060"/>
      <c r="HTP157" s="3060"/>
      <c r="HTQ157" s="3060"/>
      <c r="HTR157" s="3060"/>
      <c r="HTS157" s="3060"/>
      <c r="HTT157" s="3060"/>
      <c r="HTU157" s="3060"/>
      <c r="HTV157" s="3060"/>
      <c r="HTW157" s="3060"/>
      <c r="HTX157" s="3060"/>
      <c r="HTY157" s="3060"/>
      <c r="HTZ157" s="3060"/>
      <c r="HUA157" s="3060"/>
      <c r="HUB157" s="3060"/>
      <c r="HUC157" s="3060"/>
      <c r="HUD157" s="3060"/>
      <c r="HUE157" s="3060"/>
      <c r="HUF157" s="3060"/>
      <c r="HUG157" s="3060"/>
      <c r="HUH157" s="3060"/>
      <c r="HUI157" s="3060"/>
      <c r="HUJ157" s="3060"/>
      <c r="HUK157" s="3060"/>
      <c r="HUL157" s="3060"/>
      <c r="HUM157" s="3060"/>
      <c r="HUN157" s="3060"/>
      <c r="HUO157" s="3060"/>
      <c r="HUP157" s="3060"/>
      <c r="HUQ157" s="3060"/>
      <c r="HUR157" s="3060"/>
      <c r="HUS157" s="3060"/>
      <c r="HUT157" s="3060"/>
      <c r="HUU157" s="3060"/>
      <c r="HUV157" s="3060"/>
      <c r="HUW157" s="3060"/>
      <c r="HUX157" s="3060"/>
      <c r="HUY157" s="3060"/>
      <c r="HUZ157" s="3060"/>
      <c r="HVA157" s="3060"/>
      <c r="HVB157" s="3060"/>
      <c r="HVC157" s="3060"/>
      <c r="HVD157" s="3060"/>
      <c r="HVE157" s="3060"/>
      <c r="HVF157" s="3060"/>
      <c r="HVG157" s="3060"/>
      <c r="HVH157" s="3060"/>
      <c r="HVI157" s="3060"/>
      <c r="HVJ157" s="3060"/>
      <c r="HVK157" s="3060"/>
      <c r="HVL157" s="3060"/>
      <c r="HVM157" s="3060"/>
      <c r="HVN157" s="3060"/>
      <c r="HVO157" s="3060"/>
      <c r="HVP157" s="3060"/>
      <c r="HVQ157" s="3060"/>
      <c r="HVR157" s="3060"/>
      <c r="HVS157" s="3060"/>
      <c r="HVT157" s="3060"/>
      <c r="HVU157" s="3060"/>
      <c r="HVV157" s="3060"/>
      <c r="HVW157" s="3060"/>
      <c r="HVX157" s="3060"/>
      <c r="HVY157" s="3060"/>
      <c r="HVZ157" s="3060"/>
      <c r="HWA157" s="3060"/>
      <c r="HWB157" s="3060"/>
      <c r="HWC157" s="3060"/>
      <c r="HWD157" s="3060"/>
      <c r="HWE157" s="3060"/>
      <c r="HWF157" s="3060"/>
      <c r="HWG157" s="3060"/>
      <c r="HWH157" s="3060"/>
      <c r="HWI157" s="3060"/>
      <c r="HWJ157" s="3060"/>
      <c r="HWK157" s="3060"/>
      <c r="HWL157" s="3060"/>
      <c r="HWM157" s="3060"/>
      <c r="HWN157" s="3060"/>
      <c r="HWO157" s="3060"/>
      <c r="HWP157" s="3060"/>
      <c r="HWQ157" s="3060"/>
      <c r="HWR157" s="3060"/>
      <c r="HWS157" s="3060"/>
      <c r="HWT157" s="3060"/>
      <c r="HWU157" s="3060"/>
      <c r="HWV157" s="3060"/>
      <c r="HWW157" s="3060"/>
      <c r="HWX157" s="3060"/>
      <c r="HWY157" s="3060"/>
      <c r="HWZ157" s="3060"/>
      <c r="HXA157" s="3060"/>
      <c r="HXB157" s="3060"/>
      <c r="HXC157" s="3060"/>
      <c r="HXD157" s="3060"/>
      <c r="HXE157" s="3060"/>
      <c r="HXF157" s="3060"/>
      <c r="HXG157" s="3060"/>
      <c r="HXH157" s="3060"/>
      <c r="HXI157" s="3060"/>
      <c r="HXJ157" s="3060"/>
      <c r="HXK157" s="3060"/>
      <c r="HXL157" s="3060"/>
      <c r="HXM157" s="3060"/>
      <c r="HXN157" s="3060"/>
      <c r="HXO157" s="3060"/>
      <c r="HXP157" s="3060"/>
      <c r="HXQ157" s="3060"/>
      <c r="HXR157" s="3060"/>
      <c r="HXS157" s="3060"/>
      <c r="HXT157" s="3060"/>
      <c r="HXU157" s="3060"/>
      <c r="HXV157" s="3060"/>
      <c r="HXW157" s="3060"/>
      <c r="HXX157" s="3060"/>
      <c r="HXY157" s="3060"/>
      <c r="HXZ157" s="3060"/>
      <c r="HYA157" s="3060"/>
      <c r="HYB157" s="3060"/>
      <c r="HYC157" s="3060"/>
      <c r="HYD157" s="3060"/>
      <c r="HYE157" s="3060"/>
      <c r="HYF157" s="3060"/>
      <c r="HYG157" s="3060"/>
      <c r="HYH157" s="3060"/>
      <c r="HYI157" s="3060"/>
      <c r="HYJ157" s="3060"/>
      <c r="HYK157" s="3060"/>
      <c r="HYL157" s="3060"/>
      <c r="HYM157" s="3060"/>
      <c r="HYN157" s="3060"/>
      <c r="HYO157" s="3060"/>
      <c r="HYP157" s="3060"/>
      <c r="HYQ157" s="3060"/>
      <c r="HYR157" s="3060"/>
      <c r="HYS157" s="3060"/>
      <c r="HYT157" s="3060"/>
      <c r="HYU157" s="3060"/>
      <c r="HYV157" s="3060"/>
      <c r="HYW157" s="3060"/>
      <c r="HYX157" s="3060"/>
      <c r="HYY157" s="3060"/>
      <c r="HYZ157" s="3060"/>
      <c r="HZA157" s="3060"/>
      <c r="HZB157" s="3060"/>
      <c r="HZC157" s="3060"/>
      <c r="HZD157" s="3060"/>
      <c r="HZE157" s="3060"/>
      <c r="HZF157" s="3060"/>
      <c r="HZG157" s="3060"/>
      <c r="HZH157" s="3060"/>
      <c r="HZI157" s="3060"/>
      <c r="HZJ157" s="3060"/>
      <c r="HZK157" s="3060"/>
      <c r="HZL157" s="3060"/>
      <c r="HZM157" s="3060"/>
      <c r="HZN157" s="3060"/>
      <c r="HZO157" s="3060"/>
      <c r="HZP157" s="3060"/>
      <c r="HZQ157" s="3060"/>
      <c r="HZR157" s="3060"/>
      <c r="HZS157" s="3060"/>
      <c r="HZT157" s="3060"/>
      <c r="HZU157" s="3060"/>
      <c r="HZV157" s="3060"/>
      <c r="HZW157" s="3060"/>
      <c r="HZX157" s="3060"/>
      <c r="HZY157" s="3060"/>
      <c r="HZZ157" s="3060"/>
      <c r="IAA157" s="3060"/>
      <c r="IAB157" s="3060"/>
      <c r="IAC157" s="3060"/>
      <c r="IAD157" s="3060"/>
      <c r="IAE157" s="3060"/>
      <c r="IAF157" s="3060"/>
      <c r="IAG157" s="3060"/>
      <c r="IAH157" s="3060"/>
      <c r="IAI157" s="3060"/>
      <c r="IAJ157" s="3060"/>
      <c r="IAK157" s="3060"/>
      <c r="IAL157" s="3060"/>
      <c r="IAM157" s="3060"/>
      <c r="IAN157" s="3060"/>
      <c r="IAO157" s="3060"/>
      <c r="IAP157" s="3060"/>
      <c r="IAQ157" s="3060"/>
      <c r="IAR157" s="3060"/>
      <c r="IAS157" s="3060"/>
      <c r="IAT157" s="3060"/>
      <c r="IAU157" s="3060"/>
      <c r="IAV157" s="3060"/>
      <c r="IAW157" s="3060"/>
      <c r="IAX157" s="3060"/>
      <c r="IAY157" s="3060"/>
      <c r="IAZ157" s="3060"/>
      <c r="IBA157" s="3060"/>
      <c r="IBB157" s="3060"/>
      <c r="IBC157" s="3060"/>
      <c r="IBD157" s="3060"/>
      <c r="IBE157" s="3060"/>
      <c r="IBF157" s="3060"/>
      <c r="IBG157" s="3060"/>
      <c r="IBH157" s="3060"/>
      <c r="IBI157" s="3060"/>
      <c r="IBJ157" s="3060"/>
      <c r="IBK157" s="3060"/>
      <c r="IBL157" s="3060"/>
      <c r="IBM157" s="3060"/>
      <c r="IBN157" s="3060"/>
      <c r="IBO157" s="3060"/>
      <c r="IBP157" s="3060"/>
      <c r="IBQ157" s="3060"/>
      <c r="IBR157" s="3060"/>
      <c r="IBS157" s="3060"/>
      <c r="IBT157" s="3060"/>
      <c r="IBU157" s="3060"/>
      <c r="IBV157" s="3060"/>
      <c r="IBW157" s="3060"/>
      <c r="IBX157" s="3060"/>
      <c r="IBY157" s="3060"/>
      <c r="IBZ157" s="3060"/>
      <c r="ICA157" s="3060"/>
      <c r="ICB157" s="3060"/>
      <c r="ICC157" s="3060"/>
      <c r="ICD157" s="3060"/>
      <c r="ICE157" s="3060"/>
      <c r="ICF157" s="3060"/>
      <c r="ICG157" s="3060"/>
      <c r="ICH157" s="3060"/>
      <c r="ICI157" s="3060"/>
      <c r="ICJ157" s="3060"/>
      <c r="ICK157" s="3060"/>
      <c r="ICL157" s="3060"/>
      <c r="ICM157" s="3060"/>
      <c r="ICN157" s="3060"/>
      <c r="ICO157" s="3060"/>
      <c r="ICP157" s="3060"/>
      <c r="ICQ157" s="3060"/>
      <c r="ICR157" s="3060"/>
      <c r="ICS157" s="3060"/>
      <c r="ICT157" s="3060"/>
      <c r="ICU157" s="3060"/>
      <c r="ICV157" s="3060"/>
      <c r="ICW157" s="3060"/>
      <c r="ICX157" s="3060"/>
      <c r="ICY157" s="3060"/>
      <c r="ICZ157" s="3060"/>
      <c r="IDA157" s="3060"/>
      <c r="IDB157" s="3060"/>
      <c r="IDC157" s="3060"/>
      <c r="IDD157" s="3060"/>
      <c r="IDE157" s="3060"/>
      <c r="IDF157" s="3060"/>
      <c r="IDG157" s="3060"/>
      <c r="IDH157" s="3060"/>
      <c r="IDI157" s="3060"/>
      <c r="IDJ157" s="3060"/>
      <c r="IDK157" s="3060"/>
      <c r="IDL157" s="3060"/>
      <c r="IDM157" s="3060"/>
      <c r="IDN157" s="3060"/>
      <c r="IDO157" s="3060"/>
      <c r="IDP157" s="3060"/>
      <c r="IDQ157" s="3060"/>
      <c r="IDR157" s="3060"/>
      <c r="IDS157" s="3060"/>
      <c r="IDT157" s="3060"/>
      <c r="IDU157" s="3060"/>
      <c r="IDV157" s="3060"/>
      <c r="IDW157" s="3060"/>
      <c r="IDX157" s="3060"/>
      <c r="IDY157" s="3060"/>
      <c r="IDZ157" s="3060"/>
      <c r="IEA157" s="3060"/>
      <c r="IEB157" s="3060"/>
      <c r="IEC157" s="3060"/>
      <c r="IED157" s="3060"/>
      <c r="IEE157" s="3060"/>
      <c r="IEF157" s="3060"/>
      <c r="IEG157" s="3060"/>
      <c r="IEH157" s="3060"/>
      <c r="IEI157" s="3060"/>
      <c r="IEJ157" s="3060"/>
      <c r="IEK157" s="3060"/>
      <c r="IEL157" s="3060"/>
      <c r="IEM157" s="3060"/>
      <c r="IEN157" s="3060"/>
      <c r="IEO157" s="3060"/>
      <c r="IEP157" s="3060"/>
      <c r="IEQ157" s="3060"/>
      <c r="IER157" s="3060"/>
      <c r="IES157" s="3060"/>
      <c r="IET157" s="3060"/>
      <c r="IEU157" s="3060"/>
      <c r="IEV157" s="3060"/>
      <c r="IEW157" s="3060"/>
      <c r="IEX157" s="3060"/>
      <c r="IEY157" s="3060"/>
      <c r="IEZ157" s="3060"/>
      <c r="IFA157" s="3060"/>
      <c r="IFB157" s="3060"/>
      <c r="IFC157" s="3060"/>
      <c r="IFD157" s="3060"/>
      <c r="IFE157" s="3060"/>
      <c r="IFF157" s="3060"/>
      <c r="IFG157" s="3060"/>
      <c r="IFH157" s="3060"/>
      <c r="IFI157" s="3060"/>
      <c r="IFJ157" s="3060"/>
      <c r="IFK157" s="3060"/>
      <c r="IFL157" s="3060"/>
      <c r="IFM157" s="3060"/>
      <c r="IFN157" s="3060"/>
      <c r="IFO157" s="3060"/>
      <c r="IFP157" s="3060"/>
      <c r="IFQ157" s="3060"/>
      <c r="IFR157" s="3060"/>
      <c r="IFS157" s="3060"/>
      <c r="IFT157" s="3060"/>
      <c r="IFU157" s="3060"/>
      <c r="IFV157" s="3060"/>
      <c r="IFW157" s="3060"/>
      <c r="IFX157" s="3060"/>
      <c r="IFY157" s="3060"/>
      <c r="IFZ157" s="3060"/>
      <c r="IGA157" s="3060"/>
      <c r="IGB157" s="3060"/>
      <c r="IGC157" s="3060"/>
      <c r="IGD157" s="3060"/>
      <c r="IGE157" s="3060"/>
      <c r="IGF157" s="3060"/>
      <c r="IGG157" s="3060"/>
      <c r="IGH157" s="3060"/>
      <c r="IGI157" s="3060"/>
      <c r="IGJ157" s="3060"/>
      <c r="IGK157" s="3060"/>
      <c r="IGL157" s="3060"/>
      <c r="IGM157" s="3060"/>
      <c r="IGN157" s="3060"/>
      <c r="IGO157" s="3060"/>
      <c r="IGP157" s="3060"/>
      <c r="IGQ157" s="3060"/>
      <c r="IGR157" s="3060"/>
      <c r="IGS157" s="3060"/>
      <c r="IGT157" s="3060"/>
      <c r="IGU157" s="3060"/>
      <c r="IGV157" s="3060"/>
      <c r="IGW157" s="3060"/>
      <c r="IGX157" s="3060"/>
      <c r="IGY157" s="3060"/>
      <c r="IGZ157" s="3060"/>
      <c r="IHA157" s="3060"/>
      <c r="IHB157" s="3060"/>
      <c r="IHC157" s="3060"/>
      <c r="IHD157" s="3060"/>
      <c r="IHE157" s="3060"/>
      <c r="IHF157" s="3060"/>
      <c r="IHG157" s="3060"/>
      <c r="IHH157" s="3060"/>
      <c r="IHI157" s="3060"/>
      <c r="IHJ157" s="3060"/>
      <c r="IHK157" s="3060"/>
      <c r="IHL157" s="3060"/>
      <c r="IHM157" s="3060"/>
      <c r="IHN157" s="3060"/>
      <c r="IHO157" s="3060"/>
      <c r="IHP157" s="3060"/>
      <c r="IHQ157" s="3060"/>
      <c r="IHR157" s="3060"/>
      <c r="IHS157" s="3060"/>
      <c r="IHT157" s="3060"/>
      <c r="IHU157" s="3060"/>
      <c r="IHV157" s="3060"/>
      <c r="IHW157" s="3060"/>
      <c r="IHX157" s="3060"/>
      <c r="IHY157" s="3060"/>
      <c r="IHZ157" s="3060"/>
      <c r="IIA157" s="3060"/>
      <c r="IIB157" s="3060"/>
      <c r="IIC157" s="3060"/>
      <c r="IID157" s="3060"/>
      <c r="IIE157" s="3060"/>
      <c r="IIF157" s="3060"/>
      <c r="IIG157" s="3060"/>
      <c r="IIH157" s="3060"/>
      <c r="III157" s="3060"/>
      <c r="IIJ157" s="3060"/>
      <c r="IIK157" s="3060"/>
      <c r="IIL157" s="3060"/>
      <c r="IIM157" s="3060"/>
      <c r="IIN157" s="3060"/>
      <c r="IIO157" s="3060"/>
      <c r="IIP157" s="3060"/>
      <c r="IIQ157" s="3060"/>
      <c r="IIR157" s="3060"/>
      <c r="IIS157" s="3060"/>
      <c r="IIT157" s="3060"/>
      <c r="IIU157" s="3060"/>
      <c r="IIV157" s="3060"/>
      <c r="IIW157" s="3060"/>
      <c r="IIX157" s="3060"/>
      <c r="IIY157" s="3060"/>
      <c r="IIZ157" s="3060"/>
      <c r="IJA157" s="3060"/>
      <c r="IJB157" s="3060"/>
      <c r="IJC157" s="3060"/>
      <c r="IJD157" s="3060"/>
      <c r="IJE157" s="3060"/>
      <c r="IJF157" s="3060"/>
      <c r="IJG157" s="3060"/>
      <c r="IJH157" s="3060"/>
      <c r="IJI157" s="3060"/>
      <c r="IJJ157" s="3060"/>
      <c r="IJK157" s="3060"/>
      <c r="IJL157" s="3060"/>
      <c r="IJM157" s="3060"/>
      <c r="IJN157" s="3060"/>
      <c r="IJO157" s="3060"/>
      <c r="IJP157" s="3060"/>
      <c r="IJQ157" s="3060"/>
      <c r="IJR157" s="3060"/>
      <c r="IJS157" s="3060"/>
      <c r="IJT157" s="3060"/>
      <c r="IJU157" s="3060"/>
      <c r="IJV157" s="3060"/>
      <c r="IJW157" s="3060"/>
      <c r="IJX157" s="3060"/>
      <c r="IJY157" s="3060"/>
      <c r="IJZ157" s="3060"/>
      <c r="IKA157" s="3060"/>
      <c r="IKB157" s="3060"/>
      <c r="IKC157" s="3060"/>
      <c r="IKD157" s="3060"/>
      <c r="IKE157" s="3060"/>
      <c r="IKF157" s="3060"/>
      <c r="IKG157" s="3060"/>
      <c r="IKH157" s="3060"/>
      <c r="IKI157" s="3060"/>
      <c r="IKJ157" s="3060"/>
      <c r="IKK157" s="3060"/>
      <c r="IKL157" s="3060"/>
      <c r="IKM157" s="3060"/>
      <c r="IKN157" s="3060"/>
      <c r="IKO157" s="3060"/>
      <c r="IKP157" s="3060"/>
      <c r="IKQ157" s="3060"/>
      <c r="IKR157" s="3060"/>
      <c r="IKS157" s="3060"/>
      <c r="IKT157" s="3060"/>
      <c r="IKU157" s="3060"/>
      <c r="IKV157" s="3060"/>
      <c r="IKW157" s="3060"/>
      <c r="IKX157" s="3060"/>
      <c r="IKY157" s="3060"/>
      <c r="IKZ157" s="3060"/>
      <c r="ILA157" s="3060"/>
      <c r="ILB157" s="3060"/>
      <c r="ILC157" s="3060"/>
      <c r="ILD157" s="3060"/>
      <c r="ILE157" s="3060"/>
      <c r="ILF157" s="3060"/>
      <c r="ILG157" s="3060"/>
      <c r="ILH157" s="3060"/>
      <c r="ILI157" s="3060"/>
      <c r="ILJ157" s="3060"/>
      <c r="ILK157" s="3060"/>
      <c r="ILL157" s="3060"/>
      <c r="ILM157" s="3060"/>
      <c r="ILN157" s="3060"/>
      <c r="ILO157" s="3060"/>
      <c r="ILP157" s="3060"/>
      <c r="ILQ157" s="3060"/>
      <c r="ILR157" s="3060"/>
      <c r="ILS157" s="3060"/>
      <c r="ILT157" s="3060"/>
      <c r="ILU157" s="3060"/>
      <c r="ILV157" s="3060"/>
      <c r="ILW157" s="3060"/>
      <c r="ILX157" s="3060"/>
      <c r="ILY157" s="3060"/>
      <c r="ILZ157" s="3060"/>
      <c r="IMA157" s="3060"/>
      <c r="IMB157" s="3060"/>
      <c r="IMC157" s="3060"/>
      <c r="IMD157" s="3060"/>
      <c r="IME157" s="3060"/>
      <c r="IMF157" s="3060"/>
      <c r="IMG157" s="3060"/>
      <c r="IMH157" s="3060"/>
      <c r="IMI157" s="3060"/>
      <c r="IMJ157" s="3060"/>
      <c r="IMK157" s="3060"/>
      <c r="IML157" s="3060"/>
      <c r="IMM157" s="3060"/>
      <c r="IMN157" s="3060"/>
      <c r="IMO157" s="3060"/>
      <c r="IMP157" s="3060"/>
      <c r="IMQ157" s="3060"/>
      <c r="IMR157" s="3060"/>
      <c r="IMS157" s="3060"/>
      <c r="IMT157" s="3060"/>
      <c r="IMU157" s="3060"/>
      <c r="IMV157" s="3060"/>
      <c r="IMW157" s="3060"/>
      <c r="IMX157" s="3060"/>
      <c r="IMY157" s="3060"/>
      <c r="IMZ157" s="3060"/>
      <c r="INA157" s="3060"/>
      <c r="INB157" s="3060"/>
      <c r="INC157" s="3060"/>
      <c r="IND157" s="3060"/>
      <c r="INE157" s="3060"/>
      <c r="INF157" s="3060"/>
      <c r="ING157" s="3060"/>
      <c r="INH157" s="3060"/>
      <c r="INI157" s="3060"/>
      <c r="INJ157" s="3060"/>
      <c r="INK157" s="3060"/>
      <c r="INL157" s="3060"/>
      <c r="INM157" s="3060"/>
      <c r="INN157" s="3060"/>
      <c r="INO157" s="3060"/>
      <c r="INP157" s="3060"/>
      <c r="INQ157" s="3060"/>
      <c r="INR157" s="3060"/>
      <c r="INS157" s="3060"/>
      <c r="INT157" s="3060"/>
      <c r="INU157" s="3060"/>
      <c r="INV157" s="3060"/>
      <c r="INW157" s="3060"/>
      <c r="INX157" s="3060"/>
      <c r="INY157" s="3060"/>
      <c r="INZ157" s="3060"/>
      <c r="IOA157" s="3060"/>
      <c r="IOB157" s="3060"/>
      <c r="IOC157" s="3060"/>
      <c r="IOD157" s="3060"/>
      <c r="IOE157" s="3060"/>
      <c r="IOF157" s="3060"/>
      <c r="IOG157" s="3060"/>
      <c r="IOH157" s="3060"/>
      <c r="IOI157" s="3060"/>
      <c r="IOJ157" s="3060"/>
      <c r="IOK157" s="3060"/>
      <c r="IOL157" s="3060"/>
      <c r="IOM157" s="3060"/>
      <c r="ION157" s="3060"/>
      <c r="IOO157" s="3060"/>
      <c r="IOP157" s="3060"/>
      <c r="IOQ157" s="3060"/>
      <c r="IOR157" s="3060"/>
      <c r="IOS157" s="3060"/>
      <c r="IOT157" s="3060"/>
      <c r="IOU157" s="3060"/>
      <c r="IOV157" s="3060"/>
      <c r="IOW157" s="3060"/>
      <c r="IOX157" s="3060"/>
      <c r="IOY157" s="3060"/>
      <c r="IOZ157" s="3060"/>
      <c r="IPA157" s="3060"/>
      <c r="IPB157" s="3060"/>
      <c r="IPC157" s="3060"/>
      <c r="IPD157" s="3060"/>
      <c r="IPE157" s="3060"/>
      <c r="IPF157" s="3060"/>
      <c r="IPG157" s="3060"/>
      <c r="IPH157" s="3060"/>
      <c r="IPI157" s="3060"/>
      <c r="IPJ157" s="3060"/>
      <c r="IPK157" s="3060"/>
      <c r="IPL157" s="3060"/>
      <c r="IPM157" s="3060"/>
      <c r="IPN157" s="3060"/>
      <c r="IPO157" s="3060"/>
      <c r="IPP157" s="3060"/>
      <c r="IPQ157" s="3060"/>
      <c r="IPR157" s="3060"/>
      <c r="IPS157" s="3060"/>
      <c r="IPT157" s="3060"/>
      <c r="IPU157" s="3060"/>
      <c r="IPV157" s="3060"/>
      <c r="IPW157" s="3060"/>
      <c r="IPX157" s="3060"/>
      <c r="IPY157" s="3060"/>
      <c r="IPZ157" s="3060"/>
      <c r="IQA157" s="3060"/>
      <c r="IQB157" s="3060"/>
      <c r="IQC157" s="3060"/>
      <c r="IQD157" s="3060"/>
      <c r="IQE157" s="3060"/>
      <c r="IQF157" s="3060"/>
      <c r="IQG157" s="3060"/>
      <c r="IQH157" s="3060"/>
      <c r="IQI157" s="3060"/>
      <c r="IQJ157" s="3060"/>
      <c r="IQK157" s="3060"/>
      <c r="IQL157" s="3060"/>
      <c r="IQM157" s="3060"/>
      <c r="IQN157" s="3060"/>
      <c r="IQO157" s="3060"/>
      <c r="IQP157" s="3060"/>
      <c r="IQQ157" s="3060"/>
      <c r="IQR157" s="3060"/>
      <c r="IQS157" s="3060"/>
      <c r="IQT157" s="3060"/>
      <c r="IQU157" s="3060"/>
      <c r="IQV157" s="3060"/>
      <c r="IQW157" s="3060"/>
      <c r="IQX157" s="3060"/>
      <c r="IQY157" s="3060"/>
      <c r="IQZ157" s="3060"/>
      <c r="IRA157" s="3060"/>
      <c r="IRB157" s="3060"/>
      <c r="IRC157" s="3060"/>
      <c r="IRD157" s="3060"/>
      <c r="IRE157" s="3060"/>
      <c r="IRF157" s="3060"/>
      <c r="IRG157" s="3060"/>
      <c r="IRH157" s="3060"/>
      <c r="IRI157" s="3060"/>
      <c r="IRJ157" s="3060"/>
      <c r="IRK157" s="3060"/>
      <c r="IRL157" s="3060"/>
      <c r="IRM157" s="3060"/>
      <c r="IRN157" s="3060"/>
      <c r="IRO157" s="3060"/>
      <c r="IRP157" s="3060"/>
      <c r="IRQ157" s="3060"/>
      <c r="IRR157" s="3060"/>
      <c r="IRS157" s="3060"/>
      <c r="IRT157" s="3060"/>
      <c r="IRU157" s="3060"/>
      <c r="IRV157" s="3060"/>
      <c r="IRW157" s="3060"/>
      <c r="IRX157" s="3060"/>
      <c r="IRY157" s="3060"/>
      <c r="IRZ157" s="3060"/>
      <c r="ISA157" s="3060"/>
      <c r="ISB157" s="3060"/>
      <c r="ISC157" s="3060"/>
      <c r="ISD157" s="3060"/>
      <c r="ISE157" s="3060"/>
      <c r="ISF157" s="3060"/>
      <c r="ISG157" s="3060"/>
      <c r="ISH157" s="3060"/>
      <c r="ISI157" s="3060"/>
      <c r="ISJ157" s="3060"/>
      <c r="ISK157" s="3060"/>
      <c r="ISL157" s="3060"/>
      <c r="ISM157" s="3060"/>
      <c r="ISN157" s="3060"/>
      <c r="ISO157" s="3060"/>
      <c r="ISP157" s="3060"/>
      <c r="ISQ157" s="3060"/>
      <c r="ISR157" s="3060"/>
      <c r="ISS157" s="3060"/>
      <c r="IST157" s="3060"/>
      <c r="ISU157" s="3060"/>
      <c r="ISV157" s="3060"/>
      <c r="ISW157" s="3060"/>
      <c r="ISX157" s="3060"/>
      <c r="ISY157" s="3060"/>
      <c r="ISZ157" s="3060"/>
      <c r="ITA157" s="3060"/>
      <c r="ITB157" s="3060"/>
      <c r="ITC157" s="3060"/>
      <c r="ITD157" s="3060"/>
      <c r="ITE157" s="3060"/>
      <c r="ITF157" s="3060"/>
      <c r="ITG157" s="3060"/>
      <c r="ITH157" s="3060"/>
      <c r="ITI157" s="3060"/>
      <c r="ITJ157" s="3060"/>
      <c r="ITK157" s="3060"/>
      <c r="ITL157" s="3060"/>
      <c r="ITM157" s="3060"/>
      <c r="ITN157" s="3060"/>
      <c r="ITO157" s="3060"/>
      <c r="ITP157" s="3060"/>
      <c r="ITQ157" s="3060"/>
      <c r="ITR157" s="3060"/>
      <c r="ITS157" s="3060"/>
      <c r="ITT157" s="3060"/>
      <c r="ITU157" s="3060"/>
      <c r="ITV157" s="3060"/>
      <c r="ITW157" s="3060"/>
      <c r="ITX157" s="3060"/>
      <c r="ITY157" s="3060"/>
      <c r="ITZ157" s="3060"/>
      <c r="IUA157" s="3060"/>
      <c r="IUB157" s="3060"/>
      <c r="IUC157" s="3060"/>
      <c r="IUD157" s="3060"/>
      <c r="IUE157" s="3060"/>
      <c r="IUF157" s="3060"/>
      <c r="IUG157" s="3060"/>
      <c r="IUH157" s="3060"/>
      <c r="IUI157" s="3060"/>
      <c r="IUJ157" s="3060"/>
      <c r="IUK157" s="3060"/>
      <c r="IUL157" s="3060"/>
      <c r="IUM157" s="3060"/>
      <c r="IUN157" s="3060"/>
      <c r="IUO157" s="3060"/>
      <c r="IUP157" s="3060"/>
      <c r="IUQ157" s="3060"/>
      <c r="IUR157" s="3060"/>
      <c r="IUS157" s="3060"/>
      <c r="IUT157" s="3060"/>
      <c r="IUU157" s="3060"/>
      <c r="IUV157" s="3060"/>
      <c r="IUW157" s="3060"/>
      <c r="IUX157" s="3060"/>
      <c r="IUY157" s="3060"/>
      <c r="IUZ157" s="3060"/>
      <c r="IVA157" s="3060"/>
      <c r="IVB157" s="3060"/>
      <c r="IVC157" s="3060"/>
      <c r="IVD157" s="3060"/>
      <c r="IVE157" s="3060"/>
      <c r="IVF157" s="3060"/>
      <c r="IVG157" s="3060"/>
      <c r="IVH157" s="3060"/>
      <c r="IVI157" s="3060"/>
      <c r="IVJ157" s="3060"/>
      <c r="IVK157" s="3060"/>
      <c r="IVL157" s="3060"/>
      <c r="IVM157" s="3060"/>
      <c r="IVN157" s="3060"/>
      <c r="IVO157" s="3060"/>
      <c r="IVP157" s="3060"/>
      <c r="IVQ157" s="3060"/>
      <c r="IVR157" s="3060"/>
      <c r="IVS157" s="3060"/>
      <c r="IVT157" s="3060"/>
      <c r="IVU157" s="3060"/>
      <c r="IVV157" s="3060"/>
      <c r="IVW157" s="3060"/>
      <c r="IVX157" s="3060"/>
      <c r="IVY157" s="3060"/>
      <c r="IVZ157" s="3060"/>
      <c r="IWA157" s="3060"/>
      <c r="IWB157" s="3060"/>
      <c r="IWC157" s="3060"/>
      <c r="IWD157" s="3060"/>
      <c r="IWE157" s="3060"/>
      <c r="IWF157" s="3060"/>
      <c r="IWG157" s="3060"/>
      <c r="IWH157" s="3060"/>
      <c r="IWI157" s="3060"/>
      <c r="IWJ157" s="3060"/>
      <c r="IWK157" s="3060"/>
      <c r="IWL157" s="3060"/>
      <c r="IWM157" s="3060"/>
      <c r="IWN157" s="3060"/>
      <c r="IWO157" s="3060"/>
      <c r="IWP157" s="3060"/>
      <c r="IWQ157" s="3060"/>
      <c r="IWR157" s="3060"/>
      <c r="IWS157" s="3060"/>
      <c r="IWT157" s="3060"/>
      <c r="IWU157" s="3060"/>
      <c r="IWV157" s="3060"/>
      <c r="IWW157" s="3060"/>
      <c r="IWX157" s="3060"/>
      <c r="IWY157" s="3060"/>
      <c r="IWZ157" s="3060"/>
      <c r="IXA157" s="3060"/>
      <c r="IXB157" s="3060"/>
      <c r="IXC157" s="3060"/>
      <c r="IXD157" s="3060"/>
      <c r="IXE157" s="3060"/>
      <c r="IXF157" s="3060"/>
      <c r="IXG157" s="3060"/>
      <c r="IXH157" s="3060"/>
      <c r="IXI157" s="3060"/>
      <c r="IXJ157" s="3060"/>
      <c r="IXK157" s="3060"/>
      <c r="IXL157" s="3060"/>
      <c r="IXM157" s="3060"/>
      <c r="IXN157" s="3060"/>
      <c r="IXO157" s="3060"/>
      <c r="IXP157" s="3060"/>
      <c r="IXQ157" s="3060"/>
      <c r="IXR157" s="3060"/>
      <c r="IXS157" s="3060"/>
      <c r="IXT157" s="3060"/>
      <c r="IXU157" s="3060"/>
      <c r="IXV157" s="3060"/>
      <c r="IXW157" s="3060"/>
      <c r="IXX157" s="3060"/>
      <c r="IXY157" s="3060"/>
      <c r="IXZ157" s="3060"/>
      <c r="IYA157" s="3060"/>
      <c r="IYB157" s="3060"/>
      <c r="IYC157" s="3060"/>
      <c r="IYD157" s="3060"/>
      <c r="IYE157" s="3060"/>
      <c r="IYF157" s="3060"/>
      <c r="IYG157" s="3060"/>
      <c r="IYH157" s="3060"/>
      <c r="IYI157" s="3060"/>
      <c r="IYJ157" s="3060"/>
      <c r="IYK157" s="3060"/>
      <c r="IYL157" s="3060"/>
      <c r="IYM157" s="3060"/>
      <c r="IYN157" s="3060"/>
      <c r="IYO157" s="3060"/>
      <c r="IYP157" s="3060"/>
      <c r="IYQ157" s="3060"/>
      <c r="IYR157" s="3060"/>
      <c r="IYS157" s="3060"/>
      <c r="IYT157" s="3060"/>
      <c r="IYU157" s="3060"/>
      <c r="IYV157" s="3060"/>
      <c r="IYW157" s="3060"/>
      <c r="IYX157" s="3060"/>
      <c r="IYY157" s="3060"/>
      <c r="IYZ157" s="3060"/>
      <c r="IZA157" s="3060"/>
      <c r="IZB157" s="3060"/>
      <c r="IZC157" s="3060"/>
      <c r="IZD157" s="3060"/>
      <c r="IZE157" s="3060"/>
      <c r="IZF157" s="3060"/>
      <c r="IZG157" s="3060"/>
      <c r="IZH157" s="3060"/>
      <c r="IZI157" s="3060"/>
      <c r="IZJ157" s="3060"/>
      <c r="IZK157" s="3060"/>
      <c r="IZL157" s="3060"/>
      <c r="IZM157" s="3060"/>
      <c r="IZN157" s="3060"/>
      <c r="IZO157" s="3060"/>
      <c r="IZP157" s="3060"/>
      <c r="IZQ157" s="3060"/>
      <c r="IZR157" s="3060"/>
      <c r="IZS157" s="3060"/>
      <c r="IZT157" s="3060"/>
      <c r="IZU157" s="3060"/>
      <c r="IZV157" s="3060"/>
      <c r="IZW157" s="3060"/>
      <c r="IZX157" s="3060"/>
      <c r="IZY157" s="3060"/>
      <c r="IZZ157" s="3060"/>
      <c r="JAA157" s="3060"/>
      <c r="JAB157" s="3060"/>
      <c r="JAC157" s="3060"/>
      <c r="JAD157" s="3060"/>
      <c r="JAE157" s="3060"/>
      <c r="JAF157" s="3060"/>
      <c r="JAG157" s="3060"/>
      <c r="JAH157" s="3060"/>
      <c r="JAI157" s="3060"/>
      <c r="JAJ157" s="3060"/>
      <c r="JAK157" s="3060"/>
      <c r="JAL157" s="3060"/>
      <c r="JAM157" s="3060"/>
      <c r="JAN157" s="3060"/>
      <c r="JAO157" s="3060"/>
      <c r="JAP157" s="3060"/>
      <c r="JAQ157" s="3060"/>
      <c r="JAR157" s="3060"/>
      <c r="JAS157" s="3060"/>
      <c r="JAT157" s="3060"/>
      <c r="JAU157" s="3060"/>
      <c r="JAV157" s="3060"/>
      <c r="JAW157" s="3060"/>
      <c r="JAX157" s="3060"/>
      <c r="JAY157" s="3060"/>
      <c r="JAZ157" s="3060"/>
      <c r="JBA157" s="3060"/>
      <c r="JBB157" s="3060"/>
      <c r="JBC157" s="3060"/>
      <c r="JBD157" s="3060"/>
      <c r="JBE157" s="3060"/>
      <c r="JBF157" s="3060"/>
      <c r="JBG157" s="3060"/>
      <c r="JBH157" s="3060"/>
      <c r="JBI157" s="3060"/>
      <c r="JBJ157" s="3060"/>
      <c r="JBK157" s="3060"/>
      <c r="JBL157" s="3060"/>
      <c r="JBM157" s="3060"/>
      <c r="JBN157" s="3060"/>
      <c r="JBO157" s="3060"/>
      <c r="JBP157" s="3060"/>
      <c r="JBQ157" s="3060"/>
      <c r="JBR157" s="3060"/>
      <c r="JBS157" s="3060"/>
      <c r="JBT157" s="3060"/>
      <c r="JBU157" s="3060"/>
      <c r="JBV157" s="3060"/>
      <c r="JBW157" s="3060"/>
      <c r="JBX157" s="3060"/>
      <c r="JBY157" s="3060"/>
      <c r="JBZ157" s="3060"/>
      <c r="JCA157" s="3060"/>
      <c r="JCB157" s="3060"/>
      <c r="JCC157" s="3060"/>
      <c r="JCD157" s="3060"/>
      <c r="JCE157" s="3060"/>
      <c r="JCF157" s="3060"/>
      <c r="JCG157" s="3060"/>
      <c r="JCH157" s="3060"/>
      <c r="JCI157" s="3060"/>
      <c r="JCJ157" s="3060"/>
      <c r="JCK157" s="3060"/>
      <c r="JCL157" s="3060"/>
      <c r="JCM157" s="3060"/>
      <c r="JCN157" s="3060"/>
      <c r="JCO157" s="3060"/>
      <c r="JCP157" s="3060"/>
      <c r="JCQ157" s="3060"/>
      <c r="JCR157" s="3060"/>
      <c r="JCS157" s="3060"/>
      <c r="JCT157" s="3060"/>
      <c r="JCU157" s="3060"/>
      <c r="JCV157" s="3060"/>
      <c r="JCW157" s="3060"/>
      <c r="JCX157" s="3060"/>
      <c r="JCY157" s="3060"/>
      <c r="JCZ157" s="3060"/>
      <c r="JDA157" s="3060"/>
      <c r="JDB157" s="3060"/>
      <c r="JDC157" s="3060"/>
      <c r="JDD157" s="3060"/>
      <c r="JDE157" s="3060"/>
      <c r="JDF157" s="3060"/>
      <c r="JDG157" s="3060"/>
      <c r="JDH157" s="3060"/>
      <c r="JDI157" s="3060"/>
      <c r="JDJ157" s="3060"/>
      <c r="JDK157" s="3060"/>
      <c r="JDL157" s="3060"/>
      <c r="JDM157" s="3060"/>
      <c r="JDN157" s="3060"/>
      <c r="JDO157" s="3060"/>
      <c r="JDP157" s="3060"/>
      <c r="JDQ157" s="3060"/>
      <c r="JDR157" s="3060"/>
      <c r="JDS157" s="3060"/>
      <c r="JDT157" s="3060"/>
      <c r="JDU157" s="3060"/>
      <c r="JDV157" s="3060"/>
      <c r="JDW157" s="3060"/>
      <c r="JDX157" s="3060"/>
      <c r="JDY157" s="3060"/>
      <c r="JDZ157" s="3060"/>
      <c r="JEA157" s="3060"/>
      <c r="JEB157" s="3060"/>
      <c r="JEC157" s="3060"/>
      <c r="JED157" s="3060"/>
      <c r="JEE157" s="3060"/>
      <c r="JEF157" s="3060"/>
      <c r="JEG157" s="3060"/>
      <c r="JEH157" s="3060"/>
      <c r="JEI157" s="3060"/>
      <c r="JEJ157" s="3060"/>
      <c r="JEK157" s="3060"/>
      <c r="JEL157" s="3060"/>
      <c r="JEM157" s="3060"/>
      <c r="JEN157" s="3060"/>
      <c r="JEO157" s="3060"/>
      <c r="JEP157" s="3060"/>
      <c r="JEQ157" s="3060"/>
      <c r="JER157" s="3060"/>
      <c r="JES157" s="3060"/>
      <c r="JET157" s="3060"/>
      <c r="JEU157" s="3060"/>
      <c r="JEV157" s="3060"/>
      <c r="JEW157" s="3060"/>
      <c r="JEX157" s="3060"/>
      <c r="JEY157" s="3060"/>
      <c r="JEZ157" s="3060"/>
      <c r="JFA157" s="3060"/>
      <c r="JFB157" s="3060"/>
      <c r="JFC157" s="3060"/>
      <c r="JFD157" s="3060"/>
      <c r="JFE157" s="3060"/>
      <c r="JFF157" s="3060"/>
      <c r="JFG157" s="3060"/>
      <c r="JFH157" s="3060"/>
      <c r="JFI157" s="3060"/>
      <c r="JFJ157" s="3060"/>
      <c r="JFK157" s="3060"/>
      <c r="JFL157" s="3060"/>
      <c r="JFM157" s="3060"/>
      <c r="JFN157" s="3060"/>
      <c r="JFO157" s="3060"/>
      <c r="JFP157" s="3060"/>
      <c r="JFQ157" s="3060"/>
      <c r="JFR157" s="3060"/>
      <c r="JFS157" s="3060"/>
      <c r="JFT157" s="3060"/>
      <c r="JFU157" s="3060"/>
      <c r="JFV157" s="3060"/>
      <c r="JFW157" s="3060"/>
      <c r="JFX157" s="3060"/>
      <c r="JFY157" s="3060"/>
      <c r="JFZ157" s="3060"/>
      <c r="JGA157" s="3060"/>
      <c r="JGB157" s="3060"/>
      <c r="JGC157" s="3060"/>
      <c r="JGD157" s="3060"/>
      <c r="JGE157" s="3060"/>
      <c r="JGF157" s="3060"/>
      <c r="JGG157" s="3060"/>
      <c r="JGH157" s="3060"/>
      <c r="JGI157" s="3060"/>
      <c r="JGJ157" s="3060"/>
      <c r="JGK157" s="3060"/>
      <c r="JGL157" s="3060"/>
      <c r="JGM157" s="3060"/>
      <c r="JGN157" s="3060"/>
      <c r="JGO157" s="3060"/>
      <c r="JGP157" s="3060"/>
      <c r="JGQ157" s="3060"/>
      <c r="JGR157" s="3060"/>
      <c r="JGS157" s="3060"/>
      <c r="JGT157" s="3060"/>
      <c r="JGU157" s="3060"/>
      <c r="JGV157" s="3060"/>
      <c r="JGW157" s="3060"/>
      <c r="JGX157" s="3060"/>
      <c r="JGY157" s="3060"/>
      <c r="JGZ157" s="3060"/>
      <c r="JHA157" s="3060"/>
      <c r="JHB157" s="3060"/>
      <c r="JHC157" s="3060"/>
      <c r="JHD157" s="3060"/>
      <c r="JHE157" s="3060"/>
      <c r="JHF157" s="3060"/>
      <c r="JHG157" s="3060"/>
      <c r="JHH157" s="3060"/>
      <c r="JHI157" s="3060"/>
      <c r="JHJ157" s="3060"/>
      <c r="JHK157" s="3060"/>
      <c r="JHL157" s="3060"/>
      <c r="JHM157" s="3060"/>
      <c r="JHN157" s="3060"/>
      <c r="JHO157" s="3060"/>
      <c r="JHP157" s="3060"/>
      <c r="JHQ157" s="3060"/>
      <c r="JHR157" s="3060"/>
      <c r="JHS157" s="3060"/>
      <c r="JHT157" s="3060"/>
      <c r="JHU157" s="3060"/>
      <c r="JHV157" s="3060"/>
      <c r="JHW157" s="3060"/>
      <c r="JHX157" s="3060"/>
      <c r="JHY157" s="3060"/>
      <c r="JHZ157" s="3060"/>
      <c r="JIA157" s="3060"/>
      <c r="JIB157" s="3060"/>
      <c r="JIC157" s="3060"/>
      <c r="JID157" s="3060"/>
      <c r="JIE157" s="3060"/>
      <c r="JIF157" s="3060"/>
      <c r="JIG157" s="3060"/>
      <c r="JIH157" s="3060"/>
      <c r="JII157" s="3060"/>
      <c r="JIJ157" s="3060"/>
      <c r="JIK157" s="3060"/>
      <c r="JIL157" s="3060"/>
      <c r="JIM157" s="3060"/>
      <c r="JIN157" s="3060"/>
      <c r="JIO157" s="3060"/>
      <c r="JIP157" s="3060"/>
      <c r="JIQ157" s="3060"/>
      <c r="JIR157" s="3060"/>
      <c r="JIS157" s="3060"/>
      <c r="JIT157" s="3060"/>
      <c r="JIU157" s="3060"/>
      <c r="JIV157" s="3060"/>
      <c r="JIW157" s="3060"/>
      <c r="JIX157" s="3060"/>
      <c r="JIY157" s="3060"/>
      <c r="JIZ157" s="3060"/>
      <c r="JJA157" s="3060"/>
      <c r="JJB157" s="3060"/>
      <c r="JJC157" s="3060"/>
      <c r="JJD157" s="3060"/>
      <c r="JJE157" s="3060"/>
      <c r="JJF157" s="3060"/>
      <c r="JJG157" s="3060"/>
      <c r="JJH157" s="3060"/>
      <c r="JJI157" s="3060"/>
      <c r="JJJ157" s="3060"/>
      <c r="JJK157" s="3060"/>
      <c r="JJL157" s="3060"/>
      <c r="JJM157" s="3060"/>
      <c r="JJN157" s="3060"/>
      <c r="JJO157" s="3060"/>
      <c r="JJP157" s="3060"/>
      <c r="JJQ157" s="3060"/>
      <c r="JJR157" s="3060"/>
      <c r="JJS157" s="3060"/>
      <c r="JJT157" s="3060"/>
      <c r="JJU157" s="3060"/>
      <c r="JJV157" s="3060"/>
      <c r="JJW157" s="3060"/>
      <c r="JJX157" s="3060"/>
      <c r="JJY157" s="3060"/>
      <c r="JJZ157" s="3060"/>
      <c r="JKA157" s="3060"/>
      <c r="JKB157" s="3060"/>
      <c r="JKC157" s="3060"/>
      <c r="JKD157" s="3060"/>
      <c r="JKE157" s="3060"/>
      <c r="JKF157" s="3060"/>
      <c r="JKG157" s="3060"/>
      <c r="JKH157" s="3060"/>
      <c r="JKI157" s="3060"/>
      <c r="JKJ157" s="3060"/>
      <c r="JKK157" s="3060"/>
      <c r="JKL157" s="3060"/>
      <c r="JKM157" s="3060"/>
      <c r="JKN157" s="3060"/>
      <c r="JKO157" s="3060"/>
      <c r="JKP157" s="3060"/>
      <c r="JKQ157" s="3060"/>
      <c r="JKR157" s="3060"/>
      <c r="JKS157" s="3060"/>
      <c r="JKT157" s="3060"/>
      <c r="JKU157" s="3060"/>
      <c r="JKV157" s="3060"/>
      <c r="JKW157" s="3060"/>
      <c r="JKX157" s="3060"/>
      <c r="JKY157" s="3060"/>
      <c r="JKZ157" s="3060"/>
      <c r="JLA157" s="3060"/>
      <c r="JLB157" s="3060"/>
      <c r="JLC157" s="3060"/>
      <c r="JLD157" s="3060"/>
      <c r="JLE157" s="3060"/>
      <c r="JLF157" s="3060"/>
      <c r="JLG157" s="3060"/>
      <c r="JLH157" s="3060"/>
      <c r="JLI157" s="3060"/>
      <c r="JLJ157" s="3060"/>
      <c r="JLK157" s="3060"/>
      <c r="JLL157" s="3060"/>
      <c r="JLM157" s="3060"/>
      <c r="JLN157" s="3060"/>
      <c r="JLO157" s="3060"/>
      <c r="JLP157" s="3060"/>
      <c r="JLQ157" s="3060"/>
      <c r="JLR157" s="3060"/>
      <c r="JLS157" s="3060"/>
      <c r="JLT157" s="3060"/>
      <c r="JLU157" s="3060"/>
      <c r="JLV157" s="3060"/>
      <c r="JLW157" s="3060"/>
      <c r="JLX157" s="3060"/>
      <c r="JLY157" s="3060"/>
      <c r="JLZ157" s="3060"/>
      <c r="JMA157" s="3060"/>
      <c r="JMB157" s="3060"/>
      <c r="JMC157" s="3060"/>
      <c r="JMD157" s="3060"/>
      <c r="JME157" s="3060"/>
      <c r="JMF157" s="3060"/>
      <c r="JMG157" s="3060"/>
      <c r="JMH157" s="3060"/>
      <c r="JMI157" s="3060"/>
      <c r="JMJ157" s="3060"/>
      <c r="JMK157" s="3060"/>
      <c r="JML157" s="3060"/>
      <c r="JMM157" s="3060"/>
      <c r="JMN157" s="3060"/>
      <c r="JMO157" s="3060"/>
      <c r="JMP157" s="3060"/>
      <c r="JMQ157" s="3060"/>
      <c r="JMR157" s="3060"/>
      <c r="JMS157" s="3060"/>
      <c r="JMT157" s="3060"/>
      <c r="JMU157" s="3060"/>
      <c r="JMV157" s="3060"/>
      <c r="JMW157" s="3060"/>
      <c r="JMX157" s="3060"/>
      <c r="JMY157" s="3060"/>
      <c r="JMZ157" s="3060"/>
      <c r="JNA157" s="3060"/>
      <c r="JNB157" s="3060"/>
      <c r="JNC157" s="3060"/>
      <c r="JND157" s="3060"/>
      <c r="JNE157" s="3060"/>
      <c r="JNF157" s="3060"/>
      <c r="JNG157" s="3060"/>
      <c r="JNH157" s="3060"/>
      <c r="JNI157" s="3060"/>
      <c r="JNJ157" s="3060"/>
      <c r="JNK157" s="3060"/>
      <c r="JNL157" s="3060"/>
      <c r="JNM157" s="3060"/>
      <c r="JNN157" s="3060"/>
      <c r="JNO157" s="3060"/>
      <c r="JNP157" s="3060"/>
      <c r="JNQ157" s="3060"/>
      <c r="JNR157" s="3060"/>
      <c r="JNS157" s="3060"/>
      <c r="JNT157" s="3060"/>
      <c r="JNU157" s="3060"/>
      <c r="JNV157" s="3060"/>
      <c r="JNW157" s="3060"/>
      <c r="JNX157" s="3060"/>
      <c r="JNY157" s="3060"/>
      <c r="JNZ157" s="3060"/>
      <c r="JOA157" s="3060"/>
      <c r="JOB157" s="3060"/>
      <c r="JOC157" s="3060"/>
      <c r="JOD157" s="3060"/>
      <c r="JOE157" s="3060"/>
      <c r="JOF157" s="3060"/>
      <c r="JOG157" s="3060"/>
      <c r="JOH157" s="3060"/>
      <c r="JOI157" s="3060"/>
      <c r="JOJ157" s="3060"/>
      <c r="JOK157" s="3060"/>
      <c r="JOL157" s="3060"/>
      <c r="JOM157" s="3060"/>
      <c r="JON157" s="3060"/>
      <c r="JOO157" s="3060"/>
      <c r="JOP157" s="3060"/>
      <c r="JOQ157" s="3060"/>
      <c r="JOR157" s="3060"/>
      <c r="JOS157" s="3060"/>
      <c r="JOT157" s="3060"/>
      <c r="JOU157" s="3060"/>
      <c r="JOV157" s="3060"/>
      <c r="JOW157" s="3060"/>
      <c r="JOX157" s="3060"/>
      <c r="JOY157" s="3060"/>
      <c r="JOZ157" s="3060"/>
      <c r="JPA157" s="3060"/>
      <c r="JPB157" s="3060"/>
      <c r="JPC157" s="3060"/>
      <c r="JPD157" s="3060"/>
      <c r="JPE157" s="3060"/>
      <c r="JPF157" s="3060"/>
      <c r="JPG157" s="3060"/>
      <c r="JPH157" s="3060"/>
      <c r="JPI157" s="3060"/>
      <c r="JPJ157" s="3060"/>
      <c r="JPK157" s="3060"/>
      <c r="JPL157" s="3060"/>
      <c r="JPM157" s="3060"/>
      <c r="JPN157" s="3060"/>
      <c r="JPO157" s="3060"/>
      <c r="JPP157" s="3060"/>
      <c r="JPQ157" s="3060"/>
      <c r="JPR157" s="3060"/>
      <c r="JPS157" s="3060"/>
      <c r="JPT157" s="3060"/>
      <c r="JPU157" s="3060"/>
      <c r="JPV157" s="3060"/>
      <c r="JPW157" s="3060"/>
      <c r="JPX157" s="3060"/>
      <c r="JPY157" s="3060"/>
      <c r="JPZ157" s="3060"/>
      <c r="JQA157" s="3060"/>
      <c r="JQB157" s="3060"/>
      <c r="JQC157" s="3060"/>
      <c r="JQD157" s="3060"/>
      <c r="JQE157" s="3060"/>
      <c r="JQF157" s="3060"/>
      <c r="JQG157" s="3060"/>
      <c r="JQH157" s="3060"/>
      <c r="JQI157" s="3060"/>
      <c r="JQJ157" s="3060"/>
      <c r="JQK157" s="3060"/>
      <c r="JQL157" s="3060"/>
      <c r="JQM157" s="3060"/>
      <c r="JQN157" s="3060"/>
      <c r="JQO157" s="3060"/>
      <c r="JQP157" s="3060"/>
      <c r="JQQ157" s="3060"/>
      <c r="JQR157" s="3060"/>
      <c r="JQS157" s="3060"/>
      <c r="JQT157" s="3060"/>
      <c r="JQU157" s="3060"/>
      <c r="JQV157" s="3060"/>
      <c r="JQW157" s="3060"/>
      <c r="JQX157" s="3060"/>
      <c r="JQY157" s="3060"/>
      <c r="JQZ157" s="3060"/>
      <c r="JRA157" s="3060"/>
      <c r="JRB157" s="3060"/>
      <c r="JRC157" s="3060"/>
      <c r="JRD157" s="3060"/>
      <c r="JRE157" s="3060"/>
      <c r="JRF157" s="3060"/>
      <c r="JRG157" s="3060"/>
      <c r="JRH157" s="3060"/>
      <c r="JRI157" s="3060"/>
      <c r="JRJ157" s="3060"/>
      <c r="JRK157" s="3060"/>
      <c r="JRL157" s="3060"/>
      <c r="JRM157" s="3060"/>
      <c r="JRN157" s="3060"/>
      <c r="JRO157" s="3060"/>
      <c r="JRP157" s="3060"/>
      <c r="JRQ157" s="3060"/>
      <c r="JRR157" s="3060"/>
      <c r="JRS157" s="3060"/>
      <c r="JRT157" s="3060"/>
      <c r="JRU157" s="3060"/>
      <c r="JRV157" s="3060"/>
      <c r="JRW157" s="3060"/>
      <c r="JRX157" s="3060"/>
      <c r="JRY157" s="3060"/>
      <c r="JRZ157" s="3060"/>
      <c r="JSA157" s="3060"/>
      <c r="JSB157" s="3060"/>
      <c r="JSC157" s="3060"/>
      <c r="JSD157" s="3060"/>
      <c r="JSE157" s="3060"/>
      <c r="JSF157" s="3060"/>
      <c r="JSG157" s="3060"/>
      <c r="JSH157" s="3060"/>
      <c r="JSI157" s="3060"/>
      <c r="JSJ157" s="3060"/>
      <c r="JSK157" s="3060"/>
      <c r="JSL157" s="3060"/>
      <c r="JSM157" s="3060"/>
      <c r="JSN157" s="3060"/>
      <c r="JSO157" s="3060"/>
      <c r="JSP157" s="3060"/>
      <c r="JSQ157" s="3060"/>
      <c r="JSR157" s="3060"/>
      <c r="JSS157" s="3060"/>
      <c r="JST157" s="3060"/>
      <c r="JSU157" s="3060"/>
      <c r="JSV157" s="3060"/>
      <c r="JSW157" s="3060"/>
      <c r="JSX157" s="3060"/>
      <c r="JSY157" s="3060"/>
      <c r="JSZ157" s="3060"/>
      <c r="JTA157" s="3060"/>
      <c r="JTB157" s="3060"/>
      <c r="JTC157" s="3060"/>
      <c r="JTD157" s="3060"/>
      <c r="JTE157" s="3060"/>
      <c r="JTF157" s="3060"/>
      <c r="JTG157" s="3060"/>
      <c r="JTH157" s="3060"/>
      <c r="JTI157" s="3060"/>
      <c r="JTJ157" s="3060"/>
      <c r="JTK157" s="3060"/>
      <c r="JTL157" s="3060"/>
      <c r="JTM157" s="3060"/>
      <c r="JTN157" s="3060"/>
      <c r="JTO157" s="3060"/>
      <c r="JTP157" s="3060"/>
      <c r="JTQ157" s="3060"/>
      <c r="JTR157" s="3060"/>
      <c r="JTS157" s="3060"/>
      <c r="JTT157" s="3060"/>
      <c r="JTU157" s="3060"/>
      <c r="JTV157" s="3060"/>
      <c r="JTW157" s="3060"/>
      <c r="JTX157" s="3060"/>
      <c r="JTY157" s="3060"/>
      <c r="JTZ157" s="3060"/>
      <c r="JUA157" s="3060"/>
      <c r="JUB157" s="3060"/>
      <c r="JUC157" s="3060"/>
      <c r="JUD157" s="3060"/>
      <c r="JUE157" s="3060"/>
      <c r="JUF157" s="3060"/>
      <c r="JUG157" s="3060"/>
      <c r="JUH157" s="3060"/>
      <c r="JUI157" s="3060"/>
      <c r="JUJ157" s="3060"/>
      <c r="JUK157" s="3060"/>
      <c r="JUL157" s="3060"/>
      <c r="JUM157" s="3060"/>
      <c r="JUN157" s="3060"/>
      <c r="JUO157" s="3060"/>
      <c r="JUP157" s="3060"/>
      <c r="JUQ157" s="3060"/>
      <c r="JUR157" s="3060"/>
      <c r="JUS157" s="3060"/>
      <c r="JUT157" s="3060"/>
      <c r="JUU157" s="3060"/>
      <c r="JUV157" s="3060"/>
      <c r="JUW157" s="3060"/>
      <c r="JUX157" s="3060"/>
      <c r="JUY157" s="3060"/>
      <c r="JUZ157" s="3060"/>
      <c r="JVA157" s="3060"/>
      <c r="JVB157" s="3060"/>
      <c r="JVC157" s="3060"/>
      <c r="JVD157" s="3060"/>
      <c r="JVE157" s="3060"/>
      <c r="JVF157" s="3060"/>
      <c r="JVG157" s="3060"/>
      <c r="JVH157" s="3060"/>
      <c r="JVI157" s="3060"/>
      <c r="JVJ157" s="3060"/>
      <c r="JVK157" s="3060"/>
      <c r="JVL157" s="3060"/>
      <c r="JVM157" s="3060"/>
      <c r="JVN157" s="3060"/>
      <c r="JVO157" s="3060"/>
      <c r="JVP157" s="3060"/>
      <c r="JVQ157" s="3060"/>
      <c r="JVR157" s="3060"/>
      <c r="JVS157" s="3060"/>
      <c r="JVT157" s="3060"/>
      <c r="JVU157" s="3060"/>
      <c r="JVV157" s="3060"/>
      <c r="JVW157" s="3060"/>
      <c r="JVX157" s="3060"/>
      <c r="JVY157" s="3060"/>
      <c r="JVZ157" s="3060"/>
      <c r="JWA157" s="3060"/>
      <c r="JWB157" s="3060"/>
      <c r="JWC157" s="3060"/>
      <c r="JWD157" s="3060"/>
      <c r="JWE157" s="3060"/>
      <c r="JWF157" s="3060"/>
      <c r="JWG157" s="3060"/>
      <c r="JWH157" s="3060"/>
      <c r="JWI157" s="3060"/>
      <c r="JWJ157" s="3060"/>
      <c r="JWK157" s="3060"/>
      <c r="JWL157" s="3060"/>
      <c r="JWM157" s="3060"/>
      <c r="JWN157" s="3060"/>
      <c r="JWO157" s="3060"/>
      <c r="JWP157" s="3060"/>
      <c r="JWQ157" s="3060"/>
      <c r="JWR157" s="3060"/>
      <c r="JWS157" s="3060"/>
      <c r="JWT157" s="3060"/>
      <c r="JWU157" s="3060"/>
      <c r="JWV157" s="3060"/>
      <c r="JWW157" s="3060"/>
      <c r="JWX157" s="3060"/>
      <c r="JWY157" s="3060"/>
      <c r="JWZ157" s="3060"/>
      <c r="JXA157" s="3060"/>
      <c r="JXB157" s="3060"/>
      <c r="JXC157" s="3060"/>
      <c r="JXD157" s="3060"/>
      <c r="JXE157" s="3060"/>
      <c r="JXF157" s="3060"/>
      <c r="JXG157" s="3060"/>
      <c r="JXH157" s="3060"/>
      <c r="JXI157" s="3060"/>
      <c r="JXJ157" s="3060"/>
      <c r="JXK157" s="3060"/>
      <c r="JXL157" s="3060"/>
      <c r="JXM157" s="3060"/>
      <c r="JXN157" s="3060"/>
      <c r="JXO157" s="3060"/>
      <c r="JXP157" s="3060"/>
      <c r="JXQ157" s="3060"/>
      <c r="JXR157" s="3060"/>
      <c r="JXS157" s="3060"/>
      <c r="JXT157" s="3060"/>
      <c r="JXU157" s="3060"/>
      <c r="JXV157" s="3060"/>
      <c r="JXW157" s="3060"/>
      <c r="JXX157" s="3060"/>
      <c r="JXY157" s="3060"/>
      <c r="JXZ157" s="3060"/>
      <c r="JYA157" s="3060"/>
      <c r="JYB157" s="3060"/>
      <c r="JYC157" s="3060"/>
      <c r="JYD157" s="3060"/>
      <c r="JYE157" s="3060"/>
      <c r="JYF157" s="3060"/>
      <c r="JYG157" s="3060"/>
      <c r="JYH157" s="3060"/>
      <c r="JYI157" s="3060"/>
      <c r="JYJ157" s="3060"/>
      <c r="JYK157" s="3060"/>
      <c r="JYL157" s="3060"/>
      <c r="JYM157" s="3060"/>
      <c r="JYN157" s="3060"/>
      <c r="JYO157" s="3060"/>
      <c r="JYP157" s="3060"/>
      <c r="JYQ157" s="3060"/>
      <c r="JYR157" s="3060"/>
      <c r="JYS157" s="3060"/>
      <c r="JYT157" s="3060"/>
      <c r="JYU157" s="3060"/>
      <c r="JYV157" s="3060"/>
      <c r="JYW157" s="3060"/>
      <c r="JYX157" s="3060"/>
      <c r="JYY157" s="3060"/>
      <c r="JYZ157" s="3060"/>
      <c r="JZA157" s="3060"/>
      <c r="JZB157" s="3060"/>
      <c r="JZC157" s="3060"/>
      <c r="JZD157" s="3060"/>
      <c r="JZE157" s="3060"/>
      <c r="JZF157" s="3060"/>
      <c r="JZG157" s="3060"/>
      <c r="JZH157" s="3060"/>
      <c r="JZI157" s="3060"/>
      <c r="JZJ157" s="3060"/>
      <c r="JZK157" s="3060"/>
      <c r="JZL157" s="3060"/>
      <c r="JZM157" s="3060"/>
      <c r="JZN157" s="3060"/>
      <c r="JZO157" s="3060"/>
      <c r="JZP157" s="3060"/>
      <c r="JZQ157" s="3060"/>
      <c r="JZR157" s="3060"/>
      <c r="JZS157" s="3060"/>
      <c r="JZT157" s="3060"/>
      <c r="JZU157" s="3060"/>
      <c r="JZV157" s="3060"/>
      <c r="JZW157" s="3060"/>
      <c r="JZX157" s="3060"/>
      <c r="JZY157" s="3060"/>
      <c r="JZZ157" s="3060"/>
      <c r="KAA157" s="3060"/>
      <c r="KAB157" s="3060"/>
      <c r="KAC157" s="3060"/>
      <c r="KAD157" s="3060"/>
      <c r="KAE157" s="3060"/>
      <c r="KAF157" s="3060"/>
      <c r="KAG157" s="3060"/>
      <c r="KAH157" s="3060"/>
      <c r="KAI157" s="3060"/>
      <c r="KAJ157" s="3060"/>
      <c r="KAK157" s="3060"/>
      <c r="KAL157" s="3060"/>
      <c r="KAM157" s="3060"/>
      <c r="KAN157" s="3060"/>
      <c r="KAO157" s="3060"/>
      <c r="KAP157" s="3060"/>
      <c r="KAQ157" s="3060"/>
      <c r="KAR157" s="3060"/>
      <c r="KAS157" s="3060"/>
      <c r="KAT157" s="3060"/>
      <c r="KAU157" s="3060"/>
      <c r="KAV157" s="3060"/>
      <c r="KAW157" s="3060"/>
      <c r="KAX157" s="3060"/>
      <c r="KAY157" s="3060"/>
      <c r="KAZ157" s="3060"/>
      <c r="KBA157" s="3060"/>
      <c r="KBB157" s="3060"/>
      <c r="KBC157" s="3060"/>
      <c r="KBD157" s="3060"/>
      <c r="KBE157" s="3060"/>
      <c r="KBF157" s="3060"/>
      <c r="KBG157" s="3060"/>
      <c r="KBH157" s="3060"/>
      <c r="KBI157" s="3060"/>
      <c r="KBJ157" s="3060"/>
      <c r="KBK157" s="3060"/>
      <c r="KBL157" s="3060"/>
      <c r="KBM157" s="3060"/>
      <c r="KBN157" s="3060"/>
      <c r="KBO157" s="3060"/>
      <c r="KBP157" s="3060"/>
      <c r="KBQ157" s="3060"/>
      <c r="KBR157" s="3060"/>
      <c r="KBS157" s="3060"/>
      <c r="KBT157" s="3060"/>
      <c r="KBU157" s="3060"/>
      <c r="KBV157" s="3060"/>
      <c r="KBW157" s="3060"/>
      <c r="KBX157" s="3060"/>
      <c r="KBY157" s="3060"/>
      <c r="KBZ157" s="3060"/>
      <c r="KCA157" s="3060"/>
      <c r="KCB157" s="3060"/>
      <c r="KCC157" s="3060"/>
      <c r="KCD157" s="3060"/>
      <c r="KCE157" s="3060"/>
      <c r="KCF157" s="3060"/>
      <c r="KCG157" s="3060"/>
      <c r="KCH157" s="3060"/>
      <c r="KCI157" s="3060"/>
      <c r="KCJ157" s="3060"/>
      <c r="KCK157" s="3060"/>
      <c r="KCL157" s="3060"/>
      <c r="KCM157" s="3060"/>
      <c r="KCN157" s="3060"/>
      <c r="KCO157" s="3060"/>
      <c r="KCP157" s="3060"/>
      <c r="KCQ157" s="3060"/>
      <c r="KCR157" s="3060"/>
      <c r="KCS157" s="3060"/>
      <c r="KCT157" s="3060"/>
      <c r="KCU157" s="3060"/>
      <c r="KCV157" s="3060"/>
      <c r="KCW157" s="3060"/>
      <c r="KCX157" s="3060"/>
      <c r="KCY157" s="3060"/>
      <c r="KCZ157" s="3060"/>
      <c r="KDA157" s="3060"/>
      <c r="KDB157" s="3060"/>
      <c r="KDC157" s="3060"/>
      <c r="KDD157" s="3060"/>
      <c r="KDE157" s="3060"/>
      <c r="KDF157" s="3060"/>
      <c r="KDG157" s="3060"/>
      <c r="KDH157" s="3060"/>
      <c r="KDI157" s="3060"/>
      <c r="KDJ157" s="3060"/>
      <c r="KDK157" s="3060"/>
      <c r="KDL157" s="3060"/>
      <c r="KDM157" s="3060"/>
      <c r="KDN157" s="3060"/>
      <c r="KDO157" s="3060"/>
      <c r="KDP157" s="3060"/>
      <c r="KDQ157" s="3060"/>
      <c r="KDR157" s="3060"/>
      <c r="KDS157" s="3060"/>
      <c r="KDT157" s="3060"/>
      <c r="KDU157" s="3060"/>
      <c r="KDV157" s="3060"/>
      <c r="KDW157" s="3060"/>
      <c r="KDX157" s="3060"/>
      <c r="KDY157" s="3060"/>
      <c r="KDZ157" s="3060"/>
      <c r="KEA157" s="3060"/>
      <c r="KEB157" s="3060"/>
      <c r="KEC157" s="3060"/>
      <c r="KED157" s="3060"/>
      <c r="KEE157" s="3060"/>
      <c r="KEF157" s="3060"/>
      <c r="KEG157" s="3060"/>
      <c r="KEH157" s="3060"/>
      <c r="KEI157" s="3060"/>
      <c r="KEJ157" s="3060"/>
      <c r="KEK157" s="3060"/>
      <c r="KEL157" s="3060"/>
      <c r="KEM157" s="3060"/>
      <c r="KEN157" s="3060"/>
      <c r="KEO157" s="3060"/>
      <c r="KEP157" s="3060"/>
      <c r="KEQ157" s="3060"/>
      <c r="KER157" s="3060"/>
      <c r="KES157" s="3060"/>
      <c r="KET157" s="3060"/>
      <c r="KEU157" s="3060"/>
      <c r="KEV157" s="3060"/>
      <c r="KEW157" s="3060"/>
      <c r="KEX157" s="3060"/>
      <c r="KEY157" s="3060"/>
      <c r="KEZ157" s="3060"/>
      <c r="KFA157" s="3060"/>
      <c r="KFB157" s="3060"/>
      <c r="KFC157" s="3060"/>
      <c r="KFD157" s="3060"/>
      <c r="KFE157" s="3060"/>
      <c r="KFF157" s="3060"/>
      <c r="KFG157" s="3060"/>
      <c r="KFH157" s="3060"/>
      <c r="KFI157" s="3060"/>
      <c r="KFJ157" s="3060"/>
      <c r="KFK157" s="3060"/>
      <c r="KFL157" s="3060"/>
      <c r="KFM157" s="3060"/>
      <c r="KFN157" s="3060"/>
      <c r="KFO157" s="3060"/>
      <c r="KFP157" s="3060"/>
      <c r="KFQ157" s="3060"/>
      <c r="KFR157" s="3060"/>
      <c r="KFS157" s="3060"/>
      <c r="KFT157" s="3060"/>
      <c r="KFU157" s="3060"/>
      <c r="KFV157" s="3060"/>
      <c r="KFW157" s="3060"/>
      <c r="KFX157" s="3060"/>
      <c r="KFY157" s="3060"/>
      <c r="KFZ157" s="3060"/>
      <c r="KGA157" s="3060"/>
      <c r="KGB157" s="3060"/>
      <c r="KGC157" s="3060"/>
      <c r="KGD157" s="3060"/>
      <c r="KGE157" s="3060"/>
      <c r="KGF157" s="3060"/>
      <c r="KGG157" s="3060"/>
      <c r="KGH157" s="3060"/>
      <c r="KGI157" s="3060"/>
      <c r="KGJ157" s="3060"/>
      <c r="KGK157" s="3060"/>
      <c r="KGL157" s="3060"/>
      <c r="KGM157" s="3060"/>
      <c r="KGN157" s="3060"/>
      <c r="KGO157" s="3060"/>
      <c r="KGP157" s="3060"/>
      <c r="KGQ157" s="3060"/>
      <c r="KGR157" s="3060"/>
      <c r="KGS157" s="3060"/>
      <c r="KGT157" s="3060"/>
      <c r="KGU157" s="3060"/>
      <c r="KGV157" s="3060"/>
      <c r="KGW157" s="3060"/>
      <c r="KGX157" s="3060"/>
      <c r="KGY157" s="3060"/>
      <c r="KGZ157" s="3060"/>
      <c r="KHA157" s="3060"/>
      <c r="KHB157" s="3060"/>
      <c r="KHC157" s="3060"/>
      <c r="KHD157" s="3060"/>
      <c r="KHE157" s="3060"/>
      <c r="KHF157" s="3060"/>
      <c r="KHG157" s="3060"/>
      <c r="KHH157" s="3060"/>
      <c r="KHI157" s="3060"/>
      <c r="KHJ157" s="3060"/>
      <c r="KHK157" s="3060"/>
      <c r="KHL157" s="3060"/>
      <c r="KHM157" s="3060"/>
      <c r="KHN157" s="3060"/>
      <c r="KHO157" s="3060"/>
      <c r="KHP157" s="3060"/>
      <c r="KHQ157" s="3060"/>
      <c r="KHR157" s="3060"/>
      <c r="KHS157" s="3060"/>
      <c r="KHT157" s="3060"/>
      <c r="KHU157" s="3060"/>
      <c r="KHV157" s="3060"/>
      <c r="KHW157" s="3060"/>
      <c r="KHX157" s="3060"/>
      <c r="KHY157" s="3060"/>
      <c r="KHZ157" s="3060"/>
      <c r="KIA157" s="3060"/>
      <c r="KIB157" s="3060"/>
      <c r="KIC157" s="3060"/>
      <c r="KID157" s="3060"/>
      <c r="KIE157" s="3060"/>
      <c r="KIF157" s="3060"/>
      <c r="KIG157" s="3060"/>
      <c r="KIH157" s="3060"/>
      <c r="KII157" s="3060"/>
      <c r="KIJ157" s="3060"/>
      <c r="KIK157" s="3060"/>
      <c r="KIL157" s="3060"/>
      <c r="KIM157" s="3060"/>
      <c r="KIN157" s="3060"/>
      <c r="KIO157" s="3060"/>
      <c r="KIP157" s="3060"/>
      <c r="KIQ157" s="3060"/>
      <c r="KIR157" s="3060"/>
      <c r="KIS157" s="3060"/>
      <c r="KIT157" s="3060"/>
      <c r="KIU157" s="3060"/>
      <c r="KIV157" s="3060"/>
      <c r="KIW157" s="3060"/>
      <c r="KIX157" s="3060"/>
      <c r="KIY157" s="3060"/>
      <c r="KIZ157" s="3060"/>
      <c r="KJA157" s="3060"/>
      <c r="KJB157" s="3060"/>
      <c r="KJC157" s="3060"/>
      <c r="KJD157" s="3060"/>
      <c r="KJE157" s="3060"/>
      <c r="KJF157" s="3060"/>
      <c r="KJG157" s="3060"/>
      <c r="KJH157" s="3060"/>
      <c r="KJI157" s="3060"/>
      <c r="KJJ157" s="3060"/>
      <c r="KJK157" s="3060"/>
      <c r="KJL157" s="3060"/>
      <c r="KJM157" s="3060"/>
      <c r="KJN157" s="3060"/>
      <c r="KJO157" s="3060"/>
      <c r="KJP157" s="3060"/>
      <c r="KJQ157" s="3060"/>
      <c r="KJR157" s="3060"/>
      <c r="KJS157" s="3060"/>
      <c r="KJT157" s="3060"/>
      <c r="KJU157" s="3060"/>
      <c r="KJV157" s="3060"/>
      <c r="KJW157" s="3060"/>
      <c r="KJX157" s="3060"/>
      <c r="KJY157" s="3060"/>
      <c r="KJZ157" s="3060"/>
      <c r="KKA157" s="3060"/>
      <c r="KKB157" s="3060"/>
      <c r="KKC157" s="3060"/>
      <c r="KKD157" s="3060"/>
      <c r="KKE157" s="3060"/>
      <c r="KKF157" s="3060"/>
      <c r="KKG157" s="3060"/>
      <c r="KKH157" s="3060"/>
      <c r="KKI157" s="3060"/>
      <c r="KKJ157" s="3060"/>
      <c r="KKK157" s="3060"/>
      <c r="KKL157" s="3060"/>
      <c r="KKM157" s="3060"/>
      <c r="KKN157" s="3060"/>
      <c r="KKO157" s="3060"/>
      <c r="KKP157" s="3060"/>
      <c r="KKQ157" s="3060"/>
      <c r="KKR157" s="3060"/>
      <c r="KKS157" s="3060"/>
      <c r="KKT157" s="3060"/>
      <c r="KKU157" s="3060"/>
      <c r="KKV157" s="3060"/>
      <c r="KKW157" s="3060"/>
      <c r="KKX157" s="3060"/>
      <c r="KKY157" s="3060"/>
      <c r="KKZ157" s="3060"/>
      <c r="KLA157" s="3060"/>
      <c r="KLB157" s="3060"/>
      <c r="KLC157" s="3060"/>
      <c r="KLD157" s="3060"/>
      <c r="KLE157" s="3060"/>
      <c r="KLF157" s="3060"/>
      <c r="KLG157" s="3060"/>
      <c r="KLH157" s="3060"/>
      <c r="KLI157" s="3060"/>
      <c r="KLJ157" s="3060"/>
      <c r="KLK157" s="3060"/>
      <c r="KLL157" s="3060"/>
      <c r="KLM157" s="3060"/>
      <c r="KLN157" s="3060"/>
      <c r="KLO157" s="3060"/>
      <c r="KLP157" s="3060"/>
      <c r="KLQ157" s="3060"/>
      <c r="KLR157" s="3060"/>
      <c r="KLS157" s="3060"/>
      <c r="KLT157" s="3060"/>
      <c r="KLU157" s="3060"/>
      <c r="KLV157" s="3060"/>
      <c r="KLW157" s="3060"/>
      <c r="KLX157" s="3060"/>
      <c r="KLY157" s="3060"/>
      <c r="KLZ157" s="3060"/>
      <c r="KMA157" s="3060"/>
      <c r="KMB157" s="3060"/>
      <c r="KMC157" s="3060"/>
      <c r="KMD157" s="3060"/>
      <c r="KME157" s="3060"/>
      <c r="KMF157" s="3060"/>
      <c r="KMG157" s="3060"/>
      <c r="KMH157" s="3060"/>
      <c r="KMI157" s="3060"/>
      <c r="KMJ157" s="3060"/>
      <c r="KMK157" s="3060"/>
      <c r="KML157" s="3060"/>
      <c r="KMM157" s="3060"/>
      <c r="KMN157" s="3060"/>
      <c r="KMO157" s="3060"/>
      <c r="KMP157" s="3060"/>
      <c r="KMQ157" s="3060"/>
      <c r="KMR157" s="3060"/>
      <c r="KMS157" s="3060"/>
      <c r="KMT157" s="3060"/>
      <c r="KMU157" s="3060"/>
      <c r="KMV157" s="3060"/>
      <c r="KMW157" s="3060"/>
      <c r="KMX157" s="3060"/>
      <c r="KMY157" s="3060"/>
      <c r="KMZ157" s="3060"/>
      <c r="KNA157" s="3060"/>
      <c r="KNB157" s="3060"/>
      <c r="KNC157" s="3060"/>
      <c r="KND157" s="3060"/>
      <c r="KNE157" s="3060"/>
      <c r="KNF157" s="3060"/>
      <c r="KNG157" s="3060"/>
      <c r="KNH157" s="3060"/>
      <c r="KNI157" s="3060"/>
      <c r="KNJ157" s="3060"/>
      <c r="KNK157" s="3060"/>
      <c r="KNL157" s="3060"/>
      <c r="KNM157" s="3060"/>
      <c r="KNN157" s="3060"/>
      <c r="KNO157" s="3060"/>
      <c r="KNP157" s="3060"/>
      <c r="KNQ157" s="3060"/>
      <c r="KNR157" s="3060"/>
      <c r="KNS157" s="3060"/>
      <c r="KNT157" s="3060"/>
      <c r="KNU157" s="3060"/>
      <c r="KNV157" s="3060"/>
      <c r="KNW157" s="3060"/>
      <c r="KNX157" s="3060"/>
      <c r="KNY157" s="3060"/>
      <c r="KNZ157" s="3060"/>
      <c r="KOA157" s="3060"/>
      <c r="KOB157" s="3060"/>
      <c r="KOC157" s="3060"/>
      <c r="KOD157" s="3060"/>
      <c r="KOE157" s="3060"/>
      <c r="KOF157" s="3060"/>
      <c r="KOG157" s="3060"/>
      <c r="KOH157" s="3060"/>
      <c r="KOI157" s="3060"/>
      <c r="KOJ157" s="3060"/>
      <c r="KOK157" s="3060"/>
      <c r="KOL157" s="3060"/>
      <c r="KOM157" s="3060"/>
      <c r="KON157" s="3060"/>
      <c r="KOO157" s="3060"/>
      <c r="KOP157" s="3060"/>
      <c r="KOQ157" s="3060"/>
      <c r="KOR157" s="3060"/>
      <c r="KOS157" s="3060"/>
      <c r="KOT157" s="3060"/>
      <c r="KOU157" s="3060"/>
      <c r="KOV157" s="3060"/>
      <c r="KOW157" s="3060"/>
      <c r="KOX157" s="3060"/>
      <c r="KOY157" s="3060"/>
      <c r="KOZ157" s="3060"/>
      <c r="KPA157" s="3060"/>
      <c r="KPB157" s="3060"/>
      <c r="KPC157" s="3060"/>
      <c r="KPD157" s="3060"/>
      <c r="KPE157" s="3060"/>
      <c r="KPF157" s="3060"/>
      <c r="KPG157" s="3060"/>
      <c r="KPH157" s="3060"/>
      <c r="KPI157" s="3060"/>
      <c r="KPJ157" s="3060"/>
      <c r="KPK157" s="3060"/>
      <c r="KPL157" s="3060"/>
      <c r="KPM157" s="3060"/>
      <c r="KPN157" s="3060"/>
      <c r="KPO157" s="3060"/>
      <c r="KPP157" s="3060"/>
      <c r="KPQ157" s="3060"/>
      <c r="KPR157" s="3060"/>
      <c r="KPS157" s="3060"/>
      <c r="KPT157" s="3060"/>
      <c r="KPU157" s="3060"/>
      <c r="KPV157" s="3060"/>
      <c r="KPW157" s="3060"/>
      <c r="KPX157" s="3060"/>
      <c r="KPY157" s="3060"/>
      <c r="KPZ157" s="3060"/>
      <c r="KQA157" s="3060"/>
      <c r="KQB157" s="3060"/>
      <c r="KQC157" s="3060"/>
      <c r="KQD157" s="3060"/>
      <c r="KQE157" s="3060"/>
      <c r="KQF157" s="3060"/>
      <c r="KQG157" s="3060"/>
      <c r="KQH157" s="3060"/>
      <c r="KQI157" s="3060"/>
      <c r="KQJ157" s="3060"/>
      <c r="KQK157" s="3060"/>
      <c r="KQL157" s="3060"/>
      <c r="KQM157" s="3060"/>
      <c r="KQN157" s="3060"/>
      <c r="KQO157" s="3060"/>
      <c r="KQP157" s="3060"/>
      <c r="KQQ157" s="3060"/>
      <c r="KQR157" s="3060"/>
      <c r="KQS157" s="3060"/>
      <c r="KQT157" s="3060"/>
      <c r="KQU157" s="3060"/>
      <c r="KQV157" s="3060"/>
      <c r="KQW157" s="3060"/>
      <c r="KQX157" s="3060"/>
      <c r="KQY157" s="3060"/>
      <c r="KQZ157" s="3060"/>
      <c r="KRA157" s="3060"/>
      <c r="KRB157" s="3060"/>
      <c r="KRC157" s="3060"/>
      <c r="KRD157" s="3060"/>
      <c r="KRE157" s="3060"/>
      <c r="KRF157" s="3060"/>
      <c r="KRG157" s="3060"/>
      <c r="KRH157" s="3060"/>
      <c r="KRI157" s="3060"/>
      <c r="KRJ157" s="3060"/>
      <c r="KRK157" s="3060"/>
      <c r="KRL157" s="3060"/>
      <c r="KRM157" s="3060"/>
      <c r="KRN157" s="3060"/>
      <c r="KRO157" s="3060"/>
      <c r="KRP157" s="3060"/>
      <c r="KRQ157" s="3060"/>
      <c r="KRR157" s="3060"/>
      <c r="KRS157" s="3060"/>
      <c r="KRT157" s="3060"/>
      <c r="KRU157" s="3060"/>
      <c r="KRV157" s="3060"/>
      <c r="KRW157" s="3060"/>
      <c r="KRX157" s="3060"/>
      <c r="KRY157" s="3060"/>
      <c r="KRZ157" s="3060"/>
      <c r="KSA157" s="3060"/>
      <c r="KSB157" s="3060"/>
      <c r="KSC157" s="3060"/>
      <c r="KSD157" s="3060"/>
      <c r="KSE157" s="3060"/>
      <c r="KSF157" s="3060"/>
      <c r="KSG157" s="3060"/>
      <c r="KSH157" s="3060"/>
      <c r="KSI157" s="3060"/>
      <c r="KSJ157" s="3060"/>
      <c r="KSK157" s="3060"/>
      <c r="KSL157" s="3060"/>
      <c r="KSM157" s="3060"/>
      <c r="KSN157" s="3060"/>
      <c r="KSO157" s="3060"/>
      <c r="KSP157" s="3060"/>
      <c r="KSQ157" s="3060"/>
      <c r="KSR157" s="3060"/>
      <c r="KSS157" s="3060"/>
      <c r="KST157" s="3060"/>
      <c r="KSU157" s="3060"/>
      <c r="KSV157" s="3060"/>
      <c r="KSW157" s="3060"/>
      <c r="KSX157" s="3060"/>
      <c r="KSY157" s="3060"/>
      <c r="KSZ157" s="3060"/>
      <c r="KTA157" s="3060"/>
      <c r="KTB157" s="3060"/>
      <c r="KTC157" s="3060"/>
      <c r="KTD157" s="3060"/>
      <c r="KTE157" s="3060"/>
      <c r="KTF157" s="3060"/>
      <c r="KTG157" s="3060"/>
      <c r="KTH157" s="3060"/>
      <c r="KTI157" s="3060"/>
      <c r="KTJ157" s="3060"/>
      <c r="KTK157" s="3060"/>
      <c r="KTL157" s="3060"/>
      <c r="KTM157" s="3060"/>
      <c r="KTN157" s="3060"/>
      <c r="KTO157" s="3060"/>
      <c r="KTP157" s="3060"/>
      <c r="KTQ157" s="3060"/>
      <c r="KTR157" s="3060"/>
      <c r="KTS157" s="3060"/>
      <c r="KTT157" s="3060"/>
      <c r="KTU157" s="3060"/>
      <c r="KTV157" s="3060"/>
      <c r="KTW157" s="3060"/>
      <c r="KTX157" s="3060"/>
      <c r="KTY157" s="3060"/>
      <c r="KTZ157" s="3060"/>
      <c r="KUA157" s="3060"/>
      <c r="KUB157" s="3060"/>
      <c r="KUC157" s="3060"/>
      <c r="KUD157" s="3060"/>
      <c r="KUE157" s="3060"/>
      <c r="KUF157" s="3060"/>
      <c r="KUG157" s="3060"/>
      <c r="KUH157" s="3060"/>
      <c r="KUI157" s="3060"/>
      <c r="KUJ157" s="3060"/>
      <c r="KUK157" s="3060"/>
      <c r="KUL157" s="3060"/>
      <c r="KUM157" s="3060"/>
      <c r="KUN157" s="3060"/>
      <c r="KUO157" s="3060"/>
      <c r="KUP157" s="3060"/>
      <c r="KUQ157" s="3060"/>
      <c r="KUR157" s="3060"/>
      <c r="KUS157" s="3060"/>
      <c r="KUT157" s="3060"/>
      <c r="KUU157" s="3060"/>
      <c r="KUV157" s="3060"/>
      <c r="KUW157" s="3060"/>
      <c r="KUX157" s="3060"/>
      <c r="KUY157" s="3060"/>
      <c r="KUZ157" s="3060"/>
      <c r="KVA157" s="3060"/>
      <c r="KVB157" s="3060"/>
      <c r="KVC157" s="3060"/>
      <c r="KVD157" s="3060"/>
      <c r="KVE157" s="3060"/>
      <c r="KVF157" s="3060"/>
      <c r="KVG157" s="3060"/>
      <c r="KVH157" s="3060"/>
      <c r="KVI157" s="3060"/>
      <c r="KVJ157" s="3060"/>
      <c r="KVK157" s="3060"/>
      <c r="KVL157" s="3060"/>
      <c r="KVM157" s="3060"/>
      <c r="KVN157" s="3060"/>
      <c r="KVO157" s="3060"/>
      <c r="KVP157" s="3060"/>
      <c r="KVQ157" s="3060"/>
      <c r="KVR157" s="3060"/>
      <c r="KVS157" s="3060"/>
      <c r="KVT157" s="3060"/>
      <c r="KVU157" s="3060"/>
      <c r="KVV157" s="3060"/>
      <c r="KVW157" s="3060"/>
      <c r="KVX157" s="3060"/>
      <c r="KVY157" s="3060"/>
      <c r="KVZ157" s="3060"/>
      <c r="KWA157" s="3060"/>
      <c r="KWB157" s="3060"/>
      <c r="KWC157" s="3060"/>
      <c r="KWD157" s="3060"/>
      <c r="KWE157" s="3060"/>
      <c r="KWF157" s="3060"/>
      <c r="KWG157" s="3060"/>
      <c r="KWH157" s="3060"/>
      <c r="KWI157" s="3060"/>
      <c r="KWJ157" s="3060"/>
      <c r="KWK157" s="3060"/>
      <c r="KWL157" s="3060"/>
      <c r="KWM157" s="3060"/>
      <c r="KWN157" s="3060"/>
      <c r="KWO157" s="3060"/>
      <c r="KWP157" s="3060"/>
      <c r="KWQ157" s="3060"/>
      <c r="KWR157" s="3060"/>
      <c r="KWS157" s="3060"/>
      <c r="KWT157" s="3060"/>
      <c r="KWU157" s="3060"/>
      <c r="KWV157" s="3060"/>
      <c r="KWW157" s="3060"/>
      <c r="KWX157" s="3060"/>
      <c r="KWY157" s="3060"/>
      <c r="KWZ157" s="3060"/>
      <c r="KXA157" s="3060"/>
      <c r="KXB157" s="3060"/>
      <c r="KXC157" s="3060"/>
      <c r="KXD157" s="3060"/>
      <c r="KXE157" s="3060"/>
      <c r="KXF157" s="3060"/>
      <c r="KXG157" s="3060"/>
      <c r="KXH157" s="3060"/>
      <c r="KXI157" s="3060"/>
      <c r="KXJ157" s="3060"/>
      <c r="KXK157" s="3060"/>
      <c r="KXL157" s="3060"/>
      <c r="KXM157" s="3060"/>
      <c r="KXN157" s="3060"/>
      <c r="KXO157" s="3060"/>
      <c r="KXP157" s="3060"/>
      <c r="KXQ157" s="3060"/>
      <c r="KXR157" s="3060"/>
      <c r="KXS157" s="3060"/>
      <c r="KXT157" s="3060"/>
      <c r="KXU157" s="3060"/>
      <c r="KXV157" s="3060"/>
      <c r="KXW157" s="3060"/>
      <c r="KXX157" s="3060"/>
      <c r="KXY157" s="3060"/>
      <c r="KXZ157" s="3060"/>
      <c r="KYA157" s="3060"/>
      <c r="KYB157" s="3060"/>
      <c r="KYC157" s="3060"/>
      <c r="KYD157" s="3060"/>
      <c r="KYE157" s="3060"/>
      <c r="KYF157" s="3060"/>
      <c r="KYG157" s="3060"/>
      <c r="KYH157" s="3060"/>
      <c r="KYI157" s="3060"/>
      <c r="KYJ157" s="3060"/>
      <c r="KYK157" s="3060"/>
      <c r="KYL157" s="3060"/>
      <c r="KYM157" s="3060"/>
      <c r="KYN157" s="3060"/>
      <c r="KYO157" s="3060"/>
      <c r="KYP157" s="3060"/>
      <c r="KYQ157" s="3060"/>
      <c r="KYR157" s="3060"/>
      <c r="KYS157" s="3060"/>
      <c r="KYT157" s="3060"/>
      <c r="KYU157" s="3060"/>
      <c r="KYV157" s="3060"/>
      <c r="KYW157" s="3060"/>
      <c r="KYX157" s="3060"/>
      <c r="KYY157" s="3060"/>
      <c r="KYZ157" s="3060"/>
      <c r="KZA157" s="3060"/>
      <c r="KZB157" s="3060"/>
      <c r="KZC157" s="3060"/>
      <c r="KZD157" s="3060"/>
      <c r="KZE157" s="3060"/>
      <c r="KZF157" s="3060"/>
      <c r="KZG157" s="3060"/>
      <c r="KZH157" s="3060"/>
      <c r="KZI157" s="3060"/>
      <c r="KZJ157" s="3060"/>
      <c r="KZK157" s="3060"/>
      <c r="KZL157" s="3060"/>
      <c r="KZM157" s="3060"/>
      <c r="KZN157" s="3060"/>
      <c r="KZO157" s="3060"/>
      <c r="KZP157" s="3060"/>
      <c r="KZQ157" s="3060"/>
      <c r="KZR157" s="3060"/>
      <c r="KZS157" s="3060"/>
      <c r="KZT157" s="3060"/>
      <c r="KZU157" s="3060"/>
      <c r="KZV157" s="3060"/>
      <c r="KZW157" s="3060"/>
      <c r="KZX157" s="3060"/>
      <c r="KZY157" s="3060"/>
      <c r="KZZ157" s="3060"/>
      <c r="LAA157" s="3060"/>
      <c r="LAB157" s="3060"/>
      <c r="LAC157" s="3060"/>
      <c r="LAD157" s="3060"/>
      <c r="LAE157" s="3060"/>
      <c r="LAF157" s="3060"/>
      <c r="LAG157" s="3060"/>
      <c r="LAH157" s="3060"/>
      <c r="LAI157" s="3060"/>
      <c r="LAJ157" s="3060"/>
      <c r="LAK157" s="3060"/>
      <c r="LAL157" s="3060"/>
      <c r="LAM157" s="3060"/>
      <c r="LAN157" s="3060"/>
      <c r="LAO157" s="3060"/>
      <c r="LAP157" s="3060"/>
      <c r="LAQ157" s="3060"/>
      <c r="LAR157" s="3060"/>
      <c r="LAS157" s="3060"/>
      <c r="LAT157" s="3060"/>
      <c r="LAU157" s="3060"/>
      <c r="LAV157" s="3060"/>
      <c r="LAW157" s="3060"/>
      <c r="LAX157" s="3060"/>
      <c r="LAY157" s="3060"/>
      <c r="LAZ157" s="3060"/>
      <c r="LBA157" s="3060"/>
      <c r="LBB157" s="3060"/>
      <c r="LBC157" s="3060"/>
      <c r="LBD157" s="3060"/>
      <c r="LBE157" s="3060"/>
      <c r="LBF157" s="3060"/>
      <c r="LBG157" s="3060"/>
      <c r="LBH157" s="3060"/>
      <c r="LBI157" s="3060"/>
      <c r="LBJ157" s="3060"/>
      <c r="LBK157" s="3060"/>
      <c r="LBL157" s="3060"/>
      <c r="LBM157" s="3060"/>
      <c r="LBN157" s="3060"/>
      <c r="LBO157" s="3060"/>
      <c r="LBP157" s="3060"/>
      <c r="LBQ157" s="3060"/>
      <c r="LBR157" s="3060"/>
      <c r="LBS157" s="3060"/>
      <c r="LBT157" s="3060"/>
      <c r="LBU157" s="3060"/>
      <c r="LBV157" s="3060"/>
      <c r="LBW157" s="3060"/>
      <c r="LBX157" s="3060"/>
      <c r="LBY157" s="3060"/>
      <c r="LBZ157" s="3060"/>
      <c r="LCA157" s="3060"/>
      <c r="LCB157" s="3060"/>
      <c r="LCC157" s="3060"/>
      <c r="LCD157" s="3060"/>
      <c r="LCE157" s="3060"/>
      <c r="LCF157" s="3060"/>
      <c r="LCG157" s="3060"/>
      <c r="LCH157" s="3060"/>
      <c r="LCI157" s="3060"/>
      <c r="LCJ157" s="3060"/>
      <c r="LCK157" s="3060"/>
      <c r="LCL157" s="3060"/>
      <c r="LCM157" s="3060"/>
      <c r="LCN157" s="3060"/>
      <c r="LCO157" s="3060"/>
      <c r="LCP157" s="3060"/>
      <c r="LCQ157" s="3060"/>
      <c r="LCR157" s="3060"/>
      <c r="LCS157" s="3060"/>
      <c r="LCT157" s="3060"/>
      <c r="LCU157" s="3060"/>
      <c r="LCV157" s="3060"/>
      <c r="LCW157" s="3060"/>
      <c r="LCX157" s="3060"/>
      <c r="LCY157" s="3060"/>
      <c r="LCZ157" s="3060"/>
      <c r="LDA157" s="3060"/>
      <c r="LDB157" s="3060"/>
      <c r="LDC157" s="3060"/>
      <c r="LDD157" s="3060"/>
      <c r="LDE157" s="3060"/>
      <c r="LDF157" s="3060"/>
      <c r="LDG157" s="3060"/>
      <c r="LDH157" s="3060"/>
      <c r="LDI157" s="3060"/>
      <c r="LDJ157" s="3060"/>
      <c r="LDK157" s="3060"/>
      <c r="LDL157" s="3060"/>
      <c r="LDM157" s="3060"/>
      <c r="LDN157" s="3060"/>
      <c r="LDO157" s="3060"/>
      <c r="LDP157" s="3060"/>
      <c r="LDQ157" s="3060"/>
      <c r="LDR157" s="3060"/>
      <c r="LDS157" s="3060"/>
      <c r="LDT157" s="3060"/>
      <c r="LDU157" s="3060"/>
      <c r="LDV157" s="3060"/>
      <c r="LDW157" s="3060"/>
      <c r="LDX157" s="3060"/>
      <c r="LDY157" s="3060"/>
      <c r="LDZ157" s="3060"/>
      <c r="LEA157" s="3060"/>
      <c r="LEB157" s="3060"/>
      <c r="LEC157" s="3060"/>
      <c r="LED157" s="3060"/>
      <c r="LEE157" s="3060"/>
      <c r="LEF157" s="3060"/>
      <c r="LEG157" s="3060"/>
      <c r="LEH157" s="3060"/>
      <c r="LEI157" s="3060"/>
      <c r="LEJ157" s="3060"/>
      <c r="LEK157" s="3060"/>
      <c r="LEL157" s="3060"/>
      <c r="LEM157" s="3060"/>
      <c r="LEN157" s="3060"/>
      <c r="LEO157" s="3060"/>
      <c r="LEP157" s="3060"/>
      <c r="LEQ157" s="3060"/>
      <c r="LER157" s="3060"/>
      <c r="LES157" s="3060"/>
      <c r="LET157" s="3060"/>
      <c r="LEU157" s="3060"/>
      <c r="LEV157" s="3060"/>
      <c r="LEW157" s="3060"/>
      <c r="LEX157" s="3060"/>
      <c r="LEY157" s="3060"/>
      <c r="LEZ157" s="3060"/>
      <c r="LFA157" s="3060"/>
      <c r="LFB157" s="3060"/>
      <c r="LFC157" s="3060"/>
      <c r="LFD157" s="3060"/>
      <c r="LFE157" s="3060"/>
      <c r="LFF157" s="3060"/>
      <c r="LFG157" s="3060"/>
      <c r="LFH157" s="3060"/>
      <c r="LFI157" s="3060"/>
      <c r="LFJ157" s="3060"/>
      <c r="LFK157" s="3060"/>
      <c r="LFL157" s="3060"/>
      <c r="LFM157" s="3060"/>
      <c r="LFN157" s="3060"/>
      <c r="LFO157" s="3060"/>
      <c r="LFP157" s="3060"/>
      <c r="LFQ157" s="3060"/>
      <c r="LFR157" s="3060"/>
      <c r="LFS157" s="3060"/>
      <c r="LFT157" s="3060"/>
      <c r="LFU157" s="3060"/>
      <c r="LFV157" s="3060"/>
      <c r="LFW157" s="3060"/>
      <c r="LFX157" s="3060"/>
      <c r="LFY157" s="3060"/>
      <c r="LFZ157" s="3060"/>
      <c r="LGA157" s="3060"/>
      <c r="LGB157" s="3060"/>
      <c r="LGC157" s="3060"/>
      <c r="LGD157" s="3060"/>
      <c r="LGE157" s="3060"/>
      <c r="LGF157" s="3060"/>
      <c r="LGG157" s="3060"/>
      <c r="LGH157" s="3060"/>
      <c r="LGI157" s="3060"/>
      <c r="LGJ157" s="3060"/>
      <c r="LGK157" s="3060"/>
      <c r="LGL157" s="3060"/>
      <c r="LGM157" s="3060"/>
      <c r="LGN157" s="3060"/>
      <c r="LGO157" s="3060"/>
      <c r="LGP157" s="3060"/>
      <c r="LGQ157" s="3060"/>
      <c r="LGR157" s="3060"/>
      <c r="LGS157" s="3060"/>
      <c r="LGT157" s="3060"/>
      <c r="LGU157" s="3060"/>
      <c r="LGV157" s="3060"/>
      <c r="LGW157" s="3060"/>
      <c r="LGX157" s="3060"/>
      <c r="LGY157" s="3060"/>
      <c r="LGZ157" s="3060"/>
      <c r="LHA157" s="3060"/>
      <c r="LHB157" s="3060"/>
      <c r="LHC157" s="3060"/>
      <c r="LHD157" s="3060"/>
      <c r="LHE157" s="3060"/>
      <c r="LHF157" s="3060"/>
      <c r="LHG157" s="3060"/>
      <c r="LHH157" s="3060"/>
      <c r="LHI157" s="3060"/>
      <c r="LHJ157" s="3060"/>
      <c r="LHK157" s="3060"/>
      <c r="LHL157" s="3060"/>
      <c r="LHM157" s="3060"/>
      <c r="LHN157" s="3060"/>
      <c r="LHO157" s="3060"/>
      <c r="LHP157" s="3060"/>
      <c r="LHQ157" s="3060"/>
      <c r="LHR157" s="3060"/>
      <c r="LHS157" s="3060"/>
      <c r="LHT157" s="3060"/>
      <c r="LHU157" s="3060"/>
      <c r="LHV157" s="3060"/>
      <c r="LHW157" s="3060"/>
      <c r="LHX157" s="3060"/>
      <c r="LHY157" s="3060"/>
      <c r="LHZ157" s="3060"/>
      <c r="LIA157" s="3060"/>
      <c r="LIB157" s="3060"/>
      <c r="LIC157" s="3060"/>
      <c r="LID157" s="3060"/>
      <c r="LIE157" s="3060"/>
      <c r="LIF157" s="3060"/>
      <c r="LIG157" s="3060"/>
      <c r="LIH157" s="3060"/>
      <c r="LII157" s="3060"/>
      <c r="LIJ157" s="3060"/>
      <c r="LIK157" s="3060"/>
      <c r="LIL157" s="3060"/>
      <c r="LIM157" s="3060"/>
      <c r="LIN157" s="3060"/>
      <c r="LIO157" s="3060"/>
      <c r="LIP157" s="3060"/>
      <c r="LIQ157" s="3060"/>
      <c r="LIR157" s="3060"/>
      <c r="LIS157" s="3060"/>
      <c r="LIT157" s="3060"/>
      <c r="LIU157" s="3060"/>
      <c r="LIV157" s="3060"/>
      <c r="LIW157" s="3060"/>
      <c r="LIX157" s="3060"/>
      <c r="LIY157" s="3060"/>
      <c r="LIZ157" s="3060"/>
      <c r="LJA157" s="3060"/>
      <c r="LJB157" s="3060"/>
      <c r="LJC157" s="3060"/>
      <c r="LJD157" s="3060"/>
      <c r="LJE157" s="3060"/>
      <c r="LJF157" s="3060"/>
      <c r="LJG157" s="3060"/>
      <c r="LJH157" s="3060"/>
      <c r="LJI157" s="3060"/>
      <c r="LJJ157" s="3060"/>
      <c r="LJK157" s="3060"/>
      <c r="LJL157" s="3060"/>
      <c r="LJM157" s="3060"/>
      <c r="LJN157" s="3060"/>
      <c r="LJO157" s="3060"/>
      <c r="LJP157" s="3060"/>
      <c r="LJQ157" s="3060"/>
      <c r="LJR157" s="3060"/>
      <c r="LJS157" s="3060"/>
      <c r="LJT157" s="3060"/>
      <c r="LJU157" s="3060"/>
      <c r="LJV157" s="3060"/>
      <c r="LJW157" s="3060"/>
      <c r="LJX157" s="3060"/>
      <c r="LJY157" s="3060"/>
      <c r="LJZ157" s="3060"/>
      <c r="LKA157" s="3060"/>
      <c r="LKB157" s="3060"/>
      <c r="LKC157" s="3060"/>
      <c r="LKD157" s="3060"/>
      <c r="LKE157" s="3060"/>
      <c r="LKF157" s="3060"/>
      <c r="LKG157" s="3060"/>
      <c r="LKH157" s="3060"/>
      <c r="LKI157" s="3060"/>
      <c r="LKJ157" s="3060"/>
      <c r="LKK157" s="3060"/>
      <c r="LKL157" s="3060"/>
      <c r="LKM157" s="3060"/>
      <c r="LKN157" s="3060"/>
      <c r="LKO157" s="3060"/>
      <c r="LKP157" s="3060"/>
      <c r="LKQ157" s="3060"/>
      <c r="LKR157" s="3060"/>
      <c r="LKS157" s="3060"/>
      <c r="LKT157" s="3060"/>
      <c r="LKU157" s="3060"/>
      <c r="LKV157" s="3060"/>
      <c r="LKW157" s="3060"/>
      <c r="LKX157" s="3060"/>
      <c r="LKY157" s="3060"/>
      <c r="LKZ157" s="3060"/>
      <c r="LLA157" s="3060"/>
      <c r="LLB157" s="3060"/>
      <c r="LLC157" s="3060"/>
      <c r="LLD157" s="3060"/>
      <c r="LLE157" s="3060"/>
      <c r="LLF157" s="3060"/>
      <c r="LLG157" s="3060"/>
      <c r="LLH157" s="3060"/>
      <c r="LLI157" s="3060"/>
      <c r="LLJ157" s="3060"/>
      <c r="LLK157" s="3060"/>
      <c r="LLL157" s="3060"/>
      <c r="LLM157" s="3060"/>
      <c r="LLN157" s="3060"/>
      <c r="LLO157" s="3060"/>
      <c r="LLP157" s="3060"/>
      <c r="LLQ157" s="3060"/>
      <c r="LLR157" s="3060"/>
      <c r="LLS157" s="3060"/>
      <c r="LLT157" s="3060"/>
      <c r="LLU157" s="3060"/>
      <c r="LLV157" s="3060"/>
      <c r="LLW157" s="3060"/>
      <c r="LLX157" s="3060"/>
      <c r="LLY157" s="3060"/>
      <c r="LLZ157" s="3060"/>
      <c r="LMA157" s="3060"/>
      <c r="LMB157" s="3060"/>
      <c r="LMC157" s="3060"/>
      <c r="LMD157" s="3060"/>
      <c r="LME157" s="3060"/>
      <c r="LMF157" s="3060"/>
      <c r="LMG157" s="3060"/>
      <c r="LMH157" s="3060"/>
      <c r="LMI157" s="3060"/>
      <c r="LMJ157" s="3060"/>
      <c r="LMK157" s="3060"/>
      <c r="LML157" s="3060"/>
      <c r="LMM157" s="3060"/>
      <c r="LMN157" s="3060"/>
      <c r="LMO157" s="3060"/>
      <c r="LMP157" s="3060"/>
      <c r="LMQ157" s="3060"/>
      <c r="LMR157" s="3060"/>
      <c r="LMS157" s="3060"/>
      <c r="LMT157" s="3060"/>
      <c r="LMU157" s="3060"/>
      <c r="LMV157" s="3060"/>
      <c r="LMW157" s="3060"/>
      <c r="LMX157" s="3060"/>
      <c r="LMY157" s="3060"/>
      <c r="LMZ157" s="3060"/>
      <c r="LNA157" s="3060"/>
      <c r="LNB157" s="3060"/>
      <c r="LNC157" s="3060"/>
      <c r="LND157" s="3060"/>
      <c r="LNE157" s="3060"/>
      <c r="LNF157" s="3060"/>
      <c r="LNG157" s="3060"/>
      <c r="LNH157" s="3060"/>
      <c r="LNI157" s="3060"/>
      <c r="LNJ157" s="3060"/>
      <c r="LNK157" s="3060"/>
      <c r="LNL157" s="3060"/>
      <c r="LNM157" s="3060"/>
      <c r="LNN157" s="3060"/>
      <c r="LNO157" s="3060"/>
      <c r="LNP157" s="3060"/>
      <c r="LNQ157" s="3060"/>
      <c r="LNR157" s="3060"/>
      <c r="LNS157" s="3060"/>
      <c r="LNT157" s="3060"/>
      <c r="LNU157" s="3060"/>
      <c r="LNV157" s="3060"/>
      <c r="LNW157" s="3060"/>
      <c r="LNX157" s="3060"/>
      <c r="LNY157" s="3060"/>
      <c r="LNZ157" s="3060"/>
      <c r="LOA157" s="3060"/>
      <c r="LOB157" s="3060"/>
      <c r="LOC157" s="3060"/>
      <c r="LOD157" s="3060"/>
      <c r="LOE157" s="3060"/>
      <c r="LOF157" s="3060"/>
      <c r="LOG157" s="3060"/>
      <c r="LOH157" s="3060"/>
      <c r="LOI157" s="3060"/>
      <c r="LOJ157" s="3060"/>
      <c r="LOK157" s="3060"/>
      <c r="LOL157" s="3060"/>
      <c r="LOM157" s="3060"/>
      <c r="LON157" s="3060"/>
      <c r="LOO157" s="3060"/>
      <c r="LOP157" s="3060"/>
      <c r="LOQ157" s="3060"/>
      <c r="LOR157" s="3060"/>
      <c r="LOS157" s="3060"/>
      <c r="LOT157" s="3060"/>
      <c r="LOU157" s="3060"/>
      <c r="LOV157" s="3060"/>
      <c r="LOW157" s="3060"/>
      <c r="LOX157" s="3060"/>
      <c r="LOY157" s="3060"/>
      <c r="LOZ157" s="3060"/>
      <c r="LPA157" s="3060"/>
      <c r="LPB157" s="3060"/>
      <c r="LPC157" s="3060"/>
      <c r="LPD157" s="3060"/>
      <c r="LPE157" s="3060"/>
      <c r="LPF157" s="3060"/>
      <c r="LPG157" s="3060"/>
      <c r="LPH157" s="3060"/>
      <c r="LPI157" s="3060"/>
      <c r="LPJ157" s="3060"/>
      <c r="LPK157" s="3060"/>
      <c r="LPL157" s="3060"/>
      <c r="LPM157" s="3060"/>
      <c r="LPN157" s="3060"/>
      <c r="LPO157" s="3060"/>
      <c r="LPP157" s="3060"/>
      <c r="LPQ157" s="3060"/>
      <c r="LPR157" s="3060"/>
      <c r="LPS157" s="3060"/>
      <c r="LPT157" s="3060"/>
      <c r="LPU157" s="3060"/>
      <c r="LPV157" s="3060"/>
      <c r="LPW157" s="3060"/>
      <c r="LPX157" s="3060"/>
      <c r="LPY157" s="3060"/>
      <c r="LPZ157" s="3060"/>
      <c r="LQA157" s="3060"/>
      <c r="LQB157" s="3060"/>
      <c r="LQC157" s="3060"/>
      <c r="LQD157" s="3060"/>
      <c r="LQE157" s="3060"/>
      <c r="LQF157" s="3060"/>
      <c r="LQG157" s="3060"/>
      <c r="LQH157" s="3060"/>
      <c r="LQI157" s="3060"/>
      <c r="LQJ157" s="3060"/>
      <c r="LQK157" s="3060"/>
      <c r="LQL157" s="3060"/>
      <c r="LQM157" s="3060"/>
      <c r="LQN157" s="3060"/>
      <c r="LQO157" s="3060"/>
      <c r="LQP157" s="3060"/>
      <c r="LQQ157" s="3060"/>
      <c r="LQR157" s="3060"/>
      <c r="LQS157" s="3060"/>
      <c r="LQT157" s="3060"/>
      <c r="LQU157" s="3060"/>
      <c r="LQV157" s="3060"/>
      <c r="LQW157" s="3060"/>
      <c r="LQX157" s="3060"/>
      <c r="LQY157" s="3060"/>
      <c r="LQZ157" s="3060"/>
      <c r="LRA157" s="3060"/>
      <c r="LRB157" s="3060"/>
      <c r="LRC157" s="3060"/>
      <c r="LRD157" s="3060"/>
      <c r="LRE157" s="3060"/>
      <c r="LRF157" s="3060"/>
      <c r="LRG157" s="3060"/>
      <c r="LRH157" s="3060"/>
      <c r="LRI157" s="3060"/>
      <c r="LRJ157" s="3060"/>
      <c r="LRK157" s="3060"/>
      <c r="LRL157" s="3060"/>
      <c r="LRM157" s="3060"/>
      <c r="LRN157" s="3060"/>
      <c r="LRO157" s="3060"/>
      <c r="LRP157" s="3060"/>
      <c r="LRQ157" s="3060"/>
      <c r="LRR157" s="3060"/>
      <c r="LRS157" s="3060"/>
      <c r="LRT157" s="3060"/>
      <c r="LRU157" s="3060"/>
      <c r="LRV157" s="3060"/>
      <c r="LRW157" s="3060"/>
      <c r="LRX157" s="3060"/>
      <c r="LRY157" s="3060"/>
      <c r="LRZ157" s="3060"/>
      <c r="LSA157" s="3060"/>
      <c r="LSB157" s="3060"/>
      <c r="LSC157" s="3060"/>
      <c r="LSD157" s="3060"/>
      <c r="LSE157" s="3060"/>
      <c r="LSF157" s="3060"/>
      <c r="LSG157" s="3060"/>
      <c r="LSH157" s="3060"/>
      <c r="LSI157" s="3060"/>
      <c r="LSJ157" s="3060"/>
      <c r="LSK157" s="3060"/>
      <c r="LSL157" s="3060"/>
      <c r="LSM157" s="3060"/>
      <c r="LSN157" s="3060"/>
      <c r="LSO157" s="3060"/>
      <c r="LSP157" s="3060"/>
      <c r="LSQ157" s="3060"/>
      <c r="LSR157" s="3060"/>
      <c r="LSS157" s="3060"/>
      <c r="LST157" s="3060"/>
      <c r="LSU157" s="3060"/>
      <c r="LSV157" s="3060"/>
      <c r="LSW157" s="3060"/>
      <c r="LSX157" s="3060"/>
      <c r="LSY157" s="3060"/>
      <c r="LSZ157" s="3060"/>
      <c r="LTA157" s="3060"/>
      <c r="LTB157" s="3060"/>
      <c r="LTC157" s="3060"/>
      <c r="LTD157" s="3060"/>
      <c r="LTE157" s="3060"/>
      <c r="LTF157" s="3060"/>
      <c r="LTG157" s="3060"/>
      <c r="LTH157" s="3060"/>
      <c r="LTI157" s="3060"/>
      <c r="LTJ157" s="3060"/>
      <c r="LTK157" s="3060"/>
      <c r="LTL157" s="3060"/>
      <c r="LTM157" s="3060"/>
      <c r="LTN157" s="3060"/>
      <c r="LTO157" s="3060"/>
      <c r="LTP157" s="3060"/>
      <c r="LTQ157" s="3060"/>
      <c r="LTR157" s="3060"/>
      <c r="LTS157" s="3060"/>
      <c r="LTT157" s="3060"/>
      <c r="LTU157" s="3060"/>
      <c r="LTV157" s="3060"/>
      <c r="LTW157" s="3060"/>
      <c r="LTX157" s="3060"/>
      <c r="LTY157" s="3060"/>
      <c r="LTZ157" s="3060"/>
      <c r="LUA157" s="3060"/>
      <c r="LUB157" s="3060"/>
      <c r="LUC157" s="3060"/>
      <c r="LUD157" s="3060"/>
      <c r="LUE157" s="3060"/>
      <c r="LUF157" s="3060"/>
      <c r="LUG157" s="3060"/>
      <c r="LUH157" s="3060"/>
      <c r="LUI157" s="3060"/>
      <c r="LUJ157" s="3060"/>
      <c r="LUK157" s="3060"/>
      <c r="LUL157" s="3060"/>
      <c r="LUM157" s="3060"/>
      <c r="LUN157" s="3060"/>
      <c r="LUO157" s="3060"/>
      <c r="LUP157" s="3060"/>
      <c r="LUQ157" s="3060"/>
      <c r="LUR157" s="3060"/>
      <c r="LUS157" s="3060"/>
      <c r="LUT157" s="3060"/>
      <c r="LUU157" s="3060"/>
      <c r="LUV157" s="3060"/>
      <c r="LUW157" s="3060"/>
      <c r="LUX157" s="3060"/>
      <c r="LUY157" s="3060"/>
      <c r="LUZ157" s="3060"/>
      <c r="LVA157" s="3060"/>
      <c r="LVB157" s="3060"/>
      <c r="LVC157" s="3060"/>
      <c r="LVD157" s="3060"/>
      <c r="LVE157" s="3060"/>
      <c r="LVF157" s="3060"/>
      <c r="LVG157" s="3060"/>
      <c r="LVH157" s="3060"/>
      <c r="LVI157" s="3060"/>
      <c r="LVJ157" s="3060"/>
      <c r="LVK157" s="3060"/>
      <c r="LVL157" s="3060"/>
      <c r="LVM157" s="3060"/>
      <c r="LVN157" s="3060"/>
      <c r="LVO157" s="3060"/>
      <c r="LVP157" s="3060"/>
      <c r="LVQ157" s="3060"/>
      <c r="LVR157" s="3060"/>
      <c r="LVS157" s="3060"/>
      <c r="LVT157" s="3060"/>
      <c r="LVU157" s="3060"/>
      <c r="LVV157" s="3060"/>
      <c r="LVW157" s="3060"/>
      <c r="LVX157" s="3060"/>
      <c r="LVY157" s="3060"/>
      <c r="LVZ157" s="3060"/>
      <c r="LWA157" s="3060"/>
      <c r="LWB157" s="3060"/>
      <c r="LWC157" s="3060"/>
      <c r="LWD157" s="3060"/>
      <c r="LWE157" s="3060"/>
      <c r="LWF157" s="3060"/>
      <c r="LWG157" s="3060"/>
      <c r="LWH157" s="3060"/>
      <c r="LWI157" s="3060"/>
      <c r="LWJ157" s="3060"/>
      <c r="LWK157" s="3060"/>
      <c r="LWL157" s="3060"/>
      <c r="LWM157" s="3060"/>
      <c r="LWN157" s="3060"/>
      <c r="LWO157" s="3060"/>
      <c r="LWP157" s="3060"/>
      <c r="LWQ157" s="3060"/>
      <c r="LWR157" s="3060"/>
      <c r="LWS157" s="3060"/>
      <c r="LWT157" s="3060"/>
      <c r="LWU157" s="3060"/>
      <c r="LWV157" s="3060"/>
      <c r="LWW157" s="3060"/>
      <c r="LWX157" s="3060"/>
      <c r="LWY157" s="3060"/>
      <c r="LWZ157" s="3060"/>
      <c r="LXA157" s="3060"/>
      <c r="LXB157" s="3060"/>
      <c r="LXC157" s="3060"/>
      <c r="LXD157" s="3060"/>
      <c r="LXE157" s="3060"/>
      <c r="LXF157" s="3060"/>
      <c r="LXG157" s="3060"/>
      <c r="LXH157" s="3060"/>
      <c r="LXI157" s="3060"/>
      <c r="LXJ157" s="3060"/>
      <c r="LXK157" s="3060"/>
      <c r="LXL157" s="3060"/>
      <c r="LXM157" s="3060"/>
      <c r="LXN157" s="3060"/>
      <c r="LXO157" s="3060"/>
      <c r="LXP157" s="3060"/>
      <c r="LXQ157" s="3060"/>
      <c r="LXR157" s="3060"/>
      <c r="LXS157" s="3060"/>
      <c r="LXT157" s="3060"/>
      <c r="LXU157" s="3060"/>
      <c r="LXV157" s="3060"/>
      <c r="LXW157" s="3060"/>
      <c r="LXX157" s="3060"/>
      <c r="LXY157" s="3060"/>
      <c r="LXZ157" s="3060"/>
      <c r="LYA157" s="3060"/>
      <c r="LYB157" s="3060"/>
      <c r="LYC157" s="3060"/>
      <c r="LYD157" s="3060"/>
      <c r="LYE157" s="3060"/>
      <c r="LYF157" s="3060"/>
      <c r="LYG157" s="3060"/>
      <c r="LYH157" s="3060"/>
      <c r="LYI157" s="3060"/>
      <c r="LYJ157" s="3060"/>
      <c r="LYK157" s="3060"/>
      <c r="LYL157" s="3060"/>
      <c r="LYM157" s="3060"/>
      <c r="LYN157" s="3060"/>
      <c r="LYO157" s="3060"/>
      <c r="LYP157" s="3060"/>
      <c r="LYQ157" s="3060"/>
      <c r="LYR157" s="3060"/>
      <c r="LYS157" s="3060"/>
      <c r="LYT157" s="3060"/>
      <c r="LYU157" s="3060"/>
      <c r="LYV157" s="3060"/>
      <c r="LYW157" s="3060"/>
      <c r="LYX157" s="3060"/>
      <c r="LYY157" s="3060"/>
      <c r="LYZ157" s="3060"/>
      <c r="LZA157" s="3060"/>
      <c r="LZB157" s="3060"/>
      <c r="LZC157" s="3060"/>
      <c r="LZD157" s="3060"/>
      <c r="LZE157" s="3060"/>
      <c r="LZF157" s="3060"/>
      <c r="LZG157" s="3060"/>
      <c r="LZH157" s="3060"/>
      <c r="LZI157" s="3060"/>
      <c r="LZJ157" s="3060"/>
      <c r="LZK157" s="3060"/>
      <c r="LZL157" s="3060"/>
      <c r="LZM157" s="3060"/>
      <c r="LZN157" s="3060"/>
      <c r="LZO157" s="3060"/>
      <c r="LZP157" s="3060"/>
      <c r="LZQ157" s="3060"/>
      <c r="LZR157" s="3060"/>
      <c r="LZS157" s="3060"/>
      <c r="LZT157" s="3060"/>
      <c r="LZU157" s="3060"/>
      <c r="LZV157" s="3060"/>
      <c r="LZW157" s="3060"/>
      <c r="LZX157" s="3060"/>
      <c r="LZY157" s="3060"/>
      <c r="LZZ157" s="3060"/>
      <c r="MAA157" s="3060"/>
      <c r="MAB157" s="3060"/>
      <c r="MAC157" s="3060"/>
      <c r="MAD157" s="3060"/>
      <c r="MAE157" s="3060"/>
      <c r="MAF157" s="3060"/>
      <c r="MAG157" s="3060"/>
      <c r="MAH157" s="3060"/>
      <c r="MAI157" s="3060"/>
      <c r="MAJ157" s="3060"/>
      <c r="MAK157" s="3060"/>
      <c r="MAL157" s="3060"/>
      <c r="MAM157" s="3060"/>
      <c r="MAN157" s="3060"/>
      <c r="MAO157" s="3060"/>
      <c r="MAP157" s="3060"/>
      <c r="MAQ157" s="3060"/>
      <c r="MAR157" s="3060"/>
      <c r="MAS157" s="3060"/>
      <c r="MAT157" s="3060"/>
      <c r="MAU157" s="3060"/>
      <c r="MAV157" s="3060"/>
      <c r="MAW157" s="3060"/>
      <c r="MAX157" s="3060"/>
      <c r="MAY157" s="3060"/>
      <c r="MAZ157" s="3060"/>
      <c r="MBA157" s="3060"/>
      <c r="MBB157" s="3060"/>
      <c r="MBC157" s="3060"/>
      <c r="MBD157" s="3060"/>
      <c r="MBE157" s="3060"/>
      <c r="MBF157" s="3060"/>
      <c r="MBG157" s="3060"/>
      <c r="MBH157" s="3060"/>
      <c r="MBI157" s="3060"/>
      <c r="MBJ157" s="3060"/>
      <c r="MBK157" s="3060"/>
      <c r="MBL157" s="3060"/>
      <c r="MBM157" s="3060"/>
      <c r="MBN157" s="3060"/>
      <c r="MBO157" s="3060"/>
      <c r="MBP157" s="3060"/>
      <c r="MBQ157" s="3060"/>
      <c r="MBR157" s="3060"/>
      <c r="MBS157" s="3060"/>
      <c r="MBT157" s="3060"/>
      <c r="MBU157" s="3060"/>
      <c r="MBV157" s="3060"/>
      <c r="MBW157" s="3060"/>
      <c r="MBX157" s="3060"/>
      <c r="MBY157" s="3060"/>
      <c r="MBZ157" s="3060"/>
      <c r="MCA157" s="3060"/>
      <c r="MCB157" s="3060"/>
      <c r="MCC157" s="3060"/>
      <c r="MCD157" s="3060"/>
      <c r="MCE157" s="3060"/>
      <c r="MCF157" s="3060"/>
      <c r="MCG157" s="3060"/>
      <c r="MCH157" s="3060"/>
      <c r="MCI157" s="3060"/>
      <c r="MCJ157" s="3060"/>
      <c r="MCK157" s="3060"/>
      <c r="MCL157" s="3060"/>
      <c r="MCM157" s="3060"/>
      <c r="MCN157" s="3060"/>
      <c r="MCO157" s="3060"/>
      <c r="MCP157" s="3060"/>
      <c r="MCQ157" s="3060"/>
      <c r="MCR157" s="3060"/>
      <c r="MCS157" s="3060"/>
      <c r="MCT157" s="3060"/>
      <c r="MCU157" s="3060"/>
      <c r="MCV157" s="3060"/>
      <c r="MCW157" s="3060"/>
      <c r="MCX157" s="3060"/>
      <c r="MCY157" s="3060"/>
      <c r="MCZ157" s="3060"/>
      <c r="MDA157" s="3060"/>
      <c r="MDB157" s="3060"/>
      <c r="MDC157" s="3060"/>
      <c r="MDD157" s="3060"/>
      <c r="MDE157" s="3060"/>
      <c r="MDF157" s="3060"/>
      <c r="MDG157" s="3060"/>
      <c r="MDH157" s="3060"/>
      <c r="MDI157" s="3060"/>
      <c r="MDJ157" s="3060"/>
      <c r="MDK157" s="3060"/>
      <c r="MDL157" s="3060"/>
      <c r="MDM157" s="3060"/>
      <c r="MDN157" s="3060"/>
      <c r="MDO157" s="3060"/>
      <c r="MDP157" s="3060"/>
      <c r="MDQ157" s="3060"/>
      <c r="MDR157" s="3060"/>
      <c r="MDS157" s="3060"/>
      <c r="MDT157" s="3060"/>
      <c r="MDU157" s="3060"/>
      <c r="MDV157" s="3060"/>
      <c r="MDW157" s="3060"/>
      <c r="MDX157" s="3060"/>
      <c r="MDY157" s="3060"/>
      <c r="MDZ157" s="3060"/>
      <c r="MEA157" s="3060"/>
      <c r="MEB157" s="3060"/>
      <c r="MEC157" s="3060"/>
      <c r="MED157" s="3060"/>
      <c r="MEE157" s="3060"/>
      <c r="MEF157" s="3060"/>
      <c r="MEG157" s="3060"/>
      <c r="MEH157" s="3060"/>
      <c r="MEI157" s="3060"/>
      <c r="MEJ157" s="3060"/>
      <c r="MEK157" s="3060"/>
      <c r="MEL157" s="3060"/>
      <c r="MEM157" s="3060"/>
      <c r="MEN157" s="3060"/>
      <c r="MEO157" s="3060"/>
      <c r="MEP157" s="3060"/>
      <c r="MEQ157" s="3060"/>
      <c r="MER157" s="3060"/>
      <c r="MES157" s="3060"/>
      <c r="MET157" s="3060"/>
      <c r="MEU157" s="3060"/>
      <c r="MEV157" s="3060"/>
      <c r="MEW157" s="3060"/>
      <c r="MEX157" s="3060"/>
      <c r="MEY157" s="3060"/>
      <c r="MEZ157" s="3060"/>
      <c r="MFA157" s="3060"/>
      <c r="MFB157" s="3060"/>
      <c r="MFC157" s="3060"/>
      <c r="MFD157" s="3060"/>
      <c r="MFE157" s="3060"/>
      <c r="MFF157" s="3060"/>
      <c r="MFG157" s="3060"/>
      <c r="MFH157" s="3060"/>
      <c r="MFI157" s="3060"/>
      <c r="MFJ157" s="3060"/>
      <c r="MFK157" s="3060"/>
      <c r="MFL157" s="3060"/>
      <c r="MFM157" s="3060"/>
      <c r="MFN157" s="3060"/>
      <c r="MFO157" s="3060"/>
      <c r="MFP157" s="3060"/>
      <c r="MFQ157" s="3060"/>
      <c r="MFR157" s="3060"/>
      <c r="MFS157" s="3060"/>
      <c r="MFT157" s="3060"/>
      <c r="MFU157" s="3060"/>
      <c r="MFV157" s="3060"/>
      <c r="MFW157" s="3060"/>
      <c r="MFX157" s="3060"/>
      <c r="MFY157" s="3060"/>
      <c r="MFZ157" s="3060"/>
      <c r="MGA157" s="3060"/>
      <c r="MGB157" s="3060"/>
      <c r="MGC157" s="3060"/>
      <c r="MGD157" s="3060"/>
      <c r="MGE157" s="3060"/>
      <c r="MGF157" s="3060"/>
      <c r="MGG157" s="3060"/>
      <c r="MGH157" s="3060"/>
      <c r="MGI157" s="3060"/>
      <c r="MGJ157" s="3060"/>
      <c r="MGK157" s="3060"/>
      <c r="MGL157" s="3060"/>
      <c r="MGM157" s="3060"/>
      <c r="MGN157" s="3060"/>
      <c r="MGO157" s="3060"/>
      <c r="MGP157" s="3060"/>
      <c r="MGQ157" s="3060"/>
      <c r="MGR157" s="3060"/>
      <c r="MGS157" s="3060"/>
      <c r="MGT157" s="3060"/>
      <c r="MGU157" s="3060"/>
      <c r="MGV157" s="3060"/>
      <c r="MGW157" s="3060"/>
      <c r="MGX157" s="3060"/>
      <c r="MGY157" s="3060"/>
      <c r="MGZ157" s="3060"/>
      <c r="MHA157" s="3060"/>
      <c r="MHB157" s="3060"/>
      <c r="MHC157" s="3060"/>
      <c r="MHD157" s="3060"/>
      <c r="MHE157" s="3060"/>
      <c r="MHF157" s="3060"/>
      <c r="MHG157" s="3060"/>
      <c r="MHH157" s="3060"/>
      <c r="MHI157" s="3060"/>
      <c r="MHJ157" s="3060"/>
      <c r="MHK157" s="3060"/>
      <c r="MHL157" s="3060"/>
      <c r="MHM157" s="3060"/>
      <c r="MHN157" s="3060"/>
      <c r="MHO157" s="3060"/>
      <c r="MHP157" s="3060"/>
      <c r="MHQ157" s="3060"/>
      <c r="MHR157" s="3060"/>
      <c r="MHS157" s="3060"/>
      <c r="MHT157" s="3060"/>
      <c r="MHU157" s="3060"/>
      <c r="MHV157" s="3060"/>
      <c r="MHW157" s="3060"/>
      <c r="MHX157" s="3060"/>
      <c r="MHY157" s="3060"/>
      <c r="MHZ157" s="3060"/>
      <c r="MIA157" s="3060"/>
      <c r="MIB157" s="3060"/>
      <c r="MIC157" s="3060"/>
      <c r="MID157" s="3060"/>
      <c r="MIE157" s="3060"/>
      <c r="MIF157" s="3060"/>
      <c r="MIG157" s="3060"/>
      <c r="MIH157" s="3060"/>
      <c r="MII157" s="3060"/>
      <c r="MIJ157" s="3060"/>
      <c r="MIK157" s="3060"/>
      <c r="MIL157" s="3060"/>
      <c r="MIM157" s="3060"/>
      <c r="MIN157" s="3060"/>
      <c r="MIO157" s="3060"/>
      <c r="MIP157" s="3060"/>
      <c r="MIQ157" s="3060"/>
      <c r="MIR157" s="3060"/>
      <c r="MIS157" s="3060"/>
      <c r="MIT157" s="3060"/>
      <c r="MIU157" s="3060"/>
      <c r="MIV157" s="3060"/>
      <c r="MIW157" s="3060"/>
      <c r="MIX157" s="3060"/>
      <c r="MIY157" s="3060"/>
      <c r="MIZ157" s="3060"/>
      <c r="MJA157" s="3060"/>
      <c r="MJB157" s="3060"/>
      <c r="MJC157" s="3060"/>
      <c r="MJD157" s="3060"/>
      <c r="MJE157" s="3060"/>
      <c r="MJF157" s="3060"/>
      <c r="MJG157" s="3060"/>
      <c r="MJH157" s="3060"/>
      <c r="MJI157" s="3060"/>
      <c r="MJJ157" s="3060"/>
      <c r="MJK157" s="3060"/>
      <c r="MJL157" s="3060"/>
      <c r="MJM157" s="3060"/>
      <c r="MJN157" s="3060"/>
      <c r="MJO157" s="3060"/>
      <c r="MJP157" s="3060"/>
      <c r="MJQ157" s="3060"/>
      <c r="MJR157" s="3060"/>
      <c r="MJS157" s="3060"/>
      <c r="MJT157" s="3060"/>
      <c r="MJU157" s="3060"/>
      <c r="MJV157" s="3060"/>
      <c r="MJW157" s="3060"/>
      <c r="MJX157" s="3060"/>
      <c r="MJY157" s="3060"/>
      <c r="MJZ157" s="3060"/>
      <c r="MKA157" s="3060"/>
      <c r="MKB157" s="3060"/>
      <c r="MKC157" s="3060"/>
      <c r="MKD157" s="3060"/>
      <c r="MKE157" s="3060"/>
      <c r="MKF157" s="3060"/>
      <c r="MKG157" s="3060"/>
      <c r="MKH157" s="3060"/>
      <c r="MKI157" s="3060"/>
      <c r="MKJ157" s="3060"/>
      <c r="MKK157" s="3060"/>
      <c r="MKL157" s="3060"/>
      <c r="MKM157" s="3060"/>
      <c r="MKN157" s="3060"/>
      <c r="MKO157" s="3060"/>
      <c r="MKP157" s="3060"/>
      <c r="MKQ157" s="3060"/>
      <c r="MKR157" s="3060"/>
      <c r="MKS157" s="3060"/>
      <c r="MKT157" s="3060"/>
      <c r="MKU157" s="3060"/>
      <c r="MKV157" s="3060"/>
      <c r="MKW157" s="3060"/>
      <c r="MKX157" s="3060"/>
      <c r="MKY157" s="3060"/>
      <c r="MKZ157" s="3060"/>
      <c r="MLA157" s="3060"/>
      <c r="MLB157" s="3060"/>
      <c r="MLC157" s="3060"/>
      <c r="MLD157" s="3060"/>
      <c r="MLE157" s="3060"/>
      <c r="MLF157" s="3060"/>
      <c r="MLG157" s="3060"/>
      <c r="MLH157" s="3060"/>
      <c r="MLI157" s="3060"/>
      <c r="MLJ157" s="3060"/>
      <c r="MLK157" s="3060"/>
      <c r="MLL157" s="3060"/>
      <c r="MLM157" s="3060"/>
      <c r="MLN157" s="3060"/>
      <c r="MLO157" s="3060"/>
      <c r="MLP157" s="3060"/>
      <c r="MLQ157" s="3060"/>
      <c r="MLR157" s="3060"/>
      <c r="MLS157" s="3060"/>
      <c r="MLT157" s="3060"/>
      <c r="MLU157" s="3060"/>
      <c r="MLV157" s="3060"/>
      <c r="MLW157" s="3060"/>
      <c r="MLX157" s="3060"/>
      <c r="MLY157" s="3060"/>
      <c r="MLZ157" s="3060"/>
      <c r="MMA157" s="3060"/>
      <c r="MMB157" s="3060"/>
      <c r="MMC157" s="3060"/>
      <c r="MMD157" s="3060"/>
      <c r="MME157" s="3060"/>
      <c r="MMF157" s="3060"/>
      <c r="MMG157" s="3060"/>
      <c r="MMH157" s="3060"/>
      <c r="MMI157" s="3060"/>
      <c r="MMJ157" s="3060"/>
      <c r="MMK157" s="3060"/>
      <c r="MML157" s="3060"/>
      <c r="MMM157" s="3060"/>
      <c r="MMN157" s="3060"/>
      <c r="MMO157" s="3060"/>
      <c r="MMP157" s="3060"/>
      <c r="MMQ157" s="3060"/>
      <c r="MMR157" s="3060"/>
      <c r="MMS157" s="3060"/>
      <c r="MMT157" s="3060"/>
      <c r="MMU157" s="3060"/>
      <c r="MMV157" s="3060"/>
      <c r="MMW157" s="3060"/>
      <c r="MMX157" s="3060"/>
      <c r="MMY157" s="3060"/>
      <c r="MMZ157" s="3060"/>
      <c r="MNA157" s="3060"/>
      <c r="MNB157" s="3060"/>
      <c r="MNC157" s="3060"/>
      <c r="MND157" s="3060"/>
      <c r="MNE157" s="3060"/>
      <c r="MNF157" s="3060"/>
      <c r="MNG157" s="3060"/>
      <c r="MNH157" s="3060"/>
      <c r="MNI157" s="3060"/>
      <c r="MNJ157" s="3060"/>
      <c r="MNK157" s="3060"/>
      <c r="MNL157" s="3060"/>
      <c r="MNM157" s="3060"/>
      <c r="MNN157" s="3060"/>
      <c r="MNO157" s="3060"/>
      <c r="MNP157" s="3060"/>
      <c r="MNQ157" s="3060"/>
      <c r="MNR157" s="3060"/>
      <c r="MNS157" s="3060"/>
      <c r="MNT157" s="3060"/>
      <c r="MNU157" s="3060"/>
      <c r="MNV157" s="3060"/>
      <c r="MNW157" s="3060"/>
      <c r="MNX157" s="3060"/>
      <c r="MNY157" s="3060"/>
      <c r="MNZ157" s="3060"/>
      <c r="MOA157" s="3060"/>
      <c r="MOB157" s="3060"/>
      <c r="MOC157" s="3060"/>
      <c r="MOD157" s="3060"/>
      <c r="MOE157" s="3060"/>
      <c r="MOF157" s="3060"/>
      <c r="MOG157" s="3060"/>
      <c r="MOH157" s="3060"/>
      <c r="MOI157" s="3060"/>
      <c r="MOJ157" s="3060"/>
      <c r="MOK157" s="3060"/>
      <c r="MOL157" s="3060"/>
      <c r="MOM157" s="3060"/>
      <c r="MON157" s="3060"/>
      <c r="MOO157" s="3060"/>
      <c r="MOP157" s="3060"/>
      <c r="MOQ157" s="3060"/>
      <c r="MOR157" s="3060"/>
      <c r="MOS157" s="3060"/>
      <c r="MOT157" s="3060"/>
      <c r="MOU157" s="3060"/>
      <c r="MOV157" s="3060"/>
      <c r="MOW157" s="3060"/>
      <c r="MOX157" s="3060"/>
      <c r="MOY157" s="3060"/>
      <c r="MOZ157" s="3060"/>
      <c r="MPA157" s="3060"/>
      <c r="MPB157" s="3060"/>
      <c r="MPC157" s="3060"/>
      <c r="MPD157" s="3060"/>
      <c r="MPE157" s="3060"/>
      <c r="MPF157" s="3060"/>
      <c r="MPG157" s="3060"/>
      <c r="MPH157" s="3060"/>
      <c r="MPI157" s="3060"/>
      <c r="MPJ157" s="3060"/>
      <c r="MPK157" s="3060"/>
      <c r="MPL157" s="3060"/>
      <c r="MPM157" s="3060"/>
      <c r="MPN157" s="3060"/>
      <c r="MPO157" s="3060"/>
      <c r="MPP157" s="3060"/>
      <c r="MPQ157" s="3060"/>
      <c r="MPR157" s="3060"/>
      <c r="MPS157" s="3060"/>
      <c r="MPT157" s="3060"/>
      <c r="MPU157" s="3060"/>
      <c r="MPV157" s="3060"/>
      <c r="MPW157" s="3060"/>
      <c r="MPX157" s="3060"/>
      <c r="MPY157" s="3060"/>
      <c r="MPZ157" s="3060"/>
      <c r="MQA157" s="3060"/>
      <c r="MQB157" s="3060"/>
      <c r="MQC157" s="3060"/>
      <c r="MQD157" s="3060"/>
      <c r="MQE157" s="3060"/>
      <c r="MQF157" s="3060"/>
      <c r="MQG157" s="3060"/>
      <c r="MQH157" s="3060"/>
      <c r="MQI157" s="3060"/>
      <c r="MQJ157" s="3060"/>
      <c r="MQK157" s="3060"/>
      <c r="MQL157" s="3060"/>
      <c r="MQM157" s="3060"/>
      <c r="MQN157" s="3060"/>
      <c r="MQO157" s="3060"/>
      <c r="MQP157" s="3060"/>
      <c r="MQQ157" s="3060"/>
      <c r="MQR157" s="3060"/>
      <c r="MQS157" s="3060"/>
      <c r="MQT157" s="3060"/>
      <c r="MQU157" s="3060"/>
      <c r="MQV157" s="3060"/>
      <c r="MQW157" s="3060"/>
      <c r="MQX157" s="3060"/>
      <c r="MQY157" s="3060"/>
      <c r="MQZ157" s="3060"/>
      <c r="MRA157" s="3060"/>
      <c r="MRB157" s="3060"/>
      <c r="MRC157" s="3060"/>
      <c r="MRD157" s="3060"/>
      <c r="MRE157" s="3060"/>
      <c r="MRF157" s="3060"/>
      <c r="MRG157" s="3060"/>
      <c r="MRH157" s="3060"/>
      <c r="MRI157" s="3060"/>
      <c r="MRJ157" s="3060"/>
      <c r="MRK157" s="3060"/>
      <c r="MRL157" s="3060"/>
      <c r="MRM157" s="3060"/>
      <c r="MRN157" s="3060"/>
      <c r="MRO157" s="3060"/>
      <c r="MRP157" s="3060"/>
      <c r="MRQ157" s="3060"/>
      <c r="MRR157" s="3060"/>
      <c r="MRS157" s="3060"/>
      <c r="MRT157" s="3060"/>
      <c r="MRU157" s="3060"/>
      <c r="MRV157" s="3060"/>
      <c r="MRW157" s="3060"/>
      <c r="MRX157" s="3060"/>
      <c r="MRY157" s="3060"/>
      <c r="MRZ157" s="3060"/>
      <c r="MSA157" s="3060"/>
      <c r="MSB157" s="3060"/>
      <c r="MSC157" s="3060"/>
      <c r="MSD157" s="3060"/>
      <c r="MSE157" s="3060"/>
      <c r="MSF157" s="3060"/>
      <c r="MSG157" s="3060"/>
      <c r="MSH157" s="3060"/>
      <c r="MSI157" s="3060"/>
      <c r="MSJ157" s="3060"/>
      <c r="MSK157" s="3060"/>
      <c r="MSL157" s="3060"/>
      <c r="MSM157" s="3060"/>
      <c r="MSN157" s="3060"/>
      <c r="MSO157" s="3060"/>
      <c r="MSP157" s="3060"/>
      <c r="MSQ157" s="3060"/>
      <c r="MSR157" s="3060"/>
      <c r="MSS157" s="3060"/>
      <c r="MST157" s="3060"/>
      <c r="MSU157" s="3060"/>
      <c r="MSV157" s="3060"/>
      <c r="MSW157" s="3060"/>
      <c r="MSX157" s="3060"/>
      <c r="MSY157" s="3060"/>
      <c r="MSZ157" s="3060"/>
      <c r="MTA157" s="3060"/>
      <c r="MTB157" s="3060"/>
      <c r="MTC157" s="3060"/>
      <c r="MTD157" s="3060"/>
      <c r="MTE157" s="3060"/>
      <c r="MTF157" s="3060"/>
      <c r="MTG157" s="3060"/>
      <c r="MTH157" s="3060"/>
      <c r="MTI157" s="3060"/>
      <c r="MTJ157" s="3060"/>
      <c r="MTK157" s="3060"/>
      <c r="MTL157" s="3060"/>
      <c r="MTM157" s="3060"/>
      <c r="MTN157" s="3060"/>
      <c r="MTO157" s="3060"/>
      <c r="MTP157" s="3060"/>
      <c r="MTQ157" s="3060"/>
      <c r="MTR157" s="3060"/>
      <c r="MTS157" s="3060"/>
      <c r="MTT157" s="3060"/>
      <c r="MTU157" s="3060"/>
      <c r="MTV157" s="3060"/>
      <c r="MTW157" s="3060"/>
      <c r="MTX157" s="3060"/>
      <c r="MTY157" s="3060"/>
      <c r="MTZ157" s="3060"/>
      <c r="MUA157" s="3060"/>
      <c r="MUB157" s="3060"/>
      <c r="MUC157" s="3060"/>
      <c r="MUD157" s="3060"/>
      <c r="MUE157" s="3060"/>
      <c r="MUF157" s="3060"/>
      <c r="MUG157" s="3060"/>
      <c r="MUH157" s="3060"/>
      <c r="MUI157" s="3060"/>
      <c r="MUJ157" s="3060"/>
      <c r="MUK157" s="3060"/>
      <c r="MUL157" s="3060"/>
      <c r="MUM157" s="3060"/>
      <c r="MUN157" s="3060"/>
      <c r="MUO157" s="3060"/>
      <c r="MUP157" s="3060"/>
      <c r="MUQ157" s="3060"/>
      <c r="MUR157" s="3060"/>
      <c r="MUS157" s="3060"/>
      <c r="MUT157" s="3060"/>
      <c r="MUU157" s="3060"/>
      <c r="MUV157" s="3060"/>
      <c r="MUW157" s="3060"/>
      <c r="MUX157" s="3060"/>
      <c r="MUY157" s="3060"/>
      <c r="MUZ157" s="3060"/>
      <c r="MVA157" s="3060"/>
      <c r="MVB157" s="3060"/>
      <c r="MVC157" s="3060"/>
      <c r="MVD157" s="3060"/>
      <c r="MVE157" s="3060"/>
      <c r="MVF157" s="3060"/>
      <c r="MVG157" s="3060"/>
      <c r="MVH157" s="3060"/>
      <c r="MVI157" s="3060"/>
      <c r="MVJ157" s="3060"/>
      <c r="MVK157" s="3060"/>
      <c r="MVL157" s="3060"/>
      <c r="MVM157" s="3060"/>
      <c r="MVN157" s="3060"/>
      <c r="MVO157" s="3060"/>
      <c r="MVP157" s="3060"/>
      <c r="MVQ157" s="3060"/>
      <c r="MVR157" s="3060"/>
      <c r="MVS157" s="3060"/>
      <c r="MVT157" s="3060"/>
      <c r="MVU157" s="3060"/>
      <c r="MVV157" s="3060"/>
      <c r="MVW157" s="3060"/>
      <c r="MVX157" s="3060"/>
      <c r="MVY157" s="3060"/>
      <c r="MVZ157" s="3060"/>
      <c r="MWA157" s="3060"/>
      <c r="MWB157" s="3060"/>
      <c r="MWC157" s="3060"/>
      <c r="MWD157" s="3060"/>
      <c r="MWE157" s="3060"/>
      <c r="MWF157" s="3060"/>
      <c r="MWG157" s="3060"/>
      <c r="MWH157" s="3060"/>
      <c r="MWI157" s="3060"/>
      <c r="MWJ157" s="3060"/>
      <c r="MWK157" s="3060"/>
      <c r="MWL157" s="3060"/>
      <c r="MWM157" s="3060"/>
      <c r="MWN157" s="3060"/>
      <c r="MWO157" s="3060"/>
      <c r="MWP157" s="3060"/>
      <c r="MWQ157" s="3060"/>
      <c r="MWR157" s="3060"/>
      <c r="MWS157" s="3060"/>
      <c r="MWT157" s="3060"/>
      <c r="MWU157" s="3060"/>
      <c r="MWV157" s="3060"/>
      <c r="MWW157" s="3060"/>
      <c r="MWX157" s="3060"/>
      <c r="MWY157" s="3060"/>
      <c r="MWZ157" s="3060"/>
      <c r="MXA157" s="3060"/>
      <c r="MXB157" s="3060"/>
      <c r="MXC157" s="3060"/>
      <c r="MXD157" s="3060"/>
      <c r="MXE157" s="3060"/>
      <c r="MXF157" s="3060"/>
      <c r="MXG157" s="3060"/>
      <c r="MXH157" s="3060"/>
      <c r="MXI157" s="3060"/>
      <c r="MXJ157" s="3060"/>
      <c r="MXK157" s="3060"/>
      <c r="MXL157" s="3060"/>
      <c r="MXM157" s="3060"/>
      <c r="MXN157" s="3060"/>
      <c r="MXO157" s="3060"/>
      <c r="MXP157" s="3060"/>
      <c r="MXQ157" s="3060"/>
      <c r="MXR157" s="3060"/>
      <c r="MXS157" s="3060"/>
      <c r="MXT157" s="3060"/>
      <c r="MXU157" s="3060"/>
      <c r="MXV157" s="3060"/>
      <c r="MXW157" s="3060"/>
      <c r="MXX157" s="3060"/>
      <c r="MXY157" s="3060"/>
      <c r="MXZ157" s="3060"/>
      <c r="MYA157" s="3060"/>
      <c r="MYB157" s="3060"/>
      <c r="MYC157" s="3060"/>
      <c r="MYD157" s="3060"/>
      <c r="MYE157" s="3060"/>
      <c r="MYF157" s="3060"/>
      <c r="MYG157" s="3060"/>
      <c r="MYH157" s="3060"/>
      <c r="MYI157" s="3060"/>
      <c r="MYJ157" s="3060"/>
      <c r="MYK157" s="3060"/>
      <c r="MYL157" s="3060"/>
      <c r="MYM157" s="3060"/>
      <c r="MYN157" s="3060"/>
      <c r="MYO157" s="3060"/>
      <c r="MYP157" s="3060"/>
      <c r="MYQ157" s="3060"/>
      <c r="MYR157" s="3060"/>
      <c r="MYS157" s="3060"/>
      <c r="MYT157" s="3060"/>
      <c r="MYU157" s="3060"/>
      <c r="MYV157" s="3060"/>
      <c r="MYW157" s="3060"/>
      <c r="MYX157" s="3060"/>
      <c r="MYY157" s="3060"/>
      <c r="MYZ157" s="3060"/>
      <c r="MZA157" s="3060"/>
      <c r="MZB157" s="3060"/>
      <c r="MZC157" s="3060"/>
      <c r="MZD157" s="3060"/>
      <c r="MZE157" s="3060"/>
      <c r="MZF157" s="3060"/>
      <c r="MZG157" s="3060"/>
      <c r="MZH157" s="3060"/>
      <c r="MZI157" s="3060"/>
      <c r="MZJ157" s="3060"/>
      <c r="MZK157" s="3060"/>
      <c r="MZL157" s="3060"/>
      <c r="MZM157" s="3060"/>
      <c r="MZN157" s="3060"/>
      <c r="MZO157" s="3060"/>
      <c r="MZP157" s="3060"/>
      <c r="MZQ157" s="3060"/>
      <c r="MZR157" s="3060"/>
      <c r="MZS157" s="3060"/>
      <c r="MZT157" s="3060"/>
      <c r="MZU157" s="3060"/>
      <c r="MZV157" s="3060"/>
      <c r="MZW157" s="3060"/>
      <c r="MZX157" s="3060"/>
      <c r="MZY157" s="3060"/>
      <c r="MZZ157" s="3060"/>
      <c r="NAA157" s="3060"/>
      <c r="NAB157" s="3060"/>
      <c r="NAC157" s="3060"/>
      <c r="NAD157" s="3060"/>
      <c r="NAE157" s="3060"/>
      <c r="NAF157" s="3060"/>
      <c r="NAG157" s="3060"/>
      <c r="NAH157" s="3060"/>
      <c r="NAI157" s="3060"/>
      <c r="NAJ157" s="3060"/>
      <c r="NAK157" s="3060"/>
      <c r="NAL157" s="3060"/>
      <c r="NAM157" s="3060"/>
      <c r="NAN157" s="3060"/>
      <c r="NAO157" s="3060"/>
      <c r="NAP157" s="3060"/>
      <c r="NAQ157" s="3060"/>
      <c r="NAR157" s="3060"/>
      <c r="NAS157" s="3060"/>
      <c r="NAT157" s="3060"/>
      <c r="NAU157" s="3060"/>
      <c r="NAV157" s="3060"/>
      <c r="NAW157" s="3060"/>
      <c r="NAX157" s="3060"/>
      <c r="NAY157" s="3060"/>
      <c r="NAZ157" s="3060"/>
      <c r="NBA157" s="3060"/>
      <c r="NBB157" s="3060"/>
      <c r="NBC157" s="3060"/>
      <c r="NBD157" s="3060"/>
      <c r="NBE157" s="3060"/>
      <c r="NBF157" s="3060"/>
      <c r="NBG157" s="3060"/>
      <c r="NBH157" s="3060"/>
      <c r="NBI157" s="3060"/>
      <c r="NBJ157" s="3060"/>
      <c r="NBK157" s="3060"/>
      <c r="NBL157" s="3060"/>
      <c r="NBM157" s="3060"/>
      <c r="NBN157" s="3060"/>
      <c r="NBO157" s="3060"/>
      <c r="NBP157" s="3060"/>
      <c r="NBQ157" s="3060"/>
      <c r="NBR157" s="3060"/>
      <c r="NBS157" s="3060"/>
      <c r="NBT157" s="3060"/>
      <c r="NBU157" s="3060"/>
      <c r="NBV157" s="3060"/>
      <c r="NBW157" s="3060"/>
      <c r="NBX157" s="3060"/>
      <c r="NBY157" s="3060"/>
      <c r="NBZ157" s="3060"/>
      <c r="NCA157" s="3060"/>
      <c r="NCB157" s="3060"/>
      <c r="NCC157" s="3060"/>
      <c r="NCD157" s="3060"/>
      <c r="NCE157" s="3060"/>
      <c r="NCF157" s="3060"/>
      <c r="NCG157" s="3060"/>
      <c r="NCH157" s="3060"/>
      <c r="NCI157" s="3060"/>
      <c r="NCJ157" s="3060"/>
      <c r="NCK157" s="3060"/>
      <c r="NCL157" s="3060"/>
      <c r="NCM157" s="3060"/>
      <c r="NCN157" s="3060"/>
      <c r="NCO157" s="3060"/>
      <c r="NCP157" s="3060"/>
      <c r="NCQ157" s="3060"/>
      <c r="NCR157" s="3060"/>
      <c r="NCS157" s="3060"/>
      <c r="NCT157" s="3060"/>
      <c r="NCU157" s="3060"/>
      <c r="NCV157" s="3060"/>
      <c r="NCW157" s="3060"/>
      <c r="NCX157" s="3060"/>
      <c r="NCY157" s="3060"/>
      <c r="NCZ157" s="3060"/>
      <c r="NDA157" s="3060"/>
      <c r="NDB157" s="3060"/>
      <c r="NDC157" s="3060"/>
      <c r="NDD157" s="3060"/>
      <c r="NDE157" s="3060"/>
      <c r="NDF157" s="3060"/>
      <c r="NDG157" s="3060"/>
      <c r="NDH157" s="3060"/>
      <c r="NDI157" s="3060"/>
      <c r="NDJ157" s="3060"/>
      <c r="NDK157" s="3060"/>
      <c r="NDL157" s="3060"/>
      <c r="NDM157" s="3060"/>
      <c r="NDN157" s="3060"/>
      <c r="NDO157" s="3060"/>
      <c r="NDP157" s="3060"/>
      <c r="NDQ157" s="3060"/>
      <c r="NDR157" s="3060"/>
      <c r="NDS157" s="3060"/>
      <c r="NDT157" s="3060"/>
      <c r="NDU157" s="3060"/>
      <c r="NDV157" s="3060"/>
      <c r="NDW157" s="3060"/>
      <c r="NDX157" s="3060"/>
      <c r="NDY157" s="3060"/>
      <c r="NDZ157" s="3060"/>
      <c r="NEA157" s="3060"/>
      <c r="NEB157" s="3060"/>
      <c r="NEC157" s="3060"/>
      <c r="NED157" s="3060"/>
      <c r="NEE157" s="3060"/>
      <c r="NEF157" s="3060"/>
      <c r="NEG157" s="3060"/>
      <c r="NEH157" s="3060"/>
      <c r="NEI157" s="3060"/>
      <c r="NEJ157" s="3060"/>
      <c r="NEK157" s="3060"/>
      <c r="NEL157" s="3060"/>
      <c r="NEM157" s="3060"/>
      <c r="NEN157" s="3060"/>
      <c r="NEO157" s="3060"/>
      <c r="NEP157" s="3060"/>
      <c r="NEQ157" s="3060"/>
      <c r="NER157" s="3060"/>
      <c r="NES157" s="3060"/>
      <c r="NET157" s="3060"/>
      <c r="NEU157" s="3060"/>
      <c r="NEV157" s="3060"/>
      <c r="NEW157" s="3060"/>
      <c r="NEX157" s="3060"/>
      <c r="NEY157" s="3060"/>
      <c r="NEZ157" s="3060"/>
      <c r="NFA157" s="3060"/>
      <c r="NFB157" s="3060"/>
      <c r="NFC157" s="3060"/>
      <c r="NFD157" s="3060"/>
      <c r="NFE157" s="3060"/>
      <c r="NFF157" s="3060"/>
      <c r="NFG157" s="3060"/>
      <c r="NFH157" s="3060"/>
      <c r="NFI157" s="3060"/>
      <c r="NFJ157" s="3060"/>
      <c r="NFK157" s="3060"/>
      <c r="NFL157" s="3060"/>
      <c r="NFM157" s="3060"/>
      <c r="NFN157" s="3060"/>
      <c r="NFO157" s="3060"/>
      <c r="NFP157" s="3060"/>
      <c r="NFQ157" s="3060"/>
      <c r="NFR157" s="3060"/>
      <c r="NFS157" s="3060"/>
      <c r="NFT157" s="3060"/>
      <c r="NFU157" s="3060"/>
      <c r="NFV157" s="3060"/>
      <c r="NFW157" s="3060"/>
      <c r="NFX157" s="3060"/>
      <c r="NFY157" s="3060"/>
      <c r="NFZ157" s="3060"/>
      <c r="NGA157" s="3060"/>
      <c r="NGB157" s="3060"/>
      <c r="NGC157" s="3060"/>
      <c r="NGD157" s="3060"/>
      <c r="NGE157" s="3060"/>
      <c r="NGF157" s="3060"/>
      <c r="NGG157" s="3060"/>
      <c r="NGH157" s="3060"/>
      <c r="NGI157" s="3060"/>
      <c r="NGJ157" s="3060"/>
      <c r="NGK157" s="3060"/>
      <c r="NGL157" s="3060"/>
      <c r="NGM157" s="3060"/>
      <c r="NGN157" s="3060"/>
      <c r="NGO157" s="3060"/>
      <c r="NGP157" s="3060"/>
      <c r="NGQ157" s="3060"/>
      <c r="NGR157" s="3060"/>
      <c r="NGS157" s="3060"/>
      <c r="NGT157" s="3060"/>
      <c r="NGU157" s="3060"/>
      <c r="NGV157" s="3060"/>
      <c r="NGW157" s="3060"/>
      <c r="NGX157" s="3060"/>
      <c r="NGY157" s="3060"/>
      <c r="NGZ157" s="3060"/>
      <c r="NHA157" s="3060"/>
      <c r="NHB157" s="3060"/>
      <c r="NHC157" s="3060"/>
      <c r="NHD157" s="3060"/>
      <c r="NHE157" s="3060"/>
      <c r="NHF157" s="3060"/>
      <c r="NHG157" s="3060"/>
      <c r="NHH157" s="3060"/>
      <c r="NHI157" s="3060"/>
      <c r="NHJ157" s="3060"/>
      <c r="NHK157" s="3060"/>
      <c r="NHL157" s="3060"/>
      <c r="NHM157" s="3060"/>
      <c r="NHN157" s="3060"/>
      <c r="NHO157" s="3060"/>
      <c r="NHP157" s="3060"/>
      <c r="NHQ157" s="3060"/>
      <c r="NHR157" s="3060"/>
      <c r="NHS157" s="3060"/>
      <c r="NHT157" s="3060"/>
      <c r="NHU157" s="3060"/>
      <c r="NHV157" s="3060"/>
      <c r="NHW157" s="3060"/>
      <c r="NHX157" s="3060"/>
      <c r="NHY157" s="3060"/>
      <c r="NHZ157" s="3060"/>
      <c r="NIA157" s="3060"/>
      <c r="NIB157" s="3060"/>
      <c r="NIC157" s="3060"/>
      <c r="NID157" s="3060"/>
      <c r="NIE157" s="3060"/>
      <c r="NIF157" s="3060"/>
      <c r="NIG157" s="3060"/>
      <c r="NIH157" s="3060"/>
      <c r="NII157" s="3060"/>
      <c r="NIJ157" s="3060"/>
      <c r="NIK157" s="3060"/>
      <c r="NIL157" s="3060"/>
      <c r="NIM157" s="3060"/>
      <c r="NIN157" s="3060"/>
      <c r="NIO157" s="3060"/>
      <c r="NIP157" s="3060"/>
      <c r="NIQ157" s="3060"/>
      <c r="NIR157" s="3060"/>
      <c r="NIS157" s="3060"/>
      <c r="NIT157" s="3060"/>
      <c r="NIU157" s="3060"/>
      <c r="NIV157" s="3060"/>
      <c r="NIW157" s="3060"/>
      <c r="NIX157" s="3060"/>
      <c r="NIY157" s="3060"/>
      <c r="NIZ157" s="3060"/>
      <c r="NJA157" s="3060"/>
      <c r="NJB157" s="3060"/>
      <c r="NJC157" s="3060"/>
      <c r="NJD157" s="3060"/>
      <c r="NJE157" s="3060"/>
      <c r="NJF157" s="3060"/>
      <c r="NJG157" s="3060"/>
      <c r="NJH157" s="3060"/>
      <c r="NJI157" s="3060"/>
      <c r="NJJ157" s="3060"/>
      <c r="NJK157" s="3060"/>
      <c r="NJL157" s="3060"/>
      <c r="NJM157" s="3060"/>
      <c r="NJN157" s="3060"/>
      <c r="NJO157" s="3060"/>
      <c r="NJP157" s="3060"/>
      <c r="NJQ157" s="3060"/>
      <c r="NJR157" s="3060"/>
      <c r="NJS157" s="3060"/>
      <c r="NJT157" s="3060"/>
      <c r="NJU157" s="3060"/>
      <c r="NJV157" s="3060"/>
      <c r="NJW157" s="3060"/>
      <c r="NJX157" s="3060"/>
      <c r="NJY157" s="3060"/>
      <c r="NJZ157" s="3060"/>
      <c r="NKA157" s="3060"/>
      <c r="NKB157" s="3060"/>
      <c r="NKC157" s="3060"/>
      <c r="NKD157" s="3060"/>
      <c r="NKE157" s="3060"/>
      <c r="NKF157" s="3060"/>
      <c r="NKG157" s="3060"/>
      <c r="NKH157" s="3060"/>
      <c r="NKI157" s="3060"/>
      <c r="NKJ157" s="3060"/>
      <c r="NKK157" s="3060"/>
      <c r="NKL157" s="3060"/>
      <c r="NKM157" s="3060"/>
      <c r="NKN157" s="3060"/>
      <c r="NKO157" s="3060"/>
      <c r="NKP157" s="3060"/>
      <c r="NKQ157" s="3060"/>
      <c r="NKR157" s="3060"/>
      <c r="NKS157" s="3060"/>
      <c r="NKT157" s="3060"/>
      <c r="NKU157" s="3060"/>
      <c r="NKV157" s="3060"/>
      <c r="NKW157" s="3060"/>
      <c r="NKX157" s="3060"/>
      <c r="NKY157" s="3060"/>
      <c r="NKZ157" s="3060"/>
      <c r="NLA157" s="3060"/>
      <c r="NLB157" s="3060"/>
      <c r="NLC157" s="3060"/>
      <c r="NLD157" s="3060"/>
      <c r="NLE157" s="3060"/>
      <c r="NLF157" s="3060"/>
      <c r="NLG157" s="3060"/>
      <c r="NLH157" s="3060"/>
      <c r="NLI157" s="3060"/>
      <c r="NLJ157" s="3060"/>
      <c r="NLK157" s="3060"/>
      <c r="NLL157" s="3060"/>
      <c r="NLM157" s="3060"/>
      <c r="NLN157" s="3060"/>
      <c r="NLO157" s="3060"/>
      <c r="NLP157" s="3060"/>
      <c r="NLQ157" s="3060"/>
      <c r="NLR157" s="3060"/>
      <c r="NLS157" s="3060"/>
      <c r="NLT157" s="3060"/>
      <c r="NLU157" s="3060"/>
      <c r="NLV157" s="3060"/>
      <c r="NLW157" s="3060"/>
      <c r="NLX157" s="3060"/>
      <c r="NLY157" s="3060"/>
      <c r="NLZ157" s="3060"/>
      <c r="NMA157" s="3060"/>
      <c r="NMB157" s="3060"/>
      <c r="NMC157" s="3060"/>
      <c r="NMD157" s="3060"/>
      <c r="NME157" s="3060"/>
      <c r="NMF157" s="3060"/>
      <c r="NMG157" s="3060"/>
      <c r="NMH157" s="3060"/>
      <c r="NMI157" s="3060"/>
      <c r="NMJ157" s="3060"/>
      <c r="NMK157" s="3060"/>
      <c r="NML157" s="3060"/>
      <c r="NMM157" s="3060"/>
      <c r="NMN157" s="3060"/>
      <c r="NMO157" s="3060"/>
      <c r="NMP157" s="3060"/>
      <c r="NMQ157" s="3060"/>
      <c r="NMR157" s="3060"/>
      <c r="NMS157" s="3060"/>
      <c r="NMT157" s="3060"/>
      <c r="NMU157" s="3060"/>
      <c r="NMV157" s="3060"/>
      <c r="NMW157" s="3060"/>
      <c r="NMX157" s="3060"/>
      <c r="NMY157" s="3060"/>
      <c r="NMZ157" s="3060"/>
      <c r="NNA157" s="3060"/>
      <c r="NNB157" s="3060"/>
      <c r="NNC157" s="3060"/>
      <c r="NND157" s="3060"/>
      <c r="NNE157" s="3060"/>
      <c r="NNF157" s="3060"/>
      <c r="NNG157" s="3060"/>
      <c r="NNH157" s="3060"/>
      <c r="NNI157" s="3060"/>
      <c r="NNJ157" s="3060"/>
      <c r="NNK157" s="3060"/>
      <c r="NNL157" s="3060"/>
      <c r="NNM157" s="3060"/>
      <c r="NNN157" s="3060"/>
      <c r="NNO157" s="3060"/>
      <c r="NNP157" s="3060"/>
      <c r="NNQ157" s="3060"/>
      <c r="NNR157" s="3060"/>
      <c r="NNS157" s="3060"/>
      <c r="NNT157" s="3060"/>
      <c r="NNU157" s="3060"/>
      <c r="NNV157" s="3060"/>
      <c r="NNW157" s="3060"/>
      <c r="NNX157" s="3060"/>
      <c r="NNY157" s="3060"/>
      <c r="NNZ157" s="3060"/>
      <c r="NOA157" s="3060"/>
      <c r="NOB157" s="3060"/>
      <c r="NOC157" s="3060"/>
      <c r="NOD157" s="3060"/>
      <c r="NOE157" s="3060"/>
      <c r="NOF157" s="3060"/>
      <c r="NOG157" s="3060"/>
      <c r="NOH157" s="3060"/>
      <c r="NOI157" s="3060"/>
      <c r="NOJ157" s="3060"/>
      <c r="NOK157" s="3060"/>
      <c r="NOL157" s="3060"/>
      <c r="NOM157" s="3060"/>
      <c r="NON157" s="3060"/>
      <c r="NOO157" s="3060"/>
      <c r="NOP157" s="3060"/>
      <c r="NOQ157" s="3060"/>
      <c r="NOR157" s="3060"/>
      <c r="NOS157" s="3060"/>
      <c r="NOT157" s="3060"/>
      <c r="NOU157" s="3060"/>
      <c r="NOV157" s="3060"/>
      <c r="NOW157" s="3060"/>
      <c r="NOX157" s="3060"/>
      <c r="NOY157" s="3060"/>
      <c r="NOZ157" s="3060"/>
      <c r="NPA157" s="3060"/>
      <c r="NPB157" s="3060"/>
      <c r="NPC157" s="3060"/>
      <c r="NPD157" s="3060"/>
      <c r="NPE157" s="3060"/>
      <c r="NPF157" s="3060"/>
      <c r="NPG157" s="3060"/>
      <c r="NPH157" s="3060"/>
      <c r="NPI157" s="3060"/>
      <c r="NPJ157" s="3060"/>
      <c r="NPK157" s="3060"/>
      <c r="NPL157" s="3060"/>
      <c r="NPM157" s="3060"/>
      <c r="NPN157" s="3060"/>
      <c r="NPO157" s="3060"/>
      <c r="NPP157" s="3060"/>
      <c r="NPQ157" s="3060"/>
      <c r="NPR157" s="3060"/>
      <c r="NPS157" s="3060"/>
      <c r="NPT157" s="3060"/>
      <c r="NPU157" s="3060"/>
      <c r="NPV157" s="3060"/>
      <c r="NPW157" s="3060"/>
      <c r="NPX157" s="3060"/>
      <c r="NPY157" s="3060"/>
      <c r="NPZ157" s="3060"/>
      <c r="NQA157" s="3060"/>
      <c r="NQB157" s="3060"/>
      <c r="NQC157" s="3060"/>
      <c r="NQD157" s="3060"/>
      <c r="NQE157" s="3060"/>
      <c r="NQF157" s="3060"/>
      <c r="NQG157" s="3060"/>
      <c r="NQH157" s="3060"/>
      <c r="NQI157" s="3060"/>
      <c r="NQJ157" s="3060"/>
      <c r="NQK157" s="3060"/>
      <c r="NQL157" s="3060"/>
      <c r="NQM157" s="3060"/>
      <c r="NQN157" s="3060"/>
      <c r="NQO157" s="3060"/>
      <c r="NQP157" s="3060"/>
      <c r="NQQ157" s="3060"/>
      <c r="NQR157" s="3060"/>
      <c r="NQS157" s="3060"/>
      <c r="NQT157" s="3060"/>
      <c r="NQU157" s="3060"/>
      <c r="NQV157" s="3060"/>
      <c r="NQW157" s="3060"/>
      <c r="NQX157" s="3060"/>
      <c r="NQY157" s="3060"/>
      <c r="NQZ157" s="3060"/>
      <c r="NRA157" s="3060"/>
      <c r="NRB157" s="3060"/>
      <c r="NRC157" s="3060"/>
      <c r="NRD157" s="3060"/>
      <c r="NRE157" s="3060"/>
      <c r="NRF157" s="3060"/>
      <c r="NRG157" s="3060"/>
      <c r="NRH157" s="3060"/>
      <c r="NRI157" s="3060"/>
      <c r="NRJ157" s="3060"/>
      <c r="NRK157" s="3060"/>
      <c r="NRL157" s="3060"/>
      <c r="NRM157" s="3060"/>
      <c r="NRN157" s="3060"/>
      <c r="NRO157" s="3060"/>
      <c r="NRP157" s="3060"/>
      <c r="NRQ157" s="3060"/>
      <c r="NRR157" s="3060"/>
      <c r="NRS157" s="3060"/>
      <c r="NRT157" s="3060"/>
      <c r="NRU157" s="3060"/>
      <c r="NRV157" s="3060"/>
      <c r="NRW157" s="3060"/>
      <c r="NRX157" s="3060"/>
      <c r="NRY157" s="3060"/>
      <c r="NRZ157" s="3060"/>
      <c r="NSA157" s="3060"/>
      <c r="NSB157" s="3060"/>
      <c r="NSC157" s="3060"/>
      <c r="NSD157" s="3060"/>
      <c r="NSE157" s="3060"/>
      <c r="NSF157" s="3060"/>
      <c r="NSG157" s="3060"/>
      <c r="NSH157" s="3060"/>
      <c r="NSI157" s="3060"/>
      <c r="NSJ157" s="3060"/>
      <c r="NSK157" s="3060"/>
      <c r="NSL157" s="3060"/>
      <c r="NSM157" s="3060"/>
      <c r="NSN157" s="3060"/>
      <c r="NSO157" s="3060"/>
      <c r="NSP157" s="3060"/>
      <c r="NSQ157" s="3060"/>
      <c r="NSR157" s="3060"/>
      <c r="NSS157" s="3060"/>
      <c r="NST157" s="3060"/>
      <c r="NSU157" s="3060"/>
      <c r="NSV157" s="3060"/>
      <c r="NSW157" s="3060"/>
      <c r="NSX157" s="3060"/>
      <c r="NSY157" s="3060"/>
      <c r="NSZ157" s="3060"/>
      <c r="NTA157" s="3060"/>
      <c r="NTB157" s="3060"/>
      <c r="NTC157" s="3060"/>
      <c r="NTD157" s="3060"/>
      <c r="NTE157" s="3060"/>
      <c r="NTF157" s="3060"/>
      <c r="NTG157" s="3060"/>
      <c r="NTH157" s="3060"/>
      <c r="NTI157" s="3060"/>
      <c r="NTJ157" s="3060"/>
      <c r="NTK157" s="3060"/>
      <c r="NTL157" s="3060"/>
      <c r="NTM157" s="3060"/>
      <c r="NTN157" s="3060"/>
      <c r="NTO157" s="3060"/>
      <c r="NTP157" s="3060"/>
      <c r="NTQ157" s="3060"/>
      <c r="NTR157" s="3060"/>
      <c r="NTS157" s="3060"/>
      <c r="NTT157" s="3060"/>
      <c r="NTU157" s="3060"/>
      <c r="NTV157" s="3060"/>
      <c r="NTW157" s="3060"/>
      <c r="NTX157" s="3060"/>
      <c r="NTY157" s="3060"/>
      <c r="NTZ157" s="3060"/>
      <c r="NUA157" s="3060"/>
      <c r="NUB157" s="3060"/>
      <c r="NUC157" s="3060"/>
      <c r="NUD157" s="3060"/>
      <c r="NUE157" s="3060"/>
      <c r="NUF157" s="3060"/>
      <c r="NUG157" s="3060"/>
      <c r="NUH157" s="3060"/>
      <c r="NUI157" s="3060"/>
      <c r="NUJ157" s="3060"/>
      <c r="NUK157" s="3060"/>
      <c r="NUL157" s="3060"/>
      <c r="NUM157" s="3060"/>
      <c r="NUN157" s="3060"/>
      <c r="NUO157" s="3060"/>
      <c r="NUP157" s="3060"/>
      <c r="NUQ157" s="3060"/>
      <c r="NUR157" s="3060"/>
      <c r="NUS157" s="3060"/>
      <c r="NUT157" s="3060"/>
      <c r="NUU157" s="3060"/>
      <c r="NUV157" s="3060"/>
      <c r="NUW157" s="3060"/>
      <c r="NUX157" s="3060"/>
      <c r="NUY157" s="3060"/>
      <c r="NUZ157" s="3060"/>
      <c r="NVA157" s="3060"/>
      <c r="NVB157" s="3060"/>
      <c r="NVC157" s="3060"/>
      <c r="NVD157" s="3060"/>
      <c r="NVE157" s="3060"/>
      <c r="NVF157" s="3060"/>
      <c r="NVG157" s="3060"/>
      <c r="NVH157" s="3060"/>
      <c r="NVI157" s="3060"/>
      <c r="NVJ157" s="3060"/>
      <c r="NVK157" s="3060"/>
      <c r="NVL157" s="3060"/>
      <c r="NVM157" s="3060"/>
      <c r="NVN157" s="3060"/>
      <c r="NVO157" s="3060"/>
      <c r="NVP157" s="3060"/>
      <c r="NVQ157" s="3060"/>
      <c r="NVR157" s="3060"/>
      <c r="NVS157" s="3060"/>
      <c r="NVT157" s="3060"/>
      <c r="NVU157" s="3060"/>
      <c r="NVV157" s="3060"/>
      <c r="NVW157" s="3060"/>
      <c r="NVX157" s="3060"/>
      <c r="NVY157" s="3060"/>
      <c r="NVZ157" s="3060"/>
      <c r="NWA157" s="3060"/>
      <c r="NWB157" s="3060"/>
      <c r="NWC157" s="3060"/>
      <c r="NWD157" s="3060"/>
      <c r="NWE157" s="3060"/>
      <c r="NWF157" s="3060"/>
      <c r="NWG157" s="3060"/>
      <c r="NWH157" s="3060"/>
      <c r="NWI157" s="3060"/>
      <c r="NWJ157" s="3060"/>
      <c r="NWK157" s="3060"/>
      <c r="NWL157" s="3060"/>
      <c r="NWM157" s="3060"/>
      <c r="NWN157" s="3060"/>
      <c r="NWO157" s="3060"/>
      <c r="NWP157" s="3060"/>
      <c r="NWQ157" s="3060"/>
      <c r="NWR157" s="3060"/>
      <c r="NWS157" s="3060"/>
      <c r="NWT157" s="3060"/>
      <c r="NWU157" s="3060"/>
      <c r="NWV157" s="3060"/>
      <c r="NWW157" s="3060"/>
      <c r="NWX157" s="3060"/>
      <c r="NWY157" s="3060"/>
      <c r="NWZ157" s="3060"/>
      <c r="NXA157" s="3060"/>
      <c r="NXB157" s="3060"/>
      <c r="NXC157" s="3060"/>
      <c r="NXD157" s="3060"/>
      <c r="NXE157" s="3060"/>
      <c r="NXF157" s="3060"/>
      <c r="NXG157" s="3060"/>
      <c r="NXH157" s="3060"/>
      <c r="NXI157" s="3060"/>
      <c r="NXJ157" s="3060"/>
      <c r="NXK157" s="3060"/>
      <c r="NXL157" s="3060"/>
      <c r="NXM157" s="3060"/>
      <c r="NXN157" s="3060"/>
      <c r="NXO157" s="3060"/>
      <c r="NXP157" s="3060"/>
      <c r="NXQ157" s="3060"/>
      <c r="NXR157" s="3060"/>
      <c r="NXS157" s="3060"/>
      <c r="NXT157" s="3060"/>
      <c r="NXU157" s="3060"/>
      <c r="NXV157" s="3060"/>
      <c r="NXW157" s="3060"/>
      <c r="NXX157" s="3060"/>
      <c r="NXY157" s="3060"/>
      <c r="NXZ157" s="3060"/>
      <c r="NYA157" s="3060"/>
      <c r="NYB157" s="3060"/>
      <c r="NYC157" s="3060"/>
      <c r="NYD157" s="3060"/>
      <c r="NYE157" s="3060"/>
      <c r="NYF157" s="3060"/>
      <c r="NYG157" s="3060"/>
      <c r="NYH157" s="3060"/>
      <c r="NYI157" s="3060"/>
      <c r="NYJ157" s="3060"/>
      <c r="NYK157" s="3060"/>
      <c r="NYL157" s="3060"/>
      <c r="NYM157" s="3060"/>
      <c r="NYN157" s="3060"/>
      <c r="NYO157" s="3060"/>
      <c r="NYP157" s="3060"/>
      <c r="NYQ157" s="3060"/>
      <c r="NYR157" s="3060"/>
      <c r="NYS157" s="3060"/>
      <c r="NYT157" s="3060"/>
      <c r="NYU157" s="3060"/>
      <c r="NYV157" s="3060"/>
      <c r="NYW157" s="3060"/>
      <c r="NYX157" s="3060"/>
      <c r="NYY157" s="3060"/>
      <c r="NYZ157" s="3060"/>
      <c r="NZA157" s="3060"/>
      <c r="NZB157" s="3060"/>
      <c r="NZC157" s="3060"/>
      <c r="NZD157" s="3060"/>
      <c r="NZE157" s="3060"/>
      <c r="NZF157" s="3060"/>
      <c r="NZG157" s="3060"/>
      <c r="NZH157" s="3060"/>
      <c r="NZI157" s="3060"/>
      <c r="NZJ157" s="3060"/>
      <c r="NZK157" s="3060"/>
      <c r="NZL157" s="3060"/>
      <c r="NZM157" s="3060"/>
      <c r="NZN157" s="3060"/>
      <c r="NZO157" s="3060"/>
      <c r="NZP157" s="3060"/>
      <c r="NZQ157" s="3060"/>
      <c r="NZR157" s="3060"/>
      <c r="NZS157" s="3060"/>
      <c r="NZT157" s="3060"/>
      <c r="NZU157" s="3060"/>
      <c r="NZV157" s="3060"/>
      <c r="NZW157" s="3060"/>
      <c r="NZX157" s="3060"/>
      <c r="NZY157" s="3060"/>
      <c r="NZZ157" s="3060"/>
      <c r="OAA157" s="3060"/>
      <c r="OAB157" s="3060"/>
      <c r="OAC157" s="3060"/>
      <c r="OAD157" s="3060"/>
      <c r="OAE157" s="3060"/>
      <c r="OAF157" s="3060"/>
      <c r="OAG157" s="3060"/>
      <c r="OAH157" s="3060"/>
      <c r="OAI157" s="3060"/>
      <c r="OAJ157" s="3060"/>
      <c r="OAK157" s="3060"/>
      <c r="OAL157" s="3060"/>
      <c r="OAM157" s="3060"/>
      <c r="OAN157" s="3060"/>
      <c r="OAO157" s="3060"/>
      <c r="OAP157" s="3060"/>
      <c r="OAQ157" s="3060"/>
      <c r="OAR157" s="3060"/>
      <c r="OAS157" s="3060"/>
      <c r="OAT157" s="3060"/>
      <c r="OAU157" s="3060"/>
      <c r="OAV157" s="3060"/>
      <c r="OAW157" s="3060"/>
      <c r="OAX157" s="3060"/>
      <c r="OAY157" s="3060"/>
      <c r="OAZ157" s="3060"/>
      <c r="OBA157" s="3060"/>
      <c r="OBB157" s="3060"/>
      <c r="OBC157" s="3060"/>
      <c r="OBD157" s="3060"/>
      <c r="OBE157" s="3060"/>
      <c r="OBF157" s="3060"/>
      <c r="OBG157" s="3060"/>
      <c r="OBH157" s="3060"/>
      <c r="OBI157" s="3060"/>
      <c r="OBJ157" s="3060"/>
      <c r="OBK157" s="3060"/>
      <c r="OBL157" s="3060"/>
      <c r="OBM157" s="3060"/>
      <c r="OBN157" s="3060"/>
      <c r="OBO157" s="3060"/>
      <c r="OBP157" s="3060"/>
      <c r="OBQ157" s="3060"/>
      <c r="OBR157" s="3060"/>
      <c r="OBS157" s="3060"/>
      <c r="OBT157" s="3060"/>
      <c r="OBU157" s="3060"/>
      <c r="OBV157" s="3060"/>
      <c r="OBW157" s="3060"/>
      <c r="OBX157" s="3060"/>
      <c r="OBY157" s="3060"/>
      <c r="OBZ157" s="3060"/>
      <c r="OCA157" s="3060"/>
      <c r="OCB157" s="3060"/>
      <c r="OCC157" s="3060"/>
      <c r="OCD157" s="3060"/>
      <c r="OCE157" s="3060"/>
      <c r="OCF157" s="3060"/>
      <c r="OCG157" s="3060"/>
      <c r="OCH157" s="3060"/>
      <c r="OCI157" s="3060"/>
      <c r="OCJ157" s="3060"/>
      <c r="OCK157" s="3060"/>
      <c r="OCL157" s="3060"/>
      <c r="OCM157" s="3060"/>
      <c r="OCN157" s="3060"/>
      <c r="OCO157" s="3060"/>
      <c r="OCP157" s="3060"/>
      <c r="OCQ157" s="3060"/>
      <c r="OCR157" s="3060"/>
      <c r="OCS157" s="3060"/>
      <c r="OCT157" s="3060"/>
      <c r="OCU157" s="3060"/>
      <c r="OCV157" s="3060"/>
      <c r="OCW157" s="3060"/>
      <c r="OCX157" s="3060"/>
      <c r="OCY157" s="3060"/>
      <c r="OCZ157" s="3060"/>
      <c r="ODA157" s="3060"/>
      <c r="ODB157" s="3060"/>
      <c r="ODC157" s="3060"/>
      <c r="ODD157" s="3060"/>
      <c r="ODE157" s="3060"/>
      <c r="ODF157" s="3060"/>
      <c r="ODG157" s="3060"/>
      <c r="ODH157" s="3060"/>
      <c r="ODI157" s="3060"/>
      <c r="ODJ157" s="3060"/>
      <c r="ODK157" s="3060"/>
      <c r="ODL157" s="3060"/>
      <c r="ODM157" s="3060"/>
      <c r="ODN157" s="3060"/>
      <c r="ODO157" s="3060"/>
      <c r="ODP157" s="3060"/>
      <c r="ODQ157" s="3060"/>
      <c r="ODR157" s="3060"/>
      <c r="ODS157" s="3060"/>
      <c r="ODT157" s="3060"/>
      <c r="ODU157" s="3060"/>
      <c r="ODV157" s="3060"/>
      <c r="ODW157" s="3060"/>
      <c r="ODX157" s="3060"/>
      <c r="ODY157" s="3060"/>
      <c r="ODZ157" s="3060"/>
      <c r="OEA157" s="3060"/>
      <c r="OEB157" s="3060"/>
      <c r="OEC157" s="3060"/>
      <c r="OED157" s="3060"/>
      <c r="OEE157" s="3060"/>
      <c r="OEF157" s="3060"/>
      <c r="OEG157" s="3060"/>
      <c r="OEH157" s="3060"/>
      <c r="OEI157" s="3060"/>
      <c r="OEJ157" s="3060"/>
      <c r="OEK157" s="3060"/>
      <c r="OEL157" s="3060"/>
      <c r="OEM157" s="3060"/>
      <c r="OEN157" s="3060"/>
      <c r="OEO157" s="3060"/>
      <c r="OEP157" s="3060"/>
      <c r="OEQ157" s="3060"/>
      <c r="OER157" s="3060"/>
      <c r="OES157" s="3060"/>
      <c r="OET157" s="3060"/>
      <c r="OEU157" s="3060"/>
      <c r="OEV157" s="3060"/>
      <c r="OEW157" s="3060"/>
      <c r="OEX157" s="3060"/>
      <c r="OEY157" s="3060"/>
      <c r="OEZ157" s="3060"/>
      <c r="OFA157" s="3060"/>
      <c r="OFB157" s="3060"/>
      <c r="OFC157" s="3060"/>
      <c r="OFD157" s="3060"/>
      <c r="OFE157" s="3060"/>
      <c r="OFF157" s="3060"/>
      <c r="OFG157" s="3060"/>
      <c r="OFH157" s="3060"/>
      <c r="OFI157" s="3060"/>
      <c r="OFJ157" s="3060"/>
      <c r="OFK157" s="3060"/>
      <c r="OFL157" s="3060"/>
      <c r="OFM157" s="3060"/>
      <c r="OFN157" s="3060"/>
      <c r="OFO157" s="3060"/>
      <c r="OFP157" s="3060"/>
      <c r="OFQ157" s="3060"/>
      <c r="OFR157" s="3060"/>
      <c r="OFS157" s="3060"/>
      <c r="OFT157" s="3060"/>
      <c r="OFU157" s="3060"/>
      <c r="OFV157" s="3060"/>
      <c r="OFW157" s="3060"/>
      <c r="OFX157" s="3060"/>
      <c r="OFY157" s="3060"/>
      <c r="OFZ157" s="3060"/>
      <c r="OGA157" s="3060"/>
      <c r="OGB157" s="3060"/>
      <c r="OGC157" s="3060"/>
      <c r="OGD157" s="3060"/>
      <c r="OGE157" s="3060"/>
      <c r="OGF157" s="3060"/>
      <c r="OGG157" s="3060"/>
      <c r="OGH157" s="3060"/>
      <c r="OGI157" s="3060"/>
      <c r="OGJ157" s="3060"/>
      <c r="OGK157" s="3060"/>
      <c r="OGL157" s="3060"/>
      <c r="OGM157" s="3060"/>
      <c r="OGN157" s="3060"/>
      <c r="OGO157" s="3060"/>
      <c r="OGP157" s="3060"/>
      <c r="OGQ157" s="3060"/>
      <c r="OGR157" s="3060"/>
      <c r="OGS157" s="3060"/>
      <c r="OGT157" s="3060"/>
      <c r="OGU157" s="3060"/>
      <c r="OGV157" s="3060"/>
      <c r="OGW157" s="3060"/>
      <c r="OGX157" s="3060"/>
      <c r="OGY157" s="3060"/>
      <c r="OGZ157" s="3060"/>
      <c r="OHA157" s="3060"/>
      <c r="OHB157" s="3060"/>
      <c r="OHC157" s="3060"/>
      <c r="OHD157" s="3060"/>
      <c r="OHE157" s="3060"/>
      <c r="OHF157" s="3060"/>
      <c r="OHG157" s="3060"/>
      <c r="OHH157" s="3060"/>
      <c r="OHI157" s="3060"/>
      <c r="OHJ157" s="3060"/>
      <c r="OHK157" s="3060"/>
      <c r="OHL157" s="3060"/>
      <c r="OHM157" s="3060"/>
      <c r="OHN157" s="3060"/>
      <c r="OHO157" s="3060"/>
      <c r="OHP157" s="3060"/>
      <c r="OHQ157" s="3060"/>
      <c r="OHR157" s="3060"/>
      <c r="OHS157" s="3060"/>
      <c r="OHT157" s="3060"/>
      <c r="OHU157" s="3060"/>
      <c r="OHV157" s="3060"/>
      <c r="OHW157" s="3060"/>
      <c r="OHX157" s="3060"/>
      <c r="OHY157" s="3060"/>
      <c r="OHZ157" s="3060"/>
      <c r="OIA157" s="3060"/>
      <c r="OIB157" s="3060"/>
      <c r="OIC157" s="3060"/>
      <c r="OID157" s="3060"/>
      <c r="OIE157" s="3060"/>
      <c r="OIF157" s="3060"/>
      <c r="OIG157" s="3060"/>
      <c r="OIH157" s="3060"/>
      <c r="OII157" s="3060"/>
      <c r="OIJ157" s="3060"/>
      <c r="OIK157" s="3060"/>
      <c r="OIL157" s="3060"/>
      <c r="OIM157" s="3060"/>
      <c r="OIN157" s="3060"/>
      <c r="OIO157" s="3060"/>
      <c r="OIP157" s="3060"/>
      <c r="OIQ157" s="3060"/>
      <c r="OIR157" s="3060"/>
      <c r="OIS157" s="3060"/>
      <c r="OIT157" s="3060"/>
      <c r="OIU157" s="3060"/>
      <c r="OIV157" s="3060"/>
      <c r="OIW157" s="3060"/>
      <c r="OIX157" s="3060"/>
      <c r="OIY157" s="3060"/>
      <c r="OIZ157" s="3060"/>
      <c r="OJA157" s="3060"/>
      <c r="OJB157" s="3060"/>
      <c r="OJC157" s="3060"/>
      <c r="OJD157" s="3060"/>
      <c r="OJE157" s="3060"/>
      <c r="OJF157" s="3060"/>
      <c r="OJG157" s="3060"/>
      <c r="OJH157" s="3060"/>
      <c r="OJI157" s="3060"/>
      <c r="OJJ157" s="3060"/>
      <c r="OJK157" s="3060"/>
      <c r="OJL157" s="3060"/>
      <c r="OJM157" s="3060"/>
      <c r="OJN157" s="3060"/>
      <c r="OJO157" s="3060"/>
      <c r="OJP157" s="3060"/>
      <c r="OJQ157" s="3060"/>
      <c r="OJR157" s="3060"/>
      <c r="OJS157" s="3060"/>
      <c r="OJT157" s="3060"/>
      <c r="OJU157" s="3060"/>
      <c r="OJV157" s="3060"/>
      <c r="OJW157" s="3060"/>
      <c r="OJX157" s="3060"/>
      <c r="OJY157" s="3060"/>
      <c r="OJZ157" s="3060"/>
      <c r="OKA157" s="3060"/>
      <c r="OKB157" s="3060"/>
      <c r="OKC157" s="3060"/>
      <c r="OKD157" s="3060"/>
      <c r="OKE157" s="3060"/>
      <c r="OKF157" s="3060"/>
      <c r="OKG157" s="3060"/>
      <c r="OKH157" s="3060"/>
      <c r="OKI157" s="3060"/>
      <c r="OKJ157" s="3060"/>
      <c r="OKK157" s="3060"/>
      <c r="OKL157" s="3060"/>
      <c r="OKM157" s="3060"/>
      <c r="OKN157" s="3060"/>
      <c r="OKO157" s="3060"/>
      <c r="OKP157" s="3060"/>
      <c r="OKQ157" s="3060"/>
      <c r="OKR157" s="3060"/>
      <c r="OKS157" s="3060"/>
      <c r="OKT157" s="3060"/>
      <c r="OKU157" s="3060"/>
      <c r="OKV157" s="3060"/>
      <c r="OKW157" s="3060"/>
      <c r="OKX157" s="3060"/>
      <c r="OKY157" s="3060"/>
      <c r="OKZ157" s="3060"/>
      <c r="OLA157" s="3060"/>
      <c r="OLB157" s="3060"/>
      <c r="OLC157" s="3060"/>
      <c r="OLD157" s="3060"/>
      <c r="OLE157" s="3060"/>
      <c r="OLF157" s="3060"/>
      <c r="OLG157" s="3060"/>
      <c r="OLH157" s="3060"/>
      <c r="OLI157" s="3060"/>
      <c r="OLJ157" s="3060"/>
      <c r="OLK157" s="3060"/>
      <c r="OLL157" s="3060"/>
      <c r="OLM157" s="3060"/>
      <c r="OLN157" s="3060"/>
      <c r="OLO157" s="3060"/>
      <c r="OLP157" s="3060"/>
      <c r="OLQ157" s="3060"/>
      <c r="OLR157" s="3060"/>
      <c r="OLS157" s="3060"/>
      <c r="OLT157" s="3060"/>
      <c r="OLU157" s="3060"/>
      <c r="OLV157" s="3060"/>
      <c r="OLW157" s="3060"/>
      <c r="OLX157" s="3060"/>
      <c r="OLY157" s="3060"/>
      <c r="OLZ157" s="3060"/>
      <c r="OMA157" s="3060"/>
      <c r="OMB157" s="3060"/>
      <c r="OMC157" s="3060"/>
      <c r="OMD157" s="3060"/>
      <c r="OME157" s="3060"/>
      <c r="OMF157" s="3060"/>
      <c r="OMG157" s="3060"/>
      <c r="OMH157" s="3060"/>
      <c r="OMI157" s="3060"/>
      <c r="OMJ157" s="3060"/>
      <c r="OMK157" s="3060"/>
      <c r="OML157" s="3060"/>
      <c r="OMM157" s="3060"/>
      <c r="OMN157" s="3060"/>
      <c r="OMO157" s="3060"/>
      <c r="OMP157" s="3060"/>
      <c r="OMQ157" s="3060"/>
      <c r="OMR157" s="3060"/>
      <c r="OMS157" s="3060"/>
      <c r="OMT157" s="3060"/>
      <c r="OMU157" s="3060"/>
      <c r="OMV157" s="3060"/>
      <c r="OMW157" s="3060"/>
      <c r="OMX157" s="3060"/>
      <c r="OMY157" s="3060"/>
      <c r="OMZ157" s="3060"/>
      <c r="ONA157" s="3060"/>
      <c r="ONB157" s="3060"/>
      <c r="ONC157" s="3060"/>
      <c r="OND157" s="3060"/>
      <c r="ONE157" s="3060"/>
      <c r="ONF157" s="3060"/>
      <c r="ONG157" s="3060"/>
      <c r="ONH157" s="3060"/>
      <c r="ONI157" s="3060"/>
      <c r="ONJ157" s="3060"/>
      <c r="ONK157" s="3060"/>
      <c r="ONL157" s="3060"/>
      <c r="ONM157" s="3060"/>
      <c r="ONN157" s="3060"/>
      <c r="ONO157" s="3060"/>
      <c r="ONP157" s="3060"/>
      <c r="ONQ157" s="3060"/>
      <c r="ONR157" s="3060"/>
      <c r="ONS157" s="3060"/>
      <c r="ONT157" s="3060"/>
      <c r="ONU157" s="3060"/>
      <c r="ONV157" s="3060"/>
      <c r="ONW157" s="3060"/>
      <c r="ONX157" s="3060"/>
      <c r="ONY157" s="3060"/>
      <c r="ONZ157" s="3060"/>
      <c r="OOA157" s="3060"/>
      <c r="OOB157" s="3060"/>
      <c r="OOC157" s="3060"/>
      <c r="OOD157" s="3060"/>
      <c r="OOE157" s="3060"/>
      <c r="OOF157" s="3060"/>
      <c r="OOG157" s="3060"/>
      <c r="OOH157" s="3060"/>
      <c r="OOI157" s="3060"/>
      <c r="OOJ157" s="3060"/>
      <c r="OOK157" s="3060"/>
      <c r="OOL157" s="3060"/>
      <c r="OOM157" s="3060"/>
      <c r="OON157" s="3060"/>
      <c r="OOO157" s="3060"/>
      <c r="OOP157" s="3060"/>
      <c r="OOQ157" s="3060"/>
      <c r="OOR157" s="3060"/>
      <c r="OOS157" s="3060"/>
      <c r="OOT157" s="3060"/>
      <c r="OOU157" s="3060"/>
      <c r="OOV157" s="3060"/>
      <c r="OOW157" s="3060"/>
      <c r="OOX157" s="3060"/>
      <c r="OOY157" s="3060"/>
      <c r="OOZ157" s="3060"/>
      <c r="OPA157" s="3060"/>
      <c r="OPB157" s="3060"/>
      <c r="OPC157" s="3060"/>
      <c r="OPD157" s="3060"/>
      <c r="OPE157" s="3060"/>
      <c r="OPF157" s="3060"/>
      <c r="OPG157" s="3060"/>
      <c r="OPH157" s="3060"/>
      <c r="OPI157" s="3060"/>
      <c r="OPJ157" s="3060"/>
      <c r="OPK157" s="3060"/>
      <c r="OPL157" s="3060"/>
      <c r="OPM157" s="3060"/>
      <c r="OPN157" s="3060"/>
      <c r="OPO157" s="3060"/>
      <c r="OPP157" s="3060"/>
      <c r="OPQ157" s="3060"/>
      <c r="OPR157" s="3060"/>
      <c r="OPS157" s="3060"/>
      <c r="OPT157" s="3060"/>
      <c r="OPU157" s="3060"/>
      <c r="OPV157" s="3060"/>
      <c r="OPW157" s="3060"/>
      <c r="OPX157" s="3060"/>
      <c r="OPY157" s="3060"/>
      <c r="OPZ157" s="3060"/>
      <c r="OQA157" s="3060"/>
      <c r="OQB157" s="3060"/>
      <c r="OQC157" s="3060"/>
      <c r="OQD157" s="3060"/>
      <c r="OQE157" s="3060"/>
      <c r="OQF157" s="3060"/>
      <c r="OQG157" s="3060"/>
      <c r="OQH157" s="3060"/>
      <c r="OQI157" s="3060"/>
      <c r="OQJ157" s="3060"/>
      <c r="OQK157" s="3060"/>
      <c r="OQL157" s="3060"/>
      <c r="OQM157" s="3060"/>
      <c r="OQN157" s="3060"/>
      <c r="OQO157" s="3060"/>
      <c r="OQP157" s="3060"/>
      <c r="OQQ157" s="3060"/>
      <c r="OQR157" s="3060"/>
      <c r="OQS157" s="3060"/>
      <c r="OQT157" s="3060"/>
      <c r="OQU157" s="3060"/>
      <c r="OQV157" s="3060"/>
      <c r="OQW157" s="3060"/>
      <c r="OQX157" s="3060"/>
      <c r="OQY157" s="3060"/>
      <c r="OQZ157" s="3060"/>
      <c r="ORA157" s="3060"/>
      <c r="ORB157" s="3060"/>
      <c r="ORC157" s="3060"/>
      <c r="ORD157" s="3060"/>
      <c r="ORE157" s="3060"/>
      <c r="ORF157" s="3060"/>
      <c r="ORG157" s="3060"/>
      <c r="ORH157" s="3060"/>
      <c r="ORI157" s="3060"/>
      <c r="ORJ157" s="3060"/>
      <c r="ORK157" s="3060"/>
      <c r="ORL157" s="3060"/>
      <c r="ORM157" s="3060"/>
      <c r="ORN157" s="3060"/>
      <c r="ORO157" s="3060"/>
      <c r="ORP157" s="3060"/>
      <c r="ORQ157" s="3060"/>
      <c r="ORR157" s="3060"/>
      <c r="ORS157" s="3060"/>
      <c r="ORT157" s="3060"/>
      <c r="ORU157" s="3060"/>
      <c r="ORV157" s="3060"/>
      <c r="ORW157" s="3060"/>
      <c r="ORX157" s="3060"/>
      <c r="ORY157" s="3060"/>
      <c r="ORZ157" s="3060"/>
      <c r="OSA157" s="3060"/>
      <c r="OSB157" s="3060"/>
      <c r="OSC157" s="3060"/>
      <c r="OSD157" s="3060"/>
      <c r="OSE157" s="3060"/>
      <c r="OSF157" s="3060"/>
      <c r="OSG157" s="3060"/>
      <c r="OSH157" s="3060"/>
      <c r="OSI157" s="3060"/>
      <c r="OSJ157" s="3060"/>
      <c r="OSK157" s="3060"/>
      <c r="OSL157" s="3060"/>
      <c r="OSM157" s="3060"/>
      <c r="OSN157" s="3060"/>
      <c r="OSO157" s="3060"/>
      <c r="OSP157" s="3060"/>
      <c r="OSQ157" s="3060"/>
      <c r="OSR157" s="3060"/>
      <c r="OSS157" s="3060"/>
      <c r="OST157" s="3060"/>
      <c r="OSU157" s="3060"/>
      <c r="OSV157" s="3060"/>
      <c r="OSW157" s="3060"/>
      <c r="OSX157" s="3060"/>
      <c r="OSY157" s="3060"/>
      <c r="OSZ157" s="3060"/>
      <c r="OTA157" s="3060"/>
      <c r="OTB157" s="3060"/>
      <c r="OTC157" s="3060"/>
      <c r="OTD157" s="3060"/>
      <c r="OTE157" s="3060"/>
      <c r="OTF157" s="3060"/>
      <c r="OTG157" s="3060"/>
      <c r="OTH157" s="3060"/>
      <c r="OTI157" s="3060"/>
      <c r="OTJ157" s="3060"/>
      <c r="OTK157" s="3060"/>
      <c r="OTL157" s="3060"/>
      <c r="OTM157" s="3060"/>
      <c r="OTN157" s="3060"/>
      <c r="OTO157" s="3060"/>
      <c r="OTP157" s="3060"/>
      <c r="OTQ157" s="3060"/>
      <c r="OTR157" s="3060"/>
      <c r="OTS157" s="3060"/>
      <c r="OTT157" s="3060"/>
      <c r="OTU157" s="3060"/>
      <c r="OTV157" s="3060"/>
      <c r="OTW157" s="3060"/>
      <c r="OTX157" s="3060"/>
      <c r="OTY157" s="3060"/>
      <c r="OTZ157" s="3060"/>
      <c r="OUA157" s="3060"/>
      <c r="OUB157" s="3060"/>
      <c r="OUC157" s="3060"/>
      <c r="OUD157" s="3060"/>
      <c r="OUE157" s="3060"/>
      <c r="OUF157" s="3060"/>
      <c r="OUG157" s="3060"/>
      <c r="OUH157" s="3060"/>
      <c r="OUI157" s="3060"/>
      <c r="OUJ157" s="3060"/>
      <c r="OUK157" s="3060"/>
      <c r="OUL157" s="3060"/>
      <c r="OUM157" s="3060"/>
      <c r="OUN157" s="3060"/>
      <c r="OUO157" s="3060"/>
      <c r="OUP157" s="3060"/>
      <c r="OUQ157" s="3060"/>
      <c r="OUR157" s="3060"/>
      <c r="OUS157" s="3060"/>
      <c r="OUT157" s="3060"/>
      <c r="OUU157" s="3060"/>
      <c r="OUV157" s="3060"/>
      <c r="OUW157" s="3060"/>
      <c r="OUX157" s="3060"/>
      <c r="OUY157" s="3060"/>
      <c r="OUZ157" s="3060"/>
      <c r="OVA157" s="3060"/>
      <c r="OVB157" s="3060"/>
      <c r="OVC157" s="3060"/>
      <c r="OVD157" s="3060"/>
      <c r="OVE157" s="3060"/>
      <c r="OVF157" s="3060"/>
      <c r="OVG157" s="3060"/>
      <c r="OVH157" s="3060"/>
      <c r="OVI157" s="3060"/>
      <c r="OVJ157" s="3060"/>
      <c r="OVK157" s="3060"/>
      <c r="OVL157" s="3060"/>
      <c r="OVM157" s="3060"/>
      <c r="OVN157" s="3060"/>
      <c r="OVO157" s="3060"/>
      <c r="OVP157" s="3060"/>
      <c r="OVQ157" s="3060"/>
      <c r="OVR157" s="3060"/>
      <c r="OVS157" s="3060"/>
      <c r="OVT157" s="3060"/>
      <c r="OVU157" s="3060"/>
      <c r="OVV157" s="3060"/>
      <c r="OVW157" s="3060"/>
      <c r="OVX157" s="3060"/>
      <c r="OVY157" s="3060"/>
      <c r="OVZ157" s="3060"/>
      <c r="OWA157" s="3060"/>
      <c r="OWB157" s="3060"/>
      <c r="OWC157" s="3060"/>
      <c r="OWD157" s="3060"/>
      <c r="OWE157" s="3060"/>
      <c r="OWF157" s="3060"/>
      <c r="OWG157" s="3060"/>
      <c r="OWH157" s="3060"/>
      <c r="OWI157" s="3060"/>
      <c r="OWJ157" s="3060"/>
      <c r="OWK157" s="3060"/>
      <c r="OWL157" s="3060"/>
      <c r="OWM157" s="3060"/>
      <c r="OWN157" s="3060"/>
      <c r="OWO157" s="3060"/>
      <c r="OWP157" s="3060"/>
      <c r="OWQ157" s="3060"/>
      <c r="OWR157" s="3060"/>
      <c r="OWS157" s="3060"/>
      <c r="OWT157" s="3060"/>
      <c r="OWU157" s="3060"/>
      <c r="OWV157" s="3060"/>
      <c r="OWW157" s="3060"/>
      <c r="OWX157" s="3060"/>
      <c r="OWY157" s="3060"/>
      <c r="OWZ157" s="3060"/>
      <c r="OXA157" s="3060"/>
      <c r="OXB157" s="3060"/>
      <c r="OXC157" s="3060"/>
      <c r="OXD157" s="3060"/>
      <c r="OXE157" s="3060"/>
      <c r="OXF157" s="3060"/>
      <c r="OXG157" s="3060"/>
      <c r="OXH157" s="3060"/>
      <c r="OXI157" s="3060"/>
      <c r="OXJ157" s="3060"/>
      <c r="OXK157" s="3060"/>
      <c r="OXL157" s="3060"/>
      <c r="OXM157" s="3060"/>
      <c r="OXN157" s="3060"/>
      <c r="OXO157" s="3060"/>
      <c r="OXP157" s="3060"/>
      <c r="OXQ157" s="3060"/>
      <c r="OXR157" s="3060"/>
      <c r="OXS157" s="3060"/>
      <c r="OXT157" s="3060"/>
      <c r="OXU157" s="3060"/>
      <c r="OXV157" s="3060"/>
      <c r="OXW157" s="3060"/>
      <c r="OXX157" s="3060"/>
      <c r="OXY157" s="3060"/>
      <c r="OXZ157" s="3060"/>
      <c r="OYA157" s="3060"/>
      <c r="OYB157" s="3060"/>
      <c r="OYC157" s="3060"/>
      <c r="OYD157" s="3060"/>
      <c r="OYE157" s="3060"/>
      <c r="OYF157" s="3060"/>
      <c r="OYG157" s="3060"/>
      <c r="OYH157" s="3060"/>
      <c r="OYI157" s="3060"/>
      <c r="OYJ157" s="3060"/>
      <c r="OYK157" s="3060"/>
      <c r="OYL157" s="3060"/>
      <c r="OYM157" s="3060"/>
      <c r="OYN157" s="3060"/>
      <c r="OYO157" s="3060"/>
      <c r="OYP157" s="3060"/>
      <c r="OYQ157" s="3060"/>
      <c r="OYR157" s="3060"/>
      <c r="OYS157" s="3060"/>
      <c r="OYT157" s="3060"/>
      <c r="OYU157" s="3060"/>
      <c r="OYV157" s="3060"/>
      <c r="OYW157" s="3060"/>
      <c r="OYX157" s="3060"/>
      <c r="OYY157" s="3060"/>
      <c r="OYZ157" s="3060"/>
      <c r="OZA157" s="3060"/>
      <c r="OZB157" s="3060"/>
      <c r="OZC157" s="3060"/>
      <c r="OZD157" s="3060"/>
      <c r="OZE157" s="3060"/>
      <c r="OZF157" s="3060"/>
      <c r="OZG157" s="3060"/>
      <c r="OZH157" s="3060"/>
      <c r="OZI157" s="3060"/>
      <c r="OZJ157" s="3060"/>
      <c r="OZK157" s="3060"/>
      <c r="OZL157" s="3060"/>
      <c r="OZM157" s="3060"/>
      <c r="OZN157" s="3060"/>
      <c r="OZO157" s="3060"/>
      <c r="OZP157" s="3060"/>
      <c r="OZQ157" s="3060"/>
      <c r="OZR157" s="3060"/>
      <c r="OZS157" s="3060"/>
      <c r="OZT157" s="3060"/>
      <c r="OZU157" s="3060"/>
      <c r="OZV157" s="3060"/>
      <c r="OZW157" s="3060"/>
      <c r="OZX157" s="3060"/>
      <c r="OZY157" s="3060"/>
      <c r="OZZ157" s="3060"/>
      <c r="PAA157" s="3060"/>
      <c r="PAB157" s="3060"/>
      <c r="PAC157" s="3060"/>
      <c r="PAD157" s="3060"/>
      <c r="PAE157" s="3060"/>
      <c r="PAF157" s="3060"/>
      <c r="PAG157" s="3060"/>
      <c r="PAH157" s="3060"/>
      <c r="PAI157" s="3060"/>
      <c r="PAJ157" s="3060"/>
      <c r="PAK157" s="3060"/>
      <c r="PAL157" s="3060"/>
      <c r="PAM157" s="3060"/>
      <c r="PAN157" s="3060"/>
      <c r="PAO157" s="3060"/>
      <c r="PAP157" s="3060"/>
      <c r="PAQ157" s="3060"/>
      <c r="PAR157" s="3060"/>
      <c r="PAS157" s="3060"/>
      <c r="PAT157" s="3060"/>
      <c r="PAU157" s="3060"/>
      <c r="PAV157" s="3060"/>
      <c r="PAW157" s="3060"/>
      <c r="PAX157" s="3060"/>
      <c r="PAY157" s="3060"/>
      <c r="PAZ157" s="3060"/>
      <c r="PBA157" s="3060"/>
      <c r="PBB157" s="3060"/>
      <c r="PBC157" s="3060"/>
      <c r="PBD157" s="3060"/>
      <c r="PBE157" s="3060"/>
      <c r="PBF157" s="3060"/>
      <c r="PBG157" s="3060"/>
      <c r="PBH157" s="3060"/>
      <c r="PBI157" s="3060"/>
      <c r="PBJ157" s="3060"/>
      <c r="PBK157" s="3060"/>
      <c r="PBL157" s="3060"/>
      <c r="PBM157" s="3060"/>
      <c r="PBN157" s="3060"/>
      <c r="PBO157" s="3060"/>
      <c r="PBP157" s="3060"/>
      <c r="PBQ157" s="3060"/>
      <c r="PBR157" s="3060"/>
      <c r="PBS157" s="3060"/>
      <c r="PBT157" s="3060"/>
      <c r="PBU157" s="3060"/>
      <c r="PBV157" s="3060"/>
      <c r="PBW157" s="3060"/>
      <c r="PBX157" s="3060"/>
      <c r="PBY157" s="3060"/>
      <c r="PBZ157" s="3060"/>
      <c r="PCA157" s="3060"/>
      <c r="PCB157" s="3060"/>
      <c r="PCC157" s="3060"/>
      <c r="PCD157" s="3060"/>
      <c r="PCE157" s="3060"/>
      <c r="PCF157" s="3060"/>
      <c r="PCG157" s="3060"/>
      <c r="PCH157" s="3060"/>
      <c r="PCI157" s="3060"/>
      <c r="PCJ157" s="3060"/>
      <c r="PCK157" s="3060"/>
      <c r="PCL157" s="3060"/>
      <c r="PCM157" s="3060"/>
      <c r="PCN157" s="3060"/>
      <c r="PCO157" s="3060"/>
      <c r="PCP157" s="3060"/>
      <c r="PCQ157" s="3060"/>
      <c r="PCR157" s="3060"/>
      <c r="PCS157" s="3060"/>
      <c r="PCT157" s="3060"/>
      <c r="PCU157" s="3060"/>
      <c r="PCV157" s="3060"/>
      <c r="PCW157" s="3060"/>
      <c r="PCX157" s="3060"/>
      <c r="PCY157" s="3060"/>
      <c r="PCZ157" s="3060"/>
      <c r="PDA157" s="3060"/>
      <c r="PDB157" s="3060"/>
      <c r="PDC157" s="3060"/>
      <c r="PDD157" s="3060"/>
      <c r="PDE157" s="3060"/>
      <c r="PDF157" s="3060"/>
      <c r="PDG157" s="3060"/>
      <c r="PDH157" s="3060"/>
      <c r="PDI157" s="3060"/>
      <c r="PDJ157" s="3060"/>
      <c r="PDK157" s="3060"/>
      <c r="PDL157" s="3060"/>
      <c r="PDM157" s="3060"/>
      <c r="PDN157" s="3060"/>
      <c r="PDO157" s="3060"/>
      <c r="PDP157" s="3060"/>
      <c r="PDQ157" s="3060"/>
      <c r="PDR157" s="3060"/>
      <c r="PDS157" s="3060"/>
      <c r="PDT157" s="3060"/>
      <c r="PDU157" s="3060"/>
      <c r="PDV157" s="3060"/>
      <c r="PDW157" s="3060"/>
      <c r="PDX157" s="3060"/>
      <c r="PDY157" s="3060"/>
      <c r="PDZ157" s="3060"/>
      <c r="PEA157" s="3060"/>
      <c r="PEB157" s="3060"/>
      <c r="PEC157" s="3060"/>
      <c r="PED157" s="3060"/>
      <c r="PEE157" s="3060"/>
      <c r="PEF157" s="3060"/>
      <c r="PEG157" s="3060"/>
      <c r="PEH157" s="3060"/>
      <c r="PEI157" s="3060"/>
      <c r="PEJ157" s="3060"/>
      <c r="PEK157" s="3060"/>
      <c r="PEL157" s="3060"/>
      <c r="PEM157" s="3060"/>
      <c r="PEN157" s="3060"/>
      <c r="PEO157" s="3060"/>
      <c r="PEP157" s="3060"/>
      <c r="PEQ157" s="3060"/>
      <c r="PER157" s="3060"/>
      <c r="PES157" s="3060"/>
      <c r="PET157" s="3060"/>
      <c r="PEU157" s="3060"/>
      <c r="PEV157" s="3060"/>
      <c r="PEW157" s="3060"/>
      <c r="PEX157" s="3060"/>
      <c r="PEY157" s="3060"/>
      <c r="PEZ157" s="3060"/>
      <c r="PFA157" s="3060"/>
      <c r="PFB157" s="3060"/>
      <c r="PFC157" s="3060"/>
      <c r="PFD157" s="3060"/>
      <c r="PFE157" s="3060"/>
      <c r="PFF157" s="3060"/>
      <c r="PFG157" s="3060"/>
      <c r="PFH157" s="3060"/>
      <c r="PFI157" s="3060"/>
      <c r="PFJ157" s="3060"/>
      <c r="PFK157" s="3060"/>
      <c r="PFL157" s="3060"/>
      <c r="PFM157" s="3060"/>
      <c r="PFN157" s="3060"/>
      <c r="PFO157" s="3060"/>
      <c r="PFP157" s="3060"/>
      <c r="PFQ157" s="3060"/>
      <c r="PFR157" s="3060"/>
      <c r="PFS157" s="3060"/>
      <c r="PFT157" s="3060"/>
      <c r="PFU157" s="3060"/>
      <c r="PFV157" s="3060"/>
      <c r="PFW157" s="3060"/>
      <c r="PFX157" s="3060"/>
      <c r="PFY157" s="3060"/>
      <c r="PFZ157" s="3060"/>
      <c r="PGA157" s="3060"/>
      <c r="PGB157" s="3060"/>
      <c r="PGC157" s="3060"/>
      <c r="PGD157" s="3060"/>
      <c r="PGE157" s="3060"/>
      <c r="PGF157" s="3060"/>
      <c r="PGG157" s="3060"/>
      <c r="PGH157" s="3060"/>
      <c r="PGI157" s="3060"/>
      <c r="PGJ157" s="3060"/>
      <c r="PGK157" s="3060"/>
      <c r="PGL157" s="3060"/>
      <c r="PGM157" s="3060"/>
      <c r="PGN157" s="3060"/>
      <c r="PGO157" s="3060"/>
      <c r="PGP157" s="3060"/>
      <c r="PGQ157" s="3060"/>
      <c r="PGR157" s="3060"/>
      <c r="PGS157" s="3060"/>
      <c r="PGT157" s="3060"/>
      <c r="PGU157" s="3060"/>
      <c r="PGV157" s="3060"/>
      <c r="PGW157" s="3060"/>
      <c r="PGX157" s="3060"/>
      <c r="PGY157" s="3060"/>
      <c r="PGZ157" s="3060"/>
      <c r="PHA157" s="3060"/>
      <c r="PHB157" s="3060"/>
      <c r="PHC157" s="3060"/>
      <c r="PHD157" s="3060"/>
      <c r="PHE157" s="3060"/>
      <c r="PHF157" s="3060"/>
      <c r="PHG157" s="3060"/>
      <c r="PHH157" s="3060"/>
      <c r="PHI157" s="3060"/>
      <c r="PHJ157" s="3060"/>
      <c r="PHK157" s="3060"/>
      <c r="PHL157" s="3060"/>
      <c r="PHM157" s="3060"/>
      <c r="PHN157" s="3060"/>
      <c r="PHO157" s="3060"/>
      <c r="PHP157" s="3060"/>
      <c r="PHQ157" s="3060"/>
      <c r="PHR157" s="3060"/>
      <c r="PHS157" s="3060"/>
      <c r="PHT157" s="3060"/>
      <c r="PHU157" s="3060"/>
      <c r="PHV157" s="3060"/>
      <c r="PHW157" s="3060"/>
      <c r="PHX157" s="3060"/>
      <c r="PHY157" s="3060"/>
      <c r="PHZ157" s="3060"/>
      <c r="PIA157" s="3060"/>
      <c r="PIB157" s="3060"/>
      <c r="PIC157" s="3060"/>
      <c r="PID157" s="3060"/>
      <c r="PIE157" s="3060"/>
      <c r="PIF157" s="3060"/>
      <c r="PIG157" s="3060"/>
      <c r="PIH157" s="3060"/>
      <c r="PII157" s="3060"/>
      <c r="PIJ157" s="3060"/>
      <c r="PIK157" s="3060"/>
      <c r="PIL157" s="3060"/>
      <c r="PIM157" s="3060"/>
      <c r="PIN157" s="3060"/>
      <c r="PIO157" s="3060"/>
      <c r="PIP157" s="3060"/>
      <c r="PIQ157" s="3060"/>
      <c r="PIR157" s="3060"/>
      <c r="PIS157" s="3060"/>
      <c r="PIT157" s="3060"/>
      <c r="PIU157" s="3060"/>
      <c r="PIV157" s="3060"/>
      <c r="PIW157" s="3060"/>
      <c r="PIX157" s="3060"/>
      <c r="PIY157" s="3060"/>
      <c r="PIZ157" s="3060"/>
      <c r="PJA157" s="3060"/>
      <c r="PJB157" s="3060"/>
      <c r="PJC157" s="3060"/>
      <c r="PJD157" s="3060"/>
      <c r="PJE157" s="3060"/>
      <c r="PJF157" s="3060"/>
      <c r="PJG157" s="3060"/>
      <c r="PJH157" s="3060"/>
      <c r="PJI157" s="3060"/>
      <c r="PJJ157" s="3060"/>
      <c r="PJK157" s="3060"/>
      <c r="PJL157" s="3060"/>
      <c r="PJM157" s="3060"/>
      <c r="PJN157" s="3060"/>
      <c r="PJO157" s="3060"/>
      <c r="PJP157" s="3060"/>
      <c r="PJQ157" s="3060"/>
      <c r="PJR157" s="3060"/>
      <c r="PJS157" s="3060"/>
      <c r="PJT157" s="3060"/>
      <c r="PJU157" s="3060"/>
      <c r="PJV157" s="3060"/>
      <c r="PJW157" s="3060"/>
      <c r="PJX157" s="3060"/>
      <c r="PJY157" s="3060"/>
      <c r="PJZ157" s="3060"/>
      <c r="PKA157" s="3060"/>
      <c r="PKB157" s="3060"/>
      <c r="PKC157" s="3060"/>
      <c r="PKD157" s="3060"/>
      <c r="PKE157" s="3060"/>
      <c r="PKF157" s="3060"/>
      <c r="PKG157" s="3060"/>
      <c r="PKH157" s="3060"/>
      <c r="PKI157" s="3060"/>
      <c r="PKJ157" s="3060"/>
      <c r="PKK157" s="3060"/>
      <c r="PKL157" s="3060"/>
      <c r="PKM157" s="3060"/>
      <c r="PKN157" s="3060"/>
      <c r="PKO157" s="3060"/>
      <c r="PKP157" s="3060"/>
      <c r="PKQ157" s="3060"/>
      <c r="PKR157" s="3060"/>
      <c r="PKS157" s="3060"/>
      <c r="PKT157" s="3060"/>
      <c r="PKU157" s="3060"/>
      <c r="PKV157" s="3060"/>
      <c r="PKW157" s="3060"/>
      <c r="PKX157" s="3060"/>
      <c r="PKY157" s="3060"/>
      <c r="PKZ157" s="3060"/>
      <c r="PLA157" s="3060"/>
      <c r="PLB157" s="3060"/>
      <c r="PLC157" s="3060"/>
      <c r="PLD157" s="3060"/>
      <c r="PLE157" s="3060"/>
      <c r="PLF157" s="3060"/>
      <c r="PLG157" s="3060"/>
      <c r="PLH157" s="3060"/>
      <c r="PLI157" s="3060"/>
      <c r="PLJ157" s="3060"/>
      <c r="PLK157" s="3060"/>
      <c r="PLL157" s="3060"/>
      <c r="PLM157" s="3060"/>
      <c r="PLN157" s="3060"/>
      <c r="PLO157" s="3060"/>
      <c r="PLP157" s="3060"/>
      <c r="PLQ157" s="3060"/>
      <c r="PLR157" s="3060"/>
      <c r="PLS157" s="3060"/>
      <c r="PLT157" s="3060"/>
      <c r="PLU157" s="3060"/>
      <c r="PLV157" s="3060"/>
      <c r="PLW157" s="3060"/>
      <c r="PLX157" s="3060"/>
      <c r="PLY157" s="3060"/>
      <c r="PLZ157" s="3060"/>
      <c r="PMA157" s="3060"/>
      <c r="PMB157" s="3060"/>
      <c r="PMC157" s="3060"/>
      <c r="PMD157" s="3060"/>
      <c r="PME157" s="3060"/>
      <c r="PMF157" s="3060"/>
      <c r="PMG157" s="3060"/>
      <c r="PMH157" s="3060"/>
      <c r="PMI157" s="3060"/>
      <c r="PMJ157" s="3060"/>
      <c r="PMK157" s="3060"/>
      <c r="PML157" s="3060"/>
      <c r="PMM157" s="3060"/>
      <c r="PMN157" s="3060"/>
      <c r="PMO157" s="3060"/>
      <c r="PMP157" s="3060"/>
      <c r="PMQ157" s="3060"/>
      <c r="PMR157" s="3060"/>
      <c r="PMS157" s="3060"/>
      <c r="PMT157" s="3060"/>
      <c r="PMU157" s="3060"/>
      <c r="PMV157" s="3060"/>
      <c r="PMW157" s="3060"/>
      <c r="PMX157" s="3060"/>
      <c r="PMY157" s="3060"/>
      <c r="PMZ157" s="3060"/>
      <c r="PNA157" s="3060"/>
      <c r="PNB157" s="3060"/>
      <c r="PNC157" s="3060"/>
      <c r="PND157" s="3060"/>
      <c r="PNE157" s="3060"/>
      <c r="PNF157" s="3060"/>
      <c r="PNG157" s="3060"/>
      <c r="PNH157" s="3060"/>
      <c r="PNI157" s="3060"/>
      <c r="PNJ157" s="3060"/>
      <c r="PNK157" s="3060"/>
      <c r="PNL157" s="3060"/>
      <c r="PNM157" s="3060"/>
      <c r="PNN157" s="3060"/>
      <c r="PNO157" s="3060"/>
      <c r="PNP157" s="3060"/>
      <c r="PNQ157" s="3060"/>
      <c r="PNR157" s="3060"/>
      <c r="PNS157" s="3060"/>
      <c r="PNT157" s="3060"/>
      <c r="PNU157" s="3060"/>
      <c r="PNV157" s="3060"/>
      <c r="PNW157" s="3060"/>
      <c r="PNX157" s="3060"/>
      <c r="PNY157" s="3060"/>
      <c r="PNZ157" s="3060"/>
      <c r="POA157" s="3060"/>
      <c r="POB157" s="3060"/>
      <c r="POC157" s="3060"/>
      <c r="POD157" s="3060"/>
      <c r="POE157" s="3060"/>
      <c r="POF157" s="3060"/>
      <c r="POG157" s="3060"/>
      <c r="POH157" s="3060"/>
      <c r="POI157" s="3060"/>
      <c r="POJ157" s="3060"/>
      <c r="POK157" s="3060"/>
      <c r="POL157" s="3060"/>
      <c r="POM157" s="3060"/>
      <c r="PON157" s="3060"/>
      <c r="POO157" s="3060"/>
      <c r="POP157" s="3060"/>
      <c r="POQ157" s="3060"/>
      <c r="POR157" s="3060"/>
      <c r="POS157" s="3060"/>
      <c r="POT157" s="3060"/>
      <c r="POU157" s="3060"/>
      <c r="POV157" s="3060"/>
      <c r="POW157" s="3060"/>
      <c r="POX157" s="3060"/>
      <c r="POY157" s="3060"/>
      <c r="POZ157" s="3060"/>
      <c r="PPA157" s="3060"/>
      <c r="PPB157" s="3060"/>
      <c r="PPC157" s="3060"/>
      <c r="PPD157" s="3060"/>
      <c r="PPE157" s="3060"/>
      <c r="PPF157" s="3060"/>
      <c r="PPG157" s="3060"/>
      <c r="PPH157" s="3060"/>
      <c r="PPI157" s="3060"/>
      <c r="PPJ157" s="3060"/>
      <c r="PPK157" s="3060"/>
      <c r="PPL157" s="3060"/>
      <c r="PPM157" s="3060"/>
      <c r="PPN157" s="3060"/>
      <c r="PPO157" s="3060"/>
      <c r="PPP157" s="3060"/>
      <c r="PPQ157" s="3060"/>
      <c r="PPR157" s="3060"/>
      <c r="PPS157" s="3060"/>
      <c r="PPT157" s="3060"/>
      <c r="PPU157" s="3060"/>
      <c r="PPV157" s="3060"/>
      <c r="PPW157" s="3060"/>
      <c r="PPX157" s="3060"/>
      <c r="PPY157" s="3060"/>
      <c r="PPZ157" s="3060"/>
      <c r="PQA157" s="3060"/>
      <c r="PQB157" s="3060"/>
      <c r="PQC157" s="3060"/>
      <c r="PQD157" s="3060"/>
      <c r="PQE157" s="3060"/>
      <c r="PQF157" s="3060"/>
      <c r="PQG157" s="3060"/>
      <c r="PQH157" s="3060"/>
      <c r="PQI157" s="3060"/>
      <c r="PQJ157" s="3060"/>
      <c r="PQK157" s="3060"/>
      <c r="PQL157" s="3060"/>
      <c r="PQM157" s="3060"/>
      <c r="PQN157" s="3060"/>
      <c r="PQO157" s="3060"/>
      <c r="PQP157" s="3060"/>
      <c r="PQQ157" s="3060"/>
      <c r="PQR157" s="3060"/>
      <c r="PQS157" s="3060"/>
      <c r="PQT157" s="3060"/>
      <c r="PQU157" s="3060"/>
      <c r="PQV157" s="3060"/>
      <c r="PQW157" s="3060"/>
      <c r="PQX157" s="3060"/>
      <c r="PQY157" s="3060"/>
      <c r="PQZ157" s="3060"/>
      <c r="PRA157" s="3060"/>
      <c r="PRB157" s="3060"/>
      <c r="PRC157" s="3060"/>
      <c r="PRD157" s="3060"/>
      <c r="PRE157" s="3060"/>
      <c r="PRF157" s="3060"/>
      <c r="PRG157" s="3060"/>
      <c r="PRH157" s="3060"/>
      <c r="PRI157" s="3060"/>
      <c r="PRJ157" s="3060"/>
      <c r="PRK157" s="3060"/>
      <c r="PRL157" s="3060"/>
      <c r="PRM157" s="3060"/>
      <c r="PRN157" s="3060"/>
      <c r="PRO157" s="3060"/>
      <c r="PRP157" s="3060"/>
      <c r="PRQ157" s="3060"/>
      <c r="PRR157" s="3060"/>
      <c r="PRS157" s="3060"/>
      <c r="PRT157" s="3060"/>
      <c r="PRU157" s="3060"/>
      <c r="PRV157" s="3060"/>
      <c r="PRW157" s="3060"/>
      <c r="PRX157" s="3060"/>
      <c r="PRY157" s="3060"/>
      <c r="PRZ157" s="3060"/>
      <c r="PSA157" s="3060"/>
      <c r="PSB157" s="3060"/>
      <c r="PSC157" s="3060"/>
      <c r="PSD157" s="3060"/>
      <c r="PSE157" s="3060"/>
      <c r="PSF157" s="3060"/>
      <c r="PSG157" s="3060"/>
      <c r="PSH157" s="3060"/>
      <c r="PSI157" s="3060"/>
      <c r="PSJ157" s="3060"/>
      <c r="PSK157" s="3060"/>
      <c r="PSL157" s="3060"/>
      <c r="PSM157" s="3060"/>
      <c r="PSN157" s="3060"/>
      <c r="PSO157" s="3060"/>
      <c r="PSP157" s="3060"/>
      <c r="PSQ157" s="3060"/>
      <c r="PSR157" s="3060"/>
      <c r="PSS157" s="3060"/>
      <c r="PST157" s="3060"/>
      <c r="PSU157" s="3060"/>
      <c r="PSV157" s="3060"/>
      <c r="PSW157" s="3060"/>
      <c r="PSX157" s="3060"/>
      <c r="PSY157" s="3060"/>
      <c r="PSZ157" s="3060"/>
      <c r="PTA157" s="3060"/>
      <c r="PTB157" s="3060"/>
      <c r="PTC157" s="3060"/>
      <c r="PTD157" s="3060"/>
      <c r="PTE157" s="3060"/>
      <c r="PTF157" s="3060"/>
      <c r="PTG157" s="3060"/>
      <c r="PTH157" s="3060"/>
      <c r="PTI157" s="3060"/>
      <c r="PTJ157" s="3060"/>
      <c r="PTK157" s="3060"/>
      <c r="PTL157" s="3060"/>
      <c r="PTM157" s="3060"/>
      <c r="PTN157" s="3060"/>
      <c r="PTO157" s="3060"/>
      <c r="PTP157" s="3060"/>
      <c r="PTQ157" s="3060"/>
      <c r="PTR157" s="3060"/>
      <c r="PTS157" s="3060"/>
      <c r="PTT157" s="3060"/>
      <c r="PTU157" s="3060"/>
      <c r="PTV157" s="3060"/>
      <c r="PTW157" s="3060"/>
      <c r="PTX157" s="3060"/>
      <c r="PTY157" s="3060"/>
      <c r="PTZ157" s="3060"/>
      <c r="PUA157" s="3060"/>
      <c r="PUB157" s="3060"/>
      <c r="PUC157" s="3060"/>
      <c r="PUD157" s="3060"/>
      <c r="PUE157" s="3060"/>
      <c r="PUF157" s="3060"/>
      <c r="PUG157" s="3060"/>
      <c r="PUH157" s="3060"/>
      <c r="PUI157" s="3060"/>
      <c r="PUJ157" s="3060"/>
      <c r="PUK157" s="3060"/>
      <c r="PUL157" s="3060"/>
      <c r="PUM157" s="3060"/>
      <c r="PUN157" s="3060"/>
      <c r="PUO157" s="3060"/>
      <c r="PUP157" s="3060"/>
      <c r="PUQ157" s="3060"/>
      <c r="PUR157" s="3060"/>
      <c r="PUS157" s="3060"/>
      <c r="PUT157" s="3060"/>
      <c r="PUU157" s="3060"/>
      <c r="PUV157" s="3060"/>
      <c r="PUW157" s="3060"/>
      <c r="PUX157" s="3060"/>
      <c r="PUY157" s="3060"/>
      <c r="PUZ157" s="3060"/>
      <c r="PVA157" s="3060"/>
      <c r="PVB157" s="3060"/>
      <c r="PVC157" s="3060"/>
      <c r="PVD157" s="3060"/>
      <c r="PVE157" s="3060"/>
      <c r="PVF157" s="3060"/>
      <c r="PVG157" s="3060"/>
      <c r="PVH157" s="3060"/>
      <c r="PVI157" s="3060"/>
      <c r="PVJ157" s="3060"/>
      <c r="PVK157" s="3060"/>
      <c r="PVL157" s="3060"/>
      <c r="PVM157" s="3060"/>
      <c r="PVN157" s="3060"/>
      <c r="PVO157" s="3060"/>
      <c r="PVP157" s="3060"/>
      <c r="PVQ157" s="3060"/>
      <c r="PVR157" s="3060"/>
      <c r="PVS157" s="3060"/>
      <c r="PVT157" s="3060"/>
      <c r="PVU157" s="3060"/>
      <c r="PVV157" s="3060"/>
      <c r="PVW157" s="3060"/>
      <c r="PVX157" s="3060"/>
      <c r="PVY157" s="3060"/>
      <c r="PVZ157" s="3060"/>
      <c r="PWA157" s="3060"/>
      <c r="PWB157" s="3060"/>
      <c r="PWC157" s="3060"/>
      <c r="PWD157" s="3060"/>
      <c r="PWE157" s="3060"/>
      <c r="PWF157" s="3060"/>
      <c r="PWG157" s="3060"/>
      <c r="PWH157" s="3060"/>
      <c r="PWI157" s="3060"/>
      <c r="PWJ157" s="3060"/>
      <c r="PWK157" s="3060"/>
      <c r="PWL157" s="3060"/>
      <c r="PWM157" s="3060"/>
      <c r="PWN157" s="3060"/>
      <c r="PWO157" s="3060"/>
      <c r="PWP157" s="3060"/>
      <c r="PWQ157" s="3060"/>
      <c r="PWR157" s="3060"/>
      <c r="PWS157" s="3060"/>
      <c r="PWT157" s="3060"/>
      <c r="PWU157" s="3060"/>
      <c r="PWV157" s="3060"/>
      <c r="PWW157" s="3060"/>
      <c r="PWX157" s="3060"/>
      <c r="PWY157" s="3060"/>
      <c r="PWZ157" s="3060"/>
      <c r="PXA157" s="3060"/>
      <c r="PXB157" s="3060"/>
      <c r="PXC157" s="3060"/>
      <c r="PXD157" s="3060"/>
      <c r="PXE157" s="3060"/>
      <c r="PXF157" s="3060"/>
      <c r="PXG157" s="3060"/>
      <c r="PXH157" s="3060"/>
      <c r="PXI157" s="3060"/>
      <c r="PXJ157" s="3060"/>
      <c r="PXK157" s="3060"/>
      <c r="PXL157" s="3060"/>
      <c r="PXM157" s="3060"/>
      <c r="PXN157" s="3060"/>
      <c r="PXO157" s="3060"/>
      <c r="PXP157" s="3060"/>
      <c r="PXQ157" s="3060"/>
      <c r="PXR157" s="3060"/>
      <c r="PXS157" s="3060"/>
      <c r="PXT157" s="3060"/>
      <c r="PXU157" s="3060"/>
      <c r="PXV157" s="3060"/>
      <c r="PXW157" s="3060"/>
      <c r="PXX157" s="3060"/>
      <c r="PXY157" s="3060"/>
      <c r="PXZ157" s="3060"/>
      <c r="PYA157" s="3060"/>
      <c r="PYB157" s="3060"/>
      <c r="PYC157" s="3060"/>
      <c r="PYD157" s="3060"/>
      <c r="PYE157" s="3060"/>
      <c r="PYF157" s="3060"/>
      <c r="PYG157" s="3060"/>
      <c r="PYH157" s="3060"/>
      <c r="PYI157" s="3060"/>
      <c r="PYJ157" s="3060"/>
      <c r="PYK157" s="3060"/>
      <c r="PYL157" s="3060"/>
      <c r="PYM157" s="3060"/>
      <c r="PYN157" s="3060"/>
      <c r="PYO157" s="3060"/>
      <c r="PYP157" s="3060"/>
      <c r="PYQ157" s="3060"/>
      <c r="PYR157" s="3060"/>
      <c r="PYS157" s="3060"/>
      <c r="PYT157" s="3060"/>
      <c r="PYU157" s="3060"/>
      <c r="PYV157" s="3060"/>
      <c r="PYW157" s="3060"/>
      <c r="PYX157" s="3060"/>
      <c r="PYY157" s="3060"/>
      <c r="PYZ157" s="3060"/>
      <c r="PZA157" s="3060"/>
      <c r="PZB157" s="3060"/>
      <c r="PZC157" s="3060"/>
      <c r="PZD157" s="3060"/>
      <c r="PZE157" s="3060"/>
      <c r="PZF157" s="3060"/>
      <c r="PZG157" s="3060"/>
      <c r="PZH157" s="3060"/>
      <c r="PZI157" s="3060"/>
      <c r="PZJ157" s="3060"/>
      <c r="PZK157" s="3060"/>
      <c r="PZL157" s="3060"/>
      <c r="PZM157" s="3060"/>
      <c r="PZN157" s="3060"/>
      <c r="PZO157" s="3060"/>
      <c r="PZP157" s="3060"/>
      <c r="PZQ157" s="3060"/>
      <c r="PZR157" s="3060"/>
      <c r="PZS157" s="3060"/>
      <c r="PZT157" s="3060"/>
      <c r="PZU157" s="3060"/>
      <c r="PZV157" s="3060"/>
      <c r="PZW157" s="3060"/>
      <c r="PZX157" s="3060"/>
      <c r="PZY157" s="3060"/>
      <c r="PZZ157" s="3060"/>
      <c r="QAA157" s="3060"/>
      <c r="QAB157" s="3060"/>
      <c r="QAC157" s="3060"/>
      <c r="QAD157" s="3060"/>
      <c r="QAE157" s="3060"/>
      <c r="QAF157" s="3060"/>
      <c r="QAG157" s="3060"/>
      <c r="QAH157" s="3060"/>
      <c r="QAI157" s="3060"/>
      <c r="QAJ157" s="3060"/>
      <c r="QAK157" s="3060"/>
      <c r="QAL157" s="3060"/>
      <c r="QAM157" s="3060"/>
      <c r="QAN157" s="3060"/>
      <c r="QAO157" s="3060"/>
      <c r="QAP157" s="3060"/>
      <c r="QAQ157" s="3060"/>
      <c r="QAR157" s="3060"/>
      <c r="QAS157" s="3060"/>
      <c r="QAT157" s="3060"/>
      <c r="QAU157" s="3060"/>
      <c r="QAV157" s="3060"/>
      <c r="QAW157" s="3060"/>
      <c r="QAX157" s="3060"/>
      <c r="QAY157" s="3060"/>
      <c r="QAZ157" s="3060"/>
      <c r="QBA157" s="3060"/>
      <c r="QBB157" s="3060"/>
      <c r="QBC157" s="3060"/>
      <c r="QBD157" s="3060"/>
      <c r="QBE157" s="3060"/>
      <c r="QBF157" s="3060"/>
      <c r="QBG157" s="3060"/>
      <c r="QBH157" s="3060"/>
      <c r="QBI157" s="3060"/>
      <c r="QBJ157" s="3060"/>
      <c r="QBK157" s="3060"/>
      <c r="QBL157" s="3060"/>
      <c r="QBM157" s="3060"/>
      <c r="QBN157" s="3060"/>
      <c r="QBO157" s="3060"/>
      <c r="QBP157" s="3060"/>
      <c r="QBQ157" s="3060"/>
      <c r="QBR157" s="3060"/>
      <c r="QBS157" s="3060"/>
      <c r="QBT157" s="3060"/>
      <c r="QBU157" s="3060"/>
      <c r="QBV157" s="3060"/>
      <c r="QBW157" s="3060"/>
      <c r="QBX157" s="3060"/>
      <c r="QBY157" s="3060"/>
      <c r="QBZ157" s="3060"/>
      <c r="QCA157" s="3060"/>
      <c r="QCB157" s="3060"/>
      <c r="QCC157" s="3060"/>
      <c r="QCD157" s="3060"/>
      <c r="QCE157" s="3060"/>
      <c r="QCF157" s="3060"/>
      <c r="QCG157" s="3060"/>
      <c r="QCH157" s="3060"/>
      <c r="QCI157" s="3060"/>
      <c r="QCJ157" s="3060"/>
      <c r="QCK157" s="3060"/>
      <c r="QCL157" s="3060"/>
      <c r="QCM157" s="3060"/>
      <c r="QCN157" s="3060"/>
      <c r="QCO157" s="3060"/>
      <c r="QCP157" s="3060"/>
      <c r="QCQ157" s="3060"/>
      <c r="QCR157" s="3060"/>
      <c r="QCS157" s="3060"/>
      <c r="QCT157" s="3060"/>
      <c r="QCU157" s="3060"/>
      <c r="QCV157" s="3060"/>
      <c r="QCW157" s="3060"/>
      <c r="QCX157" s="3060"/>
      <c r="QCY157" s="3060"/>
      <c r="QCZ157" s="3060"/>
      <c r="QDA157" s="3060"/>
      <c r="QDB157" s="3060"/>
      <c r="QDC157" s="3060"/>
      <c r="QDD157" s="3060"/>
      <c r="QDE157" s="3060"/>
      <c r="QDF157" s="3060"/>
      <c r="QDG157" s="3060"/>
      <c r="QDH157" s="3060"/>
      <c r="QDI157" s="3060"/>
      <c r="QDJ157" s="3060"/>
      <c r="QDK157" s="3060"/>
      <c r="QDL157" s="3060"/>
      <c r="QDM157" s="3060"/>
      <c r="QDN157" s="3060"/>
      <c r="QDO157" s="3060"/>
      <c r="QDP157" s="3060"/>
      <c r="QDQ157" s="3060"/>
      <c r="QDR157" s="3060"/>
      <c r="QDS157" s="3060"/>
      <c r="QDT157" s="3060"/>
      <c r="QDU157" s="3060"/>
      <c r="QDV157" s="3060"/>
      <c r="QDW157" s="3060"/>
      <c r="QDX157" s="3060"/>
      <c r="QDY157" s="3060"/>
      <c r="QDZ157" s="3060"/>
      <c r="QEA157" s="3060"/>
      <c r="QEB157" s="3060"/>
      <c r="QEC157" s="3060"/>
      <c r="QED157" s="3060"/>
      <c r="QEE157" s="3060"/>
      <c r="QEF157" s="3060"/>
      <c r="QEG157" s="3060"/>
      <c r="QEH157" s="3060"/>
      <c r="QEI157" s="3060"/>
      <c r="QEJ157" s="3060"/>
      <c r="QEK157" s="3060"/>
      <c r="QEL157" s="3060"/>
      <c r="QEM157" s="3060"/>
      <c r="QEN157" s="3060"/>
      <c r="QEO157" s="3060"/>
      <c r="QEP157" s="3060"/>
      <c r="QEQ157" s="3060"/>
      <c r="QER157" s="3060"/>
      <c r="QES157" s="3060"/>
      <c r="QET157" s="3060"/>
      <c r="QEU157" s="3060"/>
      <c r="QEV157" s="3060"/>
      <c r="QEW157" s="3060"/>
      <c r="QEX157" s="3060"/>
      <c r="QEY157" s="3060"/>
      <c r="QEZ157" s="3060"/>
      <c r="QFA157" s="3060"/>
      <c r="QFB157" s="3060"/>
      <c r="QFC157" s="3060"/>
      <c r="QFD157" s="3060"/>
      <c r="QFE157" s="3060"/>
      <c r="QFF157" s="3060"/>
      <c r="QFG157" s="3060"/>
      <c r="QFH157" s="3060"/>
      <c r="QFI157" s="3060"/>
      <c r="QFJ157" s="3060"/>
      <c r="QFK157" s="3060"/>
      <c r="QFL157" s="3060"/>
      <c r="QFM157" s="3060"/>
      <c r="QFN157" s="3060"/>
      <c r="QFO157" s="3060"/>
      <c r="QFP157" s="3060"/>
      <c r="QFQ157" s="3060"/>
      <c r="QFR157" s="3060"/>
      <c r="QFS157" s="3060"/>
      <c r="QFT157" s="3060"/>
      <c r="QFU157" s="3060"/>
      <c r="QFV157" s="3060"/>
      <c r="QFW157" s="3060"/>
      <c r="QFX157" s="3060"/>
      <c r="QFY157" s="3060"/>
      <c r="QFZ157" s="3060"/>
      <c r="QGA157" s="3060"/>
      <c r="QGB157" s="3060"/>
      <c r="QGC157" s="3060"/>
      <c r="QGD157" s="3060"/>
      <c r="QGE157" s="3060"/>
      <c r="QGF157" s="3060"/>
      <c r="QGG157" s="3060"/>
      <c r="QGH157" s="3060"/>
      <c r="QGI157" s="3060"/>
      <c r="QGJ157" s="3060"/>
      <c r="QGK157" s="3060"/>
      <c r="QGL157" s="3060"/>
      <c r="QGM157" s="3060"/>
      <c r="QGN157" s="3060"/>
      <c r="QGO157" s="3060"/>
      <c r="QGP157" s="3060"/>
      <c r="QGQ157" s="3060"/>
      <c r="QGR157" s="3060"/>
      <c r="QGS157" s="3060"/>
      <c r="QGT157" s="3060"/>
      <c r="QGU157" s="3060"/>
      <c r="QGV157" s="3060"/>
      <c r="QGW157" s="3060"/>
      <c r="QGX157" s="3060"/>
      <c r="QGY157" s="3060"/>
      <c r="QGZ157" s="3060"/>
      <c r="QHA157" s="3060"/>
      <c r="QHB157" s="3060"/>
      <c r="QHC157" s="3060"/>
      <c r="QHD157" s="3060"/>
      <c r="QHE157" s="3060"/>
      <c r="QHF157" s="3060"/>
      <c r="QHG157" s="3060"/>
      <c r="QHH157" s="3060"/>
      <c r="QHI157" s="3060"/>
      <c r="QHJ157" s="3060"/>
      <c r="QHK157" s="3060"/>
      <c r="QHL157" s="3060"/>
      <c r="QHM157" s="3060"/>
      <c r="QHN157" s="3060"/>
      <c r="QHO157" s="3060"/>
      <c r="QHP157" s="3060"/>
      <c r="QHQ157" s="3060"/>
      <c r="QHR157" s="3060"/>
      <c r="QHS157" s="3060"/>
      <c r="QHT157" s="3060"/>
      <c r="QHU157" s="3060"/>
      <c r="QHV157" s="3060"/>
      <c r="QHW157" s="3060"/>
      <c r="QHX157" s="3060"/>
      <c r="QHY157" s="3060"/>
      <c r="QHZ157" s="3060"/>
      <c r="QIA157" s="3060"/>
      <c r="QIB157" s="3060"/>
      <c r="QIC157" s="3060"/>
      <c r="QID157" s="3060"/>
      <c r="QIE157" s="3060"/>
      <c r="QIF157" s="3060"/>
      <c r="QIG157" s="3060"/>
      <c r="QIH157" s="3060"/>
      <c r="QII157" s="3060"/>
      <c r="QIJ157" s="3060"/>
      <c r="QIK157" s="3060"/>
      <c r="QIL157" s="3060"/>
      <c r="QIM157" s="3060"/>
      <c r="QIN157" s="3060"/>
      <c r="QIO157" s="3060"/>
      <c r="QIP157" s="3060"/>
      <c r="QIQ157" s="3060"/>
      <c r="QIR157" s="3060"/>
      <c r="QIS157" s="3060"/>
      <c r="QIT157" s="3060"/>
      <c r="QIU157" s="3060"/>
      <c r="QIV157" s="3060"/>
      <c r="QIW157" s="3060"/>
      <c r="QIX157" s="3060"/>
      <c r="QIY157" s="3060"/>
      <c r="QIZ157" s="3060"/>
      <c r="QJA157" s="3060"/>
      <c r="QJB157" s="3060"/>
      <c r="QJC157" s="3060"/>
      <c r="QJD157" s="3060"/>
      <c r="QJE157" s="3060"/>
      <c r="QJF157" s="3060"/>
      <c r="QJG157" s="3060"/>
      <c r="QJH157" s="3060"/>
      <c r="QJI157" s="3060"/>
      <c r="QJJ157" s="3060"/>
      <c r="QJK157" s="3060"/>
      <c r="QJL157" s="3060"/>
      <c r="QJM157" s="3060"/>
      <c r="QJN157" s="3060"/>
      <c r="QJO157" s="3060"/>
      <c r="QJP157" s="3060"/>
      <c r="QJQ157" s="3060"/>
      <c r="QJR157" s="3060"/>
      <c r="QJS157" s="3060"/>
      <c r="QJT157" s="3060"/>
      <c r="QJU157" s="3060"/>
      <c r="QJV157" s="3060"/>
      <c r="QJW157" s="3060"/>
      <c r="QJX157" s="3060"/>
      <c r="QJY157" s="3060"/>
      <c r="QJZ157" s="3060"/>
      <c r="QKA157" s="3060"/>
      <c r="QKB157" s="3060"/>
      <c r="QKC157" s="3060"/>
      <c r="QKD157" s="3060"/>
      <c r="QKE157" s="3060"/>
      <c r="QKF157" s="3060"/>
      <c r="QKG157" s="3060"/>
      <c r="QKH157" s="3060"/>
      <c r="QKI157" s="3060"/>
      <c r="QKJ157" s="3060"/>
      <c r="QKK157" s="3060"/>
      <c r="QKL157" s="3060"/>
      <c r="QKM157" s="3060"/>
      <c r="QKN157" s="3060"/>
      <c r="QKO157" s="3060"/>
      <c r="QKP157" s="3060"/>
      <c r="QKQ157" s="3060"/>
      <c r="QKR157" s="3060"/>
      <c r="QKS157" s="3060"/>
      <c r="QKT157" s="3060"/>
      <c r="QKU157" s="3060"/>
      <c r="QKV157" s="3060"/>
      <c r="QKW157" s="3060"/>
      <c r="QKX157" s="3060"/>
      <c r="QKY157" s="3060"/>
      <c r="QKZ157" s="3060"/>
      <c r="QLA157" s="3060"/>
      <c r="QLB157" s="3060"/>
      <c r="QLC157" s="3060"/>
      <c r="QLD157" s="3060"/>
      <c r="QLE157" s="3060"/>
      <c r="QLF157" s="3060"/>
      <c r="QLG157" s="3060"/>
      <c r="QLH157" s="3060"/>
      <c r="QLI157" s="3060"/>
      <c r="QLJ157" s="3060"/>
      <c r="QLK157" s="3060"/>
      <c r="QLL157" s="3060"/>
      <c r="QLM157" s="3060"/>
      <c r="QLN157" s="3060"/>
      <c r="QLO157" s="3060"/>
      <c r="QLP157" s="3060"/>
      <c r="QLQ157" s="3060"/>
      <c r="QLR157" s="3060"/>
      <c r="QLS157" s="3060"/>
      <c r="QLT157" s="3060"/>
      <c r="QLU157" s="3060"/>
      <c r="QLV157" s="3060"/>
      <c r="QLW157" s="3060"/>
      <c r="QLX157" s="3060"/>
      <c r="QLY157" s="3060"/>
      <c r="QLZ157" s="3060"/>
      <c r="QMA157" s="3060"/>
      <c r="QMB157" s="3060"/>
      <c r="QMC157" s="3060"/>
      <c r="QMD157" s="3060"/>
      <c r="QME157" s="3060"/>
      <c r="QMF157" s="3060"/>
      <c r="QMG157" s="3060"/>
      <c r="QMH157" s="3060"/>
      <c r="QMI157" s="3060"/>
      <c r="QMJ157" s="3060"/>
      <c r="QMK157" s="3060"/>
      <c r="QML157" s="3060"/>
      <c r="QMM157" s="3060"/>
      <c r="QMN157" s="3060"/>
      <c r="QMO157" s="3060"/>
      <c r="QMP157" s="3060"/>
      <c r="QMQ157" s="3060"/>
      <c r="QMR157" s="3060"/>
      <c r="QMS157" s="3060"/>
      <c r="QMT157" s="3060"/>
      <c r="QMU157" s="3060"/>
      <c r="QMV157" s="3060"/>
      <c r="QMW157" s="3060"/>
      <c r="QMX157" s="3060"/>
      <c r="QMY157" s="3060"/>
      <c r="QMZ157" s="3060"/>
      <c r="QNA157" s="3060"/>
      <c r="QNB157" s="3060"/>
      <c r="QNC157" s="3060"/>
      <c r="QND157" s="3060"/>
      <c r="QNE157" s="3060"/>
      <c r="QNF157" s="3060"/>
      <c r="QNG157" s="3060"/>
      <c r="QNH157" s="3060"/>
      <c r="QNI157" s="3060"/>
      <c r="QNJ157" s="3060"/>
      <c r="QNK157" s="3060"/>
      <c r="QNL157" s="3060"/>
      <c r="QNM157" s="3060"/>
      <c r="QNN157" s="3060"/>
      <c r="QNO157" s="3060"/>
      <c r="QNP157" s="3060"/>
      <c r="QNQ157" s="3060"/>
      <c r="QNR157" s="3060"/>
      <c r="QNS157" s="3060"/>
      <c r="QNT157" s="3060"/>
      <c r="QNU157" s="3060"/>
      <c r="QNV157" s="3060"/>
      <c r="QNW157" s="3060"/>
      <c r="QNX157" s="3060"/>
      <c r="QNY157" s="3060"/>
      <c r="QNZ157" s="3060"/>
      <c r="QOA157" s="3060"/>
      <c r="QOB157" s="3060"/>
      <c r="QOC157" s="3060"/>
      <c r="QOD157" s="3060"/>
      <c r="QOE157" s="3060"/>
      <c r="QOF157" s="3060"/>
      <c r="QOG157" s="3060"/>
      <c r="QOH157" s="3060"/>
      <c r="QOI157" s="3060"/>
      <c r="QOJ157" s="3060"/>
      <c r="QOK157" s="3060"/>
      <c r="QOL157" s="3060"/>
      <c r="QOM157" s="3060"/>
      <c r="QON157" s="3060"/>
      <c r="QOO157" s="3060"/>
      <c r="QOP157" s="3060"/>
      <c r="QOQ157" s="3060"/>
      <c r="QOR157" s="3060"/>
      <c r="QOS157" s="3060"/>
      <c r="QOT157" s="3060"/>
      <c r="QOU157" s="3060"/>
      <c r="QOV157" s="3060"/>
      <c r="QOW157" s="3060"/>
      <c r="QOX157" s="3060"/>
      <c r="QOY157" s="3060"/>
      <c r="QOZ157" s="3060"/>
      <c r="QPA157" s="3060"/>
      <c r="QPB157" s="3060"/>
      <c r="QPC157" s="3060"/>
      <c r="QPD157" s="3060"/>
      <c r="QPE157" s="3060"/>
      <c r="QPF157" s="3060"/>
      <c r="QPG157" s="3060"/>
      <c r="QPH157" s="3060"/>
      <c r="QPI157" s="3060"/>
      <c r="QPJ157" s="3060"/>
      <c r="QPK157" s="3060"/>
      <c r="QPL157" s="3060"/>
      <c r="QPM157" s="3060"/>
      <c r="QPN157" s="3060"/>
      <c r="QPO157" s="3060"/>
      <c r="QPP157" s="3060"/>
      <c r="QPQ157" s="3060"/>
      <c r="QPR157" s="3060"/>
      <c r="QPS157" s="3060"/>
      <c r="QPT157" s="3060"/>
      <c r="QPU157" s="3060"/>
      <c r="QPV157" s="3060"/>
      <c r="QPW157" s="3060"/>
      <c r="QPX157" s="3060"/>
      <c r="QPY157" s="3060"/>
      <c r="QPZ157" s="3060"/>
      <c r="QQA157" s="3060"/>
      <c r="QQB157" s="3060"/>
      <c r="QQC157" s="3060"/>
      <c r="QQD157" s="3060"/>
      <c r="QQE157" s="3060"/>
      <c r="QQF157" s="3060"/>
      <c r="QQG157" s="3060"/>
      <c r="QQH157" s="3060"/>
      <c r="QQI157" s="3060"/>
      <c r="QQJ157" s="3060"/>
      <c r="QQK157" s="3060"/>
      <c r="QQL157" s="3060"/>
      <c r="QQM157" s="3060"/>
      <c r="QQN157" s="3060"/>
      <c r="QQO157" s="3060"/>
      <c r="QQP157" s="3060"/>
      <c r="QQQ157" s="3060"/>
      <c r="QQR157" s="3060"/>
      <c r="QQS157" s="3060"/>
      <c r="QQT157" s="3060"/>
      <c r="QQU157" s="3060"/>
      <c r="QQV157" s="3060"/>
      <c r="QQW157" s="3060"/>
      <c r="QQX157" s="3060"/>
      <c r="QQY157" s="3060"/>
      <c r="QQZ157" s="3060"/>
      <c r="QRA157" s="3060"/>
      <c r="QRB157" s="3060"/>
      <c r="QRC157" s="3060"/>
      <c r="QRD157" s="3060"/>
      <c r="QRE157" s="3060"/>
      <c r="QRF157" s="3060"/>
      <c r="QRG157" s="3060"/>
      <c r="QRH157" s="3060"/>
      <c r="QRI157" s="3060"/>
      <c r="QRJ157" s="3060"/>
      <c r="QRK157" s="3060"/>
      <c r="QRL157" s="3060"/>
      <c r="QRM157" s="3060"/>
      <c r="QRN157" s="3060"/>
      <c r="QRO157" s="3060"/>
      <c r="QRP157" s="3060"/>
      <c r="QRQ157" s="3060"/>
      <c r="QRR157" s="3060"/>
      <c r="QRS157" s="3060"/>
      <c r="QRT157" s="3060"/>
      <c r="QRU157" s="3060"/>
      <c r="QRV157" s="3060"/>
      <c r="QRW157" s="3060"/>
      <c r="QRX157" s="3060"/>
      <c r="QRY157" s="3060"/>
      <c r="QRZ157" s="3060"/>
      <c r="QSA157" s="3060"/>
      <c r="QSB157" s="3060"/>
      <c r="QSC157" s="3060"/>
      <c r="QSD157" s="3060"/>
      <c r="QSE157" s="3060"/>
      <c r="QSF157" s="3060"/>
      <c r="QSG157" s="3060"/>
      <c r="QSH157" s="3060"/>
      <c r="QSI157" s="3060"/>
      <c r="QSJ157" s="3060"/>
      <c r="QSK157" s="3060"/>
      <c r="QSL157" s="3060"/>
      <c r="QSM157" s="3060"/>
      <c r="QSN157" s="3060"/>
      <c r="QSO157" s="3060"/>
      <c r="QSP157" s="3060"/>
      <c r="QSQ157" s="3060"/>
      <c r="QSR157" s="3060"/>
      <c r="QSS157" s="3060"/>
      <c r="QST157" s="3060"/>
      <c r="QSU157" s="3060"/>
      <c r="QSV157" s="3060"/>
      <c r="QSW157" s="3060"/>
      <c r="QSX157" s="3060"/>
      <c r="QSY157" s="3060"/>
      <c r="QSZ157" s="3060"/>
      <c r="QTA157" s="3060"/>
      <c r="QTB157" s="3060"/>
      <c r="QTC157" s="3060"/>
      <c r="QTD157" s="3060"/>
      <c r="QTE157" s="3060"/>
      <c r="QTF157" s="3060"/>
      <c r="QTG157" s="3060"/>
      <c r="QTH157" s="3060"/>
      <c r="QTI157" s="3060"/>
      <c r="QTJ157" s="3060"/>
      <c r="QTK157" s="3060"/>
      <c r="QTL157" s="3060"/>
      <c r="QTM157" s="3060"/>
      <c r="QTN157" s="3060"/>
      <c r="QTO157" s="3060"/>
      <c r="QTP157" s="3060"/>
      <c r="QTQ157" s="3060"/>
      <c r="QTR157" s="3060"/>
      <c r="QTS157" s="3060"/>
      <c r="QTT157" s="3060"/>
      <c r="QTU157" s="3060"/>
      <c r="QTV157" s="3060"/>
      <c r="QTW157" s="3060"/>
      <c r="QTX157" s="3060"/>
      <c r="QTY157" s="3060"/>
      <c r="QTZ157" s="3060"/>
      <c r="QUA157" s="3060"/>
      <c r="QUB157" s="3060"/>
      <c r="QUC157" s="3060"/>
      <c r="QUD157" s="3060"/>
      <c r="QUE157" s="3060"/>
      <c r="QUF157" s="3060"/>
      <c r="QUG157" s="3060"/>
      <c r="QUH157" s="3060"/>
      <c r="QUI157" s="3060"/>
      <c r="QUJ157" s="3060"/>
      <c r="QUK157" s="3060"/>
      <c r="QUL157" s="3060"/>
      <c r="QUM157" s="3060"/>
      <c r="QUN157" s="3060"/>
      <c r="QUO157" s="3060"/>
      <c r="QUP157" s="3060"/>
      <c r="QUQ157" s="3060"/>
      <c r="QUR157" s="3060"/>
      <c r="QUS157" s="3060"/>
      <c r="QUT157" s="3060"/>
      <c r="QUU157" s="3060"/>
      <c r="QUV157" s="3060"/>
      <c r="QUW157" s="3060"/>
      <c r="QUX157" s="3060"/>
      <c r="QUY157" s="3060"/>
      <c r="QUZ157" s="3060"/>
      <c r="QVA157" s="3060"/>
      <c r="QVB157" s="3060"/>
      <c r="QVC157" s="3060"/>
      <c r="QVD157" s="3060"/>
      <c r="QVE157" s="3060"/>
      <c r="QVF157" s="3060"/>
      <c r="QVG157" s="3060"/>
      <c r="QVH157" s="3060"/>
      <c r="QVI157" s="3060"/>
      <c r="QVJ157" s="3060"/>
      <c r="QVK157" s="3060"/>
      <c r="QVL157" s="3060"/>
      <c r="QVM157" s="3060"/>
      <c r="QVN157" s="3060"/>
      <c r="QVO157" s="3060"/>
      <c r="QVP157" s="3060"/>
      <c r="QVQ157" s="3060"/>
      <c r="QVR157" s="3060"/>
      <c r="QVS157" s="3060"/>
      <c r="QVT157" s="3060"/>
      <c r="QVU157" s="3060"/>
      <c r="QVV157" s="3060"/>
      <c r="QVW157" s="3060"/>
      <c r="QVX157" s="3060"/>
      <c r="QVY157" s="3060"/>
      <c r="QVZ157" s="3060"/>
      <c r="QWA157" s="3060"/>
      <c r="QWB157" s="3060"/>
      <c r="QWC157" s="3060"/>
      <c r="QWD157" s="3060"/>
      <c r="QWE157" s="3060"/>
      <c r="QWF157" s="3060"/>
      <c r="QWG157" s="3060"/>
      <c r="QWH157" s="3060"/>
      <c r="QWI157" s="3060"/>
      <c r="QWJ157" s="3060"/>
      <c r="QWK157" s="3060"/>
      <c r="QWL157" s="3060"/>
      <c r="QWM157" s="3060"/>
      <c r="QWN157" s="3060"/>
      <c r="QWO157" s="3060"/>
      <c r="QWP157" s="3060"/>
      <c r="QWQ157" s="3060"/>
      <c r="QWR157" s="3060"/>
      <c r="QWS157" s="3060"/>
      <c r="QWT157" s="3060"/>
      <c r="QWU157" s="3060"/>
      <c r="QWV157" s="3060"/>
      <c r="QWW157" s="3060"/>
      <c r="QWX157" s="3060"/>
      <c r="QWY157" s="3060"/>
      <c r="QWZ157" s="3060"/>
      <c r="QXA157" s="3060"/>
      <c r="QXB157" s="3060"/>
      <c r="QXC157" s="3060"/>
      <c r="QXD157" s="3060"/>
      <c r="QXE157" s="3060"/>
      <c r="QXF157" s="3060"/>
      <c r="QXG157" s="3060"/>
      <c r="QXH157" s="3060"/>
      <c r="QXI157" s="3060"/>
      <c r="QXJ157" s="3060"/>
      <c r="QXK157" s="3060"/>
      <c r="QXL157" s="3060"/>
      <c r="QXM157" s="3060"/>
      <c r="QXN157" s="3060"/>
      <c r="QXO157" s="3060"/>
      <c r="QXP157" s="3060"/>
      <c r="QXQ157" s="3060"/>
      <c r="QXR157" s="3060"/>
      <c r="QXS157" s="3060"/>
      <c r="QXT157" s="3060"/>
      <c r="QXU157" s="3060"/>
      <c r="QXV157" s="3060"/>
      <c r="QXW157" s="3060"/>
      <c r="QXX157" s="3060"/>
      <c r="QXY157" s="3060"/>
      <c r="QXZ157" s="3060"/>
      <c r="QYA157" s="3060"/>
      <c r="QYB157" s="3060"/>
      <c r="QYC157" s="3060"/>
      <c r="QYD157" s="3060"/>
      <c r="QYE157" s="3060"/>
      <c r="QYF157" s="3060"/>
      <c r="QYG157" s="3060"/>
      <c r="QYH157" s="3060"/>
      <c r="QYI157" s="3060"/>
      <c r="QYJ157" s="3060"/>
      <c r="QYK157" s="3060"/>
      <c r="QYL157" s="3060"/>
      <c r="QYM157" s="3060"/>
      <c r="QYN157" s="3060"/>
      <c r="QYO157" s="3060"/>
      <c r="QYP157" s="3060"/>
      <c r="QYQ157" s="3060"/>
      <c r="QYR157" s="3060"/>
      <c r="QYS157" s="3060"/>
      <c r="QYT157" s="3060"/>
      <c r="QYU157" s="3060"/>
      <c r="QYV157" s="3060"/>
      <c r="QYW157" s="3060"/>
      <c r="QYX157" s="3060"/>
      <c r="QYY157" s="3060"/>
      <c r="QYZ157" s="3060"/>
      <c r="QZA157" s="3060"/>
      <c r="QZB157" s="3060"/>
      <c r="QZC157" s="3060"/>
      <c r="QZD157" s="3060"/>
      <c r="QZE157" s="3060"/>
      <c r="QZF157" s="3060"/>
      <c r="QZG157" s="3060"/>
      <c r="QZH157" s="3060"/>
      <c r="QZI157" s="3060"/>
      <c r="QZJ157" s="3060"/>
      <c r="QZK157" s="3060"/>
      <c r="QZL157" s="3060"/>
      <c r="QZM157" s="3060"/>
      <c r="QZN157" s="3060"/>
      <c r="QZO157" s="3060"/>
      <c r="QZP157" s="3060"/>
      <c r="QZQ157" s="3060"/>
      <c r="QZR157" s="3060"/>
      <c r="QZS157" s="3060"/>
      <c r="QZT157" s="3060"/>
      <c r="QZU157" s="3060"/>
      <c r="QZV157" s="3060"/>
      <c r="QZW157" s="3060"/>
      <c r="QZX157" s="3060"/>
      <c r="QZY157" s="3060"/>
      <c r="QZZ157" s="3060"/>
      <c r="RAA157" s="3060"/>
      <c r="RAB157" s="3060"/>
      <c r="RAC157" s="3060"/>
      <c r="RAD157" s="3060"/>
      <c r="RAE157" s="3060"/>
      <c r="RAF157" s="3060"/>
      <c r="RAG157" s="3060"/>
      <c r="RAH157" s="3060"/>
      <c r="RAI157" s="3060"/>
      <c r="RAJ157" s="3060"/>
      <c r="RAK157" s="3060"/>
      <c r="RAL157" s="3060"/>
      <c r="RAM157" s="3060"/>
      <c r="RAN157" s="3060"/>
      <c r="RAO157" s="3060"/>
      <c r="RAP157" s="3060"/>
      <c r="RAQ157" s="3060"/>
      <c r="RAR157" s="3060"/>
      <c r="RAS157" s="3060"/>
      <c r="RAT157" s="3060"/>
      <c r="RAU157" s="3060"/>
      <c r="RAV157" s="3060"/>
      <c r="RAW157" s="3060"/>
      <c r="RAX157" s="3060"/>
      <c r="RAY157" s="3060"/>
      <c r="RAZ157" s="3060"/>
      <c r="RBA157" s="3060"/>
      <c r="RBB157" s="3060"/>
      <c r="RBC157" s="3060"/>
      <c r="RBD157" s="3060"/>
      <c r="RBE157" s="3060"/>
      <c r="RBF157" s="3060"/>
      <c r="RBG157" s="3060"/>
      <c r="RBH157" s="3060"/>
      <c r="RBI157" s="3060"/>
      <c r="RBJ157" s="3060"/>
      <c r="RBK157" s="3060"/>
      <c r="RBL157" s="3060"/>
      <c r="RBM157" s="3060"/>
      <c r="RBN157" s="3060"/>
      <c r="RBO157" s="3060"/>
      <c r="RBP157" s="3060"/>
      <c r="RBQ157" s="3060"/>
      <c r="RBR157" s="3060"/>
      <c r="RBS157" s="3060"/>
      <c r="RBT157" s="3060"/>
      <c r="RBU157" s="3060"/>
      <c r="RBV157" s="3060"/>
      <c r="RBW157" s="3060"/>
      <c r="RBX157" s="3060"/>
      <c r="RBY157" s="3060"/>
      <c r="RBZ157" s="3060"/>
      <c r="RCA157" s="3060"/>
      <c r="RCB157" s="3060"/>
      <c r="RCC157" s="3060"/>
      <c r="RCD157" s="3060"/>
      <c r="RCE157" s="3060"/>
      <c r="RCF157" s="3060"/>
      <c r="RCG157" s="3060"/>
      <c r="RCH157" s="3060"/>
      <c r="RCI157" s="3060"/>
      <c r="RCJ157" s="3060"/>
      <c r="RCK157" s="3060"/>
      <c r="RCL157" s="3060"/>
      <c r="RCM157" s="3060"/>
      <c r="RCN157" s="3060"/>
      <c r="RCO157" s="3060"/>
      <c r="RCP157" s="3060"/>
      <c r="RCQ157" s="3060"/>
      <c r="RCR157" s="3060"/>
      <c r="RCS157" s="3060"/>
      <c r="RCT157" s="3060"/>
      <c r="RCU157" s="3060"/>
      <c r="RCV157" s="3060"/>
      <c r="RCW157" s="3060"/>
      <c r="RCX157" s="3060"/>
      <c r="RCY157" s="3060"/>
      <c r="RCZ157" s="3060"/>
      <c r="RDA157" s="3060"/>
      <c r="RDB157" s="3060"/>
      <c r="RDC157" s="3060"/>
      <c r="RDD157" s="3060"/>
      <c r="RDE157" s="3060"/>
      <c r="RDF157" s="3060"/>
      <c r="RDG157" s="3060"/>
      <c r="RDH157" s="3060"/>
      <c r="RDI157" s="3060"/>
      <c r="RDJ157" s="3060"/>
      <c r="RDK157" s="3060"/>
      <c r="RDL157" s="3060"/>
      <c r="RDM157" s="3060"/>
      <c r="RDN157" s="3060"/>
      <c r="RDO157" s="3060"/>
      <c r="RDP157" s="3060"/>
      <c r="RDQ157" s="3060"/>
      <c r="RDR157" s="3060"/>
      <c r="RDS157" s="3060"/>
      <c r="RDT157" s="3060"/>
      <c r="RDU157" s="3060"/>
      <c r="RDV157" s="3060"/>
      <c r="RDW157" s="3060"/>
      <c r="RDX157" s="3060"/>
      <c r="RDY157" s="3060"/>
      <c r="RDZ157" s="3060"/>
      <c r="REA157" s="3060"/>
      <c r="REB157" s="3060"/>
      <c r="REC157" s="3060"/>
      <c r="RED157" s="3060"/>
      <c r="REE157" s="3060"/>
      <c r="REF157" s="3060"/>
      <c r="REG157" s="3060"/>
      <c r="REH157" s="3060"/>
      <c r="REI157" s="3060"/>
      <c r="REJ157" s="3060"/>
      <c r="REK157" s="3060"/>
      <c r="REL157" s="3060"/>
      <c r="REM157" s="3060"/>
      <c r="REN157" s="3060"/>
      <c r="REO157" s="3060"/>
      <c r="REP157" s="3060"/>
      <c r="REQ157" s="3060"/>
      <c r="RER157" s="3060"/>
      <c r="RES157" s="3060"/>
      <c r="RET157" s="3060"/>
      <c r="REU157" s="3060"/>
      <c r="REV157" s="3060"/>
      <c r="REW157" s="3060"/>
      <c r="REX157" s="3060"/>
      <c r="REY157" s="3060"/>
      <c r="REZ157" s="3060"/>
      <c r="RFA157" s="3060"/>
      <c r="RFB157" s="3060"/>
      <c r="RFC157" s="3060"/>
      <c r="RFD157" s="3060"/>
      <c r="RFE157" s="3060"/>
      <c r="RFF157" s="3060"/>
      <c r="RFG157" s="3060"/>
      <c r="RFH157" s="3060"/>
      <c r="RFI157" s="3060"/>
      <c r="RFJ157" s="3060"/>
      <c r="RFK157" s="3060"/>
      <c r="RFL157" s="3060"/>
      <c r="RFM157" s="3060"/>
      <c r="RFN157" s="3060"/>
      <c r="RFO157" s="3060"/>
      <c r="RFP157" s="3060"/>
      <c r="RFQ157" s="3060"/>
      <c r="RFR157" s="3060"/>
      <c r="RFS157" s="3060"/>
      <c r="RFT157" s="3060"/>
      <c r="RFU157" s="3060"/>
      <c r="RFV157" s="3060"/>
      <c r="RFW157" s="3060"/>
      <c r="RFX157" s="3060"/>
      <c r="RFY157" s="3060"/>
      <c r="RFZ157" s="3060"/>
      <c r="RGA157" s="3060"/>
      <c r="RGB157" s="3060"/>
      <c r="RGC157" s="3060"/>
      <c r="RGD157" s="3060"/>
      <c r="RGE157" s="3060"/>
      <c r="RGF157" s="3060"/>
      <c r="RGG157" s="3060"/>
      <c r="RGH157" s="3060"/>
      <c r="RGI157" s="3060"/>
      <c r="RGJ157" s="3060"/>
      <c r="RGK157" s="3060"/>
      <c r="RGL157" s="3060"/>
      <c r="RGM157" s="3060"/>
      <c r="RGN157" s="3060"/>
      <c r="RGO157" s="3060"/>
      <c r="RGP157" s="3060"/>
      <c r="RGQ157" s="3060"/>
      <c r="RGR157" s="3060"/>
      <c r="RGS157" s="3060"/>
      <c r="RGT157" s="3060"/>
      <c r="RGU157" s="3060"/>
      <c r="RGV157" s="3060"/>
      <c r="RGW157" s="3060"/>
      <c r="RGX157" s="3060"/>
      <c r="RGY157" s="3060"/>
      <c r="RGZ157" s="3060"/>
      <c r="RHA157" s="3060"/>
      <c r="RHB157" s="3060"/>
      <c r="RHC157" s="3060"/>
      <c r="RHD157" s="3060"/>
      <c r="RHE157" s="3060"/>
      <c r="RHF157" s="3060"/>
      <c r="RHG157" s="3060"/>
      <c r="RHH157" s="3060"/>
      <c r="RHI157" s="3060"/>
      <c r="RHJ157" s="3060"/>
      <c r="RHK157" s="3060"/>
      <c r="RHL157" s="3060"/>
      <c r="RHM157" s="3060"/>
      <c r="RHN157" s="3060"/>
      <c r="RHO157" s="3060"/>
      <c r="RHP157" s="3060"/>
      <c r="RHQ157" s="3060"/>
      <c r="RHR157" s="3060"/>
      <c r="RHS157" s="3060"/>
      <c r="RHT157" s="3060"/>
      <c r="RHU157" s="3060"/>
      <c r="RHV157" s="3060"/>
      <c r="RHW157" s="3060"/>
      <c r="RHX157" s="3060"/>
      <c r="RHY157" s="3060"/>
      <c r="RHZ157" s="3060"/>
      <c r="RIA157" s="3060"/>
      <c r="RIB157" s="3060"/>
      <c r="RIC157" s="3060"/>
      <c r="RID157" s="3060"/>
      <c r="RIE157" s="3060"/>
      <c r="RIF157" s="3060"/>
      <c r="RIG157" s="3060"/>
      <c r="RIH157" s="3060"/>
      <c r="RII157" s="3060"/>
      <c r="RIJ157" s="3060"/>
      <c r="RIK157" s="3060"/>
      <c r="RIL157" s="3060"/>
      <c r="RIM157" s="3060"/>
      <c r="RIN157" s="3060"/>
      <c r="RIO157" s="3060"/>
      <c r="RIP157" s="3060"/>
      <c r="RIQ157" s="3060"/>
      <c r="RIR157" s="3060"/>
      <c r="RIS157" s="3060"/>
      <c r="RIT157" s="3060"/>
      <c r="RIU157" s="3060"/>
      <c r="RIV157" s="3060"/>
      <c r="RIW157" s="3060"/>
      <c r="RIX157" s="3060"/>
      <c r="RIY157" s="3060"/>
      <c r="RIZ157" s="3060"/>
      <c r="RJA157" s="3060"/>
      <c r="RJB157" s="3060"/>
      <c r="RJC157" s="3060"/>
      <c r="RJD157" s="3060"/>
      <c r="RJE157" s="3060"/>
      <c r="RJF157" s="3060"/>
      <c r="RJG157" s="3060"/>
      <c r="RJH157" s="3060"/>
      <c r="RJI157" s="3060"/>
      <c r="RJJ157" s="3060"/>
      <c r="RJK157" s="3060"/>
      <c r="RJL157" s="3060"/>
      <c r="RJM157" s="3060"/>
      <c r="RJN157" s="3060"/>
      <c r="RJO157" s="3060"/>
      <c r="RJP157" s="3060"/>
      <c r="RJQ157" s="3060"/>
      <c r="RJR157" s="3060"/>
      <c r="RJS157" s="3060"/>
      <c r="RJT157" s="3060"/>
      <c r="RJU157" s="3060"/>
      <c r="RJV157" s="3060"/>
      <c r="RJW157" s="3060"/>
      <c r="RJX157" s="3060"/>
      <c r="RJY157" s="3060"/>
      <c r="RJZ157" s="3060"/>
      <c r="RKA157" s="3060"/>
      <c r="RKB157" s="3060"/>
      <c r="RKC157" s="3060"/>
      <c r="RKD157" s="3060"/>
      <c r="RKE157" s="3060"/>
      <c r="RKF157" s="3060"/>
      <c r="RKG157" s="3060"/>
      <c r="RKH157" s="3060"/>
      <c r="RKI157" s="3060"/>
      <c r="RKJ157" s="3060"/>
      <c r="RKK157" s="3060"/>
      <c r="RKL157" s="3060"/>
      <c r="RKM157" s="3060"/>
      <c r="RKN157" s="3060"/>
      <c r="RKO157" s="3060"/>
      <c r="RKP157" s="3060"/>
      <c r="RKQ157" s="3060"/>
      <c r="RKR157" s="3060"/>
      <c r="RKS157" s="3060"/>
      <c r="RKT157" s="3060"/>
      <c r="RKU157" s="3060"/>
      <c r="RKV157" s="3060"/>
      <c r="RKW157" s="3060"/>
      <c r="RKX157" s="3060"/>
      <c r="RKY157" s="3060"/>
      <c r="RKZ157" s="3060"/>
      <c r="RLA157" s="3060"/>
      <c r="RLB157" s="3060"/>
      <c r="RLC157" s="3060"/>
      <c r="RLD157" s="3060"/>
      <c r="RLE157" s="3060"/>
      <c r="RLF157" s="3060"/>
      <c r="RLG157" s="3060"/>
      <c r="RLH157" s="3060"/>
      <c r="RLI157" s="3060"/>
      <c r="RLJ157" s="3060"/>
      <c r="RLK157" s="3060"/>
      <c r="RLL157" s="3060"/>
      <c r="RLM157" s="3060"/>
      <c r="RLN157" s="3060"/>
      <c r="RLO157" s="3060"/>
      <c r="RLP157" s="3060"/>
      <c r="RLQ157" s="3060"/>
      <c r="RLR157" s="3060"/>
      <c r="RLS157" s="3060"/>
      <c r="RLT157" s="3060"/>
      <c r="RLU157" s="3060"/>
      <c r="RLV157" s="3060"/>
      <c r="RLW157" s="3060"/>
      <c r="RLX157" s="3060"/>
      <c r="RLY157" s="3060"/>
      <c r="RLZ157" s="3060"/>
      <c r="RMA157" s="3060"/>
      <c r="RMB157" s="3060"/>
      <c r="RMC157" s="3060"/>
      <c r="RMD157" s="3060"/>
      <c r="RME157" s="3060"/>
      <c r="RMF157" s="3060"/>
      <c r="RMG157" s="3060"/>
      <c r="RMH157" s="3060"/>
      <c r="RMI157" s="3060"/>
      <c r="RMJ157" s="3060"/>
      <c r="RMK157" s="3060"/>
      <c r="RML157" s="3060"/>
      <c r="RMM157" s="3060"/>
      <c r="RMN157" s="3060"/>
      <c r="RMO157" s="3060"/>
      <c r="RMP157" s="3060"/>
      <c r="RMQ157" s="3060"/>
      <c r="RMR157" s="3060"/>
      <c r="RMS157" s="3060"/>
      <c r="RMT157" s="3060"/>
      <c r="RMU157" s="3060"/>
      <c r="RMV157" s="3060"/>
      <c r="RMW157" s="3060"/>
      <c r="RMX157" s="3060"/>
      <c r="RMY157" s="3060"/>
      <c r="RMZ157" s="3060"/>
      <c r="RNA157" s="3060"/>
      <c r="RNB157" s="3060"/>
      <c r="RNC157" s="3060"/>
      <c r="RND157" s="3060"/>
      <c r="RNE157" s="3060"/>
      <c r="RNF157" s="3060"/>
      <c r="RNG157" s="3060"/>
      <c r="RNH157" s="3060"/>
      <c r="RNI157" s="3060"/>
      <c r="RNJ157" s="3060"/>
      <c r="RNK157" s="3060"/>
      <c r="RNL157" s="3060"/>
      <c r="RNM157" s="3060"/>
      <c r="RNN157" s="3060"/>
      <c r="RNO157" s="3060"/>
      <c r="RNP157" s="3060"/>
      <c r="RNQ157" s="3060"/>
      <c r="RNR157" s="3060"/>
      <c r="RNS157" s="3060"/>
      <c r="RNT157" s="3060"/>
      <c r="RNU157" s="3060"/>
      <c r="RNV157" s="3060"/>
      <c r="RNW157" s="3060"/>
      <c r="RNX157" s="3060"/>
      <c r="RNY157" s="3060"/>
      <c r="RNZ157" s="3060"/>
      <c r="ROA157" s="3060"/>
      <c r="ROB157" s="3060"/>
      <c r="ROC157" s="3060"/>
      <c r="ROD157" s="3060"/>
      <c r="ROE157" s="3060"/>
      <c r="ROF157" s="3060"/>
      <c r="ROG157" s="3060"/>
      <c r="ROH157" s="3060"/>
      <c r="ROI157" s="3060"/>
      <c r="ROJ157" s="3060"/>
      <c r="ROK157" s="3060"/>
      <c r="ROL157" s="3060"/>
      <c r="ROM157" s="3060"/>
      <c r="RON157" s="3060"/>
      <c r="ROO157" s="3060"/>
      <c r="ROP157" s="3060"/>
      <c r="ROQ157" s="3060"/>
      <c r="ROR157" s="3060"/>
      <c r="ROS157" s="3060"/>
      <c r="ROT157" s="3060"/>
      <c r="ROU157" s="3060"/>
      <c r="ROV157" s="3060"/>
      <c r="ROW157" s="3060"/>
      <c r="ROX157" s="3060"/>
      <c r="ROY157" s="3060"/>
      <c r="ROZ157" s="3060"/>
      <c r="RPA157" s="3060"/>
      <c r="RPB157" s="3060"/>
      <c r="RPC157" s="3060"/>
      <c r="RPD157" s="3060"/>
      <c r="RPE157" s="3060"/>
      <c r="RPF157" s="3060"/>
      <c r="RPG157" s="3060"/>
      <c r="RPH157" s="3060"/>
      <c r="RPI157" s="3060"/>
      <c r="RPJ157" s="3060"/>
      <c r="RPK157" s="3060"/>
      <c r="RPL157" s="3060"/>
      <c r="RPM157" s="3060"/>
      <c r="RPN157" s="3060"/>
      <c r="RPO157" s="3060"/>
      <c r="RPP157" s="3060"/>
      <c r="RPQ157" s="3060"/>
      <c r="RPR157" s="3060"/>
      <c r="RPS157" s="3060"/>
      <c r="RPT157" s="3060"/>
      <c r="RPU157" s="3060"/>
      <c r="RPV157" s="3060"/>
      <c r="RPW157" s="3060"/>
      <c r="RPX157" s="3060"/>
      <c r="RPY157" s="3060"/>
      <c r="RPZ157" s="3060"/>
      <c r="RQA157" s="3060"/>
      <c r="RQB157" s="3060"/>
      <c r="RQC157" s="3060"/>
      <c r="RQD157" s="3060"/>
      <c r="RQE157" s="3060"/>
      <c r="RQF157" s="3060"/>
      <c r="RQG157" s="3060"/>
      <c r="RQH157" s="3060"/>
      <c r="RQI157" s="3060"/>
      <c r="RQJ157" s="3060"/>
      <c r="RQK157" s="3060"/>
      <c r="RQL157" s="3060"/>
      <c r="RQM157" s="3060"/>
      <c r="RQN157" s="3060"/>
      <c r="RQO157" s="3060"/>
      <c r="RQP157" s="3060"/>
      <c r="RQQ157" s="3060"/>
      <c r="RQR157" s="3060"/>
      <c r="RQS157" s="3060"/>
      <c r="RQT157" s="3060"/>
      <c r="RQU157" s="3060"/>
      <c r="RQV157" s="3060"/>
      <c r="RQW157" s="3060"/>
      <c r="RQX157" s="3060"/>
      <c r="RQY157" s="3060"/>
      <c r="RQZ157" s="3060"/>
      <c r="RRA157" s="3060"/>
      <c r="RRB157" s="3060"/>
      <c r="RRC157" s="3060"/>
      <c r="RRD157" s="3060"/>
      <c r="RRE157" s="3060"/>
      <c r="RRF157" s="3060"/>
      <c r="RRG157" s="3060"/>
      <c r="RRH157" s="3060"/>
      <c r="RRI157" s="3060"/>
      <c r="RRJ157" s="3060"/>
      <c r="RRK157" s="3060"/>
      <c r="RRL157" s="3060"/>
      <c r="RRM157" s="3060"/>
      <c r="RRN157" s="3060"/>
      <c r="RRO157" s="3060"/>
      <c r="RRP157" s="3060"/>
      <c r="RRQ157" s="3060"/>
      <c r="RRR157" s="3060"/>
      <c r="RRS157" s="3060"/>
      <c r="RRT157" s="3060"/>
      <c r="RRU157" s="3060"/>
      <c r="RRV157" s="3060"/>
      <c r="RRW157" s="3060"/>
      <c r="RRX157" s="3060"/>
      <c r="RRY157" s="3060"/>
      <c r="RRZ157" s="3060"/>
      <c r="RSA157" s="3060"/>
      <c r="RSB157" s="3060"/>
      <c r="RSC157" s="3060"/>
      <c r="RSD157" s="3060"/>
      <c r="RSE157" s="3060"/>
      <c r="RSF157" s="3060"/>
      <c r="RSG157" s="3060"/>
      <c r="RSH157" s="3060"/>
      <c r="RSI157" s="3060"/>
      <c r="RSJ157" s="3060"/>
      <c r="RSK157" s="3060"/>
      <c r="RSL157" s="3060"/>
      <c r="RSM157" s="3060"/>
      <c r="RSN157" s="3060"/>
      <c r="RSO157" s="3060"/>
      <c r="RSP157" s="3060"/>
      <c r="RSQ157" s="3060"/>
      <c r="RSR157" s="3060"/>
      <c r="RSS157" s="3060"/>
      <c r="RST157" s="3060"/>
      <c r="RSU157" s="3060"/>
      <c r="RSV157" s="3060"/>
      <c r="RSW157" s="3060"/>
      <c r="RSX157" s="3060"/>
      <c r="RSY157" s="3060"/>
      <c r="RSZ157" s="3060"/>
      <c r="RTA157" s="3060"/>
      <c r="RTB157" s="3060"/>
      <c r="RTC157" s="3060"/>
      <c r="RTD157" s="3060"/>
      <c r="RTE157" s="3060"/>
      <c r="RTF157" s="3060"/>
      <c r="RTG157" s="3060"/>
      <c r="RTH157" s="3060"/>
      <c r="RTI157" s="3060"/>
      <c r="RTJ157" s="3060"/>
      <c r="RTK157" s="3060"/>
      <c r="RTL157" s="3060"/>
      <c r="RTM157" s="3060"/>
      <c r="RTN157" s="3060"/>
      <c r="RTO157" s="3060"/>
      <c r="RTP157" s="3060"/>
      <c r="RTQ157" s="3060"/>
      <c r="RTR157" s="3060"/>
      <c r="RTS157" s="3060"/>
      <c r="RTT157" s="3060"/>
      <c r="RTU157" s="3060"/>
      <c r="RTV157" s="3060"/>
      <c r="RTW157" s="3060"/>
      <c r="RTX157" s="3060"/>
      <c r="RTY157" s="3060"/>
      <c r="RTZ157" s="3060"/>
      <c r="RUA157" s="3060"/>
      <c r="RUB157" s="3060"/>
      <c r="RUC157" s="3060"/>
      <c r="RUD157" s="3060"/>
      <c r="RUE157" s="3060"/>
      <c r="RUF157" s="3060"/>
      <c r="RUG157" s="3060"/>
      <c r="RUH157" s="3060"/>
      <c r="RUI157" s="3060"/>
      <c r="RUJ157" s="3060"/>
      <c r="RUK157" s="3060"/>
      <c r="RUL157" s="3060"/>
      <c r="RUM157" s="3060"/>
      <c r="RUN157" s="3060"/>
      <c r="RUO157" s="3060"/>
      <c r="RUP157" s="3060"/>
      <c r="RUQ157" s="3060"/>
      <c r="RUR157" s="3060"/>
      <c r="RUS157" s="3060"/>
      <c r="RUT157" s="3060"/>
      <c r="RUU157" s="3060"/>
      <c r="RUV157" s="3060"/>
      <c r="RUW157" s="3060"/>
      <c r="RUX157" s="3060"/>
      <c r="RUY157" s="3060"/>
      <c r="RUZ157" s="3060"/>
      <c r="RVA157" s="3060"/>
      <c r="RVB157" s="3060"/>
      <c r="RVC157" s="3060"/>
      <c r="RVD157" s="3060"/>
      <c r="RVE157" s="3060"/>
      <c r="RVF157" s="3060"/>
      <c r="RVG157" s="3060"/>
      <c r="RVH157" s="3060"/>
      <c r="RVI157" s="3060"/>
      <c r="RVJ157" s="3060"/>
      <c r="RVK157" s="3060"/>
      <c r="RVL157" s="3060"/>
      <c r="RVM157" s="3060"/>
      <c r="RVN157" s="3060"/>
      <c r="RVO157" s="3060"/>
      <c r="RVP157" s="3060"/>
      <c r="RVQ157" s="3060"/>
      <c r="RVR157" s="3060"/>
      <c r="RVS157" s="3060"/>
      <c r="RVT157" s="3060"/>
      <c r="RVU157" s="3060"/>
      <c r="RVV157" s="3060"/>
      <c r="RVW157" s="3060"/>
      <c r="RVX157" s="3060"/>
      <c r="RVY157" s="3060"/>
      <c r="RVZ157" s="3060"/>
      <c r="RWA157" s="3060"/>
      <c r="RWB157" s="3060"/>
      <c r="RWC157" s="3060"/>
      <c r="RWD157" s="3060"/>
      <c r="RWE157" s="3060"/>
      <c r="RWF157" s="3060"/>
      <c r="RWG157" s="3060"/>
      <c r="RWH157" s="3060"/>
      <c r="RWI157" s="3060"/>
      <c r="RWJ157" s="3060"/>
      <c r="RWK157" s="3060"/>
      <c r="RWL157" s="3060"/>
      <c r="RWM157" s="3060"/>
      <c r="RWN157" s="3060"/>
      <c r="RWO157" s="3060"/>
      <c r="RWP157" s="3060"/>
      <c r="RWQ157" s="3060"/>
      <c r="RWR157" s="3060"/>
      <c r="RWS157" s="3060"/>
      <c r="RWT157" s="3060"/>
      <c r="RWU157" s="3060"/>
      <c r="RWV157" s="3060"/>
      <c r="RWW157" s="3060"/>
      <c r="RWX157" s="3060"/>
      <c r="RWY157" s="3060"/>
      <c r="RWZ157" s="3060"/>
      <c r="RXA157" s="3060"/>
      <c r="RXB157" s="3060"/>
      <c r="RXC157" s="3060"/>
      <c r="RXD157" s="3060"/>
      <c r="RXE157" s="3060"/>
      <c r="RXF157" s="3060"/>
      <c r="RXG157" s="3060"/>
      <c r="RXH157" s="3060"/>
      <c r="RXI157" s="3060"/>
      <c r="RXJ157" s="3060"/>
      <c r="RXK157" s="3060"/>
      <c r="RXL157" s="3060"/>
      <c r="RXM157" s="3060"/>
      <c r="RXN157" s="3060"/>
      <c r="RXO157" s="3060"/>
      <c r="RXP157" s="3060"/>
      <c r="RXQ157" s="3060"/>
      <c r="RXR157" s="3060"/>
      <c r="RXS157" s="3060"/>
      <c r="RXT157" s="3060"/>
      <c r="RXU157" s="3060"/>
      <c r="RXV157" s="3060"/>
      <c r="RXW157" s="3060"/>
      <c r="RXX157" s="3060"/>
      <c r="RXY157" s="3060"/>
      <c r="RXZ157" s="3060"/>
      <c r="RYA157" s="3060"/>
      <c r="RYB157" s="3060"/>
      <c r="RYC157" s="3060"/>
      <c r="RYD157" s="3060"/>
      <c r="RYE157" s="3060"/>
      <c r="RYF157" s="3060"/>
      <c r="RYG157" s="3060"/>
      <c r="RYH157" s="3060"/>
      <c r="RYI157" s="3060"/>
      <c r="RYJ157" s="3060"/>
      <c r="RYK157" s="3060"/>
      <c r="RYL157" s="3060"/>
      <c r="RYM157" s="3060"/>
      <c r="RYN157" s="3060"/>
      <c r="RYO157" s="3060"/>
      <c r="RYP157" s="3060"/>
      <c r="RYQ157" s="3060"/>
      <c r="RYR157" s="3060"/>
      <c r="RYS157" s="3060"/>
      <c r="RYT157" s="3060"/>
      <c r="RYU157" s="3060"/>
      <c r="RYV157" s="3060"/>
      <c r="RYW157" s="3060"/>
      <c r="RYX157" s="3060"/>
      <c r="RYY157" s="3060"/>
      <c r="RYZ157" s="3060"/>
      <c r="RZA157" s="3060"/>
      <c r="RZB157" s="3060"/>
      <c r="RZC157" s="3060"/>
      <c r="RZD157" s="3060"/>
      <c r="RZE157" s="3060"/>
      <c r="RZF157" s="3060"/>
      <c r="RZG157" s="3060"/>
      <c r="RZH157" s="3060"/>
      <c r="RZI157" s="3060"/>
      <c r="RZJ157" s="3060"/>
      <c r="RZK157" s="3060"/>
      <c r="RZL157" s="3060"/>
      <c r="RZM157" s="3060"/>
      <c r="RZN157" s="3060"/>
      <c r="RZO157" s="3060"/>
      <c r="RZP157" s="3060"/>
      <c r="RZQ157" s="3060"/>
      <c r="RZR157" s="3060"/>
      <c r="RZS157" s="3060"/>
      <c r="RZT157" s="3060"/>
      <c r="RZU157" s="3060"/>
      <c r="RZV157" s="3060"/>
      <c r="RZW157" s="3060"/>
      <c r="RZX157" s="3060"/>
      <c r="RZY157" s="3060"/>
      <c r="RZZ157" s="3060"/>
      <c r="SAA157" s="3060"/>
      <c r="SAB157" s="3060"/>
      <c r="SAC157" s="3060"/>
      <c r="SAD157" s="3060"/>
      <c r="SAE157" s="3060"/>
      <c r="SAF157" s="3060"/>
      <c r="SAG157" s="3060"/>
      <c r="SAH157" s="3060"/>
      <c r="SAI157" s="3060"/>
      <c r="SAJ157" s="3060"/>
      <c r="SAK157" s="3060"/>
      <c r="SAL157" s="3060"/>
      <c r="SAM157" s="3060"/>
      <c r="SAN157" s="3060"/>
      <c r="SAO157" s="3060"/>
      <c r="SAP157" s="3060"/>
      <c r="SAQ157" s="3060"/>
      <c r="SAR157" s="3060"/>
      <c r="SAS157" s="3060"/>
      <c r="SAT157" s="3060"/>
      <c r="SAU157" s="3060"/>
      <c r="SAV157" s="3060"/>
      <c r="SAW157" s="3060"/>
      <c r="SAX157" s="3060"/>
      <c r="SAY157" s="3060"/>
      <c r="SAZ157" s="3060"/>
      <c r="SBA157" s="3060"/>
      <c r="SBB157" s="3060"/>
      <c r="SBC157" s="3060"/>
      <c r="SBD157" s="3060"/>
      <c r="SBE157" s="3060"/>
      <c r="SBF157" s="3060"/>
      <c r="SBG157" s="3060"/>
      <c r="SBH157" s="3060"/>
      <c r="SBI157" s="3060"/>
      <c r="SBJ157" s="3060"/>
      <c r="SBK157" s="3060"/>
      <c r="SBL157" s="3060"/>
      <c r="SBM157" s="3060"/>
      <c r="SBN157" s="3060"/>
      <c r="SBO157" s="3060"/>
      <c r="SBP157" s="3060"/>
      <c r="SBQ157" s="3060"/>
      <c r="SBR157" s="3060"/>
      <c r="SBS157" s="3060"/>
      <c r="SBT157" s="3060"/>
      <c r="SBU157" s="3060"/>
      <c r="SBV157" s="3060"/>
      <c r="SBW157" s="3060"/>
      <c r="SBX157" s="3060"/>
      <c r="SBY157" s="3060"/>
      <c r="SBZ157" s="3060"/>
      <c r="SCA157" s="3060"/>
      <c r="SCB157" s="3060"/>
      <c r="SCC157" s="3060"/>
      <c r="SCD157" s="3060"/>
      <c r="SCE157" s="3060"/>
      <c r="SCF157" s="3060"/>
      <c r="SCG157" s="3060"/>
      <c r="SCH157" s="3060"/>
      <c r="SCI157" s="3060"/>
      <c r="SCJ157" s="3060"/>
      <c r="SCK157" s="3060"/>
      <c r="SCL157" s="3060"/>
      <c r="SCM157" s="3060"/>
      <c r="SCN157" s="3060"/>
      <c r="SCO157" s="3060"/>
      <c r="SCP157" s="3060"/>
      <c r="SCQ157" s="3060"/>
      <c r="SCR157" s="3060"/>
      <c r="SCS157" s="3060"/>
      <c r="SCT157" s="3060"/>
      <c r="SCU157" s="3060"/>
      <c r="SCV157" s="3060"/>
      <c r="SCW157" s="3060"/>
      <c r="SCX157" s="3060"/>
      <c r="SCY157" s="3060"/>
      <c r="SCZ157" s="3060"/>
      <c r="SDA157" s="3060"/>
      <c r="SDB157" s="3060"/>
      <c r="SDC157" s="3060"/>
      <c r="SDD157" s="3060"/>
      <c r="SDE157" s="3060"/>
      <c r="SDF157" s="3060"/>
      <c r="SDG157" s="3060"/>
      <c r="SDH157" s="3060"/>
      <c r="SDI157" s="3060"/>
      <c r="SDJ157" s="3060"/>
      <c r="SDK157" s="3060"/>
      <c r="SDL157" s="3060"/>
      <c r="SDM157" s="3060"/>
      <c r="SDN157" s="3060"/>
      <c r="SDO157" s="3060"/>
      <c r="SDP157" s="3060"/>
      <c r="SDQ157" s="3060"/>
      <c r="SDR157" s="3060"/>
      <c r="SDS157" s="3060"/>
      <c r="SDT157" s="3060"/>
      <c r="SDU157" s="3060"/>
      <c r="SDV157" s="3060"/>
      <c r="SDW157" s="3060"/>
      <c r="SDX157" s="3060"/>
      <c r="SDY157" s="3060"/>
      <c r="SDZ157" s="3060"/>
      <c r="SEA157" s="3060"/>
      <c r="SEB157" s="3060"/>
      <c r="SEC157" s="3060"/>
      <c r="SED157" s="3060"/>
      <c r="SEE157" s="3060"/>
      <c r="SEF157" s="3060"/>
      <c r="SEG157" s="3060"/>
      <c r="SEH157" s="3060"/>
      <c r="SEI157" s="3060"/>
      <c r="SEJ157" s="3060"/>
      <c r="SEK157" s="3060"/>
      <c r="SEL157" s="3060"/>
      <c r="SEM157" s="3060"/>
      <c r="SEN157" s="3060"/>
      <c r="SEO157" s="3060"/>
      <c r="SEP157" s="3060"/>
      <c r="SEQ157" s="3060"/>
      <c r="SER157" s="3060"/>
      <c r="SES157" s="3060"/>
      <c r="SET157" s="3060"/>
      <c r="SEU157" s="3060"/>
      <c r="SEV157" s="3060"/>
      <c r="SEW157" s="3060"/>
      <c r="SEX157" s="3060"/>
      <c r="SEY157" s="3060"/>
      <c r="SEZ157" s="3060"/>
      <c r="SFA157" s="3060"/>
      <c r="SFB157" s="3060"/>
      <c r="SFC157" s="3060"/>
      <c r="SFD157" s="3060"/>
      <c r="SFE157" s="3060"/>
      <c r="SFF157" s="3060"/>
      <c r="SFG157" s="3060"/>
      <c r="SFH157" s="3060"/>
      <c r="SFI157" s="3060"/>
      <c r="SFJ157" s="3060"/>
      <c r="SFK157" s="3060"/>
      <c r="SFL157" s="3060"/>
      <c r="SFM157" s="3060"/>
      <c r="SFN157" s="3060"/>
      <c r="SFO157" s="3060"/>
      <c r="SFP157" s="3060"/>
      <c r="SFQ157" s="3060"/>
      <c r="SFR157" s="3060"/>
      <c r="SFS157" s="3060"/>
      <c r="SFT157" s="3060"/>
      <c r="SFU157" s="3060"/>
      <c r="SFV157" s="3060"/>
      <c r="SFW157" s="3060"/>
      <c r="SFX157" s="3060"/>
      <c r="SFY157" s="3060"/>
      <c r="SFZ157" s="3060"/>
      <c r="SGA157" s="3060"/>
      <c r="SGB157" s="3060"/>
      <c r="SGC157" s="3060"/>
      <c r="SGD157" s="3060"/>
      <c r="SGE157" s="3060"/>
      <c r="SGF157" s="3060"/>
      <c r="SGG157" s="3060"/>
      <c r="SGH157" s="3060"/>
      <c r="SGI157" s="3060"/>
      <c r="SGJ157" s="3060"/>
      <c r="SGK157" s="3060"/>
      <c r="SGL157" s="3060"/>
      <c r="SGM157" s="3060"/>
      <c r="SGN157" s="3060"/>
      <c r="SGO157" s="3060"/>
      <c r="SGP157" s="3060"/>
      <c r="SGQ157" s="3060"/>
      <c r="SGR157" s="3060"/>
      <c r="SGS157" s="3060"/>
      <c r="SGT157" s="3060"/>
      <c r="SGU157" s="3060"/>
      <c r="SGV157" s="3060"/>
      <c r="SGW157" s="3060"/>
      <c r="SGX157" s="3060"/>
      <c r="SGY157" s="3060"/>
      <c r="SGZ157" s="3060"/>
      <c r="SHA157" s="3060"/>
      <c r="SHB157" s="3060"/>
      <c r="SHC157" s="3060"/>
      <c r="SHD157" s="3060"/>
      <c r="SHE157" s="3060"/>
      <c r="SHF157" s="3060"/>
      <c r="SHG157" s="3060"/>
      <c r="SHH157" s="3060"/>
      <c r="SHI157" s="3060"/>
      <c r="SHJ157" s="3060"/>
      <c r="SHK157" s="3060"/>
      <c r="SHL157" s="3060"/>
      <c r="SHM157" s="3060"/>
      <c r="SHN157" s="3060"/>
      <c r="SHO157" s="3060"/>
      <c r="SHP157" s="3060"/>
      <c r="SHQ157" s="3060"/>
      <c r="SHR157" s="3060"/>
      <c r="SHS157" s="3060"/>
      <c r="SHT157" s="3060"/>
      <c r="SHU157" s="3060"/>
      <c r="SHV157" s="3060"/>
      <c r="SHW157" s="3060"/>
      <c r="SHX157" s="3060"/>
      <c r="SHY157" s="3060"/>
      <c r="SHZ157" s="3060"/>
      <c r="SIA157" s="3060"/>
      <c r="SIB157" s="3060"/>
      <c r="SIC157" s="3060"/>
      <c r="SID157" s="3060"/>
      <c r="SIE157" s="3060"/>
      <c r="SIF157" s="3060"/>
      <c r="SIG157" s="3060"/>
      <c r="SIH157" s="3060"/>
      <c r="SII157" s="3060"/>
      <c r="SIJ157" s="3060"/>
      <c r="SIK157" s="3060"/>
      <c r="SIL157" s="3060"/>
      <c r="SIM157" s="3060"/>
      <c r="SIN157" s="3060"/>
      <c r="SIO157" s="3060"/>
      <c r="SIP157" s="3060"/>
      <c r="SIQ157" s="3060"/>
      <c r="SIR157" s="3060"/>
      <c r="SIS157" s="3060"/>
      <c r="SIT157" s="3060"/>
      <c r="SIU157" s="3060"/>
      <c r="SIV157" s="3060"/>
      <c r="SIW157" s="3060"/>
      <c r="SIX157" s="3060"/>
      <c r="SIY157" s="3060"/>
      <c r="SIZ157" s="3060"/>
      <c r="SJA157" s="3060"/>
      <c r="SJB157" s="3060"/>
      <c r="SJC157" s="3060"/>
      <c r="SJD157" s="3060"/>
      <c r="SJE157" s="3060"/>
      <c r="SJF157" s="3060"/>
      <c r="SJG157" s="3060"/>
      <c r="SJH157" s="3060"/>
      <c r="SJI157" s="3060"/>
      <c r="SJJ157" s="3060"/>
      <c r="SJK157" s="3060"/>
      <c r="SJL157" s="3060"/>
      <c r="SJM157" s="3060"/>
      <c r="SJN157" s="3060"/>
      <c r="SJO157" s="3060"/>
      <c r="SJP157" s="3060"/>
      <c r="SJQ157" s="3060"/>
      <c r="SJR157" s="3060"/>
      <c r="SJS157" s="3060"/>
      <c r="SJT157" s="3060"/>
      <c r="SJU157" s="3060"/>
      <c r="SJV157" s="3060"/>
      <c r="SJW157" s="3060"/>
      <c r="SJX157" s="3060"/>
      <c r="SJY157" s="3060"/>
      <c r="SJZ157" s="3060"/>
      <c r="SKA157" s="3060"/>
      <c r="SKB157" s="3060"/>
      <c r="SKC157" s="3060"/>
      <c r="SKD157" s="3060"/>
      <c r="SKE157" s="3060"/>
      <c r="SKF157" s="3060"/>
      <c r="SKG157" s="3060"/>
      <c r="SKH157" s="3060"/>
      <c r="SKI157" s="3060"/>
      <c r="SKJ157" s="3060"/>
      <c r="SKK157" s="3060"/>
      <c r="SKL157" s="3060"/>
      <c r="SKM157" s="3060"/>
      <c r="SKN157" s="3060"/>
      <c r="SKO157" s="3060"/>
      <c r="SKP157" s="3060"/>
      <c r="SKQ157" s="3060"/>
      <c r="SKR157" s="3060"/>
      <c r="SKS157" s="3060"/>
      <c r="SKT157" s="3060"/>
      <c r="SKU157" s="3060"/>
      <c r="SKV157" s="3060"/>
      <c r="SKW157" s="3060"/>
      <c r="SKX157" s="3060"/>
      <c r="SKY157" s="3060"/>
      <c r="SKZ157" s="3060"/>
      <c r="SLA157" s="3060"/>
      <c r="SLB157" s="3060"/>
      <c r="SLC157" s="3060"/>
      <c r="SLD157" s="3060"/>
      <c r="SLE157" s="3060"/>
      <c r="SLF157" s="3060"/>
      <c r="SLG157" s="3060"/>
      <c r="SLH157" s="3060"/>
      <c r="SLI157" s="3060"/>
      <c r="SLJ157" s="3060"/>
      <c r="SLK157" s="3060"/>
      <c r="SLL157" s="3060"/>
      <c r="SLM157" s="3060"/>
      <c r="SLN157" s="3060"/>
      <c r="SLO157" s="3060"/>
      <c r="SLP157" s="3060"/>
      <c r="SLQ157" s="3060"/>
      <c r="SLR157" s="3060"/>
      <c r="SLS157" s="3060"/>
      <c r="SLT157" s="3060"/>
      <c r="SLU157" s="3060"/>
      <c r="SLV157" s="3060"/>
      <c r="SLW157" s="3060"/>
      <c r="SLX157" s="3060"/>
      <c r="SLY157" s="3060"/>
      <c r="SLZ157" s="3060"/>
      <c r="SMA157" s="3060"/>
      <c r="SMB157" s="3060"/>
      <c r="SMC157" s="3060"/>
      <c r="SMD157" s="3060"/>
      <c r="SME157" s="3060"/>
      <c r="SMF157" s="3060"/>
      <c r="SMG157" s="3060"/>
      <c r="SMH157" s="3060"/>
      <c r="SMI157" s="3060"/>
      <c r="SMJ157" s="3060"/>
      <c r="SMK157" s="3060"/>
      <c r="SML157" s="3060"/>
      <c r="SMM157" s="3060"/>
      <c r="SMN157" s="3060"/>
      <c r="SMO157" s="3060"/>
      <c r="SMP157" s="3060"/>
      <c r="SMQ157" s="3060"/>
      <c r="SMR157" s="3060"/>
      <c r="SMS157" s="3060"/>
      <c r="SMT157" s="3060"/>
      <c r="SMU157" s="3060"/>
      <c r="SMV157" s="3060"/>
      <c r="SMW157" s="3060"/>
      <c r="SMX157" s="3060"/>
      <c r="SMY157" s="3060"/>
      <c r="SMZ157" s="3060"/>
      <c r="SNA157" s="3060"/>
      <c r="SNB157" s="3060"/>
      <c r="SNC157" s="3060"/>
      <c r="SND157" s="3060"/>
      <c r="SNE157" s="3060"/>
      <c r="SNF157" s="3060"/>
      <c r="SNG157" s="3060"/>
      <c r="SNH157" s="3060"/>
      <c r="SNI157" s="3060"/>
      <c r="SNJ157" s="3060"/>
      <c r="SNK157" s="3060"/>
      <c r="SNL157" s="3060"/>
      <c r="SNM157" s="3060"/>
      <c r="SNN157" s="3060"/>
      <c r="SNO157" s="3060"/>
      <c r="SNP157" s="3060"/>
      <c r="SNQ157" s="3060"/>
      <c r="SNR157" s="3060"/>
      <c r="SNS157" s="3060"/>
      <c r="SNT157" s="3060"/>
      <c r="SNU157" s="3060"/>
      <c r="SNV157" s="3060"/>
      <c r="SNW157" s="3060"/>
      <c r="SNX157" s="3060"/>
      <c r="SNY157" s="3060"/>
      <c r="SNZ157" s="3060"/>
      <c r="SOA157" s="3060"/>
      <c r="SOB157" s="3060"/>
      <c r="SOC157" s="3060"/>
      <c r="SOD157" s="3060"/>
      <c r="SOE157" s="3060"/>
      <c r="SOF157" s="3060"/>
      <c r="SOG157" s="3060"/>
      <c r="SOH157" s="3060"/>
      <c r="SOI157" s="3060"/>
      <c r="SOJ157" s="3060"/>
      <c r="SOK157" s="3060"/>
      <c r="SOL157" s="3060"/>
      <c r="SOM157" s="3060"/>
      <c r="SON157" s="3060"/>
      <c r="SOO157" s="3060"/>
      <c r="SOP157" s="3060"/>
      <c r="SOQ157" s="3060"/>
      <c r="SOR157" s="3060"/>
      <c r="SOS157" s="3060"/>
      <c r="SOT157" s="3060"/>
      <c r="SOU157" s="3060"/>
      <c r="SOV157" s="3060"/>
      <c r="SOW157" s="3060"/>
      <c r="SOX157" s="3060"/>
      <c r="SOY157" s="3060"/>
      <c r="SOZ157" s="3060"/>
      <c r="SPA157" s="3060"/>
      <c r="SPB157" s="3060"/>
      <c r="SPC157" s="3060"/>
      <c r="SPD157" s="3060"/>
      <c r="SPE157" s="3060"/>
      <c r="SPF157" s="3060"/>
      <c r="SPG157" s="3060"/>
      <c r="SPH157" s="3060"/>
      <c r="SPI157" s="3060"/>
      <c r="SPJ157" s="3060"/>
      <c r="SPK157" s="3060"/>
      <c r="SPL157" s="3060"/>
      <c r="SPM157" s="3060"/>
      <c r="SPN157" s="3060"/>
      <c r="SPO157" s="3060"/>
      <c r="SPP157" s="3060"/>
      <c r="SPQ157" s="3060"/>
      <c r="SPR157" s="3060"/>
      <c r="SPS157" s="3060"/>
      <c r="SPT157" s="3060"/>
      <c r="SPU157" s="3060"/>
      <c r="SPV157" s="3060"/>
      <c r="SPW157" s="3060"/>
      <c r="SPX157" s="3060"/>
      <c r="SPY157" s="3060"/>
      <c r="SPZ157" s="3060"/>
      <c r="SQA157" s="3060"/>
      <c r="SQB157" s="3060"/>
      <c r="SQC157" s="3060"/>
      <c r="SQD157" s="3060"/>
      <c r="SQE157" s="3060"/>
      <c r="SQF157" s="3060"/>
      <c r="SQG157" s="3060"/>
      <c r="SQH157" s="3060"/>
      <c r="SQI157" s="3060"/>
      <c r="SQJ157" s="3060"/>
      <c r="SQK157" s="3060"/>
      <c r="SQL157" s="3060"/>
      <c r="SQM157" s="3060"/>
      <c r="SQN157" s="3060"/>
      <c r="SQO157" s="3060"/>
      <c r="SQP157" s="3060"/>
      <c r="SQQ157" s="3060"/>
      <c r="SQR157" s="3060"/>
      <c r="SQS157" s="3060"/>
      <c r="SQT157" s="3060"/>
      <c r="SQU157" s="3060"/>
      <c r="SQV157" s="3060"/>
      <c r="SQW157" s="3060"/>
      <c r="SQX157" s="3060"/>
      <c r="SQY157" s="3060"/>
      <c r="SQZ157" s="3060"/>
      <c r="SRA157" s="3060"/>
      <c r="SRB157" s="3060"/>
      <c r="SRC157" s="3060"/>
      <c r="SRD157" s="3060"/>
      <c r="SRE157" s="3060"/>
      <c r="SRF157" s="3060"/>
      <c r="SRG157" s="3060"/>
      <c r="SRH157" s="3060"/>
      <c r="SRI157" s="3060"/>
      <c r="SRJ157" s="3060"/>
      <c r="SRK157" s="3060"/>
      <c r="SRL157" s="3060"/>
      <c r="SRM157" s="3060"/>
      <c r="SRN157" s="3060"/>
      <c r="SRO157" s="3060"/>
      <c r="SRP157" s="3060"/>
      <c r="SRQ157" s="3060"/>
      <c r="SRR157" s="3060"/>
      <c r="SRS157" s="3060"/>
      <c r="SRT157" s="3060"/>
      <c r="SRU157" s="3060"/>
      <c r="SRV157" s="3060"/>
      <c r="SRW157" s="3060"/>
      <c r="SRX157" s="3060"/>
      <c r="SRY157" s="3060"/>
      <c r="SRZ157" s="3060"/>
      <c r="SSA157" s="3060"/>
      <c r="SSB157" s="3060"/>
      <c r="SSC157" s="3060"/>
      <c r="SSD157" s="3060"/>
      <c r="SSE157" s="3060"/>
      <c r="SSF157" s="3060"/>
      <c r="SSG157" s="3060"/>
      <c r="SSH157" s="3060"/>
      <c r="SSI157" s="3060"/>
      <c r="SSJ157" s="3060"/>
      <c r="SSK157" s="3060"/>
      <c r="SSL157" s="3060"/>
      <c r="SSM157" s="3060"/>
      <c r="SSN157" s="3060"/>
      <c r="SSO157" s="3060"/>
      <c r="SSP157" s="3060"/>
      <c r="SSQ157" s="3060"/>
      <c r="SSR157" s="3060"/>
      <c r="SSS157" s="3060"/>
      <c r="SST157" s="3060"/>
      <c r="SSU157" s="3060"/>
      <c r="SSV157" s="3060"/>
      <c r="SSW157" s="3060"/>
      <c r="SSX157" s="3060"/>
      <c r="SSY157" s="3060"/>
      <c r="SSZ157" s="3060"/>
      <c r="STA157" s="3060"/>
      <c r="STB157" s="3060"/>
      <c r="STC157" s="3060"/>
      <c r="STD157" s="3060"/>
      <c r="STE157" s="3060"/>
      <c r="STF157" s="3060"/>
      <c r="STG157" s="3060"/>
      <c r="STH157" s="3060"/>
      <c r="STI157" s="3060"/>
      <c r="STJ157" s="3060"/>
      <c r="STK157" s="3060"/>
      <c r="STL157" s="3060"/>
      <c r="STM157" s="3060"/>
      <c r="STN157" s="3060"/>
      <c r="STO157" s="3060"/>
      <c r="STP157" s="3060"/>
      <c r="STQ157" s="3060"/>
      <c r="STR157" s="3060"/>
      <c r="STS157" s="3060"/>
      <c r="STT157" s="3060"/>
      <c r="STU157" s="3060"/>
      <c r="STV157" s="3060"/>
      <c r="STW157" s="3060"/>
      <c r="STX157" s="3060"/>
      <c r="STY157" s="3060"/>
      <c r="STZ157" s="3060"/>
      <c r="SUA157" s="3060"/>
      <c r="SUB157" s="3060"/>
      <c r="SUC157" s="3060"/>
      <c r="SUD157" s="3060"/>
      <c r="SUE157" s="3060"/>
      <c r="SUF157" s="3060"/>
      <c r="SUG157" s="3060"/>
      <c r="SUH157" s="3060"/>
      <c r="SUI157" s="3060"/>
      <c r="SUJ157" s="3060"/>
      <c r="SUK157" s="3060"/>
      <c r="SUL157" s="3060"/>
      <c r="SUM157" s="3060"/>
      <c r="SUN157" s="3060"/>
      <c r="SUO157" s="3060"/>
      <c r="SUP157" s="3060"/>
      <c r="SUQ157" s="3060"/>
      <c r="SUR157" s="3060"/>
      <c r="SUS157" s="3060"/>
      <c r="SUT157" s="3060"/>
      <c r="SUU157" s="3060"/>
      <c r="SUV157" s="3060"/>
      <c r="SUW157" s="3060"/>
      <c r="SUX157" s="3060"/>
      <c r="SUY157" s="3060"/>
      <c r="SUZ157" s="3060"/>
      <c r="SVA157" s="3060"/>
      <c r="SVB157" s="3060"/>
      <c r="SVC157" s="3060"/>
      <c r="SVD157" s="3060"/>
      <c r="SVE157" s="3060"/>
      <c r="SVF157" s="3060"/>
      <c r="SVG157" s="3060"/>
      <c r="SVH157" s="3060"/>
      <c r="SVI157" s="3060"/>
      <c r="SVJ157" s="3060"/>
      <c r="SVK157" s="3060"/>
      <c r="SVL157" s="3060"/>
      <c r="SVM157" s="3060"/>
      <c r="SVN157" s="3060"/>
      <c r="SVO157" s="3060"/>
      <c r="SVP157" s="3060"/>
      <c r="SVQ157" s="3060"/>
      <c r="SVR157" s="3060"/>
      <c r="SVS157" s="3060"/>
      <c r="SVT157" s="3060"/>
      <c r="SVU157" s="3060"/>
      <c r="SVV157" s="3060"/>
      <c r="SVW157" s="3060"/>
      <c r="SVX157" s="3060"/>
      <c r="SVY157" s="3060"/>
      <c r="SVZ157" s="3060"/>
      <c r="SWA157" s="3060"/>
      <c r="SWB157" s="3060"/>
      <c r="SWC157" s="3060"/>
      <c r="SWD157" s="3060"/>
      <c r="SWE157" s="3060"/>
      <c r="SWF157" s="3060"/>
      <c r="SWG157" s="3060"/>
      <c r="SWH157" s="3060"/>
      <c r="SWI157" s="3060"/>
      <c r="SWJ157" s="3060"/>
      <c r="SWK157" s="3060"/>
      <c r="SWL157" s="3060"/>
      <c r="SWM157" s="3060"/>
      <c r="SWN157" s="3060"/>
      <c r="SWO157" s="3060"/>
      <c r="SWP157" s="3060"/>
      <c r="SWQ157" s="3060"/>
      <c r="SWR157" s="3060"/>
      <c r="SWS157" s="3060"/>
      <c r="SWT157" s="3060"/>
      <c r="SWU157" s="3060"/>
      <c r="SWV157" s="3060"/>
      <c r="SWW157" s="3060"/>
      <c r="SWX157" s="3060"/>
      <c r="SWY157" s="3060"/>
      <c r="SWZ157" s="3060"/>
      <c r="SXA157" s="3060"/>
      <c r="SXB157" s="3060"/>
      <c r="SXC157" s="3060"/>
      <c r="SXD157" s="3060"/>
      <c r="SXE157" s="3060"/>
      <c r="SXF157" s="3060"/>
      <c r="SXG157" s="3060"/>
      <c r="SXH157" s="3060"/>
      <c r="SXI157" s="3060"/>
      <c r="SXJ157" s="3060"/>
      <c r="SXK157" s="3060"/>
      <c r="SXL157" s="3060"/>
      <c r="SXM157" s="3060"/>
      <c r="SXN157" s="3060"/>
      <c r="SXO157" s="3060"/>
      <c r="SXP157" s="3060"/>
      <c r="SXQ157" s="3060"/>
      <c r="SXR157" s="3060"/>
      <c r="SXS157" s="3060"/>
      <c r="SXT157" s="3060"/>
      <c r="SXU157" s="3060"/>
      <c r="SXV157" s="3060"/>
      <c r="SXW157" s="3060"/>
      <c r="SXX157" s="3060"/>
      <c r="SXY157" s="3060"/>
      <c r="SXZ157" s="3060"/>
      <c r="SYA157" s="3060"/>
      <c r="SYB157" s="3060"/>
      <c r="SYC157" s="3060"/>
      <c r="SYD157" s="3060"/>
      <c r="SYE157" s="3060"/>
      <c r="SYF157" s="3060"/>
      <c r="SYG157" s="3060"/>
      <c r="SYH157" s="3060"/>
      <c r="SYI157" s="3060"/>
      <c r="SYJ157" s="3060"/>
      <c r="SYK157" s="3060"/>
      <c r="SYL157" s="3060"/>
      <c r="SYM157" s="3060"/>
      <c r="SYN157" s="3060"/>
      <c r="SYO157" s="3060"/>
      <c r="SYP157" s="3060"/>
      <c r="SYQ157" s="3060"/>
      <c r="SYR157" s="3060"/>
      <c r="SYS157" s="3060"/>
      <c r="SYT157" s="3060"/>
      <c r="SYU157" s="3060"/>
      <c r="SYV157" s="3060"/>
      <c r="SYW157" s="3060"/>
      <c r="SYX157" s="3060"/>
      <c r="SYY157" s="3060"/>
      <c r="SYZ157" s="3060"/>
      <c r="SZA157" s="3060"/>
      <c r="SZB157" s="3060"/>
      <c r="SZC157" s="3060"/>
      <c r="SZD157" s="3060"/>
      <c r="SZE157" s="3060"/>
      <c r="SZF157" s="3060"/>
      <c r="SZG157" s="3060"/>
      <c r="SZH157" s="3060"/>
      <c r="SZI157" s="3060"/>
      <c r="SZJ157" s="3060"/>
      <c r="SZK157" s="3060"/>
      <c r="SZL157" s="3060"/>
      <c r="SZM157" s="3060"/>
      <c r="SZN157" s="3060"/>
      <c r="SZO157" s="3060"/>
      <c r="SZP157" s="3060"/>
      <c r="SZQ157" s="3060"/>
      <c r="SZR157" s="3060"/>
      <c r="SZS157" s="3060"/>
      <c r="SZT157" s="3060"/>
      <c r="SZU157" s="3060"/>
      <c r="SZV157" s="3060"/>
      <c r="SZW157" s="3060"/>
      <c r="SZX157" s="3060"/>
      <c r="SZY157" s="3060"/>
      <c r="SZZ157" s="3060"/>
      <c r="TAA157" s="3060"/>
      <c r="TAB157" s="3060"/>
      <c r="TAC157" s="3060"/>
      <c r="TAD157" s="3060"/>
      <c r="TAE157" s="3060"/>
      <c r="TAF157" s="3060"/>
      <c r="TAG157" s="3060"/>
      <c r="TAH157" s="3060"/>
      <c r="TAI157" s="3060"/>
      <c r="TAJ157" s="3060"/>
      <c r="TAK157" s="3060"/>
      <c r="TAL157" s="3060"/>
      <c r="TAM157" s="3060"/>
      <c r="TAN157" s="3060"/>
      <c r="TAO157" s="3060"/>
      <c r="TAP157" s="3060"/>
      <c r="TAQ157" s="3060"/>
      <c r="TAR157" s="3060"/>
      <c r="TAS157" s="3060"/>
      <c r="TAT157" s="3060"/>
      <c r="TAU157" s="3060"/>
      <c r="TAV157" s="3060"/>
      <c r="TAW157" s="3060"/>
      <c r="TAX157" s="3060"/>
      <c r="TAY157" s="3060"/>
      <c r="TAZ157" s="3060"/>
      <c r="TBA157" s="3060"/>
      <c r="TBB157" s="3060"/>
      <c r="TBC157" s="3060"/>
      <c r="TBD157" s="3060"/>
      <c r="TBE157" s="3060"/>
      <c r="TBF157" s="3060"/>
      <c r="TBG157" s="3060"/>
      <c r="TBH157" s="3060"/>
      <c r="TBI157" s="3060"/>
      <c r="TBJ157" s="3060"/>
      <c r="TBK157" s="3060"/>
      <c r="TBL157" s="3060"/>
      <c r="TBM157" s="3060"/>
      <c r="TBN157" s="3060"/>
      <c r="TBO157" s="3060"/>
      <c r="TBP157" s="3060"/>
      <c r="TBQ157" s="3060"/>
      <c r="TBR157" s="3060"/>
      <c r="TBS157" s="3060"/>
      <c r="TBT157" s="3060"/>
      <c r="TBU157" s="3060"/>
      <c r="TBV157" s="3060"/>
      <c r="TBW157" s="3060"/>
      <c r="TBX157" s="3060"/>
      <c r="TBY157" s="3060"/>
      <c r="TBZ157" s="3060"/>
      <c r="TCA157" s="3060"/>
      <c r="TCB157" s="3060"/>
      <c r="TCC157" s="3060"/>
      <c r="TCD157" s="3060"/>
      <c r="TCE157" s="3060"/>
      <c r="TCF157" s="3060"/>
      <c r="TCG157" s="3060"/>
      <c r="TCH157" s="3060"/>
      <c r="TCI157" s="3060"/>
      <c r="TCJ157" s="3060"/>
      <c r="TCK157" s="3060"/>
      <c r="TCL157" s="3060"/>
      <c r="TCM157" s="3060"/>
      <c r="TCN157" s="3060"/>
      <c r="TCO157" s="3060"/>
      <c r="TCP157" s="3060"/>
      <c r="TCQ157" s="3060"/>
      <c r="TCR157" s="3060"/>
      <c r="TCS157" s="3060"/>
      <c r="TCT157" s="3060"/>
      <c r="TCU157" s="3060"/>
      <c r="TCV157" s="3060"/>
      <c r="TCW157" s="3060"/>
      <c r="TCX157" s="3060"/>
      <c r="TCY157" s="3060"/>
      <c r="TCZ157" s="3060"/>
      <c r="TDA157" s="3060"/>
      <c r="TDB157" s="3060"/>
      <c r="TDC157" s="3060"/>
      <c r="TDD157" s="3060"/>
      <c r="TDE157" s="3060"/>
      <c r="TDF157" s="3060"/>
      <c r="TDG157" s="3060"/>
      <c r="TDH157" s="3060"/>
      <c r="TDI157" s="3060"/>
      <c r="TDJ157" s="3060"/>
      <c r="TDK157" s="3060"/>
      <c r="TDL157" s="3060"/>
      <c r="TDM157" s="3060"/>
      <c r="TDN157" s="3060"/>
      <c r="TDO157" s="3060"/>
      <c r="TDP157" s="3060"/>
      <c r="TDQ157" s="3060"/>
      <c r="TDR157" s="3060"/>
      <c r="TDS157" s="3060"/>
      <c r="TDT157" s="3060"/>
      <c r="TDU157" s="3060"/>
      <c r="TDV157" s="3060"/>
      <c r="TDW157" s="3060"/>
      <c r="TDX157" s="3060"/>
      <c r="TDY157" s="3060"/>
      <c r="TDZ157" s="3060"/>
      <c r="TEA157" s="3060"/>
      <c r="TEB157" s="3060"/>
      <c r="TEC157" s="3060"/>
      <c r="TED157" s="3060"/>
      <c r="TEE157" s="3060"/>
      <c r="TEF157" s="3060"/>
      <c r="TEG157" s="3060"/>
      <c r="TEH157" s="3060"/>
      <c r="TEI157" s="3060"/>
      <c r="TEJ157" s="3060"/>
      <c r="TEK157" s="3060"/>
      <c r="TEL157" s="3060"/>
      <c r="TEM157" s="3060"/>
      <c r="TEN157" s="3060"/>
      <c r="TEO157" s="3060"/>
      <c r="TEP157" s="3060"/>
      <c r="TEQ157" s="3060"/>
      <c r="TER157" s="3060"/>
      <c r="TES157" s="3060"/>
      <c r="TET157" s="3060"/>
      <c r="TEU157" s="3060"/>
      <c r="TEV157" s="3060"/>
      <c r="TEW157" s="3060"/>
      <c r="TEX157" s="3060"/>
      <c r="TEY157" s="3060"/>
      <c r="TEZ157" s="3060"/>
      <c r="TFA157" s="3060"/>
      <c r="TFB157" s="3060"/>
      <c r="TFC157" s="3060"/>
      <c r="TFD157" s="3060"/>
      <c r="TFE157" s="3060"/>
      <c r="TFF157" s="3060"/>
      <c r="TFG157" s="3060"/>
      <c r="TFH157" s="3060"/>
      <c r="TFI157" s="3060"/>
      <c r="TFJ157" s="3060"/>
      <c r="TFK157" s="3060"/>
      <c r="TFL157" s="3060"/>
      <c r="TFM157" s="3060"/>
      <c r="TFN157" s="3060"/>
      <c r="TFO157" s="3060"/>
      <c r="TFP157" s="3060"/>
      <c r="TFQ157" s="3060"/>
      <c r="TFR157" s="3060"/>
      <c r="TFS157" s="3060"/>
      <c r="TFT157" s="3060"/>
      <c r="TFU157" s="3060"/>
      <c r="TFV157" s="3060"/>
      <c r="TFW157" s="3060"/>
      <c r="TFX157" s="3060"/>
      <c r="TFY157" s="3060"/>
      <c r="TFZ157" s="3060"/>
      <c r="TGA157" s="3060"/>
      <c r="TGB157" s="3060"/>
      <c r="TGC157" s="3060"/>
      <c r="TGD157" s="3060"/>
      <c r="TGE157" s="3060"/>
      <c r="TGF157" s="3060"/>
      <c r="TGG157" s="3060"/>
      <c r="TGH157" s="3060"/>
      <c r="TGI157" s="3060"/>
      <c r="TGJ157" s="3060"/>
      <c r="TGK157" s="3060"/>
      <c r="TGL157" s="3060"/>
      <c r="TGM157" s="3060"/>
      <c r="TGN157" s="3060"/>
      <c r="TGO157" s="3060"/>
      <c r="TGP157" s="3060"/>
      <c r="TGQ157" s="3060"/>
      <c r="TGR157" s="3060"/>
      <c r="TGS157" s="3060"/>
      <c r="TGT157" s="3060"/>
      <c r="TGU157" s="3060"/>
      <c r="TGV157" s="3060"/>
      <c r="TGW157" s="3060"/>
      <c r="TGX157" s="3060"/>
      <c r="TGY157" s="3060"/>
      <c r="TGZ157" s="3060"/>
      <c r="THA157" s="3060"/>
      <c r="THB157" s="3060"/>
      <c r="THC157" s="3060"/>
      <c r="THD157" s="3060"/>
      <c r="THE157" s="3060"/>
      <c r="THF157" s="3060"/>
      <c r="THG157" s="3060"/>
      <c r="THH157" s="3060"/>
      <c r="THI157" s="3060"/>
      <c r="THJ157" s="3060"/>
      <c r="THK157" s="3060"/>
      <c r="THL157" s="3060"/>
      <c r="THM157" s="3060"/>
      <c r="THN157" s="3060"/>
      <c r="THO157" s="3060"/>
      <c r="THP157" s="3060"/>
      <c r="THQ157" s="3060"/>
      <c r="THR157" s="3060"/>
      <c r="THS157" s="3060"/>
      <c r="THT157" s="3060"/>
      <c r="THU157" s="3060"/>
      <c r="THV157" s="3060"/>
      <c r="THW157" s="3060"/>
      <c r="THX157" s="3060"/>
      <c r="THY157" s="3060"/>
      <c r="THZ157" s="3060"/>
      <c r="TIA157" s="3060"/>
      <c r="TIB157" s="3060"/>
      <c r="TIC157" s="3060"/>
      <c r="TID157" s="3060"/>
      <c r="TIE157" s="3060"/>
      <c r="TIF157" s="3060"/>
      <c r="TIG157" s="3060"/>
      <c r="TIH157" s="3060"/>
      <c r="TII157" s="3060"/>
      <c r="TIJ157" s="3060"/>
      <c r="TIK157" s="3060"/>
      <c r="TIL157" s="3060"/>
      <c r="TIM157" s="3060"/>
      <c r="TIN157" s="3060"/>
      <c r="TIO157" s="3060"/>
      <c r="TIP157" s="3060"/>
      <c r="TIQ157" s="3060"/>
      <c r="TIR157" s="3060"/>
      <c r="TIS157" s="3060"/>
      <c r="TIT157" s="3060"/>
      <c r="TIU157" s="3060"/>
      <c r="TIV157" s="3060"/>
      <c r="TIW157" s="3060"/>
      <c r="TIX157" s="3060"/>
      <c r="TIY157" s="3060"/>
      <c r="TIZ157" s="3060"/>
      <c r="TJA157" s="3060"/>
      <c r="TJB157" s="3060"/>
      <c r="TJC157" s="3060"/>
      <c r="TJD157" s="3060"/>
      <c r="TJE157" s="3060"/>
      <c r="TJF157" s="3060"/>
      <c r="TJG157" s="3060"/>
      <c r="TJH157" s="3060"/>
      <c r="TJI157" s="3060"/>
      <c r="TJJ157" s="3060"/>
      <c r="TJK157" s="3060"/>
      <c r="TJL157" s="3060"/>
      <c r="TJM157" s="3060"/>
      <c r="TJN157" s="3060"/>
      <c r="TJO157" s="3060"/>
      <c r="TJP157" s="3060"/>
      <c r="TJQ157" s="3060"/>
      <c r="TJR157" s="3060"/>
      <c r="TJS157" s="3060"/>
      <c r="TJT157" s="3060"/>
      <c r="TJU157" s="3060"/>
      <c r="TJV157" s="3060"/>
      <c r="TJW157" s="3060"/>
      <c r="TJX157" s="3060"/>
      <c r="TJY157" s="3060"/>
      <c r="TJZ157" s="3060"/>
      <c r="TKA157" s="3060"/>
      <c r="TKB157" s="3060"/>
      <c r="TKC157" s="3060"/>
      <c r="TKD157" s="3060"/>
      <c r="TKE157" s="3060"/>
      <c r="TKF157" s="3060"/>
      <c r="TKG157" s="3060"/>
      <c r="TKH157" s="3060"/>
      <c r="TKI157" s="3060"/>
      <c r="TKJ157" s="3060"/>
      <c r="TKK157" s="3060"/>
      <c r="TKL157" s="3060"/>
      <c r="TKM157" s="3060"/>
      <c r="TKN157" s="3060"/>
      <c r="TKO157" s="3060"/>
      <c r="TKP157" s="3060"/>
      <c r="TKQ157" s="3060"/>
      <c r="TKR157" s="3060"/>
      <c r="TKS157" s="3060"/>
      <c r="TKT157" s="3060"/>
      <c r="TKU157" s="3060"/>
      <c r="TKV157" s="3060"/>
      <c r="TKW157" s="3060"/>
      <c r="TKX157" s="3060"/>
      <c r="TKY157" s="3060"/>
      <c r="TKZ157" s="3060"/>
      <c r="TLA157" s="3060"/>
      <c r="TLB157" s="3060"/>
      <c r="TLC157" s="3060"/>
      <c r="TLD157" s="3060"/>
      <c r="TLE157" s="3060"/>
      <c r="TLF157" s="3060"/>
      <c r="TLG157" s="3060"/>
      <c r="TLH157" s="3060"/>
      <c r="TLI157" s="3060"/>
      <c r="TLJ157" s="3060"/>
      <c r="TLK157" s="3060"/>
      <c r="TLL157" s="3060"/>
      <c r="TLM157" s="3060"/>
      <c r="TLN157" s="3060"/>
      <c r="TLO157" s="3060"/>
      <c r="TLP157" s="3060"/>
      <c r="TLQ157" s="3060"/>
      <c r="TLR157" s="3060"/>
      <c r="TLS157" s="3060"/>
      <c r="TLT157" s="3060"/>
      <c r="TLU157" s="3060"/>
      <c r="TLV157" s="3060"/>
      <c r="TLW157" s="3060"/>
      <c r="TLX157" s="3060"/>
      <c r="TLY157" s="3060"/>
      <c r="TLZ157" s="3060"/>
      <c r="TMA157" s="3060"/>
      <c r="TMB157" s="3060"/>
      <c r="TMC157" s="3060"/>
      <c r="TMD157" s="3060"/>
      <c r="TME157" s="3060"/>
      <c r="TMF157" s="3060"/>
      <c r="TMG157" s="3060"/>
      <c r="TMH157" s="3060"/>
      <c r="TMI157" s="3060"/>
      <c r="TMJ157" s="3060"/>
      <c r="TMK157" s="3060"/>
      <c r="TML157" s="3060"/>
      <c r="TMM157" s="3060"/>
      <c r="TMN157" s="3060"/>
      <c r="TMO157" s="3060"/>
      <c r="TMP157" s="3060"/>
      <c r="TMQ157" s="3060"/>
      <c r="TMR157" s="3060"/>
      <c r="TMS157" s="3060"/>
      <c r="TMT157" s="3060"/>
      <c r="TMU157" s="3060"/>
      <c r="TMV157" s="3060"/>
      <c r="TMW157" s="3060"/>
      <c r="TMX157" s="3060"/>
      <c r="TMY157" s="3060"/>
      <c r="TMZ157" s="3060"/>
      <c r="TNA157" s="3060"/>
      <c r="TNB157" s="3060"/>
      <c r="TNC157" s="3060"/>
      <c r="TND157" s="3060"/>
      <c r="TNE157" s="3060"/>
      <c r="TNF157" s="3060"/>
      <c r="TNG157" s="3060"/>
      <c r="TNH157" s="3060"/>
      <c r="TNI157" s="3060"/>
      <c r="TNJ157" s="3060"/>
      <c r="TNK157" s="3060"/>
      <c r="TNL157" s="3060"/>
      <c r="TNM157" s="3060"/>
      <c r="TNN157" s="3060"/>
      <c r="TNO157" s="3060"/>
      <c r="TNP157" s="3060"/>
      <c r="TNQ157" s="3060"/>
      <c r="TNR157" s="3060"/>
      <c r="TNS157" s="3060"/>
      <c r="TNT157" s="3060"/>
      <c r="TNU157" s="3060"/>
      <c r="TNV157" s="3060"/>
      <c r="TNW157" s="3060"/>
      <c r="TNX157" s="3060"/>
      <c r="TNY157" s="3060"/>
      <c r="TNZ157" s="3060"/>
      <c r="TOA157" s="3060"/>
      <c r="TOB157" s="3060"/>
      <c r="TOC157" s="3060"/>
      <c r="TOD157" s="3060"/>
      <c r="TOE157" s="3060"/>
      <c r="TOF157" s="3060"/>
      <c r="TOG157" s="3060"/>
      <c r="TOH157" s="3060"/>
      <c r="TOI157" s="3060"/>
      <c r="TOJ157" s="3060"/>
      <c r="TOK157" s="3060"/>
      <c r="TOL157" s="3060"/>
      <c r="TOM157" s="3060"/>
      <c r="TON157" s="3060"/>
      <c r="TOO157" s="3060"/>
      <c r="TOP157" s="3060"/>
      <c r="TOQ157" s="3060"/>
      <c r="TOR157" s="3060"/>
      <c r="TOS157" s="3060"/>
      <c r="TOT157" s="3060"/>
      <c r="TOU157" s="3060"/>
      <c r="TOV157" s="3060"/>
      <c r="TOW157" s="3060"/>
      <c r="TOX157" s="3060"/>
      <c r="TOY157" s="3060"/>
      <c r="TOZ157" s="3060"/>
      <c r="TPA157" s="3060"/>
      <c r="TPB157" s="3060"/>
      <c r="TPC157" s="3060"/>
      <c r="TPD157" s="3060"/>
      <c r="TPE157" s="3060"/>
      <c r="TPF157" s="3060"/>
      <c r="TPG157" s="3060"/>
      <c r="TPH157" s="3060"/>
      <c r="TPI157" s="3060"/>
      <c r="TPJ157" s="3060"/>
      <c r="TPK157" s="3060"/>
      <c r="TPL157" s="3060"/>
      <c r="TPM157" s="3060"/>
      <c r="TPN157" s="3060"/>
      <c r="TPO157" s="3060"/>
      <c r="TPP157" s="3060"/>
      <c r="TPQ157" s="3060"/>
      <c r="TPR157" s="3060"/>
      <c r="TPS157" s="3060"/>
      <c r="TPT157" s="3060"/>
      <c r="TPU157" s="3060"/>
      <c r="TPV157" s="3060"/>
      <c r="TPW157" s="3060"/>
      <c r="TPX157" s="3060"/>
      <c r="TPY157" s="3060"/>
      <c r="TPZ157" s="3060"/>
      <c r="TQA157" s="3060"/>
      <c r="TQB157" s="3060"/>
      <c r="TQC157" s="3060"/>
      <c r="TQD157" s="3060"/>
      <c r="TQE157" s="3060"/>
      <c r="TQF157" s="3060"/>
      <c r="TQG157" s="3060"/>
      <c r="TQH157" s="3060"/>
      <c r="TQI157" s="3060"/>
      <c r="TQJ157" s="3060"/>
      <c r="TQK157" s="3060"/>
      <c r="TQL157" s="3060"/>
      <c r="TQM157" s="3060"/>
      <c r="TQN157" s="3060"/>
      <c r="TQO157" s="3060"/>
      <c r="TQP157" s="3060"/>
      <c r="TQQ157" s="3060"/>
      <c r="TQR157" s="3060"/>
      <c r="TQS157" s="3060"/>
      <c r="TQT157" s="3060"/>
      <c r="TQU157" s="3060"/>
      <c r="TQV157" s="3060"/>
      <c r="TQW157" s="3060"/>
      <c r="TQX157" s="3060"/>
      <c r="TQY157" s="3060"/>
      <c r="TQZ157" s="3060"/>
      <c r="TRA157" s="3060"/>
      <c r="TRB157" s="3060"/>
      <c r="TRC157" s="3060"/>
      <c r="TRD157" s="3060"/>
      <c r="TRE157" s="3060"/>
      <c r="TRF157" s="3060"/>
      <c r="TRG157" s="3060"/>
      <c r="TRH157" s="3060"/>
      <c r="TRI157" s="3060"/>
      <c r="TRJ157" s="3060"/>
      <c r="TRK157" s="3060"/>
      <c r="TRL157" s="3060"/>
      <c r="TRM157" s="3060"/>
      <c r="TRN157" s="3060"/>
      <c r="TRO157" s="3060"/>
      <c r="TRP157" s="3060"/>
      <c r="TRQ157" s="3060"/>
      <c r="TRR157" s="3060"/>
      <c r="TRS157" s="3060"/>
      <c r="TRT157" s="3060"/>
      <c r="TRU157" s="3060"/>
      <c r="TRV157" s="3060"/>
      <c r="TRW157" s="3060"/>
      <c r="TRX157" s="3060"/>
      <c r="TRY157" s="3060"/>
      <c r="TRZ157" s="3060"/>
      <c r="TSA157" s="3060"/>
      <c r="TSB157" s="3060"/>
      <c r="TSC157" s="3060"/>
      <c r="TSD157" s="3060"/>
      <c r="TSE157" s="3060"/>
      <c r="TSF157" s="3060"/>
      <c r="TSG157" s="3060"/>
      <c r="TSH157" s="3060"/>
      <c r="TSI157" s="3060"/>
      <c r="TSJ157" s="3060"/>
      <c r="TSK157" s="3060"/>
      <c r="TSL157" s="3060"/>
      <c r="TSM157" s="3060"/>
      <c r="TSN157" s="3060"/>
      <c r="TSO157" s="3060"/>
      <c r="TSP157" s="3060"/>
      <c r="TSQ157" s="3060"/>
      <c r="TSR157" s="3060"/>
      <c r="TSS157" s="3060"/>
      <c r="TST157" s="3060"/>
      <c r="TSU157" s="3060"/>
      <c r="TSV157" s="3060"/>
      <c r="TSW157" s="3060"/>
      <c r="TSX157" s="3060"/>
      <c r="TSY157" s="3060"/>
      <c r="TSZ157" s="3060"/>
      <c r="TTA157" s="3060"/>
      <c r="TTB157" s="3060"/>
      <c r="TTC157" s="3060"/>
      <c r="TTD157" s="3060"/>
      <c r="TTE157" s="3060"/>
      <c r="TTF157" s="3060"/>
      <c r="TTG157" s="3060"/>
      <c r="TTH157" s="3060"/>
      <c r="TTI157" s="3060"/>
      <c r="TTJ157" s="3060"/>
      <c r="TTK157" s="3060"/>
      <c r="TTL157" s="3060"/>
      <c r="TTM157" s="3060"/>
      <c r="TTN157" s="3060"/>
      <c r="TTO157" s="3060"/>
      <c r="TTP157" s="3060"/>
      <c r="TTQ157" s="3060"/>
      <c r="TTR157" s="3060"/>
      <c r="TTS157" s="3060"/>
      <c r="TTT157" s="3060"/>
      <c r="TTU157" s="3060"/>
      <c r="TTV157" s="3060"/>
      <c r="TTW157" s="3060"/>
      <c r="TTX157" s="3060"/>
      <c r="TTY157" s="3060"/>
      <c r="TTZ157" s="3060"/>
      <c r="TUA157" s="3060"/>
      <c r="TUB157" s="3060"/>
      <c r="TUC157" s="3060"/>
      <c r="TUD157" s="3060"/>
      <c r="TUE157" s="3060"/>
      <c r="TUF157" s="3060"/>
      <c r="TUG157" s="3060"/>
      <c r="TUH157" s="3060"/>
      <c r="TUI157" s="3060"/>
      <c r="TUJ157" s="3060"/>
      <c r="TUK157" s="3060"/>
      <c r="TUL157" s="3060"/>
      <c r="TUM157" s="3060"/>
      <c r="TUN157" s="3060"/>
      <c r="TUO157" s="3060"/>
      <c r="TUP157" s="3060"/>
      <c r="TUQ157" s="3060"/>
      <c r="TUR157" s="3060"/>
      <c r="TUS157" s="3060"/>
      <c r="TUT157" s="3060"/>
      <c r="TUU157" s="3060"/>
      <c r="TUV157" s="3060"/>
      <c r="TUW157" s="3060"/>
      <c r="TUX157" s="3060"/>
      <c r="TUY157" s="3060"/>
      <c r="TUZ157" s="3060"/>
      <c r="TVA157" s="3060"/>
      <c r="TVB157" s="3060"/>
      <c r="TVC157" s="3060"/>
      <c r="TVD157" s="3060"/>
      <c r="TVE157" s="3060"/>
      <c r="TVF157" s="3060"/>
      <c r="TVG157" s="3060"/>
      <c r="TVH157" s="3060"/>
      <c r="TVI157" s="3060"/>
      <c r="TVJ157" s="3060"/>
      <c r="TVK157" s="3060"/>
      <c r="TVL157" s="3060"/>
      <c r="TVM157" s="3060"/>
      <c r="TVN157" s="3060"/>
      <c r="TVO157" s="3060"/>
      <c r="TVP157" s="3060"/>
      <c r="TVQ157" s="3060"/>
      <c r="TVR157" s="3060"/>
      <c r="TVS157" s="3060"/>
      <c r="TVT157" s="3060"/>
      <c r="TVU157" s="3060"/>
      <c r="TVV157" s="3060"/>
      <c r="TVW157" s="3060"/>
      <c r="TVX157" s="3060"/>
      <c r="TVY157" s="3060"/>
      <c r="TVZ157" s="3060"/>
      <c r="TWA157" s="3060"/>
      <c r="TWB157" s="3060"/>
      <c r="TWC157" s="3060"/>
      <c r="TWD157" s="3060"/>
      <c r="TWE157" s="3060"/>
      <c r="TWF157" s="3060"/>
      <c r="TWG157" s="3060"/>
      <c r="TWH157" s="3060"/>
      <c r="TWI157" s="3060"/>
      <c r="TWJ157" s="3060"/>
      <c r="TWK157" s="3060"/>
      <c r="TWL157" s="3060"/>
      <c r="TWM157" s="3060"/>
      <c r="TWN157" s="3060"/>
      <c r="TWO157" s="3060"/>
      <c r="TWP157" s="3060"/>
      <c r="TWQ157" s="3060"/>
      <c r="TWR157" s="3060"/>
      <c r="TWS157" s="3060"/>
      <c r="TWT157" s="3060"/>
      <c r="TWU157" s="3060"/>
      <c r="TWV157" s="3060"/>
      <c r="TWW157" s="3060"/>
      <c r="TWX157" s="3060"/>
      <c r="TWY157" s="3060"/>
      <c r="TWZ157" s="3060"/>
      <c r="TXA157" s="3060"/>
      <c r="TXB157" s="3060"/>
      <c r="TXC157" s="3060"/>
      <c r="TXD157" s="3060"/>
      <c r="TXE157" s="3060"/>
      <c r="TXF157" s="3060"/>
      <c r="TXG157" s="3060"/>
      <c r="TXH157" s="3060"/>
      <c r="TXI157" s="3060"/>
      <c r="TXJ157" s="3060"/>
      <c r="TXK157" s="3060"/>
      <c r="TXL157" s="3060"/>
      <c r="TXM157" s="3060"/>
      <c r="TXN157" s="3060"/>
      <c r="TXO157" s="3060"/>
      <c r="TXP157" s="3060"/>
      <c r="TXQ157" s="3060"/>
      <c r="TXR157" s="3060"/>
      <c r="TXS157" s="3060"/>
      <c r="TXT157" s="3060"/>
      <c r="TXU157" s="3060"/>
      <c r="TXV157" s="3060"/>
      <c r="TXW157" s="3060"/>
      <c r="TXX157" s="3060"/>
      <c r="TXY157" s="3060"/>
      <c r="TXZ157" s="3060"/>
      <c r="TYA157" s="3060"/>
      <c r="TYB157" s="3060"/>
      <c r="TYC157" s="3060"/>
      <c r="TYD157" s="3060"/>
      <c r="TYE157" s="3060"/>
      <c r="TYF157" s="3060"/>
      <c r="TYG157" s="3060"/>
      <c r="TYH157" s="3060"/>
      <c r="TYI157" s="3060"/>
      <c r="TYJ157" s="3060"/>
      <c r="TYK157" s="3060"/>
      <c r="TYL157" s="3060"/>
      <c r="TYM157" s="3060"/>
      <c r="TYN157" s="3060"/>
      <c r="TYO157" s="3060"/>
      <c r="TYP157" s="3060"/>
      <c r="TYQ157" s="3060"/>
      <c r="TYR157" s="3060"/>
      <c r="TYS157" s="3060"/>
      <c r="TYT157" s="3060"/>
      <c r="TYU157" s="3060"/>
      <c r="TYV157" s="3060"/>
      <c r="TYW157" s="3060"/>
      <c r="TYX157" s="3060"/>
      <c r="TYY157" s="3060"/>
      <c r="TYZ157" s="3060"/>
      <c r="TZA157" s="3060"/>
      <c r="TZB157" s="3060"/>
      <c r="TZC157" s="3060"/>
      <c r="TZD157" s="3060"/>
      <c r="TZE157" s="3060"/>
      <c r="TZF157" s="3060"/>
      <c r="TZG157" s="3060"/>
      <c r="TZH157" s="3060"/>
      <c r="TZI157" s="3060"/>
      <c r="TZJ157" s="3060"/>
      <c r="TZK157" s="3060"/>
      <c r="TZL157" s="3060"/>
      <c r="TZM157" s="3060"/>
      <c r="TZN157" s="3060"/>
      <c r="TZO157" s="3060"/>
      <c r="TZP157" s="3060"/>
      <c r="TZQ157" s="3060"/>
      <c r="TZR157" s="3060"/>
      <c r="TZS157" s="3060"/>
      <c r="TZT157" s="3060"/>
      <c r="TZU157" s="3060"/>
      <c r="TZV157" s="3060"/>
      <c r="TZW157" s="3060"/>
      <c r="TZX157" s="3060"/>
      <c r="TZY157" s="3060"/>
      <c r="TZZ157" s="3060"/>
      <c r="UAA157" s="3060"/>
      <c r="UAB157" s="3060"/>
      <c r="UAC157" s="3060"/>
      <c r="UAD157" s="3060"/>
      <c r="UAE157" s="3060"/>
      <c r="UAF157" s="3060"/>
      <c r="UAG157" s="3060"/>
      <c r="UAH157" s="3060"/>
      <c r="UAI157" s="3060"/>
      <c r="UAJ157" s="3060"/>
      <c r="UAK157" s="3060"/>
      <c r="UAL157" s="3060"/>
      <c r="UAM157" s="3060"/>
      <c r="UAN157" s="3060"/>
      <c r="UAO157" s="3060"/>
      <c r="UAP157" s="3060"/>
      <c r="UAQ157" s="3060"/>
      <c r="UAR157" s="3060"/>
      <c r="UAS157" s="3060"/>
      <c r="UAT157" s="3060"/>
      <c r="UAU157" s="3060"/>
      <c r="UAV157" s="3060"/>
      <c r="UAW157" s="3060"/>
      <c r="UAX157" s="3060"/>
      <c r="UAY157" s="3060"/>
      <c r="UAZ157" s="3060"/>
      <c r="UBA157" s="3060"/>
      <c r="UBB157" s="3060"/>
      <c r="UBC157" s="3060"/>
      <c r="UBD157" s="3060"/>
      <c r="UBE157" s="3060"/>
      <c r="UBF157" s="3060"/>
      <c r="UBG157" s="3060"/>
      <c r="UBH157" s="3060"/>
      <c r="UBI157" s="3060"/>
      <c r="UBJ157" s="3060"/>
      <c r="UBK157" s="3060"/>
      <c r="UBL157" s="3060"/>
      <c r="UBM157" s="3060"/>
      <c r="UBN157" s="3060"/>
      <c r="UBO157" s="3060"/>
      <c r="UBP157" s="3060"/>
      <c r="UBQ157" s="3060"/>
      <c r="UBR157" s="3060"/>
      <c r="UBS157" s="3060"/>
      <c r="UBT157" s="3060"/>
      <c r="UBU157" s="3060"/>
      <c r="UBV157" s="3060"/>
      <c r="UBW157" s="3060"/>
      <c r="UBX157" s="3060"/>
      <c r="UBY157" s="3060"/>
      <c r="UBZ157" s="3060"/>
      <c r="UCA157" s="3060"/>
      <c r="UCB157" s="3060"/>
      <c r="UCC157" s="3060"/>
      <c r="UCD157" s="3060"/>
      <c r="UCE157" s="3060"/>
      <c r="UCF157" s="3060"/>
      <c r="UCG157" s="3060"/>
      <c r="UCH157" s="3060"/>
      <c r="UCI157" s="3060"/>
      <c r="UCJ157" s="3060"/>
      <c r="UCK157" s="3060"/>
      <c r="UCL157" s="3060"/>
      <c r="UCM157" s="3060"/>
      <c r="UCN157" s="3060"/>
      <c r="UCO157" s="3060"/>
      <c r="UCP157" s="3060"/>
      <c r="UCQ157" s="3060"/>
      <c r="UCR157" s="3060"/>
      <c r="UCS157" s="3060"/>
      <c r="UCT157" s="3060"/>
      <c r="UCU157" s="3060"/>
      <c r="UCV157" s="3060"/>
      <c r="UCW157" s="3060"/>
      <c r="UCX157" s="3060"/>
      <c r="UCY157" s="3060"/>
      <c r="UCZ157" s="3060"/>
      <c r="UDA157" s="3060"/>
      <c r="UDB157" s="3060"/>
      <c r="UDC157" s="3060"/>
      <c r="UDD157" s="3060"/>
      <c r="UDE157" s="3060"/>
      <c r="UDF157" s="3060"/>
      <c r="UDG157" s="3060"/>
      <c r="UDH157" s="3060"/>
      <c r="UDI157" s="3060"/>
      <c r="UDJ157" s="3060"/>
      <c r="UDK157" s="3060"/>
      <c r="UDL157" s="3060"/>
      <c r="UDM157" s="3060"/>
      <c r="UDN157" s="3060"/>
      <c r="UDO157" s="3060"/>
      <c r="UDP157" s="3060"/>
      <c r="UDQ157" s="3060"/>
      <c r="UDR157" s="3060"/>
      <c r="UDS157" s="3060"/>
      <c r="UDT157" s="3060"/>
      <c r="UDU157" s="3060"/>
      <c r="UDV157" s="3060"/>
      <c r="UDW157" s="3060"/>
      <c r="UDX157" s="3060"/>
      <c r="UDY157" s="3060"/>
      <c r="UDZ157" s="3060"/>
      <c r="UEA157" s="3060"/>
      <c r="UEB157" s="3060"/>
      <c r="UEC157" s="3060"/>
      <c r="UED157" s="3060"/>
      <c r="UEE157" s="3060"/>
      <c r="UEF157" s="3060"/>
      <c r="UEG157" s="3060"/>
      <c r="UEH157" s="3060"/>
      <c r="UEI157" s="3060"/>
      <c r="UEJ157" s="3060"/>
      <c r="UEK157" s="3060"/>
      <c r="UEL157" s="3060"/>
      <c r="UEM157" s="3060"/>
      <c r="UEN157" s="3060"/>
      <c r="UEO157" s="3060"/>
      <c r="UEP157" s="3060"/>
      <c r="UEQ157" s="3060"/>
      <c r="UER157" s="3060"/>
      <c r="UES157" s="3060"/>
      <c r="UET157" s="3060"/>
      <c r="UEU157" s="3060"/>
      <c r="UEV157" s="3060"/>
      <c r="UEW157" s="3060"/>
      <c r="UEX157" s="3060"/>
      <c r="UEY157" s="3060"/>
      <c r="UEZ157" s="3060"/>
      <c r="UFA157" s="3060"/>
      <c r="UFB157" s="3060"/>
      <c r="UFC157" s="3060"/>
      <c r="UFD157" s="3060"/>
      <c r="UFE157" s="3060"/>
      <c r="UFF157" s="3060"/>
      <c r="UFG157" s="3060"/>
      <c r="UFH157" s="3060"/>
      <c r="UFI157" s="3060"/>
      <c r="UFJ157" s="3060"/>
      <c r="UFK157" s="3060"/>
      <c r="UFL157" s="3060"/>
      <c r="UFM157" s="3060"/>
      <c r="UFN157" s="3060"/>
      <c r="UFO157" s="3060"/>
      <c r="UFP157" s="3060"/>
      <c r="UFQ157" s="3060"/>
      <c r="UFR157" s="3060"/>
      <c r="UFS157" s="3060"/>
      <c r="UFT157" s="3060"/>
      <c r="UFU157" s="3060"/>
      <c r="UFV157" s="3060"/>
      <c r="UFW157" s="3060"/>
      <c r="UFX157" s="3060"/>
      <c r="UFY157" s="3060"/>
      <c r="UFZ157" s="3060"/>
      <c r="UGA157" s="3060"/>
      <c r="UGB157" s="3060"/>
      <c r="UGC157" s="3060"/>
      <c r="UGD157" s="3060"/>
      <c r="UGE157" s="3060"/>
      <c r="UGF157" s="3060"/>
      <c r="UGG157" s="3060"/>
      <c r="UGH157" s="3060"/>
      <c r="UGI157" s="3060"/>
      <c r="UGJ157" s="3060"/>
      <c r="UGK157" s="3060"/>
      <c r="UGL157" s="3060"/>
      <c r="UGM157" s="3060"/>
      <c r="UGN157" s="3060"/>
      <c r="UGO157" s="3060"/>
      <c r="UGP157" s="3060"/>
      <c r="UGQ157" s="3060"/>
      <c r="UGR157" s="3060"/>
      <c r="UGS157" s="3060"/>
      <c r="UGT157" s="3060"/>
      <c r="UGU157" s="3060"/>
      <c r="UGV157" s="3060"/>
      <c r="UGW157" s="3060"/>
      <c r="UGX157" s="3060"/>
      <c r="UGY157" s="3060"/>
      <c r="UGZ157" s="3060"/>
      <c r="UHA157" s="3060"/>
      <c r="UHB157" s="3060"/>
      <c r="UHC157" s="3060"/>
      <c r="UHD157" s="3060"/>
      <c r="UHE157" s="3060"/>
      <c r="UHF157" s="3060"/>
      <c r="UHG157" s="3060"/>
      <c r="UHH157" s="3060"/>
      <c r="UHI157" s="3060"/>
      <c r="UHJ157" s="3060"/>
      <c r="UHK157" s="3060"/>
      <c r="UHL157" s="3060"/>
      <c r="UHM157" s="3060"/>
      <c r="UHN157" s="3060"/>
      <c r="UHO157" s="3060"/>
      <c r="UHP157" s="3060"/>
      <c r="UHQ157" s="3060"/>
      <c r="UHR157" s="3060"/>
      <c r="UHS157" s="3060"/>
      <c r="UHT157" s="3060"/>
      <c r="UHU157" s="3060"/>
      <c r="UHV157" s="3060"/>
      <c r="UHW157" s="3060"/>
      <c r="UHX157" s="3060"/>
      <c r="UHY157" s="3060"/>
      <c r="UHZ157" s="3060"/>
      <c r="UIA157" s="3060"/>
      <c r="UIB157" s="3060"/>
      <c r="UIC157" s="3060"/>
      <c r="UID157" s="3060"/>
      <c r="UIE157" s="3060"/>
      <c r="UIF157" s="3060"/>
      <c r="UIG157" s="3060"/>
      <c r="UIH157" s="3060"/>
      <c r="UII157" s="3060"/>
      <c r="UIJ157" s="3060"/>
      <c r="UIK157" s="3060"/>
      <c r="UIL157" s="3060"/>
      <c r="UIM157" s="3060"/>
      <c r="UIN157" s="3060"/>
      <c r="UIO157" s="3060"/>
      <c r="UIP157" s="3060"/>
      <c r="UIQ157" s="3060"/>
      <c r="UIR157" s="3060"/>
      <c r="UIS157" s="3060"/>
      <c r="UIT157" s="3060"/>
      <c r="UIU157" s="3060"/>
      <c r="UIV157" s="3060"/>
      <c r="UIW157" s="3060"/>
      <c r="UIX157" s="3060"/>
      <c r="UIY157" s="3060"/>
      <c r="UIZ157" s="3060"/>
      <c r="UJA157" s="3060"/>
      <c r="UJB157" s="3060"/>
      <c r="UJC157" s="3060"/>
      <c r="UJD157" s="3060"/>
      <c r="UJE157" s="3060"/>
      <c r="UJF157" s="3060"/>
      <c r="UJG157" s="3060"/>
      <c r="UJH157" s="3060"/>
      <c r="UJI157" s="3060"/>
      <c r="UJJ157" s="3060"/>
      <c r="UJK157" s="3060"/>
      <c r="UJL157" s="3060"/>
      <c r="UJM157" s="3060"/>
      <c r="UJN157" s="3060"/>
      <c r="UJO157" s="3060"/>
      <c r="UJP157" s="3060"/>
      <c r="UJQ157" s="3060"/>
      <c r="UJR157" s="3060"/>
      <c r="UJS157" s="3060"/>
      <c r="UJT157" s="3060"/>
      <c r="UJU157" s="3060"/>
      <c r="UJV157" s="3060"/>
      <c r="UJW157" s="3060"/>
      <c r="UJX157" s="3060"/>
      <c r="UJY157" s="3060"/>
      <c r="UJZ157" s="3060"/>
      <c r="UKA157" s="3060"/>
      <c r="UKB157" s="3060"/>
      <c r="UKC157" s="3060"/>
      <c r="UKD157" s="3060"/>
      <c r="UKE157" s="3060"/>
      <c r="UKF157" s="3060"/>
      <c r="UKG157" s="3060"/>
      <c r="UKH157" s="3060"/>
      <c r="UKI157" s="3060"/>
      <c r="UKJ157" s="3060"/>
      <c r="UKK157" s="3060"/>
      <c r="UKL157" s="3060"/>
      <c r="UKM157" s="3060"/>
      <c r="UKN157" s="3060"/>
      <c r="UKO157" s="3060"/>
      <c r="UKP157" s="3060"/>
      <c r="UKQ157" s="3060"/>
      <c r="UKR157" s="3060"/>
      <c r="UKS157" s="3060"/>
      <c r="UKT157" s="3060"/>
      <c r="UKU157" s="3060"/>
      <c r="UKV157" s="3060"/>
      <c r="UKW157" s="3060"/>
      <c r="UKX157" s="3060"/>
      <c r="UKY157" s="3060"/>
      <c r="UKZ157" s="3060"/>
      <c r="ULA157" s="3060"/>
      <c r="ULB157" s="3060"/>
      <c r="ULC157" s="3060"/>
      <c r="ULD157" s="3060"/>
      <c r="ULE157" s="3060"/>
      <c r="ULF157" s="3060"/>
      <c r="ULG157" s="3060"/>
      <c r="ULH157" s="3060"/>
      <c r="ULI157" s="3060"/>
      <c r="ULJ157" s="3060"/>
      <c r="ULK157" s="3060"/>
      <c r="ULL157" s="3060"/>
      <c r="ULM157" s="3060"/>
      <c r="ULN157" s="3060"/>
      <c r="ULO157" s="3060"/>
      <c r="ULP157" s="3060"/>
      <c r="ULQ157" s="3060"/>
      <c r="ULR157" s="3060"/>
      <c r="ULS157" s="3060"/>
      <c r="ULT157" s="3060"/>
      <c r="ULU157" s="3060"/>
      <c r="ULV157" s="3060"/>
      <c r="ULW157" s="3060"/>
      <c r="ULX157" s="3060"/>
      <c r="ULY157" s="3060"/>
      <c r="ULZ157" s="3060"/>
      <c r="UMA157" s="3060"/>
      <c r="UMB157" s="3060"/>
      <c r="UMC157" s="3060"/>
      <c r="UMD157" s="3060"/>
      <c r="UME157" s="3060"/>
      <c r="UMF157" s="3060"/>
      <c r="UMG157" s="3060"/>
      <c r="UMH157" s="3060"/>
      <c r="UMI157" s="3060"/>
      <c r="UMJ157" s="3060"/>
      <c r="UMK157" s="3060"/>
      <c r="UML157" s="3060"/>
      <c r="UMM157" s="3060"/>
      <c r="UMN157" s="3060"/>
      <c r="UMO157" s="3060"/>
      <c r="UMP157" s="3060"/>
      <c r="UMQ157" s="3060"/>
      <c r="UMR157" s="3060"/>
      <c r="UMS157" s="3060"/>
      <c r="UMT157" s="3060"/>
      <c r="UMU157" s="3060"/>
      <c r="UMV157" s="3060"/>
      <c r="UMW157" s="3060"/>
      <c r="UMX157" s="3060"/>
      <c r="UMY157" s="3060"/>
      <c r="UMZ157" s="3060"/>
      <c r="UNA157" s="3060"/>
      <c r="UNB157" s="3060"/>
      <c r="UNC157" s="3060"/>
      <c r="UND157" s="3060"/>
      <c r="UNE157" s="3060"/>
      <c r="UNF157" s="3060"/>
      <c r="UNG157" s="3060"/>
      <c r="UNH157" s="3060"/>
      <c r="UNI157" s="3060"/>
      <c r="UNJ157" s="3060"/>
      <c r="UNK157" s="3060"/>
      <c r="UNL157" s="3060"/>
      <c r="UNM157" s="3060"/>
      <c r="UNN157" s="3060"/>
      <c r="UNO157" s="3060"/>
      <c r="UNP157" s="3060"/>
      <c r="UNQ157" s="3060"/>
      <c r="UNR157" s="3060"/>
      <c r="UNS157" s="3060"/>
      <c r="UNT157" s="3060"/>
      <c r="UNU157" s="3060"/>
      <c r="UNV157" s="3060"/>
      <c r="UNW157" s="3060"/>
      <c r="UNX157" s="3060"/>
      <c r="UNY157" s="3060"/>
      <c r="UNZ157" s="3060"/>
      <c r="UOA157" s="3060"/>
      <c r="UOB157" s="3060"/>
      <c r="UOC157" s="3060"/>
      <c r="UOD157" s="3060"/>
      <c r="UOE157" s="3060"/>
      <c r="UOF157" s="3060"/>
      <c r="UOG157" s="3060"/>
      <c r="UOH157" s="3060"/>
      <c r="UOI157" s="3060"/>
      <c r="UOJ157" s="3060"/>
      <c r="UOK157" s="3060"/>
      <c r="UOL157" s="3060"/>
      <c r="UOM157" s="3060"/>
      <c r="UON157" s="3060"/>
      <c r="UOO157" s="3060"/>
      <c r="UOP157" s="3060"/>
      <c r="UOQ157" s="3060"/>
      <c r="UOR157" s="3060"/>
      <c r="UOS157" s="3060"/>
      <c r="UOT157" s="3060"/>
      <c r="UOU157" s="3060"/>
      <c r="UOV157" s="3060"/>
      <c r="UOW157" s="3060"/>
      <c r="UOX157" s="3060"/>
      <c r="UOY157" s="3060"/>
      <c r="UOZ157" s="3060"/>
      <c r="UPA157" s="3060"/>
      <c r="UPB157" s="3060"/>
      <c r="UPC157" s="3060"/>
      <c r="UPD157" s="3060"/>
      <c r="UPE157" s="3060"/>
      <c r="UPF157" s="3060"/>
      <c r="UPG157" s="3060"/>
      <c r="UPH157" s="3060"/>
      <c r="UPI157" s="3060"/>
      <c r="UPJ157" s="3060"/>
      <c r="UPK157" s="3060"/>
      <c r="UPL157" s="3060"/>
      <c r="UPM157" s="3060"/>
      <c r="UPN157" s="3060"/>
      <c r="UPO157" s="3060"/>
      <c r="UPP157" s="3060"/>
      <c r="UPQ157" s="3060"/>
      <c r="UPR157" s="3060"/>
      <c r="UPS157" s="3060"/>
      <c r="UPT157" s="3060"/>
      <c r="UPU157" s="3060"/>
      <c r="UPV157" s="3060"/>
      <c r="UPW157" s="3060"/>
      <c r="UPX157" s="3060"/>
      <c r="UPY157" s="3060"/>
      <c r="UPZ157" s="3060"/>
      <c r="UQA157" s="3060"/>
      <c r="UQB157" s="3060"/>
      <c r="UQC157" s="3060"/>
      <c r="UQD157" s="3060"/>
      <c r="UQE157" s="3060"/>
      <c r="UQF157" s="3060"/>
      <c r="UQG157" s="3060"/>
      <c r="UQH157" s="3060"/>
      <c r="UQI157" s="3060"/>
      <c r="UQJ157" s="3060"/>
      <c r="UQK157" s="3060"/>
      <c r="UQL157" s="3060"/>
      <c r="UQM157" s="3060"/>
      <c r="UQN157" s="3060"/>
      <c r="UQO157" s="3060"/>
      <c r="UQP157" s="3060"/>
      <c r="UQQ157" s="3060"/>
      <c r="UQR157" s="3060"/>
      <c r="UQS157" s="3060"/>
      <c r="UQT157" s="3060"/>
      <c r="UQU157" s="3060"/>
      <c r="UQV157" s="3060"/>
      <c r="UQW157" s="3060"/>
      <c r="UQX157" s="3060"/>
      <c r="UQY157" s="3060"/>
      <c r="UQZ157" s="3060"/>
      <c r="URA157" s="3060"/>
      <c r="URB157" s="3060"/>
      <c r="URC157" s="3060"/>
      <c r="URD157" s="3060"/>
      <c r="URE157" s="3060"/>
      <c r="URF157" s="3060"/>
      <c r="URG157" s="3060"/>
      <c r="URH157" s="3060"/>
      <c r="URI157" s="3060"/>
      <c r="URJ157" s="3060"/>
      <c r="URK157" s="3060"/>
      <c r="URL157" s="3060"/>
      <c r="URM157" s="3060"/>
      <c r="URN157" s="3060"/>
      <c r="URO157" s="3060"/>
      <c r="URP157" s="3060"/>
      <c r="URQ157" s="3060"/>
      <c r="URR157" s="3060"/>
      <c r="URS157" s="3060"/>
      <c r="URT157" s="3060"/>
      <c r="URU157" s="3060"/>
      <c r="URV157" s="3060"/>
      <c r="URW157" s="3060"/>
      <c r="URX157" s="3060"/>
      <c r="URY157" s="3060"/>
      <c r="URZ157" s="3060"/>
      <c r="USA157" s="3060"/>
      <c r="USB157" s="3060"/>
      <c r="USC157" s="3060"/>
      <c r="USD157" s="3060"/>
      <c r="USE157" s="3060"/>
      <c r="USF157" s="3060"/>
      <c r="USG157" s="3060"/>
      <c r="USH157" s="3060"/>
      <c r="USI157" s="3060"/>
      <c r="USJ157" s="3060"/>
      <c r="USK157" s="3060"/>
      <c r="USL157" s="3060"/>
      <c r="USM157" s="3060"/>
      <c r="USN157" s="3060"/>
      <c r="USO157" s="3060"/>
      <c r="USP157" s="3060"/>
      <c r="USQ157" s="3060"/>
      <c r="USR157" s="3060"/>
      <c r="USS157" s="3060"/>
      <c r="UST157" s="3060"/>
      <c r="USU157" s="3060"/>
      <c r="USV157" s="3060"/>
      <c r="USW157" s="3060"/>
      <c r="USX157" s="3060"/>
      <c r="USY157" s="3060"/>
      <c r="USZ157" s="3060"/>
      <c r="UTA157" s="3060"/>
      <c r="UTB157" s="3060"/>
      <c r="UTC157" s="3060"/>
      <c r="UTD157" s="3060"/>
      <c r="UTE157" s="3060"/>
      <c r="UTF157" s="3060"/>
      <c r="UTG157" s="3060"/>
      <c r="UTH157" s="3060"/>
      <c r="UTI157" s="3060"/>
      <c r="UTJ157" s="3060"/>
      <c r="UTK157" s="3060"/>
      <c r="UTL157" s="3060"/>
      <c r="UTM157" s="3060"/>
      <c r="UTN157" s="3060"/>
      <c r="UTO157" s="3060"/>
      <c r="UTP157" s="3060"/>
      <c r="UTQ157" s="3060"/>
      <c r="UTR157" s="3060"/>
      <c r="UTS157" s="3060"/>
      <c r="UTT157" s="3060"/>
      <c r="UTU157" s="3060"/>
      <c r="UTV157" s="3060"/>
      <c r="UTW157" s="3060"/>
      <c r="UTX157" s="3060"/>
      <c r="UTY157" s="3060"/>
      <c r="UTZ157" s="3060"/>
      <c r="UUA157" s="3060"/>
      <c r="UUB157" s="3060"/>
      <c r="UUC157" s="3060"/>
      <c r="UUD157" s="3060"/>
      <c r="UUE157" s="3060"/>
      <c r="UUF157" s="3060"/>
      <c r="UUG157" s="3060"/>
      <c r="UUH157" s="3060"/>
      <c r="UUI157" s="3060"/>
      <c r="UUJ157" s="3060"/>
      <c r="UUK157" s="3060"/>
      <c r="UUL157" s="3060"/>
      <c r="UUM157" s="3060"/>
      <c r="UUN157" s="3060"/>
      <c r="UUO157" s="3060"/>
      <c r="UUP157" s="3060"/>
      <c r="UUQ157" s="3060"/>
      <c r="UUR157" s="3060"/>
      <c r="UUS157" s="3060"/>
      <c r="UUT157" s="3060"/>
      <c r="UUU157" s="3060"/>
      <c r="UUV157" s="3060"/>
      <c r="UUW157" s="3060"/>
      <c r="UUX157" s="3060"/>
      <c r="UUY157" s="3060"/>
      <c r="UUZ157" s="3060"/>
      <c r="UVA157" s="3060"/>
      <c r="UVB157" s="3060"/>
      <c r="UVC157" s="3060"/>
      <c r="UVD157" s="3060"/>
      <c r="UVE157" s="3060"/>
      <c r="UVF157" s="3060"/>
      <c r="UVG157" s="3060"/>
      <c r="UVH157" s="3060"/>
      <c r="UVI157" s="3060"/>
      <c r="UVJ157" s="3060"/>
      <c r="UVK157" s="3060"/>
      <c r="UVL157" s="3060"/>
      <c r="UVM157" s="3060"/>
      <c r="UVN157" s="3060"/>
      <c r="UVO157" s="3060"/>
      <c r="UVP157" s="3060"/>
      <c r="UVQ157" s="3060"/>
      <c r="UVR157" s="3060"/>
      <c r="UVS157" s="3060"/>
      <c r="UVT157" s="3060"/>
      <c r="UVU157" s="3060"/>
      <c r="UVV157" s="3060"/>
      <c r="UVW157" s="3060"/>
      <c r="UVX157" s="3060"/>
      <c r="UVY157" s="3060"/>
      <c r="UVZ157" s="3060"/>
      <c r="UWA157" s="3060"/>
      <c r="UWB157" s="3060"/>
      <c r="UWC157" s="3060"/>
      <c r="UWD157" s="3060"/>
      <c r="UWE157" s="3060"/>
      <c r="UWF157" s="3060"/>
      <c r="UWG157" s="3060"/>
      <c r="UWH157" s="3060"/>
      <c r="UWI157" s="3060"/>
      <c r="UWJ157" s="3060"/>
      <c r="UWK157" s="3060"/>
      <c r="UWL157" s="3060"/>
      <c r="UWM157" s="3060"/>
      <c r="UWN157" s="3060"/>
      <c r="UWO157" s="3060"/>
      <c r="UWP157" s="3060"/>
      <c r="UWQ157" s="3060"/>
      <c r="UWR157" s="3060"/>
      <c r="UWS157" s="3060"/>
      <c r="UWT157" s="3060"/>
      <c r="UWU157" s="3060"/>
      <c r="UWV157" s="3060"/>
      <c r="UWW157" s="3060"/>
      <c r="UWX157" s="3060"/>
      <c r="UWY157" s="3060"/>
      <c r="UWZ157" s="3060"/>
      <c r="UXA157" s="3060"/>
      <c r="UXB157" s="3060"/>
      <c r="UXC157" s="3060"/>
      <c r="UXD157" s="3060"/>
      <c r="UXE157" s="3060"/>
      <c r="UXF157" s="3060"/>
      <c r="UXG157" s="3060"/>
      <c r="UXH157" s="3060"/>
      <c r="UXI157" s="3060"/>
      <c r="UXJ157" s="3060"/>
      <c r="UXK157" s="3060"/>
      <c r="UXL157" s="3060"/>
      <c r="UXM157" s="3060"/>
      <c r="UXN157" s="3060"/>
      <c r="UXO157" s="3060"/>
      <c r="UXP157" s="3060"/>
      <c r="UXQ157" s="3060"/>
      <c r="UXR157" s="3060"/>
      <c r="UXS157" s="3060"/>
      <c r="UXT157" s="3060"/>
      <c r="UXU157" s="3060"/>
      <c r="UXV157" s="3060"/>
      <c r="UXW157" s="3060"/>
      <c r="UXX157" s="3060"/>
      <c r="UXY157" s="3060"/>
      <c r="UXZ157" s="3060"/>
      <c r="UYA157" s="3060"/>
      <c r="UYB157" s="3060"/>
      <c r="UYC157" s="3060"/>
      <c r="UYD157" s="3060"/>
      <c r="UYE157" s="3060"/>
      <c r="UYF157" s="3060"/>
      <c r="UYG157" s="3060"/>
      <c r="UYH157" s="3060"/>
      <c r="UYI157" s="3060"/>
      <c r="UYJ157" s="3060"/>
      <c r="UYK157" s="3060"/>
      <c r="UYL157" s="3060"/>
      <c r="UYM157" s="3060"/>
      <c r="UYN157" s="3060"/>
      <c r="UYO157" s="3060"/>
      <c r="UYP157" s="3060"/>
      <c r="UYQ157" s="3060"/>
      <c r="UYR157" s="3060"/>
      <c r="UYS157" s="3060"/>
      <c r="UYT157" s="3060"/>
      <c r="UYU157" s="3060"/>
      <c r="UYV157" s="3060"/>
      <c r="UYW157" s="3060"/>
      <c r="UYX157" s="3060"/>
      <c r="UYY157" s="3060"/>
      <c r="UYZ157" s="3060"/>
      <c r="UZA157" s="3060"/>
      <c r="UZB157" s="3060"/>
      <c r="UZC157" s="3060"/>
      <c r="UZD157" s="3060"/>
      <c r="UZE157" s="3060"/>
      <c r="UZF157" s="3060"/>
      <c r="UZG157" s="3060"/>
      <c r="UZH157" s="3060"/>
      <c r="UZI157" s="3060"/>
      <c r="UZJ157" s="3060"/>
      <c r="UZK157" s="3060"/>
      <c r="UZL157" s="3060"/>
      <c r="UZM157" s="3060"/>
      <c r="UZN157" s="3060"/>
      <c r="UZO157" s="3060"/>
      <c r="UZP157" s="3060"/>
      <c r="UZQ157" s="3060"/>
      <c r="UZR157" s="3060"/>
      <c r="UZS157" s="3060"/>
      <c r="UZT157" s="3060"/>
      <c r="UZU157" s="3060"/>
      <c r="UZV157" s="3060"/>
      <c r="UZW157" s="3060"/>
      <c r="UZX157" s="3060"/>
      <c r="UZY157" s="3060"/>
      <c r="UZZ157" s="3060"/>
      <c r="VAA157" s="3060"/>
      <c r="VAB157" s="3060"/>
      <c r="VAC157" s="3060"/>
      <c r="VAD157" s="3060"/>
      <c r="VAE157" s="3060"/>
      <c r="VAF157" s="3060"/>
      <c r="VAG157" s="3060"/>
      <c r="VAH157" s="3060"/>
      <c r="VAI157" s="3060"/>
      <c r="VAJ157" s="3060"/>
      <c r="VAK157" s="3060"/>
      <c r="VAL157" s="3060"/>
      <c r="VAM157" s="3060"/>
      <c r="VAN157" s="3060"/>
      <c r="VAO157" s="3060"/>
      <c r="VAP157" s="3060"/>
      <c r="VAQ157" s="3060"/>
      <c r="VAR157" s="3060"/>
      <c r="VAS157" s="3060"/>
      <c r="VAT157" s="3060"/>
      <c r="VAU157" s="3060"/>
      <c r="VAV157" s="3060"/>
      <c r="VAW157" s="3060"/>
      <c r="VAX157" s="3060"/>
      <c r="VAY157" s="3060"/>
      <c r="VAZ157" s="3060"/>
      <c r="VBA157" s="3060"/>
      <c r="VBB157" s="3060"/>
      <c r="VBC157" s="3060"/>
      <c r="VBD157" s="3060"/>
      <c r="VBE157" s="3060"/>
      <c r="VBF157" s="3060"/>
      <c r="VBG157" s="3060"/>
      <c r="VBH157" s="3060"/>
      <c r="VBI157" s="3060"/>
      <c r="VBJ157" s="3060"/>
      <c r="VBK157" s="3060"/>
      <c r="VBL157" s="3060"/>
      <c r="VBM157" s="3060"/>
      <c r="VBN157" s="3060"/>
      <c r="VBO157" s="3060"/>
      <c r="VBP157" s="3060"/>
      <c r="VBQ157" s="3060"/>
      <c r="VBR157" s="3060"/>
      <c r="VBS157" s="3060"/>
      <c r="VBT157" s="3060"/>
      <c r="VBU157" s="3060"/>
      <c r="VBV157" s="3060"/>
      <c r="VBW157" s="3060"/>
      <c r="VBX157" s="3060"/>
      <c r="VBY157" s="3060"/>
      <c r="VBZ157" s="3060"/>
      <c r="VCA157" s="3060"/>
      <c r="VCB157" s="3060"/>
      <c r="VCC157" s="3060"/>
      <c r="VCD157" s="3060"/>
      <c r="VCE157" s="3060"/>
      <c r="VCF157" s="3060"/>
      <c r="VCG157" s="3060"/>
      <c r="VCH157" s="3060"/>
      <c r="VCI157" s="3060"/>
      <c r="VCJ157" s="3060"/>
      <c r="VCK157" s="3060"/>
      <c r="VCL157" s="3060"/>
      <c r="VCM157" s="3060"/>
      <c r="VCN157" s="3060"/>
      <c r="VCO157" s="3060"/>
      <c r="VCP157" s="3060"/>
      <c r="VCQ157" s="3060"/>
      <c r="VCR157" s="3060"/>
      <c r="VCS157" s="3060"/>
      <c r="VCT157" s="3060"/>
      <c r="VCU157" s="3060"/>
      <c r="VCV157" s="3060"/>
      <c r="VCW157" s="3060"/>
      <c r="VCX157" s="3060"/>
      <c r="VCY157" s="3060"/>
      <c r="VCZ157" s="3060"/>
      <c r="VDA157" s="3060"/>
      <c r="VDB157" s="3060"/>
      <c r="VDC157" s="3060"/>
      <c r="VDD157" s="3060"/>
      <c r="VDE157" s="3060"/>
      <c r="VDF157" s="3060"/>
      <c r="VDG157" s="3060"/>
      <c r="VDH157" s="3060"/>
      <c r="VDI157" s="3060"/>
      <c r="VDJ157" s="3060"/>
      <c r="VDK157" s="3060"/>
      <c r="VDL157" s="3060"/>
      <c r="VDM157" s="3060"/>
      <c r="VDN157" s="3060"/>
      <c r="VDO157" s="3060"/>
      <c r="VDP157" s="3060"/>
      <c r="VDQ157" s="3060"/>
      <c r="VDR157" s="3060"/>
      <c r="VDS157" s="3060"/>
      <c r="VDT157" s="3060"/>
      <c r="VDU157" s="3060"/>
      <c r="VDV157" s="3060"/>
      <c r="VDW157" s="3060"/>
      <c r="VDX157" s="3060"/>
      <c r="VDY157" s="3060"/>
      <c r="VDZ157" s="3060"/>
      <c r="VEA157" s="3060"/>
      <c r="VEB157" s="3060"/>
      <c r="VEC157" s="3060"/>
      <c r="VED157" s="3060"/>
      <c r="VEE157" s="3060"/>
      <c r="VEF157" s="3060"/>
      <c r="VEG157" s="3060"/>
      <c r="VEH157" s="3060"/>
      <c r="VEI157" s="3060"/>
      <c r="VEJ157" s="3060"/>
      <c r="VEK157" s="3060"/>
      <c r="VEL157" s="3060"/>
      <c r="VEM157" s="3060"/>
      <c r="VEN157" s="3060"/>
      <c r="VEO157" s="3060"/>
      <c r="VEP157" s="3060"/>
      <c r="VEQ157" s="3060"/>
      <c r="VER157" s="3060"/>
      <c r="VES157" s="3060"/>
      <c r="VET157" s="3060"/>
      <c r="VEU157" s="3060"/>
      <c r="VEV157" s="3060"/>
      <c r="VEW157" s="3060"/>
      <c r="VEX157" s="3060"/>
      <c r="VEY157" s="3060"/>
      <c r="VEZ157" s="3060"/>
      <c r="VFA157" s="3060"/>
      <c r="VFB157" s="3060"/>
      <c r="VFC157" s="3060"/>
      <c r="VFD157" s="3060"/>
      <c r="VFE157" s="3060"/>
      <c r="VFF157" s="3060"/>
      <c r="VFG157" s="3060"/>
      <c r="VFH157" s="3060"/>
      <c r="VFI157" s="3060"/>
      <c r="VFJ157" s="3060"/>
      <c r="VFK157" s="3060"/>
      <c r="VFL157" s="3060"/>
      <c r="VFM157" s="3060"/>
      <c r="VFN157" s="3060"/>
      <c r="VFO157" s="3060"/>
      <c r="VFP157" s="3060"/>
      <c r="VFQ157" s="3060"/>
      <c r="VFR157" s="3060"/>
      <c r="VFS157" s="3060"/>
      <c r="VFT157" s="3060"/>
      <c r="VFU157" s="3060"/>
      <c r="VFV157" s="3060"/>
      <c r="VFW157" s="3060"/>
      <c r="VFX157" s="3060"/>
      <c r="VFY157" s="3060"/>
      <c r="VFZ157" s="3060"/>
      <c r="VGA157" s="3060"/>
      <c r="VGB157" s="3060"/>
      <c r="VGC157" s="3060"/>
      <c r="VGD157" s="3060"/>
      <c r="VGE157" s="3060"/>
      <c r="VGF157" s="3060"/>
      <c r="VGG157" s="3060"/>
      <c r="VGH157" s="3060"/>
      <c r="VGI157" s="3060"/>
      <c r="VGJ157" s="3060"/>
      <c r="VGK157" s="3060"/>
      <c r="VGL157" s="3060"/>
      <c r="VGM157" s="3060"/>
      <c r="VGN157" s="3060"/>
      <c r="VGO157" s="3060"/>
      <c r="VGP157" s="3060"/>
      <c r="VGQ157" s="3060"/>
      <c r="VGR157" s="3060"/>
      <c r="VGS157" s="3060"/>
      <c r="VGT157" s="3060"/>
      <c r="VGU157" s="3060"/>
      <c r="VGV157" s="3060"/>
      <c r="VGW157" s="3060"/>
      <c r="VGX157" s="3060"/>
      <c r="VGY157" s="3060"/>
      <c r="VGZ157" s="3060"/>
      <c r="VHA157" s="3060"/>
      <c r="VHB157" s="3060"/>
      <c r="VHC157" s="3060"/>
      <c r="VHD157" s="3060"/>
      <c r="VHE157" s="3060"/>
      <c r="VHF157" s="3060"/>
      <c r="VHG157" s="3060"/>
      <c r="VHH157" s="3060"/>
      <c r="VHI157" s="3060"/>
      <c r="VHJ157" s="3060"/>
      <c r="VHK157" s="3060"/>
      <c r="VHL157" s="3060"/>
      <c r="VHM157" s="3060"/>
      <c r="VHN157" s="3060"/>
      <c r="VHO157" s="3060"/>
      <c r="VHP157" s="3060"/>
      <c r="VHQ157" s="3060"/>
      <c r="VHR157" s="3060"/>
      <c r="VHS157" s="3060"/>
      <c r="VHT157" s="3060"/>
      <c r="VHU157" s="3060"/>
      <c r="VHV157" s="3060"/>
      <c r="VHW157" s="3060"/>
      <c r="VHX157" s="3060"/>
      <c r="VHY157" s="3060"/>
      <c r="VHZ157" s="3060"/>
      <c r="VIA157" s="3060"/>
      <c r="VIB157" s="3060"/>
      <c r="VIC157" s="3060"/>
      <c r="VID157" s="3060"/>
      <c r="VIE157" s="3060"/>
      <c r="VIF157" s="3060"/>
      <c r="VIG157" s="3060"/>
      <c r="VIH157" s="3060"/>
      <c r="VII157" s="3060"/>
      <c r="VIJ157" s="3060"/>
      <c r="VIK157" s="3060"/>
      <c r="VIL157" s="3060"/>
      <c r="VIM157" s="3060"/>
      <c r="VIN157" s="3060"/>
      <c r="VIO157" s="3060"/>
      <c r="VIP157" s="3060"/>
      <c r="VIQ157" s="3060"/>
      <c r="VIR157" s="3060"/>
      <c r="VIS157" s="3060"/>
      <c r="VIT157" s="3060"/>
      <c r="VIU157" s="3060"/>
      <c r="VIV157" s="3060"/>
      <c r="VIW157" s="3060"/>
      <c r="VIX157" s="3060"/>
      <c r="VIY157" s="3060"/>
      <c r="VIZ157" s="3060"/>
      <c r="VJA157" s="3060"/>
      <c r="VJB157" s="3060"/>
      <c r="VJC157" s="3060"/>
      <c r="VJD157" s="3060"/>
      <c r="VJE157" s="3060"/>
      <c r="VJF157" s="3060"/>
      <c r="VJG157" s="3060"/>
      <c r="VJH157" s="3060"/>
      <c r="VJI157" s="3060"/>
      <c r="VJJ157" s="3060"/>
      <c r="VJK157" s="3060"/>
      <c r="VJL157" s="3060"/>
      <c r="VJM157" s="3060"/>
      <c r="VJN157" s="3060"/>
      <c r="VJO157" s="3060"/>
      <c r="VJP157" s="3060"/>
      <c r="VJQ157" s="3060"/>
      <c r="VJR157" s="3060"/>
      <c r="VJS157" s="3060"/>
      <c r="VJT157" s="3060"/>
      <c r="VJU157" s="3060"/>
      <c r="VJV157" s="3060"/>
      <c r="VJW157" s="3060"/>
      <c r="VJX157" s="3060"/>
      <c r="VJY157" s="3060"/>
      <c r="VJZ157" s="3060"/>
      <c r="VKA157" s="3060"/>
      <c r="VKB157" s="3060"/>
      <c r="VKC157" s="3060"/>
      <c r="VKD157" s="3060"/>
      <c r="VKE157" s="3060"/>
      <c r="VKF157" s="3060"/>
      <c r="VKG157" s="3060"/>
      <c r="VKH157" s="3060"/>
      <c r="VKI157" s="3060"/>
      <c r="VKJ157" s="3060"/>
      <c r="VKK157" s="3060"/>
      <c r="VKL157" s="3060"/>
      <c r="VKM157" s="3060"/>
      <c r="VKN157" s="3060"/>
      <c r="VKO157" s="3060"/>
      <c r="VKP157" s="3060"/>
      <c r="VKQ157" s="3060"/>
      <c r="VKR157" s="3060"/>
      <c r="VKS157" s="3060"/>
      <c r="VKT157" s="3060"/>
      <c r="VKU157" s="3060"/>
      <c r="VKV157" s="3060"/>
      <c r="VKW157" s="3060"/>
      <c r="VKX157" s="3060"/>
      <c r="VKY157" s="3060"/>
      <c r="VKZ157" s="3060"/>
      <c r="VLA157" s="3060"/>
      <c r="VLB157" s="3060"/>
      <c r="VLC157" s="3060"/>
      <c r="VLD157" s="3060"/>
      <c r="VLE157" s="3060"/>
      <c r="VLF157" s="3060"/>
      <c r="VLG157" s="3060"/>
      <c r="VLH157" s="3060"/>
      <c r="VLI157" s="3060"/>
      <c r="VLJ157" s="3060"/>
      <c r="VLK157" s="3060"/>
      <c r="VLL157" s="3060"/>
      <c r="VLM157" s="3060"/>
      <c r="VLN157" s="3060"/>
      <c r="VLO157" s="3060"/>
      <c r="VLP157" s="3060"/>
      <c r="VLQ157" s="3060"/>
      <c r="VLR157" s="3060"/>
      <c r="VLS157" s="3060"/>
      <c r="VLT157" s="3060"/>
      <c r="VLU157" s="3060"/>
      <c r="VLV157" s="3060"/>
      <c r="VLW157" s="3060"/>
      <c r="VLX157" s="3060"/>
      <c r="VLY157" s="3060"/>
      <c r="VLZ157" s="3060"/>
      <c r="VMA157" s="3060"/>
      <c r="VMB157" s="3060"/>
      <c r="VMC157" s="3060"/>
      <c r="VMD157" s="3060"/>
      <c r="VME157" s="3060"/>
      <c r="VMF157" s="3060"/>
      <c r="VMG157" s="3060"/>
      <c r="VMH157" s="3060"/>
      <c r="VMI157" s="3060"/>
      <c r="VMJ157" s="3060"/>
      <c r="VMK157" s="3060"/>
      <c r="VML157" s="3060"/>
      <c r="VMM157" s="3060"/>
      <c r="VMN157" s="3060"/>
      <c r="VMO157" s="3060"/>
      <c r="VMP157" s="3060"/>
      <c r="VMQ157" s="3060"/>
      <c r="VMR157" s="3060"/>
      <c r="VMS157" s="3060"/>
      <c r="VMT157" s="3060"/>
      <c r="VMU157" s="3060"/>
      <c r="VMV157" s="3060"/>
      <c r="VMW157" s="3060"/>
      <c r="VMX157" s="3060"/>
      <c r="VMY157" s="3060"/>
      <c r="VMZ157" s="3060"/>
      <c r="VNA157" s="3060"/>
      <c r="VNB157" s="3060"/>
      <c r="VNC157" s="3060"/>
      <c r="VND157" s="3060"/>
      <c r="VNE157" s="3060"/>
      <c r="VNF157" s="3060"/>
      <c r="VNG157" s="3060"/>
      <c r="VNH157" s="3060"/>
      <c r="VNI157" s="3060"/>
      <c r="VNJ157" s="3060"/>
      <c r="VNK157" s="3060"/>
      <c r="VNL157" s="3060"/>
      <c r="VNM157" s="3060"/>
      <c r="VNN157" s="3060"/>
      <c r="VNO157" s="3060"/>
      <c r="VNP157" s="3060"/>
      <c r="VNQ157" s="3060"/>
      <c r="VNR157" s="3060"/>
      <c r="VNS157" s="3060"/>
      <c r="VNT157" s="3060"/>
      <c r="VNU157" s="3060"/>
      <c r="VNV157" s="3060"/>
      <c r="VNW157" s="3060"/>
      <c r="VNX157" s="3060"/>
      <c r="VNY157" s="3060"/>
      <c r="VNZ157" s="3060"/>
      <c r="VOA157" s="3060"/>
      <c r="VOB157" s="3060"/>
      <c r="VOC157" s="3060"/>
      <c r="VOD157" s="3060"/>
      <c r="VOE157" s="3060"/>
      <c r="VOF157" s="3060"/>
      <c r="VOG157" s="3060"/>
      <c r="VOH157" s="3060"/>
      <c r="VOI157" s="3060"/>
      <c r="VOJ157" s="3060"/>
      <c r="VOK157" s="3060"/>
      <c r="VOL157" s="3060"/>
      <c r="VOM157" s="3060"/>
      <c r="VON157" s="3060"/>
      <c r="VOO157" s="3060"/>
      <c r="VOP157" s="3060"/>
      <c r="VOQ157" s="3060"/>
      <c r="VOR157" s="3060"/>
      <c r="VOS157" s="3060"/>
      <c r="VOT157" s="3060"/>
      <c r="VOU157" s="3060"/>
      <c r="VOV157" s="3060"/>
      <c r="VOW157" s="3060"/>
      <c r="VOX157" s="3060"/>
      <c r="VOY157" s="3060"/>
      <c r="VOZ157" s="3060"/>
      <c r="VPA157" s="3060"/>
      <c r="VPB157" s="3060"/>
      <c r="VPC157" s="3060"/>
      <c r="VPD157" s="3060"/>
      <c r="VPE157" s="3060"/>
      <c r="VPF157" s="3060"/>
      <c r="VPG157" s="3060"/>
      <c r="VPH157" s="3060"/>
      <c r="VPI157" s="3060"/>
      <c r="VPJ157" s="3060"/>
      <c r="VPK157" s="3060"/>
      <c r="VPL157" s="3060"/>
      <c r="VPM157" s="3060"/>
      <c r="VPN157" s="3060"/>
      <c r="VPO157" s="3060"/>
      <c r="VPP157" s="3060"/>
      <c r="VPQ157" s="3060"/>
      <c r="VPR157" s="3060"/>
      <c r="VPS157" s="3060"/>
      <c r="VPT157" s="3060"/>
      <c r="VPU157" s="3060"/>
      <c r="VPV157" s="3060"/>
      <c r="VPW157" s="3060"/>
      <c r="VPX157" s="3060"/>
      <c r="VPY157" s="3060"/>
      <c r="VPZ157" s="3060"/>
      <c r="VQA157" s="3060"/>
      <c r="VQB157" s="3060"/>
      <c r="VQC157" s="3060"/>
      <c r="VQD157" s="3060"/>
      <c r="VQE157" s="3060"/>
      <c r="VQF157" s="3060"/>
      <c r="VQG157" s="3060"/>
      <c r="VQH157" s="3060"/>
      <c r="VQI157" s="3060"/>
      <c r="VQJ157" s="3060"/>
      <c r="VQK157" s="3060"/>
      <c r="VQL157" s="3060"/>
      <c r="VQM157" s="3060"/>
      <c r="VQN157" s="3060"/>
      <c r="VQO157" s="3060"/>
      <c r="VQP157" s="3060"/>
      <c r="VQQ157" s="3060"/>
      <c r="VQR157" s="3060"/>
      <c r="VQS157" s="3060"/>
      <c r="VQT157" s="3060"/>
      <c r="VQU157" s="3060"/>
      <c r="VQV157" s="3060"/>
      <c r="VQW157" s="3060"/>
      <c r="VQX157" s="3060"/>
      <c r="VQY157" s="3060"/>
      <c r="VQZ157" s="3060"/>
      <c r="VRA157" s="3060"/>
      <c r="VRB157" s="3060"/>
      <c r="VRC157" s="3060"/>
      <c r="VRD157" s="3060"/>
      <c r="VRE157" s="3060"/>
      <c r="VRF157" s="3060"/>
      <c r="VRG157" s="3060"/>
      <c r="VRH157" s="3060"/>
      <c r="VRI157" s="3060"/>
      <c r="VRJ157" s="3060"/>
      <c r="VRK157" s="3060"/>
      <c r="VRL157" s="3060"/>
      <c r="VRM157" s="3060"/>
      <c r="VRN157" s="3060"/>
      <c r="VRO157" s="3060"/>
      <c r="VRP157" s="3060"/>
      <c r="VRQ157" s="3060"/>
      <c r="VRR157" s="3060"/>
      <c r="VRS157" s="3060"/>
      <c r="VRT157" s="3060"/>
      <c r="VRU157" s="3060"/>
      <c r="VRV157" s="3060"/>
      <c r="VRW157" s="3060"/>
      <c r="VRX157" s="3060"/>
      <c r="VRY157" s="3060"/>
      <c r="VRZ157" s="3060"/>
      <c r="VSA157" s="3060"/>
      <c r="VSB157" s="3060"/>
      <c r="VSC157" s="3060"/>
      <c r="VSD157" s="3060"/>
      <c r="VSE157" s="3060"/>
      <c r="VSF157" s="3060"/>
      <c r="VSG157" s="3060"/>
      <c r="VSH157" s="3060"/>
      <c r="VSI157" s="3060"/>
      <c r="VSJ157" s="3060"/>
      <c r="VSK157" s="3060"/>
      <c r="VSL157" s="3060"/>
      <c r="VSM157" s="3060"/>
      <c r="VSN157" s="3060"/>
      <c r="VSO157" s="3060"/>
      <c r="VSP157" s="3060"/>
      <c r="VSQ157" s="3060"/>
      <c r="VSR157" s="3060"/>
      <c r="VSS157" s="3060"/>
      <c r="VST157" s="3060"/>
      <c r="VSU157" s="3060"/>
      <c r="VSV157" s="3060"/>
      <c r="VSW157" s="3060"/>
      <c r="VSX157" s="3060"/>
      <c r="VSY157" s="3060"/>
      <c r="VSZ157" s="3060"/>
      <c r="VTA157" s="3060"/>
      <c r="VTB157" s="3060"/>
      <c r="VTC157" s="3060"/>
      <c r="VTD157" s="3060"/>
      <c r="VTE157" s="3060"/>
      <c r="VTF157" s="3060"/>
      <c r="VTG157" s="3060"/>
      <c r="VTH157" s="3060"/>
      <c r="VTI157" s="3060"/>
      <c r="VTJ157" s="3060"/>
      <c r="VTK157" s="3060"/>
      <c r="VTL157" s="3060"/>
      <c r="VTM157" s="3060"/>
      <c r="VTN157" s="3060"/>
      <c r="VTO157" s="3060"/>
      <c r="VTP157" s="3060"/>
      <c r="VTQ157" s="3060"/>
      <c r="VTR157" s="3060"/>
      <c r="VTS157" s="3060"/>
      <c r="VTT157" s="3060"/>
      <c r="VTU157" s="3060"/>
      <c r="VTV157" s="3060"/>
      <c r="VTW157" s="3060"/>
      <c r="VTX157" s="3060"/>
      <c r="VTY157" s="3060"/>
      <c r="VTZ157" s="3060"/>
      <c r="VUA157" s="3060"/>
      <c r="VUB157" s="3060"/>
      <c r="VUC157" s="3060"/>
      <c r="VUD157" s="3060"/>
      <c r="VUE157" s="3060"/>
      <c r="VUF157" s="3060"/>
      <c r="VUG157" s="3060"/>
      <c r="VUH157" s="3060"/>
      <c r="VUI157" s="3060"/>
      <c r="VUJ157" s="3060"/>
      <c r="VUK157" s="3060"/>
      <c r="VUL157" s="3060"/>
      <c r="VUM157" s="3060"/>
      <c r="VUN157" s="3060"/>
      <c r="VUO157" s="3060"/>
      <c r="VUP157" s="3060"/>
      <c r="VUQ157" s="3060"/>
      <c r="VUR157" s="3060"/>
      <c r="VUS157" s="3060"/>
      <c r="VUT157" s="3060"/>
      <c r="VUU157" s="3060"/>
      <c r="VUV157" s="3060"/>
      <c r="VUW157" s="3060"/>
      <c r="VUX157" s="3060"/>
      <c r="VUY157" s="3060"/>
      <c r="VUZ157" s="3060"/>
      <c r="VVA157" s="3060"/>
      <c r="VVB157" s="3060"/>
      <c r="VVC157" s="3060"/>
      <c r="VVD157" s="3060"/>
      <c r="VVE157" s="3060"/>
      <c r="VVF157" s="3060"/>
      <c r="VVG157" s="3060"/>
      <c r="VVH157" s="3060"/>
      <c r="VVI157" s="3060"/>
      <c r="VVJ157" s="3060"/>
      <c r="VVK157" s="3060"/>
      <c r="VVL157" s="3060"/>
      <c r="VVM157" s="3060"/>
      <c r="VVN157" s="3060"/>
      <c r="VVO157" s="3060"/>
      <c r="VVP157" s="3060"/>
      <c r="VVQ157" s="3060"/>
      <c r="VVR157" s="3060"/>
      <c r="VVS157" s="3060"/>
      <c r="VVT157" s="3060"/>
      <c r="VVU157" s="3060"/>
      <c r="VVV157" s="3060"/>
      <c r="VVW157" s="3060"/>
      <c r="VVX157" s="3060"/>
      <c r="VVY157" s="3060"/>
      <c r="VVZ157" s="3060"/>
      <c r="VWA157" s="3060"/>
      <c r="VWB157" s="3060"/>
      <c r="VWC157" s="3060"/>
      <c r="VWD157" s="3060"/>
      <c r="VWE157" s="3060"/>
      <c r="VWF157" s="3060"/>
      <c r="VWG157" s="3060"/>
      <c r="VWH157" s="3060"/>
      <c r="VWI157" s="3060"/>
      <c r="VWJ157" s="3060"/>
      <c r="VWK157" s="3060"/>
      <c r="VWL157" s="3060"/>
      <c r="VWM157" s="3060"/>
      <c r="VWN157" s="3060"/>
      <c r="VWO157" s="3060"/>
      <c r="VWP157" s="3060"/>
      <c r="VWQ157" s="3060"/>
      <c r="VWR157" s="3060"/>
      <c r="VWS157" s="3060"/>
      <c r="VWT157" s="3060"/>
      <c r="VWU157" s="3060"/>
      <c r="VWV157" s="3060"/>
      <c r="VWW157" s="3060"/>
      <c r="VWX157" s="3060"/>
      <c r="VWY157" s="3060"/>
      <c r="VWZ157" s="3060"/>
      <c r="VXA157" s="3060"/>
      <c r="VXB157" s="3060"/>
      <c r="VXC157" s="3060"/>
      <c r="VXD157" s="3060"/>
      <c r="VXE157" s="3060"/>
      <c r="VXF157" s="3060"/>
      <c r="VXG157" s="3060"/>
      <c r="VXH157" s="3060"/>
      <c r="VXI157" s="3060"/>
      <c r="VXJ157" s="3060"/>
      <c r="VXK157" s="3060"/>
      <c r="VXL157" s="3060"/>
      <c r="VXM157" s="3060"/>
      <c r="VXN157" s="3060"/>
      <c r="VXO157" s="3060"/>
      <c r="VXP157" s="3060"/>
      <c r="VXQ157" s="3060"/>
      <c r="VXR157" s="3060"/>
      <c r="VXS157" s="3060"/>
      <c r="VXT157" s="3060"/>
      <c r="VXU157" s="3060"/>
      <c r="VXV157" s="3060"/>
      <c r="VXW157" s="3060"/>
      <c r="VXX157" s="3060"/>
      <c r="VXY157" s="3060"/>
      <c r="VXZ157" s="3060"/>
      <c r="VYA157" s="3060"/>
      <c r="VYB157" s="3060"/>
      <c r="VYC157" s="3060"/>
      <c r="VYD157" s="3060"/>
      <c r="VYE157" s="3060"/>
      <c r="VYF157" s="3060"/>
      <c r="VYG157" s="3060"/>
      <c r="VYH157" s="3060"/>
      <c r="VYI157" s="3060"/>
      <c r="VYJ157" s="3060"/>
      <c r="VYK157" s="3060"/>
      <c r="VYL157" s="3060"/>
      <c r="VYM157" s="3060"/>
      <c r="VYN157" s="3060"/>
      <c r="VYO157" s="3060"/>
      <c r="VYP157" s="3060"/>
      <c r="VYQ157" s="3060"/>
      <c r="VYR157" s="3060"/>
      <c r="VYS157" s="3060"/>
      <c r="VYT157" s="3060"/>
      <c r="VYU157" s="3060"/>
      <c r="VYV157" s="3060"/>
      <c r="VYW157" s="3060"/>
      <c r="VYX157" s="3060"/>
      <c r="VYY157" s="3060"/>
      <c r="VYZ157" s="3060"/>
      <c r="VZA157" s="3060"/>
      <c r="VZB157" s="3060"/>
      <c r="VZC157" s="3060"/>
      <c r="VZD157" s="3060"/>
      <c r="VZE157" s="3060"/>
      <c r="VZF157" s="3060"/>
      <c r="VZG157" s="3060"/>
      <c r="VZH157" s="3060"/>
      <c r="VZI157" s="3060"/>
      <c r="VZJ157" s="3060"/>
      <c r="VZK157" s="3060"/>
      <c r="VZL157" s="3060"/>
      <c r="VZM157" s="3060"/>
      <c r="VZN157" s="3060"/>
      <c r="VZO157" s="3060"/>
      <c r="VZP157" s="3060"/>
      <c r="VZQ157" s="3060"/>
      <c r="VZR157" s="3060"/>
      <c r="VZS157" s="3060"/>
      <c r="VZT157" s="3060"/>
      <c r="VZU157" s="3060"/>
      <c r="VZV157" s="3060"/>
      <c r="VZW157" s="3060"/>
      <c r="VZX157" s="3060"/>
      <c r="VZY157" s="3060"/>
      <c r="VZZ157" s="3060"/>
      <c r="WAA157" s="3060"/>
      <c r="WAB157" s="3060"/>
      <c r="WAC157" s="3060"/>
      <c r="WAD157" s="3060"/>
      <c r="WAE157" s="3060"/>
      <c r="WAF157" s="3060"/>
      <c r="WAG157" s="3060"/>
      <c r="WAH157" s="3060"/>
      <c r="WAI157" s="3060"/>
      <c r="WAJ157" s="3060"/>
      <c r="WAK157" s="3060"/>
      <c r="WAL157" s="3060"/>
      <c r="WAM157" s="3060"/>
      <c r="WAN157" s="3060"/>
      <c r="WAO157" s="3060"/>
      <c r="WAP157" s="3060"/>
      <c r="WAQ157" s="3060"/>
      <c r="WAR157" s="3060"/>
      <c r="WAS157" s="3060"/>
      <c r="WAT157" s="3060"/>
      <c r="WAU157" s="3060"/>
      <c r="WAV157" s="3060"/>
      <c r="WAW157" s="3060"/>
      <c r="WAX157" s="3060"/>
      <c r="WAY157" s="3060"/>
      <c r="WAZ157" s="3060"/>
      <c r="WBA157" s="3060"/>
      <c r="WBB157" s="3060"/>
      <c r="WBC157" s="3060"/>
      <c r="WBD157" s="3060"/>
      <c r="WBE157" s="3060"/>
      <c r="WBF157" s="3060"/>
      <c r="WBG157" s="3060"/>
      <c r="WBH157" s="3060"/>
      <c r="WBI157" s="3060"/>
      <c r="WBJ157" s="3060"/>
      <c r="WBK157" s="3060"/>
      <c r="WBL157" s="3060"/>
      <c r="WBM157" s="3060"/>
      <c r="WBN157" s="3060"/>
      <c r="WBO157" s="3060"/>
      <c r="WBP157" s="3060"/>
      <c r="WBQ157" s="3060"/>
      <c r="WBR157" s="3060"/>
      <c r="WBS157" s="3060"/>
      <c r="WBT157" s="3060"/>
      <c r="WBU157" s="3060"/>
      <c r="WBV157" s="3060"/>
      <c r="WBW157" s="3060"/>
      <c r="WBX157" s="3060"/>
      <c r="WBY157" s="3060"/>
      <c r="WBZ157" s="3060"/>
      <c r="WCA157" s="3060"/>
      <c r="WCB157" s="3060"/>
      <c r="WCC157" s="3060"/>
      <c r="WCD157" s="3060"/>
      <c r="WCE157" s="3060"/>
      <c r="WCF157" s="3060"/>
      <c r="WCG157" s="3060"/>
      <c r="WCH157" s="3060"/>
      <c r="WCI157" s="3060"/>
      <c r="WCJ157" s="3060"/>
      <c r="WCK157" s="3060"/>
      <c r="WCL157" s="3060"/>
      <c r="WCM157" s="3060"/>
      <c r="WCN157" s="3060"/>
      <c r="WCO157" s="3060"/>
      <c r="WCP157" s="3060"/>
      <c r="WCQ157" s="3060"/>
      <c r="WCR157" s="3060"/>
      <c r="WCS157" s="3060"/>
      <c r="WCT157" s="3060"/>
      <c r="WCU157" s="3060"/>
      <c r="WCV157" s="3060"/>
      <c r="WCW157" s="3060"/>
      <c r="WCX157" s="3060"/>
      <c r="WCY157" s="3060"/>
      <c r="WCZ157" s="3060"/>
      <c r="WDA157" s="3060"/>
      <c r="WDB157" s="3060"/>
      <c r="WDC157" s="3060"/>
      <c r="WDD157" s="3060"/>
      <c r="WDE157" s="3060"/>
      <c r="WDF157" s="3060"/>
      <c r="WDG157" s="3060"/>
      <c r="WDH157" s="3060"/>
      <c r="WDI157" s="3060"/>
      <c r="WDJ157" s="3060"/>
      <c r="WDK157" s="3060"/>
      <c r="WDL157" s="3060"/>
      <c r="WDM157" s="3060"/>
      <c r="WDN157" s="3060"/>
      <c r="WDO157" s="3060"/>
      <c r="WDP157" s="3060"/>
      <c r="WDQ157" s="3060"/>
      <c r="WDR157" s="3060"/>
      <c r="WDS157" s="3060"/>
      <c r="WDT157" s="3060"/>
      <c r="WDU157" s="3060"/>
      <c r="WDV157" s="3060"/>
      <c r="WDW157" s="3060"/>
      <c r="WDX157" s="3060"/>
      <c r="WDY157" s="3060"/>
      <c r="WDZ157" s="3060"/>
      <c r="WEA157" s="3060"/>
      <c r="WEB157" s="3060"/>
      <c r="WEC157" s="3060"/>
      <c r="WED157" s="3060"/>
      <c r="WEE157" s="3060"/>
      <c r="WEF157" s="3060"/>
      <c r="WEG157" s="3060"/>
      <c r="WEH157" s="3060"/>
      <c r="WEI157" s="3060"/>
      <c r="WEJ157" s="3060"/>
      <c r="WEK157" s="3060"/>
      <c r="WEL157" s="3060"/>
      <c r="WEM157" s="3060"/>
      <c r="WEN157" s="3060"/>
      <c r="WEO157" s="3060"/>
      <c r="WEP157" s="3060"/>
      <c r="WEQ157" s="3060"/>
      <c r="WER157" s="3060"/>
      <c r="WES157" s="3060"/>
      <c r="WET157" s="3060"/>
      <c r="WEU157" s="3060"/>
      <c r="WEV157" s="3060"/>
      <c r="WEW157" s="3060"/>
      <c r="WEX157" s="3060"/>
      <c r="WEY157" s="3060"/>
      <c r="WEZ157" s="3060"/>
      <c r="WFA157" s="3060"/>
      <c r="WFB157" s="3060"/>
      <c r="WFC157" s="3060"/>
      <c r="WFD157" s="3060"/>
      <c r="WFE157" s="3060"/>
      <c r="WFF157" s="3060"/>
      <c r="WFG157" s="3060"/>
      <c r="WFH157" s="3060"/>
      <c r="WFI157" s="3060"/>
      <c r="WFJ157" s="3060"/>
      <c r="WFK157" s="3060"/>
      <c r="WFL157" s="3060"/>
      <c r="WFM157" s="3060"/>
      <c r="WFN157" s="3060"/>
      <c r="WFO157" s="3060"/>
      <c r="WFP157" s="3060"/>
      <c r="WFQ157" s="3060"/>
      <c r="WFR157" s="3060"/>
      <c r="WFS157" s="3060"/>
      <c r="WFT157" s="3060"/>
      <c r="WFU157" s="3060"/>
      <c r="WFV157" s="3060"/>
      <c r="WFW157" s="3060"/>
      <c r="WFX157" s="3060"/>
      <c r="WFY157" s="3060"/>
      <c r="WFZ157" s="3060"/>
      <c r="WGA157" s="3060"/>
      <c r="WGB157" s="3060"/>
      <c r="WGC157" s="3060"/>
      <c r="WGD157" s="3060"/>
      <c r="WGE157" s="3060"/>
      <c r="WGF157" s="3060"/>
      <c r="WGG157" s="3060"/>
      <c r="WGH157" s="3060"/>
      <c r="WGI157" s="3060"/>
      <c r="WGJ157" s="3060"/>
      <c r="WGK157" s="3060"/>
      <c r="WGL157" s="3060"/>
      <c r="WGM157" s="3060"/>
      <c r="WGN157" s="3060"/>
      <c r="WGO157" s="3060"/>
      <c r="WGP157" s="3060"/>
      <c r="WGQ157" s="3060"/>
      <c r="WGR157" s="3060"/>
      <c r="WGS157" s="3060"/>
      <c r="WGT157" s="3060"/>
      <c r="WGU157" s="3060"/>
      <c r="WGV157" s="3060"/>
      <c r="WGW157" s="3060"/>
      <c r="WGX157" s="3060"/>
      <c r="WGY157" s="3060"/>
      <c r="WGZ157" s="3060"/>
      <c r="WHA157" s="3060"/>
      <c r="WHB157" s="3060"/>
      <c r="WHC157" s="3060"/>
      <c r="WHD157" s="3060"/>
      <c r="WHE157" s="3060"/>
      <c r="WHF157" s="3060"/>
      <c r="WHG157" s="3060"/>
      <c r="WHH157" s="3060"/>
      <c r="WHI157" s="3060"/>
      <c r="WHJ157" s="3060"/>
      <c r="WHK157" s="3060"/>
      <c r="WHL157" s="3060"/>
      <c r="WHM157" s="3060"/>
      <c r="WHN157" s="3060"/>
      <c r="WHO157" s="3060"/>
      <c r="WHP157" s="3060"/>
      <c r="WHQ157" s="3060"/>
      <c r="WHR157" s="3060"/>
      <c r="WHS157" s="3060"/>
      <c r="WHT157" s="3060"/>
      <c r="WHU157" s="3060"/>
      <c r="WHV157" s="3060"/>
      <c r="WHW157" s="3060"/>
      <c r="WHX157" s="3060"/>
      <c r="WHY157" s="3060"/>
      <c r="WHZ157" s="3060"/>
      <c r="WIA157" s="3060"/>
      <c r="WIB157" s="3060"/>
      <c r="WIC157" s="3060"/>
      <c r="WID157" s="3060"/>
      <c r="WIE157" s="3060"/>
      <c r="WIF157" s="3060"/>
      <c r="WIG157" s="3060"/>
      <c r="WIH157" s="3060"/>
      <c r="WII157" s="3060"/>
      <c r="WIJ157" s="3060"/>
      <c r="WIK157" s="3060"/>
      <c r="WIL157" s="3060"/>
      <c r="WIM157" s="3060"/>
      <c r="WIN157" s="3060"/>
      <c r="WIO157" s="3060"/>
      <c r="WIP157" s="3060"/>
      <c r="WIQ157" s="3060"/>
      <c r="WIR157" s="3060"/>
      <c r="WIS157" s="3060"/>
      <c r="WIT157" s="3060"/>
      <c r="WIU157" s="3060"/>
      <c r="WIV157" s="3060"/>
      <c r="WIW157" s="3060"/>
      <c r="WIX157" s="3060"/>
      <c r="WIY157" s="3060"/>
      <c r="WIZ157" s="3060"/>
      <c r="WJA157" s="3060"/>
      <c r="WJB157" s="3060"/>
      <c r="WJC157" s="3060"/>
      <c r="WJD157" s="3060"/>
      <c r="WJE157" s="3060"/>
      <c r="WJF157" s="3060"/>
      <c r="WJG157" s="3060"/>
      <c r="WJH157" s="3060"/>
      <c r="WJI157" s="3060"/>
      <c r="WJJ157" s="3060"/>
      <c r="WJK157" s="3060"/>
      <c r="WJL157" s="3060"/>
      <c r="WJM157" s="3060"/>
      <c r="WJN157" s="3060"/>
      <c r="WJO157" s="3060"/>
      <c r="WJP157" s="3060"/>
      <c r="WJQ157" s="3060"/>
      <c r="WJR157" s="3060"/>
      <c r="WJS157" s="3060"/>
      <c r="WJT157" s="3060"/>
      <c r="WJU157" s="3060"/>
      <c r="WJV157" s="3060"/>
      <c r="WJW157" s="3060"/>
      <c r="WJX157" s="3060"/>
      <c r="WJY157" s="3060"/>
      <c r="WJZ157" s="3060"/>
      <c r="WKA157" s="3060"/>
      <c r="WKB157" s="3060"/>
      <c r="WKC157" s="3060"/>
      <c r="WKD157" s="3060"/>
      <c r="WKE157" s="3060"/>
      <c r="WKF157" s="3060"/>
      <c r="WKG157" s="3060"/>
      <c r="WKH157" s="3060"/>
      <c r="WKI157" s="3060"/>
      <c r="WKJ157" s="3060"/>
      <c r="WKK157" s="3060"/>
      <c r="WKL157" s="3060"/>
      <c r="WKM157" s="3060"/>
      <c r="WKN157" s="3060"/>
      <c r="WKO157" s="3060"/>
      <c r="WKP157" s="3060"/>
      <c r="WKQ157" s="3060"/>
      <c r="WKR157" s="3060"/>
      <c r="WKS157" s="3060"/>
      <c r="WKT157" s="3060"/>
      <c r="WKU157" s="3060"/>
      <c r="WKV157" s="3060"/>
      <c r="WKW157" s="3060"/>
      <c r="WKX157" s="3060"/>
      <c r="WKY157" s="3060"/>
      <c r="WKZ157" s="3060"/>
      <c r="WLA157" s="3060"/>
      <c r="WLB157" s="3060"/>
      <c r="WLC157" s="3060"/>
      <c r="WLD157" s="3060"/>
      <c r="WLE157" s="3060"/>
      <c r="WLF157" s="3060"/>
      <c r="WLG157" s="3060"/>
      <c r="WLH157" s="3060"/>
      <c r="WLI157" s="3060"/>
      <c r="WLJ157" s="3060"/>
      <c r="WLK157" s="3060"/>
      <c r="WLL157" s="3060"/>
      <c r="WLM157" s="3060"/>
      <c r="WLN157" s="3060"/>
      <c r="WLO157" s="3060"/>
      <c r="WLP157" s="3060"/>
      <c r="WLQ157" s="3060"/>
      <c r="WLR157" s="3060"/>
      <c r="WLS157" s="3060"/>
      <c r="WLT157" s="3060"/>
      <c r="WLU157" s="3060"/>
      <c r="WLV157" s="3060"/>
      <c r="WLW157" s="3060"/>
      <c r="WLX157" s="3060"/>
      <c r="WLY157" s="3060"/>
      <c r="WLZ157" s="3060"/>
      <c r="WMA157" s="3060"/>
      <c r="WMB157" s="3060"/>
      <c r="WMC157" s="3060"/>
      <c r="WMD157" s="3060"/>
      <c r="WME157" s="3060"/>
      <c r="WMF157" s="3060"/>
      <c r="WMG157" s="3060"/>
      <c r="WMH157" s="3060"/>
      <c r="WMI157" s="3060"/>
      <c r="WMJ157" s="3060"/>
      <c r="WMK157" s="3060"/>
      <c r="WML157" s="3060"/>
      <c r="WMM157" s="3060"/>
      <c r="WMN157" s="3060"/>
      <c r="WMO157" s="3060"/>
      <c r="WMP157" s="3060"/>
      <c r="WMQ157" s="3060"/>
      <c r="WMR157" s="3060"/>
      <c r="WMS157" s="3060"/>
      <c r="WMT157" s="3060"/>
      <c r="WMU157" s="3060"/>
      <c r="WMV157" s="3060"/>
      <c r="WMW157" s="3060"/>
      <c r="WMX157" s="3060"/>
      <c r="WMY157" s="3060"/>
      <c r="WMZ157" s="3060"/>
      <c r="WNA157" s="3060"/>
      <c r="WNB157" s="3060"/>
      <c r="WNC157" s="3060"/>
      <c r="WND157" s="3060"/>
      <c r="WNE157" s="3060"/>
      <c r="WNF157" s="3060"/>
      <c r="WNG157" s="3060"/>
      <c r="WNH157" s="3060"/>
      <c r="WNI157" s="3060"/>
      <c r="WNJ157" s="3060"/>
      <c r="WNK157" s="3060"/>
      <c r="WNL157" s="3060"/>
      <c r="WNM157" s="3060"/>
      <c r="WNN157" s="3060"/>
      <c r="WNO157" s="3060"/>
      <c r="WNP157" s="3060"/>
      <c r="WNQ157" s="3060"/>
      <c r="WNR157" s="3060"/>
      <c r="WNS157" s="3060"/>
      <c r="WNT157" s="3060"/>
      <c r="WNU157" s="3060"/>
      <c r="WNV157" s="3060"/>
      <c r="WNW157" s="3060"/>
      <c r="WNX157" s="3060"/>
      <c r="WNY157" s="3060"/>
      <c r="WNZ157" s="3060"/>
      <c r="WOA157" s="3060"/>
      <c r="WOB157" s="3060"/>
      <c r="WOC157" s="3060"/>
      <c r="WOD157" s="3060"/>
      <c r="WOE157" s="3060"/>
      <c r="WOF157" s="3060"/>
      <c r="WOG157" s="3060"/>
      <c r="WOH157" s="3060"/>
      <c r="WOI157" s="3060"/>
      <c r="WOJ157" s="3060"/>
      <c r="WOK157" s="3060"/>
      <c r="WOL157" s="3060"/>
      <c r="WOM157" s="3060"/>
      <c r="WON157" s="3060"/>
      <c r="WOO157" s="3060"/>
      <c r="WOP157" s="3060"/>
      <c r="WOQ157" s="3060"/>
      <c r="WOR157" s="3060"/>
      <c r="WOS157" s="3060"/>
      <c r="WOT157" s="3060"/>
      <c r="WOU157" s="3060"/>
      <c r="WOV157" s="3060"/>
      <c r="WOW157" s="3060"/>
      <c r="WOX157" s="3060"/>
      <c r="WOY157" s="3060"/>
      <c r="WOZ157" s="3060"/>
      <c r="WPA157" s="3060"/>
      <c r="WPB157" s="3060"/>
      <c r="WPC157" s="3060"/>
      <c r="WPD157" s="3060"/>
      <c r="WPE157" s="3060"/>
      <c r="WPF157" s="3060"/>
      <c r="WPG157" s="3060"/>
      <c r="WPH157" s="3060"/>
      <c r="WPI157" s="3060"/>
      <c r="WPJ157" s="3060"/>
      <c r="WPK157" s="3060"/>
      <c r="WPL157" s="3060"/>
      <c r="WPM157" s="3060"/>
      <c r="WPN157" s="3060"/>
      <c r="WPO157" s="3060"/>
      <c r="WPP157" s="3060"/>
      <c r="WPQ157" s="3060"/>
      <c r="WPR157" s="3060"/>
      <c r="WPS157" s="3060"/>
      <c r="WPT157" s="3060"/>
      <c r="WPU157" s="3060"/>
      <c r="WPV157" s="3060"/>
      <c r="WPW157" s="3060"/>
      <c r="WPX157" s="3060"/>
      <c r="WPY157" s="3060"/>
      <c r="WPZ157" s="3060"/>
      <c r="WQA157" s="3060"/>
      <c r="WQB157" s="3060"/>
      <c r="WQC157" s="3060"/>
      <c r="WQD157" s="3060"/>
      <c r="WQE157" s="3060"/>
      <c r="WQF157" s="3060"/>
      <c r="WQG157" s="3060"/>
      <c r="WQH157" s="3060"/>
      <c r="WQI157" s="3060"/>
      <c r="WQJ157" s="3060"/>
      <c r="WQK157" s="3060"/>
      <c r="WQL157" s="3060"/>
      <c r="WQM157" s="3060"/>
      <c r="WQN157" s="3060"/>
      <c r="WQO157" s="3060"/>
      <c r="WQP157" s="3060"/>
      <c r="WQQ157" s="3060"/>
      <c r="WQR157" s="3060"/>
      <c r="WQS157" s="3060"/>
      <c r="WQT157" s="3060"/>
      <c r="WQU157" s="3060"/>
      <c r="WQV157" s="3060"/>
      <c r="WQW157" s="3060"/>
      <c r="WQX157" s="3060"/>
      <c r="WQY157" s="3060"/>
      <c r="WQZ157" s="3060"/>
      <c r="WRA157" s="3060"/>
      <c r="WRB157" s="3060"/>
      <c r="WRC157" s="3060"/>
      <c r="WRD157" s="3060"/>
      <c r="WRE157" s="3060"/>
      <c r="WRF157" s="3060"/>
      <c r="WRG157" s="3060"/>
      <c r="WRH157" s="3060"/>
      <c r="WRI157" s="3060"/>
      <c r="WRJ157" s="3060"/>
      <c r="WRK157" s="3060"/>
      <c r="WRL157" s="3060"/>
      <c r="WRM157" s="3060"/>
      <c r="WRN157" s="3060"/>
      <c r="WRO157" s="3060"/>
      <c r="WRP157" s="3060"/>
      <c r="WRQ157" s="3060"/>
      <c r="WRR157" s="3060"/>
      <c r="WRS157" s="3060"/>
      <c r="WRT157" s="3060"/>
      <c r="WRU157" s="3060"/>
      <c r="WRV157" s="3060"/>
      <c r="WRW157" s="3060"/>
      <c r="WRX157" s="3060"/>
      <c r="WRY157" s="3060"/>
      <c r="WRZ157" s="3060"/>
      <c r="WSA157" s="3060"/>
      <c r="WSB157" s="3060"/>
      <c r="WSC157" s="3060"/>
      <c r="WSD157" s="3060"/>
      <c r="WSE157" s="3060"/>
      <c r="WSF157" s="3060"/>
      <c r="WSG157" s="3060"/>
      <c r="WSH157" s="3060"/>
      <c r="WSI157" s="3060"/>
      <c r="WSJ157" s="3060"/>
      <c r="WSK157" s="3060"/>
      <c r="WSL157" s="3060"/>
      <c r="WSM157" s="3060"/>
      <c r="WSN157" s="3060"/>
      <c r="WSO157" s="3060"/>
      <c r="WSP157" s="3060"/>
      <c r="WSQ157" s="3060"/>
      <c r="WSR157" s="3060"/>
      <c r="WSS157" s="3060"/>
      <c r="WST157" s="3060"/>
      <c r="WSU157" s="3060"/>
      <c r="WSV157" s="3060"/>
      <c r="WSW157" s="3060"/>
      <c r="WSX157" s="3060"/>
      <c r="WSY157" s="3060"/>
      <c r="WSZ157" s="3060"/>
      <c r="WTA157" s="3060"/>
      <c r="WTB157" s="3060"/>
      <c r="WTC157" s="3060"/>
      <c r="WTD157" s="3060"/>
      <c r="WTE157" s="3060"/>
      <c r="WTF157" s="3060"/>
      <c r="WTG157" s="3060"/>
      <c r="WTH157" s="3060"/>
      <c r="WTI157" s="3060"/>
      <c r="WTJ157" s="3060"/>
      <c r="WTK157" s="3060"/>
      <c r="WTL157" s="3060"/>
      <c r="WTM157" s="3060"/>
      <c r="WTN157" s="3060"/>
      <c r="WTO157" s="3060"/>
      <c r="WTP157" s="3060"/>
      <c r="WTQ157" s="3060"/>
      <c r="WTR157" s="3060"/>
      <c r="WTS157" s="3060"/>
      <c r="WTT157" s="3060"/>
      <c r="WTU157" s="3060"/>
      <c r="WTV157" s="3060"/>
      <c r="WTW157" s="3060"/>
      <c r="WTX157" s="3060"/>
      <c r="WTY157" s="3060"/>
      <c r="WTZ157" s="3060"/>
      <c r="WUA157" s="3060"/>
      <c r="WUB157" s="3060"/>
      <c r="WUC157" s="3060"/>
      <c r="WUD157" s="3060"/>
      <c r="WUE157" s="3060"/>
      <c r="WUF157" s="3060"/>
      <c r="WUG157" s="3060"/>
      <c r="WUH157" s="3060"/>
      <c r="WUI157" s="3060"/>
      <c r="WUJ157" s="3060"/>
      <c r="WUK157" s="3060"/>
      <c r="WUL157" s="3060"/>
      <c r="WUM157" s="3060"/>
      <c r="WUN157" s="3060"/>
      <c r="WUO157" s="3060"/>
      <c r="WUP157" s="3060"/>
      <c r="WUQ157" s="3060"/>
      <c r="WUR157" s="3060"/>
      <c r="WUS157" s="3060"/>
      <c r="WUT157" s="3060"/>
      <c r="WUU157" s="3060"/>
      <c r="WUV157" s="3060"/>
      <c r="WUW157" s="3060"/>
      <c r="WUX157" s="3060"/>
      <c r="WUY157" s="3060"/>
      <c r="WUZ157" s="3060"/>
      <c r="WVA157" s="3060"/>
      <c r="WVB157" s="3060"/>
      <c r="WVC157" s="3060"/>
      <c r="WVD157" s="3060"/>
      <c r="WVE157" s="3060"/>
      <c r="WVF157" s="3060"/>
      <c r="WVG157" s="3060"/>
      <c r="WVH157" s="3060"/>
      <c r="WVI157" s="3060"/>
      <c r="WVJ157" s="3060"/>
      <c r="WVK157" s="3060"/>
      <c r="WVL157" s="3060"/>
      <c r="WVM157" s="3060"/>
      <c r="WVN157" s="3060"/>
      <c r="WVO157" s="3060"/>
      <c r="WVP157" s="3060"/>
      <c r="WVQ157" s="3060"/>
      <c r="WVR157" s="3060"/>
      <c r="WVS157" s="3060"/>
      <c r="WVT157" s="3060"/>
      <c r="WVU157" s="3060"/>
      <c r="WVV157" s="3060"/>
      <c r="WVW157" s="3060"/>
      <c r="WVX157" s="3060"/>
      <c r="WVY157" s="3060"/>
      <c r="WVZ157" s="3060"/>
      <c r="WWA157" s="3060"/>
      <c r="WWB157" s="3060"/>
      <c r="WWC157" s="3060"/>
      <c r="WWD157" s="3060"/>
      <c r="WWE157" s="3060"/>
      <c r="WWF157" s="3060"/>
      <c r="WWG157" s="3060"/>
      <c r="WWH157" s="3060"/>
      <c r="WWI157" s="3060"/>
      <c r="WWJ157" s="3060"/>
      <c r="WWK157" s="3060"/>
      <c r="WWL157" s="3060"/>
      <c r="WWM157" s="3060"/>
      <c r="WWN157" s="3060"/>
      <c r="WWO157" s="3060"/>
      <c r="WWP157" s="3060"/>
      <c r="WWQ157" s="3060"/>
      <c r="WWR157" s="3060"/>
      <c r="WWS157" s="3060"/>
      <c r="WWT157" s="3060"/>
      <c r="WWU157" s="3060"/>
      <c r="WWV157" s="3060"/>
      <c r="WWW157" s="3060"/>
      <c r="WWX157" s="3060"/>
      <c r="WWY157" s="3060"/>
      <c r="WWZ157" s="3060"/>
      <c r="WXA157" s="3060"/>
      <c r="WXB157" s="3060"/>
      <c r="WXC157" s="3060"/>
      <c r="WXD157" s="3060"/>
      <c r="WXE157" s="3060"/>
      <c r="WXF157" s="3060"/>
      <c r="WXG157" s="3060"/>
      <c r="WXH157" s="3060"/>
      <c r="WXI157" s="3060"/>
      <c r="WXJ157" s="3060"/>
      <c r="WXK157" s="3060"/>
      <c r="WXL157" s="3060"/>
      <c r="WXM157" s="3060"/>
      <c r="WXN157" s="3060"/>
      <c r="WXO157" s="3060"/>
      <c r="WXP157" s="3060"/>
      <c r="WXQ157" s="3060"/>
      <c r="WXR157" s="3060"/>
      <c r="WXS157" s="3060"/>
      <c r="WXT157" s="3060"/>
      <c r="WXU157" s="3060"/>
      <c r="WXV157" s="3060"/>
      <c r="WXW157" s="3060"/>
      <c r="WXX157" s="3060"/>
      <c r="WXY157" s="3060"/>
      <c r="WXZ157" s="3060"/>
      <c r="WYA157" s="3060"/>
      <c r="WYB157" s="3060"/>
      <c r="WYC157" s="3060"/>
      <c r="WYD157" s="3060"/>
      <c r="WYE157" s="3060"/>
      <c r="WYF157" s="3060"/>
      <c r="WYG157" s="3060"/>
      <c r="WYH157" s="3060"/>
      <c r="WYI157" s="3060"/>
      <c r="WYJ157" s="3060"/>
      <c r="WYK157" s="3060"/>
      <c r="WYL157" s="3060"/>
      <c r="WYM157" s="3060"/>
      <c r="WYN157" s="3060"/>
      <c r="WYO157" s="3060"/>
      <c r="WYP157" s="3060"/>
      <c r="WYQ157" s="3060"/>
      <c r="WYR157" s="3060"/>
      <c r="WYS157" s="3060"/>
      <c r="WYT157" s="3060"/>
      <c r="WYU157" s="3060"/>
      <c r="WYV157" s="3060"/>
      <c r="WYW157" s="3060"/>
      <c r="WYX157" s="3060"/>
      <c r="WYY157" s="3060"/>
      <c r="WYZ157" s="3060"/>
      <c r="WZA157" s="3060"/>
      <c r="WZB157" s="3060"/>
      <c r="WZC157" s="3060"/>
      <c r="WZD157" s="3060"/>
      <c r="WZE157" s="3060"/>
      <c r="WZF157" s="3060"/>
      <c r="WZG157" s="3060"/>
      <c r="WZH157" s="3060"/>
      <c r="WZI157" s="3060"/>
      <c r="WZJ157" s="3060"/>
      <c r="WZK157" s="3060"/>
      <c r="WZL157" s="3060"/>
      <c r="WZM157" s="3060"/>
      <c r="WZN157" s="3060"/>
      <c r="WZO157" s="3060"/>
      <c r="WZP157" s="3060"/>
      <c r="WZQ157" s="3060"/>
      <c r="WZR157" s="3060"/>
      <c r="WZS157" s="3060"/>
      <c r="WZT157" s="3060"/>
      <c r="WZU157" s="3060"/>
      <c r="WZV157" s="3060"/>
      <c r="WZW157" s="3060"/>
      <c r="WZX157" s="3060"/>
      <c r="WZY157" s="3060"/>
      <c r="WZZ157" s="3060"/>
      <c r="XAA157" s="3060"/>
      <c r="XAB157" s="3060"/>
      <c r="XAC157" s="3060"/>
      <c r="XAD157" s="3060"/>
      <c r="XAE157" s="3060"/>
      <c r="XAF157" s="3060"/>
      <c r="XAG157" s="3060"/>
      <c r="XAH157" s="3060"/>
      <c r="XAI157" s="3060"/>
      <c r="XAJ157" s="3060"/>
      <c r="XAK157" s="3060"/>
      <c r="XAL157" s="3060"/>
      <c r="XAM157" s="3060"/>
      <c r="XAN157" s="3060"/>
      <c r="XAO157" s="3060"/>
      <c r="XAP157" s="3060"/>
      <c r="XAQ157" s="3060"/>
      <c r="XAR157" s="3060"/>
      <c r="XAS157" s="3060"/>
      <c r="XAT157" s="3060"/>
      <c r="XAU157" s="3060"/>
      <c r="XAV157" s="3060"/>
      <c r="XAW157" s="3060"/>
      <c r="XAX157" s="3060"/>
      <c r="XAY157" s="3060"/>
      <c r="XAZ157" s="3060"/>
      <c r="XBA157" s="3060"/>
      <c r="XBB157" s="3060"/>
      <c r="XBC157" s="3060"/>
      <c r="XBD157" s="3060"/>
      <c r="XBE157" s="3060"/>
      <c r="XBF157" s="3060"/>
      <c r="XBG157" s="3060"/>
      <c r="XBH157" s="3060"/>
      <c r="XBI157" s="3060"/>
      <c r="XBJ157" s="3060"/>
      <c r="XBK157" s="3060"/>
      <c r="XBL157" s="3060"/>
      <c r="XBM157" s="3060"/>
      <c r="XBN157" s="3060"/>
      <c r="XBO157" s="3060"/>
      <c r="XBP157" s="3060"/>
      <c r="XBQ157" s="3060"/>
      <c r="XBR157" s="3060"/>
      <c r="XBS157" s="3060"/>
      <c r="XBT157" s="3060"/>
      <c r="XBU157" s="3060"/>
      <c r="XBV157" s="3060"/>
      <c r="XBW157" s="3060"/>
      <c r="XBX157" s="3060"/>
      <c r="XBY157" s="3060"/>
      <c r="XBZ157" s="3060"/>
      <c r="XCA157" s="3060"/>
      <c r="XCB157" s="3060"/>
      <c r="XCC157" s="3060"/>
      <c r="XCD157" s="3060"/>
      <c r="XCE157" s="3060"/>
      <c r="XCF157" s="3060"/>
      <c r="XCG157" s="3060"/>
      <c r="XCH157" s="3060"/>
      <c r="XCI157" s="3060"/>
      <c r="XCJ157" s="3060"/>
      <c r="XCK157" s="3060"/>
      <c r="XCL157" s="3060"/>
      <c r="XCM157" s="3060"/>
      <c r="XCN157" s="3060"/>
      <c r="XCO157" s="3060"/>
      <c r="XCP157" s="3060"/>
      <c r="XCQ157" s="3060"/>
      <c r="XCR157" s="3060"/>
      <c r="XCS157" s="3060"/>
      <c r="XCT157" s="3060"/>
      <c r="XCU157" s="3060"/>
      <c r="XCV157" s="3060"/>
      <c r="XCW157" s="3060"/>
      <c r="XCX157" s="3060"/>
      <c r="XCY157" s="3060"/>
      <c r="XCZ157" s="3060"/>
      <c r="XDA157" s="3060"/>
      <c r="XDB157" s="3060"/>
      <c r="XDC157" s="3060"/>
      <c r="XDD157" s="3060"/>
      <c r="XDE157" s="3060"/>
      <c r="XDF157" s="3060"/>
      <c r="XDG157" s="3060"/>
      <c r="XDH157" s="3060"/>
      <c r="XDI157" s="3060"/>
      <c r="XDJ157" s="3060"/>
      <c r="XDK157" s="3060"/>
      <c r="XDL157" s="3060"/>
      <c r="XDM157" s="3060"/>
      <c r="XDN157" s="3060"/>
      <c r="XDO157" s="3060"/>
      <c r="XDP157" s="3060"/>
      <c r="XDQ157" s="3060"/>
      <c r="XDR157" s="3060"/>
      <c r="XDS157" s="3060"/>
      <c r="XDT157" s="3060"/>
      <c r="XDU157" s="3060"/>
      <c r="XDV157" s="3060"/>
      <c r="XDW157" s="3060"/>
      <c r="XDX157" s="3060"/>
      <c r="XDY157" s="3060"/>
      <c r="XDZ157" s="3060"/>
      <c r="XEA157" s="3060"/>
      <c r="XEB157" s="3060"/>
      <c r="XEC157" s="3060"/>
      <c r="XED157" s="3060"/>
      <c r="XEE157" s="3060"/>
      <c r="XEF157" s="3060"/>
      <c r="XEG157" s="3060"/>
      <c r="XEH157" s="3060"/>
      <c r="XEI157" s="3060"/>
      <c r="XEJ157" s="3060"/>
      <c r="XEK157" s="3060"/>
      <c r="XEL157" s="3060"/>
      <c r="XEM157" s="3060"/>
      <c r="XEN157" s="3060"/>
      <c r="XEO157" s="3060"/>
      <c r="XEP157" s="3060"/>
      <c r="XEQ157" s="3060"/>
      <c r="XER157" s="3060"/>
      <c r="XES157" s="3060"/>
      <c r="XET157" s="3060"/>
      <c r="XEU157" s="3060"/>
      <c r="XEV157" s="3060"/>
      <c r="XEW157" s="3060"/>
      <c r="XEX157" s="3060"/>
      <c r="XEY157" s="3060"/>
      <c r="XEZ157" s="3060"/>
      <c r="XFA157" s="3060"/>
      <c r="XFB157" s="3060"/>
      <c r="XFC157" s="3060"/>
      <c r="XFD157" s="3060"/>
    </row>
    <row r="158" spans="1:16384" s="3083" customFormat="1" x14ac:dyDescent="0.2">
      <c r="A158" s="3060"/>
      <c r="B158" s="3061"/>
      <c r="C158" s="3061"/>
      <c r="D158" s="3061"/>
      <c r="E158" s="3061"/>
      <c r="F158" s="3061"/>
      <c r="G158" s="3061"/>
      <c r="H158" s="3061"/>
      <c r="I158" s="3061"/>
      <c r="J158" s="3061"/>
      <c r="K158" s="3061"/>
      <c r="L158" s="3061"/>
      <c r="M158" s="3061"/>
      <c r="N158" s="3061"/>
      <c r="O158" s="3061"/>
      <c r="P158" s="3061"/>
      <c r="Q158" s="3061"/>
      <c r="R158" s="3061"/>
      <c r="S158" s="2923"/>
      <c r="T158" s="3061"/>
      <c r="U158" s="3062"/>
      <c r="V158" s="3061"/>
      <c r="W158" s="3061"/>
      <c r="X158" s="3061"/>
      <c r="Y158" s="3061"/>
      <c r="Z158" s="3061"/>
      <c r="AA158" s="3061"/>
      <c r="AB158" s="3061"/>
      <c r="AC158" s="3061"/>
      <c r="AD158" s="3061"/>
      <c r="AE158" s="3061"/>
      <c r="AF158" s="3063"/>
      <c r="AG158" s="3060"/>
      <c r="AH158" s="3060"/>
      <c r="AI158" s="3060"/>
      <c r="AJ158" s="3060"/>
      <c r="AK158" s="3060"/>
      <c r="AL158" s="3060"/>
      <c r="AM158" s="3060"/>
      <c r="AN158" s="3060"/>
      <c r="AO158" s="3060"/>
      <c r="AP158" s="3060"/>
      <c r="AQ158" s="3060"/>
      <c r="AR158" s="3060"/>
      <c r="AS158" s="3060"/>
      <c r="AT158" s="3060"/>
      <c r="AU158" s="3060"/>
      <c r="AV158" s="3060"/>
      <c r="AW158" s="3060"/>
      <c r="AX158" s="3060"/>
      <c r="AY158" s="3060"/>
      <c r="AZ158" s="3060"/>
      <c r="BA158" s="3060"/>
      <c r="BB158" s="3060"/>
      <c r="BC158" s="3060"/>
      <c r="BD158" s="3060"/>
      <c r="BE158" s="3060"/>
      <c r="BF158" s="3060"/>
      <c r="BG158" s="3060"/>
      <c r="BH158" s="3060"/>
      <c r="BI158" s="3060"/>
      <c r="BJ158" s="3060"/>
      <c r="BK158" s="3060"/>
      <c r="BL158" s="3060"/>
      <c r="BM158" s="3060"/>
      <c r="BN158" s="3060"/>
      <c r="BO158" s="3060"/>
      <c r="BP158" s="3060"/>
      <c r="BQ158" s="3060"/>
      <c r="BR158" s="3060"/>
      <c r="BS158" s="3060"/>
      <c r="BT158" s="3060"/>
      <c r="BU158" s="3060"/>
      <c r="BV158" s="3060"/>
      <c r="BW158" s="3060"/>
      <c r="BX158" s="3060"/>
      <c r="BY158" s="3060"/>
      <c r="BZ158" s="3060"/>
      <c r="CA158" s="3060"/>
      <c r="CB158" s="3060"/>
      <c r="CC158" s="3060"/>
      <c r="CD158" s="3060"/>
      <c r="CE158" s="3060"/>
      <c r="CF158" s="3060"/>
      <c r="CG158" s="3060"/>
      <c r="CH158" s="3060"/>
      <c r="CI158" s="3060"/>
      <c r="CJ158" s="3060"/>
      <c r="CK158" s="3060"/>
      <c r="CL158" s="3060"/>
      <c r="CM158" s="3060"/>
      <c r="CN158" s="3060"/>
      <c r="CO158" s="3060"/>
      <c r="CP158" s="3060"/>
      <c r="CQ158" s="3060"/>
      <c r="CR158" s="3060"/>
      <c r="CS158" s="3060"/>
      <c r="CT158" s="3060"/>
      <c r="CU158" s="3060"/>
      <c r="CV158" s="3060"/>
      <c r="CW158" s="3060"/>
      <c r="CX158" s="3060"/>
      <c r="CY158" s="3060"/>
      <c r="CZ158" s="3060"/>
      <c r="DA158" s="3060"/>
      <c r="DB158" s="3060"/>
      <c r="DC158" s="3060"/>
      <c r="DD158" s="3060"/>
      <c r="DE158" s="3060"/>
      <c r="DF158" s="3060"/>
      <c r="DG158" s="3060"/>
      <c r="DH158" s="3060"/>
      <c r="DI158" s="3060"/>
      <c r="DJ158" s="3060"/>
      <c r="DK158" s="3060"/>
      <c r="DL158" s="3060"/>
      <c r="DM158" s="3060"/>
      <c r="DN158" s="3060"/>
      <c r="DO158" s="3060"/>
      <c r="DP158" s="3060"/>
      <c r="DQ158" s="3060"/>
      <c r="DR158" s="3060"/>
      <c r="DS158" s="3060"/>
      <c r="DT158" s="3060"/>
      <c r="DU158" s="3060"/>
      <c r="DV158" s="3060"/>
      <c r="DW158" s="3060"/>
      <c r="DX158" s="3060"/>
      <c r="DY158" s="3060"/>
      <c r="DZ158" s="3060"/>
      <c r="EA158" s="3060"/>
      <c r="EB158" s="3060"/>
      <c r="EC158" s="3060"/>
      <c r="ED158" s="3060"/>
      <c r="EE158" s="3060"/>
      <c r="EF158" s="3060"/>
      <c r="EG158" s="3060"/>
      <c r="EH158" s="3060"/>
      <c r="EI158" s="3060"/>
      <c r="EJ158" s="3060"/>
      <c r="EK158" s="3060"/>
      <c r="EL158" s="3060"/>
      <c r="EM158" s="3060"/>
      <c r="EN158" s="3060"/>
      <c r="EO158" s="3060"/>
      <c r="EP158" s="3060"/>
      <c r="EQ158" s="3060"/>
      <c r="ER158" s="3060"/>
      <c r="ES158" s="3060"/>
      <c r="ET158" s="3060"/>
      <c r="EU158" s="3060"/>
      <c r="EV158" s="3060"/>
      <c r="EW158" s="3060"/>
      <c r="EX158" s="3060"/>
      <c r="EY158" s="3060"/>
      <c r="EZ158" s="3060"/>
      <c r="FA158" s="3060"/>
      <c r="FB158" s="3060"/>
      <c r="FC158" s="3060"/>
      <c r="FD158" s="3060"/>
      <c r="FE158" s="3060"/>
      <c r="FF158" s="3060"/>
      <c r="FG158" s="3060"/>
      <c r="FH158" s="3060"/>
      <c r="FI158" s="3060"/>
      <c r="FJ158" s="3060"/>
      <c r="FK158" s="3060"/>
      <c r="FL158" s="3060"/>
      <c r="FM158" s="3060"/>
      <c r="FN158" s="3060"/>
      <c r="FO158" s="3060"/>
      <c r="FP158" s="3060"/>
      <c r="FQ158" s="3060"/>
      <c r="FR158" s="3060"/>
      <c r="FS158" s="3060"/>
      <c r="FT158" s="3060"/>
      <c r="FU158" s="3060"/>
      <c r="FV158" s="3060"/>
      <c r="FW158" s="3060"/>
      <c r="FX158" s="3060"/>
      <c r="FY158" s="3060"/>
      <c r="FZ158" s="3060"/>
      <c r="GA158" s="3060"/>
      <c r="GB158" s="3060"/>
      <c r="GC158" s="3060"/>
      <c r="GD158" s="3060"/>
      <c r="GE158" s="3060"/>
      <c r="GF158" s="3060"/>
      <c r="GG158" s="3060"/>
      <c r="GH158" s="3060"/>
      <c r="GI158" s="3060"/>
      <c r="GJ158" s="3060"/>
      <c r="GK158" s="3060"/>
      <c r="GL158" s="3060"/>
      <c r="GM158" s="3060"/>
      <c r="GN158" s="3060"/>
      <c r="GO158" s="3060"/>
      <c r="GP158" s="3060"/>
      <c r="GQ158" s="3060"/>
      <c r="GR158" s="3060"/>
      <c r="GS158" s="3060"/>
      <c r="GT158" s="3060"/>
      <c r="GU158" s="3060"/>
      <c r="GV158" s="3060"/>
      <c r="GW158" s="3060"/>
      <c r="GX158" s="3060"/>
      <c r="GY158" s="3060"/>
      <c r="GZ158" s="3060"/>
      <c r="HA158" s="3060"/>
      <c r="HB158" s="3060"/>
      <c r="HC158" s="3060"/>
      <c r="HD158" s="3060"/>
      <c r="HE158" s="3060"/>
      <c r="HF158" s="3060"/>
      <c r="HG158" s="3060"/>
      <c r="HH158" s="3060"/>
      <c r="HI158" s="3060"/>
      <c r="HJ158" s="3060"/>
      <c r="HK158" s="3060"/>
      <c r="HL158" s="3060"/>
      <c r="HM158" s="3060"/>
      <c r="HN158" s="3060"/>
      <c r="HO158" s="3060"/>
      <c r="HP158" s="3060"/>
      <c r="HQ158" s="3060"/>
      <c r="HR158" s="3060"/>
      <c r="HS158" s="3060"/>
      <c r="HT158" s="3060"/>
      <c r="HU158" s="3060"/>
      <c r="HV158" s="3060"/>
      <c r="HW158" s="3060"/>
      <c r="HX158" s="3060"/>
      <c r="HY158" s="3060"/>
      <c r="HZ158" s="3060"/>
      <c r="IA158" s="3060"/>
      <c r="IB158" s="3060"/>
      <c r="IC158" s="3060"/>
      <c r="ID158" s="3060"/>
      <c r="IE158" s="3060"/>
      <c r="IF158" s="3060"/>
      <c r="IG158" s="3060"/>
      <c r="IH158" s="3060"/>
      <c r="II158" s="3060"/>
      <c r="IJ158" s="3060"/>
      <c r="IK158" s="3060"/>
      <c r="IL158" s="3060"/>
      <c r="IM158" s="3060"/>
      <c r="IN158" s="3060"/>
      <c r="IO158" s="3060"/>
      <c r="IP158" s="3060"/>
      <c r="IQ158" s="3060"/>
      <c r="IR158" s="3060"/>
      <c r="IS158" s="3060"/>
      <c r="IT158" s="3060"/>
      <c r="IU158" s="3060"/>
      <c r="IV158" s="3060"/>
      <c r="IW158" s="3060"/>
      <c r="IX158" s="3060"/>
      <c r="IY158" s="3060"/>
      <c r="IZ158" s="3060"/>
      <c r="JA158" s="3060"/>
      <c r="JB158" s="3060"/>
      <c r="JC158" s="3060"/>
      <c r="JD158" s="3060"/>
      <c r="JE158" s="3060"/>
      <c r="JF158" s="3060"/>
      <c r="JG158" s="3060"/>
      <c r="JH158" s="3060"/>
      <c r="JI158" s="3060"/>
      <c r="JJ158" s="3060"/>
      <c r="JK158" s="3060"/>
      <c r="JL158" s="3060"/>
      <c r="JM158" s="3060"/>
      <c r="JN158" s="3060"/>
      <c r="JO158" s="3060"/>
      <c r="JP158" s="3060"/>
      <c r="JQ158" s="3060"/>
      <c r="JR158" s="3060"/>
      <c r="JS158" s="3060"/>
      <c r="JT158" s="3060"/>
      <c r="JU158" s="3060"/>
      <c r="JV158" s="3060"/>
      <c r="JW158" s="3060"/>
      <c r="JX158" s="3060"/>
      <c r="JY158" s="3060"/>
      <c r="JZ158" s="3060"/>
      <c r="KA158" s="3060"/>
      <c r="KB158" s="3060"/>
      <c r="KC158" s="3060"/>
      <c r="KD158" s="3060"/>
      <c r="KE158" s="3060"/>
      <c r="KF158" s="3060"/>
      <c r="KG158" s="3060"/>
      <c r="KH158" s="3060"/>
      <c r="KI158" s="3060"/>
      <c r="KJ158" s="3060"/>
      <c r="KK158" s="3060"/>
      <c r="KL158" s="3060"/>
      <c r="KM158" s="3060"/>
      <c r="KN158" s="3060"/>
      <c r="KO158" s="3060"/>
      <c r="KP158" s="3060"/>
      <c r="KQ158" s="3060"/>
      <c r="KR158" s="3060"/>
      <c r="KS158" s="3060"/>
      <c r="KT158" s="3060"/>
      <c r="KU158" s="3060"/>
      <c r="KV158" s="3060"/>
      <c r="KW158" s="3060"/>
      <c r="KX158" s="3060"/>
      <c r="KY158" s="3060"/>
      <c r="KZ158" s="3060"/>
      <c r="LA158" s="3060"/>
      <c r="LB158" s="3060"/>
      <c r="LC158" s="3060"/>
      <c r="LD158" s="3060"/>
      <c r="LE158" s="3060"/>
      <c r="LF158" s="3060"/>
      <c r="LG158" s="3060"/>
      <c r="LH158" s="3060"/>
      <c r="LI158" s="3060"/>
      <c r="LJ158" s="3060"/>
      <c r="LK158" s="3060"/>
      <c r="LL158" s="3060"/>
      <c r="LM158" s="3060"/>
      <c r="LN158" s="3060"/>
      <c r="LO158" s="3060"/>
      <c r="LP158" s="3060"/>
      <c r="LQ158" s="3060"/>
      <c r="LR158" s="3060"/>
      <c r="LS158" s="3060"/>
      <c r="LT158" s="3060"/>
      <c r="LU158" s="3060"/>
      <c r="LV158" s="3060"/>
      <c r="LW158" s="3060"/>
      <c r="LX158" s="3060"/>
      <c r="LY158" s="3060"/>
      <c r="LZ158" s="3060"/>
      <c r="MA158" s="3060"/>
      <c r="MB158" s="3060"/>
      <c r="MC158" s="3060"/>
      <c r="MD158" s="3060"/>
      <c r="ME158" s="3060"/>
      <c r="MF158" s="3060"/>
      <c r="MG158" s="3060"/>
      <c r="MH158" s="3060"/>
      <c r="MI158" s="3060"/>
      <c r="MJ158" s="3060"/>
      <c r="MK158" s="3060"/>
      <c r="ML158" s="3060"/>
      <c r="MM158" s="3060"/>
      <c r="MN158" s="3060"/>
      <c r="MO158" s="3060"/>
      <c r="MP158" s="3060"/>
      <c r="MQ158" s="3060"/>
      <c r="MR158" s="3060"/>
      <c r="MS158" s="3060"/>
      <c r="MT158" s="3060"/>
      <c r="MU158" s="3060"/>
      <c r="MV158" s="3060"/>
      <c r="MW158" s="3060"/>
      <c r="MX158" s="3060"/>
      <c r="MY158" s="3060"/>
      <c r="MZ158" s="3060"/>
      <c r="NA158" s="3060"/>
      <c r="NB158" s="3060"/>
      <c r="NC158" s="3060"/>
      <c r="ND158" s="3060"/>
      <c r="NE158" s="3060"/>
      <c r="NF158" s="3060"/>
      <c r="NG158" s="3060"/>
      <c r="NH158" s="3060"/>
      <c r="NI158" s="3060"/>
      <c r="NJ158" s="3060"/>
      <c r="NK158" s="3060"/>
      <c r="NL158" s="3060"/>
      <c r="NM158" s="3060"/>
      <c r="NN158" s="3060"/>
      <c r="NO158" s="3060"/>
      <c r="NP158" s="3060"/>
      <c r="NQ158" s="3060"/>
      <c r="NR158" s="3060"/>
      <c r="NS158" s="3060"/>
      <c r="NT158" s="3060"/>
      <c r="NU158" s="3060"/>
      <c r="NV158" s="3060"/>
      <c r="NW158" s="3060"/>
      <c r="NX158" s="3060"/>
      <c r="NY158" s="3060"/>
      <c r="NZ158" s="3060"/>
      <c r="OA158" s="3060"/>
      <c r="OB158" s="3060"/>
      <c r="OC158" s="3060"/>
      <c r="OD158" s="3060"/>
      <c r="OE158" s="3060"/>
      <c r="OF158" s="3060"/>
      <c r="OG158" s="3060"/>
      <c r="OH158" s="3060"/>
      <c r="OI158" s="3060"/>
      <c r="OJ158" s="3060"/>
      <c r="OK158" s="3060"/>
      <c r="OL158" s="3060"/>
      <c r="OM158" s="3060"/>
      <c r="ON158" s="3060"/>
      <c r="OO158" s="3060"/>
      <c r="OP158" s="3060"/>
      <c r="OQ158" s="3060"/>
      <c r="OR158" s="3060"/>
      <c r="OS158" s="3060"/>
      <c r="OT158" s="3060"/>
      <c r="OU158" s="3060"/>
      <c r="OV158" s="3060"/>
      <c r="OW158" s="3060"/>
      <c r="OX158" s="3060"/>
      <c r="OY158" s="3060"/>
      <c r="OZ158" s="3060"/>
      <c r="PA158" s="3060"/>
      <c r="PB158" s="3060"/>
      <c r="PC158" s="3060"/>
      <c r="PD158" s="3060"/>
      <c r="PE158" s="3060"/>
      <c r="PF158" s="3060"/>
      <c r="PG158" s="3060"/>
      <c r="PH158" s="3060"/>
      <c r="PI158" s="3060"/>
      <c r="PJ158" s="3060"/>
      <c r="PK158" s="3060"/>
      <c r="PL158" s="3060"/>
      <c r="PM158" s="3060"/>
      <c r="PN158" s="3060"/>
      <c r="PO158" s="3060"/>
      <c r="PP158" s="3060"/>
      <c r="PQ158" s="3060"/>
      <c r="PR158" s="3060"/>
      <c r="PS158" s="3060"/>
      <c r="PT158" s="3060"/>
      <c r="PU158" s="3060"/>
      <c r="PV158" s="3060"/>
      <c r="PW158" s="3060"/>
      <c r="PX158" s="3060"/>
      <c r="PY158" s="3060"/>
      <c r="PZ158" s="3060"/>
      <c r="QA158" s="3060"/>
      <c r="QB158" s="3060"/>
      <c r="QC158" s="3060"/>
      <c r="QD158" s="3060"/>
      <c r="QE158" s="3060"/>
      <c r="QF158" s="3060"/>
      <c r="QG158" s="3060"/>
      <c r="QH158" s="3060"/>
      <c r="QI158" s="3060"/>
      <c r="QJ158" s="3060"/>
      <c r="QK158" s="3060"/>
      <c r="QL158" s="3060"/>
      <c r="QM158" s="3060"/>
      <c r="QN158" s="3060"/>
      <c r="QO158" s="3060"/>
      <c r="QP158" s="3060"/>
      <c r="QQ158" s="3060"/>
      <c r="QR158" s="3060"/>
      <c r="QS158" s="3060"/>
      <c r="QT158" s="3060"/>
      <c r="QU158" s="3060"/>
      <c r="QV158" s="3060"/>
      <c r="QW158" s="3060"/>
      <c r="QX158" s="3060"/>
      <c r="QY158" s="3060"/>
      <c r="QZ158" s="3060"/>
      <c r="RA158" s="3060"/>
      <c r="RB158" s="3060"/>
      <c r="RC158" s="3060"/>
      <c r="RD158" s="3060"/>
      <c r="RE158" s="3060"/>
      <c r="RF158" s="3060"/>
      <c r="RG158" s="3060"/>
      <c r="RH158" s="3060"/>
      <c r="RI158" s="3060"/>
      <c r="RJ158" s="3060"/>
      <c r="RK158" s="3060"/>
      <c r="RL158" s="3060"/>
      <c r="RM158" s="3060"/>
      <c r="RN158" s="3060"/>
      <c r="RO158" s="3060"/>
      <c r="RP158" s="3060"/>
      <c r="RQ158" s="3060"/>
      <c r="RR158" s="3060"/>
      <c r="RS158" s="3060"/>
      <c r="RT158" s="3060"/>
      <c r="RU158" s="3060"/>
      <c r="RV158" s="3060"/>
      <c r="RW158" s="3060"/>
      <c r="RX158" s="3060"/>
      <c r="RY158" s="3060"/>
      <c r="RZ158" s="3060"/>
      <c r="SA158" s="3060"/>
      <c r="SB158" s="3060"/>
      <c r="SC158" s="3060"/>
      <c r="SD158" s="3060"/>
      <c r="SE158" s="3060"/>
      <c r="SF158" s="3060"/>
      <c r="SG158" s="3060"/>
      <c r="SH158" s="3060"/>
      <c r="SI158" s="3060"/>
      <c r="SJ158" s="3060"/>
      <c r="SK158" s="3060"/>
      <c r="SL158" s="3060"/>
      <c r="SM158" s="3060"/>
      <c r="SN158" s="3060"/>
      <c r="SO158" s="3060"/>
      <c r="SP158" s="3060"/>
      <c r="SQ158" s="3060"/>
      <c r="SR158" s="3060"/>
      <c r="SS158" s="3060"/>
      <c r="ST158" s="3060"/>
      <c r="SU158" s="3060"/>
      <c r="SV158" s="3060"/>
      <c r="SW158" s="3060"/>
      <c r="SX158" s="3060"/>
      <c r="SY158" s="3060"/>
      <c r="SZ158" s="3060"/>
      <c r="TA158" s="3060"/>
      <c r="TB158" s="3060"/>
      <c r="TC158" s="3060"/>
      <c r="TD158" s="3060"/>
      <c r="TE158" s="3060"/>
      <c r="TF158" s="3060"/>
      <c r="TG158" s="3060"/>
      <c r="TH158" s="3060"/>
      <c r="TI158" s="3060"/>
      <c r="TJ158" s="3060"/>
      <c r="TK158" s="3060"/>
      <c r="TL158" s="3060"/>
      <c r="TM158" s="3060"/>
      <c r="TN158" s="3060"/>
      <c r="TO158" s="3060"/>
      <c r="TP158" s="3060"/>
      <c r="TQ158" s="3060"/>
      <c r="TR158" s="3060"/>
      <c r="TS158" s="3060"/>
      <c r="TT158" s="3060"/>
      <c r="TU158" s="3060"/>
      <c r="TV158" s="3060"/>
      <c r="TW158" s="3060"/>
      <c r="TX158" s="3060"/>
      <c r="TY158" s="3060"/>
      <c r="TZ158" s="3060"/>
      <c r="UA158" s="3060"/>
      <c r="UB158" s="3060"/>
      <c r="UC158" s="3060"/>
      <c r="UD158" s="3060"/>
      <c r="UE158" s="3060"/>
      <c r="UF158" s="3060"/>
      <c r="UG158" s="3060"/>
      <c r="UH158" s="3060"/>
      <c r="UI158" s="3060"/>
      <c r="UJ158" s="3060"/>
      <c r="UK158" s="3060"/>
      <c r="UL158" s="3060"/>
      <c r="UM158" s="3060"/>
      <c r="UN158" s="3060"/>
      <c r="UO158" s="3060"/>
      <c r="UP158" s="3060"/>
      <c r="UQ158" s="3060"/>
      <c r="UR158" s="3060"/>
      <c r="US158" s="3060"/>
      <c r="UT158" s="3060"/>
      <c r="UU158" s="3060"/>
      <c r="UV158" s="3060"/>
      <c r="UW158" s="3060"/>
      <c r="UX158" s="3060"/>
      <c r="UY158" s="3060"/>
      <c r="UZ158" s="3060"/>
      <c r="VA158" s="3060"/>
      <c r="VB158" s="3060"/>
      <c r="VC158" s="3060"/>
      <c r="VD158" s="3060"/>
      <c r="VE158" s="3060"/>
      <c r="VF158" s="3060"/>
      <c r="VG158" s="3060"/>
      <c r="VH158" s="3060"/>
      <c r="VI158" s="3060"/>
      <c r="VJ158" s="3060"/>
      <c r="VK158" s="3060"/>
      <c r="VL158" s="3060"/>
      <c r="VM158" s="3060"/>
      <c r="VN158" s="3060"/>
      <c r="VO158" s="3060"/>
      <c r="VP158" s="3060"/>
      <c r="VQ158" s="3060"/>
      <c r="VR158" s="3060"/>
      <c r="VS158" s="3060"/>
      <c r="VT158" s="3060"/>
      <c r="VU158" s="3060"/>
      <c r="VV158" s="3060"/>
      <c r="VW158" s="3060"/>
      <c r="VX158" s="3060"/>
      <c r="VY158" s="3060"/>
      <c r="VZ158" s="3060"/>
      <c r="WA158" s="3060"/>
      <c r="WB158" s="3060"/>
      <c r="WC158" s="3060"/>
      <c r="WD158" s="3060"/>
      <c r="WE158" s="3060"/>
      <c r="WF158" s="3060"/>
      <c r="WG158" s="3060"/>
      <c r="WH158" s="3060"/>
      <c r="WI158" s="3060"/>
      <c r="WJ158" s="3060"/>
      <c r="WK158" s="3060"/>
      <c r="WL158" s="3060"/>
      <c r="WM158" s="3060"/>
      <c r="WN158" s="3060"/>
      <c r="WO158" s="3060"/>
      <c r="WP158" s="3060"/>
      <c r="WQ158" s="3060"/>
      <c r="WR158" s="3060"/>
      <c r="WS158" s="3060"/>
      <c r="WT158" s="3060"/>
      <c r="WU158" s="3060"/>
      <c r="WV158" s="3060"/>
      <c r="WW158" s="3060"/>
      <c r="WX158" s="3060"/>
      <c r="WY158" s="3060"/>
      <c r="WZ158" s="3060"/>
      <c r="XA158" s="3060"/>
      <c r="XB158" s="3060"/>
      <c r="XC158" s="3060"/>
      <c r="XD158" s="3060"/>
      <c r="XE158" s="3060"/>
      <c r="XF158" s="3060"/>
      <c r="XG158" s="3060"/>
      <c r="XH158" s="3060"/>
      <c r="XI158" s="3060"/>
      <c r="XJ158" s="3060"/>
      <c r="XK158" s="3060"/>
      <c r="XL158" s="3060"/>
      <c r="XM158" s="3060"/>
      <c r="XN158" s="3060"/>
      <c r="XO158" s="3060"/>
      <c r="XP158" s="3060"/>
      <c r="XQ158" s="3060"/>
      <c r="XR158" s="3060"/>
      <c r="XS158" s="3060"/>
      <c r="XT158" s="3060"/>
      <c r="XU158" s="3060"/>
      <c r="XV158" s="3060"/>
      <c r="XW158" s="3060"/>
      <c r="XX158" s="3060"/>
      <c r="XY158" s="3060"/>
      <c r="XZ158" s="3060"/>
      <c r="YA158" s="3060"/>
      <c r="YB158" s="3060"/>
      <c r="YC158" s="3060"/>
      <c r="YD158" s="3060"/>
      <c r="YE158" s="3060"/>
      <c r="YF158" s="3060"/>
      <c r="YG158" s="3060"/>
      <c r="YH158" s="3060"/>
      <c r="YI158" s="3060"/>
      <c r="YJ158" s="3060"/>
      <c r="YK158" s="3060"/>
      <c r="YL158" s="3060"/>
      <c r="YM158" s="3060"/>
      <c r="YN158" s="3060"/>
      <c r="YO158" s="3060"/>
      <c r="YP158" s="3060"/>
      <c r="YQ158" s="3060"/>
      <c r="YR158" s="3060"/>
      <c r="YS158" s="3060"/>
      <c r="YT158" s="3060"/>
      <c r="YU158" s="3060"/>
      <c r="YV158" s="3060"/>
      <c r="YW158" s="3060"/>
      <c r="YX158" s="3060"/>
      <c r="YY158" s="3060"/>
      <c r="YZ158" s="3060"/>
      <c r="ZA158" s="3060"/>
      <c r="ZB158" s="3060"/>
      <c r="ZC158" s="3060"/>
      <c r="ZD158" s="3060"/>
      <c r="ZE158" s="3060"/>
      <c r="ZF158" s="3060"/>
      <c r="ZG158" s="3060"/>
      <c r="ZH158" s="3060"/>
      <c r="ZI158" s="3060"/>
      <c r="ZJ158" s="3060"/>
      <c r="ZK158" s="3060"/>
      <c r="ZL158" s="3060"/>
      <c r="ZM158" s="3060"/>
      <c r="ZN158" s="3060"/>
      <c r="ZO158" s="3060"/>
      <c r="ZP158" s="3060"/>
      <c r="ZQ158" s="3060"/>
      <c r="ZR158" s="3060"/>
      <c r="ZS158" s="3060"/>
      <c r="ZT158" s="3060"/>
      <c r="ZU158" s="3060"/>
      <c r="ZV158" s="3060"/>
      <c r="ZW158" s="3060"/>
      <c r="ZX158" s="3060"/>
      <c r="ZY158" s="3060"/>
      <c r="ZZ158" s="3060"/>
      <c r="AAA158" s="3060"/>
      <c r="AAB158" s="3060"/>
      <c r="AAC158" s="3060"/>
      <c r="AAD158" s="3060"/>
      <c r="AAE158" s="3060"/>
      <c r="AAF158" s="3060"/>
      <c r="AAG158" s="3060"/>
      <c r="AAH158" s="3060"/>
      <c r="AAI158" s="3060"/>
      <c r="AAJ158" s="3060"/>
      <c r="AAK158" s="3060"/>
      <c r="AAL158" s="3060"/>
      <c r="AAM158" s="3060"/>
      <c r="AAN158" s="3060"/>
      <c r="AAO158" s="3060"/>
      <c r="AAP158" s="3060"/>
      <c r="AAQ158" s="3060"/>
      <c r="AAR158" s="3060"/>
      <c r="AAS158" s="3060"/>
      <c r="AAT158" s="3060"/>
      <c r="AAU158" s="3060"/>
      <c r="AAV158" s="3060"/>
      <c r="AAW158" s="3060"/>
      <c r="AAX158" s="3060"/>
      <c r="AAY158" s="3060"/>
      <c r="AAZ158" s="3060"/>
      <c r="ABA158" s="3060"/>
      <c r="ABB158" s="3060"/>
      <c r="ABC158" s="3060"/>
      <c r="ABD158" s="3060"/>
      <c r="ABE158" s="3060"/>
      <c r="ABF158" s="3060"/>
      <c r="ABG158" s="3060"/>
      <c r="ABH158" s="3060"/>
      <c r="ABI158" s="3060"/>
      <c r="ABJ158" s="3060"/>
      <c r="ABK158" s="3060"/>
      <c r="ABL158" s="3060"/>
      <c r="ABM158" s="3060"/>
      <c r="ABN158" s="3060"/>
      <c r="ABO158" s="3060"/>
      <c r="ABP158" s="3060"/>
      <c r="ABQ158" s="3060"/>
      <c r="ABR158" s="3060"/>
      <c r="ABS158" s="3060"/>
      <c r="ABT158" s="3060"/>
      <c r="ABU158" s="3060"/>
      <c r="ABV158" s="3060"/>
      <c r="ABW158" s="3060"/>
      <c r="ABX158" s="3060"/>
      <c r="ABY158" s="3060"/>
      <c r="ABZ158" s="3060"/>
      <c r="ACA158" s="3060"/>
      <c r="ACB158" s="3060"/>
      <c r="ACC158" s="3060"/>
      <c r="ACD158" s="3060"/>
      <c r="ACE158" s="3060"/>
      <c r="ACF158" s="3060"/>
      <c r="ACG158" s="3060"/>
      <c r="ACH158" s="3060"/>
      <c r="ACI158" s="3060"/>
      <c r="ACJ158" s="3060"/>
      <c r="ACK158" s="3060"/>
      <c r="ACL158" s="3060"/>
      <c r="ACM158" s="3060"/>
      <c r="ACN158" s="3060"/>
      <c r="ACO158" s="3060"/>
      <c r="ACP158" s="3060"/>
      <c r="ACQ158" s="3060"/>
      <c r="ACR158" s="3060"/>
      <c r="ACS158" s="3060"/>
      <c r="ACT158" s="3060"/>
      <c r="ACU158" s="3060"/>
      <c r="ACV158" s="3060"/>
      <c r="ACW158" s="3060"/>
      <c r="ACX158" s="3060"/>
      <c r="ACY158" s="3060"/>
      <c r="ACZ158" s="3060"/>
      <c r="ADA158" s="3060"/>
      <c r="ADB158" s="3060"/>
      <c r="ADC158" s="3060"/>
      <c r="ADD158" s="3060"/>
      <c r="ADE158" s="3060"/>
      <c r="ADF158" s="3060"/>
      <c r="ADG158" s="3060"/>
      <c r="ADH158" s="3060"/>
      <c r="ADI158" s="3060"/>
      <c r="ADJ158" s="3060"/>
      <c r="ADK158" s="3060"/>
      <c r="ADL158" s="3060"/>
      <c r="ADM158" s="3060"/>
      <c r="ADN158" s="3060"/>
      <c r="ADO158" s="3060"/>
      <c r="ADP158" s="3060"/>
      <c r="ADQ158" s="3060"/>
      <c r="ADR158" s="3060"/>
      <c r="ADS158" s="3060"/>
      <c r="ADT158" s="3060"/>
      <c r="ADU158" s="3060"/>
      <c r="ADV158" s="3060"/>
      <c r="ADW158" s="3060"/>
      <c r="ADX158" s="3060"/>
      <c r="ADY158" s="3060"/>
      <c r="ADZ158" s="3060"/>
      <c r="AEA158" s="3060"/>
      <c r="AEB158" s="3060"/>
      <c r="AEC158" s="3060"/>
      <c r="AED158" s="3060"/>
      <c r="AEE158" s="3060"/>
      <c r="AEF158" s="3060"/>
      <c r="AEG158" s="3060"/>
      <c r="AEH158" s="3060"/>
      <c r="AEI158" s="3060"/>
      <c r="AEJ158" s="3060"/>
      <c r="AEK158" s="3060"/>
      <c r="AEL158" s="3060"/>
      <c r="AEM158" s="3060"/>
      <c r="AEN158" s="3060"/>
      <c r="AEO158" s="3060"/>
      <c r="AEP158" s="3060"/>
      <c r="AEQ158" s="3060"/>
      <c r="AER158" s="3060"/>
      <c r="AES158" s="3060"/>
      <c r="AET158" s="3060"/>
      <c r="AEU158" s="3060"/>
      <c r="AEV158" s="3060"/>
      <c r="AEW158" s="3060"/>
      <c r="AEX158" s="3060"/>
      <c r="AEY158" s="3060"/>
      <c r="AEZ158" s="3060"/>
      <c r="AFA158" s="3060"/>
      <c r="AFB158" s="3060"/>
      <c r="AFC158" s="3060"/>
      <c r="AFD158" s="3060"/>
      <c r="AFE158" s="3060"/>
      <c r="AFF158" s="3060"/>
      <c r="AFG158" s="3060"/>
      <c r="AFH158" s="3060"/>
      <c r="AFI158" s="3060"/>
      <c r="AFJ158" s="3060"/>
      <c r="AFK158" s="3060"/>
      <c r="AFL158" s="3060"/>
      <c r="AFM158" s="3060"/>
      <c r="AFN158" s="3060"/>
      <c r="AFO158" s="3060"/>
      <c r="AFP158" s="3060"/>
      <c r="AFQ158" s="3060"/>
      <c r="AFR158" s="3060"/>
      <c r="AFS158" s="3060"/>
      <c r="AFT158" s="3060"/>
      <c r="AFU158" s="3060"/>
      <c r="AFV158" s="3060"/>
      <c r="AFW158" s="3060"/>
      <c r="AFX158" s="3060"/>
      <c r="AFY158" s="3060"/>
      <c r="AFZ158" s="3060"/>
      <c r="AGA158" s="3060"/>
      <c r="AGB158" s="3060"/>
      <c r="AGC158" s="3060"/>
      <c r="AGD158" s="3060"/>
      <c r="AGE158" s="3060"/>
      <c r="AGF158" s="3060"/>
      <c r="AGG158" s="3060"/>
      <c r="AGH158" s="3060"/>
      <c r="AGI158" s="3060"/>
      <c r="AGJ158" s="3060"/>
      <c r="AGK158" s="3060"/>
      <c r="AGL158" s="3060"/>
      <c r="AGM158" s="3060"/>
      <c r="AGN158" s="3060"/>
      <c r="AGO158" s="3060"/>
      <c r="AGP158" s="3060"/>
      <c r="AGQ158" s="3060"/>
      <c r="AGR158" s="3060"/>
      <c r="AGS158" s="3060"/>
      <c r="AGT158" s="3060"/>
      <c r="AGU158" s="3060"/>
      <c r="AGV158" s="3060"/>
      <c r="AGW158" s="3060"/>
      <c r="AGX158" s="3060"/>
      <c r="AGY158" s="3060"/>
      <c r="AGZ158" s="3060"/>
      <c r="AHA158" s="3060"/>
      <c r="AHB158" s="3060"/>
      <c r="AHC158" s="3060"/>
      <c r="AHD158" s="3060"/>
      <c r="AHE158" s="3060"/>
      <c r="AHF158" s="3060"/>
      <c r="AHG158" s="3060"/>
      <c r="AHH158" s="3060"/>
      <c r="AHI158" s="3060"/>
      <c r="AHJ158" s="3060"/>
      <c r="AHK158" s="3060"/>
      <c r="AHL158" s="3060"/>
      <c r="AHM158" s="3060"/>
      <c r="AHN158" s="3060"/>
      <c r="AHO158" s="3060"/>
      <c r="AHP158" s="3060"/>
      <c r="AHQ158" s="3060"/>
      <c r="AHR158" s="3060"/>
      <c r="AHS158" s="3060"/>
      <c r="AHT158" s="3060"/>
      <c r="AHU158" s="3060"/>
      <c r="AHV158" s="3060"/>
      <c r="AHW158" s="3060"/>
      <c r="AHX158" s="3060"/>
      <c r="AHY158" s="3060"/>
      <c r="AHZ158" s="3060"/>
      <c r="AIA158" s="3060"/>
      <c r="AIB158" s="3060"/>
      <c r="AIC158" s="3060"/>
      <c r="AID158" s="3060"/>
      <c r="AIE158" s="3060"/>
      <c r="AIF158" s="3060"/>
      <c r="AIG158" s="3060"/>
      <c r="AIH158" s="3060"/>
      <c r="AII158" s="3060"/>
      <c r="AIJ158" s="3060"/>
      <c r="AIK158" s="3060"/>
      <c r="AIL158" s="3060"/>
      <c r="AIM158" s="3060"/>
      <c r="AIN158" s="3060"/>
      <c r="AIO158" s="3060"/>
      <c r="AIP158" s="3060"/>
      <c r="AIQ158" s="3060"/>
      <c r="AIR158" s="3060"/>
      <c r="AIS158" s="3060"/>
      <c r="AIT158" s="3060"/>
      <c r="AIU158" s="3060"/>
      <c r="AIV158" s="3060"/>
      <c r="AIW158" s="3060"/>
      <c r="AIX158" s="3060"/>
      <c r="AIY158" s="3060"/>
      <c r="AIZ158" s="3060"/>
      <c r="AJA158" s="3060"/>
      <c r="AJB158" s="3060"/>
      <c r="AJC158" s="3060"/>
      <c r="AJD158" s="3060"/>
      <c r="AJE158" s="3060"/>
      <c r="AJF158" s="3060"/>
      <c r="AJG158" s="3060"/>
      <c r="AJH158" s="3060"/>
      <c r="AJI158" s="3060"/>
      <c r="AJJ158" s="3060"/>
      <c r="AJK158" s="3060"/>
      <c r="AJL158" s="3060"/>
      <c r="AJM158" s="3060"/>
      <c r="AJN158" s="3060"/>
      <c r="AJO158" s="3060"/>
      <c r="AJP158" s="3060"/>
      <c r="AJQ158" s="3060"/>
      <c r="AJR158" s="3060"/>
      <c r="AJS158" s="3060"/>
      <c r="AJT158" s="3060"/>
      <c r="AJU158" s="3060"/>
      <c r="AJV158" s="3060"/>
      <c r="AJW158" s="3060"/>
      <c r="AJX158" s="3060"/>
      <c r="AJY158" s="3060"/>
      <c r="AJZ158" s="3060"/>
      <c r="AKA158" s="3060"/>
      <c r="AKB158" s="3060"/>
      <c r="AKC158" s="3060"/>
      <c r="AKD158" s="3060"/>
      <c r="AKE158" s="3060"/>
      <c r="AKF158" s="3060"/>
      <c r="AKG158" s="3060"/>
      <c r="AKH158" s="3060"/>
      <c r="AKI158" s="3060"/>
      <c r="AKJ158" s="3060"/>
      <c r="AKK158" s="3060"/>
      <c r="AKL158" s="3060"/>
      <c r="AKM158" s="3060"/>
      <c r="AKN158" s="3060"/>
      <c r="AKO158" s="3060"/>
      <c r="AKP158" s="3060"/>
      <c r="AKQ158" s="3060"/>
      <c r="AKR158" s="3060"/>
      <c r="AKS158" s="3060"/>
      <c r="AKT158" s="3060"/>
      <c r="AKU158" s="3060"/>
      <c r="AKV158" s="3060"/>
      <c r="AKW158" s="3060"/>
      <c r="AKX158" s="3060"/>
      <c r="AKY158" s="3060"/>
      <c r="AKZ158" s="3060"/>
      <c r="ALA158" s="3060"/>
      <c r="ALB158" s="3060"/>
      <c r="ALC158" s="3060"/>
      <c r="ALD158" s="3060"/>
      <c r="ALE158" s="3060"/>
      <c r="ALF158" s="3060"/>
      <c r="ALG158" s="3060"/>
      <c r="ALH158" s="3060"/>
      <c r="ALI158" s="3060"/>
      <c r="ALJ158" s="3060"/>
      <c r="ALK158" s="3060"/>
      <c r="ALL158" s="3060"/>
      <c r="ALM158" s="3060"/>
      <c r="ALN158" s="3060"/>
      <c r="ALO158" s="3060"/>
      <c r="ALP158" s="3060"/>
      <c r="ALQ158" s="3060"/>
      <c r="ALR158" s="3060"/>
      <c r="ALS158" s="3060"/>
      <c r="ALT158" s="3060"/>
      <c r="ALU158" s="3060"/>
      <c r="ALV158" s="3060"/>
      <c r="ALW158" s="3060"/>
      <c r="ALX158" s="3060"/>
      <c r="ALY158" s="3060"/>
      <c r="ALZ158" s="3060"/>
      <c r="AMA158" s="3060"/>
      <c r="AMB158" s="3060"/>
      <c r="AMC158" s="3060"/>
      <c r="AMD158" s="3060"/>
      <c r="AME158" s="3060"/>
      <c r="AMF158" s="3060"/>
      <c r="AMG158" s="3060"/>
      <c r="AMH158" s="3060"/>
      <c r="AMI158" s="3060"/>
      <c r="AMJ158" s="3060"/>
      <c r="AMK158" s="3060"/>
      <c r="AML158" s="3060"/>
      <c r="AMM158" s="3060"/>
      <c r="AMN158" s="3060"/>
      <c r="AMO158" s="3060"/>
      <c r="AMP158" s="3060"/>
      <c r="AMQ158" s="3060"/>
      <c r="AMR158" s="3060"/>
      <c r="AMS158" s="3060"/>
      <c r="AMT158" s="3060"/>
      <c r="AMU158" s="3060"/>
      <c r="AMV158" s="3060"/>
      <c r="AMW158" s="3060"/>
      <c r="AMX158" s="3060"/>
      <c r="AMY158" s="3060"/>
      <c r="AMZ158" s="3060"/>
      <c r="ANA158" s="3060"/>
      <c r="ANB158" s="3060"/>
      <c r="ANC158" s="3060"/>
      <c r="AND158" s="3060"/>
      <c r="ANE158" s="3060"/>
      <c r="ANF158" s="3060"/>
      <c r="ANG158" s="3060"/>
      <c r="ANH158" s="3060"/>
      <c r="ANI158" s="3060"/>
      <c r="ANJ158" s="3060"/>
      <c r="ANK158" s="3060"/>
      <c r="ANL158" s="3060"/>
      <c r="ANM158" s="3060"/>
      <c r="ANN158" s="3060"/>
      <c r="ANO158" s="3060"/>
      <c r="ANP158" s="3060"/>
      <c r="ANQ158" s="3060"/>
      <c r="ANR158" s="3060"/>
      <c r="ANS158" s="3060"/>
      <c r="ANT158" s="3060"/>
      <c r="ANU158" s="3060"/>
      <c r="ANV158" s="3060"/>
      <c r="ANW158" s="3060"/>
      <c r="ANX158" s="3060"/>
      <c r="ANY158" s="3060"/>
      <c r="ANZ158" s="3060"/>
      <c r="AOA158" s="3060"/>
      <c r="AOB158" s="3060"/>
      <c r="AOC158" s="3060"/>
      <c r="AOD158" s="3060"/>
      <c r="AOE158" s="3060"/>
      <c r="AOF158" s="3060"/>
      <c r="AOG158" s="3060"/>
      <c r="AOH158" s="3060"/>
      <c r="AOI158" s="3060"/>
      <c r="AOJ158" s="3060"/>
      <c r="AOK158" s="3060"/>
      <c r="AOL158" s="3060"/>
      <c r="AOM158" s="3060"/>
      <c r="AON158" s="3060"/>
      <c r="AOO158" s="3060"/>
      <c r="AOP158" s="3060"/>
      <c r="AOQ158" s="3060"/>
      <c r="AOR158" s="3060"/>
      <c r="AOS158" s="3060"/>
      <c r="AOT158" s="3060"/>
      <c r="AOU158" s="3060"/>
      <c r="AOV158" s="3060"/>
      <c r="AOW158" s="3060"/>
      <c r="AOX158" s="3060"/>
      <c r="AOY158" s="3060"/>
      <c r="AOZ158" s="3060"/>
      <c r="APA158" s="3060"/>
      <c r="APB158" s="3060"/>
      <c r="APC158" s="3060"/>
      <c r="APD158" s="3060"/>
      <c r="APE158" s="3060"/>
      <c r="APF158" s="3060"/>
      <c r="APG158" s="3060"/>
      <c r="APH158" s="3060"/>
      <c r="API158" s="3060"/>
      <c r="APJ158" s="3060"/>
      <c r="APK158" s="3060"/>
      <c r="APL158" s="3060"/>
      <c r="APM158" s="3060"/>
      <c r="APN158" s="3060"/>
      <c r="APO158" s="3060"/>
      <c r="APP158" s="3060"/>
      <c r="APQ158" s="3060"/>
      <c r="APR158" s="3060"/>
      <c r="APS158" s="3060"/>
      <c r="APT158" s="3060"/>
      <c r="APU158" s="3060"/>
      <c r="APV158" s="3060"/>
      <c r="APW158" s="3060"/>
      <c r="APX158" s="3060"/>
      <c r="APY158" s="3060"/>
      <c r="APZ158" s="3060"/>
      <c r="AQA158" s="3060"/>
      <c r="AQB158" s="3060"/>
      <c r="AQC158" s="3060"/>
      <c r="AQD158" s="3060"/>
      <c r="AQE158" s="3060"/>
      <c r="AQF158" s="3060"/>
      <c r="AQG158" s="3060"/>
      <c r="AQH158" s="3060"/>
      <c r="AQI158" s="3060"/>
      <c r="AQJ158" s="3060"/>
      <c r="AQK158" s="3060"/>
      <c r="AQL158" s="3060"/>
      <c r="AQM158" s="3060"/>
      <c r="AQN158" s="3060"/>
      <c r="AQO158" s="3060"/>
      <c r="AQP158" s="3060"/>
      <c r="AQQ158" s="3060"/>
      <c r="AQR158" s="3060"/>
      <c r="AQS158" s="3060"/>
      <c r="AQT158" s="3060"/>
      <c r="AQU158" s="3060"/>
      <c r="AQV158" s="3060"/>
      <c r="AQW158" s="3060"/>
      <c r="AQX158" s="3060"/>
      <c r="AQY158" s="3060"/>
      <c r="AQZ158" s="3060"/>
      <c r="ARA158" s="3060"/>
      <c r="ARB158" s="3060"/>
      <c r="ARC158" s="3060"/>
      <c r="ARD158" s="3060"/>
      <c r="ARE158" s="3060"/>
      <c r="ARF158" s="3060"/>
      <c r="ARG158" s="3060"/>
      <c r="ARH158" s="3060"/>
      <c r="ARI158" s="3060"/>
      <c r="ARJ158" s="3060"/>
      <c r="ARK158" s="3060"/>
      <c r="ARL158" s="3060"/>
      <c r="ARM158" s="3060"/>
      <c r="ARN158" s="3060"/>
      <c r="ARO158" s="3060"/>
      <c r="ARP158" s="3060"/>
      <c r="ARQ158" s="3060"/>
      <c r="ARR158" s="3060"/>
      <c r="ARS158" s="3060"/>
      <c r="ART158" s="3060"/>
      <c r="ARU158" s="3060"/>
      <c r="ARV158" s="3060"/>
      <c r="ARW158" s="3060"/>
      <c r="ARX158" s="3060"/>
      <c r="ARY158" s="3060"/>
      <c r="ARZ158" s="3060"/>
      <c r="ASA158" s="3060"/>
      <c r="ASB158" s="3060"/>
      <c r="ASC158" s="3060"/>
      <c r="ASD158" s="3060"/>
      <c r="ASE158" s="3060"/>
      <c r="ASF158" s="3060"/>
      <c r="ASG158" s="3060"/>
      <c r="ASH158" s="3060"/>
      <c r="ASI158" s="3060"/>
      <c r="ASJ158" s="3060"/>
      <c r="ASK158" s="3060"/>
      <c r="ASL158" s="3060"/>
      <c r="ASM158" s="3060"/>
      <c r="ASN158" s="3060"/>
      <c r="ASO158" s="3060"/>
      <c r="ASP158" s="3060"/>
      <c r="ASQ158" s="3060"/>
      <c r="ASR158" s="3060"/>
      <c r="ASS158" s="3060"/>
      <c r="AST158" s="3060"/>
      <c r="ASU158" s="3060"/>
      <c r="ASV158" s="3060"/>
      <c r="ASW158" s="3060"/>
      <c r="ASX158" s="3060"/>
      <c r="ASY158" s="3060"/>
      <c r="ASZ158" s="3060"/>
      <c r="ATA158" s="3060"/>
      <c r="ATB158" s="3060"/>
      <c r="ATC158" s="3060"/>
      <c r="ATD158" s="3060"/>
      <c r="ATE158" s="3060"/>
      <c r="ATF158" s="3060"/>
      <c r="ATG158" s="3060"/>
      <c r="ATH158" s="3060"/>
      <c r="ATI158" s="3060"/>
      <c r="ATJ158" s="3060"/>
      <c r="ATK158" s="3060"/>
      <c r="ATL158" s="3060"/>
      <c r="ATM158" s="3060"/>
      <c r="ATN158" s="3060"/>
      <c r="ATO158" s="3060"/>
      <c r="ATP158" s="3060"/>
      <c r="ATQ158" s="3060"/>
      <c r="ATR158" s="3060"/>
      <c r="ATS158" s="3060"/>
      <c r="ATT158" s="3060"/>
      <c r="ATU158" s="3060"/>
      <c r="ATV158" s="3060"/>
      <c r="ATW158" s="3060"/>
      <c r="ATX158" s="3060"/>
      <c r="ATY158" s="3060"/>
      <c r="ATZ158" s="3060"/>
      <c r="AUA158" s="3060"/>
      <c r="AUB158" s="3060"/>
      <c r="AUC158" s="3060"/>
      <c r="AUD158" s="3060"/>
      <c r="AUE158" s="3060"/>
      <c r="AUF158" s="3060"/>
      <c r="AUG158" s="3060"/>
      <c r="AUH158" s="3060"/>
      <c r="AUI158" s="3060"/>
      <c r="AUJ158" s="3060"/>
      <c r="AUK158" s="3060"/>
      <c r="AUL158" s="3060"/>
      <c r="AUM158" s="3060"/>
      <c r="AUN158" s="3060"/>
      <c r="AUO158" s="3060"/>
      <c r="AUP158" s="3060"/>
      <c r="AUQ158" s="3060"/>
      <c r="AUR158" s="3060"/>
      <c r="AUS158" s="3060"/>
      <c r="AUT158" s="3060"/>
      <c r="AUU158" s="3060"/>
      <c r="AUV158" s="3060"/>
      <c r="AUW158" s="3060"/>
      <c r="AUX158" s="3060"/>
      <c r="AUY158" s="3060"/>
      <c r="AUZ158" s="3060"/>
      <c r="AVA158" s="3060"/>
      <c r="AVB158" s="3060"/>
      <c r="AVC158" s="3060"/>
      <c r="AVD158" s="3060"/>
      <c r="AVE158" s="3060"/>
      <c r="AVF158" s="3060"/>
      <c r="AVG158" s="3060"/>
      <c r="AVH158" s="3060"/>
      <c r="AVI158" s="3060"/>
      <c r="AVJ158" s="3060"/>
      <c r="AVK158" s="3060"/>
      <c r="AVL158" s="3060"/>
      <c r="AVM158" s="3060"/>
      <c r="AVN158" s="3060"/>
      <c r="AVO158" s="3060"/>
      <c r="AVP158" s="3060"/>
      <c r="AVQ158" s="3060"/>
      <c r="AVR158" s="3060"/>
      <c r="AVS158" s="3060"/>
      <c r="AVT158" s="3060"/>
      <c r="AVU158" s="3060"/>
      <c r="AVV158" s="3060"/>
      <c r="AVW158" s="3060"/>
      <c r="AVX158" s="3060"/>
      <c r="AVY158" s="3060"/>
      <c r="AVZ158" s="3060"/>
      <c r="AWA158" s="3060"/>
      <c r="AWB158" s="3060"/>
      <c r="AWC158" s="3060"/>
      <c r="AWD158" s="3060"/>
      <c r="AWE158" s="3060"/>
      <c r="AWF158" s="3060"/>
      <c r="AWG158" s="3060"/>
      <c r="AWH158" s="3060"/>
      <c r="AWI158" s="3060"/>
      <c r="AWJ158" s="3060"/>
      <c r="AWK158" s="3060"/>
      <c r="AWL158" s="3060"/>
      <c r="AWM158" s="3060"/>
      <c r="AWN158" s="3060"/>
      <c r="AWO158" s="3060"/>
      <c r="AWP158" s="3060"/>
      <c r="AWQ158" s="3060"/>
      <c r="AWR158" s="3060"/>
      <c r="AWS158" s="3060"/>
      <c r="AWT158" s="3060"/>
      <c r="AWU158" s="3060"/>
      <c r="AWV158" s="3060"/>
      <c r="AWW158" s="3060"/>
      <c r="AWX158" s="3060"/>
      <c r="AWY158" s="3060"/>
      <c r="AWZ158" s="3060"/>
      <c r="AXA158" s="3060"/>
      <c r="AXB158" s="3060"/>
      <c r="AXC158" s="3060"/>
      <c r="AXD158" s="3060"/>
      <c r="AXE158" s="3060"/>
      <c r="AXF158" s="3060"/>
      <c r="AXG158" s="3060"/>
      <c r="AXH158" s="3060"/>
      <c r="AXI158" s="3060"/>
      <c r="AXJ158" s="3060"/>
      <c r="AXK158" s="3060"/>
      <c r="AXL158" s="3060"/>
      <c r="AXM158" s="3060"/>
      <c r="AXN158" s="3060"/>
      <c r="AXO158" s="3060"/>
      <c r="AXP158" s="3060"/>
      <c r="AXQ158" s="3060"/>
      <c r="AXR158" s="3060"/>
      <c r="AXS158" s="3060"/>
      <c r="AXT158" s="3060"/>
      <c r="AXU158" s="3060"/>
      <c r="AXV158" s="3060"/>
      <c r="AXW158" s="3060"/>
      <c r="AXX158" s="3060"/>
      <c r="AXY158" s="3060"/>
      <c r="AXZ158" s="3060"/>
      <c r="AYA158" s="3060"/>
      <c r="AYB158" s="3060"/>
      <c r="AYC158" s="3060"/>
      <c r="AYD158" s="3060"/>
      <c r="AYE158" s="3060"/>
      <c r="AYF158" s="3060"/>
      <c r="AYG158" s="3060"/>
      <c r="AYH158" s="3060"/>
      <c r="AYI158" s="3060"/>
      <c r="AYJ158" s="3060"/>
      <c r="AYK158" s="3060"/>
      <c r="AYL158" s="3060"/>
      <c r="AYM158" s="3060"/>
      <c r="AYN158" s="3060"/>
      <c r="AYO158" s="3060"/>
      <c r="AYP158" s="3060"/>
      <c r="AYQ158" s="3060"/>
      <c r="AYR158" s="3060"/>
      <c r="AYS158" s="3060"/>
      <c r="AYT158" s="3060"/>
      <c r="AYU158" s="3060"/>
      <c r="AYV158" s="3060"/>
      <c r="AYW158" s="3060"/>
      <c r="AYX158" s="3060"/>
      <c r="AYY158" s="3060"/>
      <c r="AYZ158" s="3060"/>
      <c r="AZA158" s="3060"/>
      <c r="AZB158" s="3060"/>
      <c r="AZC158" s="3060"/>
      <c r="AZD158" s="3060"/>
      <c r="AZE158" s="3060"/>
      <c r="AZF158" s="3060"/>
      <c r="AZG158" s="3060"/>
      <c r="AZH158" s="3060"/>
      <c r="AZI158" s="3060"/>
      <c r="AZJ158" s="3060"/>
      <c r="AZK158" s="3060"/>
      <c r="AZL158" s="3060"/>
      <c r="AZM158" s="3060"/>
      <c r="AZN158" s="3060"/>
      <c r="AZO158" s="3060"/>
      <c r="AZP158" s="3060"/>
      <c r="AZQ158" s="3060"/>
      <c r="AZR158" s="3060"/>
      <c r="AZS158" s="3060"/>
      <c r="AZT158" s="3060"/>
      <c r="AZU158" s="3060"/>
      <c r="AZV158" s="3060"/>
      <c r="AZW158" s="3060"/>
      <c r="AZX158" s="3060"/>
      <c r="AZY158" s="3060"/>
      <c r="AZZ158" s="3060"/>
      <c r="BAA158" s="3060"/>
      <c r="BAB158" s="3060"/>
      <c r="BAC158" s="3060"/>
      <c r="BAD158" s="3060"/>
      <c r="BAE158" s="3060"/>
      <c r="BAF158" s="3060"/>
      <c r="BAG158" s="3060"/>
      <c r="BAH158" s="3060"/>
      <c r="BAI158" s="3060"/>
      <c r="BAJ158" s="3060"/>
      <c r="BAK158" s="3060"/>
      <c r="BAL158" s="3060"/>
      <c r="BAM158" s="3060"/>
      <c r="BAN158" s="3060"/>
      <c r="BAO158" s="3060"/>
      <c r="BAP158" s="3060"/>
      <c r="BAQ158" s="3060"/>
      <c r="BAR158" s="3060"/>
      <c r="BAS158" s="3060"/>
      <c r="BAT158" s="3060"/>
      <c r="BAU158" s="3060"/>
      <c r="BAV158" s="3060"/>
      <c r="BAW158" s="3060"/>
      <c r="BAX158" s="3060"/>
      <c r="BAY158" s="3060"/>
      <c r="BAZ158" s="3060"/>
      <c r="BBA158" s="3060"/>
      <c r="BBB158" s="3060"/>
      <c r="BBC158" s="3060"/>
      <c r="BBD158" s="3060"/>
      <c r="BBE158" s="3060"/>
      <c r="BBF158" s="3060"/>
      <c r="BBG158" s="3060"/>
      <c r="BBH158" s="3060"/>
      <c r="BBI158" s="3060"/>
      <c r="BBJ158" s="3060"/>
      <c r="BBK158" s="3060"/>
      <c r="BBL158" s="3060"/>
      <c r="BBM158" s="3060"/>
      <c r="BBN158" s="3060"/>
      <c r="BBO158" s="3060"/>
      <c r="BBP158" s="3060"/>
      <c r="BBQ158" s="3060"/>
      <c r="BBR158" s="3060"/>
      <c r="BBS158" s="3060"/>
      <c r="BBT158" s="3060"/>
      <c r="BBU158" s="3060"/>
      <c r="BBV158" s="3060"/>
      <c r="BBW158" s="3060"/>
      <c r="BBX158" s="3060"/>
      <c r="BBY158" s="3060"/>
      <c r="BBZ158" s="3060"/>
      <c r="BCA158" s="3060"/>
      <c r="BCB158" s="3060"/>
      <c r="BCC158" s="3060"/>
      <c r="BCD158" s="3060"/>
      <c r="BCE158" s="3060"/>
      <c r="BCF158" s="3060"/>
      <c r="BCG158" s="3060"/>
      <c r="BCH158" s="3060"/>
      <c r="BCI158" s="3060"/>
      <c r="BCJ158" s="3060"/>
      <c r="BCK158" s="3060"/>
      <c r="BCL158" s="3060"/>
      <c r="BCM158" s="3060"/>
      <c r="BCN158" s="3060"/>
      <c r="BCO158" s="3060"/>
      <c r="BCP158" s="3060"/>
      <c r="BCQ158" s="3060"/>
      <c r="BCR158" s="3060"/>
      <c r="BCS158" s="3060"/>
      <c r="BCT158" s="3060"/>
      <c r="BCU158" s="3060"/>
      <c r="BCV158" s="3060"/>
      <c r="BCW158" s="3060"/>
      <c r="BCX158" s="3060"/>
      <c r="BCY158" s="3060"/>
      <c r="BCZ158" s="3060"/>
      <c r="BDA158" s="3060"/>
      <c r="BDB158" s="3060"/>
      <c r="BDC158" s="3060"/>
      <c r="BDD158" s="3060"/>
      <c r="BDE158" s="3060"/>
      <c r="BDF158" s="3060"/>
      <c r="BDG158" s="3060"/>
      <c r="BDH158" s="3060"/>
      <c r="BDI158" s="3060"/>
      <c r="BDJ158" s="3060"/>
      <c r="BDK158" s="3060"/>
      <c r="BDL158" s="3060"/>
      <c r="BDM158" s="3060"/>
      <c r="BDN158" s="3060"/>
      <c r="BDO158" s="3060"/>
      <c r="BDP158" s="3060"/>
      <c r="BDQ158" s="3060"/>
      <c r="BDR158" s="3060"/>
      <c r="BDS158" s="3060"/>
      <c r="BDT158" s="3060"/>
      <c r="BDU158" s="3060"/>
      <c r="BDV158" s="3060"/>
      <c r="BDW158" s="3060"/>
      <c r="BDX158" s="3060"/>
      <c r="BDY158" s="3060"/>
      <c r="BDZ158" s="3060"/>
      <c r="BEA158" s="3060"/>
      <c r="BEB158" s="3060"/>
      <c r="BEC158" s="3060"/>
      <c r="BED158" s="3060"/>
      <c r="BEE158" s="3060"/>
      <c r="BEF158" s="3060"/>
      <c r="BEG158" s="3060"/>
      <c r="BEH158" s="3060"/>
      <c r="BEI158" s="3060"/>
      <c r="BEJ158" s="3060"/>
      <c r="BEK158" s="3060"/>
      <c r="BEL158" s="3060"/>
      <c r="BEM158" s="3060"/>
      <c r="BEN158" s="3060"/>
      <c r="BEO158" s="3060"/>
      <c r="BEP158" s="3060"/>
      <c r="BEQ158" s="3060"/>
      <c r="BER158" s="3060"/>
      <c r="BES158" s="3060"/>
      <c r="BET158" s="3060"/>
      <c r="BEU158" s="3060"/>
      <c r="BEV158" s="3060"/>
      <c r="BEW158" s="3060"/>
      <c r="BEX158" s="3060"/>
      <c r="BEY158" s="3060"/>
      <c r="BEZ158" s="3060"/>
      <c r="BFA158" s="3060"/>
      <c r="BFB158" s="3060"/>
      <c r="BFC158" s="3060"/>
      <c r="BFD158" s="3060"/>
      <c r="BFE158" s="3060"/>
      <c r="BFF158" s="3060"/>
      <c r="BFG158" s="3060"/>
      <c r="BFH158" s="3060"/>
      <c r="BFI158" s="3060"/>
      <c r="BFJ158" s="3060"/>
      <c r="BFK158" s="3060"/>
      <c r="BFL158" s="3060"/>
      <c r="BFM158" s="3060"/>
      <c r="BFN158" s="3060"/>
      <c r="BFO158" s="3060"/>
      <c r="BFP158" s="3060"/>
      <c r="BFQ158" s="3060"/>
      <c r="BFR158" s="3060"/>
      <c r="BFS158" s="3060"/>
      <c r="BFT158" s="3060"/>
      <c r="BFU158" s="3060"/>
      <c r="BFV158" s="3060"/>
      <c r="BFW158" s="3060"/>
      <c r="BFX158" s="3060"/>
      <c r="BFY158" s="3060"/>
      <c r="BFZ158" s="3060"/>
      <c r="BGA158" s="3060"/>
      <c r="BGB158" s="3060"/>
      <c r="BGC158" s="3060"/>
      <c r="BGD158" s="3060"/>
      <c r="BGE158" s="3060"/>
      <c r="BGF158" s="3060"/>
      <c r="BGG158" s="3060"/>
      <c r="BGH158" s="3060"/>
      <c r="BGI158" s="3060"/>
      <c r="BGJ158" s="3060"/>
      <c r="BGK158" s="3060"/>
      <c r="BGL158" s="3060"/>
      <c r="BGM158" s="3060"/>
      <c r="BGN158" s="3060"/>
      <c r="BGO158" s="3060"/>
      <c r="BGP158" s="3060"/>
      <c r="BGQ158" s="3060"/>
      <c r="BGR158" s="3060"/>
      <c r="BGS158" s="3060"/>
      <c r="BGT158" s="3060"/>
      <c r="BGU158" s="3060"/>
      <c r="BGV158" s="3060"/>
      <c r="BGW158" s="3060"/>
      <c r="BGX158" s="3060"/>
      <c r="BGY158" s="3060"/>
      <c r="BGZ158" s="3060"/>
      <c r="BHA158" s="3060"/>
      <c r="BHB158" s="3060"/>
      <c r="BHC158" s="3060"/>
      <c r="BHD158" s="3060"/>
      <c r="BHE158" s="3060"/>
      <c r="BHF158" s="3060"/>
      <c r="BHG158" s="3060"/>
      <c r="BHH158" s="3060"/>
      <c r="BHI158" s="3060"/>
      <c r="BHJ158" s="3060"/>
      <c r="BHK158" s="3060"/>
      <c r="BHL158" s="3060"/>
      <c r="BHM158" s="3060"/>
      <c r="BHN158" s="3060"/>
      <c r="BHO158" s="3060"/>
      <c r="BHP158" s="3060"/>
      <c r="BHQ158" s="3060"/>
      <c r="BHR158" s="3060"/>
      <c r="BHS158" s="3060"/>
      <c r="BHT158" s="3060"/>
      <c r="BHU158" s="3060"/>
      <c r="BHV158" s="3060"/>
      <c r="BHW158" s="3060"/>
      <c r="BHX158" s="3060"/>
      <c r="BHY158" s="3060"/>
      <c r="BHZ158" s="3060"/>
      <c r="BIA158" s="3060"/>
      <c r="BIB158" s="3060"/>
      <c r="BIC158" s="3060"/>
      <c r="BID158" s="3060"/>
      <c r="BIE158" s="3060"/>
      <c r="BIF158" s="3060"/>
      <c r="BIG158" s="3060"/>
      <c r="BIH158" s="3060"/>
      <c r="BII158" s="3060"/>
      <c r="BIJ158" s="3060"/>
      <c r="BIK158" s="3060"/>
      <c r="BIL158" s="3060"/>
      <c r="BIM158" s="3060"/>
      <c r="BIN158" s="3060"/>
      <c r="BIO158" s="3060"/>
      <c r="BIP158" s="3060"/>
      <c r="BIQ158" s="3060"/>
      <c r="BIR158" s="3060"/>
      <c r="BIS158" s="3060"/>
      <c r="BIT158" s="3060"/>
      <c r="BIU158" s="3060"/>
      <c r="BIV158" s="3060"/>
      <c r="BIW158" s="3060"/>
      <c r="BIX158" s="3060"/>
      <c r="BIY158" s="3060"/>
      <c r="BIZ158" s="3060"/>
      <c r="BJA158" s="3060"/>
      <c r="BJB158" s="3060"/>
      <c r="BJC158" s="3060"/>
      <c r="BJD158" s="3060"/>
      <c r="BJE158" s="3060"/>
      <c r="BJF158" s="3060"/>
      <c r="BJG158" s="3060"/>
      <c r="BJH158" s="3060"/>
      <c r="BJI158" s="3060"/>
      <c r="BJJ158" s="3060"/>
      <c r="BJK158" s="3060"/>
      <c r="BJL158" s="3060"/>
      <c r="BJM158" s="3060"/>
      <c r="BJN158" s="3060"/>
      <c r="BJO158" s="3060"/>
      <c r="BJP158" s="3060"/>
      <c r="BJQ158" s="3060"/>
      <c r="BJR158" s="3060"/>
      <c r="BJS158" s="3060"/>
      <c r="BJT158" s="3060"/>
      <c r="BJU158" s="3060"/>
      <c r="BJV158" s="3060"/>
      <c r="BJW158" s="3060"/>
      <c r="BJX158" s="3060"/>
      <c r="BJY158" s="3060"/>
      <c r="BJZ158" s="3060"/>
      <c r="BKA158" s="3060"/>
      <c r="BKB158" s="3060"/>
      <c r="BKC158" s="3060"/>
      <c r="BKD158" s="3060"/>
      <c r="BKE158" s="3060"/>
      <c r="BKF158" s="3060"/>
      <c r="BKG158" s="3060"/>
      <c r="BKH158" s="3060"/>
      <c r="BKI158" s="3060"/>
      <c r="BKJ158" s="3060"/>
      <c r="BKK158" s="3060"/>
      <c r="BKL158" s="3060"/>
      <c r="BKM158" s="3060"/>
      <c r="BKN158" s="3060"/>
      <c r="BKO158" s="3060"/>
      <c r="BKP158" s="3060"/>
      <c r="BKQ158" s="3060"/>
      <c r="BKR158" s="3060"/>
      <c r="BKS158" s="3060"/>
      <c r="BKT158" s="3060"/>
      <c r="BKU158" s="3060"/>
      <c r="BKV158" s="3060"/>
      <c r="BKW158" s="3060"/>
      <c r="BKX158" s="3060"/>
      <c r="BKY158" s="3060"/>
      <c r="BKZ158" s="3060"/>
      <c r="BLA158" s="3060"/>
      <c r="BLB158" s="3060"/>
      <c r="BLC158" s="3060"/>
      <c r="BLD158" s="3060"/>
      <c r="BLE158" s="3060"/>
      <c r="BLF158" s="3060"/>
      <c r="BLG158" s="3060"/>
      <c r="BLH158" s="3060"/>
      <c r="BLI158" s="3060"/>
      <c r="BLJ158" s="3060"/>
      <c r="BLK158" s="3060"/>
      <c r="BLL158" s="3060"/>
      <c r="BLM158" s="3060"/>
      <c r="BLN158" s="3060"/>
      <c r="BLO158" s="3060"/>
      <c r="BLP158" s="3060"/>
      <c r="BLQ158" s="3060"/>
      <c r="BLR158" s="3060"/>
      <c r="BLS158" s="3060"/>
      <c r="BLT158" s="3060"/>
      <c r="BLU158" s="3060"/>
      <c r="BLV158" s="3060"/>
      <c r="BLW158" s="3060"/>
      <c r="BLX158" s="3060"/>
      <c r="BLY158" s="3060"/>
      <c r="BLZ158" s="3060"/>
      <c r="BMA158" s="3060"/>
      <c r="BMB158" s="3060"/>
      <c r="BMC158" s="3060"/>
      <c r="BMD158" s="3060"/>
      <c r="BME158" s="3060"/>
      <c r="BMF158" s="3060"/>
      <c r="BMG158" s="3060"/>
      <c r="BMH158" s="3060"/>
      <c r="BMI158" s="3060"/>
      <c r="BMJ158" s="3060"/>
      <c r="BMK158" s="3060"/>
      <c r="BML158" s="3060"/>
      <c r="BMM158" s="3060"/>
      <c r="BMN158" s="3060"/>
      <c r="BMO158" s="3060"/>
      <c r="BMP158" s="3060"/>
      <c r="BMQ158" s="3060"/>
      <c r="BMR158" s="3060"/>
      <c r="BMS158" s="3060"/>
      <c r="BMT158" s="3060"/>
      <c r="BMU158" s="3060"/>
      <c r="BMV158" s="3060"/>
      <c r="BMW158" s="3060"/>
      <c r="BMX158" s="3060"/>
      <c r="BMY158" s="3060"/>
      <c r="BMZ158" s="3060"/>
      <c r="BNA158" s="3060"/>
      <c r="BNB158" s="3060"/>
      <c r="BNC158" s="3060"/>
      <c r="BND158" s="3060"/>
      <c r="BNE158" s="3060"/>
      <c r="BNF158" s="3060"/>
      <c r="BNG158" s="3060"/>
      <c r="BNH158" s="3060"/>
      <c r="BNI158" s="3060"/>
      <c r="BNJ158" s="3060"/>
      <c r="BNK158" s="3060"/>
      <c r="BNL158" s="3060"/>
      <c r="BNM158" s="3060"/>
      <c r="BNN158" s="3060"/>
      <c r="BNO158" s="3060"/>
      <c r="BNP158" s="3060"/>
      <c r="BNQ158" s="3060"/>
      <c r="BNR158" s="3060"/>
      <c r="BNS158" s="3060"/>
      <c r="BNT158" s="3060"/>
      <c r="BNU158" s="3060"/>
      <c r="BNV158" s="3060"/>
      <c r="BNW158" s="3060"/>
      <c r="BNX158" s="3060"/>
      <c r="BNY158" s="3060"/>
      <c r="BNZ158" s="3060"/>
      <c r="BOA158" s="3060"/>
      <c r="BOB158" s="3060"/>
      <c r="BOC158" s="3060"/>
      <c r="BOD158" s="3060"/>
      <c r="BOE158" s="3060"/>
      <c r="BOF158" s="3060"/>
      <c r="BOG158" s="3060"/>
      <c r="BOH158" s="3060"/>
      <c r="BOI158" s="3060"/>
      <c r="BOJ158" s="3060"/>
      <c r="BOK158" s="3060"/>
      <c r="BOL158" s="3060"/>
      <c r="BOM158" s="3060"/>
      <c r="BON158" s="3060"/>
      <c r="BOO158" s="3060"/>
      <c r="BOP158" s="3060"/>
      <c r="BOQ158" s="3060"/>
      <c r="BOR158" s="3060"/>
      <c r="BOS158" s="3060"/>
      <c r="BOT158" s="3060"/>
      <c r="BOU158" s="3060"/>
      <c r="BOV158" s="3060"/>
      <c r="BOW158" s="3060"/>
      <c r="BOX158" s="3060"/>
      <c r="BOY158" s="3060"/>
      <c r="BOZ158" s="3060"/>
      <c r="BPA158" s="3060"/>
      <c r="BPB158" s="3060"/>
      <c r="BPC158" s="3060"/>
      <c r="BPD158" s="3060"/>
      <c r="BPE158" s="3060"/>
      <c r="BPF158" s="3060"/>
      <c r="BPG158" s="3060"/>
      <c r="BPH158" s="3060"/>
      <c r="BPI158" s="3060"/>
      <c r="BPJ158" s="3060"/>
      <c r="BPK158" s="3060"/>
      <c r="BPL158" s="3060"/>
      <c r="BPM158" s="3060"/>
      <c r="BPN158" s="3060"/>
      <c r="BPO158" s="3060"/>
      <c r="BPP158" s="3060"/>
      <c r="BPQ158" s="3060"/>
      <c r="BPR158" s="3060"/>
      <c r="BPS158" s="3060"/>
      <c r="BPT158" s="3060"/>
      <c r="BPU158" s="3060"/>
      <c r="BPV158" s="3060"/>
      <c r="BPW158" s="3060"/>
      <c r="BPX158" s="3060"/>
      <c r="BPY158" s="3060"/>
      <c r="BPZ158" s="3060"/>
      <c r="BQA158" s="3060"/>
      <c r="BQB158" s="3060"/>
      <c r="BQC158" s="3060"/>
      <c r="BQD158" s="3060"/>
      <c r="BQE158" s="3060"/>
      <c r="BQF158" s="3060"/>
      <c r="BQG158" s="3060"/>
      <c r="BQH158" s="3060"/>
      <c r="BQI158" s="3060"/>
      <c r="BQJ158" s="3060"/>
      <c r="BQK158" s="3060"/>
      <c r="BQL158" s="3060"/>
      <c r="BQM158" s="3060"/>
      <c r="BQN158" s="3060"/>
      <c r="BQO158" s="3060"/>
      <c r="BQP158" s="3060"/>
      <c r="BQQ158" s="3060"/>
      <c r="BQR158" s="3060"/>
      <c r="BQS158" s="3060"/>
      <c r="BQT158" s="3060"/>
      <c r="BQU158" s="3060"/>
      <c r="BQV158" s="3060"/>
      <c r="BQW158" s="3060"/>
      <c r="BQX158" s="3060"/>
      <c r="BQY158" s="3060"/>
      <c r="BQZ158" s="3060"/>
      <c r="BRA158" s="3060"/>
      <c r="BRB158" s="3060"/>
      <c r="BRC158" s="3060"/>
      <c r="BRD158" s="3060"/>
      <c r="BRE158" s="3060"/>
      <c r="BRF158" s="3060"/>
      <c r="BRG158" s="3060"/>
      <c r="BRH158" s="3060"/>
      <c r="BRI158" s="3060"/>
      <c r="BRJ158" s="3060"/>
      <c r="BRK158" s="3060"/>
      <c r="BRL158" s="3060"/>
      <c r="BRM158" s="3060"/>
      <c r="BRN158" s="3060"/>
      <c r="BRO158" s="3060"/>
      <c r="BRP158" s="3060"/>
      <c r="BRQ158" s="3060"/>
      <c r="BRR158" s="3060"/>
      <c r="BRS158" s="3060"/>
      <c r="BRT158" s="3060"/>
      <c r="BRU158" s="3060"/>
      <c r="BRV158" s="3060"/>
      <c r="BRW158" s="3060"/>
      <c r="BRX158" s="3060"/>
      <c r="BRY158" s="3060"/>
      <c r="BRZ158" s="3060"/>
      <c r="BSA158" s="3060"/>
      <c r="BSB158" s="3060"/>
      <c r="BSC158" s="3060"/>
      <c r="BSD158" s="3060"/>
      <c r="BSE158" s="3060"/>
      <c r="BSF158" s="3060"/>
      <c r="BSG158" s="3060"/>
      <c r="BSH158" s="3060"/>
      <c r="BSI158" s="3060"/>
      <c r="BSJ158" s="3060"/>
      <c r="BSK158" s="3060"/>
      <c r="BSL158" s="3060"/>
      <c r="BSM158" s="3060"/>
      <c r="BSN158" s="3060"/>
      <c r="BSO158" s="3060"/>
      <c r="BSP158" s="3060"/>
      <c r="BSQ158" s="3060"/>
      <c r="BSR158" s="3060"/>
      <c r="BSS158" s="3060"/>
      <c r="BST158" s="3060"/>
      <c r="BSU158" s="3060"/>
      <c r="BSV158" s="3060"/>
      <c r="BSW158" s="3060"/>
      <c r="BSX158" s="3060"/>
      <c r="BSY158" s="3060"/>
      <c r="BSZ158" s="3060"/>
      <c r="BTA158" s="3060"/>
      <c r="BTB158" s="3060"/>
      <c r="BTC158" s="3060"/>
      <c r="BTD158" s="3060"/>
      <c r="BTE158" s="3060"/>
      <c r="BTF158" s="3060"/>
      <c r="BTG158" s="3060"/>
      <c r="BTH158" s="3060"/>
      <c r="BTI158" s="3060"/>
      <c r="BTJ158" s="3060"/>
      <c r="BTK158" s="3060"/>
      <c r="BTL158" s="3060"/>
      <c r="BTM158" s="3060"/>
      <c r="BTN158" s="3060"/>
      <c r="BTO158" s="3060"/>
      <c r="BTP158" s="3060"/>
      <c r="BTQ158" s="3060"/>
      <c r="BTR158" s="3060"/>
      <c r="BTS158" s="3060"/>
      <c r="BTT158" s="3060"/>
      <c r="BTU158" s="3060"/>
      <c r="BTV158" s="3060"/>
      <c r="BTW158" s="3060"/>
      <c r="BTX158" s="3060"/>
      <c r="BTY158" s="3060"/>
      <c r="BTZ158" s="3060"/>
      <c r="BUA158" s="3060"/>
      <c r="BUB158" s="3060"/>
      <c r="BUC158" s="3060"/>
      <c r="BUD158" s="3060"/>
      <c r="BUE158" s="3060"/>
      <c r="BUF158" s="3060"/>
      <c r="BUG158" s="3060"/>
      <c r="BUH158" s="3060"/>
      <c r="BUI158" s="3060"/>
      <c r="BUJ158" s="3060"/>
      <c r="BUK158" s="3060"/>
      <c r="BUL158" s="3060"/>
      <c r="BUM158" s="3060"/>
      <c r="BUN158" s="3060"/>
      <c r="BUO158" s="3060"/>
      <c r="BUP158" s="3060"/>
      <c r="BUQ158" s="3060"/>
      <c r="BUR158" s="3060"/>
      <c r="BUS158" s="3060"/>
      <c r="BUT158" s="3060"/>
      <c r="BUU158" s="3060"/>
      <c r="BUV158" s="3060"/>
      <c r="BUW158" s="3060"/>
      <c r="BUX158" s="3060"/>
      <c r="BUY158" s="3060"/>
      <c r="BUZ158" s="3060"/>
      <c r="BVA158" s="3060"/>
      <c r="BVB158" s="3060"/>
      <c r="BVC158" s="3060"/>
      <c r="BVD158" s="3060"/>
      <c r="BVE158" s="3060"/>
      <c r="BVF158" s="3060"/>
      <c r="BVG158" s="3060"/>
      <c r="BVH158" s="3060"/>
      <c r="BVI158" s="3060"/>
      <c r="BVJ158" s="3060"/>
      <c r="BVK158" s="3060"/>
      <c r="BVL158" s="3060"/>
      <c r="BVM158" s="3060"/>
      <c r="BVN158" s="3060"/>
      <c r="BVO158" s="3060"/>
      <c r="BVP158" s="3060"/>
      <c r="BVQ158" s="3060"/>
      <c r="BVR158" s="3060"/>
      <c r="BVS158" s="3060"/>
      <c r="BVT158" s="3060"/>
      <c r="BVU158" s="3060"/>
      <c r="BVV158" s="3060"/>
      <c r="BVW158" s="3060"/>
      <c r="BVX158" s="3060"/>
      <c r="BVY158" s="3060"/>
      <c r="BVZ158" s="3060"/>
      <c r="BWA158" s="3060"/>
      <c r="BWB158" s="3060"/>
      <c r="BWC158" s="3060"/>
      <c r="BWD158" s="3060"/>
      <c r="BWE158" s="3060"/>
      <c r="BWF158" s="3060"/>
      <c r="BWG158" s="3060"/>
      <c r="BWH158" s="3060"/>
      <c r="BWI158" s="3060"/>
      <c r="BWJ158" s="3060"/>
      <c r="BWK158" s="3060"/>
      <c r="BWL158" s="3060"/>
      <c r="BWM158" s="3060"/>
      <c r="BWN158" s="3060"/>
      <c r="BWO158" s="3060"/>
      <c r="BWP158" s="3060"/>
      <c r="BWQ158" s="3060"/>
      <c r="BWR158" s="3060"/>
      <c r="BWS158" s="3060"/>
      <c r="BWT158" s="3060"/>
      <c r="BWU158" s="3060"/>
      <c r="BWV158" s="3060"/>
      <c r="BWW158" s="3060"/>
      <c r="BWX158" s="3060"/>
      <c r="BWY158" s="3060"/>
      <c r="BWZ158" s="3060"/>
      <c r="BXA158" s="3060"/>
      <c r="BXB158" s="3060"/>
      <c r="BXC158" s="3060"/>
      <c r="BXD158" s="3060"/>
      <c r="BXE158" s="3060"/>
      <c r="BXF158" s="3060"/>
      <c r="BXG158" s="3060"/>
      <c r="BXH158" s="3060"/>
      <c r="BXI158" s="3060"/>
      <c r="BXJ158" s="3060"/>
      <c r="BXK158" s="3060"/>
      <c r="BXL158" s="3060"/>
      <c r="BXM158" s="3060"/>
      <c r="BXN158" s="3060"/>
      <c r="BXO158" s="3060"/>
      <c r="BXP158" s="3060"/>
      <c r="BXQ158" s="3060"/>
      <c r="BXR158" s="3060"/>
      <c r="BXS158" s="3060"/>
      <c r="BXT158" s="3060"/>
      <c r="BXU158" s="3060"/>
      <c r="BXV158" s="3060"/>
      <c r="BXW158" s="3060"/>
      <c r="BXX158" s="3060"/>
      <c r="BXY158" s="3060"/>
      <c r="BXZ158" s="3060"/>
      <c r="BYA158" s="3060"/>
      <c r="BYB158" s="3060"/>
      <c r="BYC158" s="3060"/>
      <c r="BYD158" s="3060"/>
      <c r="BYE158" s="3060"/>
      <c r="BYF158" s="3060"/>
      <c r="BYG158" s="3060"/>
      <c r="BYH158" s="3060"/>
      <c r="BYI158" s="3060"/>
      <c r="BYJ158" s="3060"/>
      <c r="BYK158" s="3060"/>
      <c r="BYL158" s="3060"/>
      <c r="BYM158" s="3060"/>
      <c r="BYN158" s="3060"/>
      <c r="BYO158" s="3060"/>
      <c r="BYP158" s="3060"/>
      <c r="BYQ158" s="3060"/>
      <c r="BYR158" s="3060"/>
      <c r="BYS158" s="3060"/>
      <c r="BYT158" s="3060"/>
      <c r="BYU158" s="3060"/>
      <c r="BYV158" s="3060"/>
      <c r="BYW158" s="3060"/>
      <c r="BYX158" s="3060"/>
      <c r="BYY158" s="3060"/>
      <c r="BYZ158" s="3060"/>
      <c r="BZA158" s="3060"/>
      <c r="BZB158" s="3060"/>
      <c r="BZC158" s="3060"/>
      <c r="BZD158" s="3060"/>
      <c r="BZE158" s="3060"/>
      <c r="BZF158" s="3060"/>
      <c r="BZG158" s="3060"/>
      <c r="BZH158" s="3060"/>
      <c r="BZI158" s="3060"/>
      <c r="BZJ158" s="3060"/>
      <c r="BZK158" s="3060"/>
      <c r="BZL158" s="3060"/>
      <c r="BZM158" s="3060"/>
      <c r="BZN158" s="3060"/>
      <c r="BZO158" s="3060"/>
      <c r="BZP158" s="3060"/>
      <c r="BZQ158" s="3060"/>
      <c r="BZR158" s="3060"/>
      <c r="BZS158" s="3060"/>
      <c r="BZT158" s="3060"/>
      <c r="BZU158" s="3060"/>
      <c r="BZV158" s="3060"/>
      <c r="BZW158" s="3060"/>
      <c r="BZX158" s="3060"/>
      <c r="BZY158" s="3060"/>
      <c r="BZZ158" s="3060"/>
      <c r="CAA158" s="3060"/>
      <c r="CAB158" s="3060"/>
      <c r="CAC158" s="3060"/>
      <c r="CAD158" s="3060"/>
      <c r="CAE158" s="3060"/>
      <c r="CAF158" s="3060"/>
      <c r="CAG158" s="3060"/>
      <c r="CAH158" s="3060"/>
      <c r="CAI158" s="3060"/>
      <c r="CAJ158" s="3060"/>
      <c r="CAK158" s="3060"/>
      <c r="CAL158" s="3060"/>
      <c r="CAM158" s="3060"/>
      <c r="CAN158" s="3060"/>
      <c r="CAO158" s="3060"/>
      <c r="CAP158" s="3060"/>
      <c r="CAQ158" s="3060"/>
      <c r="CAR158" s="3060"/>
      <c r="CAS158" s="3060"/>
      <c r="CAT158" s="3060"/>
      <c r="CAU158" s="3060"/>
      <c r="CAV158" s="3060"/>
      <c r="CAW158" s="3060"/>
      <c r="CAX158" s="3060"/>
      <c r="CAY158" s="3060"/>
      <c r="CAZ158" s="3060"/>
      <c r="CBA158" s="3060"/>
      <c r="CBB158" s="3060"/>
      <c r="CBC158" s="3060"/>
      <c r="CBD158" s="3060"/>
      <c r="CBE158" s="3060"/>
      <c r="CBF158" s="3060"/>
      <c r="CBG158" s="3060"/>
      <c r="CBH158" s="3060"/>
      <c r="CBI158" s="3060"/>
      <c r="CBJ158" s="3060"/>
      <c r="CBK158" s="3060"/>
      <c r="CBL158" s="3060"/>
      <c r="CBM158" s="3060"/>
      <c r="CBN158" s="3060"/>
      <c r="CBO158" s="3060"/>
      <c r="CBP158" s="3060"/>
      <c r="CBQ158" s="3060"/>
      <c r="CBR158" s="3060"/>
      <c r="CBS158" s="3060"/>
      <c r="CBT158" s="3060"/>
      <c r="CBU158" s="3060"/>
      <c r="CBV158" s="3060"/>
      <c r="CBW158" s="3060"/>
      <c r="CBX158" s="3060"/>
      <c r="CBY158" s="3060"/>
      <c r="CBZ158" s="3060"/>
      <c r="CCA158" s="3060"/>
      <c r="CCB158" s="3060"/>
      <c r="CCC158" s="3060"/>
      <c r="CCD158" s="3060"/>
      <c r="CCE158" s="3060"/>
      <c r="CCF158" s="3060"/>
      <c r="CCG158" s="3060"/>
      <c r="CCH158" s="3060"/>
      <c r="CCI158" s="3060"/>
      <c r="CCJ158" s="3060"/>
      <c r="CCK158" s="3060"/>
      <c r="CCL158" s="3060"/>
      <c r="CCM158" s="3060"/>
      <c r="CCN158" s="3060"/>
      <c r="CCO158" s="3060"/>
      <c r="CCP158" s="3060"/>
      <c r="CCQ158" s="3060"/>
      <c r="CCR158" s="3060"/>
      <c r="CCS158" s="3060"/>
      <c r="CCT158" s="3060"/>
      <c r="CCU158" s="3060"/>
      <c r="CCV158" s="3060"/>
      <c r="CCW158" s="3060"/>
      <c r="CCX158" s="3060"/>
      <c r="CCY158" s="3060"/>
      <c r="CCZ158" s="3060"/>
      <c r="CDA158" s="3060"/>
      <c r="CDB158" s="3060"/>
      <c r="CDC158" s="3060"/>
      <c r="CDD158" s="3060"/>
      <c r="CDE158" s="3060"/>
      <c r="CDF158" s="3060"/>
      <c r="CDG158" s="3060"/>
      <c r="CDH158" s="3060"/>
      <c r="CDI158" s="3060"/>
      <c r="CDJ158" s="3060"/>
      <c r="CDK158" s="3060"/>
      <c r="CDL158" s="3060"/>
      <c r="CDM158" s="3060"/>
      <c r="CDN158" s="3060"/>
      <c r="CDO158" s="3060"/>
      <c r="CDP158" s="3060"/>
      <c r="CDQ158" s="3060"/>
      <c r="CDR158" s="3060"/>
      <c r="CDS158" s="3060"/>
      <c r="CDT158" s="3060"/>
      <c r="CDU158" s="3060"/>
      <c r="CDV158" s="3060"/>
      <c r="CDW158" s="3060"/>
      <c r="CDX158" s="3060"/>
      <c r="CDY158" s="3060"/>
      <c r="CDZ158" s="3060"/>
      <c r="CEA158" s="3060"/>
      <c r="CEB158" s="3060"/>
      <c r="CEC158" s="3060"/>
      <c r="CED158" s="3060"/>
      <c r="CEE158" s="3060"/>
      <c r="CEF158" s="3060"/>
      <c r="CEG158" s="3060"/>
      <c r="CEH158" s="3060"/>
      <c r="CEI158" s="3060"/>
      <c r="CEJ158" s="3060"/>
      <c r="CEK158" s="3060"/>
      <c r="CEL158" s="3060"/>
      <c r="CEM158" s="3060"/>
      <c r="CEN158" s="3060"/>
      <c r="CEO158" s="3060"/>
      <c r="CEP158" s="3060"/>
      <c r="CEQ158" s="3060"/>
      <c r="CER158" s="3060"/>
      <c r="CES158" s="3060"/>
      <c r="CET158" s="3060"/>
      <c r="CEU158" s="3060"/>
      <c r="CEV158" s="3060"/>
      <c r="CEW158" s="3060"/>
      <c r="CEX158" s="3060"/>
      <c r="CEY158" s="3060"/>
      <c r="CEZ158" s="3060"/>
      <c r="CFA158" s="3060"/>
      <c r="CFB158" s="3060"/>
      <c r="CFC158" s="3060"/>
      <c r="CFD158" s="3060"/>
      <c r="CFE158" s="3060"/>
      <c r="CFF158" s="3060"/>
      <c r="CFG158" s="3060"/>
      <c r="CFH158" s="3060"/>
      <c r="CFI158" s="3060"/>
      <c r="CFJ158" s="3060"/>
      <c r="CFK158" s="3060"/>
      <c r="CFL158" s="3060"/>
      <c r="CFM158" s="3060"/>
      <c r="CFN158" s="3060"/>
      <c r="CFO158" s="3060"/>
      <c r="CFP158" s="3060"/>
      <c r="CFQ158" s="3060"/>
      <c r="CFR158" s="3060"/>
      <c r="CFS158" s="3060"/>
      <c r="CFT158" s="3060"/>
      <c r="CFU158" s="3060"/>
      <c r="CFV158" s="3060"/>
      <c r="CFW158" s="3060"/>
      <c r="CFX158" s="3060"/>
      <c r="CFY158" s="3060"/>
      <c r="CFZ158" s="3060"/>
      <c r="CGA158" s="3060"/>
      <c r="CGB158" s="3060"/>
      <c r="CGC158" s="3060"/>
      <c r="CGD158" s="3060"/>
      <c r="CGE158" s="3060"/>
      <c r="CGF158" s="3060"/>
      <c r="CGG158" s="3060"/>
      <c r="CGH158" s="3060"/>
      <c r="CGI158" s="3060"/>
      <c r="CGJ158" s="3060"/>
      <c r="CGK158" s="3060"/>
      <c r="CGL158" s="3060"/>
      <c r="CGM158" s="3060"/>
      <c r="CGN158" s="3060"/>
      <c r="CGO158" s="3060"/>
      <c r="CGP158" s="3060"/>
      <c r="CGQ158" s="3060"/>
      <c r="CGR158" s="3060"/>
      <c r="CGS158" s="3060"/>
      <c r="CGT158" s="3060"/>
      <c r="CGU158" s="3060"/>
      <c r="CGV158" s="3060"/>
      <c r="CGW158" s="3060"/>
      <c r="CGX158" s="3060"/>
      <c r="CGY158" s="3060"/>
      <c r="CGZ158" s="3060"/>
      <c r="CHA158" s="3060"/>
      <c r="CHB158" s="3060"/>
      <c r="CHC158" s="3060"/>
      <c r="CHD158" s="3060"/>
      <c r="CHE158" s="3060"/>
      <c r="CHF158" s="3060"/>
      <c r="CHG158" s="3060"/>
      <c r="CHH158" s="3060"/>
      <c r="CHI158" s="3060"/>
      <c r="CHJ158" s="3060"/>
      <c r="CHK158" s="3060"/>
      <c r="CHL158" s="3060"/>
      <c r="CHM158" s="3060"/>
      <c r="CHN158" s="3060"/>
      <c r="CHO158" s="3060"/>
      <c r="CHP158" s="3060"/>
      <c r="CHQ158" s="3060"/>
      <c r="CHR158" s="3060"/>
      <c r="CHS158" s="3060"/>
      <c r="CHT158" s="3060"/>
      <c r="CHU158" s="3060"/>
      <c r="CHV158" s="3060"/>
      <c r="CHW158" s="3060"/>
      <c r="CHX158" s="3060"/>
      <c r="CHY158" s="3060"/>
      <c r="CHZ158" s="3060"/>
      <c r="CIA158" s="3060"/>
      <c r="CIB158" s="3060"/>
      <c r="CIC158" s="3060"/>
      <c r="CID158" s="3060"/>
      <c r="CIE158" s="3060"/>
      <c r="CIF158" s="3060"/>
      <c r="CIG158" s="3060"/>
      <c r="CIH158" s="3060"/>
      <c r="CII158" s="3060"/>
      <c r="CIJ158" s="3060"/>
      <c r="CIK158" s="3060"/>
      <c r="CIL158" s="3060"/>
      <c r="CIM158" s="3060"/>
      <c r="CIN158" s="3060"/>
      <c r="CIO158" s="3060"/>
      <c r="CIP158" s="3060"/>
      <c r="CIQ158" s="3060"/>
      <c r="CIR158" s="3060"/>
      <c r="CIS158" s="3060"/>
      <c r="CIT158" s="3060"/>
      <c r="CIU158" s="3060"/>
      <c r="CIV158" s="3060"/>
      <c r="CIW158" s="3060"/>
      <c r="CIX158" s="3060"/>
      <c r="CIY158" s="3060"/>
      <c r="CIZ158" s="3060"/>
      <c r="CJA158" s="3060"/>
      <c r="CJB158" s="3060"/>
      <c r="CJC158" s="3060"/>
      <c r="CJD158" s="3060"/>
      <c r="CJE158" s="3060"/>
      <c r="CJF158" s="3060"/>
      <c r="CJG158" s="3060"/>
      <c r="CJH158" s="3060"/>
      <c r="CJI158" s="3060"/>
      <c r="CJJ158" s="3060"/>
      <c r="CJK158" s="3060"/>
      <c r="CJL158" s="3060"/>
      <c r="CJM158" s="3060"/>
      <c r="CJN158" s="3060"/>
      <c r="CJO158" s="3060"/>
      <c r="CJP158" s="3060"/>
      <c r="CJQ158" s="3060"/>
      <c r="CJR158" s="3060"/>
      <c r="CJS158" s="3060"/>
      <c r="CJT158" s="3060"/>
      <c r="CJU158" s="3060"/>
      <c r="CJV158" s="3060"/>
      <c r="CJW158" s="3060"/>
      <c r="CJX158" s="3060"/>
      <c r="CJY158" s="3060"/>
      <c r="CJZ158" s="3060"/>
      <c r="CKA158" s="3060"/>
      <c r="CKB158" s="3060"/>
      <c r="CKC158" s="3060"/>
      <c r="CKD158" s="3060"/>
      <c r="CKE158" s="3060"/>
      <c r="CKF158" s="3060"/>
      <c r="CKG158" s="3060"/>
      <c r="CKH158" s="3060"/>
      <c r="CKI158" s="3060"/>
      <c r="CKJ158" s="3060"/>
      <c r="CKK158" s="3060"/>
      <c r="CKL158" s="3060"/>
      <c r="CKM158" s="3060"/>
      <c r="CKN158" s="3060"/>
      <c r="CKO158" s="3060"/>
      <c r="CKP158" s="3060"/>
      <c r="CKQ158" s="3060"/>
      <c r="CKR158" s="3060"/>
      <c r="CKS158" s="3060"/>
      <c r="CKT158" s="3060"/>
      <c r="CKU158" s="3060"/>
      <c r="CKV158" s="3060"/>
      <c r="CKW158" s="3060"/>
      <c r="CKX158" s="3060"/>
      <c r="CKY158" s="3060"/>
      <c r="CKZ158" s="3060"/>
      <c r="CLA158" s="3060"/>
      <c r="CLB158" s="3060"/>
      <c r="CLC158" s="3060"/>
      <c r="CLD158" s="3060"/>
      <c r="CLE158" s="3060"/>
      <c r="CLF158" s="3060"/>
      <c r="CLG158" s="3060"/>
      <c r="CLH158" s="3060"/>
      <c r="CLI158" s="3060"/>
      <c r="CLJ158" s="3060"/>
      <c r="CLK158" s="3060"/>
      <c r="CLL158" s="3060"/>
      <c r="CLM158" s="3060"/>
      <c r="CLN158" s="3060"/>
      <c r="CLO158" s="3060"/>
      <c r="CLP158" s="3060"/>
      <c r="CLQ158" s="3060"/>
      <c r="CLR158" s="3060"/>
      <c r="CLS158" s="3060"/>
      <c r="CLT158" s="3060"/>
      <c r="CLU158" s="3060"/>
      <c r="CLV158" s="3060"/>
      <c r="CLW158" s="3060"/>
      <c r="CLX158" s="3060"/>
      <c r="CLY158" s="3060"/>
      <c r="CLZ158" s="3060"/>
      <c r="CMA158" s="3060"/>
      <c r="CMB158" s="3060"/>
      <c r="CMC158" s="3060"/>
      <c r="CMD158" s="3060"/>
      <c r="CME158" s="3060"/>
      <c r="CMF158" s="3060"/>
      <c r="CMG158" s="3060"/>
      <c r="CMH158" s="3060"/>
      <c r="CMI158" s="3060"/>
      <c r="CMJ158" s="3060"/>
      <c r="CMK158" s="3060"/>
      <c r="CML158" s="3060"/>
      <c r="CMM158" s="3060"/>
      <c r="CMN158" s="3060"/>
      <c r="CMO158" s="3060"/>
      <c r="CMP158" s="3060"/>
      <c r="CMQ158" s="3060"/>
      <c r="CMR158" s="3060"/>
      <c r="CMS158" s="3060"/>
      <c r="CMT158" s="3060"/>
      <c r="CMU158" s="3060"/>
      <c r="CMV158" s="3060"/>
      <c r="CMW158" s="3060"/>
      <c r="CMX158" s="3060"/>
      <c r="CMY158" s="3060"/>
      <c r="CMZ158" s="3060"/>
      <c r="CNA158" s="3060"/>
      <c r="CNB158" s="3060"/>
      <c r="CNC158" s="3060"/>
      <c r="CND158" s="3060"/>
      <c r="CNE158" s="3060"/>
      <c r="CNF158" s="3060"/>
      <c r="CNG158" s="3060"/>
      <c r="CNH158" s="3060"/>
      <c r="CNI158" s="3060"/>
      <c r="CNJ158" s="3060"/>
      <c r="CNK158" s="3060"/>
      <c r="CNL158" s="3060"/>
      <c r="CNM158" s="3060"/>
      <c r="CNN158" s="3060"/>
      <c r="CNO158" s="3060"/>
      <c r="CNP158" s="3060"/>
      <c r="CNQ158" s="3060"/>
      <c r="CNR158" s="3060"/>
      <c r="CNS158" s="3060"/>
      <c r="CNT158" s="3060"/>
      <c r="CNU158" s="3060"/>
      <c r="CNV158" s="3060"/>
      <c r="CNW158" s="3060"/>
      <c r="CNX158" s="3060"/>
      <c r="CNY158" s="3060"/>
      <c r="CNZ158" s="3060"/>
      <c r="COA158" s="3060"/>
      <c r="COB158" s="3060"/>
      <c r="COC158" s="3060"/>
      <c r="COD158" s="3060"/>
      <c r="COE158" s="3060"/>
      <c r="COF158" s="3060"/>
      <c r="COG158" s="3060"/>
      <c r="COH158" s="3060"/>
      <c r="COI158" s="3060"/>
      <c r="COJ158" s="3060"/>
      <c r="COK158" s="3060"/>
      <c r="COL158" s="3060"/>
      <c r="COM158" s="3060"/>
      <c r="CON158" s="3060"/>
      <c r="COO158" s="3060"/>
      <c r="COP158" s="3060"/>
      <c r="COQ158" s="3060"/>
      <c r="COR158" s="3060"/>
      <c r="COS158" s="3060"/>
      <c r="COT158" s="3060"/>
      <c r="COU158" s="3060"/>
      <c r="COV158" s="3060"/>
      <c r="COW158" s="3060"/>
      <c r="COX158" s="3060"/>
      <c r="COY158" s="3060"/>
      <c r="COZ158" s="3060"/>
      <c r="CPA158" s="3060"/>
      <c r="CPB158" s="3060"/>
      <c r="CPC158" s="3060"/>
      <c r="CPD158" s="3060"/>
      <c r="CPE158" s="3060"/>
      <c r="CPF158" s="3060"/>
      <c r="CPG158" s="3060"/>
      <c r="CPH158" s="3060"/>
      <c r="CPI158" s="3060"/>
      <c r="CPJ158" s="3060"/>
      <c r="CPK158" s="3060"/>
      <c r="CPL158" s="3060"/>
      <c r="CPM158" s="3060"/>
      <c r="CPN158" s="3060"/>
      <c r="CPO158" s="3060"/>
      <c r="CPP158" s="3060"/>
      <c r="CPQ158" s="3060"/>
      <c r="CPR158" s="3060"/>
      <c r="CPS158" s="3060"/>
      <c r="CPT158" s="3060"/>
      <c r="CPU158" s="3060"/>
      <c r="CPV158" s="3060"/>
      <c r="CPW158" s="3060"/>
      <c r="CPX158" s="3060"/>
      <c r="CPY158" s="3060"/>
      <c r="CPZ158" s="3060"/>
      <c r="CQA158" s="3060"/>
      <c r="CQB158" s="3060"/>
      <c r="CQC158" s="3060"/>
      <c r="CQD158" s="3060"/>
      <c r="CQE158" s="3060"/>
      <c r="CQF158" s="3060"/>
      <c r="CQG158" s="3060"/>
      <c r="CQH158" s="3060"/>
      <c r="CQI158" s="3060"/>
      <c r="CQJ158" s="3060"/>
      <c r="CQK158" s="3060"/>
      <c r="CQL158" s="3060"/>
      <c r="CQM158" s="3060"/>
      <c r="CQN158" s="3060"/>
      <c r="CQO158" s="3060"/>
      <c r="CQP158" s="3060"/>
      <c r="CQQ158" s="3060"/>
      <c r="CQR158" s="3060"/>
      <c r="CQS158" s="3060"/>
      <c r="CQT158" s="3060"/>
      <c r="CQU158" s="3060"/>
      <c r="CQV158" s="3060"/>
      <c r="CQW158" s="3060"/>
      <c r="CQX158" s="3060"/>
      <c r="CQY158" s="3060"/>
      <c r="CQZ158" s="3060"/>
      <c r="CRA158" s="3060"/>
      <c r="CRB158" s="3060"/>
      <c r="CRC158" s="3060"/>
      <c r="CRD158" s="3060"/>
      <c r="CRE158" s="3060"/>
      <c r="CRF158" s="3060"/>
      <c r="CRG158" s="3060"/>
      <c r="CRH158" s="3060"/>
      <c r="CRI158" s="3060"/>
      <c r="CRJ158" s="3060"/>
      <c r="CRK158" s="3060"/>
      <c r="CRL158" s="3060"/>
      <c r="CRM158" s="3060"/>
      <c r="CRN158" s="3060"/>
      <c r="CRO158" s="3060"/>
      <c r="CRP158" s="3060"/>
      <c r="CRQ158" s="3060"/>
      <c r="CRR158" s="3060"/>
      <c r="CRS158" s="3060"/>
      <c r="CRT158" s="3060"/>
      <c r="CRU158" s="3060"/>
      <c r="CRV158" s="3060"/>
      <c r="CRW158" s="3060"/>
      <c r="CRX158" s="3060"/>
      <c r="CRY158" s="3060"/>
      <c r="CRZ158" s="3060"/>
      <c r="CSA158" s="3060"/>
      <c r="CSB158" s="3060"/>
      <c r="CSC158" s="3060"/>
      <c r="CSD158" s="3060"/>
      <c r="CSE158" s="3060"/>
      <c r="CSF158" s="3060"/>
      <c r="CSG158" s="3060"/>
      <c r="CSH158" s="3060"/>
      <c r="CSI158" s="3060"/>
      <c r="CSJ158" s="3060"/>
      <c r="CSK158" s="3060"/>
      <c r="CSL158" s="3060"/>
      <c r="CSM158" s="3060"/>
      <c r="CSN158" s="3060"/>
      <c r="CSO158" s="3060"/>
      <c r="CSP158" s="3060"/>
      <c r="CSQ158" s="3060"/>
      <c r="CSR158" s="3060"/>
      <c r="CSS158" s="3060"/>
      <c r="CST158" s="3060"/>
      <c r="CSU158" s="3060"/>
      <c r="CSV158" s="3060"/>
      <c r="CSW158" s="3060"/>
      <c r="CSX158" s="3060"/>
      <c r="CSY158" s="3060"/>
      <c r="CSZ158" s="3060"/>
      <c r="CTA158" s="3060"/>
      <c r="CTB158" s="3060"/>
      <c r="CTC158" s="3060"/>
      <c r="CTD158" s="3060"/>
      <c r="CTE158" s="3060"/>
      <c r="CTF158" s="3060"/>
      <c r="CTG158" s="3060"/>
      <c r="CTH158" s="3060"/>
      <c r="CTI158" s="3060"/>
      <c r="CTJ158" s="3060"/>
      <c r="CTK158" s="3060"/>
      <c r="CTL158" s="3060"/>
      <c r="CTM158" s="3060"/>
      <c r="CTN158" s="3060"/>
      <c r="CTO158" s="3060"/>
      <c r="CTP158" s="3060"/>
      <c r="CTQ158" s="3060"/>
      <c r="CTR158" s="3060"/>
      <c r="CTS158" s="3060"/>
      <c r="CTT158" s="3060"/>
      <c r="CTU158" s="3060"/>
      <c r="CTV158" s="3060"/>
      <c r="CTW158" s="3060"/>
      <c r="CTX158" s="3060"/>
      <c r="CTY158" s="3060"/>
      <c r="CTZ158" s="3060"/>
      <c r="CUA158" s="3060"/>
      <c r="CUB158" s="3060"/>
      <c r="CUC158" s="3060"/>
      <c r="CUD158" s="3060"/>
      <c r="CUE158" s="3060"/>
      <c r="CUF158" s="3060"/>
      <c r="CUG158" s="3060"/>
      <c r="CUH158" s="3060"/>
      <c r="CUI158" s="3060"/>
      <c r="CUJ158" s="3060"/>
      <c r="CUK158" s="3060"/>
      <c r="CUL158" s="3060"/>
      <c r="CUM158" s="3060"/>
      <c r="CUN158" s="3060"/>
      <c r="CUO158" s="3060"/>
      <c r="CUP158" s="3060"/>
      <c r="CUQ158" s="3060"/>
      <c r="CUR158" s="3060"/>
      <c r="CUS158" s="3060"/>
      <c r="CUT158" s="3060"/>
      <c r="CUU158" s="3060"/>
      <c r="CUV158" s="3060"/>
      <c r="CUW158" s="3060"/>
      <c r="CUX158" s="3060"/>
      <c r="CUY158" s="3060"/>
      <c r="CUZ158" s="3060"/>
      <c r="CVA158" s="3060"/>
      <c r="CVB158" s="3060"/>
      <c r="CVC158" s="3060"/>
      <c r="CVD158" s="3060"/>
      <c r="CVE158" s="3060"/>
      <c r="CVF158" s="3060"/>
      <c r="CVG158" s="3060"/>
      <c r="CVH158" s="3060"/>
      <c r="CVI158" s="3060"/>
      <c r="CVJ158" s="3060"/>
      <c r="CVK158" s="3060"/>
      <c r="CVL158" s="3060"/>
      <c r="CVM158" s="3060"/>
      <c r="CVN158" s="3060"/>
      <c r="CVO158" s="3060"/>
      <c r="CVP158" s="3060"/>
      <c r="CVQ158" s="3060"/>
      <c r="CVR158" s="3060"/>
      <c r="CVS158" s="3060"/>
      <c r="CVT158" s="3060"/>
      <c r="CVU158" s="3060"/>
      <c r="CVV158" s="3060"/>
      <c r="CVW158" s="3060"/>
      <c r="CVX158" s="3060"/>
      <c r="CVY158" s="3060"/>
      <c r="CVZ158" s="3060"/>
      <c r="CWA158" s="3060"/>
      <c r="CWB158" s="3060"/>
      <c r="CWC158" s="3060"/>
      <c r="CWD158" s="3060"/>
      <c r="CWE158" s="3060"/>
      <c r="CWF158" s="3060"/>
      <c r="CWG158" s="3060"/>
      <c r="CWH158" s="3060"/>
      <c r="CWI158" s="3060"/>
      <c r="CWJ158" s="3060"/>
      <c r="CWK158" s="3060"/>
      <c r="CWL158" s="3060"/>
      <c r="CWM158" s="3060"/>
      <c r="CWN158" s="3060"/>
      <c r="CWO158" s="3060"/>
      <c r="CWP158" s="3060"/>
      <c r="CWQ158" s="3060"/>
      <c r="CWR158" s="3060"/>
      <c r="CWS158" s="3060"/>
      <c r="CWT158" s="3060"/>
      <c r="CWU158" s="3060"/>
      <c r="CWV158" s="3060"/>
      <c r="CWW158" s="3060"/>
      <c r="CWX158" s="3060"/>
      <c r="CWY158" s="3060"/>
      <c r="CWZ158" s="3060"/>
      <c r="CXA158" s="3060"/>
      <c r="CXB158" s="3060"/>
      <c r="CXC158" s="3060"/>
      <c r="CXD158" s="3060"/>
      <c r="CXE158" s="3060"/>
      <c r="CXF158" s="3060"/>
      <c r="CXG158" s="3060"/>
      <c r="CXH158" s="3060"/>
      <c r="CXI158" s="3060"/>
      <c r="CXJ158" s="3060"/>
      <c r="CXK158" s="3060"/>
      <c r="CXL158" s="3060"/>
      <c r="CXM158" s="3060"/>
      <c r="CXN158" s="3060"/>
      <c r="CXO158" s="3060"/>
      <c r="CXP158" s="3060"/>
      <c r="CXQ158" s="3060"/>
      <c r="CXR158" s="3060"/>
      <c r="CXS158" s="3060"/>
      <c r="CXT158" s="3060"/>
      <c r="CXU158" s="3060"/>
      <c r="CXV158" s="3060"/>
      <c r="CXW158" s="3060"/>
      <c r="CXX158" s="3060"/>
      <c r="CXY158" s="3060"/>
      <c r="CXZ158" s="3060"/>
      <c r="CYA158" s="3060"/>
      <c r="CYB158" s="3060"/>
      <c r="CYC158" s="3060"/>
      <c r="CYD158" s="3060"/>
      <c r="CYE158" s="3060"/>
      <c r="CYF158" s="3060"/>
      <c r="CYG158" s="3060"/>
      <c r="CYH158" s="3060"/>
      <c r="CYI158" s="3060"/>
      <c r="CYJ158" s="3060"/>
      <c r="CYK158" s="3060"/>
      <c r="CYL158" s="3060"/>
      <c r="CYM158" s="3060"/>
      <c r="CYN158" s="3060"/>
      <c r="CYO158" s="3060"/>
      <c r="CYP158" s="3060"/>
      <c r="CYQ158" s="3060"/>
      <c r="CYR158" s="3060"/>
      <c r="CYS158" s="3060"/>
      <c r="CYT158" s="3060"/>
      <c r="CYU158" s="3060"/>
      <c r="CYV158" s="3060"/>
      <c r="CYW158" s="3060"/>
      <c r="CYX158" s="3060"/>
      <c r="CYY158" s="3060"/>
      <c r="CYZ158" s="3060"/>
      <c r="CZA158" s="3060"/>
      <c r="CZB158" s="3060"/>
      <c r="CZC158" s="3060"/>
      <c r="CZD158" s="3060"/>
      <c r="CZE158" s="3060"/>
      <c r="CZF158" s="3060"/>
      <c r="CZG158" s="3060"/>
      <c r="CZH158" s="3060"/>
      <c r="CZI158" s="3060"/>
      <c r="CZJ158" s="3060"/>
      <c r="CZK158" s="3060"/>
      <c r="CZL158" s="3060"/>
      <c r="CZM158" s="3060"/>
      <c r="CZN158" s="3060"/>
      <c r="CZO158" s="3060"/>
      <c r="CZP158" s="3060"/>
      <c r="CZQ158" s="3060"/>
      <c r="CZR158" s="3060"/>
      <c r="CZS158" s="3060"/>
      <c r="CZT158" s="3060"/>
      <c r="CZU158" s="3060"/>
      <c r="CZV158" s="3060"/>
      <c r="CZW158" s="3060"/>
      <c r="CZX158" s="3060"/>
      <c r="CZY158" s="3060"/>
      <c r="CZZ158" s="3060"/>
      <c r="DAA158" s="3060"/>
      <c r="DAB158" s="3060"/>
      <c r="DAC158" s="3060"/>
      <c r="DAD158" s="3060"/>
      <c r="DAE158" s="3060"/>
      <c r="DAF158" s="3060"/>
      <c r="DAG158" s="3060"/>
      <c r="DAH158" s="3060"/>
      <c r="DAI158" s="3060"/>
      <c r="DAJ158" s="3060"/>
      <c r="DAK158" s="3060"/>
      <c r="DAL158" s="3060"/>
      <c r="DAM158" s="3060"/>
      <c r="DAN158" s="3060"/>
      <c r="DAO158" s="3060"/>
      <c r="DAP158" s="3060"/>
      <c r="DAQ158" s="3060"/>
      <c r="DAR158" s="3060"/>
      <c r="DAS158" s="3060"/>
      <c r="DAT158" s="3060"/>
      <c r="DAU158" s="3060"/>
      <c r="DAV158" s="3060"/>
      <c r="DAW158" s="3060"/>
      <c r="DAX158" s="3060"/>
      <c r="DAY158" s="3060"/>
      <c r="DAZ158" s="3060"/>
      <c r="DBA158" s="3060"/>
      <c r="DBB158" s="3060"/>
      <c r="DBC158" s="3060"/>
      <c r="DBD158" s="3060"/>
      <c r="DBE158" s="3060"/>
      <c r="DBF158" s="3060"/>
      <c r="DBG158" s="3060"/>
      <c r="DBH158" s="3060"/>
      <c r="DBI158" s="3060"/>
      <c r="DBJ158" s="3060"/>
      <c r="DBK158" s="3060"/>
      <c r="DBL158" s="3060"/>
      <c r="DBM158" s="3060"/>
      <c r="DBN158" s="3060"/>
      <c r="DBO158" s="3060"/>
      <c r="DBP158" s="3060"/>
      <c r="DBQ158" s="3060"/>
      <c r="DBR158" s="3060"/>
      <c r="DBS158" s="3060"/>
      <c r="DBT158" s="3060"/>
      <c r="DBU158" s="3060"/>
      <c r="DBV158" s="3060"/>
      <c r="DBW158" s="3060"/>
      <c r="DBX158" s="3060"/>
      <c r="DBY158" s="3060"/>
      <c r="DBZ158" s="3060"/>
      <c r="DCA158" s="3060"/>
      <c r="DCB158" s="3060"/>
      <c r="DCC158" s="3060"/>
      <c r="DCD158" s="3060"/>
      <c r="DCE158" s="3060"/>
      <c r="DCF158" s="3060"/>
      <c r="DCG158" s="3060"/>
      <c r="DCH158" s="3060"/>
      <c r="DCI158" s="3060"/>
      <c r="DCJ158" s="3060"/>
      <c r="DCK158" s="3060"/>
      <c r="DCL158" s="3060"/>
      <c r="DCM158" s="3060"/>
      <c r="DCN158" s="3060"/>
      <c r="DCO158" s="3060"/>
      <c r="DCP158" s="3060"/>
      <c r="DCQ158" s="3060"/>
      <c r="DCR158" s="3060"/>
      <c r="DCS158" s="3060"/>
      <c r="DCT158" s="3060"/>
      <c r="DCU158" s="3060"/>
      <c r="DCV158" s="3060"/>
      <c r="DCW158" s="3060"/>
      <c r="DCX158" s="3060"/>
      <c r="DCY158" s="3060"/>
      <c r="DCZ158" s="3060"/>
      <c r="DDA158" s="3060"/>
      <c r="DDB158" s="3060"/>
      <c r="DDC158" s="3060"/>
      <c r="DDD158" s="3060"/>
      <c r="DDE158" s="3060"/>
      <c r="DDF158" s="3060"/>
      <c r="DDG158" s="3060"/>
      <c r="DDH158" s="3060"/>
      <c r="DDI158" s="3060"/>
      <c r="DDJ158" s="3060"/>
      <c r="DDK158" s="3060"/>
      <c r="DDL158" s="3060"/>
      <c r="DDM158" s="3060"/>
      <c r="DDN158" s="3060"/>
      <c r="DDO158" s="3060"/>
      <c r="DDP158" s="3060"/>
      <c r="DDQ158" s="3060"/>
      <c r="DDR158" s="3060"/>
      <c r="DDS158" s="3060"/>
      <c r="DDT158" s="3060"/>
      <c r="DDU158" s="3060"/>
      <c r="DDV158" s="3060"/>
      <c r="DDW158" s="3060"/>
      <c r="DDX158" s="3060"/>
      <c r="DDY158" s="3060"/>
      <c r="DDZ158" s="3060"/>
      <c r="DEA158" s="3060"/>
      <c r="DEB158" s="3060"/>
      <c r="DEC158" s="3060"/>
      <c r="DED158" s="3060"/>
      <c r="DEE158" s="3060"/>
      <c r="DEF158" s="3060"/>
      <c r="DEG158" s="3060"/>
      <c r="DEH158" s="3060"/>
      <c r="DEI158" s="3060"/>
      <c r="DEJ158" s="3060"/>
      <c r="DEK158" s="3060"/>
      <c r="DEL158" s="3060"/>
      <c r="DEM158" s="3060"/>
      <c r="DEN158" s="3060"/>
      <c r="DEO158" s="3060"/>
      <c r="DEP158" s="3060"/>
      <c r="DEQ158" s="3060"/>
      <c r="DER158" s="3060"/>
      <c r="DES158" s="3060"/>
      <c r="DET158" s="3060"/>
      <c r="DEU158" s="3060"/>
      <c r="DEV158" s="3060"/>
      <c r="DEW158" s="3060"/>
      <c r="DEX158" s="3060"/>
      <c r="DEY158" s="3060"/>
      <c r="DEZ158" s="3060"/>
      <c r="DFA158" s="3060"/>
      <c r="DFB158" s="3060"/>
      <c r="DFC158" s="3060"/>
      <c r="DFD158" s="3060"/>
      <c r="DFE158" s="3060"/>
      <c r="DFF158" s="3060"/>
      <c r="DFG158" s="3060"/>
      <c r="DFH158" s="3060"/>
      <c r="DFI158" s="3060"/>
      <c r="DFJ158" s="3060"/>
      <c r="DFK158" s="3060"/>
      <c r="DFL158" s="3060"/>
      <c r="DFM158" s="3060"/>
      <c r="DFN158" s="3060"/>
      <c r="DFO158" s="3060"/>
      <c r="DFP158" s="3060"/>
      <c r="DFQ158" s="3060"/>
      <c r="DFR158" s="3060"/>
      <c r="DFS158" s="3060"/>
      <c r="DFT158" s="3060"/>
      <c r="DFU158" s="3060"/>
      <c r="DFV158" s="3060"/>
      <c r="DFW158" s="3060"/>
      <c r="DFX158" s="3060"/>
      <c r="DFY158" s="3060"/>
      <c r="DFZ158" s="3060"/>
      <c r="DGA158" s="3060"/>
      <c r="DGB158" s="3060"/>
      <c r="DGC158" s="3060"/>
      <c r="DGD158" s="3060"/>
      <c r="DGE158" s="3060"/>
      <c r="DGF158" s="3060"/>
      <c r="DGG158" s="3060"/>
      <c r="DGH158" s="3060"/>
      <c r="DGI158" s="3060"/>
      <c r="DGJ158" s="3060"/>
      <c r="DGK158" s="3060"/>
      <c r="DGL158" s="3060"/>
      <c r="DGM158" s="3060"/>
      <c r="DGN158" s="3060"/>
      <c r="DGO158" s="3060"/>
      <c r="DGP158" s="3060"/>
      <c r="DGQ158" s="3060"/>
      <c r="DGR158" s="3060"/>
      <c r="DGS158" s="3060"/>
      <c r="DGT158" s="3060"/>
      <c r="DGU158" s="3060"/>
      <c r="DGV158" s="3060"/>
      <c r="DGW158" s="3060"/>
      <c r="DGX158" s="3060"/>
      <c r="DGY158" s="3060"/>
      <c r="DGZ158" s="3060"/>
      <c r="DHA158" s="3060"/>
      <c r="DHB158" s="3060"/>
      <c r="DHC158" s="3060"/>
      <c r="DHD158" s="3060"/>
      <c r="DHE158" s="3060"/>
      <c r="DHF158" s="3060"/>
      <c r="DHG158" s="3060"/>
      <c r="DHH158" s="3060"/>
      <c r="DHI158" s="3060"/>
      <c r="DHJ158" s="3060"/>
      <c r="DHK158" s="3060"/>
      <c r="DHL158" s="3060"/>
      <c r="DHM158" s="3060"/>
      <c r="DHN158" s="3060"/>
      <c r="DHO158" s="3060"/>
      <c r="DHP158" s="3060"/>
      <c r="DHQ158" s="3060"/>
      <c r="DHR158" s="3060"/>
      <c r="DHS158" s="3060"/>
      <c r="DHT158" s="3060"/>
      <c r="DHU158" s="3060"/>
      <c r="DHV158" s="3060"/>
      <c r="DHW158" s="3060"/>
      <c r="DHX158" s="3060"/>
      <c r="DHY158" s="3060"/>
      <c r="DHZ158" s="3060"/>
      <c r="DIA158" s="3060"/>
      <c r="DIB158" s="3060"/>
      <c r="DIC158" s="3060"/>
      <c r="DID158" s="3060"/>
      <c r="DIE158" s="3060"/>
      <c r="DIF158" s="3060"/>
      <c r="DIG158" s="3060"/>
      <c r="DIH158" s="3060"/>
      <c r="DII158" s="3060"/>
      <c r="DIJ158" s="3060"/>
      <c r="DIK158" s="3060"/>
      <c r="DIL158" s="3060"/>
      <c r="DIM158" s="3060"/>
      <c r="DIN158" s="3060"/>
      <c r="DIO158" s="3060"/>
      <c r="DIP158" s="3060"/>
      <c r="DIQ158" s="3060"/>
      <c r="DIR158" s="3060"/>
      <c r="DIS158" s="3060"/>
      <c r="DIT158" s="3060"/>
      <c r="DIU158" s="3060"/>
      <c r="DIV158" s="3060"/>
      <c r="DIW158" s="3060"/>
      <c r="DIX158" s="3060"/>
      <c r="DIY158" s="3060"/>
      <c r="DIZ158" s="3060"/>
      <c r="DJA158" s="3060"/>
      <c r="DJB158" s="3060"/>
      <c r="DJC158" s="3060"/>
      <c r="DJD158" s="3060"/>
      <c r="DJE158" s="3060"/>
      <c r="DJF158" s="3060"/>
      <c r="DJG158" s="3060"/>
      <c r="DJH158" s="3060"/>
      <c r="DJI158" s="3060"/>
      <c r="DJJ158" s="3060"/>
      <c r="DJK158" s="3060"/>
      <c r="DJL158" s="3060"/>
      <c r="DJM158" s="3060"/>
      <c r="DJN158" s="3060"/>
      <c r="DJO158" s="3060"/>
      <c r="DJP158" s="3060"/>
      <c r="DJQ158" s="3060"/>
      <c r="DJR158" s="3060"/>
      <c r="DJS158" s="3060"/>
      <c r="DJT158" s="3060"/>
      <c r="DJU158" s="3060"/>
      <c r="DJV158" s="3060"/>
      <c r="DJW158" s="3060"/>
      <c r="DJX158" s="3060"/>
      <c r="DJY158" s="3060"/>
      <c r="DJZ158" s="3060"/>
      <c r="DKA158" s="3060"/>
      <c r="DKB158" s="3060"/>
      <c r="DKC158" s="3060"/>
      <c r="DKD158" s="3060"/>
      <c r="DKE158" s="3060"/>
      <c r="DKF158" s="3060"/>
      <c r="DKG158" s="3060"/>
      <c r="DKH158" s="3060"/>
      <c r="DKI158" s="3060"/>
      <c r="DKJ158" s="3060"/>
      <c r="DKK158" s="3060"/>
      <c r="DKL158" s="3060"/>
      <c r="DKM158" s="3060"/>
      <c r="DKN158" s="3060"/>
      <c r="DKO158" s="3060"/>
      <c r="DKP158" s="3060"/>
      <c r="DKQ158" s="3060"/>
      <c r="DKR158" s="3060"/>
      <c r="DKS158" s="3060"/>
      <c r="DKT158" s="3060"/>
      <c r="DKU158" s="3060"/>
      <c r="DKV158" s="3060"/>
      <c r="DKW158" s="3060"/>
      <c r="DKX158" s="3060"/>
      <c r="DKY158" s="3060"/>
      <c r="DKZ158" s="3060"/>
      <c r="DLA158" s="3060"/>
      <c r="DLB158" s="3060"/>
      <c r="DLC158" s="3060"/>
      <c r="DLD158" s="3060"/>
      <c r="DLE158" s="3060"/>
      <c r="DLF158" s="3060"/>
      <c r="DLG158" s="3060"/>
      <c r="DLH158" s="3060"/>
      <c r="DLI158" s="3060"/>
      <c r="DLJ158" s="3060"/>
      <c r="DLK158" s="3060"/>
      <c r="DLL158" s="3060"/>
      <c r="DLM158" s="3060"/>
      <c r="DLN158" s="3060"/>
      <c r="DLO158" s="3060"/>
      <c r="DLP158" s="3060"/>
      <c r="DLQ158" s="3060"/>
      <c r="DLR158" s="3060"/>
      <c r="DLS158" s="3060"/>
      <c r="DLT158" s="3060"/>
      <c r="DLU158" s="3060"/>
      <c r="DLV158" s="3060"/>
      <c r="DLW158" s="3060"/>
      <c r="DLX158" s="3060"/>
      <c r="DLY158" s="3060"/>
      <c r="DLZ158" s="3060"/>
      <c r="DMA158" s="3060"/>
      <c r="DMB158" s="3060"/>
      <c r="DMC158" s="3060"/>
      <c r="DMD158" s="3060"/>
      <c r="DME158" s="3060"/>
      <c r="DMF158" s="3060"/>
      <c r="DMG158" s="3060"/>
      <c r="DMH158" s="3060"/>
      <c r="DMI158" s="3060"/>
      <c r="DMJ158" s="3060"/>
      <c r="DMK158" s="3060"/>
      <c r="DML158" s="3060"/>
      <c r="DMM158" s="3060"/>
      <c r="DMN158" s="3060"/>
      <c r="DMO158" s="3060"/>
      <c r="DMP158" s="3060"/>
      <c r="DMQ158" s="3060"/>
      <c r="DMR158" s="3060"/>
      <c r="DMS158" s="3060"/>
      <c r="DMT158" s="3060"/>
      <c r="DMU158" s="3060"/>
      <c r="DMV158" s="3060"/>
      <c r="DMW158" s="3060"/>
      <c r="DMX158" s="3060"/>
      <c r="DMY158" s="3060"/>
      <c r="DMZ158" s="3060"/>
      <c r="DNA158" s="3060"/>
      <c r="DNB158" s="3060"/>
      <c r="DNC158" s="3060"/>
      <c r="DND158" s="3060"/>
      <c r="DNE158" s="3060"/>
      <c r="DNF158" s="3060"/>
      <c r="DNG158" s="3060"/>
      <c r="DNH158" s="3060"/>
      <c r="DNI158" s="3060"/>
      <c r="DNJ158" s="3060"/>
      <c r="DNK158" s="3060"/>
      <c r="DNL158" s="3060"/>
      <c r="DNM158" s="3060"/>
      <c r="DNN158" s="3060"/>
      <c r="DNO158" s="3060"/>
      <c r="DNP158" s="3060"/>
      <c r="DNQ158" s="3060"/>
      <c r="DNR158" s="3060"/>
      <c r="DNS158" s="3060"/>
      <c r="DNT158" s="3060"/>
      <c r="DNU158" s="3060"/>
      <c r="DNV158" s="3060"/>
      <c r="DNW158" s="3060"/>
      <c r="DNX158" s="3060"/>
      <c r="DNY158" s="3060"/>
      <c r="DNZ158" s="3060"/>
      <c r="DOA158" s="3060"/>
      <c r="DOB158" s="3060"/>
      <c r="DOC158" s="3060"/>
      <c r="DOD158" s="3060"/>
      <c r="DOE158" s="3060"/>
      <c r="DOF158" s="3060"/>
      <c r="DOG158" s="3060"/>
      <c r="DOH158" s="3060"/>
      <c r="DOI158" s="3060"/>
      <c r="DOJ158" s="3060"/>
      <c r="DOK158" s="3060"/>
      <c r="DOL158" s="3060"/>
      <c r="DOM158" s="3060"/>
      <c r="DON158" s="3060"/>
      <c r="DOO158" s="3060"/>
      <c r="DOP158" s="3060"/>
      <c r="DOQ158" s="3060"/>
      <c r="DOR158" s="3060"/>
      <c r="DOS158" s="3060"/>
      <c r="DOT158" s="3060"/>
      <c r="DOU158" s="3060"/>
      <c r="DOV158" s="3060"/>
      <c r="DOW158" s="3060"/>
      <c r="DOX158" s="3060"/>
      <c r="DOY158" s="3060"/>
      <c r="DOZ158" s="3060"/>
      <c r="DPA158" s="3060"/>
      <c r="DPB158" s="3060"/>
      <c r="DPC158" s="3060"/>
      <c r="DPD158" s="3060"/>
      <c r="DPE158" s="3060"/>
      <c r="DPF158" s="3060"/>
      <c r="DPG158" s="3060"/>
      <c r="DPH158" s="3060"/>
      <c r="DPI158" s="3060"/>
      <c r="DPJ158" s="3060"/>
      <c r="DPK158" s="3060"/>
      <c r="DPL158" s="3060"/>
      <c r="DPM158" s="3060"/>
      <c r="DPN158" s="3060"/>
      <c r="DPO158" s="3060"/>
      <c r="DPP158" s="3060"/>
      <c r="DPQ158" s="3060"/>
      <c r="DPR158" s="3060"/>
      <c r="DPS158" s="3060"/>
      <c r="DPT158" s="3060"/>
      <c r="DPU158" s="3060"/>
      <c r="DPV158" s="3060"/>
      <c r="DPW158" s="3060"/>
      <c r="DPX158" s="3060"/>
      <c r="DPY158" s="3060"/>
      <c r="DPZ158" s="3060"/>
      <c r="DQA158" s="3060"/>
      <c r="DQB158" s="3060"/>
      <c r="DQC158" s="3060"/>
      <c r="DQD158" s="3060"/>
      <c r="DQE158" s="3060"/>
      <c r="DQF158" s="3060"/>
      <c r="DQG158" s="3060"/>
      <c r="DQH158" s="3060"/>
      <c r="DQI158" s="3060"/>
      <c r="DQJ158" s="3060"/>
      <c r="DQK158" s="3060"/>
      <c r="DQL158" s="3060"/>
      <c r="DQM158" s="3060"/>
      <c r="DQN158" s="3060"/>
      <c r="DQO158" s="3060"/>
      <c r="DQP158" s="3060"/>
      <c r="DQQ158" s="3060"/>
      <c r="DQR158" s="3060"/>
      <c r="DQS158" s="3060"/>
      <c r="DQT158" s="3060"/>
      <c r="DQU158" s="3060"/>
      <c r="DQV158" s="3060"/>
      <c r="DQW158" s="3060"/>
      <c r="DQX158" s="3060"/>
      <c r="DQY158" s="3060"/>
      <c r="DQZ158" s="3060"/>
      <c r="DRA158" s="3060"/>
      <c r="DRB158" s="3060"/>
      <c r="DRC158" s="3060"/>
      <c r="DRD158" s="3060"/>
      <c r="DRE158" s="3060"/>
      <c r="DRF158" s="3060"/>
      <c r="DRG158" s="3060"/>
      <c r="DRH158" s="3060"/>
      <c r="DRI158" s="3060"/>
      <c r="DRJ158" s="3060"/>
      <c r="DRK158" s="3060"/>
      <c r="DRL158" s="3060"/>
      <c r="DRM158" s="3060"/>
      <c r="DRN158" s="3060"/>
      <c r="DRO158" s="3060"/>
      <c r="DRP158" s="3060"/>
      <c r="DRQ158" s="3060"/>
      <c r="DRR158" s="3060"/>
      <c r="DRS158" s="3060"/>
      <c r="DRT158" s="3060"/>
      <c r="DRU158" s="3060"/>
      <c r="DRV158" s="3060"/>
      <c r="DRW158" s="3060"/>
      <c r="DRX158" s="3060"/>
      <c r="DRY158" s="3060"/>
      <c r="DRZ158" s="3060"/>
      <c r="DSA158" s="3060"/>
      <c r="DSB158" s="3060"/>
      <c r="DSC158" s="3060"/>
      <c r="DSD158" s="3060"/>
      <c r="DSE158" s="3060"/>
      <c r="DSF158" s="3060"/>
      <c r="DSG158" s="3060"/>
      <c r="DSH158" s="3060"/>
      <c r="DSI158" s="3060"/>
      <c r="DSJ158" s="3060"/>
      <c r="DSK158" s="3060"/>
      <c r="DSL158" s="3060"/>
      <c r="DSM158" s="3060"/>
      <c r="DSN158" s="3060"/>
      <c r="DSO158" s="3060"/>
      <c r="DSP158" s="3060"/>
      <c r="DSQ158" s="3060"/>
      <c r="DSR158" s="3060"/>
      <c r="DSS158" s="3060"/>
      <c r="DST158" s="3060"/>
      <c r="DSU158" s="3060"/>
      <c r="DSV158" s="3060"/>
      <c r="DSW158" s="3060"/>
      <c r="DSX158" s="3060"/>
      <c r="DSY158" s="3060"/>
      <c r="DSZ158" s="3060"/>
      <c r="DTA158" s="3060"/>
      <c r="DTB158" s="3060"/>
      <c r="DTC158" s="3060"/>
      <c r="DTD158" s="3060"/>
      <c r="DTE158" s="3060"/>
      <c r="DTF158" s="3060"/>
      <c r="DTG158" s="3060"/>
      <c r="DTH158" s="3060"/>
      <c r="DTI158" s="3060"/>
      <c r="DTJ158" s="3060"/>
      <c r="DTK158" s="3060"/>
      <c r="DTL158" s="3060"/>
      <c r="DTM158" s="3060"/>
      <c r="DTN158" s="3060"/>
      <c r="DTO158" s="3060"/>
      <c r="DTP158" s="3060"/>
      <c r="DTQ158" s="3060"/>
      <c r="DTR158" s="3060"/>
      <c r="DTS158" s="3060"/>
      <c r="DTT158" s="3060"/>
      <c r="DTU158" s="3060"/>
      <c r="DTV158" s="3060"/>
      <c r="DTW158" s="3060"/>
      <c r="DTX158" s="3060"/>
      <c r="DTY158" s="3060"/>
      <c r="DTZ158" s="3060"/>
      <c r="DUA158" s="3060"/>
      <c r="DUB158" s="3060"/>
      <c r="DUC158" s="3060"/>
      <c r="DUD158" s="3060"/>
      <c r="DUE158" s="3060"/>
      <c r="DUF158" s="3060"/>
      <c r="DUG158" s="3060"/>
      <c r="DUH158" s="3060"/>
      <c r="DUI158" s="3060"/>
      <c r="DUJ158" s="3060"/>
      <c r="DUK158" s="3060"/>
      <c r="DUL158" s="3060"/>
      <c r="DUM158" s="3060"/>
      <c r="DUN158" s="3060"/>
      <c r="DUO158" s="3060"/>
      <c r="DUP158" s="3060"/>
      <c r="DUQ158" s="3060"/>
      <c r="DUR158" s="3060"/>
      <c r="DUS158" s="3060"/>
      <c r="DUT158" s="3060"/>
      <c r="DUU158" s="3060"/>
      <c r="DUV158" s="3060"/>
      <c r="DUW158" s="3060"/>
      <c r="DUX158" s="3060"/>
      <c r="DUY158" s="3060"/>
      <c r="DUZ158" s="3060"/>
      <c r="DVA158" s="3060"/>
      <c r="DVB158" s="3060"/>
      <c r="DVC158" s="3060"/>
      <c r="DVD158" s="3060"/>
      <c r="DVE158" s="3060"/>
      <c r="DVF158" s="3060"/>
      <c r="DVG158" s="3060"/>
      <c r="DVH158" s="3060"/>
      <c r="DVI158" s="3060"/>
      <c r="DVJ158" s="3060"/>
      <c r="DVK158" s="3060"/>
      <c r="DVL158" s="3060"/>
      <c r="DVM158" s="3060"/>
      <c r="DVN158" s="3060"/>
      <c r="DVO158" s="3060"/>
      <c r="DVP158" s="3060"/>
      <c r="DVQ158" s="3060"/>
      <c r="DVR158" s="3060"/>
      <c r="DVS158" s="3060"/>
      <c r="DVT158" s="3060"/>
      <c r="DVU158" s="3060"/>
      <c r="DVV158" s="3060"/>
      <c r="DVW158" s="3060"/>
      <c r="DVX158" s="3060"/>
      <c r="DVY158" s="3060"/>
      <c r="DVZ158" s="3060"/>
      <c r="DWA158" s="3060"/>
      <c r="DWB158" s="3060"/>
      <c r="DWC158" s="3060"/>
      <c r="DWD158" s="3060"/>
      <c r="DWE158" s="3060"/>
      <c r="DWF158" s="3060"/>
      <c r="DWG158" s="3060"/>
      <c r="DWH158" s="3060"/>
      <c r="DWI158" s="3060"/>
      <c r="DWJ158" s="3060"/>
      <c r="DWK158" s="3060"/>
      <c r="DWL158" s="3060"/>
      <c r="DWM158" s="3060"/>
      <c r="DWN158" s="3060"/>
      <c r="DWO158" s="3060"/>
      <c r="DWP158" s="3060"/>
      <c r="DWQ158" s="3060"/>
      <c r="DWR158" s="3060"/>
      <c r="DWS158" s="3060"/>
      <c r="DWT158" s="3060"/>
      <c r="DWU158" s="3060"/>
      <c r="DWV158" s="3060"/>
      <c r="DWW158" s="3060"/>
      <c r="DWX158" s="3060"/>
      <c r="DWY158" s="3060"/>
      <c r="DWZ158" s="3060"/>
      <c r="DXA158" s="3060"/>
      <c r="DXB158" s="3060"/>
      <c r="DXC158" s="3060"/>
      <c r="DXD158" s="3060"/>
      <c r="DXE158" s="3060"/>
      <c r="DXF158" s="3060"/>
      <c r="DXG158" s="3060"/>
      <c r="DXH158" s="3060"/>
      <c r="DXI158" s="3060"/>
      <c r="DXJ158" s="3060"/>
      <c r="DXK158" s="3060"/>
      <c r="DXL158" s="3060"/>
      <c r="DXM158" s="3060"/>
      <c r="DXN158" s="3060"/>
      <c r="DXO158" s="3060"/>
      <c r="DXP158" s="3060"/>
      <c r="DXQ158" s="3060"/>
      <c r="DXR158" s="3060"/>
      <c r="DXS158" s="3060"/>
      <c r="DXT158" s="3060"/>
      <c r="DXU158" s="3060"/>
      <c r="DXV158" s="3060"/>
      <c r="DXW158" s="3060"/>
      <c r="DXX158" s="3060"/>
      <c r="DXY158" s="3060"/>
      <c r="DXZ158" s="3060"/>
      <c r="DYA158" s="3060"/>
      <c r="DYB158" s="3060"/>
      <c r="DYC158" s="3060"/>
      <c r="DYD158" s="3060"/>
      <c r="DYE158" s="3060"/>
      <c r="DYF158" s="3060"/>
      <c r="DYG158" s="3060"/>
      <c r="DYH158" s="3060"/>
      <c r="DYI158" s="3060"/>
      <c r="DYJ158" s="3060"/>
      <c r="DYK158" s="3060"/>
      <c r="DYL158" s="3060"/>
      <c r="DYM158" s="3060"/>
      <c r="DYN158" s="3060"/>
      <c r="DYO158" s="3060"/>
      <c r="DYP158" s="3060"/>
      <c r="DYQ158" s="3060"/>
      <c r="DYR158" s="3060"/>
      <c r="DYS158" s="3060"/>
      <c r="DYT158" s="3060"/>
      <c r="DYU158" s="3060"/>
      <c r="DYV158" s="3060"/>
      <c r="DYW158" s="3060"/>
      <c r="DYX158" s="3060"/>
      <c r="DYY158" s="3060"/>
      <c r="DYZ158" s="3060"/>
      <c r="DZA158" s="3060"/>
      <c r="DZB158" s="3060"/>
      <c r="DZC158" s="3060"/>
      <c r="DZD158" s="3060"/>
      <c r="DZE158" s="3060"/>
      <c r="DZF158" s="3060"/>
      <c r="DZG158" s="3060"/>
      <c r="DZH158" s="3060"/>
      <c r="DZI158" s="3060"/>
      <c r="DZJ158" s="3060"/>
      <c r="DZK158" s="3060"/>
      <c r="DZL158" s="3060"/>
      <c r="DZM158" s="3060"/>
      <c r="DZN158" s="3060"/>
      <c r="DZO158" s="3060"/>
      <c r="DZP158" s="3060"/>
      <c r="DZQ158" s="3060"/>
      <c r="DZR158" s="3060"/>
      <c r="DZS158" s="3060"/>
      <c r="DZT158" s="3060"/>
      <c r="DZU158" s="3060"/>
      <c r="DZV158" s="3060"/>
      <c r="DZW158" s="3060"/>
      <c r="DZX158" s="3060"/>
      <c r="DZY158" s="3060"/>
      <c r="DZZ158" s="3060"/>
      <c r="EAA158" s="3060"/>
      <c r="EAB158" s="3060"/>
      <c r="EAC158" s="3060"/>
      <c r="EAD158" s="3060"/>
      <c r="EAE158" s="3060"/>
      <c r="EAF158" s="3060"/>
      <c r="EAG158" s="3060"/>
      <c r="EAH158" s="3060"/>
      <c r="EAI158" s="3060"/>
      <c r="EAJ158" s="3060"/>
      <c r="EAK158" s="3060"/>
      <c r="EAL158" s="3060"/>
      <c r="EAM158" s="3060"/>
      <c r="EAN158" s="3060"/>
      <c r="EAO158" s="3060"/>
      <c r="EAP158" s="3060"/>
      <c r="EAQ158" s="3060"/>
      <c r="EAR158" s="3060"/>
      <c r="EAS158" s="3060"/>
      <c r="EAT158" s="3060"/>
      <c r="EAU158" s="3060"/>
      <c r="EAV158" s="3060"/>
      <c r="EAW158" s="3060"/>
      <c r="EAX158" s="3060"/>
      <c r="EAY158" s="3060"/>
      <c r="EAZ158" s="3060"/>
      <c r="EBA158" s="3060"/>
      <c r="EBB158" s="3060"/>
      <c r="EBC158" s="3060"/>
      <c r="EBD158" s="3060"/>
      <c r="EBE158" s="3060"/>
      <c r="EBF158" s="3060"/>
      <c r="EBG158" s="3060"/>
      <c r="EBH158" s="3060"/>
      <c r="EBI158" s="3060"/>
      <c r="EBJ158" s="3060"/>
      <c r="EBK158" s="3060"/>
      <c r="EBL158" s="3060"/>
      <c r="EBM158" s="3060"/>
      <c r="EBN158" s="3060"/>
      <c r="EBO158" s="3060"/>
      <c r="EBP158" s="3060"/>
      <c r="EBQ158" s="3060"/>
      <c r="EBR158" s="3060"/>
      <c r="EBS158" s="3060"/>
      <c r="EBT158" s="3060"/>
      <c r="EBU158" s="3060"/>
      <c r="EBV158" s="3060"/>
      <c r="EBW158" s="3060"/>
      <c r="EBX158" s="3060"/>
      <c r="EBY158" s="3060"/>
      <c r="EBZ158" s="3060"/>
      <c r="ECA158" s="3060"/>
      <c r="ECB158" s="3060"/>
      <c r="ECC158" s="3060"/>
      <c r="ECD158" s="3060"/>
      <c r="ECE158" s="3060"/>
      <c r="ECF158" s="3060"/>
      <c r="ECG158" s="3060"/>
      <c r="ECH158" s="3060"/>
      <c r="ECI158" s="3060"/>
      <c r="ECJ158" s="3060"/>
      <c r="ECK158" s="3060"/>
      <c r="ECL158" s="3060"/>
      <c r="ECM158" s="3060"/>
      <c r="ECN158" s="3060"/>
      <c r="ECO158" s="3060"/>
      <c r="ECP158" s="3060"/>
      <c r="ECQ158" s="3060"/>
      <c r="ECR158" s="3060"/>
      <c r="ECS158" s="3060"/>
      <c r="ECT158" s="3060"/>
      <c r="ECU158" s="3060"/>
      <c r="ECV158" s="3060"/>
      <c r="ECW158" s="3060"/>
      <c r="ECX158" s="3060"/>
      <c r="ECY158" s="3060"/>
      <c r="ECZ158" s="3060"/>
      <c r="EDA158" s="3060"/>
      <c r="EDB158" s="3060"/>
      <c r="EDC158" s="3060"/>
      <c r="EDD158" s="3060"/>
      <c r="EDE158" s="3060"/>
      <c r="EDF158" s="3060"/>
      <c r="EDG158" s="3060"/>
      <c r="EDH158" s="3060"/>
      <c r="EDI158" s="3060"/>
      <c r="EDJ158" s="3060"/>
      <c r="EDK158" s="3060"/>
      <c r="EDL158" s="3060"/>
      <c r="EDM158" s="3060"/>
      <c r="EDN158" s="3060"/>
      <c r="EDO158" s="3060"/>
      <c r="EDP158" s="3060"/>
      <c r="EDQ158" s="3060"/>
      <c r="EDR158" s="3060"/>
      <c r="EDS158" s="3060"/>
      <c r="EDT158" s="3060"/>
      <c r="EDU158" s="3060"/>
      <c r="EDV158" s="3060"/>
      <c r="EDW158" s="3060"/>
      <c r="EDX158" s="3060"/>
      <c r="EDY158" s="3060"/>
      <c r="EDZ158" s="3060"/>
      <c r="EEA158" s="3060"/>
      <c r="EEB158" s="3060"/>
      <c r="EEC158" s="3060"/>
      <c r="EED158" s="3060"/>
      <c r="EEE158" s="3060"/>
      <c r="EEF158" s="3060"/>
      <c r="EEG158" s="3060"/>
      <c r="EEH158" s="3060"/>
      <c r="EEI158" s="3060"/>
      <c r="EEJ158" s="3060"/>
      <c r="EEK158" s="3060"/>
      <c r="EEL158" s="3060"/>
      <c r="EEM158" s="3060"/>
      <c r="EEN158" s="3060"/>
      <c r="EEO158" s="3060"/>
      <c r="EEP158" s="3060"/>
      <c r="EEQ158" s="3060"/>
      <c r="EER158" s="3060"/>
      <c r="EES158" s="3060"/>
      <c r="EET158" s="3060"/>
      <c r="EEU158" s="3060"/>
      <c r="EEV158" s="3060"/>
      <c r="EEW158" s="3060"/>
      <c r="EEX158" s="3060"/>
      <c r="EEY158" s="3060"/>
      <c r="EEZ158" s="3060"/>
      <c r="EFA158" s="3060"/>
      <c r="EFB158" s="3060"/>
      <c r="EFC158" s="3060"/>
      <c r="EFD158" s="3060"/>
      <c r="EFE158" s="3060"/>
      <c r="EFF158" s="3060"/>
      <c r="EFG158" s="3060"/>
      <c r="EFH158" s="3060"/>
      <c r="EFI158" s="3060"/>
      <c r="EFJ158" s="3060"/>
      <c r="EFK158" s="3060"/>
      <c r="EFL158" s="3060"/>
      <c r="EFM158" s="3060"/>
      <c r="EFN158" s="3060"/>
      <c r="EFO158" s="3060"/>
      <c r="EFP158" s="3060"/>
      <c r="EFQ158" s="3060"/>
      <c r="EFR158" s="3060"/>
      <c r="EFS158" s="3060"/>
      <c r="EFT158" s="3060"/>
      <c r="EFU158" s="3060"/>
      <c r="EFV158" s="3060"/>
      <c r="EFW158" s="3060"/>
      <c r="EFX158" s="3060"/>
      <c r="EFY158" s="3060"/>
      <c r="EFZ158" s="3060"/>
      <c r="EGA158" s="3060"/>
      <c r="EGB158" s="3060"/>
      <c r="EGC158" s="3060"/>
      <c r="EGD158" s="3060"/>
      <c r="EGE158" s="3060"/>
      <c r="EGF158" s="3060"/>
      <c r="EGG158" s="3060"/>
      <c r="EGH158" s="3060"/>
      <c r="EGI158" s="3060"/>
      <c r="EGJ158" s="3060"/>
      <c r="EGK158" s="3060"/>
      <c r="EGL158" s="3060"/>
      <c r="EGM158" s="3060"/>
      <c r="EGN158" s="3060"/>
      <c r="EGO158" s="3060"/>
      <c r="EGP158" s="3060"/>
      <c r="EGQ158" s="3060"/>
      <c r="EGR158" s="3060"/>
      <c r="EGS158" s="3060"/>
      <c r="EGT158" s="3060"/>
      <c r="EGU158" s="3060"/>
      <c r="EGV158" s="3060"/>
      <c r="EGW158" s="3060"/>
      <c r="EGX158" s="3060"/>
      <c r="EGY158" s="3060"/>
      <c r="EGZ158" s="3060"/>
      <c r="EHA158" s="3060"/>
      <c r="EHB158" s="3060"/>
      <c r="EHC158" s="3060"/>
      <c r="EHD158" s="3060"/>
      <c r="EHE158" s="3060"/>
      <c r="EHF158" s="3060"/>
      <c r="EHG158" s="3060"/>
      <c r="EHH158" s="3060"/>
      <c r="EHI158" s="3060"/>
      <c r="EHJ158" s="3060"/>
      <c r="EHK158" s="3060"/>
      <c r="EHL158" s="3060"/>
      <c r="EHM158" s="3060"/>
      <c r="EHN158" s="3060"/>
      <c r="EHO158" s="3060"/>
      <c r="EHP158" s="3060"/>
      <c r="EHQ158" s="3060"/>
      <c r="EHR158" s="3060"/>
      <c r="EHS158" s="3060"/>
      <c r="EHT158" s="3060"/>
      <c r="EHU158" s="3060"/>
      <c r="EHV158" s="3060"/>
      <c r="EHW158" s="3060"/>
      <c r="EHX158" s="3060"/>
      <c r="EHY158" s="3060"/>
      <c r="EHZ158" s="3060"/>
      <c r="EIA158" s="3060"/>
      <c r="EIB158" s="3060"/>
      <c r="EIC158" s="3060"/>
      <c r="EID158" s="3060"/>
      <c r="EIE158" s="3060"/>
      <c r="EIF158" s="3060"/>
      <c r="EIG158" s="3060"/>
      <c r="EIH158" s="3060"/>
      <c r="EII158" s="3060"/>
      <c r="EIJ158" s="3060"/>
      <c r="EIK158" s="3060"/>
      <c r="EIL158" s="3060"/>
      <c r="EIM158" s="3060"/>
      <c r="EIN158" s="3060"/>
      <c r="EIO158" s="3060"/>
      <c r="EIP158" s="3060"/>
      <c r="EIQ158" s="3060"/>
      <c r="EIR158" s="3060"/>
      <c r="EIS158" s="3060"/>
      <c r="EIT158" s="3060"/>
      <c r="EIU158" s="3060"/>
      <c r="EIV158" s="3060"/>
      <c r="EIW158" s="3060"/>
      <c r="EIX158" s="3060"/>
      <c r="EIY158" s="3060"/>
      <c r="EIZ158" s="3060"/>
      <c r="EJA158" s="3060"/>
      <c r="EJB158" s="3060"/>
      <c r="EJC158" s="3060"/>
      <c r="EJD158" s="3060"/>
      <c r="EJE158" s="3060"/>
      <c r="EJF158" s="3060"/>
      <c r="EJG158" s="3060"/>
      <c r="EJH158" s="3060"/>
      <c r="EJI158" s="3060"/>
      <c r="EJJ158" s="3060"/>
      <c r="EJK158" s="3060"/>
      <c r="EJL158" s="3060"/>
      <c r="EJM158" s="3060"/>
      <c r="EJN158" s="3060"/>
      <c r="EJO158" s="3060"/>
      <c r="EJP158" s="3060"/>
      <c r="EJQ158" s="3060"/>
      <c r="EJR158" s="3060"/>
      <c r="EJS158" s="3060"/>
      <c r="EJT158" s="3060"/>
      <c r="EJU158" s="3060"/>
      <c r="EJV158" s="3060"/>
      <c r="EJW158" s="3060"/>
      <c r="EJX158" s="3060"/>
      <c r="EJY158" s="3060"/>
      <c r="EJZ158" s="3060"/>
      <c r="EKA158" s="3060"/>
      <c r="EKB158" s="3060"/>
      <c r="EKC158" s="3060"/>
      <c r="EKD158" s="3060"/>
      <c r="EKE158" s="3060"/>
      <c r="EKF158" s="3060"/>
      <c r="EKG158" s="3060"/>
      <c r="EKH158" s="3060"/>
      <c r="EKI158" s="3060"/>
      <c r="EKJ158" s="3060"/>
      <c r="EKK158" s="3060"/>
      <c r="EKL158" s="3060"/>
      <c r="EKM158" s="3060"/>
      <c r="EKN158" s="3060"/>
      <c r="EKO158" s="3060"/>
      <c r="EKP158" s="3060"/>
      <c r="EKQ158" s="3060"/>
      <c r="EKR158" s="3060"/>
      <c r="EKS158" s="3060"/>
      <c r="EKT158" s="3060"/>
      <c r="EKU158" s="3060"/>
      <c r="EKV158" s="3060"/>
      <c r="EKW158" s="3060"/>
      <c r="EKX158" s="3060"/>
      <c r="EKY158" s="3060"/>
      <c r="EKZ158" s="3060"/>
      <c r="ELA158" s="3060"/>
      <c r="ELB158" s="3060"/>
      <c r="ELC158" s="3060"/>
      <c r="ELD158" s="3060"/>
      <c r="ELE158" s="3060"/>
      <c r="ELF158" s="3060"/>
      <c r="ELG158" s="3060"/>
      <c r="ELH158" s="3060"/>
      <c r="ELI158" s="3060"/>
      <c r="ELJ158" s="3060"/>
      <c r="ELK158" s="3060"/>
      <c r="ELL158" s="3060"/>
      <c r="ELM158" s="3060"/>
      <c r="ELN158" s="3060"/>
      <c r="ELO158" s="3060"/>
      <c r="ELP158" s="3060"/>
      <c r="ELQ158" s="3060"/>
      <c r="ELR158" s="3060"/>
      <c r="ELS158" s="3060"/>
      <c r="ELT158" s="3060"/>
      <c r="ELU158" s="3060"/>
      <c r="ELV158" s="3060"/>
      <c r="ELW158" s="3060"/>
      <c r="ELX158" s="3060"/>
      <c r="ELY158" s="3060"/>
      <c r="ELZ158" s="3060"/>
      <c r="EMA158" s="3060"/>
      <c r="EMB158" s="3060"/>
      <c r="EMC158" s="3060"/>
      <c r="EMD158" s="3060"/>
      <c r="EME158" s="3060"/>
      <c r="EMF158" s="3060"/>
      <c r="EMG158" s="3060"/>
      <c r="EMH158" s="3060"/>
      <c r="EMI158" s="3060"/>
      <c r="EMJ158" s="3060"/>
      <c r="EMK158" s="3060"/>
      <c r="EML158" s="3060"/>
      <c r="EMM158" s="3060"/>
      <c r="EMN158" s="3060"/>
      <c r="EMO158" s="3060"/>
      <c r="EMP158" s="3060"/>
      <c r="EMQ158" s="3060"/>
      <c r="EMR158" s="3060"/>
      <c r="EMS158" s="3060"/>
      <c r="EMT158" s="3060"/>
      <c r="EMU158" s="3060"/>
      <c r="EMV158" s="3060"/>
      <c r="EMW158" s="3060"/>
      <c r="EMX158" s="3060"/>
      <c r="EMY158" s="3060"/>
      <c r="EMZ158" s="3060"/>
      <c r="ENA158" s="3060"/>
      <c r="ENB158" s="3060"/>
      <c r="ENC158" s="3060"/>
      <c r="END158" s="3060"/>
      <c r="ENE158" s="3060"/>
      <c r="ENF158" s="3060"/>
      <c r="ENG158" s="3060"/>
      <c r="ENH158" s="3060"/>
      <c r="ENI158" s="3060"/>
      <c r="ENJ158" s="3060"/>
      <c r="ENK158" s="3060"/>
      <c r="ENL158" s="3060"/>
      <c r="ENM158" s="3060"/>
      <c r="ENN158" s="3060"/>
      <c r="ENO158" s="3060"/>
      <c r="ENP158" s="3060"/>
      <c r="ENQ158" s="3060"/>
      <c r="ENR158" s="3060"/>
      <c r="ENS158" s="3060"/>
      <c r="ENT158" s="3060"/>
      <c r="ENU158" s="3060"/>
      <c r="ENV158" s="3060"/>
      <c r="ENW158" s="3060"/>
      <c r="ENX158" s="3060"/>
      <c r="ENY158" s="3060"/>
      <c r="ENZ158" s="3060"/>
      <c r="EOA158" s="3060"/>
      <c r="EOB158" s="3060"/>
      <c r="EOC158" s="3060"/>
      <c r="EOD158" s="3060"/>
      <c r="EOE158" s="3060"/>
      <c r="EOF158" s="3060"/>
      <c r="EOG158" s="3060"/>
      <c r="EOH158" s="3060"/>
      <c r="EOI158" s="3060"/>
      <c r="EOJ158" s="3060"/>
      <c r="EOK158" s="3060"/>
      <c r="EOL158" s="3060"/>
      <c r="EOM158" s="3060"/>
      <c r="EON158" s="3060"/>
      <c r="EOO158" s="3060"/>
      <c r="EOP158" s="3060"/>
      <c r="EOQ158" s="3060"/>
      <c r="EOR158" s="3060"/>
      <c r="EOS158" s="3060"/>
      <c r="EOT158" s="3060"/>
      <c r="EOU158" s="3060"/>
      <c r="EOV158" s="3060"/>
      <c r="EOW158" s="3060"/>
      <c r="EOX158" s="3060"/>
      <c r="EOY158" s="3060"/>
      <c r="EOZ158" s="3060"/>
      <c r="EPA158" s="3060"/>
      <c r="EPB158" s="3060"/>
      <c r="EPC158" s="3060"/>
      <c r="EPD158" s="3060"/>
      <c r="EPE158" s="3060"/>
      <c r="EPF158" s="3060"/>
      <c r="EPG158" s="3060"/>
      <c r="EPH158" s="3060"/>
      <c r="EPI158" s="3060"/>
      <c r="EPJ158" s="3060"/>
      <c r="EPK158" s="3060"/>
      <c r="EPL158" s="3060"/>
      <c r="EPM158" s="3060"/>
      <c r="EPN158" s="3060"/>
      <c r="EPO158" s="3060"/>
      <c r="EPP158" s="3060"/>
      <c r="EPQ158" s="3060"/>
      <c r="EPR158" s="3060"/>
      <c r="EPS158" s="3060"/>
      <c r="EPT158" s="3060"/>
      <c r="EPU158" s="3060"/>
      <c r="EPV158" s="3060"/>
      <c r="EPW158" s="3060"/>
      <c r="EPX158" s="3060"/>
      <c r="EPY158" s="3060"/>
      <c r="EPZ158" s="3060"/>
      <c r="EQA158" s="3060"/>
      <c r="EQB158" s="3060"/>
      <c r="EQC158" s="3060"/>
      <c r="EQD158" s="3060"/>
      <c r="EQE158" s="3060"/>
      <c r="EQF158" s="3060"/>
      <c r="EQG158" s="3060"/>
      <c r="EQH158" s="3060"/>
      <c r="EQI158" s="3060"/>
      <c r="EQJ158" s="3060"/>
      <c r="EQK158" s="3060"/>
      <c r="EQL158" s="3060"/>
      <c r="EQM158" s="3060"/>
      <c r="EQN158" s="3060"/>
      <c r="EQO158" s="3060"/>
      <c r="EQP158" s="3060"/>
      <c r="EQQ158" s="3060"/>
      <c r="EQR158" s="3060"/>
      <c r="EQS158" s="3060"/>
      <c r="EQT158" s="3060"/>
      <c r="EQU158" s="3060"/>
      <c r="EQV158" s="3060"/>
      <c r="EQW158" s="3060"/>
      <c r="EQX158" s="3060"/>
      <c r="EQY158" s="3060"/>
      <c r="EQZ158" s="3060"/>
      <c r="ERA158" s="3060"/>
      <c r="ERB158" s="3060"/>
      <c r="ERC158" s="3060"/>
      <c r="ERD158" s="3060"/>
      <c r="ERE158" s="3060"/>
      <c r="ERF158" s="3060"/>
      <c r="ERG158" s="3060"/>
      <c r="ERH158" s="3060"/>
      <c r="ERI158" s="3060"/>
      <c r="ERJ158" s="3060"/>
      <c r="ERK158" s="3060"/>
      <c r="ERL158" s="3060"/>
      <c r="ERM158" s="3060"/>
      <c r="ERN158" s="3060"/>
      <c r="ERO158" s="3060"/>
      <c r="ERP158" s="3060"/>
      <c r="ERQ158" s="3060"/>
      <c r="ERR158" s="3060"/>
      <c r="ERS158" s="3060"/>
      <c r="ERT158" s="3060"/>
      <c r="ERU158" s="3060"/>
      <c r="ERV158" s="3060"/>
      <c r="ERW158" s="3060"/>
      <c r="ERX158" s="3060"/>
      <c r="ERY158" s="3060"/>
      <c r="ERZ158" s="3060"/>
      <c r="ESA158" s="3060"/>
      <c r="ESB158" s="3060"/>
      <c r="ESC158" s="3060"/>
      <c r="ESD158" s="3060"/>
      <c r="ESE158" s="3060"/>
      <c r="ESF158" s="3060"/>
      <c r="ESG158" s="3060"/>
      <c r="ESH158" s="3060"/>
      <c r="ESI158" s="3060"/>
      <c r="ESJ158" s="3060"/>
      <c r="ESK158" s="3060"/>
      <c r="ESL158" s="3060"/>
      <c r="ESM158" s="3060"/>
      <c r="ESN158" s="3060"/>
      <c r="ESO158" s="3060"/>
      <c r="ESP158" s="3060"/>
      <c r="ESQ158" s="3060"/>
      <c r="ESR158" s="3060"/>
      <c r="ESS158" s="3060"/>
      <c r="EST158" s="3060"/>
      <c r="ESU158" s="3060"/>
      <c r="ESV158" s="3060"/>
      <c r="ESW158" s="3060"/>
      <c r="ESX158" s="3060"/>
      <c r="ESY158" s="3060"/>
      <c r="ESZ158" s="3060"/>
      <c r="ETA158" s="3060"/>
      <c r="ETB158" s="3060"/>
      <c r="ETC158" s="3060"/>
      <c r="ETD158" s="3060"/>
      <c r="ETE158" s="3060"/>
      <c r="ETF158" s="3060"/>
      <c r="ETG158" s="3060"/>
      <c r="ETH158" s="3060"/>
      <c r="ETI158" s="3060"/>
      <c r="ETJ158" s="3060"/>
      <c r="ETK158" s="3060"/>
      <c r="ETL158" s="3060"/>
      <c r="ETM158" s="3060"/>
      <c r="ETN158" s="3060"/>
      <c r="ETO158" s="3060"/>
      <c r="ETP158" s="3060"/>
      <c r="ETQ158" s="3060"/>
      <c r="ETR158" s="3060"/>
      <c r="ETS158" s="3060"/>
      <c r="ETT158" s="3060"/>
      <c r="ETU158" s="3060"/>
      <c r="ETV158" s="3060"/>
      <c r="ETW158" s="3060"/>
      <c r="ETX158" s="3060"/>
      <c r="ETY158" s="3060"/>
      <c r="ETZ158" s="3060"/>
      <c r="EUA158" s="3060"/>
      <c r="EUB158" s="3060"/>
      <c r="EUC158" s="3060"/>
      <c r="EUD158" s="3060"/>
      <c r="EUE158" s="3060"/>
      <c r="EUF158" s="3060"/>
      <c r="EUG158" s="3060"/>
      <c r="EUH158" s="3060"/>
      <c r="EUI158" s="3060"/>
      <c r="EUJ158" s="3060"/>
      <c r="EUK158" s="3060"/>
      <c r="EUL158" s="3060"/>
      <c r="EUM158" s="3060"/>
      <c r="EUN158" s="3060"/>
      <c r="EUO158" s="3060"/>
      <c r="EUP158" s="3060"/>
      <c r="EUQ158" s="3060"/>
      <c r="EUR158" s="3060"/>
      <c r="EUS158" s="3060"/>
      <c r="EUT158" s="3060"/>
      <c r="EUU158" s="3060"/>
      <c r="EUV158" s="3060"/>
      <c r="EUW158" s="3060"/>
      <c r="EUX158" s="3060"/>
      <c r="EUY158" s="3060"/>
      <c r="EUZ158" s="3060"/>
      <c r="EVA158" s="3060"/>
      <c r="EVB158" s="3060"/>
      <c r="EVC158" s="3060"/>
      <c r="EVD158" s="3060"/>
      <c r="EVE158" s="3060"/>
      <c r="EVF158" s="3060"/>
      <c r="EVG158" s="3060"/>
      <c r="EVH158" s="3060"/>
      <c r="EVI158" s="3060"/>
      <c r="EVJ158" s="3060"/>
      <c r="EVK158" s="3060"/>
      <c r="EVL158" s="3060"/>
      <c r="EVM158" s="3060"/>
      <c r="EVN158" s="3060"/>
      <c r="EVO158" s="3060"/>
      <c r="EVP158" s="3060"/>
      <c r="EVQ158" s="3060"/>
      <c r="EVR158" s="3060"/>
      <c r="EVS158" s="3060"/>
      <c r="EVT158" s="3060"/>
      <c r="EVU158" s="3060"/>
      <c r="EVV158" s="3060"/>
      <c r="EVW158" s="3060"/>
      <c r="EVX158" s="3060"/>
      <c r="EVY158" s="3060"/>
      <c r="EVZ158" s="3060"/>
      <c r="EWA158" s="3060"/>
      <c r="EWB158" s="3060"/>
      <c r="EWC158" s="3060"/>
      <c r="EWD158" s="3060"/>
      <c r="EWE158" s="3060"/>
      <c r="EWF158" s="3060"/>
      <c r="EWG158" s="3060"/>
      <c r="EWH158" s="3060"/>
      <c r="EWI158" s="3060"/>
      <c r="EWJ158" s="3060"/>
      <c r="EWK158" s="3060"/>
      <c r="EWL158" s="3060"/>
      <c r="EWM158" s="3060"/>
      <c r="EWN158" s="3060"/>
      <c r="EWO158" s="3060"/>
      <c r="EWP158" s="3060"/>
      <c r="EWQ158" s="3060"/>
      <c r="EWR158" s="3060"/>
      <c r="EWS158" s="3060"/>
      <c r="EWT158" s="3060"/>
      <c r="EWU158" s="3060"/>
      <c r="EWV158" s="3060"/>
      <c r="EWW158" s="3060"/>
      <c r="EWX158" s="3060"/>
      <c r="EWY158" s="3060"/>
      <c r="EWZ158" s="3060"/>
      <c r="EXA158" s="3060"/>
      <c r="EXB158" s="3060"/>
      <c r="EXC158" s="3060"/>
      <c r="EXD158" s="3060"/>
      <c r="EXE158" s="3060"/>
      <c r="EXF158" s="3060"/>
      <c r="EXG158" s="3060"/>
      <c r="EXH158" s="3060"/>
      <c r="EXI158" s="3060"/>
      <c r="EXJ158" s="3060"/>
      <c r="EXK158" s="3060"/>
      <c r="EXL158" s="3060"/>
      <c r="EXM158" s="3060"/>
      <c r="EXN158" s="3060"/>
      <c r="EXO158" s="3060"/>
      <c r="EXP158" s="3060"/>
      <c r="EXQ158" s="3060"/>
      <c r="EXR158" s="3060"/>
      <c r="EXS158" s="3060"/>
      <c r="EXT158" s="3060"/>
      <c r="EXU158" s="3060"/>
      <c r="EXV158" s="3060"/>
      <c r="EXW158" s="3060"/>
      <c r="EXX158" s="3060"/>
      <c r="EXY158" s="3060"/>
      <c r="EXZ158" s="3060"/>
      <c r="EYA158" s="3060"/>
      <c r="EYB158" s="3060"/>
      <c r="EYC158" s="3060"/>
      <c r="EYD158" s="3060"/>
      <c r="EYE158" s="3060"/>
      <c r="EYF158" s="3060"/>
      <c r="EYG158" s="3060"/>
      <c r="EYH158" s="3060"/>
      <c r="EYI158" s="3060"/>
      <c r="EYJ158" s="3060"/>
      <c r="EYK158" s="3060"/>
      <c r="EYL158" s="3060"/>
      <c r="EYM158" s="3060"/>
      <c r="EYN158" s="3060"/>
      <c r="EYO158" s="3060"/>
      <c r="EYP158" s="3060"/>
      <c r="EYQ158" s="3060"/>
      <c r="EYR158" s="3060"/>
      <c r="EYS158" s="3060"/>
      <c r="EYT158" s="3060"/>
      <c r="EYU158" s="3060"/>
      <c r="EYV158" s="3060"/>
      <c r="EYW158" s="3060"/>
      <c r="EYX158" s="3060"/>
      <c r="EYY158" s="3060"/>
      <c r="EYZ158" s="3060"/>
      <c r="EZA158" s="3060"/>
      <c r="EZB158" s="3060"/>
      <c r="EZC158" s="3060"/>
      <c r="EZD158" s="3060"/>
      <c r="EZE158" s="3060"/>
      <c r="EZF158" s="3060"/>
      <c r="EZG158" s="3060"/>
      <c r="EZH158" s="3060"/>
      <c r="EZI158" s="3060"/>
      <c r="EZJ158" s="3060"/>
      <c r="EZK158" s="3060"/>
      <c r="EZL158" s="3060"/>
      <c r="EZM158" s="3060"/>
      <c r="EZN158" s="3060"/>
      <c r="EZO158" s="3060"/>
      <c r="EZP158" s="3060"/>
      <c r="EZQ158" s="3060"/>
      <c r="EZR158" s="3060"/>
      <c r="EZS158" s="3060"/>
      <c r="EZT158" s="3060"/>
      <c r="EZU158" s="3060"/>
      <c r="EZV158" s="3060"/>
      <c r="EZW158" s="3060"/>
      <c r="EZX158" s="3060"/>
      <c r="EZY158" s="3060"/>
      <c r="EZZ158" s="3060"/>
      <c r="FAA158" s="3060"/>
      <c r="FAB158" s="3060"/>
      <c r="FAC158" s="3060"/>
      <c r="FAD158" s="3060"/>
      <c r="FAE158" s="3060"/>
      <c r="FAF158" s="3060"/>
      <c r="FAG158" s="3060"/>
      <c r="FAH158" s="3060"/>
      <c r="FAI158" s="3060"/>
      <c r="FAJ158" s="3060"/>
      <c r="FAK158" s="3060"/>
      <c r="FAL158" s="3060"/>
      <c r="FAM158" s="3060"/>
      <c r="FAN158" s="3060"/>
      <c r="FAO158" s="3060"/>
      <c r="FAP158" s="3060"/>
      <c r="FAQ158" s="3060"/>
      <c r="FAR158" s="3060"/>
      <c r="FAS158" s="3060"/>
      <c r="FAT158" s="3060"/>
      <c r="FAU158" s="3060"/>
      <c r="FAV158" s="3060"/>
      <c r="FAW158" s="3060"/>
      <c r="FAX158" s="3060"/>
      <c r="FAY158" s="3060"/>
      <c r="FAZ158" s="3060"/>
      <c r="FBA158" s="3060"/>
      <c r="FBB158" s="3060"/>
      <c r="FBC158" s="3060"/>
      <c r="FBD158" s="3060"/>
      <c r="FBE158" s="3060"/>
      <c r="FBF158" s="3060"/>
      <c r="FBG158" s="3060"/>
      <c r="FBH158" s="3060"/>
      <c r="FBI158" s="3060"/>
      <c r="FBJ158" s="3060"/>
      <c r="FBK158" s="3060"/>
      <c r="FBL158" s="3060"/>
      <c r="FBM158" s="3060"/>
      <c r="FBN158" s="3060"/>
      <c r="FBO158" s="3060"/>
      <c r="FBP158" s="3060"/>
      <c r="FBQ158" s="3060"/>
      <c r="FBR158" s="3060"/>
      <c r="FBS158" s="3060"/>
      <c r="FBT158" s="3060"/>
      <c r="FBU158" s="3060"/>
      <c r="FBV158" s="3060"/>
      <c r="FBW158" s="3060"/>
      <c r="FBX158" s="3060"/>
      <c r="FBY158" s="3060"/>
      <c r="FBZ158" s="3060"/>
      <c r="FCA158" s="3060"/>
      <c r="FCB158" s="3060"/>
      <c r="FCC158" s="3060"/>
      <c r="FCD158" s="3060"/>
      <c r="FCE158" s="3060"/>
      <c r="FCF158" s="3060"/>
      <c r="FCG158" s="3060"/>
      <c r="FCH158" s="3060"/>
      <c r="FCI158" s="3060"/>
      <c r="FCJ158" s="3060"/>
      <c r="FCK158" s="3060"/>
      <c r="FCL158" s="3060"/>
      <c r="FCM158" s="3060"/>
      <c r="FCN158" s="3060"/>
      <c r="FCO158" s="3060"/>
      <c r="FCP158" s="3060"/>
      <c r="FCQ158" s="3060"/>
      <c r="FCR158" s="3060"/>
      <c r="FCS158" s="3060"/>
      <c r="FCT158" s="3060"/>
      <c r="FCU158" s="3060"/>
      <c r="FCV158" s="3060"/>
      <c r="FCW158" s="3060"/>
      <c r="FCX158" s="3060"/>
      <c r="FCY158" s="3060"/>
      <c r="FCZ158" s="3060"/>
      <c r="FDA158" s="3060"/>
      <c r="FDB158" s="3060"/>
      <c r="FDC158" s="3060"/>
      <c r="FDD158" s="3060"/>
      <c r="FDE158" s="3060"/>
      <c r="FDF158" s="3060"/>
      <c r="FDG158" s="3060"/>
      <c r="FDH158" s="3060"/>
      <c r="FDI158" s="3060"/>
      <c r="FDJ158" s="3060"/>
      <c r="FDK158" s="3060"/>
      <c r="FDL158" s="3060"/>
      <c r="FDM158" s="3060"/>
      <c r="FDN158" s="3060"/>
      <c r="FDO158" s="3060"/>
      <c r="FDP158" s="3060"/>
      <c r="FDQ158" s="3060"/>
      <c r="FDR158" s="3060"/>
      <c r="FDS158" s="3060"/>
      <c r="FDT158" s="3060"/>
      <c r="FDU158" s="3060"/>
      <c r="FDV158" s="3060"/>
      <c r="FDW158" s="3060"/>
      <c r="FDX158" s="3060"/>
      <c r="FDY158" s="3060"/>
      <c r="FDZ158" s="3060"/>
      <c r="FEA158" s="3060"/>
      <c r="FEB158" s="3060"/>
      <c r="FEC158" s="3060"/>
      <c r="FED158" s="3060"/>
      <c r="FEE158" s="3060"/>
      <c r="FEF158" s="3060"/>
      <c r="FEG158" s="3060"/>
      <c r="FEH158" s="3060"/>
      <c r="FEI158" s="3060"/>
      <c r="FEJ158" s="3060"/>
      <c r="FEK158" s="3060"/>
      <c r="FEL158" s="3060"/>
      <c r="FEM158" s="3060"/>
      <c r="FEN158" s="3060"/>
      <c r="FEO158" s="3060"/>
      <c r="FEP158" s="3060"/>
      <c r="FEQ158" s="3060"/>
      <c r="FER158" s="3060"/>
      <c r="FES158" s="3060"/>
      <c r="FET158" s="3060"/>
      <c r="FEU158" s="3060"/>
      <c r="FEV158" s="3060"/>
      <c r="FEW158" s="3060"/>
      <c r="FEX158" s="3060"/>
      <c r="FEY158" s="3060"/>
      <c r="FEZ158" s="3060"/>
      <c r="FFA158" s="3060"/>
      <c r="FFB158" s="3060"/>
      <c r="FFC158" s="3060"/>
      <c r="FFD158" s="3060"/>
      <c r="FFE158" s="3060"/>
      <c r="FFF158" s="3060"/>
      <c r="FFG158" s="3060"/>
      <c r="FFH158" s="3060"/>
      <c r="FFI158" s="3060"/>
      <c r="FFJ158" s="3060"/>
      <c r="FFK158" s="3060"/>
      <c r="FFL158" s="3060"/>
      <c r="FFM158" s="3060"/>
      <c r="FFN158" s="3060"/>
      <c r="FFO158" s="3060"/>
      <c r="FFP158" s="3060"/>
      <c r="FFQ158" s="3060"/>
      <c r="FFR158" s="3060"/>
      <c r="FFS158" s="3060"/>
      <c r="FFT158" s="3060"/>
      <c r="FFU158" s="3060"/>
      <c r="FFV158" s="3060"/>
      <c r="FFW158" s="3060"/>
      <c r="FFX158" s="3060"/>
      <c r="FFY158" s="3060"/>
      <c r="FFZ158" s="3060"/>
      <c r="FGA158" s="3060"/>
      <c r="FGB158" s="3060"/>
      <c r="FGC158" s="3060"/>
      <c r="FGD158" s="3060"/>
      <c r="FGE158" s="3060"/>
      <c r="FGF158" s="3060"/>
      <c r="FGG158" s="3060"/>
      <c r="FGH158" s="3060"/>
      <c r="FGI158" s="3060"/>
      <c r="FGJ158" s="3060"/>
      <c r="FGK158" s="3060"/>
      <c r="FGL158" s="3060"/>
      <c r="FGM158" s="3060"/>
      <c r="FGN158" s="3060"/>
      <c r="FGO158" s="3060"/>
      <c r="FGP158" s="3060"/>
      <c r="FGQ158" s="3060"/>
      <c r="FGR158" s="3060"/>
      <c r="FGS158" s="3060"/>
      <c r="FGT158" s="3060"/>
      <c r="FGU158" s="3060"/>
      <c r="FGV158" s="3060"/>
      <c r="FGW158" s="3060"/>
      <c r="FGX158" s="3060"/>
      <c r="FGY158" s="3060"/>
      <c r="FGZ158" s="3060"/>
      <c r="FHA158" s="3060"/>
      <c r="FHB158" s="3060"/>
      <c r="FHC158" s="3060"/>
      <c r="FHD158" s="3060"/>
      <c r="FHE158" s="3060"/>
      <c r="FHF158" s="3060"/>
      <c r="FHG158" s="3060"/>
      <c r="FHH158" s="3060"/>
      <c r="FHI158" s="3060"/>
      <c r="FHJ158" s="3060"/>
      <c r="FHK158" s="3060"/>
      <c r="FHL158" s="3060"/>
      <c r="FHM158" s="3060"/>
      <c r="FHN158" s="3060"/>
      <c r="FHO158" s="3060"/>
      <c r="FHP158" s="3060"/>
      <c r="FHQ158" s="3060"/>
      <c r="FHR158" s="3060"/>
      <c r="FHS158" s="3060"/>
      <c r="FHT158" s="3060"/>
      <c r="FHU158" s="3060"/>
      <c r="FHV158" s="3060"/>
      <c r="FHW158" s="3060"/>
      <c r="FHX158" s="3060"/>
      <c r="FHY158" s="3060"/>
      <c r="FHZ158" s="3060"/>
      <c r="FIA158" s="3060"/>
      <c r="FIB158" s="3060"/>
      <c r="FIC158" s="3060"/>
      <c r="FID158" s="3060"/>
      <c r="FIE158" s="3060"/>
      <c r="FIF158" s="3060"/>
      <c r="FIG158" s="3060"/>
      <c r="FIH158" s="3060"/>
      <c r="FII158" s="3060"/>
      <c r="FIJ158" s="3060"/>
      <c r="FIK158" s="3060"/>
      <c r="FIL158" s="3060"/>
      <c r="FIM158" s="3060"/>
      <c r="FIN158" s="3060"/>
      <c r="FIO158" s="3060"/>
      <c r="FIP158" s="3060"/>
      <c r="FIQ158" s="3060"/>
      <c r="FIR158" s="3060"/>
      <c r="FIS158" s="3060"/>
      <c r="FIT158" s="3060"/>
      <c r="FIU158" s="3060"/>
      <c r="FIV158" s="3060"/>
      <c r="FIW158" s="3060"/>
      <c r="FIX158" s="3060"/>
      <c r="FIY158" s="3060"/>
      <c r="FIZ158" s="3060"/>
      <c r="FJA158" s="3060"/>
      <c r="FJB158" s="3060"/>
      <c r="FJC158" s="3060"/>
      <c r="FJD158" s="3060"/>
      <c r="FJE158" s="3060"/>
      <c r="FJF158" s="3060"/>
      <c r="FJG158" s="3060"/>
      <c r="FJH158" s="3060"/>
      <c r="FJI158" s="3060"/>
      <c r="FJJ158" s="3060"/>
      <c r="FJK158" s="3060"/>
      <c r="FJL158" s="3060"/>
      <c r="FJM158" s="3060"/>
      <c r="FJN158" s="3060"/>
      <c r="FJO158" s="3060"/>
      <c r="FJP158" s="3060"/>
      <c r="FJQ158" s="3060"/>
      <c r="FJR158" s="3060"/>
      <c r="FJS158" s="3060"/>
      <c r="FJT158" s="3060"/>
      <c r="FJU158" s="3060"/>
      <c r="FJV158" s="3060"/>
      <c r="FJW158" s="3060"/>
      <c r="FJX158" s="3060"/>
      <c r="FJY158" s="3060"/>
      <c r="FJZ158" s="3060"/>
      <c r="FKA158" s="3060"/>
      <c r="FKB158" s="3060"/>
      <c r="FKC158" s="3060"/>
      <c r="FKD158" s="3060"/>
      <c r="FKE158" s="3060"/>
      <c r="FKF158" s="3060"/>
      <c r="FKG158" s="3060"/>
      <c r="FKH158" s="3060"/>
      <c r="FKI158" s="3060"/>
      <c r="FKJ158" s="3060"/>
      <c r="FKK158" s="3060"/>
      <c r="FKL158" s="3060"/>
      <c r="FKM158" s="3060"/>
      <c r="FKN158" s="3060"/>
      <c r="FKO158" s="3060"/>
      <c r="FKP158" s="3060"/>
      <c r="FKQ158" s="3060"/>
      <c r="FKR158" s="3060"/>
      <c r="FKS158" s="3060"/>
      <c r="FKT158" s="3060"/>
      <c r="FKU158" s="3060"/>
      <c r="FKV158" s="3060"/>
      <c r="FKW158" s="3060"/>
      <c r="FKX158" s="3060"/>
      <c r="FKY158" s="3060"/>
      <c r="FKZ158" s="3060"/>
      <c r="FLA158" s="3060"/>
      <c r="FLB158" s="3060"/>
      <c r="FLC158" s="3060"/>
      <c r="FLD158" s="3060"/>
      <c r="FLE158" s="3060"/>
      <c r="FLF158" s="3060"/>
      <c r="FLG158" s="3060"/>
      <c r="FLH158" s="3060"/>
      <c r="FLI158" s="3060"/>
      <c r="FLJ158" s="3060"/>
      <c r="FLK158" s="3060"/>
      <c r="FLL158" s="3060"/>
      <c r="FLM158" s="3060"/>
      <c r="FLN158" s="3060"/>
      <c r="FLO158" s="3060"/>
      <c r="FLP158" s="3060"/>
      <c r="FLQ158" s="3060"/>
      <c r="FLR158" s="3060"/>
      <c r="FLS158" s="3060"/>
      <c r="FLT158" s="3060"/>
      <c r="FLU158" s="3060"/>
      <c r="FLV158" s="3060"/>
      <c r="FLW158" s="3060"/>
      <c r="FLX158" s="3060"/>
      <c r="FLY158" s="3060"/>
      <c r="FLZ158" s="3060"/>
      <c r="FMA158" s="3060"/>
      <c r="FMB158" s="3060"/>
      <c r="FMC158" s="3060"/>
      <c r="FMD158" s="3060"/>
      <c r="FME158" s="3060"/>
      <c r="FMF158" s="3060"/>
      <c r="FMG158" s="3060"/>
      <c r="FMH158" s="3060"/>
      <c r="FMI158" s="3060"/>
      <c r="FMJ158" s="3060"/>
      <c r="FMK158" s="3060"/>
      <c r="FML158" s="3060"/>
      <c r="FMM158" s="3060"/>
      <c r="FMN158" s="3060"/>
      <c r="FMO158" s="3060"/>
      <c r="FMP158" s="3060"/>
      <c r="FMQ158" s="3060"/>
      <c r="FMR158" s="3060"/>
      <c r="FMS158" s="3060"/>
      <c r="FMT158" s="3060"/>
      <c r="FMU158" s="3060"/>
      <c r="FMV158" s="3060"/>
      <c r="FMW158" s="3060"/>
      <c r="FMX158" s="3060"/>
      <c r="FMY158" s="3060"/>
      <c r="FMZ158" s="3060"/>
      <c r="FNA158" s="3060"/>
      <c r="FNB158" s="3060"/>
      <c r="FNC158" s="3060"/>
      <c r="FND158" s="3060"/>
      <c r="FNE158" s="3060"/>
      <c r="FNF158" s="3060"/>
      <c r="FNG158" s="3060"/>
      <c r="FNH158" s="3060"/>
      <c r="FNI158" s="3060"/>
      <c r="FNJ158" s="3060"/>
      <c r="FNK158" s="3060"/>
      <c r="FNL158" s="3060"/>
      <c r="FNM158" s="3060"/>
      <c r="FNN158" s="3060"/>
      <c r="FNO158" s="3060"/>
      <c r="FNP158" s="3060"/>
      <c r="FNQ158" s="3060"/>
      <c r="FNR158" s="3060"/>
      <c r="FNS158" s="3060"/>
      <c r="FNT158" s="3060"/>
      <c r="FNU158" s="3060"/>
      <c r="FNV158" s="3060"/>
      <c r="FNW158" s="3060"/>
      <c r="FNX158" s="3060"/>
      <c r="FNY158" s="3060"/>
      <c r="FNZ158" s="3060"/>
      <c r="FOA158" s="3060"/>
      <c r="FOB158" s="3060"/>
      <c r="FOC158" s="3060"/>
      <c r="FOD158" s="3060"/>
      <c r="FOE158" s="3060"/>
      <c r="FOF158" s="3060"/>
      <c r="FOG158" s="3060"/>
      <c r="FOH158" s="3060"/>
      <c r="FOI158" s="3060"/>
      <c r="FOJ158" s="3060"/>
      <c r="FOK158" s="3060"/>
      <c r="FOL158" s="3060"/>
      <c r="FOM158" s="3060"/>
      <c r="FON158" s="3060"/>
      <c r="FOO158" s="3060"/>
      <c r="FOP158" s="3060"/>
      <c r="FOQ158" s="3060"/>
      <c r="FOR158" s="3060"/>
      <c r="FOS158" s="3060"/>
      <c r="FOT158" s="3060"/>
      <c r="FOU158" s="3060"/>
      <c r="FOV158" s="3060"/>
      <c r="FOW158" s="3060"/>
      <c r="FOX158" s="3060"/>
      <c r="FOY158" s="3060"/>
      <c r="FOZ158" s="3060"/>
      <c r="FPA158" s="3060"/>
      <c r="FPB158" s="3060"/>
      <c r="FPC158" s="3060"/>
      <c r="FPD158" s="3060"/>
      <c r="FPE158" s="3060"/>
      <c r="FPF158" s="3060"/>
      <c r="FPG158" s="3060"/>
      <c r="FPH158" s="3060"/>
      <c r="FPI158" s="3060"/>
      <c r="FPJ158" s="3060"/>
      <c r="FPK158" s="3060"/>
      <c r="FPL158" s="3060"/>
      <c r="FPM158" s="3060"/>
      <c r="FPN158" s="3060"/>
      <c r="FPO158" s="3060"/>
      <c r="FPP158" s="3060"/>
      <c r="FPQ158" s="3060"/>
      <c r="FPR158" s="3060"/>
      <c r="FPS158" s="3060"/>
      <c r="FPT158" s="3060"/>
      <c r="FPU158" s="3060"/>
      <c r="FPV158" s="3060"/>
      <c r="FPW158" s="3060"/>
      <c r="FPX158" s="3060"/>
      <c r="FPY158" s="3060"/>
      <c r="FPZ158" s="3060"/>
      <c r="FQA158" s="3060"/>
      <c r="FQB158" s="3060"/>
      <c r="FQC158" s="3060"/>
      <c r="FQD158" s="3060"/>
      <c r="FQE158" s="3060"/>
      <c r="FQF158" s="3060"/>
      <c r="FQG158" s="3060"/>
      <c r="FQH158" s="3060"/>
      <c r="FQI158" s="3060"/>
      <c r="FQJ158" s="3060"/>
      <c r="FQK158" s="3060"/>
      <c r="FQL158" s="3060"/>
      <c r="FQM158" s="3060"/>
      <c r="FQN158" s="3060"/>
      <c r="FQO158" s="3060"/>
      <c r="FQP158" s="3060"/>
      <c r="FQQ158" s="3060"/>
      <c r="FQR158" s="3060"/>
      <c r="FQS158" s="3060"/>
      <c r="FQT158" s="3060"/>
      <c r="FQU158" s="3060"/>
      <c r="FQV158" s="3060"/>
      <c r="FQW158" s="3060"/>
      <c r="FQX158" s="3060"/>
      <c r="FQY158" s="3060"/>
      <c r="FQZ158" s="3060"/>
      <c r="FRA158" s="3060"/>
      <c r="FRB158" s="3060"/>
      <c r="FRC158" s="3060"/>
      <c r="FRD158" s="3060"/>
      <c r="FRE158" s="3060"/>
      <c r="FRF158" s="3060"/>
      <c r="FRG158" s="3060"/>
      <c r="FRH158" s="3060"/>
      <c r="FRI158" s="3060"/>
      <c r="FRJ158" s="3060"/>
      <c r="FRK158" s="3060"/>
      <c r="FRL158" s="3060"/>
      <c r="FRM158" s="3060"/>
      <c r="FRN158" s="3060"/>
      <c r="FRO158" s="3060"/>
      <c r="FRP158" s="3060"/>
      <c r="FRQ158" s="3060"/>
      <c r="FRR158" s="3060"/>
      <c r="FRS158" s="3060"/>
      <c r="FRT158" s="3060"/>
      <c r="FRU158" s="3060"/>
      <c r="FRV158" s="3060"/>
      <c r="FRW158" s="3060"/>
      <c r="FRX158" s="3060"/>
      <c r="FRY158" s="3060"/>
      <c r="FRZ158" s="3060"/>
      <c r="FSA158" s="3060"/>
      <c r="FSB158" s="3060"/>
      <c r="FSC158" s="3060"/>
      <c r="FSD158" s="3060"/>
      <c r="FSE158" s="3060"/>
      <c r="FSF158" s="3060"/>
      <c r="FSG158" s="3060"/>
      <c r="FSH158" s="3060"/>
      <c r="FSI158" s="3060"/>
      <c r="FSJ158" s="3060"/>
      <c r="FSK158" s="3060"/>
      <c r="FSL158" s="3060"/>
      <c r="FSM158" s="3060"/>
      <c r="FSN158" s="3060"/>
      <c r="FSO158" s="3060"/>
      <c r="FSP158" s="3060"/>
      <c r="FSQ158" s="3060"/>
      <c r="FSR158" s="3060"/>
      <c r="FSS158" s="3060"/>
      <c r="FST158" s="3060"/>
      <c r="FSU158" s="3060"/>
      <c r="FSV158" s="3060"/>
      <c r="FSW158" s="3060"/>
      <c r="FSX158" s="3060"/>
      <c r="FSY158" s="3060"/>
      <c r="FSZ158" s="3060"/>
      <c r="FTA158" s="3060"/>
      <c r="FTB158" s="3060"/>
      <c r="FTC158" s="3060"/>
      <c r="FTD158" s="3060"/>
      <c r="FTE158" s="3060"/>
      <c r="FTF158" s="3060"/>
      <c r="FTG158" s="3060"/>
      <c r="FTH158" s="3060"/>
      <c r="FTI158" s="3060"/>
      <c r="FTJ158" s="3060"/>
      <c r="FTK158" s="3060"/>
      <c r="FTL158" s="3060"/>
      <c r="FTM158" s="3060"/>
      <c r="FTN158" s="3060"/>
      <c r="FTO158" s="3060"/>
      <c r="FTP158" s="3060"/>
      <c r="FTQ158" s="3060"/>
      <c r="FTR158" s="3060"/>
      <c r="FTS158" s="3060"/>
      <c r="FTT158" s="3060"/>
      <c r="FTU158" s="3060"/>
      <c r="FTV158" s="3060"/>
      <c r="FTW158" s="3060"/>
      <c r="FTX158" s="3060"/>
      <c r="FTY158" s="3060"/>
      <c r="FTZ158" s="3060"/>
      <c r="FUA158" s="3060"/>
      <c r="FUB158" s="3060"/>
      <c r="FUC158" s="3060"/>
      <c r="FUD158" s="3060"/>
      <c r="FUE158" s="3060"/>
      <c r="FUF158" s="3060"/>
      <c r="FUG158" s="3060"/>
      <c r="FUH158" s="3060"/>
      <c r="FUI158" s="3060"/>
      <c r="FUJ158" s="3060"/>
      <c r="FUK158" s="3060"/>
      <c r="FUL158" s="3060"/>
      <c r="FUM158" s="3060"/>
      <c r="FUN158" s="3060"/>
      <c r="FUO158" s="3060"/>
      <c r="FUP158" s="3060"/>
      <c r="FUQ158" s="3060"/>
      <c r="FUR158" s="3060"/>
      <c r="FUS158" s="3060"/>
      <c r="FUT158" s="3060"/>
      <c r="FUU158" s="3060"/>
      <c r="FUV158" s="3060"/>
      <c r="FUW158" s="3060"/>
      <c r="FUX158" s="3060"/>
      <c r="FUY158" s="3060"/>
      <c r="FUZ158" s="3060"/>
      <c r="FVA158" s="3060"/>
      <c r="FVB158" s="3060"/>
      <c r="FVC158" s="3060"/>
      <c r="FVD158" s="3060"/>
      <c r="FVE158" s="3060"/>
      <c r="FVF158" s="3060"/>
      <c r="FVG158" s="3060"/>
      <c r="FVH158" s="3060"/>
      <c r="FVI158" s="3060"/>
      <c r="FVJ158" s="3060"/>
      <c r="FVK158" s="3060"/>
      <c r="FVL158" s="3060"/>
      <c r="FVM158" s="3060"/>
      <c r="FVN158" s="3060"/>
      <c r="FVO158" s="3060"/>
      <c r="FVP158" s="3060"/>
      <c r="FVQ158" s="3060"/>
      <c r="FVR158" s="3060"/>
      <c r="FVS158" s="3060"/>
      <c r="FVT158" s="3060"/>
      <c r="FVU158" s="3060"/>
      <c r="FVV158" s="3060"/>
      <c r="FVW158" s="3060"/>
      <c r="FVX158" s="3060"/>
      <c r="FVY158" s="3060"/>
      <c r="FVZ158" s="3060"/>
      <c r="FWA158" s="3060"/>
      <c r="FWB158" s="3060"/>
      <c r="FWC158" s="3060"/>
      <c r="FWD158" s="3060"/>
      <c r="FWE158" s="3060"/>
      <c r="FWF158" s="3060"/>
      <c r="FWG158" s="3060"/>
      <c r="FWH158" s="3060"/>
      <c r="FWI158" s="3060"/>
      <c r="FWJ158" s="3060"/>
      <c r="FWK158" s="3060"/>
      <c r="FWL158" s="3060"/>
      <c r="FWM158" s="3060"/>
      <c r="FWN158" s="3060"/>
      <c r="FWO158" s="3060"/>
      <c r="FWP158" s="3060"/>
      <c r="FWQ158" s="3060"/>
      <c r="FWR158" s="3060"/>
      <c r="FWS158" s="3060"/>
      <c r="FWT158" s="3060"/>
      <c r="FWU158" s="3060"/>
      <c r="FWV158" s="3060"/>
      <c r="FWW158" s="3060"/>
      <c r="FWX158" s="3060"/>
      <c r="FWY158" s="3060"/>
      <c r="FWZ158" s="3060"/>
      <c r="FXA158" s="3060"/>
      <c r="FXB158" s="3060"/>
      <c r="FXC158" s="3060"/>
      <c r="FXD158" s="3060"/>
      <c r="FXE158" s="3060"/>
      <c r="FXF158" s="3060"/>
      <c r="FXG158" s="3060"/>
      <c r="FXH158" s="3060"/>
      <c r="FXI158" s="3060"/>
      <c r="FXJ158" s="3060"/>
      <c r="FXK158" s="3060"/>
      <c r="FXL158" s="3060"/>
      <c r="FXM158" s="3060"/>
      <c r="FXN158" s="3060"/>
      <c r="FXO158" s="3060"/>
      <c r="FXP158" s="3060"/>
      <c r="FXQ158" s="3060"/>
      <c r="FXR158" s="3060"/>
      <c r="FXS158" s="3060"/>
      <c r="FXT158" s="3060"/>
      <c r="FXU158" s="3060"/>
      <c r="FXV158" s="3060"/>
      <c r="FXW158" s="3060"/>
      <c r="FXX158" s="3060"/>
      <c r="FXY158" s="3060"/>
      <c r="FXZ158" s="3060"/>
      <c r="FYA158" s="3060"/>
      <c r="FYB158" s="3060"/>
      <c r="FYC158" s="3060"/>
      <c r="FYD158" s="3060"/>
      <c r="FYE158" s="3060"/>
      <c r="FYF158" s="3060"/>
      <c r="FYG158" s="3060"/>
      <c r="FYH158" s="3060"/>
      <c r="FYI158" s="3060"/>
      <c r="FYJ158" s="3060"/>
      <c r="FYK158" s="3060"/>
      <c r="FYL158" s="3060"/>
      <c r="FYM158" s="3060"/>
      <c r="FYN158" s="3060"/>
      <c r="FYO158" s="3060"/>
      <c r="FYP158" s="3060"/>
      <c r="FYQ158" s="3060"/>
      <c r="FYR158" s="3060"/>
      <c r="FYS158" s="3060"/>
      <c r="FYT158" s="3060"/>
      <c r="FYU158" s="3060"/>
      <c r="FYV158" s="3060"/>
      <c r="FYW158" s="3060"/>
      <c r="FYX158" s="3060"/>
      <c r="FYY158" s="3060"/>
      <c r="FYZ158" s="3060"/>
      <c r="FZA158" s="3060"/>
      <c r="FZB158" s="3060"/>
      <c r="FZC158" s="3060"/>
      <c r="FZD158" s="3060"/>
      <c r="FZE158" s="3060"/>
      <c r="FZF158" s="3060"/>
      <c r="FZG158" s="3060"/>
      <c r="FZH158" s="3060"/>
      <c r="FZI158" s="3060"/>
      <c r="FZJ158" s="3060"/>
      <c r="FZK158" s="3060"/>
      <c r="FZL158" s="3060"/>
      <c r="FZM158" s="3060"/>
      <c r="FZN158" s="3060"/>
      <c r="FZO158" s="3060"/>
      <c r="FZP158" s="3060"/>
      <c r="FZQ158" s="3060"/>
      <c r="FZR158" s="3060"/>
      <c r="FZS158" s="3060"/>
      <c r="FZT158" s="3060"/>
      <c r="FZU158" s="3060"/>
      <c r="FZV158" s="3060"/>
      <c r="FZW158" s="3060"/>
      <c r="FZX158" s="3060"/>
      <c r="FZY158" s="3060"/>
      <c r="FZZ158" s="3060"/>
      <c r="GAA158" s="3060"/>
      <c r="GAB158" s="3060"/>
      <c r="GAC158" s="3060"/>
      <c r="GAD158" s="3060"/>
      <c r="GAE158" s="3060"/>
      <c r="GAF158" s="3060"/>
      <c r="GAG158" s="3060"/>
      <c r="GAH158" s="3060"/>
      <c r="GAI158" s="3060"/>
      <c r="GAJ158" s="3060"/>
      <c r="GAK158" s="3060"/>
      <c r="GAL158" s="3060"/>
      <c r="GAM158" s="3060"/>
      <c r="GAN158" s="3060"/>
      <c r="GAO158" s="3060"/>
      <c r="GAP158" s="3060"/>
      <c r="GAQ158" s="3060"/>
      <c r="GAR158" s="3060"/>
      <c r="GAS158" s="3060"/>
      <c r="GAT158" s="3060"/>
      <c r="GAU158" s="3060"/>
      <c r="GAV158" s="3060"/>
      <c r="GAW158" s="3060"/>
      <c r="GAX158" s="3060"/>
      <c r="GAY158" s="3060"/>
      <c r="GAZ158" s="3060"/>
      <c r="GBA158" s="3060"/>
      <c r="GBB158" s="3060"/>
      <c r="GBC158" s="3060"/>
      <c r="GBD158" s="3060"/>
      <c r="GBE158" s="3060"/>
      <c r="GBF158" s="3060"/>
      <c r="GBG158" s="3060"/>
      <c r="GBH158" s="3060"/>
      <c r="GBI158" s="3060"/>
      <c r="GBJ158" s="3060"/>
      <c r="GBK158" s="3060"/>
      <c r="GBL158" s="3060"/>
      <c r="GBM158" s="3060"/>
      <c r="GBN158" s="3060"/>
      <c r="GBO158" s="3060"/>
      <c r="GBP158" s="3060"/>
      <c r="GBQ158" s="3060"/>
      <c r="GBR158" s="3060"/>
      <c r="GBS158" s="3060"/>
      <c r="GBT158" s="3060"/>
      <c r="GBU158" s="3060"/>
      <c r="GBV158" s="3060"/>
      <c r="GBW158" s="3060"/>
      <c r="GBX158" s="3060"/>
      <c r="GBY158" s="3060"/>
      <c r="GBZ158" s="3060"/>
      <c r="GCA158" s="3060"/>
      <c r="GCB158" s="3060"/>
      <c r="GCC158" s="3060"/>
      <c r="GCD158" s="3060"/>
      <c r="GCE158" s="3060"/>
      <c r="GCF158" s="3060"/>
      <c r="GCG158" s="3060"/>
      <c r="GCH158" s="3060"/>
      <c r="GCI158" s="3060"/>
      <c r="GCJ158" s="3060"/>
      <c r="GCK158" s="3060"/>
      <c r="GCL158" s="3060"/>
      <c r="GCM158" s="3060"/>
      <c r="GCN158" s="3060"/>
      <c r="GCO158" s="3060"/>
      <c r="GCP158" s="3060"/>
      <c r="GCQ158" s="3060"/>
      <c r="GCR158" s="3060"/>
      <c r="GCS158" s="3060"/>
      <c r="GCT158" s="3060"/>
      <c r="GCU158" s="3060"/>
      <c r="GCV158" s="3060"/>
      <c r="GCW158" s="3060"/>
      <c r="GCX158" s="3060"/>
      <c r="GCY158" s="3060"/>
      <c r="GCZ158" s="3060"/>
      <c r="GDA158" s="3060"/>
      <c r="GDB158" s="3060"/>
      <c r="GDC158" s="3060"/>
      <c r="GDD158" s="3060"/>
      <c r="GDE158" s="3060"/>
      <c r="GDF158" s="3060"/>
      <c r="GDG158" s="3060"/>
      <c r="GDH158" s="3060"/>
      <c r="GDI158" s="3060"/>
      <c r="GDJ158" s="3060"/>
      <c r="GDK158" s="3060"/>
      <c r="GDL158" s="3060"/>
      <c r="GDM158" s="3060"/>
      <c r="GDN158" s="3060"/>
      <c r="GDO158" s="3060"/>
      <c r="GDP158" s="3060"/>
      <c r="GDQ158" s="3060"/>
      <c r="GDR158" s="3060"/>
      <c r="GDS158" s="3060"/>
      <c r="GDT158" s="3060"/>
      <c r="GDU158" s="3060"/>
      <c r="GDV158" s="3060"/>
      <c r="GDW158" s="3060"/>
      <c r="GDX158" s="3060"/>
      <c r="GDY158" s="3060"/>
      <c r="GDZ158" s="3060"/>
      <c r="GEA158" s="3060"/>
      <c r="GEB158" s="3060"/>
      <c r="GEC158" s="3060"/>
      <c r="GED158" s="3060"/>
      <c r="GEE158" s="3060"/>
      <c r="GEF158" s="3060"/>
      <c r="GEG158" s="3060"/>
      <c r="GEH158" s="3060"/>
      <c r="GEI158" s="3060"/>
      <c r="GEJ158" s="3060"/>
      <c r="GEK158" s="3060"/>
      <c r="GEL158" s="3060"/>
      <c r="GEM158" s="3060"/>
      <c r="GEN158" s="3060"/>
      <c r="GEO158" s="3060"/>
      <c r="GEP158" s="3060"/>
      <c r="GEQ158" s="3060"/>
      <c r="GER158" s="3060"/>
      <c r="GES158" s="3060"/>
      <c r="GET158" s="3060"/>
      <c r="GEU158" s="3060"/>
      <c r="GEV158" s="3060"/>
      <c r="GEW158" s="3060"/>
      <c r="GEX158" s="3060"/>
      <c r="GEY158" s="3060"/>
      <c r="GEZ158" s="3060"/>
      <c r="GFA158" s="3060"/>
      <c r="GFB158" s="3060"/>
      <c r="GFC158" s="3060"/>
      <c r="GFD158" s="3060"/>
      <c r="GFE158" s="3060"/>
      <c r="GFF158" s="3060"/>
      <c r="GFG158" s="3060"/>
      <c r="GFH158" s="3060"/>
      <c r="GFI158" s="3060"/>
      <c r="GFJ158" s="3060"/>
      <c r="GFK158" s="3060"/>
      <c r="GFL158" s="3060"/>
      <c r="GFM158" s="3060"/>
      <c r="GFN158" s="3060"/>
      <c r="GFO158" s="3060"/>
      <c r="GFP158" s="3060"/>
      <c r="GFQ158" s="3060"/>
      <c r="GFR158" s="3060"/>
      <c r="GFS158" s="3060"/>
      <c r="GFT158" s="3060"/>
      <c r="GFU158" s="3060"/>
      <c r="GFV158" s="3060"/>
      <c r="GFW158" s="3060"/>
      <c r="GFX158" s="3060"/>
      <c r="GFY158" s="3060"/>
      <c r="GFZ158" s="3060"/>
      <c r="GGA158" s="3060"/>
      <c r="GGB158" s="3060"/>
      <c r="GGC158" s="3060"/>
      <c r="GGD158" s="3060"/>
      <c r="GGE158" s="3060"/>
      <c r="GGF158" s="3060"/>
      <c r="GGG158" s="3060"/>
      <c r="GGH158" s="3060"/>
      <c r="GGI158" s="3060"/>
      <c r="GGJ158" s="3060"/>
      <c r="GGK158" s="3060"/>
      <c r="GGL158" s="3060"/>
      <c r="GGM158" s="3060"/>
      <c r="GGN158" s="3060"/>
      <c r="GGO158" s="3060"/>
      <c r="GGP158" s="3060"/>
      <c r="GGQ158" s="3060"/>
      <c r="GGR158" s="3060"/>
      <c r="GGS158" s="3060"/>
      <c r="GGT158" s="3060"/>
      <c r="GGU158" s="3060"/>
      <c r="GGV158" s="3060"/>
      <c r="GGW158" s="3060"/>
      <c r="GGX158" s="3060"/>
      <c r="GGY158" s="3060"/>
      <c r="GGZ158" s="3060"/>
      <c r="GHA158" s="3060"/>
      <c r="GHB158" s="3060"/>
      <c r="GHC158" s="3060"/>
      <c r="GHD158" s="3060"/>
      <c r="GHE158" s="3060"/>
      <c r="GHF158" s="3060"/>
      <c r="GHG158" s="3060"/>
      <c r="GHH158" s="3060"/>
      <c r="GHI158" s="3060"/>
      <c r="GHJ158" s="3060"/>
      <c r="GHK158" s="3060"/>
      <c r="GHL158" s="3060"/>
      <c r="GHM158" s="3060"/>
      <c r="GHN158" s="3060"/>
      <c r="GHO158" s="3060"/>
      <c r="GHP158" s="3060"/>
      <c r="GHQ158" s="3060"/>
      <c r="GHR158" s="3060"/>
      <c r="GHS158" s="3060"/>
      <c r="GHT158" s="3060"/>
      <c r="GHU158" s="3060"/>
      <c r="GHV158" s="3060"/>
      <c r="GHW158" s="3060"/>
      <c r="GHX158" s="3060"/>
      <c r="GHY158" s="3060"/>
      <c r="GHZ158" s="3060"/>
      <c r="GIA158" s="3060"/>
      <c r="GIB158" s="3060"/>
      <c r="GIC158" s="3060"/>
      <c r="GID158" s="3060"/>
      <c r="GIE158" s="3060"/>
      <c r="GIF158" s="3060"/>
      <c r="GIG158" s="3060"/>
      <c r="GIH158" s="3060"/>
      <c r="GII158" s="3060"/>
      <c r="GIJ158" s="3060"/>
      <c r="GIK158" s="3060"/>
      <c r="GIL158" s="3060"/>
      <c r="GIM158" s="3060"/>
      <c r="GIN158" s="3060"/>
      <c r="GIO158" s="3060"/>
      <c r="GIP158" s="3060"/>
      <c r="GIQ158" s="3060"/>
      <c r="GIR158" s="3060"/>
      <c r="GIS158" s="3060"/>
      <c r="GIT158" s="3060"/>
      <c r="GIU158" s="3060"/>
      <c r="GIV158" s="3060"/>
      <c r="GIW158" s="3060"/>
      <c r="GIX158" s="3060"/>
      <c r="GIY158" s="3060"/>
      <c r="GIZ158" s="3060"/>
      <c r="GJA158" s="3060"/>
      <c r="GJB158" s="3060"/>
      <c r="GJC158" s="3060"/>
      <c r="GJD158" s="3060"/>
      <c r="GJE158" s="3060"/>
      <c r="GJF158" s="3060"/>
      <c r="GJG158" s="3060"/>
      <c r="GJH158" s="3060"/>
      <c r="GJI158" s="3060"/>
      <c r="GJJ158" s="3060"/>
      <c r="GJK158" s="3060"/>
      <c r="GJL158" s="3060"/>
      <c r="GJM158" s="3060"/>
      <c r="GJN158" s="3060"/>
      <c r="GJO158" s="3060"/>
      <c r="GJP158" s="3060"/>
      <c r="GJQ158" s="3060"/>
      <c r="GJR158" s="3060"/>
      <c r="GJS158" s="3060"/>
      <c r="GJT158" s="3060"/>
      <c r="GJU158" s="3060"/>
      <c r="GJV158" s="3060"/>
      <c r="GJW158" s="3060"/>
      <c r="GJX158" s="3060"/>
      <c r="GJY158" s="3060"/>
      <c r="GJZ158" s="3060"/>
      <c r="GKA158" s="3060"/>
      <c r="GKB158" s="3060"/>
      <c r="GKC158" s="3060"/>
      <c r="GKD158" s="3060"/>
      <c r="GKE158" s="3060"/>
      <c r="GKF158" s="3060"/>
      <c r="GKG158" s="3060"/>
      <c r="GKH158" s="3060"/>
      <c r="GKI158" s="3060"/>
      <c r="GKJ158" s="3060"/>
      <c r="GKK158" s="3060"/>
      <c r="GKL158" s="3060"/>
      <c r="GKM158" s="3060"/>
      <c r="GKN158" s="3060"/>
      <c r="GKO158" s="3060"/>
      <c r="GKP158" s="3060"/>
      <c r="GKQ158" s="3060"/>
      <c r="GKR158" s="3060"/>
      <c r="GKS158" s="3060"/>
      <c r="GKT158" s="3060"/>
      <c r="GKU158" s="3060"/>
      <c r="GKV158" s="3060"/>
      <c r="GKW158" s="3060"/>
      <c r="GKX158" s="3060"/>
      <c r="GKY158" s="3060"/>
      <c r="GKZ158" s="3060"/>
      <c r="GLA158" s="3060"/>
      <c r="GLB158" s="3060"/>
      <c r="GLC158" s="3060"/>
      <c r="GLD158" s="3060"/>
      <c r="GLE158" s="3060"/>
      <c r="GLF158" s="3060"/>
      <c r="GLG158" s="3060"/>
      <c r="GLH158" s="3060"/>
      <c r="GLI158" s="3060"/>
      <c r="GLJ158" s="3060"/>
      <c r="GLK158" s="3060"/>
      <c r="GLL158" s="3060"/>
      <c r="GLM158" s="3060"/>
      <c r="GLN158" s="3060"/>
      <c r="GLO158" s="3060"/>
      <c r="GLP158" s="3060"/>
      <c r="GLQ158" s="3060"/>
      <c r="GLR158" s="3060"/>
      <c r="GLS158" s="3060"/>
      <c r="GLT158" s="3060"/>
      <c r="GLU158" s="3060"/>
      <c r="GLV158" s="3060"/>
      <c r="GLW158" s="3060"/>
      <c r="GLX158" s="3060"/>
      <c r="GLY158" s="3060"/>
      <c r="GLZ158" s="3060"/>
      <c r="GMA158" s="3060"/>
      <c r="GMB158" s="3060"/>
      <c r="GMC158" s="3060"/>
      <c r="GMD158" s="3060"/>
      <c r="GME158" s="3060"/>
      <c r="GMF158" s="3060"/>
      <c r="GMG158" s="3060"/>
      <c r="GMH158" s="3060"/>
      <c r="GMI158" s="3060"/>
      <c r="GMJ158" s="3060"/>
      <c r="GMK158" s="3060"/>
      <c r="GML158" s="3060"/>
      <c r="GMM158" s="3060"/>
      <c r="GMN158" s="3060"/>
      <c r="GMO158" s="3060"/>
      <c r="GMP158" s="3060"/>
      <c r="GMQ158" s="3060"/>
      <c r="GMR158" s="3060"/>
      <c r="GMS158" s="3060"/>
      <c r="GMT158" s="3060"/>
      <c r="GMU158" s="3060"/>
      <c r="GMV158" s="3060"/>
      <c r="GMW158" s="3060"/>
      <c r="GMX158" s="3060"/>
      <c r="GMY158" s="3060"/>
      <c r="GMZ158" s="3060"/>
      <c r="GNA158" s="3060"/>
      <c r="GNB158" s="3060"/>
      <c r="GNC158" s="3060"/>
      <c r="GND158" s="3060"/>
      <c r="GNE158" s="3060"/>
      <c r="GNF158" s="3060"/>
      <c r="GNG158" s="3060"/>
      <c r="GNH158" s="3060"/>
      <c r="GNI158" s="3060"/>
      <c r="GNJ158" s="3060"/>
      <c r="GNK158" s="3060"/>
      <c r="GNL158" s="3060"/>
      <c r="GNM158" s="3060"/>
      <c r="GNN158" s="3060"/>
      <c r="GNO158" s="3060"/>
      <c r="GNP158" s="3060"/>
      <c r="GNQ158" s="3060"/>
      <c r="GNR158" s="3060"/>
      <c r="GNS158" s="3060"/>
      <c r="GNT158" s="3060"/>
      <c r="GNU158" s="3060"/>
      <c r="GNV158" s="3060"/>
      <c r="GNW158" s="3060"/>
      <c r="GNX158" s="3060"/>
      <c r="GNY158" s="3060"/>
      <c r="GNZ158" s="3060"/>
      <c r="GOA158" s="3060"/>
      <c r="GOB158" s="3060"/>
      <c r="GOC158" s="3060"/>
      <c r="GOD158" s="3060"/>
      <c r="GOE158" s="3060"/>
      <c r="GOF158" s="3060"/>
      <c r="GOG158" s="3060"/>
      <c r="GOH158" s="3060"/>
      <c r="GOI158" s="3060"/>
      <c r="GOJ158" s="3060"/>
      <c r="GOK158" s="3060"/>
      <c r="GOL158" s="3060"/>
      <c r="GOM158" s="3060"/>
      <c r="GON158" s="3060"/>
      <c r="GOO158" s="3060"/>
      <c r="GOP158" s="3060"/>
      <c r="GOQ158" s="3060"/>
      <c r="GOR158" s="3060"/>
      <c r="GOS158" s="3060"/>
      <c r="GOT158" s="3060"/>
      <c r="GOU158" s="3060"/>
      <c r="GOV158" s="3060"/>
      <c r="GOW158" s="3060"/>
      <c r="GOX158" s="3060"/>
      <c r="GOY158" s="3060"/>
      <c r="GOZ158" s="3060"/>
      <c r="GPA158" s="3060"/>
      <c r="GPB158" s="3060"/>
      <c r="GPC158" s="3060"/>
      <c r="GPD158" s="3060"/>
      <c r="GPE158" s="3060"/>
      <c r="GPF158" s="3060"/>
      <c r="GPG158" s="3060"/>
      <c r="GPH158" s="3060"/>
      <c r="GPI158" s="3060"/>
      <c r="GPJ158" s="3060"/>
      <c r="GPK158" s="3060"/>
      <c r="GPL158" s="3060"/>
      <c r="GPM158" s="3060"/>
      <c r="GPN158" s="3060"/>
      <c r="GPO158" s="3060"/>
      <c r="GPP158" s="3060"/>
      <c r="GPQ158" s="3060"/>
      <c r="GPR158" s="3060"/>
      <c r="GPS158" s="3060"/>
      <c r="GPT158" s="3060"/>
      <c r="GPU158" s="3060"/>
      <c r="GPV158" s="3060"/>
      <c r="GPW158" s="3060"/>
      <c r="GPX158" s="3060"/>
      <c r="GPY158" s="3060"/>
      <c r="GPZ158" s="3060"/>
      <c r="GQA158" s="3060"/>
      <c r="GQB158" s="3060"/>
      <c r="GQC158" s="3060"/>
      <c r="GQD158" s="3060"/>
      <c r="GQE158" s="3060"/>
      <c r="GQF158" s="3060"/>
      <c r="GQG158" s="3060"/>
      <c r="GQH158" s="3060"/>
      <c r="GQI158" s="3060"/>
      <c r="GQJ158" s="3060"/>
      <c r="GQK158" s="3060"/>
      <c r="GQL158" s="3060"/>
      <c r="GQM158" s="3060"/>
      <c r="GQN158" s="3060"/>
      <c r="GQO158" s="3060"/>
      <c r="GQP158" s="3060"/>
      <c r="GQQ158" s="3060"/>
      <c r="GQR158" s="3060"/>
      <c r="GQS158" s="3060"/>
      <c r="GQT158" s="3060"/>
      <c r="GQU158" s="3060"/>
      <c r="GQV158" s="3060"/>
      <c r="GQW158" s="3060"/>
      <c r="GQX158" s="3060"/>
      <c r="GQY158" s="3060"/>
      <c r="GQZ158" s="3060"/>
      <c r="GRA158" s="3060"/>
      <c r="GRB158" s="3060"/>
      <c r="GRC158" s="3060"/>
      <c r="GRD158" s="3060"/>
      <c r="GRE158" s="3060"/>
      <c r="GRF158" s="3060"/>
      <c r="GRG158" s="3060"/>
      <c r="GRH158" s="3060"/>
      <c r="GRI158" s="3060"/>
      <c r="GRJ158" s="3060"/>
      <c r="GRK158" s="3060"/>
      <c r="GRL158" s="3060"/>
      <c r="GRM158" s="3060"/>
      <c r="GRN158" s="3060"/>
      <c r="GRO158" s="3060"/>
      <c r="GRP158" s="3060"/>
      <c r="GRQ158" s="3060"/>
      <c r="GRR158" s="3060"/>
      <c r="GRS158" s="3060"/>
      <c r="GRT158" s="3060"/>
      <c r="GRU158" s="3060"/>
      <c r="GRV158" s="3060"/>
      <c r="GRW158" s="3060"/>
      <c r="GRX158" s="3060"/>
      <c r="GRY158" s="3060"/>
      <c r="GRZ158" s="3060"/>
      <c r="GSA158" s="3060"/>
      <c r="GSB158" s="3060"/>
      <c r="GSC158" s="3060"/>
      <c r="GSD158" s="3060"/>
      <c r="GSE158" s="3060"/>
      <c r="GSF158" s="3060"/>
      <c r="GSG158" s="3060"/>
      <c r="GSH158" s="3060"/>
      <c r="GSI158" s="3060"/>
      <c r="GSJ158" s="3060"/>
      <c r="GSK158" s="3060"/>
      <c r="GSL158" s="3060"/>
      <c r="GSM158" s="3060"/>
      <c r="GSN158" s="3060"/>
      <c r="GSO158" s="3060"/>
      <c r="GSP158" s="3060"/>
      <c r="GSQ158" s="3060"/>
      <c r="GSR158" s="3060"/>
      <c r="GSS158" s="3060"/>
      <c r="GST158" s="3060"/>
      <c r="GSU158" s="3060"/>
      <c r="GSV158" s="3060"/>
      <c r="GSW158" s="3060"/>
      <c r="GSX158" s="3060"/>
      <c r="GSY158" s="3060"/>
      <c r="GSZ158" s="3060"/>
      <c r="GTA158" s="3060"/>
      <c r="GTB158" s="3060"/>
      <c r="GTC158" s="3060"/>
      <c r="GTD158" s="3060"/>
      <c r="GTE158" s="3060"/>
      <c r="GTF158" s="3060"/>
      <c r="GTG158" s="3060"/>
      <c r="GTH158" s="3060"/>
      <c r="GTI158" s="3060"/>
      <c r="GTJ158" s="3060"/>
      <c r="GTK158" s="3060"/>
      <c r="GTL158" s="3060"/>
      <c r="GTM158" s="3060"/>
      <c r="GTN158" s="3060"/>
      <c r="GTO158" s="3060"/>
      <c r="GTP158" s="3060"/>
      <c r="GTQ158" s="3060"/>
      <c r="GTR158" s="3060"/>
      <c r="GTS158" s="3060"/>
      <c r="GTT158" s="3060"/>
      <c r="GTU158" s="3060"/>
      <c r="GTV158" s="3060"/>
      <c r="GTW158" s="3060"/>
      <c r="GTX158" s="3060"/>
      <c r="GTY158" s="3060"/>
      <c r="GTZ158" s="3060"/>
      <c r="GUA158" s="3060"/>
      <c r="GUB158" s="3060"/>
      <c r="GUC158" s="3060"/>
      <c r="GUD158" s="3060"/>
      <c r="GUE158" s="3060"/>
      <c r="GUF158" s="3060"/>
      <c r="GUG158" s="3060"/>
      <c r="GUH158" s="3060"/>
      <c r="GUI158" s="3060"/>
      <c r="GUJ158" s="3060"/>
      <c r="GUK158" s="3060"/>
      <c r="GUL158" s="3060"/>
      <c r="GUM158" s="3060"/>
      <c r="GUN158" s="3060"/>
      <c r="GUO158" s="3060"/>
      <c r="GUP158" s="3060"/>
      <c r="GUQ158" s="3060"/>
      <c r="GUR158" s="3060"/>
      <c r="GUS158" s="3060"/>
      <c r="GUT158" s="3060"/>
      <c r="GUU158" s="3060"/>
      <c r="GUV158" s="3060"/>
      <c r="GUW158" s="3060"/>
      <c r="GUX158" s="3060"/>
      <c r="GUY158" s="3060"/>
      <c r="GUZ158" s="3060"/>
      <c r="GVA158" s="3060"/>
      <c r="GVB158" s="3060"/>
      <c r="GVC158" s="3060"/>
      <c r="GVD158" s="3060"/>
      <c r="GVE158" s="3060"/>
      <c r="GVF158" s="3060"/>
      <c r="GVG158" s="3060"/>
      <c r="GVH158" s="3060"/>
      <c r="GVI158" s="3060"/>
      <c r="GVJ158" s="3060"/>
      <c r="GVK158" s="3060"/>
      <c r="GVL158" s="3060"/>
      <c r="GVM158" s="3060"/>
      <c r="GVN158" s="3060"/>
      <c r="GVO158" s="3060"/>
      <c r="GVP158" s="3060"/>
      <c r="GVQ158" s="3060"/>
      <c r="GVR158" s="3060"/>
      <c r="GVS158" s="3060"/>
      <c r="GVT158" s="3060"/>
      <c r="GVU158" s="3060"/>
      <c r="GVV158" s="3060"/>
      <c r="GVW158" s="3060"/>
      <c r="GVX158" s="3060"/>
      <c r="GVY158" s="3060"/>
      <c r="GVZ158" s="3060"/>
      <c r="GWA158" s="3060"/>
      <c r="GWB158" s="3060"/>
      <c r="GWC158" s="3060"/>
      <c r="GWD158" s="3060"/>
      <c r="GWE158" s="3060"/>
      <c r="GWF158" s="3060"/>
      <c r="GWG158" s="3060"/>
      <c r="GWH158" s="3060"/>
      <c r="GWI158" s="3060"/>
      <c r="GWJ158" s="3060"/>
      <c r="GWK158" s="3060"/>
      <c r="GWL158" s="3060"/>
      <c r="GWM158" s="3060"/>
      <c r="GWN158" s="3060"/>
      <c r="GWO158" s="3060"/>
      <c r="GWP158" s="3060"/>
      <c r="GWQ158" s="3060"/>
      <c r="GWR158" s="3060"/>
      <c r="GWS158" s="3060"/>
      <c r="GWT158" s="3060"/>
      <c r="GWU158" s="3060"/>
      <c r="GWV158" s="3060"/>
      <c r="GWW158" s="3060"/>
      <c r="GWX158" s="3060"/>
      <c r="GWY158" s="3060"/>
      <c r="GWZ158" s="3060"/>
      <c r="GXA158" s="3060"/>
      <c r="GXB158" s="3060"/>
      <c r="GXC158" s="3060"/>
      <c r="GXD158" s="3060"/>
      <c r="GXE158" s="3060"/>
      <c r="GXF158" s="3060"/>
      <c r="GXG158" s="3060"/>
      <c r="GXH158" s="3060"/>
      <c r="GXI158" s="3060"/>
      <c r="GXJ158" s="3060"/>
      <c r="GXK158" s="3060"/>
      <c r="GXL158" s="3060"/>
      <c r="GXM158" s="3060"/>
      <c r="GXN158" s="3060"/>
      <c r="GXO158" s="3060"/>
      <c r="GXP158" s="3060"/>
      <c r="GXQ158" s="3060"/>
      <c r="GXR158" s="3060"/>
      <c r="GXS158" s="3060"/>
      <c r="GXT158" s="3060"/>
      <c r="GXU158" s="3060"/>
      <c r="GXV158" s="3060"/>
      <c r="GXW158" s="3060"/>
      <c r="GXX158" s="3060"/>
      <c r="GXY158" s="3060"/>
      <c r="GXZ158" s="3060"/>
      <c r="GYA158" s="3060"/>
      <c r="GYB158" s="3060"/>
      <c r="GYC158" s="3060"/>
      <c r="GYD158" s="3060"/>
      <c r="GYE158" s="3060"/>
      <c r="GYF158" s="3060"/>
      <c r="GYG158" s="3060"/>
      <c r="GYH158" s="3060"/>
      <c r="GYI158" s="3060"/>
      <c r="GYJ158" s="3060"/>
      <c r="GYK158" s="3060"/>
      <c r="GYL158" s="3060"/>
      <c r="GYM158" s="3060"/>
      <c r="GYN158" s="3060"/>
      <c r="GYO158" s="3060"/>
      <c r="GYP158" s="3060"/>
      <c r="GYQ158" s="3060"/>
      <c r="GYR158" s="3060"/>
      <c r="GYS158" s="3060"/>
      <c r="GYT158" s="3060"/>
      <c r="GYU158" s="3060"/>
      <c r="GYV158" s="3060"/>
      <c r="GYW158" s="3060"/>
      <c r="GYX158" s="3060"/>
      <c r="GYY158" s="3060"/>
      <c r="GYZ158" s="3060"/>
      <c r="GZA158" s="3060"/>
      <c r="GZB158" s="3060"/>
      <c r="GZC158" s="3060"/>
      <c r="GZD158" s="3060"/>
      <c r="GZE158" s="3060"/>
      <c r="GZF158" s="3060"/>
      <c r="GZG158" s="3060"/>
      <c r="GZH158" s="3060"/>
      <c r="GZI158" s="3060"/>
      <c r="GZJ158" s="3060"/>
      <c r="GZK158" s="3060"/>
      <c r="GZL158" s="3060"/>
      <c r="GZM158" s="3060"/>
      <c r="GZN158" s="3060"/>
      <c r="GZO158" s="3060"/>
      <c r="GZP158" s="3060"/>
      <c r="GZQ158" s="3060"/>
      <c r="GZR158" s="3060"/>
      <c r="GZS158" s="3060"/>
      <c r="GZT158" s="3060"/>
      <c r="GZU158" s="3060"/>
      <c r="GZV158" s="3060"/>
      <c r="GZW158" s="3060"/>
      <c r="GZX158" s="3060"/>
      <c r="GZY158" s="3060"/>
      <c r="GZZ158" s="3060"/>
      <c r="HAA158" s="3060"/>
      <c r="HAB158" s="3060"/>
      <c r="HAC158" s="3060"/>
      <c r="HAD158" s="3060"/>
      <c r="HAE158" s="3060"/>
      <c r="HAF158" s="3060"/>
      <c r="HAG158" s="3060"/>
      <c r="HAH158" s="3060"/>
      <c r="HAI158" s="3060"/>
      <c r="HAJ158" s="3060"/>
      <c r="HAK158" s="3060"/>
      <c r="HAL158" s="3060"/>
      <c r="HAM158" s="3060"/>
      <c r="HAN158" s="3060"/>
      <c r="HAO158" s="3060"/>
      <c r="HAP158" s="3060"/>
      <c r="HAQ158" s="3060"/>
      <c r="HAR158" s="3060"/>
      <c r="HAS158" s="3060"/>
      <c r="HAT158" s="3060"/>
      <c r="HAU158" s="3060"/>
      <c r="HAV158" s="3060"/>
      <c r="HAW158" s="3060"/>
      <c r="HAX158" s="3060"/>
      <c r="HAY158" s="3060"/>
      <c r="HAZ158" s="3060"/>
      <c r="HBA158" s="3060"/>
      <c r="HBB158" s="3060"/>
      <c r="HBC158" s="3060"/>
      <c r="HBD158" s="3060"/>
      <c r="HBE158" s="3060"/>
      <c r="HBF158" s="3060"/>
      <c r="HBG158" s="3060"/>
      <c r="HBH158" s="3060"/>
      <c r="HBI158" s="3060"/>
      <c r="HBJ158" s="3060"/>
      <c r="HBK158" s="3060"/>
      <c r="HBL158" s="3060"/>
      <c r="HBM158" s="3060"/>
      <c r="HBN158" s="3060"/>
      <c r="HBO158" s="3060"/>
      <c r="HBP158" s="3060"/>
      <c r="HBQ158" s="3060"/>
      <c r="HBR158" s="3060"/>
      <c r="HBS158" s="3060"/>
      <c r="HBT158" s="3060"/>
      <c r="HBU158" s="3060"/>
      <c r="HBV158" s="3060"/>
      <c r="HBW158" s="3060"/>
      <c r="HBX158" s="3060"/>
      <c r="HBY158" s="3060"/>
      <c r="HBZ158" s="3060"/>
      <c r="HCA158" s="3060"/>
      <c r="HCB158" s="3060"/>
      <c r="HCC158" s="3060"/>
      <c r="HCD158" s="3060"/>
      <c r="HCE158" s="3060"/>
      <c r="HCF158" s="3060"/>
      <c r="HCG158" s="3060"/>
      <c r="HCH158" s="3060"/>
      <c r="HCI158" s="3060"/>
      <c r="HCJ158" s="3060"/>
      <c r="HCK158" s="3060"/>
      <c r="HCL158" s="3060"/>
      <c r="HCM158" s="3060"/>
      <c r="HCN158" s="3060"/>
      <c r="HCO158" s="3060"/>
      <c r="HCP158" s="3060"/>
      <c r="HCQ158" s="3060"/>
      <c r="HCR158" s="3060"/>
      <c r="HCS158" s="3060"/>
      <c r="HCT158" s="3060"/>
      <c r="HCU158" s="3060"/>
      <c r="HCV158" s="3060"/>
      <c r="HCW158" s="3060"/>
      <c r="HCX158" s="3060"/>
      <c r="HCY158" s="3060"/>
      <c r="HCZ158" s="3060"/>
      <c r="HDA158" s="3060"/>
      <c r="HDB158" s="3060"/>
      <c r="HDC158" s="3060"/>
      <c r="HDD158" s="3060"/>
      <c r="HDE158" s="3060"/>
      <c r="HDF158" s="3060"/>
      <c r="HDG158" s="3060"/>
      <c r="HDH158" s="3060"/>
      <c r="HDI158" s="3060"/>
      <c r="HDJ158" s="3060"/>
      <c r="HDK158" s="3060"/>
      <c r="HDL158" s="3060"/>
      <c r="HDM158" s="3060"/>
      <c r="HDN158" s="3060"/>
      <c r="HDO158" s="3060"/>
      <c r="HDP158" s="3060"/>
      <c r="HDQ158" s="3060"/>
      <c r="HDR158" s="3060"/>
      <c r="HDS158" s="3060"/>
      <c r="HDT158" s="3060"/>
      <c r="HDU158" s="3060"/>
      <c r="HDV158" s="3060"/>
      <c r="HDW158" s="3060"/>
      <c r="HDX158" s="3060"/>
      <c r="HDY158" s="3060"/>
      <c r="HDZ158" s="3060"/>
      <c r="HEA158" s="3060"/>
      <c r="HEB158" s="3060"/>
      <c r="HEC158" s="3060"/>
      <c r="HED158" s="3060"/>
      <c r="HEE158" s="3060"/>
      <c r="HEF158" s="3060"/>
      <c r="HEG158" s="3060"/>
      <c r="HEH158" s="3060"/>
      <c r="HEI158" s="3060"/>
      <c r="HEJ158" s="3060"/>
      <c r="HEK158" s="3060"/>
      <c r="HEL158" s="3060"/>
      <c r="HEM158" s="3060"/>
      <c r="HEN158" s="3060"/>
      <c r="HEO158" s="3060"/>
      <c r="HEP158" s="3060"/>
      <c r="HEQ158" s="3060"/>
      <c r="HER158" s="3060"/>
      <c r="HES158" s="3060"/>
      <c r="HET158" s="3060"/>
      <c r="HEU158" s="3060"/>
      <c r="HEV158" s="3060"/>
      <c r="HEW158" s="3060"/>
      <c r="HEX158" s="3060"/>
      <c r="HEY158" s="3060"/>
      <c r="HEZ158" s="3060"/>
      <c r="HFA158" s="3060"/>
      <c r="HFB158" s="3060"/>
      <c r="HFC158" s="3060"/>
      <c r="HFD158" s="3060"/>
      <c r="HFE158" s="3060"/>
      <c r="HFF158" s="3060"/>
      <c r="HFG158" s="3060"/>
      <c r="HFH158" s="3060"/>
      <c r="HFI158" s="3060"/>
      <c r="HFJ158" s="3060"/>
      <c r="HFK158" s="3060"/>
      <c r="HFL158" s="3060"/>
      <c r="HFM158" s="3060"/>
      <c r="HFN158" s="3060"/>
      <c r="HFO158" s="3060"/>
      <c r="HFP158" s="3060"/>
      <c r="HFQ158" s="3060"/>
      <c r="HFR158" s="3060"/>
      <c r="HFS158" s="3060"/>
      <c r="HFT158" s="3060"/>
      <c r="HFU158" s="3060"/>
      <c r="HFV158" s="3060"/>
      <c r="HFW158" s="3060"/>
      <c r="HFX158" s="3060"/>
      <c r="HFY158" s="3060"/>
      <c r="HFZ158" s="3060"/>
      <c r="HGA158" s="3060"/>
      <c r="HGB158" s="3060"/>
      <c r="HGC158" s="3060"/>
      <c r="HGD158" s="3060"/>
      <c r="HGE158" s="3060"/>
      <c r="HGF158" s="3060"/>
      <c r="HGG158" s="3060"/>
      <c r="HGH158" s="3060"/>
      <c r="HGI158" s="3060"/>
      <c r="HGJ158" s="3060"/>
      <c r="HGK158" s="3060"/>
      <c r="HGL158" s="3060"/>
      <c r="HGM158" s="3060"/>
      <c r="HGN158" s="3060"/>
      <c r="HGO158" s="3060"/>
      <c r="HGP158" s="3060"/>
      <c r="HGQ158" s="3060"/>
      <c r="HGR158" s="3060"/>
      <c r="HGS158" s="3060"/>
      <c r="HGT158" s="3060"/>
      <c r="HGU158" s="3060"/>
      <c r="HGV158" s="3060"/>
      <c r="HGW158" s="3060"/>
      <c r="HGX158" s="3060"/>
      <c r="HGY158" s="3060"/>
      <c r="HGZ158" s="3060"/>
      <c r="HHA158" s="3060"/>
      <c r="HHB158" s="3060"/>
      <c r="HHC158" s="3060"/>
      <c r="HHD158" s="3060"/>
      <c r="HHE158" s="3060"/>
      <c r="HHF158" s="3060"/>
      <c r="HHG158" s="3060"/>
      <c r="HHH158" s="3060"/>
      <c r="HHI158" s="3060"/>
      <c r="HHJ158" s="3060"/>
      <c r="HHK158" s="3060"/>
      <c r="HHL158" s="3060"/>
      <c r="HHM158" s="3060"/>
      <c r="HHN158" s="3060"/>
      <c r="HHO158" s="3060"/>
      <c r="HHP158" s="3060"/>
      <c r="HHQ158" s="3060"/>
      <c r="HHR158" s="3060"/>
      <c r="HHS158" s="3060"/>
      <c r="HHT158" s="3060"/>
      <c r="HHU158" s="3060"/>
      <c r="HHV158" s="3060"/>
      <c r="HHW158" s="3060"/>
      <c r="HHX158" s="3060"/>
      <c r="HHY158" s="3060"/>
      <c r="HHZ158" s="3060"/>
      <c r="HIA158" s="3060"/>
      <c r="HIB158" s="3060"/>
      <c r="HIC158" s="3060"/>
      <c r="HID158" s="3060"/>
      <c r="HIE158" s="3060"/>
      <c r="HIF158" s="3060"/>
      <c r="HIG158" s="3060"/>
      <c r="HIH158" s="3060"/>
      <c r="HII158" s="3060"/>
      <c r="HIJ158" s="3060"/>
      <c r="HIK158" s="3060"/>
      <c r="HIL158" s="3060"/>
      <c r="HIM158" s="3060"/>
      <c r="HIN158" s="3060"/>
      <c r="HIO158" s="3060"/>
      <c r="HIP158" s="3060"/>
      <c r="HIQ158" s="3060"/>
      <c r="HIR158" s="3060"/>
      <c r="HIS158" s="3060"/>
      <c r="HIT158" s="3060"/>
      <c r="HIU158" s="3060"/>
      <c r="HIV158" s="3060"/>
      <c r="HIW158" s="3060"/>
      <c r="HIX158" s="3060"/>
      <c r="HIY158" s="3060"/>
      <c r="HIZ158" s="3060"/>
      <c r="HJA158" s="3060"/>
      <c r="HJB158" s="3060"/>
      <c r="HJC158" s="3060"/>
      <c r="HJD158" s="3060"/>
      <c r="HJE158" s="3060"/>
      <c r="HJF158" s="3060"/>
      <c r="HJG158" s="3060"/>
      <c r="HJH158" s="3060"/>
      <c r="HJI158" s="3060"/>
      <c r="HJJ158" s="3060"/>
      <c r="HJK158" s="3060"/>
      <c r="HJL158" s="3060"/>
      <c r="HJM158" s="3060"/>
      <c r="HJN158" s="3060"/>
      <c r="HJO158" s="3060"/>
      <c r="HJP158" s="3060"/>
      <c r="HJQ158" s="3060"/>
      <c r="HJR158" s="3060"/>
      <c r="HJS158" s="3060"/>
      <c r="HJT158" s="3060"/>
      <c r="HJU158" s="3060"/>
      <c r="HJV158" s="3060"/>
      <c r="HJW158" s="3060"/>
      <c r="HJX158" s="3060"/>
      <c r="HJY158" s="3060"/>
      <c r="HJZ158" s="3060"/>
      <c r="HKA158" s="3060"/>
      <c r="HKB158" s="3060"/>
      <c r="HKC158" s="3060"/>
      <c r="HKD158" s="3060"/>
      <c r="HKE158" s="3060"/>
      <c r="HKF158" s="3060"/>
      <c r="HKG158" s="3060"/>
      <c r="HKH158" s="3060"/>
      <c r="HKI158" s="3060"/>
      <c r="HKJ158" s="3060"/>
      <c r="HKK158" s="3060"/>
      <c r="HKL158" s="3060"/>
      <c r="HKM158" s="3060"/>
      <c r="HKN158" s="3060"/>
      <c r="HKO158" s="3060"/>
      <c r="HKP158" s="3060"/>
      <c r="HKQ158" s="3060"/>
      <c r="HKR158" s="3060"/>
      <c r="HKS158" s="3060"/>
      <c r="HKT158" s="3060"/>
      <c r="HKU158" s="3060"/>
      <c r="HKV158" s="3060"/>
      <c r="HKW158" s="3060"/>
      <c r="HKX158" s="3060"/>
      <c r="HKY158" s="3060"/>
      <c r="HKZ158" s="3060"/>
      <c r="HLA158" s="3060"/>
      <c r="HLB158" s="3060"/>
      <c r="HLC158" s="3060"/>
      <c r="HLD158" s="3060"/>
      <c r="HLE158" s="3060"/>
      <c r="HLF158" s="3060"/>
      <c r="HLG158" s="3060"/>
      <c r="HLH158" s="3060"/>
      <c r="HLI158" s="3060"/>
      <c r="HLJ158" s="3060"/>
      <c r="HLK158" s="3060"/>
      <c r="HLL158" s="3060"/>
      <c r="HLM158" s="3060"/>
      <c r="HLN158" s="3060"/>
      <c r="HLO158" s="3060"/>
      <c r="HLP158" s="3060"/>
      <c r="HLQ158" s="3060"/>
      <c r="HLR158" s="3060"/>
      <c r="HLS158" s="3060"/>
      <c r="HLT158" s="3060"/>
      <c r="HLU158" s="3060"/>
      <c r="HLV158" s="3060"/>
      <c r="HLW158" s="3060"/>
      <c r="HLX158" s="3060"/>
      <c r="HLY158" s="3060"/>
      <c r="HLZ158" s="3060"/>
      <c r="HMA158" s="3060"/>
      <c r="HMB158" s="3060"/>
      <c r="HMC158" s="3060"/>
      <c r="HMD158" s="3060"/>
      <c r="HME158" s="3060"/>
      <c r="HMF158" s="3060"/>
      <c r="HMG158" s="3060"/>
      <c r="HMH158" s="3060"/>
      <c r="HMI158" s="3060"/>
      <c r="HMJ158" s="3060"/>
      <c r="HMK158" s="3060"/>
      <c r="HML158" s="3060"/>
      <c r="HMM158" s="3060"/>
      <c r="HMN158" s="3060"/>
      <c r="HMO158" s="3060"/>
      <c r="HMP158" s="3060"/>
      <c r="HMQ158" s="3060"/>
      <c r="HMR158" s="3060"/>
      <c r="HMS158" s="3060"/>
      <c r="HMT158" s="3060"/>
      <c r="HMU158" s="3060"/>
      <c r="HMV158" s="3060"/>
      <c r="HMW158" s="3060"/>
      <c r="HMX158" s="3060"/>
      <c r="HMY158" s="3060"/>
      <c r="HMZ158" s="3060"/>
      <c r="HNA158" s="3060"/>
      <c r="HNB158" s="3060"/>
      <c r="HNC158" s="3060"/>
      <c r="HND158" s="3060"/>
      <c r="HNE158" s="3060"/>
      <c r="HNF158" s="3060"/>
      <c r="HNG158" s="3060"/>
      <c r="HNH158" s="3060"/>
      <c r="HNI158" s="3060"/>
      <c r="HNJ158" s="3060"/>
      <c r="HNK158" s="3060"/>
      <c r="HNL158" s="3060"/>
      <c r="HNM158" s="3060"/>
      <c r="HNN158" s="3060"/>
      <c r="HNO158" s="3060"/>
      <c r="HNP158" s="3060"/>
      <c r="HNQ158" s="3060"/>
      <c r="HNR158" s="3060"/>
      <c r="HNS158" s="3060"/>
      <c r="HNT158" s="3060"/>
      <c r="HNU158" s="3060"/>
      <c r="HNV158" s="3060"/>
      <c r="HNW158" s="3060"/>
      <c r="HNX158" s="3060"/>
      <c r="HNY158" s="3060"/>
      <c r="HNZ158" s="3060"/>
      <c r="HOA158" s="3060"/>
      <c r="HOB158" s="3060"/>
      <c r="HOC158" s="3060"/>
      <c r="HOD158" s="3060"/>
      <c r="HOE158" s="3060"/>
      <c r="HOF158" s="3060"/>
      <c r="HOG158" s="3060"/>
      <c r="HOH158" s="3060"/>
      <c r="HOI158" s="3060"/>
      <c r="HOJ158" s="3060"/>
      <c r="HOK158" s="3060"/>
      <c r="HOL158" s="3060"/>
      <c r="HOM158" s="3060"/>
      <c r="HON158" s="3060"/>
      <c r="HOO158" s="3060"/>
      <c r="HOP158" s="3060"/>
      <c r="HOQ158" s="3060"/>
      <c r="HOR158" s="3060"/>
      <c r="HOS158" s="3060"/>
      <c r="HOT158" s="3060"/>
      <c r="HOU158" s="3060"/>
      <c r="HOV158" s="3060"/>
      <c r="HOW158" s="3060"/>
      <c r="HOX158" s="3060"/>
      <c r="HOY158" s="3060"/>
      <c r="HOZ158" s="3060"/>
      <c r="HPA158" s="3060"/>
      <c r="HPB158" s="3060"/>
      <c r="HPC158" s="3060"/>
      <c r="HPD158" s="3060"/>
      <c r="HPE158" s="3060"/>
      <c r="HPF158" s="3060"/>
      <c r="HPG158" s="3060"/>
      <c r="HPH158" s="3060"/>
      <c r="HPI158" s="3060"/>
      <c r="HPJ158" s="3060"/>
      <c r="HPK158" s="3060"/>
      <c r="HPL158" s="3060"/>
      <c r="HPM158" s="3060"/>
      <c r="HPN158" s="3060"/>
      <c r="HPO158" s="3060"/>
      <c r="HPP158" s="3060"/>
      <c r="HPQ158" s="3060"/>
      <c r="HPR158" s="3060"/>
      <c r="HPS158" s="3060"/>
      <c r="HPT158" s="3060"/>
      <c r="HPU158" s="3060"/>
      <c r="HPV158" s="3060"/>
      <c r="HPW158" s="3060"/>
      <c r="HPX158" s="3060"/>
      <c r="HPY158" s="3060"/>
      <c r="HPZ158" s="3060"/>
      <c r="HQA158" s="3060"/>
      <c r="HQB158" s="3060"/>
      <c r="HQC158" s="3060"/>
      <c r="HQD158" s="3060"/>
      <c r="HQE158" s="3060"/>
      <c r="HQF158" s="3060"/>
      <c r="HQG158" s="3060"/>
      <c r="HQH158" s="3060"/>
      <c r="HQI158" s="3060"/>
      <c r="HQJ158" s="3060"/>
      <c r="HQK158" s="3060"/>
      <c r="HQL158" s="3060"/>
      <c r="HQM158" s="3060"/>
      <c r="HQN158" s="3060"/>
      <c r="HQO158" s="3060"/>
      <c r="HQP158" s="3060"/>
      <c r="HQQ158" s="3060"/>
      <c r="HQR158" s="3060"/>
      <c r="HQS158" s="3060"/>
      <c r="HQT158" s="3060"/>
      <c r="HQU158" s="3060"/>
      <c r="HQV158" s="3060"/>
      <c r="HQW158" s="3060"/>
      <c r="HQX158" s="3060"/>
      <c r="HQY158" s="3060"/>
      <c r="HQZ158" s="3060"/>
      <c r="HRA158" s="3060"/>
      <c r="HRB158" s="3060"/>
      <c r="HRC158" s="3060"/>
      <c r="HRD158" s="3060"/>
      <c r="HRE158" s="3060"/>
      <c r="HRF158" s="3060"/>
      <c r="HRG158" s="3060"/>
      <c r="HRH158" s="3060"/>
      <c r="HRI158" s="3060"/>
      <c r="HRJ158" s="3060"/>
      <c r="HRK158" s="3060"/>
      <c r="HRL158" s="3060"/>
      <c r="HRM158" s="3060"/>
      <c r="HRN158" s="3060"/>
      <c r="HRO158" s="3060"/>
      <c r="HRP158" s="3060"/>
      <c r="HRQ158" s="3060"/>
      <c r="HRR158" s="3060"/>
      <c r="HRS158" s="3060"/>
      <c r="HRT158" s="3060"/>
      <c r="HRU158" s="3060"/>
      <c r="HRV158" s="3060"/>
      <c r="HRW158" s="3060"/>
      <c r="HRX158" s="3060"/>
      <c r="HRY158" s="3060"/>
      <c r="HRZ158" s="3060"/>
      <c r="HSA158" s="3060"/>
      <c r="HSB158" s="3060"/>
      <c r="HSC158" s="3060"/>
      <c r="HSD158" s="3060"/>
      <c r="HSE158" s="3060"/>
      <c r="HSF158" s="3060"/>
      <c r="HSG158" s="3060"/>
      <c r="HSH158" s="3060"/>
      <c r="HSI158" s="3060"/>
      <c r="HSJ158" s="3060"/>
      <c r="HSK158" s="3060"/>
      <c r="HSL158" s="3060"/>
      <c r="HSM158" s="3060"/>
      <c r="HSN158" s="3060"/>
      <c r="HSO158" s="3060"/>
      <c r="HSP158" s="3060"/>
      <c r="HSQ158" s="3060"/>
      <c r="HSR158" s="3060"/>
      <c r="HSS158" s="3060"/>
      <c r="HST158" s="3060"/>
      <c r="HSU158" s="3060"/>
      <c r="HSV158" s="3060"/>
      <c r="HSW158" s="3060"/>
      <c r="HSX158" s="3060"/>
      <c r="HSY158" s="3060"/>
      <c r="HSZ158" s="3060"/>
      <c r="HTA158" s="3060"/>
      <c r="HTB158" s="3060"/>
      <c r="HTC158" s="3060"/>
      <c r="HTD158" s="3060"/>
      <c r="HTE158" s="3060"/>
      <c r="HTF158" s="3060"/>
      <c r="HTG158" s="3060"/>
      <c r="HTH158" s="3060"/>
      <c r="HTI158" s="3060"/>
      <c r="HTJ158" s="3060"/>
      <c r="HTK158" s="3060"/>
      <c r="HTL158" s="3060"/>
      <c r="HTM158" s="3060"/>
      <c r="HTN158" s="3060"/>
      <c r="HTO158" s="3060"/>
      <c r="HTP158" s="3060"/>
      <c r="HTQ158" s="3060"/>
      <c r="HTR158" s="3060"/>
      <c r="HTS158" s="3060"/>
      <c r="HTT158" s="3060"/>
      <c r="HTU158" s="3060"/>
      <c r="HTV158" s="3060"/>
      <c r="HTW158" s="3060"/>
      <c r="HTX158" s="3060"/>
      <c r="HTY158" s="3060"/>
      <c r="HTZ158" s="3060"/>
      <c r="HUA158" s="3060"/>
      <c r="HUB158" s="3060"/>
      <c r="HUC158" s="3060"/>
      <c r="HUD158" s="3060"/>
      <c r="HUE158" s="3060"/>
      <c r="HUF158" s="3060"/>
      <c r="HUG158" s="3060"/>
      <c r="HUH158" s="3060"/>
      <c r="HUI158" s="3060"/>
      <c r="HUJ158" s="3060"/>
      <c r="HUK158" s="3060"/>
      <c r="HUL158" s="3060"/>
      <c r="HUM158" s="3060"/>
      <c r="HUN158" s="3060"/>
      <c r="HUO158" s="3060"/>
      <c r="HUP158" s="3060"/>
      <c r="HUQ158" s="3060"/>
      <c r="HUR158" s="3060"/>
      <c r="HUS158" s="3060"/>
      <c r="HUT158" s="3060"/>
      <c r="HUU158" s="3060"/>
      <c r="HUV158" s="3060"/>
      <c r="HUW158" s="3060"/>
      <c r="HUX158" s="3060"/>
      <c r="HUY158" s="3060"/>
      <c r="HUZ158" s="3060"/>
      <c r="HVA158" s="3060"/>
      <c r="HVB158" s="3060"/>
      <c r="HVC158" s="3060"/>
      <c r="HVD158" s="3060"/>
      <c r="HVE158" s="3060"/>
      <c r="HVF158" s="3060"/>
      <c r="HVG158" s="3060"/>
      <c r="HVH158" s="3060"/>
      <c r="HVI158" s="3060"/>
      <c r="HVJ158" s="3060"/>
      <c r="HVK158" s="3060"/>
      <c r="HVL158" s="3060"/>
      <c r="HVM158" s="3060"/>
      <c r="HVN158" s="3060"/>
      <c r="HVO158" s="3060"/>
      <c r="HVP158" s="3060"/>
      <c r="HVQ158" s="3060"/>
      <c r="HVR158" s="3060"/>
      <c r="HVS158" s="3060"/>
      <c r="HVT158" s="3060"/>
      <c r="HVU158" s="3060"/>
      <c r="HVV158" s="3060"/>
      <c r="HVW158" s="3060"/>
      <c r="HVX158" s="3060"/>
      <c r="HVY158" s="3060"/>
      <c r="HVZ158" s="3060"/>
      <c r="HWA158" s="3060"/>
      <c r="HWB158" s="3060"/>
      <c r="HWC158" s="3060"/>
      <c r="HWD158" s="3060"/>
      <c r="HWE158" s="3060"/>
      <c r="HWF158" s="3060"/>
      <c r="HWG158" s="3060"/>
      <c r="HWH158" s="3060"/>
      <c r="HWI158" s="3060"/>
      <c r="HWJ158" s="3060"/>
      <c r="HWK158" s="3060"/>
      <c r="HWL158" s="3060"/>
      <c r="HWM158" s="3060"/>
      <c r="HWN158" s="3060"/>
      <c r="HWO158" s="3060"/>
      <c r="HWP158" s="3060"/>
      <c r="HWQ158" s="3060"/>
      <c r="HWR158" s="3060"/>
      <c r="HWS158" s="3060"/>
      <c r="HWT158" s="3060"/>
      <c r="HWU158" s="3060"/>
      <c r="HWV158" s="3060"/>
      <c r="HWW158" s="3060"/>
      <c r="HWX158" s="3060"/>
      <c r="HWY158" s="3060"/>
      <c r="HWZ158" s="3060"/>
      <c r="HXA158" s="3060"/>
      <c r="HXB158" s="3060"/>
      <c r="HXC158" s="3060"/>
      <c r="HXD158" s="3060"/>
      <c r="HXE158" s="3060"/>
      <c r="HXF158" s="3060"/>
      <c r="HXG158" s="3060"/>
      <c r="HXH158" s="3060"/>
      <c r="HXI158" s="3060"/>
      <c r="HXJ158" s="3060"/>
      <c r="HXK158" s="3060"/>
      <c r="HXL158" s="3060"/>
      <c r="HXM158" s="3060"/>
      <c r="HXN158" s="3060"/>
      <c r="HXO158" s="3060"/>
      <c r="HXP158" s="3060"/>
      <c r="HXQ158" s="3060"/>
      <c r="HXR158" s="3060"/>
      <c r="HXS158" s="3060"/>
      <c r="HXT158" s="3060"/>
      <c r="HXU158" s="3060"/>
      <c r="HXV158" s="3060"/>
      <c r="HXW158" s="3060"/>
      <c r="HXX158" s="3060"/>
      <c r="HXY158" s="3060"/>
      <c r="HXZ158" s="3060"/>
      <c r="HYA158" s="3060"/>
      <c r="HYB158" s="3060"/>
      <c r="HYC158" s="3060"/>
      <c r="HYD158" s="3060"/>
      <c r="HYE158" s="3060"/>
      <c r="HYF158" s="3060"/>
      <c r="HYG158" s="3060"/>
      <c r="HYH158" s="3060"/>
      <c r="HYI158" s="3060"/>
      <c r="HYJ158" s="3060"/>
      <c r="HYK158" s="3060"/>
      <c r="HYL158" s="3060"/>
      <c r="HYM158" s="3060"/>
      <c r="HYN158" s="3060"/>
      <c r="HYO158" s="3060"/>
      <c r="HYP158" s="3060"/>
      <c r="HYQ158" s="3060"/>
      <c r="HYR158" s="3060"/>
      <c r="HYS158" s="3060"/>
      <c r="HYT158" s="3060"/>
      <c r="HYU158" s="3060"/>
      <c r="HYV158" s="3060"/>
      <c r="HYW158" s="3060"/>
      <c r="HYX158" s="3060"/>
      <c r="HYY158" s="3060"/>
      <c r="HYZ158" s="3060"/>
      <c r="HZA158" s="3060"/>
      <c r="HZB158" s="3060"/>
      <c r="HZC158" s="3060"/>
      <c r="HZD158" s="3060"/>
      <c r="HZE158" s="3060"/>
      <c r="HZF158" s="3060"/>
      <c r="HZG158" s="3060"/>
      <c r="HZH158" s="3060"/>
      <c r="HZI158" s="3060"/>
      <c r="HZJ158" s="3060"/>
      <c r="HZK158" s="3060"/>
      <c r="HZL158" s="3060"/>
      <c r="HZM158" s="3060"/>
      <c r="HZN158" s="3060"/>
      <c r="HZO158" s="3060"/>
      <c r="HZP158" s="3060"/>
      <c r="HZQ158" s="3060"/>
      <c r="HZR158" s="3060"/>
      <c r="HZS158" s="3060"/>
      <c r="HZT158" s="3060"/>
      <c r="HZU158" s="3060"/>
      <c r="HZV158" s="3060"/>
      <c r="HZW158" s="3060"/>
      <c r="HZX158" s="3060"/>
      <c r="HZY158" s="3060"/>
      <c r="HZZ158" s="3060"/>
      <c r="IAA158" s="3060"/>
      <c r="IAB158" s="3060"/>
      <c r="IAC158" s="3060"/>
      <c r="IAD158" s="3060"/>
      <c r="IAE158" s="3060"/>
      <c r="IAF158" s="3060"/>
      <c r="IAG158" s="3060"/>
      <c r="IAH158" s="3060"/>
      <c r="IAI158" s="3060"/>
      <c r="IAJ158" s="3060"/>
      <c r="IAK158" s="3060"/>
      <c r="IAL158" s="3060"/>
      <c r="IAM158" s="3060"/>
      <c r="IAN158" s="3060"/>
      <c r="IAO158" s="3060"/>
      <c r="IAP158" s="3060"/>
      <c r="IAQ158" s="3060"/>
      <c r="IAR158" s="3060"/>
      <c r="IAS158" s="3060"/>
      <c r="IAT158" s="3060"/>
      <c r="IAU158" s="3060"/>
      <c r="IAV158" s="3060"/>
      <c r="IAW158" s="3060"/>
      <c r="IAX158" s="3060"/>
      <c r="IAY158" s="3060"/>
      <c r="IAZ158" s="3060"/>
      <c r="IBA158" s="3060"/>
      <c r="IBB158" s="3060"/>
      <c r="IBC158" s="3060"/>
      <c r="IBD158" s="3060"/>
      <c r="IBE158" s="3060"/>
      <c r="IBF158" s="3060"/>
      <c r="IBG158" s="3060"/>
      <c r="IBH158" s="3060"/>
      <c r="IBI158" s="3060"/>
      <c r="IBJ158" s="3060"/>
      <c r="IBK158" s="3060"/>
      <c r="IBL158" s="3060"/>
      <c r="IBM158" s="3060"/>
      <c r="IBN158" s="3060"/>
      <c r="IBO158" s="3060"/>
      <c r="IBP158" s="3060"/>
      <c r="IBQ158" s="3060"/>
      <c r="IBR158" s="3060"/>
      <c r="IBS158" s="3060"/>
      <c r="IBT158" s="3060"/>
      <c r="IBU158" s="3060"/>
      <c r="IBV158" s="3060"/>
      <c r="IBW158" s="3060"/>
      <c r="IBX158" s="3060"/>
      <c r="IBY158" s="3060"/>
      <c r="IBZ158" s="3060"/>
      <c r="ICA158" s="3060"/>
      <c r="ICB158" s="3060"/>
      <c r="ICC158" s="3060"/>
      <c r="ICD158" s="3060"/>
      <c r="ICE158" s="3060"/>
      <c r="ICF158" s="3060"/>
      <c r="ICG158" s="3060"/>
      <c r="ICH158" s="3060"/>
      <c r="ICI158" s="3060"/>
      <c r="ICJ158" s="3060"/>
      <c r="ICK158" s="3060"/>
      <c r="ICL158" s="3060"/>
      <c r="ICM158" s="3060"/>
      <c r="ICN158" s="3060"/>
      <c r="ICO158" s="3060"/>
      <c r="ICP158" s="3060"/>
      <c r="ICQ158" s="3060"/>
      <c r="ICR158" s="3060"/>
      <c r="ICS158" s="3060"/>
      <c r="ICT158" s="3060"/>
      <c r="ICU158" s="3060"/>
      <c r="ICV158" s="3060"/>
      <c r="ICW158" s="3060"/>
      <c r="ICX158" s="3060"/>
      <c r="ICY158" s="3060"/>
      <c r="ICZ158" s="3060"/>
      <c r="IDA158" s="3060"/>
      <c r="IDB158" s="3060"/>
      <c r="IDC158" s="3060"/>
      <c r="IDD158" s="3060"/>
      <c r="IDE158" s="3060"/>
      <c r="IDF158" s="3060"/>
      <c r="IDG158" s="3060"/>
      <c r="IDH158" s="3060"/>
      <c r="IDI158" s="3060"/>
      <c r="IDJ158" s="3060"/>
      <c r="IDK158" s="3060"/>
      <c r="IDL158" s="3060"/>
      <c r="IDM158" s="3060"/>
      <c r="IDN158" s="3060"/>
      <c r="IDO158" s="3060"/>
      <c r="IDP158" s="3060"/>
      <c r="IDQ158" s="3060"/>
      <c r="IDR158" s="3060"/>
      <c r="IDS158" s="3060"/>
      <c r="IDT158" s="3060"/>
      <c r="IDU158" s="3060"/>
      <c r="IDV158" s="3060"/>
      <c r="IDW158" s="3060"/>
      <c r="IDX158" s="3060"/>
      <c r="IDY158" s="3060"/>
      <c r="IDZ158" s="3060"/>
      <c r="IEA158" s="3060"/>
      <c r="IEB158" s="3060"/>
      <c r="IEC158" s="3060"/>
      <c r="IED158" s="3060"/>
      <c r="IEE158" s="3060"/>
      <c r="IEF158" s="3060"/>
      <c r="IEG158" s="3060"/>
      <c r="IEH158" s="3060"/>
      <c r="IEI158" s="3060"/>
      <c r="IEJ158" s="3060"/>
      <c r="IEK158" s="3060"/>
      <c r="IEL158" s="3060"/>
      <c r="IEM158" s="3060"/>
      <c r="IEN158" s="3060"/>
      <c r="IEO158" s="3060"/>
      <c r="IEP158" s="3060"/>
      <c r="IEQ158" s="3060"/>
      <c r="IER158" s="3060"/>
      <c r="IES158" s="3060"/>
      <c r="IET158" s="3060"/>
      <c r="IEU158" s="3060"/>
      <c r="IEV158" s="3060"/>
      <c r="IEW158" s="3060"/>
      <c r="IEX158" s="3060"/>
      <c r="IEY158" s="3060"/>
      <c r="IEZ158" s="3060"/>
      <c r="IFA158" s="3060"/>
      <c r="IFB158" s="3060"/>
      <c r="IFC158" s="3060"/>
      <c r="IFD158" s="3060"/>
      <c r="IFE158" s="3060"/>
      <c r="IFF158" s="3060"/>
      <c r="IFG158" s="3060"/>
      <c r="IFH158" s="3060"/>
      <c r="IFI158" s="3060"/>
      <c r="IFJ158" s="3060"/>
      <c r="IFK158" s="3060"/>
      <c r="IFL158" s="3060"/>
      <c r="IFM158" s="3060"/>
      <c r="IFN158" s="3060"/>
      <c r="IFO158" s="3060"/>
      <c r="IFP158" s="3060"/>
      <c r="IFQ158" s="3060"/>
      <c r="IFR158" s="3060"/>
      <c r="IFS158" s="3060"/>
      <c r="IFT158" s="3060"/>
      <c r="IFU158" s="3060"/>
      <c r="IFV158" s="3060"/>
      <c r="IFW158" s="3060"/>
      <c r="IFX158" s="3060"/>
      <c r="IFY158" s="3060"/>
      <c r="IFZ158" s="3060"/>
      <c r="IGA158" s="3060"/>
      <c r="IGB158" s="3060"/>
      <c r="IGC158" s="3060"/>
      <c r="IGD158" s="3060"/>
      <c r="IGE158" s="3060"/>
      <c r="IGF158" s="3060"/>
      <c r="IGG158" s="3060"/>
      <c r="IGH158" s="3060"/>
      <c r="IGI158" s="3060"/>
      <c r="IGJ158" s="3060"/>
      <c r="IGK158" s="3060"/>
      <c r="IGL158" s="3060"/>
      <c r="IGM158" s="3060"/>
      <c r="IGN158" s="3060"/>
      <c r="IGO158" s="3060"/>
      <c r="IGP158" s="3060"/>
      <c r="IGQ158" s="3060"/>
      <c r="IGR158" s="3060"/>
      <c r="IGS158" s="3060"/>
      <c r="IGT158" s="3060"/>
      <c r="IGU158" s="3060"/>
      <c r="IGV158" s="3060"/>
      <c r="IGW158" s="3060"/>
      <c r="IGX158" s="3060"/>
      <c r="IGY158" s="3060"/>
      <c r="IGZ158" s="3060"/>
      <c r="IHA158" s="3060"/>
      <c r="IHB158" s="3060"/>
      <c r="IHC158" s="3060"/>
      <c r="IHD158" s="3060"/>
      <c r="IHE158" s="3060"/>
      <c r="IHF158" s="3060"/>
      <c r="IHG158" s="3060"/>
      <c r="IHH158" s="3060"/>
      <c r="IHI158" s="3060"/>
      <c r="IHJ158" s="3060"/>
      <c r="IHK158" s="3060"/>
      <c r="IHL158" s="3060"/>
      <c r="IHM158" s="3060"/>
      <c r="IHN158" s="3060"/>
      <c r="IHO158" s="3060"/>
      <c r="IHP158" s="3060"/>
      <c r="IHQ158" s="3060"/>
      <c r="IHR158" s="3060"/>
      <c r="IHS158" s="3060"/>
      <c r="IHT158" s="3060"/>
      <c r="IHU158" s="3060"/>
      <c r="IHV158" s="3060"/>
      <c r="IHW158" s="3060"/>
      <c r="IHX158" s="3060"/>
      <c r="IHY158" s="3060"/>
      <c r="IHZ158" s="3060"/>
      <c r="IIA158" s="3060"/>
      <c r="IIB158" s="3060"/>
      <c r="IIC158" s="3060"/>
      <c r="IID158" s="3060"/>
      <c r="IIE158" s="3060"/>
      <c r="IIF158" s="3060"/>
      <c r="IIG158" s="3060"/>
      <c r="IIH158" s="3060"/>
      <c r="III158" s="3060"/>
      <c r="IIJ158" s="3060"/>
      <c r="IIK158" s="3060"/>
      <c r="IIL158" s="3060"/>
      <c r="IIM158" s="3060"/>
      <c r="IIN158" s="3060"/>
      <c r="IIO158" s="3060"/>
      <c r="IIP158" s="3060"/>
      <c r="IIQ158" s="3060"/>
      <c r="IIR158" s="3060"/>
      <c r="IIS158" s="3060"/>
      <c r="IIT158" s="3060"/>
      <c r="IIU158" s="3060"/>
      <c r="IIV158" s="3060"/>
      <c r="IIW158" s="3060"/>
      <c r="IIX158" s="3060"/>
      <c r="IIY158" s="3060"/>
      <c r="IIZ158" s="3060"/>
      <c r="IJA158" s="3060"/>
      <c r="IJB158" s="3060"/>
      <c r="IJC158" s="3060"/>
      <c r="IJD158" s="3060"/>
      <c r="IJE158" s="3060"/>
      <c r="IJF158" s="3060"/>
      <c r="IJG158" s="3060"/>
      <c r="IJH158" s="3060"/>
      <c r="IJI158" s="3060"/>
      <c r="IJJ158" s="3060"/>
      <c r="IJK158" s="3060"/>
      <c r="IJL158" s="3060"/>
      <c r="IJM158" s="3060"/>
      <c r="IJN158" s="3060"/>
      <c r="IJO158" s="3060"/>
      <c r="IJP158" s="3060"/>
      <c r="IJQ158" s="3060"/>
      <c r="IJR158" s="3060"/>
      <c r="IJS158" s="3060"/>
      <c r="IJT158" s="3060"/>
      <c r="IJU158" s="3060"/>
      <c r="IJV158" s="3060"/>
      <c r="IJW158" s="3060"/>
      <c r="IJX158" s="3060"/>
      <c r="IJY158" s="3060"/>
      <c r="IJZ158" s="3060"/>
      <c r="IKA158" s="3060"/>
      <c r="IKB158" s="3060"/>
      <c r="IKC158" s="3060"/>
      <c r="IKD158" s="3060"/>
      <c r="IKE158" s="3060"/>
      <c r="IKF158" s="3060"/>
      <c r="IKG158" s="3060"/>
      <c r="IKH158" s="3060"/>
      <c r="IKI158" s="3060"/>
      <c r="IKJ158" s="3060"/>
      <c r="IKK158" s="3060"/>
      <c r="IKL158" s="3060"/>
      <c r="IKM158" s="3060"/>
      <c r="IKN158" s="3060"/>
      <c r="IKO158" s="3060"/>
      <c r="IKP158" s="3060"/>
      <c r="IKQ158" s="3060"/>
      <c r="IKR158" s="3060"/>
      <c r="IKS158" s="3060"/>
      <c r="IKT158" s="3060"/>
      <c r="IKU158" s="3060"/>
      <c r="IKV158" s="3060"/>
      <c r="IKW158" s="3060"/>
      <c r="IKX158" s="3060"/>
      <c r="IKY158" s="3060"/>
      <c r="IKZ158" s="3060"/>
      <c r="ILA158" s="3060"/>
      <c r="ILB158" s="3060"/>
      <c r="ILC158" s="3060"/>
      <c r="ILD158" s="3060"/>
      <c r="ILE158" s="3060"/>
      <c r="ILF158" s="3060"/>
      <c r="ILG158" s="3060"/>
      <c r="ILH158" s="3060"/>
      <c r="ILI158" s="3060"/>
      <c r="ILJ158" s="3060"/>
      <c r="ILK158" s="3060"/>
      <c r="ILL158" s="3060"/>
      <c r="ILM158" s="3060"/>
      <c r="ILN158" s="3060"/>
      <c r="ILO158" s="3060"/>
      <c r="ILP158" s="3060"/>
      <c r="ILQ158" s="3060"/>
      <c r="ILR158" s="3060"/>
      <c r="ILS158" s="3060"/>
      <c r="ILT158" s="3060"/>
      <c r="ILU158" s="3060"/>
      <c r="ILV158" s="3060"/>
      <c r="ILW158" s="3060"/>
      <c r="ILX158" s="3060"/>
      <c r="ILY158" s="3060"/>
      <c r="ILZ158" s="3060"/>
      <c r="IMA158" s="3060"/>
      <c r="IMB158" s="3060"/>
      <c r="IMC158" s="3060"/>
      <c r="IMD158" s="3060"/>
      <c r="IME158" s="3060"/>
      <c r="IMF158" s="3060"/>
      <c r="IMG158" s="3060"/>
      <c r="IMH158" s="3060"/>
      <c r="IMI158" s="3060"/>
      <c r="IMJ158" s="3060"/>
      <c r="IMK158" s="3060"/>
      <c r="IML158" s="3060"/>
      <c r="IMM158" s="3060"/>
      <c r="IMN158" s="3060"/>
      <c r="IMO158" s="3060"/>
      <c r="IMP158" s="3060"/>
      <c r="IMQ158" s="3060"/>
      <c r="IMR158" s="3060"/>
      <c r="IMS158" s="3060"/>
      <c r="IMT158" s="3060"/>
      <c r="IMU158" s="3060"/>
      <c r="IMV158" s="3060"/>
      <c r="IMW158" s="3060"/>
      <c r="IMX158" s="3060"/>
      <c r="IMY158" s="3060"/>
      <c r="IMZ158" s="3060"/>
      <c r="INA158" s="3060"/>
      <c r="INB158" s="3060"/>
      <c r="INC158" s="3060"/>
      <c r="IND158" s="3060"/>
      <c r="INE158" s="3060"/>
      <c r="INF158" s="3060"/>
      <c r="ING158" s="3060"/>
      <c r="INH158" s="3060"/>
      <c r="INI158" s="3060"/>
      <c r="INJ158" s="3060"/>
      <c r="INK158" s="3060"/>
      <c r="INL158" s="3060"/>
      <c r="INM158" s="3060"/>
      <c r="INN158" s="3060"/>
      <c r="INO158" s="3060"/>
      <c r="INP158" s="3060"/>
      <c r="INQ158" s="3060"/>
      <c r="INR158" s="3060"/>
      <c r="INS158" s="3060"/>
      <c r="INT158" s="3060"/>
      <c r="INU158" s="3060"/>
      <c r="INV158" s="3060"/>
      <c r="INW158" s="3060"/>
      <c r="INX158" s="3060"/>
      <c r="INY158" s="3060"/>
      <c r="INZ158" s="3060"/>
      <c r="IOA158" s="3060"/>
      <c r="IOB158" s="3060"/>
      <c r="IOC158" s="3060"/>
      <c r="IOD158" s="3060"/>
      <c r="IOE158" s="3060"/>
      <c r="IOF158" s="3060"/>
      <c r="IOG158" s="3060"/>
      <c r="IOH158" s="3060"/>
      <c r="IOI158" s="3060"/>
      <c r="IOJ158" s="3060"/>
      <c r="IOK158" s="3060"/>
      <c r="IOL158" s="3060"/>
      <c r="IOM158" s="3060"/>
      <c r="ION158" s="3060"/>
      <c r="IOO158" s="3060"/>
      <c r="IOP158" s="3060"/>
      <c r="IOQ158" s="3060"/>
      <c r="IOR158" s="3060"/>
      <c r="IOS158" s="3060"/>
      <c r="IOT158" s="3060"/>
      <c r="IOU158" s="3060"/>
      <c r="IOV158" s="3060"/>
      <c r="IOW158" s="3060"/>
      <c r="IOX158" s="3060"/>
      <c r="IOY158" s="3060"/>
      <c r="IOZ158" s="3060"/>
      <c r="IPA158" s="3060"/>
      <c r="IPB158" s="3060"/>
      <c r="IPC158" s="3060"/>
      <c r="IPD158" s="3060"/>
      <c r="IPE158" s="3060"/>
      <c r="IPF158" s="3060"/>
      <c r="IPG158" s="3060"/>
      <c r="IPH158" s="3060"/>
      <c r="IPI158" s="3060"/>
      <c r="IPJ158" s="3060"/>
      <c r="IPK158" s="3060"/>
      <c r="IPL158" s="3060"/>
      <c r="IPM158" s="3060"/>
      <c r="IPN158" s="3060"/>
      <c r="IPO158" s="3060"/>
      <c r="IPP158" s="3060"/>
      <c r="IPQ158" s="3060"/>
      <c r="IPR158" s="3060"/>
      <c r="IPS158" s="3060"/>
      <c r="IPT158" s="3060"/>
      <c r="IPU158" s="3060"/>
      <c r="IPV158" s="3060"/>
      <c r="IPW158" s="3060"/>
      <c r="IPX158" s="3060"/>
      <c r="IPY158" s="3060"/>
      <c r="IPZ158" s="3060"/>
      <c r="IQA158" s="3060"/>
      <c r="IQB158" s="3060"/>
      <c r="IQC158" s="3060"/>
      <c r="IQD158" s="3060"/>
      <c r="IQE158" s="3060"/>
      <c r="IQF158" s="3060"/>
      <c r="IQG158" s="3060"/>
      <c r="IQH158" s="3060"/>
      <c r="IQI158" s="3060"/>
      <c r="IQJ158" s="3060"/>
      <c r="IQK158" s="3060"/>
      <c r="IQL158" s="3060"/>
      <c r="IQM158" s="3060"/>
      <c r="IQN158" s="3060"/>
      <c r="IQO158" s="3060"/>
      <c r="IQP158" s="3060"/>
      <c r="IQQ158" s="3060"/>
      <c r="IQR158" s="3060"/>
      <c r="IQS158" s="3060"/>
      <c r="IQT158" s="3060"/>
      <c r="IQU158" s="3060"/>
      <c r="IQV158" s="3060"/>
      <c r="IQW158" s="3060"/>
      <c r="IQX158" s="3060"/>
      <c r="IQY158" s="3060"/>
      <c r="IQZ158" s="3060"/>
      <c r="IRA158" s="3060"/>
      <c r="IRB158" s="3060"/>
      <c r="IRC158" s="3060"/>
      <c r="IRD158" s="3060"/>
      <c r="IRE158" s="3060"/>
      <c r="IRF158" s="3060"/>
      <c r="IRG158" s="3060"/>
      <c r="IRH158" s="3060"/>
      <c r="IRI158" s="3060"/>
      <c r="IRJ158" s="3060"/>
      <c r="IRK158" s="3060"/>
      <c r="IRL158" s="3060"/>
      <c r="IRM158" s="3060"/>
      <c r="IRN158" s="3060"/>
      <c r="IRO158" s="3060"/>
      <c r="IRP158" s="3060"/>
      <c r="IRQ158" s="3060"/>
      <c r="IRR158" s="3060"/>
      <c r="IRS158" s="3060"/>
      <c r="IRT158" s="3060"/>
      <c r="IRU158" s="3060"/>
      <c r="IRV158" s="3060"/>
      <c r="IRW158" s="3060"/>
      <c r="IRX158" s="3060"/>
      <c r="IRY158" s="3060"/>
      <c r="IRZ158" s="3060"/>
      <c r="ISA158" s="3060"/>
      <c r="ISB158" s="3060"/>
      <c r="ISC158" s="3060"/>
      <c r="ISD158" s="3060"/>
      <c r="ISE158" s="3060"/>
      <c r="ISF158" s="3060"/>
      <c r="ISG158" s="3060"/>
      <c r="ISH158" s="3060"/>
      <c r="ISI158" s="3060"/>
      <c r="ISJ158" s="3060"/>
      <c r="ISK158" s="3060"/>
      <c r="ISL158" s="3060"/>
      <c r="ISM158" s="3060"/>
      <c r="ISN158" s="3060"/>
      <c r="ISO158" s="3060"/>
      <c r="ISP158" s="3060"/>
      <c r="ISQ158" s="3060"/>
      <c r="ISR158" s="3060"/>
      <c r="ISS158" s="3060"/>
      <c r="IST158" s="3060"/>
      <c r="ISU158" s="3060"/>
      <c r="ISV158" s="3060"/>
      <c r="ISW158" s="3060"/>
      <c r="ISX158" s="3060"/>
      <c r="ISY158" s="3060"/>
      <c r="ISZ158" s="3060"/>
      <c r="ITA158" s="3060"/>
      <c r="ITB158" s="3060"/>
      <c r="ITC158" s="3060"/>
      <c r="ITD158" s="3060"/>
      <c r="ITE158" s="3060"/>
      <c r="ITF158" s="3060"/>
      <c r="ITG158" s="3060"/>
      <c r="ITH158" s="3060"/>
      <c r="ITI158" s="3060"/>
      <c r="ITJ158" s="3060"/>
      <c r="ITK158" s="3060"/>
      <c r="ITL158" s="3060"/>
      <c r="ITM158" s="3060"/>
      <c r="ITN158" s="3060"/>
      <c r="ITO158" s="3060"/>
      <c r="ITP158" s="3060"/>
      <c r="ITQ158" s="3060"/>
      <c r="ITR158" s="3060"/>
      <c r="ITS158" s="3060"/>
      <c r="ITT158" s="3060"/>
      <c r="ITU158" s="3060"/>
      <c r="ITV158" s="3060"/>
      <c r="ITW158" s="3060"/>
      <c r="ITX158" s="3060"/>
      <c r="ITY158" s="3060"/>
      <c r="ITZ158" s="3060"/>
      <c r="IUA158" s="3060"/>
      <c r="IUB158" s="3060"/>
      <c r="IUC158" s="3060"/>
      <c r="IUD158" s="3060"/>
      <c r="IUE158" s="3060"/>
      <c r="IUF158" s="3060"/>
      <c r="IUG158" s="3060"/>
      <c r="IUH158" s="3060"/>
      <c r="IUI158" s="3060"/>
      <c r="IUJ158" s="3060"/>
      <c r="IUK158" s="3060"/>
      <c r="IUL158" s="3060"/>
      <c r="IUM158" s="3060"/>
      <c r="IUN158" s="3060"/>
      <c r="IUO158" s="3060"/>
      <c r="IUP158" s="3060"/>
      <c r="IUQ158" s="3060"/>
      <c r="IUR158" s="3060"/>
      <c r="IUS158" s="3060"/>
      <c r="IUT158" s="3060"/>
      <c r="IUU158" s="3060"/>
      <c r="IUV158" s="3060"/>
      <c r="IUW158" s="3060"/>
      <c r="IUX158" s="3060"/>
      <c r="IUY158" s="3060"/>
      <c r="IUZ158" s="3060"/>
      <c r="IVA158" s="3060"/>
      <c r="IVB158" s="3060"/>
      <c r="IVC158" s="3060"/>
      <c r="IVD158" s="3060"/>
      <c r="IVE158" s="3060"/>
      <c r="IVF158" s="3060"/>
      <c r="IVG158" s="3060"/>
      <c r="IVH158" s="3060"/>
      <c r="IVI158" s="3060"/>
      <c r="IVJ158" s="3060"/>
      <c r="IVK158" s="3060"/>
      <c r="IVL158" s="3060"/>
      <c r="IVM158" s="3060"/>
      <c r="IVN158" s="3060"/>
      <c r="IVO158" s="3060"/>
      <c r="IVP158" s="3060"/>
      <c r="IVQ158" s="3060"/>
      <c r="IVR158" s="3060"/>
      <c r="IVS158" s="3060"/>
      <c r="IVT158" s="3060"/>
      <c r="IVU158" s="3060"/>
      <c r="IVV158" s="3060"/>
      <c r="IVW158" s="3060"/>
      <c r="IVX158" s="3060"/>
      <c r="IVY158" s="3060"/>
      <c r="IVZ158" s="3060"/>
      <c r="IWA158" s="3060"/>
      <c r="IWB158" s="3060"/>
      <c r="IWC158" s="3060"/>
      <c r="IWD158" s="3060"/>
      <c r="IWE158" s="3060"/>
      <c r="IWF158" s="3060"/>
      <c r="IWG158" s="3060"/>
      <c r="IWH158" s="3060"/>
      <c r="IWI158" s="3060"/>
      <c r="IWJ158" s="3060"/>
      <c r="IWK158" s="3060"/>
      <c r="IWL158" s="3060"/>
      <c r="IWM158" s="3060"/>
      <c r="IWN158" s="3060"/>
      <c r="IWO158" s="3060"/>
      <c r="IWP158" s="3060"/>
      <c r="IWQ158" s="3060"/>
      <c r="IWR158" s="3060"/>
      <c r="IWS158" s="3060"/>
      <c r="IWT158" s="3060"/>
      <c r="IWU158" s="3060"/>
      <c r="IWV158" s="3060"/>
      <c r="IWW158" s="3060"/>
      <c r="IWX158" s="3060"/>
      <c r="IWY158" s="3060"/>
      <c r="IWZ158" s="3060"/>
      <c r="IXA158" s="3060"/>
      <c r="IXB158" s="3060"/>
      <c r="IXC158" s="3060"/>
      <c r="IXD158" s="3060"/>
      <c r="IXE158" s="3060"/>
      <c r="IXF158" s="3060"/>
      <c r="IXG158" s="3060"/>
      <c r="IXH158" s="3060"/>
      <c r="IXI158" s="3060"/>
      <c r="IXJ158" s="3060"/>
      <c r="IXK158" s="3060"/>
      <c r="IXL158" s="3060"/>
      <c r="IXM158" s="3060"/>
      <c r="IXN158" s="3060"/>
      <c r="IXO158" s="3060"/>
      <c r="IXP158" s="3060"/>
      <c r="IXQ158" s="3060"/>
      <c r="IXR158" s="3060"/>
      <c r="IXS158" s="3060"/>
      <c r="IXT158" s="3060"/>
      <c r="IXU158" s="3060"/>
      <c r="IXV158" s="3060"/>
      <c r="IXW158" s="3060"/>
      <c r="IXX158" s="3060"/>
      <c r="IXY158" s="3060"/>
      <c r="IXZ158" s="3060"/>
      <c r="IYA158" s="3060"/>
      <c r="IYB158" s="3060"/>
      <c r="IYC158" s="3060"/>
      <c r="IYD158" s="3060"/>
      <c r="IYE158" s="3060"/>
      <c r="IYF158" s="3060"/>
      <c r="IYG158" s="3060"/>
      <c r="IYH158" s="3060"/>
      <c r="IYI158" s="3060"/>
      <c r="IYJ158" s="3060"/>
      <c r="IYK158" s="3060"/>
      <c r="IYL158" s="3060"/>
      <c r="IYM158" s="3060"/>
      <c r="IYN158" s="3060"/>
      <c r="IYO158" s="3060"/>
      <c r="IYP158" s="3060"/>
      <c r="IYQ158" s="3060"/>
      <c r="IYR158" s="3060"/>
      <c r="IYS158" s="3060"/>
      <c r="IYT158" s="3060"/>
      <c r="IYU158" s="3060"/>
      <c r="IYV158" s="3060"/>
      <c r="IYW158" s="3060"/>
      <c r="IYX158" s="3060"/>
      <c r="IYY158" s="3060"/>
      <c r="IYZ158" s="3060"/>
      <c r="IZA158" s="3060"/>
      <c r="IZB158" s="3060"/>
      <c r="IZC158" s="3060"/>
      <c r="IZD158" s="3060"/>
      <c r="IZE158" s="3060"/>
      <c r="IZF158" s="3060"/>
      <c r="IZG158" s="3060"/>
      <c r="IZH158" s="3060"/>
      <c r="IZI158" s="3060"/>
      <c r="IZJ158" s="3060"/>
      <c r="IZK158" s="3060"/>
      <c r="IZL158" s="3060"/>
      <c r="IZM158" s="3060"/>
      <c r="IZN158" s="3060"/>
      <c r="IZO158" s="3060"/>
      <c r="IZP158" s="3060"/>
      <c r="IZQ158" s="3060"/>
      <c r="IZR158" s="3060"/>
      <c r="IZS158" s="3060"/>
      <c r="IZT158" s="3060"/>
      <c r="IZU158" s="3060"/>
      <c r="IZV158" s="3060"/>
      <c r="IZW158" s="3060"/>
      <c r="IZX158" s="3060"/>
      <c r="IZY158" s="3060"/>
      <c r="IZZ158" s="3060"/>
      <c r="JAA158" s="3060"/>
      <c r="JAB158" s="3060"/>
      <c r="JAC158" s="3060"/>
      <c r="JAD158" s="3060"/>
      <c r="JAE158" s="3060"/>
      <c r="JAF158" s="3060"/>
      <c r="JAG158" s="3060"/>
      <c r="JAH158" s="3060"/>
      <c r="JAI158" s="3060"/>
      <c r="JAJ158" s="3060"/>
      <c r="JAK158" s="3060"/>
      <c r="JAL158" s="3060"/>
      <c r="JAM158" s="3060"/>
      <c r="JAN158" s="3060"/>
      <c r="JAO158" s="3060"/>
      <c r="JAP158" s="3060"/>
      <c r="JAQ158" s="3060"/>
      <c r="JAR158" s="3060"/>
      <c r="JAS158" s="3060"/>
      <c r="JAT158" s="3060"/>
      <c r="JAU158" s="3060"/>
      <c r="JAV158" s="3060"/>
      <c r="JAW158" s="3060"/>
      <c r="JAX158" s="3060"/>
      <c r="JAY158" s="3060"/>
      <c r="JAZ158" s="3060"/>
      <c r="JBA158" s="3060"/>
      <c r="JBB158" s="3060"/>
      <c r="JBC158" s="3060"/>
      <c r="JBD158" s="3060"/>
      <c r="JBE158" s="3060"/>
      <c r="JBF158" s="3060"/>
      <c r="JBG158" s="3060"/>
      <c r="JBH158" s="3060"/>
      <c r="JBI158" s="3060"/>
      <c r="JBJ158" s="3060"/>
      <c r="JBK158" s="3060"/>
      <c r="JBL158" s="3060"/>
      <c r="JBM158" s="3060"/>
      <c r="JBN158" s="3060"/>
      <c r="JBO158" s="3060"/>
      <c r="JBP158" s="3060"/>
      <c r="JBQ158" s="3060"/>
      <c r="JBR158" s="3060"/>
      <c r="JBS158" s="3060"/>
      <c r="JBT158" s="3060"/>
      <c r="JBU158" s="3060"/>
      <c r="JBV158" s="3060"/>
      <c r="JBW158" s="3060"/>
      <c r="JBX158" s="3060"/>
      <c r="JBY158" s="3060"/>
      <c r="JBZ158" s="3060"/>
      <c r="JCA158" s="3060"/>
      <c r="JCB158" s="3060"/>
      <c r="JCC158" s="3060"/>
      <c r="JCD158" s="3060"/>
      <c r="JCE158" s="3060"/>
      <c r="JCF158" s="3060"/>
      <c r="JCG158" s="3060"/>
      <c r="JCH158" s="3060"/>
      <c r="JCI158" s="3060"/>
      <c r="JCJ158" s="3060"/>
      <c r="JCK158" s="3060"/>
      <c r="JCL158" s="3060"/>
      <c r="JCM158" s="3060"/>
      <c r="JCN158" s="3060"/>
      <c r="JCO158" s="3060"/>
      <c r="JCP158" s="3060"/>
      <c r="JCQ158" s="3060"/>
      <c r="JCR158" s="3060"/>
      <c r="JCS158" s="3060"/>
      <c r="JCT158" s="3060"/>
      <c r="JCU158" s="3060"/>
      <c r="JCV158" s="3060"/>
      <c r="JCW158" s="3060"/>
      <c r="JCX158" s="3060"/>
      <c r="JCY158" s="3060"/>
      <c r="JCZ158" s="3060"/>
      <c r="JDA158" s="3060"/>
      <c r="JDB158" s="3060"/>
      <c r="JDC158" s="3060"/>
      <c r="JDD158" s="3060"/>
      <c r="JDE158" s="3060"/>
      <c r="JDF158" s="3060"/>
      <c r="JDG158" s="3060"/>
      <c r="JDH158" s="3060"/>
      <c r="JDI158" s="3060"/>
      <c r="JDJ158" s="3060"/>
      <c r="JDK158" s="3060"/>
      <c r="JDL158" s="3060"/>
      <c r="JDM158" s="3060"/>
      <c r="JDN158" s="3060"/>
      <c r="JDO158" s="3060"/>
      <c r="JDP158" s="3060"/>
      <c r="JDQ158" s="3060"/>
      <c r="JDR158" s="3060"/>
      <c r="JDS158" s="3060"/>
      <c r="JDT158" s="3060"/>
      <c r="JDU158" s="3060"/>
      <c r="JDV158" s="3060"/>
      <c r="JDW158" s="3060"/>
      <c r="JDX158" s="3060"/>
      <c r="JDY158" s="3060"/>
      <c r="JDZ158" s="3060"/>
      <c r="JEA158" s="3060"/>
      <c r="JEB158" s="3060"/>
      <c r="JEC158" s="3060"/>
      <c r="JED158" s="3060"/>
      <c r="JEE158" s="3060"/>
      <c r="JEF158" s="3060"/>
      <c r="JEG158" s="3060"/>
      <c r="JEH158" s="3060"/>
      <c r="JEI158" s="3060"/>
      <c r="JEJ158" s="3060"/>
      <c r="JEK158" s="3060"/>
      <c r="JEL158" s="3060"/>
      <c r="JEM158" s="3060"/>
      <c r="JEN158" s="3060"/>
      <c r="JEO158" s="3060"/>
      <c r="JEP158" s="3060"/>
      <c r="JEQ158" s="3060"/>
      <c r="JER158" s="3060"/>
      <c r="JES158" s="3060"/>
      <c r="JET158" s="3060"/>
      <c r="JEU158" s="3060"/>
      <c r="JEV158" s="3060"/>
      <c r="JEW158" s="3060"/>
      <c r="JEX158" s="3060"/>
      <c r="JEY158" s="3060"/>
      <c r="JEZ158" s="3060"/>
      <c r="JFA158" s="3060"/>
      <c r="JFB158" s="3060"/>
      <c r="JFC158" s="3060"/>
      <c r="JFD158" s="3060"/>
      <c r="JFE158" s="3060"/>
      <c r="JFF158" s="3060"/>
      <c r="JFG158" s="3060"/>
      <c r="JFH158" s="3060"/>
      <c r="JFI158" s="3060"/>
      <c r="JFJ158" s="3060"/>
      <c r="JFK158" s="3060"/>
      <c r="JFL158" s="3060"/>
      <c r="JFM158" s="3060"/>
      <c r="JFN158" s="3060"/>
      <c r="JFO158" s="3060"/>
      <c r="JFP158" s="3060"/>
      <c r="JFQ158" s="3060"/>
      <c r="JFR158" s="3060"/>
      <c r="JFS158" s="3060"/>
      <c r="JFT158" s="3060"/>
      <c r="JFU158" s="3060"/>
      <c r="JFV158" s="3060"/>
      <c r="JFW158" s="3060"/>
      <c r="JFX158" s="3060"/>
      <c r="JFY158" s="3060"/>
      <c r="JFZ158" s="3060"/>
      <c r="JGA158" s="3060"/>
      <c r="JGB158" s="3060"/>
      <c r="JGC158" s="3060"/>
      <c r="JGD158" s="3060"/>
      <c r="JGE158" s="3060"/>
      <c r="JGF158" s="3060"/>
      <c r="JGG158" s="3060"/>
      <c r="JGH158" s="3060"/>
      <c r="JGI158" s="3060"/>
      <c r="JGJ158" s="3060"/>
      <c r="JGK158" s="3060"/>
      <c r="JGL158" s="3060"/>
      <c r="JGM158" s="3060"/>
      <c r="JGN158" s="3060"/>
      <c r="JGO158" s="3060"/>
      <c r="JGP158" s="3060"/>
      <c r="JGQ158" s="3060"/>
      <c r="JGR158" s="3060"/>
      <c r="JGS158" s="3060"/>
      <c r="JGT158" s="3060"/>
      <c r="JGU158" s="3060"/>
      <c r="JGV158" s="3060"/>
      <c r="JGW158" s="3060"/>
      <c r="JGX158" s="3060"/>
      <c r="JGY158" s="3060"/>
      <c r="JGZ158" s="3060"/>
      <c r="JHA158" s="3060"/>
      <c r="JHB158" s="3060"/>
      <c r="JHC158" s="3060"/>
      <c r="JHD158" s="3060"/>
      <c r="JHE158" s="3060"/>
      <c r="JHF158" s="3060"/>
      <c r="JHG158" s="3060"/>
      <c r="JHH158" s="3060"/>
      <c r="JHI158" s="3060"/>
      <c r="JHJ158" s="3060"/>
      <c r="JHK158" s="3060"/>
      <c r="JHL158" s="3060"/>
      <c r="JHM158" s="3060"/>
      <c r="JHN158" s="3060"/>
      <c r="JHO158" s="3060"/>
      <c r="JHP158" s="3060"/>
      <c r="JHQ158" s="3060"/>
      <c r="JHR158" s="3060"/>
      <c r="JHS158" s="3060"/>
      <c r="JHT158" s="3060"/>
      <c r="JHU158" s="3060"/>
      <c r="JHV158" s="3060"/>
      <c r="JHW158" s="3060"/>
      <c r="JHX158" s="3060"/>
      <c r="JHY158" s="3060"/>
      <c r="JHZ158" s="3060"/>
      <c r="JIA158" s="3060"/>
      <c r="JIB158" s="3060"/>
      <c r="JIC158" s="3060"/>
      <c r="JID158" s="3060"/>
      <c r="JIE158" s="3060"/>
      <c r="JIF158" s="3060"/>
      <c r="JIG158" s="3060"/>
      <c r="JIH158" s="3060"/>
      <c r="JII158" s="3060"/>
      <c r="JIJ158" s="3060"/>
      <c r="JIK158" s="3060"/>
      <c r="JIL158" s="3060"/>
      <c r="JIM158" s="3060"/>
      <c r="JIN158" s="3060"/>
      <c r="JIO158" s="3060"/>
      <c r="JIP158" s="3060"/>
      <c r="JIQ158" s="3060"/>
      <c r="JIR158" s="3060"/>
      <c r="JIS158" s="3060"/>
      <c r="JIT158" s="3060"/>
      <c r="JIU158" s="3060"/>
      <c r="JIV158" s="3060"/>
      <c r="JIW158" s="3060"/>
      <c r="JIX158" s="3060"/>
      <c r="JIY158" s="3060"/>
      <c r="JIZ158" s="3060"/>
      <c r="JJA158" s="3060"/>
      <c r="JJB158" s="3060"/>
      <c r="JJC158" s="3060"/>
      <c r="JJD158" s="3060"/>
      <c r="JJE158" s="3060"/>
      <c r="JJF158" s="3060"/>
      <c r="JJG158" s="3060"/>
      <c r="JJH158" s="3060"/>
      <c r="JJI158" s="3060"/>
      <c r="JJJ158" s="3060"/>
      <c r="JJK158" s="3060"/>
      <c r="JJL158" s="3060"/>
      <c r="JJM158" s="3060"/>
      <c r="JJN158" s="3060"/>
      <c r="JJO158" s="3060"/>
      <c r="JJP158" s="3060"/>
      <c r="JJQ158" s="3060"/>
      <c r="JJR158" s="3060"/>
      <c r="JJS158" s="3060"/>
      <c r="JJT158" s="3060"/>
      <c r="JJU158" s="3060"/>
      <c r="JJV158" s="3060"/>
      <c r="JJW158" s="3060"/>
      <c r="JJX158" s="3060"/>
      <c r="JJY158" s="3060"/>
      <c r="JJZ158" s="3060"/>
      <c r="JKA158" s="3060"/>
      <c r="JKB158" s="3060"/>
      <c r="JKC158" s="3060"/>
      <c r="JKD158" s="3060"/>
      <c r="JKE158" s="3060"/>
      <c r="JKF158" s="3060"/>
      <c r="JKG158" s="3060"/>
      <c r="JKH158" s="3060"/>
      <c r="JKI158" s="3060"/>
      <c r="JKJ158" s="3060"/>
      <c r="JKK158" s="3060"/>
      <c r="JKL158" s="3060"/>
      <c r="JKM158" s="3060"/>
      <c r="JKN158" s="3060"/>
      <c r="JKO158" s="3060"/>
      <c r="JKP158" s="3060"/>
      <c r="JKQ158" s="3060"/>
      <c r="JKR158" s="3060"/>
      <c r="JKS158" s="3060"/>
      <c r="JKT158" s="3060"/>
      <c r="JKU158" s="3060"/>
      <c r="JKV158" s="3060"/>
      <c r="JKW158" s="3060"/>
      <c r="JKX158" s="3060"/>
      <c r="JKY158" s="3060"/>
      <c r="JKZ158" s="3060"/>
      <c r="JLA158" s="3060"/>
      <c r="JLB158" s="3060"/>
      <c r="JLC158" s="3060"/>
      <c r="JLD158" s="3060"/>
      <c r="JLE158" s="3060"/>
      <c r="JLF158" s="3060"/>
      <c r="JLG158" s="3060"/>
      <c r="JLH158" s="3060"/>
      <c r="JLI158" s="3060"/>
      <c r="JLJ158" s="3060"/>
      <c r="JLK158" s="3060"/>
      <c r="JLL158" s="3060"/>
      <c r="JLM158" s="3060"/>
      <c r="JLN158" s="3060"/>
      <c r="JLO158" s="3060"/>
      <c r="JLP158" s="3060"/>
      <c r="JLQ158" s="3060"/>
      <c r="JLR158" s="3060"/>
      <c r="JLS158" s="3060"/>
      <c r="JLT158" s="3060"/>
      <c r="JLU158" s="3060"/>
      <c r="JLV158" s="3060"/>
      <c r="JLW158" s="3060"/>
      <c r="JLX158" s="3060"/>
      <c r="JLY158" s="3060"/>
      <c r="JLZ158" s="3060"/>
      <c r="JMA158" s="3060"/>
      <c r="JMB158" s="3060"/>
      <c r="JMC158" s="3060"/>
      <c r="JMD158" s="3060"/>
      <c r="JME158" s="3060"/>
      <c r="JMF158" s="3060"/>
      <c r="JMG158" s="3060"/>
      <c r="JMH158" s="3060"/>
      <c r="JMI158" s="3060"/>
      <c r="JMJ158" s="3060"/>
      <c r="JMK158" s="3060"/>
      <c r="JML158" s="3060"/>
      <c r="JMM158" s="3060"/>
      <c r="JMN158" s="3060"/>
      <c r="JMO158" s="3060"/>
      <c r="JMP158" s="3060"/>
      <c r="JMQ158" s="3060"/>
      <c r="JMR158" s="3060"/>
      <c r="JMS158" s="3060"/>
      <c r="JMT158" s="3060"/>
      <c r="JMU158" s="3060"/>
      <c r="JMV158" s="3060"/>
      <c r="JMW158" s="3060"/>
      <c r="JMX158" s="3060"/>
      <c r="JMY158" s="3060"/>
      <c r="JMZ158" s="3060"/>
      <c r="JNA158" s="3060"/>
      <c r="JNB158" s="3060"/>
      <c r="JNC158" s="3060"/>
      <c r="JND158" s="3060"/>
      <c r="JNE158" s="3060"/>
      <c r="JNF158" s="3060"/>
      <c r="JNG158" s="3060"/>
      <c r="JNH158" s="3060"/>
      <c r="JNI158" s="3060"/>
      <c r="JNJ158" s="3060"/>
      <c r="JNK158" s="3060"/>
      <c r="JNL158" s="3060"/>
      <c r="JNM158" s="3060"/>
      <c r="JNN158" s="3060"/>
      <c r="JNO158" s="3060"/>
      <c r="JNP158" s="3060"/>
      <c r="JNQ158" s="3060"/>
      <c r="JNR158" s="3060"/>
      <c r="JNS158" s="3060"/>
      <c r="JNT158" s="3060"/>
      <c r="JNU158" s="3060"/>
      <c r="JNV158" s="3060"/>
      <c r="JNW158" s="3060"/>
      <c r="JNX158" s="3060"/>
      <c r="JNY158" s="3060"/>
      <c r="JNZ158" s="3060"/>
      <c r="JOA158" s="3060"/>
      <c r="JOB158" s="3060"/>
      <c r="JOC158" s="3060"/>
      <c r="JOD158" s="3060"/>
      <c r="JOE158" s="3060"/>
      <c r="JOF158" s="3060"/>
      <c r="JOG158" s="3060"/>
      <c r="JOH158" s="3060"/>
      <c r="JOI158" s="3060"/>
      <c r="JOJ158" s="3060"/>
      <c r="JOK158" s="3060"/>
      <c r="JOL158" s="3060"/>
      <c r="JOM158" s="3060"/>
      <c r="JON158" s="3060"/>
      <c r="JOO158" s="3060"/>
      <c r="JOP158" s="3060"/>
      <c r="JOQ158" s="3060"/>
      <c r="JOR158" s="3060"/>
      <c r="JOS158" s="3060"/>
      <c r="JOT158" s="3060"/>
      <c r="JOU158" s="3060"/>
      <c r="JOV158" s="3060"/>
      <c r="JOW158" s="3060"/>
      <c r="JOX158" s="3060"/>
      <c r="JOY158" s="3060"/>
      <c r="JOZ158" s="3060"/>
      <c r="JPA158" s="3060"/>
      <c r="JPB158" s="3060"/>
      <c r="JPC158" s="3060"/>
      <c r="JPD158" s="3060"/>
      <c r="JPE158" s="3060"/>
      <c r="JPF158" s="3060"/>
      <c r="JPG158" s="3060"/>
      <c r="JPH158" s="3060"/>
      <c r="JPI158" s="3060"/>
      <c r="JPJ158" s="3060"/>
      <c r="JPK158" s="3060"/>
      <c r="JPL158" s="3060"/>
      <c r="JPM158" s="3060"/>
      <c r="JPN158" s="3060"/>
      <c r="JPO158" s="3060"/>
      <c r="JPP158" s="3060"/>
      <c r="JPQ158" s="3060"/>
      <c r="JPR158" s="3060"/>
      <c r="JPS158" s="3060"/>
      <c r="JPT158" s="3060"/>
      <c r="JPU158" s="3060"/>
      <c r="JPV158" s="3060"/>
      <c r="JPW158" s="3060"/>
      <c r="JPX158" s="3060"/>
      <c r="JPY158" s="3060"/>
      <c r="JPZ158" s="3060"/>
      <c r="JQA158" s="3060"/>
      <c r="JQB158" s="3060"/>
      <c r="JQC158" s="3060"/>
      <c r="JQD158" s="3060"/>
      <c r="JQE158" s="3060"/>
      <c r="JQF158" s="3060"/>
      <c r="JQG158" s="3060"/>
      <c r="JQH158" s="3060"/>
      <c r="JQI158" s="3060"/>
      <c r="JQJ158" s="3060"/>
      <c r="JQK158" s="3060"/>
      <c r="JQL158" s="3060"/>
      <c r="JQM158" s="3060"/>
      <c r="JQN158" s="3060"/>
      <c r="JQO158" s="3060"/>
      <c r="JQP158" s="3060"/>
      <c r="JQQ158" s="3060"/>
      <c r="JQR158" s="3060"/>
      <c r="JQS158" s="3060"/>
      <c r="JQT158" s="3060"/>
      <c r="JQU158" s="3060"/>
      <c r="JQV158" s="3060"/>
      <c r="JQW158" s="3060"/>
      <c r="JQX158" s="3060"/>
      <c r="JQY158" s="3060"/>
      <c r="JQZ158" s="3060"/>
      <c r="JRA158" s="3060"/>
      <c r="JRB158" s="3060"/>
      <c r="JRC158" s="3060"/>
      <c r="JRD158" s="3060"/>
      <c r="JRE158" s="3060"/>
      <c r="JRF158" s="3060"/>
      <c r="JRG158" s="3060"/>
      <c r="JRH158" s="3060"/>
      <c r="JRI158" s="3060"/>
      <c r="JRJ158" s="3060"/>
      <c r="JRK158" s="3060"/>
      <c r="JRL158" s="3060"/>
      <c r="JRM158" s="3060"/>
      <c r="JRN158" s="3060"/>
      <c r="JRO158" s="3060"/>
      <c r="JRP158" s="3060"/>
      <c r="JRQ158" s="3060"/>
      <c r="JRR158" s="3060"/>
      <c r="JRS158" s="3060"/>
      <c r="JRT158" s="3060"/>
      <c r="JRU158" s="3060"/>
      <c r="JRV158" s="3060"/>
      <c r="JRW158" s="3060"/>
      <c r="JRX158" s="3060"/>
      <c r="JRY158" s="3060"/>
      <c r="JRZ158" s="3060"/>
      <c r="JSA158" s="3060"/>
      <c r="JSB158" s="3060"/>
      <c r="JSC158" s="3060"/>
      <c r="JSD158" s="3060"/>
      <c r="JSE158" s="3060"/>
      <c r="JSF158" s="3060"/>
      <c r="JSG158" s="3060"/>
      <c r="JSH158" s="3060"/>
      <c r="JSI158" s="3060"/>
      <c r="JSJ158" s="3060"/>
      <c r="JSK158" s="3060"/>
      <c r="JSL158" s="3060"/>
      <c r="JSM158" s="3060"/>
      <c r="JSN158" s="3060"/>
      <c r="JSO158" s="3060"/>
      <c r="JSP158" s="3060"/>
      <c r="JSQ158" s="3060"/>
      <c r="JSR158" s="3060"/>
      <c r="JSS158" s="3060"/>
      <c r="JST158" s="3060"/>
      <c r="JSU158" s="3060"/>
      <c r="JSV158" s="3060"/>
      <c r="JSW158" s="3060"/>
      <c r="JSX158" s="3060"/>
      <c r="JSY158" s="3060"/>
      <c r="JSZ158" s="3060"/>
      <c r="JTA158" s="3060"/>
      <c r="JTB158" s="3060"/>
      <c r="JTC158" s="3060"/>
      <c r="JTD158" s="3060"/>
      <c r="JTE158" s="3060"/>
      <c r="JTF158" s="3060"/>
      <c r="JTG158" s="3060"/>
      <c r="JTH158" s="3060"/>
      <c r="JTI158" s="3060"/>
      <c r="JTJ158" s="3060"/>
      <c r="JTK158" s="3060"/>
      <c r="JTL158" s="3060"/>
      <c r="JTM158" s="3060"/>
      <c r="JTN158" s="3060"/>
      <c r="JTO158" s="3060"/>
      <c r="JTP158" s="3060"/>
      <c r="JTQ158" s="3060"/>
      <c r="JTR158" s="3060"/>
      <c r="JTS158" s="3060"/>
      <c r="JTT158" s="3060"/>
      <c r="JTU158" s="3060"/>
      <c r="JTV158" s="3060"/>
      <c r="JTW158" s="3060"/>
      <c r="JTX158" s="3060"/>
      <c r="JTY158" s="3060"/>
      <c r="JTZ158" s="3060"/>
      <c r="JUA158" s="3060"/>
      <c r="JUB158" s="3060"/>
      <c r="JUC158" s="3060"/>
      <c r="JUD158" s="3060"/>
      <c r="JUE158" s="3060"/>
      <c r="JUF158" s="3060"/>
      <c r="JUG158" s="3060"/>
      <c r="JUH158" s="3060"/>
      <c r="JUI158" s="3060"/>
      <c r="JUJ158" s="3060"/>
      <c r="JUK158" s="3060"/>
      <c r="JUL158" s="3060"/>
      <c r="JUM158" s="3060"/>
      <c r="JUN158" s="3060"/>
      <c r="JUO158" s="3060"/>
      <c r="JUP158" s="3060"/>
      <c r="JUQ158" s="3060"/>
      <c r="JUR158" s="3060"/>
      <c r="JUS158" s="3060"/>
      <c r="JUT158" s="3060"/>
      <c r="JUU158" s="3060"/>
      <c r="JUV158" s="3060"/>
      <c r="JUW158" s="3060"/>
      <c r="JUX158" s="3060"/>
      <c r="JUY158" s="3060"/>
      <c r="JUZ158" s="3060"/>
      <c r="JVA158" s="3060"/>
      <c r="JVB158" s="3060"/>
      <c r="JVC158" s="3060"/>
      <c r="JVD158" s="3060"/>
      <c r="JVE158" s="3060"/>
      <c r="JVF158" s="3060"/>
      <c r="JVG158" s="3060"/>
      <c r="JVH158" s="3060"/>
      <c r="JVI158" s="3060"/>
      <c r="JVJ158" s="3060"/>
      <c r="JVK158" s="3060"/>
      <c r="JVL158" s="3060"/>
      <c r="JVM158" s="3060"/>
      <c r="JVN158" s="3060"/>
      <c r="JVO158" s="3060"/>
      <c r="JVP158" s="3060"/>
      <c r="JVQ158" s="3060"/>
      <c r="JVR158" s="3060"/>
      <c r="JVS158" s="3060"/>
      <c r="JVT158" s="3060"/>
      <c r="JVU158" s="3060"/>
      <c r="JVV158" s="3060"/>
      <c r="JVW158" s="3060"/>
      <c r="JVX158" s="3060"/>
      <c r="JVY158" s="3060"/>
      <c r="JVZ158" s="3060"/>
      <c r="JWA158" s="3060"/>
      <c r="JWB158" s="3060"/>
      <c r="JWC158" s="3060"/>
      <c r="JWD158" s="3060"/>
      <c r="JWE158" s="3060"/>
      <c r="JWF158" s="3060"/>
      <c r="JWG158" s="3060"/>
      <c r="JWH158" s="3060"/>
      <c r="JWI158" s="3060"/>
      <c r="JWJ158" s="3060"/>
      <c r="JWK158" s="3060"/>
      <c r="JWL158" s="3060"/>
      <c r="JWM158" s="3060"/>
      <c r="JWN158" s="3060"/>
      <c r="JWO158" s="3060"/>
      <c r="JWP158" s="3060"/>
      <c r="JWQ158" s="3060"/>
      <c r="JWR158" s="3060"/>
      <c r="JWS158" s="3060"/>
      <c r="JWT158" s="3060"/>
      <c r="JWU158" s="3060"/>
      <c r="JWV158" s="3060"/>
      <c r="JWW158" s="3060"/>
      <c r="JWX158" s="3060"/>
      <c r="JWY158" s="3060"/>
      <c r="JWZ158" s="3060"/>
      <c r="JXA158" s="3060"/>
      <c r="JXB158" s="3060"/>
      <c r="JXC158" s="3060"/>
      <c r="JXD158" s="3060"/>
      <c r="JXE158" s="3060"/>
      <c r="JXF158" s="3060"/>
      <c r="JXG158" s="3060"/>
      <c r="JXH158" s="3060"/>
      <c r="JXI158" s="3060"/>
      <c r="JXJ158" s="3060"/>
      <c r="JXK158" s="3060"/>
      <c r="JXL158" s="3060"/>
      <c r="JXM158" s="3060"/>
      <c r="JXN158" s="3060"/>
      <c r="JXO158" s="3060"/>
      <c r="JXP158" s="3060"/>
      <c r="JXQ158" s="3060"/>
      <c r="JXR158" s="3060"/>
      <c r="JXS158" s="3060"/>
      <c r="JXT158" s="3060"/>
      <c r="JXU158" s="3060"/>
      <c r="JXV158" s="3060"/>
      <c r="JXW158" s="3060"/>
      <c r="JXX158" s="3060"/>
      <c r="JXY158" s="3060"/>
      <c r="JXZ158" s="3060"/>
      <c r="JYA158" s="3060"/>
      <c r="JYB158" s="3060"/>
      <c r="JYC158" s="3060"/>
      <c r="JYD158" s="3060"/>
      <c r="JYE158" s="3060"/>
      <c r="JYF158" s="3060"/>
      <c r="JYG158" s="3060"/>
      <c r="JYH158" s="3060"/>
      <c r="JYI158" s="3060"/>
      <c r="JYJ158" s="3060"/>
      <c r="JYK158" s="3060"/>
      <c r="JYL158" s="3060"/>
      <c r="JYM158" s="3060"/>
      <c r="JYN158" s="3060"/>
      <c r="JYO158" s="3060"/>
      <c r="JYP158" s="3060"/>
      <c r="JYQ158" s="3060"/>
      <c r="JYR158" s="3060"/>
      <c r="JYS158" s="3060"/>
      <c r="JYT158" s="3060"/>
      <c r="JYU158" s="3060"/>
      <c r="JYV158" s="3060"/>
      <c r="JYW158" s="3060"/>
      <c r="JYX158" s="3060"/>
      <c r="JYY158" s="3060"/>
      <c r="JYZ158" s="3060"/>
      <c r="JZA158" s="3060"/>
      <c r="JZB158" s="3060"/>
      <c r="JZC158" s="3060"/>
      <c r="JZD158" s="3060"/>
      <c r="JZE158" s="3060"/>
      <c r="JZF158" s="3060"/>
      <c r="JZG158" s="3060"/>
      <c r="JZH158" s="3060"/>
      <c r="JZI158" s="3060"/>
      <c r="JZJ158" s="3060"/>
      <c r="JZK158" s="3060"/>
      <c r="JZL158" s="3060"/>
      <c r="JZM158" s="3060"/>
      <c r="JZN158" s="3060"/>
      <c r="JZO158" s="3060"/>
      <c r="JZP158" s="3060"/>
      <c r="JZQ158" s="3060"/>
      <c r="JZR158" s="3060"/>
      <c r="JZS158" s="3060"/>
      <c r="JZT158" s="3060"/>
      <c r="JZU158" s="3060"/>
      <c r="JZV158" s="3060"/>
      <c r="JZW158" s="3060"/>
      <c r="JZX158" s="3060"/>
      <c r="JZY158" s="3060"/>
      <c r="JZZ158" s="3060"/>
      <c r="KAA158" s="3060"/>
      <c r="KAB158" s="3060"/>
      <c r="KAC158" s="3060"/>
      <c r="KAD158" s="3060"/>
      <c r="KAE158" s="3060"/>
      <c r="KAF158" s="3060"/>
      <c r="KAG158" s="3060"/>
      <c r="KAH158" s="3060"/>
      <c r="KAI158" s="3060"/>
      <c r="KAJ158" s="3060"/>
      <c r="KAK158" s="3060"/>
      <c r="KAL158" s="3060"/>
      <c r="KAM158" s="3060"/>
      <c r="KAN158" s="3060"/>
      <c r="KAO158" s="3060"/>
      <c r="KAP158" s="3060"/>
      <c r="KAQ158" s="3060"/>
      <c r="KAR158" s="3060"/>
      <c r="KAS158" s="3060"/>
      <c r="KAT158" s="3060"/>
      <c r="KAU158" s="3060"/>
      <c r="KAV158" s="3060"/>
      <c r="KAW158" s="3060"/>
      <c r="KAX158" s="3060"/>
      <c r="KAY158" s="3060"/>
      <c r="KAZ158" s="3060"/>
      <c r="KBA158" s="3060"/>
      <c r="KBB158" s="3060"/>
      <c r="KBC158" s="3060"/>
      <c r="KBD158" s="3060"/>
      <c r="KBE158" s="3060"/>
      <c r="KBF158" s="3060"/>
      <c r="KBG158" s="3060"/>
      <c r="KBH158" s="3060"/>
      <c r="KBI158" s="3060"/>
      <c r="KBJ158" s="3060"/>
      <c r="KBK158" s="3060"/>
      <c r="KBL158" s="3060"/>
      <c r="KBM158" s="3060"/>
      <c r="KBN158" s="3060"/>
      <c r="KBO158" s="3060"/>
      <c r="KBP158" s="3060"/>
      <c r="KBQ158" s="3060"/>
      <c r="KBR158" s="3060"/>
      <c r="KBS158" s="3060"/>
      <c r="KBT158" s="3060"/>
      <c r="KBU158" s="3060"/>
      <c r="KBV158" s="3060"/>
      <c r="KBW158" s="3060"/>
      <c r="KBX158" s="3060"/>
      <c r="KBY158" s="3060"/>
      <c r="KBZ158" s="3060"/>
      <c r="KCA158" s="3060"/>
      <c r="KCB158" s="3060"/>
      <c r="KCC158" s="3060"/>
      <c r="KCD158" s="3060"/>
      <c r="KCE158" s="3060"/>
      <c r="KCF158" s="3060"/>
      <c r="KCG158" s="3060"/>
      <c r="KCH158" s="3060"/>
      <c r="KCI158" s="3060"/>
      <c r="KCJ158" s="3060"/>
      <c r="KCK158" s="3060"/>
      <c r="KCL158" s="3060"/>
      <c r="KCM158" s="3060"/>
      <c r="KCN158" s="3060"/>
      <c r="KCO158" s="3060"/>
      <c r="KCP158" s="3060"/>
      <c r="KCQ158" s="3060"/>
      <c r="KCR158" s="3060"/>
      <c r="KCS158" s="3060"/>
      <c r="KCT158" s="3060"/>
      <c r="KCU158" s="3060"/>
      <c r="KCV158" s="3060"/>
      <c r="KCW158" s="3060"/>
      <c r="KCX158" s="3060"/>
      <c r="KCY158" s="3060"/>
      <c r="KCZ158" s="3060"/>
      <c r="KDA158" s="3060"/>
      <c r="KDB158" s="3060"/>
      <c r="KDC158" s="3060"/>
      <c r="KDD158" s="3060"/>
      <c r="KDE158" s="3060"/>
      <c r="KDF158" s="3060"/>
      <c r="KDG158" s="3060"/>
      <c r="KDH158" s="3060"/>
      <c r="KDI158" s="3060"/>
      <c r="KDJ158" s="3060"/>
      <c r="KDK158" s="3060"/>
      <c r="KDL158" s="3060"/>
      <c r="KDM158" s="3060"/>
      <c r="KDN158" s="3060"/>
      <c r="KDO158" s="3060"/>
      <c r="KDP158" s="3060"/>
      <c r="KDQ158" s="3060"/>
      <c r="KDR158" s="3060"/>
      <c r="KDS158" s="3060"/>
      <c r="KDT158" s="3060"/>
      <c r="KDU158" s="3060"/>
      <c r="KDV158" s="3060"/>
      <c r="KDW158" s="3060"/>
      <c r="KDX158" s="3060"/>
      <c r="KDY158" s="3060"/>
      <c r="KDZ158" s="3060"/>
      <c r="KEA158" s="3060"/>
      <c r="KEB158" s="3060"/>
      <c r="KEC158" s="3060"/>
      <c r="KED158" s="3060"/>
      <c r="KEE158" s="3060"/>
      <c r="KEF158" s="3060"/>
      <c r="KEG158" s="3060"/>
      <c r="KEH158" s="3060"/>
      <c r="KEI158" s="3060"/>
      <c r="KEJ158" s="3060"/>
      <c r="KEK158" s="3060"/>
      <c r="KEL158" s="3060"/>
      <c r="KEM158" s="3060"/>
      <c r="KEN158" s="3060"/>
      <c r="KEO158" s="3060"/>
      <c r="KEP158" s="3060"/>
      <c r="KEQ158" s="3060"/>
      <c r="KER158" s="3060"/>
      <c r="KES158" s="3060"/>
      <c r="KET158" s="3060"/>
      <c r="KEU158" s="3060"/>
      <c r="KEV158" s="3060"/>
      <c r="KEW158" s="3060"/>
      <c r="KEX158" s="3060"/>
      <c r="KEY158" s="3060"/>
      <c r="KEZ158" s="3060"/>
      <c r="KFA158" s="3060"/>
      <c r="KFB158" s="3060"/>
      <c r="KFC158" s="3060"/>
      <c r="KFD158" s="3060"/>
      <c r="KFE158" s="3060"/>
      <c r="KFF158" s="3060"/>
      <c r="KFG158" s="3060"/>
      <c r="KFH158" s="3060"/>
      <c r="KFI158" s="3060"/>
      <c r="KFJ158" s="3060"/>
      <c r="KFK158" s="3060"/>
      <c r="KFL158" s="3060"/>
      <c r="KFM158" s="3060"/>
      <c r="KFN158" s="3060"/>
      <c r="KFO158" s="3060"/>
      <c r="KFP158" s="3060"/>
      <c r="KFQ158" s="3060"/>
      <c r="KFR158" s="3060"/>
      <c r="KFS158" s="3060"/>
      <c r="KFT158" s="3060"/>
      <c r="KFU158" s="3060"/>
      <c r="KFV158" s="3060"/>
      <c r="KFW158" s="3060"/>
      <c r="KFX158" s="3060"/>
      <c r="KFY158" s="3060"/>
      <c r="KFZ158" s="3060"/>
      <c r="KGA158" s="3060"/>
      <c r="KGB158" s="3060"/>
      <c r="KGC158" s="3060"/>
      <c r="KGD158" s="3060"/>
      <c r="KGE158" s="3060"/>
      <c r="KGF158" s="3060"/>
      <c r="KGG158" s="3060"/>
      <c r="KGH158" s="3060"/>
      <c r="KGI158" s="3060"/>
      <c r="KGJ158" s="3060"/>
      <c r="KGK158" s="3060"/>
      <c r="KGL158" s="3060"/>
      <c r="KGM158" s="3060"/>
      <c r="KGN158" s="3060"/>
      <c r="KGO158" s="3060"/>
      <c r="KGP158" s="3060"/>
      <c r="KGQ158" s="3060"/>
      <c r="KGR158" s="3060"/>
      <c r="KGS158" s="3060"/>
      <c r="KGT158" s="3060"/>
      <c r="KGU158" s="3060"/>
      <c r="KGV158" s="3060"/>
      <c r="KGW158" s="3060"/>
      <c r="KGX158" s="3060"/>
      <c r="KGY158" s="3060"/>
      <c r="KGZ158" s="3060"/>
      <c r="KHA158" s="3060"/>
      <c r="KHB158" s="3060"/>
      <c r="KHC158" s="3060"/>
      <c r="KHD158" s="3060"/>
      <c r="KHE158" s="3060"/>
      <c r="KHF158" s="3060"/>
      <c r="KHG158" s="3060"/>
      <c r="KHH158" s="3060"/>
      <c r="KHI158" s="3060"/>
      <c r="KHJ158" s="3060"/>
      <c r="KHK158" s="3060"/>
      <c r="KHL158" s="3060"/>
      <c r="KHM158" s="3060"/>
      <c r="KHN158" s="3060"/>
      <c r="KHO158" s="3060"/>
      <c r="KHP158" s="3060"/>
      <c r="KHQ158" s="3060"/>
      <c r="KHR158" s="3060"/>
      <c r="KHS158" s="3060"/>
      <c r="KHT158" s="3060"/>
      <c r="KHU158" s="3060"/>
      <c r="KHV158" s="3060"/>
      <c r="KHW158" s="3060"/>
      <c r="KHX158" s="3060"/>
      <c r="KHY158" s="3060"/>
      <c r="KHZ158" s="3060"/>
      <c r="KIA158" s="3060"/>
      <c r="KIB158" s="3060"/>
      <c r="KIC158" s="3060"/>
      <c r="KID158" s="3060"/>
      <c r="KIE158" s="3060"/>
      <c r="KIF158" s="3060"/>
      <c r="KIG158" s="3060"/>
      <c r="KIH158" s="3060"/>
      <c r="KII158" s="3060"/>
      <c r="KIJ158" s="3060"/>
      <c r="KIK158" s="3060"/>
      <c r="KIL158" s="3060"/>
      <c r="KIM158" s="3060"/>
      <c r="KIN158" s="3060"/>
      <c r="KIO158" s="3060"/>
      <c r="KIP158" s="3060"/>
      <c r="KIQ158" s="3060"/>
      <c r="KIR158" s="3060"/>
      <c r="KIS158" s="3060"/>
      <c r="KIT158" s="3060"/>
      <c r="KIU158" s="3060"/>
      <c r="KIV158" s="3060"/>
      <c r="KIW158" s="3060"/>
      <c r="KIX158" s="3060"/>
      <c r="KIY158" s="3060"/>
      <c r="KIZ158" s="3060"/>
      <c r="KJA158" s="3060"/>
      <c r="KJB158" s="3060"/>
      <c r="KJC158" s="3060"/>
      <c r="KJD158" s="3060"/>
      <c r="KJE158" s="3060"/>
      <c r="KJF158" s="3060"/>
      <c r="KJG158" s="3060"/>
      <c r="KJH158" s="3060"/>
      <c r="KJI158" s="3060"/>
      <c r="KJJ158" s="3060"/>
      <c r="KJK158" s="3060"/>
      <c r="KJL158" s="3060"/>
      <c r="KJM158" s="3060"/>
      <c r="KJN158" s="3060"/>
      <c r="KJO158" s="3060"/>
      <c r="KJP158" s="3060"/>
      <c r="KJQ158" s="3060"/>
      <c r="KJR158" s="3060"/>
      <c r="KJS158" s="3060"/>
      <c r="KJT158" s="3060"/>
      <c r="KJU158" s="3060"/>
      <c r="KJV158" s="3060"/>
      <c r="KJW158" s="3060"/>
      <c r="KJX158" s="3060"/>
      <c r="KJY158" s="3060"/>
      <c r="KJZ158" s="3060"/>
      <c r="KKA158" s="3060"/>
      <c r="KKB158" s="3060"/>
      <c r="KKC158" s="3060"/>
      <c r="KKD158" s="3060"/>
      <c r="KKE158" s="3060"/>
      <c r="KKF158" s="3060"/>
      <c r="KKG158" s="3060"/>
      <c r="KKH158" s="3060"/>
      <c r="KKI158" s="3060"/>
      <c r="KKJ158" s="3060"/>
      <c r="KKK158" s="3060"/>
      <c r="KKL158" s="3060"/>
      <c r="KKM158" s="3060"/>
      <c r="KKN158" s="3060"/>
      <c r="KKO158" s="3060"/>
      <c r="KKP158" s="3060"/>
      <c r="KKQ158" s="3060"/>
      <c r="KKR158" s="3060"/>
      <c r="KKS158" s="3060"/>
      <c r="KKT158" s="3060"/>
      <c r="KKU158" s="3060"/>
      <c r="KKV158" s="3060"/>
      <c r="KKW158" s="3060"/>
      <c r="KKX158" s="3060"/>
      <c r="KKY158" s="3060"/>
      <c r="KKZ158" s="3060"/>
      <c r="KLA158" s="3060"/>
      <c r="KLB158" s="3060"/>
      <c r="KLC158" s="3060"/>
      <c r="KLD158" s="3060"/>
      <c r="KLE158" s="3060"/>
      <c r="KLF158" s="3060"/>
      <c r="KLG158" s="3060"/>
      <c r="KLH158" s="3060"/>
      <c r="KLI158" s="3060"/>
      <c r="KLJ158" s="3060"/>
      <c r="KLK158" s="3060"/>
      <c r="KLL158" s="3060"/>
      <c r="KLM158" s="3060"/>
      <c r="KLN158" s="3060"/>
      <c r="KLO158" s="3060"/>
      <c r="KLP158" s="3060"/>
      <c r="KLQ158" s="3060"/>
      <c r="KLR158" s="3060"/>
      <c r="KLS158" s="3060"/>
      <c r="KLT158" s="3060"/>
      <c r="KLU158" s="3060"/>
      <c r="KLV158" s="3060"/>
      <c r="KLW158" s="3060"/>
      <c r="KLX158" s="3060"/>
      <c r="KLY158" s="3060"/>
      <c r="KLZ158" s="3060"/>
      <c r="KMA158" s="3060"/>
      <c r="KMB158" s="3060"/>
      <c r="KMC158" s="3060"/>
      <c r="KMD158" s="3060"/>
      <c r="KME158" s="3060"/>
      <c r="KMF158" s="3060"/>
      <c r="KMG158" s="3060"/>
      <c r="KMH158" s="3060"/>
      <c r="KMI158" s="3060"/>
      <c r="KMJ158" s="3060"/>
      <c r="KMK158" s="3060"/>
      <c r="KML158" s="3060"/>
      <c r="KMM158" s="3060"/>
      <c r="KMN158" s="3060"/>
      <c r="KMO158" s="3060"/>
      <c r="KMP158" s="3060"/>
      <c r="KMQ158" s="3060"/>
      <c r="KMR158" s="3060"/>
      <c r="KMS158" s="3060"/>
      <c r="KMT158" s="3060"/>
      <c r="KMU158" s="3060"/>
      <c r="KMV158" s="3060"/>
      <c r="KMW158" s="3060"/>
      <c r="KMX158" s="3060"/>
      <c r="KMY158" s="3060"/>
      <c r="KMZ158" s="3060"/>
      <c r="KNA158" s="3060"/>
      <c r="KNB158" s="3060"/>
      <c r="KNC158" s="3060"/>
      <c r="KND158" s="3060"/>
      <c r="KNE158" s="3060"/>
      <c r="KNF158" s="3060"/>
      <c r="KNG158" s="3060"/>
      <c r="KNH158" s="3060"/>
      <c r="KNI158" s="3060"/>
      <c r="KNJ158" s="3060"/>
      <c r="KNK158" s="3060"/>
      <c r="KNL158" s="3060"/>
      <c r="KNM158" s="3060"/>
      <c r="KNN158" s="3060"/>
      <c r="KNO158" s="3060"/>
      <c r="KNP158" s="3060"/>
      <c r="KNQ158" s="3060"/>
      <c r="KNR158" s="3060"/>
      <c r="KNS158" s="3060"/>
      <c r="KNT158" s="3060"/>
      <c r="KNU158" s="3060"/>
      <c r="KNV158" s="3060"/>
      <c r="KNW158" s="3060"/>
      <c r="KNX158" s="3060"/>
      <c r="KNY158" s="3060"/>
      <c r="KNZ158" s="3060"/>
      <c r="KOA158" s="3060"/>
      <c r="KOB158" s="3060"/>
      <c r="KOC158" s="3060"/>
      <c r="KOD158" s="3060"/>
      <c r="KOE158" s="3060"/>
      <c r="KOF158" s="3060"/>
      <c r="KOG158" s="3060"/>
      <c r="KOH158" s="3060"/>
      <c r="KOI158" s="3060"/>
      <c r="KOJ158" s="3060"/>
      <c r="KOK158" s="3060"/>
      <c r="KOL158" s="3060"/>
      <c r="KOM158" s="3060"/>
      <c r="KON158" s="3060"/>
      <c r="KOO158" s="3060"/>
      <c r="KOP158" s="3060"/>
      <c r="KOQ158" s="3060"/>
      <c r="KOR158" s="3060"/>
      <c r="KOS158" s="3060"/>
      <c r="KOT158" s="3060"/>
      <c r="KOU158" s="3060"/>
      <c r="KOV158" s="3060"/>
      <c r="KOW158" s="3060"/>
      <c r="KOX158" s="3060"/>
      <c r="KOY158" s="3060"/>
      <c r="KOZ158" s="3060"/>
      <c r="KPA158" s="3060"/>
      <c r="KPB158" s="3060"/>
      <c r="KPC158" s="3060"/>
      <c r="KPD158" s="3060"/>
      <c r="KPE158" s="3060"/>
      <c r="KPF158" s="3060"/>
      <c r="KPG158" s="3060"/>
      <c r="KPH158" s="3060"/>
      <c r="KPI158" s="3060"/>
      <c r="KPJ158" s="3060"/>
      <c r="KPK158" s="3060"/>
      <c r="KPL158" s="3060"/>
      <c r="KPM158" s="3060"/>
      <c r="KPN158" s="3060"/>
      <c r="KPO158" s="3060"/>
      <c r="KPP158" s="3060"/>
      <c r="KPQ158" s="3060"/>
      <c r="KPR158" s="3060"/>
      <c r="KPS158" s="3060"/>
      <c r="KPT158" s="3060"/>
      <c r="KPU158" s="3060"/>
      <c r="KPV158" s="3060"/>
      <c r="KPW158" s="3060"/>
      <c r="KPX158" s="3060"/>
      <c r="KPY158" s="3060"/>
      <c r="KPZ158" s="3060"/>
      <c r="KQA158" s="3060"/>
      <c r="KQB158" s="3060"/>
      <c r="KQC158" s="3060"/>
      <c r="KQD158" s="3060"/>
      <c r="KQE158" s="3060"/>
      <c r="KQF158" s="3060"/>
      <c r="KQG158" s="3060"/>
      <c r="KQH158" s="3060"/>
      <c r="KQI158" s="3060"/>
      <c r="KQJ158" s="3060"/>
      <c r="KQK158" s="3060"/>
      <c r="KQL158" s="3060"/>
      <c r="KQM158" s="3060"/>
      <c r="KQN158" s="3060"/>
      <c r="KQO158" s="3060"/>
      <c r="KQP158" s="3060"/>
      <c r="KQQ158" s="3060"/>
      <c r="KQR158" s="3060"/>
      <c r="KQS158" s="3060"/>
      <c r="KQT158" s="3060"/>
      <c r="KQU158" s="3060"/>
      <c r="KQV158" s="3060"/>
      <c r="KQW158" s="3060"/>
      <c r="KQX158" s="3060"/>
      <c r="KQY158" s="3060"/>
      <c r="KQZ158" s="3060"/>
      <c r="KRA158" s="3060"/>
      <c r="KRB158" s="3060"/>
      <c r="KRC158" s="3060"/>
      <c r="KRD158" s="3060"/>
      <c r="KRE158" s="3060"/>
      <c r="KRF158" s="3060"/>
      <c r="KRG158" s="3060"/>
      <c r="KRH158" s="3060"/>
      <c r="KRI158" s="3060"/>
      <c r="KRJ158" s="3060"/>
      <c r="KRK158" s="3060"/>
      <c r="KRL158" s="3060"/>
      <c r="KRM158" s="3060"/>
      <c r="KRN158" s="3060"/>
      <c r="KRO158" s="3060"/>
      <c r="KRP158" s="3060"/>
      <c r="KRQ158" s="3060"/>
      <c r="KRR158" s="3060"/>
      <c r="KRS158" s="3060"/>
      <c r="KRT158" s="3060"/>
      <c r="KRU158" s="3060"/>
      <c r="KRV158" s="3060"/>
      <c r="KRW158" s="3060"/>
      <c r="KRX158" s="3060"/>
      <c r="KRY158" s="3060"/>
      <c r="KRZ158" s="3060"/>
      <c r="KSA158" s="3060"/>
      <c r="KSB158" s="3060"/>
      <c r="KSC158" s="3060"/>
      <c r="KSD158" s="3060"/>
      <c r="KSE158" s="3060"/>
      <c r="KSF158" s="3060"/>
      <c r="KSG158" s="3060"/>
      <c r="KSH158" s="3060"/>
      <c r="KSI158" s="3060"/>
      <c r="KSJ158" s="3060"/>
      <c r="KSK158" s="3060"/>
      <c r="KSL158" s="3060"/>
      <c r="KSM158" s="3060"/>
      <c r="KSN158" s="3060"/>
      <c r="KSO158" s="3060"/>
      <c r="KSP158" s="3060"/>
      <c r="KSQ158" s="3060"/>
      <c r="KSR158" s="3060"/>
      <c r="KSS158" s="3060"/>
      <c r="KST158" s="3060"/>
      <c r="KSU158" s="3060"/>
      <c r="KSV158" s="3060"/>
      <c r="KSW158" s="3060"/>
      <c r="KSX158" s="3060"/>
      <c r="KSY158" s="3060"/>
      <c r="KSZ158" s="3060"/>
      <c r="KTA158" s="3060"/>
      <c r="KTB158" s="3060"/>
      <c r="KTC158" s="3060"/>
      <c r="KTD158" s="3060"/>
      <c r="KTE158" s="3060"/>
      <c r="KTF158" s="3060"/>
      <c r="KTG158" s="3060"/>
      <c r="KTH158" s="3060"/>
      <c r="KTI158" s="3060"/>
      <c r="KTJ158" s="3060"/>
      <c r="KTK158" s="3060"/>
      <c r="KTL158" s="3060"/>
      <c r="KTM158" s="3060"/>
      <c r="KTN158" s="3060"/>
      <c r="KTO158" s="3060"/>
      <c r="KTP158" s="3060"/>
      <c r="KTQ158" s="3060"/>
      <c r="KTR158" s="3060"/>
      <c r="KTS158" s="3060"/>
      <c r="KTT158" s="3060"/>
      <c r="KTU158" s="3060"/>
      <c r="KTV158" s="3060"/>
      <c r="KTW158" s="3060"/>
      <c r="KTX158" s="3060"/>
      <c r="KTY158" s="3060"/>
      <c r="KTZ158" s="3060"/>
      <c r="KUA158" s="3060"/>
      <c r="KUB158" s="3060"/>
      <c r="KUC158" s="3060"/>
      <c r="KUD158" s="3060"/>
      <c r="KUE158" s="3060"/>
      <c r="KUF158" s="3060"/>
      <c r="KUG158" s="3060"/>
      <c r="KUH158" s="3060"/>
      <c r="KUI158" s="3060"/>
      <c r="KUJ158" s="3060"/>
      <c r="KUK158" s="3060"/>
      <c r="KUL158" s="3060"/>
      <c r="KUM158" s="3060"/>
      <c r="KUN158" s="3060"/>
      <c r="KUO158" s="3060"/>
      <c r="KUP158" s="3060"/>
      <c r="KUQ158" s="3060"/>
      <c r="KUR158" s="3060"/>
      <c r="KUS158" s="3060"/>
      <c r="KUT158" s="3060"/>
      <c r="KUU158" s="3060"/>
      <c r="KUV158" s="3060"/>
      <c r="KUW158" s="3060"/>
      <c r="KUX158" s="3060"/>
      <c r="KUY158" s="3060"/>
      <c r="KUZ158" s="3060"/>
      <c r="KVA158" s="3060"/>
      <c r="KVB158" s="3060"/>
      <c r="KVC158" s="3060"/>
      <c r="KVD158" s="3060"/>
      <c r="KVE158" s="3060"/>
      <c r="KVF158" s="3060"/>
      <c r="KVG158" s="3060"/>
      <c r="KVH158" s="3060"/>
      <c r="KVI158" s="3060"/>
      <c r="KVJ158" s="3060"/>
      <c r="KVK158" s="3060"/>
      <c r="KVL158" s="3060"/>
      <c r="KVM158" s="3060"/>
      <c r="KVN158" s="3060"/>
      <c r="KVO158" s="3060"/>
      <c r="KVP158" s="3060"/>
      <c r="KVQ158" s="3060"/>
      <c r="KVR158" s="3060"/>
      <c r="KVS158" s="3060"/>
      <c r="KVT158" s="3060"/>
      <c r="KVU158" s="3060"/>
      <c r="KVV158" s="3060"/>
      <c r="KVW158" s="3060"/>
      <c r="KVX158" s="3060"/>
      <c r="KVY158" s="3060"/>
      <c r="KVZ158" s="3060"/>
      <c r="KWA158" s="3060"/>
      <c r="KWB158" s="3060"/>
      <c r="KWC158" s="3060"/>
      <c r="KWD158" s="3060"/>
      <c r="KWE158" s="3060"/>
      <c r="KWF158" s="3060"/>
      <c r="KWG158" s="3060"/>
      <c r="KWH158" s="3060"/>
      <c r="KWI158" s="3060"/>
      <c r="KWJ158" s="3060"/>
      <c r="KWK158" s="3060"/>
      <c r="KWL158" s="3060"/>
      <c r="KWM158" s="3060"/>
      <c r="KWN158" s="3060"/>
      <c r="KWO158" s="3060"/>
      <c r="KWP158" s="3060"/>
      <c r="KWQ158" s="3060"/>
      <c r="KWR158" s="3060"/>
      <c r="KWS158" s="3060"/>
      <c r="KWT158" s="3060"/>
      <c r="KWU158" s="3060"/>
      <c r="KWV158" s="3060"/>
      <c r="KWW158" s="3060"/>
      <c r="KWX158" s="3060"/>
      <c r="KWY158" s="3060"/>
      <c r="KWZ158" s="3060"/>
      <c r="KXA158" s="3060"/>
      <c r="KXB158" s="3060"/>
      <c r="KXC158" s="3060"/>
      <c r="KXD158" s="3060"/>
      <c r="KXE158" s="3060"/>
      <c r="KXF158" s="3060"/>
      <c r="KXG158" s="3060"/>
      <c r="KXH158" s="3060"/>
      <c r="KXI158" s="3060"/>
      <c r="KXJ158" s="3060"/>
      <c r="KXK158" s="3060"/>
      <c r="KXL158" s="3060"/>
      <c r="KXM158" s="3060"/>
      <c r="KXN158" s="3060"/>
      <c r="KXO158" s="3060"/>
      <c r="KXP158" s="3060"/>
      <c r="KXQ158" s="3060"/>
      <c r="KXR158" s="3060"/>
      <c r="KXS158" s="3060"/>
      <c r="KXT158" s="3060"/>
      <c r="KXU158" s="3060"/>
      <c r="KXV158" s="3060"/>
      <c r="KXW158" s="3060"/>
      <c r="KXX158" s="3060"/>
      <c r="KXY158" s="3060"/>
      <c r="KXZ158" s="3060"/>
      <c r="KYA158" s="3060"/>
      <c r="KYB158" s="3060"/>
      <c r="KYC158" s="3060"/>
      <c r="KYD158" s="3060"/>
      <c r="KYE158" s="3060"/>
      <c r="KYF158" s="3060"/>
      <c r="KYG158" s="3060"/>
      <c r="KYH158" s="3060"/>
      <c r="KYI158" s="3060"/>
      <c r="KYJ158" s="3060"/>
      <c r="KYK158" s="3060"/>
      <c r="KYL158" s="3060"/>
      <c r="KYM158" s="3060"/>
      <c r="KYN158" s="3060"/>
      <c r="KYO158" s="3060"/>
      <c r="KYP158" s="3060"/>
      <c r="KYQ158" s="3060"/>
      <c r="KYR158" s="3060"/>
      <c r="KYS158" s="3060"/>
      <c r="KYT158" s="3060"/>
      <c r="KYU158" s="3060"/>
      <c r="KYV158" s="3060"/>
      <c r="KYW158" s="3060"/>
      <c r="KYX158" s="3060"/>
      <c r="KYY158" s="3060"/>
      <c r="KYZ158" s="3060"/>
      <c r="KZA158" s="3060"/>
      <c r="KZB158" s="3060"/>
      <c r="KZC158" s="3060"/>
      <c r="KZD158" s="3060"/>
      <c r="KZE158" s="3060"/>
      <c r="KZF158" s="3060"/>
      <c r="KZG158" s="3060"/>
      <c r="KZH158" s="3060"/>
      <c r="KZI158" s="3060"/>
      <c r="KZJ158" s="3060"/>
      <c r="KZK158" s="3060"/>
      <c r="KZL158" s="3060"/>
      <c r="KZM158" s="3060"/>
      <c r="KZN158" s="3060"/>
      <c r="KZO158" s="3060"/>
      <c r="KZP158" s="3060"/>
      <c r="KZQ158" s="3060"/>
      <c r="KZR158" s="3060"/>
      <c r="KZS158" s="3060"/>
      <c r="KZT158" s="3060"/>
      <c r="KZU158" s="3060"/>
      <c r="KZV158" s="3060"/>
      <c r="KZW158" s="3060"/>
      <c r="KZX158" s="3060"/>
      <c r="KZY158" s="3060"/>
      <c r="KZZ158" s="3060"/>
      <c r="LAA158" s="3060"/>
      <c r="LAB158" s="3060"/>
      <c r="LAC158" s="3060"/>
      <c r="LAD158" s="3060"/>
      <c r="LAE158" s="3060"/>
      <c r="LAF158" s="3060"/>
      <c r="LAG158" s="3060"/>
      <c r="LAH158" s="3060"/>
      <c r="LAI158" s="3060"/>
      <c r="LAJ158" s="3060"/>
      <c r="LAK158" s="3060"/>
      <c r="LAL158" s="3060"/>
      <c r="LAM158" s="3060"/>
      <c r="LAN158" s="3060"/>
      <c r="LAO158" s="3060"/>
      <c r="LAP158" s="3060"/>
      <c r="LAQ158" s="3060"/>
      <c r="LAR158" s="3060"/>
      <c r="LAS158" s="3060"/>
      <c r="LAT158" s="3060"/>
      <c r="LAU158" s="3060"/>
      <c r="LAV158" s="3060"/>
      <c r="LAW158" s="3060"/>
      <c r="LAX158" s="3060"/>
      <c r="LAY158" s="3060"/>
      <c r="LAZ158" s="3060"/>
      <c r="LBA158" s="3060"/>
      <c r="LBB158" s="3060"/>
      <c r="LBC158" s="3060"/>
      <c r="LBD158" s="3060"/>
      <c r="LBE158" s="3060"/>
      <c r="LBF158" s="3060"/>
      <c r="LBG158" s="3060"/>
      <c r="LBH158" s="3060"/>
      <c r="LBI158" s="3060"/>
      <c r="LBJ158" s="3060"/>
      <c r="LBK158" s="3060"/>
      <c r="LBL158" s="3060"/>
      <c r="LBM158" s="3060"/>
      <c r="LBN158" s="3060"/>
      <c r="LBO158" s="3060"/>
      <c r="LBP158" s="3060"/>
      <c r="LBQ158" s="3060"/>
      <c r="LBR158" s="3060"/>
      <c r="LBS158" s="3060"/>
      <c r="LBT158" s="3060"/>
      <c r="LBU158" s="3060"/>
      <c r="LBV158" s="3060"/>
      <c r="LBW158" s="3060"/>
      <c r="LBX158" s="3060"/>
      <c r="LBY158" s="3060"/>
      <c r="LBZ158" s="3060"/>
      <c r="LCA158" s="3060"/>
      <c r="LCB158" s="3060"/>
      <c r="LCC158" s="3060"/>
      <c r="LCD158" s="3060"/>
      <c r="LCE158" s="3060"/>
      <c r="LCF158" s="3060"/>
      <c r="LCG158" s="3060"/>
      <c r="LCH158" s="3060"/>
      <c r="LCI158" s="3060"/>
      <c r="LCJ158" s="3060"/>
      <c r="LCK158" s="3060"/>
      <c r="LCL158" s="3060"/>
      <c r="LCM158" s="3060"/>
      <c r="LCN158" s="3060"/>
      <c r="LCO158" s="3060"/>
      <c r="LCP158" s="3060"/>
      <c r="LCQ158" s="3060"/>
      <c r="LCR158" s="3060"/>
      <c r="LCS158" s="3060"/>
      <c r="LCT158" s="3060"/>
      <c r="LCU158" s="3060"/>
      <c r="LCV158" s="3060"/>
      <c r="LCW158" s="3060"/>
      <c r="LCX158" s="3060"/>
      <c r="LCY158" s="3060"/>
      <c r="LCZ158" s="3060"/>
      <c r="LDA158" s="3060"/>
      <c r="LDB158" s="3060"/>
      <c r="LDC158" s="3060"/>
      <c r="LDD158" s="3060"/>
      <c r="LDE158" s="3060"/>
      <c r="LDF158" s="3060"/>
      <c r="LDG158" s="3060"/>
      <c r="LDH158" s="3060"/>
      <c r="LDI158" s="3060"/>
      <c r="LDJ158" s="3060"/>
      <c r="LDK158" s="3060"/>
      <c r="LDL158" s="3060"/>
      <c r="LDM158" s="3060"/>
      <c r="LDN158" s="3060"/>
      <c r="LDO158" s="3060"/>
      <c r="LDP158" s="3060"/>
      <c r="LDQ158" s="3060"/>
      <c r="LDR158" s="3060"/>
      <c r="LDS158" s="3060"/>
      <c r="LDT158" s="3060"/>
      <c r="LDU158" s="3060"/>
      <c r="LDV158" s="3060"/>
      <c r="LDW158" s="3060"/>
      <c r="LDX158" s="3060"/>
      <c r="LDY158" s="3060"/>
      <c r="LDZ158" s="3060"/>
      <c r="LEA158" s="3060"/>
      <c r="LEB158" s="3060"/>
      <c r="LEC158" s="3060"/>
      <c r="LED158" s="3060"/>
      <c r="LEE158" s="3060"/>
      <c r="LEF158" s="3060"/>
      <c r="LEG158" s="3060"/>
      <c r="LEH158" s="3060"/>
      <c r="LEI158" s="3060"/>
      <c r="LEJ158" s="3060"/>
      <c r="LEK158" s="3060"/>
      <c r="LEL158" s="3060"/>
      <c r="LEM158" s="3060"/>
      <c r="LEN158" s="3060"/>
      <c r="LEO158" s="3060"/>
      <c r="LEP158" s="3060"/>
      <c r="LEQ158" s="3060"/>
      <c r="LER158" s="3060"/>
      <c r="LES158" s="3060"/>
      <c r="LET158" s="3060"/>
      <c r="LEU158" s="3060"/>
      <c r="LEV158" s="3060"/>
      <c r="LEW158" s="3060"/>
      <c r="LEX158" s="3060"/>
      <c r="LEY158" s="3060"/>
      <c r="LEZ158" s="3060"/>
      <c r="LFA158" s="3060"/>
      <c r="LFB158" s="3060"/>
      <c r="LFC158" s="3060"/>
      <c r="LFD158" s="3060"/>
      <c r="LFE158" s="3060"/>
      <c r="LFF158" s="3060"/>
      <c r="LFG158" s="3060"/>
      <c r="LFH158" s="3060"/>
      <c r="LFI158" s="3060"/>
      <c r="LFJ158" s="3060"/>
      <c r="LFK158" s="3060"/>
      <c r="LFL158" s="3060"/>
      <c r="LFM158" s="3060"/>
      <c r="LFN158" s="3060"/>
      <c r="LFO158" s="3060"/>
      <c r="LFP158" s="3060"/>
      <c r="LFQ158" s="3060"/>
      <c r="LFR158" s="3060"/>
      <c r="LFS158" s="3060"/>
      <c r="LFT158" s="3060"/>
      <c r="LFU158" s="3060"/>
      <c r="LFV158" s="3060"/>
      <c r="LFW158" s="3060"/>
      <c r="LFX158" s="3060"/>
      <c r="LFY158" s="3060"/>
      <c r="LFZ158" s="3060"/>
      <c r="LGA158" s="3060"/>
      <c r="LGB158" s="3060"/>
      <c r="LGC158" s="3060"/>
      <c r="LGD158" s="3060"/>
      <c r="LGE158" s="3060"/>
      <c r="LGF158" s="3060"/>
      <c r="LGG158" s="3060"/>
      <c r="LGH158" s="3060"/>
      <c r="LGI158" s="3060"/>
      <c r="LGJ158" s="3060"/>
      <c r="LGK158" s="3060"/>
      <c r="LGL158" s="3060"/>
      <c r="LGM158" s="3060"/>
      <c r="LGN158" s="3060"/>
      <c r="LGO158" s="3060"/>
      <c r="LGP158" s="3060"/>
      <c r="LGQ158" s="3060"/>
      <c r="LGR158" s="3060"/>
      <c r="LGS158" s="3060"/>
      <c r="LGT158" s="3060"/>
      <c r="LGU158" s="3060"/>
      <c r="LGV158" s="3060"/>
      <c r="LGW158" s="3060"/>
      <c r="LGX158" s="3060"/>
      <c r="LGY158" s="3060"/>
      <c r="LGZ158" s="3060"/>
      <c r="LHA158" s="3060"/>
      <c r="LHB158" s="3060"/>
      <c r="LHC158" s="3060"/>
      <c r="LHD158" s="3060"/>
      <c r="LHE158" s="3060"/>
      <c r="LHF158" s="3060"/>
      <c r="LHG158" s="3060"/>
      <c r="LHH158" s="3060"/>
      <c r="LHI158" s="3060"/>
      <c r="LHJ158" s="3060"/>
      <c r="LHK158" s="3060"/>
      <c r="LHL158" s="3060"/>
      <c r="LHM158" s="3060"/>
      <c r="LHN158" s="3060"/>
      <c r="LHO158" s="3060"/>
      <c r="LHP158" s="3060"/>
      <c r="LHQ158" s="3060"/>
      <c r="LHR158" s="3060"/>
      <c r="LHS158" s="3060"/>
      <c r="LHT158" s="3060"/>
      <c r="LHU158" s="3060"/>
      <c r="LHV158" s="3060"/>
      <c r="LHW158" s="3060"/>
      <c r="LHX158" s="3060"/>
      <c r="LHY158" s="3060"/>
      <c r="LHZ158" s="3060"/>
      <c r="LIA158" s="3060"/>
      <c r="LIB158" s="3060"/>
      <c r="LIC158" s="3060"/>
      <c r="LID158" s="3060"/>
      <c r="LIE158" s="3060"/>
      <c r="LIF158" s="3060"/>
      <c r="LIG158" s="3060"/>
      <c r="LIH158" s="3060"/>
      <c r="LII158" s="3060"/>
      <c r="LIJ158" s="3060"/>
      <c r="LIK158" s="3060"/>
      <c r="LIL158" s="3060"/>
      <c r="LIM158" s="3060"/>
      <c r="LIN158" s="3060"/>
      <c r="LIO158" s="3060"/>
      <c r="LIP158" s="3060"/>
      <c r="LIQ158" s="3060"/>
      <c r="LIR158" s="3060"/>
      <c r="LIS158" s="3060"/>
      <c r="LIT158" s="3060"/>
      <c r="LIU158" s="3060"/>
      <c r="LIV158" s="3060"/>
      <c r="LIW158" s="3060"/>
      <c r="LIX158" s="3060"/>
      <c r="LIY158" s="3060"/>
      <c r="LIZ158" s="3060"/>
      <c r="LJA158" s="3060"/>
      <c r="LJB158" s="3060"/>
      <c r="LJC158" s="3060"/>
      <c r="LJD158" s="3060"/>
      <c r="LJE158" s="3060"/>
      <c r="LJF158" s="3060"/>
      <c r="LJG158" s="3060"/>
      <c r="LJH158" s="3060"/>
      <c r="LJI158" s="3060"/>
      <c r="LJJ158" s="3060"/>
      <c r="LJK158" s="3060"/>
      <c r="LJL158" s="3060"/>
      <c r="LJM158" s="3060"/>
      <c r="LJN158" s="3060"/>
      <c r="LJO158" s="3060"/>
      <c r="LJP158" s="3060"/>
      <c r="LJQ158" s="3060"/>
      <c r="LJR158" s="3060"/>
      <c r="LJS158" s="3060"/>
      <c r="LJT158" s="3060"/>
      <c r="LJU158" s="3060"/>
      <c r="LJV158" s="3060"/>
      <c r="LJW158" s="3060"/>
      <c r="LJX158" s="3060"/>
      <c r="LJY158" s="3060"/>
      <c r="LJZ158" s="3060"/>
      <c r="LKA158" s="3060"/>
      <c r="LKB158" s="3060"/>
      <c r="LKC158" s="3060"/>
      <c r="LKD158" s="3060"/>
      <c r="LKE158" s="3060"/>
      <c r="LKF158" s="3060"/>
      <c r="LKG158" s="3060"/>
      <c r="LKH158" s="3060"/>
      <c r="LKI158" s="3060"/>
      <c r="LKJ158" s="3060"/>
      <c r="LKK158" s="3060"/>
      <c r="LKL158" s="3060"/>
      <c r="LKM158" s="3060"/>
      <c r="LKN158" s="3060"/>
      <c r="LKO158" s="3060"/>
      <c r="LKP158" s="3060"/>
      <c r="LKQ158" s="3060"/>
      <c r="LKR158" s="3060"/>
      <c r="LKS158" s="3060"/>
      <c r="LKT158" s="3060"/>
      <c r="LKU158" s="3060"/>
      <c r="LKV158" s="3060"/>
      <c r="LKW158" s="3060"/>
      <c r="LKX158" s="3060"/>
      <c r="LKY158" s="3060"/>
      <c r="LKZ158" s="3060"/>
      <c r="LLA158" s="3060"/>
      <c r="LLB158" s="3060"/>
      <c r="LLC158" s="3060"/>
      <c r="LLD158" s="3060"/>
      <c r="LLE158" s="3060"/>
      <c r="LLF158" s="3060"/>
      <c r="LLG158" s="3060"/>
      <c r="LLH158" s="3060"/>
      <c r="LLI158" s="3060"/>
      <c r="LLJ158" s="3060"/>
      <c r="LLK158" s="3060"/>
      <c r="LLL158" s="3060"/>
      <c r="LLM158" s="3060"/>
      <c r="LLN158" s="3060"/>
      <c r="LLO158" s="3060"/>
      <c r="LLP158" s="3060"/>
      <c r="LLQ158" s="3060"/>
      <c r="LLR158" s="3060"/>
      <c r="LLS158" s="3060"/>
      <c r="LLT158" s="3060"/>
      <c r="LLU158" s="3060"/>
      <c r="LLV158" s="3060"/>
      <c r="LLW158" s="3060"/>
      <c r="LLX158" s="3060"/>
      <c r="LLY158" s="3060"/>
      <c r="LLZ158" s="3060"/>
      <c r="LMA158" s="3060"/>
      <c r="LMB158" s="3060"/>
      <c r="LMC158" s="3060"/>
      <c r="LMD158" s="3060"/>
      <c r="LME158" s="3060"/>
      <c r="LMF158" s="3060"/>
      <c r="LMG158" s="3060"/>
      <c r="LMH158" s="3060"/>
      <c r="LMI158" s="3060"/>
      <c r="LMJ158" s="3060"/>
      <c r="LMK158" s="3060"/>
      <c r="LML158" s="3060"/>
      <c r="LMM158" s="3060"/>
      <c r="LMN158" s="3060"/>
      <c r="LMO158" s="3060"/>
      <c r="LMP158" s="3060"/>
      <c r="LMQ158" s="3060"/>
      <c r="LMR158" s="3060"/>
      <c r="LMS158" s="3060"/>
      <c r="LMT158" s="3060"/>
      <c r="LMU158" s="3060"/>
      <c r="LMV158" s="3060"/>
      <c r="LMW158" s="3060"/>
      <c r="LMX158" s="3060"/>
      <c r="LMY158" s="3060"/>
      <c r="LMZ158" s="3060"/>
      <c r="LNA158" s="3060"/>
      <c r="LNB158" s="3060"/>
      <c r="LNC158" s="3060"/>
      <c r="LND158" s="3060"/>
      <c r="LNE158" s="3060"/>
      <c r="LNF158" s="3060"/>
      <c r="LNG158" s="3060"/>
      <c r="LNH158" s="3060"/>
      <c r="LNI158" s="3060"/>
      <c r="LNJ158" s="3060"/>
      <c r="LNK158" s="3060"/>
      <c r="LNL158" s="3060"/>
      <c r="LNM158" s="3060"/>
      <c r="LNN158" s="3060"/>
      <c r="LNO158" s="3060"/>
      <c r="LNP158" s="3060"/>
      <c r="LNQ158" s="3060"/>
      <c r="LNR158" s="3060"/>
      <c r="LNS158" s="3060"/>
      <c r="LNT158" s="3060"/>
      <c r="LNU158" s="3060"/>
      <c r="LNV158" s="3060"/>
      <c r="LNW158" s="3060"/>
      <c r="LNX158" s="3060"/>
      <c r="LNY158" s="3060"/>
      <c r="LNZ158" s="3060"/>
      <c r="LOA158" s="3060"/>
      <c r="LOB158" s="3060"/>
      <c r="LOC158" s="3060"/>
      <c r="LOD158" s="3060"/>
      <c r="LOE158" s="3060"/>
      <c r="LOF158" s="3060"/>
      <c r="LOG158" s="3060"/>
      <c r="LOH158" s="3060"/>
      <c r="LOI158" s="3060"/>
      <c r="LOJ158" s="3060"/>
      <c r="LOK158" s="3060"/>
      <c r="LOL158" s="3060"/>
      <c r="LOM158" s="3060"/>
      <c r="LON158" s="3060"/>
      <c r="LOO158" s="3060"/>
      <c r="LOP158" s="3060"/>
      <c r="LOQ158" s="3060"/>
      <c r="LOR158" s="3060"/>
      <c r="LOS158" s="3060"/>
      <c r="LOT158" s="3060"/>
      <c r="LOU158" s="3060"/>
      <c r="LOV158" s="3060"/>
      <c r="LOW158" s="3060"/>
      <c r="LOX158" s="3060"/>
      <c r="LOY158" s="3060"/>
      <c r="LOZ158" s="3060"/>
      <c r="LPA158" s="3060"/>
      <c r="LPB158" s="3060"/>
      <c r="LPC158" s="3060"/>
      <c r="LPD158" s="3060"/>
      <c r="LPE158" s="3060"/>
      <c r="LPF158" s="3060"/>
      <c r="LPG158" s="3060"/>
      <c r="LPH158" s="3060"/>
      <c r="LPI158" s="3060"/>
      <c r="LPJ158" s="3060"/>
      <c r="LPK158" s="3060"/>
      <c r="LPL158" s="3060"/>
      <c r="LPM158" s="3060"/>
      <c r="LPN158" s="3060"/>
      <c r="LPO158" s="3060"/>
      <c r="LPP158" s="3060"/>
      <c r="LPQ158" s="3060"/>
      <c r="LPR158" s="3060"/>
      <c r="LPS158" s="3060"/>
      <c r="LPT158" s="3060"/>
      <c r="LPU158" s="3060"/>
      <c r="LPV158" s="3060"/>
      <c r="LPW158" s="3060"/>
      <c r="LPX158" s="3060"/>
      <c r="LPY158" s="3060"/>
      <c r="LPZ158" s="3060"/>
      <c r="LQA158" s="3060"/>
      <c r="LQB158" s="3060"/>
      <c r="LQC158" s="3060"/>
      <c r="LQD158" s="3060"/>
      <c r="LQE158" s="3060"/>
      <c r="LQF158" s="3060"/>
      <c r="LQG158" s="3060"/>
      <c r="LQH158" s="3060"/>
      <c r="LQI158" s="3060"/>
      <c r="LQJ158" s="3060"/>
      <c r="LQK158" s="3060"/>
      <c r="LQL158" s="3060"/>
      <c r="LQM158" s="3060"/>
      <c r="LQN158" s="3060"/>
      <c r="LQO158" s="3060"/>
      <c r="LQP158" s="3060"/>
      <c r="LQQ158" s="3060"/>
      <c r="LQR158" s="3060"/>
      <c r="LQS158" s="3060"/>
      <c r="LQT158" s="3060"/>
      <c r="LQU158" s="3060"/>
      <c r="LQV158" s="3060"/>
      <c r="LQW158" s="3060"/>
      <c r="LQX158" s="3060"/>
      <c r="LQY158" s="3060"/>
      <c r="LQZ158" s="3060"/>
      <c r="LRA158" s="3060"/>
      <c r="LRB158" s="3060"/>
      <c r="LRC158" s="3060"/>
      <c r="LRD158" s="3060"/>
      <c r="LRE158" s="3060"/>
      <c r="LRF158" s="3060"/>
      <c r="LRG158" s="3060"/>
      <c r="LRH158" s="3060"/>
      <c r="LRI158" s="3060"/>
      <c r="LRJ158" s="3060"/>
      <c r="LRK158" s="3060"/>
      <c r="LRL158" s="3060"/>
      <c r="LRM158" s="3060"/>
      <c r="LRN158" s="3060"/>
      <c r="LRO158" s="3060"/>
      <c r="LRP158" s="3060"/>
      <c r="LRQ158" s="3060"/>
      <c r="LRR158" s="3060"/>
      <c r="LRS158" s="3060"/>
      <c r="LRT158" s="3060"/>
      <c r="LRU158" s="3060"/>
      <c r="LRV158" s="3060"/>
      <c r="LRW158" s="3060"/>
      <c r="LRX158" s="3060"/>
      <c r="LRY158" s="3060"/>
      <c r="LRZ158" s="3060"/>
      <c r="LSA158" s="3060"/>
      <c r="LSB158" s="3060"/>
      <c r="LSC158" s="3060"/>
      <c r="LSD158" s="3060"/>
      <c r="LSE158" s="3060"/>
      <c r="LSF158" s="3060"/>
      <c r="LSG158" s="3060"/>
      <c r="LSH158" s="3060"/>
      <c r="LSI158" s="3060"/>
      <c r="LSJ158" s="3060"/>
      <c r="LSK158" s="3060"/>
      <c r="LSL158" s="3060"/>
      <c r="LSM158" s="3060"/>
      <c r="LSN158" s="3060"/>
      <c r="LSO158" s="3060"/>
      <c r="LSP158" s="3060"/>
      <c r="LSQ158" s="3060"/>
      <c r="LSR158" s="3060"/>
      <c r="LSS158" s="3060"/>
      <c r="LST158" s="3060"/>
      <c r="LSU158" s="3060"/>
      <c r="LSV158" s="3060"/>
      <c r="LSW158" s="3060"/>
      <c r="LSX158" s="3060"/>
      <c r="LSY158" s="3060"/>
      <c r="LSZ158" s="3060"/>
      <c r="LTA158" s="3060"/>
      <c r="LTB158" s="3060"/>
      <c r="LTC158" s="3060"/>
      <c r="LTD158" s="3060"/>
      <c r="LTE158" s="3060"/>
      <c r="LTF158" s="3060"/>
      <c r="LTG158" s="3060"/>
      <c r="LTH158" s="3060"/>
      <c r="LTI158" s="3060"/>
      <c r="LTJ158" s="3060"/>
      <c r="LTK158" s="3060"/>
      <c r="LTL158" s="3060"/>
      <c r="LTM158" s="3060"/>
      <c r="LTN158" s="3060"/>
      <c r="LTO158" s="3060"/>
      <c r="LTP158" s="3060"/>
      <c r="LTQ158" s="3060"/>
      <c r="LTR158" s="3060"/>
      <c r="LTS158" s="3060"/>
      <c r="LTT158" s="3060"/>
      <c r="LTU158" s="3060"/>
      <c r="LTV158" s="3060"/>
      <c r="LTW158" s="3060"/>
      <c r="LTX158" s="3060"/>
      <c r="LTY158" s="3060"/>
      <c r="LTZ158" s="3060"/>
      <c r="LUA158" s="3060"/>
      <c r="LUB158" s="3060"/>
      <c r="LUC158" s="3060"/>
      <c r="LUD158" s="3060"/>
      <c r="LUE158" s="3060"/>
      <c r="LUF158" s="3060"/>
      <c r="LUG158" s="3060"/>
      <c r="LUH158" s="3060"/>
      <c r="LUI158" s="3060"/>
      <c r="LUJ158" s="3060"/>
      <c r="LUK158" s="3060"/>
      <c r="LUL158" s="3060"/>
      <c r="LUM158" s="3060"/>
      <c r="LUN158" s="3060"/>
      <c r="LUO158" s="3060"/>
      <c r="LUP158" s="3060"/>
      <c r="LUQ158" s="3060"/>
      <c r="LUR158" s="3060"/>
      <c r="LUS158" s="3060"/>
      <c r="LUT158" s="3060"/>
      <c r="LUU158" s="3060"/>
      <c r="LUV158" s="3060"/>
      <c r="LUW158" s="3060"/>
      <c r="LUX158" s="3060"/>
      <c r="LUY158" s="3060"/>
      <c r="LUZ158" s="3060"/>
      <c r="LVA158" s="3060"/>
      <c r="LVB158" s="3060"/>
      <c r="LVC158" s="3060"/>
      <c r="LVD158" s="3060"/>
      <c r="LVE158" s="3060"/>
      <c r="LVF158" s="3060"/>
      <c r="LVG158" s="3060"/>
      <c r="LVH158" s="3060"/>
      <c r="LVI158" s="3060"/>
      <c r="LVJ158" s="3060"/>
      <c r="LVK158" s="3060"/>
      <c r="LVL158" s="3060"/>
      <c r="LVM158" s="3060"/>
      <c r="LVN158" s="3060"/>
      <c r="LVO158" s="3060"/>
      <c r="LVP158" s="3060"/>
      <c r="LVQ158" s="3060"/>
      <c r="LVR158" s="3060"/>
      <c r="LVS158" s="3060"/>
      <c r="LVT158" s="3060"/>
      <c r="LVU158" s="3060"/>
      <c r="LVV158" s="3060"/>
      <c r="LVW158" s="3060"/>
      <c r="LVX158" s="3060"/>
      <c r="LVY158" s="3060"/>
      <c r="LVZ158" s="3060"/>
      <c r="LWA158" s="3060"/>
      <c r="LWB158" s="3060"/>
      <c r="LWC158" s="3060"/>
      <c r="LWD158" s="3060"/>
      <c r="LWE158" s="3060"/>
      <c r="LWF158" s="3060"/>
      <c r="LWG158" s="3060"/>
      <c r="LWH158" s="3060"/>
      <c r="LWI158" s="3060"/>
      <c r="LWJ158" s="3060"/>
      <c r="LWK158" s="3060"/>
      <c r="LWL158" s="3060"/>
      <c r="LWM158" s="3060"/>
      <c r="LWN158" s="3060"/>
      <c r="LWO158" s="3060"/>
      <c r="LWP158" s="3060"/>
      <c r="LWQ158" s="3060"/>
      <c r="LWR158" s="3060"/>
      <c r="LWS158" s="3060"/>
      <c r="LWT158" s="3060"/>
      <c r="LWU158" s="3060"/>
      <c r="LWV158" s="3060"/>
      <c r="LWW158" s="3060"/>
      <c r="LWX158" s="3060"/>
      <c r="LWY158" s="3060"/>
      <c r="LWZ158" s="3060"/>
      <c r="LXA158" s="3060"/>
      <c r="LXB158" s="3060"/>
      <c r="LXC158" s="3060"/>
      <c r="LXD158" s="3060"/>
      <c r="LXE158" s="3060"/>
      <c r="LXF158" s="3060"/>
      <c r="LXG158" s="3060"/>
      <c r="LXH158" s="3060"/>
      <c r="LXI158" s="3060"/>
      <c r="LXJ158" s="3060"/>
      <c r="LXK158" s="3060"/>
      <c r="LXL158" s="3060"/>
      <c r="LXM158" s="3060"/>
      <c r="LXN158" s="3060"/>
      <c r="LXO158" s="3060"/>
      <c r="LXP158" s="3060"/>
      <c r="LXQ158" s="3060"/>
      <c r="LXR158" s="3060"/>
      <c r="LXS158" s="3060"/>
      <c r="LXT158" s="3060"/>
      <c r="LXU158" s="3060"/>
      <c r="LXV158" s="3060"/>
      <c r="LXW158" s="3060"/>
      <c r="LXX158" s="3060"/>
      <c r="LXY158" s="3060"/>
      <c r="LXZ158" s="3060"/>
      <c r="LYA158" s="3060"/>
      <c r="LYB158" s="3060"/>
      <c r="LYC158" s="3060"/>
      <c r="LYD158" s="3060"/>
      <c r="LYE158" s="3060"/>
      <c r="LYF158" s="3060"/>
      <c r="LYG158" s="3060"/>
      <c r="LYH158" s="3060"/>
      <c r="LYI158" s="3060"/>
      <c r="LYJ158" s="3060"/>
      <c r="LYK158" s="3060"/>
      <c r="LYL158" s="3060"/>
      <c r="LYM158" s="3060"/>
      <c r="LYN158" s="3060"/>
      <c r="LYO158" s="3060"/>
      <c r="LYP158" s="3060"/>
      <c r="LYQ158" s="3060"/>
      <c r="LYR158" s="3060"/>
      <c r="LYS158" s="3060"/>
      <c r="LYT158" s="3060"/>
      <c r="LYU158" s="3060"/>
      <c r="LYV158" s="3060"/>
      <c r="LYW158" s="3060"/>
      <c r="LYX158" s="3060"/>
      <c r="LYY158" s="3060"/>
      <c r="LYZ158" s="3060"/>
      <c r="LZA158" s="3060"/>
      <c r="LZB158" s="3060"/>
      <c r="LZC158" s="3060"/>
      <c r="LZD158" s="3060"/>
      <c r="LZE158" s="3060"/>
      <c r="LZF158" s="3060"/>
      <c r="LZG158" s="3060"/>
      <c r="LZH158" s="3060"/>
      <c r="LZI158" s="3060"/>
      <c r="LZJ158" s="3060"/>
      <c r="LZK158" s="3060"/>
      <c r="LZL158" s="3060"/>
      <c r="LZM158" s="3060"/>
      <c r="LZN158" s="3060"/>
      <c r="LZO158" s="3060"/>
      <c r="LZP158" s="3060"/>
      <c r="LZQ158" s="3060"/>
      <c r="LZR158" s="3060"/>
      <c r="LZS158" s="3060"/>
      <c r="LZT158" s="3060"/>
      <c r="LZU158" s="3060"/>
      <c r="LZV158" s="3060"/>
      <c r="LZW158" s="3060"/>
      <c r="LZX158" s="3060"/>
      <c r="LZY158" s="3060"/>
      <c r="LZZ158" s="3060"/>
      <c r="MAA158" s="3060"/>
      <c r="MAB158" s="3060"/>
      <c r="MAC158" s="3060"/>
      <c r="MAD158" s="3060"/>
      <c r="MAE158" s="3060"/>
      <c r="MAF158" s="3060"/>
      <c r="MAG158" s="3060"/>
      <c r="MAH158" s="3060"/>
      <c r="MAI158" s="3060"/>
      <c r="MAJ158" s="3060"/>
      <c r="MAK158" s="3060"/>
      <c r="MAL158" s="3060"/>
      <c r="MAM158" s="3060"/>
      <c r="MAN158" s="3060"/>
      <c r="MAO158" s="3060"/>
      <c r="MAP158" s="3060"/>
      <c r="MAQ158" s="3060"/>
      <c r="MAR158" s="3060"/>
      <c r="MAS158" s="3060"/>
      <c r="MAT158" s="3060"/>
      <c r="MAU158" s="3060"/>
      <c r="MAV158" s="3060"/>
      <c r="MAW158" s="3060"/>
      <c r="MAX158" s="3060"/>
      <c r="MAY158" s="3060"/>
      <c r="MAZ158" s="3060"/>
      <c r="MBA158" s="3060"/>
      <c r="MBB158" s="3060"/>
      <c r="MBC158" s="3060"/>
      <c r="MBD158" s="3060"/>
      <c r="MBE158" s="3060"/>
      <c r="MBF158" s="3060"/>
      <c r="MBG158" s="3060"/>
      <c r="MBH158" s="3060"/>
      <c r="MBI158" s="3060"/>
      <c r="MBJ158" s="3060"/>
      <c r="MBK158" s="3060"/>
      <c r="MBL158" s="3060"/>
      <c r="MBM158" s="3060"/>
      <c r="MBN158" s="3060"/>
      <c r="MBO158" s="3060"/>
      <c r="MBP158" s="3060"/>
      <c r="MBQ158" s="3060"/>
      <c r="MBR158" s="3060"/>
      <c r="MBS158" s="3060"/>
      <c r="MBT158" s="3060"/>
      <c r="MBU158" s="3060"/>
      <c r="MBV158" s="3060"/>
      <c r="MBW158" s="3060"/>
      <c r="MBX158" s="3060"/>
      <c r="MBY158" s="3060"/>
      <c r="MBZ158" s="3060"/>
      <c r="MCA158" s="3060"/>
      <c r="MCB158" s="3060"/>
      <c r="MCC158" s="3060"/>
      <c r="MCD158" s="3060"/>
      <c r="MCE158" s="3060"/>
      <c r="MCF158" s="3060"/>
      <c r="MCG158" s="3060"/>
      <c r="MCH158" s="3060"/>
      <c r="MCI158" s="3060"/>
      <c r="MCJ158" s="3060"/>
      <c r="MCK158" s="3060"/>
      <c r="MCL158" s="3060"/>
      <c r="MCM158" s="3060"/>
      <c r="MCN158" s="3060"/>
      <c r="MCO158" s="3060"/>
      <c r="MCP158" s="3060"/>
      <c r="MCQ158" s="3060"/>
      <c r="MCR158" s="3060"/>
      <c r="MCS158" s="3060"/>
      <c r="MCT158" s="3060"/>
      <c r="MCU158" s="3060"/>
      <c r="MCV158" s="3060"/>
      <c r="MCW158" s="3060"/>
      <c r="MCX158" s="3060"/>
      <c r="MCY158" s="3060"/>
      <c r="MCZ158" s="3060"/>
      <c r="MDA158" s="3060"/>
      <c r="MDB158" s="3060"/>
      <c r="MDC158" s="3060"/>
      <c r="MDD158" s="3060"/>
      <c r="MDE158" s="3060"/>
      <c r="MDF158" s="3060"/>
      <c r="MDG158" s="3060"/>
      <c r="MDH158" s="3060"/>
      <c r="MDI158" s="3060"/>
      <c r="MDJ158" s="3060"/>
      <c r="MDK158" s="3060"/>
      <c r="MDL158" s="3060"/>
      <c r="MDM158" s="3060"/>
      <c r="MDN158" s="3060"/>
      <c r="MDO158" s="3060"/>
      <c r="MDP158" s="3060"/>
      <c r="MDQ158" s="3060"/>
      <c r="MDR158" s="3060"/>
      <c r="MDS158" s="3060"/>
      <c r="MDT158" s="3060"/>
      <c r="MDU158" s="3060"/>
      <c r="MDV158" s="3060"/>
      <c r="MDW158" s="3060"/>
      <c r="MDX158" s="3060"/>
      <c r="MDY158" s="3060"/>
      <c r="MDZ158" s="3060"/>
      <c r="MEA158" s="3060"/>
      <c r="MEB158" s="3060"/>
      <c r="MEC158" s="3060"/>
      <c r="MED158" s="3060"/>
      <c r="MEE158" s="3060"/>
      <c r="MEF158" s="3060"/>
      <c r="MEG158" s="3060"/>
      <c r="MEH158" s="3060"/>
      <c r="MEI158" s="3060"/>
      <c r="MEJ158" s="3060"/>
      <c r="MEK158" s="3060"/>
      <c r="MEL158" s="3060"/>
      <c r="MEM158" s="3060"/>
      <c r="MEN158" s="3060"/>
      <c r="MEO158" s="3060"/>
      <c r="MEP158" s="3060"/>
      <c r="MEQ158" s="3060"/>
      <c r="MER158" s="3060"/>
      <c r="MES158" s="3060"/>
      <c r="MET158" s="3060"/>
      <c r="MEU158" s="3060"/>
      <c r="MEV158" s="3060"/>
      <c r="MEW158" s="3060"/>
      <c r="MEX158" s="3060"/>
      <c r="MEY158" s="3060"/>
      <c r="MEZ158" s="3060"/>
      <c r="MFA158" s="3060"/>
      <c r="MFB158" s="3060"/>
      <c r="MFC158" s="3060"/>
      <c r="MFD158" s="3060"/>
      <c r="MFE158" s="3060"/>
      <c r="MFF158" s="3060"/>
      <c r="MFG158" s="3060"/>
      <c r="MFH158" s="3060"/>
      <c r="MFI158" s="3060"/>
      <c r="MFJ158" s="3060"/>
      <c r="MFK158" s="3060"/>
      <c r="MFL158" s="3060"/>
      <c r="MFM158" s="3060"/>
      <c r="MFN158" s="3060"/>
      <c r="MFO158" s="3060"/>
      <c r="MFP158" s="3060"/>
      <c r="MFQ158" s="3060"/>
      <c r="MFR158" s="3060"/>
      <c r="MFS158" s="3060"/>
      <c r="MFT158" s="3060"/>
      <c r="MFU158" s="3060"/>
      <c r="MFV158" s="3060"/>
      <c r="MFW158" s="3060"/>
      <c r="MFX158" s="3060"/>
      <c r="MFY158" s="3060"/>
      <c r="MFZ158" s="3060"/>
      <c r="MGA158" s="3060"/>
      <c r="MGB158" s="3060"/>
      <c r="MGC158" s="3060"/>
      <c r="MGD158" s="3060"/>
      <c r="MGE158" s="3060"/>
      <c r="MGF158" s="3060"/>
      <c r="MGG158" s="3060"/>
      <c r="MGH158" s="3060"/>
      <c r="MGI158" s="3060"/>
      <c r="MGJ158" s="3060"/>
      <c r="MGK158" s="3060"/>
      <c r="MGL158" s="3060"/>
      <c r="MGM158" s="3060"/>
      <c r="MGN158" s="3060"/>
      <c r="MGO158" s="3060"/>
      <c r="MGP158" s="3060"/>
      <c r="MGQ158" s="3060"/>
      <c r="MGR158" s="3060"/>
      <c r="MGS158" s="3060"/>
      <c r="MGT158" s="3060"/>
      <c r="MGU158" s="3060"/>
      <c r="MGV158" s="3060"/>
      <c r="MGW158" s="3060"/>
      <c r="MGX158" s="3060"/>
      <c r="MGY158" s="3060"/>
      <c r="MGZ158" s="3060"/>
      <c r="MHA158" s="3060"/>
      <c r="MHB158" s="3060"/>
      <c r="MHC158" s="3060"/>
      <c r="MHD158" s="3060"/>
      <c r="MHE158" s="3060"/>
      <c r="MHF158" s="3060"/>
      <c r="MHG158" s="3060"/>
      <c r="MHH158" s="3060"/>
      <c r="MHI158" s="3060"/>
      <c r="MHJ158" s="3060"/>
      <c r="MHK158" s="3060"/>
      <c r="MHL158" s="3060"/>
      <c r="MHM158" s="3060"/>
      <c r="MHN158" s="3060"/>
      <c r="MHO158" s="3060"/>
      <c r="MHP158" s="3060"/>
      <c r="MHQ158" s="3060"/>
      <c r="MHR158" s="3060"/>
      <c r="MHS158" s="3060"/>
      <c r="MHT158" s="3060"/>
      <c r="MHU158" s="3060"/>
      <c r="MHV158" s="3060"/>
      <c r="MHW158" s="3060"/>
      <c r="MHX158" s="3060"/>
      <c r="MHY158" s="3060"/>
      <c r="MHZ158" s="3060"/>
      <c r="MIA158" s="3060"/>
      <c r="MIB158" s="3060"/>
      <c r="MIC158" s="3060"/>
      <c r="MID158" s="3060"/>
      <c r="MIE158" s="3060"/>
      <c r="MIF158" s="3060"/>
      <c r="MIG158" s="3060"/>
      <c r="MIH158" s="3060"/>
      <c r="MII158" s="3060"/>
      <c r="MIJ158" s="3060"/>
      <c r="MIK158" s="3060"/>
      <c r="MIL158" s="3060"/>
      <c r="MIM158" s="3060"/>
      <c r="MIN158" s="3060"/>
      <c r="MIO158" s="3060"/>
      <c r="MIP158" s="3060"/>
      <c r="MIQ158" s="3060"/>
      <c r="MIR158" s="3060"/>
      <c r="MIS158" s="3060"/>
      <c r="MIT158" s="3060"/>
      <c r="MIU158" s="3060"/>
      <c r="MIV158" s="3060"/>
      <c r="MIW158" s="3060"/>
      <c r="MIX158" s="3060"/>
      <c r="MIY158" s="3060"/>
      <c r="MIZ158" s="3060"/>
      <c r="MJA158" s="3060"/>
      <c r="MJB158" s="3060"/>
      <c r="MJC158" s="3060"/>
      <c r="MJD158" s="3060"/>
      <c r="MJE158" s="3060"/>
      <c r="MJF158" s="3060"/>
      <c r="MJG158" s="3060"/>
      <c r="MJH158" s="3060"/>
      <c r="MJI158" s="3060"/>
      <c r="MJJ158" s="3060"/>
      <c r="MJK158" s="3060"/>
      <c r="MJL158" s="3060"/>
      <c r="MJM158" s="3060"/>
      <c r="MJN158" s="3060"/>
      <c r="MJO158" s="3060"/>
      <c r="MJP158" s="3060"/>
      <c r="MJQ158" s="3060"/>
      <c r="MJR158" s="3060"/>
      <c r="MJS158" s="3060"/>
      <c r="MJT158" s="3060"/>
      <c r="MJU158" s="3060"/>
      <c r="MJV158" s="3060"/>
      <c r="MJW158" s="3060"/>
      <c r="MJX158" s="3060"/>
      <c r="MJY158" s="3060"/>
      <c r="MJZ158" s="3060"/>
      <c r="MKA158" s="3060"/>
      <c r="MKB158" s="3060"/>
      <c r="MKC158" s="3060"/>
      <c r="MKD158" s="3060"/>
      <c r="MKE158" s="3060"/>
      <c r="MKF158" s="3060"/>
      <c r="MKG158" s="3060"/>
      <c r="MKH158" s="3060"/>
      <c r="MKI158" s="3060"/>
      <c r="MKJ158" s="3060"/>
      <c r="MKK158" s="3060"/>
      <c r="MKL158" s="3060"/>
      <c r="MKM158" s="3060"/>
      <c r="MKN158" s="3060"/>
      <c r="MKO158" s="3060"/>
      <c r="MKP158" s="3060"/>
      <c r="MKQ158" s="3060"/>
      <c r="MKR158" s="3060"/>
      <c r="MKS158" s="3060"/>
      <c r="MKT158" s="3060"/>
      <c r="MKU158" s="3060"/>
      <c r="MKV158" s="3060"/>
      <c r="MKW158" s="3060"/>
      <c r="MKX158" s="3060"/>
      <c r="MKY158" s="3060"/>
      <c r="MKZ158" s="3060"/>
      <c r="MLA158" s="3060"/>
      <c r="MLB158" s="3060"/>
      <c r="MLC158" s="3060"/>
      <c r="MLD158" s="3060"/>
      <c r="MLE158" s="3060"/>
      <c r="MLF158" s="3060"/>
      <c r="MLG158" s="3060"/>
      <c r="MLH158" s="3060"/>
      <c r="MLI158" s="3060"/>
      <c r="MLJ158" s="3060"/>
      <c r="MLK158" s="3060"/>
      <c r="MLL158" s="3060"/>
      <c r="MLM158" s="3060"/>
      <c r="MLN158" s="3060"/>
      <c r="MLO158" s="3060"/>
      <c r="MLP158" s="3060"/>
      <c r="MLQ158" s="3060"/>
      <c r="MLR158" s="3060"/>
      <c r="MLS158" s="3060"/>
      <c r="MLT158" s="3060"/>
      <c r="MLU158" s="3060"/>
      <c r="MLV158" s="3060"/>
      <c r="MLW158" s="3060"/>
      <c r="MLX158" s="3060"/>
      <c r="MLY158" s="3060"/>
      <c r="MLZ158" s="3060"/>
      <c r="MMA158" s="3060"/>
      <c r="MMB158" s="3060"/>
      <c r="MMC158" s="3060"/>
      <c r="MMD158" s="3060"/>
      <c r="MME158" s="3060"/>
      <c r="MMF158" s="3060"/>
      <c r="MMG158" s="3060"/>
      <c r="MMH158" s="3060"/>
      <c r="MMI158" s="3060"/>
      <c r="MMJ158" s="3060"/>
      <c r="MMK158" s="3060"/>
      <c r="MML158" s="3060"/>
      <c r="MMM158" s="3060"/>
      <c r="MMN158" s="3060"/>
      <c r="MMO158" s="3060"/>
      <c r="MMP158" s="3060"/>
      <c r="MMQ158" s="3060"/>
      <c r="MMR158" s="3060"/>
      <c r="MMS158" s="3060"/>
      <c r="MMT158" s="3060"/>
      <c r="MMU158" s="3060"/>
      <c r="MMV158" s="3060"/>
      <c r="MMW158" s="3060"/>
      <c r="MMX158" s="3060"/>
      <c r="MMY158" s="3060"/>
      <c r="MMZ158" s="3060"/>
      <c r="MNA158" s="3060"/>
      <c r="MNB158" s="3060"/>
      <c r="MNC158" s="3060"/>
      <c r="MND158" s="3060"/>
      <c r="MNE158" s="3060"/>
      <c r="MNF158" s="3060"/>
      <c r="MNG158" s="3060"/>
      <c r="MNH158" s="3060"/>
      <c r="MNI158" s="3060"/>
      <c r="MNJ158" s="3060"/>
      <c r="MNK158" s="3060"/>
      <c r="MNL158" s="3060"/>
      <c r="MNM158" s="3060"/>
      <c r="MNN158" s="3060"/>
      <c r="MNO158" s="3060"/>
      <c r="MNP158" s="3060"/>
      <c r="MNQ158" s="3060"/>
      <c r="MNR158" s="3060"/>
      <c r="MNS158" s="3060"/>
      <c r="MNT158" s="3060"/>
      <c r="MNU158" s="3060"/>
      <c r="MNV158" s="3060"/>
      <c r="MNW158" s="3060"/>
      <c r="MNX158" s="3060"/>
      <c r="MNY158" s="3060"/>
      <c r="MNZ158" s="3060"/>
      <c r="MOA158" s="3060"/>
      <c r="MOB158" s="3060"/>
      <c r="MOC158" s="3060"/>
      <c r="MOD158" s="3060"/>
      <c r="MOE158" s="3060"/>
      <c r="MOF158" s="3060"/>
      <c r="MOG158" s="3060"/>
      <c r="MOH158" s="3060"/>
      <c r="MOI158" s="3060"/>
      <c r="MOJ158" s="3060"/>
      <c r="MOK158" s="3060"/>
      <c r="MOL158" s="3060"/>
      <c r="MOM158" s="3060"/>
      <c r="MON158" s="3060"/>
      <c r="MOO158" s="3060"/>
      <c r="MOP158" s="3060"/>
      <c r="MOQ158" s="3060"/>
      <c r="MOR158" s="3060"/>
      <c r="MOS158" s="3060"/>
      <c r="MOT158" s="3060"/>
      <c r="MOU158" s="3060"/>
      <c r="MOV158" s="3060"/>
      <c r="MOW158" s="3060"/>
      <c r="MOX158" s="3060"/>
      <c r="MOY158" s="3060"/>
      <c r="MOZ158" s="3060"/>
      <c r="MPA158" s="3060"/>
      <c r="MPB158" s="3060"/>
      <c r="MPC158" s="3060"/>
      <c r="MPD158" s="3060"/>
      <c r="MPE158" s="3060"/>
      <c r="MPF158" s="3060"/>
      <c r="MPG158" s="3060"/>
      <c r="MPH158" s="3060"/>
      <c r="MPI158" s="3060"/>
      <c r="MPJ158" s="3060"/>
      <c r="MPK158" s="3060"/>
      <c r="MPL158" s="3060"/>
      <c r="MPM158" s="3060"/>
      <c r="MPN158" s="3060"/>
      <c r="MPO158" s="3060"/>
      <c r="MPP158" s="3060"/>
      <c r="MPQ158" s="3060"/>
      <c r="MPR158" s="3060"/>
      <c r="MPS158" s="3060"/>
      <c r="MPT158" s="3060"/>
      <c r="MPU158" s="3060"/>
      <c r="MPV158" s="3060"/>
      <c r="MPW158" s="3060"/>
      <c r="MPX158" s="3060"/>
      <c r="MPY158" s="3060"/>
      <c r="MPZ158" s="3060"/>
      <c r="MQA158" s="3060"/>
      <c r="MQB158" s="3060"/>
      <c r="MQC158" s="3060"/>
      <c r="MQD158" s="3060"/>
      <c r="MQE158" s="3060"/>
      <c r="MQF158" s="3060"/>
      <c r="MQG158" s="3060"/>
      <c r="MQH158" s="3060"/>
      <c r="MQI158" s="3060"/>
      <c r="MQJ158" s="3060"/>
      <c r="MQK158" s="3060"/>
      <c r="MQL158" s="3060"/>
      <c r="MQM158" s="3060"/>
      <c r="MQN158" s="3060"/>
      <c r="MQO158" s="3060"/>
      <c r="MQP158" s="3060"/>
      <c r="MQQ158" s="3060"/>
      <c r="MQR158" s="3060"/>
      <c r="MQS158" s="3060"/>
      <c r="MQT158" s="3060"/>
      <c r="MQU158" s="3060"/>
      <c r="MQV158" s="3060"/>
      <c r="MQW158" s="3060"/>
      <c r="MQX158" s="3060"/>
      <c r="MQY158" s="3060"/>
      <c r="MQZ158" s="3060"/>
      <c r="MRA158" s="3060"/>
      <c r="MRB158" s="3060"/>
      <c r="MRC158" s="3060"/>
      <c r="MRD158" s="3060"/>
      <c r="MRE158" s="3060"/>
      <c r="MRF158" s="3060"/>
      <c r="MRG158" s="3060"/>
      <c r="MRH158" s="3060"/>
      <c r="MRI158" s="3060"/>
      <c r="MRJ158" s="3060"/>
      <c r="MRK158" s="3060"/>
      <c r="MRL158" s="3060"/>
      <c r="MRM158" s="3060"/>
      <c r="MRN158" s="3060"/>
      <c r="MRO158" s="3060"/>
      <c r="MRP158" s="3060"/>
      <c r="MRQ158" s="3060"/>
      <c r="MRR158" s="3060"/>
      <c r="MRS158" s="3060"/>
      <c r="MRT158" s="3060"/>
      <c r="MRU158" s="3060"/>
      <c r="MRV158" s="3060"/>
      <c r="MRW158" s="3060"/>
      <c r="MRX158" s="3060"/>
      <c r="MRY158" s="3060"/>
      <c r="MRZ158" s="3060"/>
      <c r="MSA158" s="3060"/>
      <c r="MSB158" s="3060"/>
      <c r="MSC158" s="3060"/>
      <c r="MSD158" s="3060"/>
      <c r="MSE158" s="3060"/>
      <c r="MSF158" s="3060"/>
      <c r="MSG158" s="3060"/>
      <c r="MSH158" s="3060"/>
      <c r="MSI158" s="3060"/>
      <c r="MSJ158" s="3060"/>
      <c r="MSK158" s="3060"/>
      <c r="MSL158" s="3060"/>
      <c r="MSM158" s="3060"/>
      <c r="MSN158" s="3060"/>
      <c r="MSO158" s="3060"/>
      <c r="MSP158" s="3060"/>
      <c r="MSQ158" s="3060"/>
      <c r="MSR158" s="3060"/>
      <c r="MSS158" s="3060"/>
      <c r="MST158" s="3060"/>
      <c r="MSU158" s="3060"/>
      <c r="MSV158" s="3060"/>
      <c r="MSW158" s="3060"/>
      <c r="MSX158" s="3060"/>
      <c r="MSY158" s="3060"/>
      <c r="MSZ158" s="3060"/>
      <c r="MTA158" s="3060"/>
      <c r="MTB158" s="3060"/>
      <c r="MTC158" s="3060"/>
      <c r="MTD158" s="3060"/>
      <c r="MTE158" s="3060"/>
      <c r="MTF158" s="3060"/>
      <c r="MTG158" s="3060"/>
      <c r="MTH158" s="3060"/>
      <c r="MTI158" s="3060"/>
      <c r="MTJ158" s="3060"/>
      <c r="MTK158" s="3060"/>
      <c r="MTL158" s="3060"/>
      <c r="MTM158" s="3060"/>
      <c r="MTN158" s="3060"/>
      <c r="MTO158" s="3060"/>
      <c r="MTP158" s="3060"/>
      <c r="MTQ158" s="3060"/>
      <c r="MTR158" s="3060"/>
      <c r="MTS158" s="3060"/>
      <c r="MTT158" s="3060"/>
      <c r="MTU158" s="3060"/>
      <c r="MTV158" s="3060"/>
      <c r="MTW158" s="3060"/>
      <c r="MTX158" s="3060"/>
      <c r="MTY158" s="3060"/>
      <c r="MTZ158" s="3060"/>
      <c r="MUA158" s="3060"/>
      <c r="MUB158" s="3060"/>
      <c r="MUC158" s="3060"/>
      <c r="MUD158" s="3060"/>
      <c r="MUE158" s="3060"/>
      <c r="MUF158" s="3060"/>
      <c r="MUG158" s="3060"/>
      <c r="MUH158" s="3060"/>
      <c r="MUI158" s="3060"/>
      <c r="MUJ158" s="3060"/>
      <c r="MUK158" s="3060"/>
      <c r="MUL158" s="3060"/>
      <c r="MUM158" s="3060"/>
      <c r="MUN158" s="3060"/>
      <c r="MUO158" s="3060"/>
      <c r="MUP158" s="3060"/>
      <c r="MUQ158" s="3060"/>
      <c r="MUR158" s="3060"/>
      <c r="MUS158" s="3060"/>
      <c r="MUT158" s="3060"/>
      <c r="MUU158" s="3060"/>
      <c r="MUV158" s="3060"/>
      <c r="MUW158" s="3060"/>
      <c r="MUX158" s="3060"/>
      <c r="MUY158" s="3060"/>
      <c r="MUZ158" s="3060"/>
      <c r="MVA158" s="3060"/>
      <c r="MVB158" s="3060"/>
      <c r="MVC158" s="3060"/>
      <c r="MVD158" s="3060"/>
      <c r="MVE158" s="3060"/>
      <c r="MVF158" s="3060"/>
      <c r="MVG158" s="3060"/>
      <c r="MVH158" s="3060"/>
      <c r="MVI158" s="3060"/>
      <c r="MVJ158" s="3060"/>
      <c r="MVK158" s="3060"/>
      <c r="MVL158" s="3060"/>
      <c r="MVM158" s="3060"/>
      <c r="MVN158" s="3060"/>
      <c r="MVO158" s="3060"/>
      <c r="MVP158" s="3060"/>
      <c r="MVQ158" s="3060"/>
      <c r="MVR158" s="3060"/>
      <c r="MVS158" s="3060"/>
      <c r="MVT158" s="3060"/>
      <c r="MVU158" s="3060"/>
      <c r="MVV158" s="3060"/>
      <c r="MVW158" s="3060"/>
      <c r="MVX158" s="3060"/>
      <c r="MVY158" s="3060"/>
      <c r="MVZ158" s="3060"/>
      <c r="MWA158" s="3060"/>
      <c r="MWB158" s="3060"/>
      <c r="MWC158" s="3060"/>
      <c r="MWD158" s="3060"/>
      <c r="MWE158" s="3060"/>
      <c r="MWF158" s="3060"/>
      <c r="MWG158" s="3060"/>
      <c r="MWH158" s="3060"/>
      <c r="MWI158" s="3060"/>
      <c r="MWJ158" s="3060"/>
      <c r="MWK158" s="3060"/>
      <c r="MWL158" s="3060"/>
      <c r="MWM158" s="3060"/>
      <c r="MWN158" s="3060"/>
      <c r="MWO158" s="3060"/>
      <c r="MWP158" s="3060"/>
      <c r="MWQ158" s="3060"/>
      <c r="MWR158" s="3060"/>
      <c r="MWS158" s="3060"/>
      <c r="MWT158" s="3060"/>
      <c r="MWU158" s="3060"/>
      <c r="MWV158" s="3060"/>
      <c r="MWW158" s="3060"/>
      <c r="MWX158" s="3060"/>
      <c r="MWY158" s="3060"/>
      <c r="MWZ158" s="3060"/>
      <c r="MXA158" s="3060"/>
      <c r="MXB158" s="3060"/>
      <c r="MXC158" s="3060"/>
      <c r="MXD158" s="3060"/>
      <c r="MXE158" s="3060"/>
      <c r="MXF158" s="3060"/>
      <c r="MXG158" s="3060"/>
      <c r="MXH158" s="3060"/>
      <c r="MXI158" s="3060"/>
      <c r="MXJ158" s="3060"/>
      <c r="MXK158" s="3060"/>
      <c r="MXL158" s="3060"/>
      <c r="MXM158" s="3060"/>
      <c r="MXN158" s="3060"/>
      <c r="MXO158" s="3060"/>
      <c r="MXP158" s="3060"/>
      <c r="MXQ158" s="3060"/>
      <c r="MXR158" s="3060"/>
      <c r="MXS158" s="3060"/>
      <c r="MXT158" s="3060"/>
      <c r="MXU158" s="3060"/>
      <c r="MXV158" s="3060"/>
      <c r="MXW158" s="3060"/>
      <c r="MXX158" s="3060"/>
      <c r="MXY158" s="3060"/>
      <c r="MXZ158" s="3060"/>
      <c r="MYA158" s="3060"/>
      <c r="MYB158" s="3060"/>
      <c r="MYC158" s="3060"/>
      <c r="MYD158" s="3060"/>
      <c r="MYE158" s="3060"/>
      <c r="MYF158" s="3060"/>
      <c r="MYG158" s="3060"/>
      <c r="MYH158" s="3060"/>
      <c r="MYI158" s="3060"/>
      <c r="MYJ158" s="3060"/>
      <c r="MYK158" s="3060"/>
      <c r="MYL158" s="3060"/>
      <c r="MYM158" s="3060"/>
      <c r="MYN158" s="3060"/>
      <c r="MYO158" s="3060"/>
      <c r="MYP158" s="3060"/>
      <c r="MYQ158" s="3060"/>
      <c r="MYR158" s="3060"/>
      <c r="MYS158" s="3060"/>
      <c r="MYT158" s="3060"/>
      <c r="MYU158" s="3060"/>
      <c r="MYV158" s="3060"/>
      <c r="MYW158" s="3060"/>
      <c r="MYX158" s="3060"/>
      <c r="MYY158" s="3060"/>
      <c r="MYZ158" s="3060"/>
      <c r="MZA158" s="3060"/>
      <c r="MZB158" s="3060"/>
      <c r="MZC158" s="3060"/>
      <c r="MZD158" s="3060"/>
      <c r="MZE158" s="3060"/>
      <c r="MZF158" s="3060"/>
      <c r="MZG158" s="3060"/>
      <c r="MZH158" s="3060"/>
      <c r="MZI158" s="3060"/>
      <c r="MZJ158" s="3060"/>
      <c r="MZK158" s="3060"/>
      <c r="MZL158" s="3060"/>
      <c r="MZM158" s="3060"/>
      <c r="MZN158" s="3060"/>
      <c r="MZO158" s="3060"/>
      <c r="MZP158" s="3060"/>
      <c r="MZQ158" s="3060"/>
      <c r="MZR158" s="3060"/>
      <c r="MZS158" s="3060"/>
      <c r="MZT158" s="3060"/>
      <c r="MZU158" s="3060"/>
      <c r="MZV158" s="3060"/>
      <c r="MZW158" s="3060"/>
      <c r="MZX158" s="3060"/>
      <c r="MZY158" s="3060"/>
      <c r="MZZ158" s="3060"/>
      <c r="NAA158" s="3060"/>
      <c r="NAB158" s="3060"/>
      <c r="NAC158" s="3060"/>
      <c r="NAD158" s="3060"/>
      <c r="NAE158" s="3060"/>
      <c r="NAF158" s="3060"/>
      <c r="NAG158" s="3060"/>
      <c r="NAH158" s="3060"/>
      <c r="NAI158" s="3060"/>
      <c r="NAJ158" s="3060"/>
      <c r="NAK158" s="3060"/>
      <c r="NAL158" s="3060"/>
      <c r="NAM158" s="3060"/>
      <c r="NAN158" s="3060"/>
      <c r="NAO158" s="3060"/>
      <c r="NAP158" s="3060"/>
      <c r="NAQ158" s="3060"/>
      <c r="NAR158" s="3060"/>
      <c r="NAS158" s="3060"/>
      <c r="NAT158" s="3060"/>
      <c r="NAU158" s="3060"/>
      <c r="NAV158" s="3060"/>
      <c r="NAW158" s="3060"/>
      <c r="NAX158" s="3060"/>
      <c r="NAY158" s="3060"/>
      <c r="NAZ158" s="3060"/>
      <c r="NBA158" s="3060"/>
      <c r="NBB158" s="3060"/>
      <c r="NBC158" s="3060"/>
      <c r="NBD158" s="3060"/>
      <c r="NBE158" s="3060"/>
      <c r="NBF158" s="3060"/>
      <c r="NBG158" s="3060"/>
      <c r="NBH158" s="3060"/>
      <c r="NBI158" s="3060"/>
      <c r="NBJ158" s="3060"/>
      <c r="NBK158" s="3060"/>
      <c r="NBL158" s="3060"/>
      <c r="NBM158" s="3060"/>
      <c r="NBN158" s="3060"/>
      <c r="NBO158" s="3060"/>
      <c r="NBP158" s="3060"/>
      <c r="NBQ158" s="3060"/>
      <c r="NBR158" s="3060"/>
      <c r="NBS158" s="3060"/>
      <c r="NBT158" s="3060"/>
      <c r="NBU158" s="3060"/>
      <c r="NBV158" s="3060"/>
      <c r="NBW158" s="3060"/>
      <c r="NBX158" s="3060"/>
      <c r="NBY158" s="3060"/>
      <c r="NBZ158" s="3060"/>
      <c r="NCA158" s="3060"/>
      <c r="NCB158" s="3060"/>
      <c r="NCC158" s="3060"/>
      <c r="NCD158" s="3060"/>
      <c r="NCE158" s="3060"/>
      <c r="NCF158" s="3060"/>
      <c r="NCG158" s="3060"/>
      <c r="NCH158" s="3060"/>
      <c r="NCI158" s="3060"/>
      <c r="NCJ158" s="3060"/>
      <c r="NCK158" s="3060"/>
      <c r="NCL158" s="3060"/>
      <c r="NCM158" s="3060"/>
      <c r="NCN158" s="3060"/>
      <c r="NCO158" s="3060"/>
      <c r="NCP158" s="3060"/>
      <c r="NCQ158" s="3060"/>
      <c r="NCR158" s="3060"/>
      <c r="NCS158" s="3060"/>
      <c r="NCT158" s="3060"/>
      <c r="NCU158" s="3060"/>
      <c r="NCV158" s="3060"/>
      <c r="NCW158" s="3060"/>
      <c r="NCX158" s="3060"/>
      <c r="NCY158" s="3060"/>
      <c r="NCZ158" s="3060"/>
      <c r="NDA158" s="3060"/>
      <c r="NDB158" s="3060"/>
      <c r="NDC158" s="3060"/>
      <c r="NDD158" s="3060"/>
      <c r="NDE158" s="3060"/>
      <c r="NDF158" s="3060"/>
      <c r="NDG158" s="3060"/>
      <c r="NDH158" s="3060"/>
      <c r="NDI158" s="3060"/>
      <c r="NDJ158" s="3060"/>
      <c r="NDK158" s="3060"/>
      <c r="NDL158" s="3060"/>
      <c r="NDM158" s="3060"/>
      <c r="NDN158" s="3060"/>
      <c r="NDO158" s="3060"/>
      <c r="NDP158" s="3060"/>
      <c r="NDQ158" s="3060"/>
      <c r="NDR158" s="3060"/>
      <c r="NDS158" s="3060"/>
      <c r="NDT158" s="3060"/>
      <c r="NDU158" s="3060"/>
      <c r="NDV158" s="3060"/>
      <c r="NDW158" s="3060"/>
      <c r="NDX158" s="3060"/>
      <c r="NDY158" s="3060"/>
      <c r="NDZ158" s="3060"/>
      <c r="NEA158" s="3060"/>
      <c r="NEB158" s="3060"/>
      <c r="NEC158" s="3060"/>
      <c r="NED158" s="3060"/>
      <c r="NEE158" s="3060"/>
      <c r="NEF158" s="3060"/>
      <c r="NEG158" s="3060"/>
      <c r="NEH158" s="3060"/>
      <c r="NEI158" s="3060"/>
      <c r="NEJ158" s="3060"/>
      <c r="NEK158" s="3060"/>
      <c r="NEL158" s="3060"/>
      <c r="NEM158" s="3060"/>
      <c r="NEN158" s="3060"/>
      <c r="NEO158" s="3060"/>
      <c r="NEP158" s="3060"/>
      <c r="NEQ158" s="3060"/>
      <c r="NER158" s="3060"/>
      <c r="NES158" s="3060"/>
      <c r="NET158" s="3060"/>
      <c r="NEU158" s="3060"/>
      <c r="NEV158" s="3060"/>
      <c r="NEW158" s="3060"/>
      <c r="NEX158" s="3060"/>
      <c r="NEY158" s="3060"/>
      <c r="NEZ158" s="3060"/>
      <c r="NFA158" s="3060"/>
      <c r="NFB158" s="3060"/>
      <c r="NFC158" s="3060"/>
      <c r="NFD158" s="3060"/>
      <c r="NFE158" s="3060"/>
      <c r="NFF158" s="3060"/>
      <c r="NFG158" s="3060"/>
      <c r="NFH158" s="3060"/>
      <c r="NFI158" s="3060"/>
      <c r="NFJ158" s="3060"/>
      <c r="NFK158" s="3060"/>
      <c r="NFL158" s="3060"/>
      <c r="NFM158" s="3060"/>
      <c r="NFN158" s="3060"/>
      <c r="NFO158" s="3060"/>
      <c r="NFP158" s="3060"/>
      <c r="NFQ158" s="3060"/>
      <c r="NFR158" s="3060"/>
      <c r="NFS158" s="3060"/>
      <c r="NFT158" s="3060"/>
      <c r="NFU158" s="3060"/>
      <c r="NFV158" s="3060"/>
      <c r="NFW158" s="3060"/>
      <c r="NFX158" s="3060"/>
      <c r="NFY158" s="3060"/>
      <c r="NFZ158" s="3060"/>
      <c r="NGA158" s="3060"/>
      <c r="NGB158" s="3060"/>
      <c r="NGC158" s="3060"/>
      <c r="NGD158" s="3060"/>
      <c r="NGE158" s="3060"/>
      <c r="NGF158" s="3060"/>
      <c r="NGG158" s="3060"/>
      <c r="NGH158" s="3060"/>
      <c r="NGI158" s="3060"/>
      <c r="NGJ158" s="3060"/>
      <c r="NGK158" s="3060"/>
      <c r="NGL158" s="3060"/>
      <c r="NGM158" s="3060"/>
      <c r="NGN158" s="3060"/>
      <c r="NGO158" s="3060"/>
      <c r="NGP158" s="3060"/>
      <c r="NGQ158" s="3060"/>
      <c r="NGR158" s="3060"/>
      <c r="NGS158" s="3060"/>
      <c r="NGT158" s="3060"/>
      <c r="NGU158" s="3060"/>
      <c r="NGV158" s="3060"/>
      <c r="NGW158" s="3060"/>
      <c r="NGX158" s="3060"/>
      <c r="NGY158" s="3060"/>
      <c r="NGZ158" s="3060"/>
      <c r="NHA158" s="3060"/>
      <c r="NHB158" s="3060"/>
      <c r="NHC158" s="3060"/>
      <c r="NHD158" s="3060"/>
      <c r="NHE158" s="3060"/>
      <c r="NHF158" s="3060"/>
      <c r="NHG158" s="3060"/>
      <c r="NHH158" s="3060"/>
      <c r="NHI158" s="3060"/>
      <c r="NHJ158" s="3060"/>
      <c r="NHK158" s="3060"/>
      <c r="NHL158" s="3060"/>
      <c r="NHM158" s="3060"/>
      <c r="NHN158" s="3060"/>
      <c r="NHO158" s="3060"/>
      <c r="NHP158" s="3060"/>
      <c r="NHQ158" s="3060"/>
      <c r="NHR158" s="3060"/>
      <c r="NHS158" s="3060"/>
      <c r="NHT158" s="3060"/>
      <c r="NHU158" s="3060"/>
      <c r="NHV158" s="3060"/>
      <c r="NHW158" s="3060"/>
      <c r="NHX158" s="3060"/>
      <c r="NHY158" s="3060"/>
      <c r="NHZ158" s="3060"/>
      <c r="NIA158" s="3060"/>
      <c r="NIB158" s="3060"/>
      <c r="NIC158" s="3060"/>
      <c r="NID158" s="3060"/>
      <c r="NIE158" s="3060"/>
      <c r="NIF158" s="3060"/>
      <c r="NIG158" s="3060"/>
      <c r="NIH158" s="3060"/>
      <c r="NII158" s="3060"/>
      <c r="NIJ158" s="3060"/>
      <c r="NIK158" s="3060"/>
      <c r="NIL158" s="3060"/>
      <c r="NIM158" s="3060"/>
      <c r="NIN158" s="3060"/>
      <c r="NIO158" s="3060"/>
      <c r="NIP158" s="3060"/>
      <c r="NIQ158" s="3060"/>
      <c r="NIR158" s="3060"/>
      <c r="NIS158" s="3060"/>
      <c r="NIT158" s="3060"/>
      <c r="NIU158" s="3060"/>
      <c r="NIV158" s="3060"/>
      <c r="NIW158" s="3060"/>
      <c r="NIX158" s="3060"/>
      <c r="NIY158" s="3060"/>
      <c r="NIZ158" s="3060"/>
      <c r="NJA158" s="3060"/>
      <c r="NJB158" s="3060"/>
      <c r="NJC158" s="3060"/>
      <c r="NJD158" s="3060"/>
      <c r="NJE158" s="3060"/>
      <c r="NJF158" s="3060"/>
      <c r="NJG158" s="3060"/>
      <c r="NJH158" s="3060"/>
      <c r="NJI158" s="3060"/>
      <c r="NJJ158" s="3060"/>
      <c r="NJK158" s="3060"/>
      <c r="NJL158" s="3060"/>
      <c r="NJM158" s="3060"/>
      <c r="NJN158" s="3060"/>
      <c r="NJO158" s="3060"/>
      <c r="NJP158" s="3060"/>
      <c r="NJQ158" s="3060"/>
      <c r="NJR158" s="3060"/>
      <c r="NJS158" s="3060"/>
      <c r="NJT158" s="3060"/>
      <c r="NJU158" s="3060"/>
      <c r="NJV158" s="3060"/>
      <c r="NJW158" s="3060"/>
      <c r="NJX158" s="3060"/>
      <c r="NJY158" s="3060"/>
      <c r="NJZ158" s="3060"/>
      <c r="NKA158" s="3060"/>
      <c r="NKB158" s="3060"/>
      <c r="NKC158" s="3060"/>
      <c r="NKD158" s="3060"/>
      <c r="NKE158" s="3060"/>
      <c r="NKF158" s="3060"/>
      <c r="NKG158" s="3060"/>
      <c r="NKH158" s="3060"/>
      <c r="NKI158" s="3060"/>
      <c r="NKJ158" s="3060"/>
      <c r="NKK158" s="3060"/>
      <c r="NKL158" s="3060"/>
      <c r="NKM158" s="3060"/>
      <c r="NKN158" s="3060"/>
      <c r="NKO158" s="3060"/>
      <c r="NKP158" s="3060"/>
      <c r="NKQ158" s="3060"/>
      <c r="NKR158" s="3060"/>
      <c r="NKS158" s="3060"/>
      <c r="NKT158" s="3060"/>
      <c r="NKU158" s="3060"/>
      <c r="NKV158" s="3060"/>
      <c r="NKW158" s="3060"/>
      <c r="NKX158" s="3060"/>
      <c r="NKY158" s="3060"/>
      <c r="NKZ158" s="3060"/>
      <c r="NLA158" s="3060"/>
      <c r="NLB158" s="3060"/>
      <c r="NLC158" s="3060"/>
      <c r="NLD158" s="3060"/>
      <c r="NLE158" s="3060"/>
      <c r="NLF158" s="3060"/>
      <c r="NLG158" s="3060"/>
      <c r="NLH158" s="3060"/>
      <c r="NLI158" s="3060"/>
      <c r="NLJ158" s="3060"/>
      <c r="NLK158" s="3060"/>
      <c r="NLL158" s="3060"/>
      <c r="NLM158" s="3060"/>
      <c r="NLN158" s="3060"/>
      <c r="NLO158" s="3060"/>
      <c r="NLP158" s="3060"/>
      <c r="NLQ158" s="3060"/>
      <c r="NLR158" s="3060"/>
      <c r="NLS158" s="3060"/>
      <c r="NLT158" s="3060"/>
      <c r="NLU158" s="3060"/>
      <c r="NLV158" s="3060"/>
      <c r="NLW158" s="3060"/>
      <c r="NLX158" s="3060"/>
      <c r="NLY158" s="3060"/>
      <c r="NLZ158" s="3060"/>
      <c r="NMA158" s="3060"/>
      <c r="NMB158" s="3060"/>
      <c r="NMC158" s="3060"/>
      <c r="NMD158" s="3060"/>
      <c r="NME158" s="3060"/>
      <c r="NMF158" s="3060"/>
      <c r="NMG158" s="3060"/>
      <c r="NMH158" s="3060"/>
      <c r="NMI158" s="3060"/>
      <c r="NMJ158" s="3060"/>
      <c r="NMK158" s="3060"/>
      <c r="NML158" s="3060"/>
      <c r="NMM158" s="3060"/>
      <c r="NMN158" s="3060"/>
      <c r="NMO158" s="3060"/>
      <c r="NMP158" s="3060"/>
      <c r="NMQ158" s="3060"/>
      <c r="NMR158" s="3060"/>
      <c r="NMS158" s="3060"/>
      <c r="NMT158" s="3060"/>
      <c r="NMU158" s="3060"/>
      <c r="NMV158" s="3060"/>
      <c r="NMW158" s="3060"/>
      <c r="NMX158" s="3060"/>
      <c r="NMY158" s="3060"/>
      <c r="NMZ158" s="3060"/>
      <c r="NNA158" s="3060"/>
      <c r="NNB158" s="3060"/>
      <c r="NNC158" s="3060"/>
      <c r="NND158" s="3060"/>
      <c r="NNE158" s="3060"/>
      <c r="NNF158" s="3060"/>
      <c r="NNG158" s="3060"/>
      <c r="NNH158" s="3060"/>
      <c r="NNI158" s="3060"/>
      <c r="NNJ158" s="3060"/>
      <c r="NNK158" s="3060"/>
      <c r="NNL158" s="3060"/>
      <c r="NNM158" s="3060"/>
      <c r="NNN158" s="3060"/>
      <c r="NNO158" s="3060"/>
      <c r="NNP158" s="3060"/>
      <c r="NNQ158" s="3060"/>
      <c r="NNR158" s="3060"/>
      <c r="NNS158" s="3060"/>
      <c r="NNT158" s="3060"/>
      <c r="NNU158" s="3060"/>
      <c r="NNV158" s="3060"/>
      <c r="NNW158" s="3060"/>
      <c r="NNX158" s="3060"/>
      <c r="NNY158" s="3060"/>
      <c r="NNZ158" s="3060"/>
      <c r="NOA158" s="3060"/>
      <c r="NOB158" s="3060"/>
      <c r="NOC158" s="3060"/>
      <c r="NOD158" s="3060"/>
      <c r="NOE158" s="3060"/>
      <c r="NOF158" s="3060"/>
      <c r="NOG158" s="3060"/>
      <c r="NOH158" s="3060"/>
      <c r="NOI158" s="3060"/>
      <c r="NOJ158" s="3060"/>
      <c r="NOK158" s="3060"/>
      <c r="NOL158" s="3060"/>
      <c r="NOM158" s="3060"/>
      <c r="NON158" s="3060"/>
      <c r="NOO158" s="3060"/>
      <c r="NOP158" s="3060"/>
      <c r="NOQ158" s="3060"/>
      <c r="NOR158" s="3060"/>
      <c r="NOS158" s="3060"/>
      <c r="NOT158" s="3060"/>
      <c r="NOU158" s="3060"/>
      <c r="NOV158" s="3060"/>
      <c r="NOW158" s="3060"/>
      <c r="NOX158" s="3060"/>
      <c r="NOY158" s="3060"/>
      <c r="NOZ158" s="3060"/>
      <c r="NPA158" s="3060"/>
      <c r="NPB158" s="3060"/>
      <c r="NPC158" s="3060"/>
      <c r="NPD158" s="3060"/>
      <c r="NPE158" s="3060"/>
      <c r="NPF158" s="3060"/>
      <c r="NPG158" s="3060"/>
      <c r="NPH158" s="3060"/>
      <c r="NPI158" s="3060"/>
      <c r="NPJ158" s="3060"/>
      <c r="NPK158" s="3060"/>
      <c r="NPL158" s="3060"/>
      <c r="NPM158" s="3060"/>
      <c r="NPN158" s="3060"/>
      <c r="NPO158" s="3060"/>
      <c r="NPP158" s="3060"/>
      <c r="NPQ158" s="3060"/>
      <c r="NPR158" s="3060"/>
      <c r="NPS158" s="3060"/>
      <c r="NPT158" s="3060"/>
      <c r="NPU158" s="3060"/>
      <c r="NPV158" s="3060"/>
      <c r="NPW158" s="3060"/>
      <c r="NPX158" s="3060"/>
      <c r="NPY158" s="3060"/>
      <c r="NPZ158" s="3060"/>
      <c r="NQA158" s="3060"/>
      <c r="NQB158" s="3060"/>
      <c r="NQC158" s="3060"/>
      <c r="NQD158" s="3060"/>
      <c r="NQE158" s="3060"/>
      <c r="NQF158" s="3060"/>
      <c r="NQG158" s="3060"/>
      <c r="NQH158" s="3060"/>
      <c r="NQI158" s="3060"/>
      <c r="NQJ158" s="3060"/>
      <c r="NQK158" s="3060"/>
      <c r="NQL158" s="3060"/>
      <c r="NQM158" s="3060"/>
      <c r="NQN158" s="3060"/>
      <c r="NQO158" s="3060"/>
      <c r="NQP158" s="3060"/>
      <c r="NQQ158" s="3060"/>
      <c r="NQR158" s="3060"/>
      <c r="NQS158" s="3060"/>
      <c r="NQT158" s="3060"/>
      <c r="NQU158" s="3060"/>
      <c r="NQV158" s="3060"/>
      <c r="NQW158" s="3060"/>
      <c r="NQX158" s="3060"/>
      <c r="NQY158" s="3060"/>
      <c r="NQZ158" s="3060"/>
      <c r="NRA158" s="3060"/>
      <c r="NRB158" s="3060"/>
      <c r="NRC158" s="3060"/>
      <c r="NRD158" s="3060"/>
      <c r="NRE158" s="3060"/>
      <c r="NRF158" s="3060"/>
      <c r="NRG158" s="3060"/>
      <c r="NRH158" s="3060"/>
      <c r="NRI158" s="3060"/>
      <c r="NRJ158" s="3060"/>
      <c r="NRK158" s="3060"/>
      <c r="NRL158" s="3060"/>
      <c r="NRM158" s="3060"/>
      <c r="NRN158" s="3060"/>
      <c r="NRO158" s="3060"/>
      <c r="NRP158" s="3060"/>
      <c r="NRQ158" s="3060"/>
      <c r="NRR158" s="3060"/>
      <c r="NRS158" s="3060"/>
      <c r="NRT158" s="3060"/>
      <c r="NRU158" s="3060"/>
      <c r="NRV158" s="3060"/>
      <c r="NRW158" s="3060"/>
      <c r="NRX158" s="3060"/>
      <c r="NRY158" s="3060"/>
      <c r="NRZ158" s="3060"/>
      <c r="NSA158" s="3060"/>
      <c r="NSB158" s="3060"/>
      <c r="NSC158" s="3060"/>
      <c r="NSD158" s="3060"/>
      <c r="NSE158" s="3060"/>
      <c r="NSF158" s="3060"/>
      <c r="NSG158" s="3060"/>
      <c r="NSH158" s="3060"/>
      <c r="NSI158" s="3060"/>
      <c r="NSJ158" s="3060"/>
      <c r="NSK158" s="3060"/>
      <c r="NSL158" s="3060"/>
      <c r="NSM158" s="3060"/>
      <c r="NSN158" s="3060"/>
      <c r="NSO158" s="3060"/>
      <c r="NSP158" s="3060"/>
      <c r="NSQ158" s="3060"/>
      <c r="NSR158" s="3060"/>
      <c r="NSS158" s="3060"/>
      <c r="NST158" s="3060"/>
      <c r="NSU158" s="3060"/>
      <c r="NSV158" s="3060"/>
      <c r="NSW158" s="3060"/>
      <c r="NSX158" s="3060"/>
      <c r="NSY158" s="3060"/>
      <c r="NSZ158" s="3060"/>
      <c r="NTA158" s="3060"/>
      <c r="NTB158" s="3060"/>
      <c r="NTC158" s="3060"/>
      <c r="NTD158" s="3060"/>
      <c r="NTE158" s="3060"/>
      <c r="NTF158" s="3060"/>
      <c r="NTG158" s="3060"/>
      <c r="NTH158" s="3060"/>
      <c r="NTI158" s="3060"/>
      <c r="NTJ158" s="3060"/>
      <c r="NTK158" s="3060"/>
      <c r="NTL158" s="3060"/>
      <c r="NTM158" s="3060"/>
      <c r="NTN158" s="3060"/>
      <c r="NTO158" s="3060"/>
      <c r="NTP158" s="3060"/>
      <c r="NTQ158" s="3060"/>
      <c r="NTR158" s="3060"/>
      <c r="NTS158" s="3060"/>
      <c r="NTT158" s="3060"/>
      <c r="NTU158" s="3060"/>
      <c r="NTV158" s="3060"/>
      <c r="NTW158" s="3060"/>
      <c r="NTX158" s="3060"/>
      <c r="NTY158" s="3060"/>
      <c r="NTZ158" s="3060"/>
      <c r="NUA158" s="3060"/>
      <c r="NUB158" s="3060"/>
      <c r="NUC158" s="3060"/>
      <c r="NUD158" s="3060"/>
      <c r="NUE158" s="3060"/>
      <c r="NUF158" s="3060"/>
      <c r="NUG158" s="3060"/>
      <c r="NUH158" s="3060"/>
      <c r="NUI158" s="3060"/>
      <c r="NUJ158" s="3060"/>
      <c r="NUK158" s="3060"/>
      <c r="NUL158" s="3060"/>
      <c r="NUM158" s="3060"/>
      <c r="NUN158" s="3060"/>
      <c r="NUO158" s="3060"/>
      <c r="NUP158" s="3060"/>
      <c r="NUQ158" s="3060"/>
      <c r="NUR158" s="3060"/>
      <c r="NUS158" s="3060"/>
      <c r="NUT158" s="3060"/>
      <c r="NUU158" s="3060"/>
      <c r="NUV158" s="3060"/>
      <c r="NUW158" s="3060"/>
      <c r="NUX158" s="3060"/>
      <c r="NUY158" s="3060"/>
      <c r="NUZ158" s="3060"/>
      <c r="NVA158" s="3060"/>
      <c r="NVB158" s="3060"/>
      <c r="NVC158" s="3060"/>
      <c r="NVD158" s="3060"/>
      <c r="NVE158" s="3060"/>
      <c r="NVF158" s="3060"/>
      <c r="NVG158" s="3060"/>
      <c r="NVH158" s="3060"/>
      <c r="NVI158" s="3060"/>
      <c r="NVJ158" s="3060"/>
      <c r="NVK158" s="3060"/>
      <c r="NVL158" s="3060"/>
      <c r="NVM158" s="3060"/>
      <c r="NVN158" s="3060"/>
      <c r="NVO158" s="3060"/>
      <c r="NVP158" s="3060"/>
      <c r="NVQ158" s="3060"/>
      <c r="NVR158" s="3060"/>
      <c r="NVS158" s="3060"/>
      <c r="NVT158" s="3060"/>
      <c r="NVU158" s="3060"/>
      <c r="NVV158" s="3060"/>
      <c r="NVW158" s="3060"/>
      <c r="NVX158" s="3060"/>
      <c r="NVY158" s="3060"/>
      <c r="NVZ158" s="3060"/>
      <c r="NWA158" s="3060"/>
      <c r="NWB158" s="3060"/>
      <c r="NWC158" s="3060"/>
      <c r="NWD158" s="3060"/>
      <c r="NWE158" s="3060"/>
      <c r="NWF158" s="3060"/>
      <c r="NWG158" s="3060"/>
      <c r="NWH158" s="3060"/>
      <c r="NWI158" s="3060"/>
      <c r="NWJ158" s="3060"/>
      <c r="NWK158" s="3060"/>
      <c r="NWL158" s="3060"/>
      <c r="NWM158" s="3060"/>
      <c r="NWN158" s="3060"/>
      <c r="NWO158" s="3060"/>
      <c r="NWP158" s="3060"/>
      <c r="NWQ158" s="3060"/>
      <c r="NWR158" s="3060"/>
      <c r="NWS158" s="3060"/>
      <c r="NWT158" s="3060"/>
      <c r="NWU158" s="3060"/>
      <c r="NWV158" s="3060"/>
      <c r="NWW158" s="3060"/>
      <c r="NWX158" s="3060"/>
      <c r="NWY158" s="3060"/>
      <c r="NWZ158" s="3060"/>
      <c r="NXA158" s="3060"/>
      <c r="NXB158" s="3060"/>
      <c r="NXC158" s="3060"/>
      <c r="NXD158" s="3060"/>
      <c r="NXE158" s="3060"/>
      <c r="NXF158" s="3060"/>
      <c r="NXG158" s="3060"/>
      <c r="NXH158" s="3060"/>
      <c r="NXI158" s="3060"/>
      <c r="NXJ158" s="3060"/>
      <c r="NXK158" s="3060"/>
      <c r="NXL158" s="3060"/>
      <c r="NXM158" s="3060"/>
      <c r="NXN158" s="3060"/>
      <c r="NXO158" s="3060"/>
      <c r="NXP158" s="3060"/>
      <c r="NXQ158" s="3060"/>
      <c r="NXR158" s="3060"/>
      <c r="NXS158" s="3060"/>
      <c r="NXT158" s="3060"/>
      <c r="NXU158" s="3060"/>
      <c r="NXV158" s="3060"/>
      <c r="NXW158" s="3060"/>
      <c r="NXX158" s="3060"/>
      <c r="NXY158" s="3060"/>
      <c r="NXZ158" s="3060"/>
      <c r="NYA158" s="3060"/>
      <c r="NYB158" s="3060"/>
      <c r="NYC158" s="3060"/>
      <c r="NYD158" s="3060"/>
      <c r="NYE158" s="3060"/>
      <c r="NYF158" s="3060"/>
      <c r="NYG158" s="3060"/>
      <c r="NYH158" s="3060"/>
      <c r="NYI158" s="3060"/>
      <c r="NYJ158" s="3060"/>
      <c r="NYK158" s="3060"/>
      <c r="NYL158" s="3060"/>
      <c r="NYM158" s="3060"/>
      <c r="NYN158" s="3060"/>
      <c r="NYO158" s="3060"/>
      <c r="NYP158" s="3060"/>
      <c r="NYQ158" s="3060"/>
      <c r="NYR158" s="3060"/>
      <c r="NYS158" s="3060"/>
      <c r="NYT158" s="3060"/>
      <c r="NYU158" s="3060"/>
      <c r="NYV158" s="3060"/>
      <c r="NYW158" s="3060"/>
      <c r="NYX158" s="3060"/>
      <c r="NYY158" s="3060"/>
      <c r="NYZ158" s="3060"/>
      <c r="NZA158" s="3060"/>
      <c r="NZB158" s="3060"/>
      <c r="NZC158" s="3060"/>
      <c r="NZD158" s="3060"/>
      <c r="NZE158" s="3060"/>
      <c r="NZF158" s="3060"/>
      <c r="NZG158" s="3060"/>
      <c r="NZH158" s="3060"/>
      <c r="NZI158" s="3060"/>
      <c r="NZJ158" s="3060"/>
      <c r="NZK158" s="3060"/>
      <c r="NZL158" s="3060"/>
      <c r="NZM158" s="3060"/>
      <c r="NZN158" s="3060"/>
      <c r="NZO158" s="3060"/>
      <c r="NZP158" s="3060"/>
      <c r="NZQ158" s="3060"/>
      <c r="NZR158" s="3060"/>
      <c r="NZS158" s="3060"/>
      <c r="NZT158" s="3060"/>
      <c r="NZU158" s="3060"/>
      <c r="NZV158" s="3060"/>
      <c r="NZW158" s="3060"/>
      <c r="NZX158" s="3060"/>
      <c r="NZY158" s="3060"/>
      <c r="NZZ158" s="3060"/>
      <c r="OAA158" s="3060"/>
      <c r="OAB158" s="3060"/>
      <c r="OAC158" s="3060"/>
      <c r="OAD158" s="3060"/>
      <c r="OAE158" s="3060"/>
      <c r="OAF158" s="3060"/>
      <c r="OAG158" s="3060"/>
      <c r="OAH158" s="3060"/>
      <c r="OAI158" s="3060"/>
      <c r="OAJ158" s="3060"/>
      <c r="OAK158" s="3060"/>
      <c r="OAL158" s="3060"/>
      <c r="OAM158" s="3060"/>
      <c r="OAN158" s="3060"/>
      <c r="OAO158" s="3060"/>
      <c r="OAP158" s="3060"/>
      <c r="OAQ158" s="3060"/>
      <c r="OAR158" s="3060"/>
      <c r="OAS158" s="3060"/>
      <c r="OAT158" s="3060"/>
      <c r="OAU158" s="3060"/>
      <c r="OAV158" s="3060"/>
      <c r="OAW158" s="3060"/>
      <c r="OAX158" s="3060"/>
      <c r="OAY158" s="3060"/>
      <c r="OAZ158" s="3060"/>
      <c r="OBA158" s="3060"/>
      <c r="OBB158" s="3060"/>
      <c r="OBC158" s="3060"/>
      <c r="OBD158" s="3060"/>
      <c r="OBE158" s="3060"/>
      <c r="OBF158" s="3060"/>
      <c r="OBG158" s="3060"/>
      <c r="OBH158" s="3060"/>
      <c r="OBI158" s="3060"/>
      <c r="OBJ158" s="3060"/>
      <c r="OBK158" s="3060"/>
      <c r="OBL158" s="3060"/>
      <c r="OBM158" s="3060"/>
      <c r="OBN158" s="3060"/>
      <c r="OBO158" s="3060"/>
      <c r="OBP158" s="3060"/>
      <c r="OBQ158" s="3060"/>
      <c r="OBR158" s="3060"/>
      <c r="OBS158" s="3060"/>
      <c r="OBT158" s="3060"/>
      <c r="OBU158" s="3060"/>
      <c r="OBV158" s="3060"/>
      <c r="OBW158" s="3060"/>
      <c r="OBX158" s="3060"/>
      <c r="OBY158" s="3060"/>
      <c r="OBZ158" s="3060"/>
      <c r="OCA158" s="3060"/>
      <c r="OCB158" s="3060"/>
      <c r="OCC158" s="3060"/>
      <c r="OCD158" s="3060"/>
      <c r="OCE158" s="3060"/>
      <c r="OCF158" s="3060"/>
      <c r="OCG158" s="3060"/>
      <c r="OCH158" s="3060"/>
      <c r="OCI158" s="3060"/>
      <c r="OCJ158" s="3060"/>
      <c r="OCK158" s="3060"/>
      <c r="OCL158" s="3060"/>
      <c r="OCM158" s="3060"/>
      <c r="OCN158" s="3060"/>
      <c r="OCO158" s="3060"/>
      <c r="OCP158" s="3060"/>
      <c r="OCQ158" s="3060"/>
      <c r="OCR158" s="3060"/>
      <c r="OCS158" s="3060"/>
      <c r="OCT158" s="3060"/>
      <c r="OCU158" s="3060"/>
      <c r="OCV158" s="3060"/>
      <c r="OCW158" s="3060"/>
      <c r="OCX158" s="3060"/>
      <c r="OCY158" s="3060"/>
      <c r="OCZ158" s="3060"/>
      <c r="ODA158" s="3060"/>
      <c r="ODB158" s="3060"/>
      <c r="ODC158" s="3060"/>
      <c r="ODD158" s="3060"/>
      <c r="ODE158" s="3060"/>
      <c r="ODF158" s="3060"/>
      <c r="ODG158" s="3060"/>
      <c r="ODH158" s="3060"/>
      <c r="ODI158" s="3060"/>
      <c r="ODJ158" s="3060"/>
      <c r="ODK158" s="3060"/>
      <c r="ODL158" s="3060"/>
      <c r="ODM158" s="3060"/>
      <c r="ODN158" s="3060"/>
      <c r="ODO158" s="3060"/>
      <c r="ODP158" s="3060"/>
      <c r="ODQ158" s="3060"/>
      <c r="ODR158" s="3060"/>
      <c r="ODS158" s="3060"/>
      <c r="ODT158" s="3060"/>
      <c r="ODU158" s="3060"/>
      <c r="ODV158" s="3060"/>
      <c r="ODW158" s="3060"/>
      <c r="ODX158" s="3060"/>
      <c r="ODY158" s="3060"/>
      <c r="ODZ158" s="3060"/>
      <c r="OEA158" s="3060"/>
      <c r="OEB158" s="3060"/>
      <c r="OEC158" s="3060"/>
      <c r="OED158" s="3060"/>
      <c r="OEE158" s="3060"/>
      <c r="OEF158" s="3060"/>
      <c r="OEG158" s="3060"/>
      <c r="OEH158" s="3060"/>
      <c r="OEI158" s="3060"/>
      <c r="OEJ158" s="3060"/>
      <c r="OEK158" s="3060"/>
      <c r="OEL158" s="3060"/>
      <c r="OEM158" s="3060"/>
      <c r="OEN158" s="3060"/>
      <c r="OEO158" s="3060"/>
      <c r="OEP158" s="3060"/>
      <c r="OEQ158" s="3060"/>
      <c r="OER158" s="3060"/>
      <c r="OES158" s="3060"/>
      <c r="OET158" s="3060"/>
      <c r="OEU158" s="3060"/>
      <c r="OEV158" s="3060"/>
      <c r="OEW158" s="3060"/>
      <c r="OEX158" s="3060"/>
      <c r="OEY158" s="3060"/>
      <c r="OEZ158" s="3060"/>
      <c r="OFA158" s="3060"/>
      <c r="OFB158" s="3060"/>
      <c r="OFC158" s="3060"/>
      <c r="OFD158" s="3060"/>
      <c r="OFE158" s="3060"/>
      <c r="OFF158" s="3060"/>
      <c r="OFG158" s="3060"/>
      <c r="OFH158" s="3060"/>
      <c r="OFI158" s="3060"/>
      <c r="OFJ158" s="3060"/>
      <c r="OFK158" s="3060"/>
      <c r="OFL158" s="3060"/>
      <c r="OFM158" s="3060"/>
      <c r="OFN158" s="3060"/>
      <c r="OFO158" s="3060"/>
      <c r="OFP158" s="3060"/>
      <c r="OFQ158" s="3060"/>
      <c r="OFR158" s="3060"/>
      <c r="OFS158" s="3060"/>
      <c r="OFT158" s="3060"/>
      <c r="OFU158" s="3060"/>
      <c r="OFV158" s="3060"/>
      <c r="OFW158" s="3060"/>
      <c r="OFX158" s="3060"/>
      <c r="OFY158" s="3060"/>
      <c r="OFZ158" s="3060"/>
      <c r="OGA158" s="3060"/>
      <c r="OGB158" s="3060"/>
      <c r="OGC158" s="3060"/>
      <c r="OGD158" s="3060"/>
      <c r="OGE158" s="3060"/>
      <c r="OGF158" s="3060"/>
      <c r="OGG158" s="3060"/>
      <c r="OGH158" s="3060"/>
      <c r="OGI158" s="3060"/>
      <c r="OGJ158" s="3060"/>
      <c r="OGK158" s="3060"/>
      <c r="OGL158" s="3060"/>
      <c r="OGM158" s="3060"/>
      <c r="OGN158" s="3060"/>
      <c r="OGO158" s="3060"/>
      <c r="OGP158" s="3060"/>
      <c r="OGQ158" s="3060"/>
      <c r="OGR158" s="3060"/>
      <c r="OGS158" s="3060"/>
      <c r="OGT158" s="3060"/>
      <c r="OGU158" s="3060"/>
      <c r="OGV158" s="3060"/>
      <c r="OGW158" s="3060"/>
      <c r="OGX158" s="3060"/>
      <c r="OGY158" s="3060"/>
      <c r="OGZ158" s="3060"/>
      <c r="OHA158" s="3060"/>
      <c r="OHB158" s="3060"/>
      <c r="OHC158" s="3060"/>
      <c r="OHD158" s="3060"/>
      <c r="OHE158" s="3060"/>
      <c r="OHF158" s="3060"/>
      <c r="OHG158" s="3060"/>
      <c r="OHH158" s="3060"/>
      <c r="OHI158" s="3060"/>
      <c r="OHJ158" s="3060"/>
      <c r="OHK158" s="3060"/>
      <c r="OHL158" s="3060"/>
      <c r="OHM158" s="3060"/>
      <c r="OHN158" s="3060"/>
      <c r="OHO158" s="3060"/>
      <c r="OHP158" s="3060"/>
      <c r="OHQ158" s="3060"/>
      <c r="OHR158" s="3060"/>
      <c r="OHS158" s="3060"/>
      <c r="OHT158" s="3060"/>
      <c r="OHU158" s="3060"/>
      <c r="OHV158" s="3060"/>
      <c r="OHW158" s="3060"/>
      <c r="OHX158" s="3060"/>
      <c r="OHY158" s="3060"/>
      <c r="OHZ158" s="3060"/>
      <c r="OIA158" s="3060"/>
      <c r="OIB158" s="3060"/>
      <c r="OIC158" s="3060"/>
      <c r="OID158" s="3060"/>
      <c r="OIE158" s="3060"/>
      <c r="OIF158" s="3060"/>
      <c r="OIG158" s="3060"/>
      <c r="OIH158" s="3060"/>
      <c r="OII158" s="3060"/>
      <c r="OIJ158" s="3060"/>
      <c r="OIK158" s="3060"/>
      <c r="OIL158" s="3060"/>
      <c r="OIM158" s="3060"/>
      <c r="OIN158" s="3060"/>
      <c r="OIO158" s="3060"/>
      <c r="OIP158" s="3060"/>
      <c r="OIQ158" s="3060"/>
      <c r="OIR158" s="3060"/>
      <c r="OIS158" s="3060"/>
      <c r="OIT158" s="3060"/>
      <c r="OIU158" s="3060"/>
      <c r="OIV158" s="3060"/>
      <c r="OIW158" s="3060"/>
      <c r="OIX158" s="3060"/>
      <c r="OIY158" s="3060"/>
      <c r="OIZ158" s="3060"/>
      <c r="OJA158" s="3060"/>
      <c r="OJB158" s="3060"/>
      <c r="OJC158" s="3060"/>
      <c r="OJD158" s="3060"/>
      <c r="OJE158" s="3060"/>
      <c r="OJF158" s="3060"/>
      <c r="OJG158" s="3060"/>
      <c r="OJH158" s="3060"/>
      <c r="OJI158" s="3060"/>
      <c r="OJJ158" s="3060"/>
      <c r="OJK158" s="3060"/>
      <c r="OJL158" s="3060"/>
      <c r="OJM158" s="3060"/>
      <c r="OJN158" s="3060"/>
      <c r="OJO158" s="3060"/>
      <c r="OJP158" s="3060"/>
      <c r="OJQ158" s="3060"/>
      <c r="OJR158" s="3060"/>
      <c r="OJS158" s="3060"/>
      <c r="OJT158" s="3060"/>
      <c r="OJU158" s="3060"/>
      <c r="OJV158" s="3060"/>
      <c r="OJW158" s="3060"/>
      <c r="OJX158" s="3060"/>
      <c r="OJY158" s="3060"/>
      <c r="OJZ158" s="3060"/>
      <c r="OKA158" s="3060"/>
      <c r="OKB158" s="3060"/>
      <c r="OKC158" s="3060"/>
      <c r="OKD158" s="3060"/>
      <c r="OKE158" s="3060"/>
      <c r="OKF158" s="3060"/>
      <c r="OKG158" s="3060"/>
      <c r="OKH158" s="3060"/>
      <c r="OKI158" s="3060"/>
      <c r="OKJ158" s="3060"/>
      <c r="OKK158" s="3060"/>
      <c r="OKL158" s="3060"/>
      <c r="OKM158" s="3060"/>
      <c r="OKN158" s="3060"/>
      <c r="OKO158" s="3060"/>
      <c r="OKP158" s="3060"/>
      <c r="OKQ158" s="3060"/>
      <c r="OKR158" s="3060"/>
      <c r="OKS158" s="3060"/>
      <c r="OKT158" s="3060"/>
      <c r="OKU158" s="3060"/>
      <c r="OKV158" s="3060"/>
      <c r="OKW158" s="3060"/>
      <c r="OKX158" s="3060"/>
      <c r="OKY158" s="3060"/>
      <c r="OKZ158" s="3060"/>
      <c r="OLA158" s="3060"/>
      <c r="OLB158" s="3060"/>
      <c r="OLC158" s="3060"/>
      <c r="OLD158" s="3060"/>
      <c r="OLE158" s="3060"/>
      <c r="OLF158" s="3060"/>
      <c r="OLG158" s="3060"/>
      <c r="OLH158" s="3060"/>
      <c r="OLI158" s="3060"/>
      <c r="OLJ158" s="3060"/>
      <c r="OLK158" s="3060"/>
      <c r="OLL158" s="3060"/>
      <c r="OLM158" s="3060"/>
      <c r="OLN158" s="3060"/>
      <c r="OLO158" s="3060"/>
      <c r="OLP158" s="3060"/>
      <c r="OLQ158" s="3060"/>
      <c r="OLR158" s="3060"/>
      <c r="OLS158" s="3060"/>
      <c r="OLT158" s="3060"/>
      <c r="OLU158" s="3060"/>
      <c r="OLV158" s="3060"/>
      <c r="OLW158" s="3060"/>
      <c r="OLX158" s="3060"/>
      <c r="OLY158" s="3060"/>
      <c r="OLZ158" s="3060"/>
      <c r="OMA158" s="3060"/>
      <c r="OMB158" s="3060"/>
      <c r="OMC158" s="3060"/>
      <c r="OMD158" s="3060"/>
      <c r="OME158" s="3060"/>
      <c r="OMF158" s="3060"/>
      <c r="OMG158" s="3060"/>
      <c r="OMH158" s="3060"/>
      <c r="OMI158" s="3060"/>
      <c r="OMJ158" s="3060"/>
      <c r="OMK158" s="3060"/>
      <c r="OML158" s="3060"/>
      <c r="OMM158" s="3060"/>
      <c r="OMN158" s="3060"/>
      <c r="OMO158" s="3060"/>
      <c r="OMP158" s="3060"/>
      <c r="OMQ158" s="3060"/>
      <c r="OMR158" s="3060"/>
      <c r="OMS158" s="3060"/>
      <c r="OMT158" s="3060"/>
      <c r="OMU158" s="3060"/>
      <c r="OMV158" s="3060"/>
      <c r="OMW158" s="3060"/>
      <c r="OMX158" s="3060"/>
      <c r="OMY158" s="3060"/>
      <c r="OMZ158" s="3060"/>
      <c r="ONA158" s="3060"/>
      <c r="ONB158" s="3060"/>
      <c r="ONC158" s="3060"/>
      <c r="OND158" s="3060"/>
      <c r="ONE158" s="3060"/>
      <c r="ONF158" s="3060"/>
      <c r="ONG158" s="3060"/>
      <c r="ONH158" s="3060"/>
      <c r="ONI158" s="3060"/>
      <c r="ONJ158" s="3060"/>
      <c r="ONK158" s="3060"/>
      <c r="ONL158" s="3060"/>
      <c r="ONM158" s="3060"/>
      <c r="ONN158" s="3060"/>
      <c r="ONO158" s="3060"/>
      <c r="ONP158" s="3060"/>
      <c r="ONQ158" s="3060"/>
      <c r="ONR158" s="3060"/>
      <c r="ONS158" s="3060"/>
      <c r="ONT158" s="3060"/>
      <c r="ONU158" s="3060"/>
      <c r="ONV158" s="3060"/>
      <c r="ONW158" s="3060"/>
      <c r="ONX158" s="3060"/>
      <c r="ONY158" s="3060"/>
      <c r="ONZ158" s="3060"/>
      <c r="OOA158" s="3060"/>
      <c r="OOB158" s="3060"/>
      <c r="OOC158" s="3060"/>
      <c r="OOD158" s="3060"/>
      <c r="OOE158" s="3060"/>
      <c r="OOF158" s="3060"/>
      <c r="OOG158" s="3060"/>
      <c r="OOH158" s="3060"/>
      <c r="OOI158" s="3060"/>
      <c r="OOJ158" s="3060"/>
      <c r="OOK158" s="3060"/>
      <c r="OOL158" s="3060"/>
      <c r="OOM158" s="3060"/>
      <c r="OON158" s="3060"/>
      <c r="OOO158" s="3060"/>
      <c r="OOP158" s="3060"/>
      <c r="OOQ158" s="3060"/>
      <c r="OOR158" s="3060"/>
      <c r="OOS158" s="3060"/>
      <c r="OOT158" s="3060"/>
      <c r="OOU158" s="3060"/>
      <c r="OOV158" s="3060"/>
      <c r="OOW158" s="3060"/>
      <c r="OOX158" s="3060"/>
      <c r="OOY158" s="3060"/>
      <c r="OOZ158" s="3060"/>
      <c r="OPA158" s="3060"/>
      <c r="OPB158" s="3060"/>
      <c r="OPC158" s="3060"/>
      <c r="OPD158" s="3060"/>
      <c r="OPE158" s="3060"/>
      <c r="OPF158" s="3060"/>
      <c r="OPG158" s="3060"/>
      <c r="OPH158" s="3060"/>
      <c r="OPI158" s="3060"/>
      <c r="OPJ158" s="3060"/>
      <c r="OPK158" s="3060"/>
      <c r="OPL158" s="3060"/>
      <c r="OPM158" s="3060"/>
      <c r="OPN158" s="3060"/>
      <c r="OPO158" s="3060"/>
      <c r="OPP158" s="3060"/>
      <c r="OPQ158" s="3060"/>
      <c r="OPR158" s="3060"/>
      <c r="OPS158" s="3060"/>
      <c r="OPT158" s="3060"/>
      <c r="OPU158" s="3060"/>
      <c r="OPV158" s="3060"/>
      <c r="OPW158" s="3060"/>
      <c r="OPX158" s="3060"/>
      <c r="OPY158" s="3060"/>
      <c r="OPZ158" s="3060"/>
      <c r="OQA158" s="3060"/>
      <c r="OQB158" s="3060"/>
      <c r="OQC158" s="3060"/>
      <c r="OQD158" s="3060"/>
      <c r="OQE158" s="3060"/>
      <c r="OQF158" s="3060"/>
      <c r="OQG158" s="3060"/>
      <c r="OQH158" s="3060"/>
      <c r="OQI158" s="3060"/>
      <c r="OQJ158" s="3060"/>
      <c r="OQK158" s="3060"/>
      <c r="OQL158" s="3060"/>
      <c r="OQM158" s="3060"/>
      <c r="OQN158" s="3060"/>
      <c r="OQO158" s="3060"/>
      <c r="OQP158" s="3060"/>
      <c r="OQQ158" s="3060"/>
      <c r="OQR158" s="3060"/>
      <c r="OQS158" s="3060"/>
      <c r="OQT158" s="3060"/>
      <c r="OQU158" s="3060"/>
      <c r="OQV158" s="3060"/>
      <c r="OQW158" s="3060"/>
      <c r="OQX158" s="3060"/>
      <c r="OQY158" s="3060"/>
      <c r="OQZ158" s="3060"/>
      <c r="ORA158" s="3060"/>
      <c r="ORB158" s="3060"/>
      <c r="ORC158" s="3060"/>
      <c r="ORD158" s="3060"/>
      <c r="ORE158" s="3060"/>
      <c r="ORF158" s="3060"/>
      <c r="ORG158" s="3060"/>
      <c r="ORH158" s="3060"/>
      <c r="ORI158" s="3060"/>
      <c r="ORJ158" s="3060"/>
      <c r="ORK158" s="3060"/>
      <c r="ORL158" s="3060"/>
      <c r="ORM158" s="3060"/>
      <c r="ORN158" s="3060"/>
      <c r="ORO158" s="3060"/>
      <c r="ORP158" s="3060"/>
      <c r="ORQ158" s="3060"/>
      <c r="ORR158" s="3060"/>
      <c r="ORS158" s="3060"/>
      <c r="ORT158" s="3060"/>
      <c r="ORU158" s="3060"/>
      <c r="ORV158" s="3060"/>
      <c r="ORW158" s="3060"/>
      <c r="ORX158" s="3060"/>
      <c r="ORY158" s="3060"/>
      <c r="ORZ158" s="3060"/>
      <c r="OSA158" s="3060"/>
      <c r="OSB158" s="3060"/>
      <c r="OSC158" s="3060"/>
      <c r="OSD158" s="3060"/>
      <c r="OSE158" s="3060"/>
      <c r="OSF158" s="3060"/>
      <c r="OSG158" s="3060"/>
      <c r="OSH158" s="3060"/>
      <c r="OSI158" s="3060"/>
      <c r="OSJ158" s="3060"/>
      <c r="OSK158" s="3060"/>
      <c r="OSL158" s="3060"/>
      <c r="OSM158" s="3060"/>
      <c r="OSN158" s="3060"/>
      <c r="OSO158" s="3060"/>
      <c r="OSP158" s="3060"/>
      <c r="OSQ158" s="3060"/>
      <c r="OSR158" s="3060"/>
      <c r="OSS158" s="3060"/>
      <c r="OST158" s="3060"/>
      <c r="OSU158" s="3060"/>
      <c r="OSV158" s="3060"/>
      <c r="OSW158" s="3060"/>
      <c r="OSX158" s="3060"/>
      <c r="OSY158" s="3060"/>
      <c r="OSZ158" s="3060"/>
      <c r="OTA158" s="3060"/>
      <c r="OTB158" s="3060"/>
      <c r="OTC158" s="3060"/>
      <c r="OTD158" s="3060"/>
      <c r="OTE158" s="3060"/>
      <c r="OTF158" s="3060"/>
      <c r="OTG158" s="3060"/>
      <c r="OTH158" s="3060"/>
      <c r="OTI158" s="3060"/>
      <c r="OTJ158" s="3060"/>
      <c r="OTK158" s="3060"/>
      <c r="OTL158" s="3060"/>
      <c r="OTM158" s="3060"/>
      <c r="OTN158" s="3060"/>
      <c r="OTO158" s="3060"/>
      <c r="OTP158" s="3060"/>
      <c r="OTQ158" s="3060"/>
      <c r="OTR158" s="3060"/>
      <c r="OTS158" s="3060"/>
      <c r="OTT158" s="3060"/>
      <c r="OTU158" s="3060"/>
      <c r="OTV158" s="3060"/>
      <c r="OTW158" s="3060"/>
      <c r="OTX158" s="3060"/>
      <c r="OTY158" s="3060"/>
      <c r="OTZ158" s="3060"/>
      <c r="OUA158" s="3060"/>
      <c r="OUB158" s="3060"/>
      <c r="OUC158" s="3060"/>
      <c r="OUD158" s="3060"/>
      <c r="OUE158" s="3060"/>
      <c r="OUF158" s="3060"/>
      <c r="OUG158" s="3060"/>
      <c r="OUH158" s="3060"/>
      <c r="OUI158" s="3060"/>
      <c r="OUJ158" s="3060"/>
      <c r="OUK158" s="3060"/>
      <c r="OUL158" s="3060"/>
      <c r="OUM158" s="3060"/>
      <c r="OUN158" s="3060"/>
      <c r="OUO158" s="3060"/>
      <c r="OUP158" s="3060"/>
      <c r="OUQ158" s="3060"/>
      <c r="OUR158" s="3060"/>
      <c r="OUS158" s="3060"/>
      <c r="OUT158" s="3060"/>
      <c r="OUU158" s="3060"/>
      <c r="OUV158" s="3060"/>
      <c r="OUW158" s="3060"/>
      <c r="OUX158" s="3060"/>
      <c r="OUY158" s="3060"/>
      <c r="OUZ158" s="3060"/>
      <c r="OVA158" s="3060"/>
      <c r="OVB158" s="3060"/>
      <c r="OVC158" s="3060"/>
      <c r="OVD158" s="3060"/>
      <c r="OVE158" s="3060"/>
      <c r="OVF158" s="3060"/>
      <c r="OVG158" s="3060"/>
      <c r="OVH158" s="3060"/>
      <c r="OVI158" s="3060"/>
      <c r="OVJ158" s="3060"/>
      <c r="OVK158" s="3060"/>
      <c r="OVL158" s="3060"/>
      <c r="OVM158" s="3060"/>
      <c r="OVN158" s="3060"/>
      <c r="OVO158" s="3060"/>
      <c r="OVP158" s="3060"/>
      <c r="OVQ158" s="3060"/>
      <c r="OVR158" s="3060"/>
      <c r="OVS158" s="3060"/>
      <c r="OVT158" s="3060"/>
      <c r="OVU158" s="3060"/>
      <c r="OVV158" s="3060"/>
      <c r="OVW158" s="3060"/>
      <c r="OVX158" s="3060"/>
      <c r="OVY158" s="3060"/>
      <c r="OVZ158" s="3060"/>
      <c r="OWA158" s="3060"/>
      <c r="OWB158" s="3060"/>
      <c r="OWC158" s="3060"/>
      <c r="OWD158" s="3060"/>
      <c r="OWE158" s="3060"/>
      <c r="OWF158" s="3060"/>
      <c r="OWG158" s="3060"/>
      <c r="OWH158" s="3060"/>
      <c r="OWI158" s="3060"/>
      <c r="OWJ158" s="3060"/>
      <c r="OWK158" s="3060"/>
      <c r="OWL158" s="3060"/>
      <c r="OWM158" s="3060"/>
      <c r="OWN158" s="3060"/>
      <c r="OWO158" s="3060"/>
      <c r="OWP158" s="3060"/>
      <c r="OWQ158" s="3060"/>
      <c r="OWR158" s="3060"/>
      <c r="OWS158" s="3060"/>
      <c r="OWT158" s="3060"/>
      <c r="OWU158" s="3060"/>
      <c r="OWV158" s="3060"/>
      <c r="OWW158" s="3060"/>
      <c r="OWX158" s="3060"/>
      <c r="OWY158" s="3060"/>
      <c r="OWZ158" s="3060"/>
      <c r="OXA158" s="3060"/>
      <c r="OXB158" s="3060"/>
      <c r="OXC158" s="3060"/>
      <c r="OXD158" s="3060"/>
      <c r="OXE158" s="3060"/>
      <c r="OXF158" s="3060"/>
      <c r="OXG158" s="3060"/>
      <c r="OXH158" s="3060"/>
      <c r="OXI158" s="3060"/>
      <c r="OXJ158" s="3060"/>
      <c r="OXK158" s="3060"/>
      <c r="OXL158" s="3060"/>
      <c r="OXM158" s="3060"/>
      <c r="OXN158" s="3060"/>
      <c r="OXO158" s="3060"/>
      <c r="OXP158" s="3060"/>
      <c r="OXQ158" s="3060"/>
      <c r="OXR158" s="3060"/>
      <c r="OXS158" s="3060"/>
      <c r="OXT158" s="3060"/>
      <c r="OXU158" s="3060"/>
      <c r="OXV158" s="3060"/>
      <c r="OXW158" s="3060"/>
      <c r="OXX158" s="3060"/>
      <c r="OXY158" s="3060"/>
      <c r="OXZ158" s="3060"/>
      <c r="OYA158" s="3060"/>
      <c r="OYB158" s="3060"/>
      <c r="OYC158" s="3060"/>
      <c r="OYD158" s="3060"/>
      <c r="OYE158" s="3060"/>
      <c r="OYF158" s="3060"/>
      <c r="OYG158" s="3060"/>
      <c r="OYH158" s="3060"/>
      <c r="OYI158" s="3060"/>
      <c r="OYJ158" s="3060"/>
      <c r="OYK158" s="3060"/>
      <c r="OYL158" s="3060"/>
      <c r="OYM158" s="3060"/>
      <c r="OYN158" s="3060"/>
      <c r="OYO158" s="3060"/>
      <c r="OYP158" s="3060"/>
      <c r="OYQ158" s="3060"/>
      <c r="OYR158" s="3060"/>
      <c r="OYS158" s="3060"/>
      <c r="OYT158" s="3060"/>
      <c r="OYU158" s="3060"/>
      <c r="OYV158" s="3060"/>
      <c r="OYW158" s="3060"/>
      <c r="OYX158" s="3060"/>
      <c r="OYY158" s="3060"/>
      <c r="OYZ158" s="3060"/>
      <c r="OZA158" s="3060"/>
      <c r="OZB158" s="3060"/>
      <c r="OZC158" s="3060"/>
      <c r="OZD158" s="3060"/>
      <c r="OZE158" s="3060"/>
      <c r="OZF158" s="3060"/>
      <c r="OZG158" s="3060"/>
      <c r="OZH158" s="3060"/>
      <c r="OZI158" s="3060"/>
      <c r="OZJ158" s="3060"/>
      <c r="OZK158" s="3060"/>
      <c r="OZL158" s="3060"/>
      <c r="OZM158" s="3060"/>
      <c r="OZN158" s="3060"/>
      <c r="OZO158" s="3060"/>
      <c r="OZP158" s="3060"/>
      <c r="OZQ158" s="3060"/>
      <c r="OZR158" s="3060"/>
      <c r="OZS158" s="3060"/>
      <c r="OZT158" s="3060"/>
      <c r="OZU158" s="3060"/>
      <c r="OZV158" s="3060"/>
      <c r="OZW158" s="3060"/>
      <c r="OZX158" s="3060"/>
      <c r="OZY158" s="3060"/>
      <c r="OZZ158" s="3060"/>
      <c r="PAA158" s="3060"/>
      <c r="PAB158" s="3060"/>
      <c r="PAC158" s="3060"/>
      <c r="PAD158" s="3060"/>
      <c r="PAE158" s="3060"/>
      <c r="PAF158" s="3060"/>
      <c r="PAG158" s="3060"/>
      <c r="PAH158" s="3060"/>
      <c r="PAI158" s="3060"/>
      <c r="PAJ158" s="3060"/>
      <c r="PAK158" s="3060"/>
      <c r="PAL158" s="3060"/>
      <c r="PAM158" s="3060"/>
      <c r="PAN158" s="3060"/>
      <c r="PAO158" s="3060"/>
      <c r="PAP158" s="3060"/>
      <c r="PAQ158" s="3060"/>
      <c r="PAR158" s="3060"/>
      <c r="PAS158" s="3060"/>
      <c r="PAT158" s="3060"/>
      <c r="PAU158" s="3060"/>
      <c r="PAV158" s="3060"/>
      <c r="PAW158" s="3060"/>
      <c r="PAX158" s="3060"/>
      <c r="PAY158" s="3060"/>
      <c r="PAZ158" s="3060"/>
      <c r="PBA158" s="3060"/>
      <c r="PBB158" s="3060"/>
      <c r="PBC158" s="3060"/>
      <c r="PBD158" s="3060"/>
      <c r="PBE158" s="3060"/>
      <c r="PBF158" s="3060"/>
      <c r="PBG158" s="3060"/>
      <c r="PBH158" s="3060"/>
      <c r="PBI158" s="3060"/>
      <c r="PBJ158" s="3060"/>
      <c r="PBK158" s="3060"/>
      <c r="PBL158" s="3060"/>
      <c r="PBM158" s="3060"/>
      <c r="PBN158" s="3060"/>
      <c r="PBO158" s="3060"/>
      <c r="PBP158" s="3060"/>
      <c r="PBQ158" s="3060"/>
      <c r="PBR158" s="3060"/>
      <c r="PBS158" s="3060"/>
      <c r="PBT158" s="3060"/>
      <c r="PBU158" s="3060"/>
      <c r="PBV158" s="3060"/>
      <c r="PBW158" s="3060"/>
      <c r="PBX158" s="3060"/>
      <c r="PBY158" s="3060"/>
      <c r="PBZ158" s="3060"/>
      <c r="PCA158" s="3060"/>
      <c r="PCB158" s="3060"/>
      <c r="PCC158" s="3060"/>
      <c r="PCD158" s="3060"/>
      <c r="PCE158" s="3060"/>
      <c r="PCF158" s="3060"/>
      <c r="PCG158" s="3060"/>
      <c r="PCH158" s="3060"/>
      <c r="PCI158" s="3060"/>
      <c r="PCJ158" s="3060"/>
      <c r="PCK158" s="3060"/>
      <c r="PCL158" s="3060"/>
      <c r="PCM158" s="3060"/>
      <c r="PCN158" s="3060"/>
      <c r="PCO158" s="3060"/>
      <c r="PCP158" s="3060"/>
      <c r="PCQ158" s="3060"/>
      <c r="PCR158" s="3060"/>
      <c r="PCS158" s="3060"/>
      <c r="PCT158" s="3060"/>
      <c r="PCU158" s="3060"/>
      <c r="PCV158" s="3060"/>
      <c r="PCW158" s="3060"/>
      <c r="PCX158" s="3060"/>
      <c r="PCY158" s="3060"/>
      <c r="PCZ158" s="3060"/>
      <c r="PDA158" s="3060"/>
      <c r="PDB158" s="3060"/>
      <c r="PDC158" s="3060"/>
      <c r="PDD158" s="3060"/>
      <c r="PDE158" s="3060"/>
      <c r="PDF158" s="3060"/>
      <c r="PDG158" s="3060"/>
      <c r="PDH158" s="3060"/>
      <c r="PDI158" s="3060"/>
      <c r="PDJ158" s="3060"/>
      <c r="PDK158" s="3060"/>
      <c r="PDL158" s="3060"/>
      <c r="PDM158" s="3060"/>
      <c r="PDN158" s="3060"/>
      <c r="PDO158" s="3060"/>
      <c r="PDP158" s="3060"/>
      <c r="PDQ158" s="3060"/>
      <c r="PDR158" s="3060"/>
      <c r="PDS158" s="3060"/>
      <c r="PDT158" s="3060"/>
      <c r="PDU158" s="3060"/>
      <c r="PDV158" s="3060"/>
      <c r="PDW158" s="3060"/>
      <c r="PDX158" s="3060"/>
      <c r="PDY158" s="3060"/>
      <c r="PDZ158" s="3060"/>
      <c r="PEA158" s="3060"/>
      <c r="PEB158" s="3060"/>
      <c r="PEC158" s="3060"/>
      <c r="PED158" s="3060"/>
      <c r="PEE158" s="3060"/>
      <c r="PEF158" s="3060"/>
      <c r="PEG158" s="3060"/>
      <c r="PEH158" s="3060"/>
      <c r="PEI158" s="3060"/>
      <c r="PEJ158" s="3060"/>
      <c r="PEK158" s="3060"/>
      <c r="PEL158" s="3060"/>
      <c r="PEM158" s="3060"/>
      <c r="PEN158" s="3060"/>
      <c r="PEO158" s="3060"/>
      <c r="PEP158" s="3060"/>
      <c r="PEQ158" s="3060"/>
      <c r="PER158" s="3060"/>
      <c r="PES158" s="3060"/>
      <c r="PET158" s="3060"/>
      <c r="PEU158" s="3060"/>
      <c r="PEV158" s="3060"/>
      <c r="PEW158" s="3060"/>
      <c r="PEX158" s="3060"/>
      <c r="PEY158" s="3060"/>
      <c r="PEZ158" s="3060"/>
      <c r="PFA158" s="3060"/>
      <c r="PFB158" s="3060"/>
      <c r="PFC158" s="3060"/>
      <c r="PFD158" s="3060"/>
      <c r="PFE158" s="3060"/>
      <c r="PFF158" s="3060"/>
      <c r="PFG158" s="3060"/>
      <c r="PFH158" s="3060"/>
      <c r="PFI158" s="3060"/>
      <c r="PFJ158" s="3060"/>
      <c r="PFK158" s="3060"/>
      <c r="PFL158" s="3060"/>
      <c r="PFM158" s="3060"/>
      <c r="PFN158" s="3060"/>
      <c r="PFO158" s="3060"/>
      <c r="PFP158" s="3060"/>
      <c r="PFQ158" s="3060"/>
      <c r="PFR158" s="3060"/>
      <c r="PFS158" s="3060"/>
      <c r="PFT158" s="3060"/>
      <c r="PFU158" s="3060"/>
      <c r="PFV158" s="3060"/>
      <c r="PFW158" s="3060"/>
      <c r="PFX158" s="3060"/>
      <c r="PFY158" s="3060"/>
      <c r="PFZ158" s="3060"/>
      <c r="PGA158" s="3060"/>
      <c r="PGB158" s="3060"/>
      <c r="PGC158" s="3060"/>
      <c r="PGD158" s="3060"/>
      <c r="PGE158" s="3060"/>
      <c r="PGF158" s="3060"/>
      <c r="PGG158" s="3060"/>
      <c r="PGH158" s="3060"/>
      <c r="PGI158" s="3060"/>
      <c r="PGJ158" s="3060"/>
      <c r="PGK158" s="3060"/>
      <c r="PGL158" s="3060"/>
      <c r="PGM158" s="3060"/>
      <c r="PGN158" s="3060"/>
      <c r="PGO158" s="3060"/>
      <c r="PGP158" s="3060"/>
      <c r="PGQ158" s="3060"/>
      <c r="PGR158" s="3060"/>
      <c r="PGS158" s="3060"/>
      <c r="PGT158" s="3060"/>
      <c r="PGU158" s="3060"/>
      <c r="PGV158" s="3060"/>
      <c r="PGW158" s="3060"/>
      <c r="PGX158" s="3060"/>
      <c r="PGY158" s="3060"/>
      <c r="PGZ158" s="3060"/>
      <c r="PHA158" s="3060"/>
      <c r="PHB158" s="3060"/>
      <c r="PHC158" s="3060"/>
      <c r="PHD158" s="3060"/>
      <c r="PHE158" s="3060"/>
      <c r="PHF158" s="3060"/>
      <c r="PHG158" s="3060"/>
      <c r="PHH158" s="3060"/>
      <c r="PHI158" s="3060"/>
      <c r="PHJ158" s="3060"/>
      <c r="PHK158" s="3060"/>
      <c r="PHL158" s="3060"/>
      <c r="PHM158" s="3060"/>
      <c r="PHN158" s="3060"/>
      <c r="PHO158" s="3060"/>
      <c r="PHP158" s="3060"/>
      <c r="PHQ158" s="3060"/>
      <c r="PHR158" s="3060"/>
      <c r="PHS158" s="3060"/>
      <c r="PHT158" s="3060"/>
      <c r="PHU158" s="3060"/>
      <c r="PHV158" s="3060"/>
      <c r="PHW158" s="3060"/>
      <c r="PHX158" s="3060"/>
      <c r="PHY158" s="3060"/>
      <c r="PHZ158" s="3060"/>
      <c r="PIA158" s="3060"/>
      <c r="PIB158" s="3060"/>
      <c r="PIC158" s="3060"/>
      <c r="PID158" s="3060"/>
      <c r="PIE158" s="3060"/>
      <c r="PIF158" s="3060"/>
      <c r="PIG158" s="3060"/>
      <c r="PIH158" s="3060"/>
      <c r="PII158" s="3060"/>
      <c r="PIJ158" s="3060"/>
      <c r="PIK158" s="3060"/>
      <c r="PIL158" s="3060"/>
      <c r="PIM158" s="3060"/>
      <c r="PIN158" s="3060"/>
      <c r="PIO158" s="3060"/>
      <c r="PIP158" s="3060"/>
      <c r="PIQ158" s="3060"/>
      <c r="PIR158" s="3060"/>
      <c r="PIS158" s="3060"/>
      <c r="PIT158" s="3060"/>
      <c r="PIU158" s="3060"/>
      <c r="PIV158" s="3060"/>
      <c r="PIW158" s="3060"/>
      <c r="PIX158" s="3060"/>
      <c r="PIY158" s="3060"/>
      <c r="PIZ158" s="3060"/>
      <c r="PJA158" s="3060"/>
      <c r="PJB158" s="3060"/>
      <c r="PJC158" s="3060"/>
      <c r="PJD158" s="3060"/>
      <c r="PJE158" s="3060"/>
      <c r="PJF158" s="3060"/>
      <c r="PJG158" s="3060"/>
      <c r="PJH158" s="3060"/>
      <c r="PJI158" s="3060"/>
      <c r="PJJ158" s="3060"/>
      <c r="PJK158" s="3060"/>
      <c r="PJL158" s="3060"/>
      <c r="PJM158" s="3060"/>
      <c r="PJN158" s="3060"/>
      <c r="PJO158" s="3060"/>
      <c r="PJP158" s="3060"/>
      <c r="PJQ158" s="3060"/>
      <c r="PJR158" s="3060"/>
      <c r="PJS158" s="3060"/>
      <c r="PJT158" s="3060"/>
      <c r="PJU158" s="3060"/>
      <c r="PJV158" s="3060"/>
      <c r="PJW158" s="3060"/>
      <c r="PJX158" s="3060"/>
      <c r="PJY158" s="3060"/>
      <c r="PJZ158" s="3060"/>
      <c r="PKA158" s="3060"/>
      <c r="PKB158" s="3060"/>
      <c r="PKC158" s="3060"/>
      <c r="PKD158" s="3060"/>
      <c r="PKE158" s="3060"/>
      <c r="PKF158" s="3060"/>
      <c r="PKG158" s="3060"/>
      <c r="PKH158" s="3060"/>
      <c r="PKI158" s="3060"/>
      <c r="PKJ158" s="3060"/>
      <c r="PKK158" s="3060"/>
      <c r="PKL158" s="3060"/>
      <c r="PKM158" s="3060"/>
      <c r="PKN158" s="3060"/>
      <c r="PKO158" s="3060"/>
      <c r="PKP158" s="3060"/>
      <c r="PKQ158" s="3060"/>
      <c r="PKR158" s="3060"/>
      <c r="PKS158" s="3060"/>
      <c r="PKT158" s="3060"/>
      <c r="PKU158" s="3060"/>
      <c r="PKV158" s="3060"/>
      <c r="PKW158" s="3060"/>
      <c r="PKX158" s="3060"/>
      <c r="PKY158" s="3060"/>
      <c r="PKZ158" s="3060"/>
      <c r="PLA158" s="3060"/>
      <c r="PLB158" s="3060"/>
      <c r="PLC158" s="3060"/>
      <c r="PLD158" s="3060"/>
      <c r="PLE158" s="3060"/>
      <c r="PLF158" s="3060"/>
      <c r="PLG158" s="3060"/>
      <c r="PLH158" s="3060"/>
      <c r="PLI158" s="3060"/>
      <c r="PLJ158" s="3060"/>
      <c r="PLK158" s="3060"/>
      <c r="PLL158" s="3060"/>
      <c r="PLM158" s="3060"/>
      <c r="PLN158" s="3060"/>
      <c r="PLO158" s="3060"/>
      <c r="PLP158" s="3060"/>
      <c r="PLQ158" s="3060"/>
      <c r="PLR158" s="3060"/>
      <c r="PLS158" s="3060"/>
      <c r="PLT158" s="3060"/>
      <c r="PLU158" s="3060"/>
      <c r="PLV158" s="3060"/>
      <c r="PLW158" s="3060"/>
      <c r="PLX158" s="3060"/>
      <c r="PLY158" s="3060"/>
      <c r="PLZ158" s="3060"/>
      <c r="PMA158" s="3060"/>
      <c r="PMB158" s="3060"/>
      <c r="PMC158" s="3060"/>
      <c r="PMD158" s="3060"/>
      <c r="PME158" s="3060"/>
      <c r="PMF158" s="3060"/>
      <c r="PMG158" s="3060"/>
      <c r="PMH158" s="3060"/>
      <c r="PMI158" s="3060"/>
      <c r="PMJ158" s="3060"/>
      <c r="PMK158" s="3060"/>
      <c r="PML158" s="3060"/>
      <c r="PMM158" s="3060"/>
      <c r="PMN158" s="3060"/>
      <c r="PMO158" s="3060"/>
      <c r="PMP158" s="3060"/>
      <c r="PMQ158" s="3060"/>
      <c r="PMR158" s="3060"/>
      <c r="PMS158" s="3060"/>
      <c r="PMT158" s="3060"/>
      <c r="PMU158" s="3060"/>
      <c r="PMV158" s="3060"/>
      <c r="PMW158" s="3060"/>
      <c r="PMX158" s="3060"/>
      <c r="PMY158" s="3060"/>
      <c r="PMZ158" s="3060"/>
      <c r="PNA158" s="3060"/>
      <c r="PNB158" s="3060"/>
      <c r="PNC158" s="3060"/>
      <c r="PND158" s="3060"/>
      <c r="PNE158" s="3060"/>
      <c r="PNF158" s="3060"/>
      <c r="PNG158" s="3060"/>
      <c r="PNH158" s="3060"/>
      <c r="PNI158" s="3060"/>
      <c r="PNJ158" s="3060"/>
      <c r="PNK158" s="3060"/>
      <c r="PNL158" s="3060"/>
      <c r="PNM158" s="3060"/>
      <c r="PNN158" s="3060"/>
      <c r="PNO158" s="3060"/>
      <c r="PNP158" s="3060"/>
      <c r="PNQ158" s="3060"/>
      <c r="PNR158" s="3060"/>
      <c r="PNS158" s="3060"/>
      <c r="PNT158" s="3060"/>
      <c r="PNU158" s="3060"/>
      <c r="PNV158" s="3060"/>
      <c r="PNW158" s="3060"/>
      <c r="PNX158" s="3060"/>
      <c r="PNY158" s="3060"/>
      <c r="PNZ158" s="3060"/>
      <c r="POA158" s="3060"/>
      <c r="POB158" s="3060"/>
      <c r="POC158" s="3060"/>
      <c r="POD158" s="3060"/>
      <c r="POE158" s="3060"/>
      <c r="POF158" s="3060"/>
      <c r="POG158" s="3060"/>
      <c r="POH158" s="3060"/>
      <c r="POI158" s="3060"/>
      <c r="POJ158" s="3060"/>
      <c r="POK158" s="3060"/>
      <c r="POL158" s="3060"/>
      <c r="POM158" s="3060"/>
      <c r="PON158" s="3060"/>
      <c r="POO158" s="3060"/>
      <c r="POP158" s="3060"/>
      <c r="POQ158" s="3060"/>
      <c r="POR158" s="3060"/>
      <c r="POS158" s="3060"/>
      <c r="POT158" s="3060"/>
      <c r="POU158" s="3060"/>
      <c r="POV158" s="3060"/>
      <c r="POW158" s="3060"/>
      <c r="POX158" s="3060"/>
      <c r="POY158" s="3060"/>
      <c r="POZ158" s="3060"/>
      <c r="PPA158" s="3060"/>
      <c r="PPB158" s="3060"/>
      <c r="PPC158" s="3060"/>
      <c r="PPD158" s="3060"/>
      <c r="PPE158" s="3060"/>
      <c r="PPF158" s="3060"/>
      <c r="PPG158" s="3060"/>
      <c r="PPH158" s="3060"/>
      <c r="PPI158" s="3060"/>
      <c r="PPJ158" s="3060"/>
      <c r="PPK158" s="3060"/>
      <c r="PPL158" s="3060"/>
      <c r="PPM158" s="3060"/>
      <c r="PPN158" s="3060"/>
      <c r="PPO158" s="3060"/>
      <c r="PPP158" s="3060"/>
      <c r="PPQ158" s="3060"/>
      <c r="PPR158" s="3060"/>
      <c r="PPS158" s="3060"/>
      <c r="PPT158" s="3060"/>
      <c r="PPU158" s="3060"/>
      <c r="PPV158" s="3060"/>
      <c r="PPW158" s="3060"/>
      <c r="PPX158" s="3060"/>
      <c r="PPY158" s="3060"/>
      <c r="PPZ158" s="3060"/>
      <c r="PQA158" s="3060"/>
      <c r="PQB158" s="3060"/>
      <c r="PQC158" s="3060"/>
      <c r="PQD158" s="3060"/>
      <c r="PQE158" s="3060"/>
      <c r="PQF158" s="3060"/>
      <c r="PQG158" s="3060"/>
      <c r="PQH158" s="3060"/>
      <c r="PQI158" s="3060"/>
      <c r="PQJ158" s="3060"/>
      <c r="PQK158" s="3060"/>
      <c r="PQL158" s="3060"/>
      <c r="PQM158" s="3060"/>
      <c r="PQN158" s="3060"/>
      <c r="PQO158" s="3060"/>
      <c r="PQP158" s="3060"/>
      <c r="PQQ158" s="3060"/>
      <c r="PQR158" s="3060"/>
      <c r="PQS158" s="3060"/>
      <c r="PQT158" s="3060"/>
      <c r="PQU158" s="3060"/>
      <c r="PQV158" s="3060"/>
      <c r="PQW158" s="3060"/>
      <c r="PQX158" s="3060"/>
      <c r="PQY158" s="3060"/>
      <c r="PQZ158" s="3060"/>
      <c r="PRA158" s="3060"/>
      <c r="PRB158" s="3060"/>
      <c r="PRC158" s="3060"/>
      <c r="PRD158" s="3060"/>
      <c r="PRE158" s="3060"/>
      <c r="PRF158" s="3060"/>
      <c r="PRG158" s="3060"/>
      <c r="PRH158" s="3060"/>
      <c r="PRI158" s="3060"/>
      <c r="PRJ158" s="3060"/>
      <c r="PRK158" s="3060"/>
      <c r="PRL158" s="3060"/>
      <c r="PRM158" s="3060"/>
      <c r="PRN158" s="3060"/>
      <c r="PRO158" s="3060"/>
      <c r="PRP158" s="3060"/>
      <c r="PRQ158" s="3060"/>
      <c r="PRR158" s="3060"/>
      <c r="PRS158" s="3060"/>
      <c r="PRT158" s="3060"/>
      <c r="PRU158" s="3060"/>
      <c r="PRV158" s="3060"/>
      <c r="PRW158" s="3060"/>
      <c r="PRX158" s="3060"/>
      <c r="PRY158" s="3060"/>
      <c r="PRZ158" s="3060"/>
      <c r="PSA158" s="3060"/>
      <c r="PSB158" s="3060"/>
      <c r="PSC158" s="3060"/>
      <c r="PSD158" s="3060"/>
      <c r="PSE158" s="3060"/>
      <c r="PSF158" s="3060"/>
      <c r="PSG158" s="3060"/>
      <c r="PSH158" s="3060"/>
      <c r="PSI158" s="3060"/>
      <c r="PSJ158" s="3060"/>
      <c r="PSK158" s="3060"/>
      <c r="PSL158" s="3060"/>
      <c r="PSM158" s="3060"/>
      <c r="PSN158" s="3060"/>
      <c r="PSO158" s="3060"/>
      <c r="PSP158" s="3060"/>
      <c r="PSQ158" s="3060"/>
      <c r="PSR158" s="3060"/>
      <c r="PSS158" s="3060"/>
      <c r="PST158" s="3060"/>
      <c r="PSU158" s="3060"/>
      <c r="PSV158" s="3060"/>
      <c r="PSW158" s="3060"/>
      <c r="PSX158" s="3060"/>
      <c r="PSY158" s="3060"/>
      <c r="PSZ158" s="3060"/>
      <c r="PTA158" s="3060"/>
      <c r="PTB158" s="3060"/>
      <c r="PTC158" s="3060"/>
      <c r="PTD158" s="3060"/>
      <c r="PTE158" s="3060"/>
      <c r="PTF158" s="3060"/>
      <c r="PTG158" s="3060"/>
      <c r="PTH158" s="3060"/>
      <c r="PTI158" s="3060"/>
      <c r="PTJ158" s="3060"/>
      <c r="PTK158" s="3060"/>
      <c r="PTL158" s="3060"/>
      <c r="PTM158" s="3060"/>
      <c r="PTN158" s="3060"/>
      <c r="PTO158" s="3060"/>
      <c r="PTP158" s="3060"/>
      <c r="PTQ158" s="3060"/>
      <c r="PTR158" s="3060"/>
      <c r="PTS158" s="3060"/>
      <c r="PTT158" s="3060"/>
      <c r="PTU158" s="3060"/>
      <c r="PTV158" s="3060"/>
      <c r="PTW158" s="3060"/>
      <c r="PTX158" s="3060"/>
      <c r="PTY158" s="3060"/>
      <c r="PTZ158" s="3060"/>
      <c r="PUA158" s="3060"/>
      <c r="PUB158" s="3060"/>
      <c r="PUC158" s="3060"/>
      <c r="PUD158" s="3060"/>
      <c r="PUE158" s="3060"/>
      <c r="PUF158" s="3060"/>
      <c r="PUG158" s="3060"/>
      <c r="PUH158" s="3060"/>
      <c r="PUI158" s="3060"/>
      <c r="PUJ158" s="3060"/>
      <c r="PUK158" s="3060"/>
      <c r="PUL158" s="3060"/>
      <c r="PUM158" s="3060"/>
      <c r="PUN158" s="3060"/>
      <c r="PUO158" s="3060"/>
      <c r="PUP158" s="3060"/>
      <c r="PUQ158" s="3060"/>
      <c r="PUR158" s="3060"/>
      <c r="PUS158" s="3060"/>
      <c r="PUT158" s="3060"/>
      <c r="PUU158" s="3060"/>
      <c r="PUV158" s="3060"/>
      <c r="PUW158" s="3060"/>
      <c r="PUX158" s="3060"/>
      <c r="PUY158" s="3060"/>
      <c r="PUZ158" s="3060"/>
      <c r="PVA158" s="3060"/>
      <c r="PVB158" s="3060"/>
      <c r="PVC158" s="3060"/>
      <c r="PVD158" s="3060"/>
      <c r="PVE158" s="3060"/>
      <c r="PVF158" s="3060"/>
      <c r="PVG158" s="3060"/>
      <c r="PVH158" s="3060"/>
      <c r="PVI158" s="3060"/>
      <c r="PVJ158" s="3060"/>
      <c r="PVK158" s="3060"/>
      <c r="PVL158" s="3060"/>
      <c r="PVM158" s="3060"/>
      <c r="PVN158" s="3060"/>
      <c r="PVO158" s="3060"/>
      <c r="PVP158" s="3060"/>
      <c r="PVQ158" s="3060"/>
      <c r="PVR158" s="3060"/>
      <c r="PVS158" s="3060"/>
      <c r="PVT158" s="3060"/>
      <c r="PVU158" s="3060"/>
      <c r="PVV158" s="3060"/>
      <c r="PVW158" s="3060"/>
      <c r="PVX158" s="3060"/>
      <c r="PVY158" s="3060"/>
      <c r="PVZ158" s="3060"/>
      <c r="PWA158" s="3060"/>
      <c r="PWB158" s="3060"/>
      <c r="PWC158" s="3060"/>
      <c r="PWD158" s="3060"/>
      <c r="PWE158" s="3060"/>
      <c r="PWF158" s="3060"/>
      <c r="PWG158" s="3060"/>
      <c r="PWH158" s="3060"/>
      <c r="PWI158" s="3060"/>
      <c r="PWJ158" s="3060"/>
      <c r="PWK158" s="3060"/>
      <c r="PWL158" s="3060"/>
      <c r="PWM158" s="3060"/>
      <c r="PWN158" s="3060"/>
      <c r="PWO158" s="3060"/>
      <c r="PWP158" s="3060"/>
      <c r="PWQ158" s="3060"/>
      <c r="PWR158" s="3060"/>
      <c r="PWS158" s="3060"/>
      <c r="PWT158" s="3060"/>
      <c r="PWU158" s="3060"/>
      <c r="PWV158" s="3060"/>
      <c r="PWW158" s="3060"/>
      <c r="PWX158" s="3060"/>
      <c r="PWY158" s="3060"/>
      <c r="PWZ158" s="3060"/>
      <c r="PXA158" s="3060"/>
      <c r="PXB158" s="3060"/>
      <c r="PXC158" s="3060"/>
      <c r="PXD158" s="3060"/>
      <c r="PXE158" s="3060"/>
      <c r="PXF158" s="3060"/>
      <c r="PXG158" s="3060"/>
      <c r="PXH158" s="3060"/>
      <c r="PXI158" s="3060"/>
      <c r="PXJ158" s="3060"/>
      <c r="PXK158" s="3060"/>
      <c r="PXL158" s="3060"/>
      <c r="PXM158" s="3060"/>
      <c r="PXN158" s="3060"/>
      <c r="PXO158" s="3060"/>
      <c r="PXP158" s="3060"/>
      <c r="PXQ158" s="3060"/>
      <c r="PXR158" s="3060"/>
      <c r="PXS158" s="3060"/>
      <c r="PXT158" s="3060"/>
      <c r="PXU158" s="3060"/>
      <c r="PXV158" s="3060"/>
      <c r="PXW158" s="3060"/>
      <c r="PXX158" s="3060"/>
      <c r="PXY158" s="3060"/>
      <c r="PXZ158" s="3060"/>
      <c r="PYA158" s="3060"/>
      <c r="PYB158" s="3060"/>
      <c r="PYC158" s="3060"/>
      <c r="PYD158" s="3060"/>
      <c r="PYE158" s="3060"/>
      <c r="PYF158" s="3060"/>
      <c r="PYG158" s="3060"/>
      <c r="PYH158" s="3060"/>
      <c r="PYI158" s="3060"/>
      <c r="PYJ158" s="3060"/>
      <c r="PYK158" s="3060"/>
      <c r="PYL158" s="3060"/>
      <c r="PYM158" s="3060"/>
      <c r="PYN158" s="3060"/>
      <c r="PYO158" s="3060"/>
      <c r="PYP158" s="3060"/>
      <c r="PYQ158" s="3060"/>
      <c r="PYR158" s="3060"/>
      <c r="PYS158" s="3060"/>
      <c r="PYT158" s="3060"/>
      <c r="PYU158" s="3060"/>
      <c r="PYV158" s="3060"/>
      <c r="PYW158" s="3060"/>
      <c r="PYX158" s="3060"/>
      <c r="PYY158" s="3060"/>
      <c r="PYZ158" s="3060"/>
      <c r="PZA158" s="3060"/>
      <c r="PZB158" s="3060"/>
      <c r="PZC158" s="3060"/>
      <c r="PZD158" s="3060"/>
      <c r="PZE158" s="3060"/>
      <c r="PZF158" s="3060"/>
      <c r="PZG158" s="3060"/>
      <c r="PZH158" s="3060"/>
      <c r="PZI158" s="3060"/>
      <c r="PZJ158" s="3060"/>
      <c r="PZK158" s="3060"/>
      <c r="PZL158" s="3060"/>
      <c r="PZM158" s="3060"/>
      <c r="PZN158" s="3060"/>
      <c r="PZO158" s="3060"/>
      <c r="PZP158" s="3060"/>
      <c r="PZQ158" s="3060"/>
      <c r="PZR158" s="3060"/>
      <c r="PZS158" s="3060"/>
      <c r="PZT158" s="3060"/>
      <c r="PZU158" s="3060"/>
      <c r="PZV158" s="3060"/>
      <c r="PZW158" s="3060"/>
      <c r="PZX158" s="3060"/>
      <c r="PZY158" s="3060"/>
      <c r="PZZ158" s="3060"/>
      <c r="QAA158" s="3060"/>
      <c r="QAB158" s="3060"/>
      <c r="QAC158" s="3060"/>
      <c r="QAD158" s="3060"/>
      <c r="QAE158" s="3060"/>
      <c r="QAF158" s="3060"/>
      <c r="QAG158" s="3060"/>
      <c r="QAH158" s="3060"/>
      <c r="QAI158" s="3060"/>
      <c r="QAJ158" s="3060"/>
      <c r="QAK158" s="3060"/>
      <c r="QAL158" s="3060"/>
      <c r="QAM158" s="3060"/>
      <c r="QAN158" s="3060"/>
      <c r="QAO158" s="3060"/>
      <c r="QAP158" s="3060"/>
      <c r="QAQ158" s="3060"/>
      <c r="QAR158" s="3060"/>
      <c r="QAS158" s="3060"/>
      <c r="QAT158" s="3060"/>
      <c r="QAU158" s="3060"/>
      <c r="QAV158" s="3060"/>
      <c r="QAW158" s="3060"/>
      <c r="QAX158" s="3060"/>
      <c r="QAY158" s="3060"/>
      <c r="QAZ158" s="3060"/>
      <c r="QBA158" s="3060"/>
      <c r="QBB158" s="3060"/>
      <c r="QBC158" s="3060"/>
      <c r="QBD158" s="3060"/>
      <c r="QBE158" s="3060"/>
      <c r="QBF158" s="3060"/>
      <c r="QBG158" s="3060"/>
      <c r="QBH158" s="3060"/>
      <c r="QBI158" s="3060"/>
      <c r="QBJ158" s="3060"/>
      <c r="QBK158" s="3060"/>
      <c r="QBL158" s="3060"/>
      <c r="QBM158" s="3060"/>
      <c r="QBN158" s="3060"/>
      <c r="QBO158" s="3060"/>
      <c r="QBP158" s="3060"/>
      <c r="QBQ158" s="3060"/>
      <c r="QBR158" s="3060"/>
      <c r="QBS158" s="3060"/>
      <c r="QBT158" s="3060"/>
      <c r="QBU158" s="3060"/>
      <c r="QBV158" s="3060"/>
      <c r="QBW158" s="3060"/>
      <c r="QBX158" s="3060"/>
      <c r="QBY158" s="3060"/>
      <c r="QBZ158" s="3060"/>
      <c r="QCA158" s="3060"/>
      <c r="QCB158" s="3060"/>
      <c r="QCC158" s="3060"/>
      <c r="QCD158" s="3060"/>
      <c r="QCE158" s="3060"/>
      <c r="QCF158" s="3060"/>
      <c r="QCG158" s="3060"/>
      <c r="QCH158" s="3060"/>
      <c r="QCI158" s="3060"/>
      <c r="QCJ158" s="3060"/>
      <c r="QCK158" s="3060"/>
      <c r="QCL158" s="3060"/>
      <c r="QCM158" s="3060"/>
      <c r="QCN158" s="3060"/>
      <c r="QCO158" s="3060"/>
      <c r="QCP158" s="3060"/>
      <c r="QCQ158" s="3060"/>
      <c r="QCR158" s="3060"/>
      <c r="QCS158" s="3060"/>
      <c r="QCT158" s="3060"/>
      <c r="QCU158" s="3060"/>
      <c r="QCV158" s="3060"/>
      <c r="QCW158" s="3060"/>
      <c r="QCX158" s="3060"/>
      <c r="QCY158" s="3060"/>
      <c r="QCZ158" s="3060"/>
      <c r="QDA158" s="3060"/>
      <c r="QDB158" s="3060"/>
      <c r="QDC158" s="3060"/>
      <c r="QDD158" s="3060"/>
      <c r="QDE158" s="3060"/>
      <c r="QDF158" s="3060"/>
      <c r="QDG158" s="3060"/>
      <c r="QDH158" s="3060"/>
      <c r="QDI158" s="3060"/>
      <c r="QDJ158" s="3060"/>
      <c r="QDK158" s="3060"/>
      <c r="QDL158" s="3060"/>
      <c r="QDM158" s="3060"/>
      <c r="QDN158" s="3060"/>
      <c r="QDO158" s="3060"/>
      <c r="QDP158" s="3060"/>
      <c r="QDQ158" s="3060"/>
      <c r="QDR158" s="3060"/>
      <c r="QDS158" s="3060"/>
      <c r="QDT158" s="3060"/>
      <c r="QDU158" s="3060"/>
      <c r="QDV158" s="3060"/>
      <c r="QDW158" s="3060"/>
      <c r="QDX158" s="3060"/>
      <c r="QDY158" s="3060"/>
      <c r="QDZ158" s="3060"/>
      <c r="QEA158" s="3060"/>
      <c r="QEB158" s="3060"/>
      <c r="QEC158" s="3060"/>
      <c r="QED158" s="3060"/>
      <c r="QEE158" s="3060"/>
      <c r="QEF158" s="3060"/>
      <c r="QEG158" s="3060"/>
      <c r="QEH158" s="3060"/>
      <c r="QEI158" s="3060"/>
      <c r="QEJ158" s="3060"/>
      <c r="QEK158" s="3060"/>
      <c r="QEL158" s="3060"/>
      <c r="QEM158" s="3060"/>
      <c r="QEN158" s="3060"/>
      <c r="QEO158" s="3060"/>
      <c r="QEP158" s="3060"/>
      <c r="QEQ158" s="3060"/>
      <c r="QER158" s="3060"/>
      <c r="QES158" s="3060"/>
      <c r="QET158" s="3060"/>
      <c r="QEU158" s="3060"/>
      <c r="QEV158" s="3060"/>
      <c r="QEW158" s="3060"/>
      <c r="QEX158" s="3060"/>
      <c r="QEY158" s="3060"/>
      <c r="QEZ158" s="3060"/>
      <c r="QFA158" s="3060"/>
      <c r="QFB158" s="3060"/>
      <c r="QFC158" s="3060"/>
      <c r="QFD158" s="3060"/>
      <c r="QFE158" s="3060"/>
      <c r="QFF158" s="3060"/>
      <c r="QFG158" s="3060"/>
      <c r="QFH158" s="3060"/>
      <c r="QFI158" s="3060"/>
      <c r="QFJ158" s="3060"/>
      <c r="QFK158" s="3060"/>
      <c r="QFL158" s="3060"/>
      <c r="QFM158" s="3060"/>
      <c r="QFN158" s="3060"/>
      <c r="QFO158" s="3060"/>
      <c r="QFP158" s="3060"/>
      <c r="QFQ158" s="3060"/>
      <c r="QFR158" s="3060"/>
      <c r="QFS158" s="3060"/>
      <c r="QFT158" s="3060"/>
      <c r="QFU158" s="3060"/>
      <c r="QFV158" s="3060"/>
      <c r="QFW158" s="3060"/>
      <c r="QFX158" s="3060"/>
      <c r="QFY158" s="3060"/>
      <c r="QFZ158" s="3060"/>
      <c r="QGA158" s="3060"/>
      <c r="QGB158" s="3060"/>
      <c r="QGC158" s="3060"/>
      <c r="QGD158" s="3060"/>
      <c r="QGE158" s="3060"/>
      <c r="QGF158" s="3060"/>
      <c r="QGG158" s="3060"/>
      <c r="QGH158" s="3060"/>
      <c r="QGI158" s="3060"/>
      <c r="QGJ158" s="3060"/>
      <c r="QGK158" s="3060"/>
      <c r="QGL158" s="3060"/>
      <c r="QGM158" s="3060"/>
      <c r="QGN158" s="3060"/>
      <c r="QGO158" s="3060"/>
      <c r="QGP158" s="3060"/>
      <c r="QGQ158" s="3060"/>
      <c r="QGR158" s="3060"/>
      <c r="QGS158" s="3060"/>
      <c r="QGT158" s="3060"/>
      <c r="QGU158" s="3060"/>
      <c r="QGV158" s="3060"/>
      <c r="QGW158" s="3060"/>
      <c r="QGX158" s="3060"/>
      <c r="QGY158" s="3060"/>
      <c r="QGZ158" s="3060"/>
      <c r="QHA158" s="3060"/>
      <c r="QHB158" s="3060"/>
      <c r="QHC158" s="3060"/>
      <c r="QHD158" s="3060"/>
      <c r="QHE158" s="3060"/>
      <c r="QHF158" s="3060"/>
      <c r="QHG158" s="3060"/>
      <c r="QHH158" s="3060"/>
      <c r="QHI158" s="3060"/>
      <c r="QHJ158" s="3060"/>
      <c r="QHK158" s="3060"/>
      <c r="QHL158" s="3060"/>
      <c r="QHM158" s="3060"/>
      <c r="QHN158" s="3060"/>
      <c r="QHO158" s="3060"/>
      <c r="QHP158" s="3060"/>
      <c r="QHQ158" s="3060"/>
      <c r="QHR158" s="3060"/>
      <c r="QHS158" s="3060"/>
      <c r="QHT158" s="3060"/>
      <c r="QHU158" s="3060"/>
      <c r="QHV158" s="3060"/>
      <c r="QHW158" s="3060"/>
      <c r="QHX158" s="3060"/>
      <c r="QHY158" s="3060"/>
      <c r="QHZ158" s="3060"/>
      <c r="QIA158" s="3060"/>
      <c r="QIB158" s="3060"/>
      <c r="QIC158" s="3060"/>
      <c r="QID158" s="3060"/>
      <c r="QIE158" s="3060"/>
      <c r="QIF158" s="3060"/>
      <c r="QIG158" s="3060"/>
      <c r="QIH158" s="3060"/>
      <c r="QII158" s="3060"/>
      <c r="QIJ158" s="3060"/>
      <c r="QIK158" s="3060"/>
      <c r="QIL158" s="3060"/>
      <c r="QIM158" s="3060"/>
      <c r="QIN158" s="3060"/>
      <c r="QIO158" s="3060"/>
      <c r="QIP158" s="3060"/>
      <c r="QIQ158" s="3060"/>
      <c r="QIR158" s="3060"/>
      <c r="QIS158" s="3060"/>
      <c r="QIT158" s="3060"/>
      <c r="QIU158" s="3060"/>
      <c r="QIV158" s="3060"/>
      <c r="QIW158" s="3060"/>
      <c r="QIX158" s="3060"/>
      <c r="QIY158" s="3060"/>
      <c r="QIZ158" s="3060"/>
      <c r="QJA158" s="3060"/>
      <c r="QJB158" s="3060"/>
      <c r="QJC158" s="3060"/>
      <c r="QJD158" s="3060"/>
      <c r="QJE158" s="3060"/>
      <c r="QJF158" s="3060"/>
      <c r="QJG158" s="3060"/>
      <c r="QJH158" s="3060"/>
      <c r="QJI158" s="3060"/>
      <c r="QJJ158" s="3060"/>
      <c r="QJK158" s="3060"/>
      <c r="QJL158" s="3060"/>
      <c r="QJM158" s="3060"/>
      <c r="QJN158" s="3060"/>
      <c r="QJO158" s="3060"/>
      <c r="QJP158" s="3060"/>
      <c r="QJQ158" s="3060"/>
      <c r="QJR158" s="3060"/>
      <c r="QJS158" s="3060"/>
      <c r="QJT158" s="3060"/>
      <c r="QJU158" s="3060"/>
      <c r="QJV158" s="3060"/>
      <c r="QJW158" s="3060"/>
      <c r="QJX158" s="3060"/>
      <c r="QJY158" s="3060"/>
      <c r="QJZ158" s="3060"/>
      <c r="QKA158" s="3060"/>
      <c r="QKB158" s="3060"/>
      <c r="QKC158" s="3060"/>
      <c r="QKD158" s="3060"/>
      <c r="QKE158" s="3060"/>
      <c r="QKF158" s="3060"/>
      <c r="QKG158" s="3060"/>
      <c r="QKH158" s="3060"/>
      <c r="QKI158" s="3060"/>
      <c r="QKJ158" s="3060"/>
      <c r="QKK158" s="3060"/>
      <c r="QKL158" s="3060"/>
      <c r="QKM158" s="3060"/>
      <c r="QKN158" s="3060"/>
      <c r="QKO158" s="3060"/>
      <c r="QKP158" s="3060"/>
      <c r="QKQ158" s="3060"/>
      <c r="QKR158" s="3060"/>
      <c r="QKS158" s="3060"/>
      <c r="QKT158" s="3060"/>
      <c r="QKU158" s="3060"/>
      <c r="QKV158" s="3060"/>
      <c r="QKW158" s="3060"/>
      <c r="QKX158" s="3060"/>
      <c r="QKY158" s="3060"/>
      <c r="QKZ158" s="3060"/>
      <c r="QLA158" s="3060"/>
      <c r="QLB158" s="3060"/>
      <c r="QLC158" s="3060"/>
      <c r="QLD158" s="3060"/>
      <c r="QLE158" s="3060"/>
      <c r="QLF158" s="3060"/>
      <c r="QLG158" s="3060"/>
      <c r="QLH158" s="3060"/>
      <c r="QLI158" s="3060"/>
      <c r="QLJ158" s="3060"/>
      <c r="QLK158" s="3060"/>
      <c r="QLL158" s="3060"/>
      <c r="QLM158" s="3060"/>
      <c r="QLN158" s="3060"/>
      <c r="QLO158" s="3060"/>
      <c r="QLP158" s="3060"/>
      <c r="QLQ158" s="3060"/>
      <c r="QLR158" s="3060"/>
      <c r="QLS158" s="3060"/>
      <c r="QLT158" s="3060"/>
      <c r="QLU158" s="3060"/>
      <c r="QLV158" s="3060"/>
      <c r="QLW158" s="3060"/>
      <c r="QLX158" s="3060"/>
      <c r="QLY158" s="3060"/>
      <c r="QLZ158" s="3060"/>
      <c r="QMA158" s="3060"/>
      <c r="QMB158" s="3060"/>
      <c r="QMC158" s="3060"/>
      <c r="QMD158" s="3060"/>
      <c r="QME158" s="3060"/>
      <c r="QMF158" s="3060"/>
      <c r="QMG158" s="3060"/>
      <c r="QMH158" s="3060"/>
      <c r="QMI158" s="3060"/>
      <c r="QMJ158" s="3060"/>
      <c r="QMK158" s="3060"/>
      <c r="QML158" s="3060"/>
      <c r="QMM158" s="3060"/>
      <c r="QMN158" s="3060"/>
      <c r="QMO158" s="3060"/>
      <c r="QMP158" s="3060"/>
      <c r="QMQ158" s="3060"/>
      <c r="QMR158" s="3060"/>
      <c r="QMS158" s="3060"/>
      <c r="QMT158" s="3060"/>
      <c r="QMU158" s="3060"/>
      <c r="QMV158" s="3060"/>
      <c r="QMW158" s="3060"/>
      <c r="QMX158" s="3060"/>
      <c r="QMY158" s="3060"/>
      <c r="QMZ158" s="3060"/>
      <c r="QNA158" s="3060"/>
      <c r="QNB158" s="3060"/>
      <c r="QNC158" s="3060"/>
      <c r="QND158" s="3060"/>
      <c r="QNE158" s="3060"/>
      <c r="QNF158" s="3060"/>
      <c r="QNG158" s="3060"/>
      <c r="QNH158" s="3060"/>
      <c r="QNI158" s="3060"/>
      <c r="QNJ158" s="3060"/>
      <c r="QNK158" s="3060"/>
      <c r="QNL158" s="3060"/>
      <c r="QNM158" s="3060"/>
      <c r="QNN158" s="3060"/>
      <c r="QNO158" s="3060"/>
      <c r="QNP158" s="3060"/>
      <c r="QNQ158" s="3060"/>
      <c r="QNR158" s="3060"/>
      <c r="QNS158" s="3060"/>
      <c r="QNT158" s="3060"/>
      <c r="QNU158" s="3060"/>
      <c r="QNV158" s="3060"/>
      <c r="QNW158" s="3060"/>
      <c r="QNX158" s="3060"/>
      <c r="QNY158" s="3060"/>
      <c r="QNZ158" s="3060"/>
      <c r="QOA158" s="3060"/>
      <c r="QOB158" s="3060"/>
      <c r="QOC158" s="3060"/>
      <c r="QOD158" s="3060"/>
      <c r="QOE158" s="3060"/>
      <c r="QOF158" s="3060"/>
      <c r="QOG158" s="3060"/>
      <c r="QOH158" s="3060"/>
      <c r="QOI158" s="3060"/>
      <c r="QOJ158" s="3060"/>
      <c r="QOK158" s="3060"/>
      <c r="QOL158" s="3060"/>
      <c r="QOM158" s="3060"/>
      <c r="QON158" s="3060"/>
      <c r="QOO158" s="3060"/>
      <c r="QOP158" s="3060"/>
      <c r="QOQ158" s="3060"/>
      <c r="QOR158" s="3060"/>
      <c r="QOS158" s="3060"/>
      <c r="QOT158" s="3060"/>
      <c r="QOU158" s="3060"/>
      <c r="QOV158" s="3060"/>
      <c r="QOW158" s="3060"/>
      <c r="QOX158" s="3060"/>
      <c r="QOY158" s="3060"/>
      <c r="QOZ158" s="3060"/>
      <c r="QPA158" s="3060"/>
      <c r="QPB158" s="3060"/>
      <c r="QPC158" s="3060"/>
      <c r="QPD158" s="3060"/>
      <c r="QPE158" s="3060"/>
      <c r="QPF158" s="3060"/>
      <c r="QPG158" s="3060"/>
      <c r="QPH158" s="3060"/>
      <c r="QPI158" s="3060"/>
      <c r="QPJ158" s="3060"/>
      <c r="QPK158" s="3060"/>
      <c r="QPL158" s="3060"/>
      <c r="QPM158" s="3060"/>
      <c r="QPN158" s="3060"/>
      <c r="QPO158" s="3060"/>
      <c r="QPP158" s="3060"/>
      <c r="QPQ158" s="3060"/>
      <c r="QPR158" s="3060"/>
      <c r="QPS158" s="3060"/>
      <c r="QPT158" s="3060"/>
      <c r="QPU158" s="3060"/>
      <c r="QPV158" s="3060"/>
      <c r="QPW158" s="3060"/>
      <c r="QPX158" s="3060"/>
      <c r="QPY158" s="3060"/>
      <c r="QPZ158" s="3060"/>
      <c r="QQA158" s="3060"/>
      <c r="QQB158" s="3060"/>
      <c r="QQC158" s="3060"/>
      <c r="QQD158" s="3060"/>
      <c r="QQE158" s="3060"/>
      <c r="QQF158" s="3060"/>
      <c r="QQG158" s="3060"/>
      <c r="QQH158" s="3060"/>
      <c r="QQI158" s="3060"/>
      <c r="QQJ158" s="3060"/>
      <c r="QQK158" s="3060"/>
      <c r="QQL158" s="3060"/>
      <c r="QQM158" s="3060"/>
      <c r="QQN158" s="3060"/>
      <c r="QQO158" s="3060"/>
      <c r="QQP158" s="3060"/>
      <c r="QQQ158" s="3060"/>
      <c r="QQR158" s="3060"/>
      <c r="QQS158" s="3060"/>
      <c r="QQT158" s="3060"/>
      <c r="QQU158" s="3060"/>
      <c r="QQV158" s="3060"/>
      <c r="QQW158" s="3060"/>
      <c r="QQX158" s="3060"/>
      <c r="QQY158" s="3060"/>
      <c r="QQZ158" s="3060"/>
      <c r="QRA158" s="3060"/>
      <c r="QRB158" s="3060"/>
      <c r="QRC158" s="3060"/>
      <c r="QRD158" s="3060"/>
      <c r="QRE158" s="3060"/>
      <c r="QRF158" s="3060"/>
      <c r="QRG158" s="3060"/>
      <c r="QRH158" s="3060"/>
      <c r="QRI158" s="3060"/>
      <c r="QRJ158" s="3060"/>
      <c r="QRK158" s="3060"/>
      <c r="QRL158" s="3060"/>
      <c r="QRM158" s="3060"/>
      <c r="QRN158" s="3060"/>
      <c r="QRO158" s="3060"/>
      <c r="QRP158" s="3060"/>
      <c r="QRQ158" s="3060"/>
      <c r="QRR158" s="3060"/>
      <c r="QRS158" s="3060"/>
      <c r="QRT158" s="3060"/>
      <c r="QRU158" s="3060"/>
      <c r="QRV158" s="3060"/>
      <c r="QRW158" s="3060"/>
      <c r="QRX158" s="3060"/>
      <c r="QRY158" s="3060"/>
      <c r="QRZ158" s="3060"/>
      <c r="QSA158" s="3060"/>
      <c r="QSB158" s="3060"/>
      <c r="QSC158" s="3060"/>
      <c r="QSD158" s="3060"/>
      <c r="QSE158" s="3060"/>
      <c r="QSF158" s="3060"/>
      <c r="QSG158" s="3060"/>
      <c r="QSH158" s="3060"/>
      <c r="QSI158" s="3060"/>
      <c r="QSJ158" s="3060"/>
      <c r="QSK158" s="3060"/>
      <c r="QSL158" s="3060"/>
      <c r="QSM158" s="3060"/>
      <c r="QSN158" s="3060"/>
      <c r="QSO158" s="3060"/>
      <c r="QSP158" s="3060"/>
      <c r="QSQ158" s="3060"/>
      <c r="QSR158" s="3060"/>
      <c r="QSS158" s="3060"/>
      <c r="QST158" s="3060"/>
      <c r="QSU158" s="3060"/>
      <c r="QSV158" s="3060"/>
      <c r="QSW158" s="3060"/>
      <c r="QSX158" s="3060"/>
      <c r="QSY158" s="3060"/>
      <c r="QSZ158" s="3060"/>
      <c r="QTA158" s="3060"/>
      <c r="QTB158" s="3060"/>
      <c r="QTC158" s="3060"/>
      <c r="QTD158" s="3060"/>
      <c r="QTE158" s="3060"/>
      <c r="QTF158" s="3060"/>
      <c r="QTG158" s="3060"/>
      <c r="QTH158" s="3060"/>
      <c r="QTI158" s="3060"/>
      <c r="QTJ158" s="3060"/>
      <c r="QTK158" s="3060"/>
      <c r="QTL158" s="3060"/>
      <c r="QTM158" s="3060"/>
      <c r="QTN158" s="3060"/>
      <c r="QTO158" s="3060"/>
      <c r="QTP158" s="3060"/>
      <c r="QTQ158" s="3060"/>
      <c r="QTR158" s="3060"/>
      <c r="QTS158" s="3060"/>
      <c r="QTT158" s="3060"/>
      <c r="QTU158" s="3060"/>
      <c r="QTV158" s="3060"/>
      <c r="QTW158" s="3060"/>
      <c r="QTX158" s="3060"/>
      <c r="QTY158" s="3060"/>
      <c r="QTZ158" s="3060"/>
      <c r="QUA158" s="3060"/>
      <c r="QUB158" s="3060"/>
      <c r="QUC158" s="3060"/>
      <c r="QUD158" s="3060"/>
      <c r="QUE158" s="3060"/>
      <c r="QUF158" s="3060"/>
      <c r="QUG158" s="3060"/>
      <c r="QUH158" s="3060"/>
      <c r="QUI158" s="3060"/>
      <c r="QUJ158" s="3060"/>
      <c r="QUK158" s="3060"/>
      <c r="QUL158" s="3060"/>
      <c r="QUM158" s="3060"/>
      <c r="QUN158" s="3060"/>
      <c r="QUO158" s="3060"/>
      <c r="QUP158" s="3060"/>
      <c r="QUQ158" s="3060"/>
      <c r="QUR158" s="3060"/>
      <c r="QUS158" s="3060"/>
      <c r="QUT158" s="3060"/>
      <c r="QUU158" s="3060"/>
      <c r="QUV158" s="3060"/>
      <c r="QUW158" s="3060"/>
      <c r="QUX158" s="3060"/>
      <c r="QUY158" s="3060"/>
      <c r="QUZ158" s="3060"/>
      <c r="QVA158" s="3060"/>
      <c r="QVB158" s="3060"/>
      <c r="QVC158" s="3060"/>
      <c r="QVD158" s="3060"/>
      <c r="QVE158" s="3060"/>
      <c r="QVF158" s="3060"/>
      <c r="QVG158" s="3060"/>
      <c r="QVH158" s="3060"/>
      <c r="QVI158" s="3060"/>
      <c r="QVJ158" s="3060"/>
      <c r="QVK158" s="3060"/>
      <c r="QVL158" s="3060"/>
      <c r="QVM158" s="3060"/>
      <c r="QVN158" s="3060"/>
      <c r="QVO158" s="3060"/>
      <c r="QVP158" s="3060"/>
      <c r="QVQ158" s="3060"/>
      <c r="QVR158" s="3060"/>
      <c r="QVS158" s="3060"/>
      <c r="QVT158" s="3060"/>
      <c r="QVU158" s="3060"/>
      <c r="QVV158" s="3060"/>
      <c r="QVW158" s="3060"/>
      <c r="QVX158" s="3060"/>
      <c r="QVY158" s="3060"/>
      <c r="QVZ158" s="3060"/>
      <c r="QWA158" s="3060"/>
      <c r="QWB158" s="3060"/>
      <c r="QWC158" s="3060"/>
      <c r="QWD158" s="3060"/>
      <c r="QWE158" s="3060"/>
      <c r="QWF158" s="3060"/>
      <c r="QWG158" s="3060"/>
      <c r="QWH158" s="3060"/>
      <c r="QWI158" s="3060"/>
      <c r="QWJ158" s="3060"/>
      <c r="QWK158" s="3060"/>
      <c r="QWL158" s="3060"/>
      <c r="QWM158" s="3060"/>
      <c r="QWN158" s="3060"/>
      <c r="QWO158" s="3060"/>
      <c r="QWP158" s="3060"/>
      <c r="QWQ158" s="3060"/>
      <c r="QWR158" s="3060"/>
      <c r="QWS158" s="3060"/>
      <c r="QWT158" s="3060"/>
      <c r="QWU158" s="3060"/>
      <c r="QWV158" s="3060"/>
      <c r="QWW158" s="3060"/>
      <c r="QWX158" s="3060"/>
      <c r="QWY158" s="3060"/>
      <c r="QWZ158" s="3060"/>
      <c r="QXA158" s="3060"/>
      <c r="QXB158" s="3060"/>
      <c r="QXC158" s="3060"/>
      <c r="QXD158" s="3060"/>
      <c r="QXE158" s="3060"/>
      <c r="QXF158" s="3060"/>
      <c r="QXG158" s="3060"/>
      <c r="QXH158" s="3060"/>
      <c r="QXI158" s="3060"/>
      <c r="QXJ158" s="3060"/>
      <c r="QXK158" s="3060"/>
      <c r="QXL158" s="3060"/>
      <c r="QXM158" s="3060"/>
      <c r="QXN158" s="3060"/>
      <c r="QXO158" s="3060"/>
      <c r="QXP158" s="3060"/>
      <c r="QXQ158" s="3060"/>
      <c r="QXR158" s="3060"/>
      <c r="QXS158" s="3060"/>
      <c r="QXT158" s="3060"/>
      <c r="QXU158" s="3060"/>
      <c r="QXV158" s="3060"/>
      <c r="QXW158" s="3060"/>
      <c r="QXX158" s="3060"/>
      <c r="QXY158" s="3060"/>
      <c r="QXZ158" s="3060"/>
      <c r="QYA158" s="3060"/>
      <c r="QYB158" s="3060"/>
      <c r="QYC158" s="3060"/>
      <c r="QYD158" s="3060"/>
      <c r="QYE158" s="3060"/>
      <c r="QYF158" s="3060"/>
      <c r="QYG158" s="3060"/>
      <c r="QYH158" s="3060"/>
      <c r="QYI158" s="3060"/>
      <c r="QYJ158" s="3060"/>
      <c r="QYK158" s="3060"/>
      <c r="QYL158" s="3060"/>
      <c r="QYM158" s="3060"/>
      <c r="QYN158" s="3060"/>
      <c r="QYO158" s="3060"/>
      <c r="QYP158" s="3060"/>
      <c r="QYQ158" s="3060"/>
      <c r="QYR158" s="3060"/>
      <c r="QYS158" s="3060"/>
      <c r="QYT158" s="3060"/>
      <c r="QYU158" s="3060"/>
      <c r="QYV158" s="3060"/>
      <c r="QYW158" s="3060"/>
      <c r="QYX158" s="3060"/>
      <c r="QYY158" s="3060"/>
      <c r="QYZ158" s="3060"/>
      <c r="QZA158" s="3060"/>
      <c r="QZB158" s="3060"/>
      <c r="QZC158" s="3060"/>
      <c r="QZD158" s="3060"/>
      <c r="QZE158" s="3060"/>
      <c r="QZF158" s="3060"/>
      <c r="QZG158" s="3060"/>
      <c r="QZH158" s="3060"/>
      <c r="QZI158" s="3060"/>
      <c r="QZJ158" s="3060"/>
      <c r="QZK158" s="3060"/>
      <c r="QZL158" s="3060"/>
      <c r="QZM158" s="3060"/>
      <c r="QZN158" s="3060"/>
      <c r="QZO158" s="3060"/>
      <c r="QZP158" s="3060"/>
      <c r="QZQ158" s="3060"/>
      <c r="QZR158" s="3060"/>
      <c r="QZS158" s="3060"/>
      <c r="QZT158" s="3060"/>
      <c r="QZU158" s="3060"/>
      <c r="QZV158" s="3060"/>
      <c r="QZW158" s="3060"/>
      <c r="QZX158" s="3060"/>
      <c r="QZY158" s="3060"/>
      <c r="QZZ158" s="3060"/>
      <c r="RAA158" s="3060"/>
      <c r="RAB158" s="3060"/>
      <c r="RAC158" s="3060"/>
      <c r="RAD158" s="3060"/>
      <c r="RAE158" s="3060"/>
      <c r="RAF158" s="3060"/>
      <c r="RAG158" s="3060"/>
      <c r="RAH158" s="3060"/>
      <c r="RAI158" s="3060"/>
      <c r="RAJ158" s="3060"/>
      <c r="RAK158" s="3060"/>
      <c r="RAL158" s="3060"/>
      <c r="RAM158" s="3060"/>
      <c r="RAN158" s="3060"/>
      <c r="RAO158" s="3060"/>
      <c r="RAP158" s="3060"/>
      <c r="RAQ158" s="3060"/>
      <c r="RAR158" s="3060"/>
      <c r="RAS158" s="3060"/>
      <c r="RAT158" s="3060"/>
      <c r="RAU158" s="3060"/>
      <c r="RAV158" s="3060"/>
      <c r="RAW158" s="3060"/>
      <c r="RAX158" s="3060"/>
      <c r="RAY158" s="3060"/>
      <c r="RAZ158" s="3060"/>
      <c r="RBA158" s="3060"/>
      <c r="RBB158" s="3060"/>
      <c r="RBC158" s="3060"/>
      <c r="RBD158" s="3060"/>
      <c r="RBE158" s="3060"/>
      <c r="RBF158" s="3060"/>
      <c r="RBG158" s="3060"/>
      <c r="RBH158" s="3060"/>
      <c r="RBI158" s="3060"/>
      <c r="RBJ158" s="3060"/>
      <c r="RBK158" s="3060"/>
      <c r="RBL158" s="3060"/>
      <c r="RBM158" s="3060"/>
      <c r="RBN158" s="3060"/>
      <c r="RBO158" s="3060"/>
      <c r="RBP158" s="3060"/>
      <c r="RBQ158" s="3060"/>
      <c r="RBR158" s="3060"/>
      <c r="RBS158" s="3060"/>
      <c r="RBT158" s="3060"/>
      <c r="RBU158" s="3060"/>
      <c r="RBV158" s="3060"/>
      <c r="RBW158" s="3060"/>
      <c r="RBX158" s="3060"/>
      <c r="RBY158" s="3060"/>
      <c r="RBZ158" s="3060"/>
      <c r="RCA158" s="3060"/>
      <c r="RCB158" s="3060"/>
      <c r="RCC158" s="3060"/>
      <c r="RCD158" s="3060"/>
      <c r="RCE158" s="3060"/>
      <c r="RCF158" s="3060"/>
      <c r="RCG158" s="3060"/>
      <c r="RCH158" s="3060"/>
      <c r="RCI158" s="3060"/>
      <c r="RCJ158" s="3060"/>
      <c r="RCK158" s="3060"/>
      <c r="RCL158" s="3060"/>
      <c r="RCM158" s="3060"/>
      <c r="RCN158" s="3060"/>
      <c r="RCO158" s="3060"/>
      <c r="RCP158" s="3060"/>
      <c r="RCQ158" s="3060"/>
      <c r="RCR158" s="3060"/>
      <c r="RCS158" s="3060"/>
      <c r="RCT158" s="3060"/>
      <c r="RCU158" s="3060"/>
      <c r="RCV158" s="3060"/>
      <c r="RCW158" s="3060"/>
      <c r="RCX158" s="3060"/>
      <c r="RCY158" s="3060"/>
      <c r="RCZ158" s="3060"/>
      <c r="RDA158" s="3060"/>
      <c r="RDB158" s="3060"/>
      <c r="RDC158" s="3060"/>
      <c r="RDD158" s="3060"/>
      <c r="RDE158" s="3060"/>
      <c r="RDF158" s="3060"/>
      <c r="RDG158" s="3060"/>
      <c r="RDH158" s="3060"/>
      <c r="RDI158" s="3060"/>
      <c r="RDJ158" s="3060"/>
      <c r="RDK158" s="3060"/>
      <c r="RDL158" s="3060"/>
      <c r="RDM158" s="3060"/>
      <c r="RDN158" s="3060"/>
      <c r="RDO158" s="3060"/>
      <c r="RDP158" s="3060"/>
      <c r="RDQ158" s="3060"/>
      <c r="RDR158" s="3060"/>
      <c r="RDS158" s="3060"/>
      <c r="RDT158" s="3060"/>
      <c r="RDU158" s="3060"/>
      <c r="RDV158" s="3060"/>
      <c r="RDW158" s="3060"/>
      <c r="RDX158" s="3060"/>
      <c r="RDY158" s="3060"/>
      <c r="RDZ158" s="3060"/>
      <c r="REA158" s="3060"/>
      <c r="REB158" s="3060"/>
      <c r="REC158" s="3060"/>
      <c r="RED158" s="3060"/>
      <c r="REE158" s="3060"/>
      <c r="REF158" s="3060"/>
      <c r="REG158" s="3060"/>
      <c r="REH158" s="3060"/>
      <c r="REI158" s="3060"/>
      <c r="REJ158" s="3060"/>
      <c r="REK158" s="3060"/>
      <c r="REL158" s="3060"/>
      <c r="REM158" s="3060"/>
      <c r="REN158" s="3060"/>
      <c r="REO158" s="3060"/>
      <c r="REP158" s="3060"/>
      <c r="REQ158" s="3060"/>
      <c r="RER158" s="3060"/>
      <c r="RES158" s="3060"/>
      <c r="RET158" s="3060"/>
      <c r="REU158" s="3060"/>
      <c r="REV158" s="3060"/>
      <c r="REW158" s="3060"/>
      <c r="REX158" s="3060"/>
      <c r="REY158" s="3060"/>
      <c r="REZ158" s="3060"/>
      <c r="RFA158" s="3060"/>
      <c r="RFB158" s="3060"/>
      <c r="RFC158" s="3060"/>
      <c r="RFD158" s="3060"/>
      <c r="RFE158" s="3060"/>
      <c r="RFF158" s="3060"/>
      <c r="RFG158" s="3060"/>
      <c r="RFH158" s="3060"/>
      <c r="RFI158" s="3060"/>
      <c r="RFJ158" s="3060"/>
      <c r="RFK158" s="3060"/>
      <c r="RFL158" s="3060"/>
      <c r="RFM158" s="3060"/>
      <c r="RFN158" s="3060"/>
      <c r="RFO158" s="3060"/>
      <c r="RFP158" s="3060"/>
      <c r="RFQ158" s="3060"/>
      <c r="RFR158" s="3060"/>
      <c r="RFS158" s="3060"/>
      <c r="RFT158" s="3060"/>
      <c r="RFU158" s="3060"/>
      <c r="RFV158" s="3060"/>
      <c r="RFW158" s="3060"/>
      <c r="RFX158" s="3060"/>
      <c r="RFY158" s="3060"/>
      <c r="RFZ158" s="3060"/>
      <c r="RGA158" s="3060"/>
      <c r="RGB158" s="3060"/>
      <c r="RGC158" s="3060"/>
      <c r="RGD158" s="3060"/>
      <c r="RGE158" s="3060"/>
      <c r="RGF158" s="3060"/>
      <c r="RGG158" s="3060"/>
      <c r="RGH158" s="3060"/>
      <c r="RGI158" s="3060"/>
      <c r="RGJ158" s="3060"/>
      <c r="RGK158" s="3060"/>
      <c r="RGL158" s="3060"/>
      <c r="RGM158" s="3060"/>
      <c r="RGN158" s="3060"/>
      <c r="RGO158" s="3060"/>
      <c r="RGP158" s="3060"/>
      <c r="RGQ158" s="3060"/>
      <c r="RGR158" s="3060"/>
      <c r="RGS158" s="3060"/>
      <c r="RGT158" s="3060"/>
      <c r="RGU158" s="3060"/>
      <c r="RGV158" s="3060"/>
      <c r="RGW158" s="3060"/>
      <c r="RGX158" s="3060"/>
      <c r="RGY158" s="3060"/>
      <c r="RGZ158" s="3060"/>
      <c r="RHA158" s="3060"/>
      <c r="RHB158" s="3060"/>
      <c r="RHC158" s="3060"/>
      <c r="RHD158" s="3060"/>
      <c r="RHE158" s="3060"/>
      <c r="RHF158" s="3060"/>
      <c r="RHG158" s="3060"/>
      <c r="RHH158" s="3060"/>
      <c r="RHI158" s="3060"/>
      <c r="RHJ158" s="3060"/>
      <c r="RHK158" s="3060"/>
      <c r="RHL158" s="3060"/>
      <c r="RHM158" s="3060"/>
      <c r="RHN158" s="3060"/>
      <c r="RHO158" s="3060"/>
      <c r="RHP158" s="3060"/>
      <c r="RHQ158" s="3060"/>
      <c r="RHR158" s="3060"/>
      <c r="RHS158" s="3060"/>
      <c r="RHT158" s="3060"/>
      <c r="RHU158" s="3060"/>
      <c r="RHV158" s="3060"/>
      <c r="RHW158" s="3060"/>
      <c r="RHX158" s="3060"/>
      <c r="RHY158" s="3060"/>
      <c r="RHZ158" s="3060"/>
      <c r="RIA158" s="3060"/>
      <c r="RIB158" s="3060"/>
      <c r="RIC158" s="3060"/>
      <c r="RID158" s="3060"/>
      <c r="RIE158" s="3060"/>
      <c r="RIF158" s="3060"/>
      <c r="RIG158" s="3060"/>
      <c r="RIH158" s="3060"/>
      <c r="RII158" s="3060"/>
      <c r="RIJ158" s="3060"/>
      <c r="RIK158" s="3060"/>
      <c r="RIL158" s="3060"/>
      <c r="RIM158" s="3060"/>
      <c r="RIN158" s="3060"/>
      <c r="RIO158" s="3060"/>
      <c r="RIP158" s="3060"/>
      <c r="RIQ158" s="3060"/>
      <c r="RIR158" s="3060"/>
      <c r="RIS158" s="3060"/>
      <c r="RIT158" s="3060"/>
      <c r="RIU158" s="3060"/>
      <c r="RIV158" s="3060"/>
      <c r="RIW158" s="3060"/>
      <c r="RIX158" s="3060"/>
      <c r="RIY158" s="3060"/>
      <c r="RIZ158" s="3060"/>
      <c r="RJA158" s="3060"/>
      <c r="RJB158" s="3060"/>
      <c r="RJC158" s="3060"/>
      <c r="RJD158" s="3060"/>
      <c r="RJE158" s="3060"/>
      <c r="RJF158" s="3060"/>
      <c r="RJG158" s="3060"/>
      <c r="RJH158" s="3060"/>
      <c r="RJI158" s="3060"/>
      <c r="RJJ158" s="3060"/>
      <c r="RJK158" s="3060"/>
      <c r="RJL158" s="3060"/>
      <c r="RJM158" s="3060"/>
      <c r="RJN158" s="3060"/>
      <c r="RJO158" s="3060"/>
      <c r="RJP158" s="3060"/>
      <c r="RJQ158" s="3060"/>
      <c r="RJR158" s="3060"/>
      <c r="RJS158" s="3060"/>
      <c r="RJT158" s="3060"/>
      <c r="RJU158" s="3060"/>
      <c r="RJV158" s="3060"/>
      <c r="RJW158" s="3060"/>
      <c r="RJX158" s="3060"/>
      <c r="RJY158" s="3060"/>
      <c r="RJZ158" s="3060"/>
      <c r="RKA158" s="3060"/>
      <c r="RKB158" s="3060"/>
      <c r="RKC158" s="3060"/>
      <c r="RKD158" s="3060"/>
      <c r="RKE158" s="3060"/>
      <c r="RKF158" s="3060"/>
      <c r="RKG158" s="3060"/>
      <c r="RKH158" s="3060"/>
      <c r="RKI158" s="3060"/>
      <c r="RKJ158" s="3060"/>
      <c r="RKK158" s="3060"/>
      <c r="RKL158" s="3060"/>
      <c r="RKM158" s="3060"/>
      <c r="RKN158" s="3060"/>
      <c r="RKO158" s="3060"/>
      <c r="RKP158" s="3060"/>
      <c r="RKQ158" s="3060"/>
      <c r="RKR158" s="3060"/>
      <c r="RKS158" s="3060"/>
      <c r="RKT158" s="3060"/>
      <c r="RKU158" s="3060"/>
      <c r="RKV158" s="3060"/>
      <c r="RKW158" s="3060"/>
      <c r="RKX158" s="3060"/>
      <c r="RKY158" s="3060"/>
      <c r="RKZ158" s="3060"/>
      <c r="RLA158" s="3060"/>
      <c r="RLB158" s="3060"/>
      <c r="RLC158" s="3060"/>
      <c r="RLD158" s="3060"/>
      <c r="RLE158" s="3060"/>
      <c r="RLF158" s="3060"/>
      <c r="RLG158" s="3060"/>
      <c r="RLH158" s="3060"/>
      <c r="RLI158" s="3060"/>
      <c r="RLJ158" s="3060"/>
      <c r="RLK158" s="3060"/>
      <c r="RLL158" s="3060"/>
      <c r="RLM158" s="3060"/>
      <c r="RLN158" s="3060"/>
      <c r="RLO158" s="3060"/>
      <c r="RLP158" s="3060"/>
      <c r="RLQ158" s="3060"/>
      <c r="RLR158" s="3060"/>
      <c r="RLS158" s="3060"/>
      <c r="RLT158" s="3060"/>
      <c r="RLU158" s="3060"/>
      <c r="RLV158" s="3060"/>
      <c r="RLW158" s="3060"/>
      <c r="RLX158" s="3060"/>
      <c r="RLY158" s="3060"/>
      <c r="RLZ158" s="3060"/>
      <c r="RMA158" s="3060"/>
      <c r="RMB158" s="3060"/>
      <c r="RMC158" s="3060"/>
      <c r="RMD158" s="3060"/>
      <c r="RME158" s="3060"/>
      <c r="RMF158" s="3060"/>
      <c r="RMG158" s="3060"/>
      <c r="RMH158" s="3060"/>
      <c r="RMI158" s="3060"/>
      <c r="RMJ158" s="3060"/>
      <c r="RMK158" s="3060"/>
      <c r="RML158" s="3060"/>
      <c r="RMM158" s="3060"/>
      <c r="RMN158" s="3060"/>
      <c r="RMO158" s="3060"/>
      <c r="RMP158" s="3060"/>
      <c r="RMQ158" s="3060"/>
      <c r="RMR158" s="3060"/>
      <c r="RMS158" s="3060"/>
      <c r="RMT158" s="3060"/>
      <c r="RMU158" s="3060"/>
      <c r="RMV158" s="3060"/>
      <c r="RMW158" s="3060"/>
      <c r="RMX158" s="3060"/>
      <c r="RMY158" s="3060"/>
      <c r="RMZ158" s="3060"/>
      <c r="RNA158" s="3060"/>
      <c r="RNB158" s="3060"/>
      <c r="RNC158" s="3060"/>
      <c r="RND158" s="3060"/>
      <c r="RNE158" s="3060"/>
      <c r="RNF158" s="3060"/>
      <c r="RNG158" s="3060"/>
      <c r="RNH158" s="3060"/>
      <c r="RNI158" s="3060"/>
      <c r="RNJ158" s="3060"/>
      <c r="RNK158" s="3060"/>
      <c r="RNL158" s="3060"/>
      <c r="RNM158" s="3060"/>
      <c r="RNN158" s="3060"/>
      <c r="RNO158" s="3060"/>
      <c r="RNP158" s="3060"/>
      <c r="RNQ158" s="3060"/>
      <c r="RNR158" s="3060"/>
      <c r="RNS158" s="3060"/>
      <c r="RNT158" s="3060"/>
      <c r="RNU158" s="3060"/>
      <c r="RNV158" s="3060"/>
      <c r="RNW158" s="3060"/>
      <c r="RNX158" s="3060"/>
      <c r="RNY158" s="3060"/>
      <c r="RNZ158" s="3060"/>
      <c r="ROA158" s="3060"/>
      <c r="ROB158" s="3060"/>
      <c r="ROC158" s="3060"/>
      <c r="ROD158" s="3060"/>
      <c r="ROE158" s="3060"/>
      <c r="ROF158" s="3060"/>
      <c r="ROG158" s="3060"/>
      <c r="ROH158" s="3060"/>
      <c r="ROI158" s="3060"/>
      <c r="ROJ158" s="3060"/>
      <c r="ROK158" s="3060"/>
      <c r="ROL158" s="3060"/>
      <c r="ROM158" s="3060"/>
      <c r="RON158" s="3060"/>
      <c r="ROO158" s="3060"/>
      <c r="ROP158" s="3060"/>
      <c r="ROQ158" s="3060"/>
      <c r="ROR158" s="3060"/>
      <c r="ROS158" s="3060"/>
      <c r="ROT158" s="3060"/>
      <c r="ROU158" s="3060"/>
      <c r="ROV158" s="3060"/>
      <c r="ROW158" s="3060"/>
      <c r="ROX158" s="3060"/>
      <c r="ROY158" s="3060"/>
      <c r="ROZ158" s="3060"/>
      <c r="RPA158" s="3060"/>
      <c r="RPB158" s="3060"/>
      <c r="RPC158" s="3060"/>
      <c r="RPD158" s="3060"/>
      <c r="RPE158" s="3060"/>
      <c r="RPF158" s="3060"/>
      <c r="RPG158" s="3060"/>
      <c r="RPH158" s="3060"/>
      <c r="RPI158" s="3060"/>
      <c r="RPJ158" s="3060"/>
      <c r="RPK158" s="3060"/>
      <c r="RPL158" s="3060"/>
      <c r="RPM158" s="3060"/>
      <c r="RPN158" s="3060"/>
      <c r="RPO158" s="3060"/>
      <c r="RPP158" s="3060"/>
      <c r="RPQ158" s="3060"/>
      <c r="RPR158" s="3060"/>
      <c r="RPS158" s="3060"/>
      <c r="RPT158" s="3060"/>
      <c r="RPU158" s="3060"/>
      <c r="RPV158" s="3060"/>
      <c r="RPW158" s="3060"/>
      <c r="RPX158" s="3060"/>
      <c r="RPY158" s="3060"/>
      <c r="RPZ158" s="3060"/>
      <c r="RQA158" s="3060"/>
      <c r="RQB158" s="3060"/>
      <c r="RQC158" s="3060"/>
      <c r="RQD158" s="3060"/>
      <c r="RQE158" s="3060"/>
      <c r="RQF158" s="3060"/>
      <c r="RQG158" s="3060"/>
      <c r="RQH158" s="3060"/>
      <c r="RQI158" s="3060"/>
      <c r="RQJ158" s="3060"/>
      <c r="RQK158" s="3060"/>
      <c r="RQL158" s="3060"/>
      <c r="RQM158" s="3060"/>
      <c r="RQN158" s="3060"/>
      <c r="RQO158" s="3060"/>
      <c r="RQP158" s="3060"/>
      <c r="RQQ158" s="3060"/>
      <c r="RQR158" s="3060"/>
      <c r="RQS158" s="3060"/>
      <c r="RQT158" s="3060"/>
      <c r="RQU158" s="3060"/>
      <c r="RQV158" s="3060"/>
      <c r="RQW158" s="3060"/>
      <c r="RQX158" s="3060"/>
      <c r="RQY158" s="3060"/>
      <c r="RQZ158" s="3060"/>
      <c r="RRA158" s="3060"/>
      <c r="RRB158" s="3060"/>
      <c r="RRC158" s="3060"/>
      <c r="RRD158" s="3060"/>
      <c r="RRE158" s="3060"/>
      <c r="RRF158" s="3060"/>
      <c r="RRG158" s="3060"/>
      <c r="RRH158" s="3060"/>
      <c r="RRI158" s="3060"/>
      <c r="RRJ158" s="3060"/>
      <c r="RRK158" s="3060"/>
      <c r="RRL158" s="3060"/>
      <c r="RRM158" s="3060"/>
      <c r="RRN158" s="3060"/>
      <c r="RRO158" s="3060"/>
      <c r="RRP158" s="3060"/>
      <c r="RRQ158" s="3060"/>
      <c r="RRR158" s="3060"/>
      <c r="RRS158" s="3060"/>
      <c r="RRT158" s="3060"/>
      <c r="RRU158" s="3060"/>
      <c r="RRV158" s="3060"/>
      <c r="RRW158" s="3060"/>
      <c r="RRX158" s="3060"/>
      <c r="RRY158" s="3060"/>
      <c r="RRZ158" s="3060"/>
      <c r="RSA158" s="3060"/>
      <c r="RSB158" s="3060"/>
      <c r="RSC158" s="3060"/>
      <c r="RSD158" s="3060"/>
      <c r="RSE158" s="3060"/>
      <c r="RSF158" s="3060"/>
      <c r="RSG158" s="3060"/>
      <c r="RSH158" s="3060"/>
      <c r="RSI158" s="3060"/>
      <c r="RSJ158" s="3060"/>
      <c r="RSK158" s="3060"/>
      <c r="RSL158" s="3060"/>
      <c r="RSM158" s="3060"/>
      <c r="RSN158" s="3060"/>
      <c r="RSO158" s="3060"/>
      <c r="RSP158" s="3060"/>
      <c r="RSQ158" s="3060"/>
      <c r="RSR158" s="3060"/>
      <c r="RSS158" s="3060"/>
      <c r="RST158" s="3060"/>
      <c r="RSU158" s="3060"/>
      <c r="RSV158" s="3060"/>
      <c r="RSW158" s="3060"/>
      <c r="RSX158" s="3060"/>
      <c r="RSY158" s="3060"/>
      <c r="RSZ158" s="3060"/>
      <c r="RTA158" s="3060"/>
      <c r="RTB158" s="3060"/>
      <c r="RTC158" s="3060"/>
      <c r="RTD158" s="3060"/>
      <c r="RTE158" s="3060"/>
      <c r="RTF158" s="3060"/>
      <c r="RTG158" s="3060"/>
      <c r="RTH158" s="3060"/>
      <c r="RTI158" s="3060"/>
      <c r="RTJ158" s="3060"/>
      <c r="RTK158" s="3060"/>
      <c r="RTL158" s="3060"/>
      <c r="RTM158" s="3060"/>
      <c r="RTN158" s="3060"/>
      <c r="RTO158" s="3060"/>
      <c r="RTP158" s="3060"/>
      <c r="RTQ158" s="3060"/>
      <c r="RTR158" s="3060"/>
      <c r="RTS158" s="3060"/>
      <c r="RTT158" s="3060"/>
      <c r="RTU158" s="3060"/>
      <c r="RTV158" s="3060"/>
      <c r="RTW158" s="3060"/>
      <c r="RTX158" s="3060"/>
      <c r="RTY158" s="3060"/>
      <c r="RTZ158" s="3060"/>
      <c r="RUA158" s="3060"/>
      <c r="RUB158" s="3060"/>
      <c r="RUC158" s="3060"/>
      <c r="RUD158" s="3060"/>
      <c r="RUE158" s="3060"/>
      <c r="RUF158" s="3060"/>
      <c r="RUG158" s="3060"/>
      <c r="RUH158" s="3060"/>
      <c r="RUI158" s="3060"/>
      <c r="RUJ158" s="3060"/>
      <c r="RUK158" s="3060"/>
      <c r="RUL158" s="3060"/>
      <c r="RUM158" s="3060"/>
      <c r="RUN158" s="3060"/>
      <c r="RUO158" s="3060"/>
      <c r="RUP158" s="3060"/>
      <c r="RUQ158" s="3060"/>
      <c r="RUR158" s="3060"/>
      <c r="RUS158" s="3060"/>
      <c r="RUT158" s="3060"/>
      <c r="RUU158" s="3060"/>
      <c r="RUV158" s="3060"/>
      <c r="RUW158" s="3060"/>
      <c r="RUX158" s="3060"/>
      <c r="RUY158" s="3060"/>
      <c r="RUZ158" s="3060"/>
      <c r="RVA158" s="3060"/>
      <c r="RVB158" s="3060"/>
      <c r="RVC158" s="3060"/>
      <c r="RVD158" s="3060"/>
      <c r="RVE158" s="3060"/>
      <c r="RVF158" s="3060"/>
      <c r="RVG158" s="3060"/>
      <c r="RVH158" s="3060"/>
      <c r="RVI158" s="3060"/>
      <c r="RVJ158" s="3060"/>
      <c r="RVK158" s="3060"/>
      <c r="RVL158" s="3060"/>
      <c r="RVM158" s="3060"/>
      <c r="RVN158" s="3060"/>
      <c r="RVO158" s="3060"/>
      <c r="RVP158" s="3060"/>
      <c r="RVQ158" s="3060"/>
      <c r="RVR158" s="3060"/>
      <c r="RVS158" s="3060"/>
      <c r="RVT158" s="3060"/>
      <c r="RVU158" s="3060"/>
      <c r="RVV158" s="3060"/>
      <c r="RVW158" s="3060"/>
      <c r="RVX158" s="3060"/>
      <c r="RVY158" s="3060"/>
      <c r="RVZ158" s="3060"/>
      <c r="RWA158" s="3060"/>
      <c r="RWB158" s="3060"/>
      <c r="RWC158" s="3060"/>
      <c r="RWD158" s="3060"/>
      <c r="RWE158" s="3060"/>
      <c r="RWF158" s="3060"/>
      <c r="RWG158" s="3060"/>
      <c r="RWH158" s="3060"/>
      <c r="RWI158" s="3060"/>
      <c r="RWJ158" s="3060"/>
      <c r="RWK158" s="3060"/>
      <c r="RWL158" s="3060"/>
      <c r="RWM158" s="3060"/>
      <c r="RWN158" s="3060"/>
      <c r="RWO158" s="3060"/>
      <c r="RWP158" s="3060"/>
      <c r="RWQ158" s="3060"/>
      <c r="RWR158" s="3060"/>
      <c r="RWS158" s="3060"/>
      <c r="RWT158" s="3060"/>
      <c r="RWU158" s="3060"/>
      <c r="RWV158" s="3060"/>
      <c r="RWW158" s="3060"/>
      <c r="RWX158" s="3060"/>
      <c r="RWY158" s="3060"/>
      <c r="RWZ158" s="3060"/>
      <c r="RXA158" s="3060"/>
      <c r="RXB158" s="3060"/>
      <c r="RXC158" s="3060"/>
      <c r="RXD158" s="3060"/>
      <c r="RXE158" s="3060"/>
      <c r="RXF158" s="3060"/>
      <c r="RXG158" s="3060"/>
      <c r="RXH158" s="3060"/>
      <c r="RXI158" s="3060"/>
      <c r="RXJ158" s="3060"/>
      <c r="RXK158" s="3060"/>
      <c r="RXL158" s="3060"/>
      <c r="RXM158" s="3060"/>
      <c r="RXN158" s="3060"/>
      <c r="RXO158" s="3060"/>
      <c r="RXP158" s="3060"/>
      <c r="RXQ158" s="3060"/>
      <c r="RXR158" s="3060"/>
      <c r="RXS158" s="3060"/>
      <c r="RXT158" s="3060"/>
      <c r="RXU158" s="3060"/>
      <c r="RXV158" s="3060"/>
      <c r="RXW158" s="3060"/>
      <c r="RXX158" s="3060"/>
      <c r="RXY158" s="3060"/>
      <c r="RXZ158" s="3060"/>
      <c r="RYA158" s="3060"/>
      <c r="RYB158" s="3060"/>
      <c r="RYC158" s="3060"/>
      <c r="RYD158" s="3060"/>
      <c r="RYE158" s="3060"/>
      <c r="RYF158" s="3060"/>
      <c r="RYG158" s="3060"/>
      <c r="RYH158" s="3060"/>
      <c r="RYI158" s="3060"/>
      <c r="RYJ158" s="3060"/>
      <c r="RYK158" s="3060"/>
      <c r="RYL158" s="3060"/>
      <c r="RYM158" s="3060"/>
      <c r="RYN158" s="3060"/>
      <c r="RYO158" s="3060"/>
      <c r="RYP158" s="3060"/>
      <c r="RYQ158" s="3060"/>
      <c r="RYR158" s="3060"/>
      <c r="RYS158" s="3060"/>
      <c r="RYT158" s="3060"/>
      <c r="RYU158" s="3060"/>
      <c r="RYV158" s="3060"/>
      <c r="RYW158" s="3060"/>
      <c r="RYX158" s="3060"/>
      <c r="RYY158" s="3060"/>
      <c r="RYZ158" s="3060"/>
      <c r="RZA158" s="3060"/>
      <c r="RZB158" s="3060"/>
      <c r="RZC158" s="3060"/>
      <c r="RZD158" s="3060"/>
      <c r="RZE158" s="3060"/>
      <c r="RZF158" s="3060"/>
      <c r="RZG158" s="3060"/>
      <c r="RZH158" s="3060"/>
      <c r="RZI158" s="3060"/>
      <c r="RZJ158" s="3060"/>
      <c r="RZK158" s="3060"/>
      <c r="RZL158" s="3060"/>
      <c r="RZM158" s="3060"/>
      <c r="RZN158" s="3060"/>
      <c r="RZO158" s="3060"/>
      <c r="RZP158" s="3060"/>
      <c r="RZQ158" s="3060"/>
      <c r="RZR158" s="3060"/>
      <c r="RZS158" s="3060"/>
      <c r="RZT158" s="3060"/>
      <c r="RZU158" s="3060"/>
      <c r="RZV158" s="3060"/>
      <c r="RZW158" s="3060"/>
      <c r="RZX158" s="3060"/>
      <c r="RZY158" s="3060"/>
      <c r="RZZ158" s="3060"/>
      <c r="SAA158" s="3060"/>
      <c r="SAB158" s="3060"/>
      <c r="SAC158" s="3060"/>
      <c r="SAD158" s="3060"/>
      <c r="SAE158" s="3060"/>
      <c r="SAF158" s="3060"/>
      <c r="SAG158" s="3060"/>
      <c r="SAH158" s="3060"/>
      <c r="SAI158" s="3060"/>
      <c r="SAJ158" s="3060"/>
      <c r="SAK158" s="3060"/>
      <c r="SAL158" s="3060"/>
      <c r="SAM158" s="3060"/>
      <c r="SAN158" s="3060"/>
      <c r="SAO158" s="3060"/>
      <c r="SAP158" s="3060"/>
      <c r="SAQ158" s="3060"/>
      <c r="SAR158" s="3060"/>
      <c r="SAS158" s="3060"/>
      <c r="SAT158" s="3060"/>
      <c r="SAU158" s="3060"/>
      <c r="SAV158" s="3060"/>
      <c r="SAW158" s="3060"/>
      <c r="SAX158" s="3060"/>
      <c r="SAY158" s="3060"/>
      <c r="SAZ158" s="3060"/>
      <c r="SBA158" s="3060"/>
      <c r="SBB158" s="3060"/>
      <c r="SBC158" s="3060"/>
      <c r="SBD158" s="3060"/>
      <c r="SBE158" s="3060"/>
      <c r="SBF158" s="3060"/>
      <c r="SBG158" s="3060"/>
      <c r="SBH158" s="3060"/>
      <c r="SBI158" s="3060"/>
      <c r="SBJ158" s="3060"/>
      <c r="SBK158" s="3060"/>
      <c r="SBL158" s="3060"/>
      <c r="SBM158" s="3060"/>
      <c r="SBN158" s="3060"/>
      <c r="SBO158" s="3060"/>
      <c r="SBP158" s="3060"/>
      <c r="SBQ158" s="3060"/>
      <c r="SBR158" s="3060"/>
      <c r="SBS158" s="3060"/>
      <c r="SBT158" s="3060"/>
      <c r="SBU158" s="3060"/>
      <c r="SBV158" s="3060"/>
      <c r="SBW158" s="3060"/>
      <c r="SBX158" s="3060"/>
      <c r="SBY158" s="3060"/>
      <c r="SBZ158" s="3060"/>
      <c r="SCA158" s="3060"/>
      <c r="SCB158" s="3060"/>
      <c r="SCC158" s="3060"/>
      <c r="SCD158" s="3060"/>
      <c r="SCE158" s="3060"/>
      <c r="SCF158" s="3060"/>
      <c r="SCG158" s="3060"/>
      <c r="SCH158" s="3060"/>
      <c r="SCI158" s="3060"/>
      <c r="SCJ158" s="3060"/>
      <c r="SCK158" s="3060"/>
      <c r="SCL158" s="3060"/>
      <c r="SCM158" s="3060"/>
      <c r="SCN158" s="3060"/>
      <c r="SCO158" s="3060"/>
      <c r="SCP158" s="3060"/>
      <c r="SCQ158" s="3060"/>
      <c r="SCR158" s="3060"/>
      <c r="SCS158" s="3060"/>
      <c r="SCT158" s="3060"/>
      <c r="SCU158" s="3060"/>
      <c r="SCV158" s="3060"/>
      <c r="SCW158" s="3060"/>
      <c r="SCX158" s="3060"/>
      <c r="SCY158" s="3060"/>
      <c r="SCZ158" s="3060"/>
      <c r="SDA158" s="3060"/>
      <c r="SDB158" s="3060"/>
      <c r="SDC158" s="3060"/>
      <c r="SDD158" s="3060"/>
      <c r="SDE158" s="3060"/>
      <c r="SDF158" s="3060"/>
      <c r="SDG158" s="3060"/>
      <c r="SDH158" s="3060"/>
      <c r="SDI158" s="3060"/>
      <c r="SDJ158" s="3060"/>
      <c r="SDK158" s="3060"/>
      <c r="SDL158" s="3060"/>
      <c r="SDM158" s="3060"/>
      <c r="SDN158" s="3060"/>
      <c r="SDO158" s="3060"/>
      <c r="SDP158" s="3060"/>
      <c r="SDQ158" s="3060"/>
      <c r="SDR158" s="3060"/>
      <c r="SDS158" s="3060"/>
      <c r="SDT158" s="3060"/>
      <c r="SDU158" s="3060"/>
      <c r="SDV158" s="3060"/>
      <c r="SDW158" s="3060"/>
      <c r="SDX158" s="3060"/>
      <c r="SDY158" s="3060"/>
      <c r="SDZ158" s="3060"/>
      <c r="SEA158" s="3060"/>
      <c r="SEB158" s="3060"/>
      <c r="SEC158" s="3060"/>
      <c r="SED158" s="3060"/>
      <c r="SEE158" s="3060"/>
      <c r="SEF158" s="3060"/>
      <c r="SEG158" s="3060"/>
      <c r="SEH158" s="3060"/>
      <c r="SEI158" s="3060"/>
      <c r="SEJ158" s="3060"/>
      <c r="SEK158" s="3060"/>
      <c r="SEL158" s="3060"/>
      <c r="SEM158" s="3060"/>
      <c r="SEN158" s="3060"/>
      <c r="SEO158" s="3060"/>
      <c r="SEP158" s="3060"/>
      <c r="SEQ158" s="3060"/>
      <c r="SER158" s="3060"/>
      <c r="SES158" s="3060"/>
      <c r="SET158" s="3060"/>
      <c r="SEU158" s="3060"/>
      <c r="SEV158" s="3060"/>
      <c r="SEW158" s="3060"/>
      <c r="SEX158" s="3060"/>
      <c r="SEY158" s="3060"/>
      <c r="SEZ158" s="3060"/>
      <c r="SFA158" s="3060"/>
      <c r="SFB158" s="3060"/>
      <c r="SFC158" s="3060"/>
      <c r="SFD158" s="3060"/>
      <c r="SFE158" s="3060"/>
      <c r="SFF158" s="3060"/>
      <c r="SFG158" s="3060"/>
      <c r="SFH158" s="3060"/>
      <c r="SFI158" s="3060"/>
      <c r="SFJ158" s="3060"/>
      <c r="SFK158" s="3060"/>
      <c r="SFL158" s="3060"/>
      <c r="SFM158" s="3060"/>
      <c r="SFN158" s="3060"/>
      <c r="SFO158" s="3060"/>
      <c r="SFP158" s="3060"/>
      <c r="SFQ158" s="3060"/>
      <c r="SFR158" s="3060"/>
      <c r="SFS158" s="3060"/>
      <c r="SFT158" s="3060"/>
      <c r="SFU158" s="3060"/>
      <c r="SFV158" s="3060"/>
      <c r="SFW158" s="3060"/>
      <c r="SFX158" s="3060"/>
      <c r="SFY158" s="3060"/>
      <c r="SFZ158" s="3060"/>
      <c r="SGA158" s="3060"/>
      <c r="SGB158" s="3060"/>
      <c r="SGC158" s="3060"/>
      <c r="SGD158" s="3060"/>
      <c r="SGE158" s="3060"/>
      <c r="SGF158" s="3060"/>
      <c r="SGG158" s="3060"/>
      <c r="SGH158" s="3060"/>
      <c r="SGI158" s="3060"/>
      <c r="SGJ158" s="3060"/>
      <c r="SGK158" s="3060"/>
      <c r="SGL158" s="3060"/>
      <c r="SGM158" s="3060"/>
      <c r="SGN158" s="3060"/>
      <c r="SGO158" s="3060"/>
      <c r="SGP158" s="3060"/>
      <c r="SGQ158" s="3060"/>
      <c r="SGR158" s="3060"/>
      <c r="SGS158" s="3060"/>
      <c r="SGT158" s="3060"/>
      <c r="SGU158" s="3060"/>
      <c r="SGV158" s="3060"/>
      <c r="SGW158" s="3060"/>
      <c r="SGX158" s="3060"/>
      <c r="SGY158" s="3060"/>
      <c r="SGZ158" s="3060"/>
      <c r="SHA158" s="3060"/>
      <c r="SHB158" s="3060"/>
      <c r="SHC158" s="3060"/>
      <c r="SHD158" s="3060"/>
      <c r="SHE158" s="3060"/>
      <c r="SHF158" s="3060"/>
      <c r="SHG158" s="3060"/>
      <c r="SHH158" s="3060"/>
      <c r="SHI158" s="3060"/>
      <c r="SHJ158" s="3060"/>
      <c r="SHK158" s="3060"/>
      <c r="SHL158" s="3060"/>
      <c r="SHM158" s="3060"/>
      <c r="SHN158" s="3060"/>
      <c r="SHO158" s="3060"/>
      <c r="SHP158" s="3060"/>
      <c r="SHQ158" s="3060"/>
      <c r="SHR158" s="3060"/>
      <c r="SHS158" s="3060"/>
      <c r="SHT158" s="3060"/>
      <c r="SHU158" s="3060"/>
      <c r="SHV158" s="3060"/>
      <c r="SHW158" s="3060"/>
      <c r="SHX158" s="3060"/>
      <c r="SHY158" s="3060"/>
      <c r="SHZ158" s="3060"/>
      <c r="SIA158" s="3060"/>
      <c r="SIB158" s="3060"/>
      <c r="SIC158" s="3060"/>
      <c r="SID158" s="3060"/>
      <c r="SIE158" s="3060"/>
      <c r="SIF158" s="3060"/>
      <c r="SIG158" s="3060"/>
      <c r="SIH158" s="3060"/>
      <c r="SII158" s="3060"/>
      <c r="SIJ158" s="3060"/>
      <c r="SIK158" s="3060"/>
      <c r="SIL158" s="3060"/>
      <c r="SIM158" s="3060"/>
      <c r="SIN158" s="3060"/>
      <c r="SIO158" s="3060"/>
      <c r="SIP158" s="3060"/>
      <c r="SIQ158" s="3060"/>
      <c r="SIR158" s="3060"/>
      <c r="SIS158" s="3060"/>
      <c r="SIT158" s="3060"/>
      <c r="SIU158" s="3060"/>
      <c r="SIV158" s="3060"/>
      <c r="SIW158" s="3060"/>
      <c r="SIX158" s="3060"/>
      <c r="SIY158" s="3060"/>
      <c r="SIZ158" s="3060"/>
      <c r="SJA158" s="3060"/>
      <c r="SJB158" s="3060"/>
      <c r="SJC158" s="3060"/>
      <c r="SJD158" s="3060"/>
      <c r="SJE158" s="3060"/>
      <c r="SJF158" s="3060"/>
      <c r="SJG158" s="3060"/>
      <c r="SJH158" s="3060"/>
      <c r="SJI158" s="3060"/>
      <c r="SJJ158" s="3060"/>
      <c r="SJK158" s="3060"/>
      <c r="SJL158" s="3060"/>
      <c r="SJM158" s="3060"/>
      <c r="SJN158" s="3060"/>
      <c r="SJO158" s="3060"/>
      <c r="SJP158" s="3060"/>
      <c r="SJQ158" s="3060"/>
      <c r="SJR158" s="3060"/>
      <c r="SJS158" s="3060"/>
      <c r="SJT158" s="3060"/>
      <c r="SJU158" s="3060"/>
      <c r="SJV158" s="3060"/>
      <c r="SJW158" s="3060"/>
      <c r="SJX158" s="3060"/>
      <c r="SJY158" s="3060"/>
      <c r="SJZ158" s="3060"/>
      <c r="SKA158" s="3060"/>
      <c r="SKB158" s="3060"/>
      <c r="SKC158" s="3060"/>
      <c r="SKD158" s="3060"/>
      <c r="SKE158" s="3060"/>
      <c r="SKF158" s="3060"/>
      <c r="SKG158" s="3060"/>
      <c r="SKH158" s="3060"/>
      <c r="SKI158" s="3060"/>
      <c r="SKJ158" s="3060"/>
      <c r="SKK158" s="3060"/>
      <c r="SKL158" s="3060"/>
      <c r="SKM158" s="3060"/>
      <c r="SKN158" s="3060"/>
      <c r="SKO158" s="3060"/>
      <c r="SKP158" s="3060"/>
      <c r="SKQ158" s="3060"/>
      <c r="SKR158" s="3060"/>
      <c r="SKS158" s="3060"/>
      <c r="SKT158" s="3060"/>
      <c r="SKU158" s="3060"/>
      <c r="SKV158" s="3060"/>
      <c r="SKW158" s="3060"/>
      <c r="SKX158" s="3060"/>
      <c r="SKY158" s="3060"/>
      <c r="SKZ158" s="3060"/>
      <c r="SLA158" s="3060"/>
      <c r="SLB158" s="3060"/>
      <c r="SLC158" s="3060"/>
      <c r="SLD158" s="3060"/>
      <c r="SLE158" s="3060"/>
      <c r="SLF158" s="3060"/>
      <c r="SLG158" s="3060"/>
      <c r="SLH158" s="3060"/>
      <c r="SLI158" s="3060"/>
      <c r="SLJ158" s="3060"/>
      <c r="SLK158" s="3060"/>
      <c r="SLL158" s="3060"/>
      <c r="SLM158" s="3060"/>
      <c r="SLN158" s="3060"/>
      <c r="SLO158" s="3060"/>
      <c r="SLP158" s="3060"/>
      <c r="SLQ158" s="3060"/>
      <c r="SLR158" s="3060"/>
      <c r="SLS158" s="3060"/>
      <c r="SLT158" s="3060"/>
      <c r="SLU158" s="3060"/>
      <c r="SLV158" s="3060"/>
      <c r="SLW158" s="3060"/>
      <c r="SLX158" s="3060"/>
      <c r="SLY158" s="3060"/>
      <c r="SLZ158" s="3060"/>
      <c r="SMA158" s="3060"/>
      <c r="SMB158" s="3060"/>
      <c r="SMC158" s="3060"/>
      <c r="SMD158" s="3060"/>
      <c r="SME158" s="3060"/>
      <c r="SMF158" s="3060"/>
      <c r="SMG158" s="3060"/>
      <c r="SMH158" s="3060"/>
      <c r="SMI158" s="3060"/>
      <c r="SMJ158" s="3060"/>
      <c r="SMK158" s="3060"/>
      <c r="SML158" s="3060"/>
      <c r="SMM158" s="3060"/>
      <c r="SMN158" s="3060"/>
      <c r="SMO158" s="3060"/>
      <c r="SMP158" s="3060"/>
      <c r="SMQ158" s="3060"/>
      <c r="SMR158" s="3060"/>
      <c r="SMS158" s="3060"/>
      <c r="SMT158" s="3060"/>
      <c r="SMU158" s="3060"/>
      <c r="SMV158" s="3060"/>
      <c r="SMW158" s="3060"/>
      <c r="SMX158" s="3060"/>
      <c r="SMY158" s="3060"/>
      <c r="SMZ158" s="3060"/>
      <c r="SNA158" s="3060"/>
      <c r="SNB158" s="3060"/>
      <c r="SNC158" s="3060"/>
      <c r="SND158" s="3060"/>
      <c r="SNE158" s="3060"/>
      <c r="SNF158" s="3060"/>
      <c r="SNG158" s="3060"/>
      <c r="SNH158" s="3060"/>
      <c r="SNI158" s="3060"/>
      <c r="SNJ158" s="3060"/>
      <c r="SNK158" s="3060"/>
      <c r="SNL158" s="3060"/>
      <c r="SNM158" s="3060"/>
      <c r="SNN158" s="3060"/>
      <c r="SNO158" s="3060"/>
      <c r="SNP158" s="3060"/>
      <c r="SNQ158" s="3060"/>
      <c r="SNR158" s="3060"/>
      <c r="SNS158" s="3060"/>
      <c r="SNT158" s="3060"/>
      <c r="SNU158" s="3060"/>
      <c r="SNV158" s="3060"/>
      <c r="SNW158" s="3060"/>
      <c r="SNX158" s="3060"/>
      <c r="SNY158" s="3060"/>
      <c r="SNZ158" s="3060"/>
      <c r="SOA158" s="3060"/>
      <c r="SOB158" s="3060"/>
      <c r="SOC158" s="3060"/>
      <c r="SOD158" s="3060"/>
      <c r="SOE158" s="3060"/>
      <c r="SOF158" s="3060"/>
      <c r="SOG158" s="3060"/>
      <c r="SOH158" s="3060"/>
      <c r="SOI158" s="3060"/>
      <c r="SOJ158" s="3060"/>
      <c r="SOK158" s="3060"/>
      <c r="SOL158" s="3060"/>
      <c r="SOM158" s="3060"/>
      <c r="SON158" s="3060"/>
      <c r="SOO158" s="3060"/>
      <c r="SOP158" s="3060"/>
      <c r="SOQ158" s="3060"/>
      <c r="SOR158" s="3060"/>
      <c r="SOS158" s="3060"/>
      <c r="SOT158" s="3060"/>
      <c r="SOU158" s="3060"/>
      <c r="SOV158" s="3060"/>
      <c r="SOW158" s="3060"/>
      <c r="SOX158" s="3060"/>
      <c r="SOY158" s="3060"/>
      <c r="SOZ158" s="3060"/>
      <c r="SPA158" s="3060"/>
      <c r="SPB158" s="3060"/>
      <c r="SPC158" s="3060"/>
      <c r="SPD158" s="3060"/>
      <c r="SPE158" s="3060"/>
      <c r="SPF158" s="3060"/>
      <c r="SPG158" s="3060"/>
      <c r="SPH158" s="3060"/>
      <c r="SPI158" s="3060"/>
      <c r="SPJ158" s="3060"/>
      <c r="SPK158" s="3060"/>
      <c r="SPL158" s="3060"/>
      <c r="SPM158" s="3060"/>
      <c r="SPN158" s="3060"/>
      <c r="SPO158" s="3060"/>
      <c r="SPP158" s="3060"/>
      <c r="SPQ158" s="3060"/>
      <c r="SPR158" s="3060"/>
      <c r="SPS158" s="3060"/>
      <c r="SPT158" s="3060"/>
      <c r="SPU158" s="3060"/>
      <c r="SPV158" s="3060"/>
      <c r="SPW158" s="3060"/>
      <c r="SPX158" s="3060"/>
      <c r="SPY158" s="3060"/>
      <c r="SPZ158" s="3060"/>
      <c r="SQA158" s="3060"/>
      <c r="SQB158" s="3060"/>
      <c r="SQC158" s="3060"/>
      <c r="SQD158" s="3060"/>
      <c r="SQE158" s="3060"/>
      <c r="SQF158" s="3060"/>
      <c r="SQG158" s="3060"/>
      <c r="SQH158" s="3060"/>
      <c r="SQI158" s="3060"/>
      <c r="SQJ158" s="3060"/>
      <c r="SQK158" s="3060"/>
      <c r="SQL158" s="3060"/>
      <c r="SQM158" s="3060"/>
      <c r="SQN158" s="3060"/>
      <c r="SQO158" s="3060"/>
      <c r="SQP158" s="3060"/>
      <c r="SQQ158" s="3060"/>
      <c r="SQR158" s="3060"/>
      <c r="SQS158" s="3060"/>
      <c r="SQT158" s="3060"/>
      <c r="SQU158" s="3060"/>
      <c r="SQV158" s="3060"/>
      <c r="SQW158" s="3060"/>
      <c r="SQX158" s="3060"/>
      <c r="SQY158" s="3060"/>
      <c r="SQZ158" s="3060"/>
      <c r="SRA158" s="3060"/>
      <c r="SRB158" s="3060"/>
      <c r="SRC158" s="3060"/>
      <c r="SRD158" s="3060"/>
      <c r="SRE158" s="3060"/>
      <c r="SRF158" s="3060"/>
      <c r="SRG158" s="3060"/>
      <c r="SRH158" s="3060"/>
      <c r="SRI158" s="3060"/>
      <c r="SRJ158" s="3060"/>
      <c r="SRK158" s="3060"/>
      <c r="SRL158" s="3060"/>
      <c r="SRM158" s="3060"/>
      <c r="SRN158" s="3060"/>
      <c r="SRO158" s="3060"/>
      <c r="SRP158" s="3060"/>
      <c r="SRQ158" s="3060"/>
      <c r="SRR158" s="3060"/>
      <c r="SRS158" s="3060"/>
      <c r="SRT158" s="3060"/>
      <c r="SRU158" s="3060"/>
      <c r="SRV158" s="3060"/>
      <c r="SRW158" s="3060"/>
      <c r="SRX158" s="3060"/>
      <c r="SRY158" s="3060"/>
      <c r="SRZ158" s="3060"/>
      <c r="SSA158" s="3060"/>
      <c r="SSB158" s="3060"/>
      <c r="SSC158" s="3060"/>
      <c r="SSD158" s="3060"/>
      <c r="SSE158" s="3060"/>
      <c r="SSF158" s="3060"/>
      <c r="SSG158" s="3060"/>
      <c r="SSH158" s="3060"/>
      <c r="SSI158" s="3060"/>
      <c r="SSJ158" s="3060"/>
      <c r="SSK158" s="3060"/>
      <c r="SSL158" s="3060"/>
      <c r="SSM158" s="3060"/>
      <c r="SSN158" s="3060"/>
      <c r="SSO158" s="3060"/>
      <c r="SSP158" s="3060"/>
      <c r="SSQ158" s="3060"/>
      <c r="SSR158" s="3060"/>
      <c r="SSS158" s="3060"/>
      <c r="SST158" s="3060"/>
      <c r="SSU158" s="3060"/>
      <c r="SSV158" s="3060"/>
      <c r="SSW158" s="3060"/>
      <c r="SSX158" s="3060"/>
      <c r="SSY158" s="3060"/>
      <c r="SSZ158" s="3060"/>
      <c r="STA158" s="3060"/>
      <c r="STB158" s="3060"/>
      <c r="STC158" s="3060"/>
      <c r="STD158" s="3060"/>
      <c r="STE158" s="3060"/>
      <c r="STF158" s="3060"/>
      <c r="STG158" s="3060"/>
      <c r="STH158" s="3060"/>
      <c r="STI158" s="3060"/>
      <c r="STJ158" s="3060"/>
      <c r="STK158" s="3060"/>
      <c r="STL158" s="3060"/>
      <c r="STM158" s="3060"/>
      <c r="STN158" s="3060"/>
      <c r="STO158" s="3060"/>
      <c r="STP158" s="3060"/>
      <c r="STQ158" s="3060"/>
      <c r="STR158" s="3060"/>
      <c r="STS158" s="3060"/>
      <c r="STT158" s="3060"/>
      <c r="STU158" s="3060"/>
      <c r="STV158" s="3060"/>
      <c r="STW158" s="3060"/>
      <c r="STX158" s="3060"/>
      <c r="STY158" s="3060"/>
      <c r="STZ158" s="3060"/>
      <c r="SUA158" s="3060"/>
      <c r="SUB158" s="3060"/>
      <c r="SUC158" s="3060"/>
      <c r="SUD158" s="3060"/>
      <c r="SUE158" s="3060"/>
      <c r="SUF158" s="3060"/>
      <c r="SUG158" s="3060"/>
      <c r="SUH158" s="3060"/>
      <c r="SUI158" s="3060"/>
      <c r="SUJ158" s="3060"/>
      <c r="SUK158" s="3060"/>
      <c r="SUL158" s="3060"/>
      <c r="SUM158" s="3060"/>
      <c r="SUN158" s="3060"/>
      <c r="SUO158" s="3060"/>
      <c r="SUP158" s="3060"/>
      <c r="SUQ158" s="3060"/>
      <c r="SUR158" s="3060"/>
      <c r="SUS158" s="3060"/>
      <c r="SUT158" s="3060"/>
      <c r="SUU158" s="3060"/>
      <c r="SUV158" s="3060"/>
      <c r="SUW158" s="3060"/>
      <c r="SUX158" s="3060"/>
      <c r="SUY158" s="3060"/>
      <c r="SUZ158" s="3060"/>
      <c r="SVA158" s="3060"/>
      <c r="SVB158" s="3060"/>
      <c r="SVC158" s="3060"/>
      <c r="SVD158" s="3060"/>
      <c r="SVE158" s="3060"/>
      <c r="SVF158" s="3060"/>
      <c r="SVG158" s="3060"/>
      <c r="SVH158" s="3060"/>
      <c r="SVI158" s="3060"/>
      <c r="SVJ158" s="3060"/>
      <c r="SVK158" s="3060"/>
      <c r="SVL158" s="3060"/>
      <c r="SVM158" s="3060"/>
      <c r="SVN158" s="3060"/>
      <c r="SVO158" s="3060"/>
      <c r="SVP158" s="3060"/>
      <c r="SVQ158" s="3060"/>
      <c r="SVR158" s="3060"/>
      <c r="SVS158" s="3060"/>
      <c r="SVT158" s="3060"/>
      <c r="SVU158" s="3060"/>
      <c r="SVV158" s="3060"/>
      <c r="SVW158" s="3060"/>
      <c r="SVX158" s="3060"/>
      <c r="SVY158" s="3060"/>
      <c r="SVZ158" s="3060"/>
      <c r="SWA158" s="3060"/>
      <c r="SWB158" s="3060"/>
      <c r="SWC158" s="3060"/>
      <c r="SWD158" s="3060"/>
      <c r="SWE158" s="3060"/>
      <c r="SWF158" s="3060"/>
      <c r="SWG158" s="3060"/>
      <c r="SWH158" s="3060"/>
      <c r="SWI158" s="3060"/>
      <c r="SWJ158" s="3060"/>
      <c r="SWK158" s="3060"/>
      <c r="SWL158" s="3060"/>
      <c r="SWM158" s="3060"/>
      <c r="SWN158" s="3060"/>
      <c r="SWO158" s="3060"/>
      <c r="SWP158" s="3060"/>
      <c r="SWQ158" s="3060"/>
      <c r="SWR158" s="3060"/>
      <c r="SWS158" s="3060"/>
      <c r="SWT158" s="3060"/>
      <c r="SWU158" s="3060"/>
      <c r="SWV158" s="3060"/>
      <c r="SWW158" s="3060"/>
      <c r="SWX158" s="3060"/>
      <c r="SWY158" s="3060"/>
      <c r="SWZ158" s="3060"/>
      <c r="SXA158" s="3060"/>
      <c r="SXB158" s="3060"/>
      <c r="SXC158" s="3060"/>
      <c r="SXD158" s="3060"/>
      <c r="SXE158" s="3060"/>
      <c r="SXF158" s="3060"/>
      <c r="SXG158" s="3060"/>
      <c r="SXH158" s="3060"/>
      <c r="SXI158" s="3060"/>
      <c r="SXJ158" s="3060"/>
      <c r="SXK158" s="3060"/>
      <c r="SXL158" s="3060"/>
      <c r="SXM158" s="3060"/>
      <c r="SXN158" s="3060"/>
      <c r="SXO158" s="3060"/>
      <c r="SXP158" s="3060"/>
      <c r="SXQ158" s="3060"/>
      <c r="SXR158" s="3060"/>
      <c r="SXS158" s="3060"/>
      <c r="SXT158" s="3060"/>
      <c r="SXU158" s="3060"/>
      <c r="SXV158" s="3060"/>
      <c r="SXW158" s="3060"/>
      <c r="SXX158" s="3060"/>
      <c r="SXY158" s="3060"/>
      <c r="SXZ158" s="3060"/>
      <c r="SYA158" s="3060"/>
      <c r="SYB158" s="3060"/>
      <c r="SYC158" s="3060"/>
      <c r="SYD158" s="3060"/>
      <c r="SYE158" s="3060"/>
      <c r="SYF158" s="3060"/>
      <c r="SYG158" s="3060"/>
      <c r="SYH158" s="3060"/>
      <c r="SYI158" s="3060"/>
      <c r="SYJ158" s="3060"/>
      <c r="SYK158" s="3060"/>
      <c r="SYL158" s="3060"/>
      <c r="SYM158" s="3060"/>
      <c r="SYN158" s="3060"/>
      <c r="SYO158" s="3060"/>
      <c r="SYP158" s="3060"/>
      <c r="SYQ158" s="3060"/>
      <c r="SYR158" s="3060"/>
      <c r="SYS158" s="3060"/>
      <c r="SYT158" s="3060"/>
      <c r="SYU158" s="3060"/>
      <c r="SYV158" s="3060"/>
      <c r="SYW158" s="3060"/>
      <c r="SYX158" s="3060"/>
      <c r="SYY158" s="3060"/>
      <c r="SYZ158" s="3060"/>
      <c r="SZA158" s="3060"/>
      <c r="SZB158" s="3060"/>
      <c r="SZC158" s="3060"/>
      <c r="SZD158" s="3060"/>
      <c r="SZE158" s="3060"/>
      <c r="SZF158" s="3060"/>
      <c r="SZG158" s="3060"/>
      <c r="SZH158" s="3060"/>
      <c r="SZI158" s="3060"/>
      <c r="SZJ158" s="3060"/>
      <c r="SZK158" s="3060"/>
      <c r="SZL158" s="3060"/>
      <c r="SZM158" s="3060"/>
      <c r="SZN158" s="3060"/>
      <c r="SZO158" s="3060"/>
      <c r="SZP158" s="3060"/>
      <c r="SZQ158" s="3060"/>
      <c r="SZR158" s="3060"/>
      <c r="SZS158" s="3060"/>
      <c r="SZT158" s="3060"/>
      <c r="SZU158" s="3060"/>
      <c r="SZV158" s="3060"/>
      <c r="SZW158" s="3060"/>
      <c r="SZX158" s="3060"/>
      <c r="SZY158" s="3060"/>
      <c r="SZZ158" s="3060"/>
      <c r="TAA158" s="3060"/>
      <c r="TAB158" s="3060"/>
      <c r="TAC158" s="3060"/>
      <c r="TAD158" s="3060"/>
      <c r="TAE158" s="3060"/>
      <c r="TAF158" s="3060"/>
      <c r="TAG158" s="3060"/>
      <c r="TAH158" s="3060"/>
      <c r="TAI158" s="3060"/>
      <c r="TAJ158" s="3060"/>
      <c r="TAK158" s="3060"/>
      <c r="TAL158" s="3060"/>
      <c r="TAM158" s="3060"/>
      <c r="TAN158" s="3060"/>
      <c r="TAO158" s="3060"/>
      <c r="TAP158" s="3060"/>
      <c r="TAQ158" s="3060"/>
      <c r="TAR158" s="3060"/>
      <c r="TAS158" s="3060"/>
      <c r="TAT158" s="3060"/>
      <c r="TAU158" s="3060"/>
      <c r="TAV158" s="3060"/>
      <c r="TAW158" s="3060"/>
      <c r="TAX158" s="3060"/>
      <c r="TAY158" s="3060"/>
      <c r="TAZ158" s="3060"/>
      <c r="TBA158" s="3060"/>
      <c r="TBB158" s="3060"/>
      <c r="TBC158" s="3060"/>
      <c r="TBD158" s="3060"/>
      <c r="TBE158" s="3060"/>
      <c r="TBF158" s="3060"/>
      <c r="TBG158" s="3060"/>
      <c r="TBH158" s="3060"/>
      <c r="TBI158" s="3060"/>
      <c r="TBJ158" s="3060"/>
      <c r="TBK158" s="3060"/>
      <c r="TBL158" s="3060"/>
      <c r="TBM158" s="3060"/>
      <c r="TBN158" s="3060"/>
      <c r="TBO158" s="3060"/>
      <c r="TBP158" s="3060"/>
      <c r="TBQ158" s="3060"/>
      <c r="TBR158" s="3060"/>
      <c r="TBS158" s="3060"/>
      <c r="TBT158" s="3060"/>
      <c r="TBU158" s="3060"/>
      <c r="TBV158" s="3060"/>
      <c r="TBW158" s="3060"/>
      <c r="TBX158" s="3060"/>
      <c r="TBY158" s="3060"/>
      <c r="TBZ158" s="3060"/>
      <c r="TCA158" s="3060"/>
      <c r="TCB158" s="3060"/>
      <c r="TCC158" s="3060"/>
      <c r="TCD158" s="3060"/>
      <c r="TCE158" s="3060"/>
      <c r="TCF158" s="3060"/>
      <c r="TCG158" s="3060"/>
      <c r="TCH158" s="3060"/>
      <c r="TCI158" s="3060"/>
      <c r="TCJ158" s="3060"/>
      <c r="TCK158" s="3060"/>
      <c r="TCL158" s="3060"/>
      <c r="TCM158" s="3060"/>
      <c r="TCN158" s="3060"/>
      <c r="TCO158" s="3060"/>
      <c r="TCP158" s="3060"/>
      <c r="TCQ158" s="3060"/>
      <c r="TCR158" s="3060"/>
      <c r="TCS158" s="3060"/>
      <c r="TCT158" s="3060"/>
      <c r="TCU158" s="3060"/>
      <c r="TCV158" s="3060"/>
      <c r="TCW158" s="3060"/>
      <c r="TCX158" s="3060"/>
      <c r="TCY158" s="3060"/>
      <c r="TCZ158" s="3060"/>
      <c r="TDA158" s="3060"/>
      <c r="TDB158" s="3060"/>
      <c r="TDC158" s="3060"/>
      <c r="TDD158" s="3060"/>
      <c r="TDE158" s="3060"/>
      <c r="TDF158" s="3060"/>
      <c r="TDG158" s="3060"/>
      <c r="TDH158" s="3060"/>
      <c r="TDI158" s="3060"/>
      <c r="TDJ158" s="3060"/>
      <c r="TDK158" s="3060"/>
      <c r="TDL158" s="3060"/>
      <c r="TDM158" s="3060"/>
      <c r="TDN158" s="3060"/>
      <c r="TDO158" s="3060"/>
      <c r="TDP158" s="3060"/>
      <c r="TDQ158" s="3060"/>
      <c r="TDR158" s="3060"/>
      <c r="TDS158" s="3060"/>
      <c r="TDT158" s="3060"/>
      <c r="TDU158" s="3060"/>
      <c r="TDV158" s="3060"/>
      <c r="TDW158" s="3060"/>
      <c r="TDX158" s="3060"/>
      <c r="TDY158" s="3060"/>
      <c r="TDZ158" s="3060"/>
      <c r="TEA158" s="3060"/>
      <c r="TEB158" s="3060"/>
      <c r="TEC158" s="3060"/>
      <c r="TED158" s="3060"/>
      <c r="TEE158" s="3060"/>
      <c r="TEF158" s="3060"/>
      <c r="TEG158" s="3060"/>
      <c r="TEH158" s="3060"/>
      <c r="TEI158" s="3060"/>
      <c r="TEJ158" s="3060"/>
      <c r="TEK158" s="3060"/>
      <c r="TEL158" s="3060"/>
      <c r="TEM158" s="3060"/>
      <c r="TEN158" s="3060"/>
      <c r="TEO158" s="3060"/>
      <c r="TEP158" s="3060"/>
      <c r="TEQ158" s="3060"/>
      <c r="TER158" s="3060"/>
      <c r="TES158" s="3060"/>
      <c r="TET158" s="3060"/>
      <c r="TEU158" s="3060"/>
      <c r="TEV158" s="3060"/>
      <c r="TEW158" s="3060"/>
      <c r="TEX158" s="3060"/>
      <c r="TEY158" s="3060"/>
      <c r="TEZ158" s="3060"/>
      <c r="TFA158" s="3060"/>
      <c r="TFB158" s="3060"/>
      <c r="TFC158" s="3060"/>
      <c r="TFD158" s="3060"/>
      <c r="TFE158" s="3060"/>
      <c r="TFF158" s="3060"/>
      <c r="TFG158" s="3060"/>
      <c r="TFH158" s="3060"/>
      <c r="TFI158" s="3060"/>
      <c r="TFJ158" s="3060"/>
      <c r="TFK158" s="3060"/>
      <c r="TFL158" s="3060"/>
      <c r="TFM158" s="3060"/>
      <c r="TFN158" s="3060"/>
      <c r="TFO158" s="3060"/>
      <c r="TFP158" s="3060"/>
      <c r="TFQ158" s="3060"/>
      <c r="TFR158" s="3060"/>
      <c r="TFS158" s="3060"/>
      <c r="TFT158" s="3060"/>
      <c r="TFU158" s="3060"/>
      <c r="TFV158" s="3060"/>
      <c r="TFW158" s="3060"/>
      <c r="TFX158" s="3060"/>
      <c r="TFY158" s="3060"/>
      <c r="TFZ158" s="3060"/>
      <c r="TGA158" s="3060"/>
      <c r="TGB158" s="3060"/>
      <c r="TGC158" s="3060"/>
      <c r="TGD158" s="3060"/>
      <c r="TGE158" s="3060"/>
      <c r="TGF158" s="3060"/>
      <c r="TGG158" s="3060"/>
      <c r="TGH158" s="3060"/>
      <c r="TGI158" s="3060"/>
      <c r="TGJ158" s="3060"/>
      <c r="TGK158" s="3060"/>
      <c r="TGL158" s="3060"/>
      <c r="TGM158" s="3060"/>
      <c r="TGN158" s="3060"/>
      <c r="TGO158" s="3060"/>
      <c r="TGP158" s="3060"/>
      <c r="TGQ158" s="3060"/>
      <c r="TGR158" s="3060"/>
      <c r="TGS158" s="3060"/>
      <c r="TGT158" s="3060"/>
      <c r="TGU158" s="3060"/>
      <c r="TGV158" s="3060"/>
      <c r="TGW158" s="3060"/>
      <c r="TGX158" s="3060"/>
      <c r="TGY158" s="3060"/>
      <c r="TGZ158" s="3060"/>
      <c r="THA158" s="3060"/>
      <c r="THB158" s="3060"/>
      <c r="THC158" s="3060"/>
      <c r="THD158" s="3060"/>
      <c r="THE158" s="3060"/>
      <c r="THF158" s="3060"/>
      <c r="THG158" s="3060"/>
      <c r="THH158" s="3060"/>
      <c r="THI158" s="3060"/>
      <c r="THJ158" s="3060"/>
      <c r="THK158" s="3060"/>
      <c r="THL158" s="3060"/>
      <c r="THM158" s="3060"/>
      <c r="THN158" s="3060"/>
      <c r="THO158" s="3060"/>
      <c r="THP158" s="3060"/>
      <c r="THQ158" s="3060"/>
      <c r="THR158" s="3060"/>
      <c r="THS158" s="3060"/>
      <c r="THT158" s="3060"/>
      <c r="THU158" s="3060"/>
      <c r="THV158" s="3060"/>
      <c r="THW158" s="3060"/>
      <c r="THX158" s="3060"/>
      <c r="THY158" s="3060"/>
      <c r="THZ158" s="3060"/>
      <c r="TIA158" s="3060"/>
      <c r="TIB158" s="3060"/>
      <c r="TIC158" s="3060"/>
      <c r="TID158" s="3060"/>
      <c r="TIE158" s="3060"/>
      <c r="TIF158" s="3060"/>
      <c r="TIG158" s="3060"/>
      <c r="TIH158" s="3060"/>
      <c r="TII158" s="3060"/>
      <c r="TIJ158" s="3060"/>
      <c r="TIK158" s="3060"/>
      <c r="TIL158" s="3060"/>
      <c r="TIM158" s="3060"/>
      <c r="TIN158" s="3060"/>
      <c r="TIO158" s="3060"/>
      <c r="TIP158" s="3060"/>
      <c r="TIQ158" s="3060"/>
      <c r="TIR158" s="3060"/>
      <c r="TIS158" s="3060"/>
      <c r="TIT158" s="3060"/>
      <c r="TIU158" s="3060"/>
      <c r="TIV158" s="3060"/>
      <c r="TIW158" s="3060"/>
      <c r="TIX158" s="3060"/>
      <c r="TIY158" s="3060"/>
      <c r="TIZ158" s="3060"/>
      <c r="TJA158" s="3060"/>
      <c r="TJB158" s="3060"/>
      <c r="TJC158" s="3060"/>
      <c r="TJD158" s="3060"/>
      <c r="TJE158" s="3060"/>
      <c r="TJF158" s="3060"/>
      <c r="TJG158" s="3060"/>
      <c r="TJH158" s="3060"/>
      <c r="TJI158" s="3060"/>
      <c r="TJJ158" s="3060"/>
      <c r="TJK158" s="3060"/>
      <c r="TJL158" s="3060"/>
      <c r="TJM158" s="3060"/>
      <c r="TJN158" s="3060"/>
      <c r="TJO158" s="3060"/>
      <c r="TJP158" s="3060"/>
      <c r="TJQ158" s="3060"/>
      <c r="TJR158" s="3060"/>
      <c r="TJS158" s="3060"/>
      <c r="TJT158" s="3060"/>
      <c r="TJU158" s="3060"/>
      <c r="TJV158" s="3060"/>
      <c r="TJW158" s="3060"/>
      <c r="TJX158" s="3060"/>
      <c r="TJY158" s="3060"/>
      <c r="TJZ158" s="3060"/>
      <c r="TKA158" s="3060"/>
      <c r="TKB158" s="3060"/>
      <c r="TKC158" s="3060"/>
      <c r="TKD158" s="3060"/>
      <c r="TKE158" s="3060"/>
      <c r="TKF158" s="3060"/>
      <c r="TKG158" s="3060"/>
      <c r="TKH158" s="3060"/>
      <c r="TKI158" s="3060"/>
      <c r="TKJ158" s="3060"/>
      <c r="TKK158" s="3060"/>
      <c r="TKL158" s="3060"/>
      <c r="TKM158" s="3060"/>
      <c r="TKN158" s="3060"/>
      <c r="TKO158" s="3060"/>
      <c r="TKP158" s="3060"/>
      <c r="TKQ158" s="3060"/>
      <c r="TKR158" s="3060"/>
      <c r="TKS158" s="3060"/>
      <c r="TKT158" s="3060"/>
      <c r="TKU158" s="3060"/>
      <c r="TKV158" s="3060"/>
      <c r="TKW158" s="3060"/>
      <c r="TKX158" s="3060"/>
      <c r="TKY158" s="3060"/>
      <c r="TKZ158" s="3060"/>
      <c r="TLA158" s="3060"/>
      <c r="TLB158" s="3060"/>
      <c r="TLC158" s="3060"/>
      <c r="TLD158" s="3060"/>
      <c r="TLE158" s="3060"/>
      <c r="TLF158" s="3060"/>
      <c r="TLG158" s="3060"/>
      <c r="TLH158" s="3060"/>
      <c r="TLI158" s="3060"/>
      <c r="TLJ158" s="3060"/>
      <c r="TLK158" s="3060"/>
      <c r="TLL158" s="3060"/>
      <c r="TLM158" s="3060"/>
      <c r="TLN158" s="3060"/>
      <c r="TLO158" s="3060"/>
      <c r="TLP158" s="3060"/>
      <c r="TLQ158" s="3060"/>
      <c r="TLR158" s="3060"/>
      <c r="TLS158" s="3060"/>
      <c r="TLT158" s="3060"/>
      <c r="TLU158" s="3060"/>
      <c r="TLV158" s="3060"/>
      <c r="TLW158" s="3060"/>
      <c r="TLX158" s="3060"/>
      <c r="TLY158" s="3060"/>
      <c r="TLZ158" s="3060"/>
      <c r="TMA158" s="3060"/>
      <c r="TMB158" s="3060"/>
      <c r="TMC158" s="3060"/>
      <c r="TMD158" s="3060"/>
      <c r="TME158" s="3060"/>
      <c r="TMF158" s="3060"/>
      <c r="TMG158" s="3060"/>
      <c r="TMH158" s="3060"/>
      <c r="TMI158" s="3060"/>
      <c r="TMJ158" s="3060"/>
      <c r="TMK158" s="3060"/>
      <c r="TML158" s="3060"/>
      <c r="TMM158" s="3060"/>
      <c r="TMN158" s="3060"/>
      <c r="TMO158" s="3060"/>
      <c r="TMP158" s="3060"/>
      <c r="TMQ158" s="3060"/>
      <c r="TMR158" s="3060"/>
      <c r="TMS158" s="3060"/>
      <c r="TMT158" s="3060"/>
      <c r="TMU158" s="3060"/>
      <c r="TMV158" s="3060"/>
      <c r="TMW158" s="3060"/>
      <c r="TMX158" s="3060"/>
      <c r="TMY158" s="3060"/>
      <c r="TMZ158" s="3060"/>
      <c r="TNA158" s="3060"/>
      <c r="TNB158" s="3060"/>
      <c r="TNC158" s="3060"/>
      <c r="TND158" s="3060"/>
      <c r="TNE158" s="3060"/>
      <c r="TNF158" s="3060"/>
      <c r="TNG158" s="3060"/>
      <c r="TNH158" s="3060"/>
      <c r="TNI158" s="3060"/>
      <c r="TNJ158" s="3060"/>
      <c r="TNK158" s="3060"/>
      <c r="TNL158" s="3060"/>
      <c r="TNM158" s="3060"/>
      <c r="TNN158" s="3060"/>
      <c r="TNO158" s="3060"/>
      <c r="TNP158" s="3060"/>
      <c r="TNQ158" s="3060"/>
      <c r="TNR158" s="3060"/>
      <c r="TNS158" s="3060"/>
      <c r="TNT158" s="3060"/>
      <c r="TNU158" s="3060"/>
      <c r="TNV158" s="3060"/>
      <c r="TNW158" s="3060"/>
      <c r="TNX158" s="3060"/>
      <c r="TNY158" s="3060"/>
      <c r="TNZ158" s="3060"/>
      <c r="TOA158" s="3060"/>
      <c r="TOB158" s="3060"/>
      <c r="TOC158" s="3060"/>
      <c r="TOD158" s="3060"/>
      <c r="TOE158" s="3060"/>
      <c r="TOF158" s="3060"/>
      <c r="TOG158" s="3060"/>
      <c r="TOH158" s="3060"/>
      <c r="TOI158" s="3060"/>
      <c r="TOJ158" s="3060"/>
      <c r="TOK158" s="3060"/>
      <c r="TOL158" s="3060"/>
      <c r="TOM158" s="3060"/>
      <c r="TON158" s="3060"/>
      <c r="TOO158" s="3060"/>
      <c r="TOP158" s="3060"/>
      <c r="TOQ158" s="3060"/>
      <c r="TOR158" s="3060"/>
      <c r="TOS158" s="3060"/>
      <c r="TOT158" s="3060"/>
      <c r="TOU158" s="3060"/>
      <c r="TOV158" s="3060"/>
      <c r="TOW158" s="3060"/>
      <c r="TOX158" s="3060"/>
      <c r="TOY158" s="3060"/>
      <c r="TOZ158" s="3060"/>
      <c r="TPA158" s="3060"/>
      <c r="TPB158" s="3060"/>
      <c r="TPC158" s="3060"/>
      <c r="TPD158" s="3060"/>
      <c r="TPE158" s="3060"/>
      <c r="TPF158" s="3060"/>
      <c r="TPG158" s="3060"/>
      <c r="TPH158" s="3060"/>
      <c r="TPI158" s="3060"/>
      <c r="TPJ158" s="3060"/>
      <c r="TPK158" s="3060"/>
      <c r="TPL158" s="3060"/>
      <c r="TPM158" s="3060"/>
      <c r="TPN158" s="3060"/>
      <c r="TPO158" s="3060"/>
      <c r="TPP158" s="3060"/>
      <c r="TPQ158" s="3060"/>
      <c r="TPR158" s="3060"/>
      <c r="TPS158" s="3060"/>
      <c r="TPT158" s="3060"/>
      <c r="TPU158" s="3060"/>
      <c r="TPV158" s="3060"/>
      <c r="TPW158" s="3060"/>
      <c r="TPX158" s="3060"/>
      <c r="TPY158" s="3060"/>
      <c r="TPZ158" s="3060"/>
      <c r="TQA158" s="3060"/>
      <c r="TQB158" s="3060"/>
      <c r="TQC158" s="3060"/>
      <c r="TQD158" s="3060"/>
      <c r="TQE158" s="3060"/>
      <c r="TQF158" s="3060"/>
      <c r="TQG158" s="3060"/>
      <c r="TQH158" s="3060"/>
      <c r="TQI158" s="3060"/>
      <c r="TQJ158" s="3060"/>
      <c r="TQK158" s="3060"/>
      <c r="TQL158" s="3060"/>
      <c r="TQM158" s="3060"/>
      <c r="TQN158" s="3060"/>
      <c r="TQO158" s="3060"/>
      <c r="TQP158" s="3060"/>
      <c r="TQQ158" s="3060"/>
      <c r="TQR158" s="3060"/>
      <c r="TQS158" s="3060"/>
      <c r="TQT158" s="3060"/>
      <c r="TQU158" s="3060"/>
      <c r="TQV158" s="3060"/>
      <c r="TQW158" s="3060"/>
      <c r="TQX158" s="3060"/>
      <c r="TQY158" s="3060"/>
      <c r="TQZ158" s="3060"/>
      <c r="TRA158" s="3060"/>
      <c r="TRB158" s="3060"/>
      <c r="TRC158" s="3060"/>
      <c r="TRD158" s="3060"/>
      <c r="TRE158" s="3060"/>
      <c r="TRF158" s="3060"/>
      <c r="TRG158" s="3060"/>
      <c r="TRH158" s="3060"/>
      <c r="TRI158" s="3060"/>
      <c r="TRJ158" s="3060"/>
      <c r="TRK158" s="3060"/>
      <c r="TRL158" s="3060"/>
      <c r="TRM158" s="3060"/>
      <c r="TRN158" s="3060"/>
      <c r="TRO158" s="3060"/>
      <c r="TRP158" s="3060"/>
      <c r="TRQ158" s="3060"/>
      <c r="TRR158" s="3060"/>
      <c r="TRS158" s="3060"/>
      <c r="TRT158" s="3060"/>
      <c r="TRU158" s="3060"/>
      <c r="TRV158" s="3060"/>
      <c r="TRW158" s="3060"/>
      <c r="TRX158" s="3060"/>
      <c r="TRY158" s="3060"/>
      <c r="TRZ158" s="3060"/>
      <c r="TSA158" s="3060"/>
      <c r="TSB158" s="3060"/>
      <c r="TSC158" s="3060"/>
      <c r="TSD158" s="3060"/>
      <c r="TSE158" s="3060"/>
      <c r="TSF158" s="3060"/>
      <c r="TSG158" s="3060"/>
      <c r="TSH158" s="3060"/>
      <c r="TSI158" s="3060"/>
      <c r="TSJ158" s="3060"/>
      <c r="TSK158" s="3060"/>
      <c r="TSL158" s="3060"/>
      <c r="TSM158" s="3060"/>
      <c r="TSN158" s="3060"/>
      <c r="TSO158" s="3060"/>
      <c r="TSP158" s="3060"/>
      <c r="TSQ158" s="3060"/>
      <c r="TSR158" s="3060"/>
      <c r="TSS158" s="3060"/>
      <c r="TST158" s="3060"/>
      <c r="TSU158" s="3060"/>
      <c r="TSV158" s="3060"/>
      <c r="TSW158" s="3060"/>
      <c r="TSX158" s="3060"/>
      <c r="TSY158" s="3060"/>
      <c r="TSZ158" s="3060"/>
      <c r="TTA158" s="3060"/>
      <c r="TTB158" s="3060"/>
      <c r="TTC158" s="3060"/>
      <c r="TTD158" s="3060"/>
      <c r="TTE158" s="3060"/>
      <c r="TTF158" s="3060"/>
      <c r="TTG158" s="3060"/>
      <c r="TTH158" s="3060"/>
      <c r="TTI158" s="3060"/>
      <c r="TTJ158" s="3060"/>
      <c r="TTK158" s="3060"/>
      <c r="TTL158" s="3060"/>
      <c r="TTM158" s="3060"/>
      <c r="TTN158" s="3060"/>
      <c r="TTO158" s="3060"/>
      <c r="TTP158" s="3060"/>
      <c r="TTQ158" s="3060"/>
      <c r="TTR158" s="3060"/>
      <c r="TTS158" s="3060"/>
      <c r="TTT158" s="3060"/>
      <c r="TTU158" s="3060"/>
      <c r="TTV158" s="3060"/>
      <c r="TTW158" s="3060"/>
      <c r="TTX158" s="3060"/>
      <c r="TTY158" s="3060"/>
      <c r="TTZ158" s="3060"/>
      <c r="TUA158" s="3060"/>
      <c r="TUB158" s="3060"/>
      <c r="TUC158" s="3060"/>
      <c r="TUD158" s="3060"/>
      <c r="TUE158" s="3060"/>
      <c r="TUF158" s="3060"/>
      <c r="TUG158" s="3060"/>
      <c r="TUH158" s="3060"/>
      <c r="TUI158" s="3060"/>
      <c r="TUJ158" s="3060"/>
      <c r="TUK158" s="3060"/>
      <c r="TUL158" s="3060"/>
      <c r="TUM158" s="3060"/>
      <c r="TUN158" s="3060"/>
      <c r="TUO158" s="3060"/>
      <c r="TUP158" s="3060"/>
      <c r="TUQ158" s="3060"/>
      <c r="TUR158" s="3060"/>
      <c r="TUS158" s="3060"/>
      <c r="TUT158" s="3060"/>
      <c r="TUU158" s="3060"/>
      <c r="TUV158" s="3060"/>
      <c r="TUW158" s="3060"/>
      <c r="TUX158" s="3060"/>
      <c r="TUY158" s="3060"/>
      <c r="TUZ158" s="3060"/>
      <c r="TVA158" s="3060"/>
      <c r="TVB158" s="3060"/>
      <c r="TVC158" s="3060"/>
      <c r="TVD158" s="3060"/>
      <c r="TVE158" s="3060"/>
      <c r="TVF158" s="3060"/>
      <c r="TVG158" s="3060"/>
      <c r="TVH158" s="3060"/>
      <c r="TVI158" s="3060"/>
      <c r="TVJ158" s="3060"/>
      <c r="TVK158" s="3060"/>
      <c r="TVL158" s="3060"/>
      <c r="TVM158" s="3060"/>
      <c r="TVN158" s="3060"/>
      <c r="TVO158" s="3060"/>
      <c r="TVP158" s="3060"/>
      <c r="TVQ158" s="3060"/>
      <c r="TVR158" s="3060"/>
      <c r="TVS158" s="3060"/>
      <c r="TVT158" s="3060"/>
      <c r="TVU158" s="3060"/>
      <c r="TVV158" s="3060"/>
      <c r="TVW158" s="3060"/>
      <c r="TVX158" s="3060"/>
      <c r="TVY158" s="3060"/>
      <c r="TVZ158" s="3060"/>
      <c r="TWA158" s="3060"/>
      <c r="TWB158" s="3060"/>
      <c r="TWC158" s="3060"/>
      <c r="TWD158" s="3060"/>
      <c r="TWE158" s="3060"/>
      <c r="TWF158" s="3060"/>
      <c r="TWG158" s="3060"/>
      <c r="TWH158" s="3060"/>
      <c r="TWI158" s="3060"/>
      <c r="TWJ158" s="3060"/>
      <c r="TWK158" s="3060"/>
      <c r="TWL158" s="3060"/>
      <c r="TWM158" s="3060"/>
      <c r="TWN158" s="3060"/>
      <c r="TWO158" s="3060"/>
      <c r="TWP158" s="3060"/>
      <c r="TWQ158" s="3060"/>
      <c r="TWR158" s="3060"/>
      <c r="TWS158" s="3060"/>
      <c r="TWT158" s="3060"/>
      <c r="TWU158" s="3060"/>
      <c r="TWV158" s="3060"/>
      <c r="TWW158" s="3060"/>
      <c r="TWX158" s="3060"/>
      <c r="TWY158" s="3060"/>
      <c r="TWZ158" s="3060"/>
      <c r="TXA158" s="3060"/>
      <c r="TXB158" s="3060"/>
      <c r="TXC158" s="3060"/>
      <c r="TXD158" s="3060"/>
      <c r="TXE158" s="3060"/>
      <c r="TXF158" s="3060"/>
      <c r="TXG158" s="3060"/>
      <c r="TXH158" s="3060"/>
      <c r="TXI158" s="3060"/>
      <c r="TXJ158" s="3060"/>
      <c r="TXK158" s="3060"/>
      <c r="TXL158" s="3060"/>
      <c r="TXM158" s="3060"/>
      <c r="TXN158" s="3060"/>
      <c r="TXO158" s="3060"/>
      <c r="TXP158" s="3060"/>
      <c r="TXQ158" s="3060"/>
      <c r="TXR158" s="3060"/>
      <c r="TXS158" s="3060"/>
      <c r="TXT158" s="3060"/>
      <c r="TXU158" s="3060"/>
      <c r="TXV158" s="3060"/>
      <c r="TXW158" s="3060"/>
      <c r="TXX158" s="3060"/>
      <c r="TXY158" s="3060"/>
      <c r="TXZ158" s="3060"/>
      <c r="TYA158" s="3060"/>
      <c r="TYB158" s="3060"/>
      <c r="TYC158" s="3060"/>
      <c r="TYD158" s="3060"/>
      <c r="TYE158" s="3060"/>
      <c r="TYF158" s="3060"/>
      <c r="TYG158" s="3060"/>
      <c r="TYH158" s="3060"/>
      <c r="TYI158" s="3060"/>
      <c r="TYJ158" s="3060"/>
      <c r="TYK158" s="3060"/>
      <c r="TYL158" s="3060"/>
      <c r="TYM158" s="3060"/>
      <c r="TYN158" s="3060"/>
      <c r="TYO158" s="3060"/>
      <c r="TYP158" s="3060"/>
      <c r="TYQ158" s="3060"/>
      <c r="TYR158" s="3060"/>
      <c r="TYS158" s="3060"/>
      <c r="TYT158" s="3060"/>
      <c r="TYU158" s="3060"/>
      <c r="TYV158" s="3060"/>
      <c r="TYW158" s="3060"/>
      <c r="TYX158" s="3060"/>
      <c r="TYY158" s="3060"/>
      <c r="TYZ158" s="3060"/>
      <c r="TZA158" s="3060"/>
      <c r="TZB158" s="3060"/>
      <c r="TZC158" s="3060"/>
      <c r="TZD158" s="3060"/>
      <c r="TZE158" s="3060"/>
      <c r="TZF158" s="3060"/>
      <c r="TZG158" s="3060"/>
      <c r="TZH158" s="3060"/>
      <c r="TZI158" s="3060"/>
      <c r="TZJ158" s="3060"/>
      <c r="TZK158" s="3060"/>
      <c r="TZL158" s="3060"/>
      <c r="TZM158" s="3060"/>
      <c r="TZN158" s="3060"/>
      <c r="TZO158" s="3060"/>
      <c r="TZP158" s="3060"/>
      <c r="TZQ158" s="3060"/>
      <c r="TZR158" s="3060"/>
      <c r="TZS158" s="3060"/>
      <c r="TZT158" s="3060"/>
      <c r="TZU158" s="3060"/>
      <c r="TZV158" s="3060"/>
      <c r="TZW158" s="3060"/>
      <c r="TZX158" s="3060"/>
      <c r="TZY158" s="3060"/>
      <c r="TZZ158" s="3060"/>
      <c r="UAA158" s="3060"/>
      <c r="UAB158" s="3060"/>
      <c r="UAC158" s="3060"/>
      <c r="UAD158" s="3060"/>
      <c r="UAE158" s="3060"/>
      <c r="UAF158" s="3060"/>
      <c r="UAG158" s="3060"/>
      <c r="UAH158" s="3060"/>
      <c r="UAI158" s="3060"/>
      <c r="UAJ158" s="3060"/>
      <c r="UAK158" s="3060"/>
      <c r="UAL158" s="3060"/>
      <c r="UAM158" s="3060"/>
      <c r="UAN158" s="3060"/>
      <c r="UAO158" s="3060"/>
      <c r="UAP158" s="3060"/>
      <c r="UAQ158" s="3060"/>
      <c r="UAR158" s="3060"/>
      <c r="UAS158" s="3060"/>
      <c r="UAT158" s="3060"/>
      <c r="UAU158" s="3060"/>
      <c r="UAV158" s="3060"/>
      <c r="UAW158" s="3060"/>
      <c r="UAX158" s="3060"/>
      <c r="UAY158" s="3060"/>
      <c r="UAZ158" s="3060"/>
      <c r="UBA158" s="3060"/>
      <c r="UBB158" s="3060"/>
      <c r="UBC158" s="3060"/>
      <c r="UBD158" s="3060"/>
      <c r="UBE158" s="3060"/>
      <c r="UBF158" s="3060"/>
      <c r="UBG158" s="3060"/>
      <c r="UBH158" s="3060"/>
      <c r="UBI158" s="3060"/>
      <c r="UBJ158" s="3060"/>
      <c r="UBK158" s="3060"/>
      <c r="UBL158" s="3060"/>
      <c r="UBM158" s="3060"/>
      <c r="UBN158" s="3060"/>
      <c r="UBO158" s="3060"/>
      <c r="UBP158" s="3060"/>
      <c r="UBQ158" s="3060"/>
      <c r="UBR158" s="3060"/>
      <c r="UBS158" s="3060"/>
      <c r="UBT158" s="3060"/>
      <c r="UBU158" s="3060"/>
      <c r="UBV158" s="3060"/>
      <c r="UBW158" s="3060"/>
      <c r="UBX158" s="3060"/>
      <c r="UBY158" s="3060"/>
      <c r="UBZ158" s="3060"/>
      <c r="UCA158" s="3060"/>
      <c r="UCB158" s="3060"/>
      <c r="UCC158" s="3060"/>
      <c r="UCD158" s="3060"/>
      <c r="UCE158" s="3060"/>
      <c r="UCF158" s="3060"/>
      <c r="UCG158" s="3060"/>
      <c r="UCH158" s="3060"/>
      <c r="UCI158" s="3060"/>
      <c r="UCJ158" s="3060"/>
      <c r="UCK158" s="3060"/>
      <c r="UCL158" s="3060"/>
      <c r="UCM158" s="3060"/>
      <c r="UCN158" s="3060"/>
      <c r="UCO158" s="3060"/>
      <c r="UCP158" s="3060"/>
      <c r="UCQ158" s="3060"/>
      <c r="UCR158" s="3060"/>
      <c r="UCS158" s="3060"/>
      <c r="UCT158" s="3060"/>
      <c r="UCU158" s="3060"/>
      <c r="UCV158" s="3060"/>
      <c r="UCW158" s="3060"/>
      <c r="UCX158" s="3060"/>
      <c r="UCY158" s="3060"/>
      <c r="UCZ158" s="3060"/>
      <c r="UDA158" s="3060"/>
      <c r="UDB158" s="3060"/>
      <c r="UDC158" s="3060"/>
      <c r="UDD158" s="3060"/>
      <c r="UDE158" s="3060"/>
      <c r="UDF158" s="3060"/>
      <c r="UDG158" s="3060"/>
      <c r="UDH158" s="3060"/>
      <c r="UDI158" s="3060"/>
      <c r="UDJ158" s="3060"/>
      <c r="UDK158" s="3060"/>
      <c r="UDL158" s="3060"/>
      <c r="UDM158" s="3060"/>
      <c r="UDN158" s="3060"/>
      <c r="UDO158" s="3060"/>
      <c r="UDP158" s="3060"/>
      <c r="UDQ158" s="3060"/>
      <c r="UDR158" s="3060"/>
      <c r="UDS158" s="3060"/>
      <c r="UDT158" s="3060"/>
      <c r="UDU158" s="3060"/>
      <c r="UDV158" s="3060"/>
      <c r="UDW158" s="3060"/>
      <c r="UDX158" s="3060"/>
      <c r="UDY158" s="3060"/>
      <c r="UDZ158" s="3060"/>
      <c r="UEA158" s="3060"/>
      <c r="UEB158" s="3060"/>
      <c r="UEC158" s="3060"/>
      <c r="UED158" s="3060"/>
      <c r="UEE158" s="3060"/>
      <c r="UEF158" s="3060"/>
      <c r="UEG158" s="3060"/>
      <c r="UEH158" s="3060"/>
      <c r="UEI158" s="3060"/>
      <c r="UEJ158" s="3060"/>
      <c r="UEK158" s="3060"/>
      <c r="UEL158" s="3060"/>
      <c r="UEM158" s="3060"/>
      <c r="UEN158" s="3060"/>
      <c r="UEO158" s="3060"/>
      <c r="UEP158" s="3060"/>
      <c r="UEQ158" s="3060"/>
      <c r="UER158" s="3060"/>
      <c r="UES158" s="3060"/>
      <c r="UET158" s="3060"/>
      <c r="UEU158" s="3060"/>
      <c r="UEV158" s="3060"/>
      <c r="UEW158" s="3060"/>
      <c r="UEX158" s="3060"/>
      <c r="UEY158" s="3060"/>
      <c r="UEZ158" s="3060"/>
      <c r="UFA158" s="3060"/>
      <c r="UFB158" s="3060"/>
      <c r="UFC158" s="3060"/>
      <c r="UFD158" s="3060"/>
      <c r="UFE158" s="3060"/>
      <c r="UFF158" s="3060"/>
      <c r="UFG158" s="3060"/>
      <c r="UFH158" s="3060"/>
      <c r="UFI158" s="3060"/>
      <c r="UFJ158" s="3060"/>
      <c r="UFK158" s="3060"/>
      <c r="UFL158" s="3060"/>
      <c r="UFM158" s="3060"/>
      <c r="UFN158" s="3060"/>
      <c r="UFO158" s="3060"/>
      <c r="UFP158" s="3060"/>
      <c r="UFQ158" s="3060"/>
      <c r="UFR158" s="3060"/>
      <c r="UFS158" s="3060"/>
      <c r="UFT158" s="3060"/>
      <c r="UFU158" s="3060"/>
      <c r="UFV158" s="3060"/>
      <c r="UFW158" s="3060"/>
      <c r="UFX158" s="3060"/>
      <c r="UFY158" s="3060"/>
      <c r="UFZ158" s="3060"/>
      <c r="UGA158" s="3060"/>
      <c r="UGB158" s="3060"/>
      <c r="UGC158" s="3060"/>
      <c r="UGD158" s="3060"/>
      <c r="UGE158" s="3060"/>
      <c r="UGF158" s="3060"/>
      <c r="UGG158" s="3060"/>
      <c r="UGH158" s="3060"/>
      <c r="UGI158" s="3060"/>
      <c r="UGJ158" s="3060"/>
      <c r="UGK158" s="3060"/>
      <c r="UGL158" s="3060"/>
      <c r="UGM158" s="3060"/>
      <c r="UGN158" s="3060"/>
      <c r="UGO158" s="3060"/>
      <c r="UGP158" s="3060"/>
      <c r="UGQ158" s="3060"/>
      <c r="UGR158" s="3060"/>
      <c r="UGS158" s="3060"/>
      <c r="UGT158" s="3060"/>
      <c r="UGU158" s="3060"/>
      <c r="UGV158" s="3060"/>
      <c r="UGW158" s="3060"/>
      <c r="UGX158" s="3060"/>
      <c r="UGY158" s="3060"/>
      <c r="UGZ158" s="3060"/>
      <c r="UHA158" s="3060"/>
      <c r="UHB158" s="3060"/>
      <c r="UHC158" s="3060"/>
      <c r="UHD158" s="3060"/>
      <c r="UHE158" s="3060"/>
      <c r="UHF158" s="3060"/>
      <c r="UHG158" s="3060"/>
      <c r="UHH158" s="3060"/>
      <c r="UHI158" s="3060"/>
      <c r="UHJ158" s="3060"/>
      <c r="UHK158" s="3060"/>
      <c r="UHL158" s="3060"/>
      <c r="UHM158" s="3060"/>
      <c r="UHN158" s="3060"/>
      <c r="UHO158" s="3060"/>
      <c r="UHP158" s="3060"/>
      <c r="UHQ158" s="3060"/>
      <c r="UHR158" s="3060"/>
      <c r="UHS158" s="3060"/>
      <c r="UHT158" s="3060"/>
      <c r="UHU158" s="3060"/>
      <c r="UHV158" s="3060"/>
      <c r="UHW158" s="3060"/>
      <c r="UHX158" s="3060"/>
      <c r="UHY158" s="3060"/>
      <c r="UHZ158" s="3060"/>
      <c r="UIA158" s="3060"/>
      <c r="UIB158" s="3060"/>
      <c r="UIC158" s="3060"/>
      <c r="UID158" s="3060"/>
      <c r="UIE158" s="3060"/>
      <c r="UIF158" s="3060"/>
      <c r="UIG158" s="3060"/>
      <c r="UIH158" s="3060"/>
      <c r="UII158" s="3060"/>
      <c r="UIJ158" s="3060"/>
      <c r="UIK158" s="3060"/>
      <c r="UIL158" s="3060"/>
      <c r="UIM158" s="3060"/>
      <c r="UIN158" s="3060"/>
      <c r="UIO158" s="3060"/>
      <c r="UIP158" s="3060"/>
      <c r="UIQ158" s="3060"/>
      <c r="UIR158" s="3060"/>
      <c r="UIS158" s="3060"/>
      <c r="UIT158" s="3060"/>
      <c r="UIU158" s="3060"/>
      <c r="UIV158" s="3060"/>
      <c r="UIW158" s="3060"/>
      <c r="UIX158" s="3060"/>
      <c r="UIY158" s="3060"/>
      <c r="UIZ158" s="3060"/>
      <c r="UJA158" s="3060"/>
      <c r="UJB158" s="3060"/>
      <c r="UJC158" s="3060"/>
      <c r="UJD158" s="3060"/>
      <c r="UJE158" s="3060"/>
      <c r="UJF158" s="3060"/>
      <c r="UJG158" s="3060"/>
      <c r="UJH158" s="3060"/>
      <c r="UJI158" s="3060"/>
      <c r="UJJ158" s="3060"/>
      <c r="UJK158" s="3060"/>
      <c r="UJL158" s="3060"/>
      <c r="UJM158" s="3060"/>
      <c r="UJN158" s="3060"/>
      <c r="UJO158" s="3060"/>
      <c r="UJP158" s="3060"/>
      <c r="UJQ158" s="3060"/>
      <c r="UJR158" s="3060"/>
      <c r="UJS158" s="3060"/>
      <c r="UJT158" s="3060"/>
      <c r="UJU158" s="3060"/>
      <c r="UJV158" s="3060"/>
      <c r="UJW158" s="3060"/>
      <c r="UJX158" s="3060"/>
      <c r="UJY158" s="3060"/>
      <c r="UJZ158" s="3060"/>
      <c r="UKA158" s="3060"/>
      <c r="UKB158" s="3060"/>
      <c r="UKC158" s="3060"/>
      <c r="UKD158" s="3060"/>
      <c r="UKE158" s="3060"/>
      <c r="UKF158" s="3060"/>
      <c r="UKG158" s="3060"/>
      <c r="UKH158" s="3060"/>
      <c r="UKI158" s="3060"/>
      <c r="UKJ158" s="3060"/>
      <c r="UKK158" s="3060"/>
      <c r="UKL158" s="3060"/>
      <c r="UKM158" s="3060"/>
      <c r="UKN158" s="3060"/>
      <c r="UKO158" s="3060"/>
      <c r="UKP158" s="3060"/>
      <c r="UKQ158" s="3060"/>
      <c r="UKR158" s="3060"/>
      <c r="UKS158" s="3060"/>
      <c r="UKT158" s="3060"/>
      <c r="UKU158" s="3060"/>
      <c r="UKV158" s="3060"/>
      <c r="UKW158" s="3060"/>
      <c r="UKX158" s="3060"/>
      <c r="UKY158" s="3060"/>
      <c r="UKZ158" s="3060"/>
      <c r="ULA158" s="3060"/>
      <c r="ULB158" s="3060"/>
      <c r="ULC158" s="3060"/>
      <c r="ULD158" s="3060"/>
      <c r="ULE158" s="3060"/>
      <c r="ULF158" s="3060"/>
      <c r="ULG158" s="3060"/>
      <c r="ULH158" s="3060"/>
      <c r="ULI158" s="3060"/>
      <c r="ULJ158" s="3060"/>
      <c r="ULK158" s="3060"/>
      <c r="ULL158" s="3060"/>
      <c r="ULM158" s="3060"/>
      <c r="ULN158" s="3060"/>
      <c r="ULO158" s="3060"/>
      <c r="ULP158" s="3060"/>
      <c r="ULQ158" s="3060"/>
      <c r="ULR158" s="3060"/>
      <c r="ULS158" s="3060"/>
      <c r="ULT158" s="3060"/>
      <c r="ULU158" s="3060"/>
      <c r="ULV158" s="3060"/>
      <c r="ULW158" s="3060"/>
      <c r="ULX158" s="3060"/>
      <c r="ULY158" s="3060"/>
      <c r="ULZ158" s="3060"/>
      <c r="UMA158" s="3060"/>
      <c r="UMB158" s="3060"/>
      <c r="UMC158" s="3060"/>
      <c r="UMD158" s="3060"/>
      <c r="UME158" s="3060"/>
      <c r="UMF158" s="3060"/>
      <c r="UMG158" s="3060"/>
      <c r="UMH158" s="3060"/>
      <c r="UMI158" s="3060"/>
      <c r="UMJ158" s="3060"/>
      <c r="UMK158" s="3060"/>
      <c r="UML158" s="3060"/>
      <c r="UMM158" s="3060"/>
      <c r="UMN158" s="3060"/>
      <c r="UMO158" s="3060"/>
      <c r="UMP158" s="3060"/>
      <c r="UMQ158" s="3060"/>
      <c r="UMR158" s="3060"/>
      <c r="UMS158" s="3060"/>
      <c r="UMT158" s="3060"/>
      <c r="UMU158" s="3060"/>
      <c r="UMV158" s="3060"/>
      <c r="UMW158" s="3060"/>
      <c r="UMX158" s="3060"/>
      <c r="UMY158" s="3060"/>
      <c r="UMZ158" s="3060"/>
      <c r="UNA158" s="3060"/>
      <c r="UNB158" s="3060"/>
      <c r="UNC158" s="3060"/>
      <c r="UND158" s="3060"/>
      <c r="UNE158" s="3060"/>
      <c r="UNF158" s="3060"/>
      <c r="UNG158" s="3060"/>
      <c r="UNH158" s="3060"/>
      <c r="UNI158" s="3060"/>
      <c r="UNJ158" s="3060"/>
      <c r="UNK158" s="3060"/>
      <c r="UNL158" s="3060"/>
      <c r="UNM158" s="3060"/>
      <c r="UNN158" s="3060"/>
      <c r="UNO158" s="3060"/>
      <c r="UNP158" s="3060"/>
      <c r="UNQ158" s="3060"/>
      <c r="UNR158" s="3060"/>
      <c r="UNS158" s="3060"/>
      <c r="UNT158" s="3060"/>
      <c r="UNU158" s="3060"/>
      <c r="UNV158" s="3060"/>
      <c r="UNW158" s="3060"/>
      <c r="UNX158" s="3060"/>
      <c r="UNY158" s="3060"/>
      <c r="UNZ158" s="3060"/>
      <c r="UOA158" s="3060"/>
      <c r="UOB158" s="3060"/>
      <c r="UOC158" s="3060"/>
      <c r="UOD158" s="3060"/>
      <c r="UOE158" s="3060"/>
      <c r="UOF158" s="3060"/>
      <c r="UOG158" s="3060"/>
      <c r="UOH158" s="3060"/>
      <c r="UOI158" s="3060"/>
      <c r="UOJ158" s="3060"/>
      <c r="UOK158" s="3060"/>
      <c r="UOL158" s="3060"/>
      <c r="UOM158" s="3060"/>
      <c r="UON158" s="3060"/>
      <c r="UOO158" s="3060"/>
      <c r="UOP158" s="3060"/>
      <c r="UOQ158" s="3060"/>
      <c r="UOR158" s="3060"/>
      <c r="UOS158" s="3060"/>
      <c r="UOT158" s="3060"/>
      <c r="UOU158" s="3060"/>
      <c r="UOV158" s="3060"/>
      <c r="UOW158" s="3060"/>
      <c r="UOX158" s="3060"/>
      <c r="UOY158" s="3060"/>
      <c r="UOZ158" s="3060"/>
      <c r="UPA158" s="3060"/>
      <c r="UPB158" s="3060"/>
      <c r="UPC158" s="3060"/>
      <c r="UPD158" s="3060"/>
      <c r="UPE158" s="3060"/>
      <c r="UPF158" s="3060"/>
      <c r="UPG158" s="3060"/>
      <c r="UPH158" s="3060"/>
      <c r="UPI158" s="3060"/>
      <c r="UPJ158" s="3060"/>
      <c r="UPK158" s="3060"/>
      <c r="UPL158" s="3060"/>
      <c r="UPM158" s="3060"/>
      <c r="UPN158" s="3060"/>
      <c r="UPO158" s="3060"/>
      <c r="UPP158" s="3060"/>
      <c r="UPQ158" s="3060"/>
      <c r="UPR158" s="3060"/>
      <c r="UPS158" s="3060"/>
      <c r="UPT158" s="3060"/>
      <c r="UPU158" s="3060"/>
      <c r="UPV158" s="3060"/>
      <c r="UPW158" s="3060"/>
      <c r="UPX158" s="3060"/>
      <c r="UPY158" s="3060"/>
      <c r="UPZ158" s="3060"/>
      <c r="UQA158" s="3060"/>
      <c r="UQB158" s="3060"/>
      <c r="UQC158" s="3060"/>
      <c r="UQD158" s="3060"/>
      <c r="UQE158" s="3060"/>
      <c r="UQF158" s="3060"/>
      <c r="UQG158" s="3060"/>
      <c r="UQH158" s="3060"/>
      <c r="UQI158" s="3060"/>
      <c r="UQJ158" s="3060"/>
      <c r="UQK158" s="3060"/>
      <c r="UQL158" s="3060"/>
      <c r="UQM158" s="3060"/>
      <c r="UQN158" s="3060"/>
      <c r="UQO158" s="3060"/>
      <c r="UQP158" s="3060"/>
      <c r="UQQ158" s="3060"/>
      <c r="UQR158" s="3060"/>
      <c r="UQS158" s="3060"/>
      <c r="UQT158" s="3060"/>
      <c r="UQU158" s="3060"/>
      <c r="UQV158" s="3060"/>
      <c r="UQW158" s="3060"/>
      <c r="UQX158" s="3060"/>
      <c r="UQY158" s="3060"/>
      <c r="UQZ158" s="3060"/>
      <c r="URA158" s="3060"/>
      <c r="URB158" s="3060"/>
      <c r="URC158" s="3060"/>
      <c r="URD158" s="3060"/>
      <c r="URE158" s="3060"/>
      <c r="URF158" s="3060"/>
      <c r="URG158" s="3060"/>
      <c r="URH158" s="3060"/>
      <c r="URI158" s="3060"/>
      <c r="URJ158" s="3060"/>
      <c r="URK158" s="3060"/>
      <c r="URL158" s="3060"/>
      <c r="URM158" s="3060"/>
      <c r="URN158" s="3060"/>
      <c r="URO158" s="3060"/>
      <c r="URP158" s="3060"/>
      <c r="URQ158" s="3060"/>
      <c r="URR158" s="3060"/>
      <c r="URS158" s="3060"/>
      <c r="URT158" s="3060"/>
      <c r="URU158" s="3060"/>
      <c r="URV158" s="3060"/>
      <c r="URW158" s="3060"/>
      <c r="URX158" s="3060"/>
      <c r="URY158" s="3060"/>
      <c r="URZ158" s="3060"/>
      <c r="USA158" s="3060"/>
      <c r="USB158" s="3060"/>
      <c r="USC158" s="3060"/>
      <c r="USD158" s="3060"/>
      <c r="USE158" s="3060"/>
      <c r="USF158" s="3060"/>
      <c r="USG158" s="3060"/>
      <c r="USH158" s="3060"/>
      <c r="USI158" s="3060"/>
      <c r="USJ158" s="3060"/>
      <c r="USK158" s="3060"/>
      <c r="USL158" s="3060"/>
      <c r="USM158" s="3060"/>
      <c r="USN158" s="3060"/>
      <c r="USO158" s="3060"/>
      <c r="USP158" s="3060"/>
      <c r="USQ158" s="3060"/>
      <c r="USR158" s="3060"/>
      <c r="USS158" s="3060"/>
      <c r="UST158" s="3060"/>
      <c r="USU158" s="3060"/>
      <c r="USV158" s="3060"/>
      <c r="USW158" s="3060"/>
      <c r="USX158" s="3060"/>
      <c r="USY158" s="3060"/>
      <c r="USZ158" s="3060"/>
      <c r="UTA158" s="3060"/>
      <c r="UTB158" s="3060"/>
      <c r="UTC158" s="3060"/>
      <c r="UTD158" s="3060"/>
      <c r="UTE158" s="3060"/>
      <c r="UTF158" s="3060"/>
      <c r="UTG158" s="3060"/>
      <c r="UTH158" s="3060"/>
      <c r="UTI158" s="3060"/>
      <c r="UTJ158" s="3060"/>
      <c r="UTK158" s="3060"/>
      <c r="UTL158" s="3060"/>
      <c r="UTM158" s="3060"/>
      <c r="UTN158" s="3060"/>
      <c r="UTO158" s="3060"/>
      <c r="UTP158" s="3060"/>
      <c r="UTQ158" s="3060"/>
      <c r="UTR158" s="3060"/>
      <c r="UTS158" s="3060"/>
      <c r="UTT158" s="3060"/>
      <c r="UTU158" s="3060"/>
      <c r="UTV158" s="3060"/>
      <c r="UTW158" s="3060"/>
      <c r="UTX158" s="3060"/>
      <c r="UTY158" s="3060"/>
      <c r="UTZ158" s="3060"/>
      <c r="UUA158" s="3060"/>
      <c r="UUB158" s="3060"/>
      <c r="UUC158" s="3060"/>
      <c r="UUD158" s="3060"/>
      <c r="UUE158" s="3060"/>
      <c r="UUF158" s="3060"/>
      <c r="UUG158" s="3060"/>
      <c r="UUH158" s="3060"/>
      <c r="UUI158" s="3060"/>
      <c r="UUJ158" s="3060"/>
      <c r="UUK158" s="3060"/>
      <c r="UUL158" s="3060"/>
      <c r="UUM158" s="3060"/>
      <c r="UUN158" s="3060"/>
      <c r="UUO158" s="3060"/>
      <c r="UUP158" s="3060"/>
      <c r="UUQ158" s="3060"/>
      <c r="UUR158" s="3060"/>
      <c r="UUS158" s="3060"/>
      <c r="UUT158" s="3060"/>
      <c r="UUU158" s="3060"/>
      <c r="UUV158" s="3060"/>
      <c r="UUW158" s="3060"/>
      <c r="UUX158" s="3060"/>
      <c r="UUY158" s="3060"/>
      <c r="UUZ158" s="3060"/>
      <c r="UVA158" s="3060"/>
      <c r="UVB158" s="3060"/>
      <c r="UVC158" s="3060"/>
      <c r="UVD158" s="3060"/>
      <c r="UVE158" s="3060"/>
      <c r="UVF158" s="3060"/>
      <c r="UVG158" s="3060"/>
      <c r="UVH158" s="3060"/>
      <c r="UVI158" s="3060"/>
      <c r="UVJ158" s="3060"/>
      <c r="UVK158" s="3060"/>
      <c r="UVL158" s="3060"/>
      <c r="UVM158" s="3060"/>
      <c r="UVN158" s="3060"/>
      <c r="UVO158" s="3060"/>
      <c r="UVP158" s="3060"/>
      <c r="UVQ158" s="3060"/>
      <c r="UVR158" s="3060"/>
      <c r="UVS158" s="3060"/>
      <c r="UVT158" s="3060"/>
      <c r="UVU158" s="3060"/>
      <c r="UVV158" s="3060"/>
      <c r="UVW158" s="3060"/>
      <c r="UVX158" s="3060"/>
      <c r="UVY158" s="3060"/>
      <c r="UVZ158" s="3060"/>
      <c r="UWA158" s="3060"/>
      <c r="UWB158" s="3060"/>
      <c r="UWC158" s="3060"/>
      <c r="UWD158" s="3060"/>
      <c r="UWE158" s="3060"/>
      <c r="UWF158" s="3060"/>
      <c r="UWG158" s="3060"/>
      <c r="UWH158" s="3060"/>
      <c r="UWI158" s="3060"/>
      <c r="UWJ158" s="3060"/>
      <c r="UWK158" s="3060"/>
      <c r="UWL158" s="3060"/>
      <c r="UWM158" s="3060"/>
      <c r="UWN158" s="3060"/>
      <c r="UWO158" s="3060"/>
      <c r="UWP158" s="3060"/>
      <c r="UWQ158" s="3060"/>
      <c r="UWR158" s="3060"/>
      <c r="UWS158" s="3060"/>
      <c r="UWT158" s="3060"/>
      <c r="UWU158" s="3060"/>
      <c r="UWV158" s="3060"/>
      <c r="UWW158" s="3060"/>
      <c r="UWX158" s="3060"/>
      <c r="UWY158" s="3060"/>
      <c r="UWZ158" s="3060"/>
      <c r="UXA158" s="3060"/>
      <c r="UXB158" s="3060"/>
      <c r="UXC158" s="3060"/>
      <c r="UXD158" s="3060"/>
      <c r="UXE158" s="3060"/>
      <c r="UXF158" s="3060"/>
      <c r="UXG158" s="3060"/>
      <c r="UXH158" s="3060"/>
      <c r="UXI158" s="3060"/>
      <c r="UXJ158" s="3060"/>
      <c r="UXK158" s="3060"/>
      <c r="UXL158" s="3060"/>
      <c r="UXM158" s="3060"/>
      <c r="UXN158" s="3060"/>
      <c r="UXO158" s="3060"/>
      <c r="UXP158" s="3060"/>
      <c r="UXQ158" s="3060"/>
      <c r="UXR158" s="3060"/>
      <c r="UXS158" s="3060"/>
      <c r="UXT158" s="3060"/>
      <c r="UXU158" s="3060"/>
      <c r="UXV158" s="3060"/>
      <c r="UXW158" s="3060"/>
      <c r="UXX158" s="3060"/>
      <c r="UXY158" s="3060"/>
      <c r="UXZ158" s="3060"/>
      <c r="UYA158" s="3060"/>
      <c r="UYB158" s="3060"/>
      <c r="UYC158" s="3060"/>
      <c r="UYD158" s="3060"/>
      <c r="UYE158" s="3060"/>
      <c r="UYF158" s="3060"/>
      <c r="UYG158" s="3060"/>
      <c r="UYH158" s="3060"/>
      <c r="UYI158" s="3060"/>
      <c r="UYJ158" s="3060"/>
      <c r="UYK158" s="3060"/>
      <c r="UYL158" s="3060"/>
      <c r="UYM158" s="3060"/>
      <c r="UYN158" s="3060"/>
      <c r="UYO158" s="3060"/>
      <c r="UYP158" s="3060"/>
      <c r="UYQ158" s="3060"/>
      <c r="UYR158" s="3060"/>
      <c r="UYS158" s="3060"/>
      <c r="UYT158" s="3060"/>
      <c r="UYU158" s="3060"/>
      <c r="UYV158" s="3060"/>
      <c r="UYW158" s="3060"/>
      <c r="UYX158" s="3060"/>
      <c r="UYY158" s="3060"/>
      <c r="UYZ158" s="3060"/>
      <c r="UZA158" s="3060"/>
      <c r="UZB158" s="3060"/>
      <c r="UZC158" s="3060"/>
      <c r="UZD158" s="3060"/>
      <c r="UZE158" s="3060"/>
      <c r="UZF158" s="3060"/>
      <c r="UZG158" s="3060"/>
      <c r="UZH158" s="3060"/>
      <c r="UZI158" s="3060"/>
      <c r="UZJ158" s="3060"/>
      <c r="UZK158" s="3060"/>
      <c r="UZL158" s="3060"/>
      <c r="UZM158" s="3060"/>
      <c r="UZN158" s="3060"/>
      <c r="UZO158" s="3060"/>
      <c r="UZP158" s="3060"/>
      <c r="UZQ158" s="3060"/>
      <c r="UZR158" s="3060"/>
      <c r="UZS158" s="3060"/>
      <c r="UZT158" s="3060"/>
      <c r="UZU158" s="3060"/>
      <c r="UZV158" s="3060"/>
      <c r="UZW158" s="3060"/>
      <c r="UZX158" s="3060"/>
      <c r="UZY158" s="3060"/>
      <c r="UZZ158" s="3060"/>
      <c r="VAA158" s="3060"/>
      <c r="VAB158" s="3060"/>
      <c r="VAC158" s="3060"/>
      <c r="VAD158" s="3060"/>
      <c r="VAE158" s="3060"/>
      <c r="VAF158" s="3060"/>
      <c r="VAG158" s="3060"/>
      <c r="VAH158" s="3060"/>
      <c r="VAI158" s="3060"/>
      <c r="VAJ158" s="3060"/>
      <c r="VAK158" s="3060"/>
      <c r="VAL158" s="3060"/>
      <c r="VAM158" s="3060"/>
      <c r="VAN158" s="3060"/>
      <c r="VAO158" s="3060"/>
      <c r="VAP158" s="3060"/>
      <c r="VAQ158" s="3060"/>
      <c r="VAR158" s="3060"/>
      <c r="VAS158" s="3060"/>
      <c r="VAT158" s="3060"/>
      <c r="VAU158" s="3060"/>
      <c r="VAV158" s="3060"/>
      <c r="VAW158" s="3060"/>
      <c r="VAX158" s="3060"/>
      <c r="VAY158" s="3060"/>
      <c r="VAZ158" s="3060"/>
      <c r="VBA158" s="3060"/>
      <c r="VBB158" s="3060"/>
      <c r="VBC158" s="3060"/>
      <c r="VBD158" s="3060"/>
      <c r="VBE158" s="3060"/>
      <c r="VBF158" s="3060"/>
      <c r="VBG158" s="3060"/>
      <c r="VBH158" s="3060"/>
      <c r="VBI158" s="3060"/>
      <c r="VBJ158" s="3060"/>
      <c r="VBK158" s="3060"/>
      <c r="VBL158" s="3060"/>
      <c r="VBM158" s="3060"/>
      <c r="VBN158" s="3060"/>
      <c r="VBO158" s="3060"/>
      <c r="VBP158" s="3060"/>
      <c r="VBQ158" s="3060"/>
      <c r="VBR158" s="3060"/>
      <c r="VBS158" s="3060"/>
      <c r="VBT158" s="3060"/>
      <c r="VBU158" s="3060"/>
      <c r="VBV158" s="3060"/>
      <c r="VBW158" s="3060"/>
      <c r="VBX158" s="3060"/>
      <c r="VBY158" s="3060"/>
      <c r="VBZ158" s="3060"/>
      <c r="VCA158" s="3060"/>
      <c r="VCB158" s="3060"/>
      <c r="VCC158" s="3060"/>
      <c r="VCD158" s="3060"/>
      <c r="VCE158" s="3060"/>
      <c r="VCF158" s="3060"/>
      <c r="VCG158" s="3060"/>
      <c r="VCH158" s="3060"/>
      <c r="VCI158" s="3060"/>
      <c r="VCJ158" s="3060"/>
      <c r="VCK158" s="3060"/>
      <c r="VCL158" s="3060"/>
      <c r="VCM158" s="3060"/>
      <c r="VCN158" s="3060"/>
      <c r="VCO158" s="3060"/>
      <c r="VCP158" s="3060"/>
      <c r="VCQ158" s="3060"/>
      <c r="VCR158" s="3060"/>
      <c r="VCS158" s="3060"/>
      <c r="VCT158" s="3060"/>
      <c r="VCU158" s="3060"/>
      <c r="VCV158" s="3060"/>
      <c r="VCW158" s="3060"/>
      <c r="VCX158" s="3060"/>
      <c r="VCY158" s="3060"/>
      <c r="VCZ158" s="3060"/>
      <c r="VDA158" s="3060"/>
      <c r="VDB158" s="3060"/>
      <c r="VDC158" s="3060"/>
      <c r="VDD158" s="3060"/>
      <c r="VDE158" s="3060"/>
      <c r="VDF158" s="3060"/>
      <c r="VDG158" s="3060"/>
      <c r="VDH158" s="3060"/>
      <c r="VDI158" s="3060"/>
      <c r="VDJ158" s="3060"/>
      <c r="VDK158" s="3060"/>
      <c r="VDL158" s="3060"/>
      <c r="VDM158" s="3060"/>
      <c r="VDN158" s="3060"/>
      <c r="VDO158" s="3060"/>
      <c r="VDP158" s="3060"/>
      <c r="VDQ158" s="3060"/>
      <c r="VDR158" s="3060"/>
      <c r="VDS158" s="3060"/>
      <c r="VDT158" s="3060"/>
      <c r="VDU158" s="3060"/>
      <c r="VDV158" s="3060"/>
      <c r="VDW158" s="3060"/>
      <c r="VDX158" s="3060"/>
      <c r="VDY158" s="3060"/>
      <c r="VDZ158" s="3060"/>
      <c r="VEA158" s="3060"/>
      <c r="VEB158" s="3060"/>
      <c r="VEC158" s="3060"/>
      <c r="VED158" s="3060"/>
      <c r="VEE158" s="3060"/>
      <c r="VEF158" s="3060"/>
      <c r="VEG158" s="3060"/>
      <c r="VEH158" s="3060"/>
      <c r="VEI158" s="3060"/>
      <c r="VEJ158" s="3060"/>
      <c r="VEK158" s="3060"/>
      <c r="VEL158" s="3060"/>
      <c r="VEM158" s="3060"/>
      <c r="VEN158" s="3060"/>
      <c r="VEO158" s="3060"/>
      <c r="VEP158" s="3060"/>
      <c r="VEQ158" s="3060"/>
      <c r="VER158" s="3060"/>
      <c r="VES158" s="3060"/>
      <c r="VET158" s="3060"/>
      <c r="VEU158" s="3060"/>
      <c r="VEV158" s="3060"/>
      <c r="VEW158" s="3060"/>
      <c r="VEX158" s="3060"/>
      <c r="VEY158" s="3060"/>
      <c r="VEZ158" s="3060"/>
      <c r="VFA158" s="3060"/>
      <c r="VFB158" s="3060"/>
      <c r="VFC158" s="3060"/>
      <c r="VFD158" s="3060"/>
      <c r="VFE158" s="3060"/>
      <c r="VFF158" s="3060"/>
      <c r="VFG158" s="3060"/>
      <c r="VFH158" s="3060"/>
      <c r="VFI158" s="3060"/>
      <c r="VFJ158" s="3060"/>
      <c r="VFK158" s="3060"/>
      <c r="VFL158" s="3060"/>
      <c r="VFM158" s="3060"/>
      <c r="VFN158" s="3060"/>
      <c r="VFO158" s="3060"/>
      <c r="VFP158" s="3060"/>
      <c r="VFQ158" s="3060"/>
      <c r="VFR158" s="3060"/>
      <c r="VFS158" s="3060"/>
      <c r="VFT158" s="3060"/>
      <c r="VFU158" s="3060"/>
      <c r="VFV158" s="3060"/>
      <c r="VFW158" s="3060"/>
      <c r="VFX158" s="3060"/>
      <c r="VFY158" s="3060"/>
      <c r="VFZ158" s="3060"/>
      <c r="VGA158" s="3060"/>
      <c r="VGB158" s="3060"/>
      <c r="VGC158" s="3060"/>
      <c r="VGD158" s="3060"/>
      <c r="VGE158" s="3060"/>
      <c r="VGF158" s="3060"/>
      <c r="VGG158" s="3060"/>
      <c r="VGH158" s="3060"/>
      <c r="VGI158" s="3060"/>
      <c r="VGJ158" s="3060"/>
      <c r="VGK158" s="3060"/>
      <c r="VGL158" s="3060"/>
      <c r="VGM158" s="3060"/>
      <c r="VGN158" s="3060"/>
      <c r="VGO158" s="3060"/>
      <c r="VGP158" s="3060"/>
      <c r="VGQ158" s="3060"/>
      <c r="VGR158" s="3060"/>
      <c r="VGS158" s="3060"/>
      <c r="VGT158" s="3060"/>
      <c r="VGU158" s="3060"/>
      <c r="VGV158" s="3060"/>
      <c r="VGW158" s="3060"/>
      <c r="VGX158" s="3060"/>
      <c r="VGY158" s="3060"/>
      <c r="VGZ158" s="3060"/>
      <c r="VHA158" s="3060"/>
      <c r="VHB158" s="3060"/>
      <c r="VHC158" s="3060"/>
      <c r="VHD158" s="3060"/>
      <c r="VHE158" s="3060"/>
      <c r="VHF158" s="3060"/>
      <c r="VHG158" s="3060"/>
      <c r="VHH158" s="3060"/>
      <c r="VHI158" s="3060"/>
      <c r="VHJ158" s="3060"/>
      <c r="VHK158" s="3060"/>
      <c r="VHL158" s="3060"/>
      <c r="VHM158" s="3060"/>
      <c r="VHN158" s="3060"/>
      <c r="VHO158" s="3060"/>
      <c r="VHP158" s="3060"/>
      <c r="VHQ158" s="3060"/>
      <c r="VHR158" s="3060"/>
      <c r="VHS158" s="3060"/>
      <c r="VHT158" s="3060"/>
      <c r="VHU158" s="3060"/>
      <c r="VHV158" s="3060"/>
      <c r="VHW158" s="3060"/>
      <c r="VHX158" s="3060"/>
      <c r="VHY158" s="3060"/>
      <c r="VHZ158" s="3060"/>
      <c r="VIA158" s="3060"/>
      <c r="VIB158" s="3060"/>
      <c r="VIC158" s="3060"/>
      <c r="VID158" s="3060"/>
      <c r="VIE158" s="3060"/>
      <c r="VIF158" s="3060"/>
      <c r="VIG158" s="3060"/>
      <c r="VIH158" s="3060"/>
      <c r="VII158" s="3060"/>
      <c r="VIJ158" s="3060"/>
      <c r="VIK158" s="3060"/>
      <c r="VIL158" s="3060"/>
      <c r="VIM158" s="3060"/>
      <c r="VIN158" s="3060"/>
      <c r="VIO158" s="3060"/>
      <c r="VIP158" s="3060"/>
      <c r="VIQ158" s="3060"/>
      <c r="VIR158" s="3060"/>
      <c r="VIS158" s="3060"/>
      <c r="VIT158" s="3060"/>
      <c r="VIU158" s="3060"/>
      <c r="VIV158" s="3060"/>
      <c r="VIW158" s="3060"/>
      <c r="VIX158" s="3060"/>
      <c r="VIY158" s="3060"/>
      <c r="VIZ158" s="3060"/>
      <c r="VJA158" s="3060"/>
      <c r="VJB158" s="3060"/>
      <c r="VJC158" s="3060"/>
      <c r="VJD158" s="3060"/>
      <c r="VJE158" s="3060"/>
      <c r="VJF158" s="3060"/>
      <c r="VJG158" s="3060"/>
      <c r="VJH158" s="3060"/>
      <c r="VJI158" s="3060"/>
      <c r="VJJ158" s="3060"/>
      <c r="VJK158" s="3060"/>
      <c r="VJL158" s="3060"/>
      <c r="VJM158" s="3060"/>
      <c r="VJN158" s="3060"/>
      <c r="VJO158" s="3060"/>
      <c r="VJP158" s="3060"/>
      <c r="VJQ158" s="3060"/>
      <c r="VJR158" s="3060"/>
      <c r="VJS158" s="3060"/>
      <c r="VJT158" s="3060"/>
      <c r="VJU158" s="3060"/>
      <c r="VJV158" s="3060"/>
      <c r="VJW158" s="3060"/>
      <c r="VJX158" s="3060"/>
      <c r="VJY158" s="3060"/>
      <c r="VJZ158" s="3060"/>
      <c r="VKA158" s="3060"/>
      <c r="VKB158" s="3060"/>
      <c r="VKC158" s="3060"/>
      <c r="VKD158" s="3060"/>
      <c r="VKE158" s="3060"/>
      <c r="VKF158" s="3060"/>
      <c r="VKG158" s="3060"/>
      <c r="VKH158" s="3060"/>
      <c r="VKI158" s="3060"/>
      <c r="VKJ158" s="3060"/>
      <c r="VKK158" s="3060"/>
      <c r="VKL158" s="3060"/>
      <c r="VKM158" s="3060"/>
      <c r="VKN158" s="3060"/>
      <c r="VKO158" s="3060"/>
      <c r="VKP158" s="3060"/>
      <c r="VKQ158" s="3060"/>
      <c r="VKR158" s="3060"/>
      <c r="VKS158" s="3060"/>
      <c r="VKT158" s="3060"/>
      <c r="VKU158" s="3060"/>
      <c r="VKV158" s="3060"/>
      <c r="VKW158" s="3060"/>
      <c r="VKX158" s="3060"/>
      <c r="VKY158" s="3060"/>
      <c r="VKZ158" s="3060"/>
      <c r="VLA158" s="3060"/>
      <c r="VLB158" s="3060"/>
      <c r="VLC158" s="3060"/>
      <c r="VLD158" s="3060"/>
      <c r="VLE158" s="3060"/>
      <c r="VLF158" s="3060"/>
      <c r="VLG158" s="3060"/>
      <c r="VLH158" s="3060"/>
      <c r="VLI158" s="3060"/>
      <c r="VLJ158" s="3060"/>
      <c r="VLK158" s="3060"/>
      <c r="VLL158" s="3060"/>
      <c r="VLM158" s="3060"/>
      <c r="VLN158" s="3060"/>
      <c r="VLO158" s="3060"/>
      <c r="VLP158" s="3060"/>
      <c r="VLQ158" s="3060"/>
      <c r="VLR158" s="3060"/>
      <c r="VLS158" s="3060"/>
      <c r="VLT158" s="3060"/>
      <c r="VLU158" s="3060"/>
      <c r="VLV158" s="3060"/>
      <c r="VLW158" s="3060"/>
      <c r="VLX158" s="3060"/>
      <c r="VLY158" s="3060"/>
      <c r="VLZ158" s="3060"/>
      <c r="VMA158" s="3060"/>
      <c r="VMB158" s="3060"/>
      <c r="VMC158" s="3060"/>
      <c r="VMD158" s="3060"/>
      <c r="VME158" s="3060"/>
      <c r="VMF158" s="3060"/>
      <c r="VMG158" s="3060"/>
      <c r="VMH158" s="3060"/>
      <c r="VMI158" s="3060"/>
      <c r="VMJ158" s="3060"/>
      <c r="VMK158" s="3060"/>
      <c r="VML158" s="3060"/>
      <c r="VMM158" s="3060"/>
      <c r="VMN158" s="3060"/>
      <c r="VMO158" s="3060"/>
      <c r="VMP158" s="3060"/>
      <c r="VMQ158" s="3060"/>
      <c r="VMR158" s="3060"/>
      <c r="VMS158" s="3060"/>
      <c r="VMT158" s="3060"/>
      <c r="VMU158" s="3060"/>
      <c r="VMV158" s="3060"/>
      <c r="VMW158" s="3060"/>
      <c r="VMX158" s="3060"/>
      <c r="VMY158" s="3060"/>
      <c r="VMZ158" s="3060"/>
      <c r="VNA158" s="3060"/>
      <c r="VNB158" s="3060"/>
      <c r="VNC158" s="3060"/>
      <c r="VND158" s="3060"/>
      <c r="VNE158" s="3060"/>
      <c r="VNF158" s="3060"/>
      <c r="VNG158" s="3060"/>
      <c r="VNH158" s="3060"/>
      <c r="VNI158" s="3060"/>
      <c r="VNJ158" s="3060"/>
      <c r="VNK158" s="3060"/>
      <c r="VNL158" s="3060"/>
      <c r="VNM158" s="3060"/>
      <c r="VNN158" s="3060"/>
      <c r="VNO158" s="3060"/>
      <c r="VNP158" s="3060"/>
      <c r="VNQ158" s="3060"/>
      <c r="VNR158" s="3060"/>
      <c r="VNS158" s="3060"/>
      <c r="VNT158" s="3060"/>
      <c r="VNU158" s="3060"/>
      <c r="VNV158" s="3060"/>
      <c r="VNW158" s="3060"/>
      <c r="VNX158" s="3060"/>
      <c r="VNY158" s="3060"/>
      <c r="VNZ158" s="3060"/>
      <c r="VOA158" s="3060"/>
      <c r="VOB158" s="3060"/>
      <c r="VOC158" s="3060"/>
      <c r="VOD158" s="3060"/>
      <c r="VOE158" s="3060"/>
      <c r="VOF158" s="3060"/>
      <c r="VOG158" s="3060"/>
      <c r="VOH158" s="3060"/>
      <c r="VOI158" s="3060"/>
      <c r="VOJ158" s="3060"/>
      <c r="VOK158" s="3060"/>
      <c r="VOL158" s="3060"/>
      <c r="VOM158" s="3060"/>
      <c r="VON158" s="3060"/>
      <c r="VOO158" s="3060"/>
      <c r="VOP158" s="3060"/>
      <c r="VOQ158" s="3060"/>
      <c r="VOR158" s="3060"/>
      <c r="VOS158" s="3060"/>
      <c r="VOT158" s="3060"/>
      <c r="VOU158" s="3060"/>
      <c r="VOV158" s="3060"/>
      <c r="VOW158" s="3060"/>
      <c r="VOX158" s="3060"/>
      <c r="VOY158" s="3060"/>
      <c r="VOZ158" s="3060"/>
      <c r="VPA158" s="3060"/>
      <c r="VPB158" s="3060"/>
      <c r="VPC158" s="3060"/>
      <c r="VPD158" s="3060"/>
      <c r="VPE158" s="3060"/>
      <c r="VPF158" s="3060"/>
      <c r="VPG158" s="3060"/>
      <c r="VPH158" s="3060"/>
      <c r="VPI158" s="3060"/>
      <c r="VPJ158" s="3060"/>
      <c r="VPK158" s="3060"/>
      <c r="VPL158" s="3060"/>
      <c r="VPM158" s="3060"/>
      <c r="VPN158" s="3060"/>
      <c r="VPO158" s="3060"/>
      <c r="VPP158" s="3060"/>
      <c r="VPQ158" s="3060"/>
      <c r="VPR158" s="3060"/>
      <c r="VPS158" s="3060"/>
      <c r="VPT158" s="3060"/>
      <c r="VPU158" s="3060"/>
      <c r="VPV158" s="3060"/>
      <c r="VPW158" s="3060"/>
      <c r="VPX158" s="3060"/>
      <c r="VPY158" s="3060"/>
      <c r="VPZ158" s="3060"/>
      <c r="VQA158" s="3060"/>
      <c r="VQB158" s="3060"/>
      <c r="VQC158" s="3060"/>
      <c r="VQD158" s="3060"/>
      <c r="VQE158" s="3060"/>
      <c r="VQF158" s="3060"/>
      <c r="VQG158" s="3060"/>
      <c r="VQH158" s="3060"/>
      <c r="VQI158" s="3060"/>
      <c r="VQJ158" s="3060"/>
      <c r="VQK158" s="3060"/>
      <c r="VQL158" s="3060"/>
      <c r="VQM158" s="3060"/>
      <c r="VQN158" s="3060"/>
      <c r="VQO158" s="3060"/>
      <c r="VQP158" s="3060"/>
      <c r="VQQ158" s="3060"/>
      <c r="VQR158" s="3060"/>
      <c r="VQS158" s="3060"/>
      <c r="VQT158" s="3060"/>
      <c r="VQU158" s="3060"/>
      <c r="VQV158" s="3060"/>
      <c r="VQW158" s="3060"/>
      <c r="VQX158" s="3060"/>
      <c r="VQY158" s="3060"/>
      <c r="VQZ158" s="3060"/>
      <c r="VRA158" s="3060"/>
      <c r="VRB158" s="3060"/>
      <c r="VRC158" s="3060"/>
      <c r="VRD158" s="3060"/>
      <c r="VRE158" s="3060"/>
      <c r="VRF158" s="3060"/>
      <c r="VRG158" s="3060"/>
      <c r="VRH158" s="3060"/>
      <c r="VRI158" s="3060"/>
      <c r="VRJ158" s="3060"/>
      <c r="VRK158" s="3060"/>
      <c r="VRL158" s="3060"/>
      <c r="VRM158" s="3060"/>
      <c r="VRN158" s="3060"/>
      <c r="VRO158" s="3060"/>
      <c r="VRP158" s="3060"/>
      <c r="VRQ158" s="3060"/>
      <c r="VRR158" s="3060"/>
      <c r="VRS158" s="3060"/>
      <c r="VRT158" s="3060"/>
      <c r="VRU158" s="3060"/>
      <c r="VRV158" s="3060"/>
      <c r="VRW158" s="3060"/>
      <c r="VRX158" s="3060"/>
      <c r="VRY158" s="3060"/>
      <c r="VRZ158" s="3060"/>
      <c r="VSA158" s="3060"/>
      <c r="VSB158" s="3060"/>
      <c r="VSC158" s="3060"/>
      <c r="VSD158" s="3060"/>
      <c r="VSE158" s="3060"/>
      <c r="VSF158" s="3060"/>
      <c r="VSG158" s="3060"/>
      <c r="VSH158" s="3060"/>
      <c r="VSI158" s="3060"/>
      <c r="VSJ158" s="3060"/>
      <c r="VSK158" s="3060"/>
      <c r="VSL158" s="3060"/>
      <c r="VSM158" s="3060"/>
      <c r="VSN158" s="3060"/>
      <c r="VSO158" s="3060"/>
      <c r="VSP158" s="3060"/>
      <c r="VSQ158" s="3060"/>
      <c r="VSR158" s="3060"/>
      <c r="VSS158" s="3060"/>
      <c r="VST158" s="3060"/>
      <c r="VSU158" s="3060"/>
      <c r="VSV158" s="3060"/>
      <c r="VSW158" s="3060"/>
      <c r="VSX158" s="3060"/>
      <c r="VSY158" s="3060"/>
      <c r="VSZ158" s="3060"/>
      <c r="VTA158" s="3060"/>
      <c r="VTB158" s="3060"/>
      <c r="VTC158" s="3060"/>
      <c r="VTD158" s="3060"/>
      <c r="VTE158" s="3060"/>
      <c r="VTF158" s="3060"/>
      <c r="VTG158" s="3060"/>
      <c r="VTH158" s="3060"/>
      <c r="VTI158" s="3060"/>
      <c r="VTJ158" s="3060"/>
      <c r="VTK158" s="3060"/>
      <c r="VTL158" s="3060"/>
      <c r="VTM158" s="3060"/>
      <c r="VTN158" s="3060"/>
      <c r="VTO158" s="3060"/>
      <c r="VTP158" s="3060"/>
      <c r="VTQ158" s="3060"/>
      <c r="VTR158" s="3060"/>
      <c r="VTS158" s="3060"/>
      <c r="VTT158" s="3060"/>
      <c r="VTU158" s="3060"/>
      <c r="VTV158" s="3060"/>
      <c r="VTW158" s="3060"/>
      <c r="VTX158" s="3060"/>
      <c r="VTY158" s="3060"/>
      <c r="VTZ158" s="3060"/>
      <c r="VUA158" s="3060"/>
      <c r="VUB158" s="3060"/>
      <c r="VUC158" s="3060"/>
      <c r="VUD158" s="3060"/>
      <c r="VUE158" s="3060"/>
      <c r="VUF158" s="3060"/>
      <c r="VUG158" s="3060"/>
      <c r="VUH158" s="3060"/>
      <c r="VUI158" s="3060"/>
      <c r="VUJ158" s="3060"/>
      <c r="VUK158" s="3060"/>
      <c r="VUL158" s="3060"/>
      <c r="VUM158" s="3060"/>
      <c r="VUN158" s="3060"/>
      <c r="VUO158" s="3060"/>
      <c r="VUP158" s="3060"/>
      <c r="VUQ158" s="3060"/>
      <c r="VUR158" s="3060"/>
      <c r="VUS158" s="3060"/>
      <c r="VUT158" s="3060"/>
      <c r="VUU158" s="3060"/>
      <c r="VUV158" s="3060"/>
      <c r="VUW158" s="3060"/>
      <c r="VUX158" s="3060"/>
      <c r="VUY158" s="3060"/>
      <c r="VUZ158" s="3060"/>
      <c r="VVA158" s="3060"/>
      <c r="VVB158" s="3060"/>
      <c r="VVC158" s="3060"/>
      <c r="VVD158" s="3060"/>
      <c r="VVE158" s="3060"/>
      <c r="VVF158" s="3060"/>
      <c r="VVG158" s="3060"/>
      <c r="VVH158" s="3060"/>
      <c r="VVI158" s="3060"/>
      <c r="VVJ158" s="3060"/>
      <c r="VVK158" s="3060"/>
      <c r="VVL158" s="3060"/>
      <c r="VVM158" s="3060"/>
      <c r="VVN158" s="3060"/>
      <c r="VVO158" s="3060"/>
      <c r="VVP158" s="3060"/>
      <c r="VVQ158" s="3060"/>
      <c r="VVR158" s="3060"/>
      <c r="VVS158" s="3060"/>
      <c r="VVT158" s="3060"/>
      <c r="VVU158" s="3060"/>
      <c r="VVV158" s="3060"/>
      <c r="VVW158" s="3060"/>
      <c r="VVX158" s="3060"/>
      <c r="VVY158" s="3060"/>
      <c r="VVZ158" s="3060"/>
      <c r="VWA158" s="3060"/>
      <c r="VWB158" s="3060"/>
      <c r="VWC158" s="3060"/>
      <c r="VWD158" s="3060"/>
      <c r="VWE158" s="3060"/>
      <c r="VWF158" s="3060"/>
      <c r="VWG158" s="3060"/>
      <c r="VWH158" s="3060"/>
      <c r="VWI158" s="3060"/>
      <c r="VWJ158" s="3060"/>
      <c r="VWK158" s="3060"/>
      <c r="VWL158" s="3060"/>
      <c r="VWM158" s="3060"/>
      <c r="VWN158" s="3060"/>
      <c r="VWO158" s="3060"/>
      <c r="VWP158" s="3060"/>
      <c r="VWQ158" s="3060"/>
      <c r="VWR158" s="3060"/>
      <c r="VWS158" s="3060"/>
      <c r="VWT158" s="3060"/>
      <c r="VWU158" s="3060"/>
      <c r="VWV158" s="3060"/>
      <c r="VWW158" s="3060"/>
      <c r="VWX158" s="3060"/>
      <c r="VWY158" s="3060"/>
      <c r="VWZ158" s="3060"/>
      <c r="VXA158" s="3060"/>
      <c r="VXB158" s="3060"/>
      <c r="VXC158" s="3060"/>
      <c r="VXD158" s="3060"/>
      <c r="VXE158" s="3060"/>
      <c r="VXF158" s="3060"/>
      <c r="VXG158" s="3060"/>
      <c r="VXH158" s="3060"/>
      <c r="VXI158" s="3060"/>
      <c r="VXJ158" s="3060"/>
      <c r="VXK158" s="3060"/>
      <c r="VXL158" s="3060"/>
      <c r="VXM158" s="3060"/>
      <c r="VXN158" s="3060"/>
      <c r="VXO158" s="3060"/>
      <c r="VXP158" s="3060"/>
      <c r="VXQ158" s="3060"/>
      <c r="VXR158" s="3060"/>
      <c r="VXS158" s="3060"/>
      <c r="VXT158" s="3060"/>
      <c r="VXU158" s="3060"/>
      <c r="VXV158" s="3060"/>
      <c r="VXW158" s="3060"/>
      <c r="VXX158" s="3060"/>
      <c r="VXY158" s="3060"/>
      <c r="VXZ158" s="3060"/>
      <c r="VYA158" s="3060"/>
      <c r="VYB158" s="3060"/>
      <c r="VYC158" s="3060"/>
      <c r="VYD158" s="3060"/>
      <c r="VYE158" s="3060"/>
      <c r="VYF158" s="3060"/>
      <c r="VYG158" s="3060"/>
      <c r="VYH158" s="3060"/>
      <c r="VYI158" s="3060"/>
      <c r="VYJ158" s="3060"/>
      <c r="VYK158" s="3060"/>
      <c r="VYL158" s="3060"/>
      <c r="VYM158" s="3060"/>
      <c r="VYN158" s="3060"/>
      <c r="VYO158" s="3060"/>
      <c r="VYP158" s="3060"/>
      <c r="VYQ158" s="3060"/>
      <c r="VYR158" s="3060"/>
      <c r="VYS158" s="3060"/>
      <c r="VYT158" s="3060"/>
      <c r="VYU158" s="3060"/>
      <c r="VYV158" s="3060"/>
      <c r="VYW158" s="3060"/>
      <c r="VYX158" s="3060"/>
      <c r="VYY158" s="3060"/>
      <c r="VYZ158" s="3060"/>
      <c r="VZA158" s="3060"/>
      <c r="VZB158" s="3060"/>
      <c r="VZC158" s="3060"/>
      <c r="VZD158" s="3060"/>
      <c r="VZE158" s="3060"/>
      <c r="VZF158" s="3060"/>
      <c r="VZG158" s="3060"/>
      <c r="VZH158" s="3060"/>
      <c r="VZI158" s="3060"/>
      <c r="VZJ158" s="3060"/>
      <c r="VZK158" s="3060"/>
      <c r="VZL158" s="3060"/>
      <c r="VZM158" s="3060"/>
      <c r="VZN158" s="3060"/>
      <c r="VZO158" s="3060"/>
      <c r="VZP158" s="3060"/>
      <c r="VZQ158" s="3060"/>
      <c r="VZR158" s="3060"/>
      <c r="VZS158" s="3060"/>
      <c r="VZT158" s="3060"/>
      <c r="VZU158" s="3060"/>
      <c r="VZV158" s="3060"/>
      <c r="VZW158" s="3060"/>
      <c r="VZX158" s="3060"/>
      <c r="VZY158" s="3060"/>
      <c r="VZZ158" s="3060"/>
      <c r="WAA158" s="3060"/>
      <c r="WAB158" s="3060"/>
      <c r="WAC158" s="3060"/>
      <c r="WAD158" s="3060"/>
      <c r="WAE158" s="3060"/>
      <c r="WAF158" s="3060"/>
      <c r="WAG158" s="3060"/>
      <c r="WAH158" s="3060"/>
      <c r="WAI158" s="3060"/>
      <c r="WAJ158" s="3060"/>
      <c r="WAK158" s="3060"/>
      <c r="WAL158" s="3060"/>
      <c r="WAM158" s="3060"/>
      <c r="WAN158" s="3060"/>
      <c r="WAO158" s="3060"/>
      <c r="WAP158" s="3060"/>
      <c r="WAQ158" s="3060"/>
      <c r="WAR158" s="3060"/>
      <c r="WAS158" s="3060"/>
      <c r="WAT158" s="3060"/>
      <c r="WAU158" s="3060"/>
      <c r="WAV158" s="3060"/>
      <c r="WAW158" s="3060"/>
      <c r="WAX158" s="3060"/>
      <c r="WAY158" s="3060"/>
      <c r="WAZ158" s="3060"/>
      <c r="WBA158" s="3060"/>
      <c r="WBB158" s="3060"/>
      <c r="WBC158" s="3060"/>
      <c r="WBD158" s="3060"/>
      <c r="WBE158" s="3060"/>
      <c r="WBF158" s="3060"/>
      <c r="WBG158" s="3060"/>
      <c r="WBH158" s="3060"/>
      <c r="WBI158" s="3060"/>
      <c r="WBJ158" s="3060"/>
      <c r="WBK158" s="3060"/>
      <c r="WBL158" s="3060"/>
      <c r="WBM158" s="3060"/>
      <c r="WBN158" s="3060"/>
      <c r="WBO158" s="3060"/>
      <c r="WBP158" s="3060"/>
      <c r="WBQ158" s="3060"/>
      <c r="WBR158" s="3060"/>
      <c r="WBS158" s="3060"/>
      <c r="WBT158" s="3060"/>
      <c r="WBU158" s="3060"/>
      <c r="WBV158" s="3060"/>
      <c r="WBW158" s="3060"/>
      <c r="WBX158" s="3060"/>
      <c r="WBY158" s="3060"/>
      <c r="WBZ158" s="3060"/>
      <c r="WCA158" s="3060"/>
      <c r="WCB158" s="3060"/>
      <c r="WCC158" s="3060"/>
      <c r="WCD158" s="3060"/>
      <c r="WCE158" s="3060"/>
      <c r="WCF158" s="3060"/>
      <c r="WCG158" s="3060"/>
      <c r="WCH158" s="3060"/>
      <c r="WCI158" s="3060"/>
      <c r="WCJ158" s="3060"/>
      <c r="WCK158" s="3060"/>
      <c r="WCL158" s="3060"/>
      <c r="WCM158" s="3060"/>
      <c r="WCN158" s="3060"/>
      <c r="WCO158" s="3060"/>
      <c r="WCP158" s="3060"/>
      <c r="WCQ158" s="3060"/>
      <c r="WCR158" s="3060"/>
      <c r="WCS158" s="3060"/>
      <c r="WCT158" s="3060"/>
      <c r="WCU158" s="3060"/>
      <c r="WCV158" s="3060"/>
      <c r="WCW158" s="3060"/>
      <c r="WCX158" s="3060"/>
      <c r="WCY158" s="3060"/>
      <c r="WCZ158" s="3060"/>
      <c r="WDA158" s="3060"/>
      <c r="WDB158" s="3060"/>
      <c r="WDC158" s="3060"/>
      <c r="WDD158" s="3060"/>
      <c r="WDE158" s="3060"/>
      <c r="WDF158" s="3060"/>
      <c r="WDG158" s="3060"/>
      <c r="WDH158" s="3060"/>
      <c r="WDI158" s="3060"/>
      <c r="WDJ158" s="3060"/>
      <c r="WDK158" s="3060"/>
      <c r="WDL158" s="3060"/>
      <c r="WDM158" s="3060"/>
      <c r="WDN158" s="3060"/>
      <c r="WDO158" s="3060"/>
      <c r="WDP158" s="3060"/>
      <c r="WDQ158" s="3060"/>
      <c r="WDR158" s="3060"/>
      <c r="WDS158" s="3060"/>
      <c r="WDT158" s="3060"/>
      <c r="WDU158" s="3060"/>
      <c r="WDV158" s="3060"/>
      <c r="WDW158" s="3060"/>
      <c r="WDX158" s="3060"/>
      <c r="WDY158" s="3060"/>
      <c r="WDZ158" s="3060"/>
      <c r="WEA158" s="3060"/>
      <c r="WEB158" s="3060"/>
      <c r="WEC158" s="3060"/>
      <c r="WED158" s="3060"/>
      <c r="WEE158" s="3060"/>
      <c r="WEF158" s="3060"/>
      <c r="WEG158" s="3060"/>
      <c r="WEH158" s="3060"/>
      <c r="WEI158" s="3060"/>
      <c r="WEJ158" s="3060"/>
      <c r="WEK158" s="3060"/>
      <c r="WEL158" s="3060"/>
      <c r="WEM158" s="3060"/>
      <c r="WEN158" s="3060"/>
      <c r="WEO158" s="3060"/>
      <c r="WEP158" s="3060"/>
      <c r="WEQ158" s="3060"/>
      <c r="WER158" s="3060"/>
      <c r="WES158" s="3060"/>
      <c r="WET158" s="3060"/>
      <c r="WEU158" s="3060"/>
      <c r="WEV158" s="3060"/>
      <c r="WEW158" s="3060"/>
      <c r="WEX158" s="3060"/>
      <c r="WEY158" s="3060"/>
      <c r="WEZ158" s="3060"/>
      <c r="WFA158" s="3060"/>
      <c r="WFB158" s="3060"/>
      <c r="WFC158" s="3060"/>
      <c r="WFD158" s="3060"/>
      <c r="WFE158" s="3060"/>
      <c r="WFF158" s="3060"/>
      <c r="WFG158" s="3060"/>
      <c r="WFH158" s="3060"/>
      <c r="WFI158" s="3060"/>
      <c r="WFJ158" s="3060"/>
      <c r="WFK158" s="3060"/>
      <c r="WFL158" s="3060"/>
      <c r="WFM158" s="3060"/>
      <c r="WFN158" s="3060"/>
      <c r="WFO158" s="3060"/>
      <c r="WFP158" s="3060"/>
      <c r="WFQ158" s="3060"/>
      <c r="WFR158" s="3060"/>
      <c r="WFS158" s="3060"/>
      <c r="WFT158" s="3060"/>
      <c r="WFU158" s="3060"/>
      <c r="WFV158" s="3060"/>
      <c r="WFW158" s="3060"/>
      <c r="WFX158" s="3060"/>
      <c r="WFY158" s="3060"/>
      <c r="WFZ158" s="3060"/>
      <c r="WGA158" s="3060"/>
      <c r="WGB158" s="3060"/>
      <c r="WGC158" s="3060"/>
      <c r="WGD158" s="3060"/>
      <c r="WGE158" s="3060"/>
      <c r="WGF158" s="3060"/>
      <c r="WGG158" s="3060"/>
      <c r="WGH158" s="3060"/>
      <c r="WGI158" s="3060"/>
      <c r="WGJ158" s="3060"/>
      <c r="WGK158" s="3060"/>
      <c r="WGL158" s="3060"/>
      <c r="WGM158" s="3060"/>
      <c r="WGN158" s="3060"/>
      <c r="WGO158" s="3060"/>
      <c r="WGP158" s="3060"/>
      <c r="WGQ158" s="3060"/>
      <c r="WGR158" s="3060"/>
      <c r="WGS158" s="3060"/>
      <c r="WGT158" s="3060"/>
      <c r="WGU158" s="3060"/>
      <c r="WGV158" s="3060"/>
      <c r="WGW158" s="3060"/>
      <c r="WGX158" s="3060"/>
      <c r="WGY158" s="3060"/>
      <c r="WGZ158" s="3060"/>
      <c r="WHA158" s="3060"/>
      <c r="WHB158" s="3060"/>
      <c r="WHC158" s="3060"/>
      <c r="WHD158" s="3060"/>
      <c r="WHE158" s="3060"/>
      <c r="WHF158" s="3060"/>
      <c r="WHG158" s="3060"/>
      <c r="WHH158" s="3060"/>
      <c r="WHI158" s="3060"/>
      <c r="WHJ158" s="3060"/>
      <c r="WHK158" s="3060"/>
      <c r="WHL158" s="3060"/>
      <c r="WHM158" s="3060"/>
      <c r="WHN158" s="3060"/>
      <c r="WHO158" s="3060"/>
      <c r="WHP158" s="3060"/>
      <c r="WHQ158" s="3060"/>
      <c r="WHR158" s="3060"/>
      <c r="WHS158" s="3060"/>
      <c r="WHT158" s="3060"/>
      <c r="WHU158" s="3060"/>
      <c r="WHV158" s="3060"/>
      <c r="WHW158" s="3060"/>
      <c r="WHX158" s="3060"/>
      <c r="WHY158" s="3060"/>
      <c r="WHZ158" s="3060"/>
      <c r="WIA158" s="3060"/>
      <c r="WIB158" s="3060"/>
      <c r="WIC158" s="3060"/>
      <c r="WID158" s="3060"/>
      <c r="WIE158" s="3060"/>
      <c r="WIF158" s="3060"/>
      <c r="WIG158" s="3060"/>
      <c r="WIH158" s="3060"/>
      <c r="WII158" s="3060"/>
      <c r="WIJ158" s="3060"/>
      <c r="WIK158" s="3060"/>
      <c r="WIL158" s="3060"/>
      <c r="WIM158" s="3060"/>
      <c r="WIN158" s="3060"/>
      <c r="WIO158" s="3060"/>
      <c r="WIP158" s="3060"/>
      <c r="WIQ158" s="3060"/>
      <c r="WIR158" s="3060"/>
      <c r="WIS158" s="3060"/>
      <c r="WIT158" s="3060"/>
      <c r="WIU158" s="3060"/>
      <c r="WIV158" s="3060"/>
      <c r="WIW158" s="3060"/>
      <c r="WIX158" s="3060"/>
      <c r="WIY158" s="3060"/>
      <c r="WIZ158" s="3060"/>
      <c r="WJA158" s="3060"/>
      <c r="WJB158" s="3060"/>
      <c r="WJC158" s="3060"/>
      <c r="WJD158" s="3060"/>
      <c r="WJE158" s="3060"/>
      <c r="WJF158" s="3060"/>
      <c r="WJG158" s="3060"/>
      <c r="WJH158" s="3060"/>
      <c r="WJI158" s="3060"/>
      <c r="WJJ158" s="3060"/>
      <c r="WJK158" s="3060"/>
      <c r="WJL158" s="3060"/>
      <c r="WJM158" s="3060"/>
      <c r="WJN158" s="3060"/>
      <c r="WJO158" s="3060"/>
      <c r="WJP158" s="3060"/>
      <c r="WJQ158" s="3060"/>
      <c r="WJR158" s="3060"/>
      <c r="WJS158" s="3060"/>
      <c r="WJT158" s="3060"/>
      <c r="WJU158" s="3060"/>
      <c r="WJV158" s="3060"/>
      <c r="WJW158" s="3060"/>
      <c r="WJX158" s="3060"/>
      <c r="WJY158" s="3060"/>
      <c r="WJZ158" s="3060"/>
      <c r="WKA158" s="3060"/>
      <c r="WKB158" s="3060"/>
      <c r="WKC158" s="3060"/>
      <c r="WKD158" s="3060"/>
      <c r="WKE158" s="3060"/>
      <c r="WKF158" s="3060"/>
      <c r="WKG158" s="3060"/>
      <c r="WKH158" s="3060"/>
      <c r="WKI158" s="3060"/>
      <c r="WKJ158" s="3060"/>
      <c r="WKK158" s="3060"/>
      <c r="WKL158" s="3060"/>
      <c r="WKM158" s="3060"/>
      <c r="WKN158" s="3060"/>
      <c r="WKO158" s="3060"/>
      <c r="WKP158" s="3060"/>
      <c r="WKQ158" s="3060"/>
      <c r="WKR158" s="3060"/>
      <c r="WKS158" s="3060"/>
      <c r="WKT158" s="3060"/>
      <c r="WKU158" s="3060"/>
      <c r="WKV158" s="3060"/>
      <c r="WKW158" s="3060"/>
      <c r="WKX158" s="3060"/>
      <c r="WKY158" s="3060"/>
      <c r="WKZ158" s="3060"/>
      <c r="WLA158" s="3060"/>
      <c r="WLB158" s="3060"/>
      <c r="WLC158" s="3060"/>
      <c r="WLD158" s="3060"/>
      <c r="WLE158" s="3060"/>
      <c r="WLF158" s="3060"/>
      <c r="WLG158" s="3060"/>
      <c r="WLH158" s="3060"/>
      <c r="WLI158" s="3060"/>
      <c r="WLJ158" s="3060"/>
      <c r="WLK158" s="3060"/>
      <c r="WLL158" s="3060"/>
      <c r="WLM158" s="3060"/>
      <c r="WLN158" s="3060"/>
      <c r="WLO158" s="3060"/>
      <c r="WLP158" s="3060"/>
      <c r="WLQ158" s="3060"/>
      <c r="WLR158" s="3060"/>
      <c r="WLS158" s="3060"/>
      <c r="WLT158" s="3060"/>
      <c r="WLU158" s="3060"/>
      <c r="WLV158" s="3060"/>
      <c r="WLW158" s="3060"/>
      <c r="WLX158" s="3060"/>
      <c r="WLY158" s="3060"/>
      <c r="WLZ158" s="3060"/>
      <c r="WMA158" s="3060"/>
      <c r="WMB158" s="3060"/>
      <c r="WMC158" s="3060"/>
      <c r="WMD158" s="3060"/>
      <c r="WME158" s="3060"/>
      <c r="WMF158" s="3060"/>
      <c r="WMG158" s="3060"/>
      <c r="WMH158" s="3060"/>
      <c r="WMI158" s="3060"/>
      <c r="WMJ158" s="3060"/>
      <c r="WMK158" s="3060"/>
      <c r="WML158" s="3060"/>
      <c r="WMM158" s="3060"/>
      <c r="WMN158" s="3060"/>
      <c r="WMO158" s="3060"/>
      <c r="WMP158" s="3060"/>
      <c r="WMQ158" s="3060"/>
      <c r="WMR158" s="3060"/>
      <c r="WMS158" s="3060"/>
      <c r="WMT158" s="3060"/>
      <c r="WMU158" s="3060"/>
      <c r="WMV158" s="3060"/>
      <c r="WMW158" s="3060"/>
      <c r="WMX158" s="3060"/>
      <c r="WMY158" s="3060"/>
      <c r="WMZ158" s="3060"/>
      <c r="WNA158" s="3060"/>
      <c r="WNB158" s="3060"/>
      <c r="WNC158" s="3060"/>
      <c r="WND158" s="3060"/>
      <c r="WNE158" s="3060"/>
      <c r="WNF158" s="3060"/>
      <c r="WNG158" s="3060"/>
      <c r="WNH158" s="3060"/>
      <c r="WNI158" s="3060"/>
      <c r="WNJ158" s="3060"/>
      <c r="WNK158" s="3060"/>
      <c r="WNL158" s="3060"/>
      <c r="WNM158" s="3060"/>
      <c r="WNN158" s="3060"/>
      <c r="WNO158" s="3060"/>
      <c r="WNP158" s="3060"/>
      <c r="WNQ158" s="3060"/>
      <c r="WNR158" s="3060"/>
      <c r="WNS158" s="3060"/>
      <c r="WNT158" s="3060"/>
      <c r="WNU158" s="3060"/>
      <c r="WNV158" s="3060"/>
      <c r="WNW158" s="3060"/>
      <c r="WNX158" s="3060"/>
      <c r="WNY158" s="3060"/>
      <c r="WNZ158" s="3060"/>
      <c r="WOA158" s="3060"/>
      <c r="WOB158" s="3060"/>
      <c r="WOC158" s="3060"/>
      <c r="WOD158" s="3060"/>
      <c r="WOE158" s="3060"/>
      <c r="WOF158" s="3060"/>
      <c r="WOG158" s="3060"/>
      <c r="WOH158" s="3060"/>
      <c r="WOI158" s="3060"/>
      <c r="WOJ158" s="3060"/>
      <c r="WOK158" s="3060"/>
      <c r="WOL158" s="3060"/>
      <c r="WOM158" s="3060"/>
      <c r="WON158" s="3060"/>
      <c r="WOO158" s="3060"/>
      <c r="WOP158" s="3060"/>
      <c r="WOQ158" s="3060"/>
      <c r="WOR158" s="3060"/>
      <c r="WOS158" s="3060"/>
      <c r="WOT158" s="3060"/>
      <c r="WOU158" s="3060"/>
      <c r="WOV158" s="3060"/>
      <c r="WOW158" s="3060"/>
      <c r="WOX158" s="3060"/>
      <c r="WOY158" s="3060"/>
      <c r="WOZ158" s="3060"/>
      <c r="WPA158" s="3060"/>
      <c r="WPB158" s="3060"/>
      <c r="WPC158" s="3060"/>
      <c r="WPD158" s="3060"/>
      <c r="WPE158" s="3060"/>
      <c r="WPF158" s="3060"/>
      <c r="WPG158" s="3060"/>
      <c r="WPH158" s="3060"/>
      <c r="WPI158" s="3060"/>
      <c r="WPJ158" s="3060"/>
      <c r="WPK158" s="3060"/>
      <c r="WPL158" s="3060"/>
      <c r="WPM158" s="3060"/>
      <c r="WPN158" s="3060"/>
      <c r="WPO158" s="3060"/>
      <c r="WPP158" s="3060"/>
      <c r="WPQ158" s="3060"/>
      <c r="WPR158" s="3060"/>
      <c r="WPS158" s="3060"/>
      <c r="WPT158" s="3060"/>
      <c r="WPU158" s="3060"/>
      <c r="WPV158" s="3060"/>
      <c r="WPW158" s="3060"/>
      <c r="WPX158" s="3060"/>
      <c r="WPY158" s="3060"/>
      <c r="WPZ158" s="3060"/>
      <c r="WQA158" s="3060"/>
      <c r="WQB158" s="3060"/>
      <c r="WQC158" s="3060"/>
      <c r="WQD158" s="3060"/>
      <c r="WQE158" s="3060"/>
      <c r="WQF158" s="3060"/>
      <c r="WQG158" s="3060"/>
      <c r="WQH158" s="3060"/>
      <c r="WQI158" s="3060"/>
      <c r="WQJ158" s="3060"/>
      <c r="WQK158" s="3060"/>
      <c r="WQL158" s="3060"/>
      <c r="WQM158" s="3060"/>
      <c r="WQN158" s="3060"/>
      <c r="WQO158" s="3060"/>
      <c r="WQP158" s="3060"/>
      <c r="WQQ158" s="3060"/>
      <c r="WQR158" s="3060"/>
      <c r="WQS158" s="3060"/>
      <c r="WQT158" s="3060"/>
      <c r="WQU158" s="3060"/>
      <c r="WQV158" s="3060"/>
      <c r="WQW158" s="3060"/>
      <c r="WQX158" s="3060"/>
      <c r="WQY158" s="3060"/>
      <c r="WQZ158" s="3060"/>
      <c r="WRA158" s="3060"/>
      <c r="WRB158" s="3060"/>
      <c r="WRC158" s="3060"/>
      <c r="WRD158" s="3060"/>
      <c r="WRE158" s="3060"/>
      <c r="WRF158" s="3060"/>
      <c r="WRG158" s="3060"/>
      <c r="WRH158" s="3060"/>
      <c r="WRI158" s="3060"/>
      <c r="WRJ158" s="3060"/>
      <c r="WRK158" s="3060"/>
      <c r="WRL158" s="3060"/>
      <c r="WRM158" s="3060"/>
      <c r="WRN158" s="3060"/>
      <c r="WRO158" s="3060"/>
      <c r="WRP158" s="3060"/>
      <c r="WRQ158" s="3060"/>
      <c r="WRR158" s="3060"/>
      <c r="WRS158" s="3060"/>
      <c r="WRT158" s="3060"/>
      <c r="WRU158" s="3060"/>
      <c r="WRV158" s="3060"/>
      <c r="WRW158" s="3060"/>
      <c r="WRX158" s="3060"/>
      <c r="WRY158" s="3060"/>
      <c r="WRZ158" s="3060"/>
      <c r="WSA158" s="3060"/>
      <c r="WSB158" s="3060"/>
      <c r="WSC158" s="3060"/>
      <c r="WSD158" s="3060"/>
      <c r="WSE158" s="3060"/>
      <c r="WSF158" s="3060"/>
      <c r="WSG158" s="3060"/>
      <c r="WSH158" s="3060"/>
      <c r="WSI158" s="3060"/>
      <c r="WSJ158" s="3060"/>
      <c r="WSK158" s="3060"/>
      <c r="WSL158" s="3060"/>
      <c r="WSM158" s="3060"/>
      <c r="WSN158" s="3060"/>
      <c r="WSO158" s="3060"/>
      <c r="WSP158" s="3060"/>
      <c r="WSQ158" s="3060"/>
      <c r="WSR158" s="3060"/>
      <c r="WSS158" s="3060"/>
      <c r="WST158" s="3060"/>
      <c r="WSU158" s="3060"/>
      <c r="WSV158" s="3060"/>
      <c r="WSW158" s="3060"/>
      <c r="WSX158" s="3060"/>
      <c r="WSY158" s="3060"/>
      <c r="WSZ158" s="3060"/>
      <c r="WTA158" s="3060"/>
      <c r="WTB158" s="3060"/>
      <c r="WTC158" s="3060"/>
      <c r="WTD158" s="3060"/>
      <c r="WTE158" s="3060"/>
      <c r="WTF158" s="3060"/>
      <c r="WTG158" s="3060"/>
      <c r="WTH158" s="3060"/>
      <c r="WTI158" s="3060"/>
      <c r="WTJ158" s="3060"/>
      <c r="WTK158" s="3060"/>
      <c r="WTL158" s="3060"/>
      <c r="WTM158" s="3060"/>
      <c r="WTN158" s="3060"/>
      <c r="WTO158" s="3060"/>
      <c r="WTP158" s="3060"/>
      <c r="WTQ158" s="3060"/>
      <c r="WTR158" s="3060"/>
      <c r="WTS158" s="3060"/>
      <c r="WTT158" s="3060"/>
      <c r="WTU158" s="3060"/>
      <c r="WTV158" s="3060"/>
      <c r="WTW158" s="3060"/>
      <c r="WTX158" s="3060"/>
      <c r="WTY158" s="3060"/>
      <c r="WTZ158" s="3060"/>
      <c r="WUA158" s="3060"/>
      <c r="WUB158" s="3060"/>
      <c r="WUC158" s="3060"/>
      <c r="WUD158" s="3060"/>
      <c r="WUE158" s="3060"/>
      <c r="WUF158" s="3060"/>
      <c r="WUG158" s="3060"/>
      <c r="WUH158" s="3060"/>
      <c r="WUI158" s="3060"/>
      <c r="WUJ158" s="3060"/>
      <c r="WUK158" s="3060"/>
      <c r="WUL158" s="3060"/>
      <c r="WUM158" s="3060"/>
      <c r="WUN158" s="3060"/>
      <c r="WUO158" s="3060"/>
      <c r="WUP158" s="3060"/>
      <c r="WUQ158" s="3060"/>
      <c r="WUR158" s="3060"/>
      <c r="WUS158" s="3060"/>
      <c r="WUT158" s="3060"/>
      <c r="WUU158" s="3060"/>
      <c r="WUV158" s="3060"/>
      <c r="WUW158" s="3060"/>
      <c r="WUX158" s="3060"/>
      <c r="WUY158" s="3060"/>
      <c r="WUZ158" s="3060"/>
      <c r="WVA158" s="3060"/>
      <c r="WVB158" s="3060"/>
      <c r="WVC158" s="3060"/>
      <c r="WVD158" s="3060"/>
      <c r="WVE158" s="3060"/>
      <c r="WVF158" s="3060"/>
      <c r="WVG158" s="3060"/>
      <c r="WVH158" s="3060"/>
      <c r="WVI158" s="3060"/>
      <c r="WVJ158" s="3060"/>
      <c r="WVK158" s="3060"/>
      <c r="WVL158" s="3060"/>
      <c r="WVM158" s="3060"/>
      <c r="WVN158" s="3060"/>
      <c r="WVO158" s="3060"/>
      <c r="WVP158" s="3060"/>
      <c r="WVQ158" s="3060"/>
      <c r="WVR158" s="3060"/>
      <c r="WVS158" s="3060"/>
      <c r="WVT158" s="3060"/>
      <c r="WVU158" s="3060"/>
      <c r="WVV158" s="3060"/>
      <c r="WVW158" s="3060"/>
      <c r="WVX158" s="3060"/>
      <c r="WVY158" s="3060"/>
      <c r="WVZ158" s="3060"/>
      <c r="WWA158" s="3060"/>
      <c r="WWB158" s="3060"/>
      <c r="WWC158" s="3060"/>
      <c r="WWD158" s="3060"/>
      <c r="WWE158" s="3060"/>
      <c r="WWF158" s="3060"/>
      <c r="WWG158" s="3060"/>
      <c r="WWH158" s="3060"/>
      <c r="WWI158" s="3060"/>
      <c r="WWJ158" s="3060"/>
      <c r="WWK158" s="3060"/>
      <c r="WWL158" s="3060"/>
      <c r="WWM158" s="3060"/>
      <c r="WWN158" s="3060"/>
      <c r="WWO158" s="3060"/>
      <c r="WWP158" s="3060"/>
      <c r="WWQ158" s="3060"/>
      <c r="WWR158" s="3060"/>
      <c r="WWS158" s="3060"/>
      <c r="WWT158" s="3060"/>
      <c r="WWU158" s="3060"/>
      <c r="WWV158" s="3060"/>
      <c r="WWW158" s="3060"/>
      <c r="WWX158" s="3060"/>
      <c r="WWY158" s="3060"/>
      <c r="WWZ158" s="3060"/>
      <c r="WXA158" s="3060"/>
      <c r="WXB158" s="3060"/>
      <c r="WXC158" s="3060"/>
      <c r="WXD158" s="3060"/>
      <c r="WXE158" s="3060"/>
      <c r="WXF158" s="3060"/>
      <c r="WXG158" s="3060"/>
      <c r="WXH158" s="3060"/>
      <c r="WXI158" s="3060"/>
      <c r="WXJ158" s="3060"/>
      <c r="WXK158" s="3060"/>
      <c r="WXL158" s="3060"/>
      <c r="WXM158" s="3060"/>
      <c r="WXN158" s="3060"/>
      <c r="WXO158" s="3060"/>
      <c r="WXP158" s="3060"/>
      <c r="WXQ158" s="3060"/>
      <c r="WXR158" s="3060"/>
      <c r="WXS158" s="3060"/>
      <c r="WXT158" s="3060"/>
      <c r="WXU158" s="3060"/>
      <c r="WXV158" s="3060"/>
      <c r="WXW158" s="3060"/>
      <c r="WXX158" s="3060"/>
      <c r="WXY158" s="3060"/>
      <c r="WXZ158" s="3060"/>
      <c r="WYA158" s="3060"/>
      <c r="WYB158" s="3060"/>
      <c r="WYC158" s="3060"/>
      <c r="WYD158" s="3060"/>
      <c r="WYE158" s="3060"/>
      <c r="WYF158" s="3060"/>
      <c r="WYG158" s="3060"/>
      <c r="WYH158" s="3060"/>
      <c r="WYI158" s="3060"/>
      <c r="WYJ158" s="3060"/>
      <c r="WYK158" s="3060"/>
      <c r="WYL158" s="3060"/>
      <c r="WYM158" s="3060"/>
      <c r="WYN158" s="3060"/>
      <c r="WYO158" s="3060"/>
      <c r="WYP158" s="3060"/>
      <c r="WYQ158" s="3060"/>
      <c r="WYR158" s="3060"/>
      <c r="WYS158" s="3060"/>
      <c r="WYT158" s="3060"/>
      <c r="WYU158" s="3060"/>
      <c r="WYV158" s="3060"/>
      <c r="WYW158" s="3060"/>
      <c r="WYX158" s="3060"/>
      <c r="WYY158" s="3060"/>
      <c r="WYZ158" s="3060"/>
      <c r="WZA158" s="3060"/>
      <c r="WZB158" s="3060"/>
      <c r="WZC158" s="3060"/>
      <c r="WZD158" s="3060"/>
      <c r="WZE158" s="3060"/>
      <c r="WZF158" s="3060"/>
      <c r="WZG158" s="3060"/>
      <c r="WZH158" s="3060"/>
      <c r="WZI158" s="3060"/>
      <c r="WZJ158" s="3060"/>
      <c r="WZK158" s="3060"/>
      <c r="WZL158" s="3060"/>
      <c r="WZM158" s="3060"/>
      <c r="WZN158" s="3060"/>
      <c r="WZO158" s="3060"/>
      <c r="WZP158" s="3060"/>
      <c r="WZQ158" s="3060"/>
      <c r="WZR158" s="3060"/>
      <c r="WZS158" s="3060"/>
      <c r="WZT158" s="3060"/>
      <c r="WZU158" s="3060"/>
      <c r="WZV158" s="3060"/>
      <c r="WZW158" s="3060"/>
      <c r="WZX158" s="3060"/>
      <c r="WZY158" s="3060"/>
      <c r="WZZ158" s="3060"/>
      <c r="XAA158" s="3060"/>
      <c r="XAB158" s="3060"/>
      <c r="XAC158" s="3060"/>
      <c r="XAD158" s="3060"/>
      <c r="XAE158" s="3060"/>
      <c r="XAF158" s="3060"/>
      <c r="XAG158" s="3060"/>
      <c r="XAH158" s="3060"/>
      <c r="XAI158" s="3060"/>
      <c r="XAJ158" s="3060"/>
      <c r="XAK158" s="3060"/>
      <c r="XAL158" s="3060"/>
      <c r="XAM158" s="3060"/>
      <c r="XAN158" s="3060"/>
      <c r="XAO158" s="3060"/>
      <c r="XAP158" s="3060"/>
      <c r="XAQ158" s="3060"/>
      <c r="XAR158" s="3060"/>
      <c r="XAS158" s="3060"/>
      <c r="XAT158" s="3060"/>
      <c r="XAU158" s="3060"/>
      <c r="XAV158" s="3060"/>
      <c r="XAW158" s="3060"/>
      <c r="XAX158" s="3060"/>
      <c r="XAY158" s="3060"/>
      <c r="XAZ158" s="3060"/>
      <c r="XBA158" s="3060"/>
      <c r="XBB158" s="3060"/>
      <c r="XBC158" s="3060"/>
      <c r="XBD158" s="3060"/>
      <c r="XBE158" s="3060"/>
      <c r="XBF158" s="3060"/>
      <c r="XBG158" s="3060"/>
      <c r="XBH158" s="3060"/>
      <c r="XBI158" s="3060"/>
      <c r="XBJ158" s="3060"/>
      <c r="XBK158" s="3060"/>
      <c r="XBL158" s="3060"/>
      <c r="XBM158" s="3060"/>
      <c r="XBN158" s="3060"/>
      <c r="XBO158" s="3060"/>
      <c r="XBP158" s="3060"/>
      <c r="XBQ158" s="3060"/>
      <c r="XBR158" s="3060"/>
      <c r="XBS158" s="3060"/>
      <c r="XBT158" s="3060"/>
      <c r="XBU158" s="3060"/>
      <c r="XBV158" s="3060"/>
      <c r="XBW158" s="3060"/>
      <c r="XBX158" s="3060"/>
      <c r="XBY158" s="3060"/>
      <c r="XBZ158" s="3060"/>
      <c r="XCA158" s="3060"/>
      <c r="XCB158" s="3060"/>
      <c r="XCC158" s="3060"/>
      <c r="XCD158" s="3060"/>
      <c r="XCE158" s="3060"/>
      <c r="XCF158" s="3060"/>
      <c r="XCG158" s="3060"/>
      <c r="XCH158" s="3060"/>
      <c r="XCI158" s="3060"/>
      <c r="XCJ158" s="3060"/>
      <c r="XCK158" s="3060"/>
      <c r="XCL158" s="3060"/>
      <c r="XCM158" s="3060"/>
      <c r="XCN158" s="3060"/>
      <c r="XCO158" s="3060"/>
      <c r="XCP158" s="3060"/>
      <c r="XCQ158" s="3060"/>
      <c r="XCR158" s="3060"/>
      <c r="XCS158" s="3060"/>
      <c r="XCT158" s="3060"/>
      <c r="XCU158" s="3060"/>
      <c r="XCV158" s="3060"/>
      <c r="XCW158" s="3060"/>
      <c r="XCX158" s="3060"/>
      <c r="XCY158" s="3060"/>
      <c r="XCZ158" s="3060"/>
      <c r="XDA158" s="3060"/>
      <c r="XDB158" s="3060"/>
      <c r="XDC158" s="3060"/>
      <c r="XDD158" s="3060"/>
      <c r="XDE158" s="3060"/>
      <c r="XDF158" s="3060"/>
      <c r="XDG158" s="3060"/>
      <c r="XDH158" s="3060"/>
      <c r="XDI158" s="3060"/>
      <c r="XDJ158" s="3060"/>
      <c r="XDK158" s="3060"/>
      <c r="XDL158" s="3060"/>
      <c r="XDM158" s="3060"/>
      <c r="XDN158" s="3060"/>
      <c r="XDO158" s="3060"/>
      <c r="XDP158" s="3060"/>
      <c r="XDQ158" s="3060"/>
      <c r="XDR158" s="3060"/>
      <c r="XDS158" s="3060"/>
      <c r="XDT158" s="3060"/>
      <c r="XDU158" s="3060"/>
      <c r="XDV158" s="3060"/>
      <c r="XDW158" s="3060"/>
      <c r="XDX158" s="3060"/>
      <c r="XDY158" s="3060"/>
      <c r="XDZ158" s="3060"/>
      <c r="XEA158" s="3060"/>
      <c r="XEB158" s="3060"/>
      <c r="XEC158" s="3060"/>
      <c r="XED158" s="3060"/>
      <c r="XEE158" s="3060"/>
      <c r="XEF158" s="3060"/>
      <c r="XEG158" s="3060"/>
      <c r="XEH158" s="3060"/>
      <c r="XEI158" s="3060"/>
      <c r="XEJ158" s="3060"/>
      <c r="XEK158" s="3060"/>
      <c r="XEL158" s="3060"/>
      <c r="XEM158" s="3060"/>
      <c r="XEN158" s="3060"/>
      <c r="XEO158" s="3060"/>
      <c r="XEP158" s="3060"/>
      <c r="XEQ158" s="3060"/>
      <c r="XER158" s="3060"/>
      <c r="XES158" s="3060"/>
      <c r="XET158" s="3060"/>
      <c r="XEU158" s="3060"/>
      <c r="XEV158" s="3060"/>
      <c r="XEW158" s="3060"/>
      <c r="XEX158" s="3060"/>
      <c r="XEY158" s="3060"/>
      <c r="XEZ158" s="3060"/>
      <c r="XFA158" s="3060"/>
      <c r="XFB158" s="3060"/>
      <c r="XFC158" s="3060"/>
      <c r="XFD158" s="3060"/>
    </row>
    <row r="160" spans="1:16384" s="3083" customFormat="1" x14ac:dyDescent="0.2">
      <c r="A160" s="3060"/>
      <c r="B160" s="3061"/>
      <c r="C160" s="3061"/>
      <c r="D160" s="3061"/>
      <c r="E160" s="3061"/>
      <c r="F160" s="3061"/>
      <c r="G160" s="3061"/>
      <c r="H160" s="3061"/>
      <c r="I160" s="3061"/>
      <c r="J160" s="3061"/>
      <c r="K160" s="3061"/>
      <c r="L160" s="3061"/>
      <c r="M160" s="3061"/>
      <c r="N160" s="3061"/>
      <c r="O160" s="3061"/>
      <c r="P160" s="3061"/>
      <c r="Q160" s="3061"/>
      <c r="R160" s="3061"/>
      <c r="S160" s="2923"/>
      <c r="T160" s="3061"/>
      <c r="U160" s="3062"/>
      <c r="V160" s="3061"/>
      <c r="W160" s="3061"/>
      <c r="X160" s="3061"/>
      <c r="Y160" s="3061"/>
      <c r="Z160" s="3061"/>
      <c r="AA160" s="3061"/>
      <c r="AB160" s="3061"/>
      <c r="AC160" s="3061"/>
      <c r="AD160" s="3061"/>
      <c r="AE160" s="3061"/>
      <c r="AF160" s="3063"/>
      <c r="AG160" s="3060"/>
      <c r="AH160" s="3060"/>
      <c r="AI160" s="3060"/>
      <c r="AJ160" s="3060"/>
      <c r="AK160" s="3060"/>
      <c r="AL160" s="3060"/>
      <c r="AM160" s="3060"/>
      <c r="AN160" s="3060"/>
      <c r="AO160" s="3060"/>
      <c r="AP160" s="3060"/>
      <c r="AQ160" s="3060"/>
      <c r="AR160" s="3060"/>
      <c r="AS160" s="3060"/>
      <c r="AT160" s="3060"/>
      <c r="AU160" s="3060"/>
      <c r="AV160" s="3060"/>
      <c r="AW160" s="3060"/>
      <c r="AX160" s="3060"/>
      <c r="AY160" s="3060"/>
      <c r="AZ160" s="3060"/>
      <c r="BA160" s="3060"/>
      <c r="BB160" s="3060"/>
      <c r="BC160" s="3060"/>
      <c r="BD160" s="3060"/>
      <c r="BE160" s="3060"/>
      <c r="BF160" s="3060"/>
      <c r="BG160" s="3060"/>
      <c r="BH160" s="3060"/>
      <c r="BI160" s="3060"/>
      <c r="BJ160" s="3060"/>
      <c r="BK160" s="3060"/>
      <c r="BL160" s="3060"/>
      <c r="BM160" s="3060"/>
      <c r="BN160" s="3060"/>
      <c r="BO160" s="3060"/>
      <c r="BP160" s="3060"/>
      <c r="BQ160" s="3060"/>
      <c r="BR160" s="3060"/>
      <c r="BS160" s="3060"/>
      <c r="BT160" s="3060"/>
      <c r="BU160" s="3060"/>
      <c r="BV160" s="3060"/>
      <c r="BW160" s="3060"/>
      <c r="BX160" s="3060"/>
      <c r="BY160" s="3060"/>
      <c r="BZ160" s="3060"/>
      <c r="CA160" s="3060"/>
      <c r="CB160" s="3060"/>
      <c r="CC160" s="3060"/>
      <c r="CD160" s="3060"/>
      <c r="CE160" s="3060"/>
      <c r="CF160" s="3060"/>
      <c r="CG160" s="3060"/>
      <c r="CH160" s="3060"/>
      <c r="CI160" s="3060"/>
      <c r="CJ160" s="3060"/>
      <c r="CK160" s="3060"/>
      <c r="CL160" s="3060"/>
      <c r="CM160" s="3060"/>
      <c r="CN160" s="3060"/>
      <c r="CO160" s="3060"/>
      <c r="CP160" s="3060"/>
      <c r="CQ160" s="3060"/>
      <c r="CR160" s="3060"/>
      <c r="CS160" s="3060"/>
      <c r="CT160" s="3060"/>
      <c r="CU160" s="3060"/>
      <c r="CV160" s="3060"/>
      <c r="CW160" s="3060"/>
      <c r="CX160" s="3060"/>
      <c r="CY160" s="3060"/>
      <c r="CZ160" s="3060"/>
      <c r="DA160" s="3060"/>
      <c r="DB160" s="3060"/>
      <c r="DC160" s="3060"/>
      <c r="DD160" s="3060"/>
      <c r="DE160" s="3060"/>
      <c r="DF160" s="3060"/>
      <c r="DG160" s="3060"/>
      <c r="DH160" s="3060"/>
      <c r="DI160" s="3060"/>
      <c r="DJ160" s="3060"/>
      <c r="DK160" s="3060"/>
      <c r="DL160" s="3060"/>
      <c r="DM160" s="3060"/>
      <c r="DN160" s="3060"/>
      <c r="DO160" s="3060"/>
      <c r="DP160" s="3060"/>
      <c r="DQ160" s="3060"/>
      <c r="DR160" s="3060"/>
      <c r="DS160" s="3060"/>
      <c r="DT160" s="3060"/>
      <c r="DU160" s="3060"/>
      <c r="DV160" s="3060"/>
      <c r="DW160" s="3060"/>
      <c r="DX160" s="3060"/>
      <c r="DY160" s="3060"/>
      <c r="DZ160" s="3060"/>
      <c r="EA160" s="3060"/>
      <c r="EB160" s="3060"/>
      <c r="EC160" s="3060"/>
      <c r="ED160" s="3060"/>
      <c r="EE160" s="3060"/>
      <c r="EF160" s="3060"/>
      <c r="EG160" s="3060"/>
      <c r="EH160" s="3060"/>
      <c r="EI160" s="3060"/>
      <c r="EJ160" s="3060"/>
      <c r="EK160" s="3060"/>
      <c r="EL160" s="3060"/>
      <c r="EM160" s="3060"/>
      <c r="EN160" s="3060"/>
      <c r="EO160" s="3060"/>
      <c r="EP160" s="3060"/>
      <c r="EQ160" s="3060"/>
      <c r="ER160" s="3060"/>
      <c r="ES160" s="3060"/>
      <c r="ET160" s="3060"/>
      <c r="EU160" s="3060"/>
      <c r="EV160" s="3060"/>
      <c r="EW160" s="3060"/>
      <c r="EX160" s="3060"/>
      <c r="EY160" s="3060"/>
      <c r="EZ160" s="3060"/>
      <c r="FA160" s="3060"/>
      <c r="FB160" s="3060"/>
      <c r="FC160" s="3060"/>
      <c r="FD160" s="3060"/>
      <c r="FE160" s="3060"/>
      <c r="FF160" s="3060"/>
      <c r="FG160" s="3060"/>
      <c r="FH160" s="3060"/>
      <c r="FI160" s="3060"/>
      <c r="FJ160" s="3060"/>
      <c r="FK160" s="3060"/>
      <c r="FL160" s="3060"/>
      <c r="FM160" s="3060"/>
      <c r="FN160" s="3060"/>
      <c r="FO160" s="3060"/>
      <c r="FP160" s="3060"/>
      <c r="FQ160" s="3060"/>
      <c r="FR160" s="3060"/>
      <c r="FS160" s="3060"/>
      <c r="FT160" s="3060"/>
      <c r="FU160" s="3060"/>
      <c r="FV160" s="3060"/>
      <c r="FW160" s="3060"/>
      <c r="FX160" s="3060"/>
      <c r="FY160" s="3060"/>
      <c r="FZ160" s="3060"/>
      <c r="GA160" s="3060"/>
      <c r="GB160" s="3060"/>
      <c r="GC160" s="3060"/>
      <c r="GD160" s="3060"/>
      <c r="GE160" s="3060"/>
      <c r="GF160" s="3060"/>
      <c r="GG160" s="3060"/>
      <c r="GH160" s="3060"/>
      <c r="GI160" s="3060"/>
      <c r="GJ160" s="3060"/>
      <c r="GK160" s="3060"/>
      <c r="GL160" s="3060"/>
      <c r="GM160" s="3060"/>
      <c r="GN160" s="3060"/>
      <c r="GO160" s="3060"/>
      <c r="GP160" s="3060"/>
      <c r="GQ160" s="3060"/>
      <c r="GR160" s="3060"/>
      <c r="GS160" s="3060"/>
      <c r="GT160" s="3060"/>
      <c r="GU160" s="3060"/>
      <c r="GV160" s="3060"/>
      <c r="GW160" s="3060"/>
      <c r="GX160" s="3060"/>
      <c r="GY160" s="3060"/>
      <c r="GZ160" s="3060"/>
      <c r="HA160" s="3060"/>
      <c r="HB160" s="3060"/>
      <c r="HC160" s="3060"/>
      <c r="HD160" s="3060"/>
      <c r="HE160" s="3060"/>
      <c r="HF160" s="3060"/>
      <c r="HG160" s="3060"/>
      <c r="HH160" s="3060"/>
      <c r="HI160" s="3060"/>
      <c r="HJ160" s="3060"/>
      <c r="HK160" s="3060"/>
      <c r="HL160" s="3060"/>
      <c r="HM160" s="3060"/>
      <c r="HN160" s="3060"/>
      <c r="HO160" s="3060"/>
      <c r="HP160" s="3060"/>
      <c r="HQ160" s="3060"/>
      <c r="HR160" s="3060"/>
      <c r="HS160" s="3060"/>
      <c r="HT160" s="3060"/>
      <c r="HU160" s="3060"/>
      <c r="HV160" s="3060"/>
      <c r="HW160" s="3060"/>
      <c r="HX160" s="3060"/>
      <c r="HY160" s="3060"/>
      <c r="HZ160" s="3060"/>
      <c r="IA160" s="3060"/>
      <c r="IB160" s="3060"/>
      <c r="IC160" s="3060"/>
      <c r="ID160" s="3060"/>
      <c r="IE160" s="3060"/>
      <c r="IF160" s="3060"/>
      <c r="IG160" s="3060"/>
      <c r="IH160" s="3060"/>
      <c r="II160" s="3060"/>
      <c r="IJ160" s="3060"/>
      <c r="IK160" s="3060"/>
      <c r="IL160" s="3060"/>
      <c r="IM160" s="3060"/>
      <c r="IN160" s="3060"/>
      <c r="IO160" s="3060"/>
      <c r="IP160" s="3060"/>
      <c r="IQ160" s="3060"/>
      <c r="IR160" s="3060"/>
      <c r="IS160" s="3060"/>
      <c r="IT160" s="3060"/>
      <c r="IU160" s="3060"/>
      <c r="IV160" s="3060"/>
      <c r="IW160" s="3060"/>
      <c r="IX160" s="3060"/>
      <c r="IY160" s="3060"/>
      <c r="IZ160" s="3060"/>
      <c r="JA160" s="3060"/>
      <c r="JB160" s="3060"/>
      <c r="JC160" s="3060"/>
      <c r="JD160" s="3060"/>
      <c r="JE160" s="3060"/>
      <c r="JF160" s="3060"/>
      <c r="JG160" s="3060"/>
      <c r="JH160" s="3060"/>
      <c r="JI160" s="3060"/>
      <c r="JJ160" s="3060"/>
      <c r="JK160" s="3060"/>
      <c r="JL160" s="3060"/>
      <c r="JM160" s="3060"/>
      <c r="JN160" s="3060"/>
      <c r="JO160" s="3060"/>
      <c r="JP160" s="3060"/>
      <c r="JQ160" s="3060"/>
      <c r="JR160" s="3060"/>
      <c r="JS160" s="3060"/>
      <c r="JT160" s="3060"/>
      <c r="JU160" s="3060"/>
      <c r="JV160" s="3060"/>
      <c r="JW160" s="3060"/>
      <c r="JX160" s="3060"/>
      <c r="JY160" s="3060"/>
      <c r="JZ160" s="3060"/>
      <c r="KA160" s="3060"/>
      <c r="KB160" s="3060"/>
      <c r="KC160" s="3060"/>
      <c r="KD160" s="3060"/>
      <c r="KE160" s="3060"/>
      <c r="KF160" s="3060"/>
      <c r="KG160" s="3060"/>
      <c r="KH160" s="3060"/>
      <c r="KI160" s="3060"/>
      <c r="KJ160" s="3060"/>
      <c r="KK160" s="3060"/>
      <c r="KL160" s="3060"/>
      <c r="KM160" s="3060"/>
      <c r="KN160" s="3060"/>
      <c r="KO160" s="3060"/>
      <c r="KP160" s="3060"/>
      <c r="KQ160" s="3060"/>
      <c r="KR160" s="3060"/>
      <c r="KS160" s="3060"/>
      <c r="KT160" s="3060"/>
      <c r="KU160" s="3060"/>
      <c r="KV160" s="3060"/>
      <c r="KW160" s="3060"/>
      <c r="KX160" s="3060"/>
      <c r="KY160" s="3060"/>
      <c r="KZ160" s="3060"/>
      <c r="LA160" s="3060"/>
      <c r="LB160" s="3060"/>
      <c r="LC160" s="3060"/>
      <c r="LD160" s="3060"/>
      <c r="LE160" s="3060"/>
      <c r="LF160" s="3060"/>
      <c r="LG160" s="3060"/>
      <c r="LH160" s="3060"/>
      <c r="LI160" s="3060"/>
      <c r="LJ160" s="3060"/>
      <c r="LK160" s="3060"/>
      <c r="LL160" s="3060"/>
      <c r="LM160" s="3060"/>
      <c r="LN160" s="3060"/>
      <c r="LO160" s="3060"/>
      <c r="LP160" s="3060"/>
      <c r="LQ160" s="3060"/>
      <c r="LR160" s="3060"/>
      <c r="LS160" s="3060"/>
      <c r="LT160" s="3060"/>
      <c r="LU160" s="3060"/>
      <c r="LV160" s="3060"/>
      <c r="LW160" s="3060"/>
      <c r="LX160" s="3060"/>
      <c r="LY160" s="3060"/>
      <c r="LZ160" s="3060"/>
      <c r="MA160" s="3060"/>
      <c r="MB160" s="3060"/>
      <c r="MC160" s="3060"/>
      <c r="MD160" s="3060"/>
      <c r="ME160" s="3060"/>
      <c r="MF160" s="3060"/>
      <c r="MG160" s="3060"/>
      <c r="MH160" s="3060"/>
      <c r="MI160" s="3060"/>
      <c r="MJ160" s="3060"/>
      <c r="MK160" s="3060"/>
      <c r="ML160" s="3060"/>
      <c r="MM160" s="3060"/>
      <c r="MN160" s="3060"/>
      <c r="MO160" s="3060"/>
      <c r="MP160" s="3060"/>
      <c r="MQ160" s="3060"/>
      <c r="MR160" s="3060"/>
      <c r="MS160" s="3060"/>
      <c r="MT160" s="3060"/>
      <c r="MU160" s="3060"/>
      <c r="MV160" s="3060"/>
      <c r="MW160" s="3060"/>
      <c r="MX160" s="3060"/>
      <c r="MY160" s="3060"/>
      <c r="MZ160" s="3060"/>
      <c r="NA160" s="3060"/>
      <c r="NB160" s="3060"/>
      <c r="NC160" s="3060"/>
      <c r="ND160" s="3060"/>
      <c r="NE160" s="3060"/>
      <c r="NF160" s="3060"/>
      <c r="NG160" s="3060"/>
      <c r="NH160" s="3060"/>
      <c r="NI160" s="3060"/>
      <c r="NJ160" s="3060"/>
      <c r="NK160" s="3060"/>
      <c r="NL160" s="3060"/>
      <c r="NM160" s="3060"/>
      <c r="NN160" s="3060"/>
      <c r="NO160" s="3060"/>
      <c r="NP160" s="3060"/>
      <c r="NQ160" s="3060"/>
      <c r="NR160" s="3060"/>
      <c r="NS160" s="3060"/>
      <c r="NT160" s="3060"/>
      <c r="NU160" s="3060"/>
      <c r="NV160" s="3060"/>
      <c r="NW160" s="3060"/>
      <c r="NX160" s="3060"/>
      <c r="NY160" s="3060"/>
      <c r="NZ160" s="3060"/>
      <c r="OA160" s="3060"/>
      <c r="OB160" s="3060"/>
      <c r="OC160" s="3060"/>
      <c r="OD160" s="3060"/>
      <c r="OE160" s="3060"/>
      <c r="OF160" s="3060"/>
      <c r="OG160" s="3060"/>
      <c r="OH160" s="3060"/>
      <c r="OI160" s="3060"/>
      <c r="OJ160" s="3060"/>
      <c r="OK160" s="3060"/>
      <c r="OL160" s="3060"/>
      <c r="OM160" s="3060"/>
      <c r="ON160" s="3060"/>
      <c r="OO160" s="3060"/>
      <c r="OP160" s="3060"/>
      <c r="OQ160" s="3060"/>
      <c r="OR160" s="3060"/>
      <c r="OS160" s="3060"/>
      <c r="OT160" s="3060"/>
      <c r="OU160" s="3060"/>
      <c r="OV160" s="3060"/>
      <c r="OW160" s="3060"/>
      <c r="OX160" s="3060"/>
      <c r="OY160" s="3060"/>
      <c r="OZ160" s="3060"/>
      <c r="PA160" s="3060"/>
      <c r="PB160" s="3060"/>
      <c r="PC160" s="3060"/>
      <c r="PD160" s="3060"/>
      <c r="PE160" s="3060"/>
      <c r="PF160" s="3060"/>
      <c r="PG160" s="3060"/>
      <c r="PH160" s="3060"/>
      <c r="PI160" s="3060"/>
      <c r="PJ160" s="3060"/>
      <c r="PK160" s="3060"/>
      <c r="PL160" s="3060"/>
      <c r="PM160" s="3060"/>
      <c r="PN160" s="3060"/>
      <c r="PO160" s="3060"/>
      <c r="PP160" s="3060"/>
      <c r="PQ160" s="3060"/>
      <c r="PR160" s="3060"/>
      <c r="PS160" s="3060"/>
      <c r="PT160" s="3060"/>
      <c r="PU160" s="3060"/>
      <c r="PV160" s="3060"/>
      <c r="PW160" s="3060"/>
      <c r="PX160" s="3060"/>
      <c r="PY160" s="3060"/>
      <c r="PZ160" s="3060"/>
      <c r="QA160" s="3060"/>
      <c r="QB160" s="3060"/>
      <c r="QC160" s="3060"/>
      <c r="QD160" s="3060"/>
      <c r="QE160" s="3060"/>
      <c r="QF160" s="3060"/>
      <c r="QG160" s="3060"/>
      <c r="QH160" s="3060"/>
      <c r="QI160" s="3060"/>
      <c r="QJ160" s="3060"/>
      <c r="QK160" s="3060"/>
      <c r="QL160" s="3060"/>
      <c r="QM160" s="3060"/>
      <c r="QN160" s="3060"/>
      <c r="QO160" s="3060"/>
      <c r="QP160" s="3060"/>
      <c r="QQ160" s="3060"/>
      <c r="QR160" s="3060"/>
      <c r="QS160" s="3060"/>
      <c r="QT160" s="3060"/>
      <c r="QU160" s="3060"/>
      <c r="QV160" s="3060"/>
      <c r="QW160" s="3060"/>
      <c r="QX160" s="3060"/>
      <c r="QY160" s="3060"/>
      <c r="QZ160" s="3060"/>
      <c r="RA160" s="3060"/>
      <c r="RB160" s="3060"/>
      <c r="RC160" s="3060"/>
      <c r="RD160" s="3060"/>
      <c r="RE160" s="3060"/>
      <c r="RF160" s="3060"/>
      <c r="RG160" s="3060"/>
      <c r="RH160" s="3060"/>
      <c r="RI160" s="3060"/>
      <c r="RJ160" s="3060"/>
      <c r="RK160" s="3060"/>
      <c r="RL160" s="3060"/>
      <c r="RM160" s="3060"/>
      <c r="RN160" s="3060"/>
      <c r="RO160" s="3060"/>
      <c r="RP160" s="3060"/>
      <c r="RQ160" s="3060"/>
      <c r="RR160" s="3060"/>
      <c r="RS160" s="3060"/>
      <c r="RT160" s="3060"/>
      <c r="RU160" s="3060"/>
      <c r="RV160" s="3060"/>
      <c r="RW160" s="3060"/>
      <c r="RX160" s="3060"/>
      <c r="RY160" s="3060"/>
      <c r="RZ160" s="3060"/>
      <c r="SA160" s="3060"/>
      <c r="SB160" s="3060"/>
      <c r="SC160" s="3060"/>
      <c r="SD160" s="3060"/>
      <c r="SE160" s="3060"/>
      <c r="SF160" s="3060"/>
      <c r="SG160" s="3060"/>
      <c r="SH160" s="3060"/>
      <c r="SI160" s="3060"/>
      <c r="SJ160" s="3060"/>
      <c r="SK160" s="3060"/>
      <c r="SL160" s="3060"/>
      <c r="SM160" s="3060"/>
      <c r="SN160" s="3060"/>
      <c r="SO160" s="3060"/>
      <c r="SP160" s="3060"/>
      <c r="SQ160" s="3060"/>
      <c r="SR160" s="3060"/>
      <c r="SS160" s="3060"/>
      <c r="ST160" s="3060"/>
      <c r="SU160" s="3060"/>
      <c r="SV160" s="3060"/>
      <c r="SW160" s="3060"/>
      <c r="SX160" s="3060"/>
      <c r="SY160" s="3060"/>
      <c r="SZ160" s="3060"/>
      <c r="TA160" s="3060"/>
      <c r="TB160" s="3060"/>
      <c r="TC160" s="3060"/>
      <c r="TD160" s="3060"/>
      <c r="TE160" s="3060"/>
      <c r="TF160" s="3060"/>
      <c r="TG160" s="3060"/>
      <c r="TH160" s="3060"/>
      <c r="TI160" s="3060"/>
      <c r="TJ160" s="3060"/>
      <c r="TK160" s="3060"/>
      <c r="TL160" s="3060"/>
      <c r="TM160" s="3060"/>
      <c r="TN160" s="3060"/>
      <c r="TO160" s="3060"/>
      <c r="TP160" s="3060"/>
      <c r="TQ160" s="3060"/>
      <c r="TR160" s="3060"/>
      <c r="TS160" s="3060"/>
      <c r="TT160" s="3060"/>
      <c r="TU160" s="3060"/>
      <c r="TV160" s="3060"/>
      <c r="TW160" s="3060"/>
      <c r="TX160" s="3060"/>
      <c r="TY160" s="3060"/>
      <c r="TZ160" s="3060"/>
      <c r="UA160" s="3060"/>
      <c r="UB160" s="3060"/>
      <c r="UC160" s="3060"/>
      <c r="UD160" s="3060"/>
      <c r="UE160" s="3060"/>
      <c r="UF160" s="3060"/>
      <c r="UG160" s="3060"/>
      <c r="UH160" s="3060"/>
      <c r="UI160" s="3060"/>
      <c r="UJ160" s="3060"/>
      <c r="UK160" s="3060"/>
      <c r="UL160" s="3060"/>
      <c r="UM160" s="3060"/>
      <c r="UN160" s="3060"/>
      <c r="UO160" s="3060"/>
      <c r="UP160" s="3060"/>
      <c r="UQ160" s="3060"/>
      <c r="UR160" s="3060"/>
      <c r="US160" s="3060"/>
      <c r="UT160" s="3060"/>
      <c r="UU160" s="3060"/>
      <c r="UV160" s="3060"/>
      <c r="UW160" s="3060"/>
      <c r="UX160" s="3060"/>
      <c r="UY160" s="3060"/>
      <c r="UZ160" s="3060"/>
      <c r="VA160" s="3060"/>
      <c r="VB160" s="3060"/>
      <c r="VC160" s="3060"/>
      <c r="VD160" s="3060"/>
      <c r="VE160" s="3060"/>
      <c r="VF160" s="3060"/>
      <c r="VG160" s="3060"/>
      <c r="VH160" s="3060"/>
      <c r="VI160" s="3060"/>
      <c r="VJ160" s="3060"/>
      <c r="VK160" s="3060"/>
      <c r="VL160" s="3060"/>
      <c r="VM160" s="3060"/>
      <c r="VN160" s="3060"/>
      <c r="VO160" s="3060"/>
      <c r="VP160" s="3060"/>
      <c r="VQ160" s="3060"/>
      <c r="VR160" s="3060"/>
      <c r="VS160" s="3060"/>
      <c r="VT160" s="3060"/>
      <c r="VU160" s="3060"/>
      <c r="VV160" s="3060"/>
      <c r="VW160" s="3060"/>
      <c r="VX160" s="3060"/>
      <c r="VY160" s="3060"/>
      <c r="VZ160" s="3060"/>
      <c r="WA160" s="3060"/>
      <c r="WB160" s="3060"/>
      <c r="WC160" s="3060"/>
      <c r="WD160" s="3060"/>
      <c r="WE160" s="3060"/>
      <c r="WF160" s="3060"/>
      <c r="WG160" s="3060"/>
      <c r="WH160" s="3060"/>
      <c r="WI160" s="3060"/>
      <c r="WJ160" s="3060"/>
      <c r="WK160" s="3060"/>
      <c r="WL160" s="3060"/>
      <c r="WM160" s="3060"/>
      <c r="WN160" s="3060"/>
      <c r="WO160" s="3060"/>
      <c r="WP160" s="3060"/>
      <c r="WQ160" s="3060"/>
      <c r="WR160" s="3060"/>
      <c r="WS160" s="3060"/>
      <c r="WT160" s="3060"/>
      <c r="WU160" s="3060"/>
      <c r="WV160" s="3060"/>
      <c r="WW160" s="3060"/>
      <c r="WX160" s="3060"/>
      <c r="WY160" s="3060"/>
      <c r="WZ160" s="3060"/>
      <c r="XA160" s="3060"/>
      <c r="XB160" s="3060"/>
      <c r="XC160" s="3060"/>
      <c r="XD160" s="3060"/>
      <c r="XE160" s="3060"/>
      <c r="XF160" s="3060"/>
      <c r="XG160" s="3060"/>
      <c r="XH160" s="3060"/>
      <c r="XI160" s="3060"/>
      <c r="XJ160" s="3060"/>
      <c r="XK160" s="3060"/>
      <c r="XL160" s="3060"/>
      <c r="XM160" s="3060"/>
      <c r="XN160" s="3060"/>
      <c r="XO160" s="3060"/>
      <c r="XP160" s="3060"/>
      <c r="XQ160" s="3060"/>
      <c r="XR160" s="3060"/>
      <c r="XS160" s="3060"/>
      <c r="XT160" s="3060"/>
      <c r="XU160" s="3060"/>
      <c r="XV160" s="3060"/>
      <c r="XW160" s="3060"/>
      <c r="XX160" s="3060"/>
      <c r="XY160" s="3060"/>
      <c r="XZ160" s="3060"/>
      <c r="YA160" s="3060"/>
      <c r="YB160" s="3060"/>
      <c r="YC160" s="3060"/>
      <c r="YD160" s="3060"/>
      <c r="YE160" s="3060"/>
      <c r="YF160" s="3060"/>
      <c r="YG160" s="3060"/>
      <c r="YH160" s="3060"/>
      <c r="YI160" s="3060"/>
      <c r="YJ160" s="3060"/>
      <c r="YK160" s="3060"/>
      <c r="YL160" s="3060"/>
      <c r="YM160" s="3060"/>
      <c r="YN160" s="3060"/>
      <c r="YO160" s="3060"/>
      <c r="YP160" s="3060"/>
      <c r="YQ160" s="3060"/>
      <c r="YR160" s="3060"/>
      <c r="YS160" s="3060"/>
      <c r="YT160" s="3060"/>
      <c r="YU160" s="3060"/>
      <c r="YV160" s="3060"/>
      <c r="YW160" s="3060"/>
      <c r="YX160" s="3060"/>
      <c r="YY160" s="3060"/>
      <c r="YZ160" s="3060"/>
      <c r="ZA160" s="3060"/>
      <c r="ZB160" s="3060"/>
      <c r="ZC160" s="3060"/>
      <c r="ZD160" s="3060"/>
      <c r="ZE160" s="3060"/>
      <c r="ZF160" s="3060"/>
      <c r="ZG160" s="3060"/>
      <c r="ZH160" s="3060"/>
      <c r="ZI160" s="3060"/>
      <c r="ZJ160" s="3060"/>
      <c r="ZK160" s="3060"/>
      <c r="ZL160" s="3060"/>
      <c r="ZM160" s="3060"/>
      <c r="ZN160" s="3060"/>
      <c r="ZO160" s="3060"/>
      <c r="ZP160" s="3060"/>
      <c r="ZQ160" s="3060"/>
      <c r="ZR160" s="3060"/>
      <c r="ZS160" s="3060"/>
      <c r="ZT160" s="3060"/>
      <c r="ZU160" s="3060"/>
      <c r="ZV160" s="3060"/>
      <c r="ZW160" s="3060"/>
      <c r="ZX160" s="3060"/>
      <c r="ZY160" s="3060"/>
      <c r="ZZ160" s="3060"/>
      <c r="AAA160" s="3060"/>
      <c r="AAB160" s="3060"/>
      <c r="AAC160" s="3060"/>
      <c r="AAD160" s="3060"/>
      <c r="AAE160" s="3060"/>
      <c r="AAF160" s="3060"/>
      <c r="AAG160" s="3060"/>
      <c r="AAH160" s="3060"/>
      <c r="AAI160" s="3060"/>
      <c r="AAJ160" s="3060"/>
      <c r="AAK160" s="3060"/>
      <c r="AAL160" s="3060"/>
      <c r="AAM160" s="3060"/>
      <c r="AAN160" s="3060"/>
      <c r="AAO160" s="3060"/>
      <c r="AAP160" s="3060"/>
      <c r="AAQ160" s="3060"/>
      <c r="AAR160" s="3060"/>
      <c r="AAS160" s="3060"/>
      <c r="AAT160" s="3060"/>
      <c r="AAU160" s="3060"/>
      <c r="AAV160" s="3060"/>
      <c r="AAW160" s="3060"/>
      <c r="AAX160" s="3060"/>
      <c r="AAY160" s="3060"/>
      <c r="AAZ160" s="3060"/>
      <c r="ABA160" s="3060"/>
      <c r="ABB160" s="3060"/>
      <c r="ABC160" s="3060"/>
      <c r="ABD160" s="3060"/>
      <c r="ABE160" s="3060"/>
      <c r="ABF160" s="3060"/>
      <c r="ABG160" s="3060"/>
      <c r="ABH160" s="3060"/>
      <c r="ABI160" s="3060"/>
      <c r="ABJ160" s="3060"/>
      <c r="ABK160" s="3060"/>
      <c r="ABL160" s="3060"/>
      <c r="ABM160" s="3060"/>
      <c r="ABN160" s="3060"/>
      <c r="ABO160" s="3060"/>
      <c r="ABP160" s="3060"/>
      <c r="ABQ160" s="3060"/>
      <c r="ABR160" s="3060"/>
      <c r="ABS160" s="3060"/>
      <c r="ABT160" s="3060"/>
      <c r="ABU160" s="3060"/>
      <c r="ABV160" s="3060"/>
      <c r="ABW160" s="3060"/>
      <c r="ABX160" s="3060"/>
      <c r="ABY160" s="3060"/>
      <c r="ABZ160" s="3060"/>
      <c r="ACA160" s="3060"/>
      <c r="ACB160" s="3060"/>
      <c r="ACC160" s="3060"/>
      <c r="ACD160" s="3060"/>
      <c r="ACE160" s="3060"/>
      <c r="ACF160" s="3060"/>
      <c r="ACG160" s="3060"/>
      <c r="ACH160" s="3060"/>
      <c r="ACI160" s="3060"/>
      <c r="ACJ160" s="3060"/>
      <c r="ACK160" s="3060"/>
      <c r="ACL160" s="3060"/>
      <c r="ACM160" s="3060"/>
      <c r="ACN160" s="3060"/>
      <c r="ACO160" s="3060"/>
      <c r="ACP160" s="3060"/>
      <c r="ACQ160" s="3060"/>
      <c r="ACR160" s="3060"/>
      <c r="ACS160" s="3060"/>
      <c r="ACT160" s="3060"/>
      <c r="ACU160" s="3060"/>
      <c r="ACV160" s="3060"/>
      <c r="ACW160" s="3060"/>
      <c r="ACX160" s="3060"/>
      <c r="ACY160" s="3060"/>
      <c r="ACZ160" s="3060"/>
      <c r="ADA160" s="3060"/>
      <c r="ADB160" s="3060"/>
      <c r="ADC160" s="3060"/>
      <c r="ADD160" s="3060"/>
      <c r="ADE160" s="3060"/>
      <c r="ADF160" s="3060"/>
      <c r="ADG160" s="3060"/>
      <c r="ADH160" s="3060"/>
      <c r="ADI160" s="3060"/>
      <c r="ADJ160" s="3060"/>
      <c r="ADK160" s="3060"/>
      <c r="ADL160" s="3060"/>
      <c r="ADM160" s="3060"/>
      <c r="ADN160" s="3060"/>
      <c r="ADO160" s="3060"/>
      <c r="ADP160" s="3060"/>
      <c r="ADQ160" s="3060"/>
      <c r="ADR160" s="3060"/>
      <c r="ADS160" s="3060"/>
      <c r="ADT160" s="3060"/>
      <c r="ADU160" s="3060"/>
      <c r="ADV160" s="3060"/>
      <c r="ADW160" s="3060"/>
      <c r="ADX160" s="3060"/>
      <c r="ADY160" s="3060"/>
      <c r="ADZ160" s="3060"/>
      <c r="AEA160" s="3060"/>
      <c r="AEB160" s="3060"/>
      <c r="AEC160" s="3060"/>
      <c r="AED160" s="3060"/>
      <c r="AEE160" s="3060"/>
      <c r="AEF160" s="3060"/>
      <c r="AEG160" s="3060"/>
      <c r="AEH160" s="3060"/>
      <c r="AEI160" s="3060"/>
      <c r="AEJ160" s="3060"/>
      <c r="AEK160" s="3060"/>
      <c r="AEL160" s="3060"/>
      <c r="AEM160" s="3060"/>
      <c r="AEN160" s="3060"/>
      <c r="AEO160" s="3060"/>
      <c r="AEP160" s="3060"/>
      <c r="AEQ160" s="3060"/>
      <c r="AER160" s="3060"/>
      <c r="AES160" s="3060"/>
      <c r="AET160" s="3060"/>
      <c r="AEU160" s="3060"/>
      <c r="AEV160" s="3060"/>
      <c r="AEW160" s="3060"/>
      <c r="AEX160" s="3060"/>
      <c r="AEY160" s="3060"/>
      <c r="AEZ160" s="3060"/>
      <c r="AFA160" s="3060"/>
      <c r="AFB160" s="3060"/>
      <c r="AFC160" s="3060"/>
      <c r="AFD160" s="3060"/>
      <c r="AFE160" s="3060"/>
      <c r="AFF160" s="3060"/>
      <c r="AFG160" s="3060"/>
      <c r="AFH160" s="3060"/>
      <c r="AFI160" s="3060"/>
      <c r="AFJ160" s="3060"/>
      <c r="AFK160" s="3060"/>
      <c r="AFL160" s="3060"/>
      <c r="AFM160" s="3060"/>
      <c r="AFN160" s="3060"/>
      <c r="AFO160" s="3060"/>
      <c r="AFP160" s="3060"/>
      <c r="AFQ160" s="3060"/>
      <c r="AFR160" s="3060"/>
      <c r="AFS160" s="3060"/>
      <c r="AFT160" s="3060"/>
      <c r="AFU160" s="3060"/>
      <c r="AFV160" s="3060"/>
      <c r="AFW160" s="3060"/>
      <c r="AFX160" s="3060"/>
      <c r="AFY160" s="3060"/>
      <c r="AFZ160" s="3060"/>
      <c r="AGA160" s="3060"/>
      <c r="AGB160" s="3060"/>
      <c r="AGC160" s="3060"/>
      <c r="AGD160" s="3060"/>
      <c r="AGE160" s="3060"/>
      <c r="AGF160" s="3060"/>
      <c r="AGG160" s="3060"/>
      <c r="AGH160" s="3060"/>
      <c r="AGI160" s="3060"/>
      <c r="AGJ160" s="3060"/>
      <c r="AGK160" s="3060"/>
      <c r="AGL160" s="3060"/>
      <c r="AGM160" s="3060"/>
      <c r="AGN160" s="3060"/>
      <c r="AGO160" s="3060"/>
      <c r="AGP160" s="3060"/>
      <c r="AGQ160" s="3060"/>
      <c r="AGR160" s="3060"/>
      <c r="AGS160" s="3060"/>
      <c r="AGT160" s="3060"/>
      <c r="AGU160" s="3060"/>
      <c r="AGV160" s="3060"/>
      <c r="AGW160" s="3060"/>
      <c r="AGX160" s="3060"/>
      <c r="AGY160" s="3060"/>
      <c r="AGZ160" s="3060"/>
      <c r="AHA160" s="3060"/>
      <c r="AHB160" s="3060"/>
      <c r="AHC160" s="3060"/>
      <c r="AHD160" s="3060"/>
      <c r="AHE160" s="3060"/>
      <c r="AHF160" s="3060"/>
      <c r="AHG160" s="3060"/>
      <c r="AHH160" s="3060"/>
      <c r="AHI160" s="3060"/>
      <c r="AHJ160" s="3060"/>
      <c r="AHK160" s="3060"/>
      <c r="AHL160" s="3060"/>
      <c r="AHM160" s="3060"/>
      <c r="AHN160" s="3060"/>
      <c r="AHO160" s="3060"/>
      <c r="AHP160" s="3060"/>
      <c r="AHQ160" s="3060"/>
      <c r="AHR160" s="3060"/>
      <c r="AHS160" s="3060"/>
      <c r="AHT160" s="3060"/>
      <c r="AHU160" s="3060"/>
      <c r="AHV160" s="3060"/>
      <c r="AHW160" s="3060"/>
      <c r="AHX160" s="3060"/>
      <c r="AHY160" s="3060"/>
      <c r="AHZ160" s="3060"/>
      <c r="AIA160" s="3060"/>
      <c r="AIB160" s="3060"/>
      <c r="AIC160" s="3060"/>
      <c r="AID160" s="3060"/>
      <c r="AIE160" s="3060"/>
      <c r="AIF160" s="3060"/>
      <c r="AIG160" s="3060"/>
      <c r="AIH160" s="3060"/>
      <c r="AII160" s="3060"/>
      <c r="AIJ160" s="3060"/>
      <c r="AIK160" s="3060"/>
      <c r="AIL160" s="3060"/>
      <c r="AIM160" s="3060"/>
      <c r="AIN160" s="3060"/>
      <c r="AIO160" s="3060"/>
      <c r="AIP160" s="3060"/>
      <c r="AIQ160" s="3060"/>
      <c r="AIR160" s="3060"/>
      <c r="AIS160" s="3060"/>
      <c r="AIT160" s="3060"/>
      <c r="AIU160" s="3060"/>
      <c r="AIV160" s="3060"/>
      <c r="AIW160" s="3060"/>
      <c r="AIX160" s="3060"/>
      <c r="AIY160" s="3060"/>
      <c r="AIZ160" s="3060"/>
      <c r="AJA160" s="3060"/>
      <c r="AJB160" s="3060"/>
      <c r="AJC160" s="3060"/>
      <c r="AJD160" s="3060"/>
      <c r="AJE160" s="3060"/>
      <c r="AJF160" s="3060"/>
      <c r="AJG160" s="3060"/>
      <c r="AJH160" s="3060"/>
      <c r="AJI160" s="3060"/>
      <c r="AJJ160" s="3060"/>
      <c r="AJK160" s="3060"/>
      <c r="AJL160" s="3060"/>
      <c r="AJM160" s="3060"/>
      <c r="AJN160" s="3060"/>
      <c r="AJO160" s="3060"/>
      <c r="AJP160" s="3060"/>
      <c r="AJQ160" s="3060"/>
      <c r="AJR160" s="3060"/>
      <c r="AJS160" s="3060"/>
      <c r="AJT160" s="3060"/>
      <c r="AJU160" s="3060"/>
      <c r="AJV160" s="3060"/>
      <c r="AJW160" s="3060"/>
      <c r="AJX160" s="3060"/>
      <c r="AJY160" s="3060"/>
      <c r="AJZ160" s="3060"/>
      <c r="AKA160" s="3060"/>
      <c r="AKB160" s="3060"/>
      <c r="AKC160" s="3060"/>
      <c r="AKD160" s="3060"/>
      <c r="AKE160" s="3060"/>
      <c r="AKF160" s="3060"/>
      <c r="AKG160" s="3060"/>
      <c r="AKH160" s="3060"/>
      <c r="AKI160" s="3060"/>
      <c r="AKJ160" s="3060"/>
      <c r="AKK160" s="3060"/>
      <c r="AKL160" s="3060"/>
      <c r="AKM160" s="3060"/>
      <c r="AKN160" s="3060"/>
      <c r="AKO160" s="3060"/>
      <c r="AKP160" s="3060"/>
      <c r="AKQ160" s="3060"/>
      <c r="AKR160" s="3060"/>
      <c r="AKS160" s="3060"/>
      <c r="AKT160" s="3060"/>
      <c r="AKU160" s="3060"/>
      <c r="AKV160" s="3060"/>
      <c r="AKW160" s="3060"/>
      <c r="AKX160" s="3060"/>
      <c r="AKY160" s="3060"/>
      <c r="AKZ160" s="3060"/>
      <c r="ALA160" s="3060"/>
      <c r="ALB160" s="3060"/>
      <c r="ALC160" s="3060"/>
      <c r="ALD160" s="3060"/>
      <c r="ALE160" s="3060"/>
      <c r="ALF160" s="3060"/>
      <c r="ALG160" s="3060"/>
      <c r="ALH160" s="3060"/>
      <c r="ALI160" s="3060"/>
      <c r="ALJ160" s="3060"/>
      <c r="ALK160" s="3060"/>
      <c r="ALL160" s="3060"/>
      <c r="ALM160" s="3060"/>
      <c r="ALN160" s="3060"/>
      <c r="ALO160" s="3060"/>
      <c r="ALP160" s="3060"/>
      <c r="ALQ160" s="3060"/>
      <c r="ALR160" s="3060"/>
      <c r="ALS160" s="3060"/>
      <c r="ALT160" s="3060"/>
      <c r="ALU160" s="3060"/>
      <c r="ALV160" s="3060"/>
      <c r="ALW160" s="3060"/>
      <c r="ALX160" s="3060"/>
      <c r="ALY160" s="3060"/>
      <c r="ALZ160" s="3060"/>
      <c r="AMA160" s="3060"/>
      <c r="AMB160" s="3060"/>
      <c r="AMC160" s="3060"/>
      <c r="AMD160" s="3060"/>
      <c r="AME160" s="3060"/>
      <c r="AMF160" s="3060"/>
      <c r="AMG160" s="3060"/>
      <c r="AMH160" s="3060"/>
      <c r="AMI160" s="3060"/>
      <c r="AMJ160" s="3060"/>
      <c r="AMK160" s="3060"/>
      <c r="AML160" s="3060"/>
      <c r="AMM160" s="3060"/>
      <c r="AMN160" s="3060"/>
      <c r="AMO160" s="3060"/>
      <c r="AMP160" s="3060"/>
      <c r="AMQ160" s="3060"/>
      <c r="AMR160" s="3060"/>
      <c r="AMS160" s="3060"/>
      <c r="AMT160" s="3060"/>
      <c r="AMU160" s="3060"/>
      <c r="AMV160" s="3060"/>
      <c r="AMW160" s="3060"/>
      <c r="AMX160" s="3060"/>
      <c r="AMY160" s="3060"/>
      <c r="AMZ160" s="3060"/>
      <c r="ANA160" s="3060"/>
      <c r="ANB160" s="3060"/>
      <c r="ANC160" s="3060"/>
      <c r="AND160" s="3060"/>
      <c r="ANE160" s="3060"/>
      <c r="ANF160" s="3060"/>
      <c r="ANG160" s="3060"/>
      <c r="ANH160" s="3060"/>
      <c r="ANI160" s="3060"/>
      <c r="ANJ160" s="3060"/>
      <c r="ANK160" s="3060"/>
      <c r="ANL160" s="3060"/>
      <c r="ANM160" s="3060"/>
      <c r="ANN160" s="3060"/>
      <c r="ANO160" s="3060"/>
      <c r="ANP160" s="3060"/>
      <c r="ANQ160" s="3060"/>
      <c r="ANR160" s="3060"/>
      <c r="ANS160" s="3060"/>
      <c r="ANT160" s="3060"/>
      <c r="ANU160" s="3060"/>
      <c r="ANV160" s="3060"/>
      <c r="ANW160" s="3060"/>
      <c r="ANX160" s="3060"/>
      <c r="ANY160" s="3060"/>
      <c r="ANZ160" s="3060"/>
      <c r="AOA160" s="3060"/>
      <c r="AOB160" s="3060"/>
      <c r="AOC160" s="3060"/>
      <c r="AOD160" s="3060"/>
      <c r="AOE160" s="3060"/>
      <c r="AOF160" s="3060"/>
      <c r="AOG160" s="3060"/>
      <c r="AOH160" s="3060"/>
      <c r="AOI160" s="3060"/>
      <c r="AOJ160" s="3060"/>
      <c r="AOK160" s="3060"/>
      <c r="AOL160" s="3060"/>
      <c r="AOM160" s="3060"/>
      <c r="AON160" s="3060"/>
      <c r="AOO160" s="3060"/>
      <c r="AOP160" s="3060"/>
      <c r="AOQ160" s="3060"/>
      <c r="AOR160" s="3060"/>
      <c r="AOS160" s="3060"/>
      <c r="AOT160" s="3060"/>
      <c r="AOU160" s="3060"/>
      <c r="AOV160" s="3060"/>
      <c r="AOW160" s="3060"/>
      <c r="AOX160" s="3060"/>
      <c r="AOY160" s="3060"/>
      <c r="AOZ160" s="3060"/>
      <c r="APA160" s="3060"/>
      <c r="APB160" s="3060"/>
      <c r="APC160" s="3060"/>
      <c r="APD160" s="3060"/>
      <c r="APE160" s="3060"/>
      <c r="APF160" s="3060"/>
      <c r="APG160" s="3060"/>
      <c r="APH160" s="3060"/>
      <c r="API160" s="3060"/>
      <c r="APJ160" s="3060"/>
      <c r="APK160" s="3060"/>
      <c r="APL160" s="3060"/>
      <c r="APM160" s="3060"/>
      <c r="APN160" s="3060"/>
      <c r="APO160" s="3060"/>
      <c r="APP160" s="3060"/>
      <c r="APQ160" s="3060"/>
      <c r="APR160" s="3060"/>
      <c r="APS160" s="3060"/>
      <c r="APT160" s="3060"/>
      <c r="APU160" s="3060"/>
      <c r="APV160" s="3060"/>
      <c r="APW160" s="3060"/>
      <c r="APX160" s="3060"/>
      <c r="APY160" s="3060"/>
      <c r="APZ160" s="3060"/>
      <c r="AQA160" s="3060"/>
      <c r="AQB160" s="3060"/>
      <c r="AQC160" s="3060"/>
      <c r="AQD160" s="3060"/>
      <c r="AQE160" s="3060"/>
      <c r="AQF160" s="3060"/>
      <c r="AQG160" s="3060"/>
      <c r="AQH160" s="3060"/>
      <c r="AQI160" s="3060"/>
      <c r="AQJ160" s="3060"/>
      <c r="AQK160" s="3060"/>
      <c r="AQL160" s="3060"/>
      <c r="AQM160" s="3060"/>
      <c r="AQN160" s="3060"/>
      <c r="AQO160" s="3060"/>
      <c r="AQP160" s="3060"/>
      <c r="AQQ160" s="3060"/>
      <c r="AQR160" s="3060"/>
      <c r="AQS160" s="3060"/>
      <c r="AQT160" s="3060"/>
      <c r="AQU160" s="3060"/>
      <c r="AQV160" s="3060"/>
      <c r="AQW160" s="3060"/>
      <c r="AQX160" s="3060"/>
      <c r="AQY160" s="3060"/>
      <c r="AQZ160" s="3060"/>
      <c r="ARA160" s="3060"/>
      <c r="ARB160" s="3060"/>
      <c r="ARC160" s="3060"/>
      <c r="ARD160" s="3060"/>
      <c r="ARE160" s="3060"/>
      <c r="ARF160" s="3060"/>
      <c r="ARG160" s="3060"/>
      <c r="ARH160" s="3060"/>
      <c r="ARI160" s="3060"/>
      <c r="ARJ160" s="3060"/>
      <c r="ARK160" s="3060"/>
      <c r="ARL160" s="3060"/>
      <c r="ARM160" s="3060"/>
      <c r="ARN160" s="3060"/>
      <c r="ARO160" s="3060"/>
      <c r="ARP160" s="3060"/>
      <c r="ARQ160" s="3060"/>
      <c r="ARR160" s="3060"/>
      <c r="ARS160" s="3060"/>
      <c r="ART160" s="3060"/>
      <c r="ARU160" s="3060"/>
      <c r="ARV160" s="3060"/>
      <c r="ARW160" s="3060"/>
      <c r="ARX160" s="3060"/>
      <c r="ARY160" s="3060"/>
      <c r="ARZ160" s="3060"/>
      <c r="ASA160" s="3060"/>
      <c r="ASB160" s="3060"/>
      <c r="ASC160" s="3060"/>
      <c r="ASD160" s="3060"/>
      <c r="ASE160" s="3060"/>
      <c r="ASF160" s="3060"/>
      <c r="ASG160" s="3060"/>
      <c r="ASH160" s="3060"/>
      <c r="ASI160" s="3060"/>
      <c r="ASJ160" s="3060"/>
      <c r="ASK160" s="3060"/>
      <c r="ASL160" s="3060"/>
      <c r="ASM160" s="3060"/>
      <c r="ASN160" s="3060"/>
      <c r="ASO160" s="3060"/>
      <c r="ASP160" s="3060"/>
      <c r="ASQ160" s="3060"/>
      <c r="ASR160" s="3060"/>
      <c r="ASS160" s="3060"/>
      <c r="AST160" s="3060"/>
      <c r="ASU160" s="3060"/>
      <c r="ASV160" s="3060"/>
      <c r="ASW160" s="3060"/>
      <c r="ASX160" s="3060"/>
      <c r="ASY160" s="3060"/>
      <c r="ASZ160" s="3060"/>
      <c r="ATA160" s="3060"/>
      <c r="ATB160" s="3060"/>
      <c r="ATC160" s="3060"/>
      <c r="ATD160" s="3060"/>
      <c r="ATE160" s="3060"/>
      <c r="ATF160" s="3060"/>
      <c r="ATG160" s="3060"/>
      <c r="ATH160" s="3060"/>
      <c r="ATI160" s="3060"/>
      <c r="ATJ160" s="3060"/>
      <c r="ATK160" s="3060"/>
      <c r="ATL160" s="3060"/>
      <c r="ATM160" s="3060"/>
      <c r="ATN160" s="3060"/>
      <c r="ATO160" s="3060"/>
      <c r="ATP160" s="3060"/>
      <c r="ATQ160" s="3060"/>
      <c r="ATR160" s="3060"/>
      <c r="ATS160" s="3060"/>
      <c r="ATT160" s="3060"/>
      <c r="ATU160" s="3060"/>
      <c r="ATV160" s="3060"/>
      <c r="ATW160" s="3060"/>
      <c r="ATX160" s="3060"/>
      <c r="ATY160" s="3060"/>
      <c r="ATZ160" s="3060"/>
      <c r="AUA160" s="3060"/>
      <c r="AUB160" s="3060"/>
      <c r="AUC160" s="3060"/>
      <c r="AUD160" s="3060"/>
      <c r="AUE160" s="3060"/>
      <c r="AUF160" s="3060"/>
      <c r="AUG160" s="3060"/>
      <c r="AUH160" s="3060"/>
      <c r="AUI160" s="3060"/>
      <c r="AUJ160" s="3060"/>
      <c r="AUK160" s="3060"/>
      <c r="AUL160" s="3060"/>
      <c r="AUM160" s="3060"/>
      <c r="AUN160" s="3060"/>
      <c r="AUO160" s="3060"/>
      <c r="AUP160" s="3060"/>
      <c r="AUQ160" s="3060"/>
      <c r="AUR160" s="3060"/>
      <c r="AUS160" s="3060"/>
      <c r="AUT160" s="3060"/>
      <c r="AUU160" s="3060"/>
      <c r="AUV160" s="3060"/>
      <c r="AUW160" s="3060"/>
      <c r="AUX160" s="3060"/>
      <c r="AUY160" s="3060"/>
      <c r="AUZ160" s="3060"/>
      <c r="AVA160" s="3060"/>
      <c r="AVB160" s="3060"/>
      <c r="AVC160" s="3060"/>
      <c r="AVD160" s="3060"/>
      <c r="AVE160" s="3060"/>
      <c r="AVF160" s="3060"/>
      <c r="AVG160" s="3060"/>
      <c r="AVH160" s="3060"/>
      <c r="AVI160" s="3060"/>
      <c r="AVJ160" s="3060"/>
      <c r="AVK160" s="3060"/>
      <c r="AVL160" s="3060"/>
      <c r="AVM160" s="3060"/>
      <c r="AVN160" s="3060"/>
      <c r="AVO160" s="3060"/>
      <c r="AVP160" s="3060"/>
      <c r="AVQ160" s="3060"/>
      <c r="AVR160" s="3060"/>
      <c r="AVS160" s="3060"/>
      <c r="AVT160" s="3060"/>
      <c r="AVU160" s="3060"/>
      <c r="AVV160" s="3060"/>
      <c r="AVW160" s="3060"/>
      <c r="AVX160" s="3060"/>
      <c r="AVY160" s="3060"/>
      <c r="AVZ160" s="3060"/>
      <c r="AWA160" s="3060"/>
      <c r="AWB160" s="3060"/>
      <c r="AWC160" s="3060"/>
      <c r="AWD160" s="3060"/>
      <c r="AWE160" s="3060"/>
      <c r="AWF160" s="3060"/>
      <c r="AWG160" s="3060"/>
      <c r="AWH160" s="3060"/>
      <c r="AWI160" s="3060"/>
      <c r="AWJ160" s="3060"/>
      <c r="AWK160" s="3060"/>
      <c r="AWL160" s="3060"/>
      <c r="AWM160" s="3060"/>
      <c r="AWN160" s="3060"/>
      <c r="AWO160" s="3060"/>
      <c r="AWP160" s="3060"/>
      <c r="AWQ160" s="3060"/>
      <c r="AWR160" s="3060"/>
      <c r="AWS160" s="3060"/>
      <c r="AWT160" s="3060"/>
      <c r="AWU160" s="3060"/>
      <c r="AWV160" s="3060"/>
      <c r="AWW160" s="3060"/>
      <c r="AWX160" s="3060"/>
      <c r="AWY160" s="3060"/>
      <c r="AWZ160" s="3060"/>
      <c r="AXA160" s="3060"/>
      <c r="AXB160" s="3060"/>
      <c r="AXC160" s="3060"/>
      <c r="AXD160" s="3060"/>
      <c r="AXE160" s="3060"/>
      <c r="AXF160" s="3060"/>
      <c r="AXG160" s="3060"/>
      <c r="AXH160" s="3060"/>
      <c r="AXI160" s="3060"/>
      <c r="AXJ160" s="3060"/>
      <c r="AXK160" s="3060"/>
      <c r="AXL160" s="3060"/>
      <c r="AXM160" s="3060"/>
      <c r="AXN160" s="3060"/>
      <c r="AXO160" s="3060"/>
      <c r="AXP160" s="3060"/>
      <c r="AXQ160" s="3060"/>
      <c r="AXR160" s="3060"/>
      <c r="AXS160" s="3060"/>
      <c r="AXT160" s="3060"/>
      <c r="AXU160" s="3060"/>
      <c r="AXV160" s="3060"/>
      <c r="AXW160" s="3060"/>
      <c r="AXX160" s="3060"/>
      <c r="AXY160" s="3060"/>
      <c r="AXZ160" s="3060"/>
      <c r="AYA160" s="3060"/>
      <c r="AYB160" s="3060"/>
      <c r="AYC160" s="3060"/>
      <c r="AYD160" s="3060"/>
      <c r="AYE160" s="3060"/>
      <c r="AYF160" s="3060"/>
      <c r="AYG160" s="3060"/>
      <c r="AYH160" s="3060"/>
      <c r="AYI160" s="3060"/>
      <c r="AYJ160" s="3060"/>
      <c r="AYK160" s="3060"/>
      <c r="AYL160" s="3060"/>
      <c r="AYM160" s="3060"/>
      <c r="AYN160" s="3060"/>
      <c r="AYO160" s="3060"/>
      <c r="AYP160" s="3060"/>
      <c r="AYQ160" s="3060"/>
      <c r="AYR160" s="3060"/>
      <c r="AYS160" s="3060"/>
      <c r="AYT160" s="3060"/>
      <c r="AYU160" s="3060"/>
      <c r="AYV160" s="3060"/>
      <c r="AYW160" s="3060"/>
      <c r="AYX160" s="3060"/>
      <c r="AYY160" s="3060"/>
      <c r="AYZ160" s="3060"/>
      <c r="AZA160" s="3060"/>
      <c r="AZB160" s="3060"/>
      <c r="AZC160" s="3060"/>
      <c r="AZD160" s="3060"/>
      <c r="AZE160" s="3060"/>
      <c r="AZF160" s="3060"/>
      <c r="AZG160" s="3060"/>
      <c r="AZH160" s="3060"/>
      <c r="AZI160" s="3060"/>
      <c r="AZJ160" s="3060"/>
      <c r="AZK160" s="3060"/>
      <c r="AZL160" s="3060"/>
      <c r="AZM160" s="3060"/>
      <c r="AZN160" s="3060"/>
      <c r="AZO160" s="3060"/>
      <c r="AZP160" s="3060"/>
      <c r="AZQ160" s="3060"/>
      <c r="AZR160" s="3060"/>
      <c r="AZS160" s="3060"/>
      <c r="AZT160" s="3060"/>
      <c r="AZU160" s="3060"/>
      <c r="AZV160" s="3060"/>
      <c r="AZW160" s="3060"/>
      <c r="AZX160" s="3060"/>
      <c r="AZY160" s="3060"/>
      <c r="AZZ160" s="3060"/>
      <c r="BAA160" s="3060"/>
      <c r="BAB160" s="3060"/>
      <c r="BAC160" s="3060"/>
      <c r="BAD160" s="3060"/>
      <c r="BAE160" s="3060"/>
      <c r="BAF160" s="3060"/>
      <c r="BAG160" s="3060"/>
      <c r="BAH160" s="3060"/>
      <c r="BAI160" s="3060"/>
      <c r="BAJ160" s="3060"/>
      <c r="BAK160" s="3060"/>
      <c r="BAL160" s="3060"/>
      <c r="BAM160" s="3060"/>
      <c r="BAN160" s="3060"/>
      <c r="BAO160" s="3060"/>
      <c r="BAP160" s="3060"/>
      <c r="BAQ160" s="3060"/>
      <c r="BAR160" s="3060"/>
      <c r="BAS160" s="3060"/>
      <c r="BAT160" s="3060"/>
      <c r="BAU160" s="3060"/>
      <c r="BAV160" s="3060"/>
      <c r="BAW160" s="3060"/>
      <c r="BAX160" s="3060"/>
      <c r="BAY160" s="3060"/>
      <c r="BAZ160" s="3060"/>
      <c r="BBA160" s="3060"/>
      <c r="BBB160" s="3060"/>
      <c r="BBC160" s="3060"/>
      <c r="BBD160" s="3060"/>
      <c r="BBE160" s="3060"/>
      <c r="BBF160" s="3060"/>
      <c r="BBG160" s="3060"/>
      <c r="BBH160" s="3060"/>
      <c r="BBI160" s="3060"/>
      <c r="BBJ160" s="3060"/>
      <c r="BBK160" s="3060"/>
      <c r="BBL160" s="3060"/>
      <c r="BBM160" s="3060"/>
      <c r="BBN160" s="3060"/>
      <c r="BBO160" s="3060"/>
      <c r="BBP160" s="3060"/>
      <c r="BBQ160" s="3060"/>
      <c r="BBR160" s="3060"/>
      <c r="BBS160" s="3060"/>
      <c r="BBT160" s="3060"/>
      <c r="BBU160" s="3060"/>
      <c r="BBV160" s="3060"/>
      <c r="BBW160" s="3060"/>
      <c r="BBX160" s="3060"/>
      <c r="BBY160" s="3060"/>
      <c r="BBZ160" s="3060"/>
      <c r="BCA160" s="3060"/>
      <c r="BCB160" s="3060"/>
      <c r="BCC160" s="3060"/>
      <c r="BCD160" s="3060"/>
      <c r="BCE160" s="3060"/>
      <c r="BCF160" s="3060"/>
      <c r="BCG160" s="3060"/>
      <c r="BCH160" s="3060"/>
      <c r="BCI160" s="3060"/>
      <c r="BCJ160" s="3060"/>
      <c r="BCK160" s="3060"/>
      <c r="BCL160" s="3060"/>
      <c r="BCM160" s="3060"/>
      <c r="BCN160" s="3060"/>
      <c r="BCO160" s="3060"/>
      <c r="BCP160" s="3060"/>
      <c r="BCQ160" s="3060"/>
      <c r="BCR160" s="3060"/>
      <c r="BCS160" s="3060"/>
      <c r="BCT160" s="3060"/>
      <c r="BCU160" s="3060"/>
      <c r="BCV160" s="3060"/>
      <c r="BCW160" s="3060"/>
      <c r="BCX160" s="3060"/>
      <c r="BCY160" s="3060"/>
      <c r="BCZ160" s="3060"/>
      <c r="BDA160" s="3060"/>
      <c r="BDB160" s="3060"/>
      <c r="BDC160" s="3060"/>
      <c r="BDD160" s="3060"/>
      <c r="BDE160" s="3060"/>
      <c r="BDF160" s="3060"/>
      <c r="BDG160" s="3060"/>
      <c r="BDH160" s="3060"/>
      <c r="BDI160" s="3060"/>
      <c r="BDJ160" s="3060"/>
      <c r="BDK160" s="3060"/>
      <c r="BDL160" s="3060"/>
      <c r="BDM160" s="3060"/>
      <c r="BDN160" s="3060"/>
      <c r="BDO160" s="3060"/>
      <c r="BDP160" s="3060"/>
      <c r="BDQ160" s="3060"/>
      <c r="BDR160" s="3060"/>
      <c r="BDS160" s="3060"/>
      <c r="BDT160" s="3060"/>
      <c r="BDU160" s="3060"/>
      <c r="BDV160" s="3060"/>
      <c r="BDW160" s="3060"/>
      <c r="BDX160" s="3060"/>
      <c r="BDY160" s="3060"/>
      <c r="BDZ160" s="3060"/>
      <c r="BEA160" s="3060"/>
      <c r="BEB160" s="3060"/>
      <c r="BEC160" s="3060"/>
      <c r="BED160" s="3060"/>
      <c r="BEE160" s="3060"/>
      <c r="BEF160" s="3060"/>
      <c r="BEG160" s="3060"/>
      <c r="BEH160" s="3060"/>
      <c r="BEI160" s="3060"/>
      <c r="BEJ160" s="3060"/>
      <c r="BEK160" s="3060"/>
      <c r="BEL160" s="3060"/>
      <c r="BEM160" s="3060"/>
      <c r="BEN160" s="3060"/>
      <c r="BEO160" s="3060"/>
      <c r="BEP160" s="3060"/>
      <c r="BEQ160" s="3060"/>
      <c r="BER160" s="3060"/>
      <c r="BES160" s="3060"/>
      <c r="BET160" s="3060"/>
      <c r="BEU160" s="3060"/>
      <c r="BEV160" s="3060"/>
      <c r="BEW160" s="3060"/>
      <c r="BEX160" s="3060"/>
      <c r="BEY160" s="3060"/>
      <c r="BEZ160" s="3060"/>
      <c r="BFA160" s="3060"/>
      <c r="BFB160" s="3060"/>
      <c r="BFC160" s="3060"/>
      <c r="BFD160" s="3060"/>
      <c r="BFE160" s="3060"/>
      <c r="BFF160" s="3060"/>
      <c r="BFG160" s="3060"/>
      <c r="BFH160" s="3060"/>
      <c r="BFI160" s="3060"/>
      <c r="BFJ160" s="3060"/>
      <c r="BFK160" s="3060"/>
      <c r="BFL160" s="3060"/>
      <c r="BFM160" s="3060"/>
      <c r="BFN160" s="3060"/>
      <c r="BFO160" s="3060"/>
      <c r="BFP160" s="3060"/>
      <c r="BFQ160" s="3060"/>
      <c r="BFR160" s="3060"/>
      <c r="BFS160" s="3060"/>
      <c r="BFT160" s="3060"/>
      <c r="BFU160" s="3060"/>
      <c r="BFV160" s="3060"/>
      <c r="BFW160" s="3060"/>
      <c r="BFX160" s="3060"/>
      <c r="BFY160" s="3060"/>
      <c r="BFZ160" s="3060"/>
      <c r="BGA160" s="3060"/>
      <c r="BGB160" s="3060"/>
      <c r="BGC160" s="3060"/>
      <c r="BGD160" s="3060"/>
      <c r="BGE160" s="3060"/>
      <c r="BGF160" s="3060"/>
      <c r="BGG160" s="3060"/>
      <c r="BGH160" s="3060"/>
      <c r="BGI160" s="3060"/>
      <c r="BGJ160" s="3060"/>
      <c r="BGK160" s="3060"/>
      <c r="BGL160" s="3060"/>
      <c r="BGM160" s="3060"/>
      <c r="BGN160" s="3060"/>
      <c r="BGO160" s="3060"/>
      <c r="BGP160" s="3060"/>
      <c r="BGQ160" s="3060"/>
      <c r="BGR160" s="3060"/>
      <c r="BGS160" s="3060"/>
      <c r="BGT160" s="3060"/>
      <c r="BGU160" s="3060"/>
      <c r="BGV160" s="3060"/>
      <c r="BGW160" s="3060"/>
      <c r="BGX160" s="3060"/>
      <c r="BGY160" s="3060"/>
      <c r="BGZ160" s="3060"/>
      <c r="BHA160" s="3060"/>
      <c r="BHB160" s="3060"/>
      <c r="BHC160" s="3060"/>
      <c r="BHD160" s="3060"/>
      <c r="BHE160" s="3060"/>
      <c r="BHF160" s="3060"/>
      <c r="BHG160" s="3060"/>
      <c r="BHH160" s="3060"/>
      <c r="BHI160" s="3060"/>
      <c r="BHJ160" s="3060"/>
      <c r="BHK160" s="3060"/>
      <c r="BHL160" s="3060"/>
      <c r="BHM160" s="3060"/>
      <c r="BHN160" s="3060"/>
      <c r="BHO160" s="3060"/>
      <c r="BHP160" s="3060"/>
      <c r="BHQ160" s="3060"/>
      <c r="BHR160" s="3060"/>
      <c r="BHS160" s="3060"/>
      <c r="BHT160" s="3060"/>
      <c r="BHU160" s="3060"/>
      <c r="BHV160" s="3060"/>
      <c r="BHW160" s="3060"/>
      <c r="BHX160" s="3060"/>
      <c r="BHY160" s="3060"/>
      <c r="BHZ160" s="3060"/>
      <c r="BIA160" s="3060"/>
      <c r="BIB160" s="3060"/>
      <c r="BIC160" s="3060"/>
      <c r="BID160" s="3060"/>
      <c r="BIE160" s="3060"/>
      <c r="BIF160" s="3060"/>
      <c r="BIG160" s="3060"/>
      <c r="BIH160" s="3060"/>
      <c r="BII160" s="3060"/>
      <c r="BIJ160" s="3060"/>
      <c r="BIK160" s="3060"/>
      <c r="BIL160" s="3060"/>
      <c r="BIM160" s="3060"/>
      <c r="BIN160" s="3060"/>
      <c r="BIO160" s="3060"/>
      <c r="BIP160" s="3060"/>
      <c r="BIQ160" s="3060"/>
      <c r="BIR160" s="3060"/>
      <c r="BIS160" s="3060"/>
      <c r="BIT160" s="3060"/>
      <c r="BIU160" s="3060"/>
      <c r="BIV160" s="3060"/>
      <c r="BIW160" s="3060"/>
      <c r="BIX160" s="3060"/>
      <c r="BIY160" s="3060"/>
      <c r="BIZ160" s="3060"/>
      <c r="BJA160" s="3060"/>
      <c r="BJB160" s="3060"/>
      <c r="BJC160" s="3060"/>
      <c r="BJD160" s="3060"/>
      <c r="BJE160" s="3060"/>
      <c r="BJF160" s="3060"/>
      <c r="BJG160" s="3060"/>
      <c r="BJH160" s="3060"/>
      <c r="BJI160" s="3060"/>
      <c r="BJJ160" s="3060"/>
      <c r="BJK160" s="3060"/>
      <c r="BJL160" s="3060"/>
      <c r="BJM160" s="3060"/>
      <c r="BJN160" s="3060"/>
      <c r="BJO160" s="3060"/>
      <c r="BJP160" s="3060"/>
      <c r="BJQ160" s="3060"/>
      <c r="BJR160" s="3060"/>
      <c r="BJS160" s="3060"/>
      <c r="BJT160" s="3060"/>
      <c r="BJU160" s="3060"/>
      <c r="BJV160" s="3060"/>
      <c r="BJW160" s="3060"/>
      <c r="BJX160" s="3060"/>
      <c r="BJY160" s="3060"/>
      <c r="BJZ160" s="3060"/>
      <c r="BKA160" s="3060"/>
      <c r="BKB160" s="3060"/>
      <c r="BKC160" s="3060"/>
      <c r="BKD160" s="3060"/>
      <c r="BKE160" s="3060"/>
      <c r="BKF160" s="3060"/>
      <c r="BKG160" s="3060"/>
      <c r="BKH160" s="3060"/>
      <c r="BKI160" s="3060"/>
      <c r="BKJ160" s="3060"/>
      <c r="BKK160" s="3060"/>
      <c r="BKL160" s="3060"/>
      <c r="BKM160" s="3060"/>
      <c r="BKN160" s="3060"/>
      <c r="BKO160" s="3060"/>
      <c r="BKP160" s="3060"/>
      <c r="BKQ160" s="3060"/>
      <c r="BKR160" s="3060"/>
      <c r="BKS160" s="3060"/>
      <c r="BKT160" s="3060"/>
      <c r="BKU160" s="3060"/>
      <c r="BKV160" s="3060"/>
      <c r="BKW160" s="3060"/>
      <c r="BKX160" s="3060"/>
      <c r="BKY160" s="3060"/>
      <c r="BKZ160" s="3060"/>
      <c r="BLA160" s="3060"/>
      <c r="BLB160" s="3060"/>
      <c r="BLC160" s="3060"/>
      <c r="BLD160" s="3060"/>
      <c r="BLE160" s="3060"/>
      <c r="BLF160" s="3060"/>
      <c r="BLG160" s="3060"/>
      <c r="BLH160" s="3060"/>
      <c r="BLI160" s="3060"/>
      <c r="BLJ160" s="3060"/>
      <c r="BLK160" s="3060"/>
      <c r="BLL160" s="3060"/>
      <c r="BLM160" s="3060"/>
      <c r="BLN160" s="3060"/>
      <c r="BLO160" s="3060"/>
      <c r="BLP160" s="3060"/>
      <c r="BLQ160" s="3060"/>
      <c r="BLR160" s="3060"/>
      <c r="BLS160" s="3060"/>
      <c r="BLT160" s="3060"/>
      <c r="BLU160" s="3060"/>
      <c r="BLV160" s="3060"/>
      <c r="BLW160" s="3060"/>
      <c r="BLX160" s="3060"/>
      <c r="BLY160" s="3060"/>
      <c r="BLZ160" s="3060"/>
      <c r="BMA160" s="3060"/>
      <c r="BMB160" s="3060"/>
      <c r="BMC160" s="3060"/>
      <c r="BMD160" s="3060"/>
      <c r="BME160" s="3060"/>
      <c r="BMF160" s="3060"/>
      <c r="BMG160" s="3060"/>
      <c r="BMH160" s="3060"/>
      <c r="BMI160" s="3060"/>
      <c r="BMJ160" s="3060"/>
      <c r="BMK160" s="3060"/>
      <c r="BML160" s="3060"/>
      <c r="BMM160" s="3060"/>
      <c r="BMN160" s="3060"/>
      <c r="BMO160" s="3060"/>
      <c r="BMP160" s="3060"/>
      <c r="BMQ160" s="3060"/>
      <c r="BMR160" s="3060"/>
      <c r="BMS160" s="3060"/>
      <c r="BMT160" s="3060"/>
      <c r="BMU160" s="3060"/>
      <c r="BMV160" s="3060"/>
      <c r="BMW160" s="3060"/>
      <c r="BMX160" s="3060"/>
      <c r="BMY160" s="3060"/>
      <c r="BMZ160" s="3060"/>
      <c r="BNA160" s="3060"/>
      <c r="BNB160" s="3060"/>
      <c r="BNC160" s="3060"/>
      <c r="BND160" s="3060"/>
      <c r="BNE160" s="3060"/>
      <c r="BNF160" s="3060"/>
      <c r="BNG160" s="3060"/>
      <c r="BNH160" s="3060"/>
      <c r="BNI160" s="3060"/>
      <c r="BNJ160" s="3060"/>
      <c r="BNK160" s="3060"/>
      <c r="BNL160" s="3060"/>
      <c r="BNM160" s="3060"/>
      <c r="BNN160" s="3060"/>
      <c r="BNO160" s="3060"/>
      <c r="BNP160" s="3060"/>
      <c r="BNQ160" s="3060"/>
      <c r="BNR160" s="3060"/>
      <c r="BNS160" s="3060"/>
      <c r="BNT160" s="3060"/>
      <c r="BNU160" s="3060"/>
      <c r="BNV160" s="3060"/>
      <c r="BNW160" s="3060"/>
      <c r="BNX160" s="3060"/>
      <c r="BNY160" s="3060"/>
      <c r="BNZ160" s="3060"/>
      <c r="BOA160" s="3060"/>
      <c r="BOB160" s="3060"/>
      <c r="BOC160" s="3060"/>
      <c r="BOD160" s="3060"/>
      <c r="BOE160" s="3060"/>
      <c r="BOF160" s="3060"/>
      <c r="BOG160" s="3060"/>
      <c r="BOH160" s="3060"/>
      <c r="BOI160" s="3060"/>
      <c r="BOJ160" s="3060"/>
      <c r="BOK160" s="3060"/>
      <c r="BOL160" s="3060"/>
      <c r="BOM160" s="3060"/>
      <c r="BON160" s="3060"/>
      <c r="BOO160" s="3060"/>
      <c r="BOP160" s="3060"/>
      <c r="BOQ160" s="3060"/>
      <c r="BOR160" s="3060"/>
      <c r="BOS160" s="3060"/>
      <c r="BOT160" s="3060"/>
      <c r="BOU160" s="3060"/>
      <c r="BOV160" s="3060"/>
      <c r="BOW160" s="3060"/>
      <c r="BOX160" s="3060"/>
      <c r="BOY160" s="3060"/>
      <c r="BOZ160" s="3060"/>
      <c r="BPA160" s="3060"/>
      <c r="BPB160" s="3060"/>
      <c r="BPC160" s="3060"/>
      <c r="BPD160" s="3060"/>
      <c r="BPE160" s="3060"/>
      <c r="BPF160" s="3060"/>
      <c r="BPG160" s="3060"/>
      <c r="BPH160" s="3060"/>
      <c r="BPI160" s="3060"/>
      <c r="BPJ160" s="3060"/>
      <c r="BPK160" s="3060"/>
      <c r="BPL160" s="3060"/>
      <c r="BPM160" s="3060"/>
      <c r="BPN160" s="3060"/>
      <c r="BPO160" s="3060"/>
      <c r="BPP160" s="3060"/>
      <c r="BPQ160" s="3060"/>
      <c r="BPR160" s="3060"/>
      <c r="BPS160" s="3060"/>
      <c r="BPT160" s="3060"/>
      <c r="BPU160" s="3060"/>
      <c r="BPV160" s="3060"/>
      <c r="BPW160" s="3060"/>
      <c r="BPX160" s="3060"/>
      <c r="BPY160" s="3060"/>
      <c r="BPZ160" s="3060"/>
      <c r="BQA160" s="3060"/>
      <c r="BQB160" s="3060"/>
      <c r="BQC160" s="3060"/>
      <c r="BQD160" s="3060"/>
      <c r="BQE160" s="3060"/>
      <c r="BQF160" s="3060"/>
      <c r="BQG160" s="3060"/>
      <c r="BQH160" s="3060"/>
      <c r="BQI160" s="3060"/>
      <c r="BQJ160" s="3060"/>
      <c r="BQK160" s="3060"/>
      <c r="BQL160" s="3060"/>
      <c r="BQM160" s="3060"/>
      <c r="BQN160" s="3060"/>
      <c r="BQO160" s="3060"/>
      <c r="BQP160" s="3060"/>
      <c r="BQQ160" s="3060"/>
      <c r="BQR160" s="3060"/>
      <c r="BQS160" s="3060"/>
      <c r="BQT160" s="3060"/>
      <c r="BQU160" s="3060"/>
      <c r="BQV160" s="3060"/>
      <c r="BQW160" s="3060"/>
      <c r="BQX160" s="3060"/>
      <c r="BQY160" s="3060"/>
      <c r="BQZ160" s="3060"/>
      <c r="BRA160" s="3060"/>
      <c r="BRB160" s="3060"/>
      <c r="BRC160" s="3060"/>
      <c r="BRD160" s="3060"/>
      <c r="BRE160" s="3060"/>
      <c r="BRF160" s="3060"/>
      <c r="BRG160" s="3060"/>
      <c r="BRH160" s="3060"/>
      <c r="BRI160" s="3060"/>
      <c r="BRJ160" s="3060"/>
      <c r="BRK160" s="3060"/>
      <c r="BRL160" s="3060"/>
      <c r="BRM160" s="3060"/>
      <c r="BRN160" s="3060"/>
      <c r="BRO160" s="3060"/>
      <c r="BRP160" s="3060"/>
      <c r="BRQ160" s="3060"/>
      <c r="BRR160" s="3060"/>
      <c r="BRS160" s="3060"/>
      <c r="BRT160" s="3060"/>
      <c r="BRU160" s="3060"/>
      <c r="BRV160" s="3060"/>
      <c r="BRW160" s="3060"/>
      <c r="BRX160" s="3060"/>
      <c r="BRY160" s="3060"/>
      <c r="BRZ160" s="3060"/>
      <c r="BSA160" s="3060"/>
      <c r="BSB160" s="3060"/>
      <c r="BSC160" s="3060"/>
      <c r="BSD160" s="3060"/>
      <c r="BSE160" s="3060"/>
      <c r="BSF160" s="3060"/>
      <c r="BSG160" s="3060"/>
      <c r="BSH160" s="3060"/>
      <c r="BSI160" s="3060"/>
      <c r="BSJ160" s="3060"/>
      <c r="BSK160" s="3060"/>
      <c r="BSL160" s="3060"/>
      <c r="BSM160" s="3060"/>
      <c r="BSN160" s="3060"/>
      <c r="BSO160" s="3060"/>
      <c r="BSP160" s="3060"/>
      <c r="BSQ160" s="3060"/>
      <c r="BSR160" s="3060"/>
      <c r="BSS160" s="3060"/>
      <c r="BST160" s="3060"/>
      <c r="BSU160" s="3060"/>
      <c r="BSV160" s="3060"/>
      <c r="BSW160" s="3060"/>
      <c r="BSX160" s="3060"/>
      <c r="BSY160" s="3060"/>
      <c r="BSZ160" s="3060"/>
      <c r="BTA160" s="3060"/>
      <c r="BTB160" s="3060"/>
      <c r="BTC160" s="3060"/>
      <c r="BTD160" s="3060"/>
      <c r="BTE160" s="3060"/>
      <c r="BTF160" s="3060"/>
      <c r="BTG160" s="3060"/>
      <c r="BTH160" s="3060"/>
      <c r="BTI160" s="3060"/>
      <c r="BTJ160" s="3060"/>
      <c r="BTK160" s="3060"/>
      <c r="BTL160" s="3060"/>
      <c r="BTM160" s="3060"/>
      <c r="BTN160" s="3060"/>
      <c r="BTO160" s="3060"/>
      <c r="BTP160" s="3060"/>
      <c r="BTQ160" s="3060"/>
      <c r="BTR160" s="3060"/>
      <c r="BTS160" s="3060"/>
      <c r="BTT160" s="3060"/>
      <c r="BTU160" s="3060"/>
      <c r="BTV160" s="3060"/>
      <c r="BTW160" s="3060"/>
      <c r="BTX160" s="3060"/>
      <c r="BTY160" s="3060"/>
      <c r="BTZ160" s="3060"/>
      <c r="BUA160" s="3060"/>
      <c r="BUB160" s="3060"/>
      <c r="BUC160" s="3060"/>
      <c r="BUD160" s="3060"/>
      <c r="BUE160" s="3060"/>
      <c r="BUF160" s="3060"/>
      <c r="BUG160" s="3060"/>
      <c r="BUH160" s="3060"/>
      <c r="BUI160" s="3060"/>
      <c r="BUJ160" s="3060"/>
      <c r="BUK160" s="3060"/>
      <c r="BUL160" s="3060"/>
      <c r="BUM160" s="3060"/>
      <c r="BUN160" s="3060"/>
      <c r="BUO160" s="3060"/>
      <c r="BUP160" s="3060"/>
      <c r="BUQ160" s="3060"/>
      <c r="BUR160" s="3060"/>
      <c r="BUS160" s="3060"/>
      <c r="BUT160" s="3060"/>
      <c r="BUU160" s="3060"/>
      <c r="BUV160" s="3060"/>
      <c r="BUW160" s="3060"/>
      <c r="BUX160" s="3060"/>
      <c r="BUY160" s="3060"/>
      <c r="BUZ160" s="3060"/>
      <c r="BVA160" s="3060"/>
      <c r="BVB160" s="3060"/>
      <c r="BVC160" s="3060"/>
      <c r="BVD160" s="3060"/>
      <c r="BVE160" s="3060"/>
      <c r="BVF160" s="3060"/>
      <c r="BVG160" s="3060"/>
      <c r="BVH160" s="3060"/>
      <c r="BVI160" s="3060"/>
      <c r="BVJ160" s="3060"/>
      <c r="BVK160" s="3060"/>
      <c r="BVL160" s="3060"/>
      <c r="BVM160" s="3060"/>
      <c r="BVN160" s="3060"/>
      <c r="BVO160" s="3060"/>
      <c r="BVP160" s="3060"/>
      <c r="BVQ160" s="3060"/>
      <c r="BVR160" s="3060"/>
      <c r="BVS160" s="3060"/>
      <c r="BVT160" s="3060"/>
      <c r="BVU160" s="3060"/>
      <c r="BVV160" s="3060"/>
      <c r="BVW160" s="3060"/>
      <c r="BVX160" s="3060"/>
      <c r="BVY160" s="3060"/>
      <c r="BVZ160" s="3060"/>
      <c r="BWA160" s="3060"/>
      <c r="BWB160" s="3060"/>
      <c r="BWC160" s="3060"/>
      <c r="BWD160" s="3060"/>
      <c r="BWE160" s="3060"/>
      <c r="BWF160" s="3060"/>
      <c r="BWG160" s="3060"/>
      <c r="BWH160" s="3060"/>
      <c r="BWI160" s="3060"/>
      <c r="BWJ160" s="3060"/>
      <c r="BWK160" s="3060"/>
      <c r="BWL160" s="3060"/>
      <c r="BWM160" s="3060"/>
      <c r="BWN160" s="3060"/>
      <c r="BWO160" s="3060"/>
      <c r="BWP160" s="3060"/>
      <c r="BWQ160" s="3060"/>
      <c r="BWR160" s="3060"/>
      <c r="BWS160" s="3060"/>
      <c r="BWT160" s="3060"/>
      <c r="BWU160" s="3060"/>
      <c r="BWV160" s="3060"/>
      <c r="BWW160" s="3060"/>
      <c r="BWX160" s="3060"/>
      <c r="BWY160" s="3060"/>
      <c r="BWZ160" s="3060"/>
      <c r="BXA160" s="3060"/>
      <c r="BXB160" s="3060"/>
      <c r="BXC160" s="3060"/>
      <c r="BXD160" s="3060"/>
      <c r="BXE160" s="3060"/>
      <c r="BXF160" s="3060"/>
      <c r="BXG160" s="3060"/>
      <c r="BXH160" s="3060"/>
      <c r="BXI160" s="3060"/>
      <c r="BXJ160" s="3060"/>
      <c r="BXK160" s="3060"/>
      <c r="BXL160" s="3060"/>
      <c r="BXM160" s="3060"/>
      <c r="BXN160" s="3060"/>
      <c r="BXO160" s="3060"/>
      <c r="BXP160" s="3060"/>
      <c r="BXQ160" s="3060"/>
      <c r="BXR160" s="3060"/>
      <c r="BXS160" s="3060"/>
      <c r="BXT160" s="3060"/>
      <c r="BXU160" s="3060"/>
      <c r="BXV160" s="3060"/>
      <c r="BXW160" s="3060"/>
      <c r="BXX160" s="3060"/>
      <c r="BXY160" s="3060"/>
      <c r="BXZ160" s="3060"/>
      <c r="BYA160" s="3060"/>
      <c r="BYB160" s="3060"/>
      <c r="BYC160" s="3060"/>
      <c r="BYD160" s="3060"/>
      <c r="BYE160" s="3060"/>
      <c r="BYF160" s="3060"/>
      <c r="BYG160" s="3060"/>
      <c r="BYH160" s="3060"/>
      <c r="BYI160" s="3060"/>
      <c r="BYJ160" s="3060"/>
      <c r="BYK160" s="3060"/>
      <c r="BYL160" s="3060"/>
      <c r="BYM160" s="3060"/>
      <c r="BYN160" s="3060"/>
      <c r="BYO160" s="3060"/>
      <c r="BYP160" s="3060"/>
      <c r="BYQ160" s="3060"/>
      <c r="BYR160" s="3060"/>
      <c r="BYS160" s="3060"/>
      <c r="BYT160" s="3060"/>
      <c r="BYU160" s="3060"/>
      <c r="BYV160" s="3060"/>
      <c r="BYW160" s="3060"/>
      <c r="BYX160" s="3060"/>
      <c r="BYY160" s="3060"/>
      <c r="BYZ160" s="3060"/>
      <c r="BZA160" s="3060"/>
      <c r="BZB160" s="3060"/>
      <c r="BZC160" s="3060"/>
      <c r="BZD160" s="3060"/>
      <c r="BZE160" s="3060"/>
      <c r="BZF160" s="3060"/>
      <c r="BZG160" s="3060"/>
      <c r="BZH160" s="3060"/>
      <c r="BZI160" s="3060"/>
      <c r="BZJ160" s="3060"/>
      <c r="BZK160" s="3060"/>
      <c r="BZL160" s="3060"/>
      <c r="BZM160" s="3060"/>
      <c r="BZN160" s="3060"/>
      <c r="BZO160" s="3060"/>
      <c r="BZP160" s="3060"/>
      <c r="BZQ160" s="3060"/>
      <c r="BZR160" s="3060"/>
      <c r="BZS160" s="3060"/>
      <c r="BZT160" s="3060"/>
      <c r="BZU160" s="3060"/>
      <c r="BZV160" s="3060"/>
      <c r="BZW160" s="3060"/>
      <c r="BZX160" s="3060"/>
      <c r="BZY160" s="3060"/>
      <c r="BZZ160" s="3060"/>
      <c r="CAA160" s="3060"/>
      <c r="CAB160" s="3060"/>
      <c r="CAC160" s="3060"/>
      <c r="CAD160" s="3060"/>
      <c r="CAE160" s="3060"/>
      <c r="CAF160" s="3060"/>
      <c r="CAG160" s="3060"/>
      <c r="CAH160" s="3060"/>
      <c r="CAI160" s="3060"/>
      <c r="CAJ160" s="3060"/>
      <c r="CAK160" s="3060"/>
      <c r="CAL160" s="3060"/>
      <c r="CAM160" s="3060"/>
      <c r="CAN160" s="3060"/>
      <c r="CAO160" s="3060"/>
      <c r="CAP160" s="3060"/>
      <c r="CAQ160" s="3060"/>
      <c r="CAR160" s="3060"/>
      <c r="CAS160" s="3060"/>
      <c r="CAT160" s="3060"/>
      <c r="CAU160" s="3060"/>
      <c r="CAV160" s="3060"/>
      <c r="CAW160" s="3060"/>
      <c r="CAX160" s="3060"/>
      <c r="CAY160" s="3060"/>
      <c r="CAZ160" s="3060"/>
      <c r="CBA160" s="3060"/>
      <c r="CBB160" s="3060"/>
      <c r="CBC160" s="3060"/>
      <c r="CBD160" s="3060"/>
      <c r="CBE160" s="3060"/>
      <c r="CBF160" s="3060"/>
      <c r="CBG160" s="3060"/>
      <c r="CBH160" s="3060"/>
      <c r="CBI160" s="3060"/>
      <c r="CBJ160" s="3060"/>
      <c r="CBK160" s="3060"/>
      <c r="CBL160" s="3060"/>
      <c r="CBM160" s="3060"/>
      <c r="CBN160" s="3060"/>
      <c r="CBO160" s="3060"/>
      <c r="CBP160" s="3060"/>
      <c r="CBQ160" s="3060"/>
      <c r="CBR160" s="3060"/>
      <c r="CBS160" s="3060"/>
      <c r="CBT160" s="3060"/>
      <c r="CBU160" s="3060"/>
      <c r="CBV160" s="3060"/>
      <c r="CBW160" s="3060"/>
      <c r="CBX160" s="3060"/>
      <c r="CBY160" s="3060"/>
      <c r="CBZ160" s="3060"/>
      <c r="CCA160" s="3060"/>
      <c r="CCB160" s="3060"/>
      <c r="CCC160" s="3060"/>
      <c r="CCD160" s="3060"/>
      <c r="CCE160" s="3060"/>
      <c r="CCF160" s="3060"/>
      <c r="CCG160" s="3060"/>
      <c r="CCH160" s="3060"/>
      <c r="CCI160" s="3060"/>
      <c r="CCJ160" s="3060"/>
      <c r="CCK160" s="3060"/>
      <c r="CCL160" s="3060"/>
      <c r="CCM160" s="3060"/>
      <c r="CCN160" s="3060"/>
      <c r="CCO160" s="3060"/>
      <c r="CCP160" s="3060"/>
      <c r="CCQ160" s="3060"/>
      <c r="CCR160" s="3060"/>
      <c r="CCS160" s="3060"/>
      <c r="CCT160" s="3060"/>
      <c r="CCU160" s="3060"/>
      <c r="CCV160" s="3060"/>
      <c r="CCW160" s="3060"/>
      <c r="CCX160" s="3060"/>
      <c r="CCY160" s="3060"/>
      <c r="CCZ160" s="3060"/>
      <c r="CDA160" s="3060"/>
      <c r="CDB160" s="3060"/>
      <c r="CDC160" s="3060"/>
      <c r="CDD160" s="3060"/>
      <c r="CDE160" s="3060"/>
      <c r="CDF160" s="3060"/>
      <c r="CDG160" s="3060"/>
      <c r="CDH160" s="3060"/>
      <c r="CDI160" s="3060"/>
      <c r="CDJ160" s="3060"/>
      <c r="CDK160" s="3060"/>
      <c r="CDL160" s="3060"/>
      <c r="CDM160" s="3060"/>
      <c r="CDN160" s="3060"/>
      <c r="CDO160" s="3060"/>
      <c r="CDP160" s="3060"/>
      <c r="CDQ160" s="3060"/>
      <c r="CDR160" s="3060"/>
      <c r="CDS160" s="3060"/>
      <c r="CDT160" s="3060"/>
      <c r="CDU160" s="3060"/>
      <c r="CDV160" s="3060"/>
      <c r="CDW160" s="3060"/>
      <c r="CDX160" s="3060"/>
      <c r="CDY160" s="3060"/>
      <c r="CDZ160" s="3060"/>
      <c r="CEA160" s="3060"/>
      <c r="CEB160" s="3060"/>
      <c r="CEC160" s="3060"/>
      <c r="CED160" s="3060"/>
      <c r="CEE160" s="3060"/>
      <c r="CEF160" s="3060"/>
      <c r="CEG160" s="3060"/>
      <c r="CEH160" s="3060"/>
      <c r="CEI160" s="3060"/>
      <c r="CEJ160" s="3060"/>
      <c r="CEK160" s="3060"/>
      <c r="CEL160" s="3060"/>
      <c r="CEM160" s="3060"/>
      <c r="CEN160" s="3060"/>
      <c r="CEO160" s="3060"/>
      <c r="CEP160" s="3060"/>
      <c r="CEQ160" s="3060"/>
      <c r="CER160" s="3060"/>
      <c r="CES160" s="3060"/>
      <c r="CET160" s="3060"/>
      <c r="CEU160" s="3060"/>
      <c r="CEV160" s="3060"/>
      <c r="CEW160" s="3060"/>
      <c r="CEX160" s="3060"/>
      <c r="CEY160" s="3060"/>
      <c r="CEZ160" s="3060"/>
      <c r="CFA160" s="3060"/>
      <c r="CFB160" s="3060"/>
      <c r="CFC160" s="3060"/>
      <c r="CFD160" s="3060"/>
      <c r="CFE160" s="3060"/>
      <c r="CFF160" s="3060"/>
      <c r="CFG160" s="3060"/>
      <c r="CFH160" s="3060"/>
      <c r="CFI160" s="3060"/>
      <c r="CFJ160" s="3060"/>
      <c r="CFK160" s="3060"/>
      <c r="CFL160" s="3060"/>
      <c r="CFM160" s="3060"/>
      <c r="CFN160" s="3060"/>
      <c r="CFO160" s="3060"/>
      <c r="CFP160" s="3060"/>
      <c r="CFQ160" s="3060"/>
      <c r="CFR160" s="3060"/>
      <c r="CFS160" s="3060"/>
      <c r="CFT160" s="3060"/>
      <c r="CFU160" s="3060"/>
      <c r="CFV160" s="3060"/>
      <c r="CFW160" s="3060"/>
      <c r="CFX160" s="3060"/>
      <c r="CFY160" s="3060"/>
      <c r="CFZ160" s="3060"/>
      <c r="CGA160" s="3060"/>
      <c r="CGB160" s="3060"/>
      <c r="CGC160" s="3060"/>
      <c r="CGD160" s="3060"/>
      <c r="CGE160" s="3060"/>
      <c r="CGF160" s="3060"/>
      <c r="CGG160" s="3060"/>
      <c r="CGH160" s="3060"/>
      <c r="CGI160" s="3060"/>
      <c r="CGJ160" s="3060"/>
      <c r="CGK160" s="3060"/>
      <c r="CGL160" s="3060"/>
      <c r="CGM160" s="3060"/>
      <c r="CGN160" s="3060"/>
      <c r="CGO160" s="3060"/>
      <c r="CGP160" s="3060"/>
      <c r="CGQ160" s="3060"/>
      <c r="CGR160" s="3060"/>
      <c r="CGS160" s="3060"/>
      <c r="CGT160" s="3060"/>
      <c r="CGU160" s="3060"/>
      <c r="CGV160" s="3060"/>
      <c r="CGW160" s="3060"/>
      <c r="CGX160" s="3060"/>
      <c r="CGY160" s="3060"/>
      <c r="CGZ160" s="3060"/>
      <c r="CHA160" s="3060"/>
      <c r="CHB160" s="3060"/>
      <c r="CHC160" s="3060"/>
      <c r="CHD160" s="3060"/>
      <c r="CHE160" s="3060"/>
      <c r="CHF160" s="3060"/>
      <c r="CHG160" s="3060"/>
      <c r="CHH160" s="3060"/>
      <c r="CHI160" s="3060"/>
      <c r="CHJ160" s="3060"/>
      <c r="CHK160" s="3060"/>
      <c r="CHL160" s="3060"/>
      <c r="CHM160" s="3060"/>
      <c r="CHN160" s="3060"/>
      <c r="CHO160" s="3060"/>
      <c r="CHP160" s="3060"/>
      <c r="CHQ160" s="3060"/>
      <c r="CHR160" s="3060"/>
      <c r="CHS160" s="3060"/>
      <c r="CHT160" s="3060"/>
      <c r="CHU160" s="3060"/>
      <c r="CHV160" s="3060"/>
      <c r="CHW160" s="3060"/>
      <c r="CHX160" s="3060"/>
      <c r="CHY160" s="3060"/>
      <c r="CHZ160" s="3060"/>
      <c r="CIA160" s="3060"/>
      <c r="CIB160" s="3060"/>
      <c r="CIC160" s="3060"/>
      <c r="CID160" s="3060"/>
      <c r="CIE160" s="3060"/>
      <c r="CIF160" s="3060"/>
      <c r="CIG160" s="3060"/>
      <c r="CIH160" s="3060"/>
      <c r="CII160" s="3060"/>
      <c r="CIJ160" s="3060"/>
      <c r="CIK160" s="3060"/>
      <c r="CIL160" s="3060"/>
      <c r="CIM160" s="3060"/>
      <c r="CIN160" s="3060"/>
      <c r="CIO160" s="3060"/>
      <c r="CIP160" s="3060"/>
      <c r="CIQ160" s="3060"/>
      <c r="CIR160" s="3060"/>
      <c r="CIS160" s="3060"/>
      <c r="CIT160" s="3060"/>
      <c r="CIU160" s="3060"/>
      <c r="CIV160" s="3060"/>
      <c r="CIW160" s="3060"/>
      <c r="CIX160" s="3060"/>
      <c r="CIY160" s="3060"/>
      <c r="CIZ160" s="3060"/>
      <c r="CJA160" s="3060"/>
      <c r="CJB160" s="3060"/>
      <c r="CJC160" s="3060"/>
      <c r="CJD160" s="3060"/>
      <c r="CJE160" s="3060"/>
      <c r="CJF160" s="3060"/>
      <c r="CJG160" s="3060"/>
      <c r="CJH160" s="3060"/>
      <c r="CJI160" s="3060"/>
      <c r="CJJ160" s="3060"/>
      <c r="CJK160" s="3060"/>
      <c r="CJL160" s="3060"/>
      <c r="CJM160" s="3060"/>
      <c r="CJN160" s="3060"/>
      <c r="CJO160" s="3060"/>
      <c r="CJP160" s="3060"/>
      <c r="CJQ160" s="3060"/>
      <c r="CJR160" s="3060"/>
      <c r="CJS160" s="3060"/>
      <c r="CJT160" s="3060"/>
      <c r="CJU160" s="3060"/>
      <c r="CJV160" s="3060"/>
      <c r="CJW160" s="3060"/>
      <c r="CJX160" s="3060"/>
      <c r="CJY160" s="3060"/>
      <c r="CJZ160" s="3060"/>
      <c r="CKA160" s="3060"/>
      <c r="CKB160" s="3060"/>
      <c r="CKC160" s="3060"/>
      <c r="CKD160" s="3060"/>
      <c r="CKE160" s="3060"/>
      <c r="CKF160" s="3060"/>
      <c r="CKG160" s="3060"/>
      <c r="CKH160" s="3060"/>
      <c r="CKI160" s="3060"/>
      <c r="CKJ160" s="3060"/>
      <c r="CKK160" s="3060"/>
      <c r="CKL160" s="3060"/>
      <c r="CKM160" s="3060"/>
      <c r="CKN160" s="3060"/>
      <c r="CKO160" s="3060"/>
      <c r="CKP160" s="3060"/>
      <c r="CKQ160" s="3060"/>
      <c r="CKR160" s="3060"/>
      <c r="CKS160" s="3060"/>
      <c r="CKT160" s="3060"/>
      <c r="CKU160" s="3060"/>
      <c r="CKV160" s="3060"/>
      <c r="CKW160" s="3060"/>
      <c r="CKX160" s="3060"/>
      <c r="CKY160" s="3060"/>
      <c r="CKZ160" s="3060"/>
      <c r="CLA160" s="3060"/>
      <c r="CLB160" s="3060"/>
      <c r="CLC160" s="3060"/>
      <c r="CLD160" s="3060"/>
      <c r="CLE160" s="3060"/>
      <c r="CLF160" s="3060"/>
      <c r="CLG160" s="3060"/>
      <c r="CLH160" s="3060"/>
      <c r="CLI160" s="3060"/>
      <c r="CLJ160" s="3060"/>
      <c r="CLK160" s="3060"/>
      <c r="CLL160" s="3060"/>
      <c r="CLM160" s="3060"/>
      <c r="CLN160" s="3060"/>
      <c r="CLO160" s="3060"/>
      <c r="CLP160" s="3060"/>
      <c r="CLQ160" s="3060"/>
      <c r="CLR160" s="3060"/>
      <c r="CLS160" s="3060"/>
      <c r="CLT160" s="3060"/>
      <c r="CLU160" s="3060"/>
      <c r="CLV160" s="3060"/>
      <c r="CLW160" s="3060"/>
      <c r="CLX160" s="3060"/>
      <c r="CLY160" s="3060"/>
      <c r="CLZ160" s="3060"/>
      <c r="CMA160" s="3060"/>
      <c r="CMB160" s="3060"/>
      <c r="CMC160" s="3060"/>
      <c r="CMD160" s="3060"/>
      <c r="CME160" s="3060"/>
      <c r="CMF160" s="3060"/>
      <c r="CMG160" s="3060"/>
      <c r="CMH160" s="3060"/>
      <c r="CMI160" s="3060"/>
      <c r="CMJ160" s="3060"/>
      <c r="CMK160" s="3060"/>
      <c r="CML160" s="3060"/>
      <c r="CMM160" s="3060"/>
      <c r="CMN160" s="3060"/>
      <c r="CMO160" s="3060"/>
      <c r="CMP160" s="3060"/>
      <c r="CMQ160" s="3060"/>
      <c r="CMR160" s="3060"/>
      <c r="CMS160" s="3060"/>
      <c r="CMT160" s="3060"/>
      <c r="CMU160" s="3060"/>
      <c r="CMV160" s="3060"/>
      <c r="CMW160" s="3060"/>
      <c r="CMX160" s="3060"/>
      <c r="CMY160" s="3060"/>
      <c r="CMZ160" s="3060"/>
      <c r="CNA160" s="3060"/>
      <c r="CNB160" s="3060"/>
      <c r="CNC160" s="3060"/>
      <c r="CND160" s="3060"/>
      <c r="CNE160" s="3060"/>
      <c r="CNF160" s="3060"/>
      <c r="CNG160" s="3060"/>
      <c r="CNH160" s="3060"/>
      <c r="CNI160" s="3060"/>
      <c r="CNJ160" s="3060"/>
      <c r="CNK160" s="3060"/>
      <c r="CNL160" s="3060"/>
      <c r="CNM160" s="3060"/>
      <c r="CNN160" s="3060"/>
      <c r="CNO160" s="3060"/>
      <c r="CNP160" s="3060"/>
      <c r="CNQ160" s="3060"/>
      <c r="CNR160" s="3060"/>
      <c r="CNS160" s="3060"/>
      <c r="CNT160" s="3060"/>
      <c r="CNU160" s="3060"/>
      <c r="CNV160" s="3060"/>
      <c r="CNW160" s="3060"/>
      <c r="CNX160" s="3060"/>
      <c r="CNY160" s="3060"/>
      <c r="CNZ160" s="3060"/>
      <c r="COA160" s="3060"/>
      <c r="COB160" s="3060"/>
      <c r="COC160" s="3060"/>
      <c r="COD160" s="3060"/>
      <c r="COE160" s="3060"/>
      <c r="COF160" s="3060"/>
      <c r="COG160" s="3060"/>
      <c r="COH160" s="3060"/>
      <c r="COI160" s="3060"/>
      <c r="COJ160" s="3060"/>
      <c r="COK160" s="3060"/>
      <c r="COL160" s="3060"/>
      <c r="COM160" s="3060"/>
      <c r="CON160" s="3060"/>
      <c r="COO160" s="3060"/>
      <c r="COP160" s="3060"/>
      <c r="COQ160" s="3060"/>
      <c r="COR160" s="3060"/>
      <c r="COS160" s="3060"/>
      <c r="COT160" s="3060"/>
      <c r="COU160" s="3060"/>
      <c r="COV160" s="3060"/>
      <c r="COW160" s="3060"/>
      <c r="COX160" s="3060"/>
      <c r="COY160" s="3060"/>
      <c r="COZ160" s="3060"/>
      <c r="CPA160" s="3060"/>
      <c r="CPB160" s="3060"/>
      <c r="CPC160" s="3060"/>
      <c r="CPD160" s="3060"/>
      <c r="CPE160" s="3060"/>
      <c r="CPF160" s="3060"/>
      <c r="CPG160" s="3060"/>
      <c r="CPH160" s="3060"/>
      <c r="CPI160" s="3060"/>
      <c r="CPJ160" s="3060"/>
      <c r="CPK160" s="3060"/>
      <c r="CPL160" s="3060"/>
      <c r="CPM160" s="3060"/>
      <c r="CPN160" s="3060"/>
      <c r="CPO160" s="3060"/>
      <c r="CPP160" s="3060"/>
      <c r="CPQ160" s="3060"/>
      <c r="CPR160" s="3060"/>
      <c r="CPS160" s="3060"/>
      <c r="CPT160" s="3060"/>
      <c r="CPU160" s="3060"/>
      <c r="CPV160" s="3060"/>
      <c r="CPW160" s="3060"/>
      <c r="CPX160" s="3060"/>
      <c r="CPY160" s="3060"/>
      <c r="CPZ160" s="3060"/>
      <c r="CQA160" s="3060"/>
      <c r="CQB160" s="3060"/>
      <c r="CQC160" s="3060"/>
      <c r="CQD160" s="3060"/>
      <c r="CQE160" s="3060"/>
      <c r="CQF160" s="3060"/>
      <c r="CQG160" s="3060"/>
      <c r="CQH160" s="3060"/>
      <c r="CQI160" s="3060"/>
      <c r="CQJ160" s="3060"/>
      <c r="CQK160" s="3060"/>
      <c r="CQL160" s="3060"/>
      <c r="CQM160" s="3060"/>
      <c r="CQN160" s="3060"/>
      <c r="CQO160" s="3060"/>
      <c r="CQP160" s="3060"/>
      <c r="CQQ160" s="3060"/>
      <c r="CQR160" s="3060"/>
      <c r="CQS160" s="3060"/>
      <c r="CQT160" s="3060"/>
      <c r="CQU160" s="3060"/>
      <c r="CQV160" s="3060"/>
      <c r="CQW160" s="3060"/>
      <c r="CQX160" s="3060"/>
      <c r="CQY160" s="3060"/>
      <c r="CQZ160" s="3060"/>
      <c r="CRA160" s="3060"/>
      <c r="CRB160" s="3060"/>
      <c r="CRC160" s="3060"/>
      <c r="CRD160" s="3060"/>
      <c r="CRE160" s="3060"/>
      <c r="CRF160" s="3060"/>
      <c r="CRG160" s="3060"/>
      <c r="CRH160" s="3060"/>
      <c r="CRI160" s="3060"/>
      <c r="CRJ160" s="3060"/>
      <c r="CRK160" s="3060"/>
      <c r="CRL160" s="3060"/>
      <c r="CRM160" s="3060"/>
      <c r="CRN160" s="3060"/>
      <c r="CRO160" s="3060"/>
      <c r="CRP160" s="3060"/>
      <c r="CRQ160" s="3060"/>
      <c r="CRR160" s="3060"/>
      <c r="CRS160" s="3060"/>
      <c r="CRT160" s="3060"/>
      <c r="CRU160" s="3060"/>
      <c r="CRV160" s="3060"/>
      <c r="CRW160" s="3060"/>
      <c r="CRX160" s="3060"/>
      <c r="CRY160" s="3060"/>
      <c r="CRZ160" s="3060"/>
      <c r="CSA160" s="3060"/>
      <c r="CSB160" s="3060"/>
      <c r="CSC160" s="3060"/>
      <c r="CSD160" s="3060"/>
      <c r="CSE160" s="3060"/>
      <c r="CSF160" s="3060"/>
      <c r="CSG160" s="3060"/>
      <c r="CSH160" s="3060"/>
      <c r="CSI160" s="3060"/>
      <c r="CSJ160" s="3060"/>
      <c r="CSK160" s="3060"/>
      <c r="CSL160" s="3060"/>
      <c r="CSM160" s="3060"/>
      <c r="CSN160" s="3060"/>
      <c r="CSO160" s="3060"/>
      <c r="CSP160" s="3060"/>
      <c r="CSQ160" s="3060"/>
      <c r="CSR160" s="3060"/>
      <c r="CSS160" s="3060"/>
      <c r="CST160" s="3060"/>
      <c r="CSU160" s="3060"/>
      <c r="CSV160" s="3060"/>
      <c r="CSW160" s="3060"/>
      <c r="CSX160" s="3060"/>
      <c r="CSY160" s="3060"/>
      <c r="CSZ160" s="3060"/>
      <c r="CTA160" s="3060"/>
      <c r="CTB160" s="3060"/>
      <c r="CTC160" s="3060"/>
      <c r="CTD160" s="3060"/>
      <c r="CTE160" s="3060"/>
      <c r="CTF160" s="3060"/>
      <c r="CTG160" s="3060"/>
      <c r="CTH160" s="3060"/>
      <c r="CTI160" s="3060"/>
      <c r="CTJ160" s="3060"/>
      <c r="CTK160" s="3060"/>
      <c r="CTL160" s="3060"/>
      <c r="CTM160" s="3060"/>
      <c r="CTN160" s="3060"/>
      <c r="CTO160" s="3060"/>
      <c r="CTP160" s="3060"/>
      <c r="CTQ160" s="3060"/>
      <c r="CTR160" s="3060"/>
      <c r="CTS160" s="3060"/>
      <c r="CTT160" s="3060"/>
      <c r="CTU160" s="3060"/>
      <c r="CTV160" s="3060"/>
      <c r="CTW160" s="3060"/>
      <c r="CTX160" s="3060"/>
      <c r="CTY160" s="3060"/>
      <c r="CTZ160" s="3060"/>
      <c r="CUA160" s="3060"/>
      <c r="CUB160" s="3060"/>
      <c r="CUC160" s="3060"/>
      <c r="CUD160" s="3060"/>
      <c r="CUE160" s="3060"/>
      <c r="CUF160" s="3060"/>
      <c r="CUG160" s="3060"/>
      <c r="CUH160" s="3060"/>
      <c r="CUI160" s="3060"/>
      <c r="CUJ160" s="3060"/>
      <c r="CUK160" s="3060"/>
      <c r="CUL160" s="3060"/>
      <c r="CUM160" s="3060"/>
      <c r="CUN160" s="3060"/>
      <c r="CUO160" s="3060"/>
      <c r="CUP160" s="3060"/>
      <c r="CUQ160" s="3060"/>
      <c r="CUR160" s="3060"/>
      <c r="CUS160" s="3060"/>
      <c r="CUT160" s="3060"/>
      <c r="CUU160" s="3060"/>
      <c r="CUV160" s="3060"/>
      <c r="CUW160" s="3060"/>
      <c r="CUX160" s="3060"/>
      <c r="CUY160" s="3060"/>
      <c r="CUZ160" s="3060"/>
      <c r="CVA160" s="3060"/>
      <c r="CVB160" s="3060"/>
      <c r="CVC160" s="3060"/>
      <c r="CVD160" s="3060"/>
      <c r="CVE160" s="3060"/>
      <c r="CVF160" s="3060"/>
      <c r="CVG160" s="3060"/>
      <c r="CVH160" s="3060"/>
      <c r="CVI160" s="3060"/>
      <c r="CVJ160" s="3060"/>
      <c r="CVK160" s="3060"/>
      <c r="CVL160" s="3060"/>
      <c r="CVM160" s="3060"/>
      <c r="CVN160" s="3060"/>
      <c r="CVO160" s="3060"/>
      <c r="CVP160" s="3060"/>
      <c r="CVQ160" s="3060"/>
      <c r="CVR160" s="3060"/>
      <c r="CVS160" s="3060"/>
      <c r="CVT160" s="3060"/>
      <c r="CVU160" s="3060"/>
      <c r="CVV160" s="3060"/>
      <c r="CVW160" s="3060"/>
      <c r="CVX160" s="3060"/>
      <c r="CVY160" s="3060"/>
      <c r="CVZ160" s="3060"/>
      <c r="CWA160" s="3060"/>
      <c r="CWB160" s="3060"/>
      <c r="CWC160" s="3060"/>
      <c r="CWD160" s="3060"/>
      <c r="CWE160" s="3060"/>
      <c r="CWF160" s="3060"/>
      <c r="CWG160" s="3060"/>
      <c r="CWH160" s="3060"/>
      <c r="CWI160" s="3060"/>
      <c r="CWJ160" s="3060"/>
      <c r="CWK160" s="3060"/>
      <c r="CWL160" s="3060"/>
      <c r="CWM160" s="3060"/>
      <c r="CWN160" s="3060"/>
      <c r="CWO160" s="3060"/>
      <c r="CWP160" s="3060"/>
      <c r="CWQ160" s="3060"/>
      <c r="CWR160" s="3060"/>
      <c r="CWS160" s="3060"/>
      <c r="CWT160" s="3060"/>
      <c r="CWU160" s="3060"/>
      <c r="CWV160" s="3060"/>
      <c r="CWW160" s="3060"/>
      <c r="CWX160" s="3060"/>
      <c r="CWY160" s="3060"/>
      <c r="CWZ160" s="3060"/>
      <c r="CXA160" s="3060"/>
      <c r="CXB160" s="3060"/>
      <c r="CXC160" s="3060"/>
      <c r="CXD160" s="3060"/>
      <c r="CXE160" s="3060"/>
      <c r="CXF160" s="3060"/>
      <c r="CXG160" s="3060"/>
      <c r="CXH160" s="3060"/>
      <c r="CXI160" s="3060"/>
      <c r="CXJ160" s="3060"/>
      <c r="CXK160" s="3060"/>
      <c r="CXL160" s="3060"/>
      <c r="CXM160" s="3060"/>
      <c r="CXN160" s="3060"/>
      <c r="CXO160" s="3060"/>
      <c r="CXP160" s="3060"/>
      <c r="CXQ160" s="3060"/>
      <c r="CXR160" s="3060"/>
      <c r="CXS160" s="3060"/>
      <c r="CXT160" s="3060"/>
      <c r="CXU160" s="3060"/>
      <c r="CXV160" s="3060"/>
      <c r="CXW160" s="3060"/>
      <c r="CXX160" s="3060"/>
      <c r="CXY160" s="3060"/>
      <c r="CXZ160" s="3060"/>
      <c r="CYA160" s="3060"/>
      <c r="CYB160" s="3060"/>
      <c r="CYC160" s="3060"/>
      <c r="CYD160" s="3060"/>
      <c r="CYE160" s="3060"/>
      <c r="CYF160" s="3060"/>
      <c r="CYG160" s="3060"/>
      <c r="CYH160" s="3060"/>
      <c r="CYI160" s="3060"/>
      <c r="CYJ160" s="3060"/>
      <c r="CYK160" s="3060"/>
      <c r="CYL160" s="3060"/>
      <c r="CYM160" s="3060"/>
      <c r="CYN160" s="3060"/>
      <c r="CYO160" s="3060"/>
      <c r="CYP160" s="3060"/>
      <c r="CYQ160" s="3060"/>
      <c r="CYR160" s="3060"/>
      <c r="CYS160" s="3060"/>
      <c r="CYT160" s="3060"/>
      <c r="CYU160" s="3060"/>
      <c r="CYV160" s="3060"/>
      <c r="CYW160" s="3060"/>
      <c r="CYX160" s="3060"/>
      <c r="CYY160" s="3060"/>
      <c r="CYZ160" s="3060"/>
      <c r="CZA160" s="3060"/>
      <c r="CZB160" s="3060"/>
      <c r="CZC160" s="3060"/>
      <c r="CZD160" s="3060"/>
      <c r="CZE160" s="3060"/>
      <c r="CZF160" s="3060"/>
      <c r="CZG160" s="3060"/>
      <c r="CZH160" s="3060"/>
      <c r="CZI160" s="3060"/>
      <c r="CZJ160" s="3060"/>
      <c r="CZK160" s="3060"/>
      <c r="CZL160" s="3060"/>
      <c r="CZM160" s="3060"/>
      <c r="CZN160" s="3060"/>
      <c r="CZO160" s="3060"/>
      <c r="CZP160" s="3060"/>
      <c r="CZQ160" s="3060"/>
      <c r="CZR160" s="3060"/>
      <c r="CZS160" s="3060"/>
      <c r="CZT160" s="3060"/>
      <c r="CZU160" s="3060"/>
      <c r="CZV160" s="3060"/>
      <c r="CZW160" s="3060"/>
      <c r="CZX160" s="3060"/>
      <c r="CZY160" s="3060"/>
      <c r="CZZ160" s="3060"/>
      <c r="DAA160" s="3060"/>
      <c r="DAB160" s="3060"/>
      <c r="DAC160" s="3060"/>
      <c r="DAD160" s="3060"/>
      <c r="DAE160" s="3060"/>
      <c r="DAF160" s="3060"/>
      <c r="DAG160" s="3060"/>
      <c r="DAH160" s="3060"/>
      <c r="DAI160" s="3060"/>
      <c r="DAJ160" s="3060"/>
      <c r="DAK160" s="3060"/>
      <c r="DAL160" s="3060"/>
      <c r="DAM160" s="3060"/>
      <c r="DAN160" s="3060"/>
      <c r="DAO160" s="3060"/>
      <c r="DAP160" s="3060"/>
      <c r="DAQ160" s="3060"/>
      <c r="DAR160" s="3060"/>
      <c r="DAS160" s="3060"/>
      <c r="DAT160" s="3060"/>
      <c r="DAU160" s="3060"/>
      <c r="DAV160" s="3060"/>
      <c r="DAW160" s="3060"/>
      <c r="DAX160" s="3060"/>
      <c r="DAY160" s="3060"/>
      <c r="DAZ160" s="3060"/>
      <c r="DBA160" s="3060"/>
      <c r="DBB160" s="3060"/>
      <c r="DBC160" s="3060"/>
      <c r="DBD160" s="3060"/>
      <c r="DBE160" s="3060"/>
      <c r="DBF160" s="3060"/>
      <c r="DBG160" s="3060"/>
      <c r="DBH160" s="3060"/>
      <c r="DBI160" s="3060"/>
      <c r="DBJ160" s="3060"/>
      <c r="DBK160" s="3060"/>
      <c r="DBL160" s="3060"/>
      <c r="DBM160" s="3060"/>
      <c r="DBN160" s="3060"/>
      <c r="DBO160" s="3060"/>
      <c r="DBP160" s="3060"/>
      <c r="DBQ160" s="3060"/>
      <c r="DBR160" s="3060"/>
      <c r="DBS160" s="3060"/>
      <c r="DBT160" s="3060"/>
      <c r="DBU160" s="3060"/>
      <c r="DBV160" s="3060"/>
      <c r="DBW160" s="3060"/>
      <c r="DBX160" s="3060"/>
      <c r="DBY160" s="3060"/>
      <c r="DBZ160" s="3060"/>
      <c r="DCA160" s="3060"/>
      <c r="DCB160" s="3060"/>
      <c r="DCC160" s="3060"/>
      <c r="DCD160" s="3060"/>
      <c r="DCE160" s="3060"/>
      <c r="DCF160" s="3060"/>
      <c r="DCG160" s="3060"/>
      <c r="DCH160" s="3060"/>
      <c r="DCI160" s="3060"/>
      <c r="DCJ160" s="3060"/>
      <c r="DCK160" s="3060"/>
      <c r="DCL160" s="3060"/>
      <c r="DCM160" s="3060"/>
      <c r="DCN160" s="3060"/>
      <c r="DCO160" s="3060"/>
      <c r="DCP160" s="3060"/>
      <c r="DCQ160" s="3060"/>
      <c r="DCR160" s="3060"/>
      <c r="DCS160" s="3060"/>
      <c r="DCT160" s="3060"/>
      <c r="DCU160" s="3060"/>
      <c r="DCV160" s="3060"/>
      <c r="DCW160" s="3060"/>
      <c r="DCX160" s="3060"/>
      <c r="DCY160" s="3060"/>
      <c r="DCZ160" s="3060"/>
      <c r="DDA160" s="3060"/>
      <c r="DDB160" s="3060"/>
      <c r="DDC160" s="3060"/>
      <c r="DDD160" s="3060"/>
      <c r="DDE160" s="3060"/>
      <c r="DDF160" s="3060"/>
      <c r="DDG160" s="3060"/>
      <c r="DDH160" s="3060"/>
      <c r="DDI160" s="3060"/>
      <c r="DDJ160" s="3060"/>
      <c r="DDK160" s="3060"/>
      <c r="DDL160" s="3060"/>
      <c r="DDM160" s="3060"/>
      <c r="DDN160" s="3060"/>
      <c r="DDO160" s="3060"/>
      <c r="DDP160" s="3060"/>
      <c r="DDQ160" s="3060"/>
      <c r="DDR160" s="3060"/>
      <c r="DDS160" s="3060"/>
      <c r="DDT160" s="3060"/>
      <c r="DDU160" s="3060"/>
      <c r="DDV160" s="3060"/>
      <c r="DDW160" s="3060"/>
      <c r="DDX160" s="3060"/>
      <c r="DDY160" s="3060"/>
      <c r="DDZ160" s="3060"/>
      <c r="DEA160" s="3060"/>
      <c r="DEB160" s="3060"/>
      <c r="DEC160" s="3060"/>
      <c r="DED160" s="3060"/>
      <c r="DEE160" s="3060"/>
      <c r="DEF160" s="3060"/>
      <c r="DEG160" s="3060"/>
      <c r="DEH160" s="3060"/>
      <c r="DEI160" s="3060"/>
      <c r="DEJ160" s="3060"/>
      <c r="DEK160" s="3060"/>
      <c r="DEL160" s="3060"/>
      <c r="DEM160" s="3060"/>
      <c r="DEN160" s="3060"/>
      <c r="DEO160" s="3060"/>
      <c r="DEP160" s="3060"/>
      <c r="DEQ160" s="3060"/>
      <c r="DER160" s="3060"/>
      <c r="DES160" s="3060"/>
      <c r="DET160" s="3060"/>
      <c r="DEU160" s="3060"/>
      <c r="DEV160" s="3060"/>
      <c r="DEW160" s="3060"/>
      <c r="DEX160" s="3060"/>
      <c r="DEY160" s="3060"/>
      <c r="DEZ160" s="3060"/>
      <c r="DFA160" s="3060"/>
      <c r="DFB160" s="3060"/>
      <c r="DFC160" s="3060"/>
      <c r="DFD160" s="3060"/>
      <c r="DFE160" s="3060"/>
      <c r="DFF160" s="3060"/>
      <c r="DFG160" s="3060"/>
      <c r="DFH160" s="3060"/>
      <c r="DFI160" s="3060"/>
      <c r="DFJ160" s="3060"/>
      <c r="DFK160" s="3060"/>
      <c r="DFL160" s="3060"/>
      <c r="DFM160" s="3060"/>
      <c r="DFN160" s="3060"/>
      <c r="DFO160" s="3060"/>
      <c r="DFP160" s="3060"/>
      <c r="DFQ160" s="3060"/>
      <c r="DFR160" s="3060"/>
      <c r="DFS160" s="3060"/>
      <c r="DFT160" s="3060"/>
      <c r="DFU160" s="3060"/>
      <c r="DFV160" s="3060"/>
      <c r="DFW160" s="3060"/>
      <c r="DFX160" s="3060"/>
      <c r="DFY160" s="3060"/>
      <c r="DFZ160" s="3060"/>
      <c r="DGA160" s="3060"/>
      <c r="DGB160" s="3060"/>
      <c r="DGC160" s="3060"/>
      <c r="DGD160" s="3060"/>
      <c r="DGE160" s="3060"/>
      <c r="DGF160" s="3060"/>
      <c r="DGG160" s="3060"/>
      <c r="DGH160" s="3060"/>
      <c r="DGI160" s="3060"/>
      <c r="DGJ160" s="3060"/>
      <c r="DGK160" s="3060"/>
      <c r="DGL160" s="3060"/>
      <c r="DGM160" s="3060"/>
      <c r="DGN160" s="3060"/>
      <c r="DGO160" s="3060"/>
      <c r="DGP160" s="3060"/>
      <c r="DGQ160" s="3060"/>
      <c r="DGR160" s="3060"/>
      <c r="DGS160" s="3060"/>
      <c r="DGT160" s="3060"/>
      <c r="DGU160" s="3060"/>
      <c r="DGV160" s="3060"/>
      <c r="DGW160" s="3060"/>
      <c r="DGX160" s="3060"/>
      <c r="DGY160" s="3060"/>
      <c r="DGZ160" s="3060"/>
      <c r="DHA160" s="3060"/>
      <c r="DHB160" s="3060"/>
      <c r="DHC160" s="3060"/>
      <c r="DHD160" s="3060"/>
      <c r="DHE160" s="3060"/>
      <c r="DHF160" s="3060"/>
      <c r="DHG160" s="3060"/>
      <c r="DHH160" s="3060"/>
      <c r="DHI160" s="3060"/>
      <c r="DHJ160" s="3060"/>
      <c r="DHK160" s="3060"/>
      <c r="DHL160" s="3060"/>
      <c r="DHM160" s="3060"/>
      <c r="DHN160" s="3060"/>
      <c r="DHO160" s="3060"/>
      <c r="DHP160" s="3060"/>
      <c r="DHQ160" s="3060"/>
      <c r="DHR160" s="3060"/>
      <c r="DHS160" s="3060"/>
      <c r="DHT160" s="3060"/>
      <c r="DHU160" s="3060"/>
      <c r="DHV160" s="3060"/>
      <c r="DHW160" s="3060"/>
      <c r="DHX160" s="3060"/>
      <c r="DHY160" s="3060"/>
      <c r="DHZ160" s="3060"/>
      <c r="DIA160" s="3060"/>
      <c r="DIB160" s="3060"/>
      <c r="DIC160" s="3060"/>
      <c r="DID160" s="3060"/>
      <c r="DIE160" s="3060"/>
      <c r="DIF160" s="3060"/>
      <c r="DIG160" s="3060"/>
      <c r="DIH160" s="3060"/>
      <c r="DII160" s="3060"/>
      <c r="DIJ160" s="3060"/>
      <c r="DIK160" s="3060"/>
      <c r="DIL160" s="3060"/>
      <c r="DIM160" s="3060"/>
      <c r="DIN160" s="3060"/>
      <c r="DIO160" s="3060"/>
      <c r="DIP160" s="3060"/>
      <c r="DIQ160" s="3060"/>
      <c r="DIR160" s="3060"/>
      <c r="DIS160" s="3060"/>
      <c r="DIT160" s="3060"/>
      <c r="DIU160" s="3060"/>
      <c r="DIV160" s="3060"/>
      <c r="DIW160" s="3060"/>
      <c r="DIX160" s="3060"/>
      <c r="DIY160" s="3060"/>
      <c r="DIZ160" s="3060"/>
      <c r="DJA160" s="3060"/>
      <c r="DJB160" s="3060"/>
      <c r="DJC160" s="3060"/>
      <c r="DJD160" s="3060"/>
      <c r="DJE160" s="3060"/>
      <c r="DJF160" s="3060"/>
      <c r="DJG160" s="3060"/>
      <c r="DJH160" s="3060"/>
      <c r="DJI160" s="3060"/>
      <c r="DJJ160" s="3060"/>
      <c r="DJK160" s="3060"/>
      <c r="DJL160" s="3060"/>
      <c r="DJM160" s="3060"/>
      <c r="DJN160" s="3060"/>
      <c r="DJO160" s="3060"/>
      <c r="DJP160" s="3060"/>
      <c r="DJQ160" s="3060"/>
      <c r="DJR160" s="3060"/>
      <c r="DJS160" s="3060"/>
      <c r="DJT160" s="3060"/>
      <c r="DJU160" s="3060"/>
      <c r="DJV160" s="3060"/>
      <c r="DJW160" s="3060"/>
      <c r="DJX160" s="3060"/>
      <c r="DJY160" s="3060"/>
      <c r="DJZ160" s="3060"/>
      <c r="DKA160" s="3060"/>
      <c r="DKB160" s="3060"/>
      <c r="DKC160" s="3060"/>
      <c r="DKD160" s="3060"/>
      <c r="DKE160" s="3060"/>
      <c r="DKF160" s="3060"/>
      <c r="DKG160" s="3060"/>
      <c r="DKH160" s="3060"/>
      <c r="DKI160" s="3060"/>
      <c r="DKJ160" s="3060"/>
      <c r="DKK160" s="3060"/>
      <c r="DKL160" s="3060"/>
      <c r="DKM160" s="3060"/>
      <c r="DKN160" s="3060"/>
      <c r="DKO160" s="3060"/>
      <c r="DKP160" s="3060"/>
      <c r="DKQ160" s="3060"/>
      <c r="DKR160" s="3060"/>
      <c r="DKS160" s="3060"/>
      <c r="DKT160" s="3060"/>
      <c r="DKU160" s="3060"/>
      <c r="DKV160" s="3060"/>
      <c r="DKW160" s="3060"/>
      <c r="DKX160" s="3060"/>
      <c r="DKY160" s="3060"/>
      <c r="DKZ160" s="3060"/>
      <c r="DLA160" s="3060"/>
      <c r="DLB160" s="3060"/>
      <c r="DLC160" s="3060"/>
      <c r="DLD160" s="3060"/>
      <c r="DLE160" s="3060"/>
      <c r="DLF160" s="3060"/>
      <c r="DLG160" s="3060"/>
      <c r="DLH160" s="3060"/>
      <c r="DLI160" s="3060"/>
      <c r="DLJ160" s="3060"/>
      <c r="DLK160" s="3060"/>
      <c r="DLL160" s="3060"/>
      <c r="DLM160" s="3060"/>
      <c r="DLN160" s="3060"/>
      <c r="DLO160" s="3060"/>
      <c r="DLP160" s="3060"/>
      <c r="DLQ160" s="3060"/>
      <c r="DLR160" s="3060"/>
      <c r="DLS160" s="3060"/>
      <c r="DLT160" s="3060"/>
      <c r="DLU160" s="3060"/>
      <c r="DLV160" s="3060"/>
      <c r="DLW160" s="3060"/>
      <c r="DLX160" s="3060"/>
      <c r="DLY160" s="3060"/>
      <c r="DLZ160" s="3060"/>
      <c r="DMA160" s="3060"/>
      <c r="DMB160" s="3060"/>
      <c r="DMC160" s="3060"/>
      <c r="DMD160" s="3060"/>
      <c r="DME160" s="3060"/>
      <c r="DMF160" s="3060"/>
      <c r="DMG160" s="3060"/>
      <c r="DMH160" s="3060"/>
      <c r="DMI160" s="3060"/>
      <c r="DMJ160" s="3060"/>
      <c r="DMK160" s="3060"/>
      <c r="DML160" s="3060"/>
      <c r="DMM160" s="3060"/>
      <c r="DMN160" s="3060"/>
      <c r="DMO160" s="3060"/>
      <c r="DMP160" s="3060"/>
      <c r="DMQ160" s="3060"/>
      <c r="DMR160" s="3060"/>
      <c r="DMS160" s="3060"/>
      <c r="DMT160" s="3060"/>
      <c r="DMU160" s="3060"/>
      <c r="DMV160" s="3060"/>
      <c r="DMW160" s="3060"/>
      <c r="DMX160" s="3060"/>
      <c r="DMY160" s="3060"/>
      <c r="DMZ160" s="3060"/>
      <c r="DNA160" s="3060"/>
      <c r="DNB160" s="3060"/>
      <c r="DNC160" s="3060"/>
      <c r="DND160" s="3060"/>
      <c r="DNE160" s="3060"/>
      <c r="DNF160" s="3060"/>
      <c r="DNG160" s="3060"/>
      <c r="DNH160" s="3060"/>
      <c r="DNI160" s="3060"/>
      <c r="DNJ160" s="3060"/>
      <c r="DNK160" s="3060"/>
      <c r="DNL160" s="3060"/>
      <c r="DNM160" s="3060"/>
      <c r="DNN160" s="3060"/>
      <c r="DNO160" s="3060"/>
      <c r="DNP160" s="3060"/>
      <c r="DNQ160" s="3060"/>
      <c r="DNR160" s="3060"/>
      <c r="DNS160" s="3060"/>
      <c r="DNT160" s="3060"/>
      <c r="DNU160" s="3060"/>
      <c r="DNV160" s="3060"/>
      <c r="DNW160" s="3060"/>
      <c r="DNX160" s="3060"/>
      <c r="DNY160" s="3060"/>
      <c r="DNZ160" s="3060"/>
      <c r="DOA160" s="3060"/>
      <c r="DOB160" s="3060"/>
      <c r="DOC160" s="3060"/>
      <c r="DOD160" s="3060"/>
      <c r="DOE160" s="3060"/>
      <c r="DOF160" s="3060"/>
      <c r="DOG160" s="3060"/>
      <c r="DOH160" s="3060"/>
      <c r="DOI160" s="3060"/>
      <c r="DOJ160" s="3060"/>
      <c r="DOK160" s="3060"/>
      <c r="DOL160" s="3060"/>
      <c r="DOM160" s="3060"/>
      <c r="DON160" s="3060"/>
      <c r="DOO160" s="3060"/>
      <c r="DOP160" s="3060"/>
      <c r="DOQ160" s="3060"/>
      <c r="DOR160" s="3060"/>
      <c r="DOS160" s="3060"/>
      <c r="DOT160" s="3060"/>
      <c r="DOU160" s="3060"/>
      <c r="DOV160" s="3060"/>
      <c r="DOW160" s="3060"/>
      <c r="DOX160" s="3060"/>
      <c r="DOY160" s="3060"/>
      <c r="DOZ160" s="3060"/>
      <c r="DPA160" s="3060"/>
      <c r="DPB160" s="3060"/>
      <c r="DPC160" s="3060"/>
      <c r="DPD160" s="3060"/>
      <c r="DPE160" s="3060"/>
      <c r="DPF160" s="3060"/>
      <c r="DPG160" s="3060"/>
      <c r="DPH160" s="3060"/>
      <c r="DPI160" s="3060"/>
      <c r="DPJ160" s="3060"/>
      <c r="DPK160" s="3060"/>
      <c r="DPL160" s="3060"/>
      <c r="DPM160" s="3060"/>
      <c r="DPN160" s="3060"/>
      <c r="DPO160" s="3060"/>
      <c r="DPP160" s="3060"/>
      <c r="DPQ160" s="3060"/>
      <c r="DPR160" s="3060"/>
      <c r="DPS160" s="3060"/>
      <c r="DPT160" s="3060"/>
      <c r="DPU160" s="3060"/>
      <c r="DPV160" s="3060"/>
      <c r="DPW160" s="3060"/>
      <c r="DPX160" s="3060"/>
      <c r="DPY160" s="3060"/>
      <c r="DPZ160" s="3060"/>
      <c r="DQA160" s="3060"/>
      <c r="DQB160" s="3060"/>
      <c r="DQC160" s="3060"/>
      <c r="DQD160" s="3060"/>
      <c r="DQE160" s="3060"/>
      <c r="DQF160" s="3060"/>
      <c r="DQG160" s="3060"/>
      <c r="DQH160" s="3060"/>
      <c r="DQI160" s="3060"/>
      <c r="DQJ160" s="3060"/>
      <c r="DQK160" s="3060"/>
      <c r="DQL160" s="3060"/>
      <c r="DQM160" s="3060"/>
      <c r="DQN160" s="3060"/>
      <c r="DQO160" s="3060"/>
      <c r="DQP160" s="3060"/>
      <c r="DQQ160" s="3060"/>
      <c r="DQR160" s="3060"/>
      <c r="DQS160" s="3060"/>
      <c r="DQT160" s="3060"/>
      <c r="DQU160" s="3060"/>
      <c r="DQV160" s="3060"/>
      <c r="DQW160" s="3060"/>
      <c r="DQX160" s="3060"/>
      <c r="DQY160" s="3060"/>
      <c r="DQZ160" s="3060"/>
      <c r="DRA160" s="3060"/>
      <c r="DRB160" s="3060"/>
      <c r="DRC160" s="3060"/>
      <c r="DRD160" s="3060"/>
      <c r="DRE160" s="3060"/>
      <c r="DRF160" s="3060"/>
      <c r="DRG160" s="3060"/>
      <c r="DRH160" s="3060"/>
      <c r="DRI160" s="3060"/>
      <c r="DRJ160" s="3060"/>
      <c r="DRK160" s="3060"/>
      <c r="DRL160" s="3060"/>
      <c r="DRM160" s="3060"/>
      <c r="DRN160" s="3060"/>
      <c r="DRO160" s="3060"/>
      <c r="DRP160" s="3060"/>
      <c r="DRQ160" s="3060"/>
      <c r="DRR160" s="3060"/>
      <c r="DRS160" s="3060"/>
      <c r="DRT160" s="3060"/>
      <c r="DRU160" s="3060"/>
      <c r="DRV160" s="3060"/>
      <c r="DRW160" s="3060"/>
      <c r="DRX160" s="3060"/>
      <c r="DRY160" s="3060"/>
      <c r="DRZ160" s="3060"/>
      <c r="DSA160" s="3060"/>
      <c r="DSB160" s="3060"/>
      <c r="DSC160" s="3060"/>
      <c r="DSD160" s="3060"/>
      <c r="DSE160" s="3060"/>
      <c r="DSF160" s="3060"/>
      <c r="DSG160" s="3060"/>
      <c r="DSH160" s="3060"/>
      <c r="DSI160" s="3060"/>
      <c r="DSJ160" s="3060"/>
      <c r="DSK160" s="3060"/>
      <c r="DSL160" s="3060"/>
      <c r="DSM160" s="3060"/>
      <c r="DSN160" s="3060"/>
      <c r="DSO160" s="3060"/>
      <c r="DSP160" s="3060"/>
      <c r="DSQ160" s="3060"/>
      <c r="DSR160" s="3060"/>
      <c r="DSS160" s="3060"/>
      <c r="DST160" s="3060"/>
      <c r="DSU160" s="3060"/>
      <c r="DSV160" s="3060"/>
      <c r="DSW160" s="3060"/>
      <c r="DSX160" s="3060"/>
      <c r="DSY160" s="3060"/>
      <c r="DSZ160" s="3060"/>
      <c r="DTA160" s="3060"/>
      <c r="DTB160" s="3060"/>
      <c r="DTC160" s="3060"/>
      <c r="DTD160" s="3060"/>
      <c r="DTE160" s="3060"/>
      <c r="DTF160" s="3060"/>
      <c r="DTG160" s="3060"/>
      <c r="DTH160" s="3060"/>
      <c r="DTI160" s="3060"/>
      <c r="DTJ160" s="3060"/>
      <c r="DTK160" s="3060"/>
      <c r="DTL160" s="3060"/>
      <c r="DTM160" s="3060"/>
      <c r="DTN160" s="3060"/>
      <c r="DTO160" s="3060"/>
      <c r="DTP160" s="3060"/>
      <c r="DTQ160" s="3060"/>
      <c r="DTR160" s="3060"/>
      <c r="DTS160" s="3060"/>
      <c r="DTT160" s="3060"/>
      <c r="DTU160" s="3060"/>
      <c r="DTV160" s="3060"/>
      <c r="DTW160" s="3060"/>
      <c r="DTX160" s="3060"/>
      <c r="DTY160" s="3060"/>
      <c r="DTZ160" s="3060"/>
      <c r="DUA160" s="3060"/>
      <c r="DUB160" s="3060"/>
      <c r="DUC160" s="3060"/>
      <c r="DUD160" s="3060"/>
      <c r="DUE160" s="3060"/>
      <c r="DUF160" s="3060"/>
      <c r="DUG160" s="3060"/>
      <c r="DUH160" s="3060"/>
      <c r="DUI160" s="3060"/>
      <c r="DUJ160" s="3060"/>
      <c r="DUK160" s="3060"/>
      <c r="DUL160" s="3060"/>
      <c r="DUM160" s="3060"/>
      <c r="DUN160" s="3060"/>
      <c r="DUO160" s="3060"/>
      <c r="DUP160" s="3060"/>
      <c r="DUQ160" s="3060"/>
      <c r="DUR160" s="3060"/>
      <c r="DUS160" s="3060"/>
      <c r="DUT160" s="3060"/>
      <c r="DUU160" s="3060"/>
      <c r="DUV160" s="3060"/>
      <c r="DUW160" s="3060"/>
      <c r="DUX160" s="3060"/>
      <c r="DUY160" s="3060"/>
      <c r="DUZ160" s="3060"/>
      <c r="DVA160" s="3060"/>
      <c r="DVB160" s="3060"/>
      <c r="DVC160" s="3060"/>
      <c r="DVD160" s="3060"/>
      <c r="DVE160" s="3060"/>
      <c r="DVF160" s="3060"/>
      <c r="DVG160" s="3060"/>
      <c r="DVH160" s="3060"/>
      <c r="DVI160" s="3060"/>
      <c r="DVJ160" s="3060"/>
      <c r="DVK160" s="3060"/>
      <c r="DVL160" s="3060"/>
      <c r="DVM160" s="3060"/>
      <c r="DVN160" s="3060"/>
      <c r="DVO160" s="3060"/>
      <c r="DVP160" s="3060"/>
      <c r="DVQ160" s="3060"/>
      <c r="DVR160" s="3060"/>
      <c r="DVS160" s="3060"/>
      <c r="DVT160" s="3060"/>
      <c r="DVU160" s="3060"/>
      <c r="DVV160" s="3060"/>
      <c r="DVW160" s="3060"/>
      <c r="DVX160" s="3060"/>
      <c r="DVY160" s="3060"/>
      <c r="DVZ160" s="3060"/>
      <c r="DWA160" s="3060"/>
      <c r="DWB160" s="3060"/>
      <c r="DWC160" s="3060"/>
      <c r="DWD160" s="3060"/>
      <c r="DWE160" s="3060"/>
      <c r="DWF160" s="3060"/>
      <c r="DWG160" s="3060"/>
      <c r="DWH160" s="3060"/>
      <c r="DWI160" s="3060"/>
      <c r="DWJ160" s="3060"/>
      <c r="DWK160" s="3060"/>
      <c r="DWL160" s="3060"/>
      <c r="DWM160" s="3060"/>
      <c r="DWN160" s="3060"/>
      <c r="DWO160" s="3060"/>
      <c r="DWP160" s="3060"/>
      <c r="DWQ160" s="3060"/>
      <c r="DWR160" s="3060"/>
      <c r="DWS160" s="3060"/>
      <c r="DWT160" s="3060"/>
      <c r="DWU160" s="3060"/>
      <c r="DWV160" s="3060"/>
      <c r="DWW160" s="3060"/>
      <c r="DWX160" s="3060"/>
      <c r="DWY160" s="3060"/>
      <c r="DWZ160" s="3060"/>
      <c r="DXA160" s="3060"/>
      <c r="DXB160" s="3060"/>
      <c r="DXC160" s="3060"/>
      <c r="DXD160" s="3060"/>
      <c r="DXE160" s="3060"/>
      <c r="DXF160" s="3060"/>
      <c r="DXG160" s="3060"/>
      <c r="DXH160" s="3060"/>
      <c r="DXI160" s="3060"/>
      <c r="DXJ160" s="3060"/>
      <c r="DXK160" s="3060"/>
      <c r="DXL160" s="3060"/>
      <c r="DXM160" s="3060"/>
      <c r="DXN160" s="3060"/>
      <c r="DXO160" s="3060"/>
      <c r="DXP160" s="3060"/>
      <c r="DXQ160" s="3060"/>
      <c r="DXR160" s="3060"/>
      <c r="DXS160" s="3060"/>
      <c r="DXT160" s="3060"/>
      <c r="DXU160" s="3060"/>
      <c r="DXV160" s="3060"/>
      <c r="DXW160" s="3060"/>
      <c r="DXX160" s="3060"/>
      <c r="DXY160" s="3060"/>
      <c r="DXZ160" s="3060"/>
      <c r="DYA160" s="3060"/>
      <c r="DYB160" s="3060"/>
      <c r="DYC160" s="3060"/>
      <c r="DYD160" s="3060"/>
      <c r="DYE160" s="3060"/>
      <c r="DYF160" s="3060"/>
      <c r="DYG160" s="3060"/>
      <c r="DYH160" s="3060"/>
      <c r="DYI160" s="3060"/>
      <c r="DYJ160" s="3060"/>
      <c r="DYK160" s="3060"/>
      <c r="DYL160" s="3060"/>
      <c r="DYM160" s="3060"/>
      <c r="DYN160" s="3060"/>
      <c r="DYO160" s="3060"/>
      <c r="DYP160" s="3060"/>
      <c r="DYQ160" s="3060"/>
      <c r="DYR160" s="3060"/>
      <c r="DYS160" s="3060"/>
      <c r="DYT160" s="3060"/>
      <c r="DYU160" s="3060"/>
      <c r="DYV160" s="3060"/>
      <c r="DYW160" s="3060"/>
      <c r="DYX160" s="3060"/>
      <c r="DYY160" s="3060"/>
      <c r="DYZ160" s="3060"/>
      <c r="DZA160" s="3060"/>
      <c r="DZB160" s="3060"/>
      <c r="DZC160" s="3060"/>
      <c r="DZD160" s="3060"/>
      <c r="DZE160" s="3060"/>
      <c r="DZF160" s="3060"/>
      <c r="DZG160" s="3060"/>
      <c r="DZH160" s="3060"/>
      <c r="DZI160" s="3060"/>
      <c r="DZJ160" s="3060"/>
      <c r="DZK160" s="3060"/>
      <c r="DZL160" s="3060"/>
      <c r="DZM160" s="3060"/>
      <c r="DZN160" s="3060"/>
      <c r="DZO160" s="3060"/>
      <c r="DZP160" s="3060"/>
      <c r="DZQ160" s="3060"/>
      <c r="DZR160" s="3060"/>
      <c r="DZS160" s="3060"/>
      <c r="DZT160" s="3060"/>
      <c r="DZU160" s="3060"/>
      <c r="DZV160" s="3060"/>
      <c r="DZW160" s="3060"/>
      <c r="DZX160" s="3060"/>
      <c r="DZY160" s="3060"/>
      <c r="DZZ160" s="3060"/>
      <c r="EAA160" s="3060"/>
      <c r="EAB160" s="3060"/>
      <c r="EAC160" s="3060"/>
      <c r="EAD160" s="3060"/>
      <c r="EAE160" s="3060"/>
      <c r="EAF160" s="3060"/>
      <c r="EAG160" s="3060"/>
      <c r="EAH160" s="3060"/>
      <c r="EAI160" s="3060"/>
      <c r="EAJ160" s="3060"/>
      <c r="EAK160" s="3060"/>
      <c r="EAL160" s="3060"/>
      <c r="EAM160" s="3060"/>
      <c r="EAN160" s="3060"/>
      <c r="EAO160" s="3060"/>
      <c r="EAP160" s="3060"/>
      <c r="EAQ160" s="3060"/>
      <c r="EAR160" s="3060"/>
      <c r="EAS160" s="3060"/>
      <c r="EAT160" s="3060"/>
      <c r="EAU160" s="3060"/>
      <c r="EAV160" s="3060"/>
      <c r="EAW160" s="3060"/>
      <c r="EAX160" s="3060"/>
      <c r="EAY160" s="3060"/>
      <c r="EAZ160" s="3060"/>
      <c r="EBA160" s="3060"/>
      <c r="EBB160" s="3060"/>
      <c r="EBC160" s="3060"/>
      <c r="EBD160" s="3060"/>
      <c r="EBE160" s="3060"/>
      <c r="EBF160" s="3060"/>
      <c r="EBG160" s="3060"/>
      <c r="EBH160" s="3060"/>
      <c r="EBI160" s="3060"/>
      <c r="EBJ160" s="3060"/>
      <c r="EBK160" s="3060"/>
      <c r="EBL160" s="3060"/>
      <c r="EBM160" s="3060"/>
      <c r="EBN160" s="3060"/>
      <c r="EBO160" s="3060"/>
      <c r="EBP160" s="3060"/>
      <c r="EBQ160" s="3060"/>
      <c r="EBR160" s="3060"/>
      <c r="EBS160" s="3060"/>
      <c r="EBT160" s="3060"/>
      <c r="EBU160" s="3060"/>
      <c r="EBV160" s="3060"/>
      <c r="EBW160" s="3060"/>
      <c r="EBX160" s="3060"/>
      <c r="EBY160" s="3060"/>
      <c r="EBZ160" s="3060"/>
      <c r="ECA160" s="3060"/>
      <c r="ECB160" s="3060"/>
      <c r="ECC160" s="3060"/>
      <c r="ECD160" s="3060"/>
      <c r="ECE160" s="3060"/>
      <c r="ECF160" s="3060"/>
      <c r="ECG160" s="3060"/>
      <c r="ECH160" s="3060"/>
      <c r="ECI160" s="3060"/>
      <c r="ECJ160" s="3060"/>
      <c r="ECK160" s="3060"/>
      <c r="ECL160" s="3060"/>
      <c r="ECM160" s="3060"/>
      <c r="ECN160" s="3060"/>
      <c r="ECO160" s="3060"/>
      <c r="ECP160" s="3060"/>
      <c r="ECQ160" s="3060"/>
      <c r="ECR160" s="3060"/>
      <c r="ECS160" s="3060"/>
      <c r="ECT160" s="3060"/>
      <c r="ECU160" s="3060"/>
      <c r="ECV160" s="3060"/>
      <c r="ECW160" s="3060"/>
      <c r="ECX160" s="3060"/>
      <c r="ECY160" s="3060"/>
      <c r="ECZ160" s="3060"/>
      <c r="EDA160" s="3060"/>
      <c r="EDB160" s="3060"/>
      <c r="EDC160" s="3060"/>
      <c r="EDD160" s="3060"/>
      <c r="EDE160" s="3060"/>
      <c r="EDF160" s="3060"/>
      <c r="EDG160" s="3060"/>
      <c r="EDH160" s="3060"/>
      <c r="EDI160" s="3060"/>
      <c r="EDJ160" s="3060"/>
      <c r="EDK160" s="3060"/>
      <c r="EDL160" s="3060"/>
      <c r="EDM160" s="3060"/>
      <c r="EDN160" s="3060"/>
      <c r="EDO160" s="3060"/>
      <c r="EDP160" s="3060"/>
      <c r="EDQ160" s="3060"/>
      <c r="EDR160" s="3060"/>
      <c r="EDS160" s="3060"/>
      <c r="EDT160" s="3060"/>
      <c r="EDU160" s="3060"/>
      <c r="EDV160" s="3060"/>
      <c r="EDW160" s="3060"/>
      <c r="EDX160" s="3060"/>
      <c r="EDY160" s="3060"/>
      <c r="EDZ160" s="3060"/>
      <c r="EEA160" s="3060"/>
      <c r="EEB160" s="3060"/>
      <c r="EEC160" s="3060"/>
      <c r="EED160" s="3060"/>
      <c r="EEE160" s="3060"/>
      <c r="EEF160" s="3060"/>
      <c r="EEG160" s="3060"/>
      <c r="EEH160" s="3060"/>
      <c r="EEI160" s="3060"/>
      <c r="EEJ160" s="3060"/>
      <c r="EEK160" s="3060"/>
      <c r="EEL160" s="3060"/>
      <c r="EEM160" s="3060"/>
      <c r="EEN160" s="3060"/>
      <c r="EEO160" s="3060"/>
      <c r="EEP160" s="3060"/>
      <c r="EEQ160" s="3060"/>
      <c r="EER160" s="3060"/>
      <c r="EES160" s="3060"/>
      <c r="EET160" s="3060"/>
      <c r="EEU160" s="3060"/>
      <c r="EEV160" s="3060"/>
      <c r="EEW160" s="3060"/>
      <c r="EEX160" s="3060"/>
      <c r="EEY160" s="3060"/>
      <c r="EEZ160" s="3060"/>
      <c r="EFA160" s="3060"/>
      <c r="EFB160" s="3060"/>
      <c r="EFC160" s="3060"/>
      <c r="EFD160" s="3060"/>
      <c r="EFE160" s="3060"/>
      <c r="EFF160" s="3060"/>
      <c r="EFG160" s="3060"/>
      <c r="EFH160" s="3060"/>
      <c r="EFI160" s="3060"/>
      <c r="EFJ160" s="3060"/>
      <c r="EFK160" s="3060"/>
      <c r="EFL160" s="3060"/>
      <c r="EFM160" s="3060"/>
      <c r="EFN160" s="3060"/>
      <c r="EFO160" s="3060"/>
      <c r="EFP160" s="3060"/>
      <c r="EFQ160" s="3060"/>
      <c r="EFR160" s="3060"/>
      <c r="EFS160" s="3060"/>
      <c r="EFT160" s="3060"/>
      <c r="EFU160" s="3060"/>
      <c r="EFV160" s="3060"/>
      <c r="EFW160" s="3060"/>
      <c r="EFX160" s="3060"/>
      <c r="EFY160" s="3060"/>
      <c r="EFZ160" s="3060"/>
      <c r="EGA160" s="3060"/>
      <c r="EGB160" s="3060"/>
      <c r="EGC160" s="3060"/>
      <c r="EGD160" s="3060"/>
      <c r="EGE160" s="3060"/>
      <c r="EGF160" s="3060"/>
      <c r="EGG160" s="3060"/>
      <c r="EGH160" s="3060"/>
      <c r="EGI160" s="3060"/>
      <c r="EGJ160" s="3060"/>
      <c r="EGK160" s="3060"/>
      <c r="EGL160" s="3060"/>
      <c r="EGM160" s="3060"/>
      <c r="EGN160" s="3060"/>
      <c r="EGO160" s="3060"/>
      <c r="EGP160" s="3060"/>
      <c r="EGQ160" s="3060"/>
      <c r="EGR160" s="3060"/>
      <c r="EGS160" s="3060"/>
      <c r="EGT160" s="3060"/>
      <c r="EGU160" s="3060"/>
      <c r="EGV160" s="3060"/>
      <c r="EGW160" s="3060"/>
      <c r="EGX160" s="3060"/>
      <c r="EGY160" s="3060"/>
      <c r="EGZ160" s="3060"/>
      <c r="EHA160" s="3060"/>
      <c r="EHB160" s="3060"/>
      <c r="EHC160" s="3060"/>
      <c r="EHD160" s="3060"/>
      <c r="EHE160" s="3060"/>
      <c r="EHF160" s="3060"/>
      <c r="EHG160" s="3060"/>
      <c r="EHH160" s="3060"/>
      <c r="EHI160" s="3060"/>
      <c r="EHJ160" s="3060"/>
      <c r="EHK160" s="3060"/>
      <c r="EHL160" s="3060"/>
      <c r="EHM160" s="3060"/>
      <c r="EHN160" s="3060"/>
      <c r="EHO160" s="3060"/>
      <c r="EHP160" s="3060"/>
      <c r="EHQ160" s="3060"/>
      <c r="EHR160" s="3060"/>
      <c r="EHS160" s="3060"/>
      <c r="EHT160" s="3060"/>
      <c r="EHU160" s="3060"/>
      <c r="EHV160" s="3060"/>
      <c r="EHW160" s="3060"/>
      <c r="EHX160" s="3060"/>
      <c r="EHY160" s="3060"/>
      <c r="EHZ160" s="3060"/>
      <c r="EIA160" s="3060"/>
      <c r="EIB160" s="3060"/>
      <c r="EIC160" s="3060"/>
      <c r="EID160" s="3060"/>
      <c r="EIE160" s="3060"/>
      <c r="EIF160" s="3060"/>
      <c r="EIG160" s="3060"/>
      <c r="EIH160" s="3060"/>
      <c r="EII160" s="3060"/>
      <c r="EIJ160" s="3060"/>
      <c r="EIK160" s="3060"/>
      <c r="EIL160" s="3060"/>
      <c r="EIM160" s="3060"/>
      <c r="EIN160" s="3060"/>
      <c r="EIO160" s="3060"/>
      <c r="EIP160" s="3060"/>
      <c r="EIQ160" s="3060"/>
      <c r="EIR160" s="3060"/>
      <c r="EIS160" s="3060"/>
      <c r="EIT160" s="3060"/>
      <c r="EIU160" s="3060"/>
      <c r="EIV160" s="3060"/>
      <c r="EIW160" s="3060"/>
      <c r="EIX160" s="3060"/>
      <c r="EIY160" s="3060"/>
      <c r="EIZ160" s="3060"/>
      <c r="EJA160" s="3060"/>
      <c r="EJB160" s="3060"/>
      <c r="EJC160" s="3060"/>
      <c r="EJD160" s="3060"/>
      <c r="EJE160" s="3060"/>
      <c r="EJF160" s="3060"/>
      <c r="EJG160" s="3060"/>
      <c r="EJH160" s="3060"/>
      <c r="EJI160" s="3060"/>
      <c r="EJJ160" s="3060"/>
      <c r="EJK160" s="3060"/>
      <c r="EJL160" s="3060"/>
      <c r="EJM160" s="3060"/>
      <c r="EJN160" s="3060"/>
      <c r="EJO160" s="3060"/>
      <c r="EJP160" s="3060"/>
      <c r="EJQ160" s="3060"/>
      <c r="EJR160" s="3060"/>
      <c r="EJS160" s="3060"/>
      <c r="EJT160" s="3060"/>
      <c r="EJU160" s="3060"/>
      <c r="EJV160" s="3060"/>
      <c r="EJW160" s="3060"/>
      <c r="EJX160" s="3060"/>
      <c r="EJY160" s="3060"/>
      <c r="EJZ160" s="3060"/>
      <c r="EKA160" s="3060"/>
      <c r="EKB160" s="3060"/>
      <c r="EKC160" s="3060"/>
      <c r="EKD160" s="3060"/>
      <c r="EKE160" s="3060"/>
      <c r="EKF160" s="3060"/>
      <c r="EKG160" s="3060"/>
      <c r="EKH160" s="3060"/>
      <c r="EKI160" s="3060"/>
      <c r="EKJ160" s="3060"/>
      <c r="EKK160" s="3060"/>
      <c r="EKL160" s="3060"/>
      <c r="EKM160" s="3060"/>
      <c r="EKN160" s="3060"/>
      <c r="EKO160" s="3060"/>
      <c r="EKP160" s="3060"/>
      <c r="EKQ160" s="3060"/>
      <c r="EKR160" s="3060"/>
      <c r="EKS160" s="3060"/>
      <c r="EKT160" s="3060"/>
      <c r="EKU160" s="3060"/>
      <c r="EKV160" s="3060"/>
      <c r="EKW160" s="3060"/>
      <c r="EKX160" s="3060"/>
      <c r="EKY160" s="3060"/>
      <c r="EKZ160" s="3060"/>
      <c r="ELA160" s="3060"/>
      <c r="ELB160" s="3060"/>
      <c r="ELC160" s="3060"/>
      <c r="ELD160" s="3060"/>
      <c r="ELE160" s="3060"/>
      <c r="ELF160" s="3060"/>
      <c r="ELG160" s="3060"/>
      <c r="ELH160" s="3060"/>
      <c r="ELI160" s="3060"/>
      <c r="ELJ160" s="3060"/>
      <c r="ELK160" s="3060"/>
      <c r="ELL160" s="3060"/>
      <c r="ELM160" s="3060"/>
      <c r="ELN160" s="3060"/>
      <c r="ELO160" s="3060"/>
      <c r="ELP160" s="3060"/>
      <c r="ELQ160" s="3060"/>
      <c r="ELR160" s="3060"/>
      <c r="ELS160" s="3060"/>
      <c r="ELT160" s="3060"/>
      <c r="ELU160" s="3060"/>
      <c r="ELV160" s="3060"/>
      <c r="ELW160" s="3060"/>
      <c r="ELX160" s="3060"/>
      <c r="ELY160" s="3060"/>
      <c r="ELZ160" s="3060"/>
      <c r="EMA160" s="3060"/>
      <c r="EMB160" s="3060"/>
      <c r="EMC160" s="3060"/>
      <c r="EMD160" s="3060"/>
      <c r="EME160" s="3060"/>
      <c r="EMF160" s="3060"/>
      <c r="EMG160" s="3060"/>
      <c r="EMH160" s="3060"/>
      <c r="EMI160" s="3060"/>
      <c r="EMJ160" s="3060"/>
      <c r="EMK160" s="3060"/>
      <c r="EML160" s="3060"/>
      <c r="EMM160" s="3060"/>
      <c r="EMN160" s="3060"/>
      <c r="EMO160" s="3060"/>
      <c r="EMP160" s="3060"/>
      <c r="EMQ160" s="3060"/>
      <c r="EMR160" s="3060"/>
      <c r="EMS160" s="3060"/>
      <c r="EMT160" s="3060"/>
      <c r="EMU160" s="3060"/>
      <c r="EMV160" s="3060"/>
      <c r="EMW160" s="3060"/>
      <c r="EMX160" s="3060"/>
      <c r="EMY160" s="3060"/>
      <c r="EMZ160" s="3060"/>
      <c r="ENA160" s="3060"/>
      <c r="ENB160" s="3060"/>
      <c r="ENC160" s="3060"/>
      <c r="END160" s="3060"/>
      <c r="ENE160" s="3060"/>
      <c r="ENF160" s="3060"/>
      <c r="ENG160" s="3060"/>
      <c r="ENH160" s="3060"/>
      <c r="ENI160" s="3060"/>
      <c r="ENJ160" s="3060"/>
      <c r="ENK160" s="3060"/>
      <c r="ENL160" s="3060"/>
      <c r="ENM160" s="3060"/>
      <c r="ENN160" s="3060"/>
      <c r="ENO160" s="3060"/>
      <c r="ENP160" s="3060"/>
      <c r="ENQ160" s="3060"/>
      <c r="ENR160" s="3060"/>
      <c r="ENS160" s="3060"/>
      <c r="ENT160" s="3060"/>
      <c r="ENU160" s="3060"/>
      <c r="ENV160" s="3060"/>
      <c r="ENW160" s="3060"/>
      <c r="ENX160" s="3060"/>
      <c r="ENY160" s="3060"/>
      <c r="ENZ160" s="3060"/>
      <c r="EOA160" s="3060"/>
      <c r="EOB160" s="3060"/>
      <c r="EOC160" s="3060"/>
      <c r="EOD160" s="3060"/>
      <c r="EOE160" s="3060"/>
      <c r="EOF160" s="3060"/>
      <c r="EOG160" s="3060"/>
      <c r="EOH160" s="3060"/>
      <c r="EOI160" s="3060"/>
      <c r="EOJ160" s="3060"/>
      <c r="EOK160" s="3060"/>
      <c r="EOL160" s="3060"/>
      <c r="EOM160" s="3060"/>
      <c r="EON160" s="3060"/>
      <c r="EOO160" s="3060"/>
      <c r="EOP160" s="3060"/>
      <c r="EOQ160" s="3060"/>
      <c r="EOR160" s="3060"/>
      <c r="EOS160" s="3060"/>
      <c r="EOT160" s="3060"/>
      <c r="EOU160" s="3060"/>
      <c r="EOV160" s="3060"/>
      <c r="EOW160" s="3060"/>
      <c r="EOX160" s="3060"/>
      <c r="EOY160" s="3060"/>
      <c r="EOZ160" s="3060"/>
      <c r="EPA160" s="3060"/>
      <c r="EPB160" s="3060"/>
      <c r="EPC160" s="3060"/>
      <c r="EPD160" s="3060"/>
      <c r="EPE160" s="3060"/>
      <c r="EPF160" s="3060"/>
      <c r="EPG160" s="3060"/>
      <c r="EPH160" s="3060"/>
      <c r="EPI160" s="3060"/>
      <c r="EPJ160" s="3060"/>
      <c r="EPK160" s="3060"/>
      <c r="EPL160" s="3060"/>
      <c r="EPM160" s="3060"/>
      <c r="EPN160" s="3060"/>
      <c r="EPO160" s="3060"/>
      <c r="EPP160" s="3060"/>
      <c r="EPQ160" s="3060"/>
      <c r="EPR160" s="3060"/>
      <c r="EPS160" s="3060"/>
      <c r="EPT160" s="3060"/>
      <c r="EPU160" s="3060"/>
      <c r="EPV160" s="3060"/>
      <c r="EPW160" s="3060"/>
      <c r="EPX160" s="3060"/>
      <c r="EPY160" s="3060"/>
      <c r="EPZ160" s="3060"/>
      <c r="EQA160" s="3060"/>
      <c r="EQB160" s="3060"/>
      <c r="EQC160" s="3060"/>
      <c r="EQD160" s="3060"/>
      <c r="EQE160" s="3060"/>
      <c r="EQF160" s="3060"/>
      <c r="EQG160" s="3060"/>
      <c r="EQH160" s="3060"/>
      <c r="EQI160" s="3060"/>
      <c r="EQJ160" s="3060"/>
      <c r="EQK160" s="3060"/>
      <c r="EQL160" s="3060"/>
      <c r="EQM160" s="3060"/>
      <c r="EQN160" s="3060"/>
      <c r="EQO160" s="3060"/>
      <c r="EQP160" s="3060"/>
      <c r="EQQ160" s="3060"/>
      <c r="EQR160" s="3060"/>
      <c r="EQS160" s="3060"/>
      <c r="EQT160" s="3060"/>
      <c r="EQU160" s="3060"/>
      <c r="EQV160" s="3060"/>
      <c r="EQW160" s="3060"/>
      <c r="EQX160" s="3060"/>
      <c r="EQY160" s="3060"/>
      <c r="EQZ160" s="3060"/>
      <c r="ERA160" s="3060"/>
      <c r="ERB160" s="3060"/>
      <c r="ERC160" s="3060"/>
      <c r="ERD160" s="3060"/>
      <c r="ERE160" s="3060"/>
      <c r="ERF160" s="3060"/>
      <c r="ERG160" s="3060"/>
      <c r="ERH160" s="3060"/>
      <c r="ERI160" s="3060"/>
      <c r="ERJ160" s="3060"/>
      <c r="ERK160" s="3060"/>
      <c r="ERL160" s="3060"/>
      <c r="ERM160" s="3060"/>
      <c r="ERN160" s="3060"/>
      <c r="ERO160" s="3060"/>
      <c r="ERP160" s="3060"/>
      <c r="ERQ160" s="3060"/>
      <c r="ERR160" s="3060"/>
      <c r="ERS160" s="3060"/>
      <c r="ERT160" s="3060"/>
      <c r="ERU160" s="3060"/>
      <c r="ERV160" s="3060"/>
      <c r="ERW160" s="3060"/>
      <c r="ERX160" s="3060"/>
      <c r="ERY160" s="3060"/>
      <c r="ERZ160" s="3060"/>
      <c r="ESA160" s="3060"/>
      <c r="ESB160" s="3060"/>
      <c r="ESC160" s="3060"/>
      <c r="ESD160" s="3060"/>
      <c r="ESE160" s="3060"/>
      <c r="ESF160" s="3060"/>
      <c r="ESG160" s="3060"/>
      <c r="ESH160" s="3060"/>
      <c r="ESI160" s="3060"/>
      <c r="ESJ160" s="3060"/>
      <c r="ESK160" s="3060"/>
      <c r="ESL160" s="3060"/>
      <c r="ESM160" s="3060"/>
      <c r="ESN160" s="3060"/>
      <c r="ESO160" s="3060"/>
      <c r="ESP160" s="3060"/>
      <c r="ESQ160" s="3060"/>
      <c r="ESR160" s="3060"/>
      <c r="ESS160" s="3060"/>
      <c r="EST160" s="3060"/>
      <c r="ESU160" s="3060"/>
      <c r="ESV160" s="3060"/>
      <c r="ESW160" s="3060"/>
      <c r="ESX160" s="3060"/>
      <c r="ESY160" s="3060"/>
      <c r="ESZ160" s="3060"/>
      <c r="ETA160" s="3060"/>
      <c r="ETB160" s="3060"/>
      <c r="ETC160" s="3060"/>
      <c r="ETD160" s="3060"/>
      <c r="ETE160" s="3060"/>
      <c r="ETF160" s="3060"/>
      <c r="ETG160" s="3060"/>
      <c r="ETH160" s="3060"/>
      <c r="ETI160" s="3060"/>
      <c r="ETJ160" s="3060"/>
      <c r="ETK160" s="3060"/>
      <c r="ETL160" s="3060"/>
      <c r="ETM160" s="3060"/>
      <c r="ETN160" s="3060"/>
      <c r="ETO160" s="3060"/>
      <c r="ETP160" s="3060"/>
      <c r="ETQ160" s="3060"/>
      <c r="ETR160" s="3060"/>
      <c r="ETS160" s="3060"/>
      <c r="ETT160" s="3060"/>
      <c r="ETU160" s="3060"/>
      <c r="ETV160" s="3060"/>
      <c r="ETW160" s="3060"/>
      <c r="ETX160" s="3060"/>
      <c r="ETY160" s="3060"/>
      <c r="ETZ160" s="3060"/>
      <c r="EUA160" s="3060"/>
      <c r="EUB160" s="3060"/>
      <c r="EUC160" s="3060"/>
      <c r="EUD160" s="3060"/>
      <c r="EUE160" s="3060"/>
      <c r="EUF160" s="3060"/>
      <c r="EUG160" s="3060"/>
      <c r="EUH160" s="3060"/>
      <c r="EUI160" s="3060"/>
      <c r="EUJ160" s="3060"/>
      <c r="EUK160" s="3060"/>
      <c r="EUL160" s="3060"/>
      <c r="EUM160" s="3060"/>
      <c r="EUN160" s="3060"/>
      <c r="EUO160" s="3060"/>
      <c r="EUP160" s="3060"/>
      <c r="EUQ160" s="3060"/>
      <c r="EUR160" s="3060"/>
      <c r="EUS160" s="3060"/>
      <c r="EUT160" s="3060"/>
      <c r="EUU160" s="3060"/>
      <c r="EUV160" s="3060"/>
      <c r="EUW160" s="3060"/>
      <c r="EUX160" s="3060"/>
      <c r="EUY160" s="3060"/>
      <c r="EUZ160" s="3060"/>
      <c r="EVA160" s="3060"/>
      <c r="EVB160" s="3060"/>
      <c r="EVC160" s="3060"/>
      <c r="EVD160" s="3060"/>
      <c r="EVE160" s="3060"/>
      <c r="EVF160" s="3060"/>
      <c r="EVG160" s="3060"/>
      <c r="EVH160" s="3060"/>
      <c r="EVI160" s="3060"/>
      <c r="EVJ160" s="3060"/>
      <c r="EVK160" s="3060"/>
      <c r="EVL160" s="3060"/>
      <c r="EVM160" s="3060"/>
      <c r="EVN160" s="3060"/>
      <c r="EVO160" s="3060"/>
      <c r="EVP160" s="3060"/>
      <c r="EVQ160" s="3060"/>
      <c r="EVR160" s="3060"/>
      <c r="EVS160" s="3060"/>
      <c r="EVT160" s="3060"/>
      <c r="EVU160" s="3060"/>
      <c r="EVV160" s="3060"/>
      <c r="EVW160" s="3060"/>
      <c r="EVX160" s="3060"/>
      <c r="EVY160" s="3060"/>
      <c r="EVZ160" s="3060"/>
      <c r="EWA160" s="3060"/>
      <c r="EWB160" s="3060"/>
      <c r="EWC160" s="3060"/>
      <c r="EWD160" s="3060"/>
      <c r="EWE160" s="3060"/>
      <c r="EWF160" s="3060"/>
      <c r="EWG160" s="3060"/>
      <c r="EWH160" s="3060"/>
      <c r="EWI160" s="3060"/>
      <c r="EWJ160" s="3060"/>
      <c r="EWK160" s="3060"/>
      <c r="EWL160" s="3060"/>
      <c r="EWM160" s="3060"/>
      <c r="EWN160" s="3060"/>
      <c r="EWO160" s="3060"/>
      <c r="EWP160" s="3060"/>
      <c r="EWQ160" s="3060"/>
      <c r="EWR160" s="3060"/>
      <c r="EWS160" s="3060"/>
      <c r="EWT160" s="3060"/>
      <c r="EWU160" s="3060"/>
      <c r="EWV160" s="3060"/>
      <c r="EWW160" s="3060"/>
      <c r="EWX160" s="3060"/>
      <c r="EWY160" s="3060"/>
      <c r="EWZ160" s="3060"/>
      <c r="EXA160" s="3060"/>
      <c r="EXB160" s="3060"/>
      <c r="EXC160" s="3060"/>
      <c r="EXD160" s="3060"/>
      <c r="EXE160" s="3060"/>
      <c r="EXF160" s="3060"/>
      <c r="EXG160" s="3060"/>
      <c r="EXH160" s="3060"/>
      <c r="EXI160" s="3060"/>
      <c r="EXJ160" s="3060"/>
      <c r="EXK160" s="3060"/>
      <c r="EXL160" s="3060"/>
      <c r="EXM160" s="3060"/>
      <c r="EXN160" s="3060"/>
      <c r="EXO160" s="3060"/>
      <c r="EXP160" s="3060"/>
      <c r="EXQ160" s="3060"/>
      <c r="EXR160" s="3060"/>
      <c r="EXS160" s="3060"/>
      <c r="EXT160" s="3060"/>
      <c r="EXU160" s="3060"/>
      <c r="EXV160" s="3060"/>
      <c r="EXW160" s="3060"/>
      <c r="EXX160" s="3060"/>
      <c r="EXY160" s="3060"/>
      <c r="EXZ160" s="3060"/>
      <c r="EYA160" s="3060"/>
      <c r="EYB160" s="3060"/>
      <c r="EYC160" s="3060"/>
      <c r="EYD160" s="3060"/>
      <c r="EYE160" s="3060"/>
      <c r="EYF160" s="3060"/>
      <c r="EYG160" s="3060"/>
      <c r="EYH160" s="3060"/>
      <c r="EYI160" s="3060"/>
      <c r="EYJ160" s="3060"/>
      <c r="EYK160" s="3060"/>
      <c r="EYL160" s="3060"/>
      <c r="EYM160" s="3060"/>
      <c r="EYN160" s="3060"/>
      <c r="EYO160" s="3060"/>
      <c r="EYP160" s="3060"/>
      <c r="EYQ160" s="3060"/>
      <c r="EYR160" s="3060"/>
      <c r="EYS160" s="3060"/>
      <c r="EYT160" s="3060"/>
      <c r="EYU160" s="3060"/>
      <c r="EYV160" s="3060"/>
      <c r="EYW160" s="3060"/>
      <c r="EYX160" s="3060"/>
      <c r="EYY160" s="3060"/>
      <c r="EYZ160" s="3060"/>
      <c r="EZA160" s="3060"/>
      <c r="EZB160" s="3060"/>
      <c r="EZC160" s="3060"/>
      <c r="EZD160" s="3060"/>
      <c r="EZE160" s="3060"/>
      <c r="EZF160" s="3060"/>
      <c r="EZG160" s="3060"/>
      <c r="EZH160" s="3060"/>
      <c r="EZI160" s="3060"/>
      <c r="EZJ160" s="3060"/>
      <c r="EZK160" s="3060"/>
      <c r="EZL160" s="3060"/>
      <c r="EZM160" s="3060"/>
      <c r="EZN160" s="3060"/>
      <c r="EZO160" s="3060"/>
      <c r="EZP160" s="3060"/>
      <c r="EZQ160" s="3060"/>
      <c r="EZR160" s="3060"/>
      <c r="EZS160" s="3060"/>
      <c r="EZT160" s="3060"/>
      <c r="EZU160" s="3060"/>
      <c r="EZV160" s="3060"/>
      <c r="EZW160" s="3060"/>
      <c r="EZX160" s="3060"/>
      <c r="EZY160" s="3060"/>
      <c r="EZZ160" s="3060"/>
      <c r="FAA160" s="3060"/>
      <c r="FAB160" s="3060"/>
      <c r="FAC160" s="3060"/>
      <c r="FAD160" s="3060"/>
      <c r="FAE160" s="3060"/>
      <c r="FAF160" s="3060"/>
      <c r="FAG160" s="3060"/>
      <c r="FAH160" s="3060"/>
      <c r="FAI160" s="3060"/>
      <c r="FAJ160" s="3060"/>
      <c r="FAK160" s="3060"/>
      <c r="FAL160" s="3060"/>
      <c r="FAM160" s="3060"/>
      <c r="FAN160" s="3060"/>
      <c r="FAO160" s="3060"/>
      <c r="FAP160" s="3060"/>
      <c r="FAQ160" s="3060"/>
      <c r="FAR160" s="3060"/>
      <c r="FAS160" s="3060"/>
      <c r="FAT160" s="3060"/>
      <c r="FAU160" s="3060"/>
      <c r="FAV160" s="3060"/>
      <c r="FAW160" s="3060"/>
      <c r="FAX160" s="3060"/>
      <c r="FAY160" s="3060"/>
      <c r="FAZ160" s="3060"/>
      <c r="FBA160" s="3060"/>
      <c r="FBB160" s="3060"/>
      <c r="FBC160" s="3060"/>
      <c r="FBD160" s="3060"/>
      <c r="FBE160" s="3060"/>
      <c r="FBF160" s="3060"/>
      <c r="FBG160" s="3060"/>
      <c r="FBH160" s="3060"/>
      <c r="FBI160" s="3060"/>
      <c r="FBJ160" s="3060"/>
      <c r="FBK160" s="3060"/>
      <c r="FBL160" s="3060"/>
      <c r="FBM160" s="3060"/>
      <c r="FBN160" s="3060"/>
      <c r="FBO160" s="3060"/>
      <c r="FBP160" s="3060"/>
      <c r="FBQ160" s="3060"/>
      <c r="FBR160" s="3060"/>
      <c r="FBS160" s="3060"/>
      <c r="FBT160" s="3060"/>
      <c r="FBU160" s="3060"/>
      <c r="FBV160" s="3060"/>
      <c r="FBW160" s="3060"/>
      <c r="FBX160" s="3060"/>
      <c r="FBY160" s="3060"/>
      <c r="FBZ160" s="3060"/>
      <c r="FCA160" s="3060"/>
      <c r="FCB160" s="3060"/>
      <c r="FCC160" s="3060"/>
      <c r="FCD160" s="3060"/>
      <c r="FCE160" s="3060"/>
      <c r="FCF160" s="3060"/>
      <c r="FCG160" s="3060"/>
      <c r="FCH160" s="3060"/>
      <c r="FCI160" s="3060"/>
      <c r="FCJ160" s="3060"/>
      <c r="FCK160" s="3060"/>
      <c r="FCL160" s="3060"/>
      <c r="FCM160" s="3060"/>
      <c r="FCN160" s="3060"/>
      <c r="FCO160" s="3060"/>
      <c r="FCP160" s="3060"/>
      <c r="FCQ160" s="3060"/>
      <c r="FCR160" s="3060"/>
      <c r="FCS160" s="3060"/>
      <c r="FCT160" s="3060"/>
      <c r="FCU160" s="3060"/>
      <c r="FCV160" s="3060"/>
      <c r="FCW160" s="3060"/>
      <c r="FCX160" s="3060"/>
      <c r="FCY160" s="3060"/>
      <c r="FCZ160" s="3060"/>
      <c r="FDA160" s="3060"/>
      <c r="FDB160" s="3060"/>
      <c r="FDC160" s="3060"/>
      <c r="FDD160" s="3060"/>
      <c r="FDE160" s="3060"/>
      <c r="FDF160" s="3060"/>
      <c r="FDG160" s="3060"/>
      <c r="FDH160" s="3060"/>
      <c r="FDI160" s="3060"/>
      <c r="FDJ160" s="3060"/>
      <c r="FDK160" s="3060"/>
      <c r="FDL160" s="3060"/>
      <c r="FDM160" s="3060"/>
      <c r="FDN160" s="3060"/>
      <c r="FDO160" s="3060"/>
      <c r="FDP160" s="3060"/>
      <c r="FDQ160" s="3060"/>
      <c r="FDR160" s="3060"/>
      <c r="FDS160" s="3060"/>
      <c r="FDT160" s="3060"/>
      <c r="FDU160" s="3060"/>
      <c r="FDV160" s="3060"/>
      <c r="FDW160" s="3060"/>
      <c r="FDX160" s="3060"/>
      <c r="FDY160" s="3060"/>
      <c r="FDZ160" s="3060"/>
      <c r="FEA160" s="3060"/>
      <c r="FEB160" s="3060"/>
      <c r="FEC160" s="3060"/>
      <c r="FED160" s="3060"/>
      <c r="FEE160" s="3060"/>
      <c r="FEF160" s="3060"/>
      <c r="FEG160" s="3060"/>
      <c r="FEH160" s="3060"/>
      <c r="FEI160" s="3060"/>
      <c r="FEJ160" s="3060"/>
      <c r="FEK160" s="3060"/>
      <c r="FEL160" s="3060"/>
      <c r="FEM160" s="3060"/>
      <c r="FEN160" s="3060"/>
      <c r="FEO160" s="3060"/>
      <c r="FEP160" s="3060"/>
      <c r="FEQ160" s="3060"/>
      <c r="FER160" s="3060"/>
      <c r="FES160" s="3060"/>
      <c r="FET160" s="3060"/>
      <c r="FEU160" s="3060"/>
      <c r="FEV160" s="3060"/>
      <c r="FEW160" s="3060"/>
      <c r="FEX160" s="3060"/>
      <c r="FEY160" s="3060"/>
      <c r="FEZ160" s="3060"/>
      <c r="FFA160" s="3060"/>
      <c r="FFB160" s="3060"/>
      <c r="FFC160" s="3060"/>
      <c r="FFD160" s="3060"/>
      <c r="FFE160" s="3060"/>
      <c r="FFF160" s="3060"/>
      <c r="FFG160" s="3060"/>
      <c r="FFH160" s="3060"/>
      <c r="FFI160" s="3060"/>
      <c r="FFJ160" s="3060"/>
      <c r="FFK160" s="3060"/>
      <c r="FFL160" s="3060"/>
      <c r="FFM160" s="3060"/>
      <c r="FFN160" s="3060"/>
      <c r="FFO160" s="3060"/>
      <c r="FFP160" s="3060"/>
      <c r="FFQ160" s="3060"/>
      <c r="FFR160" s="3060"/>
      <c r="FFS160" s="3060"/>
      <c r="FFT160" s="3060"/>
      <c r="FFU160" s="3060"/>
      <c r="FFV160" s="3060"/>
      <c r="FFW160" s="3060"/>
      <c r="FFX160" s="3060"/>
      <c r="FFY160" s="3060"/>
      <c r="FFZ160" s="3060"/>
      <c r="FGA160" s="3060"/>
      <c r="FGB160" s="3060"/>
      <c r="FGC160" s="3060"/>
      <c r="FGD160" s="3060"/>
      <c r="FGE160" s="3060"/>
      <c r="FGF160" s="3060"/>
      <c r="FGG160" s="3060"/>
      <c r="FGH160" s="3060"/>
      <c r="FGI160" s="3060"/>
      <c r="FGJ160" s="3060"/>
      <c r="FGK160" s="3060"/>
      <c r="FGL160" s="3060"/>
      <c r="FGM160" s="3060"/>
      <c r="FGN160" s="3060"/>
      <c r="FGO160" s="3060"/>
      <c r="FGP160" s="3060"/>
      <c r="FGQ160" s="3060"/>
      <c r="FGR160" s="3060"/>
      <c r="FGS160" s="3060"/>
      <c r="FGT160" s="3060"/>
      <c r="FGU160" s="3060"/>
      <c r="FGV160" s="3060"/>
      <c r="FGW160" s="3060"/>
      <c r="FGX160" s="3060"/>
      <c r="FGY160" s="3060"/>
      <c r="FGZ160" s="3060"/>
      <c r="FHA160" s="3060"/>
      <c r="FHB160" s="3060"/>
      <c r="FHC160" s="3060"/>
      <c r="FHD160" s="3060"/>
      <c r="FHE160" s="3060"/>
      <c r="FHF160" s="3060"/>
      <c r="FHG160" s="3060"/>
      <c r="FHH160" s="3060"/>
      <c r="FHI160" s="3060"/>
      <c r="FHJ160" s="3060"/>
      <c r="FHK160" s="3060"/>
      <c r="FHL160" s="3060"/>
      <c r="FHM160" s="3060"/>
      <c r="FHN160" s="3060"/>
      <c r="FHO160" s="3060"/>
      <c r="FHP160" s="3060"/>
      <c r="FHQ160" s="3060"/>
      <c r="FHR160" s="3060"/>
      <c r="FHS160" s="3060"/>
      <c r="FHT160" s="3060"/>
      <c r="FHU160" s="3060"/>
      <c r="FHV160" s="3060"/>
      <c r="FHW160" s="3060"/>
      <c r="FHX160" s="3060"/>
      <c r="FHY160" s="3060"/>
      <c r="FHZ160" s="3060"/>
      <c r="FIA160" s="3060"/>
      <c r="FIB160" s="3060"/>
      <c r="FIC160" s="3060"/>
      <c r="FID160" s="3060"/>
      <c r="FIE160" s="3060"/>
      <c r="FIF160" s="3060"/>
      <c r="FIG160" s="3060"/>
      <c r="FIH160" s="3060"/>
      <c r="FII160" s="3060"/>
      <c r="FIJ160" s="3060"/>
      <c r="FIK160" s="3060"/>
      <c r="FIL160" s="3060"/>
      <c r="FIM160" s="3060"/>
      <c r="FIN160" s="3060"/>
      <c r="FIO160" s="3060"/>
      <c r="FIP160" s="3060"/>
      <c r="FIQ160" s="3060"/>
      <c r="FIR160" s="3060"/>
      <c r="FIS160" s="3060"/>
      <c r="FIT160" s="3060"/>
      <c r="FIU160" s="3060"/>
      <c r="FIV160" s="3060"/>
      <c r="FIW160" s="3060"/>
      <c r="FIX160" s="3060"/>
      <c r="FIY160" s="3060"/>
      <c r="FIZ160" s="3060"/>
      <c r="FJA160" s="3060"/>
      <c r="FJB160" s="3060"/>
      <c r="FJC160" s="3060"/>
      <c r="FJD160" s="3060"/>
      <c r="FJE160" s="3060"/>
      <c r="FJF160" s="3060"/>
      <c r="FJG160" s="3060"/>
      <c r="FJH160" s="3060"/>
      <c r="FJI160" s="3060"/>
      <c r="FJJ160" s="3060"/>
      <c r="FJK160" s="3060"/>
      <c r="FJL160" s="3060"/>
      <c r="FJM160" s="3060"/>
      <c r="FJN160" s="3060"/>
      <c r="FJO160" s="3060"/>
      <c r="FJP160" s="3060"/>
      <c r="FJQ160" s="3060"/>
      <c r="FJR160" s="3060"/>
      <c r="FJS160" s="3060"/>
      <c r="FJT160" s="3060"/>
      <c r="FJU160" s="3060"/>
      <c r="FJV160" s="3060"/>
      <c r="FJW160" s="3060"/>
      <c r="FJX160" s="3060"/>
      <c r="FJY160" s="3060"/>
      <c r="FJZ160" s="3060"/>
      <c r="FKA160" s="3060"/>
      <c r="FKB160" s="3060"/>
      <c r="FKC160" s="3060"/>
      <c r="FKD160" s="3060"/>
      <c r="FKE160" s="3060"/>
      <c r="FKF160" s="3060"/>
      <c r="FKG160" s="3060"/>
      <c r="FKH160" s="3060"/>
      <c r="FKI160" s="3060"/>
      <c r="FKJ160" s="3060"/>
      <c r="FKK160" s="3060"/>
      <c r="FKL160" s="3060"/>
      <c r="FKM160" s="3060"/>
      <c r="FKN160" s="3060"/>
      <c r="FKO160" s="3060"/>
      <c r="FKP160" s="3060"/>
      <c r="FKQ160" s="3060"/>
      <c r="FKR160" s="3060"/>
      <c r="FKS160" s="3060"/>
      <c r="FKT160" s="3060"/>
      <c r="FKU160" s="3060"/>
      <c r="FKV160" s="3060"/>
      <c r="FKW160" s="3060"/>
      <c r="FKX160" s="3060"/>
      <c r="FKY160" s="3060"/>
      <c r="FKZ160" s="3060"/>
      <c r="FLA160" s="3060"/>
      <c r="FLB160" s="3060"/>
      <c r="FLC160" s="3060"/>
      <c r="FLD160" s="3060"/>
      <c r="FLE160" s="3060"/>
      <c r="FLF160" s="3060"/>
      <c r="FLG160" s="3060"/>
      <c r="FLH160" s="3060"/>
      <c r="FLI160" s="3060"/>
      <c r="FLJ160" s="3060"/>
      <c r="FLK160" s="3060"/>
      <c r="FLL160" s="3060"/>
      <c r="FLM160" s="3060"/>
      <c r="FLN160" s="3060"/>
      <c r="FLO160" s="3060"/>
      <c r="FLP160" s="3060"/>
      <c r="FLQ160" s="3060"/>
      <c r="FLR160" s="3060"/>
      <c r="FLS160" s="3060"/>
      <c r="FLT160" s="3060"/>
      <c r="FLU160" s="3060"/>
      <c r="FLV160" s="3060"/>
      <c r="FLW160" s="3060"/>
      <c r="FLX160" s="3060"/>
      <c r="FLY160" s="3060"/>
      <c r="FLZ160" s="3060"/>
      <c r="FMA160" s="3060"/>
      <c r="FMB160" s="3060"/>
      <c r="FMC160" s="3060"/>
      <c r="FMD160" s="3060"/>
      <c r="FME160" s="3060"/>
      <c r="FMF160" s="3060"/>
      <c r="FMG160" s="3060"/>
      <c r="FMH160" s="3060"/>
      <c r="FMI160" s="3060"/>
      <c r="FMJ160" s="3060"/>
      <c r="FMK160" s="3060"/>
      <c r="FML160" s="3060"/>
      <c r="FMM160" s="3060"/>
      <c r="FMN160" s="3060"/>
      <c r="FMO160" s="3060"/>
      <c r="FMP160" s="3060"/>
      <c r="FMQ160" s="3060"/>
      <c r="FMR160" s="3060"/>
      <c r="FMS160" s="3060"/>
      <c r="FMT160" s="3060"/>
      <c r="FMU160" s="3060"/>
      <c r="FMV160" s="3060"/>
      <c r="FMW160" s="3060"/>
      <c r="FMX160" s="3060"/>
      <c r="FMY160" s="3060"/>
      <c r="FMZ160" s="3060"/>
      <c r="FNA160" s="3060"/>
      <c r="FNB160" s="3060"/>
      <c r="FNC160" s="3060"/>
      <c r="FND160" s="3060"/>
      <c r="FNE160" s="3060"/>
      <c r="FNF160" s="3060"/>
      <c r="FNG160" s="3060"/>
      <c r="FNH160" s="3060"/>
      <c r="FNI160" s="3060"/>
      <c r="FNJ160" s="3060"/>
      <c r="FNK160" s="3060"/>
      <c r="FNL160" s="3060"/>
      <c r="FNM160" s="3060"/>
      <c r="FNN160" s="3060"/>
      <c r="FNO160" s="3060"/>
      <c r="FNP160" s="3060"/>
      <c r="FNQ160" s="3060"/>
      <c r="FNR160" s="3060"/>
      <c r="FNS160" s="3060"/>
      <c r="FNT160" s="3060"/>
      <c r="FNU160" s="3060"/>
      <c r="FNV160" s="3060"/>
      <c r="FNW160" s="3060"/>
      <c r="FNX160" s="3060"/>
      <c r="FNY160" s="3060"/>
      <c r="FNZ160" s="3060"/>
      <c r="FOA160" s="3060"/>
      <c r="FOB160" s="3060"/>
      <c r="FOC160" s="3060"/>
      <c r="FOD160" s="3060"/>
      <c r="FOE160" s="3060"/>
      <c r="FOF160" s="3060"/>
      <c r="FOG160" s="3060"/>
      <c r="FOH160" s="3060"/>
      <c r="FOI160" s="3060"/>
      <c r="FOJ160" s="3060"/>
      <c r="FOK160" s="3060"/>
      <c r="FOL160" s="3060"/>
      <c r="FOM160" s="3060"/>
      <c r="FON160" s="3060"/>
      <c r="FOO160" s="3060"/>
      <c r="FOP160" s="3060"/>
      <c r="FOQ160" s="3060"/>
      <c r="FOR160" s="3060"/>
      <c r="FOS160" s="3060"/>
      <c r="FOT160" s="3060"/>
      <c r="FOU160" s="3060"/>
      <c r="FOV160" s="3060"/>
      <c r="FOW160" s="3060"/>
      <c r="FOX160" s="3060"/>
      <c r="FOY160" s="3060"/>
      <c r="FOZ160" s="3060"/>
      <c r="FPA160" s="3060"/>
      <c r="FPB160" s="3060"/>
      <c r="FPC160" s="3060"/>
      <c r="FPD160" s="3060"/>
      <c r="FPE160" s="3060"/>
      <c r="FPF160" s="3060"/>
      <c r="FPG160" s="3060"/>
      <c r="FPH160" s="3060"/>
      <c r="FPI160" s="3060"/>
      <c r="FPJ160" s="3060"/>
      <c r="FPK160" s="3060"/>
      <c r="FPL160" s="3060"/>
      <c r="FPM160" s="3060"/>
      <c r="FPN160" s="3060"/>
      <c r="FPO160" s="3060"/>
      <c r="FPP160" s="3060"/>
      <c r="FPQ160" s="3060"/>
      <c r="FPR160" s="3060"/>
      <c r="FPS160" s="3060"/>
      <c r="FPT160" s="3060"/>
      <c r="FPU160" s="3060"/>
      <c r="FPV160" s="3060"/>
      <c r="FPW160" s="3060"/>
      <c r="FPX160" s="3060"/>
      <c r="FPY160" s="3060"/>
      <c r="FPZ160" s="3060"/>
      <c r="FQA160" s="3060"/>
      <c r="FQB160" s="3060"/>
      <c r="FQC160" s="3060"/>
      <c r="FQD160" s="3060"/>
      <c r="FQE160" s="3060"/>
      <c r="FQF160" s="3060"/>
      <c r="FQG160" s="3060"/>
      <c r="FQH160" s="3060"/>
      <c r="FQI160" s="3060"/>
      <c r="FQJ160" s="3060"/>
      <c r="FQK160" s="3060"/>
      <c r="FQL160" s="3060"/>
      <c r="FQM160" s="3060"/>
      <c r="FQN160" s="3060"/>
      <c r="FQO160" s="3060"/>
      <c r="FQP160" s="3060"/>
      <c r="FQQ160" s="3060"/>
      <c r="FQR160" s="3060"/>
      <c r="FQS160" s="3060"/>
      <c r="FQT160" s="3060"/>
      <c r="FQU160" s="3060"/>
      <c r="FQV160" s="3060"/>
      <c r="FQW160" s="3060"/>
      <c r="FQX160" s="3060"/>
      <c r="FQY160" s="3060"/>
      <c r="FQZ160" s="3060"/>
      <c r="FRA160" s="3060"/>
      <c r="FRB160" s="3060"/>
      <c r="FRC160" s="3060"/>
      <c r="FRD160" s="3060"/>
      <c r="FRE160" s="3060"/>
      <c r="FRF160" s="3060"/>
      <c r="FRG160" s="3060"/>
      <c r="FRH160" s="3060"/>
      <c r="FRI160" s="3060"/>
      <c r="FRJ160" s="3060"/>
      <c r="FRK160" s="3060"/>
      <c r="FRL160" s="3060"/>
      <c r="FRM160" s="3060"/>
      <c r="FRN160" s="3060"/>
      <c r="FRO160" s="3060"/>
      <c r="FRP160" s="3060"/>
      <c r="FRQ160" s="3060"/>
      <c r="FRR160" s="3060"/>
      <c r="FRS160" s="3060"/>
      <c r="FRT160" s="3060"/>
      <c r="FRU160" s="3060"/>
      <c r="FRV160" s="3060"/>
      <c r="FRW160" s="3060"/>
      <c r="FRX160" s="3060"/>
      <c r="FRY160" s="3060"/>
      <c r="FRZ160" s="3060"/>
      <c r="FSA160" s="3060"/>
      <c r="FSB160" s="3060"/>
      <c r="FSC160" s="3060"/>
      <c r="FSD160" s="3060"/>
      <c r="FSE160" s="3060"/>
      <c r="FSF160" s="3060"/>
      <c r="FSG160" s="3060"/>
      <c r="FSH160" s="3060"/>
      <c r="FSI160" s="3060"/>
      <c r="FSJ160" s="3060"/>
      <c r="FSK160" s="3060"/>
      <c r="FSL160" s="3060"/>
      <c r="FSM160" s="3060"/>
      <c r="FSN160" s="3060"/>
      <c r="FSO160" s="3060"/>
      <c r="FSP160" s="3060"/>
      <c r="FSQ160" s="3060"/>
      <c r="FSR160" s="3060"/>
      <c r="FSS160" s="3060"/>
      <c r="FST160" s="3060"/>
      <c r="FSU160" s="3060"/>
      <c r="FSV160" s="3060"/>
      <c r="FSW160" s="3060"/>
      <c r="FSX160" s="3060"/>
      <c r="FSY160" s="3060"/>
      <c r="FSZ160" s="3060"/>
      <c r="FTA160" s="3060"/>
      <c r="FTB160" s="3060"/>
      <c r="FTC160" s="3060"/>
      <c r="FTD160" s="3060"/>
      <c r="FTE160" s="3060"/>
      <c r="FTF160" s="3060"/>
      <c r="FTG160" s="3060"/>
      <c r="FTH160" s="3060"/>
      <c r="FTI160" s="3060"/>
      <c r="FTJ160" s="3060"/>
      <c r="FTK160" s="3060"/>
      <c r="FTL160" s="3060"/>
      <c r="FTM160" s="3060"/>
      <c r="FTN160" s="3060"/>
      <c r="FTO160" s="3060"/>
      <c r="FTP160" s="3060"/>
      <c r="FTQ160" s="3060"/>
      <c r="FTR160" s="3060"/>
      <c r="FTS160" s="3060"/>
      <c r="FTT160" s="3060"/>
      <c r="FTU160" s="3060"/>
      <c r="FTV160" s="3060"/>
      <c r="FTW160" s="3060"/>
      <c r="FTX160" s="3060"/>
      <c r="FTY160" s="3060"/>
      <c r="FTZ160" s="3060"/>
      <c r="FUA160" s="3060"/>
      <c r="FUB160" s="3060"/>
      <c r="FUC160" s="3060"/>
      <c r="FUD160" s="3060"/>
      <c r="FUE160" s="3060"/>
      <c r="FUF160" s="3060"/>
      <c r="FUG160" s="3060"/>
      <c r="FUH160" s="3060"/>
      <c r="FUI160" s="3060"/>
      <c r="FUJ160" s="3060"/>
      <c r="FUK160" s="3060"/>
      <c r="FUL160" s="3060"/>
      <c r="FUM160" s="3060"/>
      <c r="FUN160" s="3060"/>
      <c r="FUO160" s="3060"/>
      <c r="FUP160" s="3060"/>
      <c r="FUQ160" s="3060"/>
      <c r="FUR160" s="3060"/>
      <c r="FUS160" s="3060"/>
      <c r="FUT160" s="3060"/>
      <c r="FUU160" s="3060"/>
      <c r="FUV160" s="3060"/>
      <c r="FUW160" s="3060"/>
      <c r="FUX160" s="3060"/>
      <c r="FUY160" s="3060"/>
      <c r="FUZ160" s="3060"/>
      <c r="FVA160" s="3060"/>
      <c r="FVB160" s="3060"/>
      <c r="FVC160" s="3060"/>
      <c r="FVD160" s="3060"/>
      <c r="FVE160" s="3060"/>
      <c r="FVF160" s="3060"/>
      <c r="FVG160" s="3060"/>
      <c r="FVH160" s="3060"/>
      <c r="FVI160" s="3060"/>
      <c r="FVJ160" s="3060"/>
      <c r="FVK160" s="3060"/>
      <c r="FVL160" s="3060"/>
      <c r="FVM160" s="3060"/>
      <c r="FVN160" s="3060"/>
      <c r="FVO160" s="3060"/>
      <c r="FVP160" s="3060"/>
      <c r="FVQ160" s="3060"/>
      <c r="FVR160" s="3060"/>
      <c r="FVS160" s="3060"/>
      <c r="FVT160" s="3060"/>
      <c r="FVU160" s="3060"/>
      <c r="FVV160" s="3060"/>
      <c r="FVW160" s="3060"/>
      <c r="FVX160" s="3060"/>
      <c r="FVY160" s="3060"/>
      <c r="FVZ160" s="3060"/>
      <c r="FWA160" s="3060"/>
      <c r="FWB160" s="3060"/>
      <c r="FWC160" s="3060"/>
      <c r="FWD160" s="3060"/>
      <c r="FWE160" s="3060"/>
      <c r="FWF160" s="3060"/>
      <c r="FWG160" s="3060"/>
      <c r="FWH160" s="3060"/>
      <c r="FWI160" s="3060"/>
      <c r="FWJ160" s="3060"/>
      <c r="FWK160" s="3060"/>
      <c r="FWL160" s="3060"/>
      <c r="FWM160" s="3060"/>
      <c r="FWN160" s="3060"/>
      <c r="FWO160" s="3060"/>
      <c r="FWP160" s="3060"/>
      <c r="FWQ160" s="3060"/>
      <c r="FWR160" s="3060"/>
      <c r="FWS160" s="3060"/>
      <c r="FWT160" s="3060"/>
      <c r="FWU160" s="3060"/>
      <c r="FWV160" s="3060"/>
      <c r="FWW160" s="3060"/>
      <c r="FWX160" s="3060"/>
      <c r="FWY160" s="3060"/>
      <c r="FWZ160" s="3060"/>
      <c r="FXA160" s="3060"/>
      <c r="FXB160" s="3060"/>
      <c r="FXC160" s="3060"/>
      <c r="FXD160" s="3060"/>
      <c r="FXE160" s="3060"/>
      <c r="FXF160" s="3060"/>
      <c r="FXG160" s="3060"/>
      <c r="FXH160" s="3060"/>
      <c r="FXI160" s="3060"/>
      <c r="FXJ160" s="3060"/>
      <c r="FXK160" s="3060"/>
      <c r="FXL160" s="3060"/>
      <c r="FXM160" s="3060"/>
      <c r="FXN160" s="3060"/>
      <c r="FXO160" s="3060"/>
      <c r="FXP160" s="3060"/>
      <c r="FXQ160" s="3060"/>
      <c r="FXR160" s="3060"/>
      <c r="FXS160" s="3060"/>
      <c r="FXT160" s="3060"/>
      <c r="FXU160" s="3060"/>
      <c r="FXV160" s="3060"/>
      <c r="FXW160" s="3060"/>
      <c r="FXX160" s="3060"/>
      <c r="FXY160" s="3060"/>
      <c r="FXZ160" s="3060"/>
      <c r="FYA160" s="3060"/>
      <c r="FYB160" s="3060"/>
      <c r="FYC160" s="3060"/>
      <c r="FYD160" s="3060"/>
      <c r="FYE160" s="3060"/>
      <c r="FYF160" s="3060"/>
      <c r="FYG160" s="3060"/>
      <c r="FYH160" s="3060"/>
      <c r="FYI160" s="3060"/>
      <c r="FYJ160" s="3060"/>
      <c r="FYK160" s="3060"/>
      <c r="FYL160" s="3060"/>
      <c r="FYM160" s="3060"/>
      <c r="FYN160" s="3060"/>
      <c r="FYO160" s="3060"/>
      <c r="FYP160" s="3060"/>
      <c r="FYQ160" s="3060"/>
      <c r="FYR160" s="3060"/>
      <c r="FYS160" s="3060"/>
      <c r="FYT160" s="3060"/>
      <c r="FYU160" s="3060"/>
      <c r="FYV160" s="3060"/>
      <c r="FYW160" s="3060"/>
      <c r="FYX160" s="3060"/>
      <c r="FYY160" s="3060"/>
      <c r="FYZ160" s="3060"/>
      <c r="FZA160" s="3060"/>
      <c r="FZB160" s="3060"/>
      <c r="FZC160" s="3060"/>
      <c r="FZD160" s="3060"/>
      <c r="FZE160" s="3060"/>
      <c r="FZF160" s="3060"/>
      <c r="FZG160" s="3060"/>
      <c r="FZH160" s="3060"/>
      <c r="FZI160" s="3060"/>
      <c r="FZJ160" s="3060"/>
      <c r="FZK160" s="3060"/>
      <c r="FZL160" s="3060"/>
      <c r="FZM160" s="3060"/>
      <c r="FZN160" s="3060"/>
      <c r="FZO160" s="3060"/>
      <c r="FZP160" s="3060"/>
      <c r="FZQ160" s="3060"/>
      <c r="FZR160" s="3060"/>
      <c r="FZS160" s="3060"/>
      <c r="FZT160" s="3060"/>
      <c r="FZU160" s="3060"/>
      <c r="FZV160" s="3060"/>
      <c r="FZW160" s="3060"/>
      <c r="FZX160" s="3060"/>
      <c r="FZY160" s="3060"/>
      <c r="FZZ160" s="3060"/>
      <c r="GAA160" s="3060"/>
      <c r="GAB160" s="3060"/>
      <c r="GAC160" s="3060"/>
      <c r="GAD160" s="3060"/>
      <c r="GAE160" s="3060"/>
      <c r="GAF160" s="3060"/>
      <c r="GAG160" s="3060"/>
      <c r="GAH160" s="3060"/>
      <c r="GAI160" s="3060"/>
      <c r="GAJ160" s="3060"/>
      <c r="GAK160" s="3060"/>
      <c r="GAL160" s="3060"/>
      <c r="GAM160" s="3060"/>
      <c r="GAN160" s="3060"/>
      <c r="GAO160" s="3060"/>
      <c r="GAP160" s="3060"/>
      <c r="GAQ160" s="3060"/>
      <c r="GAR160" s="3060"/>
      <c r="GAS160" s="3060"/>
      <c r="GAT160" s="3060"/>
      <c r="GAU160" s="3060"/>
      <c r="GAV160" s="3060"/>
      <c r="GAW160" s="3060"/>
      <c r="GAX160" s="3060"/>
      <c r="GAY160" s="3060"/>
      <c r="GAZ160" s="3060"/>
      <c r="GBA160" s="3060"/>
      <c r="GBB160" s="3060"/>
      <c r="GBC160" s="3060"/>
      <c r="GBD160" s="3060"/>
      <c r="GBE160" s="3060"/>
      <c r="GBF160" s="3060"/>
      <c r="GBG160" s="3060"/>
      <c r="GBH160" s="3060"/>
      <c r="GBI160" s="3060"/>
      <c r="GBJ160" s="3060"/>
      <c r="GBK160" s="3060"/>
      <c r="GBL160" s="3060"/>
      <c r="GBM160" s="3060"/>
      <c r="GBN160" s="3060"/>
      <c r="GBO160" s="3060"/>
      <c r="GBP160" s="3060"/>
      <c r="GBQ160" s="3060"/>
      <c r="GBR160" s="3060"/>
      <c r="GBS160" s="3060"/>
      <c r="GBT160" s="3060"/>
      <c r="GBU160" s="3060"/>
      <c r="GBV160" s="3060"/>
      <c r="GBW160" s="3060"/>
      <c r="GBX160" s="3060"/>
      <c r="GBY160" s="3060"/>
      <c r="GBZ160" s="3060"/>
      <c r="GCA160" s="3060"/>
      <c r="GCB160" s="3060"/>
      <c r="GCC160" s="3060"/>
      <c r="GCD160" s="3060"/>
      <c r="GCE160" s="3060"/>
      <c r="GCF160" s="3060"/>
      <c r="GCG160" s="3060"/>
      <c r="GCH160" s="3060"/>
      <c r="GCI160" s="3060"/>
      <c r="GCJ160" s="3060"/>
      <c r="GCK160" s="3060"/>
      <c r="GCL160" s="3060"/>
      <c r="GCM160" s="3060"/>
      <c r="GCN160" s="3060"/>
      <c r="GCO160" s="3060"/>
      <c r="GCP160" s="3060"/>
      <c r="GCQ160" s="3060"/>
      <c r="GCR160" s="3060"/>
      <c r="GCS160" s="3060"/>
      <c r="GCT160" s="3060"/>
      <c r="GCU160" s="3060"/>
      <c r="GCV160" s="3060"/>
      <c r="GCW160" s="3060"/>
      <c r="GCX160" s="3060"/>
      <c r="GCY160" s="3060"/>
      <c r="GCZ160" s="3060"/>
      <c r="GDA160" s="3060"/>
      <c r="GDB160" s="3060"/>
      <c r="GDC160" s="3060"/>
      <c r="GDD160" s="3060"/>
      <c r="GDE160" s="3060"/>
      <c r="GDF160" s="3060"/>
      <c r="GDG160" s="3060"/>
      <c r="GDH160" s="3060"/>
      <c r="GDI160" s="3060"/>
      <c r="GDJ160" s="3060"/>
      <c r="GDK160" s="3060"/>
      <c r="GDL160" s="3060"/>
      <c r="GDM160" s="3060"/>
      <c r="GDN160" s="3060"/>
      <c r="GDO160" s="3060"/>
      <c r="GDP160" s="3060"/>
      <c r="GDQ160" s="3060"/>
      <c r="GDR160" s="3060"/>
      <c r="GDS160" s="3060"/>
      <c r="GDT160" s="3060"/>
      <c r="GDU160" s="3060"/>
      <c r="GDV160" s="3060"/>
      <c r="GDW160" s="3060"/>
      <c r="GDX160" s="3060"/>
      <c r="GDY160" s="3060"/>
      <c r="GDZ160" s="3060"/>
      <c r="GEA160" s="3060"/>
      <c r="GEB160" s="3060"/>
      <c r="GEC160" s="3060"/>
      <c r="GED160" s="3060"/>
      <c r="GEE160" s="3060"/>
      <c r="GEF160" s="3060"/>
      <c r="GEG160" s="3060"/>
      <c r="GEH160" s="3060"/>
      <c r="GEI160" s="3060"/>
      <c r="GEJ160" s="3060"/>
      <c r="GEK160" s="3060"/>
      <c r="GEL160" s="3060"/>
      <c r="GEM160" s="3060"/>
      <c r="GEN160" s="3060"/>
      <c r="GEO160" s="3060"/>
      <c r="GEP160" s="3060"/>
      <c r="GEQ160" s="3060"/>
      <c r="GER160" s="3060"/>
      <c r="GES160" s="3060"/>
      <c r="GET160" s="3060"/>
      <c r="GEU160" s="3060"/>
      <c r="GEV160" s="3060"/>
      <c r="GEW160" s="3060"/>
      <c r="GEX160" s="3060"/>
      <c r="GEY160" s="3060"/>
      <c r="GEZ160" s="3060"/>
      <c r="GFA160" s="3060"/>
      <c r="GFB160" s="3060"/>
      <c r="GFC160" s="3060"/>
      <c r="GFD160" s="3060"/>
      <c r="GFE160" s="3060"/>
      <c r="GFF160" s="3060"/>
      <c r="GFG160" s="3060"/>
      <c r="GFH160" s="3060"/>
      <c r="GFI160" s="3060"/>
      <c r="GFJ160" s="3060"/>
      <c r="GFK160" s="3060"/>
      <c r="GFL160" s="3060"/>
      <c r="GFM160" s="3060"/>
      <c r="GFN160" s="3060"/>
      <c r="GFO160" s="3060"/>
      <c r="GFP160" s="3060"/>
      <c r="GFQ160" s="3060"/>
      <c r="GFR160" s="3060"/>
      <c r="GFS160" s="3060"/>
      <c r="GFT160" s="3060"/>
      <c r="GFU160" s="3060"/>
      <c r="GFV160" s="3060"/>
      <c r="GFW160" s="3060"/>
      <c r="GFX160" s="3060"/>
      <c r="GFY160" s="3060"/>
      <c r="GFZ160" s="3060"/>
      <c r="GGA160" s="3060"/>
      <c r="GGB160" s="3060"/>
      <c r="GGC160" s="3060"/>
      <c r="GGD160" s="3060"/>
      <c r="GGE160" s="3060"/>
      <c r="GGF160" s="3060"/>
      <c r="GGG160" s="3060"/>
      <c r="GGH160" s="3060"/>
      <c r="GGI160" s="3060"/>
      <c r="GGJ160" s="3060"/>
      <c r="GGK160" s="3060"/>
      <c r="GGL160" s="3060"/>
      <c r="GGM160" s="3060"/>
      <c r="GGN160" s="3060"/>
      <c r="GGO160" s="3060"/>
      <c r="GGP160" s="3060"/>
      <c r="GGQ160" s="3060"/>
      <c r="GGR160" s="3060"/>
      <c r="GGS160" s="3060"/>
      <c r="GGT160" s="3060"/>
      <c r="GGU160" s="3060"/>
      <c r="GGV160" s="3060"/>
      <c r="GGW160" s="3060"/>
      <c r="GGX160" s="3060"/>
      <c r="GGY160" s="3060"/>
      <c r="GGZ160" s="3060"/>
      <c r="GHA160" s="3060"/>
      <c r="GHB160" s="3060"/>
      <c r="GHC160" s="3060"/>
      <c r="GHD160" s="3060"/>
      <c r="GHE160" s="3060"/>
      <c r="GHF160" s="3060"/>
      <c r="GHG160" s="3060"/>
      <c r="GHH160" s="3060"/>
      <c r="GHI160" s="3060"/>
      <c r="GHJ160" s="3060"/>
      <c r="GHK160" s="3060"/>
      <c r="GHL160" s="3060"/>
      <c r="GHM160" s="3060"/>
      <c r="GHN160" s="3060"/>
      <c r="GHO160" s="3060"/>
      <c r="GHP160" s="3060"/>
      <c r="GHQ160" s="3060"/>
      <c r="GHR160" s="3060"/>
      <c r="GHS160" s="3060"/>
      <c r="GHT160" s="3060"/>
      <c r="GHU160" s="3060"/>
      <c r="GHV160" s="3060"/>
      <c r="GHW160" s="3060"/>
      <c r="GHX160" s="3060"/>
      <c r="GHY160" s="3060"/>
      <c r="GHZ160" s="3060"/>
      <c r="GIA160" s="3060"/>
      <c r="GIB160" s="3060"/>
      <c r="GIC160" s="3060"/>
      <c r="GID160" s="3060"/>
      <c r="GIE160" s="3060"/>
      <c r="GIF160" s="3060"/>
      <c r="GIG160" s="3060"/>
      <c r="GIH160" s="3060"/>
      <c r="GII160" s="3060"/>
      <c r="GIJ160" s="3060"/>
      <c r="GIK160" s="3060"/>
      <c r="GIL160" s="3060"/>
      <c r="GIM160" s="3060"/>
      <c r="GIN160" s="3060"/>
      <c r="GIO160" s="3060"/>
      <c r="GIP160" s="3060"/>
      <c r="GIQ160" s="3060"/>
      <c r="GIR160" s="3060"/>
      <c r="GIS160" s="3060"/>
      <c r="GIT160" s="3060"/>
      <c r="GIU160" s="3060"/>
      <c r="GIV160" s="3060"/>
      <c r="GIW160" s="3060"/>
      <c r="GIX160" s="3060"/>
      <c r="GIY160" s="3060"/>
      <c r="GIZ160" s="3060"/>
      <c r="GJA160" s="3060"/>
      <c r="GJB160" s="3060"/>
      <c r="GJC160" s="3060"/>
      <c r="GJD160" s="3060"/>
      <c r="GJE160" s="3060"/>
      <c r="GJF160" s="3060"/>
      <c r="GJG160" s="3060"/>
      <c r="GJH160" s="3060"/>
      <c r="GJI160" s="3060"/>
      <c r="GJJ160" s="3060"/>
      <c r="GJK160" s="3060"/>
      <c r="GJL160" s="3060"/>
      <c r="GJM160" s="3060"/>
      <c r="GJN160" s="3060"/>
      <c r="GJO160" s="3060"/>
      <c r="GJP160" s="3060"/>
      <c r="GJQ160" s="3060"/>
      <c r="GJR160" s="3060"/>
      <c r="GJS160" s="3060"/>
      <c r="GJT160" s="3060"/>
      <c r="GJU160" s="3060"/>
      <c r="GJV160" s="3060"/>
      <c r="GJW160" s="3060"/>
      <c r="GJX160" s="3060"/>
      <c r="GJY160" s="3060"/>
      <c r="GJZ160" s="3060"/>
      <c r="GKA160" s="3060"/>
      <c r="GKB160" s="3060"/>
      <c r="GKC160" s="3060"/>
      <c r="GKD160" s="3060"/>
      <c r="GKE160" s="3060"/>
      <c r="GKF160" s="3060"/>
      <c r="GKG160" s="3060"/>
      <c r="GKH160" s="3060"/>
      <c r="GKI160" s="3060"/>
      <c r="GKJ160" s="3060"/>
      <c r="GKK160" s="3060"/>
      <c r="GKL160" s="3060"/>
      <c r="GKM160" s="3060"/>
      <c r="GKN160" s="3060"/>
      <c r="GKO160" s="3060"/>
      <c r="GKP160" s="3060"/>
      <c r="GKQ160" s="3060"/>
      <c r="GKR160" s="3060"/>
      <c r="GKS160" s="3060"/>
      <c r="GKT160" s="3060"/>
      <c r="GKU160" s="3060"/>
      <c r="GKV160" s="3060"/>
      <c r="GKW160" s="3060"/>
      <c r="GKX160" s="3060"/>
      <c r="GKY160" s="3060"/>
      <c r="GKZ160" s="3060"/>
      <c r="GLA160" s="3060"/>
      <c r="GLB160" s="3060"/>
      <c r="GLC160" s="3060"/>
      <c r="GLD160" s="3060"/>
      <c r="GLE160" s="3060"/>
      <c r="GLF160" s="3060"/>
      <c r="GLG160" s="3060"/>
      <c r="GLH160" s="3060"/>
      <c r="GLI160" s="3060"/>
      <c r="GLJ160" s="3060"/>
      <c r="GLK160" s="3060"/>
      <c r="GLL160" s="3060"/>
      <c r="GLM160" s="3060"/>
      <c r="GLN160" s="3060"/>
      <c r="GLO160" s="3060"/>
      <c r="GLP160" s="3060"/>
      <c r="GLQ160" s="3060"/>
      <c r="GLR160" s="3060"/>
      <c r="GLS160" s="3060"/>
      <c r="GLT160" s="3060"/>
      <c r="GLU160" s="3060"/>
      <c r="GLV160" s="3060"/>
      <c r="GLW160" s="3060"/>
      <c r="GLX160" s="3060"/>
      <c r="GLY160" s="3060"/>
      <c r="GLZ160" s="3060"/>
      <c r="GMA160" s="3060"/>
      <c r="GMB160" s="3060"/>
      <c r="GMC160" s="3060"/>
      <c r="GMD160" s="3060"/>
      <c r="GME160" s="3060"/>
      <c r="GMF160" s="3060"/>
      <c r="GMG160" s="3060"/>
      <c r="GMH160" s="3060"/>
      <c r="GMI160" s="3060"/>
      <c r="GMJ160" s="3060"/>
      <c r="GMK160" s="3060"/>
      <c r="GML160" s="3060"/>
      <c r="GMM160" s="3060"/>
      <c r="GMN160" s="3060"/>
      <c r="GMO160" s="3060"/>
      <c r="GMP160" s="3060"/>
      <c r="GMQ160" s="3060"/>
      <c r="GMR160" s="3060"/>
      <c r="GMS160" s="3060"/>
      <c r="GMT160" s="3060"/>
      <c r="GMU160" s="3060"/>
      <c r="GMV160" s="3060"/>
      <c r="GMW160" s="3060"/>
      <c r="GMX160" s="3060"/>
      <c r="GMY160" s="3060"/>
      <c r="GMZ160" s="3060"/>
      <c r="GNA160" s="3060"/>
      <c r="GNB160" s="3060"/>
      <c r="GNC160" s="3060"/>
      <c r="GND160" s="3060"/>
      <c r="GNE160" s="3060"/>
      <c r="GNF160" s="3060"/>
      <c r="GNG160" s="3060"/>
      <c r="GNH160" s="3060"/>
      <c r="GNI160" s="3060"/>
      <c r="GNJ160" s="3060"/>
      <c r="GNK160" s="3060"/>
      <c r="GNL160" s="3060"/>
      <c r="GNM160" s="3060"/>
      <c r="GNN160" s="3060"/>
      <c r="GNO160" s="3060"/>
      <c r="GNP160" s="3060"/>
      <c r="GNQ160" s="3060"/>
      <c r="GNR160" s="3060"/>
      <c r="GNS160" s="3060"/>
      <c r="GNT160" s="3060"/>
      <c r="GNU160" s="3060"/>
      <c r="GNV160" s="3060"/>
      <c r="GNW160" s="3060"/>
      <c r="GNX160" s="3060"/>
      <c r="GNY160" s="3060"/>
      <c r="GNZ160" s="3060"/>
      <c r="GOA160" s="3060"/>
      <c r="GOB160" s="3060"/>
      <c r="GOC160" s="3060"/>
      <c r="GOD160" s="3060"/>
      <c r="GOE160" s="3060"/>
      <c r="GOF160" s="3060"/>
      <c r="GOG160" s="3060"/>
      <c r="GOH160" s="3060"/>
      <c r="GOI160" s="3060"/>
      <c r="GOJ160" s="3060"/>
      <c r="GOK160" s="3060"/>
      <c r="GOL160" s="3060"/>
      <c r="GOM160" s="3060"/>
      <c r="GON160" s="3060"/>
      <c r="GOO160" s="3060"/>
      <c r="GOP160" s="3060"/>
      <c r="GOQ160" s="3060"/>
      <c r="GOR160" s="3060"/>
      <c r="GOS160" s="3060"/>
      <c r="GOT160" s="3060"/>
      <c r="GOU160" s="3060"/>
      <c r="GOV160" s="3060"/>
      <c r="GOW160" s="3060"/>
      <c r="GOX160" s="3060"/>
      <c r="GOY160" s="3060"/>
      <c r="GOZ160" s="3060"/>
      <c r="GPA160" s="3060"/>
      <c r="GPB160" s="3060"/>
      <c r="GPC160" s="3060"/>
      <c r="GPD160" s="3060"/>
      <c r="GPE160" s="3060"/>
      <c r="GPF160" s="3060"/>
      <c r="GPG160" s="3060"/>
      <c r="GPH160" s="3060"/>
      <c r="GPI160" s="3060"/>
      <c r="GPJ160" s="3060"/>
      <c r="GPK160" s="3060"/>
      <c r="GPL160" s="3060"/>
      <c r="GPM160" s="3060"/>
      <c r="GPN160" s="3060"/>
      <c r="GPO160" s="3060"/>
      <c r="GPP160" s="3060"/>
      <c r="GPQ160" s="3060"/>
      <c r="GPR160" s="3060"/>
      <c r="GPS160" s="3060"/>
      <c r="GPT160" s="3060"/>
      <c r="GPU160" s="3060"/>
      <c r="GPV160" s="3060"/>
      <c r="GPW160" s="3060"/>
      <c r="GPX160" s="3060"/>
      <c r="GPY160" s="3060"/>
      <c r="GPZ160" s="3060"/>
      <c r="GQA160" s="3060"/>
      <c r="GQB160" s="3060"/>
      <c r="GQC160" s="3060"/>
      <c r="GQD160" s="3060"/>
      <c r="GQE160" s="3060"/>
      <c r="GQF160" s="3060"/>
      <c r="GQG160" s="3060"/>
      <c r="GQH160" s="3060"/>
      <c r="GQI160" s="3060"/>
      <c r="GQJ160" s="3060"/>
      <c r="GQK160" s="3060"/>
      <c r="GQL160" s="3060"/>
      <c r="GQM160" s="3060"/>
      <c r="GQN160" s="3060"/>
      <c r="GQO160" s="3060"/>
      <c r="GQP160" s="3060"/>
      <c r="GQQ160" s="3060"/>
      <c r="GQR160" s="3060"/>
      <c r="GQS160" s="3060"/>
      <c r="GQT160" s="3060"/>
      <c r="GQU160" s="3060"/>
      <c r="GQV160" s="3060"/>
      <c r="GQW160" s="3060"/>
      <c r="GQX160" s="3060"/>
      <c r="GQY160" s="3060"/>
      <c r="GQZ160" s="3060"/>
      <c r="GRA160" s="3060"/>
      <c r="GRB160" s="3060"/>
      <c r="GRC160" s="3060"/>
      <c r="GRD160" s="3060"/>
      <c r="GRE160" s="3060"/>
      <c r="GRF160" s="3060"/>
      <c r="GRG160" s="3060"/>
      <c r="GRH160" s="3060"/>
      <c r="GRI160" s="3060"/>
      <c r="GRJ160" s="3060"/>
      <c r="GRK160" s="3060"/>
      <c r="GRL160" s="3060"/>
      <c r="GRM160" s="3060"/>
      <c r="GRN160" s="3060"/>
      <c r="GRO160" s="3060"/>
      <c r="GRP160" s="3060"/>
      <c r="GRQ160" s="3060"/>
      <c r="GRR160" s="3060"/>
      <c r="GRS160" s="3060"/>
      <c r="GRT160" s="3060"/>
      <c r="GRU160" s="3060"/>
      <c r="GRV160" s="3060"/>
      <c r="GRW160" s="3060"/>
      <c r="GRX160" s="3060"/>
      <c r="GRY160" s="3060"/>
      <c r="GRZ160" s="3060"/>
      <c r="GSA160" s="3060"/>
      <c r="GSB160" s="3060"/>
      <c r="GSC160" s="3060"/>
      <c r="GSD160" s="3060"/>
      <c r="GSE160" s="3060"/>
      <c r="GSF160" s="3060"/>
      <c r="GSG160" s="3060"/>
      <c r="GSH160" s="3060"/>
      <c r="GSI160" s="3060"/>
      <c r="GSJ160" s="3060"/>
      <c r="GSK160" s="3060"/>
      <c r="GSL160" s="3060"/>
      <c r="GSM160" s="3060"/>
      <c r="GSN160" s="3060"/>
      <c r="GSO160" s="3060"/>
      <c r="GSP160" s="3060"/>
      <c r="GSQ160" s="3060"/>
      <c r="GSR160" s="3060"/>
      <c r="GSS160" s="3060"/>
      <c r="GST160" s="3060"/>
      <c r="GSU160" s="3060"/>
      <c r="GSV160" s="3060"/>
      <c r="GSW160" s="3060"/>
      <c r="GSX160" s="3060"/>
      <c r="GSY160" s="3060"/>
      <c r="GSZ160" s="3060"/>
      <c r="GTA160" s="3060"/>
      <c r="GTB160" s="3060"/>
      <c r="GTC160" s="3060"/>
      <c r="GTD160" s="3060"/>
      <c r="GTE160" s="3060"/>
      <c r="GTF160" s="3060"/>
      <c r="GTG160" s="3060"/>
      <c r="GTH160" s="3060"/>
      <c r="GTI160" s="3060"/>
      <c r="GTJ160" s="3060"/>
      <c r="GTK160" s="3060"/>
      <c r="GTL160" s="3060"/>
      <c r="GTM160" s="3060"/>
      <c r="GTN160" s="3060"/>
      <c r="GTO160" s="3060"/>
      <c r="GTP160" s="3060"/>
      <c r="GTQ160" s="3060"/>
      <c r="GTR160" s="3060"/>
      <c r="GTS160" s="3060"/>
      <c r="GTT160" s="3060"/>
      <c r="GTU160" s="3060"/>
      <c r="GTV160" s="3060"/>
      <c r="GTW160" s="3060"/>
      <c r="GTX160" s="3060"/>
      <c r="GTY160" s="3060"/>
      <c r="GTZ160" s="3060"/>
      <c r="GUA160" s="3060"/>
      <c r="GUB160" s="3060"/>
      <c r="GUC160" s="3060"/>
      <c r="GUD160" s="3060"/>
      <c r="GUE160" s="3060"/>
      <c r="GUF160" s="3060"/>
      <c r="GUG160" s="3060"/>
      <c r="GUH160" s="3060"/>
      <c r="GUI160" s="3060"/>
      <c r="GUJ160" s="3060"/>
      <c r="GUK160" s="3060"/>
      <c r="GUL160" s="3060"/>
      <c r="GUM160" s="3060"/>
      <c r="GUN160" s="3060"/>
      <c r="GUO160" s="3060"/>
      <c r="GUP160" s="3060"/>
      <c r="GUQ160" s="3060"/>
      <c r="GUR160" s="3060"/>
      <c r="GUS160" s="3060"/>
      <c r="GUT160" s="3060"/>
      <c r="GUU160" s="3060"/>
      <c r="GUV160" s="3060"/>
      <c r="GUW160" s="3060"/>
      <c r="GUX160" s="3060"/>
      <c r="GUY160" s="3060"/>
      <c r="GUZ160" s="3060"/>
      <c r="GVA160" s="3060"/>
      <c r="GVB160" s="3060"/>
      <c r="GVC160" s="3060"/>
      <c r="GVD160" s="3060"/>
      <c r="GVE160" s="3060"/>
      <c r="GVF160" s="3060"/>
      <c r="GVG160" s="3060"/>
      <c r="GVH160" s="3060"/>
      <c r="GVI160" s="3060"/>
      <c r="GVJ160" s="3060"/>
      <c r="GVK160" s="3060"/>
      <c r="GVL160" s="3060"/>
      <c r="GVM160" s="3060"/>
      <c r="GVN160" s="3060"/>
      <c r="GVO160" s="3060"/>
      <c r="GVP160" s="3060"/>
      <c r="GVQ160" s="3060"/>
      <c r="GVR160" s="3060"/>
      <c r="GVS160" s="3060"/>
      <c r="GVT160" s="3060"/>
      <c r="GVU160" s="3060"/>
      <c r="GVV160" s="3060"/>
      <c r="GVW160" s="3060"/>
      <c r="GVX160" s="3060"/>
      <c r="GVY160" s="3060"/>
      <c r="GVZ160" s="3060"/>
      <c r="GWA160" s="3060"/>
      <c r="GWB160" s="3060"/>
      <c r="GWC160" s="3060"/>
      <c r="GWD160" s="3060"/>
      <c r="GWE160" s="3060"/>
      <c r="GWF160" s="3060"/>
      <c r="GWG160" s="3060"/>
      <c r="GWH160" s="3060"/>
      <c r="GWI160" s="3060"/>
      <c r="GWJ160" s="3060"/>
      <c r="GWK160" s="3060"/>
      <c r="GWL160" s="3060"/>
      <c r="GWM160" s="3060"/>
      <c r="GWN160" s="3060"/>
      <c r="GWO160" s="3060"/>
      <c r="GWP160" s="3060"/>
      <c r="GWQ160" s="3060"/>
      <c r="GWR160" s="3060"/>
      <c r="GWS160" s="3060"/>
      <c r="GWT160" s="3060"/>
      <c r="GWU160" s="3060"/>
      <c r="GWV160" s="3060"/>
      <c r="GWW160" s="3060"/>
      <c r="GWX160" s="3060"/>
      <c r="GWY160" s="3060"/>
      <c r="GWZ160" s="3060"/>
      <c r="GXA160" s="3060"/>
      <c r="GXB160" s="3060"/>
      <c r="GXC160" s="3060"/>
      <c r="GXD160" s="3060"/>
      <c r="GXE160" s="3060"/>
      <c r="GXF160" s="3060"/>
      <c r="GXG160" s="3060"/>
      <c r="GXH160" s="3060"/>
      <c r="GXI160" s="3060"/>
      <c r="GXJ160" s="3060"/>
      <c r="GXK160" s="3060"/>
      <c r="GXL160" s="3060"/>
      <c r="GXM160" s="3060"/>
      <c r="GXN160" s="3060"/>
      <c r="GXO160" s="3060"/>
      <c r="GXP160" s="3060"/>
      <c r="GXQ160" s="3060"/>
      <c r="GXR160" s="3060"/>
      <c r="GXS160" s="3060"/>
      <c r="GXT160" s="3060"/>
      <c r="GXU160" s="3060"/>
      <c r="GXV160" s="3060"/>
      <c r="GXW160" s="3060"/>
      <c r="GXX160" s="3060"/>
      <c r="GXY160" s="3060"/>
      <c r="GXZ160" s="3060"/>
      <c r="GYA160" s="3060"/>
      <c r="GYB160" s="3060"/>
      <c r="GYC160" s="3060"/>
      <c r="GYD160" s="3060"/>
      <c r="GYE160" s="3060"/>
      <c r="GYF160" s="3060"/>
      <c r="GYG160" s="3060"/>
      <c r="GYH160" s="3060"/>
      <c r="GYI160" s="3060"/>
      <c r="GYJ160" s="3060"/>
      <c r="GYK160" s="3060"/>
      <c r="GYL160" s="3060"/>
      <c r="GYM160" s="3060"/>
      <c r="GYN160" s="3060"/>
      <c r="GYO160" s="3060"/>
      <c r="GYP160" s="3060"/>
      <c r="GYQ160" s="3060"/>
      <c r="GYR160" s="3060"/>
      <c r="GYS160" s="3060"/>
      <c r="GYT160" s="3060"/>
      <c r="GYU160" s="3060"/>
      <c r="GYV160" s="3060"/>
      <c r="GYW160" s="3060"/>
      <c r="GYX160" s="3060"/>
      <c r="GYY160" s="3060"/>
      <c r="GYZ160" s="3060"/>
      <c r="GZA160" s="3060"/>
      <c r="GZB160" s="3060"/>
      <c r="GZC160" s="3060"/>
      <c r="GZD160" s="3060"/>
      <c r="GZE160" s="3060"/>
      <c r="GZF160" s="3060"/>
      <c r="GZG160" s="3060"/>
      <c r="GZH160" s="3060"/>
      <c r="GZI160" s="3060"/>
      <c r="GZJ160" s="3060"/>
      <c r="GZK160" s="3060"/>
      <c r="GZL160" s="3060"/>
      <c r="GZM160" s="3060"/>
      <c r="GZN160" s="3060"/>
      <c r="GZO160" s="3060"/>
      <c r="GZP160" s="3060"/>
      <c r="GZQ160" s="3060"/>
      <c r="GZR160" s="3060"/>
      <c r="GZS160" s="3060"/>
      <c r="GZT160" s="3060"/>
      <c r="GZU160" s="3060"/>
      <c r="GZV160" s="3060"/>
      <c r="GZW160" s="3060"/>
      <c r="GZX160" s="3060"/>
      <c r="GZY160" s="3060"/>
      <c r="GZZ160" s="3060"/>
      <c r="HAA160" s="3060"/>
      <c r="HAB160" s="3060"/>
      <c r="HAC160" s="3060"/>
      <c r="HAD160" s="3060"/>
      <c r="HAE160" s="3060"/>
      <c r="HAF160" s="3060"/>
      <c r="HAG160" s="3060"/>
      <c r="HAH160" s="3060"/>
      <c r="HAI160" s="3060"/>
      <c r="HAJ160" s="3060"/>
      <c r="HAK160" s="3060"/>
      <c r="HAL160" s="3060"/>
      <c r="HAM160" s="3060"/>
      <c r="HAN160" s="3060"/>
      <c r="HAO160" s="3060"/>
      <c r="HAP160" s="3060"/>
      <c r="HAQ160" s="3060"/>
      <c r="HAR160" s="3060"/>
      <c r="HAS160" s="3060"/>
      <c r="HAT160" s="3060"/>
      <c r="HAU160" s="3060"/>
      <c r="HAV160" s="3060"/>
      <c r="HAW160" s="3060"/>
      <c r="HAX160" s="3060"/>
      <c r="HAY160" s="3060"/>
      <c r="HAZ160" s="3060"/>
      <c r="HBA160" s="3060"/>
      <c r="HBB160" s="3060"/>
      <c r="HBC160" s="3060"/>
      <c r="HBD160" s="3060"/>
      <c r="HBE160" s="3060"/>
      <c r="HBF160" s="3060"/>
      <c r="HBG160" s="3060"/>
      <c r="HBH160" s="3060"/>
      <c r="HBI160" s="3060"/>
      <c r="HBJ160" s="3060"/>
      <c r="HBK160" s="3060"/>
      <c r="HBL160" s="3060"/>
      <c r="HBM160" s="3060"/>
      <c r="HBN160" s="3060"/>
      <c r="HBO160" s="3060"/>
      <c r="HBP160" s="3060"/>
      <c r="HBQ160" s="3060"/>
      <c r="HBR160" s="3060"/>
      <c r="HBS160" s="3060"/>
      <c r="HBT160" s="3060"/>
      <c r="HBU160" s="3060"/>
      <c r="HBV160" s="3060"/>
      <c r="HBW160" s="3060"/>
      <c r="HBX160" s="3060"/>
      <c r="HBY160" s="3060"/>
      <c r="HBZ160" s="3060"/>
      <c r="HCA160" s="3060"/>
      <c r="HCB160" s="3060"/>
      <c r="HCC160" s="3060"/>
      <c r="HCD160" s="3060"/>
      <c r="HCE160" s="3060"/>
      <c r="HCF160" s="3060"/>
      <c r="HCG160" s="3060"/>
      <c r="HCH160" s="3060"/>
      <c r="HCI160" s="3060"/>
      <c r="HCJ160" s="3060"/>
      <c r="HCK160" s="3060"/>
      <c r="HCL160" s="3060"/>
      <c r="HCM160" s="3060"/>
      <c r="HCN160" s="3060"/>
      <c r="HCO160" s="3060"/>
      <c r="HCP160" s="3060"/>
      <c r="HCQ160" s="3060"/>
      <c r="HCR160" s="3060"/>
      <c r="HCS160" s="3060"/>
      <c r="HCT160" s="3060"/>
      <c r="HCU160" s="3060"/>
      <c r="HCV160" s="3060"/>
      <c r="HCW160" s="3060"/>
      <c r="HCX160" s="3060"/>
      <c r="HCY160" s="3060"/>
      <c r="HCZ160" s="3060"/>
      <c r="HDA160" s="3060"/>
      <c r="HDB160" s="3060"/>
      <c r="HDC160" s="3060"/>
      <c r="HDD160" s="3060"/>
      <c r="HDE160" s="3060"/>
      <c r="HDF160" s="3060"/>
      <c r="HDG160" s="3060"/>
      <c r="HDH160" s="3060"/>
      <c r="HDI160" s="3060"/>
      <c r="HDJ160" s="3060"/>
      <c r="HDK160" s="3060"/>
      <c r="HDL160" s="3060"/>
      <c r="HDM160" s="3060"/>
      <c r="HDN160" s="3060"/>
      <c r="HDO160" s="3060"/>
      <c r="HDP160" s="3060"/>
      <c r="HDQ160" s="3060"/>
      <c r="HDR160" s="3060"/>
      <c r="HDS160" s="3060"/>
      <c r="HDT160" s="3060"/>
      <c r="HDU160" s="3060"/>
      <c r="HDV160" s="3060"/>
      <c r="HDW160" s="3060"/>
      <c r="HDX160" s="3060"/>
      <c r="HDY160" s="3060"/>
      <c r="HDZ160" s="3060"/>
      <c r="HEA160" s="3060"/>
      <c r="HEB160" s="3060"/>
      <c r="HEC160" s="3060"/>
      <c r="HED160" s="3060"/>
      <c r="HEE160" s="3060"/>
      <c r="HEF160" s="3060"/>
      <c r="HEG160" s="3060"/>
      <c r="HEH160" s="3060"/>
      <c r="HEI160" s="3060"/>
      <c r="HEJ160" s="3060"/>
      <c r="HEK160" s="3060"/>
      <c r="HEL160" s="3060"/>
      <c r="HEM160" s="3060"/>
      <c r="HEN160" s="3060"/>
      <c r="HEO160" s="3060"/>
      <c r="HEP160" s="3060"/>
      <c r="HEQ160" s="3060"/>
      <c r="HER160" s="3060"/>
      <c r="HES160" s="3060"/>
      <c r="HET160" s="3060"/>
      <c r="HEU160" s="3060"/>
      <c r="HEV160" s="3060"/>
      <c r="HEW160" s="3060"/>
      <c r="HEX160" s="3060"/>
      <c r="HEY160" s="3060"/>
      <c r="HEZ160" s="3060"/>
      <c r="HFA160" s="3060"/>
      <c r="HFB160" s="3060"/>
      <c r="HFC160" s="3060"/>
      <c r="HFD160" s="3060"/>
      <c r="HFE160" s="3060"/>
      <c r="HFF160" s="3060"/>
      <c r="HFG160" s="3060"/>
      <c r="HFH160" s="3060"/>
      <c r="HFI160" s="3060"/>
      <c r="HFJ160" s="3060"/>
      <c r="HFK160" s="3060"/>
      <c r="HFL160" s="3060"/>
      <c r="HFM160" s="3060"/>
      <c r="HFN160" s="3060"/>
      <c r="HFO160" s="3060"/>
      <c r="HFP160" s="3060"/>
      <c r="HFQ160" s="3060"/>
      <c r="HFR160" s="3060"/>
      <c r="HFS160" s="3060"/>
      <c r="HFT160" s="3060"/>
      <c r="HFU160" s="3060"/>
      <c r="HFV160" s="3060"/>
      <c r="HFW160" s="3060"/>
      <c r="HFX160" s="3060"/>
      <c r="HFY160" s="3060"/>
      <c r="HFZ160" s="3060"/>
      <c r="HGA160" s="3060"/>
      <c r="HGB160" s="3060"/>
      <c r="HGC160" s="3060"/>
      <c r="HGD160" s="3060"/>
      <c r="HGE160" s="3060"/>
      <c r="HGF160" s="3060"/>
      <c r="HGG160" s="3060"/>
      <c r="HGH160" s="3060"/>
      <c r="HGI160" s="3060"/>
      <c r="HGJ160" s="3060"/>
      <c r="HGK160" s="3060"/>
      <c r="HGL160" s="3060"/>
      <c r="HGM160" s="3060"/>
      <c r="HGN160" s="3060"/>
      <c r="HGO160" s="3060"/>
      <c r="HGP160" s="3060"/>
      <c r="HGQ160" s="3060"/>
      <c r="HGR160" s="3060"/>
      <c r="HGS160" s="3060"/>
      <c r="HGT160" s="3060"/>
      <c r="HGU160" s="3060"/>
      <c r="HGV160" s="3060"/>
      <c r="HGW160" s="3060"/>
      <c r="HGX160" s="3060"/>
      <c r="HGY160" s="3060"/>
      <c r="HGZ160" s="3060"/>
      <c r="HHA160" s="3060"/>
      <c r="HHB160" s="3060"/>
      <c r="HHC160" s="3060"/>
      <c r="HHD160" s="3060"/>
      <c r="HHE160" s="3060"/>
      <c r="HHF160" s="3060"/>
      <c r="HHG160" s="3060"/>
      <c r="HHH160" s="3060"/>
      <c r="HHI160" s="3060"/>
      <c r="HHJ160" s="3060"/>
      <c r="HHK160" s="3060"/>
      <c r="HHL160" s="3060"/>
      <c r="HHM160" s="3060"/>
      <c r="HHN160" s="3060"/>
      <c r="HHO160" s="3060"/>
      <c r="HHP160" s="3060"/>
      <c r="HHQ160" s="3060"/>
      <c r="HHR160" s="3060"/>
      <c r="HHS160" s="3060"/>
      <c r="HHT160" s="3060"/>
      <c r="HHU160" s="3060"/>
      <c r="HHV160" s="3060"/>
      <c r="HHW160" s="3060"/>
      <c r="HHX160" s="3060"/>
      <c r="HHY160" s="3060"/>
      <c r="HHZ160" s="3060"/>
      <c r="HIA160" s="3060"/>
      <c r="HIB160" s="3060"/>
      <c r="HIC160" s="3060"/>
      <c r="HID160" s="3060"/>
      <c r="HIE160" s="3060"/>
      <c r="HIF160" s="3060"/>
      <c r="HIG160" s="3060"/>
      <c r="HIH160" s="3060"/>
      <c r="HII160" s="3060"/>
      <c r="HIJ160" s="3060"/>
      <c r="HIK160" s="3060"/>
      <c r="HIL160" s="3060"/>
      <c r="HIM160" s="3060"/>
      <c r="HIN160" s="3060"/>
      <c r="HIO160" s="3060"/>
      <c r="HIP160" s="3060"/>
      <c r="HIQ160" s="3060"/>
      <c r="HIR160" s="3060"/>
      <c r="HIS160" s="3060"/>
      <c r="HIT160" s="3060"/>
      <c r="HIU160" s="3060"/>
      <c r="HIV160" s="3060"/>
      <c r="HIW160" s="3060"/>
      <c r="HIX160" s="3060"/>
      <c r="HIY160" s="3060"/>
      <c r="HIZ160" s="3060"/>
      <c r="HJA160" s="3060"/>
      <c r="HJB160" s="3060"/>
      <c r="HJC160" s="3060"/>
      <c r="HJD160" s="3060"/>
      <c r="HJE160" s="3060"/>
      <c r="HJF160" s="3060"/>
      <c r="HJG160" s="3060"/>
      <c r="HJH160" s="3060"/>
      <c r="HJI160" s="3060"/>
      <c r="HJJ160" s="3060"/>
      <c r="HJK160" s="3060"/>
      <c r="HJL160" s="3060"/>
      <c r="HJM160" s="3060"/>
      <c r="HJN160" s="3060"/>
      <c r="HJO160" s="3060"/>
      <c r="HJP160" s="3060"/>
      <c r="HJQ160" s="3060"/>
      <c r="HJR160" s="3060"/>
      <c r="HJS160" s="3060"/>
      <c r="HJT160" s="3060"/>
      <c r="HJU160" s="3060"/>
      <c r="HJV160" s="3060"/>
      <c r="HJW160" s="3060"/>
      <c r="HJX160" s="3060"/>
      <c r="HJY160" s="3060"/>
      <c r="HJZ160" s="3060"/>
      <c r="HKA160" s="3060"/>
      <c r="HKB160" s="3060"/>
      <c r="HKC160" s="3060"/>
      <c r="HKD160" s="3060"/>
      <c r="HKE160" s="3060"/>
      <c r="HKF160" s="3060"/>
      <c r="HKG160" s="3060"/>
      <c r="HKH160" s="3060"/>
      <c r="HKI160" s="3060"/>
      <c r="HKJ160" s="3060"/>
      <c r="HKK160" s="3060"/>
      <c r="HKL160" s="3060"/>
      <c r="HKM160" s="3060"/>
      <c r="HKN160" s="3060"/>
      <c r="HKO160" s="3060"/>
      <c r="HKP160" s="3060"/>
      <c r="HKQ160" s="3060"/>
      <c r="HKR160" s="3060"/>
      <c r="HKS160" s="3060"/>
      <c r="HKT160" s="3060"/>
      <c r="HKU160" s="3060"/>
      <c r="HKV160" s="3060"/>
      <c r="HKW160" s="3060"/>
      <c r="HKX160" s="3060"/>
      <c r="HKY160" s="3060"/>
      <c r="HKZ160" s="3060"/>
      <c r="HLA160" s="3060"/>
      <c r="HLB160" s="3060"/>
      <c r="HLC160" s="3060"/>
      <c r="HLD160" s="3060"/>
      <c r="HLE160" s="3060"/>
      <c r="HLF160" s="3060"/>
      <c r="HLG160" s="3060"/>
      <c r="HLH160" s="3060"/>
      <c r="HLI160" s="3060"/>
      <c r="HLJ160" s="3060"/>
      <c r="HLK160" s="3060"/>
      <c r="HLL160" s="3060"/>
      <c r="HLM160" s="3060"/>
      <c r="HLN160" s="3060"/>
      <c r="HLO160" s="3060"/>
      <c r="HLP160" s="3060"/>
      <c r="HLQ160" s="3060"/>
      <c r="HLR160" s="3060"/>
      <c r="HLS160" s="3060"/>
      <c r="HLT160" s="3060"/>
      <c r="HLU160" s="3060"/>
      <c r="HLV160" s="3060"/>
      <c r="HLW160" s="3060"/>
      <c r="HLX160" s="3060"/>
      <c r="HLY160" s="3060"/>
      <c r="HLZ160" s="3060"/>
      <c r="HMA160" s="3060"/>
      <c r="HMB160" s="3060"/>
      <c r="HMC160" s="3060"/>
      <c r="HMD160" s="3060"/>
      <c r="HME160" s="3060"/>
      <c r="HMF160" s="3060"/>
      <c r="HMG160" s="3060"/>
      <c r="HMH160" s="3060"/>
      <c r="HMI160" s="3060"/>
      <c r="HMJ160" s="3060"/>
      <c r="HMK160" s="3060"/>
      <c r="HML160" s="3060"/>
      <c r="HMM160" s="3060"/>
      <c r="HMN160" s="3060"/>
      <c r="HMO160" s="3060"/>
      <c r="HMP160" s="3060"/>
      <c r="HMQ160" s="3060"/>
      <c r="HMR160" s="3060"/>
      <c r="HMS160" s="3060"/>
      <c r="HMT160" s="3060"/>
      <c r="HMU160" s="3060"/>
      <c r="HMV160" s="3060"/>
      <c r="HMW160" s="3060"/>
      <c r="HMX160" s="3060"/>
      <c r="HMY160" s="3060"/>
      <c r="HMZ160" s="3060"/>
      <c r="HNA160" s="3060"/>
      <c r="HNB160" s="3060"/>
      <c r="HNC160" s="3060"/>
      <c r="HND160" s="3060"/>
      <c r="HNE160" s="3060"/>
      <c r="HNF160" s="3060"/>
      <c r="HNG160" s="3060"/>
      <c r="HNH160" s="3060"/>
      <c r="HNI160" s="3060"/>
      <c r="HNJ160" s="3060"/>
      <c r="HNK160" s="3060"/>
      <c r="HNL160" s="3060"/>
      <c r="HNM160" s="3060"/>
      <c r="HNN160" s="3060"/>
      <c r="HNO160" s="3060"/>
      <c r="HNP160" s="3060"/>
      <c r="HNQ160" s="3060"/>
      <c r="HNR160" s="3060"/>
      <c r="HNS160" s="3060"/>
      <c r="HNT160" s="3060"/>
      <c r="HNU160" s="3060"/>
      <c r="HNV160" s="3060"/>
      <c r="HNW160" s="3060"/>
      <c r="HNX160" s="3060"/>
      <c r="HNY160" s="3060"/>
      <c r="HNZ160" s="3060"/>
      <c r="HOA160" s="3060"/>
      <c r="HOB160" s="3060"/>
      <c r="HOC160" s="3060"/>
      <c r="HOD160" s="3060"/>
      <c r="HOE160" s="3060"/>
      <c r="HOF160" s="3060"/>
      <c r="HOG160" s="3060"/>
      <c r="HOH160" s="3060"/>
      <c r="HOI160" s="3060"/>
      <c r="HOJ160" s="3060"/>
      <c r="HOK160" s="3060"/>
      <c r="HOL160" s="3060"/>
      <c r="HOM160" s="3060"/>
      <c r="HON160" s="3060"/>
      <c r="HOO160" s="3060"/>
      <c r="HOP160" s="3060"/>
      <c r="HOQ160" s="3060"/>
      <c r="HOR160" s="3060"/>
      <c r="HOS160" s="3060"/>
      <c r="HOT160" s="3060"/>
      <c r="HOU160" s="3060"/>
      <c r="HOV160" s="3060"/>
      <c r="HOW160" s="3060"/>
      <c r="HOX160" s="3060"/>
      <c r="HOY160" s="3060"/>
      <c r="HOZ160" s="3060"/>
      <c r="HPA160" s="3060"/>
      <c r="HPB160" s="3060"/>
      <c r="HPC160" s="3060"/>
      <c r="HPD160" s="3060"/>
      <c r="HPE160" s="3060"/>
      <c r="HPF160" s="3060"/>
      <c r="HPG160" s="3060"/>
      <c r="HPH160" s="3060"/>
      <c r="HPI160" s="3060"/>
      <c r="HPJ160" s="3060"/>
      <c r="HPK160" s="3060"/>
      <c r="HPL160" s="3060"/>
      <c r="HPM160" s="3060"/>
      <c r="HPN160" s="3060"/>
      <c r="HPO160" s="3060"/>
      <c r="HPP160" s="3060"/>
      <c r="HPQ160" s="3060"/>
      <c r="HPR160" s="3060"/>
      <c r="HPS160" s="3060"/>
      <c r="HPT160" s="3060"/>
      <c r="HPU160" s="3060"/>
      <c r="HPV160" s="3060"/>
      <c r="HPW160" s="3060"/>
      <c r="HPX160" s="3060"/>
      <c r="HPY160" s="3060"/>
      <c r="HPZ160" s="3060"/>
      <c r="HQA160" s="3060"/>
      <c r="HQB160" s="3060"/>
      <c r="HQC160" s="3060"/>
      <c r="HQD160" s="3060"/>
      <c r="HQE160" s="3060"/>
      <c r="HQF160" s="3060"/>
      <c r="HQG160" s="3060"/>
      <c r="HQH160" s="3060"/>
      <c r="HQI160" s="3060"/>
      <c r="HQJ160" s="3060"/>
      <c r="HQK160" s="3060"/>
      <c r="HQL160" s="3060"/>
      <c r="HQM160" s="3060"/>
      <c r="HQN160" s="3060"/>
      <c r="HQO160" s="3060"/>
      <c r="HQP160" s="3060"/>
      <c r="HQQ160" s="3060"/>
      <c r="HQR160" s="3060"/>
      <c r="HQS160" s="3060"/>
      <c r="HQT160" s="3060"/>
      <c r="HQU160" s="3060"/>
      <c r="HQV160" s="3060"/>
      <c r="HQW160" s="3060"/>
      <c r="HQX160" s="3060"/>
      <c r="HQY160" s="3060"/>
      <c r="HQZ160" s="3060"/>
      <c r="HRA160" s="3060"/>
      <c r="HRB160" s="3060"/>
      <c r="HRC160" s="3060"/>
      <c r="HRD160" s="3060"/>
      <c r="HRE160" s="3060"/>
      <c r="HRF160" s="3060"/>
      <c r="HRG160" s="3060"/>
      <c r="HRH160" s="3060"/>
      <c r="HRI160" s="3060"/>
      <c r="HRJ160" s="3060"/>
      <c r="HRK160" s="3060"/>
      <c r="HRL160" s="3060"/>
      <c r="HRM160" s="3060"/>
      <c r="HRN160" s="3060"/>
      <c r="HRO160" s="3060"/>
      <c r="HRP160" s="3060"/>
      <c r="HRQ160" s="3060"/>
      <c r="HRR160" s="3060"/>
      <c r="HRS160" s="3060"/>
      <c r="HRT160" s="3060"/>
      <c r="HRU160" s="3060"/>
      <c r="HRV160" s="3060"/>
      <c r="HRW160" s="3060"/>
      <c r="HRX160" s="3060"/>
      <c r="HRY160" s="3060"/>
      <c r="HRZ160" s="3060"/>
      <c r="HSA160" s="3060"/>
      <c r="HSB160" s="3060"/>
      <c r="HSC160" s="3060"/>
      <c r="HSD160" s="3060"/>
      <c r="HSE160" s="3060"/>
      <c r="HSF160" s="3060"/>
      <c r="HSG160" s="3060"/>
      <c r="HSH160" s="3060"/>
      <c r="HSI160" s="3060"/>
      <c r="HSJ160" s="3060"/>
      <c r="HSK160" s="3060"/>
      <c r="HSL160" s="3060"/>
      <c r="HSM160" s="3060"/>
      <c r="HSN160" s="3060"/>
      <c r="HSO160" s="3060"/>
      <c r="HSP160" s="3060"/>
      <c r="HSQ160" s="3060"/>
      <c r="HSR160" s="3060"/>
      <c r="HSS160" s="3060"/>
      <c r="HST160" s="3060"/>
      <c r="HSU160" s="3060"/>
      <c r="HSV160" s="3060"/>
      <c r="HSW160" s="3060"/>
      <c r="HSX160" s="3060"/>
      <c r="HSY160" s="3060"/>
      <c r="HSZ160" s="3060"/>
      <c r="HTA160" s="3060"/>
      <c r="HTB160" s="3060"/>
      <c r="HTC160" s="3060"/>
      <c r="HTD160" s="3060"/>
      <c r="HTE160" s="3060"/>
      <c r="HTF160" s="3060"/>
      <c r="HTG160" s="3060"/>
      <c r="HTH160" s="3060"/>
      <c r="HTI160" s="3060"/>
      <c r="HTJ160" s="3060"/>
      <c r="HTK160" s="3060"/>
      <c r="HTL160" s="3060"/>
      <c r="HTM160" s="3060"/>
      <c r="HTN160" s="3060"/>
      <c r="HTO160" s="3060"/>
      <c r="HTP160" s="3060"/>
      <c r="HTQ160" s="3060"/>
      <c r="HTR160" s="3060"/>
      <c r="HTS160" s="3060"/>
      <c r="HTT160" s="3060"/>
      <c r="HTU160" s="3060"/>
      <c r="HTV160" s="3060"/>
      <c r="HTW160" s="3060"/>
      <c r="HTX160" s="3060"/>
      <c r="HTY160" s="3060"/>
      <c r="HTZ160" s="3060"/>
      <c r="HUA160" s="3060"/>
      <c r="HUB160" s="3060"/>
      <c r="HUC160" s="3060"/>
      <c r="HUD160" s="3060"/>
      <c r="HUE160" s="3060"/>
      <c r="HUF160" s="3060"/>
      <c r="HUG160" s="3060"/>
      <c r="HUH160" s="3060"/>
      <c r="HUI160" s="3060"/>
      <c r="HUJ160" s="3060"/>
      <c r="HUK160" s="3060"/>
      <c r="HUL160" s="3060"/>
      <c r="HUM160" s="3060"/>
      <c r="HUN160" s="3060"/>
      <c r="HUO160" s="3060"/>
      <c r="HUP160" s="3060"/>
      <c r="HUQ160" s="3060"/>
      <c r="HUR160" s="3060"/>
      <c r="HUS160" s="3060"/>
      <c r="HUT160" s="3060"/>
      <c r="HUU160" s="3060"/>
      <c r="HUV160" s="3060"/>
      <c r="HUW160" s="3060"/>
      <c r="HUX160" s="3060"/>
      <c r="HUY160" s="3060"/>
      <c r="HUZ160" s="3060"/>
      <c r="HVA160" s="3060"/>
      <c r="HVB160" s="3060"/>
      <c r="HVC160" s="3060"/>
      <c r="HVD160" s="3060"/>
      <c r="HVE160" s="3060"/>
      <c r="HVF160" s="3060"/>
      <c r="HVG160" s="3060"/>
      <c r="HVH160" s="3060"/>
      <c r="HVI160" s="3060"/>
      <c r="HVJ160" s="3060"/>
      <c r="HVK160" s="3060"/>
      <c r="HVL160" s="3060"/>
      <c r="HVM160" s="3060"/>
      <c r="HVN160" s="3060"/>
      <c r="HVO160" s="3060"/>
      <c r="HVP160" s="3060"/>
      <c r="HVQ160" s="3060"/>
      <c r="HVR160" s="3060"/>
      <c r="HVS160" s="3060"/>
      <c r="HVT160" s="3060"/>
      <c r="HVU160" s="3060"/>
      <c r="HVV160" s="3060"/>
      <c r="HVW160" s="3060"/>
      <c r="HVX160" s="3060"/>
      <c r="HVY160" s="3060"/>
      <c r="HVZ160" s="3060"/>
      <c r="HWA160" s="3060"/>
      <c r="HWB160" s="3060"/>
      <c r="HWC160" s="3060"/>
      <c r="HWD160" s="3060"/>
      <c r="HWE160" s="3060"/>
      <c r="HWF160" s="3060"/>
      <c r="HWG160" s="3060"/>
      <c r="HWH160" s="3060"/>
      <c r="HWI160" s="3060"/>
      <c r="HWJ160" s="3060"/>
      <c r="HWK160" s="3060"/>
      <c r="HWL160" s="3060"/>
      <c r="HWM160" s="3060"/>
      <c r="HWN160" s="3060"/>
      <c r="HWO160" s="3060"/>
      <c r="HWP160" s="3060"/>
      <c r="HWQ160" s="3060"/>
      <c r="HWR160" s="3060"/>
      <c r="HWS160" s="3060"/>
      <c r="HWT160" s="3060"/>
      <c r="HWU160" s="3060"/>
      <c r="HWV160" s="3060"/>
      <c r="HWW160" s="3060"/>
      <c r="HWX160" s="3060"/>
      <c r="HWY160" s="3060"/>
      <c r="HWZ160" s="3060"/>
      <c r="HXA160" s="3060"/>
      <c r="HXB160" s="3060"/>
      <c r="HXC160" s="3060"/>
      <c r="HXD160" s="3060"/>
      <c r="HXE160" s="3060"/>
      <c r="HXF160" s="3060"/>
      <c r="HXG160" s="3060"/>
      <c r="HXH160" s="3060"/>
      <c r="HXI160" s="3060"/>
      <c r="HXJ160" s="3060"/>
      <c r="HXK160" s="3060"/>
      <c r="HXL160" s="3060"/>
      <c r="HXM160" s="3060"/>
      <c r="HXN160" s="3060"/>
      <c r="HXO160" s="3060"/>
      <c r="HXP160" s="3060"/>
      <c r="HXQ160" s="3060"/>
      <c r="HXR160" s="3060"/>
      <c r="HXS160" s="3060"/>
      <c r="HXT160" s="3060"/>
      <c r="HXU160" s="3060"/>
      <c r="HXV160" s="3060"/>
      <c r="HXW160" s="3060"/>
      <c r="HXX160" s="3060"/>
      <c r="HXY160" s="3060"/>
      <c r="HXZ160" s="3060"/>
      <c r="HYA160" s="3060"/>
      <c r="HYB160" s="3060"/>
      <c r="HYC160" s="3060"/>
      <c r="HYD160" s="3060"/>
      <c r="HYE160" s="3060"/>
      <c r="HYF160" s="3060"/>
      <c r="HYG160" s="3060"/>
      <c r="HYH160" s="3060"/>
      <c r="HYI160" s="3060"/>
      <c r="HYJ160" s="3060"/>
      <c r="HYK160" s="3060"/>
      <c r="HYL160" s="3060"/>
      <c r="HYM160" s="3060"/>
      <c r="HYN160" s="3060"/>
      <c r="HYO160" s="3060"/>
      <c r="HYP160" s="3060"/>
      <c r="HYQ160" s="3060"/>
      <c r="HYR160" s="3060"/>
      <c r="HYS160" s="3060"/>
      <c r="HYT160" s="3060"/>
      <c r="HYU160" s="3060"/>
      <c r="HYV160" s="3060"/>
      <c r="HYW160" s="3060"/>
      <c r="HYX160" s="3060"/>
      <c r="HYY160" s="3060"/>
      <c r="HYZ160" s="3060"/>
      <c r="HZA160" s="3060"/>
      <c r="HZB160" s="3060"/>
      <c r="HZC160" s="3060"/>
      <c r="HZD160" s="3060"/>
      <c r="HZE160" s="3060"/>
      <c r="HZF160" s="3060"/>
      <c r="HZG160" s="3060"/>
      <c r="HZH160" s="3060"/>
      <c r="HZI160" s="3060"/>
      <c r="HZJ160" s="3060"/>
      <c r="HZK160" s="3060"/>
      <c r="HZL160" s="3060"/>
      <c r="HZM160" s="3060"/>
      <c r="HZN160" s="3060"/>
      <c r="HZO160" s="3060"/>
      <c r="HZP160" s="3060"/>
      <c r="HZQ160" s="3060"/>
      <c r="HZR160" s="3060"/>
      <c r="HZS160" s="3060"/>
      <c r="HZT160" s="3060"/>
      <c r="HZU160" s="3060"/>
      <c r="HZV160" s="3060"/>
      <c r="HZW160" s="3060"/>
      <c r="HZX160" s="3060"/>
      <c r="HZY160" s="3060"/>
      <c r="HZZ160" s="3060"/>
      <c r="IAA160" s="3060"/>
      <c r="IAB160" s="3060"/>
      <c r="IAC160" s="3060"/>
      <c r="IAD160" s="3060"/>
      <c r="IAE160" s="3060"/>
      <c r="IAF160" s="3060"/>
      <c r="IAG160" s="3060"/>
      <c r="IAH160" s="3060"/>
      <c r="IAI160" s="3060"/>
      <c r="IAJ160" s="3060"/>
      <c r="IAK160" s="3060"/>
      <c r="IAL160" s="3060"/>
      <c r="IAM160" s="3060"/>
      <c r="IAN160" s="3060"/>
      <c r="IAO160" s="3060"/>
      <c r="IAP160" s="3060"/>
      <c r="IAQ160" s="3060"/>
      <c r="IAR160" s="3060"/>
      <c r="IAS160" s="3060"/>
      <c r="IAT160" s="3060"/>
      <c r="IAU160" s="3060"/>
      <c r="IAV160" s="3060"/>
      <c r="IAW160" s="3060"/>
      <c r="IAX160" s="3060"/>
      <c r="IAY160" s="3060"/>
      <c r="IAZ160" s="3060"/>
      <c r="IBA160" s="3060"/>
      <c r="IBB160" s="3060"/>
      <c r="IBC160" s="3060"/>
      <c r="IBD160" s="3060"/>
      <c r="IBE160" s="3060"/>
      <c r="IBF160" s="3060"/>
      <c r="IBG160" s="3060"/>
      <c r="IBH160" s="3060"/>
      <c r="IBI160" s="3060"/>
      <c r="IBJ160" s="3060"/>
      <c r="IBK160" s="3060"/>
      <c r="IBL160" s="3060"/>
      <c r="IBM160" s="3060"/>
      <c r="IBN160" s="3060"/>
      <c r="IBO160" s="3060"/>
      <c r="IBP160" s="3060"/>
      <c r="IBQ160" s="3060"/>
      <c r="IBR160" s="3060"/>
      <c r="IBS160" s="3060"/>
      <c r="IBT160" s="3060"/>
      <c r="IBU160" s="3060"/>
      <c r="IBV160" s="3060"/>
      <c r="IBW160" s="3060"/>
      <c r="IBX160" s="3060"/>
      <c r="IBY160" s="3060"/>
      <c r="IBZ160" s="3060"/>
      <c r="ICA160" s="3060"/>
      <c r="ICB160" s="3060"/>
      <c r="ICC160" s="3060"/>
      <c r="ICD160" s="3060"/>
      <c r="ICE160" s="3060"/>
      <c r="ICF160" s="3060"/>
      <c r="ICG160" s="3060"/>
      <c r="ICH160" s="3060"/>
      <c r="ICI160" s="3060"/>
      <c r="ICJ160" s="3060"/>
      <c r="ICK160" s="3060"/>
      <c r="ICL160" s="3060"/>
      <c r="ICM160" s="3060"/>
      <c r="ICN160" s="3060"/>
      <c r="ICO160" s="3060"/>
      <c r="ICP160" s="3060"/>
      <c r="ICQ160" s="3060"/>
      <c r="ICR160" s="3060"/>
      <c r="ICS160" s="3060"/>
      <c r="ICT160" s="3060"/>
      <c r="ICU160" s="3060"/>
      <c r="ICV160" s="3060"/>
      <c r="ICW160" s="3060"/>
      <c r="ICX160" s="3060"/>
      <c r="ICY160" s="3060"/>
      <c r="ICZ160" s="3060"/>
      <c r="IDA160" s="3060"/>
      <c r="IDB160" s="3060"/>
      <c r="IDC160" s="3060"/>
      <c r="IDD160" s="3060"/>
      <c r="IDE160" s="3060"/>
      <c r="IDF160" s="3060"/>
      <c r="IDG160" s="3060"/>
      <c r="IDH160" s="3060"/>
      <c r="IDI160" s="3060"/>
      <c r="IDJ160" s="3060"/>
      <c r="IDK160" s="3060"/>
      <c r="IDL160" s="3060"/>
      <c r="IDM160" s="3060"/>
      <c r="IDN160" s="3060"/>
      <c r="IDO160" s="3060"/>
      <c r="IDP160" s="3060"/>
      <c r="IDQ160" s="3060"/>
      <c r="IDR160" s="3060"/>
      <c r="IDS160" s="3060"/>
      <c r="IDT160" s="3060"/>
      <c r="IDU160" s="3060"/>
      <c r="IDV160" s="3060"/>
      <c r="IDW160" s="3060"/>
      <c r="IDX160" s="3060"/>
      <c r="IDY160" s="3060"/>
      <c r="IDZ160" s="3060"/>
      <c r="IEA160" s="3060"/>
      <c r="IEB160" s="3060"/>
      <c r="IEC160" s="3060"/>
      <c r="IED160" s="3060"/>
      <c r="IEE160" s="3060"/>
      <c r="IEF160" s="3060"/>
      <c r="IEG160" s="3060"/>
      <c r="IEH160" s="3060"/>
      <c r="IEI160" s="3060"/>
      <c r="IEJ160" s="3060"/>
      <c r="IEK160" s="3060"/>
      <c r="IEL160" s="3060"/>
      <c r="IEM160" s="3060"/>
      <c r="IEN160" s="3060"/>
      <c r="IEO160" s="3060"/>
      <c r="IEP160" s="3060"/>
      <c r="IEQ160" s="3060"/>
      <c r="IER160" s="3060"/>
      <c r="IES160" s="3060"/>
      <c r="IET160" s="3060"/>
      <c r="IEU160" s="3060"/>
      <c r="IEV160" s="3060"/>
      <c r="IEW160" s="3060"/>
      <c r="IEX160" s="3060"/>
      <c r="IEY160" s="3060"/>
      <c r="IEZ160" s="3060"/>
      <c r="IFA160" s="3060"/>
      <c r="IFB160" s="3060"/>
      <c r="IFC160" s="3060"/>
      <c r="IFD160" s="3060"/>
      <c r="IFE160" s="3060"/>
      <c r="IFF160" s="3060"/>
      <c r="IFG160" s="3060"/>
      <c r="IFH160" s="3060"/>
      <c r="IFI160" s="3060"/>
      <c r="IFJ160" s="3060"/>
      <c r="IFK160" s="3060"/>
      <c r="IFL160" s="3060"/>
      <c r="IFM160" s="3060"/>
      <c r="IFN160" s="3060"/>
      <c r="IFO160" s="3060"/>
      <c r="IFP160" s="3060"/>
      <c r="IFQ160" s="3060"/>
      <c r="IFR160" s="3060"/>
      <c r="IFS160" s="3060"/>
      <c r="IFT160" s="3060"/>
      <c r="IFU160" s="3060"/>
      <c r="IFV160" s="3060"/>
      <c r="IFW160" s="3060"/>
      <c r="IFX160" s="3060"/>
      <c r="IFY160" s="3060"/>
      <c r="IFZ160" s="3060"/>
      <c r="IGA160" s="3060"/>
      <c r="IGB160" s="3060"/>
      <c r="IGC160" s="3060"/>
      <c r="IGD160" s="3060"/>
      <c r="IGE160" s="3060"/>
      <c r="IGF160" s="3060"/>
      <c r="IGG160" s="3060"/>
      <c r="IGH160" s="3060"/>
      <c r="IGI160" s="3060"/>
      <c r="IGJ160" s="3060"/>
      <c r="IGK160" s="3060"/>
      <c r="IGL160" s="3060"/>
      <c r="IGM160" s="3060"/>
      <c r="IGN160" s="3060"/>
      <c r="IGO160" s="3060"/>
      <c r="IGP160" s="3060"/>
      <c r="IGQ160" s="3060"/>
      <c r="IGR160" s="3060"/>
      <c r="IGS160" s="3060"/>
      <c r="IGT160" s="3060"/>
      <c r="IGU160" s="3060"/>
      <c r="IGV160" s="3060"/>
      <c r="IGW160" s="3060"/>
      <c r="IGX160" s="3060"/>
      <c r="IGY160" s="3060"/>
      <c r="IGZ160" s="3060"/>
      <c r="IHA160" s="3060"/>
      <c r="IHB160" s="3060"/>
      <c r="IHC160" s="3060"/>
      <c r="IHD160" s="3060"/>
      <c r="IHE160" s="3060"/>
      <c r="IHF160" s="3060"/>
      <c r="IHG160" s="3060"/>
      <c r="IHH160" s="3060"/>
      <c r="IHI160" s="3060"/>
      <c r="IHJ160" s="3060"/>
      <c r="IHK160" s="3060"/>
      <c r="IHL160" s="3060"/>
      <c r="IHM160" s="3060"/>
      <c r="IHN160" s="3060"/>
      <c r="IHO160" s="3060"/>
      <c r="IHP160" s="3060"/>
      <c r="IHQ160" s="3060"/>
      <c r="IHR160" s="3060"/>
      <c r="IHS160" s="3060"/>
      <c r="IHT160" s="3060"/>
      <c r="IHU160" s="3060"/>
      <c r="IHV160" s="3060"/>
      <c r="IHW160" s="3060"/>
      <c r="IHX160" s="3060"/>
      <c r="IHY160" s="3060"/>
      <c r="IHZ160" s="3060"/>
      <c r="IIA160" s="3060"/>
      <c r="IIB160" s="3060"/>
      <c r="IIC160" s="3060"/>
      <c r="IID160" s="3060"/>
      <c r="IIE160" s="3060"/>
      <c r="IIF160" s="3060"/>
      <c r="IIG160" s="3060"/>
      <c r="IIH160" s="3060"/>
      <c r="III160" s="3060"/>
      <c r="IIJ160" s="3060"/>
      <c r="IIK160" s="3060"/>
      <c r="IIL160" s="3060"/>
      <c r="IIM160" s="3060"/>
      <c r="IIN160" s="3060"/>
      <c r="IIO160" s="3060"/>
      <c r="IIP160" s="3060"/>
      <c r="IIQ160" s="3060"/>
      <c r="IIR160" s="3060"/>
      <c r="IIS160" s="3060"/>
      <c r="IIT160" s="3060"/>
      <c r="IIU160" s="3060"/>
      <c r="IIV160" s="3060"/>
      <c r="IIW160" s="3060"/>
      <c r="IIX160" s="3060"/>
      <c r="IIY160" s="3060"/>
      <c r="IIZ160" s="3060"/>
      <c r="IJA160" s="3060"/>
      <c r="IJB160" s="3060"/>
      <c r="IJC160" s="3060"/>
      <c r="IJD160" s="3060"/>
      <c r="IJE160" s="3060"/>
      <c r="IJF160" s="3060"/>
      <c r="IJG160" s="3060"/>
      <c r="IJH160" s="3060"/>
      <c r="IJI160" s="3060"/>
      <c r="IJJ160" s="3060"/>
      <c r="IJK160" s="3060"/>
      <c r="IJL160" s="3060"/>
      <c r="IJM160" s="3060"/>
      <c r="IJN160" s="3060"/>
      <c r="IJO160" s="3060"/>
      <c r="IJP160" s="3060"/>
      <c r="IJQ160" s="3060"/>
      <c r="IJR160" s="3060"/>
      <c r="IJS160" s="3060"/>
      <c r="IJT160" s="3060"/>
      <c r="IJU160" s="3060"/>
      <c r="IJV160" s="3060"/>
      <c r="IJW160" s="3060"/>
      <c r="IJX160" s="3060"/>
      <c r="IJY160" s="3060"/>
      <c r="IJZ160" s="3060"/>
      <c r="IKA160" s="3060"/>
      <c r="IKB160" s="3060"/>
      <c r="IKC160" s="3060"/>
      <c r="IKD160" s="3060"/>
      <c r="IKE160" s="3060"/>
      <c r="IKF160" s="3060"/>
      <c r="IKG160" s="3060"/>
      <c r="IKH160" s="3060"/>
      <c r="IKI160" s="3060"/>
      <c r="IKJ160" s="3060"/>
      <c r="IKK160" s="3060"/>
      <c r="IKL160" s="3060"/>
      <c r="IKM160" s="3060"/>
      <c r="IKN160" s="3060"/>
      <c r="IKO160" s="3060"/>
      <c r="IKP160" s="3060"/>
      <c r="IKQ160" s="3060"/>
      <c r="IKR160" s="3060"/>
      <c r="IKS160" s="3060"/>
      <c r="IKT160" s="3060"/>
      <c r="IKU160" s="3060"/>
      <c r="IKV160" s="3060"/>
      <c r="IKW160" s="3060"/>
      <c r="IKX160" s="3060"/>
      <c r="IKY160" s="3060"/>
      <c r="IKZ160" s="3060"/>
      <c r="ILA160" s="3060"/>
      <c r="ILB160" s="3060"/>
      <c r="ILC160" s="3060"/>
      <c r="ILD160" s="3060"/>
      <c r="ILE160" s="3060"/>
      <c r="ILF160" s="3060"/>
      <c r="ILG160" s="3060"/>
      <c r="ILH160" s="3060"/>
      <c r="ILI160" s="3060"/>
      <c r="ILJ160" s="3060"/>
      <c r="ILK160" s="3060"/>
      <c r="ILL160" s="3060"/>
      <c r="ILM160" s="3060"/>
      <c r="ILN160" s="3060"/>
      <c r="ILO160" s="3060"/>
      <c r="ILP160" s="3060"/>
      <c r="ILQ160" s="3060"/>
      <c r="ILR160" s="3060"/>
      <c r="ILS160" s="3060"/>
      <c r="ILT160" s="3060"/>
      <c r="ILU160" s="3060"/>
      <c r="ILV160" s="3060"/>
      <c r="ILW160" s="3060"/>
      <c r="ILX160" s="3060"/>
      <c r="ILY160" s="3060"/>
      <c r="ILZ160" s="3060"/>
      <c r="IMA160" s="3060"/>
      <c r="IMB160" s="3060"/>
      <c r="IMC160" s="3060"/>
      <c r="IMD160" s="3060"/>
      <c r="IME160" s="3060"/>
      <c r="IMF160" s="3060"/>
      <c r="IMG160" s="3060"/>
      <c r="IMH160" s="3060"/>
      <c r="IMI160" s="3060"/>
      <c r="IMJ160" s="3060"/>
      <c r="IMK160" s="3060"/>
      <c r="IML160" s="3060"/>
      <c r="IMM160" s="3060"/>
      <c r="IMN160" s="3060"/>
      <c r="IMO160" s="3060"/>
      <c r="IMP160" s="3060"/>
      <c r="IMQ160" s="3060"/>
      <c r="IMR160" s="3060"/>
      <c r="IMS160" s="3060"/>
      <c r="IMT160" s="3060"/>
      <c r="IMU160" s="3060"/>
      <c r="IMV160" s="3060"/>
      <c r="IMW160" s="3060"/>
      <c r="IMX160" s="3060"/>
      <c r="IMY160" s="3060"/>
      <c r="IMZ160" s="3060"/>
      <c r="INA160" s="3060"/>
      <c r="INB160" s="3060"/>
      <c r="INC160" s="3060"/>
      <c r="IND160" s="3060"/>
      <c r="INE160" s="3060"/>
      <c r="INF160" s="3060"/>
      <c r="ING160" s="3060"/>
      <c r="INH160" s="3060"/>
      <c r="INI160" s="3060"/>
      <c r="INJ160" s="3060"/>
      <c r="INK160" s="3060"/>
      <c r="INL160" s="3060"/>
      <c r="INM160" s="3060"/>
      <c r="INN160" s="3060"/>
      <c r="INO160" s="3060"/>
      <c r="INP160" s="3060"/>
      <c r="INQ160" s="3060"/>
      <c r="INR160" s="3060"/>
      <c r="INS160" s="3060"/>
      <c r="INT160" s="3060"/>
      <c r="INU160" s="3060"/>
      <c r="INV160" s="3060"/>
      <c r="INW160" s="3060"/>
      <c r="INX160" s="3060"/>
      <c r="INY160" s="3060"/>
      <c r="INZ160" s="3060"/>
      <c r="IOA160" s="3060"/>
      <c r="IOB160" s="3060"/>
      <c r="IOC160" s="3060"/>
      <c r="IOD160" s="3060"/>
      <c r="IOE160" s="3060"/>
      <c r="IOF160" s="3060"/>
      <c r="IOG160" s="3060"/>
      <c r="IOH160" s="3060"/>
      <c r="IOI160" s="3060"/>
      <c r="IOJ160" s="3060"/>
      <c r="IOK160" s="3060"/>
      <c r="IOL160" s="3060"/>
      <c r="IOM160" s="3060"/>
      <c r="ION160" s="3060"/>
      <c r="IOO160" s="3060"/>
      <c r="IOP160" s="3060"/>
      <c r="IOQ160" s="3060"/>
      <c r="IOR160" s="3060"/>
      <c r="IOS160" s="3060"/>
      <c r="IOT160" s="3060"/>
      <c r="IOU160" s="3060"/>
      <c r="IOV160" s="3060"/>
      <c r="IOW160" s="3060"/>
      <c r="IOX160" s="3060"/>
      <c r="IOY160" s="3060"/>
      <c r="IOZ160" s="3060"/>
      <c r="IPA160" s="3060"/>
      <c r="IPB160" s="3060"/>
      <c r="IPC160" s="3060"/>
      <c r="IPD160" s="3060"/>
      <c r="IPE160" s="3060"/>
      <c r="IPF160" s="3060"/>
      <c r="IPG160" s="3060"/>
      <c r="IPH160" s="3060"/>
      <c r="IPI160" s="3060"/>
      <c r="IPJ160" s="3060"/>
      <c r="IPK160" s="3060"/>
      <c r="IPL160" s="3060"/>
      <c r="IPM160" s="3060"/>
      <c r="IPN160" s="3060"/>
      <c r="IPO160" s="3060"/>
      <c r="IPP160" s="3060"/>
      <c r="IPQ160" s="3060"/>
      <c r="IPR160" s="3060"/>
      <c r="IPS160" s="3060"/>
      <c r="IPT160" s="3060"/>
      <c r="IPU160" s="3060"/>
      <c r="IPV160" s="3060"/>
      <c r="IPW160" s="3060"/>
      <c r="IPX160" s="3060"/>
      <c r="IPY160" s="3060"/>
      <c r="IPZ160" s="3060"/>
      <c r="IQA160" s="3060"/>
      <c r="IQB160" s="3060"/>
      <c r="IQC160" s="3060"/>
      <c r="IQD160" s="3060"/>
      <c r="IQE160" s="3060"/>
      <c r="IQF160" s="3060"/>
      <c r="IQG160" s="3060"/>
      <c r="IQH160" s="3060"/>
      <c r="IQI160" s="3060"/>
      <c r="IQJ160" s="3060"/>
      <c r="IQK160" s="3060"/>
      <c r="IQL160" s="3060"/>
      <c r="IQM160" s="3060"/>
      <c r="IQN160" s="3060"/>
      <c r="IQO160" s="3060"/>
      <c r="IQP160" s="3060"/>
      <c r="IQQ160" s="3060"/>
      <c r="IQR160" s="3060"/>
      <c r="IQS160" s="3060"/>
      <c r="IQT160" s="3060"/>
      <c r="IQU160" s="3060"/>
      <c r="IQV160" s="3060"/>
      <c r="IQW160" s="3060"/>
      <c r="IQX160" s="3060"/>
      <c r="IQY160" s="3060"/>
      <c r="IQZ160" s="3060"/>
      <c r="IRA160" s="3060"/>
      <c r="IRB160" s="3060"/>
      <c r="IRC160" s="3060"/>
      <c r="IRD160" s="3060"/>
      <c r="IRE160" s="3060"/>
      <c r="IRF160" s="3060"/>
      <c r="IRG160" s="3060"/>
      <c r="IRH160" s="3060"/>
      <c r="IRI160" s="3060"/>
      <c r="IRJ160" s="3060"/>
      <c r="IRK160" s="3060"/>
      <c r="IRL160" s="3060"/>
      <c r="IRM160" s="3060"/>
      <c r="IRN160" s="3060"/>
      <c r="IRO160" s="3060"/>
      <c r="IRP160" s="3060"/>
      <c r="IRQ160" s="3060"/>
      <c r="IRR160" s="3060"/>
      <c r="IRS160" s="3060"/>
      <c r="IRT160" s="3060"/>
      <c r="IRU160" s="3060"/>
      <c r="IRV160" s="3060"/>
      <c r="IRW160" s="3060"/>
      <c r="IRX160" s="3060"/>
      <c r="IRY160" s="3060"/>
      <c r="IRZ160" s="3060"/>
      <c r="ISA160" s="3060"/>
      <c r="ISB160" s="3060"/>
      <c r="ISC160" s="3060"/>
      <c r="ISD160" s="3060"/>
      <c r="ISE160" s="3060"/>
      <c r="ISF160" s="3060"/>
      <c r="ISG160" s="3060"/>
      <c r="ISH160" s="3060"/>
      <c r="ISI160" s="3060"/>
      <c r="ISJ160" s="3060"/>
      <c r="ISK160" s="3060"/>
      <c r="ISL160" s="3060"/>
      <c r="ISM160" s="3060"/>
      <c r="ISN160" s="3060"/>
      <c r="ISO160" s="3060"/>
      <c r="ISP160" s="3060"/>
      <c r="ISQ160" s="3060"/>
      <c r="ISR160" s="3060"/>
      <c r="ISS160" s="3060"/>
      <c r="IST160" s="3060"/>
      <c r="ISU160" s="3060"/>
      <c r="ISV160" s="3060"/>
      <c r="ISW160" s="3060"/>
      <c r="ISX160" s="3060"/>
      <c r="ISY160" s="3060"/>
      <c r="ISZ160" s="3060"/>
      <c r="ITA160" s="3060"/>
      <c r="ITB160" s="3060"/>
      <c r="ITC160" s="3060"/>
      <c r="ITD160" s="3060"/>
      <c r="ITE160" s="3060"/>
      <c r="ITF160" s="3060"/>
      <c r="ITG160" s="3060"/>
      <c r="ITH160" s="3060"/>
      <c r="ITI160" s="3060"/>
      <c r="ITJ160" s="3060"/>
      <c r="ITK160" s="3060"/>
      <c r="ITL160" s="3060"/>
      <c r="ITM160" s="3060"/>
      <c r="ITN160" s="3060"/>
      <c r="ITO160" s="3060"/>
      <c r="ITP160" s="3060"/>
      <c r="ITQ160" s="3060"/>
      <c r="ITR160" s="3060"/>
      <c r="ITS160" s="3060"/>
      <c r="ITT160" s="3060"/>
      <c r="ITU160" s="3060"/>
      <c r="ITV160" s="3060"/>
      <c r="ITW160" s="3060"/>
      <c r="ITX160" s="3060"/>
      <c r="ITY160" s="3060"/>
      <c r="ITZ160" s="3060"/>
      <c r="IUA160" s="3060"/>
      <c r="IUB160" s="3060"/>
      <c r="IUC160" s="3060"/>
      <c r="IUD160" s="3060"/>
      <c r="IUE160" s="3060"/>
      <c r="IUF160" s="3060"/>
      <c r="IUG160" s="3060"/>
      <c r="IUH160" s="3060"/>
      <c r="IUI160" s="3060"/>
      <c r="IUJ160" s="3060"/>
      <c r="IUK160" s="3060"/>
      <c r="IUL160" s="3060"/>
      <c r="IUM160" s="3060"/>
      <c r="IUN160" s="3060"/>
      <c r="IUO160" s="3060"/>
      <c r="IUP160" s="3060"/>
      <c r="IUQ160" s="3060"/>
      <c r="IUR160" s="3060"/>
      <c r="IUS160" s="3060"/>
      <c r="IUT160" s="3060"/>
      <c r="IUU160" s="3060"/>
      <c r="IUV160" s="3060"/>
      <c r="IUW160" s="3060"/>
      <c r="IUX160" s="3060"/>
      <c r="IUY160" s="3060"/>
      <c r="IUZ160" s="3060"/>
      <c r="IVA160" s="3060"/>
      <c r="IVB160" s="3060"/>
      <c r="IVC160" s="3060"/>
      <c r="IVD160" s="3060"/>
      <c r="IVE160" s="3060"/>
      <c r="IVF160" s="3060"/>
      <c r="IVG160" s="3060"/>
      <c r="IVH160" s="3060"/>
      <c r="IVI160" s="3060"/>
      <c r="IVJ160" s="3060"/>
      <c r="IVK160" s="3060"/>
      <c r="IVL160" s="3060"/>
      <c r="IVM160" s="3060"/>
      <c r="IVN160" s="3060"/>
      <c r="IVO160" s="3060"/>
      <c r="IVP160" s="3060"/>
      <c r="IVQ160" s="3060"/>
      <c r="IVR160" s="3060"/>
      <c r="IVS160" s="3060"/>
      <c r="IVT160" s="3060"/>
      <c r="IVU160" s="3060"/>
      <c r="IVV160" s="3060"/>
      <c r="IVW160" s="3060"/>
      <c r="IVX160" s="3060"/>
      <c r="IVY160" s="3060"/>
      <c r="IVZ160" s="3060"/>
      <c r="IWA160" s="3060"/>
      <c r="IWB160" s="3060"/>
      <c r="IWC160" s="3060"/>
      <c r="IWD160" s="3060"/>
      <c r="IWE160" s="3060"/>
      <c r="IWF160" s="3060"/>
      <c r="IWG160" s="3060"/>
      <c r="IWH160" s="3060"/>
      <c r="IWI160" s="3060"/>
      <c r="IWJ160" s="3060"/>
      <c r="IWK160" s="3060"/>
      <c r="IWL160" s="3060"/>
      <c r="IWM160" s="3060"/>
      <c r="IWN160" s="3060"/>
      <c r="IWO160" s="3060"/>
      <c r="IWP160" s="3060"/>
      <c r="IWQ160" s="3060"/>
      <c r="IWR160" s="3060"/>
      <c r="IWS160" s="3060"/>
      <c r="IWT160" s="3060"/>
      <c r="IWU160" s="3060"/>
      <c r="IWV160" s="3060"/>
      <c r="IWW160" s="3060"/>
      <c r="IWX160" s="3060"/>
      <c r="IWY160" s="3060"/>
      <c r="IWZ160" s="3060"/>
      <c r="IXA160" s="3060"/>
      <c r="IXB160" s="3060"/>
      <c r="IXC160" s="3060"/>
      <c r="IXD160" s="3060"/>
      <c r="IXE160" s="3060"/>
      <c r="IXF160" s="3060"/>
      <c r="IXG160" s="3060"/>
      <c r="IXH160" s="3060"/>
      <c r="IXI160" s="3060"/>
      <c r="IXJ160" s="3060"/>
      <c r="IXK160" s="3060"/>
      <c r="IXL160" s="3060"/>
      <c r="IXM160" s="3060"/>
      <c r="IXN160" s="3060"/>
      <c r="IXO160" s="3060"/>
      <c r="IXP160" s="3060"/>
      <c r="IXQ160" s="3060"/>
      <c r="IXR160" s="3060"/>
      <c r="IXS160" s="3060"/>
      <c r="IXT160" s="3060"/>
      <c r="IXU160" s="3060"/>
      <c r="IXV160" s="3060"/>
      <c r="IXW160" s="3060"/>
      <c r="IXX160" s="3060"/>
      <c r="IXY160" s="3060"/>
      <c r="IXZ160" s="3060"/>
      <c r="IYA160" s="3060"/>
      <c r="IYB160" s="3060"/>
      <c r="IYC160" s="3060"/>
      <c r="IYD160" s="3060"/>
      <c r="IYE160" s="3060"/>
      <c r="IYF160" s="3060"/>
      <c r="IYG160" s="3060"/>
      <c r="IYH160" s="3060"/>
      <c r="IYI160" s="3060"/>
      <c r="IYJ160" s="3060"/>
      <c r="IYK160" s="3060"/>
      <c r="IYL160" s="3060"/>
      <c r="IYM160" s="3060"/>
      <c r="IYN160" s="3060"/>
      <c r="IYO160" s="3060"/>
      <c r="IYP160" s="3060"/>
      <c r="IYQ160" s="3060"/>
      <c r="IYR160" s="3060"/>
      <c r="IYS160" s="3060"/>
      <c r="IYT160" s="3060"/>
      <c r="IYU160" s="3060"/>
      <c r="IYV160" s="3060"/>
      <c r="IYW160" s="3060"/>
      <c r="IYX160" s="3060"/>
      <c r="IYY160" s="3060"/>
      <c r="IYZ160" s="3060"/>
      <c r="IZA160" s="3060"/>
      <c r="IZB160" s="3060"/>
      <c r="IZC160" s="3060"/>
      <c r="IZD160" s="3060"/>
      <c r="IZE160" s="3060"/>
      <c r="IZF160" s="3060"/>
      <c r="IZG160" s="3060"/>
      <c r="IZH160" s="3060"/>
      <c r="IZI160" s="3060"/>
      <c r="IZJ160" s="3060"/>
      <c r="IZK160" s="3060"/>
      <c r="IZL160" s="3060"/>
      <c r="IZM160" s="3060"/>
      <c r="IZN160" s="3060"/>
      <c r="IZO160" s="3060"/>
      <c r="IZP160" s="3060"/>
      <c r="IZQ160" s="3060"/>
      <c r="IZR160" s="3060"/>
      <c r="IZS160" s="3060"/>
      <c r="IZT160" s="3060"/>
      <c r="IZU160" s="3060"/>
      <c r="IZV160" s="3060"/>
      <c r="IZW160" s="3060"/>
      <c r="IZX160" s="3060"/>
      <c r="IZY160" s="3060"/>
      <c r="IZZ160" s="3060"/>
      <c r="JAA160" s="3060"/>
      <c r="JAB160" s="3060"/>
      <c r="JAC160" s="3060"/>
      <c r="JAD160" s="3060"/>
      <c r="JAE160" s="3060"/>
      <c r="JAF160" s="3060"/>
      <c r="JAG160" s="3060"/>
      <c r="JAH160" s="3060"/>
      <c r="JAI160" s="3060"/>
      <c r="JAJ160" s="3060"/>
      <c r="JAK160" s="3060"/>
      <c r="JAL160" s="3060"/>
      <c r="JAM160" s="3060"/>
      <c r="JAN160" s="3060"/>
      <c r="JAO160" s="3060"/>
      <c r="JAP160" s="3060"/>
      <c r="JAQ160" s="3060"/>
      <c r="JAR160" s="3060"/>
      <c r="JAS160" s="3060"/>
      <c r="JAT160" s="3060"/>
      <c r="JAU160" s="3060"/>
      <c r="JAV160" s="3060"/>
      <c r="JAW160" s="3060"/>
      <c r="JAX160" s="3060"/>
      <c r="JAY160" s="3060"/>
      <c r="JAZ160" s="3060"/>
      <c r="JBA160" s="3060"/>
      <c r="JBB160" s="3060"/>
      <c r="JBC160" s="3060"/>
      <c r="JBD160" s="3060"/>
      <c r="JBE160" s="3060"/>
      <c r="JBF160" s="3060"/>
      <c r="JBG160" s="3060"/>
      <c r="JBH160" s="3060"/>
      <c r="JBI160" s="3060"/>
      <c r="JBJ160" s="3060"/>
      <c r="JBK160" s="3060"/>
      <c r="JBL160" s="3060"/>
      <c r="JBM160" s="3060"/>
      <c r="JBN160" s="3060"/>
      <c r="JBO160" s="3060"/>
      <c r="JBP160" s="3060"/>
      <c r="JBQ160" s="3060"/>
      <c r="JBR160" s="3060"/>
      <c r="JBS160" s="3060"/>
      <c r="JBT160" s="3060"/>
      <c r="JBU160" s="3060"/>
      <c r="JBV160" s="3060"/>
      <c r="JBW160" s="3060"/>
      <c r="JBX160" s="3060"/>
      <c r="JBY160" s="3060"/>
      <c r="JBZ160" s="3060"/>
      <c r="JCA160" s="3060"/>
      <c r="JCB160" s="3060"/>
      <c r="JCC160" s="3060"/>
      <c r="JCD160" s="3060"/>
      <c r="JCE160" s="3060"/>
      <c r="JCF160" s="3060"/>
      <c r="JCG160" s="3060"/>
      <c r="JCH160" s="3060"/>
      <c r="JCI160" s="3060"/>
      <c r="JCJ160" s="3060"/>
      <c r="JCK160" s="3060"/>
      <c r="JCL160" s="3060"/>
      <c r="JCM160" s="3060"/>
      <c r="JCN160" s="3060"/>
      <c r="JCO160" s="3060"/>
      <c r="JCP160" s="3060"/>
      <c r="JCQ160" s="3060"/>
      <c r="JCR160" s="3060"/>
      <c r="JCS160" s="3060"/>
      <c r="JCT160" s="3060"/>
      <c r="JCU160" s="3060"/>
      <c r="JCV160" s="3060"/>
      <c r="JCW160" s="3060"/>
      <c r="JCX160" s="3060"/>
      <c r="JCY160" s="3060"/>
      <c r="JCZ160" s="3060"/>
      <c r="JDA160" s="3060"/>
      <c r="JDB160" s="3060"/>
      <c r="JDC160" s="3060"/>
      <c r="JDD160" s="3060"/>
      <c r="JDE160" s="3060"/>
      <c r="JDF160" s="3060"/>
      <c r="JDG160" s="3060"/>
      <c r="JDH160" s="3060"/>
      <c r="JDI160" s="3060"/>
      <c r="JDJ160" s="3060"/>
      <c r="JDK160" s="3060"/>
      <c r="JDL160" s="3060"/>
      <c r="JDM160" s="3060"/>
      <c r="JDN160" s="3060"/>
      <c r="JDO160" s="3060"/>
      <c r="JDP160" s="3060"/>
      <c r="JDQ160" s="3060"/>
      <c r="JDR160" s="3060"/>
      <c r="JDS160" s="3060"/>
      <c r="JDT160" s="3060"/>
      <c r="JDU160" s="3060"/>
      <c r="JDV160" s="3060"/>
      <c r="JDW160" s="3060"/>
      <c r="JDX160" s="3060"/>
      <c r="JDY160" s="3060"/>
      <c r="JDZ160" s="3060"/>
      <c r="JEA160" s="3060"/>
      <c r="JEB160" s="3060"/>
      <c r="JEC160" s="3060"/>
      <c r="JED160" s="3060"/>
      <c r="JEE160" s="3060"/>
      <c r="JEF160" s="3060"/>
      <c r="JEG160" s="3060"/>
      <c r="JEH160" s="3060"/>
      <c r="JEI160" s="3060"/>
      <c r="JEJ160" s="3060"/>
      <c r="JEK160" s="3060"/>
      <c r="JEL160" s="3060"/>
      <c r="JEM160" s="3060"/>
      <c r="JEN160" s="3060"/>
      <c r="JEO160" s="3060"/>
      <c r="JEP160" s="3060"/>
      <c r="JEQ160" s="3060"/>
      <c r="JER160" s="3060"/>
      <c r="JES160" s="3060"/>
      <c r="JET160" s="3060"/>
      <c r="JEU160" s="3060"/>
      <c r="JEV160" s="3060"/>
      <c r="JEW160" s="3060"/>
      <c r="JEX160" s="3060"/>
      <c r="JEY160" s="3060"/>
      <c r="JEZ160" s="3060"/>
      <c r="JFA160" s="3060"/>
      <c r="JFB160" s="3060"/>
      <c r="JFC160" s="3060"/>
      <c r="JFD160" s="3060"/>
      <c r="JFE160" s="3060"/>
      <c r="JFF160" s="3060"/>
      <c r="JFG160" s="3060"/>
      <c r="JFH160" s="3060"/>
      <c r="JFI160" s="3060"/>
      <c r="JFJ160" s="3060"/>
      <c r="JFK160" s="3060"/>
      <c r="JFL160" s="3060"/>
      <c r="JFM160" s="3060"/>
      <c r="JFN160" s="3060"/>
      <c r="JFO160" s="3060"/>
      <c r="JFP160" s="3060"/>
      <c r="JFQ160" s="3060"/>
      <c r="JFR160" s="3060"/>
      <c r="JFS160" s="3060"/>
      <c r="JFT160" s="3060"/>
      <c r="JFU160" s="3060"/>
      <c r="JFV160" s="3060"/>
      <c r="JFW160" s="3060"/>
      <c r="JFX160" s="3060"/>
      <c r="JFY160" s="3060"/>
      <c r="JFZ160" s="3060"/>
      <c r="JGA160" s="3060"/>
      <c r="JGB160" s="3060"/>
      <c r="JGC160" s="3060"/>
      <c r="JGD160" s="3060"/>
      <c r="JGE160" s="3060"/>
      <c r="JGF160" s="3060"/>
      <c r="JGG160" s="3060"/>
      <c r="JGH160" s="3060"/>
      <c r="JGI160" s="3060"/>
      <c r="JGJ160" s="3060"/>
      <c r="JGK160" s="3060"/>
      <c r="JGL160" s="3060"/>
      <c r="JGM160" s="3060"/>
      <c r="JGN160" s="3060"/>
      <c r="JGO160" s="3060"/>
      <c r="JGP160" s="3060"/>
      <c r="JGQ160" s="3060"/>
      <c r="JGR160" s="3060"/>
      <c r="JGS160" s="3060"/>
      <c r="JGT160" s="3060"/>
      <c r="JGU160" s="3060"/>
      <c r="JGV160" s="3060"/>
      <c r="JGW160" s="3060"/>
      <c r="JGX160" s="3060"/>
      <c r="JGY160" s="3060"/>
      <c r="JGZ160" s="3060"/>
      <c r="JHA160" s="3060"/>
      <c r="JHB160" s="3060"/>
      <c r="JHC160" s="3060"/>
      <c r="JHD160" s="3060"/>
      <c r="JHE160" s="3060"/>
      <c r="JHF160" s="3060"/>
      <c r="JHG160" s="3060"/>
      <c r="JHH160" s="3060"/>
      <c r="JHI160" s="3060"/>
      <c r="JHJ160" s="3060"/>
      <c r="JHK160" s="3060"/>
      <c r="JHL160" s="3060"/>
      <c r="JHM160" s="3060"/>
      <c r="JHN160" s="3060"/>
      <c r="JHO160" s="3060"/>
      <c r="JHP160" s="3060"/>
      <c r="JHQ160" s="3060"/>
      <c r="JHR160" s="3060"/>
      <c r="JHS160" s="3060"/>
      <c r="JHT160" s="3060"/>
      <c r="JHU160" s="3060"/>
      <c r="JHV160" s="3060"/>
      <c r="JHW160" s="3060"/>
      <c r="JHX160" s="3060"/>
      <c r="JHY160" s="3060"/>
      <c r="JHZ160" s="3060"/>
      <c r="JIA160" s="3060"/>
      <c r="JIB160" s="3060"/>
      <c r="JIC160" s="3060"/>
      <c r="JID160" s="3060"/>
      <c r="JIE160" s="3060"/>
      <c r="JIF160" s="3060"/>
      <c r="JIG160" s="3060"/>
      <c r="JIH160" s="3060"/>
      <c r="JII160" s="3060"/>
      <c r="JIJ160" s="3060"/>
      <c r="JIK160" s="3060"/>
      <c r="JIL160" s="3060"/>
      <c r="JIM160" s="3060"/>
      <c r="JIN160" s="3060"/>
      <c r="JIO160" s="3060"/>
      <c r="JIP160" s="3060"/>
      <c r="JIQ160" s="3060"/>
      <c r="JIR160" s="3060"/>
      <c r="JIS160" s="3060"/>
      <c r="JIT160" s="3060"/>
      <c r="JIU160" s="3060"/>
      <c r="JIV160" s="3060"/>
      <c r="JIW160" s="3060"/>
      <c r="JIX160" s="3060"/>
      <c r="JIY160" s="3060"/>
      <c r="JIZ160" s="3060"/>
      <c r="JJA160" s="3060"/>
      <c r="JJB160" s="3060"/>
      <c r="JJC160" s="3060"/>
      <c r="JJD160" s="3060"/>
      <c r="JJE160" s="3060"/>
      <c r="JJF160" s="3060"/>
      <c r="JJG160" s="3060"/>
      <c r="JJH160" s="3060"/>
      <c r="JJI160" s="3060"/>
      <c r="JJJ160" s="3060"/>
      <c r="JJK160" s="3060"/>
      <c r="JJL160" s="3060"/>
      <c r="JJM160" s="3060"/>
      <c r="JJN160" s="3060"/>
      <c r="JJO160" s="3060"/>
      <c r="JJP160" s="3060"/>
      <c r="JJQ160" s="3060"/>
      <c r="JJR160" s="3060"/>
      <c r="JJS160" s="3060"/>
      <c r="JJT160" s="3060"/>
      <c r="JJU160" s="3060"/>
      <c r="JJV160" s="3060"/>
      <c r="JJW160" s="3060"/>
      <c r="JJX160" s="3060"/>
      <c r="JJY160" s="3060"/>
      <c r="JJZ160" s="3060"/>
      <c r="JKA160" s="3060"/>
      <c r="JKB160" s="3060"/>
      <c r="JKC160" s="3060"/>
      <c r="JKD160" s="3060"/>
      <c r="JKE160" s="3060"/>
      <c r="JKF160" s="3060"/>
      <c r="JKG160" s="3060"/>
      <c r="JKH160" s="3060"/>
      <c r="JKI160" s="3060"/>
      <c r="JKJ160" s="3060"/>
      <c r="JKK160" s="3060"/>
      <c r="JKL160" s="3060"/>
      <c r="JKM160" s="3060"/>
      <c r="JKN160" s="3060"/>
      <c r="JKO160" s="3060"/>
      <c r="JKP160" s="3060"/>
      <c r="JKQ160" s="3060"/>
      <c r="JKR160" s="3060"/>
      <c r="JKS160" s="3060"/>
      <c r="JKT160" s="3060"/>
      <c r="JKU160" s="3060"/>
      <c r="JKV160" s="3060"/>
      <c r="JKW160" s="3060"/>
      <c r="JKX160" s="3060"/>
      <c r="JKY160" s="3060"/>
      <c r="JKZ160" s="3060"/>
      <c r="JLA160" s="3060"/>
      <c r="JLB160" s="3060"/>
      <c r="JLC160" s="3060"/>
      <c r="JLD160" s="3060"/>
      <c r="JLE160" s="3060"/>
      <c r="JLF160" s="3060"/>
      <c r="JLG160" s="3060"/>
      <c r="JLH160" s="3060"/>
      <c r="JLI160" s="3060"/>
      <c r="JLJ160" s="3060"/>
      <c r="JLK160" s="3060"/>
      <c r="JLL160" s="3060"/>
      <c r="JLM160" s="3060"/>
      <c r="JLN160" s="3060"/>
      <c r="JLO160" s="3060"/>
      <c r="JLP160" s="3060"/>
      <c r="JLQ160" s="3060"/>
      <c r="JLR160" s="3060"/>
      <c r="JLS160" s="3060"/>
      <c r="JLT160" s="3060"/>
      <c r="JLU160" s="3060"/>
      <c r="JLV160" s="3060"/>
      <c r="JLW160" s="3060"/>
      <c r="JLX160" s="3060"/>
      <c r="JLY160" s="3060"/>
      <c r="JLZ160" s="3060"/>
      <c r="JMA160" s="3060"/>
      <c r="JMB160" s="3060"/>
      <c r="JMC160" s="3060"/>
      <c r="JMD160" s="3060"/>
      <c r="JME160" s="3060"/>
      <c r="JMF160" s="3060"/>
      <c r="JMG160" s="3060"/>
      <c r="JMH160" s="3060"/>
      <c r="JMI160" s="3060"/>
      <c r="JMJ160" s="3060"/>
      <c r="JMK160" s="3060"/>
      <c r="JML160" s="3060"/>
      <c r="JMM160" s="3060"/>
      <c r="JMN160" s="3060"/>
      <c r="JMO160" s="3060"/>
      <c r="JMP160" s="3060"/>
      <c r="JMQ160" s="3060"/>
      <c r="JMR160" s="3060"/>
      <c r="JMS160" s="3060"/>
      <c r="JMT160" s="3060"/>
      <c r="JMU160" s="3060"/>
      <c r="JMV160" s="3060"/>
      <c r="JMW160" s="3060"/>
      <c r="JMX160" s="3060"/>
      <c r="JMY160" s="3060"/>
      <c r="JMZ160" s="3060"/>
      <c r="JNA160" s="3060"/>
      <c r="JNB160" s="3060"/>
      <c r="JNC160" s="3060"/>
      <c r="JND160" s="3060"/>
      <c r="JNE160" s="3060"/>
      <c r="JNF160" s="3060"/>
      <c r="JNG160" s="3060"/>
      <c r="JNH160" s="3060"/>
      <c r="JNI160" s="3060"/>
      <c r="JNJ160" s="3060"/>
      <c r="JNK160" s="3060"/>
      <c r="JNL160" s="3060"/>
      <c r="JNM160" s="3060"/>
      <c r="JNN160" s="3060"/>
      <c r="JNO160" s="3060"/>
      <c r="JNP160" s="3060"/>
      <c r="JNQ160" s="3060"/>
      <c r="JNR160" s="3060"/>
      <c r="JNS160" s="3060"/>
      <c r="JNT160" s="3060"/>
      <c r="JNU160" s="3060"/>
      <c r="JNV160" s="3060"/>
      <c r="JNW160" s="3060"/>
      <c r="JNX160" s="3060"/>
      <c r="JNY160" s="3060"/>
      <c r="JNZ160" s="3060"/>
      <c r="JOA160" s="3060"/>
      <c r="JOB160" s="3060"/>
      <c r="JOC160" s="3060"/>
      <c r="JOD160" s="3060"/>
      <c r="JOE160" s="3060"/>
      <c r="JOF160" s="3060"/>
      <c r="JOG160" s="3060"/>
      <c r="JOH160" s="3060"/>
      <c r="JOI160" s="3060"/>
      <c r="JOJ160" s="3060"/>
      <c r="JOK160" s="3060"/>
      <c r="JOL160" s="3060"/>
      <c r="JOM160" s="3060"/>
      <c r="JON160" s="3060"/>
      <c r="JOO160" s="3060"/>
      <c r="JOP160" s="3060"/>
      <c r="JOQ160" s="3060"/>
      <c r="JOR160" s="3060"/>
      <c r="JOS160" s="3060"/>
      <c r="JOT160" s="3060"/>
      <c r="JOU160" s="3060"/>
      <c r="JOV160" s="3060"/>
      <c r="JOW160" s="3060"/>
      <c r="JOX160" s="3060"/>
      <c r="JOY160" s="3060"/>
      <c r="JOZ160" s="3060"/>
      <c r="JPA160" s="3060"/>
      <c r="JPB160" s="3060"/>
      <c r="JPC160" s="3060"/>
      <c r="JPD160" s="3060"/>
      <c r="JPE160" s="3060"/>
      <c r="JPF160" s="3060"/>
      <c r="JPG160" s="3060"/>
      <c r="JPH160" s="3060"/>
      <c r="JPI160" s="3060"/>
      <c r="JPJ160" s="3060"/>
      <c r="JPK160" s="3060"/>
      <c r="JPL160" s="3060"/>
      <c r="JPM160" s="3060"/>
      <c r="JPN160" s="3060"/>
      <c r="JPO160" s="3060"/>
      <c r="JPP160" s="3060"/>
      <c r="JPQ160" s="3060"/>
      <c r="JPR160" s="3060"/>
      <c r="JPS160" s="3060"/>
      <c r="JPT160" s="3060"/>
      <c r="JPU160" s="3060"/>
      <c r="JPV160" s="3060"/>
      <c r="JPW160" s="3060"/>
      <c r="JPX160" s="3060"/>
      <c r="JPY160" s="3060"/>
      <c r="JPZ160" s="3060"/>
      <c r="JQA160" s="3060"/>
      <c r="JQB160" s="3060"/>
      <c r="JQC160" s="3060"/>
      <c r="JQD160" s="3060"/>
      <c r="JQE160" s="3060"/>
      <c r="JQF160" s="3060"/>
      <c r="JQG160" s="3060"/>
      <c r="JQH160" s="3060"/>
      <c r="JQI160" s="3060"/>
      <c r="JQJ160" s="3060"/>
      <c r="JQK160" s="3060"/>
      <c r="JQL160" s="3060"/>
      <c r="JQM160" s="3060"/>
      <c r="JQN160" s="3060"/>
      <c r="JQO160" s="3060"/>
      <c r="JQP160" s="3060"/>
      <c r="JQQ160" s="3060"/>
      <c r="JQR160" s="3060"/>
      <c r="JQS160" s="3060"/>
      <c r="JQT160" s="3060"/>
      <c r="JQU160" s="3060"/>
      <c r="JQV160" s="3060"/>
      <c r="JQW160" s="3060"/>
      <c r="JQX160" s="3060"/>
      <c r="JQY160" s="3060"/>
      <c r="JQZ160" s="3060"/>
      <c r="JRA160" s="3060"/>
      <c r="JRB160" s="3060"/>
      <c r="JRC160" s="3060"/>
      <c r="JRD160" s="3060"/>
      <c r="JRE160" s="3060"/>
      <c r="JRF160" s="3060"/>
      <c r="JRG160" s="3060"/>
      <c r="JRH160" s="3060"/>
      <c r="JRI160" s="3060"/>
      <c r="JRJ160" s="3060"/>
      <c r="JRK160" s="3060"/>
      <c r="JRL160" s="3060"/>
      <c r="JRM160" s="3060"/>
      <c r="JRN160" s="3060"/>
      <c r="JRO160" s="3060"/>
      <c r="JRP160" s="3060"/>
      <c r="JRQ160" s="3060"/>
      <c r="JRR160" s="3060"/>
      <c r="JRS160" s="3060"/>
      <c r="JRT160" s="3060"/>
      <c r="JRU160" s="3060"/>
      <c r="JRV160" s="3060"/>
      <c r="JRW160" s="3060"/>
      <c r="JRX160" s="3060"/>
      <c r="JRY160" s="3060"/>
      <c r="JRZ160" s="3060"/>
      <c r="JSA160" s="3060"/>
      <c r="JSB160" s="3060"/>
      <c r="JSC160" s="3060"/>
      <c r="JSD160" s="3060"/>
      <c r="JSE160" s="3060"/>
      <c r="JSF160" s="3060"/>
      <c r="JSG160" s="3060"/>
      <c r="JSH160" s="3060"/>
      <c r="JSI160" s="3060"/>
      <c r="JSJ160" s="3060"/>
      <c r="JSK160" s="3060"/>
      <c r="JSL160" s="3060"/>
      <c r="JSM160" s="3060"/>
      <c r="JSN160" s="3060"/>
      <c r="JSO160" s="3060"/>
      <c r="JSP160" s="3060"/>
      <c r="JSQ160" s="3060"/>
      <c r="JSR160" s="3060"/>
      <c r="JSS160" s="3060"/>
      <c r="JST160" s="3060"/>
      <c r="JSU160" s="3060"/>
      <c r="JSV160" s="3060"/>
      <c r="JSW160" s="3060"/>
      <c r="JSX160" s="3060"/>
      <c r="JSY160" s="3060"/>
      <c r="JSZ160" s="3060"/>
      <c r="JTA160" s="3060"/>
      <c r="JTB160" s="3060"/>
      <c r="JTC160" s="3060"/>
      <c r="JTD160" s="3060"/>
      <c r="JTE160" s="3060"/>
      <c r="JTF160" s="3060"/>
      <c r="JTG160" s="3060"/>
      <c r="JTH160" s="3060"/>
      <c r="JTI160" s="3060"/>
      <c r="JTJ160" s="3060"/>
      <c r="JTK160" s="3060"/>
      <c r="JTL160" s="3060"/>
      <c r="JTM160" s="3060"/>
      <c r="JTN160" s="3060"/>
      <c r="JTO160" s="3060"/>
      <c r="JTP160" s="3060"/>
      <c r="JTQ160" s="3060"/>
      <c r="JTR160" s="3060"/>
      <c r="JTS160" s="3060"/>
      <c r="JTT160" s="3060"/>
      <c r="JTU160" s="3060"/>
      <c r="JTV160" s="3060"/>
      <c r="JTW160" s="3060"/>
      <c r="JTX160" s="3060"/>
      <c r="JTY160" s="3060"/>
      <c r="JTZ160" s="3060"/>
      <c r="JUA160" s="3060"/>
      <c r="JUB160" s="3060"/>
      <c r="JUC160" s="3060"/>
      <c r="JUD160" s="3060"/>
      <c r="JUE160" s="3060"/>
      <c r="JUF160" s="3060"/>
      <c r="JUG160" s="3060"/>
      <c r="JUH160" s="3060"/>
      <c r="JUI160" s="3060"/>
      <c r="JUJ160" s="3060"/>
      <c r="JUK160" s="3060"/>
      <c r="JUL160" s="3060"/>
      <c r="JUM160" s="3060"/>
      <c r="JUN160" s="3060"/>
      <c r="JUO160" s="3060"/>
      <c r="JUP160" s="3060"/>
      <c r="JUQ160" s="3060"/>
      <c r="JUR160" s="3060"/>
      <c r="JUS160" s="3060"/>
      <c r="JUT160" s="3060"/>
      <c r="JUU160" s="3060"/>
      <c r="JUV160" s="3060"/>
      <c r="JUW160" s="3060"/>
      <c r="JUX160" s="3060"/>
      <c r="JUY160" s="3060"/>
      <c r="JUZ160" s="3060"/>
      <c r="JVA160" s="3060"/>
      <c r="JVB160" s="3060"/>
      <c r="JVC160" s="3060"/>
      <c r="JVD160" s="3060"/>
      <c r="JVE160" s="3060"/>
      <c r="JVF160" s="3060"/>
      <c r="JVG160" s="3060"/>
      <c r="JVH160" s="3060"/>
      <c r="JVI160" s="3060"/>
      <c r="JVJ160" s="3060"/>
      <c r="JVK160" s="3060"/>
      <c r="JVL160" s="3060"/>
      <c r="JVM160" s="3060"/>
      <c r="JVN160" s="3060"/>
      <c r="JVO160" s="3060"/>
      <c r="JVP160" s="3060"/>
      <c r="JVQ160" s="3060"/>
      <c r="JVR160" s="3060"/>
      <c r="JVS160" s="3060"/>
      <c r="JVT160" s="3060"/>
      <c r="JVU160" s="3060"/>
      <c r="JVV160" s="3060"/>
      <c r="JVW160" s="3060"/>
      <c r="JVX160" s="3060"/>
      <c r="JVY160" s="3060"/>
      <c r="JVZ160" s="3060"/>
      <c r="JWA160" s="3060"/>
      <c r="JWB160" s="3060"/>
      <c r="JWC160" s="3060"/>
      <c r="JWD160" s="3060"/>
      <c r="JWE160" s="3060"/>
      <c r="JWF160" s="3060"/>
      <c r="JWG160" s="3060"/>
      <c r="JWH160" s="3060"/>
      <c r="JWI160" s="3060"/>
      <c r="JWJ160" s="3060"/>
      <c r="JWK160" s="3060"/>
      <c r="JWL160" s="3060"/>
      <c r="JWM160" s="3060"/>
      <c r="JWN160" s="3060"/>
      <c r="JWO160" s="3060"/>
      <c r="JWP160" s="3060"/>
      <c r="JWQ160" s="3060"/>
      <c r="JWR160" s="3060"/>
      <c r="JWS160" s="3060"/>
      <c r="JWT160" s="3060"/>
      <c r="JWU160" s="3060"/>
      <c r="JWV160" s="3060"/>
      <c r="JWW160" s="3060"/>
      <c r="JWX160" s="3060"/>
      <c r="JWY160" s="3060"/>
      <c r="JWZ160" s="3060"/>
      <c r="JXA160" s="3060"/>
      <c r="JXB160" s="3060"/>
      <c r="JXC160" s="3060"/>
      <c r="JXD160" s="3060"/>
      <c r="JXE160" s="3060"/>
      <c r="JXF160" s="3060"/>
      <c r="JXG160" s="3060"/>
      <c r="JXH160" s="3060"/>
      <c r="JXI160" s="3060"/>
      <c r="JXJ160" s="3060"/>
      <c r="JXK160" s="3060"/>
      <c r="JXL160" s="3060"/>
      <c r="JXM160" s="3060"/>
      <c r="JXN160" s="3060"/>
      <c r="JXO160" s="3060"/>
      <c r="JXP160" s="3060"/>
      <c r="JXQ160" s="3060"/>
      <c r="JXR160" s="3060"/>
      <c r="JXS160" s="3060"/>
      <c r="JXT160" s="3060"/>
      <c r="JXU160" s="3060"/>
      <c r="JXV160" s="3060"/>
      <c r="JXW160" s="3060"/>
      <c r="JXX160" s="3060"/>
      <c r="JXY160" s="3060"/>
      <c r="JXZ160" s="3060"/>
      <c r="JYA160" s="3060"/>
      <c r="JYB160" s="3060"/>
      <c r="JYC160" s="3060"/>
      <c r="JYD160" s="3060"/>
      <c r="JYE160" s="3060"/>
      <c r="JYF160" s="3060"/>
      <c r="JYG160" s="3060"/>
      <c r="JYH160" s="3060"/>
      <c r="JYI160" s="3060"/>
      <c r="JYJ160" s="3060"/>
      <c r="JYK160" s="3060"/>
      <c r="JYL160" s="3060"/>
      <c r="JYM160" s="3060"/>
      <c r="JYN160" s="3060"/>
      <c r="JYO160" s="3060"/>
      <c r="JYP160" s="3060"/>
      <c r="JYQ160" s="3060"/>
      <c r="JYR160" s="3060"/>
      <c r="JYS160" s="3060"/>
      <c r="JYT160" s="3060"/>
      <c r="JYU160" s="3060"/>
      <c r="JYV160" s="3060"/>
      <c r="JYW160" s="3060"/>
      <c r="JYX160" s="3060"/>
      <c r="JYY160" s="3060"/>
      <c r="JYZ160" s="3060"/>
      <c r="JZA160" s="3060"/>
      <c r="JZB160" s="3060"/>
      <c r="JZC160" s="3060"/>
      <c r="JZD160" s="3060"/>
      <c r="JZE160" s="3060"/>
      <c r="JZF160" s="3060"/>
      <c r="JZG160" s="3060"/>
      <c r="JZH160" s="3060"/>
      <c r="JZI160" s="3060"/>
      <c r="JZJ160" s="3060"/>
      <c r="JZK160" s="3060"/>
      <c r="JZL160" s="3060"/>
      <c r="JZM160" s="3060"/>
      <c r="JZN160" s="3060"/>
      <c r="JZO160" s="3060"/>
      <c r="JZP160" s="3060"/>
      <c r="JZQ160" s="3060"/>
      <c r="JZR160" s="3060"/>
      <c r="JZS160" s="3060"/>
      <c r="JZT160" s="3060"/>
      <c r="JZU160" s="3060"/>
      <c r="JZV160" s="3060"/>
      <c r="JZW160" s="3060"/>
      <c r="JZX160" s="3060"/>
      <c r="JZY160" s="3060"/>
      <c r="JZZ160" s="3060"/>
      <c r="KAA160" s="3060"/>
      <c r="KAB160" s="3060"/>
      <c r="KAC160" s="3060"/>
      <c r="KAD160" s="3060"/>
      <c r="KAE160" s="3060"/>
      <c r="KAF160" s="3060"/>
      <c r="KAG160" s="3060"/>
      <c r="KAH160" s="3060"/>
      <c r="KAI160" s="3060"/>
      <c r="KAJ160" s="3060"/>
      <c r="KAK160" s="3060"/>
      <c r="KAL160" s="3060"/>
      <c r="KAM160" s="3060"/>
      <c r="KAN160" s="3060"/>
      <c r="KAO160" s="3060"/>
      <c r="KAP160" s="3060"/>
      <c r="KAQ160" s="3060"/>
      <c r="KAR160" s="3060"/>
      <c r="KAS160" s="3060"/>
      <c r="KAT160" s="3060"/>
      <c r="KAU160" s="3060"/>
      <c r="KAV160" s="3060"/>
      <c r="KAW160" s="3060"/>
      <c r="KAX160" s="3060"/>
      <c r="KAY160" s="3060"/>
      <c r="KAZ160" s="3060"/>
      <c r="KBA160" s="3060"/>
      <c r="KBB160" s="3060"/>
      <c r="KBC160" s="3060"/>
      <c r="KBD160" s="3060"/>
      <c r="KBE160" s="3060"/>
      <c r="KBF160" s="3060"/>
      <c r="KBG160" s="3060"/>
      <c r="KBH160" s="3060"/>
      <c r="KBI160" s="3060"/>
      <c r="KBJ160" s="3060"/>
      <c r="KBK160" s="3060"/>
      <c r="KBL160" s="3060"/>
      <c r="KBM160" s="3060"/>
      <c r="KBN160" s="3060"/>
      <c r="KBO160" s="3060"/>
      <c r="KBP160" s="3060"/>
      <c r="KBQ160" s="3060"/>
      <c r="KBR160" s="3060"/>
      <c r="KBS160" s="3060"/>
      <c r="KBT160" s="3060"/>
      <c r="KBU160" s="3060"/>
      <c r="KBV160" s="3060"/>
      <c r="KBW160" s="3060"/>
      <c r="KBX160" s="3060"/>
      <c r="KBY160" s="3060"/>
      <c r="KBZ160" s="3060"/>
      <c r="KCA160" s="3060"/>
      <c r="KCB160" s="3060"/>
      <c r="KCC160" s="3060"/>
      <c r="KCD160" s="3060"/>
      <c r="KCE160" s="3060"/>
      <c r="KCF160" s="3060"/>
      <c r="KCG160" s="3060"/>
      <c r="KCH160" s="3060"/>
      <c r="KCI160" s="3060"/>
      <c r="KCJ160" s="3060"/>
      <c r="KCK160" s="3060"/>
      <c r="KCL160" s="3060"/>
      <c r="KCM160" s="3060"/>
      <c r="KCN160" s="3060"/>
      <c r="KCO160" s="3060"/>
      <c r="KCP160" s="3060"/>
      <c r="KCQ160" s="3060"/>
      <c r="KCR160" s="3060"/>
      <c r="KCS160" s="3060"/>
      <c r="KCT160" s="3060"/>
      <c r="KCU160" s="3060"/>
      <c r="KCV160" s="3060"/>
      <c r="KCW160" s="3060"/>
      <c r="KCX160" s="3060"/>
      <c r="KCY160" s="3060"/>
      <c r="KCZ160" s="3060"/>
      <c r="KDA160" s="3060"/>
      <c r="KDB160" s="3060"/>
      <c r="KDC160" s="3060"/>
      <c r="KDD160" s="3060"/>
      <c r="KDE160" s="3060"/>
      <c r="KDF160" s="3060"/>
      <c r="KDG160" s="3060"/>
      <c r="KDH160" s="3060"/>
      <c r="KDI160" s="3060"/>
      <c r="KDJ160" s="3060"/>
      <c r="KDK160" s="3060"/>
      <c r="KDL160" s="3060"/>
      <c r="KDM160" s="3060"/>
      <c r="KDN160" s="3060"/>
      <c r="KDO160" s="3060"/>
      <c r="KDP160" s="3060"/>
      <c r="KDQ160" s="3060"/>
      <c r="KDR160" s="3060"/>
      <c r="KDS160" s="3060"/>
      <c r="KDT160" s="3060"/>
      <c r="KDU160" s="3060"/>
      <c r="KDV160" s="3060"/>
      <c r="KDW160" s="3060"/>
      <c r="KDX160" s="3060"/>
      <c r="KDY160" s="3060"/>
      <c r="KDZ160" s="3060"/>
      <c r="KEA160" s="3060"/>
      <c r="KEB160" s="3060"/>
      <c r="KEC160" s="3060"/>
      <c r="KED160" s="3060"/>
      <c r="KEE160" s="3060"/>
      <c r="KEF160" s="3060"/>
      <c r="KEG160" s="3060"/>
      <c r="KEH160" s="3060"/>
      <c r="KEI160" s="3060"/>
      <c r="KEJ160" s="3060"/>
      <c r="KEK160" s="3060"/>
      <c r="KEL160" s="3060"/>
      <c r="KEM160" s="3060"/>
      <c r="KEN160" s="3060"/>
      <c r="KEO160" s="3060"/>
      <c r="KEP160" s="3060"/>
      <c r="KEQ160" s="3060"/>
      <c r="KER160" s="3060"/>
      <c r="KES160" s="3060"/>
      <c r="KET160" s="3060"/>
      <c r="KEU160" s="3060"/>
      <c r="KEV160" s="3060"/>
      <c r="KEW160" s="3060"/>
      <c r="KEX160" s="3060"/>
      <c r="KEY160" s="3060"/>
      <c r="KEZ160" s="3060"/>
      <c r="KFA160" s="3060"/>
      <c r="KFB160" s="3060"/>
      <c r="KFC160" s="3060"/>
      <c r="KFD160" s="3060"/>
      <c r="KFE160" s="3060"/>
      <c r="KFF160" s="3060"/>
      <c r="KFG160" s="3060"/>
      <c r="KFH160" s="3060"/>
      <c r="KFI160" s="3060"/>
      <c r="KFJ160" s="3060"/>
      <c r="KFK160" s="3060"/>
      <c r="KFL160" s="3060"/>
      <c r="KFM160" s="3060"/>
      <c r="KFN160" s="3060"/>
      <c r="KFO160" s="3060"/>
      <c r="KFP160" s="3060"/>
      <c r="KFQ160" s="3060"/>
      <c r="KFR160" s="3060"/>
      <c r="KFS160" s="3060"/>
      <c r="KFT160" s="3060"/>
      <c r="KFU160" s="3060"/>
      <c r="KFV160" s="3060"/>
      <c r="KFW160" s="3060"/>
      <c r="KFX160" s="3060"/>
      <c r="KFY160" s="3060"/>
      <c r="KFZ160" s="3060"/>
      <c r="KGA160" s="3060"/>
      <c r="KGB160" s="3060"/>
      <c r="KGC160" s="3060"/>
      <c r="KGD160" s="3060"/>
      <c r="KGE160" s="3060"/>
      <c r="KGF160" s="3060"/>
      <c r="KGG160" s="3060"/>
      <c r="KGH160" s="3060"/>
      <c r="KGI160" s="3060"/>
      <c r="KGJ160" s="3060"/>
      <c r="KGK160" s="3060"/>
      <c r="KGL160" s="3060"/>
      <c r="KGM160" s="3060"/>
      <c r="KGN160" s="3060"/>
      <c r="KGO160" s="3060"/>
      <c r="KGP160" s="3060"/>
      <c r="KGQ160" s="3060"/>
      <c r="KGR160" s="3060"/>
      <c r="KGS160" s="3060"/>
      <c r="KGT160" s="3060"/>
      <c r="KGU160" s="3060"/>
      <c r="KGV160" s="3060"/>
      <c r="KGW160" s="3060"/>
      <c r="KGX160" s="3060"/>
      <c r="KGY160" s="3060"/>
      <c r="KGZ160" s="3060"/>
      <c r="KHA160" s="3060"/>
      <c r="KHB160" s="3060"/>
      <c r="KHC160" s="3060"/>
      <c r="KHD160" s="3060"/>
      <c r="KHE160" s="3060"/>
      <c r="KHF160" s="3060"/>
      <c r="KHG160" s="3060"/>
      <c r="KHH160" s="3060"/>
      <c r="KHI160" s="3060"/>
      <c r="KHJ160" s="3060"/>
      <c r="KHK160" s="3060"/>
      <c r="KHL160" s="3060"/>
      <c r="KHM160" s="3060"/>
      <c r="KHN160" s="3060"/>
      <c r="KHO160" s="3060"/>
      <c r="KHP160" s="3060"/>
      <c r="KHQ160" s="3060"/>
      <c r="KHR160" s="3060"/>
      <c r="KHS160" s="3060"/>
      <c r="KHT160" s="3060"/>
      <c r="KHU160" s="3060"/>
      <c r="KHV160" s="3060"/>
      <c r="KHW160" s="3060"/>
      <c r="KHX160" s="3060"/>
      <c r="KHY160" s="3060"/>
      <c r="KHZ160" s="3060"/>
      <c r="KIA160" s="3060"/>
      <c r="KIB160" s="3060"/>
      <c r="KIC160" s="3060"/>
      <c r="KID160" s="3060"/>
      <c r="KIE160" s="3060"/>
      <c r="KIF160" s="3060"/>
      <c r="KIG160" s="3060"/>
      <c r="KIH160" s="3060"/>
      <c r="KII160" s="3060"/>
      <c r="KIJ160" s="3060"/>
      <c r="KIK160" s="3060"/>
      <c r="KIL160" s="3060"/>
      <c r="KIM160" s="3060"/>
      <c r="KIN160" s="3060"/>
      <c r="KIO160" s="3060"/>
      <c r="KIP160" s="3060"/>
      <c r="KIQ160" s="3060"/>
      <c r="KIR160" s="3060"/>
      <c r="KIS160" s="3060"/>
      <c r="KIT160" s="3060"/>
      <c r="KIU160" s="3060"/>
      <c r="KIV160" s="3060"/>
      <c r="KIW160" s="3060"/>
      <c r="KIX160" s="3060"/>
      <c r="KIY160" s="3060"/>
      <c r="KIZ160" s="3060"/>
      <c r="KJA160" s="3060"/>
      <c r="KJB160" s="3060"/>
      <c r="KJC160" s="3060"/>
      <c r="KJD160" s="3060"/>
      <c r="KJE160" s="3060"/>
      <c r="KJF160" s="3060"/>
      <c r="KJG160" s="3060"/>
      <c r="KJH160" s="3060"/>
      <c r="KJI160" s="3060"/>
      <c r="KJJ160" s="3060"/>
      <c r="KJK160" s="3060"/>
      <c r="KJL160" s="3060"/>
      <c r="KJM160" s="3060"/>
      <c r="KJN160" s="3060"/>
      <c r="KJO160" s="3060"/>
      <c r="KJP160" s="3060"/>
      <c r="KJQ160" s="3060"/>
      <c r="KJR160" s="3060"/>
      <c r="KJS160" s="3060"/>
      <c r="KJT160" s="3060"/>
      <c r="KJU160" s="3060"/>
      <c r="KJV160" s="3060"/>
      <c r="KJW160" s="3060"/>
      <c r="KJX160" s="3060"/>
      <c r="KJY160" s="3060"/>
      <c r="KJZ160" s="3060"/>
      <c r="KKA160" s="3060"/>
      <c r="KKB160" s="3060"/>
      <c r="KKC160" s="3060"/>
      <c r="KKD160" s="3060"/>
      <c r="KKE160" s="3060"/>
      <c r="KKF160" s="3060"/>
      <c r="KKG160" s="3060"/>
      <c r="KKH160" s="3060"/>
      <c r="KKI160" s="3060"/>
      <c r="KKJ160" s="3060"/>
      <c r="KKK160" s="3060"/>
      <c r="KKL160" s="3060"/>
      <c r="KKM160" s="3060"/>
      <c r="KKN160" s="3060"/>
      <c r="KKO160" s="3060"/>
      <c r="KKP160" s="3060"/>
      <c r="KKQ160" s="3060"/>
      <c r="KKR160" s="3060"/>
      <c r="KKS160" s="3060"/>
      <c r="KKT160" s="3060"/>
      <c r="KKU160" s="3060"/>
      <c r="KKV160" s="3060"/>
      <c r="KKW160" s="3060"/>
      <c r="KKX160" s="3060"/>
      <c r="KKY160" s="3060"/>
      <c r="KKZ160" s="3060"/>
      <c r="KLA160" s="3060"/>
      <c r="KLB160" s="3060"/>
      <c r="KLC160" s="3060"/>
      <c r="KLD160" s="3060"/>
      <c r="KLE160" s="3060"/>
      <c r="KLF160" s="3060"/>
      <c r="KLG160" s="3060"/>
      <c r="KLH160" s="3060"/>
      <c r="KLI160" s="3060"/>
      <c r="KLJ160" s="3060"/>
      <c r="KLK160" s="3060"/>
      <c r="KLL160" s="3060"/>
      <c r="KLM160" s="3060"/>
      <c r="KLN160" s="3060"/>
      <c r="KLO160" s="3060"/>
      <c r="KLP160" s="3060"/>
      <c r="KLQ160" s="3060"/>
      <c r="KLR160" s="3060"/>
      <c r="KLS160" s="3060"/>
      <c r="KLT160" s="3060"/>
      <c r="KLU160" s="3060"/>
      <c r="KLV160" s="3060"/>
      <c r="KLW160" s="3060"/>
      <c r="KLX160" s="3060"/>
      <c r="KLY160" s="3060"/>
      <c r="KLZ160" s="3060"/>
      <c r="KMA160" s="3060"/>
      <c r="KMB160" s="3060"/>
      <c r="KMC160" s="3060"/>
      <c r="KMD160" s="3060"/>
      <c r="KME160" s="3060"/>
      <c r="KMF160" s="3060"/>
      <c r="KMG160" s="3060"/>
      <c r="KMH160" s="3060"/>
      <c r="KMI160" s="3060"/>
      <c r="KMJ160" s="3060"/>
      <c r="KMK160" s="3060"/>
      <c r="KML160" s="3060"/>
      <c r="KMM160" s="3060"/>
      <c r="KMN160" s="3060"/>
      <c r="KMO160" s="3060"/>
      <c r="KMP160" s="3060"/>
      <c r="KMQ160" s="3060"/>
      <c r="KMR160" s="3060"/>
      <c r="KMS160" s="3060"/>
      <c r="KMT160" s="3060"/>
      <c r="KMU160" s="3060"/>
      <c r="KMV160" s="3060"/>
      <c r="KMW160" s="3060"/>
      <c r="KMX160" s="3060"/>
      <c r="KMY160" s="3060"/>
      <c r="KMZ160" s="3060"/>
      <c r="KNA160" s="3060"/>
      <c r="KNB160" s="3060"/>
      <c r="KNC160" s="3060"/>
      <c r="KND160" s="3060"/>
      <c r="KNE160" s="3060"/>
      <c r="KNF160" s="3060"/>
      <c r="KNG160" s="3060"/>
      <c r="KNH160" s="3060"/>
      <c r="KNI160" s="3060"/>
      <c r="KNJ160" s="3060"/>
      <c r="KNK160" s="3060"/>
      <c r="KNL160" s="3060"/>
      <c r="KNM160" s="3060"/>
      <c r="KNN160" s="3060"/>
      <c r="KNO160" s="3060"/>
      <c r="KNP160" s="3060"/>
      <c r="KNQ160" s="3060"/>
      <c r="KNR160" s="3060"/>
      <c r="KNS160" s="3060"/>
      <c r="KNT160" s="3060"/>
      <c r="KNU160" s="3060"/>
      <c r="KNV160" s="3060"/>
      <c r="KNW160" s="3060"/>
      <c r="KNX160" s="3060"/>
      <c r="KNY160" s="3060"/>
      <c r="KNZ160" s="3060"/>
      <c r="KOA160" s="3060"/>
      <c r="KOB160" s="3060"/>
      <c r="KOC160" s="3060"/>
      <c r="KOD160" s="3060"/>
      <c r="KOE160" s="3060"/>
      <c r="KOF160" s="3060"/>
      <c r="KOG160" s="3060"/>
      <c r="KOH160" s="3060"/>
      <c r="KOI160" s="3060"/>
      <c r="KOJ160" s="3060"/>
      <c r="KOK160" s="3060"/>
      <c r="KOL160" s="3060"/>
      <c r="KOM160" s="3060"/>
      <c r="KON160" s="3060"/>
      <c r="KOO160" s="3060"/>
      <c r="KOP160" s="3060"/>
      <c r="KOQ160" s="3060"/>
      <c r="KOR160" s="3060"/>
      <c r="KOS160" s="3060"/>
      <c r="KOT160" s="3060"/>
      <c r="KOU160" s="3060"/>
      <c r="KOV160" s="3060"/>
      <c r="KOW160" s="3060"/>
      <c r="KOX160" s="3060"/>
      <c r="KOY160" s="3060"/>
      <c r="KOZ160" s="3060"/>
      <c r="KPA160" s="3060"/>
      <c r="KPB160" s="3060"/>
      <c r="KPC160" s="3060"/>
      <c r="KPD160" s="3060"/>
      <c r="KPE160" s="3060"/>
      <c r="KPF160" s="3060"/>
      <c r="KPG160" s="3060"/>
      <c r="KPH160" s="3060"/>
      <c r="KPI160" s="3060"/>
      <c r="KPJ160" s="3060"/>
      <c r="KPK160" s="3060"/>
      <c r="KPL160" s="3060"/>
      <c r="KPM160" s="3060"/>
      <c r="KPN160" s="3060"/>
      <c r="KPO160" s="3060"/>
      <c r="KPP160" s="3060"/>
      <c r="KPQ160" s="3060"/>
      <c r="KPR160" s="3060"/>
      <c r="KPS160" s="3060"/>
      <c r="KPT160" s="3060"/>
      <c r="KPU160" s="3060"/>
      <c r="KPV160" s="3060"/>
      <c r="KPW160" s="3060"/>
      <c r="KPX160" s="3060"/>
      <c r="KPY160" s="3060"/>
      <c r="KPZ160" s="3060"/>
      <c r="KQA160" s="3060"/>
      <c r="KQB160" s="3060"/>
      <c r="KQC160" s="3060"/>
      <c r="KQD160" s="3060"/>
      <c r="KQE160" s="3060"/>
      <c r="KQF160" s="3060"/>
      <c r="KQG160" s="3060"/>
      <c r="KQH160" s="3060"/>
      <c r="KQI160" s="3060"/>
      <c r="KQJ160" s="3060"/>
      <c r="KQK160" s="3060"/>
      <c r="KQL160" s="3060"/>
      <c r="KQM160" s="3060"/>
      <c r="KQN160" s="3060"/>
      <c r="KQO160" s="3060"/>
      <c r="KQP160" s="3060"/>
      <c r="KQQ160" s="3060"/>
      <c r="KQR160" s="3060"/>
      <c r="KQS160" s="3060"/>
      <c r="KQT160" s="3060"/>
      <c r="KQU160" s="3060"/>
      <c r="KQV160" s="3060"/>
      <c r="KQW160" s="3060"/>
      <c r="KQX160" s="3060"/>
      <c r="KQY160" s="3060"/>
      <c r="KQZ160" s="3060"/>
      <c r="KRA160" s="3060"/>
      <c r="KRB160" s="3060"/>
      <c r="KRC160" s="3060"/>
      <c r="KRD160" s="3060"/>
      <c r="KRE160" s="3060"/>
      <c r="KRF160" s="3060"/>
      <c r="KRG160" s="3060"/>
      <c r="KRH160" s="3060"/>
      <c r="KRI160" s="3060"/>
      <c r="KRJ160" s="3060"/>
      <c r="KRK160" s="3060"/>
      <c r="KRL160" s="3060"/>
      <c r="KRM160" s="3060"/>
      <c r="KRN160" s="3060"/>
      <c r="KRO160" s="3060"/>
      <c r="KRP160" s="3060"/>
      <c r="KRQ160" s="3060"/>
      <c r="KRR160" s="3060"/>
      <c r="KRS160" s="3060"/>
      <c r="KRT160" s="3060"/>
      <c r="KRU160" s="3060"/>
      <c r="KRV160" s="3060"/>
      <c r="KRW160" s="3060"/>
      <c r="KRX160" s="3060"/>
      <c r="KRY160" s="3060"/>
      <c r="KRZ160" s="3060"/>
      <c r="KSA160" s="3060"/>
      <c r="KSB160" s="3060"/>
      <c r="KSC160" s="3060"/>
      <c r="KSD160" s="3060"/>
      <c r="KSE160" s="3060"/>
      <c r="KSF160" s="3060"/>
      <c r="KSG160" s="3060"/>
      <c r="KSH160" s="3060"/>
      <c r="KSI160" s="3060"/>
      <c r="KSJ160" s="3060"/>
      <c r="KSK160" s="3060"/>
      <c r="KSL160" s="3060"/>
      <c r="KSM160" s="3060"/>
      <c r="KSN160" s="3060"/>
      <c r="KSO160" s="3060"/>
      <c r="KSP160" s="3060"/>
      <c r="KSQ160" s="3060"/>
      <c r="KSR160" s="3060"/>
      <c r="KSS160" s="3060"/>
      <c r="KST160" s="3060"/>
      <c r="KSU160" s="3060"/>
      <c r="KSV160" s="3060"/>
      <c r="KSW160" s="3060"/>
      <c r="KSX160" s="3060"/>
      <c r="KSY160" s="3060"/>
      <c r="KSZ160" s="3060"/>
      <c r="KTA160" s="3060"/>
      <c r="KTB160" s="3060"/>
      <c r="KTC160" s="3060"/>
      <c r="KTD160" s="3060"/>
      <c r="KTE160" s="3060"/>
      <c r="KTF160" s="3060"/>
      <c r="KTG160" s="3060"/>
      <c r="KTH160" s="3060"/>
      <c r="KTI160" s="3060"/>
      <c r="KTJ160" s="3060"/>
      <c r="KTK160" s="3060"/>
      <c r="KTL160" s="3060"/>
      <c r="KTM160" s="3060"/>
      <c r="KTN160" s="3060"/>
      <c r="KTO160" s="3060"/>
      <c r="KTP160" s="3060"/>
      <c r="KTQ160" s="3060"/>
      <c r="KTR160" s="3060"/>
      <c r="KTS160" s="3060"/>
      <c r="KTT160" s="3060"/>
      <c r="KTU160" s="3060"/>
      <c r="KTV160" s="3060"/>
      <c r="KTW160" s="3060"/>
      <c r="KTX160" s="3060"/>
      <c r="KTY160" s="3060"/>
      <c r="KTZ160" s="3060"/>
      <c r="KUA160" s="3060"/>
      <c r="KUB160" s="3060"/>
      <c r="KUC160" s="3060"/>
      <c r="KUD160" s="3060"/>
      <c r="KUE160" s="3060"/>
      <c r="KUF160" s="3060"/>
      <c r="KUG160" s="3060"/>
      <c r="KUH160" s="3060"/>
      <c r="KUI160" s="3060"/>
      <c r="KUJ160" s="3060"/>
      <c r="KUK160" s="3060"/>
      <c r="KUL160" s="3060"/>
      <c r="KUM160" s="3060"/>
      <c r="KUN160" s="3060"/>
      <c r="KUO160" s="3060"/>
      <c r="KUP160" s="3060"/>
      <c r="KUQ160" s="3060"/>
      <c r="KUR160" s="3060"/>
      <c r="KUS160" s="3060"/>
      <c r="KUT160" s="3060"/>
      <c r="KUU160" s="3060"/>
      <c r="KUV160" s="3060"/>
      <c r="KUW160" s="3060"/>
      <c r="KUX160" s="3060"/>
      <c r="KUY160" s="3060"/>
      <c r="KUZ160" s="3060"/>
      <c r="KVA160" s="3060"/>
      <c r="KVB160" s="3060"/>
      <c r="KVC160" s="3060"/>
      <c r="KVD160" s="3060"/>
      <c r="KVE160" s="3060"/>
      <c r="KVF160" s="3060"/>
      <c r="KVG160" s="3060"/>
      <c r="KVH160" s="3060"/>
      <c r="KVI160" s="3060"/>
      <c r="KVJ160" s="3060"/>
      <c r="KVK160" s="3060"/>
      <c r="KVL160" s="3060"/>
      <c r="KVM160" s="3060"/>
      <c r="KVN160" s="3060"/>
      <c r="KVO160" s="3060"/>
      <c r="KVP160" s="3060"/>
      <c r="KVQ160" s="3060"/>
      <c r="KVR160" s="3060"/>
      <c r="KVS160" s="3060"/>
      <c r="KVT160" s="3060"/>
      <c r="KVU160" s="3060"/>
      <c r="KVV160" s="3060"/>
      <c r="KVW160" s="3060"/>
      <c r="KVX160" s="3060"/>
      <c r="KVY160" s="3060"/>
      <c r="KVZ160" s="3060"/>
      <c r="KWA160" s="3060"/>
      <c r="KWB160" s="3060"/>
      <c r="KWC160" s="3060"/>
      <c r="KWD160" s="3060"/>
      <c r="KWE160" s="3060"/>
      <c r="KWF160" s="3060"/>
      <c r="KWG160" s="3060"/>
      <c r="KWH160" s="3060"/>
      <c r="KWI160" s="3060"/>
      <c r="KWJ160" s="3060"/>
      <c r="KWK160" s="3060"/>
      <c r="KWL160" s="3060"/>
      <c r="KWM160" s="3060"/>
      <c r="KWN160" s="3060"/>
      <c r="KWO160" s="3060"/>
      <c r="KWP160" s="3060"/>
      <c r="KWQ160" s="3060"/>
      <c r="KWR160" s="3060"/>
      <c r="KWS160" s="3060"/>
      <c r="KWT160" s="3060"/>
      <c r="KWU160" s="3060"/>
      <c r="KWV160" s="3060"/>
      <c r="KWW160" s="3060"/>
      <c r="KWX160" s="3060"/>
      <c r="KWY160" s="3060"/>
      <c r="KWZ160" s="3060"/>
      <c r="KXA160" s="3060"/>
      <c r="KXB160" s="3060"/>
      <c r="KXC160" s="3060"/>
      <c r="KXD160" s="3060"/>
      <c r="KXE160" s="3060"/>
      <c r="KXF160" s="3060"/>
      <c r="KXG160" s="3060"/>
      <c r="KXH160" s="3060"/>
      <c r="KXI160" s="3060"/>
      <c r="KXJ160" s="3060"/>
      <c r="KXK160" s="3060"/>
      <c r="KXL160" s="3060"/>
      <c r="KXM160" s="3060"/>
      <c r="KXN160" s="3060"/>
      <c r="KXO160" s="3060"/>
      <c r="KXP160" s="3060"/>
      <c r="KXQ160" s="3060"/>
      <c r="KXR160" s="3060"/>
      <c r="KXS160" s="3060"/>
      <c r="KXT160" s="3060"/>
      <c r="KXU160" s="3060"/>
      <c r="KXV160" s="3060"/>
      <c r="KXW160" s="3060"/>
      <c r="KXX160" s="3060"/>
      <c r="KXY160" s="3060"/>
      <c r="KXZ160" s="3060"/>
      <c r="KYA160" s="3060"/>
      <c r="KYB160" s="3060"/>
      <c r="KYC160" s="3060"/>
      <c r="KYD160" s="3060"/>
      <c r="KYE160" s="3060"/>
      <c r="KYF160" s="3060"/>
      <c r="KYG160" s="3060"/>
      <c r="KYH160" s="3060"/>
      <c r="KYI160" s="3060"/>
      <c r="KYJ160" s="3060"/>
      <c r="KYK160" s="3060"/>
      <c r="KYL160" s="3060"/>
      <c r="KYM160" s="3060"/>
      <c r="KYN160" s="3060"/>
      <c r="KYO160" s="3060"/>
      <c r="KYP160" s="3060"/>
      <c r="KYQ160" s="3060"/>
      <c r="KYR160" s="3060"/>
      <c r="KYS160" s="3060"/>
      <c r="KYT160" s="3060"/>
      <c r="KYU160" s="3060"/>
      <c r="KYV160" s="3060"/>
      <c r="KYW160" s="3060"/>
      <c r="KYX160" s="3060"/>
      <c r="KYY160" s="3060"/>
      <c r="KYZ160" s="3060"/>
      <c r="KZA160" s="3060"/>
      <c r="KZB160" s="3060"/>
      <c r="KZC160" s="3060"/>
      <c r="KZD160" s="3060"/>
      <c r="KZE160" s="3060"/>
      <c r="KZF160" s="3060"/>
      <c r="KZG160" s="3060"/>
      <c r="KZH160" s="3060"/>
      <c r="KZI160" s="3060"/>
      <c r="KZJ160" s="3060"/>
      <c r="KZK160" s="3060"/>
      <c r="KZL160" s="3060"/>
      <c r="KZM160" s="3060"/>
      <c r="KZN160" s="3060"/>
      <c r="KZO160" s="3060"/>
      <c r="KZP160" s="3060"/>
      <c r="KZQ160" s="3060"/>
      <c r="KZR160" s="3060"/>
      <c r="KZS160" s="3060"/>
      <c r="KZT160" s="3060"/>
      <c r="KZU160" s="3060"/>
      <c r="KZV160" s="3060"/>
      <c r="KZW160" s="3060"/>
      <c r="KZX160" s="3060"/>
      <c r="KZY160" s="3060"/>
      <c r="KZZ160" s="3060"/>
      <c r="LAA160" s="3060"/>
      <c r="LAB160" s="3060"/>
      <c r="LAC160" s="3060"/>
      <c r="LAD160" s="3060"/>
      <c r="LAE160" s="3060"/>
      <c r="LAF160" s="3060"/>
      <c r="LAG160" s="3060"/>
      <c r="LAH160" s="3060"/>
      <c r="LAI160" s="3060"/>
      <c r="LAJ160" s="3060"/>
      <c r="LAK160" s="3060"/>
      <c r="LAL160" s="3060"/>
      <c r="LAM160" s="3060"/>
      <c r="LAN160" s="3060"/>
      <c r="LAO160" s="3060"/>
      <c r="LAP160" s="3060"/>
      <c r="LAQ160" s="3060"/>
      <c r="LAR160" s="3060"/>
      <c r="LAS160" s="3060"/>
      <c r="LAT160" s="3060"/>
      <c r="LAU160" s="3060"/>
      <c r="LAV160" s="3060"/>
      <c r="LAW160" s="3060"/>
      <c r="LAX160" s="3060"/>
      <c r="LAY160" s="3060"/>
      <c r="LAZ160" s="3060"/>
      <c r="LBA160" s="3060"/>
      <c r="LBB160" s="3060"/>
      <c r="LBC160" s="3060"/>
      <c r="LBD160" s="3060"/>
      <c r="LBE160" s="3060"/>
      <c r="LBF160" s="3060"/>
      <c r="LBG160" s="3060"/>
      <c r="LBH160" s="3060"/>
      <c r="LBI160" s="3060"/>
      <c r="LBJ160" s="3060"/>
      <c r="LBK160" s="3060"/>
      <c r="LBL160" s="3060"/>
      <c r="LBM160" s="3060"/>
      <c r="LBN160" s="3060"/>
      <c r="LBO160" s="3060"/>
      <c r="LBP160" s="3060"/>
      <c r="LBQ160" s="3060"/>
      <c r="LBR160" s="3060"/>
      <c r="LBS160" s="3060"/>
      <c r="LBT160" s="3060"/>
      <c r="LBU160" s="3060"/>
      <c r="LBV160" s="3060"/>
      <c r="LBW160" s="3060"/>
      <c r="LBX160" s="3060"/>
      <c r="LBY160" s="3060"/>
      <c r="LBZ160" s="3060"/>
      <c r="LCA160" s="3060"/>
      <c r="LCB160" s="3060"/>
      <c r="LCC160" s="3060"/>
      <c r="LCD160" s="3060"/>
      <c r="LCE160" s="3060"/>
      <c r="LCF160" s="3060"/>
      <c r="LCG160" s="3060"/>
      <c r="LCH160" s="3060"/>
      <c r="LCI160" s="3060"/>
      <c r="LCJ160" s="3060"/>
      <c r="LCK160" s="3060"/>
      <c r="LCL160" s="3060"/>
      <c r="LCM160" s="3060"/>
      <c r="LCN160" s="3060"/>
      <c r="LCO160" s="3060"/>
      <c r="LCP160" s="3060"/>
      <c r="LCQ160" s="3060"/>
      <c r="LCR160" s="3060"/>
      <c r="LCS160" s="3060"/>
      <c r="LCT160" s="3060"/>
      <c r="LCU160" s="3060"/>
      <c r="LCV160" s="3060"/>
      <c r="LCW160" s="3060"/>
      <c r="LCX160" s="3060"/>
      <c r="LCY160" s="3060"/>
      <c r="LCZ160" s="3060"/>
      <c r="LDA160" s="3060"/>
      <c r="LDB160" s="3060"/>
      <c r="LDC160" s="3060"/>
      <c r="LDD160" s="3060"/>
      <c r="LDE160" s="3060"/>
      <c r="LDF160" s="3060"/>
      <c r="LDG160" s="3060"/>
      <c r="LDH160" s="3060"/>
      <c r="LDI160" s="3060"/>
      <c r="LDJ160" s="3060"/>
      <c r="LDK160" s="3060"/>
      <c r="LDL160" s="3060"/>
      <c r="LDM160" s="3060"/>
      <c r="LDN160" s="3060"/>
      <c r="LDO160" s="3060"/>
      <c r="LDP160" s="3060"/>
      <c r="LDQ160" s="3060"/>
      <c r="LDR160" s="3060"/>
      <c r="LDS160" s="3060"/>
      <c r="LDT160" s="3060"/>
      <c r="LDU160" s="3060"/>
      <c r="LDV160" s="3060"/>
      <c r="LDW160" s="3060"/>
      <c r="LDX160" s="3060"/>
      <c r="LDY160" s="3060"/>
      <c r="LDZ160" s="3060"/>
      <c r="LEA160" s="3060"/>
      <c r="LEB160" s="3060"/>
      <c r="LEC160" s="3060"/>
      <c r="LED160" s="3060"/>
      <c r="LEE160" s="3060"/>
      <c r="LEF160" s="3060"/>
      <c r="LEG160" s="3060"/>
      <c r="LEH160" s="3060"/>
      <c r="LEI160" s="3060"/>
      <c r="LEJ160" s="3060"/>
      <c r="LEK160" s="3060"/>
      <c r="LEL160" s="3060"/>
      <c r="LEM160" s="3060"/>
      <c r="LEN160" s="3060"/>
      <c r="LEO160" s="3060"/>
      <c r="LEP160" s="3060"/>
      <c r="LEQ160" s="3060"/>
      <c r="LER160" s="3060"/>
      <c r="LES160" s="3060"/>
      <c r="LET160" s="3060"/>
      <c r="LEU160" s="3060"/>
      <c r="LEV160" s="3060"/>
      <c r="LEW160" s="3060"/>
      <c r="LEX160" s="3060"/>
      <c r="LEY160" s="3060"/>
      <c r="LEZ160" s="3060"/>
      <c r="LFA160" s="3060"/>
      <c r="LFB160" s="3060"/>
      <c r="LFC160" s="3060"/>
      <c r="LFD160" s="3060"/>
      <c r="LFE160" s="3060"/>
      <c r="LFF160" s="3060"/>
      <c r="LFG160" s="3060"/>
      <c r="LFH160" s="3060"/>
      <c r="LFI160" s="3060"/>
      <c r="LFJ160" s="3060"/>
      <c r="LFK160" s="3060"/>
      <c r="LFL160" s="3060"/>
      <c r="LFM160" s="3060"/>
      <c r="LFN160" s="3060"/>
      <c r="LFO160" s="3060"/>
      <c r="LFP160" s="3060"/>
      <c r="LFQ160" s="3060"/>
      <c r="LFR160" s="3060"/>
      <c r="LFS160" s="3060"/>
      <c r="LFT160" s="3060"/>
      <c r="LFU160" s="3060"/>
      <c r="LFV160" s="3060"/>
      <c r="LFW160" s="3060"/>
      <c r="LFX160" s="3060"/>
      <c r="LFY160" s="3060"/>
      <c r="LFZ160" s="3060"/>
      <c r="LGA160" s="3060"/>
      <c r="LGB160" s="3060"/>
      <c r="LGC160" s="3060"/>
      <c r="LGD160" s="3060"/>
      <c r="LGE160" s="3060"/>
      <c r="LGF160" s="3060"/>
      <c r="LGG160" s="3060"/>
      <c r="LGH160" s="3060"/>
      <c r="LGI160" s="3060"/>
      <c r="LGJ160" s="3060"/>
      <c r="LGK160" s="3060"/>
      <c r="LGL160" s="3060"/>
      <c r="LGM160" s="3060"/>
      <c r="LGN160" s="3060"/>
      <c r="LGO160" s="3060"/>
      <c r="LGP160" s="3060"/>
      <c r="LGQ160" s="3060"/>
      <c r="LGR160" s="3060"/>
      <c r="LGS160" s="3060"/>
      <c r="LGT160" s="3060"/>
      <c r="LGU160" s="3060"/>
      <c r="LGV160" s="3060"/>
      <c r="LGW160" s="3060"/>
      <c r="LGX160" s="3060"/>
      <c r="LGY160" s="3060"/>
      <c r="LGZ160" s="3060"/>
      <c r="LHA160" s="3060"/>
      <c r="LHB160" s="3060"/>
      <c r="LHC160" s="3060"/>
      <c r="LHD160" s="3060"/>
      <c r="LHE160" s="3060"/>
      <c r="LHF160" s="3060"/>
      <c r="LHG160" s="3060"/>
      <c r="LHH160" s="3060"/>
      <c r="LHI160" s="3060"/>
      <c r="LHJ160" s="3060"/>
      <c r="LHK160" s="3060"/>
      <c r="LHL160" s="3060"/>
      <c r="LHM160" s="3060"/>
      <c r="LHN160" s="3060"/>
      <c r="LHO160" s="3060"/>
      <c r="LHP160" s="3060"/>
      <c r="LHQ160" s="3060"/>
      <c r="LHR160" s="3060"/>
      <c r="LHS160" s="3060"/>
      <c r="LHT160" s="3060"/>
      <c r="LHU160" s="3060"/>
      <c r="LHV160" s="3060"/>
      <c r="LHW160" s="3060"/>
      <c r="LHX160" s="3060"/>
      <c r="LHY160" s="3060"/>
      <c r="LHZ160" s="3060"/>
      <c r="LIA160" s="3060"/>
      <c r="LIB160" s="3060"/>
      <c r="LIC160" s="3060"/>
      <c r="LID160" s="3060"/>
      <c r="LIE160" s="3060"/>
      <c r="LIF160" s="3060"/>
      <c r="LIG160" s="3060"/>
      <c r="LIH160" s="3060"/>
      <c r="LII160" s="3060"/>
      <c r="LIJ160" s="3060"/>
      <c r="LIK160" s="3060"/>
      <c r="LIL160" s="3060"/>
      <c r="LIM160" s="3060"/>
      <c r="LIN160" s="3060"/>
      <c r="LIO160" s="3060"/>
      <c r="LIP160" s="3060"/>
      <c r="LIQ160" s="3060"/>
      <c r="LIR160" s="3060"/>
      <c r="LIS160" s="3060"/>
      <c r="LIT160" s="3060"/>
      <c r="LIU160" s="3060"/>
      <c r="LIV160" s="3060"/>
      <c r="LIW160" s="3060"/>
      <c r="LIX160" s="3060"/>
      <c r="LIY160" s="3060"/>
      <c r="LIZ160" s="3060"/>
      <c r="LJA160" s="3060"/>
      <c r="LJB160" s="3060"/>
      <c r="LJC160" s="3060"/>
      <c r="LJD160" s="3060"/>
      <c r="LJE160" s="3060"/>
      <c r="LJF160" s="3060"/>
      <c r="LJG160" s="3060"/>
      <c r="LJH160" s="3060"/>
      <c r="LJI160" s="3060"/>
      <c r="LJJ160" s="3060"/>
      <c r="LJK160" s="3060"/>
      <c r="LJL160" s="3060"/>
      <c r="LJM160" s="3060"/>
      <c r="LJN160" s="3060"/>
      <c r="LJO160" s="3060"/>
      <c r="LJP160" s="3060"/>
      <c r="LJQ160" s="3060"/>
      <c r="LJR160" s="3060"/>
      <c r="LJS160" s="3060"/>
      <c r="LJT160" s="3060"/>
      <c r="LJU160" s="3060"/>
      <c r="LJV160" s="3060"/>
      <c r="LJW160" s="3060"/>
      <c r="LJX160" s="3060"/>
      <c r="LJY160" s="3060"/>
      <c r="LJZ160" s="3060"/>
      <c r="LKA160" s="3060"/>
      <c r="LKB160" s="3060"/>
      <c r="LKC160" s="3060"/>
      <c r="LKD160" s="3060"/>
      <c r="LKE160" s="3060"/>
      <c r="LKF160" s="3060"/>
      <c r="LKG160" s="3060"/>
      <c r="LKH160" s="3060"/>
      <c r="LKI160" s="3060"/>
      <c r="LKJ160" s="3060"/>
      <c r="LKK160" s="3060"/>
      <c r="LKL160" s="3060"/>
      <c r="LKM160" s="3060"/>
      <c r="LKN160" s="3060"/>
      <c r="LKO160" s="3060"/>
      <c r="LKP160" s="3060"/>
      <c r="LKQ160" s="3060"/>
      <c r="LKR160" s="3060"/>
      <c r="LKS160" s="3060"/>
      <c r="LKT160" s="3060"/>
      <c r="LKU160" s="3060"/>
      <c r="LKV160" s="3060"/>
      <c r="LKW160" s="3060"/>
      <c r="LKX160" s="3060"/>
      <c r="LKY160" s="3060"/>
      <c r="LKZ160" s="3060"/>
      <c r="LLA160" s="3060"/>
      <c r="LLB160" s="3060"/>
      <c r="LLC160" s="3060"/>
      <c r="LLD160" s="3060"/>
      <c r="LLE160" s="3060"/>
      <c r="LLF160" s="3060"/>
      <c r="LLG160" s="3060"/>
      <c r="LLH160" s="3060"/>
      <c r="LLI160" s="3060"/>
      <c r="LLJ160" s="3060"/>
      <c r="LLK160" s="3060"/>
      <c r="LLL160" s="3060"/>
      <c r="LLM160" s="3060"/>
      <c r="LLN160" s="3060"/>
      <c r="LLO160" s="3060"/>
      <c r="LLP160" s="3060"/>
      <c r="LLQ160" s="3060"/>
      <c r="LLR160" s="3060"/>
      <c r="LLS160" s="3060"/>
      <c r="LLT160" s="3060"/>
      <c r="LLU160" s="3060"/>
      <c r="LLV160" s="3060"/>
      <c r="LLW160" s="3060"/>
      <c r="LLX160" s="3060"/>
      <c r="LLY160" s="3060"/>
      <c r="LLZ160" s="3060"/>
      <c r="LMA160" s="3060"/>
      <c r="LMB160" s="3060"/>
      <c r="LMC160" s="3060"/>
      <c r="LMD160" s="3060"/>
      <c r="LME160" s="3060"/>
      <c r="LMF160" s="3060"/>
      <c r="LMG160" s="3060"/>
      <c r="LMH160" s="3060"/>
      <c r="LMI160" s="3060"/>
      <c r="LMJ160" s="3060"/>
      <c r="LMK160" s="3060"/>
      <c r="LML160" s="3060"/>
      <c r="LMM160" s="3060"/>
      <c r="LMN160" s="3060"/>
      <c r="LMO160" s="3060"/>
      <c r="LMP160" s="3060"/>
      <c r="LMQ160" s="3060"/>
      <c r="LMR160" s="3060"/>
      <c r="LMS160" s="3060"/>
      <c r="LMT160" s="3060"/>
      <c r="LMU160" s="3060"/>
      <c r="LMV160" s="3060"/>
      <c r="LMW160" s="3060"/>
      <c r="LMX160" s="3060"/>
      <c r="LMY160" s="3060"/>
      <c r="LMZ160" s="3060"/>
      <c r="LNA160" s="3060"/>
      <c r="LNB160" s="3060"/>
      <c r="LNC160" s="3060"/>
      <c r="LND160" s="3060"/>
      <c r="LNE160" s="3060"/>
      <c r="LNF160" s="3060"/>
      <c r="LNG160" s="3060"/>
      <c r="LNH160" s="3060"/>
      <c r="LNI160" s="3060"/>
      <c r="LNJ160" s="3060"/>
      <c r="LNK160" s="3060"/>
      <c r="LNL160" s="3060"/>
      <c r="LNM160" s="3060"/>
      <c r="LNN160" s="3060"/>
      <c r="LNO160" s="3060"/>
      <c r="LNP160" s="3060"/>
      <c r="LNQ160" s="3060"/>
      <c r="LNR160" s="3060"/>
      <c r="LNS160" s="3060"/>
      <c r="LNT160" s="3060"/>
      <c r="LNU160" s="3060"/>
      <c r="LNV160" s="3060"/>
      <c r="LNW160" s="3060"/>
      <c r="LNX160" s="3060"/>
      <c r="LNY160" s="3060"/>
      <c r="LNZ160" s="3060"/>
      <c r="LOA160" s="3060"/>
      <c r="LOB160" s="3060"/>
      <c r="LOC160" s="3060"/>
      <c r="LOD160" s="3060"/>
      <c r="LOE160" s="3060"/>
      <c r="LOF160" s="3060"/>
      <c r="LOG160" s="3060"/>
      <c r="LOH160" s="3060"/>
      <c r="LOI160" s="3060"/>
      <c r="LOJ160" s="3060"/>
      <c r="LOK160" s="3060"/>
      <c r="LOL160" s="3060"/>
      <c r="LOM160" s="3060"/>
      <c r="LON160" s="3060"/>
      <c r="LOO160" s="3060"/>
      <c r="LOP160" s="3060"/>
      <c r="LOQ160" s="3060"/>
      <c r="LOR160" s="3060"/>
      <c r="LOS160" s="3060"/>
      <c r="LOT160" s="3060"/>
      <c r="LOU160" s="3060"/>
      <c r="LOV160" s="3060"/>
      <c r="LOW160" s="3060"/>
      <c r="LOX160" s="3060"/>
      <c r="LOY160" s="3060"/>
      <c r="LOZ160" s="3060"/>
      <c r="LPA160" s="3060"/>
      <c r="LPB160" s="3060"/>
      <c r="LPC160" s="3060"/>
      <c r="LPD160" s="3060"/>
      <c r="LPE160" s="3060"/>
      <c r="LPF160" s="3060"/>
      <c r="LPG160" s="3060"/>
      <c r="LPH160" s="3060"/>
      <c r="LPI160" s="3060"/>
      <c r="LPJ160" s="3060"/>
      <c r="LPK160" s="3060"/>
      <c r="LPL160" s="3060"/>
      <c r="LPM160" s="3060"/>
      <c r="LPN160" s="3060"/>
      <c r="LPO160" s="3060"/>
      <c r="LPP160" s="3060"/>
      <c r="LPQ160" s="3060"/>
      <c r="LPR160" s="3060"/>
      <c r="LPS160" s="3060"/>
      <c r="LPT160" s="3060"/>
      <c r="LPU160" s="3060"/>
      <c r="LPV160" s="3060"/>
      <c r="LPW160" s="3060"/>
      <c r="LPX160" s="3060"/>
      <c r="LPY160" s="3060"/>
      <c r="LPZ160" s="3060"/>
      <c r="LQA160" s="3060"/>
      <c r="LQB160" s="3060"/>
      <c r="LQC160" s="3060"/>
      <c r="LQD160" s="3060"/>
      <c r="LQE160" s="3060"/>
      <c r="LQF160" s="3060"/>
      <c r="LQG160" s="3060"/>
      <c r="LQH160" s="3060"/>
      <c r="LQI160" s="3060"/>
      <c r="LQJ160" s="3060"/>
      <c r="LQK160" s="3060"/>
      <c r="LQL160" s="3060"/>
      <c r="LQM160" s="3060"/>
      <c r="LQN160" s="3060"/>
      <c r="LQO160" s="3060"/>
      <c r="LQP160" s="3060"/>
      <c r="LQQ160" s="3060"/>
      <c r="LQR160" s="3060"/>
      <c r="LQS160" s="3060"/>
      <c r="LQT160" s="3060"/>
      <c r="LQU160" s="3060"/>
      <c r="LQV160" s="3060"/>
      <c r="LQW160" s="3060"/>
      <c r="LQX160" s="3060"/>
      <c r="LQY160" s="3060"/>
      <c r="LQZ160" s="3060"/>
      <c r="LRA160" s="3060"/>
      <c r="LRB160" s="3060"/>
      <c r="LRC160" s="3060"/>
      <c r="LRD160" s="3060"/>
      <c r="LRE160" s="3060"/>
      <c r="LRF160" s="3060"/>
      <c r="LRG160" s="3060"/>
      <c r="LRH160" s="3060"/>
      <c r="LRI160" s="3060"/>
      <c r="LRJ160" s="3060"/>
      <c r="LRK160" s="3060"/>
      <c r="LRL160" s="3060"/>
      <c r="LRM160" s="3060"/>
      <c r="LRN160" s="3060"/>
      <c r="LRO160" s="3060"/>
      <c r="LRP160" s="3060"/>
      <c r="LRQ160" s="3060"/>
      <c r="LRR160" s="3060"/>
      <c r="LRS160" s="3060"/>
      <c r="LRT160" s="3060"/>
      <c r="LRU160" s="3060"/>
      <c r="LRV160" s="3060"/>
      <c r="LRW160" s="3060"/>
      <c r="LRX160" s="3060"/>
      <c r="LRY160" s="3060"/>
      <c r="LRZ160" s="3060"/>
      <c r="LSA160" s="3060"/>
      <c r="LSB160" s="3060"/>
      <c r="LSC160" s="3060"/>
      <c r="LSD160" s="3060"/>
      <c r="LSE160" s="3060"/>
      <c r="LSF160" s="3060"/>
      <c r="LSG160" s="3060"/>
      <c r="LSH160" s="3060"/>
      <c r="LSI160" s="3060"/>
      <c r="LSJ160" s="3060"/>
      <c r="LSK160" s="3060"/>
      <c r="LSL160" s="3060"/>
      <c r="LSM160" s="3060"/>
      <c r="LSN160" s="3060"/>
      <c r="LSO160" s="3060"/>
      <c r="LSP160" s="3060"/>
      <c r="LSQ160" s="3060"/>
      <c r="LSR160" s="3060"/>
      <c r="LSS160" s="3060"/>
      <c r="LST160" s="3060"/>
      <c r="LSU160" s="3060"/>
      <c r="LSV160" s="3060"/>
      <c r="LSW160" s="3060"/>
      <c r="LSX160" s="3060"/>
      <c r="LSY160" s="3060"/>
      <c r="LSZ160" s="3060"/>
      <c r="LTA160" s="3060"/>
      <c r="LTB160" s="3060"/>
      <c r="LTC160" s="3060"/>
      <c r="LTD160" s="3060"/>
      <c r="LTE160" s="3060"/>
      <c r="LTF160" s="3060"/>
      <c r="LTG160" s="3060"/>
      <c r="LTH160" s="3060"/>
      <c r="LTI160" s="3060"/>
      <c r="LTJ160" s="3060"/>
      <c r="LTK160" s="3060"/>
      <c r="LTL160" s="3060"/>
      <c r="LTM160" s="3060"/>
      <c r="LTN160" s="3060"/>
      <c r="LTO160" s="3060"/>
      <c r="LTP160" s="3060"/>
      <c r="LTQ160" s="3060"/>
      <c r="LTR160" s="3060"/>
      <c r="LTS160" s="3060"/>
      <c r="LTT160" s="3060"/>
      <c r="LTU160" s="3060"/>
      <c r="LTV160" s="3060"/>
      <c r="LTW160" s="3060"/>
      <c r="LTX160" s="3060"/>
      <c r="LTY160" s="3060"/>
      <c r="LTZ160" s="3060"/>
      <c r="LUA160" s="3060"/>
      <c r="LUB160" s="3060"/>
      <c r="LUC160" s="3060"/>
      <c r="LUD160" s="3060"/>
      <c r="LUE160" s="3060"/>
      <c r="LUF160" s="3060"/>
      <c r="LUG160" s="3060"/>
      <c r="LUH160" s="3060"/>
      <c r="LUI160" s="3060"/>
      <c r="LUJ160" s="3060"/>
      <c r="LUK160" s="3060"/>
      <c r="LUL160" s="3060"/>
      <c r="LUM160" s="3060"/>
      <c r="LUN160" s="3060"/>
      <c r="LUO160" s="3060"/>
      <c r="LUP160" s="3060"/>
      <c r="LUQ160" s="3060"/>
      <c r="LUR160" s="3060"/>
      <c r="LUS160" s="3060"/>
      <c r="LUT160" s="3060"/>
      <c r="LUU160" s="3060"/>
      <c r="LUV160" s="3060"/>
      <c r="LUW160" s="3060"/>
      <c r="LUX160" s="3060"/>
      <c r="LUY160" s="3060"/>
      <c r="LUZ160" s="3060"/>
      <c r="LVA160" s="3060"/>
      <c r="LVB160" s="3060"/>
      <c r="LVC160" s="3060"/>
      <c r="LVD160" s="3060"/>
      <c r="LVE160" s="3060"/>
      <c r="LVF160" s="3060"/>
      <c r="LVG160" s="3060"/>
      <c r="LVH160" s="3060"/>
      <c r="LVI160" s="3060"/>
      <c r="LVJ160" s="3060"/>
      <c r="LVK160" s="3060"/>
      <c r="LVL160" s="3060"/>
      <c r="LVM160" s="3060"/>
      <c r="LVN160" s="3060"/>
      <c r="LVO160" s="3060"/>
      <c r="LVP160" s="3060"/>
      <c r="LVQ160" s="3060"/>
      <c r="LVR160" s="3060"/>
      <c r="LVS160" s="3060"/>
      <c r="LVT160" s="3060"/>
      <c r="LVU160" s="3060"/>
      <c r="LVV160" s="3060"/>
      <c r="LVW160" s="3060"/>
      <c r="LVX160" s="3060"/>
      <c r="LVY160" s="3060"/>
      <c r="LVZ160" s="3060"/>
      <c r="LWA160" s="3060"/>
      <c r="LWB160" s="3060"/>
      <c r="LWC160" s="3060"/>
      <c r="LWD160" s="3060"/>
      <c r="LWE160" s="3060"/>
      <c r="LWF160" s="3060"/>
      <c r="LWG160" s="3060"/>
      <c r="LWH160" s="3060"/>
      <c r="LWI160" s="3060"/>
      <c r="LWJ160" s="3060"/>
      <c r="LWK160" s="3060"/>
      <c r="LWL160" s="3060"/>
      <c r="LWM160" s="3060"/>
      <c r="LWN160" s="3060"/>
      <c r="LWO160" s="3060"/>
      <c r="LWP160" s="3060"/>
      <c r="LWQ160" s="3060"/>
      <c r="LWR160" s="3060"/>
      <c r="LWS160" s="3060"/>
      <c r="LWT160" s="3060"/>
      <c r="LWU160" s="3060"/>
      <c r="LWV160" s="3060"/>
      <c r="LWW160" s="3060"/>
      <c r="LWX160" s="3060"/>
      <c r="LWY160" s="3060"/>
      <c r="LWZ160" s="3060"/>
      <c r="LXA160" s="3060"/>
      <c r="LXB160" s="3060"/>
      <c r="LXC160" s="3060"/>
      <c r="LXD160" s="3060"/>
      <c r="LXE160" s="3060"/>
      <c r="LXF160" s="3060"/>
      <c r="LXG160" s="3060"/>
      <c r="LXH160" s="3060"/>
      <c r="LXI160" s="3060"/>
      <c r="LXJ160" s="3060"/>
      <c r="LXK160" s="3060"/>
      <c r="LXL160" s="3060"/>
      <c r="LXM160" s="3060"/>
      <c r="LXN160" s="3060"/>
      <c r="LXO160" s="3060"/>
      <c r="LXP160" s="3060"/>
      <c r="LXQ160" s="3060"/>
      <c r="LXR160" s="3060"/>
      <c r="LXS160" s="3060"/>
      <c r="LXT160" s="3060"/>
      <c r="LXU160" s="3060"/>
      <c r="LXV160" s="3060"/>
      <c r="LXW160" s="3060"/>
      <c r="LXX160" s="3060"/>
      <c r="LXY160" s="3060"/>
      <c r="LXZ160" s="3060"/>
      <c r="LYA160" s="3060"/>
      <c r="LYB160" s="3060"/>
      <c r="LYC160" s="3060"/>
      <c r="LYD160" s="3060"/>
      <c r="LYE160" s="3060"/>
      <c r="LYF160" s="3060"/>
      <c r="LYG160" s="3060"/>
      <c r="LYH160" s="3060"/>
      <c r="LYI160" s="3060"/>
      <c r="LYJ160" s="3060"/>
      <c r="LYK160" s="3060"/>
      <c r="LYL160" s="3060"/>
      <c r="LYM160" s="3060"/>
      <c r="LYN160" s="3060"/>
      <c r="LYO160" s="3060"/>
      <c r="LYP160" s="3060"/>
      <c r="LYQ160" s="3060"/>
      <c r="LYR160" s="3060"/>
      <c r="LYS160" s="3060"/>
      <c r="LYT160" s="3060"/>
      <c r="LYU160" s="3060"/>
      <c r="LYV160" s="3060"/>
      <c r="LYW160" s="3060"/>
      <c r="LYX160" s="3060"/>
      <c r="LYY160" s="3060"/>
      <c r="LYZ160" s="3060"/>
      <c r="LZA160" s="3060"/>
      <c r="LZB160" s="3060"/>
      <c r="LZC160" s="3060"/>
      <c r="LZD160" s="3060"/>
      <c r="LZE160" s="3060"/>
      <c r="LZF160" s="3060"/>
      <c r="LZG160" s="3060"/>
      <c r="LZH160" s="3060"/>
      <c r="LZI160" s="3060"/>
      <c r="LZJ160" s="3060"/>
      <c r="LZK160" s="3060"/>
      <c r="LZL160" s="3060"/>
      <c r="LZM160" s="3060"/>
      <c r="LZN160" s="3060"/>
      <c r="LZO160" s="3060"/>
      <c r="LZP160" s="3060"/>
      <c r="LZQ160" s="3060"/>
      <c r="LZR160" s="3060"/>
      <c r="LZS160" s="3060"/>
      <c r="LZT160" s="3060"/>
      <c r="LZU160" s="3060"/>
      <c r="LZV160" s="3060"/>
      <c r="LZW160" s="3060"/>
      <c r="LZX160" s="3060"/>
      <c r="LZY160" s="3060"/>
      <c r="LZZ160" s="3060"/>
      <c r="MAA160" s="3060"/>
      <c r="MAB160" s="3060"/>
      <c r="MAC160" s="3060"/>
      <c r="MAD160" s="3060"/>
      <c r="MAE160" s="3060"/>
      <c r="MAF160" s="3060"/>
      <c r="MAG160" s="3060"/>
      <c r="MAH160" s="3060"/>
      <c r="MAI160" s="3060"/>
      <c r="MAJ160" s="3060"/>
      <c r="MAK160" s="3060"/>
      <c r="MAL160" s="3060"/>
      <c r="MAM160" s="3060"/>
      <c r="MAN160" s="3060"/>
      <c r="MAO160" s="3060"/>
      <c r="MAP160" s="3060"/>
      <c r="MAQ160" s="3060"/>
      <c r="MAR160" s="3060"/>
      <c r="MAS160" s="3060"/>
      <c r="MAT160" s="3060"/>
      <c r="MAU160" s="3060"/>
      <c r="MAV160" s="3060"/>
      <c r="MAW160" s="3060"/>
      <c r="MAX160" s="3060"/>
      <c r="MAY160" s="3060"/>
      <c r="MAZ160" s="3060"/>
      <c r="MBA160" s="3060"/>
      <c r="MBB160" s="3060"/>
      <c r="MBC160" s="3060"/>
      <c r="MBD160" s="3060"/>
      <c r="MBE160" s="3060"/>
      <c r="MBF160" s="3060"/>
      <c r="MBG160" s="3060"/>
      <c r="MBH160" s="3060"/>
      <c r="MBI160" s="3060"/>
      <c r="MBJ160" s="3060"/>
      <c r="MBK160" s="3060"/>
      <c r="MBL160" s="3060"/>
      <c r="MBM160" s="3060"/>
      <c r="MBN160" s="3060"/>
      <c r="MBO160" s="3060"/>
      <c r="MBP160" s="3060"/>
      <c r="MBQ160" s="3060"/>
      <c r="MBR160" s="3060"/>
      <c r="MBS160" s="3060"/>
      <c r="MBT160" s="3060"/>
      <c r="MBU160" s="3060"/>
      <c r="MBV160" s="3060"/>
      <c r="MBW160" s="3060"/>
      <c r="MBX160" s="3060"/>
      <c r="MBY160" s="3060"/>
      <c r="MBZ160" s="3060"/>
      <c r="MCA160" s="3060"/>
      <c r="MCB160" s="3060"/>
      <c r="MCC160" s="3060"/>
      <c r="MCD160" s="3060"/>
      <c r="MCE160" s="3060"/>
      <c r="MCF160" s="3060"/>
      <c r="MCG160" s="3060"/>
      <c r="MCH160" s="3060"/>
      <c r="MCI160" s="3060"/>
      <c r="MCJ160" s="3060"/>
      <c r="MCK160" s="3060"/>
      <c r="MCL160" s="3060"/>
      <c r="MCM160" s="3060"/>
      <c r="MCN160" s="3060"/>
      <c r="MCO160" s="3060"/>
      <c r="MCP160" s="3060"/>
      <c r="MCQ160" s="3060"/>
      <c r="MCR160" s="3060"/>
      <c r="MCS160" s="3060"/>
      <c r="MCT160" s="3060"/>
      <c r="MCU160" s="3060"/>
      <c r="MCV160" s="3060"/>
      <c r="MCW160" s="3060"/>
      <c r="MCX160" s="3060"/>
      <c r="MCY160" s="3060"/>
      <c r="MCZ160" s="3060"/>
      <c r="MDA160" s="3060"/>
      <c r="MDB160" s="3060"/>
      <c r="MDC160" s="3060"/>
      <c r="MDD160" s="3060"/>
      <c r="MDE160" s="3060"/>
      <c r="MDF160" s="3060"/>
      <c r="MDG160" s="3060"/>
      <c r="MDH160" s="3060"/>
      <c r="MDI160" s="3060"/>
      <c r="MDJ160" s="3060"/>
      <c r="MDK160" s="3060"/>
      <c r="MDL160" s="3060"/>
      <c r="MDM160" s="3060"/>
      <c r="MDN160" s="3060"/>
      <c r="MDO160" s="3060"/>
      <c r="MDP160" s="3060"/>
      <c r="MDQ160" s="3060"/>
      <c r="MDR160" s="3060"/>
      <c r="MDS160" s="3060"/>
      <c r="MDT160" s="3060"/>
      <c r="MDU160" s="3060"/>
      <c r="MDV160" s="3060"/>
      <c r="MDW160" s="3060"/>
      <c r="MDX160" s="3060"/>
      <c r="MDY160" s="3060"/>
      <c r="MDZ160" s="3060"/>
      <c r="MEA160" s="3060"/>
      <c r="MEB160" s="3060"/>
      <c r="MEC160" s="3060"/>
      <c r="MED160" s="3060"/>
      <c r="MEE160" s="3060"/>
      <c r="MEF160" s="3060"/>
      <c r="MEG160" s="3060"/>
      <c r="MEH160" s="3060"/>
      <c r="MEI160" s="3060"/>
      <c r="MEJ160" s="3060"/>
      <c r="MEK160" s="3060"/>
      <c r="MEL160" s="3060"/>
      <c r="MEM160" s="3060"/>
      <c r="MEN160" s="3060"/>
      <c r="MEO160" s="3060"/>
      <c r="MEP160" s="3060"/>
      <c r="MEQ160" s="3060"/>
      <c r="MER160" s="3060"/>
      <c r="MES160" s="3060"/>
      <c r="MET160" s="3060"/>
      <c r="MEU160" s="3060"/>
      <c r="MEV160" s="3060"/>
      <c r="MEW160" s="3060"/>
      <c r="MEX160" s="3060"/>
      <c r="MEY160" s="3060"/>
      <c r="MEZ160" s="3060"/>
      <c r="MFA160" s="3060"/>
      <c r="MFB160" s="3060"/>
      <c r="MFC160" s="3060"/>
      <c r="MFD160" s="3060"/>
      <c r="MFE160" s="3060"/>
      <c r="MFF160" s="3060"/>
      <c r="MFG160" s="3060"/>
      <c r="MFH160" s="3060"/>
      <c r="MFI160" s="3060"/>
      <c r="MFJ160" s="3060"/>
      <c r="MFK160" s="3060"/>
      <c r="MFL160" s="3060"/>
      <c r="MFM160" s="3060"/>
      <c r="MFN160" s="3060"/>
      <c r="MFO160" s="3060"/>
      <c r="MFP160" s="3060"/>
      <c r="MFQ160" s="3060"/>
      <c r="MFR160" s="3060"/>
      <c r="MFS160" s="3060"/>
      <c r="MFT160" s="3060"/>
      <c r="MFU160" s="3060"/>
      <c r="MFV160" s="3060"/>
      <c r="MFW160" s="3060"/>
      <c r="MFX160" s="3060"/>
      <c r="MFY160" s="3060"/>
      <c r="MFZ160" s="3060"/>
      <c r="MGA160" s="3060"/>
      <c r="MGB160" s="3060"/>
      <c r="MGC160" s="3060"/>
      <c r="MGD160" s="3060"/>
      <c r="MGE160" s="3060"/>
      <c r="MGF160" s="3060"/>
      <c r="MGG160" s="3060"/>
      <c r="MGH160" s="3060"/>
      <c r="MGI160" s="3060"/>
      <c r="MGJ160" s="3060"/>
      <c r="MGK160" s="3060"/>
      <c r="MGL160" s="3060"/>
      <c r="MGM160" s="3060"/>
      <c r="MGN160" s="3060"/>
      <c r="MGO160" s="3060"/>
      <c r="MGP160" s="3060"/>
      <c r="MGQ160" s="3060"/>
      <c r="MGR160" s="3060"/>
      <c r="MGS160" s="3060"/>
      <c r="MGT160" s="3060"/>
      <c r="MGU160" s="3060"/>
      <c r="MGV160" s="3060"/>
      <c r="MGW160" s="3060"/>
      <c r="MGX160" s="3060"/>
      <c r="MGY160" s="3060"/>
      <c r="MGZ160" s="3060"/>
      <c r="MHA160" s="3060"/>
      <c r="MHB160" s="3060"/>
      <c r="MHC160" s="3060"/>
      <c r="MHD160" s="3060"/>
      <c r="MHE160" s="3060"/>
      <c r="MHF160" s="3060"/>
      <c r="MHG160" s="3060"/>
      <c r="MHH160" s="3060"/>
      <c r="MHI160" s="3060"/>
      <c r="MHJ160" s="3060"/>
      <c r="MHK160" s="3060"/>
      <c r="MHL160" s="3060"/>
      <c r="MHM160" s="3060"/>
      <c r="MHN160" s="3060"/>
      <c r="MHO160" s="3060"/>
      <c r="MHP160" s="3060"/>
      <c r="MHQ160" s="3060"/>
      <c r="MHR160" s="3060"/>
      <c r="MHS160" s="3060"/>
      <c r="MHT160" s="3060"/>
      <c r="MHU160" s="3060"/>
      <c r="MHV160" s="3060"/>
      <c r="MHW160" s="3060"/>
      <c r="MHX160" s="3060"/>
      <c r="MHY160" s="3060"/>
      <c r="MHZ160" s="3060"/>
      <c r="MIA160" s="3060"/>
      <c r="MIB160" s="3060"/>
      <c r="MIC160" s="3060"/>
      <c r="MID160" s="3060"/>
      <c r="MIE160" s="3060"/>
      <c r="MIF160" s="3060"/>
      <c r="MIG160" s="3060"/>
      <c r="MIH160" s="3060"/>
      <c r="MII160" s="3060"/>
      <c r="MIJ160" s="3060"/>
      <c r="MIK160" s="3060"/>
      <c r="MIL160" s="3060"/>
      <c r="MIM160" s="3060"/>
      <c r="MIN160" s="3060"/>
      <c r="MIO160" s="3060"/>
      <c r="MIP160" s="3060"/>
      <c r="MIQ160" s="3060"/>
      <c r="MIR160" s="3060"/>
      <c r="MIS160" s="3060"/>
      <c r="MIT160" s="3060"/>
      <c r="MIU160" s="3060"/>
      <c r="MIV160" s="3060"/>
      <c r="MIW160" s="3060"/>
      <c r="MIX160" s="3060"/>
      <c r="MIY160" s="3060"/>
      <c r="MIZ160" s="3060"/>
      <c r="MJA160" s="3060"/>
      <c r="MJB160" s="3060"/>
      <c r="MJC160" s="3060"/>
      <c r="MJD160" s="3060"/>
      <c r="MJE160" s="3060"/>
      <c r="MJF160" s="3060"/>
      <c r="MJG160" s="3060"/>
      <c r="MJH160" s="3060"/>
      <c r="MJI160" s="3060"/>
      <c r="MJJ160" s="3060"/>
      <c r="MJK160" s="3060"/>
      <c r="MJL160" s="3060"/>
      <c r="MJM160" s="3060"/>
      <c r="MJN160" s="3060"/>
      <c r="MJO160" s="3060"/>
      <c r="MJP160" s="3060"/>
      <c r="MJQ160" s="3060"/>
      <c r="MJR160" s="3060"/>
      <c r="MJS160" s="3060"/>
      <c r="MJT160" s="3060"/>
      <c r="MJU160" s="3060"/>
      <c r="MJV160" s="3060"/>
      <c r="MJW160" s="3060"/>
      <c r="MJX160" s="3060"/>
      <c r="MJY160" s="3060"/>
      <c r="MJZ160" s="3060"/>
      <c r="MKA160" s="3060"/>
      <c r="MKB160" s="3060"/>
      <c r="MKC160" s="3060"/>
      <c r="MKD160" s="3060"/>
      <c r="MKE160" s="3060"/>
      <c r="MKF160" s="3060"/>
      <c r="MKG160" s="3060"/>
      <c r="MKH160" s="3060"/>
      <c r="MKI160" s="3060"/>
      <c r="MKJ160" s="3060"/>
      <c r="MKK160" s="3060"/>
      <c r="MKL160" s="3060"/>
      <c r="MKM160" s="3060"/>
      <c r="MKN160" s="3060"/>
      <c r="MKO160" s="3060"/>
      <c r="MKP160" s="3060"/>
      <c r="MKQ160" s="3060"/>
      <c r="MKR160" s="3060"/>
      <c r="MKS160" s="3060"/>
      <c r="MKT160" s="3060"/>
      <c r="MKU160" s="3060"/>
      <c r="MKV160" s="3060"/>
      <c r="MKW160" s="3060"/>
      <c r="MKX160" s="3060"/>
      <c r="MKY160" s="3060"/>
      <c r="MKZ160" s="3060"/>
      <c r="MLA160" s="3060"/>
      <c r="MLB160" s="3060"/>
      <c r="MLC160" s="3060"/>
      <c r="MLD160" s="3060"/>
      <c r="MLE160" s="3060"/>
      <c r="MLF160" s="3060"/>
      <c r="MLG160" s="3060"/>
      <c r="MLH160" s="3060"/>
      <c r="MLI160" s="3060"/>
      <c r="MLJ160" s="3060"/>
      <c r="MLK160" s="3060"/>
      <c r="MLL160" s="3060"/>
      <c r="MLM160" s="3060"/>
      <c r="MLN160" s="3060"/>
      <c r="MLO160" s="3060"/>
      <c r="MLP160" s="3060"/>
      <c r="MLQ160" s="3060"/>
      <c r="MLR160" s="3060"/>
      <c r="MLS160" s="3060"/>
      <c r="MLT160" s="3060"/>
      <c r="MLU160" s="3060"/>
      <c r="MLV160" s="3060"/>
      <c r="MLW160" s="3060"/>
      <c r="MLX160" s="3060"/>
      <c r="MLY160" s="3060"/>
      <c r="MLZ160" s="3060"/>
      <c r="MMA160" s="3060"/>
      <c r="MMB160" s="3060"/>
      <c r="MMC160" s="3060"/>
      <c r="MMD160" s="3060"/>
      <c r="MME160" s="3060"/>
      <c r="MMF160" s="3060"/>
      <c r="MMG160" s="3060"/>
      <c r="MMH160" s="3060"/>
      <c r="MMI160" s="3060"/>
      <c r="MMJ160" s="3060"/>
      <c r="MMK160" s="3060"/>
      <c r="MML160" s="3060"/>
      <c r="MMM160" s="3060"/>
      <c r="MMN160" s="3060"/>
      <c r="MMO160" s="3060"/>
      <c r="MMP160" s="3060"/>
      <c r="MMQ160" s="3060"/>
      <c r="MMR160" s="3060"/>
      <c r="MMS160" s="3060"/>
      <c r="MMT160" s="3060"/>
      <c r="MMU160" s="3060"/>
      <c r="MMV160" s="3060"/>
      <c r="MMW160" s="3060"/>
      <c r="MMX160" s="3060"/>
      <c r="MMY160" s="3060"/>
      <c r="MMZ160" s="3060"/>
      <c r="MNA160" s="3060"/>
      <c r="MNB160" s="3060"/>
      <c r="MNC160" s="3060"/>
      <c r="MND160" s="3060"/>
      <c r="MNE160" s="3060"/>
      <c r="MNF160" s="3060"/>
      <c r="MNG160" s="3060"/>
      <c r="MNH160" s="3060"/>
      <c r="MNI160" s="3060"/>
      <c r="MNJ160" s="3060"/>
      <c r="MNK160" s="3060"/>
      <c r="MNL160" s="3060"/>
      <c r="MNM160" s="3060"/>
      <c r="MNN160" s="3060"/>
      <c r="MNO160" s="3060"/>
      <c r="MNP160" s="3060"/>
      <c r="MNQ160" s="3060"/>
      <c r="MNR160" s="3060"/>
      <c r="MNS160" s="3060"/>
      <c r="MNT160" s="3060"/>
      <c r="MNU160" s="3060"/>
      <c r="MNV160" s="3060"/>
      <c r="MNW160" s="3060"/>
      <c r="MNX160" s="3060"/>
      <c r="MNY160" s="3060"/>
      <c r="MNZ160" s="3060"/>
      <c r="MOA160" s="3060"/>
      <c r="MOB160" s="3060"/>
      <c r="MOC160" s="3060"/>
      <c r="MOD160" s="3060"/>
      <c r="MOE160" s="3060"/>
      <c r="MOF160" s="3060"/>
      <c r="MOG160" s="3060"/>
      <c r="MOH160" s="3060"/>
      <c r="MOI160" s="3060"/>
      <c r="MOJ160" s="3060"/>
      <c r="MOK160" s="3060"/>
      <c r="MOL160" s="3060"/>
      <c r="MOM160" s="3060"/>
      <c r="MON160" s="3060"/>
      <c r="MOO160" s="3060"/>
      <c r="MOP160" s="3060"/>
      <c r="MOQ160" s="3060"/>
      <c r="MOR160" s="3060"/>
      <c r="MOS160" s="3060"/>
      <c r="MOT160" s="3060"/>
      <c r="MOU160" s="3060"/>
      <c r="MOV160" s="3060"/>
      <c r="MOW160" s="3060"/>
      <c r="MOX160" s="3060"/>
      <c r="MOY160" s="3060"/>
      <c r="MOZ160" s="3060"/>
      <c r="MPA160" s="3060"/>
      <c r="MPB160" s="3060"/>
      <c r="MPC160" s="3060"/>
      <c r="MPD160" s="3060"/>
      <c r="MPE160" s="3060"/>
      <c r="MPF160" s="3060"/>
      <c r="MPG160" s="3060"/>
      <c r="MPH160" s="3060"/>
      <c r="MPI160" s="3060"/>
      <c r="MPJ160" s="3060"/>
      <c r="MPK160" s="3060"/>
      <c r="MPL160" s="3060"/>
      <c r="MPM160" s="3060"/>
      <c r="MPN160" s="3060"/>
      <c r="MPO160" s="3060"/>
      <c r="MPP160" s="3060"/>
      <c r="MPQ160" s="3060"/>
      <c r="MPR160" s="3060"/>
      <c r="MPS160" s="3060"/>
      <c r="MPT160" s="3060"/>
      <c r="MPU160" s="3060"/>
      <c r="MPV160" s="3060"/>
      <c r="MPW160" s="3060"/>
      <c r="MPX160" s="3060"/>
      <c r="MPY160" s="3060"/>
      <c r="MPZ160" s="3060"/>
      <c r="MQA160" s="3060"/>
      <c r="MQB160" s="3060"/>
      <c r="MQC160" s="3060"/>
      <c r="MQD160" s="3060"/>
      <c r="MQE160" s="3060"/>
      <c r="MQF160" s="3060"/>
      <c r="MQG160" s="3060"/>
      <c r="MQH160" s="3060"/>
      <c r="MQI160" s="3060"/>
      <c r="MQJ160" s="3060"/>
      <c r="MQK160" s="3060"/>
      <c r="MQL160" s="3060"/>
      <c r="MQM160" s="3060"/>
      <c r="MQN160" s="3060"/>
      <c r="MQO160" s="3060"/>
      <c r="MQP160" s="3060"/>
      <c r="MQQ160" s="3060"/>
      <c r="MQR160" s="3060"/>
      <c r="MQS160" s="3060"/>
      <c r="MQT160" s="3060"/>
      <c r="MQU160" s="3060"/>
      <c r="MQV160" s="3060"/>
      <c r="MQW160" s="3060"/>
      <c r="MQX160" s="3060"/>
      <c r="MQY160" s="3060"/>
      <c r="MQZ160" s="3060"/>
      <c r="MRA160" s="3060"/>
      <c r="MRB160" s="3060"/>
      <c r="MRC160" s="3060"/>
      <c r="MRD160" s="3060"/>
      <c r="MRE160" s="3060"/>
      <c r="MRF160" s="3060"/>
      <c r="MRG160" s="3060"/>
      <c r="MRH160" s="3060"/>
      <c r="MRI160" s="3060"/>
      <c r="MRJ160" s="3060"/>
      <c r="MRK160" s="3060"/>
      <c r="MRL160" s="3060"/>
      <c r="MRM160" s="3060"/>
      <c r="MRN160" s="3060"/>
      <c r="MRO160" s="3060"/>
      <c r="MRP160" s="3060"/>
      <c r="MRQ160" s="3060"/>
      <c r="MRR160" s="3060"/>
      <c r="MRS160" s="3060"/>
      <c r="MRT160" s="3060"/>
      <c r="MRU160" s="3060"/>
      <c r="MRV160" s="3060"/>
      <c r="MRW160" s="3060"/>
      <c r="MRX160" s="3060"/>
      <c r="MRY160" s="3060"/>
      <c r="MRZ160" s="3060"/>
      <c r="MSA160" s="3060"/>
      <c r="MSB160" s="3060"/>
      <c r="MSC160" s="3060"/>
      <c r="MSD160" s="3060"/>
      <c r="MSE160" s="3060"/>
      <c r="MSF160" s="3060"/>
      <c r="MSG160" s="3060"/>
      <c r="MSH160" s="3060"/>
      <c r="MSI160" s="3060"/>
      <c r="MSJ160" s="3060"/>
      <c r="MSK160" s="3060"/>
      <c r="MSL160" s="3060"/>
      <c r="MSM160" s="3060"/>
      <c r="MSN160" s="3060"/>
      <c r="MSO160" s="3060"/>
      <c r="MSP160" s="3060"/>
      <c r="MSQ160" s="3060"/>
      <c r="MSR160" s="3060"/>
      <c r="MSS160" s="3060"/>
      <c r="MST160" s="3060"/>
      <c r="MSU160" s="3060"/>
      <c r="MSV160" s="3060"/>
      <c r="MSW160" s="3060"/>
      <c r="MSX160" s="3060"/>
      <c r="MSY160" s="3060"/>
      <c r="MSZ160" s="3060"/>
      <c r="MTA160" s="3060"/>
      <c r="MTB160" s="3060"/>
      <c r="MTC160" s="3060"/>
      <c r="MTD160" s="3060"/>
      <c r="MTE160" s="3060"/>
      <c r="MTF160" s="3060"/>
      <c r="MTG160" s="3060"/>
      <c r="MTH160" s="3060"/>
      <c r="MTI160" s="3060"/>
      <c r="MTJ160" s="3060"/>
      <c r="MTK160" s="3060"/>
      <c r="MTL160" s="3060"/>
      <c r="MTM160" s="3060"/>
      <c r="MTN160" s="3060"/>
      <c r="MTO160" s="3060"/>
      <c r="MTP160" s="3060"/>
      <c r="MTQ160" s="3060"/>
      <c r="MTR160" s="3060"/>
      <c r="MTS160" s="3060"/>
      <c r="MTT160" s="3060"/>
      <c r="MTU160" s="3060"/>
      <c r="MTV160" s="3060"/>
      <c r="MTW160" s="3060"/>
      <c r="MTX160" s="3060"/>
      <c r="MTY160" s="3060"/>
      <c r="MTZ160" s="3060"/>
      <c r="MUA160" s="3060"/>
      <c r="MUB160" s="3060"/>
      <c r="MUC160" s="3060"/>
      <c r="MUD160" s="3060"/>
      <c r="MUE160" s="3060"/>
      <c r="MUF160" s="3060"/>
      <c r="MUG160" s="3060"/>
      <c r="MUH160" s="3060"/>
      <c r="MUI160" s="3060"/>
      <c r="MUJ160" s="3060"/>
      <c r="MUK160" s="3060"/>
      <c r="MUL160" s="3060"/>
      <c r="MUM160" s="3060"/>
      <c r="MUN160" s="3060"/>
      <c r="MUO160" s="3060"/>
      <c r="MUP160" s="3060"/>
      <c r="MUQ160" s="3060"/>
      <c r="MUR160" s="3060"/>
      <c r="MUS160" s="3060"/>
      <c r="MUT160" s="3060"/>
      <c r="MUU160" s="3060"/>
      <c r="MUV160" s="3060"/>
      <c r="MUW160" s="3060"/>
      <c r="MUX160" s="3060"/>
      <c r="MUY160" s="3060"/>
      <c r="MUZ160" s="3060"/>
      <c r="MVA160" s="3060"/>
      <c r="MVB160" s="3060"/>
      <c r="MVC160" s="3060"/>
      <c r="MVD160" s="3060"/>
      <c r="MVE160" s="3060"/>
      <c r="MVF160" s="3060"/>
      <c r="MVG160" s="3060"/>
      <c r="MVH160" s="3060"/>
      <c r="MVI160" s="3060"/>
      <c r="MVJ160" s="3060"/>
      <c r="MVK160" s="3060"/>
      <c r="MVL160" s="3060"/>
      <c r="MVM160" s="3060"/>
      <c r="MVN160" s="3060"/>
      <c r="MVO160" s="3060"/>
      <c r="MVP160" s="3060"/>
      <c r="MVQ160" s="3060"/>
      <c r="MVR160" s="3060"/>
      <c r="MVS160" s="3060"/>
      <c r="MVT160" s="3060"/>
      <c r="MVU160" s="3060"/>
      <c r="MVV160" s="3060"/>
      <c r="MVW160" s="3060"/>
      <c r="MVX160" s="3060"/>
      <c r="MVY160" s="3060"/>
      <c r="MVZ160" s="3060"/>
      <c r="MWA160" s="3060"/>
      <c r="MWB160" s="3060"/>
      <c r="MWC160" s="3060"/>
      <c r="MWD160" s="3060"/>
      <c r="MWE160" s="3060"/>
      <c r="MWF160" s="3060"/>
      <c r="MWG160" s="3060"/>
      <c r="MWH160" s="3060"/>
      <c r="MWI160" s="3060"/>
      <c r="MWJ160" s="3060"/>
      <c r="MWK160" s="3060"/>
      <c r="MWL160" s="3060"/>
      <c r="MWM160" s="3060"/>
      <c r="MWN160" s="3060"/>
      <c r="MWO160" s="3060"/>
      <c r="MWP160" s="3060"/>
      <c r="MWQ160" s="3060"/>
      <c r="MWR160" s="3060"/>
      <c r="MWS160" s="3060"/>
      <c r="MWT160" s="3060"/>
      <c r="MWU160" s="3060"/>
      <c r="MWV160" s="3060"/>
      <c r="MWW160" s="3060"/>
      <c r="MWX160" s="3060"/>
      <c r="MWY160" s="3060"/>
      <c r="MWZ160" s="3060"/>
      <c r="MXA160" s="3060"/>
      <c r="MXB160" s="3060"/>
      <c r="MXC160" s="3060"/>
      <c r="MXD160" s="3060"/>
      <c r="MXE160" s="3060"/>
      <c r="MXF160" s="3060"/>
      <c r="MXG160" s="3060"/>
      <c r="MXH160" s="3060"/>
      <c r="MXI160" s="3060"/>
      <c r="MXJ160" s="3060"/>
      <c r="MXK160" s="3060"/>
      <c r="MXL160" s="3060"/>
      <c r="MXM160" s="3060"/>
      <c r="MXN160" s="3060"/>
      <c r="MXO160" s="3060"/>
      <c r="MXP160" s="3060"/>
      <c r="MXQ160" s="3060"/>
      <c r="MXR160" s="3060"/>
      <c r="MXS160" s="3060"/>
      <c r="MXT160" s="3060"/>
      <c r="MXU160" s="3060"/>
      <c r="MXV160" s="3060"/>
      <c r="MXW160" s="3060"/>
      <c r="MXX160" s="3060"/>
      <c r="MXY160" s="3060"/>
      <c r="MXZ160" s="3060"/>
      <c r="MYA160" s="3060"/>
      <c r="MYB160" s="3060"/>
      <c r="MYC160" s="3060"/>
      <c r="MYD160" s="3060"/>
      <c r="MYE160" s="3060"/>
      <c r="MYF160" s="3060"/>
      <c r="MYG160" s="3060"/>
      <c r="MYH160" s="3060"/>
      <c r="MYI160" s="3060"/>
      <c r="MYJ160" s="3060"/>
      <c r="MYK160" s="3060"/>
      <c r="MYL160" s="3060"/>
      <c r="MYM160" s="3060"/>
      <c r="MYN160" s="3060"/>
      <c r="MYO160" s="3060"/>
      <c r="MYP160" s="3060"/>
      <c r="MYQ160" s="3060"/>
      <c r="MYR160" s="3060"/>
      <c r="MYS160" s="3060"/>
      <c r="MYT160" s="3060"/>
      <c r="MYU160" s="3060"/>
      <c r="MYV160" s="3060"/>
      <c r="MYW160" s="3060"/>
      <c r="MYX160" s="3060"/>
      <c r="MYY160" s="3060"/>
      <c r="MYZ160" s="3060"/>
      <c r="MZA160" s="3060"/>
      <c r="MZB160" s="3060"/>
      <c r="MZC160" s="3060"/>
      <c r="MZD160" s="3060"/>
      <c r="MZE160" s="3060"/>
      <c r="MZF160" s="3060"/>
      <c r="MZG160" s="3060"/>
      <c r="MZH160" s="3060"/>
      <c r="MZI160" s="3060"/>
      <c r="MZJ160" s="3060"/>
      <c r="MZK160" s="3060"/>
      <c r="MZL160" s="3060"/>
      <c r="MZM160" s="3060"/>
      <c r="MZN160" s="3060"/>
      <c r="MZO160" s="3060"/>
      <c r="MZP160" s="3060"/>
      <c r="MZQ160" s="3060"/>
      <c r="MZR160" s="3060"/>
      <c r="MZS160" s="3060"/>
      <c r="MZT160" s="3060"/>
      <c r="MZU160" s="3060"/>
      <c r="MZV160" s="3060"/>
      <c r="MZW160" s="3060"/>
      <c r="MZX160" s="3060"/>
      <c r="MZY160" s="3060"/>
      <c r="MZZ160" s="3060"/>
      <c r="NAA160" s="3060"/>
      <c r="NAB160" s="3060"/>
      <c r="NAC160" s="3060"/>
      <c r="NAD160" s="3060"/>
      <c r="NAE160" s="3060"/>
      <c r="NAF160" s="3060"/>
      <c r="NAG160" s="3060"/>
      <c r="NAH160" s="3060"/>
      <c r="NAI160" s="3060"/>
      <c r="NAJ160" s="3060"/>
      <c r="NAK160" s="3060"/>
      <c r="NAL160" s="3060"/>
      <c r="NAM160" s="3060"/>
      <c r="NAN160" s="3060"/>
      <c r="NAO160" s="3060"/>
      <c r="NAP160" s="3060"/>
      <c r="NAQ160" s="3060"/>
      <c r="NAR160" s="3060"/>
      <c r="NAS160" s="3060"/>
      <c r="NAT160" s="3060"/>
      <c r="NAU160" s="3060"/>
      <c r="NAV160" s="3060"/>
      <c r="NAW160" s="3060"/>
      <c r="NAX160" s="3060"/>
      <c r="NAY160" s="3060"/>
      <c r="NAZ160" s="3060"/>
      <c r="NBA160" s="3060"/>
      <c r="NBB160" s="3060"/>
      <c r="NBC160" s="3060"/>
      <c r="NBD160" s="3060"/>
      <c r="NBE160" s="3060"/>
      <c r="NBF160" s="3060"/>
      <c r="NBG160" s="3060"/>
      <c r="NBH160" s="3060"/>
      <c r="NBI160" s="3060"/>
      <c r="NBJ160" s="3060"/>
      <c r="NBK160" s="3060"/>
      <c r="NBL160" s="3060"/>
      <c r="NBM160" s="3060"/>
      <c r="NBN160" s="3060"/>
      <c r="NBO160" s="3060"/>
      <c r="NBP160" s="3060"/>
      <c r="NBQ160" s="3060"/>
      <c r="NBR160" s="3060"/>
      <c r="NBS160" s="3060"/>
      <c r="NBT160" s="3060"/>
      <c r="NBU160" s="3060"/>
      <c r="NBV160" s="3060"/>
      <c r="NBW160" s="3060"/>
      <c r="NBX160" s="3060"/>
      <c r="NBY160" s="3060"/>
      <c r="NBZ160" s="3060"/>
      <c r="NCA160" s="3060"/>
      <c r="NCB160" s="3060"/>
      <c r="NCC160" s="3060"/>
      <c r="NCD160" s="3060"/>
      <c r="NCE160" s="3060"/>
      <c r="NCF160" s="3060"/>
      <c r="NCG160" s="3060"/>
      <c r="NCH160" s="3060"/>
      <c r="NCI160" s="3060"/>
      <c r="NCJ160" s="3060"/>
      <c r="NCK160" s="3060"/>
      <c r="NCL160" s="3060"/>
      <c r="NCM160" s="3060"/>
      <c r="NCN160" s="3060"/>
      <c r="NCO160" s="3060"/>
      <c r="NCP160" s="3060"/>
      <c r="NCQ160" s="3060"/>
      <c r="NCR160" s="3060"/>
      <c r="NCS160" s="3060"/>
      <c r="NCT160" s="3060"/>
      <c r="NCU160" s="3060"/>
      <c r="NCV160" s="3060"/>
      <c r="NCW160" s="3060"/>
      <c r="NCX160" s="3060"/>
      <c r="NCY160" s="3060"/>
      <c r="NCZ160" s="3060"/>
      <c r="NDA160" s="3060"/>
      <c r="NDB160" s="3060"/>
      <c r="NDC160" s="3060"/>
      <c r="NDD160" s="3060"/>
      <c r="NDE160" s="3060"/>
      <c r="NDF160" s="3060"/>
      <c r="NDG160" s="3060"/>
      <c r="NDH160" s="3060"/>
      <c r="NDI160" s="3060"/>
      <c r="NDJ160" s="3060"/>
      <c r="NDK160" s="3060"/>
      <c r="NDL160" s="3060"/>
      <c r="NDM160" s="3060"/>
      <c r="NDN160" s="3060"/>
      <c r="NDO160" s="3060"/>
      <c r="NDP160" s="3060"/>
      <c r="NDQ160" s="3060"/>
      <c r="NDR160" s="3060"/>
      <c r="NDS160" s="3060"/>
      <c r="NDT160" s="3060"/>
      <c r="NDU160" s="3060"/>
      <c r="NDV160" s="3060"/>
      <c r="NDW160" s="3060"/>
      <c r="NDX160" s="3060"/>
      <c r="NDY160" s="3060"/>
      <c r="NDZ160" s="3060"/>
      <c r="NEA160" s="3060"/>
      <c r="NEB160" s="3060"/>
      <c r="NEC160" s="3060"/>
      <c r="NED160" s="3060"/>
      <c r="NEE160" s="3060"/>
      <c r="NEF160" s="3060"/>
      <c r="NEG160" s="3060"/>
      <c r="NEH160" s="3060"/>
      <c r="NEI160" s="3060"/>
      <c r="NEJ160" s="3060"/>
      <c r="NEK160" s="3060"/>
      <c r="NEL160" s="3060"/>
      <c r="NEM160" s="3060"/>
      <c r="NEN160" s="3060"/>
      <c r="NEO160" s="3060"/>
      <c r="NEP160" s="3060"/>
      <c r="NEQ160" s="3060"/>
      <c r="NER160" s="3060"/>
      <c r="NES160" s="3060"/>
      <c r="NET160" s="3060"/>
      <c r="NEU160" s="3060"/>
      <c r="NEV160" s="3060"/>
      <c r="NEW160" s="3060"/>
      <c r="NEX160" s="3060"/>
      <c r="NEY160" s="3060"/>
      <c r="NEZ160" s="3060"/>
      <c r="NFA160" s="3060"/>
      <c r="NFB160" s="3060"/>
      <c r="NFC160" s="3060"/>
      <c r="NFD160" s="3060"/>
      <c r="NFE160" s="3060"/>
      <c r="NFF160" s="3060"/>
      <c r="NFG160" s="3060"/>
      <c r="NFH160" s="3060"/>
      <c r="NFI160" s="3060"/>
      <c r="NFJ160" s="3060"/>
      <c r="NFK160" s="3060"/>
      <c r="NFL160" s="3060"/>
      <c r="NFM160" s="3060"/>
      <c r="NFN160" s="3060"/>
      <c r="NFO160" s="3060"/>
      <c r="NFP160" s="3060"/>
      <c r="NFQ160" s="3060"/>
      <c r="NFR160" s="3060"/>
      <c r="NFS160" s="3060"/>
      <c r="NFT160" s="3060"/>
      <c r="NFU160" s="3060"/>
      <c r="NFV160" s="3060"/>
      <c r="NFW160" s="3060"/>
      <c r="NFX160" s="3060"/>
      <c r="NFY160" s="3060"/>
      <c r="NFZ160" s="3060"/>
      <c r="NGA160" s="3060"/>
      <c r="NGB160" s="3060"/>
      <c r="NGC160" s="3060"/>
      <c r="NGD160" s="3060"/>
      <c r="NGE160" s="3060"/>
      <c r="NGF160" s="3060"/>
      <c r="NGG160" s="3060"/>
      <c r="NGH160" s="3060"/>
      <c r="NGI160" s="3060"/>
      <c r="NGJ160" s="3060"/>
      <c r="NGK160" s="3060"/>
      <c r="NGL160" s="3060"/>
      <c r="NGM160" s="3060"/>
      <c r="NGN160" s="3060"/>
      <c r="NGO160" s="3060"/>
      <c r="NGP160" s="3060"/>
      <c r="NGQ160" s="3060"/>
      <c r="NGR160" s="3060"/>
      <c r="NGS160" s="3060"/>
      <c r="NGT160" s="3060"/>
      <c r="NGU160" s="3060"/>
      <c r="NGV160" s="3060"/>
      <c r="NGW160" s="3060"/>
      <c r="NGX160" s="3060"/>
      <c r="NGY160" s="3060"/>
      <c r="NGZ160" s="3060"/>
      <c r="NHA160" s="3060"/>
      <c r="NHB160" s="3060"/>
      <c r="NHC160" s="3060"/>
      <c r="NHD160" s="3060"/>
      <c r="NHE160" s="3060"/>
      <c r="NHF160" s="3060"/>
      <c r="NHG160" s="3060"/>
      <c r="NHH160" s="3060"/>
      <c r="NHI160" s="3060"/>
      <c r="NHJ160" s="3060"/>
      <c r="NHK160" s="3060"/>
      <c r="NHL160" s="3060"/>
      <c r="NHM160" s="3060"/>
      <c r="NHN160" s="3060"/>
      <c r="NHO160" s="3060"/>
      <c r="NHP160" s="3060"/>
      <c r="NHQ160" s="3060"/>
      <c r="NHR160" s="3060"/>
      <c r="NHS160" s="3060"/>
      <c r="NHT160" s="3060"/>
      <c r="NHU160" s="3060"/>
      <c r="NHV160" s="3060"/>
      <c r="NHW160" s="3060"/>
      <c r="NHX160" s="3060"/>
      <c r="NHY160" s="3060"/>
      <c r="NHZ160" s="3060"/>
      <c r="NIA160" s="3060"/>
      <c r="NIB160" s="3060"/>
      <c r="NIC160" s="3060"/>
      <c r="NID160" s="3060"/>
      <c r="NIE160" s="3060"/>
      <c r="NIF160" s="3060"/>
      <c r="NIG160" s="3060"/>
      <c r="NIH160" s="3060"/>
      <c r="NII160" s="3060"/>
      <c r="NIJ160" s="3060"/>
      <c r="NIK160" s="3060"/>
      <c r="NIL160" s="3060"/>
      <c r="NIM160" s="3060"/>
      <c r="NIN160" s="3060"/>
      <c r="NIO160" s="3060"/>
      <c r="NIP160" s="3060"/>
      <c r="NIQ160" s="3060"/>
      <c r="NIR160" s="3060"/>
      <c r="NIS160" s="3060"/>
      <c r="NIT160" s="3060"/>
      <c r="NIU160" s="3060"/>
      <c r="NIV160" s="3060"/>
      <c r="NIW160" s="3060"/>
      <c r="NIX160" s="3060"/>
      <c r="NIY160" s="3060"/>
      <c r="NIZ160" s="3060"/>
      <c r="NJA160" s="3060"/>
      <c r="NJB160" s="3060"/>
      <c r="NJC160" s="3060"/>
      <c r="NJD160" s="3060"/>
      <c r="NJE160" s="3060"/>
      <c r="NJF160" s="3060"/>
      <c r="NJG160" s="3060"/>
      <c r="NJH160" s="3060"/>
      <c r="NJI160" s="3060"/>
      <c r="NJJ160" s="3060"/>
      <c r="NJK160" s="3060"/>
      <c r="NJL160" s="3060"/>
      <c r="NJM160" s="3060"/>
      <c r="NJN160" s="3060"/>
      <c r="NJO160" s="3060"/>
      <c r="NJP160" s="3060"/>
      <c r="NJQ160" s="3060"/>
      <c r="NJR160" s="3060"/>
      <c r="NJS160" s="3060"/>
      <c r="NJT160" s="3060"/>
      <c r="NJU160" s="3060"/>
      <c r="NJV160" s="3060"/>
      <c r="NJW160" s="3060"/>
      <c r="NJX160" s="3060"/>
      <c r="NJY160" s="3060"/>
      <c r="NJZ160" s="3060"/>
      <c r="NKA160" s="3060"/>
      <c r="NKB160" s="3060"/>
      <c r="NKC160" s="3060"/>
      <c r="NKD160" s="3060"/>
      <c r="NKE160" s="3060"/>
      <c r="NKF160" s="3060"/>
      <c r="NKG160" s="3060"/>
      <c r="NKH160" s="3060"/>
      <c r="NKI160" s="3060"/>
      <c r="NKJ160" s="3060"/>
      <c r="NKK160" s="3060"/>
      <c r="NKL160" s="3060"/>
      <c r="NKM160" s="3060"/>
      <c r="NKN160" s="3060"/>
      <c r="NKO160" s="3060"/>
      <c r="NKP160" s="3060"/>
      <c r="NKQ160" s="3060"/>
      <c r="NKR160" s="3060"/>
      <c r="NKS160" s="3060"/>
      <c r="NKT160" s="3060"/>
      <c r="NKU160" s="3060"/>
      <c r="NKV160" s="3060"/>
      <c r="NKW160" s="3060"/>
      <c r="NKX160" s="3060"/>
      <c r="NKY160" s="3060"/>
      <c r="NKZ160" s="3060"/>
      <c r="NLA160" s="3060"/>
      <c r="NLB160" s="3060"/>
      <c r="NLC160" s="3060"/>
      <c r="NLD160" s="3060"/>
      <c r="NLE160" s="3060"/>
      <c r="NLF160" s="3060"/>
      <c r="NLG160" s="3060"/>
      <c r="NLH160" s="3060"/>
      <c r="NLI160" s="3060"/>
      <c r="NLJ160" s="3060"/>
      <c r="NLK160" s="3060"/>
      <c r="NLL160" s="3060"/>
      <c r="NLM160" s="3060"/>
      <c r="NLN160" s="3060"/>
      <c r="NLO160" s="3060"/>
      <c r="NLP160" s="3060"/>
      <c r="NLQ160" s="3060"/>
      <c r="NLR160" s="3060"/>
      <c r="NLS160" s="3060"/>
      <c r="NLT160" s="3060"/>
      <c r="NLU160" s="3060"/>
      <c r="NLV160" s="3060"/>
      <c r="NLW160" s="3060"/>
      <c r="NLX160" s="3060"/>
      <c r="NLY160" s="3060"/>
      <c r="NLZ160" s="3060"/>
      <c r="NMA160" s="3060"/>
      <c r="NMB160" s="3060"/>
      <c r="NMC160" s="3060"/>
      <c r="NMD160" s="3060"/>
      <c r="NME160" s="3060"/>
      <c r="NMF160" s="3060"/>
      <c r="NMG160" s="3060"/>
      <c r="NMH160" s="3060"/>
      <c r="NMI160" s="3060"/>
      <c r="NMJ160" s="3060"/>
      <c r="NMK160" s="3060"/>
      <c r="NML160" s="3060"/>
      <c r="NMM160" s="3060"/>
      <c r="NMN160" s="3060"/>
      <c r="NMO160" s="3060"/>
      <c r="NMP160" s="3060"/>
      <c r="NMQ160" s="3060"/>
      <c r="NMR160" s="3060"/>
      <c r="NMS160" s="3060"/>
      <c r="NMT160" s="3060"/>
      <c r="NMU160" s="3060"/>
      <c r="NMV160" s="3060"/>
      <c r="NMW160" s="3060"/>
      <c r="NMX160" s="3060"/>
      <c r="NMY160" s="3060"/>
      <c r="NMZ160" s="3060"/>
      <c r="NNA160" s="3060"/>
      <c r="NNB160" s="3060"/>
      <c r="NNC160" s="3060"/>
      <c r="NND160" s="3060"/>
      <c r="NNE160" s="3060"/>
      <c r="NNF160" s="3060"/>
      <c r="NNG160" s="3060"/>
      <c r="NNH160" s="3060"/>
      <c r="NNI160" s="3060"/>
      <c r="NNJ160" s="3060"/>
      <c r="NNK160" s="3060"/>
      <c r="NNL160" s="3060"/>
      <c r="NNM160" s="3060"/>
      <c r="NNN160" s="3060"/>
      <c r="NNO160" s="3060"/>
      <c r="NNP160" s="3060"/>
      <c r="NNQ160" s="3060"/>
      <c r="NNR160" s="3060"/>
      <c r="NNS160" s="3060"/>
      <c r="NNT160" s="3060"/>
      <c r="NNU160" s="3060"/>
      <c r="NNV160" s="3060"/>
      <c r="NNW160" s="3060"/>
      <c r="NNX160" s="3060"/>
      <c r="NNY160" s="3060"/>
      <c r="NNZ160" s="3060"/>
      <c r="NOA160" s="3060"/>
      <c r="NOB160" s="3060"/>
      <c r="NOC160" s="3060"/>
      <c r="NOD160" s="3060"/>
      <c r="NOE160" s="3060"/>
      <c r="NOF160" s="3060"/>
      <c r="NOG160" s="3060"/>
      <c r="NOH160" s="3060"/>
      <c r="NOI160" s="3060"/>
      <c r="NOJ160" s="3060"/>
      <c r="NOK160" s="3060"/>
      <c r="NOL160" s="3060"/>
      <c r="NOM160" s="3060"/>
      <c r="NON160" s="3060"/>
      <c r="NOO160" s="3060"/>
      <c r="NOP160" s="3060"/>
      <c r="NOQ160" s="3060"/>
      <c r="NOR160" s="3060"/>
      <c r="NOS160" s="3060"/>
      <c r="NOT160" s="3060"/>
      <c r="NOU160" s="3060"/>
      <c r="NOV160" s="3060"/>
      <c r="NOW160" s="3060"/>
      <c r="NOX160" s="3060"/>
      <c r="NOY160" s="3060"/>
      <c r="NOZ160" s="3060"/>
      <c r="NPA160" s="3060"/>
      <c r="NPB160" s="3060"/>
      <c r="NPC160" s="3060"/>
      <c r="NPD160" s="3060"/>
      <c r="NPE160" s="3060"/>
      <c r="NPF160" s="3060"/>
      <c r="NPG160" s="3060"/>
      <c r="NPH160" s="3060"/>
      <c r="NPI160" s="3060"/>
      <c r="NPJ160" s="3060"/>
      <c r="NPK160" s="3060"/>
      <c r="NPL160" s="3060"/>
      <c r="NPM160" s="3060"/>
      <c r="NPN160" s="3060"/>
      <c r="NPO160" s="3060"/>
      <c r="NPP160" s="3060"/>
      <c r="NPQ160" s="3060"/>
      <c r="NPR160" s="3060"/>
      <c r="NPS160" s="3060"/>
      <c r="NPT160" s="3060"/>
      <c r="NPU160" s="3060"/>
      <c r="NPV160" s="3060"/>
      <c r="NPW160" s="3060"/>
      <c r="NPX160" s="3060"/>
      <c r="NPY160" s="3060"/>
      <c r="NPZ160" s="3060"/>
      <c r="NQA160" s="3060"/>
      <c r="NQB160" s="3060"/>
      <c r="NQC160" s="3060"/>
      <c r="NQD160" s="3060"/>
      <c r="NQE160" s="3060"/>
      <c r="NQF160" s="3060"/>
      <c r="NQG160" s="3060"/>
      <c r="NQH160" s="3060"/>
      <c r="NQI160" s="3060"/>
      <c r="NQJ160" s="3060"/>
      <c r="NQK160" s="3060"/>
      <c r="NQL160" s="3060"/>
      <c r="NQM160" s="3060"/>
      <c r="NQN160" s="3060"/>
      <c r="NQO160" s="3060"/>
      <c r="NQP160" s="3060"/>
      <c r="NQQ160" s="3060"/>
      <c r="NQR160" s="3060"/>
      <c r="NQS160" s="3060"/>
      <c r="NQT160" s="3060"/>
      <c r="NQU160" s="3060"/>
      <c r="NQV160" s="3060"/>
      <c r="NQW160" s="3060"/>
      <c r="NQX160" s="3060"/>
      <c r="NQY160" s="3060"/>
      <c r="NQZ160" s="3060"/>
      <c r="NRA160" s="3060"/>
      <c r="NRB160" s="3060"/>
      <c r="NRC160" s="3060"/>
      <c r="NRD160" s="3060"/>
      <c r="NRE160" s="3060"/>
      <c r="NRF160" s="3060"/>
      <c r="NRG160" s="3060"/>
      <c r="NRH160" s="3060"/>
      <c r="NRI160" s="3060"/>
      <c r="NRJ160" s="3060"/>
      <c r="NRK160" s="3060"/>
      <c r="NRL160" s="3060"/>
      <c r="NRM160" s="3060"/>
      <c r="NRN160" s="3060"/>
      <c r="NRO160" s="3060"/>
      <c r="NRP160" s="3060"/>
      <c r="NRQ160" s="3060"/>
      <c r="NRR160" s="3060"/>
      <c r="NRS160" s="3060"/>
      <c r="NRT160" s="3060"/>
      <c r="NRU160" s="3060"/>
      <c r="NRV160" s="3060"/>
      <c r="NRW160" s="3060"/>
      <c r="NRX160" s="3060"/>
      <c r="NRY160" s="3060"/>
      <c r="NRZ160" s="3060"/>
      <c r="NSA160" s="3060"/>
      <c r="NSB160" s="3060"/>
      <c r="NSC160" s="3060"/>
      <c r="NSD160" s="3060"/>
      <c r="NSE160" s="3060"/>
      <c r="NSF160" s="3060"/>
      <c r="NSG160" s="3060"/>
      <c r="NSH160" s="3060"/>
      <c r="NSI160" s="3060"/>
      <c r="NSJ160" s="3060"/>
      <c r="NSK160" s="3060"/>
      <c r="NSL160" s="3060"/>
      <c r="NSM160" s="3060"/>
      <c r="NSN160" s="3060"/>
      <c r="NSO160" s="3060"/>
      <c r="NSP160" s="3060"/>
      <c r="NSQ160" s="3060"/>
      <c r="NSR160" s="3060"/>
      <c r="NSS160" s="3060"/>
      <c r="NST160" s="3060"/>
      <c r="NSU160" s="3060"/>
      <c r="NSV160" s="3060"/>
      <c r="NSW160" s="3060"/>
      <c r="NSX160" s="3060"/>
      <c r="NSY160" s="3060"/>
      <c r="NSZ160" s="3060"/>
      <c r="NTA160" s="3060"/>
      <c r="NTB160" s="3060"/>
      <c r="NTC160" s="3060"/>
      <c r="NTD160" s="3060"/>
      <c r="NTE160" s="3060"/>
      <c r="NTF160" s="3060"/>
      <c r="NTG160" s="3060"/>
      <c r="NTH160" s="3060"/>
      <c r="NTI160" s="3060"/>
      <c r="NTJ160" s="3060"/>
      <c r="NTK160" s="3060"/>
      <c r="NTL160" s="3060"/>
      <c r="NTM160" s="3060"/>
      <c r="NTN160" s="3060"/>
      <c r="NTO160" s="3060"/>
      <c r="NTP160" s="3060"/>
      <c r="NTQ160" s="3060"/>
      <c r="NTR160" s="3060"/>
      <c r="NTS160" s="3060"/>
      <c r="NTT160" s="3060"/>
      <c r="NTU160" s="3060"/>
      <c r="NTV160" s="3060"/>
      <c r="NTW160" s="3060"/>
      <c r="NTX160" s="3060"/>
      <c r="NTY160" s="3060"/>
      <c r="NTZ160" s="3060"/>
      <c r="NUA160" s="3060"/>
      <c r="NUB160" s="3060"/>
      <c r="NUC160" s="3060"/>
      <c r="NUD160" s="3060"/>
      <c r="NUE160" s="3060"/>
      <c r="NUF160" s="3060"/>
      <c r="NUG160" s="3060"/>
      <c r="NUH160" s="3060"/>
      <c r="NUI160" s="3060"/>
      <c r="NUJ160" s="3060"/>
      <c r="NUK160" s="3060"/>
      <c r="NUL160" s="3060"/>
      <c r="NUM160" s="3060"/>
      <c r="NUN160" s="3060"/>
      <c r="NUO160" s="3060"/>
      <c r="NUP160" s="3060"/>
      <c r="NUQ160" s="3060"/>
      <c r="NUR160" s="3060"/>
      <c r="NUS160" s="3060"/>
      <c r="NUT160" s="3060"/>
      <c r="NUU160" s="3060"/>
      <c r="NUV160" s="3060"/>
      <c r="NUW160" s="3060"/>
      <c r="NUX160" s="3060"/>
      <c r="NUY160" s="3060"/>
      <c r="NUZ160" s="3060"/>
      <c r="NVA160" s="3060"/>
      <c r="NVB160" s="3060"/>
      <c r="NVC160" s="3060"/>
      <c r="NVD160" s="3060"/>
      <c r="NVE160" s="3060"/>
      <c r="NVF160" s="3060"/>
      <c r="NVG160" s="3060"/>
      <c r="NVH160" s="3060"/>
      <c r="NVI160" s="3060"/>
      <c r="NVJ160" s="3060"/>
      <c r="NVK160" s="3060"/>
      <c r="NVL160" s="3060"/>
      <c r="NVM160" s="3060"/>
      <c r="NVN160" s="3060"/>
      <c r="NVO160" s="3060"/>
      <c r="NVP160" s="3060"/>
      <c r="NVQ160" s="3060"/>
      <c r="NVR160" s="3060"/>
      <c r="NVS160" s="3060"/>
      <c r="NVT160" s="3060"/>
      <c r="NVU160" s="3060"/>
      <c r="NVV160" s="3060"/>
      <c r="NVW160" s="3060"/>
      <c r="NVX160" s="3060"/>
      <c r="NVY160" s="3060"/>
      <c r="NVZ160" s="3060"/>
      <c r="NWA160" s="3060"/>
      <c r="NWB160" s="3060"/>
      <c r="NWC160" s="3060"/>
      <c r="NWD160" s="3060"/>
      <c r="NWE160" s="3060"/>
      <c r="NWF160" s="3060"/>
      <c r="NWG160" s="3060"/>
      <c r="NWH160" s="3060"/>
      <c r="NWI160" s="3060"/>
      <c r="NWJ160" s="3060"/>
      <c r="NWK160" s="3060"/>
      <c r="NWL160" s="3060"/>
      <c r="NWM160" s="3060"/>
      <c r="NWN160" s="3060"/>
      <c r="NWO160" s="3060"/>
      <c r="NWP160" s="3060"/>
      <c r="NWQ160" s="3060"/>
      <c r="NWR160" s="3060"/>
      <c r="NWS160" s="3060"/>
      <c r="NWT160" s="3060"/>
      <c r="NWU160" s="3060"/>
      <c r="NWV160" s="3060"/>
      <c r="NWW160" s="3060"/>
      <c r="NWX160" s="3060"/>
      <c r="NWY160" s="3060"/>
      <c r="NWZ160" s="3060"/>
      <c r="NXA160" s="3060"/>
      <c r="NXB160" s="3060"/>
      <c r="NXC160" s="3060"/>
      <c r="NXD160" s="3060"/>
      <c r="NXE160" s="3060"/>
      <c r="NXF160" s="3060"/>
      <c r="NXG160" s="3060"/>
      <c r="NXH160" s="3060"/>
      <c r="NXI160" s="3060"/>
      <c r="NXJ160" s="3060"/>
      <c r="NXK160" s="3060"/>
      <c r="NXL160" s="3060"/>
      <c r="NXM160" s="3060"/>
      <c r="NXN160" s="3060"/>
      <c r="NXO160" s="3060"/>
      <c r="NXP160" s="3060"/>
      <c r="NXQ160" s="3060"/>
      <c r="NXR160" s="3060"/>
      <c r="NXS160" s="3060"/>
      <c r="NXT160" s="3060"/>
      <c r="NXU160" s="3060"/>
      <c r="NXV160" s="3060"/>
      <c r="NXW160" s="3060"/>
      <c r="NXX160" s="3060"/>
      <c r="NXY160" s="3060"/>
      <c r="NXZ160" s="3060"/>
      <c r="NYA160" s="3060"/>
      <c r="NYB160" s="3060"/>
      <c r="NYC160" s="3060"/>
      <c r="NYD160" s="3060"/>
      <c r="NYE160" s="3060"/>
      <c r="NYF160" s="3060"/>
      <c r="NYG160" s="3060"/>
      <c r="NYH160" s="3060"/>
      <c r="NYI160" s="3060"/>
      <c r="NYJ160" s="3060"/>
      <c r="NYK160" s="3060"/>
      <c r="NYL160" s="3060"/>
      <c r="NYM160" s="3060"/>
      <c r="NYN160" s="3060"/>
      <c r="NYO160" s="3060"/>
      <c r="NYP160" s="3060"/>
      <c r="NYQ160" s="3060"/>
      <c r="NYR160" s="3060"/>
      <c r="NYS160" s="3060"/>
      <c r="NYT160" s="3060"/>
      <c r="NYU160" s="3060"/>
      <c r="NYV160" s="3060"/>
      <c r="NYW160" s="3060"/>
      <c r="NYX160" s="3060"/>
      <c r="NYY160" s="3060"/>
      <c r="NYZ160" s="3060"/>
      <c r="NZA160" s="3060"/>
      <c r="NZB160" s="3060"/>
      <c r="NZC160" s="3060"/>
      <c r="NZD160" s="3060"/>
      <c r="NZE160" s="3060"/>
      <c r="NZF160" s="3060"/>
      <c r="NZG160" s="3060"/>
      <c r="NZH160" s="3060"/>
      <c r="NZI160" s="3060"/>
      <c r="NZJ160" s="3060"/>
      <c r="NZK160" s="3060"/>
      <c r="NZL160" s="3060"/>
      <c r="NZM160" s="3060"/>
      <c r="NZN160" s="3060"/>
      <c r="NZO160" s="3060"/>
      <c r="NZP160" s="3060"/>
      <c r="NZQ160" s="3060"/>
      <c r="NZR160" s="3060"/>
      <c r="NZS160" s="3060"/>
      <c r="NZT160" s="3060"/>
      <c r="NZU160" s="3060"/>
      <c r="NZV160" s="3060"/>
      <c r="NZW160" s="3060"/>
      <c r="NZX160" s="3060"/>
      <c r="NZY160" s="3060"/>
      <c r="NZZ160" s="3060"/>
      <c r="OAA160" s="3060"/>
      <c r="OAB160" s="3060"/>
      <c r="OAC160" s="3060"/>
      <c r="OAD160" s="3060"/>
      <c r="OAE160" s="3060"/>
      <c r="OAF160" s="3060"/>
      <c r="OAG160" s="3060"/>
      <c r="OAH160" s="3060"/>
      <c r="OAI160" s="3060"/>
      <c r="OAJ160" s="3060"/>
      <c r="OAK160" s="3060"/>
      <c r="OAL160" s="3060"/>
      <c r="OAM160" s="3060"/>
      <c r="OAN160" s="3060"/>
      <c r="OAO160" s="3060"/>
      <c r="OAP160" s="3060"/>
      <c r="OAQ160" s="3060"/>
      <c r="OAR160" s="3060"/>
      <c r="OAS160" s="3060"/>
      <c r="OAT160" s="3060"/>
      <c r="OAU160" s="3060"/>
      <c r="OAV160" s="3060"/>
      <c r="OAW160" s="3060"/>
      <c r="OAX160" s="3060"/>
      <c r="OAY160" s="3060"/>
      <c r="OAZ160" s="3060"/>
      <c r="OBA160" s="3060"/>
      <c r="OBB160" s="3060"/>
      <c r="OBC160" s="3060"/>
      <c r="OBD160" s="3060"/>
      <c r="OBE160" s="3060"/>
      <c r="OBF160" s="3060"/>
      <c r="OBG160" s="3060"/>
      <c r="OBH160" s="3060"/>
      <c r="OBI160" s="3060"/>
      <c r="OBJ160" s="3060"/>
      <c r="OBK160" s="3060"/>
      <c r="OBL160" s="3060"/>
      <c r="OBM160" s="3060"/>
      <c r="OBN160" s="3060"/>
      <c r="OBO160" s="3060"/>
      <c r="OBP160" s="3060"/>
      <c r="OBQ160" s="3060"/>
      <c r="OBR160" s="3060"/>
      <c r="OBS160" s="3060"/>
      <c r="OBT160" s="3060"/>
      <c r="OBU160" s="3060"/>
      <c r="OBV160" s="3060"/>
      <c r="OBW160" s="3060"/>
      <c r="OBX160" s="3060"/>
      <c r="OBY160" s="3060"/>
      <c r="OBZ160" s="3060"/>
      <c r="OCA160" s="3060"/>
      <c r="OCB160" s="3060"/>
      <c r="OCC160" s="3060"/>
      <c r="OCD160" s="3060"/>
      <c r="OCE160" s="3060"/>
      <c r="OCF160" s="3060"/>
      <c r="OCG160" s="3060"/>
      <c r="OCH160" s="3060"/>
      <c r="OCI160" s="3060"/>
      <c r="OCJ160" s="3060"/>
      <c r="OCK160" s="3060"/>
      <c r="OCL160" s="3060"/>
      <c r="OCM160" s="3060"/>
      <c r="OCN160" s="3060"/>
      <c r="OCO160" s="3060"/>
      <c r="OCP160" s="3060"/>
      <c r="OCQ160" s="3060"/>
      <c r="OCR160" s="3060"/>
      <c r="OCS160" s="3060"/>
      <c r="OCT160" s="3060"/>
      <c r="OCU160" s="3060"/>
      <c r="OCV160" s="3060"/>
      <c r="OCW160" s="3060"/>
      <c r="OCX160" s="3060"/>
      <c r="OCY160" s="3060"/>
      <c r="OCZ160" s="3060"/>
      <c r="ODA160" s="3060"/>
      <c r="ODB160" s="3060"/>
      <c r="ODC160" s="3060"/>
      <c r="ODD160" s="3060"/>
      <c r="ODE160" s="3060"/>
      <c r="ODF160" s="3060"/>
      <c r="ODG160" s="3060"/>
      <c r="ODH160" s="3060"/>
      <c r="ODI160" s="3060"/>
      <c r="ODJ160" s="3060"/>
      <c r="ODK160" s="3060"/>
      <c r="ODL160" s="3060"/>
      <c r="ODM160" s="3060"/>
      <c r="ODN160" s="3060"/>
      <c r="ODO160" s="3060"/>
      <c r="ODP160" s="3060"/>
      <c r="ODQ160" s="3060"/>
      <c r="ODR160" s="3060"/>
      <c r="ODS160" s="3060"/>
      <c r="ODT160" s="3060"/>
      <c r="ODU160" s="3060"/>
      <c r="ODV160" s="3060"/>
      <c r="ODW160" s="3060"/>
      <c r="ODX160" s="3060"/>
      <c r="ODY160" s="3060"/>
      <c r="ODZ160" s="3060"/>
      <c r="OEA160" s="3060"/>
      <c r="OEB160" s="3060"/>
      <c r="OEC160" s="3060"/>
      <c r="OED160" s="3060"/>
      <c r="OEE160" s="3060"/>
      <c r="OEF160" s="3060"/>
      <c r="OEG160" s="3060"/>
      <c r="OEH160" s="3060"/>
      <c r="OEI160" s="3060"/>
      <c r="OEJ160" s="3060"/>
      <c r="OEK160" s="3060"/>
      <c r="OEL160" s="3060"/>
      <c r="OEM160" s="3060"/>
      <c r="OEN160" s="3060"/>
      <c r="OEO160" s="3060"/>
      <c r="OEP160" s="3060"/>
      <c r="OEQ160" s="3060"/>
      <c r="OER160" s="3060"/>
      <c r="OES160" s="3060"/>
      <c r="OET160" s="3060"/>
      <c r="OEU160" s="3060"/>
      <c r="OEV160" s="3060"/>
      <c r="OEW160" s="3060"/>
      <c r="OEX160" s="3060"/>
      <c r="OEY160" s="3060"/>
      <c r="OEZ160" s="3060"/>
      <c r="OFA160" s="3060"/>
      <c r="OFB160" s="3060"/>
      <c r="OFC160" s="3060"/>
      <c r="OFD160" s="3060"/>
      <c r="OFE160" s="3060"/>
      <c r="OFF160" s="3060"/>
      <c r="OFG160" s="3060"/>
      <c r="OFH160" s="3060"/>
      <c r="OFI160" s="3060"/>
      <c r="OFJ160" s="3060"/>
      <c r="OFK160" s="3060"/>
      <c r="OFL160" s="3060"/>
      <c r="OFM160" s="3060"/>
      <c r="OFN160" s="3060"/>
      <c r="OFO160" s="3060"/>
      <c r="OFP160" s="3060"/>
      <c r="OFQ160" s="3060"/>
      <c r="OFR160" s="3060"/>
      <c r="OFS160" s="3060"/>
      <c r="OFT160" s="3060"/>
      <c r="OFU160" s="3060"/>
      <c r="OFV160" s="3060"/>
      <c r="OFW160" s="3060"/>
      <c r="OFX160" s="3060"/>
      <c r="OFY160" s="3060"/>
      <c r="OFZ160" s="3060"/>
      <c r="OGA160" s="3060"/>
      <c r="OGB160" s="3060"/>
      <c r="OGC160" s="3060"/>
      <c r="OGD160" s="3060"/>
      <c r="OGE160" s="3060"/>
      <c r="OGF160" s="3060"/>
      <c r="OGG160" s="3060"/>
      <c r="OGH160" s="3060"/>
      <c r="OGI160" s="3060"/>
      <c r="OGJ160" s="3060"/>
      <c r="OGK160" s="3060"/>
      <c r="OGL160" s="3060"/>
      <c r="OGM160" s="3060"/>
      <c r="OGN160" s="3060"/>
      <c r="OGO160" s="3060"/>
      <c r="OGP160" s="3060"/>
      <c r="OGQ160" s="3060"/>
      <c r="OGR160" s="3060"/>
      <c r="OGS160" s="3060"/>
      <c r="OGT160" s="3060"/>
      <c r="OGU160" s="3060"/>
      <c r="OGV160" s="3060"/>
      <c r="OGW160" s="3060"/>
      <c r="OGX160" s="3060"/>
      <c r="OGY160" s="3060"/>
      <c r="OGZ160" s="3060"/>
      <c r="OHA160" s="3060"/>
      <c r="OHB160" s="3060"/>
      <c r="OHC160" s="3060"/>
      <c r="OHD160" s="3060"/>
      <c r="OHE160" s="3060"/>
      <c r="OHF160" s="3060"/>
      <c r="OHG160" s="3060"/>
      <c r="OHH160" s="3060"/>
      <c r="OHI160" s="3060"/>
      <c r="OHJ160" s="3060"/>
      <c r="OHK160" s="3060"/>
      <c r="OHL160" s="3060"/>
      <c r="OHM160" s="3060"/>
      <c r="OHN160" s="3060"/>
      <c r="OHO160" s="3060"/>
      <c r="OHP160" s="3060"/>
      <c r="OHQ160" s="3060"/>
      <c r="OHR160" s="3060"/>
      <c r="OHS160" s="3060"/>
      <c r="OHT160" s="3060"/>
      <c r="OHU160" s="3060"/>
      <c r="OHV160" s="3060"/>
      <c r="OHW160" s="3060"/>
      <c r="OHX160" s="3060"/>
      <c r="OHY160" s="3060"/>
      <c r="OHZ160" s="3060"/>
      <c r="OIA160" s="3060"/>
      <c r="OIB160" s="3060"/>
      <c r="OIC160" s="3060"/>
      <c r="OID160" s="3060"/>
      <c r="OIE160" s="3060"/>
      <c r="OIF160" s="3060"/>
      <c r="OIG160" s="3060"/>
      <c r="OIH160" s="3060"/>
      <c r="OII160" s="3060"/>
      <c r="OIJ160" s="3060"/>
      <c r="OIK160" s="3060"/>
      <c r="OIL160" s="3060"/>
      <c r="OIM160" s="3060"/>
      <c r="OIN160" s="3060"/>
      <c r="OIO160" s="3060"/>
      <c r="OIP160" s="3060"/>
      <c r="OIQ160" s="3060"/>
      <c r="OIR160" s="3060"/>
      <c r="OIS160" s="3060"/>
      <c r="OIT160" s="3060"/>
      <c r="OIU160" s="3060"/>
      <c r="OIV160" s="3060"/>
      <c r="OIW160" s="3060"/>
      <c r="OIX160" s="3060"/>
      <c r="OIY160" s="3060"/>
      <c r="OIZ160" s="3060"/>
      <c r="OJA160" s="3060"/>
      <c r="OJB160" s="3060"/>
      <c r="OJC160" s="3060"/>
      <c r="OJD160" s="3060"/>
      <c r="OJE160" s="3060"/>
      <c r="OJF160" s="3060"/>
      <c r="OJG160" s="3060"/>
      <c r="OJH160" s="3060"/>
      <c r="OJI160" s="3060"/>
      <c r="OJJ160" s="3060"/>
      <c r="OJK160" s="3060"/>
      <c r="OJL160" s="3060"/>
      <c r="OJM160" s="3060"/>
      <c r="OJN160" s="3060"/>
      <c r="OJO160" s="3060"/>
      <c r="OJP160" s="3060"/>
      <c r="OJQ160" s="3060"/>
      <c r="OJR160" s="3060"/>
      <c r="OJS160" s="3060"/>
      <c r="OJT160" s="3060"/>
      <c r="OJU160" s="3060"/>
      <c r="OJV160" s="3060"/>
      <c r="OJW160" s="3060"/>
      <c r="OJX160" s="3060"/>
      <c r="OJY160" s="3060"/>
      <c r="OJZ160" s="3060"/>
      <c r="OKA160" s="3060"/>
      <c r="OKB160" s="3060"/>
      <c r="OKC160" s="3060"/>
      <c r="OKD160" s="3060"/>
      <c r="OKE160" s="3060"/>
      <c r="OKF160" s="3060"/>
      <c r="OKG160" s="3060"/>
      <c r="OKH160" s="3060"/>
      <c r="OKI160" s="3060"/>
      <c r="OKJ160" s="3060"/>
      <c r="OKK160" s="3060"/>
      <c r="OKL160" s="3060"/>
      <c r="OKM160" s="3060"/>
      <c r="OKN160" s="3060"/>
      <c r="OKO160" s="3060"/>
      <c r="OKP160" s="3060"/>
      <c r="OKQ160" s="3060"/>
      <c r="OKR160" s="3060"/>
      <c r="OKS160" s="3060"/>
      <c r="OKT160" s="3060"/>
      <c r="OKU160" s="3060"/>
      <c r="OKV160" s="3060"/>
      <c r="OKW160" s="3060"/>
      <c r="OKX160" s="3060"/>
      <c r="OKY160" s="3060"/>
      <c r="OKZ160" s="3060"/>
      <c r="OLA160" s="3060"/>
      <c r="OLB160" s="3060"/>
      <c r="OLC160" s="3060"/>
      <c r="OLD160" s="3060"/>
      <c r="OLE160" s="3060"/>
      <c r="OLF160" s="3060"/>
      <c r="OLG160" s="3060"/>
      <c r="OLH160" s="3060"/>
      <c r="OLI160" s="3060"/>
      <c r="OLJ160" s="3060"/>
      <c r="OLK160" s="3060"/>
      <c r="OLL160" s="3060"/>
      <c r="OLM160" s="3060"/>
      <c r="OLN160" s="3060"/>
      <c r="OLO160" s="3060"/>
      <c r="OLP160" s="3060"/>
      <c r="OLQ160" s="3060"/>
      <c r="OLR160" s="3060"/>
      <c r="OLS160" s="3060"/>
      <c r="OLT160" s="3060"/>
      <c r="OLU160" s="3060"/>
      <c r="OLV160" s="3060"/>
      <c r="OLW160" s="3060"/>
      <c r="OLX160" s="3060"/>
      <c r="OLY160" s="3060"/>
      <c r="OLZ160" s="3060"/>
      <c r="OMA160" s="3060"/>
      <c r="OMB160" s="3060"/>
      <c r="OMC160" s="3060"/>
      <c r="OMD160" s="3060"/>
      <c r="OME160" s="3060"/>
      <c r="OMF160" s="3060"/>
      <c r="OMG160" s="3060"/>
      <c r="OMH160" s="3060"/>
      <c r="OMI160" s="3060"/>
      <c r="OMJ160" s="3060"/>
      <c r="OMK160" s="3060"/>
      <c r="OML160" s="3060"/>
      <c r="OMM160" s="3060"/>
      <c r="OMN160" s="3060"/>
      <c r="OMO160" s="3060"/>
      <c r="OMP160" s="3060"/>
      <c r="OMQ160" s="3060"/>
      <c r="OMR160" s="3060"/>
      <c r="OMS160" s="3060"/>
      <c r="OMT160" s="3060"/>
      <c r="OMU160" s="3060"/>
      <c r="OMV160" s="3060"/>
      <c r="OMW160" s="3060"/>
      <c r="OMX160" s="3060"/>
      <c r="OMY160" s="3060"/>
      <c r="OMZ160" s="3060"/>
      <c r="ONA160" s="3060"/>
      <c r="ONB160" s="3060"/>
      <c r="ONC160" s="3060"/>
      <c r="OND160" s="3060"/>
      <c r="ONE160" s="3060"/>
      <c r="ONF160" s="3060"/>
      <c r="ONG160" s="3060"/>
      <c r="ONH160" s="3060"/>
      <c r="ONI160" s="3060"/>
      <c r="ONJ160" s="3060"/>
      <c r="ONK160" s="3060"/>
      <c r="ONL160" s="3060"/>
      <c r="ONM160" s="3060"/>
      <c r="ONN160" s="3060"/>
      <c r="ONO160" s="3060"/>
      <c r="ONP160" s="3060"/>
      <c r="ONQ160" s="3060"/>
      <c r="ONR160" s="3060"/>
      <c r="ONS160" s="3060"/>
      <c r="ONT160" s="3060"/>
      <c r="ONU160" s="3060"/>
      <c r="ONV160" s="3060"/>
      <c r="ONW160" s="3060"/>
      <c r="ONX160" s="3060"/>
      <c r="ONY160" s="3060"/>
      <c r="ONZ160" s="3060"/>
      <c r="OOA160" s="3060"/>
      <c r="OOB160" s="3060"/>
      <c r="OOC160" s="3060"/>
      <c r="OOD160" s="3060"/>
      <c r="OOE160" s="3060"/>
      <c r="OOF160" s="3060"/>
      <c r="OOG160" s="3060"/>
      <c r="OOH160" s="3060"/>
      <c r="OOI160" s="3060"/>
      <c r="OOJ160" s="3060"/>
      <c r="OOK160" s="3060"/>
      <c r="OOL160" s="3060"/>
      <c r="OOM160" s="3060"/>
      <c r="OON160" s="3060"/>
      <c r="OOO160" s="3060"/>
      <c r="OOP160" s="3060"/>
      <c r="OOQ160" s="3060"/>
      <c r="OOR160" s="3060"/>
      <c r="OOS160" s="3060"/>
      <c r="OOT160" s="3060"/>
      <c r="OOU160" s="3060"/>
      <c r="OOV160" s="3060"/>
      <c r="OOW160" s="3060"/>
      <c r="OOX160" s="3060"/>
      <c r="OOY160" s="3060"/>
      <c r="OOZ160" s="3060"/>
      <c r="OPA160" s="3060"/>
      <c r="OPB160" s="3060"/>
      <c r="OPC160" s="3060"/>
      <c r="OPD160" s="3060"/>
      <c r="OPE160" s="3060"/>
      <c r="OPF160" s="3060"/>
      <c r="OPG160" s="3060"/>
      <c r="OPH160" s="3060"/>
      <c r="OPI160" s="3060"/>
      <c r="OPJ160" s="3060"/>
      <c r="OPK160" s="3060"/>
      <c r="OPL160" s="3060"/>
      <c r="OPM160" s="3060"/>
      <c r="OPN160" s="3060"/>
      <c r="OPO160" s="3060"/>
      <c r="OPP160" s="3060"/>
      <c r="OPQ160" s="3060"/>
      <c r="OPR160" s="3060"/>
      <c r="OPS160" s="3060"/>
      <c r="OPT160" s="3060"/>
      <c r="OPU160" s="3060"/>
      <c r="OPV160" s="3060"/>
      <c r="OPW160" s="3060"/>
      <c r="OPX160" s="3060"/>
      <c r="OPY160" s="3060"/>
      <c r="OPZ160" s="3060"/>
      <c r="OQA160" s="3060"/>
      <c r="OQB160" s="3060"/>
      <c r="OQC160" s="3060"/>
      <c r="OQD160" s="3060"/>
      <c r="OQE160" s="3060"/>
      <c r="OQF160" s="3060"/>
      <c r="OQG160" s="3060"/>
      <c r="OQH160" s="3060"/>
      <c r="OQI160" s="3060"/>
      <c r="OQJ160" s="3060"/>
      <c r="OQK160" s="3060"/>
      <c r="OQL160" s="3060"/>
      <c r="OQM160" s="3060"/>
      <c r="OQN160" s="3060"/>
      <c r="OQO160" s="3060"/>
      <c r="OQP160" s="3060"/>
      <c r="OQQ160" s="3060"/>
      <c r="OQR160" s="3060"/>
      <c r="OQS160" s="3060"/>
      <c r="OQT160" s="3060"/>
      <c r="OQU160" s="3060"/>
      <c r="OQV160" s="3060"/>
      <c r="OQW160" s="3060"/>
      <c r="OQX160" s="3060"/>
      <c r="OQY160" s="3060"/>
      <c r="OQZ160" s="3060"/>
      <c r="ORA160" s="3060"/>
      <c r="ORB160" s="3060"/>
      <c r="ORC160" s="3060"/>
      <c r="ORD160" s="3060"/>
      <c r="ORE160" s="3060"/>
      <c r="ORF160" s="3060"/>
      <c r="ORG160" s="3060"/>
      <c r="ORH160" s="3060"/>
      <c r="ORI160" s="3060"/>
      <c r="ORJ160" s="3060"/>
      <c r="ORK160" s="3060"/>
      <c r="ORL160" s="3060"/>
      <c r="ORM160" s="3060"/>
      <c r="ORN160" s="3060"/>
      <c r="ORO160" s="3060"/>
      <c r="ORP160" s="3060"/>
      <c r="ORQ160" s="3060"/>
      <c r="ORR160" s="3060"/>
      <c r="ORS160" s="3060"/>
      <c r="ORT160" s="3060"/>
      <c r="ORU160" s="3060"/>
      <c r="ORV160" s="3060"/>
      <c r="ORW160" s="3060"/>
      <c r="ORX160" s="3060"/>
      <c r="ORY160" s="3060"/>
      <c r="ORZ160" s="3060"/>
      <c r="OSA160" s="3060"/>
      <c r="OSB160" s="3060"/>
      <c r="OSC160" s="3060"/>
      <c r="OSD160" s="3060"/>
      <c r="OSE160" s="3060"/>
      <c r="OSF160" s="3060"/>
      <c r="OSG160" s="3060"/>
      <c r="OSH160" s="3060"/>
      <c r="OSI160" s="3060"/>
      <c r="OSJ160" s="3060"/>
      <c r="OSK160" s="3060"/>
      <c r="OSL160" s="3060"/>
      <c r="OSM160" s="3060"/>
      <c r="OSN160" s="3060"/>
      <c r="OSO160" s="3060"/>
      <c r="OSP160" s="3060"/>
      <c r="OSQ160" s="3060"/>
      <c r="OSR160" s="3060"/>
      <c r="OSS160" s="3060"/>
      <c r="OST160" s="3060"/>
      <c r="OSU160" s="3060"/>
      <c r="OSV160" s="3060"/>
      <c r="OSW160" s="3060"/>
      <c r="OSX160" s="3060"/>
      <c r="OSY160" s="3060"/>
      <c r="OSZ160" s="3060"/>
      <c r="OTA160" s="3060"/>
      <c r="OTB160" s="3060"/>
      <c r="OTC160" s="3060"/>
      <c r="OTD160" s="3060"/>
      <c r="OTE160" s="3060"/>
      <c r="OTF160" s="3060"/>
      <c r="OTG160" s="3060"/>
      <c r="OTH160" s="3060"/>
      <c r="OTI160" s="3060"/>
      <c r="OTJ160" s="3060"/>
      <c r="OTK160" s="3060"/>
      <c r="OTL160" s="3060"/>
      <c r="OTM160" s="3060"/>
      <c r="OTN160" s="3060"/>
      <c r="OTO160" s="3060"/>
      <c r="OTP160" s="3060"/>
      <c r="OTQ160" s="3060"/>
      <c r="OTR160" s="3060"/>
      <c r="OTS160" s="3060"/>
      <c r="OTT160" s="3060"/>
      <c r="OTU160" s="3060"/>
      <c r="OTV160" s="3060"/>
      <c r="OTW160" s="3060"/>
      <c r="OTX160" s="3060"/>
      <c r="OTY160" s="3060"/>
      <c r="OTZ160" s="3060"/>
      <c r="OUA160" s="3060"/>
      <c r="OUB160" s="3060"/>
      <c r="OUC160" s="3060"/>
      <c r="OUD160" s="3060"/>
      <c r="OUE160" s="3060"/>
      <c r="OUF160" s="3060"/>
      <c r="OUG160" s="3060"/>
      <c r="OUH160" s="3060"/>
      <c r="OUI160" s="3060"/>
      <c r="OUJ160" s="3060"/>
      <c r="OUK160" s="3060"/>
      <c r="OUL160" s="3060"/>
      <c r="OUM160" s="3060"/>
      <c r="OUN160" s="3060"/>
      <c r="OUO160" s="3060"/>
      <c r="OUP160" s="3060"/>
      <c r="OUQ160" s="3060"/>
      <c r="OUR160" s="3060"/>
      <c r="OUS160" s="3060"/>
      <c r="OUT160" s="3060"/>
      <c r="OUU160" s="3060"/>
      <c r="OUV160" s="3060"/>
      <c r="OUW160" s="3060"/>
      <c r="OUX160" s="3060"/>
      <c r="OUY160" s="3060"/>
      <c r="OUZ160" s="3060"/>
      <c r="OVA160" s="3060"/>
      <c r="OVB160" s="3060"/>
      <c r="OVC160" s="3060"/>
      <c r="OVD160" s="3060"/>
      <c r="OVE160" s="3060"/>
      <c r="OVF160" s="3060"/>
      <c r="OVG160" s="3060"/>
      <c r="OVH160" s="3060"/>
      <c r="OVI160" s="3060"/>
      <c r="OVJ160" s="3060"/>
      <c r="OVK160" s="3060"/>
      <c r="OVL160" s="3060"/>
      <c r="OVM160" s="3060"/>
      <c r="OVN160" s="3060"/>
      <c r="OVO160" s="3060"/>
      <c r="OVP160" s="3060"/>
      <c r="OVQ160" s="3060"/>
      <c r="OVR160" s="3060"/>
      <c r="OVS160" s="3060"/>
      <c r="OVT160" s="3060"/>
      <c r="OVU160" s="3060"/>
      <c r="OVV160" s="3060"/>
      <c r="OVW160" s="3060"/>
      <c r="OVX160" s="3060"/>
      <c r="OVY160" s="3060"/>
      <c r="OVZ160" s="3060"/>
      <c r="OWA160" s="3060"/>
      <c r="OWB160" s="3060"/>
      <c r="OWC160" s="3060"/>
      <c r="OWD160" s="3060"/>
      <c r="OWE160" s="3060"/>
      <c r="OWF160" s="3060"/>
      <c r="OWG160" s="3060"/>
      <c r="OWH160" s="3060"/>
      <c r="OWI160" s="3060"/>
      <c r="OWJ160" s="3060"/>
      <c r="OWK160" s="3060"/>
      <c r="OWL160" s="3060"/>
      <c r="OWM160" s="3060"/>
      <c r="OWN160" s="3060"/>
      <c r="OWO160" s="3060"/>
      <c r="OWP160" s="3060"/>
      <c r="OWQ160" s="3060"/>
      <c r="OWR160" s="3060"/>
      <c r="OWS160" s="3060"/>
      <c r="OWT160" s="3060"/>
      <c r="OWU160" s="3060"/>
      <c r="OWV160" s="3060"/>
      <c r="OWW160" s="3060"/>
      <c r="OWX160" s="3060"/>
      <c r="OWY160" s="3060"/>
      <c r="OWZ160" s="3060"/>
      <c r="OXA160" s="3060"/>
      <c r="OXB160" s="3060"/>
      <c r="OXC160" s="3060"/>
      <c r="OXD160" s="3060"/>
      <c r="OXE160" s="3060"/>
      <c r="OXF160" s="3060"/>
      <c r="OXG160" s="3060"/>
      <c r="OXH160" s="3060"/>
      <c r="OXI160" s="3060"/>
      <c r="OXJ160" s="3060"/>
      <c r="OXK160" s="3060"/>
      <c r="OXL160" s="3060"/>
      <c r="OXM160" s="3060"/>
      <c r="OXN160" s="3060"/>
      <c r="OXO160" s="3060"/>
      <c r="OXP160" s="3060"/>
      <c r="OXQ160" s="3060"/>
      <c r="OXR160" s="3060"/>
      <c r="OXS160" s="3060"/>
      <c r="OXT160" s="3060"/>
      <c r="OXU160" s="3060"/>
      <c r="OXV160" s="3060"/>
      <c r="OXW160" s="3060"/>
      <c r="OXX160" s="3060"/>
      <c r="OXY160" s="3060"/>
      <c r="OXZ160" s="3060"/>
      <c r="OYA160" s="3060"/>
      <c r="OYB160" s="3060"/>
      <c r="OYC160" s="3060"/>
      <c r="OYD160" s="3060"/>
      <c r="OYE160" s="3060"/>
      <c r="OYF160" s="3060"/>
      <c r="OYG160" s="3060"/>
      <c r="OYH160" s="3060"/>
      <c r="OYI160" s="3060"/>
      <c r="OYJ160" s="3060"/>
      <c r="OYK160" s="3060"/>
      <c r="OYL160" s="3060"/>
      <c r="OYM160" s="3060"/>
      <c r="OYN160" s="3060"/>
      <c r="OYO160" s="3060"/>
      <c r="OYP160" s="3060"/>
      <c r="OYQ160" s="3060"/>
      <c r="OYR160" s="3060"/>
      <c r="OYS160" s="3060"/>
      <c r="OYT160" s="3060"/>
      <c r="OYU160" s="3060"/>
      <c r="OYV160" s="3060"/>
      <c r="OYW160" s="3060"/>
      <c r="OYX160" s="3060"/>
      <c r="OYY160" s="3060"/>
      <c r="OYZ160" s="3060"/>
      <c r="OZA160" s="3060"/>
      <c r="OZB160" s="3060"/>
      <c r="OZC160" s="3060"/>
      <c r="OZD160" s="3060"/>
      <c r="OZE160" s="3060"/>
      <c r="OZF160" s="3060"/>
      <c r="OZG160" s="3060"/>
      <c r="OZH160" s="3060"/>
      <c r="OZI160" s="3060"/>
      <c r="OZJ160" s="3060"/>
      <c r="OZK160" s="3060"/>
      <c r="OZL160" s="3060"/>
      <c r="OZM160" s="3060"/>
      <c r="OZN160" s="3060"/>
      <c r="OZO160" s="3060"/>
      <c r="OZP160" s="3060"/>
      <c r="OZQ160" s="3060"/>
      <c r="OZR160" s="3060"/>
      <c r="OZS160" s="3060"/>
      <c r="OZT160" s="3060"/>
      <c r="OZU160" s="3060"/>
      <c r="OZV160" s="3060"/>
      <c r="OZW160" s="3060"/>
      <c r="OZX160" s="3060"/>
      <c r="OZY160" s="3060"/>
      <c r="OZZ160" s="3060"/>
      <c r="PAA160" s="3060"/>
      <c r="PAB160" s="3060"/>
      <c r="PAC160" s="3060"/>
      <c r="PAD160" s="3060"/>
      <c r="PAE160" s="3060"/>
      <c r="PAF160" s="3060"/>
      <c r="PAG160" s="3060"/>
      <c r="PAH160" s="3060"/>
      <c r="PAI160" s="3060"/>
      <c r="PAJ160" s="3060"/>
      <c r="PAK160" s="3060"/>
      <c r="PAL160" s="3060"/>
      <c r="PAM160" s="3060"/>
      <c r="PAN160" s="3060"/>
      <c r="PAO160" s="3060"/>
      <c r="PAP160" s="3060"/>
      <c r="PAQ160" s="3060"/>
      <c r="PAR160" s="3060"/>
      <c r="PAS160" s="3060"/>
      <c r="PAT160" s="3060"/>
      <c r="PAU160" s="3060"/>
      <c r="PAV160" s="3060"/>
      <c r="PAW160" s="3060"/>
      <c r="PAX160" s="3060"/>
      <c r="PAY160" s="3060"/>
      <c r="PAZ160" s="3060"/>
      <c r="PBA160" s="3060"/>
      <c r="PBB160" s="3060"/>
      <c r="PBC160" s="3060"/>
      <c r="PBD160" s="3060"/>
      <c r="PBE160" s="3060"/>
      <c r="PBF160" s="3060"/>
      <c r="PBG160" s="3060"/>
      <c r="PBH160" s="3060"/>
      <c r="PBI160" s="3060"/>
      <c r="PBJ160" s="3060"/>
      <c r="PBK160" s="3060"/>
      <c r="PBL160" s="3060"/>
      <c r="PBM160" s="3060"/>
      <c r="PBN160" s="3060"/>
      <c r="PBO160" s="3060"/>
      <c r="PBP160" s="3060"/>
      <c r="PBQ160" s="3060"/>
      <c r="PBR160" s="3060"/>
      <c r="PBS160" s="3060"/>
      <c r="PBT160" s="3060"/>
      <c r="PBU160" s="3060"/>
      <c r="PBV160" s="3060"/>
      <c r="PBW160" s="3060"/>
      <c r="PBX160" s="3060"/>
      <c r="PBY160" s="3060"/>
      <c r="PBZ160" s="3060"/>
      <c r="PCA160" s="3060"/>
      <c r="PCB160" s="3060"/>
      <c r="PCC160" s="3060"/>
      <c r="PCD160" s="3060"/>
      <c r="PCE160" s="3060"/>
      <c r="PCF160" s="3060"/>
      <c r="PCG160" s="3060"/>
      <c r="PCH160" s="3060"/>
      <c r="PCI160" s="3060"/>
      <c r="PCJ160" s="3060"/>
      <c r="PCK160" s="3060"/>
      <c r="PCL160" s="3060"/>
      <c r="PCM160" s="3060"/>
      <c r="PCN160" s="3060"/>
      <c r="PCO160" s="3060"/>
      <c r="PCP160" s="3060"/>
      <c r="PCQ160" s="3060"/>
      <c r="PCR160" s="3060"/>
      <c r="PCS160" s="3060"/>
      <c r="PCT160" s="3060"/>
      <c r="PCU160" s="3060"/>
      <c r="PCV160" s="3060"/>
      <c r="PCW160" s="3060"/>
      <c r="PCX160" s="3060"/>
      <c r="PCY160" s="3060"/>
      <c r="PCZ160" s="3060"/>
      <c r="PDA160" s="3060"/>
      <c r="PDB160" s="3060"/>
      <c r="PDC160" s="3060"/>
      <c r="PDD160" s="3060"/>
      <c r="PDE160" s="3060"/>
      <c r="PDF160" s="3060"/>
      <c r="PDG160" s="3060"/>
      <c r="PDH160" s="3060"/>
      <c r="PDI160" s="3060"/>
      <c r="PDJ160" s="3060"/>
      <c r="PDK160" s="3060"/>
      <c r="PDL160" s="3060"/>
      <c r="PDM160" s="3060"/>
      <c r="PDN160" s="3060"/>
      <c r="PDO160" s="3060"/>
      <c r="PDP160" s="3060"/>
      <c r="PDQ160" s="3060"/>
      <c r="PDR160" s="3060"/>
      <c r="PDS160" s="3060"/>
      <c r="PDT160" s="3060"/>
      <c r="PDU160" s="3060"/>
      <c r="PDV160" s="3060"/>
      <c r="PDW160" s="3060"/>
      <c r="PDX160" s="3060"/>
      <c r="PDY160" s="3060"/>
      <c r="PDZ160" s="3060"/>
      <c r="PEA160" s="3060"/>
      <c r="PEB160" s="3060"/>
      <c r="PEC160" s="3060"/>
      <c r="PED160" s="3060"/>
      <c r="PEE160" s="3060"/>
      <c r="PEF160" s="3060"/>
      <c r="PEG160" s="3060"/>
      <c r="PEH160" s="3060"/>
      <c r="PEI160" s="3060"/>
      <c r="PEJ160" s="3060"/>
      <c r="PEK160" s="3060"/>
      <c r="PEL160" s="3060"/>
      <c r="PEM160" s="3060"/>
      <c r="PEN160" s="3060"/>
      <c r="PEO160" s="3060"/>
      <c r="PEP160" s="3060"/>
      <c r="PEQ160" s="3060"/>
      <c r="PER160" s="3060"/>
      <c r="PES160" s="3060"/>
      <c r="PET160" s="3060"/>
      <c r="PEU160" s="3060"/>
      <c r="PEV160" s="3060"/>
      <c r="PEW160" s="3060"/>
      <c r="PEX160" s="3060"/>
      <c r="PEY160" s="3060"/>
      <c r="PEZ160" s="3060"/>
      <c r="PFA160" s="3060"/>
      <c r="PFB160" s="3060"/>
      <c r="PFC160" s="3060"/>
      <c r="PFD160" s="3060"/>
      <c r="PFE160" s="3060"/>
      <c r="PFF160" s="3060"/>
      <c r="PFG160" s="3060"/>
      <c r="PFH160" s="3060"/>
      <c r="PFI160" s="3060"/>
      <c r="PFJ160" s="3060"/>
      <c r="PFK160" s="3060"/>
      <c r="PFL160" s="3060"/>
      <c r="PFM160" s="3060"/>
      <c r="PFN160" s="3060"/>
      <c r="PFO160" s="3060"/>
      <c r="PFP160" s="3060"/>
      <c r="PFQ160" s="3060"/>
      <c r="PFR160" s="3060"/>
      <c r="PFS160" s="3060"/>
      <c r="PFT160" s="3060"/>
      <c r="PFU160" s="3060"/>
      <c r="PFV160" s="3060"/>
      <c r="PFW160" s="3060"/>
      <c r="PFX160" s="3060"/>
      <c r="PFY160" s="3060"/>
      <c r="PFZ160" s="3060"/>
      <c r="PGA160" s="3060"/>
      <c r="PGB160" s="3060"/>
      <c r="PGC160" s="3060"/>
      <c r="PGD160" s="3060"/>
      <c r="PGE160" s="3060"/>
      <c r="PGF160" s="3060"/>
      <c r="PGG160" s="3060"/>
      <c r="PGH160" s="3060"/>
      <c r="PGI160" s="3060"/>
      <c r="PGJ160" s="3060"/>
      <c r="PGK160" s="3060"/>
      <c r="PGL160" s="3060"/>
      <c r="PGM160" s="3060"/>
      <c r="PGN160" s="3060"/>
      <c r="PGO160" s="3060"/>
      <c r="PGP160" s="3060"/>
      <c r="PGQ160" s="3060"/>
      <c r="PGR160" s="3060"/>
      <c r="PGS160" s="3060"/>
      <c r="PGT160" s="3060"/>
      <c r="PGU160" s="3060"/>
      <c r="PGV160" s="3060"/>
      <c r="PGW160" s="3060"/>
      <c r="PGX160" s="3060"/>
      <c r="PGY160" s="3060"/>
      <c r="PGZ160" s="3060"/>
      <c r="PHA160" s="3060"/>
      <c r="PHB160" s="3060"/>
      <c r="PHC160" s="3060"/>
      <c r="PHD160" s="3060"/>
      <c r="PHE160" s="3060"/>
      <c r="PHF160" s="3060"/>
      <c r="PHG160" s="3060"/>
      <c r="PHH160" s="3060"/>
      <c r="PHI160" s="3060"/>
      <c r="PHJ160" s="3060"/>
      <c r="PHK160" s="3060"/>
      <c r="PHL160" s="3060"/>
      <c r="PHM160" s="3060"/>
      <c r="PHN160" s="3060"/>
      <c r="PHO160" s="3060"/>
      <c r="PHP160" s="3060"/>
      <c r="PHQ160" s="3060"/>
      <c r="PHR160" s="3060"/>
      <c r="PHS160" s="3060"/>
      <c r="PHT160" s="3060"/>
      <c r="PHU160" s="3060"/>
      <c r="PHV160" s="3060"/>
      <c r="PHW160" s="3060"/>
      <c r="PHX160" s="3060"/>
      <c r="PHY160" s="3060"/>
      <c r="PHZ160" s="3060"/>
      <c r="PIA160" s="3060"/>
      <c r="PIB160" s="3060"/>
      <c r="PIC160" s="3060"/>
      <c r="PID160" s="3060"/>
      <c r="PIE160" s="3060"/>
      <c r="PIF160" s="3060"/>
      <c r="PIG160" s="3060"/>
      <c r="PIH160" s="3060"/>
      <c r="PII160" s="3060"/>
      <c r="PIJ160" s="3060"/>
      <c r="PIK160" s="3060"/>
      <c r="PIL160" s="3060"/>
      <c r="PIM160" s="3060"/>
      <c r="PIN160" s="3060"/>
      <c r="PIO160" s="3060"/>
      <c r="PIP160" s="3060"/>
      <c r="PIQ160" s="3060"/>
      <c r="PIR160" s="3060"/>
      <c r="PIS160" s="3060"/>
      <c r="PIT160" s="3060"/>
      <c r="PIU160" s="3060"/>
      <c r="PIV160" s="3060"/>
      <c r="PIW160" s="3060"/>
      <c r="PIX160" s="3060"/>
      <c r="PIY160" s="3060"/>
      <c r="PIZ160" s="3060"/>
      <c r="PJA160" s="3060"/>
      <c r="PJB160" s="3060"/>
      <c r="PJC160" s="3060"/>
      <c r="PJD160" s="3060"/>
      <c r="PJE160" s="3060"/>
      <c r="PJF160" s="3060"/>
      <c r="PJG160" s="3060"/>
      <c r="PJH160" s="3060"/>
      <c r="PJI160" s="3060"/>
      <c r="PJJ160" s="3060"/>
      <c r="PJK160" s="3060"/>
      <c r="PJL160" s="3060"/>
      <c r="PJM160" s="3060"/>
      <c r="PJN160" s="3060"/>
      <c r="PJO160" s="3060"/>
      <c r="PJP160" s="3060"/>
      <c r="PJQ160" s="3060"/>
      <c r="PJR160" s="3060"/>
      <c r="PJS160" s="3060"/>
      <c r="PJT160" s="3060"/>
      <c r="PJU160" s="3060"/>
      <c r="PJV160" s="3060"/>
      <c r="PJW160" s="3060"/>
      <c r="PJX160" s="3060"/>
      <c r="PJY160" s="3060"/>
      <c r="PJZ160" s="3060"/>
      <c r="PKA160" s="3060"/>
      <c r="PKB160" s="3060"/>
      <c r="PKC160" s="3060"/>
      <c r="PKD160" s="3060"/>
      <c r="PKE160" s="3060"/>
      <c r="PKF160" s="3060"/>
      <c r="PKG160" s="3060"/>
      <c r="PKH160" s="3060"/>
      <c r="PKI160" s="3060"/>
      <c r="PKJ160" s="3060"/>
      <c r="PKK160" s="3060"/>
      <c r="PKL160" s="3060"/>
      <c r="PKM160" s="3060"/>
      <c r="PKN160" s="3060"/>
      <c r="PKO160" s="3060"/>
      <c r="PKP160" s="3060"/>
      <c r="PKQ160" s="3060"/>
      <c r="PKR160" s="3060"/>
      <c r="PKS160" s="3060"/>
      <c r="PKT160" s="3060"/>
      <c r="PKU160" s="3060"/>
      <c r="PKV160" s="3060"/>
      <c r="PKW160" s="3060"/>
      <c r="PKX160" s="3060"/>
      <c r="PKY160" s="3060"/>
      <c r="PKZ160" s="3060"/>
      <c r="PLA160" s="3060"/>
      <c r="PLB160" s="3060"/>
      <c r="PLC160" s="3060"/>
      <c r="PLD160" s="3060"/>
      <c r="PLE160" s="3060"/>
      <c r="PLF160" s="3060"/>
      <c r="PLG160" s="3060"/>
      <c r="PLH160" s="3060"/>
      <c r="PLI160" s="3060"/>
      <c r="PLJ160" s="3060"/>
      <c r="PLK160" s="3060"/>
      <c r="PLL160" s="3060"/>
      <c r="PLM160" s="3060"/>
      <c r="PLN160" s="3060"/>
      <c r="PLO160" s="3060"/>
      <c r="PLP160" s="3060"/>
      <c r="PLQ160" s="3060"/>
      <c r="PLR160" s="3060"/>
      <c r="PLS160" s="3060"/>
      <c r="PLT160" s="3060"/>
      <c r="PLU160" s="3060"/>
      <c r="PLV160" s="3060"/>
      <c r="PLW160" s="3060"/>
      <c r="PLX160" s="3060"/>
      <c r="PLY160" s="3060"/>
      <c r="PLZ160" s="3060"/>
      <c r="PMA160" s="3060"/>
      <c r="PMB160" s="3060"/>
      <c r="PMC160" s="3060"/>
      <c r="PMD160" s="3060"/>
      <c r="PME160" s="3060"/>
      <c r="PMF160" s="3060"/>
      <c r="PMG160" s="3060"/>
      <c r="PMH160" s="3060"/>
      <c r="PMI160" s="3060"/>
      <c r="PMJ160" s="3060"/>
      <c r="PMK160" s="3060"/>
      <c r="PML160" s="3060"/>
      <c r="PMM160" s="3060"/>
      <c r="PMN160" s="3060"/>
      <c r="PMO160" s="3060"/>
      <c r="PMP160" s="3060"/>
      <c r="PMQ160" s="3060"/>
      <c r="PMR160" s="3060"/>
      <c r="PMS160" s="3060"/>
      <c r="PMT160" s="3060"/>
      <c r="PMU160" s="3060"/>
      <c r="PMV160" s="3060"/>
      <c r="PMW160" s="3060"/>
      <c r="PMX160" s="3060"/>
      <c r="PMY160" s="3060"/>
      <c r="PMZ160" s="3060"/>
      <c r="PNA160" s="3060"/>
      <c r="PNB160" s="3060"/>
      <c r="PNC160" s="3060"/>
      <c r="PND160" s="3060"/>
      <c r="PNE160" s="3060"/>
      <c r="PNF160" s="3060"/>
      <c r="PNG160" s="3060"/>
      <c r="PNH160" s="3060"/>
      <c r="PNI160" s="3060"/>
      <c r="PNJ160" s="3060"/>
      <c r="PNK160" s="3060"/>
      <c r="PNL160" s="3060"/>
      <c r="PNM160" s="3060"/>
      <c r="PNN160" s="3060"/>
      <c r="PNO160" s="3060"/>
      <c r="PNP160" s="3060"/>
      <c r="PNQ160" s="3060"/>
      <c r="PNR160" s="3060"/>
      <c r="PNS160" s="3060"/>
      <c r="PNT160" s="3060"/>
      <c r="PNU160" s="3060"/>
      <c r="PNV160" s="3060"/>
      <c r="PNW160" s="3060"/>
      <c r="PNX160" s="3060"/>
      <c r="PNY160" s="3060"/>
      <c r="PNZ160" s="3060"/>
      <c r="POA160" s="3060"/>
      <c r="POB160" s="3060"/>
      <c r="POC160" s="3060"/>
      <c r="POD160" s="3060"/>
      <c r="POE160" s="3060"/>
      <c r="POF160" s="3060"/>
      <c r="POG160" s="3060"/>
      <c r="POH160" s="3060"/>
      <c r="POI160" s="3060"/>
      <c r="POJ160" s="3060"/>
      <c r="POK160" s="3060"/>
      <c r="POL160" s="3060"/>
      <c r="POM160" s="3060"/>
      <c r="PON160" s="3060"/>
      <c r="POO160" s="3060"/>
      <c r="POP160" s="3060"/>
      <c r="POQ160" s="3060"/>
      <c r="POR160" s="3060"/>
      <c r="POS160" s="3060"/>
      <c r="POT160" s="3060"/>
      <c r="POU160" s="3060"/>
      <c r="POV160" s="3060"/>
      <c r="POW160" s="3060"/>
      <c r="POX160" s="3060"/>
      <c r="POY160" s="3060"/>
      <c r="POZ160" s="3060"/>
      <c r="PPA160" s="3060"/>
      <c r="PPB160" s="3060"/>
      <c r="PPC160" s="3060"/>
      <c r="PPD160" s="3060"/>
      <c r="PPE160" s="3060"/>
      <c r="PPF160" s="3060"/>
      <c r="PPG160" s="3060"/>
      <c r="PPH160" s="3060"/>
      <c r="PPI160" s="3060"/>
      <c r="PPJ160" s="3060"/>
      <c r="PPK160" s="3060"/>
      <c r="PPL160" s="3060"/>
      <c r="PPM160" s="3060"/>
      <c r="PPN160" s="3060"/>
      <c r="PPO160" s="3060"/>
      <c r="PPP160" s="3060"/>
      <c r="PPQ160" s="3060"/>
      <c r="PPR160" s="3060"/>
      <c r="PPS160" s="3060"/>
      <c r="PPT160" s="3060"/>
      <c r="PPU160" s="3060"/>
      <c r="PPV160" s="3060"/>
      <c r="PPW160" s="3060"/>
      <c r="PPX160" s="3060"/>
      <c r="PPY160" s="3060"/>
      <c r="PPZ160" s="3060"/>
      <c r="PQA160" s="3060"/>
      <c r="PQB160" s="3060"/>
      <c r="PQC160" s="3060"/>
      <c r="PQD160" s="3060"/>
      <c r="PQE160" s="3060"/>
      <c r="PQF160" s="3060"/>
      <c r="PQG160" s="3060"/>
      <c r="PQH160" s="3060"/>
      <c r="PQI160" s="3060"/>
      <c r="PQJ160" s="3060"/>
      <c r="PQK160" s="3060"/>
      <c r="PQL160" s="3060"/>
      <c r="PQM160" s="3060"/>
      <c r="PQN160" s="3060"/>
      <c r="PQO160" s="3060"/>
      <c r="PQP160" s="3060"/>
      <c r="PQQ160" s="3060"/>
      <c r="PQR160" s="3060"/>
      <c r="PQS160" s="3060"/>
      <c r="PQT160" s="3060"/>
      <c r="PQU160" s="3060"/>
      <c r="PQV160" s="3060"/>
      <c r="PQW160" s="3060"/>
      <c r="PQX160" s="3060"/>
      <c r="PQY160" s="3060"/>
      <c r="PQZ160" s="3060"/>
      <c r="PRA160" s="3060"/>
      <c r="PRB160" s="3060"/>
      <c r="PRC160" s="3060"/>
      <c r="PRD160" s="3060"/>
      <c r="PRE160" s="3060"/>
      <c r="PRF160" s="3060"/>
      <c r="PRG160" s="3060"/>
      <c r="PRH160" s="3060"/>
      <c r="PRI160" s="3060"/>
      <c r="PRJ160" s="3060"/>
      <c r="PRK160" s="3060"/>
      <c r="PRL160" s="3060"/>
      <c r="PRM160" s="3060"/>
      <c r="PRN160" s="3060"/>
      <c r="PRO160" s="3060"/>
      <c r="PRP160" s="3060"/>
      <c r="PRQ160" s="3060"/>
      <c r="PRR160" s="3060"/>
      <c r="PRS160" s="3060"/>
      <c r="PRT160" s="3060"/>
      <c r="PRU160" s="3060"/>
      <c r="PRV160" s="3060"/>
      <c r="PRW160" s="3060"/>
      <c r="PRX160" s="3060"/>
      <c r="PRY160" s="3060"/>
      <c r="PRZ160" s="3060"/>
      <c r="PSA160" s="3060"/>
      <c r="PSB160" s="3060"/>
      <c r="PSC160" s="3060"/>
      <c r="PSD160" s="3060"/>
      <c r="PSE160" s="3060"/>
      <c r="PSF160" s="3060"/>
      <c r="PSG160" s="3060"/>
      <c r="PSH160" s="3060"/>
      <c r="PSI160" s="3060"/>
      <c r="PSJ160" s="3060"/>
      <c r="PSK160" s="3060"/>
      <c r="PSL160" s="3060"/>
      <c r="PSM160" s="3060"/>
      <c r="PSN160" s="3060"/>
      <c r="PSO160" s="3060"/>
      <c r="PSP160" s="3060"/>
      <c r="PSQ160" s="3060"/>
      <c r="PSR160" s="3060"/>
      <c r="PSS160" s="3060"/>
      <c r="PST160" s="3060"/>
      <c r="PSU160" s="3060"/>
      <c r="PSV160" s="3060"/>
      <c r="PSW160" s="3060"/>
      <c r="PSX160" s="3060"/>
      <c r="PSY160" s="3060"/>
      <c r="PSZ160" s="3060"/>
      <c r="PTA160" s="3060"/>
      <c r="PTB160" s="3060"/>
      <c r="PTC160" s="3060"/>
      <c r="PTD160" s="3060"/>
      <c r="PTE160" s="3060"/>
      <c r="PTF160" s="3060"/>
      <c r="PTG160" s="3060"/>
      <c r="PTH160" s="3060"/>
      <c r="PTI160" s="3060"/>
      <c r="PTJ160" s="3060"/>
      <c r="PTK160" s="3060"/>
      <c r="PTL160" s="3060"/>
      <c r="PTM160" s="3060"/>
      <c r="PTN160" s="3060"/>
      <c r="PTO160" s="3060"/>
      <c r="PTP160" s="3060"/>
      <c r="PTQ160" s="3060"/>
      <c r="PTR160" s="3060"/>
      <c r="PTS160" s="3060"/>
      <c r="PTT160" s="3060"/>
      <c r="PTU160" s="3060"/>
      <c r="PTV160" s="3060"/>
      <c r="PTW160" s="3060"/>
      <c r="PTX160" s="3060"/>
      <c r="PTY160" s="3060"/>
      <c r="PTZ160" s="3060"/>
      <c r="PUA160" s="3060"/>
      <c r="PUB160" s="3060"/>
      <c r="PUC160" s="3060"/>
      <c r="PUD160" s="3060"/>
      <c r="PUE160" s="3060"/>
      <c r="PUF160" s="3060"/>
      <c r="PUG160" s="3060"/>
      <c r="PUH160" s="3060"/>
      <c r="PUI160" s="3060"/>
      <c r="PUJ160" s="3060"/>
      <c r="PUK160" s="3060"/>
      <c r="PUL160" s="3060"/>
      <c r="PUM160" s="3060"/>
      <c r="PUN160" s="3060"/>
      <c r="PUO160" s="3060"/>
      <c r="PUP160" s="3060"/>
      <c r="PUQ160" s="3060"/>
      <c r="PUR160" s="3060"/>
      <c r="PUS160" s="3060"/>
      <c r="PUT160" s="3060"/>
      <c r="PUU160" s="3060"/>
      <c r="PUV160" s="3060"/>
      <c r="PUW160" s="3060"/>
      <c r="PUX160" s="3060"/>
      <c r="PUY160" s="3060"/>
      <c r="PUZ160" s="3060"/>
      <c r="PVA160" s="3060"/>
      <c r="PVB160" s="3060"/>
      <c r="PVC160" s="3060"/>
      <c r="PVD160" s="3060"/>
      <c r="PVE160" s="3060"/>
      <c r="PVF160" s="3060"/>
      <c r="PVG160" s="3060"/>
      <c r="PVH160" s="3060"/>
      <c r="PVI160" s="3060"/>
      <c r="PVJ160" s="3060"/>
      <c r="PVK160" s="3060"/>
      <c r="PVL160" s="3060"/>
      <c r="PVM160" s="3060"/>
      <c r="PVN160" s="3060"/>
      <c r="PVO160" s="3060"/>
      <c r="PVP160" s="3060"/>
      <c r="PVQ160" s="3060"/>
      <c r="PVR160" s="3060"/>
      <c r="PVS160" s="3060"/>
      <c r="PVT160" s="3060"/>
      <c r="PVU160" s="3060"/>
      <c r="PVV160" s="3060"/>
      <c r="PVW160" s="3060"/>
      <c r="PVX160" s="3060"/>
      <c r="PVY160" s="3060"/>
      <c r="PVZ160" s="3060"/>
      <c r="PWA160" s="3060"/>
      <c r="PWB160" s="3060"/>
      <c r="PWC160" s="3060"/>
      <c r="PWD160" s="3060"/>
      <c r="PWE160" s="3060"/>
      <c r="PWF160" s="3060"/>
      <c r="PWG160" s="3060"/>
      <c r="PWH160" s="3060"/>
      <c r="PWI160" s="3060"/>
      <c r="PWJ160" s="3060"/>
      <c r="PWK160" s="3060"/>
      <c r="PWL160" s="3060"/>
      <c r="PWM160" s="3060"/>
      <c r="PWN160" s="3060"/>
      <c r="PWO160" s="3060"/>
      <c r="PWP160" s="3060"/>
      <c r="PWQ160" s="3060"/>
      <c r="PWR160" s="3060"/>
      <c r="PWS160" s="3060"/>
      <c r="PWT160" s="3060"/>
      <c r="PWU160" s="3060"/>
      <c r="PWV160" s="3060"/>
      <c r="PWW160" s="3060"/>
      <c r="PWX160" s="3060"/>
      <c r="PWY160" s="3060"/>
      <c r="PWZ160" s="3060"/>
      <c r="PXA160" s="3060"/>
      <c r="PXB160" s="3060"/>
      <c r="PXC160" s="3060"/>
      <c r="PXD160" s="3060"/>
      <c r="PXE160" s="3060"/>
      <c r="PXF160" s="3060"/>
      <c r="PXG160" s="3060"/>
      <c r="PXH160" s="3060"/>
      <c r="PXI160" s="3060"/>
      <c r="PXJ160" s="3060"/>
      <c r="PXK160" s="3060"/>
      <c r="PXL160" s="3060"/>
      <c r="PXM160" s="3060"/>
      <c r="PXN160" s="3060"/>
      <c r="PXO160" s="3060"/>
      <c r="PXP160" s="3060"/>
      <c r="PXQ160" s="3060"/>
      <c r="PXR160" s="3060"/>
      <c r="PXS160" s="3060"/>
      <c r="PXT160" s="3060"/>
      <c r="PXU160" s="3060"/>
      <c r="PXV160" s="3060"/>
      <c r="PXW160" s="3060"/>
      <c r="PXX160" s="3060"/>
      <c r="PXY160" s="3060"/>
      <c r="PXZ160" s="3060"/>
      <c r="PYA160" s="3060"/>
      <c r="PYB160" s="3060"/>
      <c r="PYC160" s="3060"/>
      <c r="PYD160" s="3060"/>
      <c r="PYE160" s="3060"/>
      <c r="PYF160" s="3060"/>
      <c r="PYG160" s="3060"/>
      <c r="PYH160" s="3060"/>
      <c r="PYI160" s="3060"/>
      <c r="PYJ160" s="3060"/>
      <c r="PYK160" s="3060"/>
      <c r="PYL160" s="3060"/>
      <c r="PYM160" s="3060"/>
      <c r="PYN160" s="3060"/>
      <c r="PYO160" s="3060"/>
      <c r="PYP160" s="3060"/>
      <c r="PYQ160" s="3060"/>
      <c r="PYR160" s="3060"/>
      <c r="PYS160" s="3060"/>
      <c r="PYT160" s="3060"/>
      <c r="PYU160" s="3060"/>
      <c r="PYV160" s="3060"/>
      <c r="PYW160" s="3060"/>
      <c r="PYX160" s="3060"/>
      <c r="PYY160" s="3060"/>
      <c r="PYZ160" s="3060"/>
      <c r="PZA160" s="3060"/>
      <c r="PZB160" s="3060"/>
      <c r="PZC160" s="3060"/>
      <c r="PZD160" s="3060"/>
      <c r="PZE160" s="3060"/>
      <c r="PZF160" s="3060"/>
      <c r="PZG160" s="3060"/>
      <c r="PZH160" s="3060"/>
      <c r="PZI160" s="3060"/>
      <c r="PZJ160" s="3060"/>
      <c r="PZK160" s="3060"/>
      <c r="PZL160" s="3060"/>
      <c r="PZM160" s="3060"/>
      <c r="PZN160" s="3060"/>
      <c r="PZO160" s="3060"/>
      <c r="PZP160" s="3060"/>
      <c r="PZQ160" s="3060"/>
      <c r="PZR160" s="3060"/>
      <c r="PZS160" s="3060"/>
      <c r="PZT160" s="3060"/>
      <c r="PZU160" s="3060"/>
      <c r="PZV160" s="3060"/>
      <c r="PZW160" s="3060"/>
      <c r="PZX160" s="3060"/>
      <c r="PZY160" s="3060"/>
      <c r="PZZ160" s="3060"/>
      <c r="QAA160" s="3060"/>
      <c r="QAB160" s="3060"/>
      <c r="QAC160" s="3060"/>
      <c r="QAD160" s="3060"/>
      <c r="QAE160" s="3060"/>
      <c r="QAF160" s="3060"/>
      <c r="QAG160" s="3060"/>
      <c r="QAH160" s="3060"/>
      <c r="QAI160" s="3060"/>
      <c r="QAJ160" s="3060"/>
      <c r="QAK160" s="3060"/>
      <c r="QAL160" s="3060"/>
      <c r="QAM160" s="3060"/>
      <c r="QAN160" s="3060"/>
      <c r="QAO160" s="3060"/>
      <c r="QAP160" s="3060"/>
      <c r="QAQ160" s="3060"/>
      <c r="QAR160" s="3060"/>
      <c r="QAS160" s="3060"/>
      <c r="QAT160" s="3060"/>
      <c r="QAU160" s="3060"/>
      <c r="QAV160" s="3060"/>
      <c r="QAW160" s="3060"/>
      <c r="QAX160" s="3060"/>
      <c r="QAY160" s="3060"/>
      <c r="QAZ160" s="3060"/>
      <c r="QBA160" s="3060"/>
      <c r="QBB160" s="3060"/>
      <c r="QBC160" s="3060"/>
      <c r="QBD160" s="3060"/>
      <c r="QBE160" s="3060"/>
      <c r="QBF160" s="3060"/>
      <c r="QBG160" s="3060"/>
      <c r="QBH160" s="3060"/>
      <c r="QBI160" s="3060"/>
      <c r="QBJ160" s="3060"/>
      <c r="QBK160" s="3060"/>
      <c r="QBL160" s="3060"/>
      <c r="QBM160" s="3060"/>
      <c r="QBN160" s="3060"/>
      <c r="QBO160" s="3060"/>
      <c r="QBP160" s="3060"/>
      <c r="QBQ160" s="3060"/>
      <c r="QBR160" s="3060"/>
      <c r="QBS160" s="3060"/>
      <c r="QBT160" s="3060"/>
      <c r="QBU160" s="3060"/>
      <c r="QBV160" s="3060"/>
      <c r="QBW160" s="3060"/>
      <c r="QBX160" s="3060"/>
      <c r="QBY160" s="3060"/>
      <c r="QBZ160" s="3060"/>
      <c r="QCA160" s="3060"/>
      <c r="QCB160" s="3060"/>
      <c r="QCC160" s="3060"/>
      <c r="QCD160" s="3060"/>
      <c r="QCE160" s="3060"/>
      <c r="QCF160" s="3060"/>
      <c r="QCG160" s="3060"/>
      <c r="QCH160" s="3060"/>
      <c r="QCI160" s="3060"/>
      <c r="QCJ160" s="3060"/>
      <c r="QCK160" s="3060"/>
      <c r="QCL160" s="3060"/>
      <c r="QCM160" s="3060"/>
      <c r="QCN160" s="3060"/>
      <c r="QCO160" s="3060"/>
      <c r="QCP160" s="3060"/>
      <c r="QCQ160" s="3060"/>
      <c r="QCR160" s="3060"/>
      <c r="QCS160" s="3060"/>
      <c r="QCT160" s="3060"/>
      <c r="QCU160" s="3060"/>
      <c r="QCV160" s="3060"/>
      <c r="QCW160" s="3060"/>
      <c r="QCX160" s="3060"/>
      <c r="QCY160" s="3060"/>
      <c r="QCZ160" s="3060"/>
      <c r="QDA160" s="3060"/>
      <c r="QDB160" s="3060"/>
      <c r="QDC160" s="3060"/>
      <c r="QDD160" s="3060"/>
      <c r="QDE160" s="3060"/>
      <c r="QDF160" s="3060"/>
      <c r="QDG160" s="3060"/>
      <c r="QDH160" s="3060"/>
      <c r="QDI160" s="3060"/>
      <c r="QDJ160" s="3060"/>
      <c r="QDK160" s="3060"/>
      <c r="QDL160" s="3060"/>
      <c r="QDM160" s="3060"/>
      <c r="QDN160" s="3060"/>
      <c r="QDO160" s="3060"/>
      <c r="QDP160" s="3060"/>
      <c r="QDQ160" s="3060"/>
      <c r="QDR160" s="3060"/>
      <c r="QDS160" s="3060"/>
      <c r="QDT160" s="3060"/>
      <c r="QDU160" s="3060"/>
      <c r="QDV160" s="3060"/>
      <c r="QDW160" s="3060"/>
      <c r="QDX160" s="3060"/>
      <c r="QDY160" s="3060"/>
      <c r="QDZ160" s="3060"/>
      <c r="QEA160" s="3060"/>
      <c r="QEB160" s="3060"/>
      <c r="QEC160" s="3060"/>
      <c r="QED160" s="3060"/>
      <c r="QEE160" s="3060"/>
      <c r="QEF160" s="3060"/>
      <c r="QEG160" s="3060"/>
      <c r="QEH160" s="3060"/>
      <c r="QEI160" s="3060"/>
      <c r="QEJ160" s="3060"/>
      <c r="QEK160" s="3060"/>
      <c r="QEL160" s="3060"/>
      <c r="QEM160" s="3060"/>
      <c r="QEN160" s="3060"/>
      <c r="QEO160" s="3060"/>
      <c r="QEP160" s="3060"/>
      <c r="QEQ160" s="3060"/>
      <c r="QER160" s="3060"/>
      <c r="QES160" s="3060"/>
      <c r="QET160" s="3060"/>
      <c r="QEU160" s="3060"/>
      <c r="QEV160" s="3060"/>
      <c r="QEW160" s="3060"/>
      <c r="QEX160" s="3060"/>
      <c r="QEY160" s="3060"/>
      <c r="QEZ160" s="3060"/>
      <c r="QFA160" s="3060"/>
      <c r="QFB160" s="3060"/>
      <c r="QFC160" s="3060"/>
      <c r="QFD160" s="3060"/>
      <c r="QFE160" s="3060"/>
      <c r="QFF160" s="3060"/>
      <c r="QFG160" s="3060"/>
      <c r="QFH160" s="3060"/>
      <c r="QFI160" s="3060"/>
      <c r="QFJ160" s="3060"/>
      <c r="QFK160" s="3060"/>
      <c r="QFL160" s="3060"/>
      <c r="QFM160" s="3060"/>
      <c r="QFN160" s="3060"/>
      <c r="QFO160" s="3060"/>
      <c r="QFP160" s="3060"/>
      <c r="QFQ160" s="3060"/>
      <c r="QFR160" s="3060"/>
      <c r="QFS160" s="3060"/>
      <c r="QFT160" s="3060"/>
      <c r="QFU160" s="3060"/>
      <c r="QFV160" s="3060"/>
      <c r="QFW160" s="3060"/>
      <c r="QFX160" s="3060"/>
      <c r="QFY160" s="3060"/>
      <c r="QFZ160" s="3060"/>
      <c r="QGA160" s="3060"/>
      <c r="QGB160" s="3060"/>
      <c r="QGC160" s="3060"/>
      <c r="QGD160" s="3060"/>
      <c r="QGE160" s="3060"/>
      <c r="QGF160" s="3060"/>
      <c r="QGG160" s="3060"/>
      <c r="QGH160" s="3060"/>
      <c r="QGI160" s="3060"/>
      <c r="QGJ160" s="3060"/>
      <c r="QGK160" s="3060"/>
      <c r="QGL160" s="3060"/>
      <c r="QGM160" s="3060"/>
      <c r="QGN160" s="3060"/>
      <c r="QGO160" s="3060"/>
      <c r="QGP160" s="3060"/>
      <c r="QGQ160" s="3060"/>
      <c r="QGR160" s="3060"/>
      <c r="QGS160" s="3060"/>
      <c r="QGT160" s="3060"/>
      <c r="QGU160" s="3060"/>
      <c r="QGV160" s="3060"/>
      <c r="QGW160" s="3060"/>
      <c r="QGX160" s="3060"/>
      <c r="QGY160" s="3060"/>
      <c r="QGZ160" s="3060"/>
      <c r="QHA160" s="3060"/>
      <c r="QHB160" s="3060"/>
      <c r="QHC160" s="3060"/>
      <c r="QHD160" s="3060"/>
      <c r="QHE160" s="3060"/>
      <c r="QHF160" s="3060"/>
      <c r="QHG160" s="3060"/>
      <c r="QHH160" s="3060"/>
      <c r="QHI160" s="3060"/>
      <c r="QHJ160" s="3060"/>
      <c r="QHK160" s="3060"/>
      <c r="QHL160" s="3060"/>
      <c r="QHM160" s="3060"/>
      <c r="QHN160" s="3060"/>
      <c r="QHO160" s="3060"/>
      <c r="QHP160" s="3060"/>
      <c r="QHQ160" s="3060"/>
      <c r="QHR160" s="3060"/>
      <c r="QHS160" s="3060"/>
      <c r="QHT160" s="3060"/>
      <c r="QHU160" s="3060"/>
      <c r="QHV160" s="3060"/>
      <c r="QHW160" s="3060"/>
      <c r="QHX160" s="3060"/>
      <c r="QHY160" s="3060"/>
      <c r="QHZ160" s="3060"/>
      <c r="QIA160" s="3060"/>
      <c r="QIB160" s="3060"/>
      <c r="QIC160" s="3060"/>
      <c r="QID160" s="3060"/>
      <c r="QIE160" s="3060"/>
      <c r="QIF160" s="3060"/>
      <c r="QIG160" s="3060"/>
      <c r="QIH160" s="3060"/>
      <c r="QII160" s="3060"/>
      <c r="QIJ160" s="3060"/>
      <c r="QIK160" s="3060"/>
      <c r="QIL160" s="3060"/>
      <c r="QIM160" s="3060"/>
      <c r="QIN160" s="3060"/>
      <c r="QIO160" s="3060"/>
      <c r="QIP160" s="3060"/>
      <c r="QIQ160" s="3060"/>
      <c r="QIR160" s="3060"/>
      <c r="QIS160" s="3060"/>
      <c r="QIT160" s="3060"/>
      <c r="QIU160" s="3060"/>
      <c r="QIV160" s="3060"/>
      <c r="QIW160" s="3060"/>
      <c r="QIX160" s="3060"/>
      <c r="QIY160" s="3060"/>
      <c r="QIZ160" s="3060"/>
      <c r="QJA160" s="3060"/>
      <c r="QJB160" s="3060"/>
      <c r="QJC160" s="3060"/>
      <c r="QJD160" s="3060"/>
      <c r="QJE160" s="3060"/>
      <c r="QJF160" s="3060"/>
      <c r="QJG160" s="3060"/>
      <c r="QJH160" s="3060"/>
      <c r="QJI160" s="3060"/>
      <c r="QJJ160" s="3060"/>
      <c r="QJK160" s="3060"/>
      <c r="QJL160" s="3060"/>
      <c r="QJM160" s="3060"/>
      <c r="QJN160" s="3060"/>
      <c r="QJO160" s="3060"/>
      <c r="QJP160" s="3060"/>
      <c r="QJQ160" s="3060"/>
      <c r="QJR160" s="3060"/>
      <c r="QJS160" s="3060"/>
      <c r="QJT160" s="3060"/>
      <c r="QJU160" s="3060"/>
      <c r="QJV160" s="3060"/>
      <c r="QJW160" s="3060"/>
      <c r="QJX160" s="3060"/>
      <c r="QJY160" s="3060"/>
      <c r="QJZ160" s="3060"/>
      <c r="QKA160" s="3060"/>
      <c r="QKB160" s="3060"/>
      <c r="QKC160" s="3060"/>
      <c r="QKD160" s="3060"/>
      <c r="QKE160" s="3060"/>
      <c r="QKF160" s="3060"/>
      <c r="QKG160" s="3060"/>
      <c r="QKH160" s="3060"/>
      <c r="QKI160" s="3060"/>
      <c r="QKJ160" s="3060"/>
      <c r="QKK160" s="3060"/>
      <c r="QKL160" s="3060"/>
      <c r="QKM160" s="3060"/>
      <c r="QKN160" s="3060"/>
      <c r="QKO160" s="3060"/>
      <c r="QKP160" s="3060"/>
      <c r="QKQ160" s="3060"/>
      <c r="QKR160" s="3060"/>
      <c r="QKS160" s="3060"/>
      <c r="QKT160" s="3060"/>
      <c r="QKU160" s="3060"/>
      <c r="QKV160" s="3060"/>
      <c r="QKW160" s="3060"/>
      <c r="QKX160" s="3060"/>
      <c r="QKY160" s="3060"/>
      <c r="QKZ160" s="3060"/>
      <c r="QLA160" s="3060"/>
      <c r="QLB160" s="3060"/>
      <c r="QLC160" s="3060"/>
      <c r="QLD160" s="3060"/>
      <c r="QLE160" s="3060"/>
      <c r="QLF160" s="3060"/>
      <c r="QLG160" s="3060"/>
      <c r="QLH160" s="3060"/>
      <c r="QLI160" s="3060"/>
      <c r="QLJ160" s="3060"/>
      <c r="QLK160" s="3060"/>
      <c r="QLL160" s="3060"/>
      <c r="QLM160" s="3060"/>
      <c r="QLN160" s="3060"/>
      <c r="QLO160" s="3060"/>
      <c r="QLP160" s="3060"/>
      <c r="QLQ160" s="3060"/>
      <c r="QLR160" s="3060"/>
      <c r="QLS160" s="3060"/>
      <c r="QLT160" s="3060"/>
      <c r="QLU160" s="3060"/>
      <c r="QLV160" s="3060"/>
      <c r="QLW160" s="3060"/>
      <c r="QLX160" s="3060"/>
      <c r="QLY160" s="3060"/>
      <c r="QLZ160" s="3060"/>
      <c r="QMA160" s="3060"/>
      <c r="QMB160" s="3060"/>
      <c r="QMC160" s="3060"/>
      <c r="QMD160" s="3060"/>
      <c r="QME160" s="3060"/>
      <c r="QMF160" s="3060"/>
      <c r="QMG160" s="3060"/>
      <c r="QMH160" s="3060"/>
      <c r="QMI160" s="3060"/>
      <c r="QMJ160" s="3060"/>
      <c r="QMK160" s="3060"/>
      <c r="QML160" s="3060"/>
      <c r="QMM160" s="3060"/>
      <c r="QMN160" s="3060"/>
      <c r="QMO160" s="3060"/>
      <c r="QMP160" s="3060"/>
      <c r="QMQ160" s="3060"/>
      <c r="QMR160" s="3060"/>
      <c r="QMS160" s="3060"/>
      <c r="QMT160" s="3060"/>
      <c r="QMU160" s="3060"/>
      <c r="QMV160" s="3060"/>
      <c r="QMW160" s="3060"/>
      <c r="QMX160" s="3060"/>
      <c r="QMY160" s="3060"/>
      <c r="QMZ160" s="3060"/>
      <c r="QNA160" s="3060"/>
      <c r="QNB160" s="3060"/>
      <c r="QNC160" s="3060"/>
      <c r="QND160" s="3060"/>
      <c r="QNE160" s="3060"/>
      <c r="QNF160" s="3060"/>
      <c r="QNG160" s="3060"/>
      <c r="QNH160" s="3060"/>
      <c r="QNI160" s="3060"/>
      <c r="QNJ160" s="3060"/>
      <c r="QNK160" s="3060"/>
      <c r="QNL160" s="3060"/>
      <c r="QNM160" s="3060"/>
      <c r="QNN160" s="3060"/>
      <c r="QNO160" s="3060"/>
      <c r="QNP160" s="3060"/>
      <c r="QNQ160" s="3060"/>
      <c r="QNR160" s="3060"/>
      <c r="QNS160" s="3060"/>
      <c r="QNT160" s="3060"/>
      <c r="QNU160" s="3060"/>
      <c r="QNV160" s="3060"/>
      <c r="QNW160" s="3060"/>
      <c r="QNX160" s="3060"/>
      <c r="QNY160" s="3060"/>
      <c r="QNZ160" s="3060"/>
      <c r="QOA160" s="3060"/>
      <c r="QOB160" s="3060"/>
      <c r="QOC160" s="3060"/>
      <c r="QOD160" s="3060"/>
      <c r="QOE160" s="3060"/>
      <c r="QOF160" s="3060"/>
      <c r="QOG160" s="3060"/>
      <c r="QOH160" s="3060"/>
      <c r="QOI160" s="3060"/>
      <c r="QOJ160" s="3060"/>
      <c r="QOK160" s="3060"/>
      <c r="QOL160" s="3060"/>
      <c r="QOM160" s="3060"/>
      <c r="QON160" s="3060"/>
      <c r="QOO160" s="3060"/>
      <c r="QOP160" s="3060"/>
      <c r="QOQ160" s="3060"/>
      <c r="QOR160" s="3060"/>
      <c r="QOS160" s="3060"/>
      <c r="QOT160" s="3060"/>
      <c r="QOU160" s="3060"/>
      <c r="QOV160" s="3060"/>
      <c r="QOW160" s="3060"/>
      <c r="QOX160" s="3060"/>
      <c r="QOY160" s="3060"/>
      <c r="QOZ160" s="3060"/>
      <c r="QPA160" s="3060"/>
      <c r="QPB160" s="3060"/>
      <c r="QPC160" s="3060"/>
      <c r="QPD160" s="3060"/>
      <c r="QPE160" s="3060"/>
      <c r="QPF160" s="3060"/>
      <c r="QPG160" s="3060"/>
      <c r="QPH160" s="3060"/>
      <c r="QPI160" s="3060"/>
      <c r="QPJ160" s="3060"/>
      <c r="QPK160" s="3060"/>
      <c r="QPL160" s="3060"/>
      <c r="QPM160" s="3060"/>
      <c r="QPN160" s="3060"/>
      <c r="QPO160" s="3060"/>
      <c r="QPP160" s="3060"/>
      <c r="QPQ160" s="3060"/>
      <c r="QPR160" s="3060"/>
      <c r="QPS160" s="3060"/>
      <c r="QPT160" s="3060"/>
      <c r="QPU160" s="3060"/>
      <c r="QPV160" s="3060"/>
      <c r="QPW160" s="3060"/>
      <c r="QPX160" s="3060"/>
      <c r="QPY160" s="3060"/>
      <c r="QPZ160" s="3060"/>
      <c r="QQA160" s="3060"/>
      <c r="QQB160" s="3060"/>
      <c r="QQC160" s="3060"/>
      <c r="QQD160" s="3060"/>
      <c r="QQE160" s="3060"/>
      <c r="QQF160" s="3060"/>
      <c r="QQG160" s="3060"/>
      <c r="QQH160" s="3060"/>
      <c r="QQI160" s="3060"/>
      <c r="QQJ160" s="3060"/>
      <c r="QQK160" s="3060"/>
      <c r="QQL160" s="3060"/>
      <c r="QQM160" s="3060"/>
      <c r="QQN160" s="3060"/>
      <c r="QQO160" s="3060"/>
      <c r="QQP160" s="3060"/>
      <c r="QQQ160" s="3060"/>
      <c r="QQR160" s="3060"/>
      <c r="QQS160" s="3060"/>
      <c r="QQT160" s="3060"/>
      <c r="QQU160" s="3060"/>
      <c r="QQV160" s="3060"/>
      <c r="QQW160" s="3060"/>
      <c r="QQX160" s="3060"/>
      <c r="QQY160" s="3060"/>
      <c r="QQZ160" s="3060"/>
      <c r="QRA160" s="3060"/>
      <c r="QRB160" s="3060"/>
      <c r="QRC160" s="3060"/>
      <c r="QRD160" s="3060"/>
      <c r="QRE160" s="3060"/>
      <c r="QRF160" s="3060"/>
      <c r="QRG160" s="3060"/>
      <c r="QRH160" s="3060"/>
      <c r="QRI160" s="3060"/>
      <c r="QRJ160" s="3060"/>
      <c r="QRK160" s="3060"/>
      <c r="QRL160" s="3060"/>
      <c r="QRM160" s="3060"/>
      <c r="QRN160" s="3060"/>
      <c r="QRO160" s="3060"/>
      <c r="QRP160" s="3060"/>
      <c r="QRQ160" s="3060"/>
      <c r="QRR160" s="3060"/>
      <c r="QRS160" s="3060"/>
      <c r="QRT160" s="3060"/>
      <c r="QRU160" s="3060"/>
      <c r="QRV160" s="3060"/>
      <c r="QRW160" s="3060"/>
      <c r="QRX160" s="3060"/>
      <c r="QRY160" s="3060"/>
      <c r="QRZ160" s="3060"/>
      <c r="QSA160" s="3060"/>
      <c r="QSB160" s="3060"/>
      <c r="QSC160" s="3060"/>
      <c r="QSD160" s="3060"/>
      <c r="QSE160" s="3060"/>
      <c r="QSF160" s="3060"/>
      <c r="QSG160" s="3060"/>
      <c r="QSH160" s="3060"/>
      <c r="QSI160" s="3060"/>
      <c r="QSJ160" s="3060"/>
      <c r="QSK160" s="3060"/>
      <c r="QSL160" s="3060"/>
      <c r="QSM160" s="3060"/>
      <c r="QSN160" s="3060"/>
      <c r="QSO160" s="3060"/>
      <c r="QSP160" s="3060"/>
      <c r="QSQ160" s="3060"/>
      <c r="QSR160" s="3060"/>
      <c r="QSS160" s="3060"/>
      <c r="QST160" s="3060"/>
      <c r="QSU160" s="3060"/>
      <c r="QSV160" s="3060"/>
      <c r="QSW160" s="3060"/>
      <c r="QSX160" s="3060"/>
      <c r="QSY160" s="3060"/>
      <c r="QSZ160" s="3060"/>
      <c r="QTA160" s="3060"/>
      <c r="QTB160" s="3060"/>
      <c r="QTC160" s="3060"/>
      <c r="QTD160" s="3060"/>
      <c r="QTE160" s="3060"/>
      <c r="QTF160" s="3060"/>
      <c r="QTG160" s="3060"/>
      <c r="QTH160" s="3060"/>
      <c r="QTI160" s="3060"/>
      <c r="QTJ160" s="3060"/>
      <c r="QTK160" s="3060"/>
      <c r="QTL160" s="3060"/>
      <c r="QTM160" s="3060"/>
      <c r="QTN160" s="3060"/>
      <c r="QTO160" s="3060"/>
      <c r="QTP160" s="3060"/>
      <c r="QTQ160" s="3060"/>
      <c r="QTR160" s="3060"/>
      <c r="QTS160" s="3060"/>
      <c r="QTT160" s="3060"/>
      <c r="QTU160" s="3060"/>
      <c r="QTV160" s="3060"/>
      <c r="QTW160" s="3060"/>
      <c r="QTX160" s="3060"/>
      <c r="QTY160" s="3060"/>
      <c r="QTZ160" s="3060"/>
      <c r="QUA160" s="3060"/>
      <c r="QUB160" s="3060"/>
      <c r="QUC160" s="3060"/>
      <c r="QUD160" s="3060"/>
      <c r="QUE160" s="3060"/>
      <c r="QUF160" s="3060"/>
      <c r="QUG160" s="3060"/>
      <c r="QUH160" s="3060"/>
      <c r="QUI160" s="3060"/>
      <c r="QUJ160" s="3060"/>
      <c r="QUK160" s="3060"/>
      <c r="QUL160" s="3060"/>
      <c r="QUM160" s="3060"/>
      <c r="QUN160" s="3060"/>
      <c r="QUO160" s="3060"/>
      <c r="QUP160" s="3060"/>
      <c r="QUQ160" s="3060"/>
      <c r="QUR160" s="3060"/>
      <c r="QUS160" s="3060"/>
      <c r="QUT160" s="3060"/>
      <c r="QUU160" s="3060"/>
      <c r="QUV160" s="3060"/>
      <c r="QUW160" s="3060"/>
      <c r="QUX160" s="3060"/>
      <c r="QUY160" s="3060"/>
      <c r="QUZ160" s="3060"/>
      <c r="QVA160" s="3060"/>
      <c r="QVB160" s="3060"/>
      <c r="QVC160" s="3060"/>
      <c r="QVD160" s="3060"/>
      <c r="QVE160" s="3060"/>
      <c r="QVF160" s="3060"/>
      <c r="QVG160" s="3060"/>
      <c r="QVH160" s="3060"/>
      <c r="QVI160" s="3060"/>
      <c r="QVJ160" s="3060"/>
      <c r="QVK160" s="3060"/>
      <c r="QVL160" s="3060"/>
      <c r="QVM160" s="3060"/>
      <c r="QVN160" s="3060"/>
      <c r="QVO160" s="3060"/>
      <c r="QVP160" s="3060"/>
      <c r="QVQ160" s="3060"/>
      <c r="QVR160" s="3060"/>
      <c r="QVS160" s="3060"/>
      <c r="QVT160" s="3060"/>
      <c r="QVU160" s="3060"/>
      <c r="QVV160" s="3060"/>
      <c r="QVW160" s="3060"/>
      <c r="QVX160" s="3060"/>
      <c r="QVY160" s="3060"/>
      <c r="QVZ160" s="3060"/>
      <c r="QWA160" s="3060"/>
      <c r="QWB160" s="3060"/>
      <c r="QWC160" s="3060"/>
      <c r="QWD160" s="3060"/>
      <c r="QWE160" s="3060"/>
      <c r="QWF160" s="3060"/>
      <c r="QWG160" s="3060"/>
      <c r="QWH160" s="3060"/>
      <c r="QWI160" s="3060"/>
      <c r="QWJ160" s="3060"/>
      <c r="QWK160" s="3060"/>
      <c r="QWL160" s="3060"/>
      <c r="QWM160" s="3060"/>
      <c r="QWN160" s="3060"/>
      <c r="QWO160" s="3060"/>
      <c r="QWP160" s="3060"/>
      <c r="QWQ160" s="3060"/>
      <c r="QWR160" s="3060"/>
      <c r="QWS160" s="3060"/>
      <c r="QWT160" s="3060"/>
      <c r="QWU160" s="3060"/>
      <c r="QWV160" s="3060"/>
      <c r="QWW160" s="3060"/>
      <c r="QWX160" s="3060"/>
      <c r="QWY160" s="3060"/>
      <c r="QWZ160" s="3060"/>
      <c r="QXA160" s="3060"/>
      <c r="QXB160" s="3060"/>
      <c r="QXC160" s="3060"/>
      <c r="QXD160" s="3060"/>
      <c r="QXE160" s="3060"/>
      <c r="QXF160" s="3060"/>
      <c r="QXG160" s="3060"/>
      <c r="QXH160" s="3060"/>
      <c r="QXI160" s="3060"/>
      <c r="QXJ160" s="3060"/>
      <c r="QXK160" s="3060"/>
      <c r="QXL160" s="3060"/>
      <c r="QXM160" s="3060"/>
      <c r="QXN160" s="3060"/>
      <c r="QXO160" s="3060"/>
      <c r="QXP160" s="3060"/>
      <c r="QXQ160" s="3060"/>
      <c r="QXR160" s="3060"/>
      <c r="QXS160" s="3060"/>
      <c r="QXT160" s="3060"/>
      <c r="QXU160" s="3060"/>
      <c r="QXV160" s="3060"/>
      <c r="QXW160" s="3060"/>
      <c r="QXX160" s="3060"/>
      <c r="QXY160" s="3060"/>
      <c r="QXZ160" s="3060"/>
      <c r="QYA160" s="3060"/>
      <c r="QYB160" s="3060"/>
      <c r="QYC160" s="3060"/>
      <c r="QYD160" s="3060"/>
      <c r="QYE160" s="3060"/>
      <c r="QYF160" s="3060"/>
      <c r="QYG160" s="3060"/>
      <c r="QYH160" s="3060"/>
      <c r="QYI160" s="3060"/>
      <c r="QYJ160" s="3060"/>
      <c r="QYK160" s="3060"/>
      <c r="QYL160" s="3060"/>
      <c r="QYM160" s="3060"/>
      <c r="QYN160" s="3060"/>
      <c r="QYO160" s="3060"/>
      <c r="QYP160" s="3060"/>
      <c r="QYQ160" s="3060"/>
      <c r="QYR160" s="3060"/>
      <c r="QYS160" s="3060"/>
      <c r="QYT160" s="3060"/>
      <c r="QYU160" s="3060"/>
      <c r="QYV160" s="3060"/>
      <c r="QYW160" s="3060"/>
      <c r="QYX160" s="3060"/>
      <c r="QYY160" s="3060"/>
      <c r="QYZ160" s="3060"/>
      <c r="QZA160" s="3060"/>
      <c r="QZB160" s="3060"/>
      <c r="QZC160" s="3060"/>
      <c r="QZD160" s="3060"/>
      <c r="QZE160" s="3060"/>
      <c r="QZF160" s="3060"/>
      <c r="QZG160" s="3060"/>
      <c r="QZH160" s="3060"/>
      <c r="QZI160" s="3060"/>
      <c r="QZJ160" s="3060"/>
      <c r="QZK160" s="3060"/>
      <c r="QZL160" s="3060"/>
      <c r="QZM160" s="3060"/>
      <c r="QZN160" s="3060"/>
      <c r="QZO160" s="3060"/>
      <c r="QZP160" s="3060"/>
      <c r="QZQ160" s="3060"/>
      <c r="QZR160" s="3060"/>
      <c r="QZS160" s="3060"/>
      <c r="QZT160" s="3060"/>
      <c r="QZU160" s="3060"/>
      <c r="QZV160" s="3060"/>
      <c r="QZW160" s="3060"/>
      <c r="QZX160" s="3060"/>
      <c r="QZY160" s="3060"/>
      <c r="QZZ160" s="3060"/>
      <c r="RAA160" s="3060"/>
      <c r="RAB160" s="3060"/>
      <c r="RAC160" s="3060"/>
      <c r="RAD160" s="3060"/>
      <c r="RAE160" s="3060"/>
      <c r="RAF160" s="3060"/>
      <c r="RAG160" s="3060"/>
      <c r="RAH160" s="3060"/>
      <c r="RAI160" s="3060"/>
      <c r="RAJ160" s="3060"/>
      <c r="RAK160" s="3060"/>
      <c r="RAL160" s="3060"/>
      <c r="RAM160" s="3060"/>
      <c r="RAN160" s="3060"/>
      <c r="RAO160" s="3060"/>
      <c r="RAP160" s="3060"/>
      <c r="RAQ160" s="3060"/>
      <c r="RAR160" s="3060"/>
      <c r="RAS160" s="3060"/>
      <c r="RAT160" s="3060"/>
      <c r="RAU160" s="3060"/>
      <c r="RAV160" s="3060"/>
      <c r="RAW160" s="3060"/>
      <c r="RAX160" s="3060"/>
      <c r="RAY160" s="3060"/>
      <c r="RAZ160" s="3060"/>
      <c r="RBA160" s="3060"/>
      <c r="RBB160" s="3060"/>
      <c r="RBC160" s="3060"/>
      <c r="RBD160" s="3060"/>
      <c r="RBE160" s="3060"/>
      <c r="RBF160" s="3060"/>
      <c r="RBG160" s="3060"/>
      <c r="RBH160" s="3060"/>
      <c r="RBI160" s="3060"/>
      <c r="RBJ160" s="3060"/>
      <c r="RBK160" s="3060"/>
      <c r="RBL160" s="3060"/>
      <c r="RBM160" s="3060"/>
      <c r="RBN160" s="3060"/>
      <c r="RBO160" s="3060"/>
      <c r="RBP160" s="3060"/>
      <c r="RBQ160" s="3060"/>
      <c r="RBR160" s="3060"/>
      <c r="RBS160" s="3060"/>
      <c r="RBT160" s="3060"/>
      <c r="RBU160" s="3060"/>
      <c r="RBV160" s="3060"/>
      <c r="RBW160" s="3060"/>
      <c r="RBX160" s="3060"/>
      <c r="RBY160" s="3060"/>
      <c r="RBZ160" s="3060"/>
      <c r="RCA160" s="3060"/>
      <c r="RCB160" s="3060"/>
      <c r="RCC160" s="3060"/>
      <c r="RCD160" s="3060"/>
      <c r="RCE160" s="3060"/>
      <c r="RCF160" s="3060"/>
      <c r="RCG160" s="3060"/>
      <c r="RCH160" s="3060"/>
      <c r="RCI160" s="3060"/>
      <c r="RCJ160" s="3060"/>
      <c r="RCK160" s="3060"/>
      <c r="RCL160" s="3060"/>
      <c r="RCM160" s="3060"/>
      <c r="RCN160" s="3060"/>
      <c r="RCO160" s="3060"/>
      <c r="RCP160" s="3060"/>
      <c r="RCQ160" s="3060"/>
      <c r="RCR160" s="3060"/>
      <c r="RCS160" s="3060"/>
      <c r="RCT160" s="3060"/>
      <c r="RCU160" s="3060"/>
      <c r="RCV160" s="3060"/>
      <c r="RCW160" s="3060"/>
      <c r="RCX160" s="3060"/>
      <c r="RCY160" s="3060"/>
      <c r="RCZ160" s="3060"/>
      <c r="RDA160" s="3060"/>
      <c r="RDB160" s="3060"/>
      <c r="RDC160" s="3060"/>
      <c r="RDD160" s="3060"/>
      <c r="RDE160" s="3060"/>
      <c r="RDF160" s="3060"/>
      <c r="RDG160" s="3060"/>
      <c r="RDH160" s="3060"/>
      <c r="RDI160" s="3060"/>
      <c r="RDJ160" s="3060"/>
      <c r="RDK160" s="3060"/>
      <c r="RDL160" s="3060"/>
      <c r="RDM160" s="3060"/>
      <c r="RDN160" s="3060"/>
      <c r="RDO160" s="3060"/>
      <c r="RDP160" s="3060"/>
      <c r="RDQ160" s="3060"/>
      <c r="RDR160" s="3060"/>
      <c r="RDS160" s="3060"/>
      <c r="RDT160" s="3060"/>
      <c r="RDU160" s="3060"/>
      <c r="RDV160" s="3060"/>
      <c r="RDW160" s="3060"/>
      <c r="RDX160" s="3060"/>
      <c r="RDY160" s="3060"/>
      <c r="RDZ160" s="3060"/>
      <c r="REA160" s="3060"/>
      <c r="REB160" s="3060"/>
      <c r="REC160" s="3060"/>
      <c r="RED160" s="3060"/>
      <c r="REE160" s="3060"/>
      <c r="REF160" s="3060"/>
      <c r="REG160" s="3060"/>
      <c r="REH160" s="3060"/>
      <c r="REI160" s="3060"/>
      <c r="REJ160" s="3060"/>
      <c r="REK160" s="3060"/>
      <c r="REL160" s="3060"/>
      <c r="REM160" s="3060"/>
      <c r="REN160" s="3060"/>
      <c r="REO160" s="3060"/>
      <c r="REP160" s="3060"/>
      <c r="REQ160" s="3060"/>
      <c r="RER160" s="3060"/>
      <c r="RES160" s="3060"/>
      <c r="RET160" s="3060"/>
      <c r="REU160" s="3060"/>
      <c r="REV160" s="3060"/>
      <c r="REW160" s="3060"/>
      <c r="REX160" s="3060"/>
      <c r="REY160" s="3060"/>
      <c r="REZ160" s="3060"/>
      <c r="RFA160" s="3060"/>
      <c r="RFB160" s="3060"/>
      <c r="RFC160" s="3060"/>
      <c r="RFD160" s="3060"/>
      <c r="RFE160" s="3060"/>
      <c r="RFF160" s="3060"/>
      <c r="RFG160" s="3060"/>
      <c r="RFH160" s="3060"/>
      <c r="RFI160" s="3060"/>
      <c r="RFJ160" s="3060"/>
      <c r="RFK160" s="3060"/>
      <c r="RFL160" s="3060"/>
      <c r="RFM160" s="3060"/>
      <c r="RFN160" s="3060"/>
      <c r="RFO160" s="3060"/>
      <c r="RFP160" s="3060"/>
      <c r="RFQ160" s="3060"/>
      <c r="RFR160" s="3060"/>
      <c r="RFS160" s="3060"/>
      <c r="RFT160" s="3060"/>
      <c r="RFU160" s="3060"/>
      <c r="RFV160" s="3060"/>
      <c r="RFW160" s="3060"/>
      <c r="RFX160" s="3060"/>
      <c r="RFY160" s="3060"/>
      <c r="RFZ160" s="3060"/>
      <c r="RGA160" s="3060"/>
      <c r="RGB160" s="3060"/>
      <c r="RGC160" s="3060"/>
      <c r="RGD160" s="3060"/>
      <c r="RGE160" s="3060"/>
      <c r="RGF160" s="3060"/>
      <c r="RGG160" s="3060"/>
      <c r="RGH160" s="3060"/>
      <c r="RGI160" s="3060"/>
      <c r="RGJ160" s="3060"/>
      <c r="RGK160" s="3060"/>
      <c r="RGL160" s="3060"/>
      <c r="RGM160" s="3060"/>
      <c r="RGN160" s="3060"/>
      <c r="RGO160" s="3060"/>
      <c r="RGP160" s="3060"/>
      <c r="RGQ160" s="3060"/>
      <c r="RGR160" s="3060"/>
      <c r="RGS160" s="3060"/>
      <c r="RGT160" s="3060"/>
      <c r="RGU160" s="3060"/>
      <c r="RGV160" s="3060"/>
      <c r="RGW160" s="3060"/>
      <c r="RGX160" s="3060"/>
      <c r="RGY160" s="3060"/>
      <c r="RGZ160" s="3060"/>
      <c r="RHA160" s="3060"/>
      <c r="RHB160" s="3060"/>
      <c r="RHC160" s="3060"/>
      <c r="RHD160" s="3060"/>
      <c r="RHE160" s="3060"/>
      <c r="RHF160" s="3060"/>
      <c r="RHG160" s="3060"/>
      <c r="RHH160" s="3060"/>
      <c r="RHI160" s="3060"/>
      <c r="RHJ160" s="3060"/>
      <c r="RHK160" s="3060"/>
      <c r="RHL160" s="3060"/>
      <c r="RHM160" s="3060"/>
      <c r="RHN160" s="3060"/>
      <c r="RHO160" s="3060"/>
      <c r="RHP160" s="3060"/>
      <c r="RHQ160" s="3060"/>
      <c r="RHR160" s="3060"/>
      <c r="RHS160" s="3060"/>
      <c r="RHT160" s="3060"/>
      <c r="RHU160" s="3060"/>
      <c r="RHV160" s="3060"/>
      <c r="RHW160" s="3060"/>
      <c r="RHX160" s="3060"/>
      <c r="RHY160" s="3060"/>
      <c r="RHZ160" s="3060"/>
      <c r="RIA160" s="3060"/>
      <c r="RIB160" s="3060"/>
      <c r="RIC160" s="3060"/>
      <c r="RID160" s="3060"/>
      <c r="RIE160" s="3060"/>
      <c r="RIF160" s="3060"/>
      <c r="RIG160" s="3060"/>
      <c r="RIH160" s="3060"/>
      <c r="RII160" s="3060"/>
      <c r="RIJ160" s="3060"/>
      <c r="RIK160" s="3060"/>
      <c r="RIL160" s="3060"/>
      <c r="RIM160" s="3060"/>
      <c r="RIN160" s="3060"/>
      <c r="RIO160" s="3060"/>
      <c r="RIP160" s="3060"/>
      <c r="RIQ160" s="3060"/>
      <c r="RIR160" s="3060"/>
      <c r="RIS160" s="3060"/>
      <c r="RIT160" s="3060"/>
      <c r="RIU160" s="3060"/>
      <c r="RIV160" s="3060"/>
      <c r="RIW160" s="3060"/>
      <c r="RIX160" s="3060"/>
      <c r="RIY160" s="3060"/>
      <c r="RIZ160" s="3060"/>
      <c r="RJA160" s="3060"/>
      <c r="RJB160" s="3060"/>
      <c r="RJC160" s="3060"/>
      <c r="RJD160" s="3060"/>
      <c r="RJE160" s="3060"/>
      <c r="RJF160" s="3060"/>
      <c r="RJG160" s="3060"/>
      <c r="RJH160" s="3060"/>
      <c r="RJI160" s="3060"/>
      <c r="RJJ160" s="3060"/>
      <c r="RJK160" s="3060"/>
      <c r="RJL160" s="3060"/>
      <c r="RJM160" s="3060"/>
      <c r="RJN160" s="3060"/>
      <c r="RJO160" s="3060"/>
      <c r="RJP160" s="3060"/>
      <c r="RJQ160" s="3060"/>
      <c r="RJR160" s="3060"/>
      <c r="RJS160" s="3060"/>
      <c r="RJT160" s="3060"/>
      <c r="RJU160" s="3060"/>
      <c r="RJV160" s="3060"/>
      <c r="RJW160" s="3060"/>
      <c r="RJX160" s="3060"/>
      <c r="RJY160" s="3060"/>
      <c r="RJZ160" s="3060"/>
      <c r="RKA160" s="3060"/>
      <c r="RKB160" s="3060"/>
      <c r="RKC160" s="3060"/>
      <c r="RKD160" s="3060"/>
      <c r="RKE160" s="3060"/>
      <c r="RKF160" s="3060"/>
      <c r="RKG160" s="3060"/>
      <c r="RKH160" s="3060"/>
      <c r="RKI160" s="3060"/>
      <c r="RKJ160" s="3060"/>
      <c r="RKK160" s="3060"/>
      <c r="RKL160" s="3060"/>
      <c r="RKM160" s="3060"/>
      <c r="RKN160" s="3060"/>
      <c r="RKO160" s="3060"/>
      <c r="RKP160" s="3060"/>
      <c r="RKQ160" s="3060"/>
      <c r="RKR160" s="3060"/>
      <c r="RKS160" s="3060"/>
      <c r="RKT160" s="3060"/>
      <c r="RKU160" s="3060"/>
      <c r="RKV160" s="3060"/>
      <c r="RKW160" s="3060"/>
      <c r="RKX160" s="3060"/>
      <c r="RKY160" s="3060"/>
      <c r="RKZ160" s="3060"/>
      <c r="RLA160" s="3060"/>
      <c r="RLB160" s="3060"/>
      <c r="RLC160" s="3060"/>
      <c r="RLD160" s="3060"/>
      <c r="RLE160" s="3060"/>
      <c r="RLF160" s="3060"/>
      <c r="RLG160" s="3060"/>
      <c r="RLH160" s="3060"/>
      <c r="RLI160" s="3060"/>
      <c r="RLJ160" s="3060"/>
      <c r="RLK160" s="3060"/>
      <c r="RLL160" s="3060"/>
      <c r="RLM160" s="3060"/>
      <c r="RLN160" s="3060"/>
      <c r="RLO160" s="3060"/>
      <c r="RLP160" s="3060"/>
      <c r="RLQ160" s="3060"/>
      <c r="RLR160" s="3060"/>
      <c r="RLS160" s="3060"/>
      <c r="RLT160" s="3060"/>
      <c r="RLU160" s="3060"/>
      <c r="RLV160" s="3060"/>
      <c r="RLW160" s="3060"/>
      <c r="RLX160" s="3060"/>
      <c r="RLY160" s="3060"/>
      <c r="RLZ160" s="3060"/>
      <c r="RMA160" s="3060"/>
      <c r="RMB160" s="3060"/>
      <c r="RMC160" s="3060"/>
      <c r="RMD160" s="3060"/>
      <c r="RME160" s="3060"/>
      <c r="RMF160" s="3060"/>
      <c r="RMG160" s="3060"/>
      <c r="RMH160" s="3060"/>
      <c r="RMI160" s="3060"/>
      <c r="RMJ160" s="3060"/>
      <c r="RMK160" s="3060"/>
      <c r="RML160" s="3060"/>
      <c r="RMM160" s="3060"/>
      <c r="RMN160" s="3060"/>
      <c r="RMO160" s="3060"/>
      <c r="RMP160" s="3060"/>
      <c r="RMQ160" s="3060"/>
      <c r="RMR160" s="3060"/>
      <c r="RMS160" s="3060"/>
      <c r="RMT160" s="3060"/>
      <c r="RMU160" s="3060"/>
      <c r="RMV160" s="3060"/>
      <c r="RMW160" s="3060"/>
      <c r="RMX160" s="3060"/>
      <c r="RMY160" s="3060"/>
      <c r="RMZ160" s="3060"/>
      <c r="RNA160" s="3060"/>
      <c r="RNB160" s="3060"/>
      <c r="RNC160" s="3060"/>
      <c r="RND160" s="3060"/>
      <c r="RNE160" s="3060"/>
      <c r="RNF160" s="3060"/>
      <c r="RNG160" s="3060"/>
      <c r="RNH160" s="3060"/>
      <c r="RNI160" s="3060"/>
      <c r="RNJ160" s="3060"/>
      <c r="RNK160" s="3060"/>
      <c r="RNL160" s="3060"/>
      <c r="RNM160" s="3060"/>
      <c r="RNN160" s="3060"/>
      <c r="RNO160" s="3060"/>
      <c r="RNP160" s="3060"/>
      <c r="RNQ160" s="3060"/>
      <c r="RNR160" s="3060"/>
      <c r="RNS160" s="3060"/>
      <c r="RNT160" s="3060"/>
      <c r="RNU160" s="3060"/>
      <c r="RNV160" s="3060"/>
      <c r="RNW160" s="3060"/>
      <c r="RNX160" s="3060"/>
      <c r="RNY160" s="3060"/>
      <c r="RNZ160" s="3060"/>
      <c r="ROA160" s="3060"/>
      <c r="ROB160" s="3060"/>
      <c r="ROC160" s="3060"/>
      <c r="ROD160" s="3060"/>
      <c r="ROE160" s="3060"/>
      <c r="ROF160" s="3060"/>
      <c r="ROG160" s="3060"/>
      <c r="ROH160" s="3060"/>
      <c r="ROI160" s="3060"/>
      <c r="ROJ160" s="3060"/>
      <c r="ROK160" s="3060"/>
      <c r="ROL160" s="3060"/>
      <c r="ROM160" s="3060"/>
      <c r="RON160" s="3060"/>
      <c r="ROO160" s="3060"/>
      <c r="ROP160" s="3060"/>
      <c r="ROQ160" s="3060"/>
      <c r="ROR160" s="3060"/>
      <c r="ROS160" s="3060"/>
      <c r="ROT160" s="3060"/>
      <c r="ROU160" s="3060"/>
      <c r="ROV160" s="3060"/>
      <c r="ROW160" s="3060"/>
      <c r="ROX160" s="3060"/>
      <c r="ROY160" s="3060"/>
      <c r="ROZ160" s="3060"/>
      <c r="RPA160" s="3060"/>
      <c r="RPB160" s="3060"/>
      <c r="RPC160" s="3060"/>
      <c r="RPD160" s="3060"/>
      <c r="RPE160" s="3060"/>
      <c r="RPF160" s="3060"/>
      <c r="RPG160" s="3060"/>
      <c r="RPH160" s="3060"/>
      <c r="RPI160" s="3060"/>
      <c r="RPJ160" s="3060"/>
      <c r="RPK160" s="3060"/>
      <c r="RPL160" s="3060"/>
      <c r="RPM160" s="3060"/>
      <c r="RPN160" s="3060"/>
      <c r="RPO160" s="3060"/>
      <c r="RPP160" s="3060"/>
      <c r="RPQ160" s="3060"/>
      <c r="RPR160" s="3060"/>
      <c r="RPS160" s="3060"/>
      <c r="RPT160" s="3060"/>
      <c r="RPU160" s="3060"/>
      <c r="RPV160" s="3060"/>
      <c r="RPW160" s="3060"/>
      <c r="RPX160" s="3060"/>
      <c r="RPY160" s="3060"/>
      <c r="RPZ160" s="3060"/>
      <c r="RQA160" s="3060"/>
      <c r="RQB160" s="3060"/>
      <c r="RQC160" s="3060"/>
      <c r="RQD160" s="3060"/>
      <c r="RQE160" s="3060"/>
      <c r="RQF160" s="3060"/>
      <c r="RQG160" s="3060"/>
      <c r="RQH160" s="3060"/>
      <c r="RQI160" s="3060"/>
      <c r="RQJ160" s="3060"/>
      <c r="RQK160" s="3060"/>
      <c r="RQL160" s="3060"/>
      <c r="RQM160" s="3060"/>
      <c r="RQN160" s="3060"/>
      <c r="RQO160" s="3060"/>
      <c r="RQP160" s="3060"/>
      <c r="RQQ160" s="3060"/>
      <c r="RQR160" s="3060"/>
      <c r="RQS160" s="3060"/>
      <c r="RQT160" s="3060"/>
      <c r="RQU160" s="3060"/>
      <c r="RQV160" s="3060"/>
      <c r="RQW160" s="3060"/>
      <c r="RQX160" s="3060"/>
      <c r="RQY160" s="3060"/>
      <c r="RQZ160" s="3060"/>
      <c r="RRA160" s="3060"/>
      <c r="RRB160" s="3060"/>
      <c r="RRC160" s="3060"/>
      <c r="RRD160" s="3060"/>
      <c r="RRE160" s="3060"/>
      <c r="RRF160" s="3060"/>
      <c r="RRG160" s="3060"/>
      <c r="RRH160" s="3060"/>
      <c r="RRI160" s="3060"/>
      <c r="RRJ160" s="3060"/>
      <c r="RRK160" s="3060"/>
      <c r="RRL160" s="3060"/>
      <c r="RRM160" s="3060"/>
      <c r="RRN160" s="3060"/>
      <c r="RRO160" s="3060"/>
      <c r="RRP160" s="3060"/>
      <c r="RRQ160" s="3060"/>
      <c r="RRR160" s="3060"/>
      <c r="RRS160" s="3060"/>
      <c r="RRT160" s="3060"/>
      <c r="RRU160" s="3060"/>
      <c r="RRV160" s="3060"/>
      <c r="RRW160" s="3060"/>
      <c r="RRX160" s="3060"/>
      <c r="RRY160" s="3060"/>
      <c r="RRZ160" s="3060"/>
      <c r="RSA160" s="3060"/>
      <c r="RSB160" s="3060"/>
      <c r="RSC160" s="3060"/>
      <c r="RSD160" s="3060"/>
      <c r="RSE160" s="3060"/>
      <c r="RSF160" s="3060"/>
      <c r="RSG160" s="3060"/>
      <c r="RSH160" s="3060"/>
      <c r="RSI160" s="3060"/>
      <c r="RSJ160" s="3060"/>
      <c r="RSK160" s="3060"/>
      <c r="RSL160" s="3060"/>
      <c r="RSM160" s="3060"/>
      <c r="RSN160" s="3060"/>
      <c r="RSO160" s="3060"/>
      <c r="RSP160" s="3060"/>
      <c r="RSQ160" s="3060"/>
      <c r="RSR160" s="3060"/>
      <c r="RSS160" s="3060"/>
      <c r="RST160" s="3060"/>
      <c r="RSU160" s="3060"/>
      <c r="RSV160" s="3060"/>
      <c r="RSW160" s="3060"/>
      <c r="RSX160" s="3060"/>
      <c r="RSY160" s="3060"/>
      <c r="RSZ160" s="3060"/>
      <c r="RTA160" s="3060"/>
      <c r="RTB160" s="3060"/>
      <c r="RTC160" s="3060"/>
      <c r="RTD160" s="3060"/>
      <c r="RTE160" s="3060"/>
      <c r="RTF160" s="3060"/>
      <c r="RTG160" s="3060"/>
      <c r="RTH160" s="3060"/>
      <c r="RTI160" s="3060"/>
      <c r="RTJ160" s="3060"/>
      <c r="RTK160" s="3060"/>
      <c r="RTL160" s="3060"/>
      <c r="RTM160" s="3060"/>
      <c r="RTN160" s="3060"/>
      <c r="RTO160" s="3060"/>
      <c r="RTP160" s="3060"/>
      <c r="RTQ160" s="3060"/>
      <c r="RTR160" s="3060"/>
      <c r="RTS160" s="3060"/>
      <c r="RTT160" s="3060"/>
      <c r="RTU160" s="3060"/>
      <c r="RTV160" s="3060"/>
      <c r="RTW160" s="3060"/>
      <c r="RTX160" s="3060"/>
      <c r="RTY160" s="3060"/>
      <c r="RTZ160" s="3060"/>
      <c r="RUA160" s="3060"/>
      <c r="RUB160" s="3060"/>
      <c r="RUC160" s="3060"/>
      <c r="RUD160" s="3060"/>
      <c r="RUE160" s="3060"/>
      <c r="RUF160" s="3060"/>
      <c r="RUG160" s="3060"/>
      <c r="RUH160" s="3060"/>
      <c r="RUI160" s="3060"/>
      <c r="RUJ160" s="3060"/>
      <c r="RUK160" s="3060"/>
      <c r="RUL160" s="3060"/>
      <c r="RUM160" s="3060"/>
      <c r="RUN160" s="3060"/>
      <c r="RUO160" s="3060"/>
      <c r="RUP160" s="3060"/>
      <c r="RUQ160" s="3060"/>
      <c r="RUR160" s="3060"/>
      <c r="RUS160" s="3060"/>
      <c r="RUT160" s="3060"/>
      <c r="RUU160" s="3060"/>
      <c r="RUV160" s="3060"/>
      <c r="RUW160" s="3060"/>
      <c r="RUX160" s="3060"/>
      <c r="RUY160" s="3060"/>
      <c r="RUZ160" s="3060"/>
      <c r="RVA160" s="3060"/>
      <c r="RVB160" s="3060"/>
      <c r="RVC160" s="3060"/>
      <c r="RVD160" s="3060"/>
      <c r="RVE160" s="3060"/>
      <c r="RVF160" s="3060"/>
      <c r="RVG160" s="3060"/>
      <c r="RVH160" s="3060"/>
      <c r="RVI160" s="3060"/>
      <c r="RVJ160" s="3060"/>
      <c r="RVK160" s="3060"/>
      <c r="RVL160" s="3060"/>
      <c r="RVM160" s="3060"/>
      <c r="RVN160" s="3060"/>
      <c r="RVO160" s="3060"/>
      <c r="RVP160" s="3060"/>
      <c r="RVQ160" s="3060"/>
      <c r="RVR160" s="3060"/>
      <c r="RVS160" s="3060"/>
      <c r="RVT160" s="3060"/>
      <c r="RVU160" s="3060"/>
      <c r="RVV160" s="3060"/>
      <c r="RVW160" s="3060"/>
      <c r="RVX160" s="3060"/>
      <c r="RVY160" s="3060"/>
      <c r="RVZ160" s="3060"/>
      <c r="RWA160" s="3060"/>
      <c r="RWB160" s="3060"/>
      <c r="RWC160" s="3060"/>
      <c r="RWD160" s="3060"/>
      <c r="RWE160" s="3060"/>
      <c r="RWF160" s="3060"/>
      <c r="RWG160" s="3060"/>
      <c r="RWH160" s="3060"/>
      <c r="RWI160" s="3060"/>
      <c r="RWJ160" s="3060"/>
      <c r="RWK160" s="3060"/>
      <c r="RWL160" s="3060"/>
      <c r="RWM160" s="3060"/>
      <c r="RWN160" s="3060"/>
      <c r="RWO160" s="3060"/>
      <c r="RWP160" s="3060"/>
      <c r="RWQ160" s="3060"/>
      <c r="RWR160" s="3060"/>
      <c r="RWS160" s="3060"/>
      <c r="RWT160" s="3060"/>
      <c r="RWU160" s="3060"/>
      <c r="RWV160" s="3060"/>
      <c r="RWW160" s="3060"/>
      <c r="RWX160" s="3060"/>
      <c r="RWY160" s="3060"/>
      <c r="RWZ160" s="3060"/>
      <c r="RXA160" s="3060"/>
      <c r="RXB160" s="3060"/>
      <c r="RXC160" s="3060"/>
      <c r="RXD160" s="3060"/>
      <c r="RXE160" s="3060"/>
      <c r="RXF160" s="3060"/>
      <c r="RXG160" s="3060"/>
      <c r="RXH160" s="3060"/>
      <c r="RXI160" s="3060"/>
      <c r="RXJ160" s="3060"/>
      <c r="RXK160" s="3060"/>
      <c r="RXL160" s="3060"/>
      <c r="RXM160" s="3060"/>
      <c r="RXN160" s="3060"/>
      <c r="RXO160" s="3060"/>
      <c r="RXP160" s="3060"/>
      <c r="RXQ160" s="3060"/>
      <c r="RXR160" s="3060"/>
      <c r="RXS160" s="3060"/>
      <c r="RXT160" s="3060"/>
      <c r="RXU160" s="3060"/>
      <c r="RXV160" s="3060"/>
      <c r="RXW160" s="3060"/>
      <c r="RXX160" s="3060"/>
      <c r="RXY160" s="3060"/>
      <c r="RXZ160" s="3060"/>
      <c r="RYA160" s="3060"/>
      <c r="RYB160" s="3060"/>
      <c r="RYC160" s="3060"/>
      <c r="RYD160" s="3060"/>
      <c r="RYE160" s="3060"/>
      <c r="RYF160" s="3060"/>
      <c r="RYG160" s="3060"/>
      <c r="RYH160" s="3060"/>
      <c r="RYI160" s="3060"/>
      <c r="RYJ160" s="3060"/>
      <c r="RYK160" s="3060"/>
      <c r="RYL160" s="3060"/>
      <c r="RYM160" s="3060"/>
      <c r="RYN160" s="3060"/>
      <c r="RYO160" s="3060"/>
      <c r="RYP160" s="3060"/>
      <c r="RYQ160" s="3060"/>
      <c r="RYR160" s="3060"/>
      <c r="RYS160" s="3060"/>
      <c r="RYT160" s="3060"/>
      <c r="RYU160" s="3060"/>
      <c r="RYV160" s="3060"/>
      <c r="RYW160" s="3060"/>
      <c r="RYX160" s="3060"/>
      <c r="RYY160" s="3060"/>
      <c r="RYZ160" s="3060"/>
      <c r="RZA160" s="3060"/>
      <c r="RZB160" s="3060"/>
      <c r="RZC160" s="3060"/>
      <c r="RZD160" s="3060"/>
      <c r="RZE160" s="3060"/>
      <c r="RZF160" s="3060"/>
      <c r="RZG160" s="3060"/>
      <c r="RZH160" s="3060"/>
      <c r="RZI160" s="3060"/>
      <c r="RZJ160" s="3060"/>
      <c r="RZK160" s="3060"/>
      <c r="RZL160" s="3060"/>
      <c r="RZM160" s="3060"/>
      <c r="RZN160" s="3060"/>
      <c r="RZO160" s="3060"/>
      <c r="RZP160" s="3060"/>
      <c r="RZQ160" s="3060"/>
      <c r="RZR160" s="3060"/>
      <c r="RZS160" s="3060"/>
      <c r="RZT160" s="3060"/>
      <c r="RZU160" s="3060"/>
      <c r="RZV160" s="3060"/>
      <c r="RZW160" s="3060"/>
      <c r="RZX160" s="3060"/>
      <c r="RZY160" s="3060"/>
      <c r="RZZ160" s="3060"/>
      <c r="SAA160" s="3060"/>
      <c r="SAB160" s="3060"/>
      <c r="SAC160" s="3060"/>
      <c r="SAD160" s="3060"/>
      <c r="SAE160" s="3060"/>
      <c r="SAF160" s="3060"/>
      <c r="SAG160" s="3060"/>
      <c r="SAH160" s="3060"/>
      <c r="SAI160" s="3060"/>
      <c r="SAJ160" s="3060"/>
      <c r="SAK160" s="3060"/>
      <c r="SAL160" s="3060"/>
      <c r="SAM160" s="3060"/>
      <c r="SAN160" s="3060"/>
      <c r="SAO160" s="3060"/>
      <c r="SAP160" s="3060"/>
      <c r="SAQ160" s="3060"/>
      <c r="SAR160" s="3060"/>
      <c r="SAS160" s="3060"/>
      <c r="SAT160" s="3060"/>
      <c r="SAU160" s="3060"/>
      <c r="SAV160" s="3060"/>
      <c r="SAW160" s="3060"/>
      <c r="SAX160" s="3060"/>
      <c r="SAY160" s="3060"/>
      <c r="SAZ160" s="3060"/>
      <c r="SBA160" s="3060"/>
      <c r="SBB160" s="3060"/>
      <c r="SBC160" s="3060"/>
      <c r="SBD160" s="3060"/>
      <c r="SBE160" s="3060"/>
      <c r="SBF160" s="3060"/>
      <c r="SBG160" s="3060"/>
      <c r="SBH160" s="3060"/>
      <c r="SBI160" s="3060"/>
      <c r="SBJ160" s="3060"/>
      <c r="SBK160" s="3060"/>
      <c r="SBL160" s="3060"/>
      <c r="SBM160" s="3060"/>
      <c r="SBN160" s="3060"/>
      <c r="SBO160" s="3060"/>
      <c r="SBP160" s="3060"/>
      <c r="SBQ160" s="3060"/>
      <c r="SBR160" s="3060"/>
      <c r="SBS160" s="3060"/>
      <c r="SBT160" s="3060"/>
      <c r="SBU160" s="3060"/>
      <c r="SBV160" s="3060"/>
      <c r="SBW160" s="3060"/>
      <c r="SBX160" s="3060"/>
      <c r="SBY160" s="3060"/>
      <c r="SBZ160" s="3060"/>
      <c r="SCA160" s="3060"/>
      <c r="SCB160" s="3060"/>
      <c r="SCC160" s="3060"/>
      <c r="SCD160" s="3060"/>
      <c r="SCE160" s="3060"/>
      <c r="SCF160" s="3060"/>
      <c r="SCG160" s="3060"/>
      <c r="SCH160" s="3060"/>
      <c r="SCI160" s="3060"/>
      <c r="SCJ160" s="3060"/>
      <c r="SCK160" s="3060"/>
      <c r="SCL160" s="3060"/>
      <c r="SCM160" s="3060"/>
      <c r="SCN160" s="3060"/>
      <c r="SCO160" s="3060"/>
      <c r="SCP160" s="3060"/>
      <c r="SCQ160" s="3060"/>
      <c r="SCR160" s="3060"/>
      <c r="SCS160" s="3060"/>
      <c r="SCT160" s="3060"/>
      <c r="SCU160" s="3060"/>
      <c r="SCV160" s="3060"/>
      <c r="SCW160" s="3060"/>
      <c r="SCX160" s="3060"/>
      <c r="SCY160" s="3060"/>
      <c r="SCZ160" s="3060"/>
      <c r="SDA160" s="3060"/>
      <c r="SDB160" s="3060"/>
      <c r="SDC160" s="3060"/>
      <c r="SDD160" s="3060"/>
      <c r="SDE160" s="3060"/>
      <c r="SDF160" s="3060"/>
      <c r="SDG160" s="3060"/>
      <c r="SDH160" s="3060"/>
      <c r="SDI160" s="3060"/>
      <c r="SDJ160" s="3060"/>
      <c r="SDK160" s="3060"/>
      <c r="SDL160" s="3060"/>
      <c r="SDM160" s="3060"/>
      <c r="SDN160" s="3060"/>
      <c r="SDO160" s="3060"/>
      <c r="SDP160" s="3060"/>
      <c r="SDQ160" s="3060"/>
      <c r="SDR160" s="3060"/>
      <c r="SDS160" s="3060"/>
      <c r="SDT160" s="3060"/>
      <c r="SDU160" s="3060"/>
      <c r="SDV160" s="3060"/>
      <c r="SDW160" s="3060"/>
      <c r="SDX160" s="3060"/>
      <c r="SDY160" s="3060"/>
      <c r="SDZ160" s="3060"/>
      <c r="SEA160" s="3060"/>
      <c r="SEB160" s="3060"/>
      <c r="SEC160" s="3060"/>
      <c r="SED160" s="3060"/>
      <c r="SEE160" s="3060"/>
      <c r="SEF160" s="3060"/>
      <c r="SEG160" s="3060"/>
      <c r="SEH160" s="3060"/>
      <c r="SEI160" s="3060"/>
      <c r="SEJ160" s="3060"/>
      <c r="SEK160" s="3060"/>
      <c r="SEL160" s="3060"/>
      <c r="SEM160" s="3060"/>
      <c r="SEN160" s="3060"/>
      <c r="SEO160" s="3060"/>
      <c r="SEP160" s="3060"/>
      <c r="SEQ160" s="3060"/>
      <c r="SER160" s="3060"/>
      <c r="SES160" s="3060"/>
      <c r="SET160" s="3060"/>
      <c r="SEU160" s="3060"/>
      <c r="SEV160" s="3060"/>
      <c r="SEW160" s="3060"/>
      <c r="SEX160" s="3060"/>
      <c r="SEY160" s="3060"/>
      <c r="SEZ160" s="3060"/>
      <c r="SFA160" s="3060"/>
      <c r="SFB160" s="3060"/>
      <c r="SFC160" s="3060"/>
      <c r="SFD160" s="3060"/>
      <c r="SFE160" s="3060"/>
      <c r="SFF160" s="3060"/>
      <c r="SFG160" s="3060"/>
      <c r="SFH160" s="3060"/>
      <c r="SFI160" s="3060"/>
      <c r="SFJ160" s="3060"/>
      <c r="SFK160" s="3060"/>
      <c r="SFL160" s="3060"/>
      <c r="SFM160" s="3060"/>
      <c r="SFN160" s="3060"/>
      <c r="SFO160" s="3060"/>
      <c r="SFP160" s="3060"/>
      <c r="SFQ160" s="3060"/>
      <c r="SFR160" s="3060"/>
      <c r="SFS160" s="3060"/>
      <c r="SFT160" s="3060"/>
      <c r="SFU160" s="3060"/>
      <c r="SFV160" s="3060"/>
      <c r="SFW160" s="3060"/>
      <c r="SFX160" s="3060"/>
      <c r="SFY160" s="3060"/>
      <c r="SFZ160" s="3060"/>
      <c r="SGA160" s="3060"/>
      <c r="SGB160" s="3060"/>
      <c r="SGC160" s="3060"/>
      <c r="SGD160" s="3060"/>
      <c r="SGE160" s="3060"/>
      <c r="SGF160" s="3060"/>
      <c r="SGG160" s="3060"/>
      <c r="SGH160" s="3060"/>
      <c r="SGI160" s="3060"/>
      <c r="SGJ160" s="3060"/>
      <c r="SGK160" s="3060"/>
      <c r="SGL160" s="3060"/>
      <c r="SGM160" s="3060"/>
      <c r="SGN160" s="3060"/>
      <c r="SGO160" s="3060"/>
      <c r="SGP160" s="3060"/>
      <c r="SGQ160" s="3060"/>
      <c r="SGR160" s="3060"/>
      <c r="SGS160" s="3060"/>
      <c r="SGT160" s="3060"/>
      <c r="SGU160" s="3060"/>
      <c r="SGV160" s="3060"/>
      <c r="SGW160" s="3060"/>
      <c r="SGX160" s="3060"/>
      <c r="SGY160" s="3060"/>
      <c r="SGZ160" s="3060"/>
      <c r="SHA160" s="3060"/>
      <c r="SHB160" s="3060"/>
      <c r="SHC160" s="3060"/>
      <c r="SHD160" s="3060"/>
      <c r="SHE160" s="3060"/>
      <c r="SHF160" s="3060"/>
      <c r="SHG160" s="3060"/>
      <c r="SHH160" s="3060"/>
      <c r="SHI160" s="3060"/>
      <c r="SHJ160" s="3060"/>
      <c r="SHK160" s="3060"/>
      <c r="SHL160" s="3060"/>
      <c r="SHM160" s="3060"/>
      <c r="SHN160" s="3060"/>
      <c r="SHO160" s="3060"/>
      <c r="SHP160" s="3060"/>
      <c r="SHQ160" s="3060"/>
      <c r="SHR160" s="3060"/>
      <c r="SHS160" s="3060"/>
      <c r="SHT160" s="3060"/>
      <c r="SHU160" s="3060"/>
      <c r="SHV160" s="3060"/>
      <c r="SHW160" s="3060"/>
      <c r="SHX160" s="3060"/>
      <c r="SHY160" s="3060"/>
      <c r="SHZ160" s="3060"/>
      <c r="SIA160" s="3060"/>
      <c r="SIB160" s="3060"/>
      <c r="SIC160" s="3060"/>
      <c r="SID160" s="3060"/>
      <c r="SIE160" s="3060"/>
      <c r="SIF160" s="3060"/>
      <c r="SIG160" s="3060"/>
      <c r="SIH160" s="3060"/>
      <c r="SII160" s="3060"/>
      <c r="SIJ160" s="3060"/>
      <c r="SIK160" s="3060"/>
      <c r="SIL160" s="3060"/>
      <c r="SIM160" s="3060"/>
      <c r="SIN160" s="3060"/>
      <c r="SIO160" s="3060"/>
      <c r="SIP160" s="3060"/>
      <c r="SIQ160" s="3060"/>
      <c r="SIR160" s="3060"/>
      <c r="SIS160" s="3060"/>
      <c r="SIT160" s="3060"/>
      <c r="SIU160" s="3060"/>
      <c r="SIV160" s="3060"/>
      <c r="SIW160" s="3060"/>
      <c r="SIX160" s="3060"/>
      <c r="SIY160" s="3060"/>
      <c r="SIZ160" s="3060"/>
      <c r="SJA160" s="3060"/>
      <c r="SJB160" s="3060"/>
      <c r="SJC160" s="3060"/>
      <c r="SJD160" s="3060"/>
      <c r="SJE160" s="3060"/>
      <c r="SJF160" s="3060"/>
      <c r="SJG160" s="3060"/>
      <c r="SJH160" s="3060"/>
      <c r="SJI160" s="3060"/>
      <c r="SJJ160" s="3060"/>
      <c r="SJK160" s="3060"/>
      <c r="SJL160" s="3060"/>
      <c r="SJM160" s="3060"/>
      <c r="SJN160" s="3060"/>
      <c r="SJO160" s="3060"/>
      <c r="SJP160" s="3060"/>
      <c r="SJQ160" s="3060"/>
      <c r="SJR160" s="3060"/>
      <c r="SJS160" s="3060"/>
      <c r="SJT160" s="3060"/>
      <c r="SJU160" s="3060"/>
      <c r="SJV160" s="3060"/>
      <c r="SJW160" s="3060"/>
      <c r="SJX160" s="3060"/>
      <c r="SJY160" s="3060"/>
      <c r="SJZ160" s="3060"/>
      <c r="SKA160" s="3060"/>
      <c r="SKB160" s="3060"/>
      <c r="SKC160" s="3060"/>
      <c r="SKD160" s="3060"/>
      <c r="SKE160" s="3060"/>
      <c r="SKF160" s="3060"/>
      <c r="SKG160" s="3060"/>
      <c r="SKH160" s="3060"/>
      <c r="SKI160" s="3060"/>
      <c r="SKJ160" s="3060"/>
      <c r="SKK160" s="3060"/>
      <c r="SKL160" s="3060"/>
      <c r="SKM160" s="3060"/>
      <c r="SKN160" s="3060"/>
      <c r="SKO160" s="3060"/>
      <c r="SKP160" s="3060"/>
      <c r="SKQ160" s="3060"/>
      <c r="SKR160" s="3060"/>
      <c r="SKS160" s="3060"/>
      <c r="SKT160" s="3060"/>
      <c r="SKU160" s="3060"/>
      <c r="SKV160" s="3060"/>
      <c r="SKW160" s="3060"/>
      <c r="SKX160" s="3060"/>
      <c r="SKY160" s="3060"/>
      <c r="SKZ160" s="3060"/>
      <c r="SLA160" s="3060"/>
      <c r="SLB160" s="3060"/>
      <c r="SLC160" s="3060"/>
      <c r="SLD160" s="3060"/>
      <c r="SLE160" s="3060"/>
      <c r="SLF160" s="3060"/>
      <c r="SLG160" s="3060"/>
      <c r="SLH160" s="3060"/>
      <c r="SLI160" s="3060"/>
      <c r="SLJ160" s="3060"/>
      <c r="SLK160" s="3060"/>
      <c r="SLL160" s="3060"/>
      <c r="SLM160" s="3060"/>
      <c r="SLN160" s="3060"/>
      <c r="SLO160" s="3060"/>
      <c r="SLP160" s="3060"/>
      <c r="SLQ160" s="3060"/>
      <c r="SLR160" s="3060"/>
      <c r="SLS160" s="3060"/>
      <c r="SLT160" s="3060"/>
      <c r="SLU160" s="3060"/>
      <c r="SLV160" s="3060"/>
      <c r="SLW160" s="3060"/>
      <c r="SLX160" s="3060"/>
      <c r="SLY160" s="3060"/>
      <c r="SLZ160" s="3060"/>
      <c r="SMA160" s="3060"/>
      <c r="SMB160" s="3060"/>
      <c r="SMC160" s="3060"/>
      <c r="SMD160" s="3060"/>
      <c r="SME160" s="3060"/>
      <c r="SMF160" s="3060"/>
      <c r="SMG160" s="3060"/>
      <c r="SMH160" s="3060"/>
      <c r="SMI160" s="3060"/>
      <c r="SMJ160" s="3060"/>
      <c r="SMK160" s="3060"/>
      <c r="SML160" s="3060"/>
      <c r="SMM160" s="3060"/>
      <c r="SMN160" s="3060"/>
      <c r="SMO160" s="3060"/>
      <c r="SMP160" s="3060"/>
      <c r="SMQ160" s="3060"/>
      <c r="SMR160" s="3060"/>
      <c r="SMS160" s="3060"/>
      <c r="SMT160" s="3060"/>
      <c r="SMU160" s="3060"/>
      <c r="SMV160" s="3060"/>
      <c r="SMW160" s="3060"/>
      <c r="SMX160" s="3060"/>
      <c r="SMY160" s="3060"/>
      <c r="SMZ160" s="3060"/>
      <c r="SNA160" s="3060"/>
      <c r="SNB160" s="3060"/>
      <c r="SNC160" s="3060"/>
      <c r="SND160" s="3060"/>
      <c r="SNE160" s="3060"/>
      <c r="SNF160" s="3060"/>
      <c r="SNG160" s="3060"/>
      <c r="SNH160" s="3060"/>
      <c r="SNI160" s="3060"/>
      <c r="SNJ160" s="3060"/>
      <c r="SNK160" s="3060"/>
      <c r="SNL160" s="3060"/>
      <c r="SNM160" s="3060"/>
      <c r="SNN160" s="3060"/>
      <c r="SNO160" s="3060"/>
      <c r="SNP160" s="3060"/>
      <c r="SNQ160" s="3060"/>
      <c r="SNR160" s="3060"/>
      <c r="SNS160" s="3060"/>
      <c r="SNT160" s="3060"/>
      <c r="SNU160" s="3060"/>
      <c r="SNV160" s="3060"/>
      <c r="SNW160" s="3060"/>
      <c r="SNX160" s="3060"/>
      <c r="SNY160" s="3060"/>
      <c r="SNZ160" s="3060"/>
      <c r="SOA160" s="3060"/>
      <c r="SOB160" s="3060"/>
      <c r="SOC160" s="3060"/>
      <c r="SOD160" s="3060"/>
      <c r="SOE160" s="3060"/>
      <c r="SOF160" s="3060"/>
      <c r="SOG160" s="3060"/>
      <c r="SOH160" s="3060"/>
      <c r="SOI160" s="3060"/>
      <c r="SOJ160" s="3060"/>
      <c r="SOK160" s="3060"/>
      <c r="SOL160" s="3060"/>
      <c r="SOM160" s="3060"/>
      <c r="SON160" s="3060"/>
      <c r="SOO160" s="3060"/>
      <c r="SOP160" s="3060"/>
      <c r="SOQ160" s="3060"/>
      <c r="SOR160" s="3060"/>
      <c r="SOS160" s="3060"/>
      <c r="SOT160" s="3060"/>
      <c r="SOU160" s="3060"/>
      <c r="SOV160" s="3060"/>
      <c r="SOW160" s="3060"/>
      <c r="SOX160" s="3060"/>
      <c r="SOY160" s="3060"/>
      <c r="SOZ160" s="3060"/>
      <c r="SPA160" s="3060"/>
      <c r="SPB160" s="3060"/>
      <c r="SPC160" s="3060"/>
      <c r="SPD160" s="3060"/>
      <c r="SPE160" s="3060"/>
      <c r="SPF160" s="3060"/>
      <c r="SPG160" s="3060"/>
      <c r="SPH160" s="3060"/>
      <c r="SPI160" s="3060"/>
      <c r="SPJ160" s="3060"/>
      <c r="SPK160" s="3060"/>
      <c r="SPL160" s="3060"/>
      <c r="SPM160" s="3060"/>
      <c r="SPN160" s="3060"/>
      <c r="SPO160" s="3060"/>
      <c r="SPP160" s="3060"/>
      <c r="SPQ160" s="3060"/>
      <c r="SPR160" s="3060"/>
      <c r="SPS160" s="3060"/>
      <c r="SPT160" s="3060"/>
      <c r="SPU160" s="3060"/>
      <c r="SPV160" s="3060"/>
      <c r="SPW160" s="3060"/>
      <c r="SPX160" s="3060"/>
      <c r="SPY160" s="3060"/>
      <c r="SPZ160" s="3060"/>
      <c r="SQA160" s="3060"/>
      <c r="SQB160" s="3060"/>
      <c r="SQC160" s="3060"/>
      <c r="SQD160" s="3060"/>
      <c r="SQE160" s="3060"/>
      <c r="SQF160" s="3060"/>
      <c r="SQG160" s="3060"/>
      <c r="SQH160" s="3060"/>
      <c r="SQI160" s="3060"/>
      <c r="SQJ160" s="3060"/>
      <c r="SQK160" s="3060"/>
      <c r="SQL160" s="3060"/>
      <c r="SQM160" s="3060"/>
      <c r="SQN160" s="3060"/>
      <c r="SQO160" s="3060"/>
      <c r="SQP160" s="3060"/>
      <c r="SQQ160" s="3060"/>
      <c r="SQR160" s="3060"/>
      <c r="SQS160" s="3060"/>
      <c r="SQT160" s="3060"/>
      <c r="SQU160" s="3060"/>
      <c r="SQV160" s="3060"/>
      <c r="SQW160" s="3060"/>
      <c r="SQX160" s="3060"/>
      <c r="SQY160" s="3060"/>
      <c r="SQZ160" s="3060"/>
      <c r="SRA160" s="3060"/>
      <c r="SRB160" s="3060"/>
      <c r="SRC160" s="3060"/>
      <c r="SRD160" s="3060"/>
      <c r="SRE160" s="3060"/>
      <c r="SRF160" s="3060"/>
      <c r="SRG160" s="3060"/>
      <c r="SRH160" s="3060"/>
      <c r="SRI160" s="3060"/>
      <c r="SRJ160" s="3060"/>
      <c r="SRK160" s="3060"/>
      <c r="SRL160" s="3060"/>
      <c r="SRM160" s="3060"/>
      <c r="SRN160" s="3060"/>
      <c r="SRO160" s="3060"/>
      <c r="SRP160" s="3060"/>
      <c r="SRQ160" s="3060"/>
      <c r="SRR160" s="3060"/>
      <c r="SRS160" s="3060"/>
      <c r="SRT160" s="3060"/>
      <c r="SRU160" s="3060"/>
      <c r="SRV160" s="3060"/>
      <c r="SRW160" s="3060"/>
      <c r="SRX160" s="3060"/>
      <c r="SRY160" s="3060"/>
      <c r="SRZ160" s="3060"/>
      <c r="SSA160" s="3060"/>
      <c r="SSB160" s="3060"/>
      <c r="SSC160" s="3060"/>
      <c r="SSD160" s="3060"/>
      <c r="SSE160" s="3060"/>
      <c r="SSF160" s="3060"/>
      <c r="SSG160" s="3060"/>
      <c r="SSH160" s="3060"/>
      <c r="SSI160" s="3060"/>
      <c r="SSJ160" s="3060"/>
      <c r="SSK160" s="3060"/>
      <c r="SSL160" s="3060"/>
      <c r="SSM160" s="3060"/>
      <c r="SSN160" s="3060"/>
      <c r="SSO160" s="3060"/>
      <c r="SSP160" s="3060"/>
      <c r="SSQ160" s="3060"/>
      <c r="SSR160" s="3060"/>
      <c r="SSS160" s="3060"/>
      <c r="SST160" s="3060"/>
      <c r="SSU160" s="3060"/>
      <c r="SSV160" s="3060"/>
      <c r="SSW160" s="3060"/>
      <c r="SSX160" s="3060"/>
      <c r="SSY160" s="3060"/>
      <c r="SSZ160" s="3060"/>
      <c r="STA160" s="3060"/>
      <c r="STB160" s="3060"/>
      <c r="STC160" s="3060"/>
      <c r="STD160" s="3060"/>
      <c r="STE160" s="3060"/>
      <c r="STF160" s="3060"/>
      <c r="STG160" s="3060"/>
      <c r="STH160" s="3060"/>
      <c r="STI160" s="3060"/>
      <c r="STJ160" s="3060"/>
      <c r="STK160" s="3060"/>
      <c r="STL160" s="3060"/>
      <c r="STM160" s="3060"/>
      <c r="STN160" s="3060"/>
      <c r="STO160" s="3060"/>
      <c r="STP160" s="3060"/>
      <c r="STQ160" s="3060"/>
      <c r="STR160" s="3060"/>
      <c r="STS160" s="3060"/>
      <c r="STT160" s="3060"/>
      <c r="STU160" s="3060"/>
      <c r="STV160" s="3060"/>
      <c r="STW160" s="3060"/>
      <c r="STX160" s="3060"/>
      <c r="STY160" s="3060"/>
      <c r="STZ160" s="3060"/>
      <c r="SUA160" s="3060"/>
      <c r="SUB160" s="3060"/>
      <c r="SUC160" s="3060"/>
      <c r="SUD160" s="3060"/>
      <c r="SUE160" s="3060"/>
      <c r="SUF160" s="3060"/>
      <c r="SUG160" s="3060"/>
      <c r="SUH160" s="3060"/>
      <c r="SUI160" s="3060"/>
      <c r="SUJ160" s="3060"/>
      <c r="SUK160" s="3060"/>
      <c r="SUL160" s="3060"/>
      <c r="SUM160" s="3060"/>
      <c r="SUN160" s="3060"/>
      <c r="SUO160" s="3060"/>
      <c r="SUP160" s="3060"/>
      <c r="SUQ160" s="3060"/>
      <c r="SUR160" s="3060"/>
      <c r="SUS160" s="3060"/>
      <c r="SUT160" s="3060"/>
      <c r="SUU160" s="3060"/>
      <c r="SUV160" s="3060"/>
      <c r="SUW160" s="3060"/>
      <c r="SUX160" s="3060"/>
      <c r="SUY160" s="3060"/>
      <c r="SUZ160" s="3060"/>
      <c r="SVA160" s="3060"/>
      <c r="SVB160" s="3060"/>
      <c r="SVC160" s="3060"/>
      <c r="SVD160" s="3060"/>
      <c r="SVE160" s="3060"/>
      <c r="SVF160" s="3060"/>
      <c r="SVG160" s="3060"/>
      <c r="SVH160" s="3060"/>
      <c r="SVI160" s="3060"/>
      <c r="SVJ160" s="3060"/>
      <c r="SVK160" s="3060"/>
      <c r="SVL160" s="3060"/>
      <c r="SVM160" s="3060"/>
      <c r="SVN160" s="3060"/>
      <c r="SVO160" s="3060"/>
      <c r="SVP160" s="3060"/>
      <c r="SVQ160" s="3060"/>
      <c r="SVR160" s="3060"/>
      <c r="SVS160" s="3060"/>
      <c r="SVT160" s="3060"/>
      <c r="SVU160" s="3060"/>
      <c r="SVV160" s="3060"/>
      <c r="SVW160" s="3060"/>
      <c r="SVX160" s="3060"/>
      <c r="SVY160" s="3060"/>
      <c r="SVZ160" s="3060"/>
      <c r="SWA160" s="3060"/>
      <c r="SWB160" s="3060"/>
      <c r="SWC160" s="3060"/>
      <c r="SWD160" s="3060"/>
      <c r="SWE160" s="3060"/>
      <c r="SWF160" s="3060"/>
      <c r="SWG160" s="3060"/>
      <c r="SWH160" s="3060"/>
      <c r="SWI160" s="3060"/>
      <c r="SWJ160" s="3060"/>
      <c r="SWK160" s="3060"/>
      <c r="SWL160" s="3060"/>
      <c r="SWM160" s="3060"/>
      <c r="SWN160" s="3060"/>
      <c r="SWO160" s="3060"/>
      <c r="SWP160" s="3060"/>
      <c r="SWQ160" s="3060"/>
      <c r="SWR160" s="3060"/>
      <c r="SWS160" s="3060"/>
      <c r="SWT160" s="3060"/>
      <c r="SWU160" s="3060"/>
      <c r="SWV160" s="3060"/>
      <c r="SWW160" s="3060"/>
      <c r="SWX160" s="3060"/>
      <c r="SWY160" s="3060"/>
      <c r="SWZ160" s="3060"/>
      <c r="SXA160" s="3060"/>
      <c r="SXB160" s="3060"/>
      <c r="SXC160" s="3060"/>
      <c r="SXD160" s="3060"/>
      <c r="SXE160" s="3060"/>
      <c r="SXF160" s="3060"/>
      <c r="SXG160" s="3060"/>
      <c r="SXH160" s="3060"/>
      <c r="SXI160" s="3060"/>
      <c r="SXJ160" s="3060"/>
      <c r="SXK160" s="3060"/>
      <c r="SXL160" s="3060"/>
      <c r="SXM160" s="3060"/>
      <c r="SXN160" s="3060"/>
      <c r="SXO160" s="3060"/>
      <c r="SXP160" s="3060"/>
      <c r="SXQ160" s="3060"/>
      <c r="SXR160" s="3060"/>
      <c r="SXS160" s="3060"/>
      <c r="SXT160" s="3060"/>
      <c r="SXU160" s="3060"/>
      <c r="SXV160" s="3060"/>
      <c r="SXW160" s="3060"/>
      <c r="SXX160" s="3060"/>
      <c r="SXY160" s="3060"/>
      <c r="SXZ160" s="3060"/>
      <c r="SYA160" s="3060"/>
      <c r="SYB160" s="3060"/>
      <c r="SYC160" s="3060"/>
      <c r="SYD160" s="3060"/>
      <c r="SYE160" s="3060"/>
      <c r="SYF160" s="3060"/>
      <c r="SYG160" s="3060"/>
      <c r="SYH160" s="3060"/>
      <c r="SYI160" s="3060"/>
      <c r="SYJ160" s="3060"/>
      <c r="SYK160" s="3060"/>
      <c r="SYL160" s="3060"/>
      <c r="SYM160" s="3060"/>
      <c r="SYN160" s="3060"/>
      <c r="SYO160" s="3060"/>
      <c r="SYP160" s="3060"/>
      <c r="SYQ160" s="3060"/>
      <c r="SYR160" s="3060"/>
      <c r="SYS160" s="3060"/>
      <c r="SYT160" s="3060"/>
      <c r="SYU160" s="3060"/>
      <c r="SYV160" s="3060"/>
      <c r="SYW160" s="3060"/>
      <c r="SYX160" s="3060"/>
      <c r="SYY160" s="3060"/>
      <c r="SYZ160" s="3060"/>
      <c r="SZA160" s="3060"/>
      <c r="SZB160" s="3060"/>
      <c r="SZC160" s="3060"/>
      <c r="SZD160" s="3060"/>
      <c r="SZE160" s="3060"/>
      <c r="SZF160" s="3060"/>
      <c r="SZG160" s="3060"/>
      <c r="SZH160" s="3060"/>
      <c r="SZI160" s="3060"/>
      <c r="SZJ160" s="3060"/>
      <c r="SZK160" s="3060"/>
      <c r="SZL160" s="3060"/>
      <c r="SZM160" s="3060"/>
      <c r="SZN160" s="3060"/>
      <c r="SZO160" s="3060"/>
      <c r="SZP160" s="3060"/>
      <c r="SZQ160" s="3060"/>
      <c r="SZR160" s="3060"/>
      <c r="SZS160" s="3060"/>
      <c r="SZT160" s="3060"/>
      <c r="SZU160" s="3060"/>
      <c r="SZV160" s="3060"/>
      <c r="SZW160" s="3060"/>
      <c r="SZX160" s="3060"/>
      <c r="SZY160" s="3060"/>
      <c r="SZZ160" s="3060"/>
      <c r="TAA160" s="3060"/>
      <c r="TAB160" s="3060"/>
      <c r="TAC160" s="3060"/>
      <c r="TAD160" s="3060"/>
      <c r="TAE160" s="3060"/>
      <c r="TAF160" s="3060"/>
      <c r="TAG160" s="3060"/>
      <c r="TAH160" s="3060"/>
      <c r="TAI160" s="3060"/>
      <c r="TAJ160" s="3060"/>
      <c r="TAK160" s="3060"/>
      <c r="TAL160" s="3060"/>
      <c r="TAM160" s="3060"/>
      <c r="TAN160" s="3060"/>
      <c r="TAO160" s="3060"/>
      <c r="TAP160" s="3060"/>
      <c r="TAQ160" s="3060"/>
      <c r="TAR160" s="3060"/>
      <c r="TAS160" s="3060"/>
      <c r="TAT160" s="3060"/>
      <c r="TAU160" s="3060"/>
      <c r="TAV160" s="3060"/>
      <c r="TAW160" s="3060"/>
      <c r="TAX160" s="3060"/>
      <c r="TAY160" s="3060"/>
      <c r="TAZ160" s="3060"/>
      <c r="TBA160" s="3060"/>
      <c r="TBB160" s="3060"/>
      <c r="TBC160" s="3060"/>
      <c r="TBD160" s="3060"/>
      <c r="TBE160" s="3060"/>
      <c r="TBF160" s="3060"/>
      <c r="TBG160" s="3060"/>
      <c r="TBH160" s="3060"/>
      <c r="TBI160" s="3060"/>
      <c r="TBJ160" s="3060"/>
      <c r="TBK160" s="3060"/>
      <c r="TBL160" s="3060"/>
      <c r="TBM160" s="3060"/>
      <c r="TBN160" s="3060"/>
      <c r="TBO160" s="3060"/>
      <c r="TBP160" s="3060"/>
      <c r="TBQ160" s="3060"/>
      <c r="TBR160" s="3060"/>
      <c r="TBS160" s="3060"/>
      <c r="TBT160" s="3060"/>
      <c r="TBU160" s="3060"/>
      <c r="TBV160" s="3060"/>
      <c r="TBW160" s="3060"/>
      <c r="TBX160" s="3060"/>
      <c r="TBY160" s="3060"/>
      <c r="TBZ160" s="3060"/>
      <c r="TCA160" s="3060"/>
      <c r="TCB160" s="3060"/>
      <c r="TCC160" s="3060"/>
      <c r="TCD160" s="3060"/>
      <c r="TCE160" s="3060"/>
      <c r="TCF160" s="3060"/>
      <c r="TCG160" s="3060"/>
      <c r="TCH160" s="3060"/>
      <c r="TCI160" s="3060"/>
      <c r="TCJ160" s="3060"/>
      <c r="TCK160" s="3060"/>
      <c r="TCL160" s="3060"/>
      <c r="TCM160" s="3060"/>
      <c r="TCN160" s="3060"/>
      <c r="TCO160" s="3060"/>
      <c r="TCP160" s="3060"/>
      <c r="TCQ160" s="3060"/>
      <c r="TCR160" s="3060"/>
      <c r="TCS160" s="3060"/>
      <c r="TCT160" s="3060"/>
      <c r="TCU160" s="3060"/>
      <c r="TCV160" s="3060"/>
      <c r="TCW160" s="3060"/>
      <c r="TCX160" s="3060"/>
      <c r="TCY160" s="3060"/>
      <c r="TCZ160" s="3060"/>
      <c r="TDA160" s="3060"/>
      <c r="TDB160" s="3060"/>
      <c r="TDC160" s="3060"/>
      <c r="TDD160" s="3060"/>
      <c r="TDE160" s="3060"/>
      <c r="TDF160" s="3060"/>
      <c r="TDG160" s="3060"/>
      <c r="TDH160" s="3060"/>
      <c r="TDI160" s="3060"/>
      <c r="TDJ160" s="3060"/>
      <c r="TDK160" s="3060"/>
      <c r="TDL160" s="3060"/>
      <c r="TDM160" s="3060"/>
      <c r="TDN160" s="3060"/>
      <c r="TDO160" s="3060"/>
      <c r="TDP160" s="3060"/>
      <c r="TDQ160" s="3060"/>
      <c r="TDR160" s="3060"/>
      <c r="TDS160" s="3060"/>
      <c r="TDT160" s="3060"/>
      <c r="TDU160" s="3060"/>
      <c r="TDV160" s="3060"/>
      <c r="TDW160" s="3060"/>
      <c r="TDX160" s="3060"/>
      <c r="TDY160" s="3060"/>
      <c r="TDZ160" s="3060"/>
      <c r="TEA160" s="3060"/>
      <c r="TEB160" s="3060"/>
      <c r="TEC160" s="3060"/>
      <c r="TED160" s="3060"/>
      <c r="TEE160" s="3060"/>
      <c r="TEF160" s="3060"/>
      <c r="TEG160" s="3060"/>
      <c r="TEH160" s="3060"/>
      <c r="TEI160" s="3060"/>
      <c r="TEJ160" s="3060"/>
      <c r="TEK160" s="3060"/>
      <c r="TEL160" s="3060"/>
      <c r="TEM160" s="3060"/>
      <c r="TEN160" s="3060"/>
      <c r="TEO160" s="3060"/>
      <c r="TEP160" s="3060"/>
      <c r="TEQ160" s="3060"/>
      <c r="TER160" s="3060"/>
      <c r="TES160" s="3060"/>
      <c r="TET160" s="3060"/>
      <c r="TEU160" s="3060"/>
      <c r="TEV160" s="3060"/>
      <c r="TEW160" s="3060"/>
      <c r="TEX160" s="3060"/>
      <c r="TEY160" s="3060"/>
      <c r="TEZ160" s="3060"/>
      <c r="TFA160" s="3060"/>
      <c r="TFB160" s="3060"/>
      <c r="TFC160" s="3060"/>
      <c r="TFD160" s="3060"/>
      <c r="TFE160" s="3060"/>
      <c r="TFF160" s="3060"/>
      <c r="TFG160" s="3060"/>
      <c r="TFH160" s="3060"/>
      <c r="TFI160" s="3060"/>
      <c r="TFJ160" s="3060"/>
      <c r="TFK160" s="3060"/>
      <c r="TFL160" s="3060"/>
      <c r="TFM160" s="3060"/>
      <c r="TFN160" s="3060"/>
      <c r="TFO160" s="3060"/>
      <c r="TFP160" s="3060"/>
      <c r="TFQ160" s="3060"/>
      <c r="TFR160" s="3060"/>
      <c r="TFS160" s="3060"/>
      <c r="TFT160" s="3060"/>
      <c r="TFU160" s="3060"/>
      <c r="TFV160" s="3060"/>
      <c r="TFW160" s="3060"/>
      <c r="TFX160" s="3060"/>
      <c r="TFY160" s="3060"/>
      <c r="TFZ160" s="3060"/>
      <c r="TGA160" s="3060"/>
      <c r="TGB160" s="3060"/>
      <c r="TGC160" s="3060"/>
      <c r="TGD160" s="3060"/>
      <c r="TGE160" s="3060"/>
      <c r="TGF160" s="3060"/>
      <c r="TGG160" s="3060"/>
      <c r="TGH160" s="3060"/>
      <c r="TGI160" s="3060"/>
      <c r="TGJ160" s="3060"/>
      <c r="TGK160" s="3060"/>
      <c r="TGL160" s="3060"/>
      <c r="TGM160" s="3060"/>
      <c r="TGN160" s="3060"/>
      <c r="TGO160" s="3060"/>
      <c r="TGP160" s="3060"/>
      <c r="TGQ160" s="3060"/>
      <c r="TGR160" s="3060"/>
      <c r="TGS160" s="3060"/>
      <c r="TGT160" s="3060"/>
      <c r="TGU160" s="3060"/>
      <c r="TGV160" s="3060"/>
      <c r="TGW160" s="3060"/>
      <c r="TGX160" s="3060"/>
      <c r="TGY160" s="3060"/>
      <c r="TGZ160" s="3060"/>
      <c r="THA160" s="3060"/>
      <c r="THB160" s="3060"/>
      <c r="THC160" s="3060"/>
      <c r="THD160" s="3060"/>
      <c r="THE160" s="3060"/>
      <c r="THF160" s="3060"/>
      <c r="THG160" s="3060"/>
      <c r="THH160" s="3060"/>
      <c r="THI160" s="3060"/>
      <c r="THJ160" s="3060"/>
      <c r="THK160" s="3060"/>
      <c r="THL160" s="3060"/>
      <c r="THM160" s="3060"/>
      <c r="THN160" s="3060"/>
      <c r="THO160" s="3060"/>
      <c r="THP160" s="3060"/>
      <c r="THQ160" s="3060"/>
      <c r="THR160" s="3060"/>
      <c r="THS160" s="3060"/>
      <c r="THT160" s="3060"/>
      <c r="THU160" s="3060"/>
      <c r="THV160" s="3060"/>
      <c r="THW160" s="3060"/>
      <c r="THX160" s="3060"/>
      <c r="THY160" s="3060"/>
      <c r="THZ160" s="3060"/>
      <c r="TIA160" s="3060"/>
      <c r="TIB160" s="3060"/>
      <c r="TIC160" s="3060"/>
      <c r="TID160" s="3060"/>
      <c r="TIE160" s="3060"/>
      <c r="TIF160" s="3060"/>
      <c r="TIG160" s="3060"/>
      <c r="TIH160" s="3060"/>
      <c r="TII160" s="3060"/>
      <c r="TIJ160" s="3060"/>
      <c r="TIK160" s="3060"/>
      <c r="TIL160" s="3060"/>
      <c r="TIM160" s="3060"/>
      <c r="TIN160" s="3060"/>
      <c r="TIO160" s="3060"/>
      <c r="TIP160" s="3060"/>
      <c r="TIQ160" s="3060"/>
      <c r="TIR160" s="3060"/>
      <c r="TIS160" s="3060"/>
      <c r="TIT160" s="3060"/>
      <c r="TIU160" s="3060"/>
      <c r="TIV160" s="3060"/>
      <c r="TIW160" s="3060"/>
      <c r="TIX160" s="3060"/>
      <c r="TIY160" s="3060"/>
      <c r="TIZ160" s="3060"/>
      <c r="TJA160" s="3060"/>
      <c r="TJB160" s="3060"/>
      <c r="TJC160" s="3060"/>
      <c r="TJD160" s="3060"/>
      <c r="TJE160" s="3060"/>
      <c r="TJF160" s="3060"/>
      <c r="TJG160" s="3060"/>
      <c r="TJH160" s="3060"/>
      <c r="TJI160" s="3060"/>
      <c r="TJJ160" s="3060"/>
      <c r="TJK160" s="3060"/>
      <c r="TJL160" s="3060"/>
      <c r="TJM160" s="3060"/>
      <c r="TJN160" s="3060"/>
      <c r="TJO160" s="3060"/>
      <c r="TJP160" s="3060"/>
      <c r="TJQ160" s="3060"/>
      <c r="TJR160" s="3060"/>
      <c r="TJS160" s="3060"/>
      <c r="TJT160" s="3060"/>
      <c r="TJU160" s="3060"/>
      <c r="TJV160" s="3060"/>
      <c r="TJW160" s="3060"/>
      <c r="TJX160" s="3060"/>
      <c r="TJY160" s="3060"/>
      <c r="TJZ160" s="3060"/>
      <c r="TKA160" s="3060"/>
      <c r="TKB160" s="3060"/>
      <c r="TKC160" s="3060"/>
      <c r="TKD160" s="3060"/>
      <c r="TKE160" s="3060"/>
      <c r="TKF160" s="3060"/>
      <c r="TKG160" s="3060"/>
      <c r="TKH160" s="3060"/>
      <c r="TKI160" s="3060"/>
      <c r="TKJ160" s="3060"/>
      <c r="TKK160" s="3060"/>
      <c r="TKL160" s="3060"/>
      <c r="TKM160" s="3060"/>
      <c r="TKN160" s="3060"/>
      <c r="TKO160" s="3060"/>
      <c r="TKP160" s="3060"/>
      <c r="TKQ160" s="3060"/>
      <c r="TKR160" s="3060"/>
      <c r="TKS160" s="3060"/>
      <c r="TKT160" s="3060"/>
      <c r="TKU160" s="3060"/>
      <c r="TKV160" s="3060"/>
      <c r="TKW160" s="3060"/>
      <c r="TKX160" s="3060"/>
      <c r="TKY160" s="3060"/>
      <c r="TKZ160" s="3060"/>
      <c r="TLA160" s="3060"/>
      <c r="TLB160" s="3060"/>
      <c r="TLC160" s="3060"/>
      <c r="TLD160" s="3060"/>
      <c r="TLE160" s="3060"/>
      <c r="TLF160" s="3060"/>
      <c r="TLG160" s="3060"/>
      <c r="TLH160" s="3060"/>
      <c r="TLI160" s="3060"/>
      <c r="TLJ160" s="3060"/>
      <c r="TLK160" s="3060"/>
      <c r="TLL160" s="3060"/>
      <c r="TLM160" s="3060"/>
      <c r="TLN160" s="3060"/>
      <c r="TLO160" s="3060"/>
      <c r="TLP160" s="3060"/>
      <c r="TLQ160" s="3060"/>
      <c r="TLR160" s="3060"/>
      <c r="TLS160" s="3060"/>
      <c r="TLT160" s="3060"/>
      <c r="TLU160" s="3060"/>
      <c r="TLV160" s="3060"/>
      <c r="TLW160" s="3060"/>
      <c r="TLX160" s="3060"/>
      <c r="TLY160" s="3060"/>
      <c r="TLZ160" s="3060"/>
      <c r="TMA160" s="3060"/>
      <c r="TMB160" s="3060"/>
      <c r="TMC160" s="3060"/>
      <c r="TMD160" s="3060"/>
      <c r="TME160" s="3060"/>
      <c r="TMF160" s="3060"/>
      <c r="TMG160" s="3060"/>
      <c r="TMH160" s="3060"/>
      <c r="TMI160" s="3060"/>
      <c r="TMJ160" s="3060"/>
      <c r="TMK160" s="3060"/>
      <c r="TML160" s="3060"/>
      <c r="TMM160" s="3060"/>
      <c r="TMN160" s="3060"/>
      <c r="TMO160" s="3060"/>
      <c r="TMP160" s="3060"/>
      <c r="TMQ160" s="3060"/>
      <c r="TMR160" s="3060"/>
      <c r="TMS160" s="3060"/>
      <c r="TMT160" s="3060"/>
      <c r="TMU160" s="3060"/>
      <c r="TMV160" s="3060"/>
      <c r="TMW160" s="3060"/>
      <c r="TMX160" s="3060"/>
      <c r="TMY160" s="3060"/>
      <c r="TMZ160" s="3060"/>
      <c r="TNA160" s="3060"/>
      <c r="TNB160" s="3060"/>
      <c r="TNC160" s="3060"/>
      <c r="TND160" s="3060"/>
      <c r="TNE160" s="3060"/>
      <c r="TNF160" s="3060"/>
      <c r="TNG160" s="3060"/>
      <c r="TNH160" s="3060"/>
      <c r="TNI160" s="3060"/>
      <c r="TNJ160" s="3060"/>
      <c r="TNK160" s="3060"/>
      <c r="TNL160" s="3060"/>
      <c r="TNM160" s="3060"/>
      <c r="TNN160" s="3060"/>
      <c r="TNO160" s="3060"/>
      <c r="TNP160" s="3060"/>
      <c r="TNQ160" s="3060"/>
      <c r="TNR160" s="3060"/>
      <c r="TNS160" s="3060"/>
      <c r="TNT160" s="3060"/>
      <c r="TNU160" s="3060"/>
      <c r="TNV160" s="3060"/>
      <c r="TNW160" s="3060"/>
      <c r="TNX160" s="3060"/>
      <c r="TNY160" s="3060"/>
      <c r="TNZ160" s="3060"/>
      <c r="TOA160" s="3060"/>
      <c r="TOB160" s="3060"/>
      <c r="TOC160" s="3060"/>
      <c r="TOD160" s="3060"/>
      <c r="TOE160" s="3060"/>
      <c r="TOF160" s="3060"/>
      <c r="TOG160" s="3060"/>
      <c r="TOH160" s="3060"/>
      <c r="TOI160" s="3060"/>
      <c r="TOJ160" s="3060"/>
      <c r="TOK160" s="3060"/>
      <c r="TOL160" s="3060"/>
      <c r="TOM160" s="3060"/>
      <c r="TON160" s="3060"/>
      <c r="TOO160" s="3060"/>
      <c r="TOP160" s="3060"/>
      <c r="TOQ160" s="3060"/>
      <c r="TOR160" s="3060"/>
      <c r="TOS160" s="3060"/>
      <c r="TOT160" s="3060"/>
      <c r="TOU160" s="3060"/>
      <c r="TOV160" s="3060"/>
      <c r="TOW160" s="3060"/>
      <c r="TOX160" s="3060"/>
      <c r="TOY160" s="3060"/>
      <c r="TOZ160" s="3060"/>
      <c r="TPA160" s="3060"/>
      <c r="TPB160" s="3060"/>
      <c r="TPC160" s="3060"/>
      <c r="TPD160" s="3060"/>
      <c r="TPE160" s="3060"/>
      <c r="TPF160" s="3060"/>
      <c r="TPG160" s="3060"/>
      <c r="TPH160" s="3060"/>
      <c r="TPI160" s="3060"/>
      <c r="TPJ160" s="3060"/>
      <c r="TPK160" s="3060"/>
      <c r="TPL160" s="3060"/>
      <c r="TPM160" s="3060"/>
      <c r="TPN160" s="3060"/>
      <c r="TPO160" s="3060"/>
      <c r="TPP160" s="3060"/>
      <c r="TPQ160" s="3060"/>
      <c r="TPR160" s="3060"/>
      <c r="TPS160" s="3060"/>
      <c r="TPT160" s="3060"/>
      <c r="TPU160" s="3060"/>
      <c r="TPV160" s="3060"/>
      <c r="TPW160" s="3060"/>
      <c r="TPX160" s="3060"/>
      <c r="TPY160" s="3060"/>
      <c r="TPZ160" s="3060"/>
      <c r="TQA160" s="3060"/>
      <c r="TQB160" s="3060"/>
      <c r="TQC160" s="3060"/>
      <c r="TQD160" s="3060"/>
      <c r="TQE160" s="3060"/>
      <c r="TQF160" s="3060"/>
      <c r="TQG160" s="3060"/>
      <c r="TQH160" s="3060"/>
      <c r="TQI160" s="3060"/>
      <c r="TQJ160" s="3060"/>
      <c r="TQK160" s="3060"/>
      <c r="TQL160" s="3060"/>
      <c r="TQM160" s="3060"/>
      <c r="TQN160" s="3060"/>
      <c r="TQO160" s="3060"/>
      <c r="TQP160" s="3060"/>
      <c r="TQQ160" s="3060"/>
      <c r="TQR160" s="3060"/>
      <c r="TQS160" s="3060"/>
      <c r="TQT160" s="3060"/>
      <c r="TQU160" s="3060"/>
      <c r="TQV160" s="3060"/>
      <c r="TQW160" s="3060"/>
      <c r="TQX160" s="3060"/>
      <c r="TQY160" s="3060"/>
      <c r="TQZ160" s="3060"/>
      <c r="TRA160" s="3060"/>
      <c r="TRB160" s="3060"/>
      <c r="TRC160" s="3060"/>
      <c r="TRD160" s="3060"/>
      <c r="TRE160" s="3060"/>
      <c r="TRF160" s="3060"/>
      <c r="TRG160" s="3060"/>
      <c r="TRH160" s="3060"/>
      <c r="TRI160" s="3060"/>
      <c r="TRJ160" s="3060"/>
      <c r="TRK160" s="3060"/>
      <c r="TRL160" s="3060"/>
      <c r="TRM160" s="3060"/>
      <c r="TRN160" s="3060"/>
      <c r="TRO160" s="3060"/>
      <c r="TRP160" s="3060"/>
      <c r="TRQ160" s="3060"/>
      <c r="TRR160" s="3060"/>
      <c r="TRS160" s="3060"/>
      <c r="TRT160" s="3060"/>
      <c r="TRU160" s="3060"/>
      <c r="TRV160" s="3060"/>
      <c r="TRW160" s="3060"/>
      <c r="TRX160" s="3060"/>
      <c r="TRY160" s="3060"/>
      <c r="TRZ160" s="3060"/>
      <c r="TSA160" s="3060"/>
      <c r="TSB160" s="3060"/>
      <c r="TSC160" s="3060"/>
      <c r="TSD160" s="3060"/>
      <c r="TSE160" s="3060"/>
      <c r="TSF160" s="3060"/>
      <c r="TSG160" s="3060"/>
      <c r="TSH160" s="3060"/>
      <c r="TSI160" s="3060"/>
      <c r="TSJ160" s="3060"/>
      <c r="TSK160" s="3060"/>
      <c r="TSL160" s="3060"/>
      <c r="TSM160" s="3060"/>
      <c r="TSN160" s="3060"/>
      <c r="TSO160" s="3060"/>
      <c r="TSP160" s="3060"/>
      <c r="TSQ160" s="3060"/>
      <c r="TSR160" s="3060"/>
      <c r="TSS160" s="3060"/>
      <c r="TST160" s="3060"/>
      <c r="TSU160" s="3060"/>
      <c r="TSV160" s="3060"/>
      <c r="TSW160" s="3060"/>
      <c r="TSX160" s="3060"/>
      <c r="TSY160" s="3060"/>
      <c r="TSZ160" s="3060"/>
      <c r="TTA160" s="3060"/>
      <c r="TTB160" s="3060"/>
      <c r="TTC160" s="3060"/>
      <c r="TTD160" s="3060"/>
      <c r="TTE160" s="3060"/>
      <c r="TTF160" s="3060"/>
      <c r="TTG160" s="3060"/>
      <c r="TTH160" s="3060"/>
      <c r="TTI160" s="3060"/>
      <c r="TTJ160" s="3060"/>
      <c r="TTK160" s="3060"/>
      <c r="TTL160" s="3060"/>
      <c r="TTM160" s="3060"/>
      <c r="TTN160" s="3060"/>
      <c r="TTO160" s="3060"/>
      <c r="TTP160" s="3060"/>
      <c r="TTQ160" s="3060"/>
      <c r="TTR160" s="3060"/>
      <c r="TTS160" s="3060"/>
      <c r="TTT160" s="3060"/>
      <c r="TTU160" s="3060"/>
      <c r="TTV160" s="3060"/>
      <c r="TTW160" s="3060"/>
      <c r="TTX160" s="3060"/>
      <c r="TTY160" s="3060"/>
      <c r="TTZ160" s="3060"/>
      <c r="TUA160" s="3060"/>
      <c r="TUB160" s="3060"/>
      <c r="TUC160" s="3060"/>
      <c r="TUD160" s="3060"/>
      <c r="TUE160" s="3060"/>
      <c r="TUF160" s="3060"/>
      <c r="TUG160" s="3060"/>
      <c r="TUH160" s="3060"/>
      <c r="TUI160" s="3060"/>
      <c r="TUJ160" s="3060"/>
      <c r="TUK160" s="3060"/>
      <c r="TUL160" s="3060"/>
      <c r="TUM160" s="3060"/>
      <c r="TUN160" s="3060"/>
      <c r="TUO160" s="3060"/>
      <c r="TUP160" s="3060"/>
      <c r="TUQ160" s="3060"/>
      <c r="TUR160" s="3060"/>
      <c r="TUS160" s="3060"/>
      <c r="TUT160" s="3060"/>
      <c r="TUU160" s="3060"/>
      <c r="TUV160" s="3060"/>
      <c r="TUW160" s="3060"/>
      <c r="TUX160" s="3060"/>
      <c r="TUY160" s="3060"/>
      <c r="TUZ160" s="3060"/>
      <c r="TVA160" s="3060"/>
      <c r="TVB160" s="3060"/>
      <c r="TVC160" s="3060"/>
      <c r="TVD160" s="3060"/>
      <c r="TVE160" s="3060"/>
      <c r="TVF160" s="3060"/>
      <c r="TVG160" s="3060"/>
      <c r="TVH160" s="3060"/>
      <c r="TVI160" s="3060"/>
      <c r="TVJ160" s="3060"/>
      <c r="TVK160" s="3060"/>
      <c r="TVL160" s="3060"/>
      <c r="TVM160" s="3060"/>
      <c r="TVN160" s="3060"/>
      <c r="TVO160" s="3060"/>
      <c r="TVP160" s="3060"/>
      <c r="TVQ160" s="3060"/>
      <c r="TVR160" s="3060"/>
      <c r="TVS160" s="3060"/>
      <c r="TVT160" s="3060"/>
      <c r="TVU160" s="3060"/>
      <c r="TVV160" s="3060"/>
      <c r="TVW160" s="3060"/>
      <c r="TVX160" s="3060"/>
      <c r="TVY160" s="3060"/>
      <c r="TVZ160" s="3060"/>
      <c r="TWA160" s="3060"/>
      <c r="TWB160" s="3060"/>
      <c r="TWC160" s="3060"/>
      <c r="TWD160" s="3060"/>
      <c r="TWE160" s="3060"/>
      <c r="TWF160" s="3060"/>
      <c r="TWG160" s="3060"/>
      <c r="TWH160" s="3060"/>
      <c r="TWI160" s="3060"/>
      <c r="TWJ160" s="3060"/>
      <c r="TWK160" s="3060"/>
      <c r="TWL160" s="3060"/>
      <c r="TWM160" s="3060"/>
      <c r="TWN160" s="3060"/>
      <c r="TWO160" s="3060"/>
      <c r="TWP160" s="3060"/>
      <c r="TWQ160" s="3060"/>
      <c r="TWR160" s="3060"/>
      <c r="TWS160" s="3060"/>
      <c r="TWT160" s="3060"/>
      <c r="TWU160" s="3060"/>
      <c r="TWV160" s="3060"/>
      <c r="TWW160" s="3060"/>
      <c r="TWX160" s="3060"/>
      <c r="TWY160" s="3060"/>
      <c r="TWZ160" s="3060"/>
      <c r="TXA160" s="3060"/>
      <c r="TXB160" s="3060"/>
      <c r="TXC160" s="3060"/>
      <c r="TXD160" s="3060"/>
      <c r="TXE160" s="3060"/>
      <c r="TXF160" s="3060"/>
      <c r="TXG160" s="3060"/>
      <c r="TXH160" s="3060"/>
      <c r="TXI160" s="3060"/>
      <c r="TXJ160" s="3060"/>
      <c r="TXK160" s="3060"/>
      <c r="TXL160" s="3060"/>
      <c r="TXM160" s="3060"/>
      <c r="TXN160" s="3060"/>
      <c r="TXO160" s="3060"/>
      <c r="TXP160" s="3060"/>
      <c r="TXQ160" s="3060"/>
      <c r="TXR160" s="3060"/>
      <c r="TXS160" s="3060"/>
      <c r="TXT160" s="3060"/>
      <c r="TXU160" s="3060"/>
      <c r="TXV160" s="3060"/>
      <c r="TXW160" s="3060"/>
      <c r="TXX160" s="3060"/>
      <c r="TXY160" s="3060"/>
      <c r="TXZ160" s="3060"/>
      <c r="TYA160" s="3060"/>
      <c r="TYB160" s="3060"/>
      <c r="TYC160" s="3060"/>
      <c r="TYD160" s="3060"/>
      <c r="TYE160" s="3060"/>
      <c r="TYF160" s="3060"/>
      <c r="TYG160" s="3060"/>
      <c r="TYH160" s="3060"/>
      <c r="TYI160" s="3060"/>
      <c r="TYJ160" s="3060"/>
      <c r="TYK160" s="3060"/>
      <c r="TYL160" s="3060"/>
      <c r="TYM160" s="3060"/>
      <c r="TYN160" s="3060"/>
      <c r="TYO160" s="3060"/>
      <c r="TYP160" s="3060"/>
      <c r="TYQ160" s="3060"/>
      <c r="TYR160" s="3060"/>
      <c r="TYS160" s="3060"/>
      <c r="TYT160" s="3060"/>
      <c r="TYU160" s="3060"/>
      <c r="TYV160" s="3060"/>
      <c r="TYW160" s="3060"/>
      <c r="TYX160" s="3060"/>
      <c r="TYY160" s="3060"/>
      <c r="TYZ160" s="3060"/>
      <c r="TZA160" s="3060"/>
      <c r="TZB160" s="3060"/>
      <c r="TZC160" s="3060"/>
      <c r="TZD160" s="3060"/>
      <c r="TZE160" s="3060"/>
      <c r="TZF160" s="3060"/>
      <c r="TZG160" s="3060"/>
      <c r="TZH160" s="3060"/>
      <c r="TZI160" s="3060"/>
      <c r="TZJ160" s="3060"/>
      <c r="TZK160" s="3060"/>
      <c r="TZL160" s="3060"/>
      <c r="TZM160" s="3060"/>
      <c r="TZN160" s="3060"/>
      <c r="TZO160" s="3060"/>
      <c r="TZP160" s="3060"/>
      <c r="TZQ160" s="3060"/>
      <c r="TZR160" s="3060"/>
      <c r="TZS160" s="3060"/>
      <c r="TZT160" s="3060"/>
      <c r="TZU160" s="3060"/>
      <c r="TZV160" s="3060"/>
      <c r="TZW160" s="3060"/>
      <c r="TZX160" s="3060"/>
      <c r="TZY160" s="3060"/>
      <c r="TZZ160" s="3060"/>
      <c r="UAA160" s="3060"/>
      <c r="UAB160" s="3060"/>
      <c r="UAC160" s="3060"/>
      <c r="UAD160" s="3060"/>
      <c r="UAE160" s="3060"/>
      <c r="UAF160" s="3060"/>
      <c r="UAG160" s="3060"/>
      <c r="UAH160" s="3060"/>
      <c r="UAI160" s="3060"/>
      <c r="UAJ160" s="3060"/>
      <c r="UAK160" s="3060"/>
      <c r="UAL160" s="3060"/>
      <c r="UAM160" s="3060"/>
      <c r="UAN160" s="3060"/>
      <c r="UAO160" s="3060"/>
      <c r="UAP160" s="3060"/>
      <c r="UAQ160" s="3060"/>
      <c r="UAR160" s="3060"/>
      <c r="UAS160" s="3060"/>
      <c r="UAT160" s="3060"/>
      <c r="UAU160" s="3060"/>
      <c r="UAV160" s="3060"/>
      <c r="UAW160" s="3060"/>
      <c r="UAX160" s="3060"/>
      <c r="UAY160" s="3060"/>
      <c r="UAZ160" s="3060"/>
      <c r="UBA160" s="3060"/>
      <c r="UBB160" s="3060"/>
      <c r="UBC160" s="3060"/>
      <c r="UBD160" s="3060"/>
      <c r="UBE160" s="3060"/>
      <c r="UBF160" s="3060"/>
      <c r="UBG160" s="3060"/>
      <c r="UBH160" s="3060"/>
      <c r="UBI160" s="3060"/>
      <c r="UBJ160" s="3060"/>
      <c r="UBK160" s="3060"/>
      <c r="UBL160" s="3060"/>
      <c r="UBM160" s="3060"/>
      <c r="UBN160" s="3060"/>
      <c r="UBO160" s="3060"/>
      <c r="UBP160" s="3060"/>
      <c r="UBQ160" s="3060"/>
      <c r="UBR160" s="3060"/>
      <c r="UBS160" s="3060"/>
      <c r="UBT160" s="3060"/>
      <c r="UBU160" s="3060"/>
      <c r="UBV160" s="3060"/>
      <c r="UBW160" s="3060"/>
      <c r="UBX160" s="3060"/>
      <c r="UBY160" s="3060"/>
      <c r="UBZ160" s="3060"/>
      <c r="UCA160" s="3060"/>
      <c r="UCB160" s="3060"/>
      <c r="UCC160" s="3060"/>
      <c r="UCD160" s="3060"/>
      <c r="UCE160" s="3060"/>
      <c r="UCF160" s="3060"/>
      <c r="UCG160" s="3060"/>
      <c r="UCH160" s="3060"/>
      <c r="UCI160" s="3060"/>
      <c r="UCJ160" s="3060"/>
      <c r="UCK160" s="3060"/>
      <c r="UCL160" s="3060"/>
      <c r="UCM160" s="3060"/>
      <c r="UCN160" s="3060"/>
      <c r="UCO160" s="3060"/>
      <c r="UCP160" s="3060"/>
      <c r="UCQ160" s="3060"/>
      <c r="UCR160" s="3060"/>
      <c r="UCS160" s="3060"/>
      <c r="UCT160" s="3060"/>
      <c r="UCU160" s="3060"/>
      <c r="UCV160" s="3060"/>
      <c r="UCW160" s="3060"/>
      <c r="UCX160" s="3060"/>
      <c r="UCY160" s="3060"/>
      <c r="UCZ160" s="3060"/>
      <c r="UDA160" s="3060"/>
      <c r="UDB160" s="3060"/>
      <c r="UDC160" s="3060"/>
      <c r="UDD160" s="3060"/>
      <c r="UDE160" s="3060"/>
      <c r="UDF160" s="3060"/>
      <c r="UDG160" s="3060"/>
      <c r="UDH160" s="3060"/>
      <c r="UDI160" s="3060"/>
      <c r="UDJ160" s="3060"/>
      <c r="UDK160" s="3060"/>
      <c r="UDL160" s="3060"/>
      <c r="UDM160" s="3060"/>
      <c r="UDN160" s="3060"/>
      <c r="UDO160" s="3060"/>
      <c r="UDP160" s="3060"/>
      <c r="UDQ160" s="3060"/>
      <c r="UDR160" s="3060"/>
      <c r="UDS160" s="3060"/>
      <c r="UDT160" s="3060"/>
      <c r="UDU160" s="3060"/>
      <c r="UDV160" s="3060"/>
      <c r="UDW160" s="3060"/>
      <c r="UDX160" s="3060"/>
      <c r="UDY160" s="3060"/>
      <c r="UDZ160" s="3060"/>
      <c r="UEA160" s="3060"/>
      <c r="UEB160" s="3060"/>
      <c r="UEC160" s="3060"/>
      <c r="UED160" s="3060"/>
      <c r="UEE160" s="3060"/>
      <c r="UEF160" s="3060"/>
      <c r="UEG160" s="3060"/>
      <c r="UEH160" s="3060"/>
      <c r="UEI160" s="3060"/>
      <c r="UEJ160" s="3060"/>
      <c r="UEK160" s="3060"/>
      <c r="UEL160" s="3060"/>
      <c r="UEM160" s="3060"/>
      <c r="UEN160" s="3060"/>
      <c r="UEO160" s="3060"/>
      <c r="UEP160" s="3060"/>
      <c r="UEQ160" s="3060"/>
      <c r="UER160" s="3060"/>
      <c r="UES160" s="3060"/>
      <c r="UET160" s="3060"/>
      <c r="UEU160" s="3060"/>
      <c r="UEV160" s="3060"/>
      <c r="UEW160" s="3060"/>
      <c r="UEX160" s="3060"/>
      <c r="UEY160" s="3060"/>
      <c r="UEZ160" s="3060"/>
      <c r="UFA160" s="3060"/>
      <c r="UFB160" s="3060"/>
      <c r="UFC160" s="3060"/>
      <c r="UFD160" s="3060"/>
      <c r="UFE160" s="3060"/>
      <c r="UFF160" s="3060"/>
      <c r="UFG160" s="3060"/>
      <c r="UFH160" s="3060"/>
      <c r="UFI160" s="3060"/>
      <c r="UFJ160" s="3060"/>
      <c r="UFK160" s="3060"/>
      <c r="UFL160" s="3060"/>
      <c r="UFM160" s="3060"/>
      <c r="UFN160" s="3060"/>
      <c r="UFO160" s="3060"/>
      <c r="UFP160" s="3060"/>
      <c r="UFQ160" s="3060"/>
      <c r="UFR160" s="3060"/>
      <c r="UFS160" s="3060"/>
      <c r="UFT160" s="3060"/>
      <c r="UFU160" s="3060"/>
      <c r="UFV160" s="3060"/>
      <c r="UFW160" s="3060"/>
      <c r="UFX160" s="3060"/>
      <c r="UFY160" s="3060"/>
      <c r="UFZ160" s="3060"/>
      <c r="UGA160" s="3060"/>
      <c r="UGB160" s="3060"/>
      <c r="UGC160" s="3060"/>
      <c r="UGD160" s="3060"/>
      <c r="UGE160" s="3060"/>
      <c r="UGF160" s="3060"/>
      <c r="UGG160" s="3060"/>
      <c r="UGH160" s="3060"/>
      <c r="UGI160" s="3060"/>
      <c r="UGJ160" s="3060"/>
      <c r="UGK160" s="3060"/>
      <c r="UGL160" s="3060"/>
      <c r="UGM160" s="3060"/>
      <c r="UGN160" s="3060"/>
      <c r="UGO160" s="3060"/>
      <c r="UGP160" s="3060"/>
      <c r="UGQ160" s="3060"/>
      <c r="UGR160" s="3060"/>
      <c r="UGS160" s="3060"/>
      <c r="UGT160" s="3060"/>
      <c r="UGU160" s="3060"/>
      <c r="UGV160" s="3060"/>
      <c r="UGW160" s="3060"/>
      <c r="UGX160" s="3060"/>
      <c r="UGY160" s="3060"/>
      <c r="UGZ160" s="3060"/>
      <c r="UHA160" s="3060"/>
      <c r="UHB160" s="3060"/>
      <c r="UHC160" s="3060"/>
      <c r="UHD160" s="3060"/>
      <c r="UHE160" s="3060"/>
      <c r="UHF160" s="3060"/>
      <c r="UHG160" s="3060"/>
      <c r="UHH160" s="3060"/>
      <c r="UHI160" s="3060"/>
      <c r="UHJ160" s="3060"/>
      <c r="UHK160" s="3060"/>
      <c r="UHL160" s="3060"/>
      <c r="UHM160" s="3060"/>
      <c r="UHN160" s="3060"/>
      <c r="UHO160" s="3060"/>
      <c r="UHP160" s="3060"/>
      <c r="UHQ160" s="3060"/>
      <c r="UHR160" s="3060"/>
      <c r="UHS160" s="3060"/>
      <c r="UHT160" s="3060"/>
      <c r="UHU160" s="3060"/>
      <c r="UHV160" s="3060"/>
      <c r="UHW160" s="3060"/>
      <c r="UHX160" s="3060"/>
      <c r="UHY160" s="3060"/>
      <c r="UHZ160" s="3060"/>
      <c r="UIA160" s="3060"/>
      <c r="UIB160" s="3060"/>
      <c r="UIC160" s="3060"/>
      <c r="UID160" s="3060"/>
      <c r="UIE160" s="3060"/>
      <c r="UIF160" s="3060"/>
      <c r="UIG160" s="3060"/>
      <c r="UIH160" s="3060"/>
      <c r="UII160" s="3060"/>
      <c r="UIJ160" s="3060"/>
      <c r="UIK160" s="3060"/>
      <c r="UIL160" s="3060"/>
      <c r="UIM160" s="3060"/>
      <c r="UIN160" s="3060"/>
      <c r="UIO160" s="3060"/>
      <c r="UIP160" s="3060"/>
      <c r="UIQ160" s="3060"/>
      <c r="UIR160" s="3060"/>
      <c r="UIS160" s="3060"/>
      <c r="UIT160" s="3060"/>
      <c r="UIU160" s="3060"/>
      <c r="UIV160" s="3060"/>
      <c r="UIW160" s="3060"/>
      <c r="UIX160" s="3060"/>
      <c r="UIY160" s="3060"/>
      <c r="UIZ160" s="3060"/>
      <c r="UJA160" s="3060"/>
      <c r="UJB160" s="3060"/>
      <c r="UJC160" s="3060"/>
      <c r="UJD160" s="3060"/>
      <c r="UJE160" s="3060"/>
      <c r="UJF160" s="3060"/>
      <c r="UJG160" s="3060"/>
      <c r="UJH160" s="3060"/>
      <c r="UJI160" s="3060"/>
      <c r="UJJ160" s="3060"/>
      <c r="UJK160" s="3060"/>
      <c r="UJL160" s="3060"/>
      <c r="UJM160" s="3060"/>
      <c r="UJN160" s="3060"/>
      <c r="UJO160" s="3060"/>
      <c r="UJP160" s="3060"/>
      <c r="UJQ160" s="3060"/>
      <c r="UJR160" s="3060"/>
      <c r="UJS160" s="3060"/>
      <c r="UJT160" s="3060"/>
      <c r="UJU160" s="3060"/>
      <c r="UJV160" s="3060"/>
      <c r="UJW160" s="3060"/>
      <c r="UJX160" s="3060"/>
      <c r="UJY160" s="3060"/>
      <c r="UJZ160" s="3060"/>
      <c r="UKA160" s="3060"/>
      <c r="UKB160" s="3060"/>
      <c r="UKC160" s="3060"/>
      <c r="UKD160" s="3060"/>
      <c r="UKE160" s="3060"/>
      <c r="UKF160" s="3060"/>
      <c r="UKG160" s="3060"/>
      <c r="UKH160" s="3060"/>
      <c r="UKI160" s="3060"/>
      <c r="UKJ160" s="3060"/>
      <c r="UKK160" s="3060"/>
      <c r="UKL160" s="3060"/>
      <c r="UKM160" s="3060"/>
      <c r="UKN160" s="3060"/>
      <c r="UKO160" s="3060"/>
      <c r="UKP160" s="3060"/>
      <c r="UKQ160" s="3060"/>
      <c r="UKR160" s="3060"/>
      <c r="UKS160" s="3060"/>
      <c r="UKT160" s="3060"/>
      <c r="UKU160" s="3060"/>
      <c r="UKV160" s="3060"/>
      <c r="UKW160" s="3060"/>
      <c r="UKX160" s="3060"/>
      <c r="UKY160" s="3060"/>
      <c r="UKZ160" s="3060"/>
      <c r="ULA160" s="3060"/>
      <c r="ULB160" s="3060"/>
      <c r="ULC160" s="3060"/>
      <c r="ULD160" s="3060"/>
      <c r="ULE160" s="3060"/>
      <c r="ULF160" s="3060"/>
      <c r="ULG160" s="3060"/>
      <c r="ULH160" s="3060"/>
      <c r="ULI160" s="3060"/>
      <c r="ULJ160" s="3060"/>
      <c r="ULK160" s="3060"/>
      <c r="ULL160" s="3060"/>
      <c r="ULM160" s="3060"/>
      <c r="ULN160" s="3060"/>
      <c r="ULO160" s="3060"/>
      <c r="ULP160" s="3060"/>
      <c r="ULQ160" s="3060"/>
      <c r="ULR160" s="3060"/>
      <c r="ULS160" s="3060"/>
      <c r="ULT160" s="3060"/>
      <c r="ULU160" s="3060"/>
      <c r="ULV160" s="3060"/>
      <c r="ULW160" s="3060"/>
      <c r="ULX160" s="3060"/>
      <c r="ULY160" s="3060"/>
      <c r="ULZ160" s="3060"/>
      <c r="UMA160" s="3060"/>
      <c r="UMB160" s="3060"/>
      <c r="UMC160" s="3060"/>
      <c r="UMD160" s="3060"/>
      <c r="UME160" s="3060"/>
      <c r="UMF160" s="3060"/>
      <c r="UMG160" s="3060"/>
      <c r="UMH160" s="3060"/>
      <c r="UMI160" s="3060"/>
      <c r="UMJ160" s="3060"/>
      <c r="UMK160" s="3060"/>
      <c r="UML160" s="3060"/>
      <c r="UMM160" s="3060"/>
      <c r="UMN160" s="3060"/>
      <c r="UMO160" s="3060"/>
      <c r="UMP160" s="3060"/>
      <c r="UMQ160" s="3060"/>
      <c r="UMR160" s="3060"/>
      <c r="UMS160" s="3060"/>
      <c r="UMT160" s="3060"/>
      <c r="UMU160" s="3060"/>
      <c r="UMV160" s="3060"/>
      <c r="UMW160" s="3060"/>
      <c r="UMX160" s="3060"/>
      <c r="UMY160" s="3060"/>
      <c r="UMZ160" s="3060"/>
      <c r="UNA160" s="3060"/>
      <c r="UNB160" s="3060"/>
      <c r="UNC160" s="3060"/>
      <c r="UND160" s="3060"/>
      <c r="UNE160" s="3060"/>
      <c r="UNF160" s="3060"/>
      <c r="UNG160" s="3060"/>
      <c r="UNH160" s="3060"/>
      <c r="UNI160" s="3060"/>
      <c r="UNJ160" s="3060"/>
      <c r="UNK160" s="3060"/>
      <c r="UNL160" s="3060"/>
      <c r="UNM160" s="3060"/>
      <c r="UNN160" s="3060"/>
      <c r="UNO160" s="3060"/>
      <c r="UNP160" s="3060"/>
      <c r="UNQ160" s="3060"/>
      <c r="UNR160" s="3060"/>
      <c r="UNS160" s="3060"/>
      <c r="UNT160" s="3060"/>
      <c r="UNU160" s="3060"/>
      <c r="UNV160" s="3060"/>
      <c r="UNW160" s="3060"/>
      <c r="UNX160" s="3060"/>
      <c r="UNY160" s="3060"/>
      <c r="UNZ160" s="3060"/>
      <c r="UOA160" s="3060"/>
      <c r="UOB160" s="3060"/>
      <c r="UOC160" s="3060"/>
      <c r="UOD160" s="3060"/>
      <c r="UOE160" s="3060"/>
      <c r="UOF160" s="3060"/>
      <c r="UOG160" s="3060"/>
      <c r="UOH160" s="3060"/>
      <c r="UOI160" s="3060"/>
      <c r="UOJ160" s="3060"/>
      <c r="UOK160" s="3060"/>
      <c r="UOL160" s="3060"/>
      <c r="UOM160" s="3060"/>
      <c r="UON160" s="3060"/>
      <c r="UOO160" s="3060"/>
      <c r="UOP160" s="3060"/>
      <c r="UOQ160" s="3060"/>
      <c r="UOR160" s="3060"/>
      <c r="UOS160" s="3060"/>
      <c r="UOT160" s="3060"/>
      <c r="UOU160" s="3060"/>
      <c r="UOV160" s="3060"/>
      <c r="UOW160" s="3060"/>
      <c r="UOX160" s="3060"/>
      <c r="UOY160" s="3060"/>
      <c r="UOZ160" s="3060"/>
      <c r="UPA160" s="3060"/>
      <c r="UPB160" s="3060"/>
      <c r="UPC160" s="3060"/>
      <c r="UPD160" s="3060"/>
      <c r="UPE160" s="3060"/>
      <c r="UPF160" s="3060"/>
      <c r="UPG160" s="3060"/>
      <c r="UPH160" s="3060"/>
      <c r="UPI160" s="3060"/>
      <c r="UPJ160" s="3060"/>
      <c r="UPK160" s="3060"/>
      <c r="UPL160" s="3060"/>
      <c r="UPM160" s="3060"/>
      <c r="UPN160" s="3060"/>
      <c r="UPO160" s="3060"/>
      <c r="UPP160" s="3060"/>
      <c r="UPQ160" s="3060"/>
      <c r="UPR160" s="3060"/>
      <c r="UPS160" s="3060"/>
      <c r="UPT160" s="3060"/>
      <c r="UPU160" s="3060"/>
      <c r="UPV160" s="3060"/>
      <c r="UPW160" s="3060"/>
      <c r="UPX160" s="3060"/>
      <c r="UPY160" s="3060"/>
      <c r="UPZ160" s="3060"/>
      <c r="UQA160" s="3060"/>
      <c r="UQB160" s="3060"/>
      <c r="UQC160" s="3060"/>
      <c r="UQD160" s="3060"/>
      <c r="UQE160" s="3060"/>
      <c r="UQF160" s="3060"/>
      <c r="UQG160" s="3060"/>
      <c r="UQH160" s="3060"/>
      <c r="UQI160" s="3060"/>
      <c r="UQJ160" s="3060"/>
      <c r="UQK160" s="3060"/>
      <c r="UQL160" s="3060"/>
      <c r="UQM160" s="3060"/>
      <c r="UQN160" s="3060"/>
      <c r="UQO160" s="3060"/>
      <c r="UQP160" s="3060"/>
      <c r="UQQ160" s="3060"/>
      <c r="UQR160" s="3060"/>
      <c r="UQS160" s="3060"/>
      <c r="UQT160" s="3060"/>
      <c r="UQU160" s="3060"/>
      <c r="UQV160" s="3060"/>
      <c r="UQW160" s="3060"/>
      <c r="UQX160" s="3060"/>
      <c r="UQY160" s="3060"/>
      <c r="UQZ160" s="3060"/>
      <c r="URA160" s="3060"/>
      <c r="URB160" s="3060"/>
      <c r="URC160" s="3060"/>
      <c r="URD160" s="3060"/>
      <c r="URE160" s="3060"/>
      <c r="URF160" s="3060"/>
      <c r="URG160" s="3060"/>
      <c r="URH160" s="3060"/>
      <c r="URI160" s="3060"/>
      <c r="URJ160" s="3060"/>
      <c r="URK160" s="3060"/>
      <c r="URL160" s="3060"/>
      <c r="URM160" s="3060"/>
      <c r="URN160" s="3060"/>
      <c r="URO160" s="3060"/>
      <c r="URP160" s="3060"/>
      <c r="URQ160" s="3060"/>
      <c r="URR160" s="3060"/>
      <c r="URS160" s="3060"/>
      <c r="URT160" s="3060"/>
      <c r="URU160" s="3060"/>
      <c r="URV160" s="3060"/>
      <c r="URW160" s="3060"/>
      <c r="URX160" s="3060"/>
      <c r="URY160" s="3060"/>
      <c r="URZ160" s="3060"/>
      <c r="USA160" s="3060"/>
      <c r="USB160" s="3060"/>
      <c r="USC160" s="3060"/>
      <c r="USD160" s="3060"/>
      <c r="USE160" s="3060"/>
      <c r="USF160" s="3060"/>
      <c r="USG160" s="3060"/>
      <c r="USH160" s="3060"/>
      <c r="USI160" s="3060"/>
      <c r="USJ160" s="3060"/>
      <c r="USK160" s="3060"/>
      <c r="USL160" s="3060"/>
      <c r="USM160" s="3060"/>
      <c r="USN160" s="3060"/>
      <c r="USO160" s="3060"/>
      <c r="USP160" s="3060"/>
      <c r="USQ160" s="3060"/>
      <c r="USR160" s="3060"/>
      <c r="USS160" s="3060"/>
      <c r="UST160" s="3060"/>
      <c r="USU160" s="3060"/>
      <c r="USV160" s="3060"/>
      <c r="USW160" s="3060"/>
      <c r="USX160" s="3060"/>
      <c r="USY160" s="3060"/>
      <c r="USZ160" s="3060"/>
      <c r="UTA160" s="3060"/>
      <c r="UTB160" s="3060"/>
      <c r="UTC160" s="3060"/>
      <c r="UTD160" s="3060"/>
      <c r="UTE160" s="3060"/>
      <c r="UTF160" s="3060"/>
      <c r="UTG160" s="3060"/>
      <c r="UTH160" s="3060"/>
      <c r="UTI160" s="3060"/>
      <c r="UTJ160" s="3060"/>
      <c r="UTK160" s="3060"/>
      <c r="UTL160" s="3060"/>
      <c r="UTM160" s="3060"/>
      <c r="UTN160" s="3060"/>
      <c r="UTO160" s="3060"/>
      <c r="UTP160" s="3060"/>
      <c r="UTQ160" s="3060"/>
      <c r="UTR160" s="3060"/>
      <c r="UTS160" s="3060"/>
      <c r="UTT160" s="3060"/>
      <c r="UTU160" s="3060"/>
      <c r="UTV160" s="3060"/>
      <c r="UTW160" s="3060"/>
      <c r="UTX160" s="3060"/>
      <c r="UTY160" s="3060"/>
      <c r="UTZ160" s="3060"/>
      <c r="UUA160" s="3060"/>
      <c r="UUB160" s="3060"/>
      <c r="UUC160" s="3060"/>
      <c r="UUD160" s="3060"/>
      <c r="UUE160" s="3060"/>
      <c r="UUF160" s="3060"/>
      <c r="UUG160" s="3060"/>
      <c r="UUH160" s="3060"/>
      <c r="UUI160" s="3060"/>
      <c r="UUJ160" s="3060"/>
      <c r="UUK160" s="3060"/>
      <c r="UUL160" s="3060"/>
      <c r="UUM160" s="3060"/>
      <c r="UUN160" s="3060"/>
      <c r="UUO160" s="3060"/>
      <c r="UUP160" s="3060"/>
      <c r="UUQ160" s="3060"/>
      <c r="UUR160" s="3060"/>
      <c r="UUS160" s="3060"/>
      <c r="UUT160" s="3060"/>
      <c r="UUU160" s="3060"/>
      <c r="UUV160" s="3060"/>
      <c r="UUW160" s="3060"/>
      <c r="UUX160" s="3060"/>
      <c r="UUY160" s="3060"/>
      <c r="UUZ160" s="3060"/>
      <c r="UVA160" s="3060"/>
      <c r="UVB160" s="3060"/>
      <c r="UVC160" s="3060"/>
      <c r="UVD160" s="3060"/>
      <c r="UVE160" s="3060"/>
      <c r="UVF160" s="3060"/>
      <c r="UVG160" s="3060"/>
      <c r="UVH160" s="3060"/>
      <c r="UVI160" s="3060"/>
      <c r="UVJ160" s="3060"/>
      <c r="UVK160" s="3060"/>
      <c r="UVL160" s="3060"/>
      <c r="UVM160" s="3060"/>
      <c r="UVN160" s="3060"/>
      <c r="UVO160" s="3060"/>
      <c r="UVP160" s="3060"/>
      <c r="UVQ160" s="3060"/>
      <c r="UVR160" s="3060"/>
      <c r="UVS160" s="3060"/>
      <c r="UVT160" s="3060"/>
      <c r="UVU160" s="3060"/>
      <c r="UVV160" s="3060"/>
      <c r="UVW160" s="3060"/>
      <c r="UVX160" s="3060"/>
      <c r="UVY160" s="3060"/>
      <c r="UVZ160" s="3060"/>
      <c r="UWA160" s="3060"/>
      <c r="UWB160" s="3060"/>
      <c r="UWC160" s="3060"/>
      <c r="UWD160" s="3060"/>
      <c r="UWE160" s="3060"/>
      <c r="UWF160" s="3060"/>
      <c r="UWG160" s="3060"/>
      <c r="UWH160" s="3060"/>
      <c r="UWI160" s="3060"/>
      <c r="UWJ160" s="3060"/>
      <c r="UWK160" s="3060"/>
      <c r="UWL160" s="3060"/>
      <c r="UWM160" s="3060"/>
      <c r="UWN160" s="3060"/>
      <c r="UWO160" s="3060"/>
      <c r="UWP160" s="3060"/>
      <c r="UWQ160" s="3060"/>
      <c r="UWR160" s="3060"/>
      <c r="UWS160" s="3060"/>
      <c r="UWT160" s="3060"/>
      <c r="UWU160" s="3060"/>
      <c r="UWV160" s="3060"/>
      <c r="UWW160" s="3060"/>
      <c r="UWX160" s="3060"/>
      <c r="UWY160" s="3060"/>
      <c r="UWZ160" s="3060"/>
      <c r="UXA160" s="3060"/>
      <c r="UXB160" s="3060"/>
      <c r="UXC160" s="3060"/>
      <c r="UXD160" s="3060"/>
      <c r="UXE160" s="3060"/>
      <c r="UXF160" s="3060"/>
      <c r="UXG160" s="3060"/>
      <c r="UXH160" s="3060"/>
      <c r="UXI160" s="3060"/>
      <c r="UXJ160" s="3060"/>
      <c r="UXK160" s="3060"/>
      <c r="UXL160" s="3060"/>
      <c r="UXM160" s="3060"/>
      <c r="UXN160" s="3060"/>
      <c r="UXO160" s="3060"/>
      <c r="UXP160" s="3060"/>
      <c r="UXQ160" s="3060"/>
      <c r="UXR160" s="3060"/>
      <c r="UXS160" s="3060"/>
      <c r="UXT160" s="3060"/>
      <c r="UXU160" s="3060"/>
      <c r="UXV160" s="3060"/>
      <c r="UXW160" s="3060"/>
      <c r="UXX160" s="3060"/>
      <c r="UXY160" s="3060"/>
      <c r="UXZ160" s="3060"/>
      <c r="UYA160" s="3060"/>
      <c r="UYB160" s="3060"/>
      <c r="UYC160" s="3060"/>
      <c r="UYD160" s="3060"/>
      <c r="UYE160" s="3060"/>
      <c r="UYF160" s="3060"/>
      <c r="UYG160" s="3060"/>
      <c r="UYH160" s="3060"/>
      <c r="UYI160" s="3060"/>
      <c r="UYJ160" s="3060"/>
      <c r="UYK160" s="3060"/>
      <c r="UYL160" s="3060"/>
      <c r="UYM160" s="3060"/>
      <c r="UYN160" s="3060"/>
      <c r="UYO160" s="3060"/>
      <c r="UYP160" s="3060"/>
      <c r="UYQ160" s="3060"/>
      <c r="UYR160" s="3060"/>
      <c r="UYS160" s="3060"/>
      <c r="UYT160" s="3060"/>
      <c r="UYU160" s="3060"/>
      <c r="UYV160" s="3060"/>
      <c r="UYW160" s="3060"/>
      <c r="UYX160" s="3060"/>
      <c r="UYY160" s="3060"/>
      <c r="UYZ160" s="3060"/>
      <c r="UZA160" s="3060"/>
      <c r="UZB160" s="3060"/>
      <c r="UZC160" s="3060"/>
      <c r="UZD160" s="3060"/>
      <c r="UZE160" s="3060"/>
      <c r="UZF160" s="3060"/>
      <c r="UZG160" s="3060"/>
      <c r="UZH160" s="3060"/>
      <c r="UZI160" s="3060"/>
      <c r="UZJ160" s="3060"/>
      <c r="UZK160" s="3060"/>
      <c r="UZL160" s="3060"/>
      <c r="UZM160" s="3060"/>
      <c r="UZN160" s="3060"/>
      <c r="UZO160" s="3060"/>
      <c r="UZP160" s="3060"/>
      <c r="UZQ160" s="3060"/>
      <c r="UZR160" s="3060"/>
      <c r="UZS160" s="3060"/>
      <c r="UZT160" s="3060"/>
      <c r="UZU160" s="3060"/>
      <c r="UZV160" s="3060"/>
      <c r="UZW160" s="3060"/>
      <c r="UZX160" s="3060"/>
      <c r="UZY160" s="3060"/>
      <c r="UZZ160" s="3060"/>
      <c r="VAA160" s="3060"/>
      <c r="VAB160" s="3060"/>
      <c r="VAC160" s="3060"/>
      <c r="VAD160" s="3060"/>
      <c r="VAE160" s="3060"/>
      <c r="VAF160" s="3060"/>
      <c r="VAG160" s="3060"/>
      <c r="VAH160" s="3060"/>
      <c r="VAI160" s="3060"/>
      <c r="VAJ160" s="3060"/>
      <c r="VAK160" s="3060"/>
      <c r="VAL160" s="3060"/>
      <c r="VAM160" s="3060"/>
      <c r="VAN160" s="3060"/>
      <c r="VAO160" s="3060"/>
      <c r="VAP160" s="3060"/>
      <c r="VAQ160" s="3060"/>
      <c r="VAR160" s="3060"/>
      <c r="VAS160" s="3060"/>
      <c r="VAT160" s="3060"/>
      <c r="VAU160" s="3060"/>
      <c r="VAV160" s="3060"/>
      <c r="VAW160" s="3060"/>
      <c r="VAX160" s="3060"/>
      <c r="VAY160" s="3060"/>
      <c r="VAZ160" s="3060"/>
      <c r="VBA160" s="3060"/>
      <c r="VBB160" s="3060"/>
      <c r="VBC160" s="3060"/>
      <c r="VBD160" s="3060"/>
      <c r="VBE160" s="3060"/>
      <c r="VBF160" s="3060"/>
      <c r="VBG160" s="3060"/>
      <c r="VBH160" s="3060"/>
      <c r="VBI160" s="3060"/>
      <c r="VBJ160" s="3060"/>
      <c r="VBK160" s="3060"/>
      <c r="VBL160" s="3060"/>
      <c r="VBM160" s="3060"/>
      <c r="VBN160" s="3060"/>
      <c r="VBO160" s="3060"/>
      <c r="VBP160" s="3060"/>
      <c r="VBQ160" s="3060"/>
      <c r="VBR160" s="3060"/>
      <c r="VBS160" s="3060"/>
      <c r="VBT160" s="3060"/>
      <c r="VBU160" s="3060"/>
      <c r="VBV160" s="3060"/>
      <c r="VBW160" s="3060"/>
      <c r="VBX160" s="3060"/>
      <c r="VBY160" s="3060"/>
      <c r="VBZ160" s="3060"/>
      <c r="VCA160" s="3060"/>
      <c r="VCB160" s="3060"/>
      <c r="VCC160" s="3060"/>
      <c r="VCD160" s="3060"/>
      <c r="VCE160" s="3060"/>
      <c r="VCF160" s="3060"/>
      <c r="VCG160" s="3060"/>
      <c r="VCH160" s="3060"/>
      <c r="VCI160" s="3060"/>
      <c r="VCJ160" s="3060"/>
      <c r="VCK160" s="3060"/>
      <c r="VCL160" s="3060"/>
      <c r="VCM160" s="3060"/>
      <c r="VCN160" s="3060"/>
      <c r="VCO160" s="3060"/>
      <c r="VCP160" s="3060"/>
      <c r="VCQ160" s="3060"/>
      <c r="VCR160" s="3060"/>
      <c r="VCS160" s="3060"/>
      <c r="VCT160" s="3060"/>
      <c r="VCU160" s="3060"/>
      <c r="VCV160" s="3060"/>
      <c r="VCW160" s="3060"/>
      <c r="VCX160" s="3060"/>
      <c r="VCY160" s="3060"/>
      <c r="VCZ160" s="3060"/>
      <c r="VDA160" s="3060"/>
      <c r="VDB160" s="3060"/>
      <c r="VDC160" s="3060"/>
      <c r="VDD160" s="3060"/>
      <c r="VDE160" s="3060"/>
      <c r="VDF160" s="3060"/>
      <c r="VDG160" s="3060"/>
      <c r="VDH160" s="3060"/>
      <c r="VDI160" s="3060"/>
      <c r="VDJ160" s="3060"/>
      <c r="VDK160" s="3060"/>
      <c r="VDL160" s="3060"/>
      <c r="VDM160" s="3060"/>
      <c r="VDN160" s="3060"/>
      <c r="VDO160" s="3060"/>
      <c r="VDP160" s="3060"/>
      <c r="VDQ160" s="3060"/>
      <c r="VDR160" s="3060"/>
      <c r="VDS160" s="3060"/>
      <c r="VDT160" s="3060"/>
      <c r="VDU160" s="3060"/>
      <c r="VDV160" s="3060"/>
      <c r="VDW160" s="3060"/>
      <c r="VDX160" s="3060"/>
      <c r="VDY160" s="3060"/>
      <c r="VDZ160" s="3060"/>
      <c r="VEA160" s="3060"/>
      <c r="VEB160" s="3060"/>
      <c r="VEC160" s="3060"/>
      <c r="VED160" s="3060"/>
      <c r="VEE160" s="3060"/>
      <c r="VEF160" s="3060"/>
      <c r="VEG160" s="3060"/>
      <c r="VEH160" s="3060"/>
      <c r="VEI160" s="3060"/>
      <c r="VEJ160" s="3060"/>
      <c r="VEK160" s="3060"/>
      <c r="VEL160" s="3060"/>
      <c r="VEM160" s="3060"/>
      <c r="VEN160" s="3060"/>
      <c r="VEO160" s="3060"/>
      <c r="VEP160" s="3060"/>
      <c r="VEQ160" s="3060"/>
      <c r="VER160" s="3060"/>
      <c r="VES160" s="3060"/>
      <c r="VET160" s="3060"/>
      <c r="VEU160" s="3060"/>
      <c r="VEV160" s="3060"/>
      <c r="VEW160" s="3060"/>
      <c r="VEX160" s="3060"/>
      <c r="VEY160" s="3060"/>
      <c r="VEZ160" s="3060"/>
      <c r="VFA160" s="3060"/>
      <c r="VFB160" s="3060"/>
      <c r="VFC160" s="3060"/>
      <c r="VFD160" s="3060"/>
      <c r="VFE160" s="3060"/>
      <c r="VFF160" s="3060"/>
      <c r="VFG160" s="3060"/>
      <c r="VFH160" s="3060"/>
      <c r="VFI160" s="3060"/>
      <c r="VFJ160" s="3060"/>
      <c r="VFK160" s="3060"/>
      <c r="VFL160" s="3060"/>
      <c r="VFM160" s="3060"/>
      <c r="VFN160" s="3060"/>
      <c r="VFO160" s="3060"/>
      <c r="VFP160" s="3060"/>
      <c r="VFQ160" s="3060"/>
      <c r="VFR160" s="3060"/>
      <c r="VFS160" s="3060"/>
      <c r="VFT160" s="3060"/>
      <c r="VFU160" s="3060"/>
      <c r="VFV160" s="3060"/>
      <c r="VFW160" s="3060"/>
      <c r="VFX160" s="3060"/>
      <c r="VFY160" s="3060"/>
      <c r="VFZ160" s="3060"/>
      <c r="VGA160" s="3060"/>
      <c r="VGB160" s="3060"/>
      <c r="VGC160" s="3060"/>
      <c r="VGD160" s="3060"/>
      <c r="VGE160" s="3060"/>
      <c r="VGF160" s="3060"/>
      <c r="VGG160" s="3060"/>
      <c r="VGH160" s="3060"/>
      <c r="VGI160" s="3060"/>
      <c r="VGJ160" s="3060"/>
      <c r="VGK160" s="3060"/>
      <c r="VGL160" s="3060"/>
      <c r="VGM160" s="3060"/>
      <c r="VGN160" s="3060"/>
      <c r="VGO160" s="3060"/>
      <c r="VGP160" s="3060"/>
      <c r="VGQ160" s="3060"/>
      <c r="VGR160" s="3060"/>
      <c r="VGS160" s="3060"/>
      <c r="VGT160" s="3060"/>
      <c r="VGU160" s="3060"/>
      <c r="VGV160" s="3060"/>
      <c r="VGW160" s="3060"/>
      <c r="VGX160" s="3060"/>
      <c r="VGY160" s="3060"/>
      <c r="VGZ160" s="3060"/>
      <c r="VHA160" s="3060"/>
      <c r="VHB160" s="3060"/>
      <c r="VHC160" s="3060"/>
      <c r="VHD160" s="3060"/>
      <c r="VHE160" s="3060"/>
      <c r="VHF160" s="3060"/>
      <c r="VHG160" s="3060"/>
      <c r="VHH160" s="3060"/>
      <c r="VHI160" s="3060"/>
      <c r="VHJ160" s="3060"/>
      <c r="VHK160" s="3060"/>
      <c r="VHL160" s="3060"/>
      <c r="VHM160" s="3060"/>
      <c r="VHN160" s="3060"/>
      <c r="VHO160" s="3060"/>
      <c r="VHP160" s="3060"/>
      <c r="VHQ160" s="3060"/>
      <c r="VHR160" s="3060"/>
      <c r="VHS160" s="3060"/>
      <c r="VHT160" s="3060"/>
      <c r="VHU160" s="3060"/>
      <c r="VHV160" s="3060"/>
      <c r="VHW160" s="3060"/>
      <c r="VHX160" s="3060"/>
      <c r="VHY160" s="3060"/>
      <c r="VHZ160" s="3060"/>
      <c r="VIA160" s="3060"/>
      <c r="VIB160" s="3060"/>
      <c r="VIC160" s="3060"/>
      <c r="VID160" s="3060"/>
      <c r="VIE160" s="3060"/>
      <c r="VIF160" s="3060"/>
      <c r="VIG160" s="3060"/>
      <c r="VIH160" s="3060"/>
      <c r="VII160" s="3060"/>
      <c r="VIJ160" s="3060"/>
      <c r="VIK160" s="3060"/>
      <c r="VIL160" s="3060"/>
      <c r="VIM160" s="3060"/>
      <c r="VIN160" s="3060"/>
      <c r="VIO160" s="3060"/>
      <c r="VIP160" s="3060"/>
      <c r="VIQ160" s="3060"/>
      <c r="VIR160" s="3060"/>
      <c r="VIS160" s="3060"/>
      <c r="VIT160" s="3060"/>
      <c r="VIU160" s="3060"/>
      <c r="VIV160" s="3060"/>
      <c r="VIW160" s="3060"/>
      <c r="VIX160" s="3060"/>
      <c r="VIY160" s="3060"/>
      <c r="VIZ160" s="3060"/>
      <c r="VJA160" s="3060"/>
      <c r="VJB160" s="3060"/>
      <c r="VJC160" s="3060"/>
      <c r="VJD160" s="3060"/>
      <c r="VJE160" s="3060"/>
      <c r="VJF160" s="3060"/>
      <c r="VJG160" s="3060"/>
      <c r="VJH160" s="3060"/>
      <c r="VJI160" s="3060"/>
      <c r="VJJ160" s="3060"/>
      <c r="VJK160" s="3060"/>
      <c r="VJL160" s="3060"/>
      <c r="VJM160" s="3060"/>
      <c r="VJN160" s="3060"/>
      <c r="VJO160" s="3060"/>
      <c r="VJP160" s="3060"/>
      <c r="VJQ160" s="3060"/>
      <c r="VJR160" s="3060"/>
      <c r="VJS160" s="3060"/>
      <c r="VJT160" s="3060"/>
      <c r="VJU160" s="3060"/>
      <c r="VJV160" s="3060"/>
      <c r="VJW160" s="3060"/>
      <c r="VJX160" s="3060"/>
      <c r="VJY160" s="3060"/>
      <c r="VJZ160" s="3060"/>
      <c r="VKA160" s="3060"/>
      <c r="VKB160" s="3060"/>
      <c r="VKC160" s="3060"/>
      <c r="VKD160" s="3060"/>
      <c r="VKE160" s="3060"/>
      <c r="VKF160" s="3060"/>
      <c r="VKG160" s="3060"/>
      <c r="VKH160" s="3060"/>
      <c r="VKI160" s="3060"/>
      <c r="VKJ160" s="3060"/>
      <c r="VKK160" s="3060"/>
      <c r="VKL160" s="3060"/>
      <c r="VKM160" s="3060"/>
      <c r="VKN160" s="3060"/>
      <c r="VKO160" s="3060"/>
      <c r="VKP160" s="3060"/>
      <c r="VKQ160" s="3060"/>
      <c r="VKR160" s="3060"/>
      <c r="VKS160" s="3060"/>
      <c r="VKT160" s="3060"/>
      <c r="VKU160" s="3060"/>
      <c r="VKV160" s="3060"/>
      <c r="VKW160" s="3060"/>
      <c r="VKX160" s="3060"/>
      <c r="VKY160" s="3060"/>
      <c r="VKZ160" s="3060"/>
      <c r="VLA160" s="3060"/>
      <c r="VLB160" s="3060"/>
      <c r="VLC160" s="3060"/>
      <c r="VLD160" s="3060"/>
      <c r="VLE160" s="3060"/>
      <c r="VLF160" s="3060"/>
      <c r="VLG160" s="3060"/>
      <c r="VLH160" s="3060"/>
      <c r="VLI160" s="3060"/>
      <c r="VLJ160" s="3060"/>
      <c r="VLK160" s="3060"/>
      <c r="VLL160" s="3060"/>
      <c r="VLM160" s="3060"/>
      <c r="VLN160" s="3060"/>
      <c r="VLO160" s="3060"/>
      <c r="VLP160" s="3060"/>
      <c r="VLQ160" s="3060"/>
      <c r="VLR160" s="3060"/>
      <c r="VLS160" s="3060"/>
      <c r="VLT160" s="3060"/>
      <c r="VLU160" s="3060"/>
      <c r="VLV160" s="3060"/>
      <c r="VLW160" s="3060"/>
      <c r="VLX160" s="3060"/>
      <c r="VLY160" s="3060"/>
      <c r="VLZ160" s="3060"/>
      <c r="VMA160" s="3060"/>
      <c r="VMB160" s="3060"/>
      <c r="VMC160" s="3060"/>
      <c r="VMD160" s="3060"/>
      <c r="VME160" s="3060"/>
      <c r="VMF160" s="3060"/>
      <c r="VMG160" s="3060"/>
      <c r="VMH160" s="3060"/>
      <c r="VMI160" s="3060"/>
      <c r="VMJ160" s="3060"/>
      <c r="VMK160" s="3060"/>
      <c r="VML160" s="3060"/>
      <c r="VMM160" s="3060"/>
      <c r="VMN160" s="3060"/>
      <c r="VMO160" s="3060"/>
      <c r="VMP160" s="3060"/>
      <c r="VMQ160" s="3060"/>
      <c r="VMR160" s="3060"/>
      <c r="VMS160" s="3060"/>
      <c r="VMT160" s="3060"/>
      <c r="VMU160" s="3060"/>
      <c r="VMV160" s="3060"/>
      <c r="VMW160" s="3060"/>
      <c r="VMX160" s="3060"/>
      <c r="VMY160" s="3060"/>
      <c r="VMZ160" s="3060"/>
      <c r="VNA160" s="3060"/>
      <c r="VNB160" s="3060"/>
      <c r="VNC160" s="3060"/>
      <c r="VND160" s="3060"/>
      <c r="VNE160" s="3060"/>
      <c r="VNF160" s="3060"/>
      <c r="VNG160" s="3060"/>
      <c r="VNH160" s="3060"/>
      <c r="VNI160" s="3060"/>
      <c r="VNJ160" s="3060"/>
      <c r="VNK160" s="3060"/>
      <c r="VNL160" s="3060"/>
      <c r="VNM160" s="3060"/>
      <c r="VNN160" s="3060"/>
      <c r="VNO160" s="3060"/>
      <c r="VNP160" s="3060"/>
      <c r="VNQ160" s="3060"/>
      <c r="VNR160" s="3060"/>
      <c r="VNS160" s="3060"/>
      <c r="VNT160" s="3060"/>
      <c r="VNU160" s="3060"/>
      <c r="VNV160" s="3060"/>
      <c r="VNW160" s="3060"/>
      <c r="VNX160" s="3060"/>
      <c r="VNY160" s="3060"/>
      <c r="VNZ160" s="3060"/>
      <c r="VOA160" s="3060"/>
      <c r="VOB160" s="3060"/>
      <c r="VOC160" s="3060"/>
      <c r="VOD160" s="3060"/>
      <c r="VOE160" s="3060"/>
      <c r="VOF160" s="3060"/>
      <c r="VOG160" s="3060"/>
      <c r="VOH160" s="3060"/>
      <c r="VOI160" s="3060"/>
      <c r="VOJ160" s="3060"/>
      <c r="VOK160" s="3060"/>
      <c r="VOL160" s="3060"/>
      <c r="VOM160" s="3060"/>
      <c r="VON160" s="3060"/>
      <c r="VOO160" s="3060"/>
      <c r="VOP160" s="3060"/>
      <c r="VOQ160" s="3060"/>
      <c r="VOR160" s="3060"/>
      <c r="VOS160" s="3060"/>
      <c r="VOT160" s="3060"/>
      <c r="VOU160" s="3060"/>
      <c r="VOV160" s="3060"/>
      <c r="VOW160" s="3060"/>
      <c r="VOX160" s="3060"/>
      <c r="VOY160" s="3060"/>
      <c r="VOZ160" s="3060"/>
      <c r="VPA160" s="3060"/>
      <c r="VPB160" s="3060"/>
      <c r="VPC160" s="3060"/>
      <c r="VPD160" s="3060"/>
      <c r="VPE160" s="3060"/>
      <c r="VPF160" s="3060"/>
      <c r="VPG160" s="3060"/>
      <c r="VPH160" s="3060"/>
      <c r="VPI160" s="3060"/>
      <c r="VPJ160" s="3060"/>
      <c r="VPK160" s="3060"/>
      <c r="VPL160" s="3060"/>
      <c r="VPM160" s="3060"/>
      <c r="VPN160" s="3060"/>
      <c r="VPO160" s="3060"/>
      <c r="VPP160" s="3060"/>
      <c r="VPQ160" s="3060"/>
      <c r="VPR160" s="3060"/>
      <c r="VPS160" s="3060"/>
      <c r="VPT160" s="3060"/>
      <c r="VPU160" s="3060"/>
      <c r="VPV160" s="3060"/>
      <c r="VPW160" s="3060"/>
      <c r="VPX160" s="3060"/>
      <c r="VPY160" s="3060"/>
      <c r="VPZ160" s="3060"/>
      <c r="VQA160" s="3060"/>
      <c r="VQB160" s="3060"/>
      <c r="VQC160" s="3060"/>
      <c r="VQD160" s="3060"/>
      <c r="VQE160" s="3060"/>
      <c r="VQF160" s="3060"/>
      <c r="VQG160" s="3060"/>
      <c r="VQH160" s="3060"/>
      <c r="VQI160" s="3060"/>
      <c r="VQJ160" s="3060"/>
      <c r="VQK160" s="3060"/>
      <c r="VQL160" s="3060"/>
      <c r="VQM160" s="3060"/>
      <c r="VQN160" s="3060"/>
      <c r="VQO160" s="3060"/>
      <c r="VQP160" s="3060"/>
      <c r="VQQ160" s="3060"/>
      <c r="VQR160" s="3060"/>
      <c r="VQS160" s="3060"/>
      <c r="VQT160" s="3060"/>
      <c r="VQU160" s="3060"/>
      <c r="VQV160" s="3060"/>
      <c r="VQW160" s="3060"/>
      <c r="VQX160" s="3060"/>
      <c r="VQY160" s="3060"/>
      <c r="VQZ160" s="3060"/>
      <c r="VRA160" s="3060"/>
      <c r="VRB160" s="3060"/>
      <c r="VRC160" s="3060"/>
      <c r="VRD160" s="3060"/>
      <c r="VRE160" s="3060"/>
      <c r="VRF160" s="3060"/>
      <c r="VRG160" s="3060"/>
      <c r="VRH160" s="3060"/>
      <c r="VRI160" s="3060"/>
      <c r="VRJ160" s="3060"/>
      <c r="VRK160" s="3060"/>
      <c r="VRL160" s="3060"/>
      <c r="VRM160" s="3060"/>
      <c r="VRN160" s="3060"/>
      <c r="VRO160" s="3060"/>
      <c r="VRP160" s="3060"/>
      <c r="VRQ160" s="3060"/>
      <c r="VRR160" s="3060"/>
      <c r="VRS160" s="3060"/>
      <c r="VRT160" s="3060"/>
      <c r="VRU160" s="3060"/>
      <c r="VRV160" s="3060"/>
      <c r="VRW160" s="3060"/>
      <c r="VRX160" s="3060"/>
      <c r="VRY160" s="3060"/>
      <c r="VRZ160" s="3060"/>
      <c r="VSA160" s="3060"/>
      <c r="VSB160" s="3060"/>
      <c r="VSC160" s="3060"/>
      <c r="VSD160" s="3060"/>
      <c r="VSE160" s="3060"/>
      <c r="VSF160" s="3060"/>
      <c r="VSG160" s="3060"/>
      <c r="VSH160" s="3060"/>
      <c r="VSI160" s="3060"/>
      <c r="VSJ160" s="3060"/>
      <c r="VSK160" s="3060"/>
      <c r="VSL160" s="3060"/>
      <c r="VSM160" s="3060"/>
      <c r="VSN160" s="3060"/>
      <c r="VSO160" s="3060"/>
      <c r="VSP160" s="3060"/>
      <c r="VSQ160" s="3060"/>
      <c r="VSR160" s="3060"/>
      <c r="VSS160" s="3060"/>
      <c r="VST160" s="3060"/>
      <c r="VSU160" s="3060"/>
      <c r="VSV160" s="3060"/>
      <c r="VSW160" s="3060"/>
      <c r="VSX160" s="3060"/>
      <c r="VSY160" s="3060"/>
      <c r="VSZ160" s="3060"/>
      <c r="VTA160" s="3060"/>
      <c r="VTB160" s="3060"/>
      <c r="VTC160" s="3060"/>
      <c r="VTD160" s="3060"/>
      <c r="VTE160" s="3060"/>
      <c r="VTF160" s="3060"/>
      <c r="VTG160" s="3060"/>
      <c r="VTH160" s="3060"/>
      <c r="VTI160" s="3060"/>
      <c r="VTJ160" s="3060"/>
      <c r="VTK160" s="3060"/>
      <c r="VTL160" s="3060"/>
      <c r="VTM160" s="3060"/>
      <c r="VTN160" s="3060"/>
      <c r="VTO160" s="3060"/>
      <c r="VTP160" s="3060"/>
      <c r="VTQ160" s="3060"/>
      <c r="VTR160" s="3060"/>
      <c r="VTS160" s="3060"/>
      <c r="VTT160" s="3060"/>
      <c r="VTU160" s="3060"/>
      <c r="VTV160" s="3060"/>
      <c r="VTW160" s="3060"/>
      <c r="VTX160" s="3060"/>
      <c r="VTY160" s="3060"/>
      <c r="VTZ160" s="3060"/>
      <c r="VUA160" s="3060"/>
      <c r="VUB160" s="3060"/>
      <c r="VUC160" s="3060"/>
      <c r="VUD160" s="3060"/>
      <c r="VUE160" s="3060"/>
      <c r="VUF160" s="3060"/>
      <c r="VUG160" s="3060"/>
      <c r="VUH160" s="3060"/>
      <c r="VUI160" s="3060"/>
      <c r="VUJ160" s="3060"/>
      <c r="VUK160" s="3060"/>
      <c r="VUL160" s="3060"/>
      <c r="VUM160" s="3060"/>
      <c r="VUN160" s="3060"/>
      <c r="VUO160" s="3060"/>
      <c r="VUP160" s="3060"/>
      <c r="VUQ160" s="3060"/>
      <c r="VUR160" s="3060"/>
      <c r="VUS160" s="3060"/>
      <c r="VUT160" s="3060"/>
      <c r="VUU160" s="3060"/>
      <c r="VUV160" s="3060"/>
      <c r="VUW160" s="3060"/>
      <c r="VUX160" s="3060"/>
      <c r="VUY160" s="3060"/>
      <c r="VUZ160" s="3060"/>
      <c r="VVA160" s="3060"/>
      <c r="VVB160" s="3060"/>
      <c r="VVC160" s="3060"/>
      <c r="VVD160" s="3060"/>
      <c r="VVE160" s="3060"/>
      <c r="VVF160" s="3060"/>
      <c r="VVG160" s="3060"/>
      <c r="VVH160" s="3060"/>
      <c r="VVI160" s="3060"/>
      <c r="VVJ160" s="3060"/>
      <c r="VVK160" s="3060"/>
      <c r="VVL160" s="3060"/>
      <c r="VVM160" s="3060"/>
      <c r="VVN160" s="3060"/>
      <c r="VVO160" s="3060"/>
      <c r="VVP160" s="3060"/>
      <c r="VVQ160" s="3060"/>
      <c r="VVR160" s="3060"/>
      <c r="VVS160" s="3060"/>
      <c r="VVT160" s="3060"/>
      <c r="VVU160" s="3060"/>
      <c r="VVV160" s="3060"/>
      <c r="VVW160" s="3060"/>
      <c r="VVX160" s="3060"/>
      <c r="VVY160" s="3060"/>
      <c r="VVZ160" s="3060"/>
      <c r="VWA160" s="3060"/>
      <c r="VWB160" s="3060"/>
      <c r="VWC160" s="3060"/>
      <c r="VWD160" s="3060"/>
      <c r="VWE160" s="3060"/>
      <c r="VWF160" s="3060"/>
      <c r="VWG160" s="3060"/>
      <c r="VWH160" s="3060"/>
      <c r="VWI160" s="3060"/>
      <c r="VWJ160" s="3060"/>
      <c r="VWK160" s="3060"/>
      <c r="VWL160" s="3060"/>
      <c r="VWM160" s="3060"/>
      <c r="VWN160" s="3060"/>
      <c r="VWO160" s="3060"/>
      <c r="VWP160" s="3060"/>
      <c r="VWQ160" s="3060"/>
      <c r="VWR160" s="3060"/>
      <c r="VWS160" s="3060"/>
      <c r="VWT160" s="3060"/>
      <c r="VWU160" s="3060"/>
      <c r="VWV160" s="3060"/>
      <c r="VWW160" s="3060"/>
      <c r="VWX160" s="3060"/>
      <c r="VWY160" s="3060"/>
      <c r="VWZ160" s="3060"/>
      <c r="VXA160" s="3060"/>
      <c r="VXB160" s="3060"/>
      <c r="VXC160" s="3060"/>
      <c r="VXD160" s="3060"/>
      <c r="VXE160" s="3060"/>
      <c r="VXF160" s="3060"/>
      <c r="VXG160" s="3060"/>
      <c r="VXH160" s="3060"/>
      <c r="VXI160" s="3060"/>
      <c r="VXJ160" s="3060"/>
      <c r="VXK160" s="3060"/>
      <c r="VXL160" s="3060"/>
      <c r="VXM160" s="3060"/>
      <c r="VXN160" s="3060"/>
      <c r="VXO160" s="3060"/>
      <c r="VXP160" s="3060"/>
      <c r="VXQ160" s="3060"/>
      <c r="VXR160" s="3060"/>
      <c r="VXS160" s="3060"/>
      <c r="VXT160" s="3060"/>
      <c r="VXU160" s="3060"/>
      <c r="VXV160" s="3060"/>
      <c r="VXW160" s="3060"/>
      <c r="VXX160" s="3060"/>
      <c r="VXY160" s="3060"/>
      <c r="VXZ160" s="3060"/>
      <c r="VYA160" s="3060"/>
      <c r="VYB160" s="3060"/>
      <c r="VYC160" s="3060"/>
      <c r="VYD160" s="3060"/>
      <c r="VYE160" s="3060"/>
      <c r="VYF160" s="3060"/>
      <c r="VYG160" s="3060"/>
      <c r="VYH160" s="3060"/>
      <c r="VYI160" s="3060"/>
      <c r="VYJ160" s="3060"/>
      <c r="VYK160" s="3060"/>
      <c r="VYL160" s="3060"/>
      <c r="VYM160" s="3060"/>
      <c r="VYN160" s="3060"/>
      <c r="VYO160" s="3060"/>
      <c r="VYP160" s="3060"/>
      <c r="VYQ160" s="3060"/>
      <c r="VYR160" s="3060"/>
      <c r="VYS160" s="3060"/>
      <c r="VYT160" s="3060"/>
      <c r="VYU160" s="3060"/>
      <c r="VYV160" s="3060"/>
      <c r="VYW160" s="3060"/>
      <c r="VYX160" s="3060"/>
      <c r="VYY160" s="3060"/>
      <c r="VYZ160" s="3060"/>
      <c r="VZA160" s="3060"/>
      <c r="VZB160" s="3060"/>
      <c r="VZC160" s="3060"/>
      <c r="VZD160" s="3060"/>
      <c r="VZE160" s="3060"/>
      <c r="VZF160" s="3060"/>
      <c r="VZG160" s="3060"/>
      <c r="VZH160" s="3060"/>
      <c r="VZI160" s="3060"/>
      <c r="VZJ160" s="3060"/>
      <c r="VZK160" s="3060"/>
      <c r="VZL160" s="3060"/>
      <c r="VZM160" s="3060"/>
      <c r="VZN160" s="3060"/>
      <c r="VZO160" s="3060"/>
      <c r="VZP160" s="3060"/>
      <c r="VZQ160" s="3060"/>
      <c r="VZR160" s="3060"/>
      <c r="VZS160" s="3060"/>
      <c r="VZT160" s="3060"/>
      <c r="VZU160" s="3060"/>
      <c r="VZV160" s="3060"/>
      <c r="VZW160" s="3060"/>
      <c r="VZX160" s="3060"/>
      <c r="VZY160" s="3060"/>
      <c r="VZZ160" s="3060"/>
      <c r="WAA160" s="3060"/>
      <c r="WAB160" s="3060"/>
      <c r="WAC160" s="3060"/>
      <c r="WAD160" s="3060"/>
      <c r="WAE160" s="3060"/>
      <c r="WAF160" s="3060"/>
      <c r="WAG160" s="3060"/>
      <c r="WAH160" s="3060"/>
      <c r="WAI160" s="3060"/>
      <c r="WAJ160" s="3060"/>
      <c r="WAK160" s="3060"/>
      <c r="WAL160" s="3060"/>
      <c r="WAM160" s="3060"/>
      <c r="WAN160" s="3060"/>
      <c r="WAO160" s="3060"/>
      <c r="WAP160" s="3060"/>
      <c r="WAQ160" s="3060"/>
      <c r="WAR160" s="3060"/>
      <c r="WAS160" s="3060"/>
      <c r="WAT160" s="3060"/>
      <c r="WAU160" s="3060"/>
      <c r="WAV160" s="3060"/>
      <c r="WAW160" s="3060"/>
      <c r="WAX160" s="3060"/>
      <c r="WAY160" s="3060"/>
      <c r="WAZ160" s="3060"/>
      <c r="WBA160" s="3060"/>
      <c r="WBB160" s="3060"/>
      <c r="WBC160" s="3060"/>
      <c r="WBD160" s="3060"/>
      <c r="WBE160" s="3060"/>
      <c r="WBF160" s="3060"/>
      <c r="WBG160" s="3060"/>
      <c r="WBH160" s="3060"/>
      <c r="WBI160" s="3060"/>
      <c r="WBJ160" s="3060"/>
      <c r="WBK160" s="3060"/>
      <c r="WBL160" s="3060"/>
      <c r="WBM160" s="3060"/>
      <c r="WBN160" s="3060"/>
      <c r="WBO160" s="3060"/>
      <c r="WBP160" s="3060"/>
      <c r="WBQ160" s="3060"/>
      <c r="WBR160" s="3060"/>
      <c r="WBS160" s="3060"/>
      <c r="WBT160" s="3060"/>
      <c r="WBU160" s="3060"/>
      <c r="WBV160" s="3060"/>
      <c r="WBW160" s="3060"/>
      <c r="WBX160" s="3060"/>
      <c r="WBY160" s="3060"/>
      <c r="WBZ160" s="3060"/>
      <c r="WCA160" s="3060"/>
      <c r="WCB160" s="3060"/>
      <c r="WCC160" s="3060"/>
      <c r="WCD160" s="3060"/>
      <c r="WCE160" s="3060"/>
      <c r="WCF160" s="3060"/>
      <c r="WCG160" s="3060"/>
      <c r="WCH160" s="3060"/>
      <c r="WCI160" s="3060"/>
      <c r="WCJ160" s="3060"/>
      <c r="WCK160" s="3060"/>
      <c r="WCL160" s="3060"/>
      <c r="WCM160" s="3060"/>
      <c r="WCN160" s="3060"/>
      <c r="WCO160" s="3060"/>
      <c r="WCP160" s="3060"/>
      <c r="WCQ160" s="3060"/>
      <c r="WCR160" s="3060"/>
      <c r="WCS160" s="3060"/>
      <c r="WCT160" s="3060"/>
      <c r="WCU160" s="3060"/>
      <c r="WCV160" s="3060"/>
      <c r="WCW160" s="3060"/>
      <c r="WCX160" s="3060"/>
      <c r="WCY160" s="3060"/>
      <c r="WCZ160" s="3060"/>
      <c r="WDA160" s="3060"/>
      <c r="WDB160" s="3060"/>
      <c r="WDC160" s="3060"/>
      <c r="WDD160" s="3060"/>
      <c r="WDE160" s="3060"/>
      <c r="WDF160" s="3060"/>
      <c r="WDG160" s="3060"/>
      <c r="WDH160" s="3060"/>
      <c r="WDI160" s="3060"/>
      <c r="WDJ160" s="3060"/>
      <c r="WDK160" s="3060"/>
      <c r="WDL160" s="3060"/>
      <c r="WDM160" s="3060"/>
      <c r="WDN160" s="3060"/>
      <c r="WDO160" s="3060"/>
      <c r="WDP160" s="3060"/>
      <c r="WDQ160" s="3060"/>
      <c r="WDR160" s="3060"/>
      <c r="WDS160" s="3060"/>
      <c r="WDT160" s="3060"/>
      <c r="WDU160" s="3060"/>
      <c r="WDV160" s="3060"/>
      <c r="WDW160" s="3060"/>
      <c r="WDX160" s="3060"/>
      <c r="WDY160" s="3060"/>
      <c r="WDZ160" s="3060"/>
      <c r="WEA160" s="3060"/>
      <c r="WEB160" s="3060"/>
      <c r="WEC160" s="3060"/>
      <c r="WED160" s="3060"/>
      <c r="WEE160" s="3060"/>
      <c r="WEF160" s="3060"/>
      <c r="WEG160" s="3060"/>
      <c r="WEH160" s="3060"/>
      <c r="WEI160" s="3060"/>
      <c r="WEJ160" s="3060"/>
      <c r="WEK160" s="3060"/>
      <c r="WEL160" s="3060"/>
      <c r="WEM160" s="3060"/>
      <c r="WEN160" s="3060"/>
      <c r="WEO160" s="3060"/>
      <c r="WEP160" s="3060"/>
      <c r="WEQ160" s="3060"/>
      <c r="WER160" s="3060"/>
      <c r="WES160" s="3060"/>
      <c r="WET160" s="3060"/>
      <c r="WEU160" s="3060"/>
      <c r="WEV160" s="3060"/>
      <c r="WEW160" s="3060"/>
      <c r="WEX160" s="3060"/>
      <c r="WEY160" s="3060"/>
      <c r="WEZ160" s="3060"/>
      <c r="WFA160" s="3060"/>
      <c r="WFB160" s="3060"/>
      <c r="WFC160" s="3060"/>
      <c r="WFD160" s="3060"/>
      <c r="WFE160" s="3060"/>
      <c r="WFF160" s="3060"/>
      <c r="WFG160" s="3060"/>
      <c r="WFH160" s="3060"/>
      <c r="WFI160" s="3060"/>
      <c r="WFJ160" s="3060"/>
      <c r="WFK160" s="3060"/>
      <c r="WFL160" s="3060"/>
      <c r="WFM160" s="3060"/>
      <c r="WFN160" s="3060"/>
      <c r="WFO160" s="3060"/>
      <c r="WFP160" s="3060"/>
      <c r="WFQ160" s="3060"/>
      <c r="WFR160" s="3060"/>
      <c r="WFS160" s="3060"/>
      <c r="WFT160" s="3060"/>
      <c r="WFU160" s="3060"/>
      <c r="WFV160" s="3060"/>
      <c r="WFW160" s="3060"/>
      <c r="WFX160" s="3060"/>
      <c r="WFY160" s="3060"/>
      <c r="WFZ160" s="3060"/>
      <c r="WGA160" s="3060"/>
      <c r="WGB160" s="3060"/>
      <c r="WGC160" s="3060"/>
      <c r="WGD160" s="3060"/>
      <c r="WGE160" s="3060"/>
      <c r="WGF160" s="3060"/>
      <c r="WGG160" s="3060"/>
      <c r="WGH160" s="3060"/>
      <c r="WGI160" s="3060"/>
      <c r="WGJ160" s="3060"/>
      <c r="WGK160" s="3060"/>
      <c r="WGL160" s="3060"/>
      <c r="WGM160" s="3060"/>
      <c r="WGN160" s="3060"/>
      <c r="WGO160" s="3060"/>
      <c r="WGP160" s="3060"/>
      <c r="WGQ160" s="3060"/>
      <c r="WGR160" s="3060"/>
      <c r="WGS160" s="3060"/>
      <c r="WGT160" s="3060"/>
      <c r="WGU160" s="3060"/>
      <c r="WGV160" s="3060"/>
      <c r="WGW160" s="3060"/>
      <c r="WGX160" s="3060"/>
      <c r="WGY160" s="3060"/>
      <c r="WGZ160" s="3060"/>
      <c r="WHA160" s="3060"/>
      <c r="WHB160" s="3060"/>
      <c r="WHC160" s="3060"/>
      <c r="WHD160" s="3060"/>
      <c r="WHE160" s="3060"/>
      <c r="WHF160" s="3060"/>
      <c r="WHG160" s="3060"/>
      <c r="WHH160" s="3060"/>
      <c r="WHI160" s="3060"/>
      <c r="WHJ160" s="3060"/>
      <c r="WHK160" s="3060"/>
      <c r="WHL160" s="3060"/>
      <c r="WHM160" s="3060"/>
      <c r="WHN160" s="3060"/>
      <c r="WHO160" s="3060"/>
      <c r="WHP160" s="3060"/>
      <c r="WHQ160" s="3060"/>
      <c r="WHR160" s="3060"/>
      <c r="WHS160" s="3060"/>
      <c r="WHT160" s="3060"/>
      <c r="WHU160" s="3060"/>
      <c r="WHV160" s="3060"/>
      <c r="WHW160" s="3060"/>
      <c r="WHX160" s="3060"/>
      <c r="WHY160" s="3060"/>
      <c r="WHZ160" s="3060"/>
      <c r="WIA160" s="3060"/>
      <c r="WIB160" s="3060"/>
      <c r="WIC160" s="3060"/>
      <c r="WID160" s="3060"/>
      <c r="WIE160" s="3060"/>
      <c r="WIF160" s="3060"/>
      <c r="WIG160" s="3060"/>
      <c r="WIH160" s="3060"/>
      <c r="WII160" s="3060"/>
      <c r="WIJ160" s="3060"/>
      <c r="WIK160" s="3060"/>
      <c r="WIL160" s="3060"/>
      <c r="WIM160" s="3060"/>
      <c r="WIN160" s="3060"/>
      <c r="WIO160" s="3060"/>
      <c r="WIP160" s="3060"/>
      <c r="WIQ160" s="3060"/>
      <c r="WIR160" s="3060"/>
      <c r="WIS160" s="3060"/>
      <c r="WIT160" s="3060"/>
      <c r="WIU160" s="3060"/>
      <c r="WIV160" s="3060"/>
      <c r="WIW160" s="3060"/>
      <c r="WIX160" s="3060"/>
      <c r="WIY160" s="3060"/>
      <c r="WIZ160" s="3060"/>
      <c r="WJA160" s="3060"/>
      <c r="WJB160" s="3060"/>
      <c r="WJC160" s="3060"/>
      <c r="WJD160" s="3060"/>
      <c r="WJE160" s="3060"/>
      <c r="WJF160" s="3060"/>
      <c r="WJG160" s="3060"/>
      <c r="WJH160" s="3060"/>
      <c r="WJI160" s="3060"/>
      <c r="WJJ160" s="3060"/>
      <c r="WJK160" s="3060"/>
      <c r="WJL160" s="3060"/>
      <c r="WJM160" s="3060"/>
      <c r="WJN160" s="3060"/>
      <c r="WJO160" s="3060"/>
      <c r="WJP160" s="3060"/>
      <c r="WJQ160" s="3060"/>
      <c r="WJR160" s="3060"/>
      <c r="WJS160" s="3060"/>
      <c r="WJT160" s="3060"/>
      <c r="WJU160" s="3060"/>
      <c r="WJV160" s="3060"/>
      <c r="WJW160" s="3060"/>
      <c r="WJX160" s="3060"/>
      <c r="WJY160" s="3060"/>
      <c r="WJZ160" s="3060"/>
      <c r="WKA160" s="3060"/>
      <c r="WKB160" s="3060"/>
      <c r="WKC160" s="3060"/>
      <c r="WKD160" s="3060"/>
      <c r="WKE160" s="3060"/>
      <c r="WKF160" s="3060"/>
      <c r="WKG160" s="3060"/>
      <c r="WKH160" s="3060"/>
      <c r="WKI160" s="3060"/>
      <c r="WKJ160" s="3060"/>
      <c r="WKK160" s="3060"/>
      <c r="WKL160" s="3060"/>
      <c r="WKM160" s="3060"/>
      <c r="WKN160" s="3060"/>
      <c r="WKO160" s="3060"/>
      <c r="WKP160" s="3060"/>
      <c r="WKQ160" s="3060"/>
      <c r="WKR160" s="3060"/>
      <c r="WKS160" s="3060"/>
      <c r="WKT160" s="3060"/>
      <c r="WKU160" s="3060"/>
      <c r="WKV160" s="3060"/>
      <c r="WKW160" s="3060"/>
      <c r="WKX160" s="3060"/>
      <c r="WKY160" s="3060"/>
      <c r="WKZ160" s="3060"/>
      <c r="WLA160" s="3060"/>
      <c r="WLB160" s="3060"/>
      <c r="WLC160" s="3060"/>
      <c r="WLD160" s="3060"/>
      <c r="WLE160" s="3060"/>
      <c r="WLF160" s="3060"/>
      <c r="WLG160" s="3060"/>
      <c r="WLH160" s="3060"/>
      <c r="WLI160" s="3060"/>
      <c r="WLJ160" s="3060"/>
      <c r="WLK160" s="3060"/>
      <c r="WLL160" s="3060"/>
      <c r="WLM160" s="3060"/>
      <c r="WLN160" s="3060"/>
      <c r="WLO160" s="3060"/>
      <c r="WLP160" s="3060"/>
      <c r="WLQ160" s="3060"/>
      <c r="WLR160" s="3060"/>
      <c r="WLS160" s="3060"/>
      <c r="WLT160" s="3060"/>
      <c r="WLU160" s="3060"/>
      <c r="WLV160" s="3060"/>
      <c r="WLW160" s="3060"/>
      <c r="WLX160" s="3060"/>
      <c r="WLY160" s="3060"/>
      <c r="WLZ160" s="3060"/>
      <c r="WMA160" s="3060"/>
      <c r="WMB160" s="3060"/>
      <c r="WMC160" s="3060"/>
      <c r="WMD160" s="3060"/>
      <c r="WME160" s="3060"/>
      <c r="WMF160" s="3060"/>
      <c r="WMG160" s="3060"/>
      <c r="WMH160" s="3060"/>
      <c r="WMI160" s="3060"/>
      <c r="WMJ160" s="3060"/>
      <c r="WMK160" s="3060"/>
      <c r="WML160" s="3060"/>
      <c r="WMM160" s="3060"/>
      <c r="WMN160" s="3060"/>
      <c r="WMO160" s="3060"/>
      <c r="WMP160" s="3060"/>
      <c r="WMQ160" s="3060"/>
      <c r="WMR160" s="3060"/>
      <c r="WMS160" s="3060"/>
      <c r="WMT160" s="3060"/>
      <c r="WMU160" s="3060"/>
      <c r="WMV160" s="3060"/>
      <c r="WMW160" s="3060"/>
      <c r="WMX160" s="3060"/>
      <c r="WMY160" s="3060"/>
      <c r="WMZ160" s="3060"/>
      <c r="WNA160" s="3060"/>
      <c r="WNB160" s="3060"/>
      <c r="WNC160" s="3060"/>
      <c r="WND160" s="3060"/>
      <c r="WNE160" s="3060"/>
      <c r="WNF160" s="3060"/>
      <c r="WNG160" s="3060"/>
      <c r="WNH160" s="3060"/>
      <c r="WNI160" s="3060"/>
      <c r="WNJ160" s="3060"/>
      <c r="WNK160" s="3060"/>
      <c r="WNL160" s="3060"/>
      <c r="WNM160" s="3060"/>
      <c r="WNN160" s="3060"/>
      <c r="WNO160" s="3060"/>
      <c r="WNP160" s="3060"/>
      <c r="WNQ160" s="3060"/>
      <c r="WNR160" s="3060"/>
      <c r="WNS160" s="3060"/>
      <c r="WNT160" s="3060"/>
      <c r="WNU160" s="3060"/>
      <c r="WNV160" s="3060"/>
      <c r="WNW160" s="3060"/>
      <c r="WNX160" s="3060"/>
      <c r="WNY160" s="3060"/>
      <c r="WNZ160" s="3060"/>
      <c r="WOA160" s="3060"/>
      <c r="WOB160" s="3060"/>
      <c r="WOC160" s="3060"/>
      <c r="WOD160" s="3060"/>
      <c r="WOE160" s="3060"/>
      <c r="WOF160" s="3060"/>
      <c r="WOG160" s="3060"/>
      <c r="WOH160" s="3060"/>
      <c r="WOI160" s="3060"/>
      <c r="WOJ160" s="3060"/>
      <c r="WOK160" s="3060"/>
      <c r="WOL160" s="3060"/>
      <c r="WOM160" s="3060"/>
      <c r="WON160" s="3060"/>
      <c r="WOO160" s="3060"/>
      <c r="WOP160" s="3060"/>
      <c r="WOQ160" s="3060"/>
      <c r="WOR160" s="3060"/>
      <c r="WOS160" s="3060"/>
      <c r="WOT160" s="3060"/>
      <c r="WOU160" s="3060"/>
      <c r="WOV160" s="3060"/>
      <c r="WOW160" s="3060"/>
      <c r="WOX160" s="3060"/>
      <c r="WOY160" s="3060"/>
      <c r="WOZ160" s="3060"/>
      <c r="WPA160" s="3060"/>
      <c r="WPB160" s="3060"/>
      <c r="WPC160" s="3060"/>
      <c r="WPD160" s="3060"/>
      <c r="WPE160" s="3060"/>
      <c r="WPF160" s="3060"/>
      <c r="WPG160" s="3060"/>
      <c r="WPH160" s="3060"/>
      <c r="WPI160" s="3060"/>
      <c r="WPJ160" s="3060"/>
      <c r="WPK160" s="3060"/>
      <c r="WPL160" s="3060"/>
      <c r="WPM160" s="3060"/>
      <c r="WPN160" s="3060"/>
      <c r="WPO160" s="3060"/>
      <c r="WPP160" s="3060"/>
      <c r="WPQ160" s="3060"/>
      <c r="WPR160" s="3060"/>
      <c r="WPS160" s="3060"/>
      <c r="WPT160" s="3060"/>
      <c r="WPU160" s="3060"/>
      <c r="WPV160" s="3060"/>
      <c r="WPW160" s="3060"/>
      <c r="WPX160" s="3060"/>
      <c r="WPY160" s="3060"/>
      <c r="WPZ160" s="3060"/>
      <c r="WQA160" s="3060"/>
      <c r="WQB160" s="3060"/>
      <c r="WQC160" s="3060"/>
      <c r="WQD160" s="3060"/>
      <c r="WQE160" s="3060"/>
      <c r="WQF160" s="3060"/>
      <c r="WQG160" s="3060"/>
      <c r="WQH160" s="3060"/>
      <c r="WQI160" s="3060"/>
      <c r="WQJ160" s="3060"/>
      <c r="WQK160" s="3060"/>
      <c r="WQL160" s="3060"/>
      <c r="WQM160" s="3060"/>
      <c r="WQN160" s="3060"/>
      <c r="WQO160" s="3060"/>
      <c r="WQP160" s="3060"/>
      <c r="WQQ160" s="3060"/>
      <c r="WQR160" s="3060"/>
      <c r="WQS160" s="3060"/>
      <c r="WQT160" s="3060"/>
      <c r="WQU160" s="3060"/>
      <c r="WQV160" s="3060"/>
      <c r="WQW160" s="3060"/>
      <c r="WQX160" s="3060"/>
      <c r="WQY160" s="3060"/>
      <c r="WQZ160" s="3060"/>
      <c r="WRA160" s="3060"/>
      <c r="WRB160" s="3060"/>
      <c r="WRC160" s="3060"/>
      <c r="WRD160" s="3060"/>
      <c r="WRE160" s="3060"/>
      <c r="WRF160" s="3060"/>
      <c r="WRG160" s="3060"/>
      <c r="WRH160" s="3060"/>
      <c r="WRI160" s="3060"/>
      <c r="WRJ160" s="3060"/>
      <c r="WRK160" s="3060"/>
      <c r="WRL160" s="3060"/>
      <c r="WRM160" s="3060"/>
      <c r="WRN160" s="3060"/>
      <c r="WRO160" s="3060"/>
      <c r="WRP160" s="3060"/>
      <c r="WRQ160" s="3060"/>
      <c r="WRR160" s="3060"/>
      <c r="WRS160" s="3060"/>
      <c r="WRT160" s="3060"/>
      <c r="WRU160" s="3060"/>
      <c r="WRV160" s="3060"/>
      <c r="WRW160" s="3060"/>
      <c r="WRX160" s="3060"/>
      <c r="WRY160" s="3060"/>
      <c r="WRZ160" s="3060"/>
      <c r="WSA160" s="3060"/>
      <c r="WSB160" s="3060"/>
      <c r="WSC160" s="3060"/>
      <c r="WSD160" s="3060"/>
      <c r="WSE160" s="3060"/>
      <c r="WSF160" s="3060"/>
      <c r="WSG160" s="3060"/>
      <c r="WSH160" s="3060"/>
      <c r="WSI160" s="3060"/>
      <c r="WSJ160" s="3060"/>
      <c r="WSK160" s="3060"/>
      <c r="WSL160" s="3060"/>
      <c r="WSM160" s="3060"/>
      <c r="WSN160" s="3060"/>
      <c r="WSO160" s="3060"/>
      <c r="WSP160" s="3060"/>
      <c r="WSQ160" s="3060"/>
      <c r="WSR160" s="3060"/>
      <c r="WSS160" s="3060"/>
      <c r="WST160" s="3060"/>
      <c r="WSU160" s="3060"/>
      <c r="WSV160" s="3060"/>
      <c r="WSW160" s="3060"/>
      <c r="WSX160" s="3060"/>
      <c r="WSY160" s="3060"/>
      <c r="WSZ160" s="3060"/>
      <c r="WTA160" s="3060"/>
      <c r="WTB160" s="3060"/>
      <c r="WTC160" s="3060"/>
      <c r="WTD160" s="3060"/>
      <c r="WTE160" s="3060"/>
      <c r="WTF160" s="3060"/>
      <c r="WTG160" s="3060"/>
      <c r="WTH160" s="3060"/>
      <c r="WTI160" s="3060"/>
      <c r="WTJ160" s="3060"/>
      <c r="WTK160" s="3060"/>
      <c r="WTL160" s="3060"/>
      <c r="WTM160" s="3060"/>
      <c r="WTN160" s="3060"/>
      <c r="WTO160" s="3060"/>
      <c r="WTP160" s="3060"/>
      <c r="WTQ160" s="3060"/>
      <c r="WTR160" s="3060"/>
      <c r="WTS160" s="3060"/>
      <c r="WTT160" s="3060"/>
      <c r="WTU160" s="3060"/>
      <c r="WTV160" s="3060"/>
      <c r="WTW160" s="3060"/>
      <c r="WTX160" s="3060"/>
      <c r="WTY160" s="3060"/>
      <c r="WTZ160" s="3060"/>
      <c r="WUA160" s="3060"/>
      <c r="WUB160" s="3060"/>
      <c r="WUC160" s="3060"/>
      <c r="WUD160" s="3060"/>
      <c r="WUE160" s="3060"/>
      <c r="WUF160" s="3060"/>
      <c r="WUG160" s="3060"/>
      <c r="WUH160" s="3060"/>
      <c r="WUI160" s="3060"/>
      <c r="WUJ160" s="3060"/>
      <c r="WUK160" s="3060"/>
      <c r="WUL160" s="3060"/>
      <c r="WUM160" s="3060"/>
      <c r="WUN160" s="3060"/>
      <c r="WUO160" s="3060"/>
      <c r="WUP160" s="3060"/>
      <c r="WUQ160" s="3060"/>
      <c r="WUR160" s="3060"/>
      <c r="WUS160" s="3060"/>
      <c r="WUT160" s="3060"/>
      <c r="WUU160" s="3060"/>
      <c r="WUV160" s="3060"/>
      <c r="WUW160" s="3060"/>
      <c r="WUX160" s="3060"/>
      <c r="WUY160" s="3060"/>
      <c r="WUZ160" s="3060"/>
      <c r="WVA160" s="3060"/>
      <c r="WVB160" s="3060"/>
      <c r="WVC160" s="3060"/>
      <c r="WVD160" s="3060"/>
      <c r="WVE160" s="3060"/>
      <c r="WVF160" s="3060"/>
      <c r="WVG160" s="3060"/>
      <c r="WVH160" s="3060"/>
      <c r="WVI160" s="3060"/>
      <c r="WVJ160" s="3060"/>
      <c r="WVK160" s="3060"/>
      <c r="WVL160" s="3060"/>
      <c r="WVM160" s="3060"/>
      <c r="WVN160" s="3060"/>
      <c r="WVO160" s="3060"/>
      <c r="WVP160" s="3060"/>
      <c r="WVQ160" s="3060"/>
      <c r="WVR160" s="3060"/>
      <c r="WVS160" s="3060"/>
      <c r="WVT160" s="3060"/>
      <c r="WVU160" s="3060"/>
      <c r="WVV160" s="3060"/>
      <c r="WVW160" s="3060"/>
      <c r="WVX160" s="3060"/>
      <c r="WVY160" s="3060"/>
      <c r="WVZ160" s="3060"/>
      <c r="WWA160" s="3060"/>
      <c r="WWB160" s="3060"/>
      <c r="WWC160" s="3060"/>
      <c r="WWD160" s="3060"/>
      <c r="WWE160" s="3060"/>
      <c r="WWF160" s="3060"/>
      <c r="WWG160" s="3060"/>
      <c r="WWH160" s="3060"/>
      <c r="WWI160" s="3060"/>
      <c r="WWJ160" s="3060"/>
      <c r="WWK160" s="3060"/>
      <c r="WWL160" s="3060"/>
      <c r="WWM160" s="3060"/>
      <c r="WWN160" s="3060"/>
      <c r="WWO160" s="3060"/>
      <c r="WWP160" s="3060"/>
      <c r="WWQ160" s="3060"/>
      <c r="WWR160" s="3060"/>
      <c r="WWS160" s="3060"/>
      <c r="WWT160" s="3060"/>
      <c r="WWU160" s="3060"/>
      <c r="WWV160" s="3060"/>
      <c r="WWW160" s="3060"/>
      <c r="WWX160" s="3060"/>
      <c r="WWY160" s="3060"/>
      <c r="WWZ160" s="3060"/>
      <c r="WXA160" s="3060"/>
      <c r="WXB160" s="3060"/>
      <c r="WXC160" s="3060"/>
      <c r="WXD160" s="3060"/>
      <c r="WXE160" s="3060"/>
      <c r="WXF160" s="3060"/>
      <c r="WXG160" s="3060"/>
      <c r="WXH160" s="3060"/>
      <c r="WXI160" s="3060"/>
      <c r="WXJ160" s="3060"/>
      <c r="WXK160" s="3060"/>
      <c r="WXL160" s="3060"/>
      <c r="WXM160" s="3060"/>
      <c r="WXN160" s="3060"/>
      <c r="WXO160" s="3060"/>
      <c r="WXP160" s="3060"/>
      <c r="WXQ160" s="3060"/>
      <c r="WXR160" s="3060"/>
      <c r="WXS160" s="3060"/>
      <c r="WXT160" s="3060"/>
      <c r="WXU160" s="3060"/>
      <c r="WXV160" s="3060"/>
      <c r="WXW160" s="3060"/>
      <c r="WXX160" s="3060"/>
      <c r="WXY160" s="3060"/>
      <c r="WXZ160" s="3060"/>
      <c r="WYA160" s="3060"/>
      <c r="WYB160" s="3060"/>
      <c r="WYC160" s="3060"/>
      <c r="WYD160" s="3060"/>
      <c r="WYE160" s="3060"/>
      <c r="WYF160" s="3060"/>
      <c r="WYG160" s="3060"/>
      <c r="WYH160" s="3060"/>
      <c r="WYI160" s="3060"/>
      <c r="WYJ160" s="3060"/>
      <c r="WYK160" s="3060"/>
      <c r="WYL160" s="3060"/>
      <c r="WYM160" s="3060"/>
      <c r="WYN160" s="3060"/>
      <c r="WYO160" s="3060"/>
      <c r="WYP160" s="3060"/>
      <c r="WYQ160" s="3060"/>
      <c r="WYR160" s="3060"/>
      <c r="WYS160" s="3060"/>
      <c r="WYT160" s="3060"/>
      <c r="WYU160" s="3060"/>
      <c r="WYV160" s="3060"/>
      <c r="WYW160" s="3060"/>
      <c r="WYX160" s="3060"/>
      <c r="WYY160" s="3060"/>
      <c r="WYZ160" s="3060"/>
      <c r="WZA160" s="3060"/>
      <c r="WZB160" s="3060"/>
      <c r="WZC160" s="3060"/>
      <c r="WZD160" s="3060"/>
      <c r="WZE160" s="3060"/>
      <c r="WZF160" s="3060"/>
      <c r="WZG160" s="3060"/>
      <c r="WZH160" s="3060"/>
      <c r="WZI160" s="3060"/>
      <c r="WZJ160" s="3060"/>
      <c r="WZK160" s="3060"/>
      <c r="WZL160" s="3060"/>
      <c r="WZM160" s="3060"/>
      <c r="WZN160" s="3060"/>
      <c r="WZO160" s="3060"/>
      <c r="WZP160" s="3060"/>
      <c r="WZQ160" s="3060"/>
      <c r="WZR160" s="3060"/>
      <c r="WZS160" s="3060"/>
      <c r="WZT160" s="3060"/>
      <c r="WZU160" s="3060"/>
      <c r="WZV160" s="3060"/>
      <c r="WZW160" s="3060"/>
      <c r="WZX160" s="3060"/>
      <c r="WZY160" s="3060"/>
      <c r="WZZ160" s="3060"/>
      <c r="XAA160" s="3060"/>
      <c r="XAB160" s="3060"/>
      <c r="XAC160" s="3060"/>
      <c r="XAD160" s="3060"/>
      <c r="XAE160" s="3060"/>
      <c r="XAF160" s="3060"/>
      <c r="XAG160" s="3060"/>
      <c r="XAH160" s="3060"/>
      <c r="XAI160" s="3060"/>
      <c r="XAJ160" s="3060"/>
      <c r="XAK160" s="3060"/>
      <c r="XAL160" s="3060"/>
      <c r="XAM160" s="3060"/>
      <c r="XAN160" s="3060"/>
      <c r="XAO160" s="3060"/>
      <c r="XAP160" s="3060"/>
      <c r="XAQ160" s="3060"/>
      <c r="XAR160" s="3060"/>
      <c r="XAS160" s="3060"/>
      <c r="XAT160" s="3060"/>
      <c r="XAU160" s="3060"/>
      <c r="XAV160" s="3060"/>
      <c r="XAW160" s="3060"/>
      <c r="XAX160" s="3060"/>
      <c r="XAY160" s="3060"/>
      <c r="XAZ160" s="3060"/>
      <c r="XBA160" s="3060"/>
      <c r="XBB160" s="3060"/>
      <c r="XBC160" s="3060"/>
      <c r="XBD160" s="3060"/>
      <c r="XBE160" s="3060"/>
      <c r="XBF160" s="3060"/>
      <c r="XBG160" s="3060"/>
      <c r="XBH160" s="3060"/>
      <c r="XBI160" s="3060"/>
      <c r="XBJ160" s="3060"/>
      <c r="XBK160" s="3060"/>
      <c r="XBL160" s="3060"/>
      <c r="XBM160" s="3060"/>
      <c r="XBN160" s="3060"/>
      <c r="XBO160" s="3060"/>
      <c r="XBP160" s="3060"/>
      <c r="XBQ160" s="3060"/>
      <c r="XBR160" s="3060"/>
      <c r="XBS160" s="3060"/>
      <c r="XBT160" s="3060"/>
      <c r="XBU160" s="3060"/>
      <c r="XBV160" s="3060"/>
      <c r="XBW160" s="3060"/>
      <c r="XBX160" s="3060"/>
      <c r="XBY160" s="3060"/>
      <c r="XBZ160" s="3060"/>
      <c r="XCA160" s="3060"/>
      <c r="XCB160" s="3060"/>
      <c r="XCC160" s="3060"/>
      <c r="XCD160" s="3060"/>
      <c r="XCE160" s="3060"/>
      <c r="XCF160" s="3060"/>
      <c r="XCG160" s="3060"/>
      <c r="XCH160" s="3060"/>
      <c r="XCI160" s="3060"/>
      <c r="XCJ160" s="3060"/>
      <c r="XCK160" s="3060"/>
      <c r="XCL160" s="3060"/>
      <c r="XCM160" s="3060"/>
      <c r="XCN160" s="3060"/>
      <c r="XCO160" s="3060"/>
      <c r="XCP160" s="3060"/>
      <c r="XCQ160" s="3060"/>
      <c r="XCR160" s="3060"/>
      <c r="XCS160" s="3060"/>
      <c r="XCT160" s="3060"/>
      <c r="XCU160" s="3060"/>
      <c r="XCV160" s="3060"/>
      <c r="XCW160" s="3060"/>
      <c r="XCX160" s="3060"/>
      <c r="XCY160" s="3060"/>
      <c r="XCZ160" s="3060"/>
      <c r="XDA160" s="3060"/>
      <c r="XDB160" s="3060"/>
      <c r="XDC160" s="3060"/>
      <c r="XDD160" s="3060"/>
      <c r="XDE160" s="3060"/>
      <c r="XDF160" s="3060"/>
      <c r="XDG160" s="3060"/>
      <c r="XDH160" s="3060"/>
      <c r="XDI160" s="3060"/>
      <c r="XDJ160" s="3060"/>
      <c r="XDK160" s="3060"/>
      <c r="XDL160" s="3060"/>
      <c r="XDM160" s="3060"/>
      <c r="XDN160" s="3060"/>
      <c r="XDO160" s="3060"/>
      <c r="XDP160" s="3060"/>
      <c r="XDQ160" s="3060"/>
      <c r="XDR160" s="3060"/>
      <c r="XDS160" s="3060"/>
      <c r="XDT160" s="3060"/>
      <c r="XDU160" s="3060"/>
      <c r="XDV160" s="3060"/>
      <c r="XDW160" s="3060"/>
      <c r="XDX160" s="3060"/>
      <c r="XDY160" s="3060"/>
      <c r="XDZ160" s="3060"/>
      <c r="XEA160" s="3060"/>
      <c r="XEB160" s="3060"/>
      <c r="XEC160" s="3060"/>
      <c r="XED160" s="3060"/>
      <c r="XEE160" s="3060"/>
      <c r="XEF160" s="3060"/>
      <c r="XEG160" s="3060"/>
      <c r="XEH160" s="3060"/>
      <c r="XEI160" s="3060"/>
      <c r="XEJ160" s="3060"/>
      <c r="XEK160" s="3060"/>
      <c r="XEL160" s="3060"/>
      <c r="XEM160" s="3060"/>
      <c r="XEN160" s="3060"/>
      <c r="XEO160" s="3060"/>
      <c r="XEP160" s="3060"/>
      <c r="XEQ160" s="3060"/>
      <c r="XER160" s="3060"/>
      <c r="XES160" s="3060"/>
      <c r="XET160" s="3060"/>
      <c r="XEU160" s="3060"/>
      <c r="XEV160" s="3060"/>
      <c r="XEW160" s="3060"/>
      <c r="XEX160" s="3060"/>
      <c r="XEY160" s="3060"/>
      <c r="XEZ160" s="3060"/>
      <c r="XFA160" s="3060"/>
      <c r="XFB160" s="3060"/>
      <c r="XFC160" s="3060"/>
      <c r="XFD160" s="3060"/>
    </row>
    <row r="161" spans="1:16384" s="3083" customFormat="1" x14ac:dyDescent="0.2">
      <c r="A161" s="3060"/>
      <c r="B161" s="3061"/>
      <c r="C161" s="3061"/>
      <c r="D161" s="3061"/>
      <c r="E161" s="3061"/>
      <c r="F161" s="3061"/>
      <c r="G161" s="3061"/>
      <c r="H161" s="3061"/>
      <c r="I161" s="3061"/>
      <c r="J161" s="3061"/>
      <c r="K161" s="3061"/>
      <c r="L161" s="3061"/>
      <c r="M161" s="3061"/>
      <c r="N161" s="3061"/>
      <c r="O161" s="3061"/>
      <c r="P161" s="3061"/>
      <c r="Q161" s="3061"/>
      <c r="R161" s="3061"/>
      <c r="S161" s="2923"/>
      <c r="T161" s="3061"/>
      <c r="U161" s="3062"/>
      <c r="V161" s="3061"/>
      <c r="W161" s="3061"/>
      <c r="X161" s="3061"/>
      <c r="Y161" s="3061"/>
      <c r="Z161" s="3061"/>
      <c r="AA161" s="3061"/>
      <c r="AB161" s="3061"/>
      <c r="AC161" s="3061"/>
      <c r="AD161" s="3061"/>
      <c r="AE161" s="3061"/>
      <c r="AF161" s="3063"/>
      <c r="AG161" s="3060"/>
      <c r="AH161" s="3060"/>
      <c r="AI161" s="3060"/>
      <c r="AJ161" s="3060"/>
      <c r="AK161" s="3060"/>
      <c r="AL161" s="3060"/>
      <c r="AM161" s="3060"/>
      <c r="AN161" s="3060"/>
      <c r="AO161" s="3060"/>
      <c r="AP161" s="3060"/>
      <c r="AQ161" s="3060"/>
      <c r="AR161" s="3060"/>
      <c r="AS161" s="3060"/>
      <c r="AT161" s="3060"/>
      <c r="AU161" s="3060"/>
      <c r="AV161" s="3060"/>
      <c r="AW161" s="3060"/>
      <c r="AX161" s="3060"/>
      <c r="AY161" s="3060"/>
      <c r="AZ161" s="3060"/>
      <c r="BA161" s="3060"/>
      <c r="BB161" s="3060"/>
      <c r="BC161" s="3060"/>
      <c r="BD161" s="3060"/>
      <c r="BE161" s="3060"/>
      <c r="BF161" s="3060"/>
      <c r="BG161" s="3060"/>
      <c r="BH161" s="3060"/>
      <c r="BI161" s="3060"/>
      <c r="BJ161" s="3060"/>
      <c r="BK161" s="3060"/>
      <c r="BL161" s="3060"/>
      <c r="BM161" s="3060"/>
      <c r="BN161" s="3060"/>
      <c r="BO161" s="3060"/>
      <c r="BP161" s="3060"/>
      <c r="BQ161" s="3060"/>
      <c r="BR161" s="3060"/>
      <c r="BS161" s="3060"/>
      <c r="BT161" s="3060"/>
      <c r="BU161" s="3060"/>
      <c r="BV161" s="3060"/>
      <c r="BW161" s="3060"/>
      <c r="BX161" s="3060"/>
      <c r="BY161" s="3060"/>
      <c r="BZ161" s="3060"/>
      <c r="CA161" s="3060"/>
      <c r="CB161" s="3060"/>
      <c r="CC161" s="3060"/>
      <c r="CD161" s="3060"/>
      <c r="CE161" s="3060"/>
      <c r="CF161" s="3060"/>
      <c r="CG161" s="3060"/>
      <c r="CH161" s="3060"/>
      <c r="CI161" s="3060"/>
      <c r="CJ161" s="3060"/>
      <c r="CK161" s="3060"/>
      <c r="CL161" s="3060"/>
      <c r="CM161" s="3060"/>
      <c r="CN161" s="3060"/>
      <c r="CO161" s="3060"/>
      <c r="CP161" s="3060"/>
      <c r="CQ161" s="3060"/>
      <c r="CR161" s="3060"/>
      <c r="CS161" s="3060"/>
      <c r="CT161" s="3060"/>
      <c r="CU161" s="3060"/>
      <c r="CV161" s="3060"/>
      <c r="CW161" s="3060"/>
      <c r="CX161" s="3060"/>
      <c r="CY161" s="3060"/>
      <c r="CZ161" s="3060"/>
      <c r="DA161" s="3060"/>
      <c r="DB161" s="3060"/>
      <c r="DC161" s="3060"/>
      <c r="DD161" s="3060"/>
      <c r="DE161" s="3060"/>
      <c r="DF161" s="3060"/>
      <c r="DG161" s="3060"/>
      <c r="DH161" s="3060"/>
      <c r="DI161" s="3060"/>
      <c r="DJ161" s="3060"/>
      <c r="DK161" s="3060"/>
      <c r="DL161" s="3060"/>
      <c r="DM161" s="3060"/>
      <c r="DN161" s="3060"/>
      <c r="DO161" s="3060"/>
      <c r="DP161" s="3060"/>
      <c r="DQ161" s="3060"/>
      <c r="DR161" s="3060"/>
      <c r="DS161" s="3060"/>
      <c r="DT161" s="3060"/>
      <c r="DU161" s="3060"/>
      <c r="DV161" s="3060"/>
      <c r="DW161" s="3060"/>
      <c r="DX161" s="3060"/>
      <c r="DY161" s="3060"/>
      <c r="DZ161" s="3060"/>
      <c r="EA161" s="3060"/>
      <c r="EB161" s="3060"/>
      <c r="EC161" s="3060"/>
      <c r="ED161" s="3060"/>
      <c r="EE161" s="3060"/>
      <c r="EF161" s="3060"/>
      <c r="EG161" s="3060"/>
      <c r="EH161" s="3060"/>
      <c r="EI161" s="3060"/>
      <c r="EJ161" s="3060"/>
      <c r="EK161" s="3060"/>
      <c r="EL161" s="3060"/>
      <c r="EM161" s="3060"/>
      <c r="EN161" s="3060"/>
      <c r="EO161" s="3060"/>
      <c r="EP161" s="3060"/>
      <c r="EQ161" s="3060"/>
      <c r="ER161" s="3060"/>
      <c r="ES161" s="3060"/>
      <c r="ET161" s="3060"/>
      <c r="EU161" s="3060"/>
      <c r="EV161" s="3060"/>
      <c r="EW161" s="3060"/>
      <c r="EX161" s="3060"/>
      <c r="EY161" s="3060"/>
      <c r="EZ161" s="3060"/>
      <c r="FA161" s="3060"/>
      <c r="FB161" s="3060"/>
      <c r="FC161" s="3060"/>
      <c r="FD161" s="3060"/>
      <c r="FE161" s="3060"/>
      <c r="FF161" s="3060"/>
      <c r="FG161" s="3060"/>
      <c r="FH161" s="3060"/>
      <c r="FI161" s="3060"/>
      <c r="FJ161" s="3060"/>
      <c r="FK161" s="3060"/>
      <c r="FL161" s="3060"/>
      <c r="FM161" s="3060"/>
      <c r="FN161" s="3060"/>
      <c r="FO161" s="3060"/>
      <c r="FP161" s="3060"/>
      <c r="FQ161" s="3060"/>
      <c r="FR161" s="3060"/>
      <c r="FS161" s="3060"/>
      <c r="FT161" s="3060"/>
      <c r="FU161" s="3060"/>
      <c r="FV161" s="3060"/>
      <c r="FW161" s="3060"/>
      <c r="FX161" s="3060"/>
      <c r="FY161" s="3060"/>
      <c r="FZ161" s="3060"/>
      <c r="GA161" s="3060"/>
      <c r="GB161" s="3060"/>
      <c r="GC161" s="3060"/>
      <c r="GD161" s="3060"/>
      <c r="GE161" s="3060"/>
      <c r="GF161" s="3060"/>
      <c r="GG161" s="3060"/>
      <c r="GH161" s="3060"/>
      <c r="GI161" s="3060"/>
      <c r="GJ161" s="3060"/>
      <c r="GK161" s="3060"/>
      <c r="GL161" s="3060"/>
      <c r="GM161" s="3060"/>
      <c r="GN161" s="3060"/>
      <c r="GO161" s="3060"/>
      <c r="GP161" s="3060"/>
      <c r="GQ161" s="3060"/>
      <c r="GR161" s="3060"/>
      <c r="GS161" s="3060"/>
      <c r="GT161" s="3060"/>
      <c r="GU161" s="3060"/>
      <c r="GV161" s="3060"/>
      <c r="GW161" s="3060"/>
      <c r="GX161" s="3060"/>
      <c r="GY161" s="3060"/>
      <c r="GZ161" s="3060"/>
      <c r="HA161" s="3060"/>
      <c r="HB161" s="3060"/>
      <c r="HC161" s="3060"/>
      <c r="HD161" s="3060"/>
      <c r="HE161" s="3060"/>
      <c r="HF161" s="3060"/>
      <c r="HG161" s="3060"/>
      <c r="HH161" s="3060"/>
      <c r="HI161" s="3060"/>
      <c r="HJ161" s="3060"/>
      <c r="HK161" s="3060"/>
      <c r="HL161" s="3060"/>
      <c r="HM161" s="3060"/>
      <c r="HN161" s="3060"/>
      <c r="HO161" s="3060"/>
      <c r="HP161" s="3060"/>
      <c r="HQ161" s="3060"/>
      <c r="HR161" s="3060"/>
      <c r="HS161" s="3060"/>
      <c r="HT161" s="3060"/>
      <c r="HU161" s="3060"/>
      <c r="HV161" s="3060"/>
      <c r="HW161" s="3060"/>
      <c r="HX161" s="3060"/>
      <c r="HY161" s="3060"/>
      <c r="HZ161" s="3060"/>
      <c r="IA161" s="3060"/>
      <c r="IB161" s="3060"/>
      <c r="IC161" s="3060"/>
      <c r="ID161" s="3060"/>
      <c r="IE161" s="3060"/>
      <c r="IF161" s="3060"/>
      <c r="IG161" s="3060"/>
      <c r="IH161" s="3060"/>
      <c r="II161" s="3060"/>
      <c r="IJ161" s="3060"/>
      <c r="IK161" s="3060"/>
      <c r="IL161" s="3060"/>
      <c r="IM161" s="3060"/>
      <c r="IN161" s="3060"/>
      <c r="IO161" s="3060"/>
      <c r="IP161" s="3060"/>
      <c r="IQ161" s="3060"/>
      <c r="IR161" s="3060"/>
      <c r="IS161" s="3060"/>
      <c r="IT161" s="3060"/>
      <c r="IU161" s="3060"/>
      <c r="IV161" s="3060"/>
      <c r="IW161" s="3060"/>
      <c r="IX161" s="3060"/>
      <c r="IY161" s="3060"/>
      <c r="IZ161" s="3060"/>
      <c r="JA161" s="3060"/>
      <c r="JB161" s="3060"/>
      <c r="JC161" s="3060"/>
      <c r="JD161" s="3060"/>
      <c r="JE161" s="3060"/>
      <c r="JF161" s="3060"/>
      <c r="JG161" s="3060"/>
      <c r="JH161" s="3060"/>
      <c r="JI161" s="3060"/>
      <c r="JJ161" s="3060"/>
      <c r="JK161" s="3060"/>
      <c r="JL161" s="3060"/>
      <c r="JM161" s="3060"/>
      <c r="JN161" s="3060"/>
      <c r="JO161" s="3060"/>
      <c r="JP161" s="3060"/>
      <c r="JQ161" s="3060"/>
      <c r="JR161" s="3060"/>
      <c r="JS161" s="3060"/>
      <c r="JT161" s="3060"/>
      <c r="JU161" s="3060"/>
      <c r="JV161" s="3060"/>
      <c r="JW161" s="3060"/>
      <c r="JX161" s="3060"/>
      <c r="JY161" s="3060"/>
      <c r="JZ161" s="3060"/>
      <c r="KA161" s="3060"/>
      <c r="KB161" s="3060"/>
      <c r="KC161" s="3060"/>
      <c r="KD161" s="3060"/>
      <c r="KE161" s="3060"/>
      <c r="KF161" s="3060"/>
      <c r="KG161" s="3060"/>
      <c r="KH161" s="3060"/>
      <c r="KI161" s="3060"/>
      <c r="KJ161" s="3060"/>
      <c r="KK161" s="3060"/>
      <c r="KL161" s="3060"/>
      <c r="KM161" s="3060"/>
      <c r="KN161" s="3060"/>
      <c r="KO161" s="3060"/>
      <c r="KP161" s="3060"/>
      <c r="KQ161" s="3060"/>
      <c r="KR161" s="3060"/>
      <c r="KS161" s="3060"/>
      <c r="KT161" s="3060"/>
      <c r="KU161" s="3060"/>
      <c r="KV161" s="3060"/>
      <c r="KW161" s="3060"/>
      <c r="KX161" s="3060"/>
      <c r="KY161" s="3060"/>
      <c r="KZ161" s="3060"/>
      <c r="LA161" s="3060"/>
      <c r="LB161" s="3060"/>
      <c r="LC161" s="3060"/>
      <c r="LD161" s="3060"/>
      <c r="LE161" s="3060"/>
      <c r="LF161" s="3060"/>
      <c r="LG161" s="3060"/>
      <c r="LH161" s="3060"/>
      <c r="LI161" s="3060"/>
      <c r="LJ161" s="3060"/>
      <c r="LK161" s="3060"/>
      <c r="LL161" s="3060"/>
      <c r="LM161" s="3060"/>
      <c r="LN161" s="3060"/>
      <c r="LO161" s="3060"/>
      <c r="LP161" s="3060"/>
      <c r="LQ161" s="3060"/>
      <c r="LR161" s="3060"/>
      <c r="LS161" s="3060"/>
      <c r="LT161" s="3060"/>
      <c r="LU161" s="3060"/>
      <c r="LV161" s="3060"/>
      <c r="LW161" s="3060"/>
      <c r="LX161" s="3060"/>
      <c r="LY161" s="3060"/>
      <c r="LZ161" s="3060"/>
      <c r="MA161" s="3060"/>
      <c r="MB161" s="3060"/>
      <c r="MC161" s="3060"/>
      <c r="MD161" s="3060"/>
      <c r="ME161" s="3060"/>
      <c r="MF161" s="3060"/>
      <c r="MG161" s="3060"/>
      <c r="MH161" s="3060"/>
      <c r="MI161" s="3060"/>
      <c r="MJ161" s="3060"/>
      <c r="MK161" s="3060"/>
      <c r="ML161" s="3060"/>
      <c r="MM161" s="3060"/>
      <c r="MN161" s="3060"/>
      <c r="MO161" s="3060"/>
      <c r="MP161" s="3060"/>
      <c r="MQ161" s="3060"/>
      <c r="MR161" s="3060"/>
      <c r="MS161" s="3060"/>
      <c r="MT161" s="3060"/>
      <c r="MU161" s="3060"/>
      <c r="MV161" s="3060"/>
      <c r="MW161" s="3060"/>
      <c r="MX161" s="3060"/>
      <c r="MY161" s="3060"/>
      <c r="MZ161" s="3060"/>
      <c r="NA161" s="3060"/>
      <c r="NB161" s="3060"/>
      <c r="NC161" s="3060"/>
      <c r="ND161" s="3060"/>
      <c r="NE161" s="3060"/>
      <c r="NF161" s="3060"/>
      <c r="NG161" s="3060"/>
      <c r="NH161" s="3060"/>
      <c r="NI161" s="3060"/>
      <c r="NJ161" s="3060"/>
      <c r="NK161" s="3060"/>
      <c r="NL161" s="3060"/>
      <c r="NM161" s="3060"/>
      <c r="NN161" s="3060"/>
      <c r="NO161" s="3060"/>
      <c r="NP161" s="3060"/>
      <c r="NQ161" s="3060"/>
      <c r="NR161" s="3060"/>
      <c r="NS161" s="3060"/>
      <c r="NT161" s="3060"/>
      <c r="NU161" s="3060"/>
      <c r="NV161" s="3060"/>
      <c r="NW161" s="3060"/>
      <c r="NX161" s="3060"/>
      <c r="NY161" s="3060"/>
      <c r="NZ161" s="3060"/>
      <c r="OA161" s="3060"/>
      <c r="OB161" s="3060"/>
      <c r="OC161" s="3060"/>
      <c r="OD161" s="3060"/>
      <c r="OE161" s="3060"/>
      <c r="OF161" s="3060"/>
      <c r="OG161" s="3060"/>
      <c r="OH161" s="3060"/>
      <c r="OI161" s="3060"/>
      <c r="OJ161" s="3060"/>
      <c r="OK161" s="3060"/>
      <c r="OL161" s="3060"/>
      <c r="OM161" s="3060"/>
      <c r="ON161" s="3060"/>
      <c r="OO161" s="3060"/>
      <c r="OP161" s="3060"/>
      <c r="OQ161" s="3060"/>
      <c r="OR161" s="3060"/>
      <c r="OS161" s="3060"/>
      <c r="OT161" s="3060"/>
      <c r="OU161" s="3060"/>
      <c r="OV161" s="3060"/>
      <c r="OW161" s="3060"/>
      <c r="OX161" s="3060"/>
      <c r="OY161" s="3060"/>
      <c r="OZ161" s="3060"/>
      <c r="PA161" s="3060"/>
      <c r="PB161" s="3060"/>
      <c r="PC161" s="3060"/>
      <c r="PD161" s="3060"/>
      <c r="PE161" s="3060"/>
      <c r="PF161" s="3060"/>
      <c r="PG161" s="3060"/>
      <c r="PH161" s="3060"/>
      <c r="PI161" s="3060"/>
      <c r="PJ161" s="3060"/>
      <c r="PK161" s="3060"/>
      <c r="PL161" s="3060"/>
      <c r="PM161" s="3060"/>
      <c r="PN161" s="3060"/>
      <c r="PO161" s="3060"/>
      <c r="PP161" s="3060"/>
      <c r="PQ161" s="3060"/>
      <c r="PR161" s="3060"/>
      <c r="PS161" s="3060"/>
      <c r="PT161" s="3060"/>
      <c r="PU161" s="3060"/>
      <c r="PV161" s="3060"/>
      <c r="PW161" s="3060"/>
      <c r="PX161" s="3060"/>
      <c r="PY161" s="3060"/>
      <c r="PZ161" s="3060"/>
      <c r="QA161" s="3060"/>
      <c r="QB161" s="3060"/>
      <c r="QC161" s="3060"/>
      <c r="QD161" s="3060"/>
      <c r="QE161" s="3060"/>
      <c r="QF161" s="3060"/>
      <c r="QG161" s="3060"/>
      <c r="QH161" s="3060"/>
      <c r="QI161" s="3060"/>
      <c r="QJ161" s="3060"/>
      <c r="QK161" s="3060"/>
      <c r="QL161" s="3060"/>
      <c r="QM161" s="3060"/>
      <c r="QN161" s="3060"/>
      <c r="QO161" s="3060"/>
      <c r="QP161" s="3060"/>
      <c r="QQ161" s="3060"/>
      <c r="QR161" s="3060"/>
      <c r="QS161" s="3060"/>
      <c r="QT161" s="3060"/>
      <c r="QU161" s="3060"/>
      <c r="QV161" s="3060"/>
      <c r="QW161" s="3060"/>
      <c r="QX161" s="3060"/>
      <c r="QY161" s="3060"/>
      <c r="QZ161" s="3060"/>
      <c r="RA161" s="3060"/>
      <c r="RB161" s="3060"/>
      <c r="RC161" s="3060"/>
      <c r="RD161" s="3060"/>
      <c r="RE161" s="3060"/>
      <c r="RF161" s="3060"/>
      <c r="RG161" s="3060"/>
      <c r="RH161" s="3060"/>
      <c r="RI161" s="3060"/>
      <c r="RJ161" s="3060"/>
      <c r="RK161" s="3060"/>
      <c r="RL161" s="3060"/>
      <c r="RM161" s="3060"/>
      <c r="RN161" s="3060"/>
      <c r="RO161" s="3060"/>
      <c r="RP161" s="3060"/>
      <c r="RQ161" s="3060"/>
      <c r="RR161" s="3060"/>
      <c r="RS161" s="3060"/>
      <c r="RT161" s="3060"/>
      <c r="RU161" s="3060"/>
      <c r="RV161" s="3060"/>
      <c r="RW161" s="3060"/>
      <c r="RX161" s="3060"/>
      <c r="RY161" s="3060"/>
      <c r="RZ161" s="3060"/>
      <c r="SA161" s="3060"/>
      <c r="SB161" s="3060"/>
      <c r="SC161" s="3060"/>
      <c r="SD161" s="3060"/>
      <c r="SE161" s="3060"/>
      <c r="SF161" s="3060"/>
      <c r="SG161" s="3060"/>
      <c r="SH161" s="3060"/>
      <c r="SI161" s="3060"/>
      <c r="SJ161" s="3060"/>
      <c r="SK161" s="3060"/>
      <c r="SL161" s="3060"/>
      <c r="SM161" s="3060"/>
      <c r="SN161" s="3060"/>
      <c r="SO161" s="3060"/>
      <c r="SP161" s="3060"/>
      <c r="SQ161" s="3060"/>
      <c r="SR161" s="3060"/>
      <c r="SS161" s="3060"/>
      <c r="ST161" s="3060"/>
      <c r="SU161" s="3060"/>
      <c r="SV161" s="3060"/>
      <c r="SW161" s="3060"/>
      <c r="SX161" s="3060"/>
      <c r="SY161" s="3060"/>
      <c r="SZ161" s="3060"/>
      <c r="TA161" s="3060"/>
      <c r="TB161" s="3060"/>
      <c r="TC161" s="3060"/>
      <c r="TD161" s="3060"/>
      <c r="TE161" s="3060"/>
      <c r="TF161" s="3060"/>
      <c r="TG161" s="3060"/>
      <c r="TH161" s="3060"/>
      <c r="TI161" s="3060"/>
      <c r="TJ161" s="3060"/>
      <c r="TK161" s="3060"/>
      <c r="TL161" s="3060"/>
      <c r="TM161" s="3060"/>
      <c r="TN161" s="3060"/>
      <c r="TO161" s="3060"/>
      <c r="TP161" s="3060"/>
      <c r="TQ161" s="3060"/>
      <c r="TR161" s="3060"/>
      <c r="TS161" s="3060"/>
      <c r="TT161" s="3060"/>
      <c r="TU161" s="3060"/>
      <c r="TV161" s="3060"/>
      <c r="TW161" s="3060"/>
      <c r="TX161" s="3060"/>
      <c r="TY161" s="3060"/>
      <c r="TZ161" s="3060"/>
      <c r="UA161" s="3060"/>
      <c r="UB161" s="3060"/>
      <c r="UC161" s="3060"/>
      <c r="UD161" s="3060"/>
      <c r="UE161" s="3060"/>
      <c r="UF161" s="3060"/>
      <c r="UG161" s="3060"/>
      <c r="UH161" s="3060"/>
      <c r="UI161" s="3060"/>
      <c r="UJ161" s="3060"/>
      <c r="UK161" s="3060"/>
      <c r="UL161" s="3060"/>
      <c r="UM161" s="3060"/>
      <c r="UN161" s="3060"/>
      <c r="UO161" s="3060"/>
      <c r="UP161" s="3060"/>
      <c r="UQ161" s="3060"/>
      <c r="UR161" s="3060"/>
      <c r="US161" s="3060"/>
      <c r="UT161" s="3060"/>
      <c r="UU161" s="3060"/>
      <c r="UV161" s="3060"/>
      <c r="UW161" s="3060"/>
      <c r="UX161" s="3060"/>
      <c r="UY161" s="3060"/>
      <c r="UZ161" s="3060"/>
      <c r="VA161" s="3060"/>
      <c r="VB161" s="3060"/>
      <c r="VC161" s="3060"/>
      <c r="VD161" s="3060"/>
      <c r="VE161" s="3060"/>
      <c r="VF161" s="3060"/>
      <c r="VG161" s="3060"/>
      <c r="VH161" s="3060"/>
      <c r="VI161" s="3060"/>
      <c r="VJ161" s="3060"/>
      <c r="VK161" s="3060"/>
      <c r="VL161" s="3060"/>
      <c r="VM161" s="3060"/>
      <c r="VN161" s="3060"/>
      <c r="VO161" s="3060"/>
      <c r="VP161" s="3060"/>
      <c r="VQ161" s="3060"/>
      <c r="VR161" s="3060"/>
      <c r="VS161" s="3060"/>
      <c r="VT161" s="3060"/>
      <c r="VU161" s="3060"/>
      <c r="VV161" s="3060"/>
      <c r="VW161" s="3060"/>
      <c r="VX161" s="3060"/>
      <c r="VY161" s="3060"/>
      <c r="VZ161" s="3060"/>
      <c r="WA161" s="3060"/>
      <c r="WB161" s="3060"/>
      <c r="WC161" s="3060"/>
      <c r="WD161" s="3060"/>
      <c r="WE161" s="3060"/>
      <c r="WF161" s="3060"/>
      <c r="WG161" s="3060"/>
      <c r="WH161" s="3060"/>
      <c r="WI161" s="3060"/>
      <c r="WJ161" s="3060"/>
      <c r="WK161" s="3060"/>
      <c r="WL161" s="3060"/>
      <c r="WM161" s="3060"/>
      <c r="WN161" s="3060"/>
      <c r="WO161" s="3060"/>
      <c r="WP161" s="3060"/>
      <c r="WQ161" s="3060"/>
      <c r="WR161" s="3060"/>
      <c r="WS161" s="3060"/>
      <c r="WT161" s="3060"/>
      <c r="WU161" s="3060"/>
      <c r="WV161" s="3060"/>
      <c r="WW161" s="3060"/>
      <c r="WX161" s="3060"/>
      <c r="WY161" s="3060"/>
      <c r="WZ161" s="3060"/>
      <c r="XA161" s="3060"/>
      <c r="XB161" s="3060"/>
      <c r="XC161" s="3060"/>
      <c r="XD161" s="3060"/>
      <c r="XE161" s="3060"/>
      <c r="XF161" s="3060"/>
      <c r="XG161" s="3060"/>
      <c r="XH161" s="3060"/>
      <c r="XI161" s="3060"/>
      <c r="XJ161" s="3060"/>
      <c r="XK161" s="3060"/>
      <c r="XL161" s="3060"/>
      <c r="XM161" s="3060"/>
      <c r="XN161" s="3060"/>
      <c r="XO161" s="3060"/>
      <c r="XP161" s="3060"/>
      <c r="XQ161" s="3060"/>
      <c r="XR161" s="3060"/>
      <c r="XS161" s="3060"/>
      <c r="XT161" s="3060"/>
      <c r="XU161" s="3060"/>
      <c r="XV161" s="3060"/>
      <c r="XW161" s="3060"/>
      <c r="XX161" s="3060"/>
      <c r="XY161" s="3060"/>
      <c r="XZ161" s="3060"/>
      <c r="YA161" s="3060"/>
      <c r="YB161" s="3060"/>
      <c r="YC161" s="3060"/>
      <c r="YD161" s="3060"/>
      <c r="YE161" s="3060"/>
      <c r="YF161" s="3060"/>
      <c r="YG161" s="3060"/>
      <c r="YH161" s="3060"/>
      <c r="YI161" s="3060"/>
      <c r="YJ161" s="3060"/>
      <c r="YK161" s="3060"/>
      <c r="YL161" s="3060"/>
      <c r="YM161" s="3060"/>
      <c r="YN161" s="3060"/>
      <c r="YO161" s="3060"/>
      <c r="YP161" s="3060"/>
      <c r="YQ161" s="3060"/>
      <c r="YR161" s="3060"/>
      <c r="YS161" s="3060"/>
      <c r="YT161" s="3060"/>
      <c r="YU161" s="3060"/>
      <c r="YV161" s="3060"/>
      <c r="YW161" s="3060"/>
      <c r="YX161" s="3060"/>
      <c r="YY161" s="3060"/>
      <c r="YZ161" s="3060"/>
      <c r="ZA161" s="3060"/>
      <c r="ZB161" s="3060"/>
      <c r="ZC161" s="3060"/>
      <c r="ZD161" s="3060"/>
      <c r="ZE161" s="3060"/>
      <c r="ZF161" s="3060"/>
      <c r="ZG161" s="3060"/>
      <c r="ZH161" s="3060"/>
      <c r="ZI161" s="3060"/>
      <c r="ZJ161" s="3060"/>
      <c r="ZK161" s="3060"/>
      <c r="ZL161" s="3060"/>
      <c r="ZM161" s="3060"/>
      <c r="ZN161" s="3060"/>
      <c r="ZO161" s="3060"/>
      <c r="ZP161" s="3060"/>
      <c r="ZQ161" s="3060"/>
      <c r="ZR161" s="3060"/>
      <c r="ZS161" s="3060"/>
      <c r="ZT161" s="3060"/>
      <c r="ZU161" s="3060"/>
      <c r="ZV161" s="3060"/>
      <c r="ZW161" s="3060"/>
      <c r="ZX161" s="3060"/>
      <c r="ZY161" s="3060"/>
      <c r="ZZ161" s="3060"/>
      <c r="AAA161" s="3060"/>
      <c r="AAB161" s="3060"/>
      <c r="AAC161" s="3060"/>
      <c r="AAD161" s="3060"/>
      <c r="AAE161" s="3060"/>
      <c r="AAF161" s="3060"/>
      <c r="AAG161" s="3060"/>
      <c r="AAH161" s="3060"/>
      <c r="AAI161" s="3060"/>
      <c r="AAJ161" s="3060"/>
      <c r="AAK161" s="3060"/>
      <c r="AAL161" s="3060"/>
      <c r="AAM161" s="3060"/>
      <c r="AAN161" s="3060"/>
      <c r="AAO161" s="3060"/>
      <c r="AAP161" s="3060"/>
      <c r="AAQ161" s="3060"/>
      <c r="AAR161" s="3060"/>
      <c r="AAS161" s="3060"/>
      <c r="AAT161" s="3060"/>
      <c r="AAU161" s="3060"/>
      <c r="AAV161" s="3060"/>
      <c r="AAW161" s="3060"/>
      <c r="AAX161" s="3060"/>
      <c r="AAY161" s="3060"/>
      <c r="AAZ161" s="3060"/>
      <c r="ABA161" s="3060"/>
      <c r="ABB161" s="3060"/>
      <c r="ABC161" s="3060"/>
      <c r="ABD161" s="3060"/>
      <c r="ABE161" s="3060"/>
      <c r="ABF161" s="3060"/>
      <c r="ABG161" s="3060"/>
      <c r="ABH161" s="3060"/>
      <c r="ABI161" s="3060"/>
      <c r="ABJ161" s="3060"/>
      <c r="ABK161" s="3060"/>
      <c r="ABL161" s="3060"/>
      <c r="ABM161" s="3060"/>
      <c r="ABN161" s="3060"/>
      <c r="ABO161" s="3060"/>
      <c r="ABP161" s="3060"/>
      <c r="ABQ161" s="3060"/>
      <c r="ABR161" s="3060"/>
      <c r="ABS161" s="3060"/>
      <c r="ABT161" s="3060"/>
      <c r="ABU161" s="3060"/>
      <c r="ABV161" s="3060"/>
      <c r="ABW161" s="3060"/>
      <c r="ABX161" s="3060"/>
      <c r="ABY161" s="3060"/>
      <c r="ABZ161" s="3060"/>
      <c r="ACA161" s="3060"/>
      <c r="ACB161" s="3060"/>
      <c r="ACC161" s="3060"/>
      <c r="ACD161" s="3060"/>
      <c r="ACE161" s="3060"/>
      <c r="ACF161" s="3060"/>
      <c r="ACG161" s="3060"/>
      <c r="ACH161" s="3060"/>
      <c r="ACI161" s="3060"/>
      <c r="ACJ161" s="3060"/>
      <c r="ACK161" s="3060"/>
      <c r="ACL161" s="3060"/>
      <c r="ACM161" s="3060"/>
      <c r="ACN161" s="3060"/>
      <c r="ACO161" s="3060"/>
      <c r="ACP161" s="3060"/>
      <c r="ACQ161" s="3060"/>
      <c r="ACR161" s="3060"/>
      <c r="ACS161" s="3060"/>
      <c r="ACT161" s="3060"/>
      <c r="ACU161" s="3060"/>
      <c r="ACV161" s="3060"/>
      <c r="ACW161" s="3060"/>
      <c r="ACX161" s="3060"/>
      <c r="ACY161" s="3060"/>
      <c r="ACZ161" s="3060"/>
      <c r="ADA161" s="3060"/>
      <c r="ADB161" s="3060"/>
      <c r="ADC161" s="3060"/>
      <c r="ADD161" s="3060"/>
      <c r="ADE161" s="3060"/>
      <c r="ADF161" s="3060"/>
      <c r="ADG161" s="3060"/>
      <c r="ADH161" s="3060"/>
      <c r="ADI161" s="3060"/>
      <c r="ADJ161" s="3060"/>
      <c r="ADK161" s="3060"/>
      <c r="ADL161" s="3060"/>
      <c r="ADM161" s="3060"/>
      <c r="ADN161" s="3060"/>
      <c r="ADO161" s="3060"/>
      <c r="ADP161" s="3060"/>
      <c r="ADQ161" s="3060"/>
      <c r="ADR161" s="3060"/>
      <c r="ADS161" s="3060"/>
      <c r="ADT161" s="3060"/>
      <c r="ADU161" s="3060"/>
      <c r="ADV161" s="3060"/>
      <c r="ADW161" s="3060"/>
      <c r="ADX161" s="3060"/>
      <c r="ADY161" s="3060"/>
      <c r="ADZ161" s="3060"/>
      <c r="AEA161" s="3060"/>
      <c r="AEB161" s="3060"/>
      <c r="AEC161" s="3060"/>
      <c r="AED161" s="3060"/>
      <c r="AEE161" s="3060"/>
      <c r="AEF161" s="3060"/>
      <c r="AEG161" s="3060"/>
      <c r="AEH161" s="3060"/>
      <c r="AEI161" s="3060"/>
      <c r="AEJ161" s="3060"/>
      <c r="AEK161" s="3060"/>
      <c r="AEL161" s="3060"/>
      <c r="AEM161" s="3060"/>
      <c r="AEN161" s="3060"/>
      <c r="AEO161" s="3060"/>
      <c r="AEP161" s="3060"/>
      <c r="AEQ161" s="3060"/>
      <c r="AER161" s="3060"/>
      <c r="AES161" s="3060"/>
      <c r="AET161" s="3060"/>
      <c r="AEU161" s="3060"/>
      <c r="AEV161" s="3060"/>
      <c r="AEW161" s="3060"/>
      <c r="AEX161" s="3060"/>
      <c r="AEY161" s="3060"/>
      <c r="AEZ161" s="3060"/>
      <c r="AFA161" s="3060"/>
      <c r="AFB161" s="3060"/>
      <c r="AFC161" s="3060"/>
      <c r="AFD161" s="3060"/>
      <c r="AFE161" s="3060"/>
      <c r="AFF161" s="3060"/>
      <c r="AFG161" s="3060"/>
      <c r="AFH161" s="3060"/>
      <c r="AFI161" s="3060"/>
      <c r="AFJ161" s="3060"/>
      <c r="AFK161" s="3060"/>
      <c r="AFL161" s="3060"/>
      <c r="AFM161" s="3060"/>
      <c r="AFN161" s="3060"/>
      <c r="AFO161" s="3060"/>
      <c r="AFP161" s="3060"/>
      <c r="AFQ161" s="3060"/>
      <c r="AFR161" s="3060"/>
      <c r="AFS161" s="3060"/>
      <c r="AFT161" s="3060"/>
      <c r="AFU161" s="3060"/>
      <c r="AFV161" s="3060"/>
      <c r="AFW161" s="3060"/>
      <c r="AFX161" s="3060"/>
      <c r="AFY161" s="3060"/>
      <c r="AFZ161" s="3060"/>
      <c r="AGA161" s="3060"/>
      <c r="AGB161" s="3060"/>
      <c r="AGC161" s="3060"/>
      <c r="AGD161" s="3060"/>
      <c r="AGE161" s="3060"/>
      <c r="AGF161" s="3060"/>
      <c r="AGG161" s="3060"/>
      <c r="AGH161" s="3060"/>
      <c r="AGI161" s="3060"/>
      <c r="AGJ161" s="3060"/>
      <c r="AGK161" s="3060"/>
      <c r="AGL161" s="3060"/>
      <c r="AGM161" s="3060"/>
      <c r="AGN161" s="3060"/>
      <c r="AGO161" s="3060"/>
      <c r="AGP161" s="3060"/>
      <c r="AGQ161" s="3060"/>
      <c r="AGR161" s="3060"/>
      <c r="AGS161" s="3060"/>
      <c r="AGT161" s="3060"/>
      <c r="AGU161" s="3060"/>
      <c r="AGV161" s="3060"/>
      <c r="AGW161" s="3060"/>
      <c r="AGX161" s="3060"/>
      <c r="AGY161" s="3060"/>
      <c r="AGZ161" s="3060"/>
      <c r="AHA161" s="3060"/>
      <c r="AHB161" s="3060"/>
      <c r="AHC161" s="3060"/>
      <c r="AHD161" s="3060"/>
      <c r="AHE161" s="3060"/>
      <c r="AHF161" s="3060"/>
      <c r="AHG161" s="3060"/>
      <c r="AHH161" s="3060"/>
      <c r="AHI161" s="3060"/>
      <c r="AHJ161" s="3060"/>
      <c r="AHK161" s="3060"/>
      <c r="AHL161" s="3060"/>
      <c r="AHM161" s="3060"/>
      <c r="AHN161" s="3060"/>
      <c r="AHO161" s="3060"/>
      <c r="AHP161" s="3060"/>
      <c r="AHQ161" s="3060"/>
      <c r="AHR161" s="3060"/>
      <c r="AHS161" s="3060"/>
      <c r="AHT161" s="3060"/>
      <c r="AHU161" s="3060"/>
      <c r="AHV161" s="3060"/>
      <c r="AHW161" s="3060"/>
      <c r="AHX161" s="3060"/>
      <c r="AHY161" s="3060"/>
      <c r="AHZ161" s="3060"/>
      <c r="AIA161" s="3060"/>
      <c r="AIB161" s="3060"/>
      <c r="AIC161" s="3060"/>
      <c r="AID161" s="3060"/>
      <c r="AIE161" s="3060"/>
      <c r="AIF161" s="3060"/>
      <c r="AIG161" s="3060"/>
      <c r="AIH161" s="3060"/>
      <c r="AII161" s="3060"/>
      <c r="AIJ161" s="3060"/>
      <c r="AIK161" s="3060"/>
      <c r="AIL161" s="3060"/>
      <c r="AIM161" s="3060"/>
      <c r="AIN161" s="3060"/>
      <c r="AIO161" s="3060"/>
      <c r="AIP161" s="3060"/>
      <c r="AIQ161" s="3060"/>
      <c r="AIR161" s="3060"/>
      <c r="AIS161" s="3060"/>
      <c r="AIT161" s="3060"/>
      <c r="AIU161" s="3060"/>
      <c r="AIV161" s="3060"/>
      <c r="AIW161" s="3060"/>
      <c r="AIX161" s="3060"/>
      <c r="AIY161" s="3060"/>
      <c r="AIZ161" s="3060"/>
      <c r="AJA161" s="3060"/>
      <c r="AJB161" s="3060"/>
      <c r="AJC161" s="3060"/>
      <c r="AJD161" s="3060"/>
      <c r="AJE161" s="3060"/>
      <c r="AJF161" s="3060"/>
      <c r="AJG161" s="3060"/>
      <c r="AJH161" s="3060"/>
      <c r="AJI161" s="3060"/>
      <c r="AJJ161" s="3060"/>
      <c r="AJK161" s="3060"/>
      <c r="AJL161" s="3060"/>
      <c r="AJM161" s="3060"/>
      <c r="AJN161" s="3060"/>
      <c r="AJO161" s="3060"/>
      <c r="AJP161" s="3060"/>
      <c r="AJQ161" s="3060"/>
      <c r="AJR161" s="3060"/>
      <c r="AJS161" s="3060"/>
      <c r="AJT161" s="3060"/>
      <c r="AJU161" s="3060"/>
      <c r="AJV161" s="3060"/>
      <c r="AJW161" s="3060"/>
      <c r="AJX161" s="3060"/>
      <c r="AJY161" s="3060"/>
      <c r="AJZ161" s="3060"/>
      <c r="AKA161" s="3060"/>
      <c r="AKB161" s="3060"/>
      <c r="AKC161" s="3060"/>
      <c r="AKD161" s="3060"/>
      <c r="AKE161" s="3060"/>
      <c r="AKF161" s="3060"/>
      <c r="AKG161" s="3060"/>
      <c r="AKH161" s="3060"/>
      <c r="AKI161" s="3060"/>
      <c r="AKJ161" s="3060"/>
      <c r="AKK161" s="3060"/>
      <c r="AKL161" s="3060"/>
      <c r="AKM161" s="3060"/>
      <c r="AKN161" s="3060"/>
      <c r="AKO161" s="3060"/>
      <c r="AKP161" s="3060"/>
      <c r="AKQ161" s="3060"/>
      <c r="AKR161" s="3060"/>
      <c r="AKS161" s="3060"/>
      <c r="AKT161" s="3060"/>
      <c r="AKU161" s="3060"/>
      <c r="AKV161" s="3060"/>
      <c r="AKW161" s="3060"/>
      <c r="AKX161" s="3060"/>
      <c r="AKY161" s="3060"/>
      <c r="AKZ161" s="3060"/>
      <c r="ALA161" s="3060"/>
      <c r="ALB161" s="3060"/>
      <c r="ALC161" s="3060"/>
      <c r="ALD161" s="3060"/>
      <c r="ALE161" s="3060"/>
      <c r="ALF161" s="3060"/>
      <c r="ALG161" s="3060"/>
      <c r="ALH161" s="3060"/>
      <c r="ALI161" s="3060"/>
      <c r="ALJ161" s="3060"/>
      <c r="ALK161" s="3060"/>
      <c r="ALL161" s="3060"/>
      <c r="ALM161" s="3060"/>
      <c r="ALN161" s="3060"/>
      <c r="ALO161" s="3060"/>
      <c r="ALP161" s="3060"/>
      <c r="ALQ161" s="3060"/>
      <c r="ALR161" s="3060"/>
      <c r="ALS161" s="3060"/>
      <c r="ALT161" s="3060"/>
      <c r="ALU161" s="3060"/>
      <c r="ALV161" s="3060"/>
      <c r="ALW161" s="3060"/>
      <c r="ALX161" s="3060"/>
      <c r="ALY161" s="3060"/>
      <c r="ALZ161" s="3060"/>
      <c r="AMA161" s="3060"/>
      <c r="AMB161" s="3060"/>
      <c r="AMC161" s="3060"/>
      <c r="AMD161" s="3060"/>
      <c r="AME161" s="3060"/>
      <c r="AMF161" s="3060"/>
      <c r="AMG161" s="3060"/>
      <c r="AMH161" s="3060"/>
      <c r="AMI161" s="3060"/>
      <c r="AMJ161" s="3060"/>
      <c r="AMK161" s="3060"/>
      <c r="AML161" s="3060"/>
      <c r="AMM161" s="3060"/>
      <c r="AMN161" s="3060"/>
      <c r="AMO161" s="3060"/>
      <c r="AMP161" s="3060"/>
      <c r="AMQ161" s="3060"/>
      <c r="AMR161" s="3060"/>
      <c r="AMS161" s="3060"/>
      <c r="AMT161" s="3060"/>
      <c r="AMU161" s="3060"/>
      <c r="AMV161" s="3060"/>
      <c r="AMW161" s="3060"/>
      <c r="AMX161" s="3060"/>
      <c r="AMY161" s="3060"/>
      <c r="AMZ161" s="3060"/>
      <c r="ANA161" s="3060"/>
      <c r="ANB161" s="3060"/>
      <c r="ANC161" s="3060"/>
      <c r="AND161" s="3060"/>
      <c r="ANE161" s="3060"/>
      <c r="ANF161" s="3060"/>
      <c r="ANG161" s="3060"/>
      <c r="ANH161" s="3060"/>
      <c r="ANI161" s="3060"/>
      <c r="ANJ161" s="3060"/>
      <c r="ANK161" s="3060"/>
      <c r="ANL161" s="3060"/>
      <c r="ANM161" s="3060"/>
      <c r="ANN161" s="3060"/>
      <c r="ANO161" s="3060"/>
      <c r="ANP161" s="3060"/>
      <c r="ANQ161" s="3060"/>
      <c r="ANR161" s="3060"/>
      <c r="ANS161" s="3060"/>
      <c r="ANT161" s="3060"/>
      <c r="ANU161" s="3060"/>
      <c r="ANV161" s="3060"/>
      <c r="ANW161" s="3060"/>
      <c r="ANX161" s="3060"/>
      <c r="ANY161" s="3060"/>
      <c r="ANZ161" s="3060"/>
      <c r="AOA161" s="3060"/>
      <c r="AOB161" s="3060"/>
      <c r="AOC161" s="3060"/>
      <c r="AOD161" s="3060"/>
      <c r="AOE161" s="3060"/>
      <c r="AOF161" s="3060"/>
      <c r="AOG161" s="3060"/>
      <c r="AOH161" s="3060"/>
      <c r="AOI161" s="3060"/>
      <c r="AOJ161" s="3060"/>
      <c r="AOK161" s="3060"/>
      <c r="AOL161" s="3060"/>
      <c r="AOM161" s="3060"/>
      <c r="AON161" s="3060"/>
      <c r="AOO161" s="3060"/>
      <c r="AOP161" s="3060"/>
      <c r="AOQ161" s="3060"/>
      <c r="AOR161" s="3060"/>
      <c r="AOS161" s="3060"/>
      <c r="AOT161" s="3060"/>
      <c r="AOU161" s="3060"/>
      <c r="AOV161" s="3060"/>
      <c r="AOW161" s="3060"/>
      <c r="AOX161" s="3060"/>
      <c r="AOY161" s="3060"/>
      <c r="AOZ161" s="3060"/>
      <c r="APA161" s="3060"/>
      <c r="APB161" s="3060"/>
      <c r="APC161" s="3060"/>
      <c r="APD161" s="3060"/>
      <c r="APE161" s="3060"/>
      <c r="APF161" s="3060"/>
      <c r="APG161" s="3060"/>
      <c r="APH161" s="3060"/>
      <c r="API161" s="3060"/>
      <c r="APJ161" s="3060"/>
      <c r="APK161" s="3060"/>
      <c r="APL161" s="3060"/>
      <c r="APM161" s="3060"/>
      <c r="APN161" s="3060"/>
      <c r="APO161" s="3060"/>
      <c r="APP161" s="3060"/>
      <c r="APQ161" s="3060"/>
      <c r="APR161" s="3060"/>
      <c r="APS161" s="3060"/>
      <c r="APT161" s="3060"/>
      <c r="APU161" s="3060"/>
      <c r="APV161" s="3060"/>
      <c r="APW161" s="3060"/>
      <c r="APX161" s="3060"/>
      <c r="APY161" s="3060"/>
      <c r="APZ161" s="3060"/>
      <c r="AQA161" s="3060"/>
      <c r="AQB161" s="3060"/>
      <c r="AQC161" s="3060"/>
      <c r="AQD161" s="3060"/>
      <c r="AQE161" s="3060"/>
      <c r="AQF161" s="3060"/>
      <c r="AQG161" s="3060"/>
      <c r="AQH161" s="3060"/>
      <c r="AQI161" s="3060"/>
      <c r="AQJ161" s="3060"/>
      <c r="AQK161" s="3060"/>
      <c r="AQL161" s="3060"/>
      <c r="AQM161" s="3060"/>
      <c r="AQN161" s="3060"/>
      <c r="AQO161" s="3060"/>
      <c r="AQP161" s="3060"/>
      <c r="AQQ161" s="3060"/>
      <c r="AQR161" s="3060"/>
      <c r="AQS161" s="3060"/>
      <c r="AQT161" s="3060"/>
      <c r="AQU161" s="3060"/>
      <c r="AQV161" s="3060"/>
      <c r="AQW161" s="3060"/>
      <c r="AQX161" s="3060"/>
      <c r="AQY161" s="3060"/>
      <c r="AQZ161" s="3060"/>
      <c r="ARA161" s="3060"/>
      <c r="ARB161" s="3060"/>
      <c r="ARC161" s="3060"/>
      <c r="ARD161" s="3060"/>
      <c r="ARE161" s="3060"/>
      <c r="ARF161" s="3060"/>
      <c r="ARG161" s="3060"/>
      <c r="ARH161" s="3060"/>
      <c r="ARI161" s="3060"/>
      <c r="ARJ161" s="3060"/>
      <c r="ARK161" s="3060"/>
      <c r="ARL161" s="3060"/>
      <c r="ARM161" s="3060"/>
      <c r="ARN161" s="3060"/>
      <c r="ARO161" s="3060"/>
      <c r="ARP161" s="3060"/>
      <c r="ARQ161" s="3060"/>
      <c r="ARR161" s="3060"/>
      <c r="ARS161" s="3060"/>
      <c r="ART161" s="3060"/>
      <c r="ARU161" s="3060"/>
      <c r="ARV161" s="3060"/>
      <c r="ARW161" s="3060"/>
      <c r="ARX161" s="3060"/>
      <c r="ARY161" s="3060"/>
      <c r="ARZ161" s="3060"/>
      <c r="ASA161" s="3060"/>
      <c r="ASB161" s="3060"/>
      <c r="ASC161" s="3060"/>
      <c r="ASD161" s="3060"/>
      <c r="ASE161" s="3060"/>
      <c r="ASF161" s="3060"/>
      <c r="ASG161" s="3060"/>
      <c r="ASH161" s="3060"/>
      <c r="ASI161" s="3060"/>
      <c r="ASJ161" s="3060"/>
      <c r="ASK161" s="3060"/>
      <c r="ASL161" s="3060"/>
      <c r="ASM161" s="3060"/>
      <c r="ASN161" s="3060"/>
      <c r="ASO161" s="3060"/>
      <c r="ASP161" s="3060"/>
      <c r="ASQ161" s="3060"/>
      <c r="ASR161" s="3060"/>
      <c r="ASS161" s="3060"/>
      <c r="AST161" s="3060"/>
      <c r="ASU161" s="3060"/>
      <c r="ASV161" s="3060"/>
      <c r="ASW161" s="3060"/>
      <c r="ASX161" s="3060"/>
      <c r="ASY161" s="3060"/>
      <c r="ASZ161" s="3060"/>
      <c r="ATA161" s="3060"/>
      <c r="ATB161" s="3060"/>
      <c r="ATC161" s="3060"/>
      <c r="ATD161" s="3060"/>
      <c r="ATE161" s="3060"/>
      <c r="ATF161" s="3060"/>
      <c r="ATG161" s="3060"/>
      <c r="ATH161" s="3060"/>
      <c r="ATI161" s="3060"/>
      <c r="ATJ161" s="3060"/>
      <c r="ATK161" s="3060"/>
      <c r="ATL161" s="3060"/>
      <c r="ATM161" s="3060"/>
      <c r="ATN161" s="3060"/>
      <c r="ATO161" s="3060"/>
      <c r="ATP161" s="3060"/>
      <c r="ATQ161" s="3060"/>
      <c r="ATR161" s="3060"/>
      <c r="ATS161" s="3060"/>
      <c r="ATT161" s="3060"/>
      <c r="ATU161" s="3060"/>
      <c r="ATV161" s="3060"/>
      <c r="ATW161" s="3060"/>
      <c r="ATX161" s="3060"/>
      <c r="ATY161" s="3060"/>
      <c r="ATZ161" s="3060"/>
      <c r="AUA161" s="3060"/>
      <c r="AUB161" s="3060"/>
      <c r="AUC161" s="3060"/>
      <c r="AUD161" s="3060"/>
      <c r="AUE161" s="3060"/>
      <c r="AUF161" s="3060"/>
      <c r="AUG161" s="3060"/>
      <c r="AUH161" s="3060"/>
      <c r="AUI161" s="3060"/>
      <c r="AUJ161" s="3060"/>
      <c r="AUK161" s="3060"/>
      <c r="AUL161" s="3060"/>
      <c r="AUM161" s="3060"/>
      <c r="AUN161" s="3060"/>
      <c r="AUO161" s="3060"/>
      <c r="AUP161" s="3060"/>
      <c r="AUQ161" s="3060"/>
      <c r="AUR161" s="3060"/>
      <c r="AUS161" s="3060"/>
      <c r="AUT161" s="3060"/>
      <c r="AUU161" s="3060"/>
      <c r="AUV161" s="3060"/>
      <c r="AUW161" s="3060"/>
      <c r="AUX161" s="3060"/>
      <c r="AUY161" s="3060"/>
      <c r="AUZ161" s="3060"/>
      <c r="AVA161" s="3060"/>
      <c r="AVB161" s="3060"/>
      <c r="AVC161" s="3060"/>
      <c r="AVD161" s="3060"/>
      <c r="AVE161" s="3060"/>
      <c r="AVF161" s="3060"/>
      <c r="AVG161" s="3060"/>
      <c r="AVH161" s="3060"/>
      <c r="AVI161" s="3060"/>
      <c r="AVJ161" s="3060"/>
      <c r="AVK161" s="3060"/>
      <c r="AVL161" s="3060"/>
      <c r="AVM161" s="3060"/>
      <c r="AVN161" s="3060"/>
      <c r="AVO161" s="3060"/>
      <c r="AVP161" s="3060"/>
      <c r="AVQ161" s="3060"/>
      <c r="AVR161" s="3060"/>
      <c r="AVS161" s="3060"/>
      <c r="AVT161" s="3060"/>
      <c r="AVU161" s="3060"/>
      <c r="AVV161" s="3060"/>
      <c r="AVW161" s="3060"/>
      <c r="AVX161" s="3060"/>
      <c r="AVY161" s="3060"/>
      <c r="AVZ161" s="3060"/>
      <c r="AWA161" s="3060"/>
      <c r="AWB161" s="3060"/>
      <c r="AWC161" s="3060"/>
      <c r="AWD161" s="3060"/>
      <c r="AWE161" s="3060"/>
      <c r="AWF161" s="3060"/>
      <c r="AWG161" s="3060"/>
      <c r="AWH161" s="3060"/>
      <c r="AWI161" s="3060"/>
      <c r="AWJ161" s="3060"/>
      <c r="AWK161" s="3060"/>
      <c r="AWL161" s="3060"/>
      <c r="AWM161" s="3060"/>
      <c r="AWN161" s="3060"/>
      <c r="AWO161" s="3060"/>
      <c r="AWP161" s="3060"/>
      <c r="AWQ161" s="3060"/>
      <c r="AWR161" s="3060"/>
      <c r="AWS161" s="3060"/>
      <c r="AWT161" s="3060"/>
      <c r="AWU161" s="3060"/>
      <c r="AWV161" s="3060"/>
      <c r="AWW161" s="3060"/>
      <c r="AWX161" s="3060"/>
      <c r="AWY161" s="3060"/>
      <c r="AWZ161" s="3060"/>
      <c r="AXA161" s="3060"/>
      <c r="AXB161" s="3060"/>
      <c r="AXC161" s="3060"/>
      <c r="AXD161" s="3060"/>
      <c r="AXE161" s="3060"/>
      <c r="AXF161" s="3060"/>
      <c r="AXG161" s="3060"/>
      <c r="AXH161" s="3060"/>
      <c r="AXI161" s="3060"/>
      <c r="AXJ161" s="3060"/>
      <c r="AXK161" s="3060"/>
      <c r="AXL161" s="3060"/>
      <c r="AXM161" s="3060"/>
      <c r="AXN161" s="3060"/>
      <c r="AXO161" s="3060"/>
      <c r="AXP161" s="3060"/>
      <c r="AXQ161" s="3060"/>
      <c r="AXR161" s="3060"/>
      <c r="AXS161" s="3060"/>
      <c r="AXT161" s="3060"/>
      <c r="AXU161" s="3060"/>
      <c r="AXV161" s="3060"/>
      <c r="AXW161" s="3060"/>
      <c r="AXX161" s="3060"/>
      <c r="AXY161" s="3060"/>
      <c r="AXZ161" s="3060"/>
      <c r="AYA161" s="3060"/>
      <c r="AYB161" s="3060"/>
      <c r="AYC161" s="3060"/>
      <c r="AYD161" s="3060"/>
      <c r="AYE161" s="3060"/>
      <c r="AYF161" s="3060"/>
      <c r="AYG161" s="3060"/>
      <c r="AYH161" s="3060"/>
      <c r="AYI161" s="3060"/>
      <c r="AYJ161" s="3060"/>
      <c r="AYK161" s="3060"/>
      <c r="AYL161" s="3060"/>
      <c r="AYM161" s="3060"/>
      <c r="AYN161" s="3060"/>
      <c r="AYO161" s="3060"/>
      <c r="AYP161" s="3060"/>
      <c r="AYQ161" s="3060"/>
      <c r="AYR161" s="3060"/>
      <c r="AYS161" s="3060"/>
      <c r="AYT161" s="3060"/>
      <c r="AYU161" s="3060"/>
      <c r="AYV161" s="3060"/>
      <c r="AYW161" s="3060"/>
      <c r="AYX161" s="3060"/>
      <c r="AYY161" s="3060"/>
      <c r="AYZ161" s="3060"/>
      <c r="AZA161" s="3060"/>
      <c r="AZB161" s="3060"/>
      <c r="AZC161" s="3060"/>
      <c r="AZD161" s="3060"/>
      <c r="AZE161" s="3060"/>
      <c r="AZF161" s="3060"/>
      <c r="AZG161" s="3060"/>
      <c r="AZH161" s="3060"/>
      <c r="AZI161" s="3060"/>
      <c r="AZJ161" s="3060"/>
      <c r="AZK161" s="3060"/>
      <c r="AZL161" s="3060"/>
      <c r="AZM161" s="3060"/>
      <c r="AZN161" s="3060"/>
      <c r="AZO161" s="3060"/>
      <c r="AZP161" s="3060"/>
      <c r="AZQ161" s="3060"/>
      <c r="AZR161" s="3060"/>
      <c r="AZS161" s="3060"/>
      <c r="AZT161" s="3060"/>
      <c r="AZU161" s="3060"/>
      <c r="AZV161" s="3060"/>
      <c r="AZW161" s="3060"/>
      <c r="AZX161" s="3060"/>
      <c r="AZY161" s="3060"/>
      <c r="AZZ161" s="3060"/>
      <c r="BAA161" s="3060"/>
      <c r="BAB161" s="3060"/>
      <c r="BAC161" s="3060"/>
      <c r="BAD161" s="3060"/>
      <c r="BAE161" s="3060"/>
      <c r="BAF161" s="3060"/>
      <c r="BAG161" s="3060"/>
      <c r="BAH161" s="3060"/>
      <c r="BAI161" s="3060"/>
      <c r="BAJ161" s="3060"/>
      <c r="BAK161" s="3060"/>
      <c r="BAL161" s="3060"/>
      <c r="BAM161" s="3060"/>
      <c r="BAN161" s="3060"/>
      <c r="BAO161" s="3060"/>
      <c r="BAP161" s="3060"/>
      <c r="BAQ161" s="3060"/>
      <c r="BAR161" s="3060"/>
      <c r="BAS161" s="3060"/>
      <c r="BAT161" s="3060"/>
      <c r="BAU161" s="3060"/>
      <c r="BAV161" s="3060"/>
      <c r="BAW161" s="3060"/>
      <c r="BAX161" s="3060"/>
      <c r="BAY161" s="3060"/>
      <c r="BAZ161" s="3060"/>
      <c r="BBA161" s="3060"/>
      <c r="BBB161" s="3060"/>
      <c r="BBC161" s="3060"/>
      <c r="BBD161" s="3060"/>
      <c r="BBE161" s="3060"/>
      <c r="BBF161" s="3060"/>
      <c r="BBG161" s="3060"/>
      <c r="BBH161" s="3060"/>
      <c r="BBI161" s="3060"/>
      <c r="BBJ161" s="3060"/>
      <c r="BBK161" s="3060"/>
      <c r="BBL161" s="3060"/>
      <c r="BBM161" s="3060"/>
      <c r="BBN161" s="3060"/>
      <c r="BBO161" s="3060"/>
      <c r="BBP161" s="3060"/>
      <c r="BBQ161" s="3060"/>
      <c r="BBR161" s="3060"/>
      <c r="BBS161" s="3060"/>
      <c r="BBT161" s="3060"/>
      <c r="BBU161" s="3060"/>
      <c r="BBV161" s="3060"/>
      <c r="BBW161" s="3060"/>
      <c r="BBX161" s="3060"/>
      <c r="BBY161" s="3060"/>
      <c r="BBZ161" s="3060"/>
      <c r="BCA161" s="3060"/>
      <c r="BCB161" s="3060"/>
      <c r="BCC161" s="3060"/>
      <c r="BCD161" s="3060"/>
      <c r="BCE161" s="3060"/>
      <c r="BCF161" s="3060"/>
      <c r="BCG161" s="3060"/>
      <c r="BCH161" s="3060"/>
      <c r="BCI161" s="3060"/>
      <c r="BCJ161" s="3060"/>
      <c r="BCK161" s="3060"/>
      <c r="BCL161" s="3060"/>
      <c r="BCM161" s="3060"/>
      <c r="BCN161" s="3060"/>
      <c r="BCO161" s="3060"/>
      <c r="BCP161" s="3060"/>
      <c r="BCQ161" s="3060"/>
      <c r="BCR161" s="3060"/>
      <c r="BCS161" s="3060"/>
      <c r="BCT161" s="3060"/>
      <c r="BCU161" s="3060"/>
      <c r="BCV161" s="3060"/>
      <c r="BCW161" s="3060"/>
      <c r="BCX161" s="3060"/>
      <c r="BCY161" s="3060"/>
      <c r="BCZ161" s="3060"/>
      <c r="BDA161" s="3060"/>
      <c r="BDB161" s="3060"/>
      <c r="BDC161" s="3060"/>
      <c r="BDD161" s="3060"/>
      <c r="BDE161" s="3060"/>
      <c r="BDF161" s="3060"/>
      <c r="BDG161" s="3060"/>
      <c r="BDH161" s="3060"/>
      <c r="BDI161" s="3060"/>
      <c r="BDJ161" s="3060"/>
      <c r="BDK161" s="3060"/>
      <c r="BDL161" s="3060"/>
      <c r="BDM161" s="3060"/>
      <c r="BDN161" s="3060"/>
      <c r="BDO161" s="3060"/>
      <c r="BDP161" s="3060"/>
      <c r="BDQ161" s="3060"/>
      <c r="BDR161" s="3060"/>
      <c r="BDS161" s="3060"/>
      <c r="BDT161" s="3060"/>
      <c r="BDU161" s="3060"/>
      <c r="BDV161" s="3060"/>
      <c r="BDW161" s="3060"/>
      <c r="BDX161" s="3060"/>
      <c r="BDY161" s="3060"/>
      <c r="BDZ161" s="3060"/>
      <c r="BEA161" s="3060"/>
      <c r="BEB161" s="3060"/>
      <c r="BEC161" s="3060"/>
      <c r="BED161" s="3060"/>
      <c r="BEE161" s="3060"/>
      <c r="BEF161" s="3060"/>
      <c r="BEG161" s="3060"/>
      <c r="BEH161" s="3060"/>
      <c r="BEI161" s="3060"/>
      <c r="BEJ161" s="3060"/>
      <c r="BEK161" s="3060"/>
      <c r="BEL161" s="3060"/>
      <c r="BEM161" s="3060"/>
      <c r="BEN161" s="3060"/>
      <c r="BEO161" s="3060"/>
      <c r="BEP161" s="3060"/>
      <c r="BEQ161" s="3060"/>
      <c r="BER161" s="3060"/>
      <c r="BES161" s="3060"/>
      <c r="BET161" s="3060"/>
      <c r="BEU161" s="3060"/>
      <c r="BEV161" s="3060"/>
      <c r="BEW161" s="3060"/>
      <c r="BEX161" s="3060"/>
      <c r="BEY161" s="3060"/>
      <c r="BEZ161" s="3060"/>
      <c r="BFA161" s="3060"/>
      <c r="BFB161" s="3060"/>
      <c r="BFC161" s="3060"/>
      <c r="BFD161" s="3060"/>
      <c r="BFE161" s="3060"/>
      <c r="BFF161" s="3060"/>
      <c r="BFG161" s="3060"/>
      <c r="BFH161" s="3060"/>
      <c r="BFI161" s="3060"/>
      <c r="BFJ161" s="3060"/>
      <c r="BFK161" s="3060"/>
      <c r="BFL161" s="3060"/>
      <c r="BFM161" s="3060"/>
      <c r="BFN161" s="3060"/>
      <c r="BFO161" s="3060"/>
      <c r="BFP161" s="3060"/>
      <c r="BFQ161" s="3060"/>
      <c r="BFR161" s="3060"/>
      <c r="BFS161" s="3060"/>
      <c r="BFT161" s="3060"/>
      <c r="BFU161" s="3060"/>
      <c r="BFV161" s="3060"/>
      <c r="BFW161" s="3060"/>
      <c r="BFX161" s="3060"/>
      <c r="BFY161" s="3060"/>
      <c r="BFZ161" s="3060"/>
      <c r="BGA161" s="3060"/>
      <c r="BGB161" s="3060"/>
      <c r="BGC161" s="3060"/>
      <c r="BGD161" s="3060"/>
      <c r="BGE161" s="3060"/>
      <c r="BGF161" s="3060"/>
      <c r="BGG161" s="3060"/>
      <c r="BGH161" s="3060"/>
      <c r="BGI161" s="3060"/>
      <c r="BGJ161" s="3060"/>
      <c r="BGK161" s="3060"/>
      <c r="BGL161" s="3060"/>
      <c r="BGM161" s="3060"/>
      <c r="BGN161" s="3060"/>
      <c r="BGO161" s="3060"/>
      <c r="BGP161" s="3060"/>
      <c r="BGQ161" s="3060"/>
      <c r="BGR161" s="3060"/>
      <c r="BGS161" s="3060"/>
      <c r="BGT161" s="3060"/>
      <c r="BGU161" s="3060"/>
      <c r="BGV161" s="3060"/>
      <c r="BGW161" s="3060"/>
      <c r="BGX161" s="3060"/>
      <c r="BGY161" s="3060"/>
      <c r="BGZ161" s="3060"/>
      <c r="BHA161" s="3060"/>
      <c r="BHB161" s="3060"/>
      <c r="BHC161" s="3060"/>
      <c r="BHD161" s="3060"/>
      <c r="BHE161" s="3060"/>
      <c r="BHF161" s="3060"/>
      <c r="BHG161" s="3060"/>
      <c r="BHH161" s="3060"/>
      <c r="BHI161" s="3060"/>
      <c r="BHJ161" s="3060"/>
      <c r="BHK161" s="3060"/>
      <c r="BHL161" s="3060"/>
      <c r="BHM161" s="3060"/>
      <c r="BHN161" s="3060"/>
      <c r="BHO161" s="3060"/>
      <c r="BHP161" s="3060"/>
      <c r="BHQ161" s="3060"/>
      <c r="BHR161" s="3060"/>
      <c r="BHS161" s="3060"/>
      <c r="BHT161" s="3060"/>
      <c r="BHU161" s="3060"/>
      <c r="BHV161" s="3060"/>
      <c r="BHW161" s="3060"/>
      <c r="BHX161" s="3060"/>
      <c r="BHY161" s="3060"/>
      <c r="BHZ161" s="3060"/>
      <c r="BIA161" s="3060"/>
      <c r="BIB161" s="3060"/>
      <c r="BIC161" s="3060"/>
      <c r="BID161" s="3060"/>
      <c r="BIE161" s="3060"/>
      <c r="BIF161" s="3060"/>
      <c r="BIG161" s="3060"/>
      <c r="BIH161" s="3060"/>
      <c r="BII161" s="3060"/>
      <c r="BIJ161" s="3060"/>
      <c r="BIK161" s="3060"/>
      <c r="BIL161" s="3060"/>
      <c r="BIM161" s="3060"/>
      <c r="BIN161" s="3060"/>
      <c r="BIO161" s="3060"/>
      <c r="BIP161" s="3060"/>
      <c r="BIQ161" s="3060"/>
      <c r="BIR161" s="3060"/>
      <c r="BIS161" s="3060"/>
      <c r="BIT161" s="3060"/>
      <c r="BIU161" s="3060"/>
      <c r="BIV161" s="3060"/>
      <c r="BIW161" s="3060"/>
      <c r="BIX161" s="3060"/>
      <c r="BIY161" s="3060"/>
      <c r="BIZ161" s="3060"/>
      <c r="BJA161" s="3060"/>
      <c r="BJB161" s="3060"/>
      <c r="BJC161" s="3060"/>
      <c r="BJD161" s="3060"/>
      <c r="BJE161" s="3060"/>
      <c r="BJF161" s="3060"/>
      <c r="BJG161" s="3060"/>
      <c r="BJH161" s="3060"/>
      <c r="BJI161" s="3060"/>
      <c r="BJJ161" s="3060"/>
      <c r="BJK161" s="3060"/>
      <c r="BJL161" s="3060"/>
      <c r="BJM161" s="3060"/>
      <c r="BJN161" s="3060"/>
      <c r="BJO161" s="3060"/>
      <c r="BJP161" s="3060"/>
      <c r="BJQ161" s="3060"/>
      <c r="BJR161" s="3060"/>
      <c r="BJS161" s="3060"/>
      <c r="BJT161" s="3060"/>
      <c r="BJU161" s="3060"/>
      <c r="BJV161" s="3060"/>
      <c r="BJW161" s="3060"/>
      <c r="BJX161" s="3060"/>
      <c r="BJY161" s="3060"/>
      <c r="BJZ161" s="3060"/>
      <c r="BKA161" s="3060"/>
      <c r="BKB161" s="3060"/>
      <c r="BKC161" s="3060"/>
      <c r="BKD161" s="3060"/>
      <c r="BKE161" s="3060"/>
      <c r="BKF161" s="3060"/>
      <c r="BKG161" s="3060"/>
      <c r="BKH161" s="3060"/>
      <c r="BKI161" s="3060"/>
      <c r="BKJ161" s="3060"/>
      <c r="BKK161" s="3060"/>
      <c r="BKL161" s="3060"/>
      <c r="BKM161" s="3060"/>
      <c r="BKN161" s="3060"/>
      <c r="BKO161" s="3060"/>
      <c r="BKP161" s="3060"/>
      <c r="BKQ161" s="3060"/>
      <c r="BKR161" s="3060"/>
      <c r="BKS161" s="3060"/>
      <c r="BKT161" s="3060"/>
      <c r="BKU161" s="3060"/>
      <c r="BKV161" s="3060"/>
      <c r="BKW161" s="3060"/>
      <c r="BKX161" s="3060"/>
      <c r="BKY161" s="3060"/>
      <c r="BKZ161" s="3060"/>
      <c r="BLA161" s="3060"/>
      <c r="BLB161" s="3060"/>
      <c r="BLC161" s="3060"/>
      <c r="BLD161" s="3060"/>
      <c r="BLE161" s="3060"/>
      <c r="BLF161" s="3060"/>
      <c r="BLG161" s="3060"/>
      <c r="BLH161" s="3060"/>
      <c r="BLI161" s="3060"/>
      <c r="BLJ161" s="3060"/>
      <c r="BLK161" s="3060"/>
      <c r="BLL161" s="3060"/>
      <c r="BLM161" s="3060"/>
      <c r="BLN161" s="3060"/>
      <c r="BLO161" s="3060"/>
      <c r="BLP161" s="3060"/>
      <c r="BLQ161" s="3060"/>
      <c r="BLR161" s="3060"/>
      <c r="BLS161" s="3060"/>
      <c r="BLT161" s="3060"/>
      <c r="BLU161" s="3060"/>
      <c r="BLV161" s="3060"/>
      <c r="BLW161" s="3060"/>
      <c r="BLX161" s="3060"/>
      <c r="BLY161" s="3060"/>
      <c r="BLZ161" s="3060"/>
      <c r="BMA161" s="3060"/>
      <c r="BMB161" s="3060"/>
      <c r="BMC161" s="3060"/>
      <c r="BMD161" s="3060"/>
      <c r="BME161" s="3060"/>
      <c r="BMF161" s="3060"/>
      <c r="BMG161" s="3060"/>
      <c r="BMH161" s="3060"/>
      <c r="BMI161" s="3060"/>
      <c r="BMJ161" s="3060"/>
      <c r="BMK161" s="3060"/>
      <c r="BML161" s="3060"/>
      <c r="BMM161" s="3060"/>
      <c r="BMN161" s="3060"/>
      <c r="BMO161" s="3060"/>
      <c r="BMP161" s="3060"/>
      <c r="BMQ161" s="3060"/>
      <c r="BMR161" s="3060"/>
      <c r="BMS161" s="3060"/>
      <c r="BMT161" s="3060"/>
      <c r="BMU161" s="3060"/>
      <c r="BMV161" s="3060"/>
      <c r="BMW161" s="3060"/>
      <c r="BMX161" s="3060"/>
      <c r="BMY161" s="3060"/>
      <c r="BMZ161" s="3060"/>
      <c r="BNA161" s="3060"/>
      <c r="BNB161" s="3060"/>
      <c r="BNC161" s="3060"/>
      <c r="BND161" s="3060"/>
      <c r="BNE161" s="3060"/>
      <c r="BNF161" s="3060"/>
      <c r="BNG161" s="3060"/>
      <c r="BNH161" s="3060"/>
      <c r="BNI161" s="3060"/>
      <c r="BNJ161" s="3060"/>
      <c r="BNK161" s="3060"/>
      <c r="BNL161" s="3060"/>
      <c r="BNM161" s="3060"/>
      <c r="BNN161" s="3060"/>
      <c r="BNO161" s="3060"/>
      <c r="BNP161" s="3060"/>
      <c r="BNQ161" s="3060"/>
      <c r="BNR161" s="3060"/>
      <c r="BNS161" s="3060"/>
      <c r="BNT161" s="3060"/>
      <c r="BNU161" s="3060"/>
      <c r="BNV161" s="3060"/>
      <c r="BNW161" s="3060"/>
      <c r="BNX161" s="3060"/>
      <c r="BNY161" s="3060"/>
      <c r="BNZ161" s="3060"/>
      <c r="BOA161" s="3060"/>
      <c r="BOB161" s="3060"/>
      <c r="BOC161" s="3060"/>
      <c r="BOD161" s="3060"/>
      <c r="BOE161" s="3060"/>
      <c r="BOF161" s="3060"/>
      <c r="BOG161" s="3060"/>
      <c r="BOH161" s="3060"/>
      <c r="BOI161" s="3060"/>
      <c r="BOJ161" s="3060"/>
      <c r="BOK161" s="3060"/>
      <c r="BOL161" s="3060"/>
      <c r="BOM161" s="3060"/>
      <c r="BON161" s="3060"/>
      <c r="BOO161" s="3060"/>
      <c r="BOP161" s="3060"/>
      <c r="BOQ161" s="3060"/>
      <c r="BOR161" s="3060"/>
      <c r="BOS161" s="3060"/>
      <c r="BOT161" s="3060"/>
      <c r="BOU161" s="3060"/>
      <c r="BOV161" s="3060"/>
      <c r="BOW161" s="3060"/>
      <c r="BOX161" s="3060"/>
      <c r="BOY161" s="3060"/>
      <c r="BOZ161" s="3060"/>
      <c r="BPA161" s="3060"/>
      <c r="BPB161" s="3060"/>
      <c r="BPC161" s="3060"/>
      <c r="BPD161" s="3060"/>
      <c r="BPE161" s="3060"/>
      <c r="BPF161" s="3060"/>
      <c r="BPG161" s="3060"/>
      <c r="BPH161" s="3060"/>
      <c r="BPI161" s="3060"/>
      <c r="BPJ161" s="3060"/>
      <c r="BPK161" s="3060"/>
      <c r="BPL161" s="3060"/>
      <c r="BPM161" s="3060"/>
      <c r="BPN161" s="3060"/>
      <c r="BPO161" s="3060"/>
      <c r="BPP161" s="3060"/>
      <c r="BPQ161" s="3060"/>
      <c r="BPR161" s="3060"/>
      <c r="BPS161" s="3060"/>
      <c r="BPT161" s="3060"/>
      <c r="BPU161" s="3060"/>
      <c r="BPV161" s="3060"/>
      <c r="BPW161" s="3060"/>
      <c r="BPX161" s="3060"/>
      <c r="BPY161" s="3060"/>
      <c r="BPZ161" s="3060"/>
      <c r="BQA161" s="3060"/>
      <c r="BQB161" s="3060"/>
      <c r="BQC161" s="3060"/>
      <c r="BQD161" s="3060"/>
      <c r="BQE161" s="3060"/>
      <c r="BQF161" s="3060"/>
      <c r="BQG161" s="3060"/>
      <c r="BQH161" s="3060"/>
      <c r="BQI161" s="3060"/>
      <c r="BQJ161" s="3060"/>
      <c r="BQK161" s="3060"/>
      <c r="BQL161" s="3060"/>
      <c r="BQM161" s="3060"/>
      <c r="BQN161" s="3060"/>
      <c r="BQO161" s="3060"/>
      <c r="BQP161" s="3060"/>
      <c r="BQQ161" s="3060"/>
      <c r="BQR161" s="3060"/>
      <c r="BQS161" s="3060"/>
      <c r="BQT161" s="3060"/>
      <c r="BQU161" s="3060"/>
      <c r="BQV161" s="3060"/>
      <c r="BQW161" s="3060"/>
      <c r="BQX161" s="3060"/>
      <c r="BQY161" s="3060"/>
      <c r="BQZ161" s="3060"/>
      <c r="BRA161" s="3060"/>
      <c r="BRB161" s="3060"/>
      <c r="BRC161" s="3060"/>
      <c r="BRD161" s="3060"/>
      <c r="BRE161" s="3060"/>
      <c r="BRF161" s="3060"/>
      <c r="BRG161" s="3060"/>
      <c r="BRH161" s="3060"/>
      <c r="BRI161" s="3060"/>
      <c r="BRJ161" s="3060"/>
      <c r="BRK161" s="3060"/>
      <c r="BRL161" s="3060"/>
      <c r="BRM161" s="3060"/>
      <c r="BRN161" s="3060"/>
      <c r="BRO161" s="3060"/>
      <c r="BRP161" s="3060"/>
      <c r="BRQ161" s="3060"/>
      <c r="BRR161" s="3060"/>
      <c r="BRS161" s="3060"/>
      <c r="BRT161" s="3060"/>
      <c r="BRU161" s="3060"/>
      <c r="BRV161" s="3060"/>
      <c r="BRW161" s="3060"/>
      <c r="BRX161" s="3060"/>
      <c r="BRY161" s="3060"/>
      <c r="BRZ161" s="3060"/>
      <c r="BSA161" s="3060"/>
      <c r="BSB161" s="3060"/>
      <c r="BSC161" s="3060"/>
      <c r="BSD161" s="3060"/>
      <c r="BSE161" s="3060"/>
      <c r="BSF161" s="3060"/>
      <c r="BSG161" s="3060"/>
      <c r="BSH161" s="3060"/>
      <c r="BSI161" s="3060"/>
      <c r="BSJ161" s="3060"/>
      <c r="BSK161" s="3060"/>
      <c r="BSL161" s="3060"/>
      <c r="BSM161" s="3060"/>
      <c r="BSN161" s="3060"/>
      <c r="BSO161" s="3060"/>
      <c r="BSP161" s="3060"/>
      <c r="BSQ161" s="3060"/>
      <c r="BSR161" s="3060"/>
      <c r="BSS161" s="3060"/>
      <c r="BST161" s="3060"/>
      <c r="BSU161" s="3060"/>
      <c r="BSV161" s="3060"/>
      <c r="BSW161" s="3060"/>
      <c r="BSX161" s="3060"/>
      <c r="BSY161" s="3060"/>
      <c r="BSZ161" s="3060"/>
      <c r="BTA161" s="3060"/>
      <c r="BTB161" s="3060"/>
      <c r="BTC161" s="3060"/>
      <c r="BTD161" s="3060"/>
      <c r="BTE161" s="3060"/>
      <c r="BTF161" s="3060"/>
      <c r="BTG161" s="3060"/>
      <c r="BTH161" s="3060"/>
      <c r="BTI161" s="3060"/>
      <c r="BTJ161" s="3060"/>
      <c r="BTK161" s="3060"/>
      <c r="BTL161" s="3060"/>
      <c r="BTM161" s="3060"/>
      <c r="BTN161" s="3060"/>
      <c r="BTO161" s="3060"/>
      <c r="BTP161" s="3060"/>
      <c r="BTQ161" s="3060"/>
      <c r="BTR161" s="3060"/>
      <c r="BTS161" s="3060"/>
      <c r="BTT161" s="3060"/>
      <c r="BTU161" s="3060"/>
      <c r="BTV161" s="3060"/>
      <c r="BTW161" s="3060"/>
      <c r="BTX161" s="3060"/>
      <c r="BTY161" s="3060"/>
      <c r="BTZ161" s="3060"/>
      <c r="BUA161" s="3060"/>
      <c r="BUB161" s="3060"/>
      <c r="BUC161" s="3060"/>
      <c r="BUD161" s="3060"/>
      <c r="BUE161" s="3060"/>
      <c r="BUF161" s="3060"/>
      <c r="BUG161" s="3060"/>
      <c r="BUH161" s="3060"/>
      <c r="BUI161" s="3060"/>
      <c r="BUJ161" s="3060"/>
      <c r="BUK161" s="3060"/>
      <c r="BUL161" s="3060"/>
      <c r="BUM161" s="3060"/>
      <c r="BUN161" s="3060"/>
      <c r="BUO161" s="3060"/>
      <c r="BUP161" s="3060"/>
      <c r="BUQ161" s="3060"/>
      <c r="BUR161" s="3060"/>
      <c r="BUS161" s="3060"/>
      <c r="BUT161" s="3060"/>
      <c r="BUU161" s="3060"/>
      <c r="BUV161" s="3060"/>
      <c r="BUW161" s="3060"/>
      <c r="BUX161" s="3060"/>
      <c r="BUY161" s="3060"/>
      <c r="BUZ161" s="3060"/>
      <c r="BVA161" s="3060"/>
      <c r="BVB161" s="3060"/>
      <c r="BVC161" s="3060"/>
      <c r="BVD161" s="3060"/>
      <c r="BVE161" s="3060"/>
      <c r="BVF161" s="3060"/>
      <c r="BVG161" s="3060"/>
      <c r="BVH161" s="3060"/>
      <c r="BVI161" s="3060"/>
      <c r="BVJ161" s="3060"/>
      <c r="BVK161" s="3060"/>
      <c r="BVL161" s="3060"/>
      <c r="BVM161" s="3060"/>
      <c r="BVN161" s="3060"/>
      <c r="BVO161" s="3060"/>
      <c r="BVP161" s="3060"/>
      <c r="BVQ161" s="3060"/>
      <c r="BVR161" s="3060"/>
      <c r="BVS161" s="3060"/>
      <c r="BVT161" s="3060"/>
      <c r="BVU161" s="3060"/>
      <c r="BVV161" s="3060"/>
      <c r="BVW161" s="3060"/>
      <c r="BVX161" s="3060"/>
      <c r="BVY161" s="3060"/>
      <c r="BVZ161" s="3060"/>
      <c r="BWA161" s="3060"/>
      <c r="BWB161" s="3060"/>
      <c r="BWC161" s="3060"/>
      <c r="BWD161" s="3060"/>
      <c r="BWE161" s="3060"/>
      <c r="BWF161" s="3060"/>
      <c r="BWG161" s="3060"/>
      <c r="BWH161" s="3060"/>
      <c r="BWI161" s="3060"/>
      <c r="BWJ161" s="3060"/>
      <c r="BWK161" s="3060"/>
      <c r="BWL161" s="3060"/>
      <c r="BWM161" s="3060"/>
      <c r="BWN161" s="3060"/>
      <c r="BWO161" s="3060"/>
      <c r="BWP161" s="3060"/>
      <c r="BWQ161" s="3060"/>
      <c r="BWR161" s="3060"/>
      <c r="BWS161" s="3060"/>
      <c r="BWT161" s="3060"/>
      <c r="BWU161" s="3060"/>
      <c r="BWV161" s="3060"/>
      <c r="BWW161" s="3060"/>
      <c r="BWX161" s="3060"/>
      <c r="BWY161" s="3060"/>
      <c r="BWZ161" s="3060"/>
      <c r="BXA161" s="3060"/>
      <c r="BXB161" s="3060"/>
      <c r="BXC161" s="3060"/>
      <c r="BXD161" s="3060"/>
      <c r="BXE161" s="3060"/>
      <c r="BXF161" s="3060"/>
      <c r="BXG161" s="3060"/>
      <c r="BXH161" s="3060"/>
      <c r="BXI161" s="3060"/>
      <c r="BXJ161" s="3060"/>
      <c r="BXK161" s="3060"/>
      <c r="BXL161" s="3060"/>
      <c r="BXM161" s="3060"/>
      <c r="BXN161" s="3060"/>
      <c r="BXO161" s="3060"/>
      <c r="BXP161" s="3060"/>
      <c r="BXQ161" s="3060"/>
      <c r="BXR161" s="3060"/>
      <c r="BXS161" s="3060"/>
      <c r="BXT161" s="3060"/>
      <c r="BXU161" s="3060"/>
      <c r="BXV161" s="3060"/>
      <c r="BXW161" s="3060"/>
      <c r="BXX161" s="3060"/>
      <c r="BXY161" s="3060"/>
      <c r="BXZ161" s="3060"/>
      <c r="BYA161" s="3060"/>
      <c r="BYB161" s="3060"/>
      <c r="BYC161" s="3060"/>
      <c r="BYD161" s="3060"/>
      <c r="BYE161" s="3060"/>
      <c r="BYF161" s="3060"/>
      <c r="BYG161" s="3060"/>
      <c r="BYH161" s="3060"/>
      <c r="BYI161" s="3060"/>
      <c r="BYJ161" s="3060"/>
      <c r="BYK161" s="3060"/>
      <c r="BYL161" s="3060"/>
      <c r="BYM161" s="3060"/>
      <c r="BYN161" s="3060"/>
      <c r="BYO161" s="3060"/>
      <c r="BYP161" s="3060"/>
      <c r="BYQ161" s="3060"/>
      <c r="BYR161" s="3060"/>
      <c r="BYS161" s="3060"/>
      <c r="BYT161" s="3060"/>
      <c r="BYU161" s="3060"/>
      <c r="BYV161" s="3060"/>
      <c r="BYW161" s="3060"/>
      <c r="BYX161" s="3060"/>
      <c r="BYY161" s="3060"/>
      <c r="BYZ161" s="3060"/>
      <c r="BZA161" s="3060"/>
      <c r="BZB161" s="3060"/>
      <c r="BZC161" s="3060"/>
      <c r="BZD161" s="3060"/>
      <c r="BZE161" s="3060"/>
      <c r="BZF161" s="3060"/>
      <c r="BZG161" s="3060"/>
      <c r="BZH161" s="3060"/>
      <c r="BZI161" s="3060"/>
      <c r="BZJ161" s="3060"/>
      <c r="BZK161" s="3060"/>
      <c r="BZL161" s="3060"/>
      <c r="BZM161" s="3060"/>
      <c r="BZN161" s="3060"/>
      <c r="BZO161" s="3060"/>
      <c r="BZP161" s="3060"/>
      <c r="BZQ161" s="3060"/>
      <c r="BZR161" s="3060"/>
      <c r="BZS161" s="3060"/>
      <c r="BZT161" s="3060"/>
      <c r="BZU161" s="3060"/>
      <c r="BZV161" s="3060"/>
      <c r="BZW161" s="3060"/>
      <c r="BZX161" s="3060"/>
      <c r="BZY161" s="3060"/>
      <c r="BZZ161" s="3060"/>
      <c r="CAA161" s="3060"/>
      <c r="CAB161" s="3060"/>
      <c r="CAC161" s="3060"/>
      <c r="CAD161" s="3060"/>
      <c r="CAE161" s="3060"/>
      <c r="CAF161" s="3060"/>
      <c r="CAG161" s="3060"/>
      <c r="CAH161" s="3060"/>
      <c r="CAI161" s="3060"/>
      <c r="CAJ161" s="3060"/>
      <c r="CAK161" s="3060"/>
      <c r="CAL161" s="3060"/>
      <c r="CAM161" s="3060"/>
      <c r="CAN161" s="3060"/>
      <c r="CAO161" s="3060"/>
      <c r="CAP161" s="3060"/>
      <c r="CAQ161" s="3060"/>
      <c r="CAR161" s="3060"/>
      <c r="CAS161" s="3060"/>
      <c r="CAT161" s="3060"/>
      <c r="CAU161" s="3060"/>
      <c r="CAV161" s="3060"/>
      <c r="CAW161" s="3060"/>
      <c r="CAX161" s="3060"/>
      <c r="CAY161" s="3060"/>
      <c r="CAZ161" s="3060"/>
      <c r="CBA161" s="3060"/>
      <c r="CBB161" s="3060"/>
      <c r="CBC161" s="3060"/>
      <c r="CBD161" s="3060"/>
      <c r="CBE161" s="3060"/>
      <c r="CBF161" s="3060"/>
      <c r="CBG161" s="3060"/>
      <c r="CBH161" s="3060"/>
      <c r="CBI161" s="3060"/>
      <c r="CBJ161" s="3060"/>
      <c r="CBK161" s="3060"/>
      <c r="CBL161" s="3060"/>
      <c r="CBM161" s="3060"/>
      <c r="CBN161" s="3060"/>
      <c r="CBO161" s="3060"/>
      <c r="CBP161" s="3060"/>
      <c r="CBQ161" s="3060"/>
      <c r="CBR161" s="3060"/>
      <c r="CBS161" s="3060"/>
      <c r="CBT161" s="3060"/>
      <c r="CBU161" s="3060"/>
      <c r="CBV161" s="3060"/>
      <c r="CBW161" s="3060"/>
      <c r="CBX161" s="3060"/>
      <c r="CBY161" s="3060"/>
      <c r="CBZ161" s="3060"/>
      <c r="CCA161" s="3060"/>
      <c r="CCB161" s="3060"/>
      <c r="CCC161" s="3060"/>
      <c r="CCD161" s="3060"/>
      <c r="CCE161" s="3060"/>
      <c r="CCF161" s="3060"/>
      <c r="CCG161" s="3060"/>
      <c r="CCH161" s="3060"/>
      <c r="CCI161" s="3060"/>
      <c r="CCJ161" s="3060"/>
      <c r="CCK161" s="3060"/>
      <c r="CCL161" s="3060"/>
      <c r="CCM161" s="3060"/>
      <c r="CCN161" s="3060"/>
      <c r="CCO161" s="3060"/>
      <c r="CCP161" s="3060"/>
      <c r="CCQ161" s="3060"/>
      <c r="CCR161" s="3060"/>
      <c r="CCS161" s="3060"/>
      <c r="CCT161" s="3060"/>
      <c r="CCU161" s="3060"/>
      <c r="CCV161" s="3060"/>
      <c r="CCW161" s="3060"/>
      <c r="CCX161" s="3060"/>
      <c r="CCY161" s="3060"/>
      <c r="CCZ161" s="3060"/>
      <c r="CDA161" s="3060"/>
      <c r="CDB161" s="3060"/>
      <c r="CDC161" s="3060"/>
      <c r="CDD161" s="3060"/>
      <c r="CDE161" s="3060"/>
      <c r="CDF161" s="3060"/>
      <c r="CDG161" s="3060"/>
      <c r="CDH161" s="3060"/>
      <c r="CDI161" s="3060"/>
      <c r="CDJ161" s="3060"/>
      <c r="CDK161" s="3060"/>
      <c r="CDL161" s="3060"/>
      <c r="CDM161" s="3060"/>
      <c r="CDN161" s="3060"/>
      <c r="CDO161" s="3060"/>
      <c r="CDP161" s="3060"/>
      <c r="CDQ161" s="3060"/>
      <c r="CDR161" s="3060"/>
      <c r="CDS161" s="3060"/>
      <c r="CDT161" s="3060"/>
      <c r="CDU161" s="3060"/>
      <c r="CDV161" s="3060"/>
      <c r="CDW161" s="3060"/>
      <c r="CDX161" s="3060"/>
      <c r="CDY161" s="3060"/>
      <c r="CDZ161" s="3060"/>
      <c r="CEA161" s="3060"/>
      <c r="CEB161" s="3060"/>
      <c r="CEC161" s="3060"/>
      <c r="CED161" s="3060"/>
      <c r="CEE161" s="3060"/>
      <c r="CEF161" s="3060"/>
      <c r="CEG161" s="3060"/>
      <c r="CEH161" s="3060"/>
      <c r="CEI161" s="3060"/>
      <c r="CEJ161" s="3060"/>
      <c r="CEK161" s="3060"/>
      <c r="CEL161" s="3060"/>
      <c r="CEM161" s="3060"/>
      <c r="CEN161" s="3060"/>
      <c r="CEO161" s="3060"/>
      <c r="CEP161" s="3060"/>
      <c r="CEQ161" s="3060"/>
      <c r="CER161" s="3060"/>
      <c r="CES161" s="3060"/>
      <c r="CET161" s="3060"/>
      <c r="CEU161" s="3060"/>
      <c r="CEV161" s="3060"/>
      <c r="CEW161" s="3060"/>
      <c r="CEX161" s="3060"/>
      <c r="CEY161" s="3060"/>
      <c r="CEZ161" s="3060"/>
      <c r="CFA161" s="3060"/>
      <c r="CFB161" s="3060"/>
      <c r="CFC161" s="3060"/>
      <c r="CFD161" s="3060"/>
      <c r="CFE161" s="3060"/>
      <c r="CFF161" s="3060"/>
      <c r="CFG161" s="3060"/>
      <c r="CFH161" s="3060"/>
      <c r="CFI161" s="3060"/>
      <c r="CFJ161" s="3060"/>
      <c r="CFK161" s="3060"/>
      <c r="CFL161" s="3060"/>
      <c r="CFM161" s="3060"/>
      <c r="CFN161" s="3060"/>
      <c r="CFO161" s="3060"/>
      <c r="CFP161" s="3060"/>
      <c r="CFQ161" s="3060"/>
      <c r="CFR161" s="3060"/>
      <c r="CFS161" s="3060"/>
      <c r="CFT161" s="3060"/>
      <c r="CFU161" s="3060"/>
      <c r="CFV161" s="3060"/>
      <c r="CFW161" s="3060"/>
      <c r="CFX161" s="3060"/>
      <c r="CFY161" s="3060"/>
      <c r="CFZ161" s="3060"/>
      <c r="CGA161" s="3060"/>
      <c r="CGB161" s="3060"/>
      <c r="CGC161" s="3060"/>
      <c r="CGD161" s="3060"/>
      <c r="CGE161" s="3060"/>
      <c r="CGF161" s="3060"/>
      <c r="CGG161" s="3060"/>
      <c r="CGH161" s="3060"/>
      <c r="CGI161" s="3060"/>
      <c r="CGJ161" s="3060"/>
      <c r="CGK161" s="3060"/>
      <c r="CGL161" s="3060"/>
      <c r="CGM161" s="3060"/>
      <c r="CGN161" s="3060"/>
      <c r="CGO161" s="3060"/>
      <c r="CGP161" s="3060"/>
      <c r="CGQ161" s="3060"/>
      <c r="CGR161" s="3060"/>
      <c r="CGS161" s="3060"/>
      <c r="CGT161" s="3060"/>
      <c r="CGU161" s="3060"/>
      <c r="CGV161" s="3060"/>
      <c r="CGW161" s="3060"/>
      <c r="CGX161" s="3060"/>
      <c r="CGY161" s="3060"/>
      <c r="CGZ161" s="3060"/>
      <c r="CHA161" s="3060"/>
      <c r="CHB161" s="3060"/>
      <c r="CHC161" s="3060"/>
      <c r="CHD161" s="3060"/>
      <c r="CHE161" s="3060"/>
      <c r="CHF161" s="3060"/>
      <c r="CHG161" s="3060"/>
      <c r="CHH161" s="3060"/>
      <c r="CHI161" s="3060"/>
      <c r="CHJ161" s="3060"/>
      <c r="CHK161" s="3060"/>
      <c r="CHL161" s="3060"/>
      <c r="CHM161" s="3060"/>
      <c r="CHN161" s="3060"/>
      <c r="CHO161" s="3060"/>
      <c r="CHP161" s="3060"/>
      <c r="CHQ161" s="3060"/>
      <c r="CHR161" s="3060"/>
      <c r="CHS161" s="3060"/>
      <c r="CHT161" s="3060"/>
      <c r="CHU161" s="3060"/>
      <c r="CHV161" s="3060"/>
      <c r="CHW161" s="3060"/>
      <c r="CHX161" s="3060"/>
      <c r="CHY161" s="3060"/>
      <c r="CHZ161" s="3060"/>
      <c r="CIA161" s="3060"/>
      <c r="CIB161" s="3060"/>
      <c r="CIC161" s="3060"/>
      <c r="CID161" s="3060"/>
      <c r="CIE161" s="3060"/>
      <c r="CIF161" s="3060"/>
      <c r="CIG161" s="3060"/>
      <c r="CIH161" s="3060"/>
      <c r="CII161" s="3060"/>
      <c r="CIJ161" s="3060"/>
      <c r="CIK161" s="3060"/>
      <c r="CIL161" s="3060"/>
      <c r="CIM161" s="3060"/>
      <c r="CIN161" s="3060"/>
      <c r="CIO161" s="3060"/>
      <c r="CIP161" s="3060"/>
      <c r="CIQ161" s="3060"/>
      <c r="CIR161" s="3060"/>
      <c r="CIS161" s="3060"/>
      <c r="CIT161" s="3060"/>
      <c r="CIU161" s="3060"/>
      <c r="CIV161" s="3060"/>
      <c r="CIW161" s="3060"/>
      <c r="CIX161" s="3060"/>
      <c r="CIY161" s="3060"/>
      <c r="CIZ161" s="3060"/>
      <c r="CJA161" s="3060"/>
      <c r="CJB161" s="3060"/>
      <c r="CJC161" s="3060"/>
      <c r="CJD161" s="3060"/>
      <c r="CJE161" s="3060"/>
      <c r="CJF161" s="3060"/>
      <c r="CJG161" s="3060"/>
      <c r="CJH161" s="3060"/>
      <c r="CJI161" s="3060"/>
      <c r="CJJ161" s="3060"/>
      <c r="CJK161" s="3060"/>
      <c r="CJL161" s="3060"/>
      <c r="CJM161" s="3060"/>
      <c r="CJN161" s="3060"/>
      <c r="CJO161" s="3060"/>
      <c r="CJP161" s="3060"/>
      <c r="CJQ161" s="3060"/>
      <c r="CJR161" s="3060"/>
      <c r="CJS161" s="3060"/>
      <c r="CJT161" s="3060"/>
      <c r="CJU161" s="3060"/>
      <c r="CJV161" s="3060"/>
      <c r="CJW161" s="3060"/>
      <c r="CJX161" s="3060"/>
      <c r="CJY161" s="3060"/>
      <c r="CJZ161" s="3060"/>
      <c r="CKA161" s="3060"/>
      <c r="CKB161" s="3060"/>
      <c r="CKC161" s="3060"/>
      <c r="CKD161" s="3060"/>
      <c r="CKE161" s="3060"/>
      <c r="CKF161" s="3060"/>
      <c r="CKG161" s="3060"/>
      <c r="CKH161" s="3060"/>
      <c r="CKI161" s="3060"/>
      <c r="CKJ161" s="3060"/>
      <c r="CKK161" s="3060"/>
      <c r="CKL161" s="3060"/>
      <c r="CKM161" s="3060"/>
      <c r="CKN161" s="3060"/>
      <c r="CKO161" s="3060"/>
      <c r="CKP161" s="3060"/>
      <c r="CKQ161" s="3060"/>
      <c r="CKR161" s="3060"/>
      <c r="CKS161" s="3060"/>
      <c r="CKT161" s="3060"/>
      <c r="CKU161" s="3060"/>
      <c r="CKV161" s="3060"/>
      <c r="CKW161" s="3060"/>
      <c r="CKX161" s="3060"/>
      <c r="CKY161" s="3060"/>
      <c r="CKZ161" s="3060"/>
      <c r="CLA161" s="3060"/>
      <c r="CLB161" s="3060"/>
      <c r="CLC161" s="3060"/>
      <c r="CLD161" s="3060"/>
      <c r="CLE161" s="3060"/>
      <c r="CLF161" s="3060"/>
      <c r="CLG161" s="3060"/>
      <c r="CLH161" s="3060"/>
      <c r="CLI161" s="3060"/>
      <c r="CLJ161" s="3060"/>
      <c r="CLK161" s="3060"/>
      <c r="CLL161" s="3060"/>
      <c r="CLM161" s="3060"/>
      <c r="CLN161" s="3060"/>
      <c r="CLO161" s="3060"/>
      <c r="CLP161" s="3060"/>
      <c r="CLQ161" s="3060"/>
      <c r="CLR161" s="3060"/>
      <c r="CLS161" s="3060"/>
      <c r="CLT161" s="3060"/>
      <c r="CLU161" s="3060"/>
      <c r="CLV161" s="3060"/>
      <c r="CLW161" s="3060"/>
      <c r="CLX161" s="3060"/>
      <c r="CLY161" s="3060"/>
      <c r="CLZ161" s="3060"/>
      <c r="CMA161" s="3060"/>
      <c r="CMB161" s="3060"/>
      <c r="CMC161" s="3060"/>
      <c r="CMD161" s="3060"/>
      <c r="CME161" s="3060"/>
      <c r="CMF161" s="3060"/>
      <c r="CMG161" s="3060"/>
      <c r="CMH161" s="3060"/>
      <c r="CMI161" s="3060"/>
      <c r="CMJ161" s="3060"/>
      <c r="CMK161" s="3060"/>
      <c r="CML161" s="3060"/>
      <c r="CMM161" s="3060"/>
      <c r="CMN161" s="3060"/>
      <c r="CMO161" s="3060"/>
      <c r="CMP161" s="3060"/>
      <c r="CMQ161" s="3060"/>
      <c r="CMR161" s="3060"/>
      <c r="CMS161" s="3060"/>
      <c r="CMT161" s="3060"/>
      <c r="CMU161" s="3060"/>
      <c r="CMV161" s="3060"/>
      <c r="CMW161" s="3060"/>
      <c r="CMX161" s="3060"/>
      <c r="CMY161" s="3060"/>
      <c r="CMZ161" s="3060"/>
      <c r="CNA161" s="3060"/>
      <c r="CNB161" s="3060"/>
      <c r="CNC161" s="3060"/>
      <c r="CND161" s="3060"/>
      <c r="CNE161" s="3060"/>
      <c r="CNF161" s="3060"/>
      <c r="CNG161" s="3060"/>
      <c r="CNH161" s="3060"/>
      <c r="CNI161" s="3060"/>
      <c r="CNJ161" s="3060"/>
      <c r="CNK161" s="3060"/>
      <c r="CNL161" s="3060"/>
      <c r="CNM161" s="3060"/>
      <c r="CNN161" s="3060"/>
      <c r="CNO161" s="3060"/>
      <c r="CNP161" s="3060"/>
      <c r="CNQ161" s="3060"/>
      <c r="CNR161" s="3060"/>
      <c r="CNS161" s="3060"/>
      <c r="CNT161" s="3060"/>
      <c r="CNU161" s="3060"/>
      <c r="CNV161" s="3060"/>
      <c r="CNW161" s="3060"/>
      <c r="CNX161" s="3060"/>
      <c r="CNY161" s="3060"/>
      <c r="CNZ161" s="3060"/>
      <c r="COA161" s="3060"/>
      <c r="COB161" s="3060"/>
      <c r="COC161" s="3060"/>
      <c r="COD161" s="3060"/>
      <c r="COE161" s="3060"/>
      <c r="COF161" s="3060"/>
      <c r="COG161" s="3060"/>
      <c r="COH161" s="3060"/>
      <c r="COI161" s="3060"/>
      <c r="COJ161" s="3060"/>
      <c r="COK161" s="3060"/>
      <c r="COL161" s="3060"/>
      <c r="COM161" s="3060"/>
      <c r="CON161" s="3060"/>
      <c r="COO161" s="3060"/>
      <c r="COP161" s="3060"/>
      <c r="COQ161" s="3060"/>
      <c r="COR161" s="3060"/>
      <c r="COS161" s="3060"/>
      <c r="COT161" s="3060"/>
      <c r="COU161" s="3060"/>
      <c r="COV161" s="3060"/>
      <c r="COW161" s="3060"/>
      <c r="COX161" s="3060"/>
      <c r="COY161" s="3060"/>
      <c r="COZ161" s="3060"/>
      <c r="CPA161" s="3060"/>
      <c r="CPB161" s="3060"/>
      <c r="CPC161" s="3060"/>
      <c r="CPD161" s="3060"/>
      <c r="CPE161" s="3060"/>
      <c r="CPF161" s="3060"/>
      <c r="CPG161" s="3060"/>
      <c r="CPH161" s="3060"/>
      <c r="CPI161" s="3060"/>
      <c r="CPJ161" s="3060"/>
      <c r="CPK161" s="3060"/>
      <c r="CPL161" s="3060"/>
      <c r="CPM161" s="3060"/>
      <c r="CPN161" s="3060"/>
      <c r="CPO161" s="3060"/>
      <c r="CPP161" s="3060"/>
      <c r="CPQ161" s="3060"/>
      <c r="CPR161" s="3060"/>
      <c r="CPS161" s="3060"/>
      <c r="CPT161" s="3060"/>
      <c r="CPU161" s="3060"/>
      <c r="CPV161" s="3060"/>
      <c r="CPW161" s="3060"/>
      <c r="CPX161" s="3060"/>
      <c r="CPY161" s="3060"/>
      <c r="CPZ161" s="3060"/>
      <c r="CQA161" s="3060"/>
      <c r="CQB161" s="3060"/>
      <c r="CQC161" s="3060"/>
      <c r="CQD161" s="3060"/>
      <c r="CQE161" s="3060"/>
      <c r="CQF161" s="3060"/>
      <c r="CQG161" s="3060"/>
      <c r="CQH161" s="3060"/>
      <c r="CQI161" s="3060"/>
      <c r="CQJ161" s="3060"/>
      <c r="CQK161" s="3060"/>
      <c r="CQL161" s="3060"/>
      <c r="CQM161" s="3060"/>
      <c r="CQN161" s="3060"/>
      <c r="CQO161" s="3060"/>
      <c r="CQP161" s="3060"/>
      <c r="CQQ161" s="3060"/>
      <c r="CQR161" s="3060"/>
      <c r="CQS161" s="3060"/>
      <c r="CQT161" s="3060"/>
      <c r="CQU161" s="3060"/>
      <c r="CQV161" s="3060"/>
      <c r="CQW161" s="3060"/>
      <c r="CQX161" s="3060"/>
      <c r="CQY161" s="3060"/>
      <c r="CQZ161" s="3060"/>
      <c r="CRA161" s="3060"/>
      <c r="CRB161" s="3060"/>
      <c r="CRC161" s="3060"/>
      <c r="CRD161" s="3060"/>
      <c r="CRE161" s="3060"/>
      <c r="CRF161" s="3060"/>
      <c r="CRG161" s="3060"/>
      <c r="CRH161" s="3060"/>
      <c r="CRI161" s="3060"/>
      <c r="CRJ161" s="3060"/>
      <c r="CRK161" s="3060"/>
      <c r="CRL161" s="3060"/>
      <c r="CRM161" s="3060"/>
      <c r="CRN161" s="3060"/>
      <c r="CRO161" s="3060"/>
      <c r="CRP161" s="3060"/>
      <c r="CRQ161" s="3060"/>
      <c r="CRR161" s="3060"/>
      <c r="CRS161" s="3060"/>
      <c r="CRT161" s="3060"/>
      <c r="CRU161" s="3060"/>
      <c r="CRV161" s="3060"/>
      <c r="CRW161" s="3060"/>
      <c r="CRX161" s="3060"/>
      <c r="CRY161" s="3060"/>
      <c r="CRZ161" s="3060"/>
      <c r="CSA161" s="3060"/>
      <c r="CSB161" s="3060"/>
      <c r="CSC161" s="3060"/>
      <c r="CSD161" s="3060"/>
      <c r="CSE161" s="3060"/>
      <c r="CSF161" s="3060"/>
      <c r="CSG161" s="3060"/>
      <c r="CSH161" s="3060"/>
      <c r="CSI161" s="3060"/>
      <c r="CSJ161" s="3060"/>
      <c r="CSK161" s="3060"/>
      <c r="CSL161" s="3060"/>
      <c r="CSM161" s="3060"/>
      <c r="CSN161" s="3060"/>
      <c r="CSO161" s="3060"/>
      <c r="CSP161" s="3060"/>
      <c r="CSQ161" s="3060"/>
      <c r="CSR161" s="3060"/>
      <c r="CSS161" s="3060"/>
      <c r="CST161" s="3060"/>
      <c r="CSU161" s="3060"/>
      <c r="CSV161" s="3060"/>
      <c r="CSW161" s="3060"/>
      <c r="CSX161" s="3060"/>
      <c r="CSY161" s="3060"/>
      <c r="CSZ161" s="3060"/>
      <c r="CTA161" s="3060"/>
      <c r="CTB161" s="3060"/>
      <c r="CTC161" s="3060"/>
      <c r="CTD161" s="3060"/>
      <c r="CTE161" s="3060"/>
      <c r="CTF161" s="3060"/>
      <c r="CTG161" s="3060"/>
      <c r="CTH161" s="3060"/>
      <c r="CTI161" s="3060"/>
      <c r="CTJ161" s="3060"/>
      <c r="CTK161" s="3060"/>
      <c r="CTL161" s="3060"/>
      <c r="CTM161" s="3060"/>
      <c r="CTN161" s="3060"/>
      <c r="CTO161" s="3060"/>
      <c r="CTP161" s="3060"/>
      <c r="CTQ161" s="3060"/>
      <c r="CTR161" s="3060"/>
      <c r="CTS161" s="3060"/>
      <c r="CTT161" s="3060"/>
      <c r="CTU161" s="3060"/>
      <c r="CTV161" s="3060"/>
      <c r="CTW161" s="3060"/>
      <c r="CTX161" s="3060"/>
      <c r="CTY161" s="3060"/>
      <c r="CTZ161" s="3060"/>
      <c r="CUA161" s="3060"/>
      <c r="CUB161" s="3060"/>
      <c r="CUC161" s="3060"/>
      <c r="CUD161" s="3060"/>
      <c r="CUE161" s="3060"/>
      <c r="CUF161" s="3060"/>
      <c r="CUG161" s="3060"/>
      <c r="CUH161" s="3060"/>
      <c r="CUI161" s="3060"/>
      <c r="CUJ161" s="3060"/>
      <c r="CUK161" s="3060"/>
      <c r="CUL161" s="3060"/>
      <c r="CUM161" s="3060"/>
      <c r="CUN161" s="3060"/>
      <c r="CUO161" s="3060"/>
      <c r="CUP161" s="3060"/>
      <c r="CUQ161" s="3060"/>
      <c r="CUR161" s="3060"/>
      <c r="CUS161" s="3060"/>
      <c r="CUT161" s="3060"/>
      <c r="CUU161" s="3060"/>
      <c r="CUV161" s="3060"/>
      <c r="CUW161" s="3060"/>
      <c r="CUX161" s="3060"/>
      <c r="CUY161" s="3060"/>
      <c r="CUZ161" s="3060"/>
      <c r="CVA161" s="3060"/>
      <c r="CVB161" s="3060"/>
      <c r="CVC161" s="3060"/>
      <c r="CVD161" s="3060"/>
      <c r="CVE161" s="3060"/>
      <c r="CVF161" s="3060"/>
      <c r="CVG161" s="3060"/>
      <c r="CVH161" s="3060"/>
      <c r="CVI161" s="3060"/>
      <c r="CVJ161" s="3060"/>
      <c r="CVK161" s="3060"/>
      <c r="CVL161" s="3060"/>
      <c r="CVM161" s="3060"/>
      <c r="CVN161" s="3060"/>
      <c r="CVO161" s="3060"/>
      <c r="CVP161" s="3060"/>
      <c r="CVQ161" s="3060"/>
      <c r="CVR161" s="3060"/>
      <c r="CVS161" s="3060"/>
      <c r="CVT161" s="3060"/>
      <c r="CVU161" s="3060"/>
      <c r="CVV161" s="3060"/>
      <c r="CVW161" s="3060"/>
      <c r="CVX161" s="3060"/>
      <c r="CVY161" s="3060"/>
      <c r="CVZ161" s="3060"/>
      <c r="CWA161" s="3060"/>
      <c r="CWB161" s="3060"/>
      <c r="CWC161" s="3060"/>
      <c r="CWD161" s="3060"/>
      <c r="CWE161" s="3060"/>
      <c r="CWF161" s="3060"/>
      <c r="CWG161" s="3060"/>
      <c r="CWH161" s="3060"/>
      <c r="CWI161" s="3060"/>
      <c r="CWJ161" s="3060"/>
      <c r="CWK161" s="3060"/>
      <c r="CWL161" s="3060"/>
      <c r="CWM161" s="3060"/>
      <c r="CWN161" s="3060"/>
      <c r="CWO161" s="3060"/>
      <c r="CWP161" s="3060"/>
      <c r="CWQ161" s="3060"/>
      <c r="CWR161" s="3060"/>
      <c r="CWS161" s="3060"/>
      <c r="CWT161" s="3060"/>
      <c r="CWU161" s="3060"/>
      <c r="CWV161" s="3060"/>
      <c r="CWW161" s="3060"/>
      <c r="CWX161" s="3060"/>
      <c r="CWY161" s="3060"/>
      <c r="CWZ161" s="3060"/>
      <c r="CXA161" s="3060"/>
      <c r="CXB161" s="3060"/>
      <c r="CXC161" s="3060"/>
      <c r="CXD161" s="3060"/>
      <c r="CXE161" s="3060"/>
      <c r="CXF161" s="3060"/>
      <c r="CXG161" s="3060"/>
      <c r="CXH161" s="3060"/>
      <c r="CXI161" s="3060"/>
      <c r="CXJ161" s="3060"/>
      <c r="CXK161" s="3060"/>
      <c r="CXL161" s="3060"/>
      <c r="CXM161" s="3060"/>
      <c r="CXN161" s="3060"/>
      <c r="CXO161" s="3060"/>
      <c r="CXP161" s="3060"/>
      <c r="CXQ161" s="3060"/>
      <c r="CXR161" s="3060"/>
      <c r="CXS161" s="3060"/>
      <c r="CXT161" s="3060"/>
      <c r="CXU161" s="3060"/>
      <c r="CXV161" s="3060"/>
      <c r="CXW161" s="3060"/>
      <c r="CXX161" s="3060"/>
      <c r="CXY161" s="3060"/>
      <c r="CXZ161" s="3060"/>
      <c r="CYA161" s="3060"/>
      <c r="CYB161" s="3060"/>
      <c r="CYC161" s="3060"/>
      <c r="CYD161" s="3060"/>
      <c r="CYE161" s="3060"/>
      <c r="CYF161" s="3060"/>
      <c r="CYG161" s="3060"/>
      <c r="CYH161" s="3060"/>
      <c r="CYI161" s="3060"/>
      <c r="CYJ161" s="3060"/>
      <c r="CYK161" s="3060"/>
      <c r="CYL161" s="3060"/>
      <c r="CYM161" s="3060"/>
      <c r="CYN161" s="3060"/>
      <c r="CYO161" s="3060"/>
      <c r="CYP161" s="3060"/>
      <c r="CYQ161" s="3060"/>
      <c r="CYR161" s="3060"/>
      <c r="CYS161" s="3060"/>
      <c r="CYT161" s="3060"/>
      <c r="CYU161" s="3060"/>
      <c r="CYV161" s="3060"/>
      <c r="CYW161" s="3060"/>
      <c r="CYX161" s="3060"/>
      <c r="CYY161" s="3060"/>
      <c r="CYZ161" s="3060"/>
      <c r="CZA161" s="3060"/>
      <c r="CZB161" s="3060"/>
      <c r="CZC161" s="3060"/>
      <c r="CZD161" s="3060"/>
      <c r="CZE161" s="3060"/>
      <c r="CZF161" s="3060"/>
      <c r="CZG161" s="3060"/>
      <c r="CZH161" s="3060"/>
      <c r="CZI161" s="3060"/>
      <c r="CZJ161" s="3060"/>
      <c r="CZK161" s="3060"/>
      <c r="CZL161" s="3060"/>
      <c r="CZM161" s="3060"/>
      <c r="CZN161" s="3060"/>
      <c r="CZO161" s="3060"/>
      <c r="CZP161" s="3060"/>
      <c r="CZQ161" s="3060"/>
      <c r="CZR161" s="3060"/>
      <c r="CZS161" s="3060"/>
      <c r="CZT161" s="3060"/>
      <c r="CZU161" s="3060"/>
      <c r="CZV161" s="3060"/>
      <c r="CZW161" s="3060"/>
      <c r="CZX161" s="3060"/>
      <c r="CZY161" s="3060"/>
      <c r="CZZ161" s="3060"/>
      <c r="DAA161" s="3060"/>
      <c r="DAB161" s="3060"/>
      <c r="DAC161" s="3060"/>
      <c r="DAD161" s="3060"/>
      <c r="DAE161" s="3060"/>
      <c r="DAF161" s="3060"/>
      <c r="DAG161" s="3060"/>
      <c r="DAH161" s="3060"/>
      <c r="DAI161" s="3060"/>
      <c r="DAJ161" s="3060"/>
      <c r="DAK161" s="3060"/>
      <c r="DAL161" s="3060"/>
      <c r="DAM161" s="3060"/>
      <c r="DAN161" s="3060"/>
      <c r="DAO161" s="3060"/>
      <c r="DAP161" s="3060"/>
      <c r="DAQ161" s="3060"/>
      <c r="DAR161" s="3060"/>
      <c r="DAS161" s="3060"/>
      <c r="DAT161" s="3060"/>
      <c r="DAU161" s="3060"/>
      <c r="DAV161" s="3060"/>
      <c r="DAW161" s="3060"/>
      <c r="DAX161" s="3060"/>
      <c r="DAY161" s="3060"/>
      <c r="DAZ161" s="3060"/>
      <c r="DBA161" s="3060"/>
      <c r="DBB161" s="3060"/>
      <c r="DBC161" s="3060"/>
      <c r="DBD161" s="3060"/>
      <c r="DBE161" s="3060"/>
      <c r="DBF161" s="3060"/>
      <c r="DBG161" s="3060"/>
      <c r="DBH161" s="3060"/>
      <c r="DBI161" s="3060"/>
      <c r="DBJ161" s="3060"/>
      <c r="DBK161" s="3060"/>
      <c r="DBL161" s="3060"/>
      <c r="DBM161" s="3060"/>
      <c r="DBN161" s="3060"/>
      <c r="DBO161" s="3060"/>
      <c r="DBP161" s="3060"/>
      <c r="DBQ161" s="3060"/>
      <c r="DBR161" s="3060"/>
      <c r="DBS161" s="3060"/>
      <c r="DBT161" s="3060"/>
      <c r="DBU161" s="3060"/>
      <c r="DBV161" s="3060"/>
      <c r="DBW161" s="3060"/>
      <c r="DBX161" s="3060"/>
      <c r="DBY161" s="3060"/>
      <c r="DBZ161" s="3060"/>
      <c r="DCA161" s="3060"/>
      <c r="DCB161" s="3060"/>
      <c r="DCC161" s="3060"/>
      <c r="DCD161" s="3060"/>
      <c r="DCE161" s="3060"/>
      <c r="DCF161" s="3060"/>
      <c r="DCG161" s="3060"/>
      <c r="DCH161" s="3060"/>
      <c r="DCI161" s="3060"/>
      <c r="DCJ161" s="3060"/>
      <c r="DCK161" s="3060"/>
      <c r="DCL161" s="3060"/>
      <c r="DCM161" s="3060"/>
      <c r="DCN161" s="3060"/>
      <c r="DCO161" s="3060"/>
      <c r="DCP161" s="3060"/>
      <c r="DCQ161" s="3060"/>
      <c r="DCR161" s="3060"/>
      <c r="DCS161" s="3060"/>
      <c r="DCT161" s="3060"/>
      <c r="DCU161" s="3060"/>
      <c r="DCV161" s="3060"/>
      <c r="DCW161" s="3060"/>
      <c r="DCX161" s="3060"/>
      <c r="DCY161" s="3060"/>
      <c r="DCZ161" s="3060"/>
      <c r="DDA161" s="3060"/>
      <c r="DDB161" s="3060"/>
      <c r="DDC161" s="3060"/>
      <c r="DDD161" s="3060"/>
      <c r="DDE161" s="3060"/>
      <c r="DDF161" s="3060"/>
      <c r="DDG161" s="3060"/>
      <c r="DDH161" s="3060"/>
      <c r="DDI161" s="3060"/>
      <c r="DDJ161" s="3060"/>
      <c r="DDK161" s="3060"/>
      <c r="DDL161" s="3060"/>
      <c r="DDM161" s="3060"/>
      <c r="DDN161" s="3060"/>
      <c r="DDO161" s="3060"/>
      <c r="DDP161" s="3060"/>
      <c r="DDQ161" s="3060"/>
      <c r="DDR161" s="3060"/>
      <c r="DDS161" s="3060"/>
      <c r="DDT161" s="3060"/>
      <c r="DDU161" s="3060"/>
      <c r="DDV161" s="3060"/>
      <c r="DDW161" s="3060"/>
      <c r="DDX161" s="3060"/>
      <c r="DDY161" s="3060"/>
      <c r="DDZ161" s="3060"/>
      <c r="DEA161" s="3060"/>
      <c r="DEB161" s="3060"/>
      <c r="DEC161" s="3060"/>
      <c r="DED161" s="3060"/>
      <c r="DEE161" s="3060"/>
      <c r="DEF161" s="3060"/>
      <c r="DEG161" s="3060"/>
      <c r="DEH161" s="3060"/>
      <c r="DEI161" s="3060"/>
      <c r="DEJ161" s="3060"/>
      <c r="DEK161" s="3060"/>
      <c r="DEL161" s="3060"/>
      <c r="DEM161" s="3060"/>
      <c r="DEN161" s="3060"/>
      <c r="DEO161" s="3060"/>
      <c r="DEP161" s="3060"/>
      <c r="DEQ161" s="3060"/>
      <c r="DER161" s="3060"/>
      <c r="DES161" s="3060"/>
      <c r="DET161" s="3060"/>
      <c r="DEU161" s="3060"/>
      <c r="DEV161" s="3060"/>
      <c r="DEW161" s="3060"/>
      <c r="DEX161" s="3060"/>
      <c r="DEY161" s="3060"/>
      <c r="DEZ161" s="3060"/>
      <c r="DFA161" s="3060"/>
      <c r="DFB161" s="3060"/>
      <c r="DFC161" s="3060"/>
      <c r="DFD161" s="3060"/>
      <c r="DFE161" s="3060"/>
      <c r="DFF161" s="3060"/>
      <c r="DFG161" s="3060"/>
      <c r="DFH161" s="3060"/>
      <c r="DFI161" s="3060"/>
      <c r="DFJ161" s="3060"/>
      <c r="DFK161" s="3060"/>
      <c r="DFL161" s="3060"/>
      <c r="DFM161" s="3060"/>
      <c r="DFN161" s="3060"/>
      <c r="DFO161" s="3060"/>
      <c r="DFP161" s="3060"/>
      <c r="DFQ161" s="3060"/>
      <c r="DFR161" s="3060"/>
      <c r="DFS161" s="3060"/>
      <c r="DFT161" s="3060"/>
      <c r="DFU161" s="3060"/>
      <c r="DFV161" s="3060"/>
      <c r="DFW161" s="3060"/>
      <c r="DFX161" s="3060"/>
      <c r="DFY161" s="3060"/>
      <c r="DFZ161" s="3060"/>
      <c r="DGA161" s="3060"/>
      <c r="DGB161" s="3060"/>
      <c r="DGC161" s="3060"/>
      <c r="DGD161" s="3060"/>
      <c r="DGE161" s="3060"/>
      <c r="DGF161" s="3060"/>
      <c r="DGG161" s="3060"/>
      <c r="DGH161" s="3060"/>
      <c r="DGI161" s="3060"/>
      <c r="DGJ161" s="3060"/>
      <c r="DGK161" s="3060"/>
      <c r="DGL161" s="3060"/>
      <c r="DGM161" s="3060"/>
      <c r="DGN161" s="3060"/>
      <c r="DGO161" s="3060"/>
      <c r="DGP161" s="3060"/>
      <c r="DGQ161" s="3060"/>
      <c r="DGR161" s="3060"/>
      <c r="DGS161" s="3060"/>
      <c r="DGT161" s="3060"/>
      <c r="DGU161" s="3060"/>
      <c r="DGV161" s="3060"/>
      <c r="DGW161" s="3060"/>
      <c r="DGX161" s="3060"/>
      <c r="DGY161" s="3060"/>
      <c r="DGZ161" s="3060"/>
      <c r="DHA161" s="3060"/>
      <c r="DHB161" s="3060"/>
      <c r="DHC161" s="3060"/>
      <c r="DHD161" s="3060"/>
      <c r="DHE161" s="3060"/>
      <c r="DHF161" s="3060"/>
      <c r="DHG161" s="3060"/>
      <c r="DHH161" s="3060"/>
      <c r="DHI161" s="3060"/>
      <c r="DHJ161" s="3060"/>
      <c r="DHK161" s="3060"/>
      <c r="DHL161" s="3060"/>
      <c r="DHM161" s="3060"/>
      <c r="DHN161" s="3060"/>
      <c r="DHO161" s="3060"/>
      <c r="DHP161" s="3060"/>
      <c r="DHQ161" s="3060"/>
      <c r="DHR161" s="3060"/>
      <c r="DHS161" s="3060"/>
      <c r="DHT161" s="3060"/>
      <c r="DHU161" s="3060"/>
      <c r="DHV161" s="3060"/>
      <c r="DHW161" s="3060"/>
      <c r="DHX161" s="3060"/>
      <c r="DHY161" s="3060"/>
      <c r="DHZ161" s="3060"/>
      <c r="DIA161" s="3060"/>
      <c r="DIB161" s="3060"/>
      <c r="DIC161" s="3060"/>
      <c r="DID161" s="3060"/>
      <c r="DIE161" s="3060"/>
      <c r="DIF161" s="3060"/>
      <c r="DIG161" s="3060"/>
      <c r="DIH161" s="3060"/>
      <c r="DII161" s="3060"/>
      <c r="DIJ161" s="3060"/>
      <c r="DIK161" s="3060"/>
      <c r="DIL161" s="3060"/>
      <c r="DIM161" s="3060"/>
      <c r="DIN161" s="3060"/>
      <c r="DIO161" s="3060"/>
      <c r="DIP161" s="3060"/>
      <c r="DIQ161" s="3060"/>
      <c r="DIR161" s="3060"/>
      <c r="DIS161" s="3060"/>
      <c r="DIT161" s="3060"/>
      <c r="DIU161" s="3060"/>
      <c r="DIV161" s="3060"/>
      <c r="DIW161" s="3060"/>
      <c r="DIX161" s="3060"/>
      <c r="DIY161" s="3060"/>
      <c r="DIZ161" s="3060"/>
      <c r="DJA161" s="3060"/>
      <c r="DJB161" s="3060"/>
      <c r="DJC161" s="3060"/>
      <c r="DJD161" s="3060"/>
      <c r="DJE161" s="3060"/>
      <c r="DJF161" s="3060"/>
      <c r="DJG161" s="3060"/>
      <c r="DJH161" s="3060"/>
      <c r="DJI161" s="3060"/>
      <c r="DJJ161" s="3060"/>
      <c r="DJK161" s="3060"/>
      <c r="DJL161" s="3060"/>
      <c r="DJM161" s="3060"/>
      <c r="DJN161" s="3060"/>
      <c r="DJO161" s="3060"/>
      <c r="DJP161" s="3060"/>
      <c r="DJQ161" s="3060"/>
      <c r="DJR161" s="3060"/>
      <c r="DJS161" s="3060"/>
      <c r="DJT161" s="3060"/>
      <c r="DJU161" s="3060"/>
      <c r="DJV161" s="3060"/>
      <c r="DJW161" s="3060"/>
      <c r="DJX161" s="3060"/>
      <c r="DJY161" s="3060"/>
      <c r="DJZ161" s="3060"/>
      <c r="DKA161" s="3060"/>
      <c r="DKB161" s="3060"/>
      <c r="DKC161" s="3060"/>
      <c r="DKD161" s="3060"/>
      <c r="DKE161" s="3060"/>
      <c r="DKF161" s="3060"/>
      <c r="DKG161" s="3060"/>
      <c r="DKH161" s="3060"/>
      <c r="DKI161" s="3060"/>
      <c r="DKJ161" s="3060"/>
      <c r="DKK161" s="3060"/>
      <c r="DKL161" s="3060"/>
      <c r="DKM161" s="3060"/>
      <c r="DKN161" s="3060"/>
      <c r="DKO161" s="3060"/>
      <c r="DKP161" s="3060"/>
      <c r="DKQ161" s="3060"/>
      <c r="DKR161" s="3060"/>
      <c r="DKS161" s="3060"/>
      <c r="DKT161" s="3060"/>
      <c r="DKU161" s="3060"/>
      <c r="DKV161" s="3060"/>
      <c r="DKW161" s="3060"/>
      <c r="DKX161" s="3060"/>
      <c r="DKY161" s="3060"/>
      <c r="DKZ161" s="3060"/>
      <c r="DLA161" s="3060"/>
      <c r="DLB161" s="3060"/>
      <c r="DLC161" s="3060"/>
      <c r="DLD161" s="3060"/>
      <c r="DLE161" s="3060"/>
      <c r="DLF161" s="3060"/>
      <c r="DLG161" s="3060"/>
      <c r="DLH161" s="3060"/>
      <c r="DLI161" s="3060"/>
      <c r="DLJ161" s="3060"/>
      <c r="DLK161" s="3060"/>
      <c r="DLL161" s="3060"/>
      <c r="DLM161" s="3060"/>
      <c r="DLN161" s="3060"/>
      <c r="DLO161" s="3060"/>
      <c r="DLP161" s="3060"/>
      <c r="DLQ161" s="3060"/>
      <c r="DLR161" s="3060"/>
      <c r="DLS161" s="3060"/>
      <c r="DLT161" s="3060"/>
      <c r="DLU161" s="3060"/>
      <c r="DLV161" s="3060"/>
      <c r="DLW161" s="3060"/>
      <c r="DLX161" s="3060"/>
      <c r="DLY161" s="3060"/>
      <c r="DLZ161" s="3060"/>
      <c r="DMA161" s="3060"/>
      <c r="DMB161" s="3060"/>
      <c r="DMC161" s="3060"/>
      <c r="DMD161" s="3060"/>
      <c r="DME161" s="3060"/>
      <c r="DMF161" s="3060"/>
      <c r="DMG161" s="3060"/>
      <c r="DMH161" s="3060"/>
      <c r="DMI161" s="3060"/>
      <c r="DMJ161" s="3060"/>
      <c r="DMK161" s="3060"/>
      <c r="DML161" s="3060"/>
      <c r="DMM161" s="3060"/>
      <c r="DMN161" s="3060"/>
      <c r="DMO161" s="3060"/>
      <c r="DMP161" s="3060"/>
      <c r="DMQ161" s="3060"/>
      <c r="DMR161" s="3060"/>
      <c r="DMS161" s="3060"/>
      <c r="DMT161" s="3060"/>
      <c r="DMU161" s="3060"/>
      <c r="DMV161" s="3060"/>
      <c r="DMW161" s="3060"/>
      <c r="DMX161" s="3060"/>
      <c r="DMY161" s="3060"/>
      <c r="DMZ161" s="3060"/>
      <c r="DNA161" s="3060"/>
      <c r="DNB161" s="3060"/>
      <c r="DNC161" s="3060"/>
      <c r="DND161" s="3060"/>
      <c r="DNE161" s="3060"/>
      <c r="DNF161" s="3060"/>
      <c r="DNG161" s="3060"/>
      <c r="DNH161" s="3060"/>
      <c r="DNI161" s="3060"/>
      <c r="DNJ161" s="3060"/>
      <c r="DNK161" s="3060"/>
      <c r="DNL161" s="3060"/>
      <c r="DNM161" s="3060"/>
      <c r="DNN161" s="3060"/>
      <c r="DNO161" s="3060"/>
      <c r="DNP161" s="3060"/>
      <c r="DNQ161" s="3060"/>
      <c r="DNR161" s="3060"/>
      <c r="DNS161" s="3060"/>
      <c r="DNT161" s="3060"/>
      <c r="DNU161" s="3060"/>
      <c r="DNV161" s="3060"/>
      <c r="DNW161" s="3060"/>
      <c r="DNX161" s="3060"/>
      <c r="DNY161" s="3060"/>
      <c r="DNZ161" s="3060"/>
      <c r="DOA161" s="3060"/>
      <c r="DOB161" s="3060"/>
      <c r="DOC161" s="3060"/>
      <c r="DOD161" s="3060"/>
      <c r="DOE161" s="3060"/>
      <c r="DOF161" s="3060"/>
      <c r="DOG161" s="3060"/>
      <c r="DOH161" s="3060"/>
      <c r="DOI161" s="3060"/>
      <c r="DOJ161" s="3060"/>
      <c r="DOK161" s="3060"/>
      <c r="DOL161" s="3060"/>
      <c r="DOM161" s="3060"/>
      <c r="DON161" s="3060"/>
      <c r="DOO161" s="3060"/>
      <c r="DOP161" s="3060"/>
      <c r="DOQ161" s="3060"/>
      <c r="DOR161" s="3060"/>
      <c r="DOS161" s="3060"/>
      <c r="DOT161" s="3060"/>
      <c r="DOU161" s="3060"/>
      <c r="DOV161" s="3060"/>
      <c r="DOW161" s="3060"/>
      <c r="DOX161" s="3060"/>
      <c r="DOY161" s="3060"/>
      <c r="DOZ161" s="3060"/>
      <c r="DPA161" s="3060"/>
      <c r="DPB161" s="3060"/>
      <c r="DPC161" s="3060"/>
      <c r="DPD161" s="3060"/>
      <c r="DPE161" s="3060"/>
      <c r="DPF161" s="3060"/>
      <c r="DPG161" s="3060"/>
      <c r="DPH161" s="3060"/>
      <c r="DPI161" s="3060"/>
      <c r="DPJ161" s="3060"/>
      <c r="DPK161" s="3060"/>
      <c r="DPL161" s="3060"/>
      <c r="DPM161" s="3060"/>
      <c r="DPN161" s="3060"/>
      <c r="DPO161" s="3060"/>
      <c r="DPP161" s="3060"/>
      <c r="DPQ161" s="3060"/>
      <c r="DPR161" s="3060"/>
      <c r="DPS161" s="3060"/>
      <c r="DPT161" s="3060"/>
      <c r="DPU161" s="3060"/>
      <c r="DPV161" s="3060"/>
      <c r="DPW161" s="3060"/>
      <c r="DPX161" s="3060"/>
      <c r="DPY161" s="3060"/>
      <c r="DPZ161" s="3060"/>
      <c r="DQA161" s="3060"/>
      <c r="DQB161" s="3060"/>
      <c r="DQC161" s="3060"/>
      <c r="DQD161" s="3060"/>
      <c r="DQE161" s="3060"/>
      <c r="DQF161" s="3060"/>
      <c r="DQG161" s="3060"/>
      <c r="DQH161" s="3060"/>
      <c r="DQI161" s="3060"/>
      <c r="DQJ161" s="3060"/>
      <c r="DQK161" s="3060"/>
      <c r="DQL161" s="3060"/>
      <c r="DQM161" s="3060"/>
      <c r="DQN161" s="3060"/>
      <c r="DQO161" s="3060"/>
      <c r="DQP161" s="3060"/>
      <c r="DQQ161" s="3060"/>
      <c r="DQR161" s="3060"/>
      <c r="DQS161" s="3060"/>
      <c r="DQT161" s="3060"/>
      <c r="DQU161" s="3060"/>
      <c r="DQV161" s="3060"/>
      <c r="DQW161" s="3060"/>
      <c r="DQX161" s="3060"/>
      <c r="DQY161" s="3060"/>
      <c r="DQZ161" s="3060"/>
      <c r="DRA161" s="3060"/>
      <c r="DRB161" s="3060"/>
      <c r="DRC161" s="3060"/>
      <c r="DRD161" s="3060"/>
      <c r="DRE161" s="3060"/>
      <c r="DRF161" s="3060"/>
      <c r="DRG161" s="3060"/>
      <c r="DRH161" s="3060"/>
      <c r="DRI161" s="3060"/>
      <c r="DRJ161" s="3060"/>
      <c r="DRK161" s="3060"/>
      <c r="DRL161" s="3060"/>
      <c r="DRM161" s="3060"/>
      <c r="DRN161" s="3060"/>
      <c r="DRO161" s="3060"/>
      <c r="DRP161" s="3060"/>
      <c r="DRQ161" s="3060"/>
      <c r="DRR161" s="3060"/>
      <c r="DRS161" s="3060"/>
      <c r="DRT161" s="3060"/>
      <c r="DRU161" s="3060"/>
      <c r="DRV161" s="3060"/>
      <c r="DRW161" s="3060"/>
      <c r="DRX161" s="3060"/>
      <c r="DRY161" s="3060"/>
      <c r="DRZ161" s="3060"/>
      <c r="DSA161" s="3060"/>
      <c r="DSB161" s="3060"/>
      <c r="DSC161" s="3060"/>
      <c r="DSD161" s="3060"/>
      <c r="DSE161" s="3060"/>
      <c r="DSF161" s="3060"/>
      <c r="DSG161" s="3060"/>
      <c r="DSH161" s="3060"/>
      <c r="DSI161" s="3060"/>
      <c r="DSJ161" s="3060"/>
      <c r="DSK161" s="3060"/>
      <c r="DSL161" s="3060"/>
      <c r="DSM161" s="3060"/>
      <c r="DSN161" s="3060"/>
      <c r="DSO161" s="3060"/>
      <c r="DSP161" s="3060"/>
      <c r="DSQ161" s="3060"/>
      <c r="DSR161" s="3060"/>
      <c r="DSS161" s="3060"/>
      <c r="DST161" s="3060"/>
      <c r="DSU161" s="3060"/>
      <c r="DSV161" s="3060"/>
      <c r="DSW161" s="3060"/>
      <c r="DSX161" s="3060"/>
      <c r="DSY161" s="3060"/>
      <c r="DSZ161" s="3060"/>
      <c r="DTA161" s="3060"/>
      <c r="DTB161" s="3060"/>
      <c r="DTC161" s="3060"/>
      <c r="DTD161" s="3060"/>
      <c r="DTE161" s="3060"/>
      <c r="DTF161" s="3060"/>
      <c r="DTG161" s="3060"/>
      <c r="DTH161" s="3060"/>
      <c r="DTI161" s="3060"/>
      <c r="DTJ161" s="3060"/>
      <c r="DTK161" s="3060"/>
      <c r="DTL161" s="3060"/>
      <c r="DTM161" s="3060"/>
      <c r="DTN161" s="3060"/>
      <c r="DTO161" s="3060"/>
      <c r="DTP161" s="3060"/>
      <c r="DTQ161" s="3060"/>
      <c r="DTR161" s="3060"/>
      <c r="DTS161" s="3060"/>
      <c r="DTT161" s="3060"/>
      <c r="DTU161" s="3060"/>
      <c r="DTV161" s="3060"/>
      <c r="DTW161" s="3060"/>
      <c r="DTX161" s="3060"/>
      <c r="DTY161" s="3060"/>
      <c r="DTZ161" s="3060"/>
      <c r="DUA161" s="3060"/>
      <c r="DUB161" s="3060"/>
      <c r="DUC161" s="3060"/>
      <c r="DUD161" s="3060"/>
      <c r="DUE161" s="3060"/>
      <c r="DUF161" s="3060"/>
      <c r="DUG161" s="3060"/>
      <c r="DUH161" s="3060"/>
      <c r="DUI161" s="3060"/>
      <c r="DUJ161" s="3060"/>
      <c r="DUK161" s="3060"/>
      <c r="DUL161" s="3060"/>
      <c r="DUM161" s="3060"/>
      <c r="DUN161" s="3060"/>
      <c r="DUO161" s="3060"/>
      <c r="DUP161" s="3060"/>
      <c r="DUQ161" s="3060"/>
      <c r="DUR161" s="3060"/>
      <c r="DUS161" s="3060"/>
      <c r="DUT161" s="3060"/>
      <c r="DUU161" s="3060"/>
      <c r="DUV161" s="3060"/>
      <c r="DUW161" s="3060"/>
      <c r="DUX161" s="3060"/>
      <c r="DUY161" s="3060"/>
      <c r="DUZ161" s="3060"/>
      <c r="DVA161" s="3060"/>
      <c r="DVB161" s="3060"/>
      <c r="DVC161" s="3060"/>
      <c r="DVD161" s="3060"/>
      <c r="DVE161" s="3060"/>
      <c r="DVF161" s="3060"/>
      <c r="DVG161" s="3060"/>
      <c r="DVH161" s="3060"/>
      <c r="DVI161" s="3060"/>
      <c r="DVJ161" s="3060"/>
      <c r="DVK161" s="3060"/>
      <c r="DVL161" s="3060"/>
      <c r="DVM161" s="3060"/>
      <c r="DVN161" s="3060"/>
      <c r="DVO161" s="3060"/>
      <c r="DVP161" s="3060"/>
      <c r="DVQ161" s="3060"/>
      <c r="DVR161" s="3060"/>
      <c r="DVS161" s="3060"/>
      <c r="DVT161" s="3060"/>
      <c r="DVU161" s="3060"/>
      <c r="DVV161" s="3060"/>
      <c r="DVW161" s="3060"/>
      <c r="DVX161" s="3060"/>
      <c r="DVY161" s="3060"/>
      <c r="DVZ161" s="3060"/>
      <c r="DWA161" s="3060"/>
      <c r="DWB161" s="3060"/>
      <c r="DWC161" s="3060"/>
      <c r="DWD161" s="3060"/>
      <c r="DWE161" s="3060"/>
      <c r="DWF161" s="3060"/>
      <c r="DWG161" s="3060"/>
      <c r="DWH161" s="3060"/>
      <c r="DWI161" s="3060"/>
      <c r="DWJ161" s="3060"/>
      <c r="DWK161" s="3060"/>
      <c r="DWL161" s="3060"/>
      <c r="DWM161" s="3060"/>
      <c r="DWN161" s="3060"/>
      <c r="DWO161" s="3060"/>
      <c r="DWP161" s="3060"/>
      <c r="DWQ161" s="3060"/>
      <c r="DWR161" s="3060"/>
      <c r="DWS161" s="3060"/>
      <c r="DWT161" s="3060"/>
      <c r="DWU161" s="3060"/>
      <c r="DWV161" s="3060"/>
      <c r="DWW161" s="3060"/>
      <c r="DWX161" s="3060"/>
      <c r="DWY161" s="3060"/>
      <c r="DWZ161" s="3060"/>
      <c r="DXA161" s="3060"/>
      <c r="DXB161" s="3060"/>
      <c r="DXC161" s="3060"/>
      <c r="DXD161" s="3060"/>
      <c r="DXE161" s="3060"/>
      <c r="DXF161" s="3060"/>
      <c r="DXG161" s="3060"/>
      <c r="DXH161" s="3060"/>
      <c r="DXI161" s="3060"/>
      <c r="DXJ161" s="3060"/>
      <c r="DXK161" s="3060"/>
      <c r="DXL161" s="3060"/>
      <c r="DXM161" s="3060"/>
      <c r="DXN161" s="3060"/>
      <c r="DXO161" s="3060"/>
      <c r="DXP161" s="3060"/>
      <c r="DXQ161" s="3060"/>
      <c r="DXR161" s="3060"/>
      <c r="DXS161" s="3060"/>
      <c r="DXT161" s="3060"/>
      <c r="DXU161" s="3060"/>
      <c r="DXV161" s="3060"/>
      <c r="DXW161" s="3060"/>
      <c r="DXX161" s="3060"/>
      <c r="DXY161" s="3060"/>
      <c r="DXZ161" s="3060"/>
      <c r="DYA161" s="3060"/>
      <c r="DYB161" s="3060"/>
      <c r="DYC161" s="3060"/>
      <c r="DYD161" s="3060"/>
      <c r="DYE161" s="3060"/>
      <c r="DYF161" s="3060"/>
      <c r="DYG161" s="3060"/>
      <c r="DYH161" s="3060"/>
      <c r="DYI161" s="3060"/>
      <c r="DYJ161" s="3060"/>
      <c r="DYK161" s="3060"/>
      <c r="DYL161" s="3060"/>
      <c r="DYM161" s="3060"/>
      <c r="DYN161" s="3060"/>
      <c r="DYO161" s="3060"/>
      <c r="DYP161" s="3060"/>
      <c r="DYQ161" s="3060"/>
      <c r="DYR161" s="3060"/>
      <c r="DYS161" s="3060"/>
      <c r="DYT161" s="3060"/>
      <c r="DYU161" s="3060"/>
      <c r="DYV161" s="3060"/>
      <c r="DYW161" s="3060"/>
      <c r="DYX161" s="3060"/>
      <c r="DYY161" s="3060"/>
      <c r="DYZ161" s="3060"/>
      <c r="DZA161" s="3060"/>
      <c r="DZB161" s="3060"/>
      <c r="DZC161" s="3060"/>
      <c r="DZD161" s="3060"/>
      <c r="DZE161" s="3060"/>
      <c r="DZF161" s="3060"/>
      <c r="DZG161" s="3060"/>
      <c r="DZH161" s="3060"/>
      <c r="DZI161" s="3060"/>
      <c r="DZJ161" s="3060"/>
      <c r="DZK161" s="3060"/>
      <c r="DZL161" s="3060"/>
      <c r="DZM161" s="3060"/>
      <c r="DZN161" s="3060"/>
      <c r="DZO161" s="3060"/>
      <c r="DZP161" s="3060"/>
      <c r="DZQ161" s="3060"/>
      <c r="DZR161" s="3060"/>
      <c r="DZS161" s="3060"/>
      <c r="DZT161" s="3060"/>
      <c r="DZU161" s="3060"/>
      <c r="DZV161" s="3060"/>
      <c r="DZW161" s="3060"/>
      <c r="DZX161" s="3060"/>
      <c r="DZY161" s="3060"/>
      <c r="DZZ161" s="3060"/>
      <c r="EAA161" s="3060"/>
      <c r="EAB161" s="3060"/>
      <c r="EAC161" s="3060"/>
      <c r="EAD161" s="3060"/>
      <c r="EAE161" s="3060"/>
      <c r="EAF161" s="3060"/>
      <c r="EAG161" s="3060"/>
      <c r="EAH161" s="3060"/>
      <c r="EAI161" s="3060"/>
      <c r="EAJ161" s="3060"/>
      <c r="EAK161" s="3060"/>
      <c r="EAL161" s="3060"/>
      <c r="EAM161" s="3060"/>
      <c r="EAN161" s="3060"/>
      <c r="EAO161" s="3060"/>
      <c r="EAP161" s="3060"/>
      <c r="EAQ161" s="3060"/>
      <c r="EAR161" s="3060"/>
      <c r="EAS161" s="3060"/>
      <c r="EAT161" s="3060"/>
      <c r="EAU161" s="3060"/>
      <c r="EAV161" s="3060"/>
      <c r="EAW161" s="3060"/>
      <c r="EAX161" s="3060"/>
      <c r="EAY161" s="3060"/>
      <c r="EAZ161" s="3060"/>
      <c r="EBA161" s="3060"/>
      <c r="EBB161" s="3060"/>
      <c r="EBC161" s="3060"/>
      <c r="EBD161" s="3060"/>
      <c r="EBE161" s="3060"/>
      <c r="EBF161" s="3060"/>
      <c r="EBG161" s="3060"/>
      <c r="EBH161" s="3060"/>
      <c r="EBI161" s="3060"/>
      <c r="EBJ161" s="3060"/>
      <c r="EBK161" s="3060"/>
      <c r="EBL161" s="3060"/>
      <c r="EBM161" s="3060"/>
      <c r="EBN161" s="3060"/>
      <c r="EBO161" s="3060"/>
      <c r="EBP161" s="3060"/>
      <c r="EBQ161" s="3060"/>
      <c r="EBR161" s="3060"/>
      <c r="EBS161" s="3060"/>
      <c r="EBT161" s="3060"/>
      <c r="EBU161" s="3060"/>
      <c r="EBV161" s="3060"/>
      <c r="EBW161" s="3060"/>
      <c r="EBX161" s="3060"/>
      <c r="EBY161" s="3060"/>
      <c r="EBZ161" s="3060"/>
      <c r="ECA161" s="3060"/>
      <c r="ECB161" s="3060"/>
      <c r="ECC161" s="3060"/>
      <c r="ECD161" s="3060"/>
      <c r="ECE161" s="3060"/>
      <c r="ECF161" s="3060"/>
      <c r="ECG161" s="3060"/>
      <c r="ECH161" s="3060"/>
      <c r="ECI161" s="3060"/>
      <c r="ECJ161" s="3060"/>
      <c r="ECK161" s="3060"/>
      <c r="ECL161" s="3060"/>
      <c r="ECM161" s="3060"/>
      <c r="ECN161" s="3060"/>
      <c r="ECO161" s="3060"/>
      <c r="ECP161" s="3060"/>
      <c r="ECQ161" s="3060"/>
      <c r="ECR161" s="3060"/>
      <c r="ECS161" s="3060"/>
      <c r="ECT161" s="3060"/>
      <c r="ECU161" s="3060"/>
      <c r="ECV161" s="3060"/>
      <c r="ECW161" s="3060"/>
      <c r="ECX161" s="3060"/>
      <c r="ECY161" s="3060"/>
      <c r="ECZ161" s="3060"/>
      <c r="EDA161" s="3060"/>
      <c r="EDB161" s="3060"/>
      <c r="EDC161" s="3060"/>
      <c r="EDD161" s="3060"/>
      <c r="EDE161" s="3060"/>
      <c r="EDF161" s="3060"/>
      <c r="EDG161" s="3060"/>
      <c r="EDH161" s="3060"/>
      <c r="EDI161" s="3060"/>
      <c r="EDJ161" s="3060"/>
      <c r="EDK161" s="3060"/>
      <c r="EDL161" s="3060"/>
      <c r="EDM161" s="3060"/>
      <c r="EDN161" s="3060"/>
      <c r="EDO161" s="3060"/>
      <c r="EDP161" s="3060"/>
      <c r="EDQ161" s="3060"/>
      <c r="EDR161" s="3060"/>
      <c r="EDS161" s="3060"/>
      <c r="EDT161" s="3060"/>
      <c r="EDU161" s="3060"/>
      <c r="EDV161" s="3060"/>
      <c r="EDW161" s="3060"/>
      <c r="EDX161" s="3060"/>
      <c r="EDY161" s="3060"/>
      <c r="EDZ161" s="3060"/>
      <c r="EEA161" s="3060"/>
      <c r="EEB161" s="3060"/>
      <c r="EEC161" s="3060"/>
      <c r="EED161" s="3060"/>
      <c r="EEE161" s="3060"/>
      <c r="EEF161" s="3060"/>
      <c r="EEG161" s="3060"/>
      <c r="EEH161" s="3060"/>
      <c r="EEI161" s="3060"/>
      <c r="EEJ161" s="3060"/>
      <c r="EEK161" s="3060"/>
      <c r="EEL161" s="3060"/>
      <c r="EEM161" s="3060"/>
      <c r="EEN161" s="3060"/>
      <c r="EEO161" s="3060"/>
      <c r="EEP161" s="3060"/>
      <c r="EEQ161" s="3060"/>
      <c r="EER161" s="3060"/>
      <c r="EES161" s="3060"/>
      <c r="EET161" s="3060"/>
      <c r="EEU161" s="3060"/>
      <c r="EEV161" s="3060"/>
      <c r="EEW161" s="3060"/>
      <c r="EEX161" s="3060"/>
      <c r="EEY161" s="3060"/>
      <c r="EEZ161" s="3060"/>
      <c r="EFA161" s="3060"/>
      <c r="EFB161" s="3060"/>
      <c r="EFC161" s="3060"/>
      <c r="EFD161" s="3060"/>
      <c r="EFE161" s="3060"/>
      <c r="EFF161" s="3060"/>
      <c r="EFG161" s="3060"/>
      <c r="EFH161" s="3060"/>
      <c r="EFI161" s="3060"/>
      <c r="EFJ161" s="3060"/>
      <c r="EFK161" s="3060"/>
      <c r="EFL161" s="3060"/>
      <c r="EFM161" s="3060"/>
      <c r="EFN161" s="3060"/>
      <c r="EFO161" s="3060"/>
      <c r="EFP161" s="3060"/>
      <c r="EFQ161" s="3060"/>
      <c r="EFR161" s="3060"/>
      <c r="EFS161" s="3060"/>
      <c r="EFT161" s="3060"/>
      <c r="EFU161" s="3060"/>
      <c r="EFV161" s="3060"/>
      <c r="EFW161" s="3060"/>
      <c r="EFX161" s="3060"/>
      <c r="EFY161" s="3060"/>
      <c r="EFZ161" s="3060"/>
      <c r="EGA161" s="3060"/>
      <c r="EGB161" s="3060"/>
      <c r="EGC161" s="3060"/>
      <c r="EGD161" s="3060"/>
      <c r="EGE161" s="3060"/>
      <c r="EGF161" s="3060"/>
      <c r="EGG161" s="3060"/>
      <c r="EGH161" s="3060"/>
      <c r="EGI161" s="3060"/>
      <c r="EGJ161" s="3060"/>
      <c r="EGK161" s="3060"/>
      <c r="EGL161" s="3060"/>
      <c r="EGM161" s="3060"/>
      <c r="EGN161" s="3060"/>
      <c r="EGO161" s="3060"/>
      <c r="EGP161" s="3060"/>
      <c r="EGQ161" s="3060"/>
      <c r="EGR161" s="3060"/>
      <c r="EGS161" s="3060"/>
      <c r="EGT161" s="3060"/>
      <c r="EGU161" s="3060"/>
      <c r="EGV161" s="3060"/>
      <c r="EGW161" s="3060"/>
      <c r="EGX161" s="3060"/>
      <c r="EGY161" s="3060"/>
      <c r="EGZ161" s="3060"/>
      <c r="EHA161" s="3060"/>
      <c r="EHB161" s="3060"/>
      <c r="EHC161" s="3060"/>
      <c r="EHD161" s="3060"/>
      <c r="EHE161" s="3060"/>
      <c r="EHF161" s="3060"/>
      <c r="EHG161" s="3060"/>
      <c r="EHH161" s="3060"/>
      <c r="EHI161" s="3060"/>
      <c r="EHJ161" s="3060"/>
      <c r="EHK161" s="3060"/>
      <c r="EHL161" s="3060"/>
      <c r="EHM161" s="3060"/>
      <c r="EHN161" s="3060"/>
      <c r="EHO161" s="3060"/>
      <c r="EHP161" s="3060"/>
      <c r="EHQ161" s="3060"/>
      <c r="EHR161" s="3060"/>
      <c r="EHS161" s="3060"/>
      <c r="EHT161" s="3060"/>
      <c r="EHU161" s="3060"/>
      <c r="EHV161" s="3060"/>
      <c r="EHW161" s="3060"/>
      <c r="EHX161" s="3060"/>
      <c r="EHY161" s="3060"/>
      <c r="EHZ161" s="3060"/>
      <c r="EIA161" s="3060"/>
      <c r="EIB161" s="3060"/>
      <c r="EIC161" s="3060"/>
      <c r="EID161" s="3060"/>
      <c r="EIE161" s="3060"/>
      <c r="EIF161" s="3060"/>
      <c r="EIG161" s="3060"/>
      <c r="EIH161" s="3060"/>
      <c r="EII161" s="3060"/>
      <c r="EIJ161" s="3060"/>
      <c r="EIK161" s="3060"/>
      <c r="EIL161" s="3060"/>
      <c r="EIM161" s="3060"/>
      <c r="EIN161" s="3060"/>
      <c r="EIO161" s="3060"/>
      <c r="EIP161" s="3060"/>
      <c r="EIQ161" s="3060"/>
      <c r="EIR161" s="3060"/>
      <c r="EIS161" s="3060"/>
      <c r="EIT161" s="3060"/>
      <c r="EIU161" s="3060"/>
      <c r="EIV161" s="3060"/>
      <c r="EIW161" s="3060"/>
      <c r="EIX161" s="3060"/>
      <c r="EIY161" s="3060"/>
      <c r="EIZ161" s="3060"/>
      <c r="EJA161" s="3060"/>
      <c r="EJB161" s="3060"/>
      <c r="EJC161" s="3060"/>
      <c r="EJD161" s="3060"/>
      <c r="EJE161" s="3060"/>
      <c r="EJF161" s="3060"/>
      <c r="EJG161" s="3060"/>
      <c r="EJH161" s="3060"/>
      <c r="EJI161" s="3060"/>
      <c r="EJJ161" s="3060"/>
      <c r="EJK161" s="3060"/>
      <c r="EJL161" s="3060"/>
      <c r="EJM161" s="3060"/>
      <c r="EJN161" s="3060"/>
      <c r="EJO161" s="3060"/>
      <c r="EJP161" s="3060"/>
      <c r="EJQ161" s="3060"/>
      <c r="EJR161" s="3060"/>
      <c r="EJS161" s="3060"/>
      <c r="EJT161" s="3060"/>
      <c r="EJU161" s="3060"/>
      <c r="EJV161" s="3060"/>
      <c r="EJW161" s="3060"/>
      <c r="EJX161" s="3060"/>
      <c r="EJY161" s="3060"/>
      <c r="EJZ161" s="3060"/>
      <c r="EKA161" s="3060"/>
      <c r="EKB161" s="3060"/>
      <c r="EKC161" s="3060"/>
      <c r="EKD161" s="3060"/>
      <c r="EKE161" s="3060"/>
      <c r="EKF161" s="3060"/>
      <c r="EKG161" s="3060"/>
      <c r="EKH161" s="3060"/>
      <c r="EKI161" s="3060"/>
      <c r="EKJ161" s="3060"/>
      <c r="EKK161" s="3060"/>
      <c r="EKL161" s="3060"/>
      <c r="EKM161" s="3060"/>
      <c r="EKN161" s="3060"/>
      <c r="EKO161" s="3060"/>
      <c r="EKP161" s="3060"/>
      <c r="EKQ161" s="3060"/>
      <c r="EKR161" s="3060"/>
      <c r="EKS161" s="3060"/>
      <c r="EKT161" s="3060"/>
      <c r="EKU161" s="3060"/>
      <c r="EKV161" s="3060"/>
      <c r="EKW161" s="3060"/>
      <c r="EKX161" s="3060"/>
      <c r="EKY161" s="3060"/>
      <c r="EKZ161" s="3060"/>
      <c r="ELA161" s="3060"/>
      <c r="ELB161" s="3060"/>
      <c r="ELC161" s="3060"/>
      <c r="ELD161" s="3060"/>
      <c r="ELE161" s="3060"/>
      <c r="ELF161" s="3060"/>
      <c r="ELG161" s="3060"/>
      <c r="ELH161" s="3060"/>
      <c r="ELI161" s="3060"/>
      <c r="ELJ161" s="3060"/>
      <c r="ELK161" s="3060"/>
      <c r="ELL161" s="3060"/>
      <c r="ELM161" s="3060"/>
      <c r="ELN161" s="3060"/>
      <c r="ELO161" s="3060"/>
      <c r="ELP161" s="3060"/>
      <c r="ELQ161" s="3060"/>
      <c r="ELR161" s="3060"/>
      <c r="ELS161" s="3060"/>
      <c r="ELT161" s="3060"/>
      <c r="ELU161" s="3060"/>
      <c r="ELV161" s="3060"/>
      <c r="ELW161" s="3060"/>
      <c r="ELX161" s="3060"/>
      <c r="ELY161" s="3060"/>
      <c r="ELZ161" s="3060"/>
      <c r="EMA161" s="3060"/>
      <c r="EMB161" s="3060"/>
      <c r="EMC161" s="3060"/>
      <c r="EMD161" s="3060"/>
      <c r="EME161" s="3060"/>
      <c r="EMF161" s="3060"/>
      <c r="EMG161" s="3060"/>
      <c r="EMH161" s="3060"/>
      <c r="EMI161" s="3060"/>
      <c r="EMJ161" s="3060"/>
      <c r="EMK161" s="3060"/>
      <c r="EML161" s="3060"/>
      <c r="EMM161" s="3060"/>
      <c r="EMN161" s="3060"/>
      <c r="EMO161" s="3060"/>
      <c r="EMP161" s="3060"/>
      <c r="EMQ161" s="3060"/>
      <c r="EMR161" s="3060"/>
      <c r="EMS161" s="3060"/>
      <c r="EMT161" s="3060"/>
      <c r="EMU161" s="3060"/>
      <c r="EMV161" s="3060"/>
      <c r="EMW161" s="3060"/>
      <c r="EMX161" s="3060"/>
      <c r="EMY161" s="3060"/>
      <c r="EMZ161" s="3060"/>
      <c r="ENA161" s="3060"/>
      <c r="ENB161" s="3060"/>
      <c r="ENC161" s="3060"/>
      <c r="END161" s="3060"/>
      <c r="ENE161" s="3060"/>
      <c r="ENF161" s="3060"/>
      <c r="ENG161" s="3060"/>
      <c r="ENH161" s="3060"/>
      <c r="ENI161" s="3060"/>
      <c r="ENJ161" s="3060"/>
      <c r="ENK161" s="3060"/>
      <c r="ENL161" s="3060"/>
      <c r="ENM161" s="3060"/>
      <c r="ENN161" s="3060"/>
      <c r="ENO161" s="3060"/>
      <c r="ENP161" s="3060"/>
      <c r="ENQ161" s="3060"/>
      <c r="ENR161" s="3060"/>
      <c r="ENS161" s="3060"/>
      <c r="ENT161" s="3060"/>
      <c r="ENU161" s="3060"/>
      <c r="ENV161" s="3060"/>
      <c r="ENW161" s="3060"/>
      <c r="ENX161" s="3060"/>
      <c r="ENY161" s="3060"/>
      <c r="ENZ161" s="3060"/>
      <c r="EOA161" s="3060"/>
      <c r="EOB161" s="3060"/>
      <c r="EOC161" s="3060"/>
      <c r="EOD161" s="3060"/>
      <c r="EOE161" s="3060"/>
      <c r="EOF161" s="3060"/>
      <c r="EOG161" s="3060"/>
      <c r="EOH161" s="3060"/>
      <c r="EOI161" s="3060"/>
      <c r="EOJ161" s="3060"/>
      <c r="EOK161" s="3060"/>
      <c r="EOL161" s="3060"/>
      <c r="EOM161" s="3060"/>
      <c r="EON161" s="3060"/>
      <c r="EOO161" s="3060"/>
      <c r="EOP161" s="3060"/>
      <c r="EOQ161" s="3060"/>
      <c r="EOR161" s="3060"/>
      <c r="EOS161" s="3060"/>
      <c r="EOT161" s="3060"/>
      <c r="EOU161" s="3060"/>
      <c r="EOV161" s="3060"/>
      <c r="EOW161" s="3060"/>
      <c r="EOX161" s="3060"/>
      <c r="EOY161" s="3060"/>
      <c r="EOZ161" s="3060"/>
      <c r="EPA161" s="3060"/>
      <c r="EPB161" s="3060"/>
      <c r="EPC161" s="3060"/>
      <c r="EPD161" s="3060"/>
      <c r="EPE161" s="3060"/>
      <c r="EPF161" s="3060"/>
      <c r="EPG161" s="3060"/>
      <c r="EPH161" s="3060"/>
      <c r="EPI161" s="3060"/>
      <c r="EPJ161" s="3060"/>
      <c r="EPK161" s="3060"/>
      <c r="EPL161" s="3060"/>
      <c r="EPM161" s="3060"/>
      <c r="EPN161" s="3060"/>
      <c r="EPO161" s="3060"/>
      <c r="EPP161" s="3060"/>
      <c r="EPQ161" s="3060"/>
      <c r="EPR161" s="3060"/>
      <c r="EPS161" s="3060"/>
      <c r="EPT161" s="3060"/>
      <c r="EPU161" s="3060"/>
      <c r="EPV161" s="3060"/>
      <c r="EPW161" s="3060"/>
      <c r="EPX161" s="3060"/>
      <c r="EPY161" s="3060"/>
      <c r="EPZ161" s="3060"/>
      <c r="EQA161" s="3060"/>
      <c r="EQB161" s="3060"/>
      <c r="EQC161" s="3060"/>
      <c r="EQD161" s="3060"/>
      <c r="EQE161" s="3060"/>
      <c r="EQF161" s="3060"/>
      <c r="EQG161" s="3060"/>
      <c r="EQH161" s="3060"/>
      <c r="EQI161" s="3060"/>
      <c r="EQJ161" s="3060"/>
      <c r="EQK161" s="3060"/>
      <c r="EQL161" s="3060"/>
      <c r="EQM161" s="3060"/>
      <c r="EQN161" s="3060"/>
      <c r="EQO161" s="3060"/>
      <c r="EQP161" s="3060"/>
      <c r="EQQ161" s="3060"/>
      <c r="EQR161" s="3060"/>
      <c r="EQS161" s="3060"/>
      <c r="EQT161" s="3060"/>
      <c r="EQU161" s="3060"/>
      <c r="EQV161" s="3060"/>
      <c r="EQW161" s="3060"/>
      <c r="EQX161" s="3060"/>
      <c r="EQY161" s="3060"/>
      <c r="EQZ161" s="3060"/>
      <c r="ERA161" s="3060"/>
      <c r="ERB161" s="3060"/>
      <c r="ERC161" s="3060"/>
      <c r="ERD161" s="3060"/>
      <c r="ERE161" s="3060"/>
      <c r="ERF161" s="3060"/>
      <c r="ERG161" s="3060"/>
      <c r="ERH161" s="3060"/>
      <c r="ERI161" s="3060"/>
      <c r="ERJ161" s="3060"/>
      <c r="ERK161" s="3060"/>
      <c r="ERL161" s="3060"/>
      <c r="ERM161" s="3060"/>
      <c r="ERN161" s="3060"/>
      <c r="ERO161" s="3060"/>
      <c r="ERP161" s="3060"/>
      <c r="ERQ161" s="3060"/>
      <c r="ERR161" s="3060"/>
      <c r="ERS161" s="3060"/>
      <c r="ERT161" s="3060"/>
      <c r="ERU161" s="3060"/>
      <c r="ERV161" s="3060"/>
      <c r="ERW161" s="3060"/>
      <c r="ERX161" s="3060"/>
      <c r="ERY161" s="3060"/>
      <c r="ERZ161" s="3060"/>
      <c r="ESA161" s="3060"/>
      <c r="ESB161" s="3060"/>
      <c r="ESC161" s="3060"/>
      <c r="ESD161" s="3060"/>
      <c r="ESE161" s="3060"/>
      <c r="ESF161" s="3060"/>
      <c r="ESG161" s="3060"/>
      <c r="ESH161" s="3060"/>
      <c r="ESI161" s="3060"/>
      <c r="ESJ161" s="3060"/>
      <c r="ESK161" s="3060"/>
      <c r="ESL161" s="3060"/>
      <c r="ESM161" s="3060"/>
      <c r="ESN161" s="3060"/>
      <c r="ESO161" s="3060"/>
      <c r="ESP161" s="3060"/>
      <c r="ESQ161" s="3060"/>
      <c r="ESR161" s="3060"/>
      <c r="ESS161" s="3060"/>
      <c r="EST161" s="3060"/>
      <c r="ESU161" s="3060"/>
      <c r="ESV161" s="3060"/>
      <c r="ESW161" s="3060"/>
      <c r="ESX161" s="3060"/>
      <c r="ESY161" s="3060"/>
      <c r="ESZ161" s="3060"/>
      <c r="ETA161" s="3060"/>
      <c r="ETB161" s="3060"/>
      <c r="ETC161" s="3060"/>
      <c r="ETD161" s="3060"/>
      <c r="ETE161" s="3060"/>
      <c r="ETF161" s="3060"/>
      <c r="ETG161" s="3060"/>
      <c r="ETH161" s="3060"/>
      <c r="ETI161" s="3060"/>
      <c r="ETJ161" s="3060"/>
      <c r="ETK161" s="3060"/>
      <c r="ETL161" s="3060"/>
      <c r="ETM161" s="3060"/>
      <c r="ETN161" s="3060"/>
      <c r="ETO161" s="3060"/>
      <c r="ETP161" s="3060"/>
      <c r="ETQ161" s="3060"/>
      <c r="ETR161" s="3060"/>
      <c r="ETS161" s="3060"/>
      <c r="ETT161" s="3060"/>
      <c r="ETU161" s="3060"/>
      <c r="ETV161" s="3060"/>
      <c r="ETW161" s="3060"/>
      <c r="ETX161" s="3060"/>
      <c r="ETY161" s="3060"/>
      <c r="ETZ161" s="3060"/>
      <c r="EUA161" s="3060"/>
      <c r="EUB161" s="3060"/>
      <c r="EUC161" s="3060"/>
      <c r="EUD161" s="3060"/>
      <c r="EUE161" s="3060"/>
      <c r="EUF161" s="3060"/>
      <c r="EUG161" s="3060"/>
      <c r="EUH161" s="3060"/>
      <c r="EUI161" s="3060"/>
      <c r="EUJ161" s="3060"/>
      <c r="EUK161" s="3060"/>
      <c r="EUL161" s="3060"/>
      <c r="EUM161" s="3060"/>
      <c r="EUN161" s="3060"/>
      <c r="EUO161" s="3060"/>
      <c r="EUP161" s="3060"/>
      <c r="EUQ161" s="3060"/>
      <c r="EUR161" s="3060"/>
      <c r="EUS161" s="3060"/>
      <c r="EUT161" s="3060"/>
      <c r="EUU161" s="3060"/>
      <c r="EUV161" s="3060"/>
      <c r="EUW161" s="3060"/>
      <c r="EUX161" s="3060"/>
      <c r="EUY161" s="3060"/>
      <c r="EUZ161" s="3060"/>
      <c r="EVA161" s="3060"/>
      <c r="EVB161" s="3060"/>
      <c r="EVC161" s="3060"/>
      <c r="EVD161" s="3060"/>
      <c r="EVE161" s="3060"/>
      <c r="EVF161" s="3060"/>
      <c r="EVG161" s="3060"/>
      <c r="EVH161" s="3060"/>
      <c r="EVI161" s="3060"/>
      <c r="EVJ161" s="3060"/>
      <c r="EVK161" s="3060"/>
      <c r="EVL161" s="3060"/>
      <c r="EVM161" s="3060"/>
      <c r="EVN161" s="3060"/>
      <c r="EVO161" s="3060"/>
      <c r="EVP161" s="3060"/>
      <c r="EVQ161" s="3060"/>
      <c r="EVR161" s="3060"/>
      <c r="EVS161" s="3060"/>
      <c r="EVT161" s="3060"/>
      <c r="EVU161" s="3060"/>
      <c r="EVV161" s="3060"/>
      <c r="EVW161" s="3060"/>
      <c r="EVX161" s="3060"/>
      <c r="EVY161" s="3060"/>
      <c r="EVZ161" s="3060"/>
      <c r="EWA161" s="3060"/>
      <c r="EWB161" s="3060"/>
      <c r="EWC161" s="3060"/>
      <c r="EWD161" s="3060"/>
      <c r="EWE161" s="3060"/>
      <c r="EWF161" s="3060"/>
      <c r="EWG161" s="3060"/>
      <c r="EWH161" s="3060"/>
      <c r="EWI161" s="3060"/>
      <c r="EWJ161" s="3060"/>
      <c r="EWK161" s="3060"/>
      <c r="EWL161" s="3060"/>
      <c r="EWM161" s="3060"/>
      <c r="EWN161" s="3060"/>
      <c r="EWO161" s="3060"/>
      <c r="EWP161" s="3060"/>
      <c r="EWQ161" s="3060"/>
      <c r="EWR161" s="3060"/>
      <c r="EWS161" s="3060"/>
      <c r="EWT161" s="3060"/>
      <c r="EWU161" s="3060"/>
      <c r="EWV161" s="3060"/>
      <c r="EWW161" s="3060"/>
      <c r="EWX161" s="3060"/>
      <c r="EWY161" s="3060"/>
      <c r="EWZ161" s="3060"/>
      <c r="EXA161" s="3060"/>
      <c r="EXB161" s="3060"/>
      <c r="EXC161" s="3060"/>
      <c r="EXD161" s="3060"/>
      <c r="EXE161" s="3060"/>
      <c r="EXF161" s="3060"/>
      <c r="EXG161" s="3060"/>
      <c r="EXH161" s="3060"/>
      <c r="EXI161" s="3060"/>
      <c r="EXJ161" s="3060"/>
      <c r="EXK161" s="3060"/>
      <c r="EXL161" s="3060"/>
      <c r="EXM161" s="3060"/>
      <c r="EXN161" s="3060"/>
      <c r="EXO161" s="3060"/>
      <c r="EXP161" s="3060"/>
      <c r="EXQ161" s="3060"/>
      <c r="EXR161" s="3060"/>
      <c r="EXS161" s="3060"/>
      <c r="EXT161" s="3060"/>
      <c r="EXU161" s="3060"/>
      <c r="EXV161" s="3060"/>
      <c r="EXW161" s="3060"/>
      <c r="EXX161" s="3060"/>
      <c r="EXY161" s="3060"/>
      <c r="EXZ161" s="3060"/>
      <c r="EYA161" s="3060"/>
      <c r="EYB161" s="3060"/>
      <c r="EYC161" s="3060"/>
      <c r="EYD161" s="3060"/>
      <c r="EYE161" s="3060"/>
      <c r="EYF161" s="3060"/>
      <c r="EYG161" s="3060"/>
      <c r="EYH161" s="3060"/>
      <c r="EYI161" s="3060"/>
      <c r="EYJ161" s="3060"/>
      <c r="EYK161" s="3060"/>
      <c r="EYL161" s="3060"/>
      <c r="EYM161" s="3060"/>
      <c r="EYN161" s="3060"/>
      <c r="EYO161" s="3060"/>
      <c r="EYP161" s="3060"/>
      <c r="EYQ161" s="3060"/>
      <c r="EYR161" s="3060"/>
      <c r="EYS161" s="3060"/>
      <c r="EYT161" s="3060"/>
      <c r="EYU161" s="3060"/>
      <c r="EYV161" s="3060"/>
      <c r="EYW161" s="3060"/>
      <c r="EYX161" s="3060"/>
      <c r="EYY161" s="3060"/>
      <c r="EYZ161" s="3060"/>
      <c r="EZA161" s="3060"/>
      <c r="EZB161" s="3060"/>
      <c r="EZC161" s="3060"/>
      <c r="EZD161" s="3060"/>
      <c r="EZE161" s="3060"/>
      <c r="EZF161" s="3060"/>
      <c r="EZG161" s="3060"/>
      <c r="EZH161" s="3060"/>
      <c r="EZI161" s="3060"/>
      <c r="EZJ161" s="3060"/>
      <c r="EZK161" s="3060"/>
      <c r="EZL161" s="3060"/>
      <c r="EZM161" s="3060"/>
      <c r="EZN161" s="3060"/>
      <c r="EZO161" s="3060"/>
      <c r="EZP161" s="3060"/>
      <c r="EZQ161" s="3060"/>
      <c r="EZR161" s="3060"/>
      <c r="EZS161" s="3060"/>
      <c r="EZT161" s="3060"/>
      <c r="EZU161" s="3060"/>
      <c r="EZV161" s="3060"/>
      <c r="EZW161" s="3060"/>
      <c r="EZX161" s="3060"/>
      <c r="EZY161" s="3060"/>
      <c r="EZZ161" s="3060"/>
      <c r="FAA161" s="3060"/>
      <c r="FAB161" s="3060"/>
      <c r="FAC161" s="3060"/>
      <c r="FAD161" s="3060"/>
      <c r="FAE161" s="3060"/>
      <c r="FAF161" s="3060"/>
      <c r="FAG161" s="3060"/>
      <c r="FAH161" s="3060"/>
      <c r="FAI161" s="3060"/>
      <c r="FAJ161" s="3060"/>
      <c r="FAK161" s="3060"/>
      <c r="FAL161" s="3060"/>
      <c r="FAM161" s="3060"/>
      <c r="FAN161" s="3060"/>
      <c r="FAO161" s="3060"/>
      <c r="FAP161" s="3060"/>
      <c r="FAQ161" s="3060"/>
      <c r="FAR161" s="3060"/>
      <c r="FAS161" s="3060"/>
      <c r="FAT161" s="3060"/>
      <c r="FAU161" s="3060"/>
      <c r="FAV161" s="3060"/>
      <c r="FAW161" s="3060"/>
      <c r="FAX161" s="3060"/>
      <c r="FAY161" s="3060"/>
      <c r="FAZ161" s="3060"/>
      <c r="FBA161" s="3060"/>
      <c r="FBB161" s="3060"/>
      <c r="FBC161" s="3060"/>
      <c r="FBD161" s="3060"/>
      <c r="FBE161" s="3060"/>
      <c r="FBF161" s="3060"/>
      <c r="FBG161" s="3060"/>
      <c r="FBH161" s="3060"/>
      <c r="FBI161" s="3060"/>
      <c r="FBJ161" s="3060"/>
      <c r="FBK161" s="3060"/>
      <c r="FBL161" s="3060"/>
      <c r="FBM161" s="3060"/>
      <c r="FBN161" s="3060"/>
      <c r="FBO161" s="3060"/>
      <c r="FBP161" s="3060"/>
      <c r="FBQ161" s="3060"/>
      <c r="FBR161" s="3060"/>
      <c r="FBS161" s="3060"/>
      <c r="FBT161" s="3060"/>
      <c r="FBU161" s="3060"/>
      <c r="FBV161" s="3060"/>
      <c r="FBW161" s="3060"/>
      <c r="FBX161" s="3060"/>
      <c r="FBY161" s="3060"/>
      <c r="FBZ161" s="3060"/>
      <c r="FCA161" s="3060"/>
      <c r="FCB161" s="3060"/>
      <c r="FCC161" s="3060"/>
      <c r="FCD161" s="3060"/>
      <c r="FCE161" s="3060"/>
      <c r="FCF161" s="3060"/>
      <c r="FCG161" s="3060"/>
      <c r="FCH161" s="3060"/>
      <c r="FCI161" s="3060"/>
      <c r="FCJ161" s="3060"/>
      <c r="FCK161" s="3060"/>
      <c r="FCL161" s="3060"/>
      <c r="FCM161" s="3060"/>
      <c r="FCN161" s="3060"/>
      <c r="FCO161" s="3060"/>
      <c r="FCP161" s="3060"/>
      <c r="FCQ161" s="3060"/>
      <c r="FCR161" s="3060"/>
      <c r="FCS161" s="3060"/>
      <c r="FCT161" s="3060"/>
      <c r="FCU161" s="3060"/>
      <c r="FCV161" s="3060"/>
      <c r="FCW161" s="3060"/>
      <c r="FCX161" s="3060"/>
      <c r="FCY161" s="3060"/>
      <c r="FCZ161" s="3060"/>
      <c r="FDA161" s="3060"/>
      <c r="FDB161" s="3060"/>
      <c r="FDC161" s="3060"/>
      <c r="FDD161" s="3060"/>
      <c r="FDE161" s="3060"/>
      <c r="FDF161" s="3060"/>
      <c r="FDG161" s="3060"/>
      <c r="FDH161" s="3060"/>
      <c r="FDI161" s="3060"/>
      <c r="FDJ161" s="3060"/>
      <c r="FDK161" s="3060"/>
      <c r="FDL161" s="3060"/>
      <c r="FDM161" s="3060"/>
      <c r="FDN161" s="3060"/>
      <c r="FDO161" s="3060"/>
      <c r="FDP161" s="3060"/>
      <c r="FDQ161" s="3060"/>
      <c r="FDR161" s="3060"/>
      <c r="FDS161" s="3060"/>
      <c r="FDT161" s="3060"/>
      <c r="FDU161" s="3060"/>
      <c r="FDV161" s="3060"/>
      <c r="FDW161" s="3060"/>
      <c r="FDX161" s="3060"/>
      <c r="FDY161" s="3060"/>
      <c r="FDZ161" s="3060"/>
      <c r="FEA161" s="3060"/>
      <c r="FEB161" s="3060"/>
      <c r="FEC161" s="3060"/>
      <c r="FED161" s="3060"/>
      <c r="FEE161" s="3060"/>
      <c r="FEF161" s="3060"/>
      <c r="FEG161" s="3060"/>
      <c r="FEH161" s="3060"/>
      <c r="FEI161" s="3060"/>
      <c r="FEJ161" s="3060"/>
      <c r="FEK161" s="3060"/>
      <c r="FEL161" s="3060"/>
      <c r="FEM161" s="3060"/>
      <c r="FEN161" s="3060"/>
      <c r="FEO161" s="3060"/>
      <c r="FEP161" s="3060"/>
      <c r="FEQ161" s="3060"/>
      <c r="FER161" s="3060"/>
      <c r="FES161" s="3060"/>
      <c r="FET161" s="3060"/>
      <c r="FEU161" s="3060"/>
      <c r="FEV161" s="3060"/>
      <c r="FEW161" s="3060"/>
      <c r="FEX161" s="3060"/>
      <c r="FEY161" s="3060"/>
      <c r="FEZ161" s="3060"/>
      <c r="FFA161" s="3060"/>
      <c r="FFB161" s="3060"/>
      <c r="FFC161" s="3060"/>
      <c r="FFD161" s="3060"/>
      <c r="FFE161" s="3060"/>
      <c r="FFF161" s="3060"/>
      <c r="FFG161" s="3060"/>
      <c r="FFH161" s="3060"/>
      <c r="FFI161" s="3060"/>
      <c r="FFJ161" s="3060"/>
      <c r="FFK161" s="3060"/>
      <c r="FFL161" s="3060"/>
      <c r="FFM161" s="3060"/>
      <c r="FFN161" s="3060"/>
      <c r="FFO161" s="3060"/>
      <c r="FFP161" s="3060"/>
      <c r="FFQ161" s="3060"/>
      <c r="FFR161" s="3060"/>
      <c r="FFS161" s="3060"/>
      <c r="FFT161" s="3060"/>
      <c r="FFU161" s="3060"/>
      <c r="FFV161" s="3060"/>
      <c r="FFW161" s="3060"/>
      <c r="FFX161" s="3060"/>
      <c r="FFY161" s="3060"/>
      <c r="FFZ161" s="3060"/>
      <c r="FGA161" s="3060"/>
      <c r="FGB161" s="3060"/>
      <c r="FGC161" s="3060"/>
      <c r="FGD161" s="3060"/>
      <c r="FGE161" s="3060"/>
      <c r="FGF161" s="3060"/>
      <c r="FGG161" s="3060"/>
      <c r="FGH161" s="3060"/>
      <c r="FGI161" s="3060"/>
      <c r="FGJ161" s="3060"/>
      <c r="FGK161" s="3060"/>
      <c r="FGL161" s="3060"/>
      <c r="FGM161" s="3060"/>
      <c r="FGN161" s="3060"/>
      <c r="FGO161" s="3060"/>
      <c r="FGP161" s="3060"/>
      <c r="FGQ161" s="3060"/>
      <c r="FGR161" s="3060"/>
      <c r="FGS161" s="3060"/>
      <c r="FGT161" s="3060"/>
      <c r="FGU161" s="3060"/>
      <c r="FGV161" s="3060"/>
      <c r="FGW161" s="3060"/>
      <c r="FGX161" s="3060"/>
      <c r="FGY161" s="3060"/>
      <c r="FGZ161" s="3060"/>
      <c r="FHA161" s="3060"/>
      <c r="FHB161" s="3060"/>
      <c r="FHC161" s="3060"/>
      <c r="FHD161" s="3060"/>
      <c r="FHE161" s="3060"/>
      <c r="FHF161" s="3060"/>
      <c r="FHG161" s="3060"/>
      <c r="FHH161" s="3060"/>
      <c r="FHI161" s="3060"/>
      <c r="FHJ161" s="3060"/>
      <c r="FHK161" s="3060"/>
      <c r="FHL161" s="3060"/>
      <c r="FHM161" s="3060"/>
      <c r="FHN161" s="3060"/>
      <c r="FHO161" s="3060"/>
      <c r="FHP161" s="3060"/>
      <c r="FHQ161" s="3060"/>
      <c r="FHR161" s="3060"/>
      <c r="FHS161" s="3060"/>
      <c r="FHT161" s="3060"/>
      <c r="FHU161" s="3060"/>
      <c r="FHV161" s="3060"/>
      <c r="FHW161" s="3060"/>
      <c r="FHX161" s="3060"/>
      <c r="FHY161" s="3060"/>
      <c r="FHZ161" s="3060"/>
      <c r="FIA161" s="3060"/>
      <c r="FIB161" s="3060"/>
      <c r="FIC161" s="3060"/>
      <c r="FID161" s="3060"/>
      <c r="FIE161" s="3060"/>
      <c r="FIF161" s="3060"/>
      <c r="FIG161" s="3060"/>
      <c r="FIH161" s="3060"/>
      <c r="FII161" s="3060"/>
      <c r="FIJ161" s="3060"/>
      <c r="FIK161" s="3060"/>
      <c r="FIL161" s="3060"/>
      <c r="FIM161" s="3060"/>
      <c r="FIN161" s="3060"/>
      <c r="FIO161" s="3060"/>
      <c r="FIP161" s="3060"/>
      <c r="FIQ161" s="3060"/>
      <c r="FIR161" s="3060"/>
      <c r="FIS161" s="3060"/>
      <c r="FIT161" s="3060"/>
      <c r="FIU161" s="3060"/>
      <c r="FIV161" s="3060"/>
      <c r="FIW161" s="3060"/>
      <c r="FIX161" s="3060"/>
      <c r="FIY161" s="3060"/>
      <c r="FIZ161" s="3060"/>
      <c r="FJA161" s="3060"/>
      <c r="FJB161" s="3060"/>
      <c r="FJC161" s="3060"/>
      <c r="FJD161" s="3060"/>
      <c r="FJE161" s="3060"/>
      <c r="FJF161" s="3060"/>
      <c r="FJG161" s="3060"/>
      <c r="FJH161" s="3060"/>
      <c r="FJI161" s="3060"/>
      <c r="FJJ161" s="3060"/>
      <c r="FJK161" s="3060"/>
      <c r="FJL161" s="3060"/>
      <c r="FJM161" s="3060"/>
      <c r="FJN161" s="3060"/>
      <c r="FJO161" s="3060"/>
      <c r="FJP161" s="3060"/>
      <c r="FJQ161" s="3060"/>
      <c r="FJR161" s="3060"/>
      <c r="FJS161" s="3060"/>
      <c r="FJT161" s="3060"/>
      <c r="FJU161" s="3060"/>
      <c r="FJV161" s="3060"/>
      <c r="FJW161" s="3060"/>
      <c r="FJX161" s="3060"/>
      <c r="FJY161" s="3060"/>
      <c r="FJZ161" s="3060"/>
      <c r="FKA161" s="3060"/>
      <c r="FKB161" s="3060"/>
      <c r="FKC161" s="3060"/>
      <c r="FKD161" s="3060"/>
      <c r="FKE161" s="3060"/>
      <c r="FKF161" s="3060"/>
      <c r="FKG161" s="3060"/>
      <c r="FKH161" s="3060"/>
      <c r="FKI161" s="3060"/>
      <c r="FKJ161" s="3060"/>
      <c r="FKK161" s="3060"/>
      <c r="FKL161" s="3060"/>
      <c r="FKM161" s="3060"/>
      <c r="FKN161" s="3060"/>
      <c r="FKO161" s="3060"/>
      <c r="FKP161" s="3060"/>
      <c r="FKQ161" s="3060"/>
      <c r="FKR161" s="3060"/>
      <c r="FKS161" s="3060"/>
      <c r="FKT161" s="3060"/>
      <c r="FKU161" s="3060"/>
      <c r="FKV161" s="3060"/>
      <c r="FKW161" s="3060"/>
      <c r="FKX161" s="3060"/>
      <c r="FKY161" s="3060"/>
      <c r="FKZ161" s="3060"/>
      <c r="FLA161" s="3060"/>
      <c r="FLB161" s="3060"/>
      <c r="FLC161" s="3060"/>
      <c r="FLD161" s="3060"/>
      <c r="FLE161" s="3060"/>
      <c r="FLF161" s="3060"/>
      <c r="FLG161" s="3060"/>
      <c r="FLH161" s="3060"/>
      <c r="FLI161" s="3060"/>
      <c r="FLJ161" s="3060"/>
      <c r="FLK161" s="3060"/>
      <c r="FLL161" s="3060"/>
      <c r="FLM161" s="3060"/>
      <c r="FLN161" s="3060"/>
      <c r="FLO161" s="3060"/>
      <c r="FLP161" s="3060"/>
      <c r="FLQ161" s="3060"/>
      <c r="FLR161" s="3060"/>
      <c r="FLS161" s="3060"/>
      <c r="FLT161" s="3060"/>
      <c r="FLU161" s="3060"/>
      <c r="FLV161" s="3060"/>
      <c r="FLW161" s="3060"/>
      <c r="FLX161" s="3060"/>
      <c r="FLY161" s="3060"/>
      <c r="FLZ161" s="3060"/>
      <c r="FMA161" s="3060"/>
      <c r="FMB161" s="3060"/>
      <c r="FMC161" s="3060"/>
      <c r="FMD161" s="3060"/>
      <c r="FME161" s="3060"/>
      <c r="FMF161" s="3060"/>
      <c r="FMG161" s="3060"/>
      <c r="FMH161" s="3060"/>
      <c r="FMI161" s="3060"/>
      <c r="FMJ161" s="3060"/>
      <c r="FMK161" s="3060"/>
      <c r="FML161" s="3060"/>
      <c r="FMM161" s="3060"/>
      <c r="FMN161" s="3060"/>
      <c r="FMO161" s="3060"/>
      <c r="FMP161" s="3060"/>
      <c r="FMQ161" s="3060"/>
      <c r="FMR161" s="3060"/>
      <c r="FMS161" s="3060"/>
      <c r="FMT161" s="3060"/>
      <c r="FMU161" s="3060"/>
      <c r="FMV161" s="3060"/>
      <c r="FMW161" s="3060"/>
      <c r="FMX161" s="3060"/>
      <c r="FMY161" s="3060"/>
      <c r="FMZ161" s="3060"/>
      <c r="FNA161" s="3060"/>
      <c r="FNB161" s="3060"/>
      <c r="FNC161" s="3060"/>
      <c r="FND161" s="3060"/>
      <c r="FNE161" s="3060"/>
      <c r="FNF161" s="3060"/>
      <c r="FNG161" s="3060"/>
      <c r="FNH161" s="3060"/>
      <c r="FNI161" s="3060"/>
      <c r="FNJ161" s="3060"/>
      <c r="FNK161" s="3060"/>
      <c r="FNL161" s="3060"/>
      <c r="FNM161" s="3060"/>
      <c r="FNN161" s="3060"/>
      <c r="FNO161" s="3060"/>
      <c r="FNP161" s="3060"/>
      <c r="FNQ161" s="3060"/>
      <c r="FNR161" s="3060"/>
      <c r="FNS161" s="3060"/>
      <c r="FNT161" s="3060"/>
      <c r="FNU161" s="3060"/>
      <c r="FNV161" s="3060"/>
      <c r="FNW161" s="3060"/>
      <c r="FNX161" s="3060"/>
      <c r="FNY161" s="3060"/>
      <c r="FNZ161" s="3060"/>
      <c r="FOA161" s="3060"/>
      <c r="FOB161" s="3060"/>
      <c r="FOC161" s="3060"/>
      <c r="FOD161" s="3060"/>
      <c r="FOE161" s="3060"/>
      <c r="FOF161" s="3060"/>
      <c r="FOG161" s="3060"/>
      <c r="FOH161" s="3060"/>
      <c r="FOI161" s="3060"/>
      <c r="FOJ161" s="3060"/>
      <c r="FOK161" s="3060"/>
      <c r="FOL161" s="3060"/>
      <c r="FOM161" s="3060"/>
      <c r="FON161" s="3060"/>
      <c r="FOO161" s="3060"/>
      <c r="FOP161" s="3060"/>
      <c r="FOQ161" s="3060"/>
      <c r="FOR161" s="3060"/>
      <c r="FOS161" s="3060"/>
      <c r="FOT161" s="3060"/>
      <c r="FOU161" s="3060"/>
      <c r="FOV161" s="3060"/>
      <c r="FOW161" s="3060"/>
      <c r="FOX161" s="3060"/>
      <c r="FOY161" s="3060"/>
      <c r="FOZ161" s="3060"/>
      <c r="FPA161" s="3060"/>
      <c r="FPB161" s="3060"/>
      <c r="FPC161" s="3060"/>
      <c r="FPD161" s="3060"/>
      <c r="FPE161" s="3060"/>
      <c r="FPF161" s="3060"/>
      <c r="FPG161" s="3060"/>
      <c r="FPH161" s="3060"/>
      <c r="FPI161" s="3060"/>
      <c r="FPJ161" s="3060"/>
      <c r="FPK161" s="3060"/>
      <c r="FPL161" s="3060"/>
      <c r="FPM161" s="3060"/>
      <c r="FPN161" s="3060"/>
      <c r="FPO161" s="3060"/>
      <c r="FPP161" s="3060"/>
      <c r="FPQ161" s="3060"/>
      <c r="FPR161" s="3060"/>
      <c r="FPS161" s="3060"/>
      <c r="FPT161" s="3060"/>
      <c r="FPU161" s="3060"/>
      <c r="FPV161" s="3060"/>
      <c r="FPW161" s="3060"/>
      <c r="FPX161" s="3060"/>
      <c r="FPY161" s="3060"/>
      <c r="FPZ161" s="3060"/>
      <c r="FQA161" s="3060"/>
      <c r="FQB161" s="3060"/>
      <c r="FQC161" s="3060"/>
      <c r="FQD161" s="3060"/>
      <c r="FQE161" s="3060"/>
      <c r="FQF161" s="3060"/>
      <c r="FQG161" s="3060"/>
      <c r="FQH161" s="3060"/>
      <c r="FQI161" s="3060"/>
      <c r="FQJ161" s="3060"/>
      <c r="FQK161" s="3060"/>
      <c r="FQL161" s="3060"/>
      <c r="FQM161" s="3060"/>
      <c r="FQN161" s="3060"/>
      <c r="FQO161" s="3060"/>
      <c r="FQP161" s="3060"/>
      <c r="FQQ161" s="3060"/>
      <c r="FQR161" s="3060"/>
      <c r="FQS161" s="3060"/>
      <c r="FQT161" s="3060"/>
      <c r="FQU161" s="3060"/>
      <c r="FQV161" s="3060"/>
      <c r="FQW161" s="3060"/>
      <c r="FQX161" s="3060"/>
      <c r="FQY161" s="3060"/>
      <c r="FQZ161" s="3060"/>
      <c r="FRA161" s="3060"/>
      <c r="FRB161" s="3060"/>
      <c r="FRC161" s="3060"/>
      <c r="FRD161" s="3060"/>
      <c r="FRE161" s="3060"/>
      <c r="FRF161" s="3060"/>
      <c r="FRG161" s="3060"/>
      <c r="FRH161" s="3060"/>
      <c r="FRI161" s="3060"/>
      <c r="FRJ161" s="3060"/>
      <c r="FRK161" s="3060"/>
      <c r="FRL161" s="3060"/>
      <c r="FRM161" s="3060"/>
      <c r="FRN161" s="3060"/>
      <c r="FRO161" s="3060"/>
      <c r="FRP161" s="3060"/>
      <c r="FRQ161" s="3060"/>
      <c r="FRR161" s="3060"/>
      <c r="FRS161" s="3060"/>
      <c r="FRT161" s="3060"/>
      <c r="FRU161" s="3060"/>
      <c r="FRV161" s="3060"/>
      <c r="FRW161" s="3060"/>
      <c r="FRX161" s="3060"/>
      <c r="FRY161" s="3060"/>
      <c r="FRZ161" s="3060"/>
      <c r="FSA161" s="3060"/>
      <c r="FSB161" s="3060"/>
      <c r="FSC161" s="3060"/>
      <c r="FSD161" s="3060"/>
      <c r="FSE161" s="3060"/>
      <c r="FSF161" s="3060"/>
      <c r="FSG161" s="3060"/>
      <c r="FSH161" s="3060"/>
      <c r="FSI161" s="3060"/>
      <c r="FSJ161" s="3060"/>
      <c r="FSK161" s="3060"/>
      <c r="FSL161" s="3060"/>
      <c r="FSM161" s="3060"/>
      <c r="FSN161" s="3060"/>
      <c r="FSO161" s="3060"/>
      <c r="FSP161" s="3060"/>
      <c r="FSQ161" s="3060"/>
      <c r="FSR161" s="3060"/>
      <c r="FSS161" s="3060"/>
      <c r="FST161" s="3060"/>
      <c r="FSU161" s="3060"/>
      <c r="FSV161" s="3060"/>
      <c r="FSW161" s="3060"/>
      <c r="FSX161" s="3060"/>
      <c r="FSY161" s="3060"/>
      <c r="FSZ161" s="3060"/>
      <c r="FTA161" s="3060"/>
      <c r="FTB161" s="3060"/>
      <c r="FTC161" s="3060"/>
      <c r="FTD161" s="3060"/>
      <c r="FTE161" s="3060"/>
      <c r="FTF161" s="3060"/>
      <c r="FTG161" s="3060"/>
      <c r="FTH161" s="3060"/>
      <c r="FTI161" s="3060"/>
      <c r="FTJ161" s="3060"/>
      <c r="FTK161" s="3060"/>
      <c r="FTL161" s="3060"/>
      <c r="FTM161" s="3060"/>
      <c r="FTN161" s="3060"/>
      <c r="FTO161" s="3060"/>
      <c r="FTP161" s="3060"/>
      <c r="FTQ161" s="3060"/>
      <c r="FTR161" s="3060"/>
      <c r="FTS161" s="3060"/>
      <c r="FTT161" s="3060"/>
      <c r="FTU161" s="3060"/>
      <c r="FTV161" s="3060"/>
      <c r="FTW161" s="3060"/>
      <c r="FTX161" s="3060"/>
      <c r="FTY161" s="3060"/>
      <c r="FTZ161" s="3060"/>
      <c r="FUA161" s="3060"/>
      <c r="FUB161" s="3060"/>
      <c r="FUC161" s="3060"/>
      <c r="FUD161" s="3060"/>
      <c r="FUE161" s="3060"/>
      <c r="FUF161" s="3060"/>
      <c r="FUG161" s="3060"/>
      <c r="FUH161" s="3060"/>
      <c r="FUI161" s="3060"/>
      <c r="FUJ161" s="3060"/>
      <c r="FUK161" s="3060"/>
      <c r="FUL161" s="3060"/>
      <c r="FUM161" s="3060"/>
      <c r="FUN161" s="3060"/>
      <c r="FUO161" s="3060"/>
      <c r="FUP161" s="3060"/>
      <c r="FUQ161" s="3060"/>
      <c r="FUR161" s="3060"/>
      <c r="FUS161" s="3060"/>
      <c r="FUT161" s="3060"/>
      <c r="FUU161" s="3060"/>
      <c r="FUV161" s="3060"/>
      <c r="FUW161" s="3060"/>
      <c r="FUX161" s="3060"/>
      <c r="FUY161" s="3060"/>
      <c r="FUZ161" s="3060"/>
      <c r="FVA161" s="3060"/>
      <c r="FVB161" s="3060"/>
      <c r="FVC161" s="3060"/>
      <c r="FVD161" s="3060"/>
      <c r="FVE161" s="3060"/>
      <c r="FVF161" s="3060"/>
      <c r="FVG161" s="3060"/>
      <c r="FVH161" s="3060"/>
      <c r="FVI161" s="3060"/>
      <c r="FVJ161" s="3060"/>
      <c r="FVK161" s="3060"/>
      <c r="FVL161" s="3060"/>
      <c r="FVM161" s="3060"/>
      <c r="FVN161" s="3060"/>
      <c r="FVO161" s="3060"/>
      <c r="FVP161" s="3060"/>
      <c r="FVQ161" s="3060"/>
      <c r="FVR161" s="3060"/>
      <c r="FVS161" s="3060"/>
      <c r="FVT161" s="3060"/>
      <c r="FVU161" s="3060"/>
      <c r="FVV161" s="3060"/>
      <c r="FVW161" s="3060"/>
      <c r="FVX161" s="3060"/>
      <c r="FVY161" s="3060"/>
      <c r="FVZ161" s="3060"/>
      <c r="FWA161" s="3060"/>
      <c r="FWB161" s="3060"/>
      <c r="FWC161" s="3060"/>
      <c r="FWD161" s="3060"/>
      <c r="FWE161" s="3060"/>
      <c r="FWF161" s="3060"/>
      <c r="FWG161" s="3060"/>
      <c r="FWH161" s="3060"/>
      <c r="FWI161" s="3060"/>
      <c r="FWJ161" s="3060"/>
      <c r="FWK161" s="3060"/>
      <c r="FWL161" s="3060"/>
      <c r="FWM161" s="3060"/>
      <c r="FWN161" s="3060"/>
      <c r="FWO161" s="3060"/>
      <c r="FWP161" s="3060"/>
      <c r="FWQ161" s="3060"/>
      <c r="FWR161" s="3060"/>
      <c r="FWS161" s="3060"/>
      <c r="FWT161" s="3060"/>
      <c r="FWU161" s="3060"/>
      <c r="FWV161" s="3060"/>
      <c r="FWW161" s="3060"/>
      <c r="FWX161" s="3060"/>
      <c r="FWY161" s="3060"/>
      <c r="FWZ161" s="3060"/>
      <c r="FXA161" s="3060"/>
      <c r="FXB161" s="3060"/>
      <c r="FXC161" s="3060"/>
      <c r="FXD161" s="3060"/>
      <c r="FXE161" s="3060"/>
      <c r="FXF161" s="3060"/>
      <c r="FXG161" s="3060"/>
      <c r="FXH161" s="3060"/>
      <c r="FXI161" s="3060"/>
      <c r="FXJ161" s="3060"/>
      <c r="FXK161" s="3060"/>
      <c r="FXL161" s="3060"/>
      <c r="FXM161" s="3060"/>
      <c r="FXN161" s="3060"/>
      <c r="FXO161" s="3060"/>
      <c r="FXP161" s="3060"/>
      <c r="FXQ161" s="3060"/>
      <c r="FXR161" s="3060"/>
      <c r="FXS161" s="3060"/>
      <c r="FXT161" s="3060"/>
      <c r="FXU161" s="3060"/>
      <c r="FXV161" s="3060"/>
      <c r="FXW161" s="3060"/>
      <c r="FXX161" s="3060"/>
      <c r="FXY161" s="3060"/>
      <c r="FXZ161" s="3060"/>
      <c r="FYA161" s="3060"/>
      <c r="FYB161" s="3060"/>
      <c r="FYC161" s="3060"/>
      <c r="FYD161" s="3060"/>
      <c r="FYE161" s="3060"/>
      <c r="FYF161" s="3060"/>
      <c r="FYG161" s="3060"/>
      <c r="FYH161" s="3060"/>
      <c r="FYI161" s="3060"/>
      <c r="FYJ161" s="3060"/>
      <c r="FYK161" s="3060"/>
      <c r="FYL161" s="3060"/>
      <c r="FYM161" s="3060"/>
      <c r="FYN161" s="3060"/>
      <c r="FYO161" s="3060"/>
      <c r="FYP161" s="3060"/>
      <c r="FYQ161" s="3060"/>
      <c r="FYR161" s="3060"/>
      <c r="FYS161" s="3060"/>
      <c r="FYT161" s="3060"/>
      <c r="FYU161" s="3060"/>
      <c r="FYV161" s="3060"/>
      <c r="FYW161" s="3060"/>
      <c r="FYX161" s="3060"/>
      <c r="FYY161" s="3060"/>
      <c r="FYZ161" s="3060"/>
      <c r="FZA161" s="3060"/>
      <c r="FZB161" s="3060"/>
      <c r="FZC161" s="3060"/>
      <c r="FZD161" s="3060"/>
      <c r="FZE161" s="3060"/>
      <c r="FZF161" s="3060"/>
      <c r="FZG161" s="3060"/>
      <c r="FZH161" s="3060"/>
      <c r="FZI161" s="3060"/>
      <c r="FZJ161" s="3060"/>
      <c r="FZK161" s="3060"/>
      <c r="FZL161" s="3060"/>
      <c r="FZM161" s="3060"/>
      <c r="FZN161" s="3060"/>
      <c r="FZO161" s="3060"/>
      <c r="FZP161" s="3060"/>
      <c r="FZQ161" s="3060"/>
      <c r="FZR161" s="3060"/>
      <c r="FZS161" s="3060"/>
      <c r="FZT161" s="3060"/>
      <c r="FZU161" s="3060"/>
      <c r="FZV161" s="3060"/>
      <c r="FZW161" s="3060"/>
      <c r="FZX161" s="3060"/>
      <c r="FZY161" s="3060"/>
      <c r="FZZ161" s="3060"/>
      <c r="GAA161" s="3060"/>
      <c r="GAB161" s="3060"/>
      <c r="GAC161" s="3060"/>
      <c r="GAD161" s="3060"/>
      <c r="GAE161" s="3060"/>
      <c r="GAF161" s="3060"/>
      <c r="GAG161" s="3060"/>
      <c r="GAH161" s="3060"/>
      <c r="GAI161" s="3060"/>
      <c r="GAJ161" s="3060"/>
      <c r="GAK161" s="3060"/>
      <c r="GAL161" s="3060"/>
      <c r="GAM161" s="3060"/>
      <c r="GAN161" s="3060"/>
      <c r="GAO161" s="3060"/>
      <c r="GAP161" s="3060"/>
      <c r="GAQ161" s="3060"/>
      <c r="GAR161" s="3060"/>
      <c r="GAS161" s="3060"/>
      <c r="GAT161" s="3060"/>
      <c r="GAU161" s="3060"/>
      <c r="GAV161" s="3060"/>
      <c r="GAW161" s="3060"/>
      <c r="GAX161" s="3060"/>
      <c r="GAY161" s="3060"/>
      <c r="GAZ161" s="3060"/>
      <c r="GBA161" s="3060"/>
      <c r="GBB161" s="3060"/>
      <c r="GBC161" s="3060"/>
      <c r="GBD161" s="3060"/>
      <c r="GBE161" s="3060"/>
      <c r="GBF161" s="3060"/>
      <c r="GBG161" s="3060"/>
      <c r="GBH161" s="3060"/>
      <c r="GBI161" s="3060"/>
      <c r="GBJ161" s="3060"/>
      <c r="GBK161" s="3060"/>
      <c r="GBL161" s="3060"/>
      <c r="GBM161" s="3060"/>
      <c r="GBN161" s="3060"/>
      <c r="GBO161" s="3060"/>
      <c r="GBP161" s="3060"/>
      <c r="GBQ161" s="3060"/>
      <c r="GBR161" s="3060"/>
      <c r="GBS161" s="3060"/>
      <c r="GBT161" s="3060"/>
      <c r="GBU161" s="3060"/>
      <c r="GBV161" s="3060"/>
      <c r="GBW161" s="3060"/>
      <c r="GBX161" s="3060"/>
      <c r="GBY161" s="3060"/>
      <c r="GBZ161" s="3060"/>
      <c r="GCA161" s="3060"/>
      <c r="GCB161" s="3060"/>
      <c r="GCC161" s="3060"/>
      <c r="GCD161" s="3060"/>
      <c r="GCE161" s="3060"/>
      <c r="GCF161" s="3060"/>
      <c r="GCG161" s="3060"/>
      <c r="GCH161" s="3060"/>
      <c r="GCI161" s="3060"/>
      <c r="GCJ161" s="3060"/>
      <c r="GCK161" s="3060"/>
      <c r="GCL161" s="3060"/>
      <c r="GCM161" s="3060"/>
      <c r="GCN161" s="3060"/>
      <c r="GCO161" s="3060"/>
      <c r="GCP161" s="3060"/>
      <c r="GCQ161" s="3060"/>
      <c r="GCR161" s="3060"/>
      <c r="GCS161" s="3060"/>
      <c r="GCT161" s="3060"/>
      <c r="GCU161" s="3060"/>
      <c r="GCV161" s="3060"/>
      <c r="GCW161" s="3060"/>
      <c r="GCX161" s="3060"/>
      <c r="GCY161" s="3060"/>
      <c r="GCZ161" s="3060"/>
      <c r="GDA161" s="3060"/>
      <c r="GDB161" s="3060"/>
      <c r="GDC161" s="3060"/>
      <c r="GDD161" s="3060"/>
      <c r="GDE161" s="3060"/>
      <c r="GDF161" s="3060"/>
      <c r="GDG161" s="3060"/>
      <c r="GDH161" s="3060"/>
      <c r="GDI161" s="3060"/>
      <c r="GDJ161" s="3060"/>
      <c r="GDK161" s="3060"/>
      <c r="GDL161" s="3060"/>
      <c r="GDM161" s="3060"/>
      <c r="GDN161" s="3060"/>
      <c r="GDO161" s="3060"/>
      <c r="GDP161" s="3060"/>
      <c r="GDQ161" s="3060"/>
      <c r="GDR161" s="3060"/>
      <c r="GDS161" s="3060"/>
      <c r="GDT161" s="3060"/>
      <c r="GDU161" s="3060"/>
      <c r="GDV161" s="3060"/>
      <c r="GDW161" s="3060"/>
      <c r="GDX161" s="3060"/>
      <c r="GDY161" s="3060"/>
      <c r="GDZ161" s="3060"/>
      <c r="GEA161" s="3060"/>
      <c r="GEB161" s="3060"/>
      <c r="GEC161" s="3060"/>
      <c r="GED161" s="3060"/>
      <c r="GEE161" s="3060"/>
      <c r="GEF161" s="3060"/>
      <c r="GEG161" s="3060"/>
      <c r="GEH161" s="3060"/>
      <c r="GEI161" s="3060"/>
      <c r="GEJ161" s="3060"/>
      <c r="GEK161" s="3060"/>
      <c r="GEL161" s="3060"/>
      <c r="GEM161" s="3060"/>
      <c r="GEN161" s="3060"/>
      <c r="GEO161" s="3060"/>
      <c r="GEP161" s="3060"/>
      <c r="GEQ161" s="3060"/>
      <c r="GER161" s="3060"/>
      <c r="GES161" s="3060"/>
      <c r="GET161" s="3060"/>
      <c r="GEU161" s="3060"/>
      <c r="GEV161" s="3060"/>
      <c r="GEW161" s="3060"/>
      <c r="GEX161" s="3060"/>
      <c r="GEY161" s="3060"/>
      <c r="GEZ161" s="3060"/>
      <c r="GFA161" s="3060"/>
      <c r="GFB161" s="3060"/>
      <c r="GFC161" s="3060"/>
      <c r="GFD161" s="3060"/>
      <c r="GFE161" s="3060"/>
      <c r="GFF161" s="3060"/>
      <c r="GFG161" s="3060"/>
      <c r="GFH161" s="3060"/>
      <c r="GFI161" s="3060"/>
      <c r="GFJ161" s="3060"/>
      <c r="GFK161" s="3060"/>
      <c r="GFL161" s="3060"/>
      <c r="GFM161" s="3060"/>
      <c r="GFN161" s="3060"/>
      <c r="GFO161" s="3060"/>
      <c r="GFP161" s="3060"/>
      <c r="GFQ161" s="3060"/>
      <c r="GFR161" s="3060"/>
      <c r="GFS161" s="3060"/>
      <c r="GFT161" s="3060"/>
      <c r="GFU161" s="3060"/>
      <c r="GFV161" s="3060"/>
      <c r="GFW161" s="3060"/>
      <c r="GFX161" s="3060"/>
      <c r="GFY161" s="3060"/>
      <c r="GFZ161" s="3060"/>
      <c r="GGA161" s="3060"/>
      <c r="GGB161" s="3060"/>
      <c r="GGC161" s="3060"/>
      <c r="GGD161" s="3060"/>
      <c r="GGE161" s="3060"/>
      <c r="GGF161" s="3060"/>
      <c r="GGG161" s="3060"/>
      <c r="GGH161" s="3060"/>
      <c r="GGI161" s="3060"/>
      <c r="GGJ161" s="3060"/>
      <c r="GGK161" s="3060"/>
      <c r="GGL161" s="3060"/>
      <c r="GGM161" s="3060"/>
      <c r="GGN161" s="3060"/>
      <c r="GGO161" s="3060"/>
      <c r="GGP161" s="3060"/>
      <c r="GGQ161" s="3060"/>
      <c r="GGR161" s="3060"/>
      <c r="GGS161" s="3060"/>
      <c r="GGT161" s="3060"/>
      <c r="GGU161" s="3060"/>
      <c r="GGV161" s="3060"/>
      <c r="GGW161" s="3060"/>
      <c r="GGX161" s="3060"/>
      <c r="GGY161" s="3060"/>
      <c r="GGZ161" s="3060"/>
      <c r="GHA161" s="3060"/>
      <c r="GHB161" s="3060"/>
      <c r="GHC161" s="3060"/>
      <c r="GHD161" s="3060"/>
      <c r="GHE161" s="3060"/>
      <c r="GHF161" s="3060"/>
      <c r="GHG161" s="3060"/>
      <c r="GHH161" s="3060"/>
      <c r="GHI161" s="3060"/>
      <c r="GHJ161" s="3060"/>
      <c r="GHK161" s="3060"/>
      <c r="GHL161" s="3060"/>
      <c r="GHM161" s="3060"/>
      <c r="GHN161" s="3060"/>
      <c r="GHO161" s="3060"/>
      <c r="GHP161" s="3060"/>
      <c r="GHQ161" s="3060"/>
      <c r="GHR161" s="3060"/>
      <c r="GHS161" s="3060"/>
      <c r="GHT161" s="3060"/>
      <c r="GHU161" s="3060"/>
      <c r="GHV161" s="3060"/>
      <c r="GHW161" s="3060"/>
      <c r="GHX161" s="3060"/>
      <c r="GHY161" s="3060"/>
      <c r="GHZ161" s="3060"/>
      <c r="GIA161" s="3060"/>
      <c r="GIB161" s="3060"/>
      <c r="GIC161" s="3060"/>
      <c r="GID161" s="3060"/>
      <c r="GIE161" s="3060"/>
      <c r="GIF161" s="3060"/>
      <c r="GIG161" s="3060"/>
      <c r="GIH161" s="3060"/>
      <c r="GII161" s="3060"/>
      <c r="GIJ161" s="3060"/>
      <c r="GIK161" s="3060"/>
      <c r="GIL161" s="3060"/>
      <c r="GIM161" s="3060"/>
      <c r="GIN161" s="3060"/>
      <c r="GIO161" s="3060"/>
      <c r="GIP161" s="3060"/>
      <c r="GIQ161" s="3060"/>
      <c r="GIR161" s="3060"/>
      <c r="GIS161" s="3060"/>
      <c r="GIT161" s="3060"/>
      <c r="GIU161" s="3060"/>
      <c r="GIV161" s="3060"/>
      <c r="GIW161" s="3060"/>
      <c r="GIX161" s="3060"/>
      <c r="GIY161" s="3060"/>
      <c r="GIZ161" s="3060"/>
      <c r="GJA161" s="3060"/>
      <c r="GJB161" s="3060"/>
      <c r="GJC161" s="3060"/>
      <c r="GJD161" s="3060"/>
      <c r="GJE161" s="3060"/>
      <c r="GJF161" s="3060"/>
      <c r="GJG161" s="3060"/>
      <c r="GJH161" s="3060"/>
      <c r="GJI161" s="3060"/>
      <c r="GJJ161" s="3060"/>
      <c r="GJK161" s="3060"/>
      <c r="GJL161" s="3060"/>
      <c r="GJM161" s="3060"/>
      <c r="GJN161" s="3060"/>
      <c r="GJO161" s="3060"/>
      <c r="GJP161" s="3060"/>
      <c r="GJQ161" s="3060"/>
      <c r="GJR161" s="3060"/>
      <c r="GJS161" s="3060"/>
      <c r="GJT161" s="3060"/>
      <c r="GJU161" s="3060"/>
      <c r="GJV161" s="3060"/>
      <c r="GJW161" s="3060"/>
      <c r="GJX161" s="3060"/>
      <c r="GJY161" s="3060"/>
      <c r="GJZ161" s="3060"/>
      <c r="GKA161" s="3060"/>
      <c r="GKB161" s="3060"/>
      <c r="GKC161" s="3060"/>
      <c r="GKD161" s="3060"/>
      <c r="GKE161" s="3060"/>
      <c r="GKF161" s="3060"/>
      <c r="GKG161" s="3060"/>
      <c r="GKH161" s="3060"/>
      <c r="GKI161" s="3060"/>
      <c r="GKJ161" s="3060"/>
      <c r="GKK161" s="3060"/>
      <c r="GKL161" s="3060"/>
      <c r="GKM161" s="3060"/>
      <c r="GKN161" s="3060"/>
      <c r="GKO161" s="3060"/>
      <c r="GKP161" s="3060"/>
      <c r="GKQ161" s="3060"/>
      <c r="GKR161" s="3060"/>
      <c r="GKS161" s="3060"/>
      <c r="GKT161" s="3060"/>
      <c r="GKU161" s="3060"/>
      <c r="GKV161" s="3060"/>
      <c r="GKW161" s="3060"/>
      <c r="GKX161" s="3060"/>
      <c r="GKY161" s="3060"/>
      <c r="GKZ161" s="3060"/>
      <c r="GLA161" s="3060"/>
      <c r="GLB161" s="3060"/>
      <c r="GLC161" s="3060"/>
      <c r="GLD161" s="3060"/>
      <c r="GLE161" s="3060"/>
      <c r="GLF161" s="3060"/>
      <c r="GLG161" s="3060"/>
      <c r="GLH161" s="3060"/>
      <c r="GLI161" s="3060"/>
      <c r="GLJ161" s="3060"/>
      <c r="GLK161" s="3060"/>
      <c r="GLL161" s="3060"/>
      <c r="GLM161" s="3060"/>
      <c r="GLN161" s="3060"/>
      <c r="GLO161" s="3060"/>
      <c r="GLP161" s="3060"/>
      <c r="GLQ161" s="3060"/>
      <c r="GLR161" s="3060"/>
      <c r="GLS161" s="3060"/>
      <c r="GLT161" s="3060"/>
      <c r="GLU161" s="3060"/>
      <c r="GLV161" s="3060"/>
      <c r="GLW161" s="3060"/>
      <c r="GLX161" s="3060"/>
      <c r="GLY161" s="3060"/>
      <c r="GLZ161" s="3060"/>
      <c r="GMA161" s="3060"/>
      <c r="GMB161" s="3060"/>
      <c r="GMC161" s="3060"/>
      <c r="GMD161" s="3060"/>
      <c r="GME161" s="3060"/>
      <c r="GMF161" s="3060"/>
      <c r="GMG161" s="3060"/>
      <c r="GMH161" s="3060"/>
      <c r="GMI161" s="3060"/>
      <c r="GMJ161" s="3060"/>
      <c r="GMK161" s="3060"/>
      <c r="GML161" s="3060"/>
      <c r="GMM161" s="3060"/>
      <c r="GMN161" s="3060"/>
      <c r="GMO161" s="3060"/>
      <c r="GMP161" s="3060"/>
      <c r="GMQ161" s="3060"/>
      <c r="GMR161" s="3060"/>
      <c r="GMS161" s="3060"/>
      <c r="GMT161" s="3060"/>
      <c r="GMU161" s="3060"/>
      <c r="GMV161" s="3060"/>
      <c r="GMW161" s="3060"/>
      <c r="GMX161" s="3060"/>
      <c r="GMY161" s="3060"/>
      <c r="GMZ161" s="3060"/>
      <c r="GNA161" s="3060"/>
      <c r="GNB161" s="3060"/>
      <c r="GNC161" s="3060"/>
      <c r="GND161" s="3060"/>
      <c r="GNE161" s="3060"/>
      <c r="GNF161" s="3060"/>
      <c r="GNG161" s="3060"/>
      <c r="GNH161" s="3060"/>
      <c r="GNI161" s="3060"/>
      <c r="GNJ161" s="3060"/>
      <c r="GNK161" s="3060"/>
      <c r="GNL161" s="3060"/>
      <c r="GNM161" s="3060"/>
      <c r="GNN161" s="3060"/>
      <c r="GNO161" s="3060"/>
      <c r="GNP161" s="3060"/>
      <c r="GNQ161" s="3060"/>
      <c r="GNR161" s="3060"/>
      <c r="GNS161" s="3060"/>
      <c r="GNT161" s="3060"/>
      <c r="GNU161" s="3060"/>
      <c r="GNV161" s="3060"/>
      <c r="GNW161" s="3060"/>
      <c r="GNX161" s="3060"/>
      <c r="GNY161" s="3060"/>
      <c r="GNZ161" s="3060"/>
      <c r="GOA161" s="3060"/>
      <c r="GOB161" s="3060"/>
      <c r="GOC161" s="3060"/>
      <c r="GOD161" s="3060"/>
      <c r="GOE161" s="3060"/>
      <c r="GOF161" s="3060"/>
      <c r="GOG161" s="3060"/>
      <c r="GOH161" s="3060"/>
      <c r="GOI161" s="3060"/>
      <c r="GOJ161" s="3060"/>
      <c r="GOK161" s="3060"/>
      <c r="GOL161" s="3060"/>
      <c r="GOM161" s="3060"/>
      <c r="GON161" s="3060"/>
      <c r="GOO161" s="3060"/>
      <c r="GOP161" s="3060"/>
      <c r="GOQ161" s="3060"/>
      <c r="GOR161" s="3060"/>
      <c r="GOS161" s="3060"/>
      <c r="GOT161" s="3060"/>
      <c r="GOU161" s="3060"/>
      <c r="GOV161" s="3060"/>
      <c r="GOW161" s="3060"/>
      <c r="GOX161" s="3060"/>
      <c r="GOY161" s="3060"/>
      <c r="GOZ161" s="3060"/>
      <c r="GPA161" s="3060"/>
      <c r="GPB161" s="3060"/>
      <c r="GPC161" s="3060"/>
      <c r="GPD161" s="3060"/>
      <c r="GPE161" s="3060"/>
      <c r="GPF161" s="3060"/>
      <c r="GPG161" s="3060"/>
      <c r="GPH161" s="3060"/>
      <c r="GPI161" s="3060"/>
      <c r="GPJ161" s="3060"/>
      <c r="GPK161" s="3060"/>
      <c r="GPL161" s="3060"/>
      <c r="GPM161" s="3060"/>
      <c r="GPN161" s="3060"/>
      <c r="GPO161" s="3060"/>
      <c r="GPP161" s="3060"/>
      <c r="GPQ161" s="3060"/>
      <c r="GPR161" s="3060"/>
      <c r="GPS161" s="3060"/>
      <c r="GPT161" s="3060"/>
      <c r="GPU161" s="3060"/>
      <c r="GPV161" s="3060"/>
      <c r="GPW161" s="3060"/>
      <c r="GPX161" s="3060"/>
      <c r="GPY161" s="3060"/>
      <c r="GPZ161" s="3060"/>
      <c r="GQA161" s="3060"/>
      <c r="GQB161" s="3060"/>
      <c r="GQC161" s="3060"/>
      <c r="GQD161" s="3060"/>
      <c r="GQE161" s="3060"/>
      <c r="GQF161" s="3060"/>
      <c r="GQG161" s="3060"/>
      <c r="GQH161" s="3060"/>
      <c r="GQI161" s="3060"/>
      <c r="GQJ161" s="3060"/>
      <c r="GQK161" s="3060"/>
      <c r="GQL161" s="3060"/>
      <c r="GQM161" s="3060"/>
      <c r="GQN161" s="3060"/>
      <c r="GQO161" s="3060"/>
      <c r="GQP161" s="3060"/>
      <c r="GQQ161" s="3060"/>
      <c r="GQR161" s="3060"/>
      <c r="GQS161" s="3060"/>
      <c r="GQT161" s="3060"/>
      <c r="GQU161" s="3060"/>
      <c r="GQV161" s="3060"/>
      <c r="GQW161" s="3060"/>
      <c r="GQX161" s="3060"/>
      <c r="GQY161" s="3060"/>
      <c r="GQZ161" s="3060"/>
      <c r="GRA161" s="3060"/>
      <c r="GRB161" s="3060"/>
      <c r="GRC161" s="3060"/>
      <c r="GRD161" s="3060"/>
      <c r="GRE161" s="3060"/>
      <c r="GRF161" s="3060"/>
      <c r="GRG161" s="3060"/>
      <c r="GRH161" s="3060"/>
      <c r="GRI161" s="3060"/>
      <c r="GRJ161" s="3060"/>
      <c r="GRK161" s="3060"/>
      <c r="GRL161" s="3060"/>
      <c r="GRM161" s="3060"/>
      <c r="GRN161" s="3060"/>
      <c r="GRO161" s="3060"/>
      <c r="GRP161" s="3060"/>
      <c r="GRQ161" s="3060"/>
      <c r="GRR161" s="3060"/>
      <c r="GRS161" s="3060"/>
      <c r="GRT161" s="3060"/>
      <c r="GRU161" s="3060"/>
      <c r="GRV161" s="3060"/>
      <c r="GRW161" s="3060"/>
      <c r="GRX161" s="3060"/>
      <c r="GRY161" s="3060"/>
      <c r="GRZ161" s="3060"/>
      <c r="GSA161" s="3060"/>
      <c r="GSB161" s="3060"/>
      <c r="GSC161" s="3060"/>
      <c r="GSD161" s="3060"/>
      <c r="GSE161" s="3060"/>
      <c r="GSF161" s="3060"/>
      <c r="GSG161" s="3060"/>
      <c r="GSH161" s="3060"/>
      <c r="GSI161" s="3060"/>
      <c r="GSJ161" s="3060"/>
      <c r="GSK161" s="3060"/>
      <c r="GSL161" s="3060"/>
      <c r="GSM161" s="3060"/>
      <c r="GSN161" s="3060"/>
      <c r="GSO161" s="3060"/>
      <c r="GSP161" s="3060"/>
      <c r="GSQ161" s="3060"/>
      <c r="GSR161" s="3060"/>
      <c r="GSS161" s="3060"/>
      <c r="GST161" s="3060"/>
      <c r="GSU161" s="3060"/>
      <c r="GSV161" s="3060"/>
      <c r="GSW161" s="3060"/>
      <c r="GSX161" s="3060"/>
      <c r="GSY161" s="3060"/>
      <c r="GSZ161" s="3060"/>
      <c r="GTA161" s="3060"/>
      <c r="GTB161" s="3060"/>
      <c r="GTC161" s="3060"/>
      <c r="GTD161" s="3060"/>
      <c r="GTE161" s="3060"/>
      <c r="GTF161" s="3060"/>
      <c r="GTG161" s="3060"/>
      <c r="GTH161" s="3060"/>
      <c r="GTI161" s="3060"/>
      <c r="GTJ161" s="3060"/>
      <c r="GTK161" s="3060"/>
      <c r="GTL161" s="3060"/>
      <c r="GTM161" s="3060"/>
      <c r="GTN161" s="3060"/>
      <c r="GTO161" s="3060"/>
      <c r="GTP161" s="3060"/>
      <c r="GTQ161" s="3060"/>
      <c r="GTR161" s="3060"/>
      <c r="GTS161" s="3060"/>
      <c r="GTT161" s="3060"/>
      <c r="GTU161" s="3060"/>
      <c r="GTV161" s="3060"/>
      <c r="GTW161" s="3060"/>
      <c r="GTX161" s="3060"/>
      <c r="GTY161" s="3060"/>
      <c r="GTZ161" s="3060"/>
      <c r="GUA161" s="3060"/>
      <c r="GUB161" s="3060"/>
      <c r="GUC161" s="3060"/>
      <c r="GUD161" s="3060"/>
      <c r="GUE161" s="3060"/>
      <c r="GUF161" s="3060"/>
      <c r="GUG161" s="3060"/>
      <c r="GUH161" s="3060"/>
      <c r="GUI161" s="3060"/>
      <c r="GUJ161" s="3060"/>
      <c r="GUK161" s="3060"/>
      <c r="GUL161" s="3060"/>
      <c r="GUM161" s="3060"/>
      <c r="GUN161" s="3060"/>
      <c r="GUO161" s="3060"/>
      <c r="GUP161" s="3060"/>
      <c r="GUQ161" s="3060"/>
      <c r="GUR161" s="3060"/>
      <c r="GUS161" s="3060"/>
      <c r="GUT161" s="3060"/>
      <c r="GUU161" s="3060"/>
      <c r="GUV161" s="3060"/>
      <c r="GUW161" s="3060"/>
      <c r="GUX161" s="3060"/>
      <c r="GUY161" s="3060"/>
      <c r="GUZ161" s="3060"/>
      <c r="GVA161" s="3060"/>
      <c r="GVB161" s="3060"/>
      <c r="GVC161" s="3060"/>
      <c r="GVD161" s="3060"/>
      <c r="GVE161" s="3060"/>
      <c r="GVF161" s="3060"/>
      <c r="GVG161" s="3060"/>
      <c r="GVH161" s="3060"/>
      <c r="GVI161" s="3060"/>
      <c r="GVJ161" s="3060"/>
      <c r="GVK161" s="3060"/>
      <c r="GVL161" s="3060"/>
      <c r="GVM161" s="3060"/>
      <c r="GVN161" s="3060"/>
      <c r="GVO161" s="3060"/>
      <c r="GVP161" s="3060"/>
      <c r="GVQ161" s="3060"/>
      <c r="GVR161" s="3060"/>
      <c r="GVS161" s="3060"/>
      <c r="GVT161" s="3060"/>
      <c r="GVU161" s="3060"/>
      <c r="GVV161" s="3060"/>
      <c r="GVW161" s="3060"/>
      <c r="GVX161" s="3060"/>
      <c r="GVY161" s="3060"/>
      <c r="GVZ161" s="3060"/>
      <c r="GWA161" s="3060"/>
      <c r="GWB161" s="3060"/>
      <c r="GWC161" s="3060"/>
      <c r="GWD161" s="3060"/>
      <c r="GWE161" s="3060"/>
      <c r="GWF161" s="3060"/>
      <c r="GWG161" s="3060"/>
      <c r="GWH161" s="3060"/>
      <c r="GWI161" s="3060"/>
      <c r="GWJ161" s="3060"/>
      <c r="GWK161" s="3060"/>
      <c r="GWL161" s="3060"/>
      <c r="GWM161" s="3060"/>
      <c r="GWN161" s="3060"/>
      <c r="GWO161" s="3060"/>
      <c r="GWP161" s="3060"/>
      <c r="GWQ161" s="3060"/>
      <c r="GWR161" s="3060"/>
      <c r="GWS161" s="3060"/>
      <c r="GWT161" s="3060"/>
      <c r="GWU161" s="3060"/>
      <c r="GWV161" s="3060"/>
      <c r="GWW161" s="3060"/>
      <c r="GWX161" s="3060"/>
      <c r="GWY161" s="3060"/>
      <c r="GWZ161" s="3060"/>
      <c r="GXA161" s="3060"/>
      <c r="GXB161" s="3060"/>
      <c r="GXC161" s="3060"/>
      <c r="GXD161" s="3060"/>
      <c r="GXE161" s="3060"/>
      <c r="GXF161" s="3060"/>
      <c r="GXG161" s="3060"/>
      <c r="GXH161" s="3060"/>
      <c r="GXI161" s="3060"/>
      <c r="GXJ161" s="3060"/>
      <c r="GXK161" s="3060"/>
      <c r="GXL161" s="3060"/>
      <c r="GXM161" s="3060"/>
      <c r="GXN161" s="3060"/>
      <c r="GXO161" s="3060"/>
      <c r="GXP161" s="3060"/>
      <c r="GXQ161" s="3060"/>
      <c r="GXR161" s="3060"/>
      <c r="GXS161" s="3060"/>
      <c r="GXT161" s="3060"/>
      <c r="GXU161" s="3060"/>
      <c r="GXV161" s="3060"/>
      <c r="GXW161" s="3060"/>
      <c r="GXX161" s="3060"/>
      <c r="GXY161" s="3060"/>
      <c r="GXZ161" s="3060"/>
      <c r="GYA161" s="3060"/>
      <c r="GYB161" s="3060"/>
      <c r="GYC161" s="3060"/>
      <c r="GYD161" s="3060"/>
      <c r="GYE161" s="3060"/>
      <c r="GYF161" s="3060"/>
      <c r="GYG161" s="3060"/>
      <c r="GYH161" s="3060"/>
      <c r="GYI161" s="3060"/>
      <c r="GYJ161" s="3060"/>
      <c r="GYK161" s="3060"/>
      <c r="GYL161" s="3060"/>
      <c r="GYM161" s="3060"/>
      <c r="GYN161" s="3060"/>
      <c r="GYO161" s="3060"/>
      <c r="GYP161" s="3060"/>
      <c r="GYQ161" s="3060"/>
      <c r="GYR161" s="3060"/>
      <c r="GYS161" s="3060"/>
      <c r="GYT161" s="3060"/>
      <c r="GYU161" s="3060"/>
      <c r="GYV161" s="3060"/>
      <c r="GYW161" s="3060"/>
      <c r="GYX161" s="3060"/>
      <c r="GYY161" s="3060"/>
      <c r="GYZ161" s="3060"/>
      <c r="GZA161" s="3060"/>
      <c r="GZB161" s="3060"/>
      <c r="GZC161" s="3060"/>
      <c r="GZD161" s="3060"/>
      <c r="GZE161" s="3060"/>
      <c r="GZF161" s="3060"/>
      <c r="GZG161" s="3060"/>
      <c r="GZH161" s="3060"/>
      <c r="GZI161" s="3060"/>
      <c r="GZJ161" s="3060"/>
      <c r="GZK161" s="3060"/>
      <c r="GZL161" s="3060"/>
      <c r="GZM161" s="3060"/>
      <c r="GZN161" s="3060"/>
      <c r="GZO161" s="3060"/>
      <c r="GZP161" s="3060"/>
      <c r="GZQ161" s="3060"/>
      <c r="GZR161" s="3060"/>
      <c r="GZS161" s="3060"/>
      <c r="GZT161" s="3060"/>
      <c r="GZU161" s="3060"/>
      <c r="GZV161" s="3060"/>
      <c r="GZW161" s="3060"/>
      <c r="GZX161" s="3060"/>
      <c r="GZY161" s="3060"/>
      <c r="GZZ161" s="3060"/>
      <c r="HAA161" s="3060"/>
      <c r="HAB161" s="3060"/>
      <c r="HAC161" s="3060"/>
      <c r="HAD161" s="3060"/>
      <c r="HAE161" s="3060"/>
      <c r="HAF161" s="3060"/>
      <c r="HAG161" s="3060"/>
      <c r="HAH161" s="3060"/>
      <c r="HAI161" s="3060"/>
      <c r="HAJ161" s="3060"/>
      <c r="HAK161" s="3060"/>
      <c r="HAL161" s="3060"/>
      <c r="HAM161" s="3060"/>
      <c r="HAN161" s="3060"/>
      <c r="HAO161" s="3060"/>
      <c r="HAP161" s="3060"/>
      <c r="HAQ161" s="3060"/>
      <c r="HAR161" s="3060"/>
      <c r="HAS161" s="3060"/>
      <c r="HAT161" s="3060"/>
      <c r="HAU161" s="3060"/>
      <c r="HAV161" s="3060"/>
      <c r="HAW161" s="3060"/>
      <c r="HAX161" s="3060"/>
      <c r="HAY161" s="3060"/>
      <c r="HAZ161" s="3060"/>
      <c r="HBA161" s="3060"/>
      <c r="HBB161" s="3060"/>
      <c r="HBC161" s="3060"/>
      <c r="HBD161" s="3060"/>
      <c r="HBE161" s="3060"/>
      <c r="HBF161" s="3060"/>
      <c r="HBG161" s="3060"/>
      <c r="HBH161" s="3060"/>
      <c r="HBI161" s="3060"/>
      <c r="HBJ161" s="3060"/>
      <c r="HBK161" s="3060"/>
      <c r="HBL161" s="3060"/>
      <c r="HBM161" s="3060"/>
      <c r="HBN161" s="3060"/>
      <c r="HBO161" s="3060"/>
      <c r="HBP161" s="3060"/>
      <c r="HBQ161" s="3060"/>
      <c r="HBR161" s="3060"/>
      <c r="HBS161" s="3060"/>
      <c r="HBT161" s="3060"/>
      <c r="HBU161" s="3060"/>
      <c r="HBV161" s="3060"/>
      <c r="HBW161" s="3060"/>
      <c r="HBX161" s="3060"/>
      <c r="HBY161" s="3060"/>
      <c r="HBZ161" s="3060"/>
      <c r="HCA161" s="3060"/>
      <c r="HCB161" s="3060"/>
      <c r="HCC161" s="3060"/>
      <c r="HCD161" s="3060"/>
      <c r="HCE161" s="3060"/>
      <c r="HCF161" s="3060"/>
      <c r="HCG161" s="3060"/>
      <c r="HCH161" s="3060"/>
      <c r="HCI161" s="3060"/>
      <c r="HCJ161" s="3060"/>
      <c r="HCK161" s="3060"/>
      <c r="HCL161" s="3060"/>
      <c r="HCM161" s="3060"/>
      <c r="HCN161" s="3060"/>
      <c r="HCO161" s="3060"/>
      <c r="HCP161" s="3060"/>
      <c r="HCQ161" s="3060"/>
      <c r="HCR161" s="3060"/>
      <c r="HCS161" s="3060"/>
      <c r="HCT161" s="3060"/>
      <c r="HCU161" s="3060"/>
      <c r="HCV161" s="3060"/>
      <c r="HCW161" s="3060"/>
      <c r="HCX161" s="3060"/>
      <c r="HCY161" s="3060"/>
      <c r="HCZ161" s="3060"/>
      <c r="HDA161" s="3060"/>
      <c r="HDB161" s="3060"/>
      <c r="HDC161" s="3060"/>
      <c r="HDD161" s="3060"/>
      <c r="HDE161" s="3060"/>
      <c r="HDF161" s="3060"/>
      <c r="HDG161" s="3060"/>
      <c r="HDH161" s="3060"/>
      <c r="HDI161" s="3060"/>
      <c r="HDJ161" s="3060"/>
      <c r="HDK161" s="3060"/>
      <c r="HDL161" s="3060"/>
      <c r="HDM161" s="3060"/>
      <c r="HDN161" s="3060"/>
      <c r="HDO161" s="3060"/>
      <c r="HDP161" s="3060"/>
      <c r="HDQ161" s="3060"/>
      <c r="HDR161" s="3060"/>
      <c r="HDS161" s="3060"/>
      <c r="HDT161" s="3060"/>
      <c r="HDU161" s="3060"/>
      <c r="HDV161" s="3060"/>
      <c r="HDW161" s="3060"/>
      <c r="HDX161" s="3060"/>
      <c r="HDY161" s="3060"/>
      <c r="HDZ161" s="3060"/>
      <c r="HEA161" s="3060"/>
      <c r="HEB161" s="3060"/>
      <c r="HEC161" s="3060"/>
      <c r="HED161" s="3060"/>
      <c r="HEE161" s="3060"/>
      <c r="HEF161" s="3060"/>
      <c r="HEG161" s="3060"/>
      <c r="HEH161" s="3060"/>
      <c r="HEI161" s="3060"/>
      <c r="HEJ161" s="3060"/>
      <c r="HEK161" s="3060"/>
      <c r="HEL161" s="3060"/>
      <c r="HEM161" s="3060"/>
      <c r="HEN161" s="3060"/>
      <c r="HEO161" s="3060"/>
      <c r="HEP161" s="3060"/>
      <c r="HEQ161" s="3060"/>
      <c r="HER161" s="3060"/>
      <c r="HES161" s="3060"/>
      <c r="HET161" s="3060"/>
      <c r="HEU161" s="3060"/>
      <c r="HEV161" s="3060"/>
      <c r="HEW161" s="3060"/>
      <c r="HEX161" s="3060"/>
      <c r="HEY161" s="3060"/>
      <c r="HEZ161" s="3060"/>
      <c r="HFA161" s="3060"/>
      <c r="HFB161" s="3060"/>
      <c r="HFC161" s="3060"/>
      <c r="HFD161" s="3060"/>
      <c r="HFE161" s="3060"/>
      <c r="HFF161" s="3060"/>
      <c r="HFG161" s="3060"/>
      <c r="HFH161" s="3060"/>
      <c r="HFI161" s="3060"/>
      <c r="HFJ161" s="3060"/>
      <c r="HFK161" s="3060"/>
      <c r="HFL161" s="3060"/>
      <c r="HFM161" s="3060"/>
      <c r="HFN161" s="3060"/>
      <c r="HFO161" s="3060"/>
      <c r="HFP161" s="3060"/>
      <c r="HFQ161" s="3060"/>
      <c r="HFR161" s="3060"/>
      <c r="HFS161" s="3060"/>
      <c r="HFT161" s="3060"/>
      <c r="HFU161" s="3060"/>
      <c r="HFV161" s="3060"/>
      <c r="HFW161" s="3060"/>
      <c r="HFX161" s="3060"/>
      <c r="HFY161" s="3060"/>
      <c r="HFZ161" s="3060"/>
      <c r="HGA161" s="3060"/>
      <c r="HGB161" s="3060"/>
      <c r="HGC161" s="3060"/>
      <c r="HGD161" s="3060"/>
      <c r="HGE161" s="3060"/>
      <c r="HGF161" s="3060"/>
      <c r="HGG161" s="3060"/>
      <c r="HGH161" s="3060"/>
      <c r="HGI161" s="3060"/>
      <c r="HGJ161" s="3060"/>
      <c r="HGK161" s="3060"/>
      <c r="HGL161" s="3060"/>
      <c r="HGM161" s="3060"/>
      <c r="HGN161" s="3060"/>
      <c r="HGO161" s="3060"/>
      <c r="HGP161" s="3060"/>
      <c r="HGQ161" s="3060"/>
      <c r="HGR161" s="3060"/>
      <c r="HGS161" s="3060"/>
      <c r="HGT161" s="3060"/>
      <c r="HGU161" s="3060"/>
      <c r="HGV161" s="3060"/>
      <c r="HGW161" s="3060"/>
      <c r="HGX161" s="3060"/>
      <c r="HGY161" s="3060"/>
      <c r="HGZ161" s="3060"/>
      <c r="HHA161" s="3060"/>
      <c r="HHB161" s="3060"/>
      <c r="HHC161" s="3060"/>
      <c r="HHD161" s="3060"/>
      <c r="HHE161" s="3060"/>
      <c r="HHF161" s="3060"/>
      <c r="HHG161" s="3060"/>
      <c r="HHH161" s="3060"/>
      <c r="HHI161" s="3060"/>
      <c r="HHJ161" s="3060"/>
      <c r="HHK161" s="3060"/>
      <c r="HHL161" s="3060"/>
      <c r="HHM161" s="3060"/>
      <c r="HHN161" s="3060"/>
      <c r="HHO161" s="3060"/>
      <c r="HHP161" s="3060"/>
      <c r="HHQ161" s="3060"/>
      <c r="HHR161" s="3060"/>
      <c r="HHS161" s="3060"/>
      <c r="HHT161" s="3060"/>
      <c r="HHU161" s="3060"/>
      <c r="HHV161" s="3060"/>
      <c r="HHW161" s="3060"/>
      <c r="HHX161" s="3060"/>
      <c r="HHY161" s="3060"/>
      <c r="HHZ161" s="3060"/>
      <c r="HIA161" s="3060"/>
      <c r="HIB161" s="3060"/>
      <c r="HIC161" s="3060"/>
      <c r="HID161" s="3060"/>
      <c r="HIE161" s="3060"/>
      <c r="HIF161" s="3060"/>
      <c r="HIG161" s="3060"/>
      <c r="HIH161" s="3060"/>
      <c r="HII161" s="3060"/>
      <c r="HIJ161" s="3060"/>
      <c r="HIK161" s="3060"/>
      <c r="HIL161" s="3060"/>
      <c r="HIM161" s="3060"/>
      <c r="HIN161" s="3060"/>
      <c r="HIO161" s="3060"/>
      <c r="HIP161" s="3060"/>
      <c r="HIQ161" s="3060"/>
      <c r="HIR161" s="3060"/>
      <c r="HIS161" s="3060"/>
      <c r="HIT161" s="3060"/>
      <c r="HIU161" s="3060"/>
      <c r="HIV161" s="3060"/>
      <c r="HIW161" s="3060"/>
      <c r="HIX161" s="3060"/>
      <c r="HIY161" s="3060"/>
      <c r="HIZ161" s="3060"/>
      <c r="HJA161" s="3060"/>
      <c r="HJB161" s="3060"/>
      <c r="HJC161" s="3060"/>
      <c r="HJD161" s="3060"/>
      <c r="HJE161" s="3060"/>
      <c r="HJF161" s="3060"/>
      <c r="HJG161" s="3060"/>
      <c r="HJH161" s="3060"/>
      <c r="HJI161" s="3060"/>
      <c r="HJJ161" s="3060"/>
      <c r="HJK161" s="3060"/>
      <c r="HJL161" s="3060"/>
      <c r="HJM161" s="3060"/>
      <c r="HJN161" s="3060"/>
      <c r="HJO161" s="3060"/>
      <c r="HJP161" s="3060"/>
      <c r="HJQ161" s="3060"/>
      <c r="HJR161" s="3060"/>
      <c r="HJS161" s="3060"/>
      <c r="HJT161" s="3060"/>
      <c r="HJU161" s="3060"/>
      <c r="HJV161" s="3060"/>
      <c r="HJW161" s="3060"/>
      <c r="HJX161" s="3060"/>
      <c r="HJY161" s="3060"/>
      <c r="HJZ161" s="3060"/>
      <c r="HKA161" s="3060"/>
      <c r="HKB161" s="3060"/>
      <c r="HKC161" s="3060"/>
      <c r="HKD161" s="3060"/>
      <c r="HKE161" s="3060"/>
      <c r="HKF161" s="3060"/>
      <c r="HKG161" s="3060"/>
      <c r="HKH161" s="3060"/>
      <c r="HKI161" s="3060"/>
      <c r="HKJ161" s="3060"/>
      <c r="HKK161" s="3060"/>
      <c r="HKL161" s="3060"/>
      <c r="HKM161" s="3060"/>
      <c r="HKN161" s="3060"/>
      <c r="HKO161" s="3060"/>
      <c r="HKP161" s="3060"/>
      <c r="HKQ161" s="3060"/>
      <c r="HKR161" s="3060"/>
      <c r="HKS161" s="3060"/>
      <c r="HKT161" s="3060"/>
      <c r="HKU161" s="3060"/>
      <c r="HKV161" s="3060"/>
      <c r="HKW161" s="3060"/>
      <c r="HKX161" s="3060"/>
      <c r="HKY161" s="3060"/>
      <c r="HKZ161" s="3060"/>
      <c r="HLA161" s="3060"/>
      <c r="HLB161" s="3060"/>
      <c r="HLC161" s="3060"/>
      <c r="HLD161" s="3060"/>
      <c r="HLE161" s="3060"/>
      <c r="HLF161" s="3060"/>
      <c r="HLG161" s="3060"/>
      <c r="HLH161" s="3060"/>
      <c r="HLI161" s="3060"/>
      <c r="HLJ161" s="3060"/>
      <c r="HLK161" s="3060"/>
      <c r="HLL161" s="3060"/>
      <c r="HLM161" s="3060"/>
      <c r="HLN161" s="3060"/>
      <c r="HLO161" s="3060"/>
      <c r="HLP161" s="3060"/>
      <c r="HLQ161" s="3060"/>
      <c r="HLR161" s="3060"/>
      <c r="HLS161" s="3060"/>
      <c r="HLT161" s="3060"/>
      <c r="HLU161" s="3060"/>
      <c r="HLV161" s="3060"/>
      <c r="HLW161" s="3060"/>
      <c r="HLX161" s="3060"/>
      <c r="HLY161" s="3060"/>
      <c r="HLZ161" s="3060"/>
      <c r="HMA161" s="3060"/>
      <c r="HMB161" s="3060"/>
      <c r="HMC161" s="3060"/>
      <c r="HMD161" s="3060"/>
      <c r="HME161" s="3060"/>
      <c r="HMF161" s="3060"/>
      <c r="HMG161" s="3060"/>
      <c r="HMH161" s="3060"/>
      <c r="HMI161" s="3060"/>
      <c r="HMJ161" s="3060"/>
      <c r="HMK161" s="3060"/>
      <c r="HML161" s="3060"/>
      <c r="HMM161" s="3060"/>
      <c r="HMN161" s="3060"/>
      <c r="HMO161" s="3060"/>
      <c r="HMP161" s="3060"/>
      <c r="HMQ161" s="3060"/>
      <c r="HMR161" s="3060"/>
      <c r="HMS161" s="3060"/>
      <c r="HMT161" s="3060"/>
      <c r="HMU161" s="3060"/>
      <c r="HMV161" s="3060"/>
      <c r="HMW161" s="3060"/>
      <c r="HMX161" s="3060"/>
      <c r="HMY161" s="3060"/>
      <c r="HMZ161" s="3060"/>
      <c r="HNA161" s="3060"/>
      <c r="HNB161" s="3060"/>
      <c r="HNC161" s="3060"/>
      <c r="HND161" s="3060"/>
      <c r="HNE161" s="3060"/>
      <c r="HNF161" s="3060"/>
      <c r="HNG161" s="3060"/>
      <c r="HNH161" s="3060"/>
      <c r="HNI161" s="3060"/>
      <c r="HNJ161" s="3060"/>
      <c r="HNK161" s="3060"/>
      <c r="HNL161" s="3060"/>
      <c r="HNM161" s="3060"/>
      <c r="HNN161" s="3060"/>
      <c r="HNO161" s="3060"/>
      <c r="HNP161" s="3060"/>
      <c r="HNQ161" s="3060"/>
      <c r="HNR161" s="3060"/>
      <c r="HNS161" s="3060"/>
      <c r="HNT161" s="3060"/>
      <c r="HNU161" s="3060"/>
      <c r="HNV161" s="3060"/>
      <c r="HNW161" s="3060"/>
      <c r="HNX161" s="3060"/>
      <c r="HNY161" s="3060"/>
      <c r="HNZ161" s="3060"/>
      <c r="HOA161" s="3060"/>
      <c r="HOB161" s="3060"/>
      <c r="HOC161" s="3060"/>
      <c r="HOD161" s="3060"/>
      <c r="HOE161" s="3060"/>
      <c r="HOF161" s="3060"/>
      <c r="HOG161" s="3060"/>
      <c r="HOH161" s="3060"/>
      <c r="HOI161" s="3060"/>
      <c r="HOJ161" s="3060"/>
      <c r="HOK161" s="3060"/>
      <c r="HOL161" s="3060"/>
      <c r="HOM161" s="3060"/>
      <c r="HON161" s="3060"/>
      <c r="HOO161" s="3060"/>
      <c r="HOP161" s="3060"/>
      <c r="HOQ161" s="3060"/>
      <c r="HOR161" s="3060"/>
      <c r="HOS161" s="3060"/>
      <c r="HOT161" s="3060"/>
      <c r="HOU161" s="3060"/>
      <c r="HOV161" s="3060"/>
      <c r="HOW161" s="3060"/>
      <c r="HOX161" s="3060"/>
      <c r="HOY161" s="3060"/>
      <c r="HOZ161" s="3060"/>
      <c r="HPA161" s="3060"/>
      <c r="HPB161" s="3060"/>
      <c r="HPC161" s="3060"/>
      <c r="HPD161" s="3060"/>
      <c r="HPE161" s="3060"/>
      <c r="HPF161" s="3060"/>
      <c r="HPG161" s="3060"/>
      <c r="HPH161" s="3060"/>
      <c r="HPI161" s="3060"/>
      <c r="HPJ161" s="3060"/>
      <c r="HPK161" s="3060"/>
      <c r="HPL161" s="3060"/>
      <c r="HPM161" s="3060"/>
      <c r="HPN161" s="3060"/>
      <c r="HPO161" s="3060"/>
      <c r="HPP161" s="3060"/>
      <c r="HPQ161" s="3060"/>
      <c r="HPR161" s="3060"/>
      <c r="HPS161" s="3060"/>
      <c r="HPT161" s="3060"/>
      <c r="HPU161" s="3060"/>
      <c r="HPV161" s="3060"/>
      <c r="HPW161" s="3060"/>
      <c r="HPX161" s="3060"/>
      <c r="HPY161" s="3060"/>
      <c r="HPZ161" s="3060"/>
      <c r="HQA161" s="3060"/>
      <c r="HQB161" s="3060"/>
      <c r="HQC161" s="3060"/>
      <c r="HQD161" s="3060"/>
      <c r="HQE161" s="3060"/>
      <c r="HQF161" s="3060"/>
      <c r="HQG161" s="3060"/>
      <c r="HQH161" s="3060"/>
      <c r="HQI161" s="3060"/>
      <c r="HQJ161" s="3060"/>
      <c r="HQK161" s="3060"/>
      <c r="HQL161" s="3060"/>
      <c r="HQM161" s="3060"/>
      <c r="HQN161" s="3060"/>
      <c r="HQO161" s="3060"/>
      <c r="HQP161" s="3060"/>
      <c r="HQQ161" s="3060"/>
      <c r="HQR161" s="3060"/>
      <c r="HQS161" s="3060"/>
      <c r="HQT161" s="3060"/>
      <c r="HQU161" s="3060"/>
      <c r="HQV161" s="3060"/>
      <c r="HQW161" s="3060"/>
      <c r="HQX161" s="3060"/>
      <c r="HQY161" s="3060"/>
      <c r="HQZ161" s="3060"/>
      <c r="HRA161" s="3060"/>
      <c r="HRB161" s="3060"/>
      <c r="HRC161" s="3060"/>
      <c r="HRD161" s="3060"/>
      <c r="HRE161" s="3060"/>
      <c r="HRF161" s="3060"/>
      <c r="HRG161" s="3060"/>
      <c r="HRH161" s="3060"/>
      <c r="HRI161" s="3060"/>
      <c r="HRJ161" s="3060"/>
      <c r="HRK161" s="3060"/>
      <c r="HRL161" s="3060"/>
      <c r="HRM161" s="3060"/>
      <c r="HRN161" s="3060"/>
      <c r="HRO161" s="3060"/>
      <c r="HRP161" s="3060"/>
      <c r="HRQ161" s="3060"/>
      <c r="HRR161" s="3060"/>
      <c r="HRS161" s="3060"/>
      <c r="HRT161" s="3060"/>
      <c r="HRU161" s="3060"/>
      <c r="HRV161" s="3060"/>
      <c r="HRW161" s="3060"/>
      <c r="HRX161" s="3060"/>
      <c r="HRY161" s="3060"/>
      <c r="HRZ161" s="3060"/>
      <c r="HSA161" s="3060"/>
      <c r="HSB161" s="3060"/>
      <c r="HSC161" s="3060"/>
      <c r="HSD161" s="3060"/>
      <c r="HSE161" s="3060"/>
      <c r="HSF161" s="3060"/>
      <c r="HSG161" s="3060"/>
      <c r="HSH161" s="3060"/>
      <c r="HSI161" s="3060"/>
      <c r="HSJ161" s="3060"/>
      <c r="HSK161" s="3060"/>
      <c r="HSL161" s="3060"/>
      <c r="HSM161" s="3060"/>
      <c r="HSN161" s="3060"/>
      <c r="HSO161" s="3060"/>
      <c r="HSP161" s="3060"/>
      <c r="HSQ161" s="3060"/>
      <c r="HSR161" s="3060"/>
      <c r="HSS161" s="3060"/>
      <c r="HST161" s="3060"/>
      <c r="HSU161" s="3060"/>
      <c r="HSV161" s="3060"/>
      <c r="HSW161" s="3060"/>
      <c r="HSX161" s="3060"/>
      <c r="HSY161" s="3060"/>
      <c r="HSZ161" s="3060"/>
      <c r="HTA161" s="3060"/>
      <c r="HTB161" s="3060"/>
      <c r="HTC161" s="3060"/>
      <c r="HTD161" s="3060"/>
      <c r="HTE161" s="3060"/>
      <c r="HTF161" s="3060"/>
      <c r="HTG161" s="3060"/>
      <c r="HTH161" s="3060"/>
      <c r="HTI161" s="3060"/>
      <c r="HTJ161" s="3060"/>
      <c r="HTK161" s="3060"/>
      <c r="HTL161" s="3060"/>
      <c r="HTM161" s="3060"/>
      <c r="HTN161" s="3060"/>
      <c r="HTO161" s="3060"/>
      <c r="HTP161" s="3060"/>
      <c r="HTQ161" s="3060"/>
      <c r="HTR161" s="3060"/>
      <c r="HTS161" s="3060"/>
      <c r="HTT161" s="3060"/>
      <c r="HTU161" s="3060"/>
      <c r="HTV161" s="3060"/>
      <c r="HTW161" s="3060"/>
      <c r="HTX161" s="3060"/>
      <c r="HTY161" s="3060"/>
      <c r="HTZ161" s="3060"/>
      <c r="HUA161" s="3060"/>
      <c r="HUB161" s="3060"/>
      <c r="HUC161" s="3060"/>
      <c r="HUD161" s="3060"/>
      <c r="HUE161" s="3060"/>
      <c r="HUF161" s="3060"/>
      <c r="HUG161" s="3060"/>
      <c r="HUH161" s="3060"/>
      <c r="HUI161" s="3060"/>
      <c r="HUJ161" s="3060"/>
      <c r="HUK161" s="3060"/>
      <c r="HUL161" s="3060"/>
      <c r="HUM161" s="3060"/>
      <c r="HUN161" s="3060"/>
      <c r="HUO161" s="3060"/>
      <c r="HUP161" s="3060"/>
      <c r="HUQ161" s="3060"/>
      <c r="HUR161" s="3060"/>
      <c r="HUS161" s="3060"/>
      <c r="HUT161" s="3060"/>
      <c r="HUU161" s="3060"/>
      <c r="HUV161" s="3060"/>
      <c r="HUW161" s="3060"/>
      <c r="HUX161" s="3060"/>
      <c r="HUY161" s="3060"/>
      <c r="HUZ161" s="3060"/>
      <c r="HVA161" s="3060"/>
      <c r="HVB161" s="3060"/>
      <c r="HVC161" s="3060"/>
      <c r="HVD161" s="3060"/>
      <c r="HVE161" s="3060"/>
      <c r="HVF161" s="3060"/>
      <c r="HVG161" s="3060"/>
      <c r="HVH161" s="3060"/>
      <c r="HVI161" s="3060"/>
      <c r="HVJ161" s="3060"/>
      <c r="HVK161" s="3060"/>
      <c r="HVL161" s="3060"/>
      <c r="HVM161" s="3060"/>
      <c r="HVN161" s="3060"/>
      <c r="HVO161" s="3060"/>
      <c r="HVP161" s="3060"/>
      <c r="HVQ161" s="3060"/>
      <c r="HVR161" s="3060"/>
      <c r="HVS161" s="3060"/>
      <c r="HVT161" s="3060"/>
      <c r="HVU161" s="3060"/>
      <c r="HVV161" s="3060"/>
      <c r="HVW161" s="3060"/>
      <c r="HVX161" s="3060"/>
      <c r="HVY161" s="3060"/>
      <c r="HVZ161" s="3060"/>
      <c r="HWA161" s="3060"/>
      <c r="HWB161" s="3060"/>
      <c r="HWC161" s="3060"/>
      <c r="HWD161" s="3060"/>
      <c r="HWE161" s="3060"/>
      <c r="HWF161" s="3060"/>
      <c r="HWG161" s="3060"/>
      <c r="HWH161" s="3060"/>
      <c r="HWI161" s="3060"/>
      <c r="HWJ161" s="3060"/>
      <c r="HWK161" s="3060"/>
      <c r="HWL161" s="3060"/>
      <c r="HWM161" s="3060"/>
      <c r="HWN161" s="3060"/>
      <c r="HWO161" s="3060"/>
      <c r="HWP161" s="3060"/>
      <c r="HWQ161" s="3060"/>
      <c r="HWR161" s="3060"/>
      <c r="HWS161" s="3060"/>
      <c r="HWT161" s="3060"/>
      <c r="HWU161" s="3060"/>
      <c r="HWV161" s="3060"/>
      <c r="HWW161" s="3060"/>
      <c r="HWX161" s="3060"/>
      <c r="HWY161" s="3060"/>
      <c r="HWZ161" s="3060"/>
      <c r="HXA161" s="3060"/>
      <c r="HXB161" s="3060"/>
      <c r="HXC161" s="3060"/>
      <c r="HXD161" s="3060"/>
      <c r="HXE161" s="3060"/>
      <c r="HXF161" s="3060"/>
      <c r="HXG161" s="3060"/>
      <c r="HXH161" s="3060"/>
      <c r="HXI161" s="3060"/>
      <c r="HXJ161" s="3060"/>
      <c r="HXK161" s="3060"/>
      <c r="HXL161" s="3060"/>
      <c r="HXM161" s="3060"/>
      <c r="HXN161" s="3060"/>
      <c r="HXO161" s="3060"/>
      <c r="HXP161" s="3060"/>
      <c r="HXQ161" s="3060"/>
      <c r="HXR161" s="3060"/>
      <c r="HXS161" s="3060"/>
      <c r="HXT161" s="3060"/>
      <c r="HXU161" s="3060"/>
      <c r="HXV161" s="3060"/>
      <c r="HXW161" s="3060"/>
      <c r="HXX161" s="3060"/>
      <c r="HXY161" s="3060"/>
      <c r="HXZ161" s="3060"/>
      <c r="HYA161" s="3060"/>
      <c r="HYB161" s="3060"/>
      <c r="HYC161" s="3060"/>
      <c r="HYD161" s="3060"/>
      <c r="HYE161" s="3060"/>
      <c r="HYF161" s="3060"/>
      <c r="HYG161" s="3060"/>
      <c r="HYH161" s="3060"/>
      <c r="HYI161" s="3060"/>
      <c r="HYJ161" s="3060"/>
      <c r="HYK161" s="3060"/>
      <c r="HYL161" s="3060"/>
      <c r="HYM161" s="3060"/>
      <c r="HYN161" s="3060"/>
      <c r="HYO161" s="3060"/>
      <c r="HYP161" s="3060"/>
      <c r="HYQ161" s="3060"/>
      <c r="HYR161" s="3060"/>
      <c r="HYS161" s="3060"/>
      <c r="HYT161" s="3060"/>
      <c r="HYU161" s="3060"/>
      <c r="HYV161" s="3060"/>
      <c r="HYW161" s="3060"/>
      <c r="HYX161" s="3060"/>
      <c r="HYY161" s="3060"/>
      <c r="HYZ161" s="3060"/>
      <c r="HZA161" s="3060"/>
      <c r="HZB161" s="3060"/>
      <c r="HZC161" s="3060"/>
      <c r="HZD161" s="3060"/>
      <c r="HZE161" s="3060"/>
      <c r="HZF161" s="3060"/>
      <c r="HZG161" s="3060"/>
      <c r="HZH161" s="3060"/>
      <c r="HZI161" s="3060"/>
      <c r="HZJ161" s="3060"/>
      <c r="HZK161" s="3060"/>
      <c r="HZL161" s="3060"/>
      <c r="HZM161" s="3060"/>
      <c r="HZN161" s="3060"/>
      <c r="HZO161" s="3060"/>
      <c r="HZP161" s="3060"/>
      <c r="HZQ161" s="3060"/>
      <c r="HZR161" s="3060"/>
      <c r="HZS161" s="3060"/>
      <c r="HZT161" s="3060"/>
      <c r="HZU161" s="3060"/>
      <c r="HZV161" s="3060"/>
      <c r="HZW161" s="3060"/>
      <c r="HZX161" s="3060"/>
      <c r="HZY161" s="3060"/>
      <c r="HZZ161" s="3060"/>
      <c r="IAA161" s="3060"/>
      <c r="IAB161" s="3060"/>
      <c r="IAC161" s="3060"/>
      <c r="IAD161" s="3060"/>
      <c r="IAE161" s="3060"/>
      <c r="IAF161" s="3060"/>
      <c r="IAG161" s="3060"/>
      <c r="IAH161" s="3060"/>
      <c r="IAI161" s="3060"/>
      <c r="IAJ161" s="3060"/>
      <c r="IAK161" s="3060"/>
      <c r="IAL161" s="3060"/>
      <c r="IAM161" s="3060"/>
      <c r="IAN161" s="3060"/>
      <c r="IAO161" s="3060"/>
      <c r="IAP161" s="3060"/>
      <c r="IAQ161" s="3060"/>
      <c r="IAR161" s="3060"/>
      <c r="IAS161" s="3060"/>
      <c r="IAT161" s="3060"/>
      <c r="IAU161" s="3060"/>
      <c r="IAV161" s="3060"/>
      <c r="IAW161" s="3060"/>
      <c r="IAX161" s="3060"/>
      <c r="IAY161" s="3060"/>
      <c r="IAZ161" s="3060"/>
      <c r="IBA161" s="3060"/>
      <c r="IBB161" s="3060"/>
      <c r="IBC161" s="3060"/>
      <c r="IBD161" s="3060"/>
      <c r="IBE161" s="3060"/>
      <c r="IBF161" s="3060"/>
      <c r="IBG161" s="3060"/>
      <c r="IBH161" s="3060"/>
      <c r="IBI161" s="3060"/>
      <c r="IBJ161" s="3060"/>
      <c r="IBK161" s="3060"/>
      <c r="IBL161" s="3060"/>
      <c r="IBM161" s="3060"/>
      <c r="IBN161" s="3060"/>
      <c r="IBO161" s="3060"/>
      <c r="IBP161" s="3060"/>
      <c r="IBQ161" s="3060"/>
      <c r="IBR161" s="3060"/>
      <c r="IBS161" s="3060"/>
      <c r="IBT161" s="3060"/>
      <c r="IBU161" s="3060"/>
      <c r="IBV161" s="3060"/>
      <c r="IBW161" s="3060"/>
      <c r="IBX161" s="3060"/>
      <c r="IBY161" s="3060"/>
      <c r="IBZ161" s="3060"/>
      <c r="ICA161" s="3060"/>
      <c r="ICB161" s="3060"/>
      <c r="ICC161" s="3060"/>
      <c r="ICD161" s="3060"/>
      <c r="ICE161" s="3060"/>
      <c r="ICF161" s="3060"/>
      <c r="ICG161" s="3060"/>
      <c r="ICH161" s="3060"/>
      <c r="ICI161" s="3060"/>
      <c r="ICJ161" s="3060"/>
      <c r="ICK161" s="3060"/>
      <c r="ICL161" s="3060"/>
      <c r="ICM161" s="3060"/>
      <c r="ICN161" s="3060"/>
      <c r="ICO161" s="3060"/>
      <c r="ICP161" s="3060"/>
      <c r="ICQ161" s="3060"/>
      <c r="ICR161" s="3060"/>
      <c r="ICS161" s="3060"/>
      <c r="ICT161" s="3060"/>
      <c r="ICU161" s="3060"/>
      <c r="ICV161" s="3060"/>
      <c r="ICW161" s="3060"/>
      <c r="ICX161" s="3060"/>
      <c r="ICY161" s="3060"/>
      <c r="ICZ161" s="3060"/>
      <c r="IDA161" s="3060"/>
      <c r="IDB161" s="3060"/>
      <c r="IDC161" s="3060"/>
      <c r="IDD161" s="3060"/>
      <c r="IDE161" s="3060"/>
      <c r="IDF161" s="3060"/>
      <c r="IDG161" s="3060"/>
      <c r="IDH161" s="3060"/>
      <c r="IDI161" s="3060"/>
      <c r="IDJ161" s="3060"/>
      <c r="IDK161" s="3060"/>
      <c r="IDL161" s="3060"/>
      <c r="IDM161" s="3060"/>
      <c r="IDN161" s="3060"/>
      <c r="IDO161" s="3060"/>
      <c r="IDP161" s="3060"/>
      <c r="IDQ161" s="3060"/>
      <c r="IDR161" s="3060"/>
      <c r="IDS161" s="3060"/>
      <c r="IDT161" s="3060"/>
      <c r="IDU161" s="3060"/>
      <c r="IDV161" s="3060"/>
      <c r="IDW161" s="3060"/>
      <c r="IDX161" s="3060"/>
      <c r="IDY161" s="3060"/>
      <c r="IDZ161" s="3060"/>
      <c r="IEA161" s="3060"/>
      <c r="IEB161" s="3060"/>
      <c r="IEC161" s="3060"/>
      <c r="IED161" s="3060"/>
      <c r="IEE161" s="3060"/>
      <c r="IEF161" s="3060"/>
      <c r="IEG161" s="3060"/>
      <c r="IEH161" s="3060"/>
      <c r="IEI161" s="3060"/>
      <c r="IEJ161" s="3060"/>
      <c r="IEK161" s="3060"/>
      <c r="IEL161" s="3060"/>
      <c r="IEM161" s="3060"/>
      <c r="IEN161" s="3060"/>
      <c r="IEO161" s="3060"/>
      <c r="IEP161" s="3060"/>
      <c r="IEQ161" s="3060"/>
      <c r="IER161" s="3060"/>
      <c r="IES161" s="3060"/>
      <c r="IET161" s="3060"/>
      <c r="IEU161" s="3060"/>
      <c r="IEV161" s="3060"/>
      <c r="IEW161" s="3060"/>
      <c r="IEX161" s="3060"/>
      <c r="IEY161" s="3060"/>
      <c r="IEZ161" s="3060"/>
      <c r="IFA161" s="3060"/>
      <c r="IFB161" s="3060"/>
      <c r="IFC161" s="3060"/>
      <c r="IFD161" s="3060"/>
      <c r="IFE161" s="3060"/>
      <c r="IFF161" s="3060"/>
      <c r="IFG161" s="3060"/>
      <c r="IFH161" s="3060"/>
      <c r="IFI161" s="3060"/>
      <c r="IFJ161" s="3060"/>
      <c r="IFK161" s="3060"/>
      <c r="IFL161" s="3060"/>
      <c r="IFM161" s="3060"/>
      <c r="IFN161" s="3060"/>
      <c r="IFO161" s="3060"/>
      <c r="IFP161" s="3060"/>
      <c r="IFQ161" s="3060"/>
      <c r="IFR161" s="3060"/>
      <c r="IFS161" s="3060"/>
      <c r="IFT161" s="3060"/>
      <c r="IFU161" s="3060"/>
      <c r="IFV161" s="3060"/>
      <c r="IFW161" s="3060"/>
      <c r="IFX161" s="3060"/>
      <c r="IFY161" s="3060"/>
      <c r="IFZ161" s="3060"/>
      <c r="IGA161" s="3060"/>
      <c r="IGB161" s="3060"/>
      <c r="IGC161" s="3060"/>
      <c r="IGD161" s="3060"/>
      <c r="IGE161" s="3060"/>
      <c r="IGF161" s="3060"/>
      <c r="IGG161" s="3060"/>
      <c r="IGH161" s="3060"/>
      <c r="IGI161" s="3060"/>
      <c r="IGJ161" s="3060"/>
      <c r="IGK161" s="3060"/>
      <c r="IGL161" s="3060"/>
      <c r="IGM161" s="3060"/>
      <c r="IGN161" s="3060"/>
      <c r="IGO161" s="3060"/>
      <c r="IGP161" s="3060"/>
      <c r="IGQ161" s="3060"/>
      <c r="IGR161" s="3060"/>
      <c r="IGS161" s="3060"/>
      <c r="IGT161" s="3060"/>
      <c r="IGU161" s="3060"/>
      <c r="IGV161" s="3060"/>
      <c r="IGW161" s="3060"/>
      <c r="IGX161" s="3060"/>
      <c r="IGY161" s="3060"/>
      <c r="IGZ161" s="3060"/>
      <c r="IHA161" s="3060"/>
      <c r="IHB161" s="3060"/>
      <c r="IHC161" s="3060"/>
      <c r="IHD161" s="3060"/>
      <c r="IHE161" s="3060"/>
      <c r="IHF161" s="3060"/>
      <c r="IHG161" s="3060"/>
      <c r="IHH161" s="3060"/>
      <c r="IHI161" s="3060"/>
      <c r="IHJ161" s="3060"/>
      <c r="IHK161" s="3060"/>
      <c r="IHL161" s="3060"/>
      <c r="IHM161" s="3060"/>
      <c r="IHN161" s="3060"/>
      <c r="IHO161" s="3060"/>
      <c r="IHP161" s="3060"/>
      <c r="IHQ161" s="3060"/>
      <c r="IHR161" s="3060"/>
      <c r="IHS161" s="3060"/>
      <c r="IHT161" s="3060"/>
      <c r="IHU161" s="3060"/>
      <c r="IHV161" s="3060"/>
      <c r="IHW161" s="3060"/>
      <c r="IHX161" s="3060"/>
      <c r="IHY161" s="3060"/>
      <c r="IHZ161" s="3060"/>
      <c r="IIA161" s="3060"/>
      <c r="IIB161" s="3060"/>
      <c r="IIC161" s="3060"/>
      <c r="IID161" s="3060"/>
      <c r="IIE161" s="3060"/>
      <c r="IIF161" s="3060"/>
      <c r="IIG161" s="3060"/>
      <c r="IIH161" s="3060"/>
      <c r="III161" s="3060"/>
      <c r="IIJ161" s="3060"/>
      <c r="IIK161" s="3060"/>
      <c r="IIL161" s="3060"/>
      <c r="IIM161" s="3060"/>
      <c r="IIN161" s="3060"/>
      <c r="IIO161" s="3060"/>
      <c r="IIP161" s="3060"/>
      <c r="IIQ161" s="3060"/>
      <c r="IIR161" s="3060"/>
      <c r="IIS161" s="3060"/>
      <c r="IIT161" s="3060"/>
      <c r="IIU161" s="3060"/>
      <c r="IIV161" s="3060"/>
      <c r="IIW161" s="3060"/>
      <c r="IIX161" s="3060"/>
      <c r="IIY161" s="3060"/>
      <c r="IIZ161" s="3060"/>
      <c r="IJA161" s="3060"/>
      <c r="IJB161" s="3060"/>
      <c r="IJC161" s="3060"/>
      <c r="IJD161" s="3060"/>
      <c r="IJE161" s="3060"/>
      <c r="IJF161" s="3060"/>
      <c r="IJG161" s="3060"/>
      <c r="IJH161" s="3060"/>
      <c r="IJI161" s="3060"/>
      <c r="IJJ161" s="3060"/>
      <c r="IJK161" s="3060"/>
      <c r="IJL161" s="3060"/>
      <c r="IJM161" s="3060"/>
      <c r="IJN161" s="3060"/>
      <c r="IJO161" s="3060"/>
      <c r="IJP161" s="3060"/>
      <c r="IJQ161" s="3060"/>
      <c r="IJR161" s="3060"/>
      <c r="IJS161" s="3060"/>
      <c r="IJT161" s="3060"/>
      <c r="IJU161" s="3060"/>
      <c r="IJV161" s="3060"/>
      <c r="IJW161" s="3060"/>
      <c r="IJX161" s="3060"/>
      <c r="IJY161" s="3060"/>
      <c r="IJZ161" s="3060"/>
      <c r="IKA161" s="3060"/>
      <c r="IKB161" s="3060"/>
      <c r="IKC161" s="3060"/>
      <c r="IKD161" s="3060"/>
      <c r="IKE161" s="3060"/>
      <c r="IKF161" s="3060"/>
      <c r="IKG161" s="3060"/>
      <c r="IKH161" s="3060"/>
      <c r="IKI161" s="3060"/>
      <c r="IKJ161" s="3060"/>
      <c r="IKK161" s="3060"/>
      <c r="IKL161" s="3060"/>
      <c r="IKM161" s="3060"/>
      <c r="IKN161" s="3060"/>
      <c r="IKO161" s="3060"/>
      <c r="IKP161" s="3060"/>
      <c r="IKQ161" s="3060"/>
      <c r="IKR161" s="3060"/>
      <c r="IKS161" s="3060"/>
      <c r="IKT161" s="3060"/>
      <c r="IKU161" s="3060"/>
      <c r="IKV161" s="3060"/>
      <c r="IKW161" s="3060"/>
      <c r="IKX161" s="3060"/>
      <c r="IKY161" s="3060"/>
      <c r="IKZ161" s="3060"/>
      <c r="ILA161" s="3060"/>
      <c r="ILB161" s="3060"/>
      <c r="ILC161" s="3060"/>
      <c r="ILD161" s="3060"/>
      <c r="ILE161" s="3060"/>
      <c r="ILF161" s="3060"/>
      <c r="ILG161" s="3060"/>
      <c r="ILH161" s="3060"/>
      <c r="ILI161" s="3060"/>
      <c r="ILJ161" s="3060"/>
      <c r="ILK161" s="3060"/>
      <c r="ILL161" s="3060"/>
      <c r="ILM161" s="3060"/>
      <c r="ILN161" s="3060"/>
      <c r="ILO161" s="3060"/>
      <c r="ILP161" s="3060"/>
      <c r="ILQ161" s="3060"/>
      <c r="ILR161" s="3060"/>
      <c r="ILS161" s="3060"/>
      <c r="ILT161" s="3060"/>
      <c r="ILU161" s="3060"/>
      <c r="ILV161" s="3060"/>
      <c r="ILW161" s="3060"/>
      <c r="ILX161" s="3060"/>
      <c r="ILY161" s="3060"/>
      <c r="ILZ161" s="3060"/>
      <c r="IMA161" s="3060"/>
      <c r="IMB161" s="3060"/>
      <c r="IMC161" s="3060"/>
      <c r="IMD161" s="3060"/>
      <c r="IME161" s="3060"/>
      <c r="IMF161" s="3060"/>
      <c r="IMG161" s="3060"/>
      <c r="IMH161" s="3060"/>
      <c r="IMI161" s="3060"/>
      <c r="IMJ161" s="3060"/>
      <c r="IMK161" s="3060"/>
      <c r="IML161" s="3060"/>
      <c r="IMM161" s="3060"/>
      <c r="IMN161" s="3060"/>
      <c r="IMO161" s="3060"/>
      <c r="IMP161" s="3060"/>
      <c r="IMQ161" s="3060"/>
      <c r="IMR161" s="3060"/>
      <c r="IMS161" s="3060"/>
      <c r="IMT161" s="3060"/>
      <c r="IMU161" s="3060"/>
      <c r="IMV161" s="3060"/>
      <c r="IMW161" s="3060"/>
      <c r="IMX161" s="3060"/>
      <c r="IMY161" s="3060"/>
      <c r="IMZ161" s="3060"/>
      <c r="INA161" s="3060"/>
      <c r="INB161" s="3060"/>
      <c r="INC161" s="3060"/>
      <c r="IND161" s="3060"/>
      <c r="INE161" s="3060"/>
      <c r="INF161" s="3060"/>
      <c r="ING161" s="3060"/>
      <c r="INH161" s="3060"/>
      <c r="INI161" s="3060"/>
      <c r="INJ161" s="3060"/>
      <c r="INK161" s="3060"/>
      <c r="INL161" s="3060"/>
      <c r="INM161" s="3060"/>
      <c r="INN161" s="3060"/>
      <c r="INO161" s="3060"/>
      <c r="INP161" s="3060"/>
      <c r="INQ161" s="3060"/>
      <c r="INR161" s="3060"/>
      <c r="INS161" s="3060"/>
      <c r="INT161" s="3060"/>
      <c r="INU161" s="3060"/>
      <c r="INV161" s="3060"/>
      <c r="INW161" s="3060"/>
      <c r="INX161" s="3060"/>
      <c r="INY161" s="3060"/>
      <c r="INZ161" s="3060"/>
      <c r="IOA161" s="3060"/>
      <c r="IOB161" s="3060"/>
      <c r="IOC161" s="3060"/>
      <c r="IOD161" s="3060"/>
      <c r="IOE161" s="3060"/>
      <c r="IOF161" s="3060"/>
      <c r="IOG161" s="3060"/>
      <c r="IOH161" s="3060"/>
      <c r="IOI161" s="3060"/>
      <c r="IOJ161" s="3060"/>
      <c r="IOK161" s="3060"/>
      <c r="IOL161" s="3060"/>
      <c r="IOM161" s="3060"/>
      <c r="ION161" s="3060"/>
      <c r="IOO161" s="3060"/>
      <c r="IOP161" s="3060"/>
      <c r="IOQ161" s="3060"/>
      <c r="IOR161" s="3060"/>
      <c r="IOS161" s="3060"/>
      <c r="IOT161" s="3060"/>
      <c r="IOU161" s="3060"/>
      <c r="IOV161" s="3060"/>
      <c r="IOW161" s="3060"/>
      <c r="IOX161" s="3060"/>
      <c r="IOY161" s="3060"/>
      <c r="IOZ161" s="3060"/>
      <c r="IPA161" s="3060"/>
      <c r="IPB161" s="3060"/>
      <c r="IPC161" s="3060"/>
      <c r="IPD161" s="3060"/>
      <c r="IPE161" s="3060"/>
      <c r="IPF161" s="3060"/>
      <c r="IPG161" s="3060"/>
      <c r="IPH161" s="3060"/>
      <c r="IPI161" s="3060"/>
      <c r="IPJ161" s="3060"/>
      <c r="IPK161" s="3060"/>
      <c r="IPL161" s="3060"/>
      <c r="IPM161" s="3060"/>
      <c r="IPN161" s="3060"/>
      <c r="IPO161" s="3060"/>
      <c r="IPP161" s="3060"/>
      <c r="IPQ161" s="3060"/>
      <c r="IPR161" s="3060"/>
      <c r="IPS161" s="3060"/>
      <c r="IPT161" s="3060"/>
      <c r="IPU161" s="3060"/>
      <c r="IPV161" s="3060"/>
      <c r="IPW161" s="3060"/>
      <c r="IPX161" s="3060"/>
      <c r="IPY161" s="3060"/>
      <c r="IPZ161" s="3060"/>
      <c r="IQA161" s="3060"/>
      <c r="IQB161" s="3060"/>
      <c r="IQC161" s="3060"/>
      <c r="IQD161" s="3060"/>
      <c r="IQE161" s="3060"/>
      <c r="IQF161" s="3060"/>
      <c r="IQG161" s="3060"/>
      <c r="IQH161" s="3060"/>
      <c r="IQI161" s="3060"/>
      <c r="IQJ161" s="3060"/>
      <c r="IQK161" s="3060"/>
      <c r="IQL161" s="3060"/>
      <c r="IQM161" s="3060"/>
      <c r="IQN161" s="3060"/>
      <c r="IQO161" s="3060"/>
      <c r="IQP161" s="3060"/>
      <c r="IQQ161" s="3060"/>
      <c r="IQR161" s="3060"/>
      <c r="IQS161" s="3060"/>
      <c r="IQT161" s="3060"/>
      <c r="IQU161" s="3060"/>
      <c r="IQV161" s="3060"/>
      <c r="IQW161" s="3060"/>
      <c r="IQX161" s="3060"/>
      <c r="IQY161" s="3060"/>
      <c r="IQZ161" s="3060"/>
      <c r="IRA161" s="3060"/>
      <c r="IRB161" s="3060"/>
      <c r="IRC161" s="3060"/>
      <c r="IRD161" s="3060"/>
      <c r="IRE161" s="3060"/>
      <c r="IRF161" s="3060"/>
      <c r="IRG161" s="3060"/>
      <c r="IRH161" s="3060"/>
      <c r="IRI161" s="3060"/>
      <c r="IRJ161" s="3060"/>
      <c r="IRK161" s="3060"/>
      <c r="IRL161" s="3060"/>
      <c r="IRM161" s="3060"/>
      <c r="IRN161" s="3060"/>
      <c r="IRO161" s="3060"/>
      <c r="IRP161" s="3060"/>
      <c r="IRQ161" s="3060"/>
      <c r="IRR161" s="3060"/>
      <c r="IRS161" s="3060"/>
      <c r="IRT161" s="3060"/>
      <c r="IRU161" s="3060"/>
      <c r="IRV161" s="3060"/>
      <c r="IRW161" s="3060"/>
      <c r="IRX161" s="3060"/>
      <c r="IRY161" s="3060"/>
      <c r="IRZ161" s="3060"/>
      <c r="ISA161" s="3060"/>
      <c r="ISB161" s="3060"/>
      <c r="ISC161" s="3060"/>
      <c r="ISD161" s="3060"/>
      <c r="ISE161" s="3060"/>
      <c r="ISF161" s="3060"/>
      <c r="ISG161" s="3060"/>
      <c r="ISH161" s="3060"/>
      <c r="ISI161" s="3060"/>
      <c r="ISJ161" s="3060"/>
      <c r="ISK161" s="3060"/>
      <c r="ISL161" s="3060"/>
      <c r="ISM161" s="3060"/>
      <c r="ISN161" s="3060"/>
      <c r="ISO161" s="3060"/>
      <c r="ISP161" s="3060"/>
      <c r="ISQ161" s="3060"/>
      <c r="ISR161" s="3060"/>
      <c r="ISS161" s="3060"/>
      <c r="IST161" s="3060"/>
      <c r="ISU161" s="3060"/>
      <c r="ISV161" s="3060"/>
      <c r="ISW161" s="3060"/>
      <c r="ISX161" s="3060"/>
      <c r="ISY161" s="3060"/>
      <c r="ISZ161" s="3060"/>
      <c r="ITA161" s="3060"/>
      <c r="ITB161" s="3060"/>
      <c r="ITC161" s="3060"/>
      <c r="ITD161" s="3060"/>
      <c r="ITE161" s="3060"/>
      <c r="ITF161" s="3060"/>
      <c r="ITG161" s="3060"/>
      <c r="ITH161" s="3060"/>
      <c r="ITI161" s="3060"/>
      <c r="ITJ161" s="3060"/>
      <c r="ITK161" s="3060"/>
      <c r="ITL161" s="3060"/>
      <c r="ITM161" s="3060"/>
      <c r="ITN161" s="3060"/>
      <c r="ITO161" s="3060"/>
      <c r="ITP161" s="3060"/>
      <c r="ITQ161" s="3060"/>
      <c r="ITR161" s="3060"/>
      <c r="ITS161" s="3060"/>
      <c r="ITT161" s="3060"/>
      <c r="ITU161" s="3060"/>
      <c r="ITV161" s="3060"/>
      <c r="ITW161" s="3060"/>
      <c r="ITX161" s="3060"/>
      <c r="ITY161" s="3060"/>
      <c r="ITZ161" s="3060"/>
      <c r="IUA161" s="3060"/>
      <c r="IUB161" s="3060"/>
      <c r="IUC161" s="3060"/>
      <c r="IUD161" s="3060"/>
      <c r="IUE161" s="3060"/>
      <c r="IUF161" s="3060"/>
      <c r="IUG161" s="3060"/>
      <c r="IUH161" s="3060"/>
      <c r="IUI161" s="3060"/>
      <c r="IUJ161" s="3060"/>
      <c r="IUK161" s="3060"/>
      <c r="IUL161" s="3060"/>
      <c r="IUM161" s="3060"/>
      <c r="IUN161" s="3060"/>
      <c r="IUO161" s="3060"/>
      <c r="IUP161" s="3060"/>
      <c r="IUQ161" s="3060"/>
      <c r="IUR161" s="3060"/>
      <c r="IUS161" s="3060"/>
      <c r="IUT161" s="3060"/>
      <c r="IUU161" s="3060"/>
      <c r="IUV161" s="3060"/>
      <c r="IUW161" s="3060"/>
      <c r="IUX161" s="3060"/>
      <c r="IUY161" s="3060"/>
      <c r="IUZ161" s="3060"/>
      <c r="IVA161" s="3060"/>
      <c r="IVB161" s="3060"/>
      <c r="IVC161" s="3060"/>
      <c r="IVD161" s="3060"/>
      <c r="IVE161" s="3060"/>
      <c r="IVF161" s="3060"/>
      <c r="IVG161" s="3060"/>
      <c r="IVH161" s="3060"/>
      <c r="IVI161" s="3060"/>
      <c r="IVJ161" s="3060"/>
      <c r="IVK161" s="3060"/>
      <c r="IVL161" s="3060"/>
      <c r="IVM161" s="3060"/>
      <c r="IVN161" s="3060"/>
      <c r="IVO161" s="3060"/>
      <c r="IVP161" s="3060"/>
      <c r="IVQ161" s="3060"/>
      <c r="IVR161" s="3060"/>
      <c r="IVS161" s="3060"/>
      <c r="IVT161" s="3060"/>
      <c r="IVU161" s="3060"/>
      <c r="IVV161" s="3060"/>
      <c r="IVW161" s="3060"/>
      <c r="IVX161" s="3060"/>
      <c r="IVY161" s="3060"/>
      <c r="IVZ161" s="3060"/>
      <c r="IWA161" s="3060"/>
      <c r="IWB161" s="3060"/>
      <c r="IWC161" s="3060"/>
      <c r="IWD161" s="3060"/>
      <c r="IWE161" s="3060"/>
      <c r="IWF161" s="3060"/>
      <c r="IWG161" s="3060"/>
      <c r="IWH161" s="3060"/>
      <c r="IWI161" s="3060"/>
      <c r="IWJ161" s="3060"/>
      <c r="IWK161" s="3060"/>
      <c r="IWL161" s="3060"/>
      <c r="IWM161" s="3060"/>
      <c r="IWN161" s="3060"/>
      <c r="IWO161" s="3060"/>
      <c r="IWP161" s="3060"/>
      <c r="IWQ161" s="3060"/>
      <c r="IWR161" s="3060"/>
      <c r="IWS161" s="3060"/>
      <c r="IWT161" s="3060"/>
      <c r="IWU161" s="3060"/>
      <c r="IWV161" s="3060"/>
      <c r="IWW161" s="3060"/>
      <c r="IWX161" s="3060"/>
      <c r="IWY161" s="3060"/>
      <c r="IWZ161" s="3060"/>
      <c r="IXA161" s="3060"/>
      <c r="IXB161" s="3060"/>
      <c r="IXC161" s="3060"/>
      <c r="IXD161" s="3060"/>
      <c r="IXE161" s="3060"/>
      <c r="IXF161" s="3060"/>
      <c r="IXG161" s="3060"/>
      <c r="IXH161" s="3060"/>
      <c r="IXI161" s="3060"/>
      <c r="IXJ161" s="3060"/>
      <c r="IXK161" s="3060"/>
      <c r="IXL161" s="3060"/>
      <c r="IXM161" s="3060"/>
      <c r="IXN161" s="3060"/>
      <c r="IXO161" s="3060"/>
      <c r="IXP161" s="3060"/>
      <c r="IXQ161" s="3060"/>
      <c r="IXR161" s="3060"/>
      <c r="IXS161" s="3060"/>
      <c r="IXT161" s="3060"/>
      <c r="IXU161" s="3060"/>
      <c r="IXV161" s="3060"/>
      <c r="IXW161" s="3060"/>
      <c r="IXX161" s="3060"/>
      <c r="IXY161" s="3060"/>
      <c r="IXZ161" s="3060"/>
      <c r="IYA161" s="3060"/>
      <c r="IYB161" s="3060"/>
      <c r="IYC161" s="3060"/>
      <c r="IYD161" s="3060"/>
      <c r="IYE161" s="3060"/>
      <c r="IYF161" s="3060"/>
      <c r="IYG161" s="3060"/>
      <c r="IYH161" s="3060"/>
      <c r="IYI161" s="3060"/>
      <c r="IYJ161" s="3060"/>
      <c r="IYK161" s="3060"/>
      <c r="IYL161" s="3060"/>
      <c r="IYM161" s="3060"/>
      <c r="IYN161" s="3060"/>
      <c r="IYO161" s="3060"/>
      <c r="IYP161" s="3060"/>
      <c r="IYQ161" s="3060"/>
      <c r="IYR161" s="3060"/>
      <c r="IYS161" s="3060"/>
      <c r="IYT161" s="3060"/>
      <c r="IYU161" s="3060"/>
      <c r="IYV161" s="3060"/>
      <c r="IYW161" s="3060"/>
      <c r="IYX161" s="3060"/>
      <c r="IYY161" s="3060"/>
      <c r="IYZ161" s="3060"/>
      <c r="IZA161" s="3060"/>
      <c r="IZB161" s="3060"/>
      <c r="IZC161" s="3060"/>
      <c r="IZD161" s="3060"/>
      <c r="IZE161" s="3060"/>
      <c r="IZF161" s="3060"/>
      <c r="IZG161" s="3060"/>
      <c r="IZH161" s="3060"/>
      <c r="IZI161" s="3060"/>
      <c r="IZJ161" s="3060"/>
      <c r="IZK161" s="3060"/>
      <c r="IZL161" s="3060"/>
      <c r="IZM161" s="3060"/>
      <c r="IZN161" s="3060"/>
      <c r="IZO161" s="3060"/>
      <c r="IZP161" s="3060"/>
      <c r="IZQ161" s="3060"/>
      <c r="IZR161" s="3060"/>
      <c r="IZS161" s="3060"/>
      <c r="IZT161" s="3060"/>
      <c r="IZU161" s="3060"/>
      <c r="IZV161" s="3060"/>
      <c r="IZW161" s="3060"/>
      <c r="IZX161" s="3060"/>
      <c r="IZY161" s="3060"/>
      <c r="IZZ161" s="3060"/>
      <c r="JAA161" s="3060"/>
      <c r="JAB161" s="3060"/>
      <c r="JAC161" s="3060"/>
      <c r="JAD161" s="3060"/>
      <c r="JAE161" s="3060"/>
      <c r="JAF161" s="3060"/>
      <c r="JAG161" s="3060"/>
      <c r="JAH161" s="3060"/>
      <c r="JAI161" s="3060"/>
      <c r="JAJ161" s="3060"/>
      <c r="JAK161" s="3060"/>
      <c r="JAL161" s="3060"/>
      <c r="JAM161" s="3060"/>
      <c r="JAN161" s="3060"/>
      <c r="JAO161" s="3060"/>
      <c r="JAP161" s="3060"/>
      <c r="JAQ161" s="3060"/>
      <c r="JAR161" s="3060"/>
      <c r="JAS161" s="3060"/>
      <c r="JAT161" s="3060"/>
      <c r="JAU161" s="3060"/>
      <c r="JAV161" s="3060"/>
      <c r="JAW161" s="3060"/>
      <c r="JAX161" s="3060"/>
      <c r="JAY161" s="3060"/>
      <c r="JAZ161" s="3060"/>
      <c r="JBA161" s="3060"/>
      <c r="JBB161" s="3060"/>
      <c r="JBC161" s="3060"/>
      <c r="JBD161" s="3060"/>
      <c r="JBE161" s="3060"/>
      <c r="JBF161" s="3060"/>
      <c r="JBG161" s="3060"/>
      <c r="JBH161" s="3060"/>
      <c r="JBI161" s="3060"/>
      <c r="JBJ161" s="3060"/>
      <c r="JBK161" s="3060"/>
      <c r="JBL161" s="3060"/>
      <c r="JBM161" s="3060"/>
      <c r="JBN161" s="3060"/>
      <c r="JBO161" s="3060"/>
      <c r="JBP161" s="3060"/>
      <c r="JBQ161" s="3060"/>
      <c r="JBR161" s="3060"/>
      <c r="JBS161" s="3060"/>
      <c r="JBT161" s="3060"/>
      <c r="JBU161" s="3060"/>
      <c r="JBV161" s="3060"/>
      <c r="JBW161" s="3060"/>
      <c r="JBX161" s="3060"/>
      <c r="JBY161" s="3060"/>
      <c r="JBZ161" s="3060"/>
      <c r="JCA161" s="3060"/>
      <c r="JCB161" s="3060"/>
      <c r="JCC161" s="3060"/>
      <c r="JCD161" s="3060"/>
      <c r="JCE161" s="3060"/>
      <c r="JCF161" s="3060"/>
      <c r="JCG161" s="3060"/>
      <c r="JCH161" s="3060"/>
      <c r="JCI161" s="3060"/>
      <c r="JCJ161" s="3060"/>
      <c r="JCK161" s="3060"/>
      <c r="JCL161" s="3060"/>
      <c r="JCM161" s="3060"/>
      <c r="JCN161" s="3060"/>
      <c r="JCO161" s="3060"/>
      <c r="JCP161" s="3060"/>
      <c r="JCQ161" s="3060"/>
      <c r="JCR161" s="3060"/>
      <c r="JCS161" s="3060"/>
      <c r="JCT161" s="3060"/>
      <c r="JCU161" s="3060"/>
      <c r="JCV161" s="3060"/>
      <c r="JCW161" s="3060"/>
      <c r="JCX161" s="3060"/>
      <c r="JCY161" s="3060"/>
      <c r="JCZ161" s="3060"/>
      <c r="JDA161" s="3060"/>
      <c r="JDB161" s="3060"/>
      <c r="JDC161" s="3060"/>
      <c r="JDD161" s="3060"/>
      <c r="JDE161" s="3060"/>
      <c r="JDF161" s="3060"/>
      <c r="JDG161" s="3060"/>
      <c r="JDH161" s="3060"/>
      <c r="JDI161" s="3060"/>
      <c r="JDJ161" s="3060"/>
      <c r="JDK161" s="3060"/>
      <c r="JDL161" s="3060"/>
      <c r="JDM161" s="3060"/>
      <c r="JDN161" s="3060"/>
      <c r="JDO161" s="3060"/>
      <c r="JDP161" s="3060"/>
      <c r="JDQ161" s="3060"/>
      <c r="JDR161" s="3060"/>
      <c r="JDS161" s="3060"/>
      <c r="JDT161" s="3060"/>
      <c r="JDU161" s="3060"/>
      <c r="JDV161" s="3060"/>
      <c r="JDW161" s="3060"/>
      <c r="JDX161" s="3060"/>
      <c r="JDY161" s="3060"/>
      <c r="JDZ161" s="3060"/>
      <c r="JEA161" s="3060"/>
      <c r="JEB161" s="3060"/>
      <c r="JEC161" s="3060"/>
      <c r="JED161" s="3060"/>
      <c r="JEE161" s="3060"/>
      <c r="JEF161" s="3060"/>
      <c r="JEG161" s="3060"/>
      <c r="JEH161" s="3060"/>
      <c r="JEI161" s="3060"/>
      <c r="JEJ161" s="3060"/>
      <c r="JEK161" s="3060"/>
      <c r="JEL161" s="3060"/>
      <c r="JEM161" s="3060"/>
      <c r="JEN161" s="3060"/>
      <c r="JEO161" s="3060"/>
      <c r="JEP161" s="3060"/>
      <c r="JEQ161" s="3060"/>
      <c r="JER161" s="3060"/>
      <c r="JES161" s="3060"/>
      <c r="JET161" s="3060"/>
      <c r="JEU161" s="3060"/>
      <c r="JEV161" s="3060"/>
      <c r="JEW161" s="3060"/>
      <c r="JEX161" s="3060"/>
      <c r="JEY161" s="3060"/>
      <c r="JEZ161" s="3060"/>
      <c r="JFA161" s="3060"/>
      <c r="JFB161" s="3060"/>
      <c r="JFC161" s="3060"/>
      <c r="JFD161" s="3060"/>
      <c r="JFE161" s="3060"/>
      <c r="JFF161" s="3060"/>
      <c r="JFG161" s="3060"/>
      <c r="JFH161" s="3060"/>
      <c r="JFI161" s="3060"/>
      <c r="JFJ161" s="3060"/>
      <c r="JFK161" s="3060"/>
      <c r="JFL161" s="3060"/>
      <c r="JFM161" s="3060"/>
      <c r="JFN161" s="3060"/>
      <c r="JFO161" s="3060"/>
      <c r="JFP161" s="3060"/>
      <c r="JFQ161" s="3060"/>
      <c r="JFR161" s="3060"/>
      <c r="JFS161" s="3060"/>
      <c r="JFT161" s="3060"/>
      <c r="JFU161" s="3060"/>
      <c r="JFV161" s="3060"/>
      <c r="JFW161" s="3060"/>
      <c r="JFX161" s="3060"/>
      <c r="JFY161" s="3060"/>
      <c r="JFZ161" s="3060"/>
      <c r="JGA161" s="3060"/>
      <c r="JGB161" s="3060"/>
      <c r="JGC161" s="3060"/>
      <c r="JGD161" s="3060"/>
      <c r="JGE161" s="3060"/>
      <c r="JGF161" s="3060"/>
      <c r="JGG161" s="3060"/>
      <c r="JGH161" s="3060"/>
      <c r="JGI161" s="3060"/>
      <c r="JGJ161" s="3060"/>
      <c r="JGK161" s="3060"/>
      <c r="JGL161" s="3060"/>
      <c r="JGM161" s="3060"/>
      <c r="JGN161" s="3060"/>
      <c r="JGO161" s="3060"/>
      <c r="JGP161" s="3060"/>
      <c r="JGQ161" s="3060"/>
      <c r="JGR161" s="3060"/>
      <c r="JGS161" s="3060"/>
      <c r="JGT161" s="3060"/>
      <c r="JGU161" s="3060"/>
      <c r="JGV161" s="3060"/>
      <c r="JGW161" s="3060"/>
      <c r="JGX161" s="3060"/>
      <c r="JGY161" s="3060"/>
      <c r="JGZ161" s="3060"/>
      <c r="JHA161" s="3060"/>
      <c r="JHB161" s="3060"/>
      <c r="JHC161" s="3060"/>
      <c r="JHD161" s="3060"/>
      <c r="JHE161" s="3060"/>
      <c r="JHF161" s="3060"/>
      <c r="JHG161" s="3060"/>
      <c r="JHH161" s="3060"/>
      <c r="JHI161" s="3060"/>
      <c r="JHJ161" s="3060"/>
      <c r="JHK161" s="3060"/>
      <c r="JHL161" s="3060"/>
      <c r="JHM161" s="3060"/>
      <c r="JHN161" s="3060"/>
      <c r="JHO161" s="3060"/>
      <c r="JHP161" s="3060"/>
      <c r="JHQ161" s="3060"/>
      <c r="JHR161" s="3060"/>
      <c r="JHS161" s="3060"/>
      <c r="JHT161" s="3060"/>
      <c r="JHU161" s="3060"/>
      <c r="JHV161" s="3060"/>
      <c r="JHW161" s="3060"/>
      <c r="JHX161" s="3060"/>
      <c r="JHY161" s="3060"/>
      <c r="JHZ161" s="3060"/>
      <c r="JIA161" s="3060"/>
      <c r="JIB161" s="3060"/>
      <c r="JIC161" s="3060"/>
      <c r="JID161" s="3060"/>
      <c r="JIE161" s="3060"/>
      <c r="JIF161" s="3060"/>
      <c r="JIG161" s="3060"/>
      <c r="JIH161" s="3060"/>
      <c r="JII161" s="3060"/>
      <c r="JIJ161" s="3060"/>
      <c r="JIK161" s="3060"/>
      <c r="JIL161" s="3060"/>
      <c r="JIM161" s="3060"/>
      <c r="JIN161" s="3060"/>
      <c r="JIO161" s="3060"/>
      <c r="JIP161" s="3060"/>
      <c r="JIQ161" s="3060"/>
      <c r="JIR161" s="3060"/>
      <c r="JIS161" s="3060"/>
      <c r="JIT161" s="3060"/>
      <c r="JIU161" s="3060"/>
      <c r="JIV161" s="3060"/>
      <c r="JIW161" s="3060"/>
      <c r="JIX161" s="3060"/>
      <c r="JIY161" s="3060"/>
      <c r="JIZ161" s="3060"/>
      <c r="JJA161" s="3060"/>
      <c r="JJB161" s="3060"/>
      <c r="JJC161" s="3060"/>
      <c r="JJD161" s="3060"/>
      <c r="JJE161" s="3060"/>
      <c r="JJF161" s="3060"/>
      <c r="JJG161" s="3060"/>
      <c r="JJH161" s="3060"/>
      <c r="JJI161" s="3060"/>
      <c r="JJJ161" s="3060"/>
      <c r="JJK161" s="3060"/>
      <c r="JJL161" s="3060"/>
      <c r="JJM161" s="3060"/>
      <c r="JJN161" s="3060"/>
      <c r="JJO161" s="3060"/>
      <c r="JJP161" s="3060"/>
      <c r="JJQ161" s="3060"/>
      <c r="JJR161" s="3060"/>
      <c r="JJS161" s="3060"/>
      <c r="JJT161" s="3060"/>
      <c r="JJU161" s="3060"/>
      <c r="JJV161" s="3060"/>
      <c r="JJW161" s="3060"/>
      <c r="JJX161" s="3060"/>
      <c r="JJY161" s="3060"/>
      <c r="JJZ161" s="3060"/>
      <c r="JKA161" s="3060"/>
      <c r="JKB161" s="3060"/>
      <c r="JKC161" s="3060"/>
      <c r="JKD161" s="3060"/>
      <c r="JKE161" s="3060"/>
      <c r="JKF161" s="3060"/>
      <c r="JKG161" s="3060"/>
      <c r="JKH161" s="3060"/>
      <c r="JKI161" s="3060"/>
      <c r="JKJ161" s="3060"/>
      <c r="JKK161" s="3060"/>
      <c r="JKL161" s="3060"/>
      <c r="JKM161" s="3060"/>
      <c r="JKN161" s="3060"/>
      <c r="JKO161" s="3060"/>
      <c r="JKP161" s="3060"/>
      <c r="JKQ161" s="3060"/>
      <c r="JKR161" s="3060"/>
      <c r="JKS161" s="3060"/>
      <c r="JKT161" s="3060"/>
      <c r="JKU161" s="3060"/>
      <c r="JKV161" s="3060"/>
      <c r="JKW161" s="3060"/>
      <c r="JKX161" s="3060"/>
      <c r="JKY161" s="3060"/>
      <c r="JKZ161" s="3060"/>
      <c r="JLA161" s="3060"/>
      <c r="JLB161" s="3060"/>
      <c r="JLC161" s="3060"/>
      <c r="JLD161" s="3060"/>
      <c r="JLE161" s="3060"/>
      <c r="JLF161" s="3060"/>
      <c r="JLG161" s="3060"/>
      <c r="JLH161" s="3060"/>
      <c r="JLI161" s="3060"/>
      <c r="JLJ161" s="3060"/>
      <c r="JLK161" s="3060"/>
      <c r="JLL161" s="3060"/>
      <c r="JLM161" s="3060"/>
      <c r="JLN161" s="3060"/>
      <c r="JLO161" s="3060"/>
      <c r="JLP161" s="3060"/>
      <c r="JLQ161" s="3060"/>
      <c r="JLR161" s="3060"/>
      <c r="JLS161" s="3060"/>
      <c r="JLT161" s="3060"/>
      <c r="JLU161" s="3060"/>
      <c r="JLV161" s="3060"/>
      <c r="JLW161" s="3060"/>
      <c r="JLX161" s="3060"/>
      <c r="JLY161" s="3060"/>
      <c r="JLZ161" s="3060"/>
      <c r="JMA161" s="3060"/>
      <c r="JMB161" s="3060"/>
      <c r="JMC161" s="3060"/>
      <c r="JMD161" s="3060"/>
      <c r="JME161" s="3060"/>
      <c r="JMF161" s="3060"/>
      <c r="JMG161" s="3060"/>
      <c r="JMH161" s="3060"/>
      <c r="JMI161" s="3060"/>
      <c r="JMJ161" s="3060"/>
      <c r="JMK161" s="3060"/>
      <c r="JML161" s="3060"/>
      <c r="JMM161" s="3060"/>
      <c r="JMN161" s="3060"/>
      <c r="JMO161" s="3060"/>
      <c r="JMP161" s="3060"/>
      <c r="JMQ161" s="3060"/>
      <c r="JMR161" s="3060"/>
      <c r="JMS161" s="3060"/>
      <c r="JMT161" s="3060"/>
      <c r="JMU161" s="3060"/>
      <c r="JMV161" s="3060"/>
      <c r="JMW161" s="3060"/>
      <c r="JMX161" s="3060"/>
      <c r="JMY161" s="3060"/>
      <c r="JMZ161" s="3060"/>
      <c r="JNA161" s="3060"/>
      <c r="JNB161" s="3060"/>
      <c r="JNC161" s="3060"/>
      <c r="JND161" s="3060"/>
      <c r="JNE161" s="3060"/>
      <c r="JNF161" s="3060"/>
      <c r="JNG161" s="3060"/>
      <c r="JNH161" s="3060"/>
      <c r="JNI161" s="3060"/>
      <c r="JNJ161" s="3060"/>
      <c r="JNK161" s="3060"/>
      <c r="JNL161" s="3060"/>
      <c r="JNM161" s="3060"/>
      <c r="JNN161" s="3060"/>
      <c r="JNO161" s="3060"/>
      <c r="JNP161" s="3060"/>
      <c r="JNQ161" s="3060"/>
      <c r="JNR161" s="3060"/>
      <c r="JNS161" s="3060"/>
      <c r="JNT161" s="3060"/>
      <c r="JNU161" s="3060"/>
      <c r="JNV161" s="3060"/>
      <c r="JNW161" s="3060"/>
      <c r="JNX161" s="3060"/>
      <c r="JNY161" s="3060"/>
      <c r="JNZ161" s="3060"/>
      <c r="JOA161" s="3060"/>
      <c r="JOB161" s="3060"/>
      <c r="JOC161" s="3060"/>
      <c r="JOD161" s="3060"/>
      <c r="JOE161" s="3060"/>
      <c r="JOF161" s="3060"/>
      <c r="JOG161" s="3060"/>
      <c r="JOH161" s="3060"/>
      <c r="JOI161" s="3060"/>
      <c r="JOJ161" s="3060"/>
      <c r="JOK161" s="3060"/>
      <c r="JOL161" s="3060"/>
      <c r="JOM161" s="3060"/>
      <c r="JON161" s="3060"/>
      <c r="JOO161" s="3060"/>
      <c r="JOP161" s="3060"/>
      <c r="JOQ161" s="3060"/>
      <c r="JOR161" s="3060"/>
      <c r="JOS161" s="3060"/>
      <c r="JOT161" s="3060"/>
      <c r="JOU161" s="3060"/>
      <c r="JOV161" s="3060"/>
      <c r="JOW161" s="3060"/>
      <c r="JOX161" s="3060"/>
      <c r="JOY161" s="3060"/>
      <c r="JOZ161" s="3060"/>
      <c r="JPA161" s="3060"/>
      <c r="JPB161" s="3060"/>
      <c r="JPC161" s="3060"/>
      <c r="JPD161" s="3060"/>
      <c r="JPE161" s="3060"/>
      <c r="JPF161" s="3060"/>
      <c r="JPG161" s="3060"/>
      <c r="JPH161" s="3060"/>
      <c r="JPI161" s="3060"/>
      <c r="JPJ161" s="3060"/>
      <c r="JPK161" s="3060"/>
      <c r="JPL161" s="3060"/>
      <c r="JPM161" s="3060"/>
      <c r="JPN161" s="3060"/>
      <c r="JPO161" s="3060"/>
      <c r="JPP161" s="3060"/>
      <c r="JPQ161" s="3060"/>
      <c r="JPR161" s="3060"/>
      <c r="JPS161" s="3060"/>
      <c r="JPT161" s="3060"/>
      <c r="JPU161" s="3060"/>
      <c r="JPV161" s="3060"/>
      <c r="JPW161" s="3060"/>
      <c r="JPX161" s="3060"/>
      <c r="JPY161" s="3060"/>
      <c r="JPZ161" s="3060"/>
      <c r="JQA161" s="3060"/>
      <c r="JQB161" s="3060"/>
      <c r="JQC161" s="3060"/>
      <c r="JQD161" s="3060"/>
      <c r="JQE161" s="3060"/>
      <c r="JQF161" s="3060"/>
      <c r="JQG161" s="3060"/>
      <c r="JQH161" s="3060"/>
      <c r="JQI161" s="3060"/>
      <c r="JQJ161" s="3060"/>
      <c r="JQK161" s="3060"/>
      <c r="JQL161" s="3060"/>
      <c r="JQM161" s="3060"/>
      <c r="JQN161" s="3060"/>
      <c r="JQO161" s="3060"/>
      <c r="JQP161" s="3060"/>
      <c r="JQQ161" s="3060"/>
      <c r="JQR161" s="3060"/>
      <c r="JQS161" s="3060"/>
      <c r="JQT161" s="3060"/>
      <c r="JQU161" s="3060"/>
      <c r="JQV161" s="3060"/>
      <c r="JQW161" s="3060"/>
      <c r="JQX161" s="3060"/>
      <c r="JQY161" s="3060"/>
      <c r="JQZ161" s="3060"/>
      <c r="JRA161" s="3060"/>
      <c r="JRB161" s="3060"/>
      <c r="JRC161" s="3060"/>
      <c r="JRD161" s="3060"/>
      <c r="JRE161" s="3060"/>
      <c r="JRF161" s="3060"/>
      <c r="JRG161" s="3060"/>
      <c r="JRH161" s="3060"/>
      <c r="JRI161" s="3060"/>
      <c r="JRJ161" s="3060"/>
      <c r="JRK161" s="3060"/>
      <c r="JRL161" s="3060"/>
      <c r="JRM161" s="3060"/>
      <c r="JRN161" s="3060"/>
      <c r="JRO161" s="3060"/>
      <c r="JRP161" s="3060"/>
      <c r="JRQ161" s="3060"/>
      <c r="JRR161" s="3060"/>
      <c r="JRS161" s="3060"/>
      <c r="JRT161" s="3060"/>
      <c r="JRU161" s="3060"/>
      <c r="JRV161" s="3060"/>
      <c r="JRW161" s="3060"/>
      <c r="JRX161" s="3060"/>
      <c r="JRY161" s="3060"/>
      <c r="JRZ161" s="3060"/>
      <c r="JSA161" s="3060"/>
      <c r="JSB161" s="3060"/>
      <c r="JSC161" s="3060"/>
      <c r="JSD161" s="3060"/>
      <c r="JSE161" s="3060"/>
      <c r="JSF161" s="3060"/>
      <c r="JSG161" s="3060"/>
      <c r="JSH161" s="3060"/>
      <c r="JSI161" s="3060"/>
      <c r="JSJ161" s="3060"/>
      <c r="JSK161" s="3060"/>
      <c r="JSL161" s="3060"/>
      <c r="JSM161" s="3060"/>
      <c r="JSN161" s="3060"/>
      <c r="JSO161" s="3060"/>
      <c r="JSP161" s="3060"/>
      <c r="JSQ161" s="3060"/>
      <c r="JSR161" s="3060"/>
      <c r="JSS161" s="3060"/>
      <c r="JST161" s="3060"/>
      <c r="JSU161" s="3060"/>
      <c r="JSV161" s="3060"/>
      <c r="JSW161" s="3060"/>
      <c r="JSX161" s="3060"/>
      <c r="JSY161" s="3060"/>
      <c r="JSZ161" s="3060"/>
      <c r="JTA161" s="3060"/>
      <c r="JTB161" s="3060"/>
      <c r="JTC161" s="3060"/>
      <c r="JTD161" s="3060"/>
      <c r="JTE161" s="3060"/>
      <c r="JTF161" s="3060"/>
      <c r="JTG161" s="3060"/>
      <c r="JTH161" s="3060"/>
      <c r="JTI161" s="3060"/>
      <c r="JTJ161" s="3060"/>
      <c r="JTK161" s="3060"/>
      <c r="JTL161" s="3060"/>
      <c r="JTM161" s="3060"/>
      <c r="JTN161" s="3060"/>
      <c r="JTO161" s="3060"/>
      <c r="JTP161" s="3060"/>
      <c r="JTQ161" s="3060"/>
      <c r="JTR161" s="3060"/>
      <c r="JTS161" s="3060"/>
      <c r="JTT161" s="3060"/>
      <c r="JTU161" s="3060"/>
      <c r="JTV161" s="3060"/>
      <c r="JTW161" s="3060"/>
      <c r="JTX161" s="3060"/>
      <c r="JTY161" s="3060"/>
      <c r="JTZ161" s="3060"/>
      <c r="JUA161" s="3060"/>
      <c r="JUB161" s="3060"/>
      <c r="JUC161" s="3060"/>
      <c r="JUD161" s="3060"/>
      <c r="JUE161" s="3060"/>
      <c r="JUF161" s="3060"/>
      <c r="JUG161" s="3060"/>
      <c r="JUH161" s="3060"/>
      <c r="JUI161" s="3060"/>
      <c r="JUJ161" s="3060"/>
      <c r="JUK161" s="3060"/>
      <c r="JUL161" s="3060"/>
      <c r="JUM161" s="3060"/>
      <c r="JUN161" s="3060"/>
      <c r="JUO161" s="3060"/>
      <c r="JUP161" s="3060"/>
      <c r="JUQ161" s="3060"/>
      <c r="JUR161" s="3060"/>
      <c r="JUS161" s="3060"/>
      <c r="JUT161" s="3060"/>
      <c r="JUU161" s="3060"/>
      <c r="JUV161" s="3060"/>
      <c r="JUW161" s="3060"/>
      <c r="JUX161" s="3060"/>
      <c r="JUY161" s="3060"/>
      <c r="JUZ161" s="3060"/>
      <c r="JVA161" s="3060"/>
      <c r="JVB161" s="3060"/>
      <c r="JVC161" s="3060"/>
      <c r="JVD161" s="3060"/>
      <c r="JVE161" s="3060"/>
      <c r="JVF161" s="3060"/>
      <c r="JVG161" s="3060"/>
      <c r="JVH161" s="3060"/>
      <c r="JVI161" s="3060"/>
      <c r="JVJ161" s="3060"/>
      <c r="JVK161" s="3060"/>
      <c r="JVL161" s="3060"/>
      <c r="JVM161" s="3060"/>
      <c r="JVN161" s="3060"/>
      <c r="JVO161" s="3060"/>
      <c r="JVP161" s="3060"/>
      <c r="JVQ161" s="3060"/>
      <c r="JVR161" s="3060"/>
      <c r="JVS161" s="3060"/>
      <c r="JVT161" s="3060"/>
      <c r="JVU161" s="3060"/>
      <c r="JVV161" s="3060"/>
      <c r="JVW161" s="3060"/>
      <c r="JVX161" s="3060"/>
      <c r="JVY161" s="3060"/>
      <c r="JVZ161" s="3060"/>
      <c r="JWA161" s="3060"/>
      <c r="JWB161" s="3060"/>
      <c r="JWC161" s="3060"/>
      <c r="JWD161" s="3060"/>
      <c r="JWE161" s="3060"/>
      <c r="JWF161" s="3060"/>
      <c r="JWG161" s="3060"/>
      <c r="JWH161" s="3060"/>
      <c r="JWI161" s="3060"/>
      <c r="JWJ161" s="3060"/>
      <c r="JWK161" s="3060"/>
      <c r="JWL161" s="3060"/>
      <c r="JWM161" s="3060"/>
      <c r="JWN161" s="3060"/>
      <c r="JWO161" s="3060"/>
      <c r="JWP161" s="3060"/>
      <c r="JWQ161" s="3060"/>
      <c r="JWR161" s="3060"/>
      <c r="JWS161" s="3060"/>
      <c r="JWT161" s="3060"/>
      <c r="JWU161" s="3060"/>
      <c r="JWV161" s="3060"/>
      <c r="JWW161" s="3060"/>
      <c r="JWX161" s="3060"/>
      <c r="JWY161" s="3060"/>
      <c r="JWZ161" s="3060"/>
      <c r="JXA161" s="3060"/>
      <c r="JXB161" s="3060"/>
      <c r="JXC161" s="3060"/>
      <c r="JXD161" s="3060"/>
      <c r="JXE161" s="3060"/>
      <c r="JXF161" s="3060"/>
      <c r="JXG161" s="3060"/>
      <c r="JXH161" s="3060"/>
      <c r="JXI161" s="3060"/>
      <c r="JXJ161" s="3060"/>
      <c r="JXK161" s="3060"/>
      <c r="JXL161" s="3060"/>
      <c r="JXM161" s="3060"/>
      <c r="JXN161" s="3060"/>
      <c r="JXO161" s="3060"/>
      <c r="JXP161" s="3060"/>
      <c r="JXQ161" s="3060"/>
      <c r="JXR161" s="3060"/>
      <c r="JXS161" s="3060"/>
      <c r="JXT161" s="3060"/>
      <c r="JXU161" s="3060"/>
      <c r="JXV161" s="3060"/>
      <c r="JXW161" s="3060"/>
      <c r="JXX161" s="3060"/>
      <c r="JXY161" s="3060"/>
      <c r="JXZ161" s="3060"/>
      <c r="JYA161" s="3060"/>
      <c r="JYB161" s="3060"/>
      <c r="JYC161" s="3060"/>
      <c r="JYD161" s="3060"/>
      <c r="JYE161" s="3060"/>
      <c r="JYF161" s="3060"/>
      <c r="JYG161" s="3060"/>
      <c r="JYH161" s="3060"/>
      <c r="JYI161" s="3060"/>
      <c r="JYJ161" s="3060"/>
      <c r="JYK161" s="3060"/>
      <c r="JYL161" s="3060"/>
      <c r="JYM161" s="3060"/>
      <c r="JYN161" s="3060"/>
      <c r="JYO161" s="3060"/>
      <c r="JYP161" s="3060"/>
      <c r="JYQ161" s="3060"/>
      <c r="JYR161" s="3060"/>
      <c r="JYS161" s="3060"/>
      <c r="JYT161" s="3060"/>
      <c r="JYU161" s="3060"/>
      <c r="JYV161" s="3060"/>
      <c r="JYW161" s="3060"/>
      <c r="JYX161" s="3060"/>
      <c r="JYY161" s="3060"/>
      <c r="JYZ161" s="3060"/>
      <c r="JZA161" s="3060"/>
      <c r="JZB161" s="3060"/>
      <c r="JZC161" s="3060"/>
      <c r="JZD161" s="3060"/>
      <c r="JZE161" s="3060"/>
      <c r="JZF161" s="3060"/>
      <c r="JZG161" s="3060"/>
      <c r="JZH161" s="3060"/>
      <c r="JZI161" s="3060"/>
      <c r="JZJ161" s="3060"/>
      <c r="JZK161" s="3060"/>
      <c r="JZL161" s="3060"/>
      <c r="JZM161" s="3060"/>
      <c r="JZN161" s="3060"/>
      <c r="JZO161" s="3060"/>
      <c r="JZP161" s="3060"/>
      <c r="JZQ161" s="3060"/>
      <c r="JZR161" s="3060"/>
      <c r="JZS161" s="3060"/>
      <c r="JZT161" s="3060"/>
      <c r="JZU161" s="3060"/>
      <c r="JZV161" s="3060"/>
      <c r="JZW161" s="3060"/>
      <c r="JZX161" s="3060"/>
      <c r="JZY161" s="3060"/>
      <c r="JZZ161" s="3060"/>
      <c r="KAA161" s="3060"/>
      <c r="KAB161" s="3060"/>
      <c r="KAC161" s="3060"/>
      <c r="KAD161" s="3060"/>
      <c r="KAE161" s="3060"/>
      <c r="KAF161" s="3060"/>
      <c r="KAG161" s="3060"/>
      <c r="KAH161" s="3060"/>
      <c r="KAI161" s="3060"/>
      <c r="KAJ161" s="3060"/>
      <c r="KAK161" s="3060"/>
      <c r="KAL161" s="3060"/>
      <c r="KAM161" s="3060"/>
      <c r="KAN161" s="3060"/>
      <c r="KAO161" s="3060"/>
      <c r="KAP161" s="3060"/>
      <c r="KAQ161" s="3060"/>
      <c r="KAR161" s="3060"/>
      <c r="KAS161" s="3060"/>
      <c r="KAT161" s="3060"/>
      <c r="KAU161" s="3060"/>
      <c r="KAV161" s="3060"/>
      <c r="KAW161" s="3060"/>
      <c r="KAX161" s="3060"/>
      <c r="KAY161" s="3060"/>
      <c r="KAZ161" s="3060"/>
      <c r="KBA161" s="3060"/>
      <c r="KBB161" s="3060"/>
      <c r="KBC161" s="3060"/>
      <c r="KBD161" s="3060"/>
      <c r="KBE161" s="3060"/>
      <c r="KBF161" s="3060"/>
      <c r="KBG161" s="3060"/>
      <c r="KBH161" s="3060"/>
      <c r="KBI161" s="3060"/>
      <c r="KBJ161" s="3060"/>
      <c r="KBK161" s="3060"/>
      <c r="KBL161" s="3060"/>
      <c r="KBM161" s="3060"/>
      <c r="KBN161" s="3060"/>
      <c r="KBO161" s="3060"/>
      <c r="KBP161" s="3060"/>
      <c r="KBQ161" s="3060"/>
      <c r="KBR161" s="3060"/>
      <c r="KBS161" s="3060"/>
      <c r="KBT161" s="3060"/>
      <c r="KBU161" s="3060"/>
      <c r="KBV161" s="3060"/>
      <c r="KBW161" s="3060"/>
      <c r="KBX161" s="3060"/>
      <c r="KBY161" s="3060"/>
      <c r="KBZ161" s="3060"/>
      <c r="KCA161" s="3060"/>
      <c r="KCB161" s="3060"/>
      <c r="KCC161" s="3060"/>
      <c r="KCD161" s="3060"/>
      <c r="KCE161" s="3060"/>
      <c r="KCF161" s="3060"/>
      <c r="KCG161" s="3060"/>
      <c r="KCH161" s="3060"/>
      <c r="KCI161" s="3060"/>
      <c r="KCJ161" s="3060"/>
      <c r="KCK161" s="3060"/>
      <c r="KCL161" s="3060"/>
      <c r="KCM161" s="3060"/>
      <c r="KCN161" s="3060"/>
      <c r="KCO161" s="3060"/>
      <c r="KCP161" s="3060"/>
      <c r="KCQ161" s="3060"/>
      <c r="KCR161" s="3060"/>
      <c r="KCS161" s="3060"/>
      <c r="KCT161" s="3060"/>
      <c r="KCU161" s="3060"/>
      <c r="KCV161" s="3060"/>
      <c r="KCW161" s="3060"/>
      <c r="KCX161" s="3060"/>
      <c r="KCY161" s="3060"/>
      <c r="KCZ161" s="3060"/>
      <c r="KDA161" s="3060"/>
      <c r="KDB161" s="3060"/>
      <c r="KDC161" s="3060"/>
      <c r="KDD161" s="3060"/>
      <c r="KDE161" s="3060"/>
      <c r="KDF161" s="3060"/>
      <c r="KDG161" s="3060"/>
      <c r="KDH161" s="3060"/>
      <c r="KDI161" s="3060"/>
      <c r="KDJ161" s="3060"/>
      <c r="KDK161" s="3060"/>
      <c r="KDL161" s="3060"/>
      <c r="KDM161" s="3060"/>
      <c r="KDN161" s="3060"/>
      <c r="KDO161" s="3060"/>
      <c r="KDP161" s="3060"/>
      <c r="KDQ161" s="3060"/>
      <c r="KDR161" s="3060"/>
      <c r="KDS161" s="3060"/>
      <c r="KDT161" s="3060"/>
      <c r="KDU161" s="3060"/>
      <c r="KDV161" s="3060"/>
      <c r="KDW161" s="3060"/>
      <c r="KDX161" s="3060"/>
      <c r="KDY161" s="3060"/>
      <c r="KDZ161" s="3060"/>
      <c r="KEA161" s="3060"/>
      <c r="KEB161" s="3060"/>
      <c r="KEC161" s="3060"/>
      <c r="KED161" s="3060"/>
      <c r="KEE161" s="3060"/>
      <c r="KEF161" s="3060"/>
      <c r="KEG161" s="3060"/>
      <c r="KEH161" s="3060"/>
      <c r="KEI161" s="3060"/>
      <c r="KEJ161" s="3060"/>
      <c r="KEK161" s="3060"/>
      <c r="KEL161" s="3060"/>
      <c r="KEM161" s="3060"/>
      <c r="KEN161" s="3060"/>
      <c r="KEO161" s="3060"/>
      <c r="KEP161" s="3060"/>
      <c r="KEQ161" s="3060"/>
      <c r="KER161" s="3060"/>
      <c r="KES161" s="3060"/>
      <c r="KET161" s="3060"/>
      <c r="KEU161" s="3060"/>
      <c r="KEV161" s="3060"/>
      <c r="KEW161" s="3060"/>
      <c r="KEX161" s="3060"/>
      <c r="KEY161" s="3060"/>
      <c r="KEZ161" s="3060"/>
      <c r="KFA161" s="3060"/>
      <c r="KFB161" s="3060"/>
      <c r="KFC161" s="3060"/>
      <c r="KFD161" s="3060"/>
      <c r="KFE161" s="3060"/>
      <c r="KFF161" s="3060"/>
      <c r="KFG161" s="3060"/>
      <c r="KFH161" s="3060"/>
      <c r="KFI161" s="3060"/>
      <c r="KFJ161" s="3060"/>
      <c r="KFK161" s="3060"/>
      <c r="KFL161" s="3060"/>
      <c r="KFM161" s="3060"/>
      <c r="KFN161" s="3060"/>
      <c r="KFO161" s="3060"/>
      <c r="KFP161" s="3060"/>
      <c r="KFQ161" s="3060"/>
      <c r="KFR161" s="3060"/>
      <c r="KFS161" s="3060"/>
      <c r="KFT161" s="3060"/>
      <c r="KFU161" s="3060"/>
      <c r="KFV161" s="3060"/>
      <c r="KFW161" s="3060"/>
      <c r="KFX161" s="3060"/>
      <c r="KFY161" s="3060"/>
      <c r="KFZ161" s="3060"/>
      <c r="KGA161" s="3060"/>
      <c r="KGB161" s="3060"/>
      <c r="KGC161" s="3060"/>
      <c r="KGD161" s="3060"/>
      <c r="KGE161" s="3060"/>
      <c r="KGF161" s="3060"/>
      <c r="KGG161" s="3060"/>
      <c r="KGH161" s="3060"/>
      <c r="KGI161" s="3060"/>
      <c r="KGJ161" s="3060"/>
      <c r="KGK161" s="3060"/>
      <c r="KGL161" s="3060"/>
      <c r="KGM161" s="3060"/>
      <c r="KGN161" s="3060"/>
      <c r="KGO161" s="3060"/>
      <c r="KGP161" s="3060"/>
      <c r="KGQ161" s="3060"/>
      <c r="KGR161" s="3060"/>
      <c r="KGS161" s="3060"/>
      <c r="KGT161" s="3060"/>
      <c r="KGU161" s="3060"/>
      <c r="KGV161" s="3060"/>
      <c r="KGW161" s="3060"/>
      <c r="KGX161" s="3060"/>
      <c r="KGY161" s="3060"/>
      <c r="KGZ161" s="3060"/>
      <c r="KHA161" s="3060"/>
      <c r="KHB161" s="3060"/>
      <c r="KHC161" s="3060"/>
      <c r="KHD161" s="3060"/>
      <c r="KHE161" s="3060"/>
      <c r="KHF161" s="3060"/>
      <c r="KHG161" s="3060"/>
      <c r="KHH161" s="3060"/>
      <c r="KHI161" s="3060"/>
      <c r="KHJ161" s="3060"/>
      <c r="KHK161" s="3060"/>
      <c r="KHL161" s="3060"/>
      <c r="KHM161" s="3060"/>
      <c r="KHN161" s="3060"/>
      <c r="KHO161" s="3060"/>
      <c r="KHP161" s="3060"/>
      <c r="KHQ161" s="3060"/>
      <c r="KHR161" s="3060"/>
      <c r="KHS161" s="3060"/>
      <c r="KHT161" s="3060"/>
      <c r="KHU161" s="3060"/>
      <c r="KHV161" s="3060"/>
      <c r="KHW161" s="3060"/>
      <c r="KHX161" s="3060"/>
      <c r="KHY161" s="3060"/>
      <c r="KHZ161" s="3060"/>
      <c r="KIA161" s="3060"/>
      <c r="KIB161" s="3060"/>
      <c r="KIC161" s="3060"/>
      <c r="KID161" s="3060"/>
      <c r="KIE161" s="3060"/>
      <c r="KIF161" s="3060"/>
      <c r="KIG161" s="3060"/>
      <c r="KIH161" s="3060"/>
      <c r="KII161" s="3060"/>
      <c r="KIJ161" s="3060"/>
      <c r="KIK161" s="3060"/>
      <c r="KIL161" s="3060"/>
      <c r="KIM161" s="3060"/>
      <c r="KIN161" s="3060"/>
      <c r="KIO161" s="3060"/>
      <c r="KIP161" s="3060"/>
      <c r="KIQ161" s="3060"/>
      <c r="KIR161" s="3060"/>
      <c r="KIS161" s="3060"/>
      <c r="KIT161" s="3060"/>
      <c r="KIU161" s="3060"/>
      <c r="KIV161" s="3060"/>
      <c r="KIW161" s="3060"/>
      <c r="KIX161" s="3060"/>
      <c r="KIY161" s="3060"/>
      <c r="KIZ161" s="3060"/>
      <c r="KJA161" s="3060"/>
      <c r="KJB161" s="3060"/>
      <c r="KJC161" s="3060"/>
      <c r="KJD161" s="3060"/>
      <c r="KJE161" s="3060"/>
      <c r="KJF161" s="3060"/>
      <c r="KJG161" s="3060"/>
      <c r="KJH161" s="3060"/>
      <c r="KJI161" s="3060"/>
      <c r="KJJ161" s="3060"/>
      <c r="KJK161" s="3060"/>
      <c r="KJL161" s="3060"/>
      <c r="KJM161" s="3060"/>
      <c r="KJN161" s="3060"/>
      <c r="KJO161" s="3060"/>
      <c r="KJP161" s="3060"/>
      <c r="KJQ161" s="3060"/>
      <c r="KJR161" s="3060"/>
      <c r="KJS161" s="3060"/>
      <c r="KJT161" s="3060"/>
      <c r="KJU161" s="3060"/>
      <c r="KJV161" s="3060"/>
      <c r="KJW161" s="3060"/>
      <c r="KJX161" s="3060"/>
      <c r="KJY161" s="3060"/>
      <c r="KJZ161" s="3060"/>
      <c r="KKA161" s="3060"/>
      <c r="KKB161" s="3060"/>
      <c r="KKC161" s="3060"/>
      <c r="KKD161" s="3060"/>
      <c r="KKE161" s="3060"/>
      <c r="KKF161" s="3060"/>
      <c r="KKG161" s="3060"/>
      <c r="KKH161" s="3060"/>
      <c r="KKI161" s="3060"/>
      <c r="KKJ161" s="3060"/>
      <c r="KKK161" s="3060"/>
      <c r="KKL161" s="3060"/>
      <c r="KKM161" s="3060"/>
      <c r="KKN161" s="3060"/>
      <c r="KKO161" s="3060"/>
      <c r="KKP161" s="3060"/>
      <c r="KKQ161" s="3060"/>
      <c r="KKR161" s="3060"/>
      <c r="KKS161" s="3060"/>
      <c r="KKT161" s="3060"/>
      <c r="KKU161" s="3060"/>
      <c r="KKV161" s="3060"/>
      <c r="KKW161" s="3060"/>
      <c r="KKX161" s="3060"/>
      <c r="KKY161" s="3060"/>
      <c r="KKZ161" s="3060"/>
      <c r="KLA161" s="3060"/>
      <c r="KLB161" s="3060"/>
      <c r="KLC161" s="3060"/>
      <c r="KLD161" s="3060"/>
      <c r="KLE161" s="3060"/>
      <c r="KLF161" s="3060"/>
      <c r="KLG161" s="3060"/>
      <c r="KLH161" s="3060"/>
      <c r="KLI161" s="3060"/>
      <c r="KLJ161" s="3060"/>
      <c r="KLK161" s="3060"/>
      <c r="KLL161" s="3060"/>
      <c r="KLM161" s="3060"/>
      <c r="KLN161" s="3060"/>
      <c r="KLO161" s="3060"/>
      <c r="KLP161" s="3060"/>
      <c r="KLQ161" s="3060"/>
      <c r="KLR161" s="3060"/>
      <c r="KLS161" s="3060"/>
      <c r="KLT161" s="3060"/>
      <c r="KLU161" s="3060"/>
      <c r="KLV161" s="3060"/>
      <c r="KLW161" s="3060"/>
      <c r="KLX161" s="3060"/>
      <c r="KLY161" s="3060"/>
      <c r="KLZ161" s="3060"/>
      <c r="KMA161" s="3060"/>
      <c r="KMB161" s="3060"/>
      <c r="KMC161" s="3060"/>
      <c r="KMD161" s="3060"/>
      <c r="KME161" s="3060"/>
      <c r="KMF161" s="3060"/>
      <c r="KMG161" s="3060"/>
      <c r="KMH161" s="3060"/>
      <c r="KMI161" s="3060"/>
      <c r="KMJ161" s="3060"/>
      <c r="KMK161" s="3060"/>
      <c r="KML161" s="3060"/>
      <c r="KMM161" s="3060"/>
      <c r="KMN161" s="3060"/>
      <c r="KMO161" s="3060"/>
      <c r="KMP161" s="3060"/>
      <c r="KMQ161" s="3060"/>
      <c r="KMR161" s="3060"/>
      <c r="KMS161" s="3060"/>
      <c r="KMT161" s="3060"/>
      <c r="KMU161" s="3060"/>
      <c r="KMV161" s="3060"/>
      <c r="KMW161" s="3060"/>
      <c r="KMX161" s="3060"/>
      <c r="KMY161" s="3060"/>
      <c r="KMZ161" s="3060"/>
      <c r="KNA161" s="3060"/>
      <c r="KNB161" s="3060"/>
      <c r="KNC161" s="3060"/>
      <c r="KND161" s="3060"/>
      <c r="KNE161" s="3060"/>
      <c r="KNF161" s="3060"/>
      <c r="KNG161" s="3060"/>
      <c r="KNH161" s="3060"/>
      <c r="KNI161" s="3060"/>
      <c r="KNJ161" s="3060"/>
      <c r="KNK161" s="3060"/>
      <c r="KNL161" s="3060"/>
      <c r="KNM161" s="3060"/>
      <c r="KNN161" s="3060"/>
      <c r="KNO161" s="3060"/>
      <c r="KNP161" s="3060"/>
      <c r="KNQ161" s="3060"/>
      <c r="KNR161" s="3060"/>
      <c r="KNS161" s="3060"/>
      <c r="KNT161" s="3060"/>
      <c r="KNU161" s="3060"/>
      <c r="KNV161" s="3060"/>
      <c r="KNW161" s="3060"/>
      <c r="KNX161" s="3060"/>
      <c r="KNY161" s="3060"/>
      <c r="KNZ161" s="3060"/>
      <c r="KOA161" s="3060"/>
      <c r="KOB161" s="3060"/>
      <c r="KOC161" s="3060"/>
      <c r="KOD161" s="3060"/>
      <c r="KOE161" s="3060"/>
      <c r="KOF161" s="3060"/>
      <c r="KOG161" s="3060"/>
      <c r="KOH161" s="3060"/>
      <c r="KOI161" s="3060"/>
      <c r="KOJ161" s="3060"/>
      <c r="KOK161" s="3060"/>
      <c r="KOL161" s="3060"/>
      <c r="KOM161" s="3060"/>
      <c r="KON161" s="3060"/>
      <c r="KOO161" s="3060"/>
      <c r="KOP161" s="3060"/>
      <c r="KOQ161" s="3060"/>
      <c r="KOR161" s="3060"/>
      <c r="KOS161" s="3060"/>
      <c r="KOT161" s="3060"/>
      <c r="KOU161" s="3060"/>
      <c r="KOV161" s="3060"/>
      <c r="KOW161" s="3060"/>
      <c r="KOX161" s="3060"/>
      <c r="KOY161" s="3060"/>
      <c r="KOZ161" s="3060"/>
      <c r="KPA161" s="3060"/>
      <c r="KPB161" s="3060"/>
      <c r="KPC161" s="3060"/>
      <c r="KPD161" s="3060"/>
      <c r="KPE161" s="3060"/>
      <c r="KPF161" s="3060"/>
      <c r="KPG161" s="3060"/>
      <c r="KPH161" s="3060"/>
      <c r="KPI161" s="3060"/>
      <c r="KPJ161" s="3060"/>
      <c r="KPK161" s="3060"/>
      <c r="KPL161" s="3060"/>
      <c r="KPM161" s="3060"/>
      <c r="KPN161" s="3060"/>
      <c r="KPO161" s="3060"/>
      <c r="KPP161" s="3060"/>
      <c r="KPQ161" s="3060"/>
      <c r="KPR161" s="3060"/>
      <c r="KPS161" s="3060"/>
      <c r="KPT161" s="3060"/>
      <c r="KPU161" s="3060"/>
      <c r="KPV161" s="3060"/>
      <c r="KPW161" s="3060"/>
      <c r="KPX161" s="3060"/>
      <c r="KPY161" s="3060"/>
      <c r="KPZ161" s="3060"/>
      <c r="KQA161" s="3060"/>
      <c r="KQB161" s="3060"/>
      <c r="KQC161" s="3060"/>
      <c r="KQD161" s="3060"/>
      <c r="KQE161" s="3060"/>
      <c r="KQF161" s="3060"/>
      <c r="KQG161" s="3060"/>
      <c r="KQH161" s="3060"/>
      <c r="KQI161" s="3060"/>
      <c r="KQJ161" s="3060"/>
      <c r="KQK161" s="3060"/>
      <c r="KQL161" s="3060"/>
      <c r="KQM161" s="3060"/>
      <c r="KQN161" s="3060"/>
      <c r="KQO161" s="3060"/>
      <c r="KQP161" s="3060"/>
      <c r="KQQ161" s="3060"/>
      <c r="KQR161" s="3060"/>
      <c r="KQS161" s="3060"/>
      <c r="KQT161" s="3060"/>
      <c r="KQU161" s="3060"/>
      <c r="KQV161" s="3060"/>
      <c r="KQW161" s="3060"/>
      <c r="KQX161" s="3060"/>
      <c r="KQY161" s="3060"/>
      <c r="KQZ161" s="3060"/>
      <c r="KRA161" s="3060"/>
      <c r="KRB161" s="3060"/>
      <c r="KRC161" s="3060"/>
      <c r="KRD161" s="3060"/>
      <c r="KRE161" s="3060"/>
      <c r="KRF161" s="3060"/>
      <c r="KRG161" s="3060"/>
      <c r="KRH161" s="3060"/>
      <c r="KRI161" s="3060"/>
      <c r="KRJ161" s="3060"/>
      <c r="KRK161" s="3060"/>
      <c r="KRL161" s="3060"/>
      <c r="KRM161" s="3060"/>
      <c r="KRN161" s="3060"/>
      <c r="KRO161" s="3060"/>
      <c r="KRP161" s="3060"/>
      <c r="KRQ161" s="3060"/>
      <c r="KRR161" s="3060"/>
      <c r="KRS161" s="3060"/>
      <c r="KRT161" s="3060"/>
      <c r="KRU161" s="3060"/>
      <c r="KRV161" s="3060"/>
      <c r="KRW161" s="3060"/>
      <c r="KRX161" s="3060"/>
      <c r="KRY161" s="3060"/>
      <c r="KRZ161" s="3060"/>
      <c r="KSA161" s="3060"/>
      <c r="KSB161" s="3060"/>
      <c r="KSC161" s="3060"/>
      <c r="KSD161" s="3060"/>
      <c r="KSE161" s="3060"/>
      <c r="KSF161" s="3060"/>
      <c r="KSG161" s="3060"/>
      <c r="KSH161" s="3060"/>
      <c r="KSI161" s="3060"/>
      <c r="KSJ161" s="3060"/>
      <c r="KSK161" s="3060"/>
      <c r="KSL161" s="3060"/>
      <c r="KSM161" s="3060"/>
      <c r="KSN161" s="3060"/>
      <c r="KSO161" s="3060"/>
      <c r="KSP161" s="3060"/>
      <c r="KSQ161" s="3060"/>
      <c r="KSR161" s="3060"/>
      <c r="KSS161" s="3060"/>
      <c r="KST161" s="3060"/>
      <c r="KSU161" s="3060"/>
      <c r="KSV161" s="3060"/>
      <c r="KSW161" s="3060"/>
      <c r="KSX161" s="3060"/>
      <c r="KSY161" s="3060"/>
      <c r="KSZ161" s="3060"/>
      <c r="KTA161" s="3060"/>
      <c r="KTB161" s="3060"/>
      <c r="KTC161" s="3060"/>
      <c r="KTD161" s="3060"/>
      <c r="KTE161" s="3060"/>
      <c r="KTF161" s="3060"/>
      <c r="KTG161" s="3060"/>
      <c r="KTH161" s="3060"/>
      <c r="KTI161" s="3060"/>
      <c r="KTJ161" s="3060"/>
      <c r="KTK161" s="3060"/>
      <c r="KTL161" s="3060"/>
      <c r="KTM161" s="3060"/>
      <c r="KTN161" s="3060"/>
      <c r="KTO161" s="3060"/>
      <c r="KTP161" s="3060"/>
      <c r="KTQ161" s="3060"/>
      <c r="KTR161" s="3060"/>
      <c r="KTS161" s="3060"/>
      <c r="KTT161" s="3060"/>
      <c r="KTU161" s="3060"/>
      <c r="KTV161" s="3060"/>
      <c r="KTW161" s="3060"/>
      <c r="KTX161" s="3060"/>
      <c r="KTY161" s="3060"/>
      <c r="KTZ161" s="3060"/>
      <c r="KUA161" s="3060"/>
      <c r="KUB161" s="3060"/>
      <c r="KUC161" s="3060"/>
      <c r="KUD161" s="3060"/>
      <c r="KUE161" s="3060"/>
      <c r="KUF161" s="3060"/>
      <c r="KUG161" s="3060"/>
      <c r="KUH161" s="3060"/>
      <c r="KUI161" s="3060"/>
      <c r="KUJ161" s="3060"/>
      <c r="KUK161" s="3060"/>
      <c r="KUL161" s="3060"/>
      <c r="KUM161" s="3060"/>
      <c r="KUN161" s="3060"/>
      <c r="KUO161" s="3060"/>
      <c r="KUP161" s="3060"/>
      <c r="KUQ161" s="3060"/>
      <c r="KUR161" s="3060"/>
      <c r="KUS161" s="3060"/>
      <c r="KUT161" s="3060"/>
      <c r="KUU161" s="3060"/>
      <c r="KUV161" s="3060"/>
      <c r="KUW161" s="3060"/>
      <c r="KUX161" s="3060"/>
      <c r="KUY161" s="3060"/>
      <c r="KUZ161" s="3060"/>
      <c r="KVA161" s="3060"/>
      <c r="KVB161" s="3060"/>
      <c r="KVC161" s="3060"/>
      <c r="KVD161" s="3060"/>
      <c r="KVE161" s="3060"/>
      <c r="KVF161" s="3060"/>
      <c r="KVG161" s="3060"/>
      <c r="KVH161" s="3060"/>
      <c r="KVI161" s="3060"/>
      <c r="KVJ161" s="3060"/>
      <c r="KVK161" s="3060"/>
      <c r="KVL161" s="3060"/>
      <c r="KVM161" s="3060"/>
      <c r="KVN161" s="3060"/>
      <c r="KVO161" s="3060"/>
      <c r="KVP161" s="3060"/>
      <c r="KVQ161" s="3060"/>
      <c r="KVR161" s="3060"/>
      <c r="KVS161" s="3060"/>
      <c r="KVT161" s="3060"/>
      <c r="KVU161" s="3060"/>
      <c r="KVV161" s="3060"/>
      <c r="KVW161" s="3060"/>
      <c r="KVX161" s="3060"/>
      <c r="KVY161" s="3060"/>
      <c r="KVZ161" s="3060"/>
      <c r="KWA161" s="3060"/>
      <c r="KWB161" s="3060"/>
      <c r="KWC161" s="3060"/>
      <c r="KWD161" s="3060"/>
      <c r="KWE161" s="3060"/>
      <c r="KWF161" s="3060"/>
      <c r="KWG161" s="3060"/>
      <c r="KWH161" s="3060"/>
      <c r="KWI161" s="3060"/>
      <c r="KWJ161" s="3060"/>
      <c r="KWK161" s="3060"/>
      <c r="KWL161" s="3060"/>
      <c r="KWM161" s="3060"/>
      <c r="KWN161" s="3060"/>
      <c r="KWO161" s="3060"/>
      <c r="KWP161" s="3060"/>
      <c r="KWQ161" s="3060"/>
      <c r="KWR161" s="3060"/>
      <c r="KWS161" s="3060"/>
      <c r="KWT161" s="3060"/>
      <c r="KWU161" s="3060"/>
      <c r="KWV161" s="3060"/>
      <c r="KWW161" s="3060"/>
      <c r="KWX161" s="3060"/>
      <c r="KWY161" s="3060"/>
      <c r="KWZ161" s="3060"/>
      <c r="KXA161" s="3060"/>
      <c r="KXB161" s="3060"/>
      <c r="KXC161" s="3060"/>
      <c r="KXD161" s="3060"/>
      <c r="KXE161" s="3060"/>
      <c r="KXF161" s="3060"/>
      <c r="KXG161" s="3060"/>
      <c r="KXH161" s="3060"/>
      <c r="KXI161" s="3060"/>
      <c r="KXJ161" s="3060"/>
      <c r="KXK161" s="3060"/>
      <c r="KXL161" s="3060"/>
      <c r="KXM161" s="3060"/>
      <c r="KXN161" s="3060"/>
      <c r="KXO161" s="3060"/>
      <c r="KXP161" s="3060"/>
      <c r="KXQ161" s="3060"/>
      <c r="KXR161" s="3060"/>
      <c r="KXS161" s="3060"/>
      <c r="KXT161" s="3060"/>
      <c r="KXU161" s="3060"/>
      <c r="KXV161" s="3060"/>
      <c r="KXW161" s="3060"/>
      <c r="KXX161" s="3060"/>
      <c r="KXY161" s="3060"/>
      <c r="KXZ161" s="3060"/>
      <c r="KYA161" s="3060"/>
      <c r="KYB161" s="3060"/>
      <c r="KYC161" s="3060"/>
      <c r="KYD161" s="3060"/>
      <c r="KYE161" s="3060"/>
      <c r="KYF161" s="3060"/>
      <c r="KYG161" s="3060"/>
      <c r="KYH161" s="3060"/>
      <c r="KYI161" s="3060"/>
      <c r="KYJ161" s="3060"/>
      <c r="KYK161" s="3060"/>
      <c r="KYL161" s="3060"/>
      <c r="KYM161" s="3060"/>
      <c r="KYN161" s="3060"/>
      <c r="KYO161" s="3060"/>
      <c r="KYP161" s="3060"/>
      <c r="KYQ161" s="3060"/>
      <c r="KYR161" s="3060"/>
      <c r="KYS161" s="3060"/>
      <c r="KYT161" s="3060"/>
      <c r="KYU161" s="3060"/>
      <c r="KYV161" s="3060"/>
      <c r="KYW161" s="3060"/>
      <c r="KYX161" s="3060"/>
      <c r="KYY161" s="3060"/>
      <c r="KYZ161" s="3060"/>
      <c r="KZA161" s="3060"/>
      <c r="KZB161" s="3060"/>
      <c r="KZC161" s="3060"/>
      <c r="KZD161" s="3060"/>
      <c r="KZE161" s="3060"/>
      <c r="KZF161" s="3060"/>
      <c r="KZG161" s="3060"/>
      <c r="KZH161" s="3060"/>
      <c r="KZI161" s="3060"/>
      <c r="KZJ161" s="3060"/>
      <c r="KZK161" s="3060"/>
      <c r="KZL161" s="3060"/>
      <c r="KZM161" s="3060"/>
      <c r="KZN161" s="3060"/>
      <c r="KZO161" s="3060"/>
      <c r="KZP161" s="3060"/>
      <c r="KZQ161" s="3060"/>
      <c r="KZR161" s="3060"/>
      <c r="KZS161" s="3060"/>
      <c r="KZT161" s="3060"/>
      <c r="KZU161" s="3060"/>
      <c r="KZV161" s="3060"/>
      <c r="KZW161" s="3060"/>
      <c r="KZX161" s="3060"/>
      <c r="KZY161" s="3060"/>
      <c r="KZZ161" s="3060"/>
      <c r="LAA161" s="3060"/>
      <c r="LAB161" s="3060"/>
      <c r="LAC161" s="3060"/>
      <c r="LAD161" s="3060"/>
      <c r="LAE161" s="3060"/>
      <c r="LAF161" s="3060"/>
      <c r="LAG161" s="3060"/>
      <c r="LAH161" s="3060"/>
      <c r="LAI161" s="3060"/>
      <c r="LAJ161" s="3060"/>
      <c r="LAK161" s="3060"/>
      <c r="LAL161" s="3060"/>
      <c r="LAM161" s="3060"/>
      <c r="LAN161" s="3060"/>
      <c r="LAO161" s="3060"/>
      <c r="LAP161" s="3060"/>
      <c r="LAQ161" s="3060"/>
      <c r="LAR161" s="3060"/>
      <c r="LAS161" s="3060"/>
      <c r="LAT161" s="3060"/>
      <c r="LAU161" s="3060"/>
      <c r="LAV161" s="3060"/>
      <c r="LAW161" s="3060"/>
      <c r="LAX161" s="3060"/>
      <c r="LAY161" s="3060"/>
      <c r="LAZ161" s="3060"/>
      <c r="LBA161" s="3060"/>
      <c r="LBB161" s="3060"/>
      <c r="LBC161" s="3060"/>
      <c r="LBD161" s="3060"/>
      <c r="LBE161" s="3060"/>
      <c r="LBF161" s="3060"/>
      <c r="LBG161" s="3060"/>
      <c r="LBH161" s="3060"/>
      <c r="LBI161" s="3060"/>
      <c r="LBJ161" s="3060"/>
      <c r="LBK161" s="3060"/>
      <c r="LBL161" s="3060"/>
      <c r="LBM161" s="3060"/>
      <c r="LBN161" s="3060"/>
      <c r="LBO161" s="3060"/>
      <c r="LBP161" s="3060"/>
      <c r="LBQ161" s="3060"/>
      <c r="LBR161" s="3060"/>
      <c r="LBS161" s="3060"/>
      <c r="LBT161" s="3060"/>
      <c r="LBU161" s="3060"/>
      <c r="LBV161" s="3060"/>
      <c r="LBW161" s="3060"/>
      <c r="LBX161" s="3060"/>
      <c r="LBY161" s="3060"/>
      <c r="LBZ161" s="3060"/>
      <c r="LCA161" s="3060"/>
      <c r="LCB161" s="3060"/>
      <c r="LCC161" s="3060"/>
      <c r="LCD161" s="3060"/>
      <c r="LCE161" s="3060"/>
      <c r="LCF161" s="3060"/>
      <c r="LCG161" s="3060"/>
      <c r="LCH161" s="3060"/>
      <c r="LCI161" s="3060"/>
      <c r="LCJ161" s="3060"/>
      <c r="LCK161" s="3060"/>
      <c r="LCL161" s="3060"/>
      <c r="LCM161" s="3060"/>
      <c r="LCN161" s="3060"/>
      <c r="LCO161" s="3060"/>
      <c r="LCP161" s="3060"/>
      <c r="LCQ161" s="3060"/>
      <c r="LCR161" s="3060"/>
      <c r="LCS161" s="3060"/>
      <c r="LCT161" s="3060"/>
      <c r="LCU161" s="3060"/>
      <c r="LCV161" s="3060"/>
      <c r="LCW161" s="3060"/>
      <c r="LCX161" s="3060"/>
      <c r="LCY161" s="3060"/>
      <c r="LCZ161" s="3060"/>
      <c r="LDA161" s="3060"/>
      <c r="LDB161" s="3060"/>
      <c r="LDC161" s="3060"/>
      <c r="LDD161" s="3060"/>
      <c r="LDE161" s="3060"/>
      <c r="LDF161" s="3060"/>
      <c r="LDG161" s="3060"/>
      <c r="LDH161" s="3060"/>
      <c r="LDI161" s="3060"/>
      <c r="LDJ161" s="3060"/>
      <c r="LDK161" s="3060"/>
      <c r="LDL161" s="3060"/>
      <c r="LDM161" s="3060"/>
      <c r="LDN161" s="3060"/>
      <c r="LDO161" s="3060"/>
      <c r="LDP161" s="3060"/>
      <c r="LDQ161" s="3060"/>
      <c r="LDR161" s="3060"/>
      <c r="LDS161" s="3060"/>
      <c r="LDT161" s="3060"/>
      <c r="LDU161" s="3060"/>
      <c r="LDV161" s="3060"/>
      <c r="LDW161" s="3060"/>
      <c r="LDX161" s="3060"/>
      <c r="LDY161" s="3060"/>
      <c r="LDZ161" s="3060"/>
      <c r="LEA161" s="3060"/>
      <c r="LEB161" s="3060"/>
      <c r="LEC161" s="3060"/>
      <c r="LED161" s="3060"/>
      <c r="LEE161" s="3060"/>
      <c r="LEF161" s="3060"/>
      <c r="LEG161" s="3060"/>
      <c r="LEH161" s="3060"/>
      <c r="LEI161" s="3060"/>
      <c r="LEJ161" s="3060"/>
      <c r="LEK161" s="3060"/>
      <c r="LEL161" s="3060"/>
      <c r="LEM161" s="3060"/>
      <c r="LEN161" s="3060"/>
      <c r="LEO161" s="3060"/>
      <c r="LEP161" s="3060"/>
      <c r="LEQ161" s="3060"/>
      <c r="LER161" s="3060"/>
      <c r="LES161" s="3060"/>
      <c r="LET161" s="3060"/>
      <c r="LEU161" s="3060"/>
      <c r="LEV161" s="3060"/>
      <c r="LEW161" s="3060"/>
      <c r="LEX161" s="3060"/>
      <c r="LEY161" s="3060"/>
      <c r="LEZ161" s="3060"/>
      <c r="LFA161" s="3060"/>
      <c r="LFB161" s="3060"/>
      <c r="LFC161" s="3060"/>
      <c r="LFD161" s="3060"/>
      <c r="LFE161" s="3060"/>
      <c r="LFF161" s="3060"/>
      <c r="LFG161" s="3060"/>
      <c r="LFH161" s="3060"/>
      <c r="LFI161" s="3060"/>
      <c r="LFJ161" s="3060"/>
      <c r="LFK161" s="3060"/>
      <c r="LFL161" s="3060"/>
      <c r="LFM161" s="3060"/>
      <c r="LFN161" s="3060"/>
      <c r="LFO161" s="3060"/>
      <c r="LFP161" s="3060"/>
      <c r="LFQ161" s="3060"/>
      <c r="LFR161" s="3060"/>
      <c r="LFS161" s="3060"/>
      <c r="LFT161" s="3060"/>
      <c r="LFU161" s="3060"/>
      <c r="LFV161" s="3060"/>
      <c r="LFW161" s="3060"/>
      <c r="LFX161" s="3060"/>
      <c r="LFY161" s="3060"/>
      <c r="LFZ161" s="3060"/>
      <c r="LGA161" s="3060"/>
      <c r="LGB161" s="3060"/>
      <c r="LGC161" s="3060"/>
      <c r="LGD161" s="3060"/>
      <c r="LGE161" s="3060"/>
      <c r="LGF161" s="3060"/>
      <c r="LGG161" s="3060"/>
      <c r="LGH161" s="3060"/>
      <c r="LGI161" s="3060"/>
      <c r="LGJ161" s="3060"/>
      <c r="LGK161" s="3060"/>
      <c r="LGL161" s="3060"/>
      <c r="LGM161" s="3060"/>
      <c r="LGN161" s="3060"/>
      <c r="LGO161" s="3060"/>
      <c r="LGP161" s="3060"/>
      <c r="LGQ161" s="3060"/>
      <c r="LGR161" s="3060"/>
      <c r="LGS161" s="3060"/>
      <c r="LGT161" s="3060"/>
      <c r="LGU161" s="3060"/>
      <c r="LGV161" s="3060"/>
      <c r="LGW161" s="3060"/>
      <c r="LGX161" s="3060"/>
      <c r="LGY161" s="3060"/>
      <c r="LGZ161" s="3060"/>
      <c r="LHA161" s="3060"/>
      <c r="LHB161" s="3060"/>
      <c r="LHC161" s="3060"/>
      <c r="LHD161" s="3060"/>
      <c r="LHE161" s="3060"/>
      <c r="LHF161" s="3060"/>
      <c r="LHG161" s="3060"/>
      <c r="LHH161" s="3060"/>
      <c r="LHI161" s="3060"/>
      <c r="LHJ161" s="3060"/>
      <c r="LHK161" s="3060"/>
      <c r="LHL161" s="3060"/>
      <c r="LHM161" s="3060"/>
      <c r="LHN161" s="3060"/>
      <c r="LHO161" s="3060"/>
      <c r="LHP161" s="3060"/>
      <c r="LHQ161" s="3060"/>
      <c r="LHR161" s="3060"/>
      <c r="LHS161" s="3060"/>
      <c r="LHT161" s="3060"/>
      <c r="LHU161" s="3060"/>
      <c r="LHV161" s="3060"/>
      <c r="LHW161" s="3060"/>
      <c r="LHX161" s="3060"/>
      <c r="LHY161" s="3060"/>
      <c r="LHZ161" s="3060"/>
      <c r="LIA161" s="3060"/>
      <c r="LIB161" s="3060"/>
      <c r="LIC161" s="3060"/>
      <c r="LID161" s="3060"/>
      <c r="LIE161" s="3060"/>
      <c r="LIF161" s="3060"/>
      <c r="LIG161" s="3060"/>
      <c r="LIH161" s="3060"/>
      <c r="LII161" s="3060"/>
      <c r="LIJ161" s="3060"/>
      <c r="LIK161" s="3060"/>
      <c r="LIL161" s="3060"/>
      <c r="LIM161" s="3060"/>
      <c r="LIN161" s="3060"/>
      <c r="LIO161" s="3060"/>
      <c r="LIP161" s="3060"/>
      <c r="LIQ161" s="3060"/>
      <c r="LIR161" s="3060"/>
      <c r="LIS161" s="3060"/>
      <c r="LIT161" s="3060"/>
      <c r="LIU161" s="3060"/>
      <c r="LIV161" s="3060"/>
      <c r="LIW161" s="3060"/>
      <c r="LIX161" s="3060"/>
      <c r="LIY161" s="3060"/>
      <c r="LIZ161" s="3060"/>
      <c r="LJA161" s="3060"/>
      <c r="LJB161" s="3060"/>
      <c r="LJC161" s="3060"/>
      <c r="LJD161" s="3060"/>
      <c r="LJE161" s="3060"/>
      <c r="LJF161" s="3060"/>
      <c r="LJG161" s="3060"/>
      <c r="LJH161" s="3060"/>
      <c r="LJI161" s="3060"/>
      <c r="LJJ161" s="3060"/>
      <c r="LJK161" s="3060"/>
      <c r="LJL161" s="3060"/>
      <c r="LJM161" s="3060"/>
      <c r="LJN161" s="3060"/>
      <c r="LJO161" s="3060"/>
      <c r="LJP161" s="3060"/>
      <c r="LJQ161" s="3060"/>
      <c r="LJR161" s="3060"/>
      <c r="LJS161" s="3060"/>
      <c r="LJT161" s="3060"/>
      <c r="LJU161" s="3060"/>
      <c r="LJV161" s="3060"/>
      <c r="LJW161" s="3060"/>
      <c r="LJX161" s="3060"/>
      <c r="LJY161" s="3060"/>
      <c r="LJZ161" s="3060"/>
      <c r="LKA161" s="3060"/>
      <c r="LKB161" s="3060"/>
      <c r="LKC161" s="3060"/>
      <c r="LKD161" s="3060"/>
      <c r="LKE161" s="3060"/>
      <c r="LKF161" s="3060"/>
      <c r="LKG161" s="3060"/>
      <c r="LKH161" s="3060"/>
      <c r="LKI161" s="3060"/>
      <c r="LKJ161" s="3060"/>
      <c r="LKK161" s="3060"/>
      <c r="LKL161" s="3060"/>
      <c r="LKM161" s="3060"/>
      <c r="LKN161" s="3060"/>
      <c r="LKO161" s="3060"/>
      <c r="LKP161" s="3060"/>
      <c r="LKQ161" s="3060"/>
      <c r="LKR161" s="3060"/>
      <c r="LKS161" s="3060"/>
      <c r="LKT161" s="3060"/>
      <c r="LKU161" s="3060"/>
      <c r="LKV161" s="3060"/>
      <c r="LKW161" s="3060"/>
      <c r="LKX161" s="3060"/>
      <c r="LKY161" s="3060"/>
      <c r="LKZ161" s="3060"/>
      <c r="LLA161" s="3060"/>
      <c r="LLB161" s="3060"/>
      <c r="LLC161" s="3060"/>
      <c r="LLD161" s="3060"/>
      <c r="LLE161" s="3060"/>
      <c r="LLF161" s="3060"/>
      <c r="LLG161" s="3060"/>
      <c r="LLH161" s="3060"/>
      <c r="LLI161" s="3060"/>
      <c r="LLJ161" s="3060"/>
      <c r="LLK161" s="3060"/>
      <c r="LLL161" s="3060"/>
      <c r="LLM161" s="3060"/>
      <c r="LLN161" s="3060"/>
      <c r="LLO161" s="3060"/>
      <c r="LLP161" s="3060"/>
      <c r="LLQ161" s="3060"/>
      <c r="LLR161" s="3060"/>
      <c r="LLS161" s="3060"/>
      <c r="LLT161" s="3060"/>
      <c r="LLU161" s="3060"/>
      <c r="LLV161" s="3060"/>
      <c r="LLW161" s="3060"/>
      <c r="LLX161" s="3060"/>
      <c r="LLY161" s="3060"/>
      <c r="LLZ161" s="3060"/>
      <c r="LMA161" s="3060"/>
      <c r="LMB161" s="3060"/>
      <c r="LMC161" s="3060"/>
      <c r="LMD161" s="3060"/>
      <c r="LME161" s="3060"/>
      <c r="LMF161" s="3060"/>
      <c r="LMG161" s="3060"/>
      <c r="LMH161" s="3060"/>
      <c r="LMI161" s="3060"/>
      <c r="LMJ161" s="3060"/>
      <c r="LMK161" s="3060"/>
      <c r="LML161" s="3060"/>
      <c r="LMM161" s="3060"/>
      <c r="LMN161" s="3060"/>
      <c r="LMO161" s="3060"/>
      <c r="LMP161" s="3060"/>
      <c r="LMQ161" s="3060"/>
      <c r="LMR161" s="3060"/>
      <c r="LMS161" s="3060"/>
      <c r="LMT161" s="3060"/>
      <c r="LMU161" s="3060"/>
      <c r="LMV161" s="3060"/>
      <c r="LMW161" s="3060"/>
      <c r="LMX161" s="3060"/>
      <c r="LMY161" s="3060"/>
      <c r="LMZ161" s="3060"/>
      <c r="LNA161" s="3060"/>
      <c r="LNB161" s="3060"/>
      <c r="LNC161" s="3060"/>
      <c r="LND161" s="3060"/>
      <c r="LNE161" s="3060"/>
      <c r="LNF161" s="3060"/>
      <c r="LNG161" s="3060"/>
      <c r="LNH161" s="3060"/>
      <c r="LNI161" s="3060"/>
      <c r="LNJ161" s="3060"/>
      <c r="LNK161" s="3060"/>
      <c r="LNL161" s="3060"/>
      <c r="LNM161" s="3060"/>
      <c r="LNN161" s="3060"/>
      <c r="LNO161" s="3060"/>
      <c r="LNP161" s="3060"/>
      <c r="LNQ161" s="3060"/>
      <c r="LNR161" s="3060"/>
      <c r="LNS161" s="3060"/>
      <c r="LNT161" s="3060"/>
      <c r="LNU161" s="3060"/>
      <c r="LNV161" s="3060"/>
      <c r="LNW161" s="3060"/>
      <c r="LNX161" s="3060"/>
      <c r="LNY161" s="3060"/>
      <c r="LNZ161" s="3060"/>
      <c r="LOA161" s="3060"/>
      <c r="LOB161" s="3060"/>
      <c r="LOC161" s="3060"/>
      <c r="LOD161" s="3060"/>
      <c r="LOE161" s="3060"/>
      <c r="LOF161" s="3060"/>
      <c r="LOG161" s="3060"/>
      <c r="LOH161" s="3060"/>
      <c r="LOI161" s="3060"/>
      <c r="LOJ161" s="3060"/>
      <c r="LOK161" s="3060"/>
      <c r="LOL161" s="3060"/>
      <c r="LOM161" s="3060"/>
      <c r="LON161" s="3060"/>
      <c r="LOO161" s="3060"/>
      <c r="LOP161" s="3060"/>
      <c r="LOQ161" s="3060"/>
      <c r="LOR161" s="3060"/>
      <c r="LOS161" s="3060"/>
      <c r="LOT161" s="3060"/>
      <c r="LOU161" s="3060"/>
      <c r="LOV161" s="3060"/>
      <c r="LOW161" s="3060"/>
      <c r="LOX161" s="3060"/>
      <c r="LOY161" s="3060"/>
      <c r="LOZ161" s="3060"/>
      <c r="LPA161" s="3060"/>
      <c r="LPB161" s="3060"/>
      <c r="LPC161" s="3060"/>
      <c r="LPD161" s="3060"/>
      <c r="LPE161" s="3060"/>
      <c r="LPF161" s="3060"/>
      <c r="LPG161" s="3060"/>
      <c r="LPH161" s="3060"/>
      <c r="LPI161" s="3060"/>
      <c r="LPJ161" s="3060"/>
      <c r="LPK161" s="3060"/>
      <c r="LPL161" s="3060"/>
      <c r="LPM161" s="3060"/>
      <c r="LPN161" s="3060"/>
      <c r="LPO161" s="3060"/>
      <c r="LPP161" s="3060"/>
      <c r="LPQ161" s="3060"/>
      <c r="LPR161" s="3060"/>
      <c r="LPS161" s="3060"/>
      <c r="LPT161" s="3060"/>
      <c r="LPU161" s="3060"/>
      <c r="LPV161" s="3060"/>
      <c r="LPW161" s="3060"/>
      <c r="LPX161" s="3060"/>
      <c r="LPY161" s="3060"/>
      <c r="LPZ161" s="3060"/>
      <c r="LQA161" s="3060"/>
      <c r="LQB161" s="3060"/>
      <c r="LQC161" s="3060"/>
      <c r="LQD161" s="3060"/>
      <c r="LQE161" s="3060"/>
      <c r="LQF161" s="3060"/>
      <c r="LQG161" s="3060"/>
      <c r="LQH161" s="3060"/>
      <c r="LQI161" s="3060"/>
      <c r="LQJ161" s="3060"/>
      <c r="LQK161" s="3060"/>
      <c r="LQL161" s="3060"/>
      <c r="LQM161" s="3060"/>
      <c r="LQN161" s="3060"/>
      <c r="LQO161" s="3060"/>
      <c r="LQP161" s="3060"/>
      <c r="LQQ161" s="3060"/>
      <c r="LQR161" s="3060"/>
      <c r="LQS161" s="3060"/>
      <c r="LQT161" s="3060"/>
      <c r="LQU161" s="3060"/>
      <c r="LQV161" s="3060"/>
      <c r="LQW161" s="3060"/>
      <c r="LQX161" s="3060"/>
      <c r="LQY161" s="3060"/>
      <c r="LQZ161" s="3060"/>
      <c r="LRA161" s="3060"/>
      <c r="LRB161" s="3060"/>
      <c r="LRC161" s="3060"/>
      <c r="LRD161" s="3060"/>
      <c r="LRE161" s="3060"/>
      <c r="LRF161" s="3060"/>
      <c r="LRG161" s="3060"/>
      <c r="LRH161" s="3060"/>
      <c r="LRI161" s="3060"/>
      <c r="LRJ161" s="3060"/>
      <c r="LRK161" s="3060"/>
      <c r="LRL161" s="3060"/>
      <c r="LRM161" s="3060"/>
      <c r="LRN161" s="3060"/>
      <c r="LRO161" s="3060"/>
      <c r="LRP161" s="3060"/>
      <c r="LRQ161" s="3060"/>
      <c r="LRR161" s="3060"/>
      <c r="LRS161" s="3060"/>
      <c r="LRT161" s="3060"/>
      <c r="LRU161" s="3060"/>
      <c r="LRV161" s="3060"/>
      <c r="LRW161" s="3060"/>
      <c r="LRX161" s="3060"/>
      <c r="LRY161" s="3060"/>
      <c r="LRZ161" s="3060"/>
      <c r="LSA161" s="3060"/>
      <c r="LSB161" s="3060"/>
      <c r="LSC161" s="3060"/>
      <c r="LSD161" s="3060"/>
      <c r="LSE161" s="3060"/>
      <c r="LSF161" s="3060"/>
      <c r="LSG161" s="3060"/>
      <c r="LSH161" s="3060"/>
      <c r="LSI161" s="3060"/>
      <c r="LSJ161" s="3060"/>
      <c r="LSK161" s="3060"/>
      <c r="LSL161" s="3060"/>
      <c r="LSM161" s="3060"/>
      <c r="LSN161" s="3060"/>
      <c r="LSO161" s="3060"/>
      <c r="LSP161" s="3060"/>
      <c r="LSQ161" s="3060"/>
      <c r="LSR161" s="3060"/>
      <c r="LSS161" s="3060"/>
      <c r="LST161" s="3060"/>
      <c r="LSU161" s="3060"/>
      <c r="LSV161" s="3060"/>
      <c r="LSW161" s="3060"/>
      <c r="LSX161" s="3060"/>
      <c r="LSY161" s="3060"/>
      <c r="LSZ161" s="3060"/>
      <c r="LTA161" s="3060"/>
      <c r="LTB161" s="3060"/>
      <c r="LTC161" s="3060"/>
      <c r="LTD161" s="3060"/>
      <c r="LTE161" s="3060"/>
      <c r="LTF161" s="3060"/>
      <c r="LTG161" s="3060"/>
      <c r="LTH161" s="3060"/>
      <c r="LTI161" s="3060"/>
      <c r="LTJ161" s="3060"/>
      <c r="LTK161" s="3060"/>
      <c r="LTL161" s="3060"/>
      <c r="LTM161" s="3060"/>
      <c r="LTN161" s="3060"/>
      <c r="LTO161" s="3060"/>
      <c r="LTP161" s="3060"/>
      <c r="LTQ161" s="3060"/>
      <c r="LTR161" s="3060"/>
      <c r="LTS161" s="3060"/>
      <c r="LTT161" s="3060"/>
      <c r="LTU161" s="3060"/>
      <c r="LTV161" s="3060"/>
      <c r="LTW161" s="3060"/>
      <c r="LTX161" s="3060"/>
      <c r="LTY161" s="3060"/>
      <c r="LTZ161" s="3060"/>
      <c r="LUA161" s="3060"/>
      <c r="LUB161" s="3060"/>
      <c r="LUC161" s="3060"/>
      <c r="LUD161" s="3060"/>
      <c r="LUE161" s="3060"/>
      <c r="LUF161" s="3060"/>
      <c r="LUG161" s="3060"/>
      <c r="LUH161" s="3060"/>
      <c r="LUI161" s="3060"/>
      <c r="LUJ161" s="3060"/>
      <c r="LUK161" s="3060"/>
      <c r="LUL161" s="3060"/>
      <c r="LUM161" s="3060"/>
      <c r="LUN161" s="3060"/>
      <c r="LUO161" s="3060"/>
      <c r="LUP161" s="3060"/>
      <c r="LUQ161" s="3060"/>
      <c r="LUR161" s="3060"/>
      <c r="LUS161" s="3060"/>
      <c r="LUT161" s="3060"/>
      <c r="LUU161" s="3060"/>
      <c r="LUV161" s="3060"/>
      <c r="LUW161" s="3060"/>
      <c r="LUX161" s="3060"/>
      <c r="LUY161" s="3060"/>
      <c r="LUZ161" s="3060"/>
      <c r="LVA161" s="3060"/>
      <c r="LVB161" s="3060"/>
      <c r="LVC161" s="3060"/>
      <c r="LVD161" s="3060"/>
      <c r="LVE161" s="3060"/>
      <c r="LVF161" s="3060"/>
      <c r="LVG161" s="3060"/>
      <c r="LVH161" s="3060"/>
      <c r="LVI161" s="3060"/>
      <c r="LVJ161" s="3060"/>
      <c r="LVK161" s="3060"/>
      <c r="LVL161" s="3060"/>
      <c r="LVM161" s="3060"/>
      <c r="LVN161" s="3060"/>
      <c r="LVO161" s="3060"/>
      <c r="LVP161" s="3060"/>
      <c r="LVQ161" s="3060"/>
      <c r="LVR161" s="3060"/>
      <c r="LVS161" s="3060"/>
      <c r="LVT161" s="3060"/>
      <c r="LVU161" s="3060"/>
      <c r="LVV161" s="3060"/>
      <c r="LVW161" s="3060"/>
      <c r="LVX161" s="3060"/>
      <c r="LVY161" s="3060"/>
      <c r="LVZ161" s="3060"/>
      <c r="LWA161" s="3060"/>
      <c r="LWB161" s="3060"/>
      <c r="LWC161" s="3060"/>
      <c r="LWD161" s="3060"/>
      <c r="LWE161" s="3060"/>
      <c r="LWF161" s="3060"/>
      <c r="LWG161" s="3060"/>
      <c r="LWH161" s="3060"/>
      <c r="LWI161" s="3060"/>
      <c r="LWJ161" s="3060"/>
      <c r="LWK161" s="3060"/>
      <c r="LWL161" s="3060"/>
      <c r="LWM161" s="3060"/>
      <c r="LWN161" s="3060"/>
      <c r="LWO161" s="3060"/>
      <c r="LWP161" s="3060"/>
      <c r="LWQ161" s="3060"/>
      <c r="LWR161" s="3060"/>
      <c r="LWS161" s="3060"/>
      <c r="LWT161" s="3060"/>
      <c r="LWU161" s="3060"/>
      <c r="LWV161" s="3060"/>
      <c r="LWW161" s="3060"/>
      <c r="LWX161" s="3060"/>
      <c r="LWY161" s="3060"/>
      <c r="LWZ161" s="3060"/>
      <c r="LXA161" s="3060"/>
      <c r="LXB161" s="3060"/>
      <c r="LXC161" s="3060"/>
      <c r="LXD161" s="3060"/>
      <c r="LXE161" s="3060"/>
      <c r="LXF161" s="3060"/>
      <c r="LXG161" s="3060"/>
      <c r="LXH161" s="3060"/>
      <c r="LXI161" s="3060"/>
      <c r="LXJ161" s="3060"/>
      <c r="LXK161" s="3060"/>
      <c r="LXL161" s="3060"/>
      <c r="LXM161" s="3060"/>
      <c r="LXN161" s="3060"/>
      <c r="LXO161" s="3060"/>
      <c r="LXP161" s="3060"/>
      <c r="LXQ161" s="3060"/>
      <c r="LXR161" s="3060"/>
      <c r="LXS161" s="3060"/>
      <c r="LXT161" s="3060"/>
      <c r="LXU161" s="3060"/>
      <c r="LXV161" s="3060"/>
      <c r="LXW161" s="3060"/>
      <c r="LXX161" s="3060"/>
      <c r="LXY161" s="3060"/>
      <c r="LXZ161" s="3060"/>
      <c r="LYA161" s="3060"/>
      <c r="LYB161" s="3060"/>
      <c r="LYC161" s="3060"/>
      <c r="LYD161" s="3060"/>
      <c r="LYE161" s="3060"/>
      <c r="LYF161" s="3060"/>
      <c r="LYG161" s="3060"/>
      <c r="LYH161" s="3060"/>
      <c r="LYI161" s="3060"/>
      <c r="LYJ161" s="3060"/>
      <c r="LYK161" s="3060"/>
      <c r="LYL161" s="3060"/>
      <c r="LYM161" s="3060"/>
      <c r="LYN161" s="3060"/>
      <c r="LYO161" s="3060"/>
      <c r="LYP161" s="3060"/>
      <c r="LYQ161" s="3060"/>
      <c r="LYR161" s="3060"/>
      <c r="LYS161" s="3060"/>
      <c r="LYT161" s="3060"/>
      <c r="LYU161" s="3060"/>
      <c r="LYV161" s="3060"/>
      <c r="LYW161" s="3060"/>
      <c r="LYX161" s="3060"/>
      <c r="LYY161" s="3060"/>
      <c r="LYZ161" s="3060"/>
      <c r="LZA161" s="3060"/>
      <c r="LZB161" s="3060"/>
      <c r="LZC161" s="3060"/>
      <c r="LZD161" s="3060"/>
      <c r="LZE161" s="3060"/>
      <c r="LZF161" s="3060"/>
      <c r="LZG161" s="3060"/>
      <c r="LZH161" s="3060"/>
      <c r="LZI161" s="3060"/>
      <c r="LZJ161" s="3060"/>
      <c r="LZK161" s="3060"/>
      <c r="LZL161" s="3060"/>
      <c r="LZM161" s="3060"/>
      <c r="LZN161" s="3060"/>
      <c r="LZO161" s="3060"/>
      <c r="LZP161" s="3060"/>
      <c r="LZQ161" s="3060"/>
      <c r="LZR161" s="3060"/>
      <c r="LZS161" s="3060"/>
      <c r="LZT161" s="3060"/>
      <c r="LZU161" s="3060"/>
      <c r="LZV161" s="3060"/>
      <c r="LZW161" s="3060"/>
      <c r="LZX161" s="3060"/>
      <c r="LZY161" s="3060"/>
      <c r="LZZ161" s="3060"/>
      <c r="MAA161" s="3060"/>
      <c r="MAB161" s="3060"/>
      <c r="MAC161" s="3060"/>
      <c r="MAD161" s="3060"/>
      <c r="MAE161" s="3060"/>
      <c r="MAF161" s="3060"/>
      <c r="MAG161" s="3060"/>
      <c r="MAH161" s="3060"/>
      <c r="MAI161" s="3060"/>
      <c r="MAJ161" s="3060"/>
      <c r="MAK161" s="3060"/>
      <c r="MAL161" s="3060"/>
      <c r="MAM161" s="3060"/>
      <c r="MAN161" s="3060"/>
      <c r="MAO161" s="3060"/>
      <c r="MAP161" s="3060"/>
      <c r="MAQ161" s="3060"/>
      <c r="MAR161" s="3060"/>
      <c r="MAS161" s="3060"/>
      <c r="MAT161" s="3060"/>
      <c r="MAU161" s="3060"/>
      <c r="MAV161" s="3060"/>
      <c r="MAW161" s="3060"/>
      <c r="MAX161" s="3060"/>
      <c r="MAY161" s="3060"/>
      <c r="MAZ161" s="3060"/>
      <c r="MBA161" s="3060"/>
      <c r="MBB161" s="3060"/>
      <c r="MBC161" s="3060"/>
      <c r="MBD161" s="3060"/>
      <c r="MBE161" s="3060"/>
      <c r="MBF161" s="3060"/>
      <c r="MBG161" s="3060"/>
      <c r="MBH161" s="3060"/>
      <c r="MBI161" s="3060"/>
      <c r="MBJ161" s="3060"/>
      <c r="MBK161" s="3060"/>
      <c r="MBL161" s="3060"/>
      <c r="MBM161" s="3060"/>
      <c r="MBN161" s="3060"/>
      <c r="MBO161" s="3060"/>
      <c r="MBP161" s="3060"/>
      <c r="MBQ161" s="3060"/>
      <c r="MBR161" s="3060"/>
      <c r="MBS161" s="3060"/>
      <c r="MBT161" s="3060"/>
      <c r="MBU161" s="3060"/>
      <c r="MBV161" s="3060"/>
      <c r="MBW161" s="3060"/>
      <c r="MBX161" s="3060"/>
      <c r="MBY161" s="3060"/>
      <c r="MBZ161" s="3060"/>
      <c r="MCA161" s="3060"/>
      <c r="MCB161" s="3060"/>
      <c r="MCC161" s="3060"/>
      <c r="MCD161" s="3060"/>
      <c r="MCE161" s="3060"/>
      <c r="MCF161" s="3060"/>
      <c r="MCG161" s="3060"/>
      <c r="MCH161" s="3060"/>
      <c r="MCI161" s="3060"/>
      <c r="MCJ161" s="3060"/>
      <c r="MCK161" s="3060"/>
      <c r="MCL161" s="3060"/>
      <c r="MCM161" s="3060"/>
      <c r="MCN161" s="3060"/>
      <c r="MCO161" s="3060"/>
      <c r="MCP161" s="3060"/>
      <c r="MCQ161" s="3060"/>
      <c r="MCR161" s="3060"/>
      <c r="MCS161" s="3060"/>
      <c r="MCT161" s="3060"/>
      <c r="MCU161" s="3060"/>
      <c r="MCV161" s="3060"/>
      <c r="MCW161" s="3060"/>
      <c r="MCX161" s="3060"/>
      <c r="MCY161" s="3060"/>
      <c r="MCZ161" s="3060"/>
      <c r="MDA161" s="3060"/>
      <c r="MDB161" s="3060"/>
      <c r="MDC161" s="3060"/>
      <c r="MDD161" s="3060"/>
      <c r="MDE161" s="3060"/>
      <c r="MDF161" s="3060"/>
      <c r="MDG161" s="3060"/>
      <c r="MDH161" s="3060"/>
      <c r="MDI161" s="3060"/>
      <c r="MDJ161" s="3060"/>
      <c r="MDK161" s="3060"/>
      <c r="MDL161" s="3060"/>
      <c r="MDM161" s="3060"/>
      <c r="MDN161" s="3060"/>
      <c r="MDO161" s="3060"/>
      <c r="MDP161" s="3060"/>
      <c r="MDQ161" s="3060"/>
      <c r="MDR161" s="3060"/>
      <c r="MDS161" s="3060"/>
      <c r="MDT161" s="3060"/>
      <c r="MDU161" s="3060"/>
      <c r="MDV161" s="3060"/>
      <c r="MDW161" s="3060"/>
      <c r="MDX161" s="3060"/>
      <c r="MDY161" s="3060"/>
      <c r="MDZ161" s="3060"/>
      <c r="MEA161" s="3060"/>
      <c r="MEB161" s="3060"/>
      <c r="MEC161" s="3060"/>
      <c r="MED161" s="3060"/>
      <c r="MEE161" s="3060"/>
      <c r="MEF161" s="3060"/>
      <c r="MEG161" s="3060"/>
      <c r="MEH161" s="3060"/>
      <c r="MEI161" s="3060"/>
      <c r="MEJ161" s="3060"/>
      <c r="MEK161" s="3060"/>
      <c r="MEL161" s="3060"/>
      <c r="MEM161" s="3060"/>
      <c r="MEN161" s="3060"/>
      <c r="MEO161" s="3060"/>
      <c r="MEP161" s="3060"/>
      <c r="MEQ161" s="3060"/>
      <c r="MER161" s="3060"/>
      <c r="MES161" s="3060"/>
      <c r="MET161" s="3060"/>
      <c r="MEU161" s="3060"/>
      <c r="MEV161" s="3060"/>
      <c r="MEW161" s="3060"/>
      <c r="MEX161" s="3060"/>
      <c r="MEY161" s="3060"/>
      <c r="MEZ161" s="3060"/>
      <c r="MFA161" s="3060"/>
      <c r="MFB161" s="3060"/>
      <c r="MFC161" s="3060"/>
      <c r="MFD161" s="3060"/>
      <c r="MFE161" s="3060"/>
      <c r="MFF161" s="3060"/>
      <c r="MFG161" s="3060"/>
      <c r="MFH161" s="3060"/>
      <c r="MFI161" s="3060"/>
      <c r="MFJ161" s="3060"/>
      <c r="MFK161" s="3060"/>
      <c r="MFL161" s="3060"/>
      <c r="MFM161" s="3060"/>
      <c r="MFN161" s="3060"/>
      <c r="MFO161" s="3060"/>
      <c r="MFP161" s="3060"/>
      <c r="MFQ161" s="3060"/>
      <c r="MFR161" s="3060"/>
      <c r="MFS161" s="3060"/>
      <c r="MFT161" s="3060"/>
      <c r="MFU161" s="3060"/>
      <c r="MFV161" s="3060"/>
      <c r="MFW161" s="3060"/>
      <c r="MFX161" s="3060"/>
      <c r="MFY161" s="3060"/>
      <c r="MFZ161" s="3060"/>
      <c r="MGA161" s="3060"/>
      <c r="MGB161" s="3060"/>
      <c r="MGC161" s="3060"/>
      <c r="MGD161" s="3060"/>
      <c r="MGE161" s="3060"/>
      <c r="MGF161" s="3060"/>
      <c r="MGG161" s="3060"/>
      <c r="MGH161" s="3060"/>
      <c r="MGI161" s="3060"/>
      <c r="MGJ161" s="3060"/>
      <c r="MGK161" s="3060"/>
      <c r="MGL161" s="3060"/>
      <c r="MGM161" s="3060"/>
      <c r="MGN161" s="3060"/>
      <c r="MGO161" s="3060"/>
      <c r="MGP161" s="3060"/>
      <c r="MGQ161" s="3060"/>
      <c r="MGR161" s="3060"/>
      <c r="MGS161" s="3060"/>
      <c r="MGT161" s="3060"/>
      <c r="MGU161" s="3060"/>
      <c r="MGV161" s="3060"/>
      <c r="MGW161" s="3060"/>
      <c r="MGX161" s="3060"/>
      <c r="MGY161" s="3060"/>
      <c r="MGZ161" s="3060"/>
      <c r="MHA161" s="3060"/>
      <c r="MHB161" s="3060"/>
      <c r="MHC161" s="3060"/>
      <c r="MHD161" s="3060"/>
      <c r="MHE161" s="3060"/>
      <c r="MHF161" s="3060"/>
      <c r="MHG161" s="3060"/>
      <c r="MHH161" s="3060"/>
      <c r="MHI161" s="3060"/>
      <c r="MHJ161" s="3060"/>
      <c r="MHK161" s="3060"/>
      <c r="MHL161" s="3060"/>
      <c r="MHM161" s="3060"/>
      <c r="MHN161" s="3060"/>
      <c r="MHO161" s="3060"/>
      <c r="MHP161" s="3060"/>
      <c r="MHQ161" s="3060"/>
      <c r="MHR161" s="3060"/>
      <c r="MHS161" s="3060"/>
      <c r="MHT161" s="3060"/>
      <c r="MHU161" s="3060"/>
      <c r="MHV161" s="3060"/>
      <c r="MHW161" s="3060"/>
      <c r="MHX161" s="3060"/>
      <c r="MHY161" s="3060"/>
      <c r="MHZ161" s="3060"/>
      <c r="MIA161" s="3060"/>
      <c r="MIB161" s="3060"/>
      <c r="MIC161" s="3060"/>
      <c r="MID161" s="3060"/>
      <c r="MIE161" s="3060"/>
      <c r="MIF161" s="3060"/>
      <c r="MIG161" s="3060"/>
      <c r="MIH161" s="3060"/>
      <c r="MII161" s="3060"/>
      <c r="MIJ161" s="3060"/>
      <c r="MIK161" s="3060"/>
      <c r="MIL161" s="3060"/>
      <c r="MIM161" s="3060"/>
      <c r="MIN161" s="3060"/>
      <c r="MIO161" s="3060"/>
      <c r="MIP161" s="3060"/>
      <c r="MIQ161" s="3060"/>
      <c r="MIR161" s="3060"/>
      <c r="MIS161" s="3060"/>
      <c r="MIT161" s="3060"/>
      <c r="MIU161" s="3060"/>
      <c r="MIV161" s="3060"/>
      <c r="MIW161" s="3060"/>
      <c r="MIX161" s="3060"/>
      <c r="MIY161" s="3060"/>
      <c r="MIZ161" s="3060"/>
      <c r="MJA161" s="3060"/>
      <c r="MJB161" s="3060"/>
      <c r="MJC161" s="3060"/>
      <c r="MJD161" s="3060"/>
      <c r="MJE161" s="3060"/>
      <c r="MJF161" s="3060"/>
      <c r="MJG161" s="3060"/>
      <c r="MJH161" s="3060"/>
      <c r="MJI161" s="3060"/>
      <c r="MJJ161" s="3060"/>
      <c r="MJK161" s="3060"/>
      <c r="MJL161" s="3060"/>
      <c r="MJM161" s="3060"/>
      <c r="MJN161" s="3060"/>
      <c r="MJO161" s="3060"/>
      <c r="MJP161" s="3060"/>
      <c r="MJQ161" s="3060"/>
      <c r="MJR161" s="3060"/>
      <c r="MJS161" s="3060"/>
      <c r="MJT161" s="3060"/>
      <c r="MJU161" s="3060"/>
      <c r="MJV161" s="3060"/>
      <c r="MJW161" s="3060"/>
      <c r="MJX161" s="3060"/>
      <c r="MJY161" s="3060"/>
      <c r="MJZ161" s="3060"/>
      <c r="MKA161" s="3060"/>
      <c r="MKB161" s="3060"/>
      <c r="MKC161" s="3060"/>
      <c r="MKD161" s="3060"/>
      <c r="MKE161" s="3060"/>
      <c r="MKF161" s="3060"/>
      <c r="MKG161" s="3060"/>
      <c r="MKH161" s="3060"/>
      <c r="MKI161" s="3060"/>
      <c r="MKJ161" s="3060"/>
      <c r="MKK161" s="3060"/>
      <c r="MKL161" s="3060"/>
      <c r="MKM161" s="3060"/>
      <c r="MKN161" s="3060"/>
      <c r="MKO161" s="3060"/>
      <c r="MKP161" s="3060"/>
      <c r="MKQ161" s="3060"/>
      <c r="MKR161" s="3060"/>
      <c r="MKS161" s="3060"/>
      <c r="MKT161" s="3060"/>
      <c r="MKU161" s="3060"/>
      <c r="MKV161" s="3060"/>
      <c r="MKW161" s="3060"/>
      <c r="MKX161" s="3060"/>
      <c r="MKY161" s="3060"/>
      <c r="MKZ161" s="3060"/>
      <c r="MLA161" s="3060"/>
      <c r="MLB161" s="3060"/>
      <c r="MLC161" s="3060"/>
      <c r="MLD161" s="3060"/>
      <c r="MLE161" s="3060"/>
      <c r="MLF161" s="3060"/>
      <c r="MLG161" s="3060"/>
      <c r="MLH161" s="3060"/>
      <c r="MLI161" s="3060"/>
      <c r="MLJ161" s="3060"/>
      <c r="MLK161" s="3060"/>
      <c r="MLL161" s="3060"/>
      <c r="MLM161" s="3060"/>
      <c r="MLN161" s="3060"/>
      <c r="MLO161" s="3060"/>
      <c r="MLP161" s="3060"/>
      <c r="MLQ161" s="3060"/>
      <c r="MLR161" s="3060"/>
      <c r="MLS161" s="3060"/>
      <c r="MLT161" s="3060"/>
      <c r="MLU161" s="3060"/>
      <c r="MLV161" s="3060"/>
      <c r="MLW161" s="3060"/>
      <c r="MLX161" s="3060"/>
      <c r="MLY161" s="3060"/>
      <c r="MLZ161" s="3060"/>
      <c r="MMA161" s="3060"/>
      <c r="MMB161" s="3060"/>
      <c r="MMC161" s="3060"/>
      <c r="MMD161" s="3060"/>
      <c r="MME161" s="3060"/>
      <c r="MMF161" s="3060"/>
      <c r="MMG161" s="3060"/>
      <c r="MMH161" s="3060"/>
      <c r="MMI161" s="3060"/>
      <c r="MMJ161" s="3060"/>
      <c r="MMK161" s="3060"/>
      <c r="MML161" s="3060"/>
      <c r="MMM161" s="3060"/>
      <c r="MMN161" s="3060"/>
      <c r="MMO161" s="3060"/>
      <c r="MMP161" s="3060"/>
      <c r="MMQ161" s="3060"/>
      <c r="MMR161" s="3060"/>
      <c r="MMS161" s="3060"/>
      <c r="MMT161" s="3060"/>
      <c r="MMU161" s="3060"/>
      <c r="MMV161" s="3060"/>
      <c r="MMW161" s="3060"/>
      <c r="MMX161" s="3060"/>
      <c r="MMY161" s="3060"/>
      <c r="MMZ161" s="3060"/>
      <c r="MNA161" s="3060"/>
      <c r="MNB161" s="3060"/>
      <c r="MNC161" s="3060"/>
      <c r="MND161" s="3060"/>
      <c r="MNE161" s="3060"/>
      <c r="MNF161" s="3060"/>
      <c r="MNG161" s="3060"/>
      <c r="MNH161" s="3060"/>
      <c r="MNI161" s="3060"/>
      <c r="MNJ161" s="3060"/>
      <c r="MNK161" s="3060"/>
      <c r="MNL161" s="3060"/>
      <c r="MNM161" s="3060"/>
      <c r="MNN161" s="3060"/>
      <c r="MNO161" s="3060"/>
      <c r="MNP161" s="3060"/>
      <c r="MNQ161" s="3060"/>
      <c r="MNR161" s="3060"/>
      <c r="MNS161" s="3060"/>
      <c r="MNT161" s="3060"/>
      <c r="MNU161" s="3060"/>
      <c r="MNV161" s="3060"/>
      <c r="MNW161" s="3060"/>
      <c r="MNX161" s="3060"/>
      <c r="MNY161" s="3060"/>
      <c r="MNZ161" s="3060"/>
      <c r="MOA161" s="3060"/>
      <c r="MOB161" s="3060"/>
      <c r="MOC161" s="3060"/>
      <c r="MOD161" s="3060"/>
      <c r="MOE161" s="3060"/>
      <c r="MOF161" s="3060"/>
      <c r="MOG161" s="3060"/>
      <c r="MOH161" s="3060"/>
      <c r="MOI161" s="3060"/>
      <c r="MOJ161" s="3060"/>
      <c r="MOK161" s="3060"/>
      <c r="MOL161" s="3060"/>
      <c r="MOM161" s="3060"/>
      <c r="MON161" s="3060"/>
      <c r="MOO161" s="3060"/>
      <c r="MOP161" s="3060"/>
      <c r="MOQ161" s="3060"/>
      <c r="MOR161" s="3060"/>
      <c r="MOS161" s="3060"/>
      <c r="MOT161" s="3060"/>
      <c r="MOU161" s="3060"/>
      <c r="MOV161" s="3060"/>
      <c r="MOW161" s="3060"/>
      <c r="MOX161" s="3060"/>
      <c r="MOY161" s="3060"/>
      <c r="MOZ161" s="3060"/>
      <c r="MPA161" s="3060"/>
      <c r="MPB161" s="3060"/>
      <c r="MPC161" s="3060"/>
      <c r="MPD161" s="3060"/>
      <c r="MPE161" s="3060"/>
      <c r="MPF161" s="3060"/>
      <c r="MPG161" s="3060"/>
      <c r="MPH161" s="3060"/>
      <c r="MPI161" s="3060"/>
      <c r="MPJ161" s="3060"/>
      <c r="MPK161" s="3060"/>
      <c r="MPL161" s="3060"/>
      <c r="MPM161" s="3060"/>
      <c r="MPN161" s="3060"/>
      <c r="MPO161" s="3060"/>
      <c r="MPP161" s="3060"/>
      <c r="MPQ161" s="3060"/>
      <c r="MPR161" s="3060"/>
      <c r="MPS161" s="3060"/>
      <c r="MPT161" s="3060"/>
      <c r="MPU161" s="3060"/>
      <c r="MPV161" s="3060"/>
      <c r="MPW161" s="3060"/>
      <c r="MPX161" s="3060"/>
      <c r="MPY161" s="3060"/>
      <c r="MPZ161" s="3060"/>
      <c r="MQA161" s="3060"/>
      <c r="MQB161" s="3060"/>
      <c r="MQC161" s="3060"/>
      <c r="MQD161" s="3060"/>
      <c r="MQE161" s="3060"/>
      <c r="MQF161" s="3060"/>
      <c r="MQG161" s="3060"/>
      <c r="MQH161" s="3060"/>
      <c r="MQI161" s="3060"/>
      <c r="MQJ161" s="3060"/>
      <c r="MQK161" s="3060"/>
      <c r="MQL161" s="3060"/>
      <c r="MQM161" s="3060"/>
      <c r="MQN161" s="3060"/>
      <c r="MQO161" s="3060"/>
      <c r="MQP161" s="3060"/>
      <c r="MQQ161" s="3060"/>
      <c r="MQR161" s="3060"/>
      <c r="MQS161" s="3060"/>
      <c r="MQT161" s="3060"/>
      <c r="MQU161" s="3060"/>
      <c r="MQV161" s="3060"/>
      <c r="MQW161" s="3060"/>
      <c r="MQX161" s="3060"/>
      <c r="MQY161" s="3060"/>
      <c r="MQZ161" s="3060"/>
      <c r="MRA161" s="3060"/>
      <c r="MRB161" s="3060"/>
      <c r="MRC161" s="3060"/>
      <c r="MRD161" s="3060"/>
      <c r="MRE161" s="3060"/>
      <c r="MRF161" s="3060"/>
      <c r="MRG161" s="3060"/>
      <c r="MRH161" s="3060"/>
      <c r="MRI161" s="3060"/>
      <c r="MRJ161" s="3060"/>
      <c r="MRK161" s="3060"/>
      <c r="MRL161" s="3060"/>
      <c r="MRM161" s="3060"/>
      <c r="MRN161" s="3060"/>
      <c r="MRO161" s="3060"/>
      <c r="MRP161" s="3060"/>
      <c r="MRQ161" s="3060"/>
      <c r="MRR161" s="3060"/>
      <c r="MRS161" s="3060"/>
      <c r="MRT161" s="3060"/>
      <c r="MRU161" s="3060"/>
      <c r="MRV161" s="3060"/>
      <c r="MRW161" s="3060"/>
      <c r="MRX161" s="3060"/>
      <c r="MRY161" s="3060"/>
      <c r="MRZ161" s="3060"/>
      <c r="MSA161" s="3060"/>
      <c r="MSB161" s="3060"/>
      <c r="MSC161" s="3060"/>
      <c r="MSD161" s="3060"/>
      <c r="MSE161" s="3060"/>
      <c r="MSF161" s="3060"/>
      <c r="MSG161" s="3060"/>
      <c r="MSH161" s="3060"/>
      <c r="MSI161" s="3060"/>
      <c r="MSJ161" s="3060"/>
      <c r="MSK161" s="3060"/>
      <c r="MSL161" s="3060"/>
      <c r="MSM161" s="3060"/>
      <c r="MSN161" s="3060"/>
      <c r="MSO161" s="3060"/>
      <c r="MSP161" s="3060"/>
      <c r="MSQ161" s="3060"/>
      <c r="MSR161" s="3060"/>
      <c r="MSS161" s="3060"/>
      <c r="MST161" s="3060"/>
      <c r="MSU161" s="3060"/>
      <c r="MSV161" s="3060"/>
      <c r="MSW161" s="3060"/>
      <c r="MSX161" s="3060"/>
      <c r="MSY161" s="3060"/>
      <c r="MSZ161" s="3060"/>
      <c r="MTA161" s="3060"/>
      <c r="MTB161" s="3060"/>
      <c r="MTC161" s="3060"/>
      <c r="MTD161" s="3060"/>
      <c r="MTE161" s="3060"/>
      <c r="MTF161" s="3060"/>
      <c r="MTG161" s="3060"/>
      <c r="MTH161" s="3060"/>
      <c r="MTI161" s="3060"/>
      <c r="MTJ161" s="3060"/>
      <c r="MTK161" s="3060"/>
      <c r="MTL161" s="3060"/>
      <c r="MTM161" s="3060"/>
      <c r="MTN161" s="3060"/>
      <c r="MTO161" s="3060"/>
      <c r="MTP161" s="3060"/>
      <c r="MTQ161" s="3060"/>
      <c r="MTR161" s="3060"/>
      <c r="MTS161" s="3060"/>
      <c r="MTT161" s="3060"/>
      <c r="MTU161" s="3060"/>
      <c r="MTV161" s="3060"/>
      <c r="MTW161" s="3060"/>
      <c r="MTX161" s="3060"/>
      <c r="MTY161" s="3060"/>
      <c r="MTZ161" s="3060"/>
      <c r="MUA161" s="3060"/>
      <c r="MUB161" s="3060"/>
      <c r="MUC161" s="3060"/>
      <c r="MUD161" s="3060"/>
      <c r="MUE161" s="3060"/>
      <c r="MUF161" s="3060"/>
      <c r="MUG161" s="3060"/>
      <c r="MUH161" s="3060"/>
      <c r="MUI161" s="3060"/>
      <c r="MUJ161" s="3060"/>
      <c r="MUK161" s="3060"/>
      <c r="MUL161" s="3060"/>
      <c r="MUM161" s="3060"/>
      <c r="MUN161" s="3060"/>
      <c r="MUO161" s="3060"/>
      <c r="MUP161" s="3060"/>
      <c r="MUQ161" s="3060"/>
      <c r="MUR161" s="3060"/>
      <c r="MUS161" s="3060"/>
      <c r="MUT161" s="3060"/>
      <c r="MUU161" s="3060"/>
      <c r="MUV161" s="3060"/>
      <c r="MUW161" s="3060"/>
      <c r="MUX161" s="3060"/>
      <c r="MUY161" s="3060"/>
      <c r="MUZ161" s="3060"/>
      <c r="MVA161" s="3060"/>
      <c r="MVB161" s="3060"/>
      <c r="MVC161" s="3060"/>
      <c r="MVD161" s="3060"/>
      <c r="MVE161" s="3060"/>
      <c r="MVF161" s="3060"/>
      <c r="MVG161" s="3060"/>
      <c r="MVH161" s="3060"/>
      <c r="MVI161" s="3060"/>
      <c r="MVJ161" s="3060"/>
      <c r="MVK161" s="3060"/>
      <c r="MVL161" s="3060"/>
      <c r="MVM161" s="3060"/>
      <c r="MVN161" s="3060"/>
      <c r="MVO161" s="3060"/>
      <c r="MVP161" s="3060"/>
      <c r="MVQ161" s="3060"/>
      <c r="MVR161" s="3060"/>
      <c r="MVS161" s="3060"/>
      <c r="MVT161" s="3060"/>
      <c r="MVU161" s="3060"/>
      <c r="MVV161" s="3060"/>
      <c r="MVW161" s="3060"/>
      <c r="MVX161" s="3060"/>
      <c r="MVY161" s="3060"/>
      <c r="MVZ161" s="3060"/>
      <c r="MWA161" s="3060"/>
      <c r="MWB161" s="3060"/>
      <c r="MWC161" s="3060"/>
      <c r="MWD161" s="3060"/>
      <c r="MWE161" s="3060"/>
      <c r="MWF161" s="3060"/>
      <c r="MWG161" s="3060"/>
      <c r="MWH161" s="3060"/>
      <c r="MWI161" s="3060"/>
      <c r="MWJ161" s="3060"/>
      <c r="MWK161" s="3060"/>
      <c r="MWL161" s="3060"/>
      <c r="MWM161" s="3060"/>
      <c r="MWN161" s="3060"/>
      <c r="MWO161" s="3060"/>
      <c r="MWP161" s="3060"/>
      <c r="MWQ161" s="3060"/>
      <c r="MWR161" s="3060"/>
      <c r="MWS161" s="3060"/>
      <c r="MWT161" s="3060"/>
      <c r="MWU161" s="3060"/>
      <c r="MWV161" s="3060"/>
      <c r="MWW161" s="3060"/>
      <c r="MWX161" s="3060"/>
      <c r="MWY161" s="3060"/>
      <c r="MWZ161" s="3060"/>
      <c r="MXA161" s="3060"/>
      <c r="MXB161" s="3060"/>
      <c r="MXC161" s="3060"/>
      <c r="MXD161" s="3060"/>
      <c r="MXE161" s="3060"/>
      <c r="MXF161" s="3060"/>
      <c r="MXG161" s="3060"/>
      <c r="MXH161" s="3060"/>
      <c r="MXI161" s="3060"/>
      <c r="MXJ161" s="3060"/>
      <c r="MXK161" s="3060"/>
      <c r="MXL161" s="3060"/>
      <c r="MXM161" s="3060"/>
      <c r="MXN161" s="3060"/>
      <c r="MXO161" s="3060"/>
      <c r="MXP161" s="3060"/>
      <c r="MXQ161" s="3060"/>
      <c r="MXR161" s="3060"/>
      <c r="MXS161" s="3060"/>
      <c r="MXT161" s="3060"/>
      <c r="MXU161" s="3060"/>
      <c r="MXV161" s="3060"/>
      <c r="MXW161" s="3060"/>
      <c r="MXX161" s="3060"/>
      <c r="MXY161" s="3060"/>
      <c r="MXZ161" s="3060"/>
      <c r="MYA161" s="3060"/>
      <c r="MYB161" s="3060"/>
      <c r="MYC161" s="3060"/>
      <c r="MYD161" s="3060"/>
      <c r="MYE161" s="3060"/>
      <c r="MYF161" s="3060"/>
      <c r="MYG161" s="3060"/>
      <c r="MYH161" s="3060"/>
      <c r="MYI161" s="3060"/>
      <c r="MYJ161" s="3060"/>
      <c r="MYK161" s="3060"/>
      <c r="MYL161" s="3060"/>
      <c r="MYM161" s="3060"/>
      <c r="MYN161" s="3060"/>
      <c r="MYO161" s="3060"/>
      <c r="MYP161" s="3060"/>
      <c r="MYQ161" s="3060"/>
      <c r="MYR161" s="3060"/>
      <c r="MYS161" s="3060"/>
      <c r="MYT161" s="3060"/>
      <c r="MYU161" s="3060"/>
      <c r="MYV161" s="3060"/>
      <c r="MYW161" s="3060"/>
      <c r="MYX161" s="3060"/>
      <c r="MYY161" s="3060"/>
      <c r="MYZ161" s="3060"/>
      <c r="MZA161" s="3060"/>
      <c r="MZB161" s="3060"/>
      <c r="MZC161" s="3060"/>
      <c r="MZD161" s="3060"/>
      <c r="MZE161" s="3060"/>
      <c r="MZF161" s="3060"/>
      <c r="MZG161" s="3060"/>
      <c r="MZH161" s="3060"/>
      <c r="MZI161" s="3060"/>
      <c r="MZJ161" s="3060"/>
      <c r="MZK161" s="3060"/>
      <c r="MZL161" s="3060"/>
      <c r="MZM161" s="3060"/>
      <c r="MZN161" s="3060"/>
      <c r="MZO161" s="3060"/>
      <c r="MZP161" s="3060"/>
      <c r="MZQ161" s="3060"/>
      <c r="MZR161" s="3060"/>
      <c r="MZS161" s="3060"/>
      <c r="MZT161" s="3060"/>
      <c r="MZU161" s="3060"/>
      <c r="MZV161" s="3060"/>
      <c r="MZW161" s="3060"/>
      <c r="MZX161" s="3060"/>
      <c r="MZY161" s="3060"/>
      <c r="MZZ161" s="3060"/>
      <c r="NAA161" s="3060"/>
      <c r="NAB161" s="3060"/>
      <c r="NAC161" s="3060"/>
      <c r="NAD161" s="3060"/>
      <c r="NAE161" s="3060"/>
      <c r="NAF161" s="3060"/>
      <c r="NAG161" s="3060"/>
      <c r="NAH161" s="3060"/>
      <c r="NAI161" s="3060"/>
      <c r="NAJ161" s="3060"/>
      <c r="NAK161" s="3060"/>
      <c r="NAL161" s="3060"/>
      <c r="NAM161" s="3060"/>
      <c r="NAN161" s="3060"/>
      <c r="NAO161" s="3060"/>
      <c r="NAP161" s="3060"/>
      <c r="NAQ161" s="3060"/>
      <c r="NAR161" s="3060"/>
      <c r="NAS161" s="3060"/>
      <c r="NAT161" s="3060"/>
      <c r="NAU161" s="3060"/>
      <c r="NAV161" s="3060"/>
      <c r="NAW161" s="3060"/>
      <c r="NAX161" s="3060"/>
      <c r="NAY161" s="3060"/>
      <c r="NAZ161" s="3060"/>
      <c r="NBA161" s="3060"/>
      <c r="NBB161" s="3060"/>
      <c r="NBC161" s="3060"/>
      <c r="NBD161" s="3060"/>
      <c r="NBE161" s="3060"/>
      <c r="NBF161" s="3060"/>
      <c r="NBG161" s="3060"/>
      <c r="NBH161" s="3060"/>
      <c r="NBI161" s="3060"/>
      <c r="NBJ161" s="3060"/>
      <c r="NBK161" s="3060"/>
      <c r="NBL161" s="3060"/>
      <c r="NBM161" s="3060"/>
      <c r="NBN161" s="3060"/>
      <c r="NBO161" s="3060"/>
      <c r="NBP161" s="3060"/>
      <c r="NBQ161" s="3060"/>
      <c r="NBR161" s="3060"/>
      <c r="NBS161" s="3060"/>
      <c r="NBT161" s="3060"/>
      <c r="NBU161" s="3060"/>
      <c r="NBV161" s="3060"/>
      <c r="NBW161" s="3060"/>
      <c r="NBX161" s="3060"/>
      <c r="NBY161" s="3060"/>
      <c r="NBZ161" s="3060"/>
      <c r="NCA161" s="3060"/>
      <c r="NCB161" s="3060"/>
      <c r="NCC161" s="3060"/>
      <c r="NCD161" s="3060"/>
      <c r="NCE161" s="3060"/>
      <c r="NCF161" s="3060"/>
      <c r="NCG161" s="3060"/>
      <c r="NCH161" s="3060"/>
      <c r="NCI161" s="3060"/>
      <c r="NCJ161" s="3060"/>
      <c r="NCK161" s="3060"/>
      <c r="NCL161" s="3060"/>
      <c r="NCM161" s="3060"/>
      <c r="NCN161" s="3060"/>
      <c r="NCO161" s="3060"/>
      <c r="NCP161" s="3060"/>
      <c r="NCQ161" s="3060"/>
      <c r="NCR161" s="3060"/>
      <c r="NCS161" s="3060"/>
      <c r="NCT161" s="3060"/>
      <c r="NCU161" s="3060"/>
      <c r="NCV161" s="3060"/>
      <c r="NCW161" s="3060"/>
      <c r="NCX161" s="3060"/>
      <c r="NCY161" s="3060"/>
      <c r="NCZ161" s="3060"/>
      <c r="NDA161" s="3060"/>
      <c r="NDB161" s="3060"/>
      <c r="NDC161" s="3060"/>
      <c r="NDD161" s="3060"/>
      <c r="NDE161" s="3060"/>
      <c r="NDF161" s="3060"/>
      <c r="NDG161" s="3060"/>
      <c r="NDH161" s="3060"/>
      <c r="NDI161" s="3060"/>
      <c r="NDJ161" s="3060"/>
      <c r="NDK161" s="3060"/>
      <c r="NDL161" s="3060"/>
      <c r="NDM161" s="3060"/>
      <c r="NDN161" s="3060"/>
      <c r="NDO161" s="3060"/>
      <c r="NDP161" s="3060"/>
      <c r="NDQ161" s="3060"/>
      <c r="NDR161" s="3060"/>
      <c r="NDS161" s="3060"/>
      <c r="NDT161" s="3060"/>
      <c r="NDU161" s="3060"/>
      <c r="NDV161" s="3060"/>
      <c r="NDW161" s="3060"/>
      <c r="NDX161" s="3060"/>
      <c r="NDY161" s="3060"/>
      <c r="NDZ161" s="3060"/>
      <c r="NEA161" s="3060"/>
      <c r="NEB161" s="3060"/>
      <c r="NEC161" s="3060"/>
      <c r="NED161" s="3060"/>
      <c r="NEE161" s="3060"/>
      <c r="NEF161" s="3060"/>
      <c r="NEG161" s="3060"/>
      <c r="NEH161" s="3060"/>
      <c r="NEI161" s="3060"/>
      <c r="NEJ161" s="3060"/>
      <c r="NEK161" s="3060"/>
      <c r="NEL161" s="3060"/>
      <c r="NEM161" s="3060"/>
      <c r="NEN161" s="3060"/>
      <c r="NEO161" s="3060"/>
      <c r="NEP161" s="3060"/>
      <c r="NEQ161" s="3060"/>
      <c r="NER161" s="3060"/>
      <c r="NES161" s="3060"/>
      <c r="NET161" s="3060"/>
      <c r="NEU161" s="3060"/>
      <c r="NEV161" s="3060"/>
      <c r="NEW161" s="3060"/>
      <c r="NEX161" s="3060"/>
      <c r="NEY161" s="3060"/>
      <c r="NEZ161" s="3060"/>
      <c r="NFA161" s="3060"/>
      <c r="NFB161" s="3060"/>
      <c r="NFC161" s="3060"/>
      <c r="NFD161" s="3060"/>
      <c r="NFE161" s="3060"/>
      <c r="NFF161" s="3060"/>
      <c r="NFG161" s="3060"/>
      <c r="NFH161" s="3060"/>
      <c r="NFI161" s="3060"/>
      <c r="NFJ161" s="3060"/>
      <c r="NFK161" s="3060"/>
      <c r="NFL161" s="3060"/>
      <c r="NFM161" s="3060"/>
      <c r="NFN161" s="3060"/>
      <c r="NFO161" s="3060"/>
      <c r="NFP161" s="3060"/>
      <c r="NFQ161" s="3060"/>
      <c r="NFR161" s="3060"/>
      <c r="NFS161" s="3060"/>
      <c r="NFT161" s="3060"/>
      <c r="NFU161" s="3060"/>
      <c r="NFV161" s="3060"/>
      <c r="NFW161" s="3060"/>
      <c r="NFX161" s="3060"/>
      <c r="NFY161" s="3060"/>
      <c r="NFZ161" s="3060"/>
      <c r="NGA161" s="3060"/>
      <c r="NGB161" s="3060"/>
      <c r="NGC161" s="3060"/>
      <c r="NGD161" s="3060"/>
      <c r="NGE161" s="3060"/>
      <c r="NGF161" s="3060"/>
      <c r="NGG161" s="3060"/>
      <c r="NGH161" s="3060"/>
      <c r="NGI161" s="3060"/>
      <c r="NGJ161" s="3060"/>
      <c r="NGK161" s="3060"/>
      <c r="NGL161" s="3060"/>
      <c r="NGM161" s="3060"/>
      <c r="NGN161" s="3060"/>
      <c r="NGO161" s="3060"/>
      <c r="NGP161" s="3060"/>
      <c r="NGQ161" s="3060"/>
      <c r="NGR161" s="3060"/>
      <c r="NGS161" s="3060"/>
      <c r="NGT161" s="3060"/>
      <c r="NGU161" s="3060"/>
      <c r="NGV161" s="3060"/>
      <c r="NGW161" s="3060"/>
      <c r="NGX161" s="3060"/>
      <c r="NGY161" s="3060"/>
      <c r="NGZ161" s="3060"/>
      <c r="NHA161" s="3060"/>
      <c r="NHB161" s="3060"/>
      <c r="NHC161" s="3060"/>
      <c r="NHD161" s="3060"/>
      <c r="NHE161" s="3060"/>
      <c r="NHF161" s="3060"/>
      <c r="NHG161" s="3060"/>
      <c r="NHH161" s="3060"/>
      <c r="NHI161" s="3060"/>
      <c r="NHJ161" s="3060"/>
      <c r="NHK161" s="3060"/>
      <c r="NHL161" s="3060"/>
      <c r="NHM161" s="3060"/>
      <c r="NHN161" s="3060"/>
      <c r="NHO161" s="3060"/>
      <c r="NHP161" s="3060"/>
      <c r="NHQ161" s="3060"/>
      <c r="NHR161" s="3060"/>
      <c r="NHS161" s="3060"/>
      <c r="NHT161" s="3060"/>
      <c r="NHU161" s="3060"/>
      <c r="NHV161" s="3060"/>
      <c r="NHW161" s="3060"/>
      <c r="NHX161" s="3060"/>
      <c r="NHY161" s="3060"/>
      <c r="NHZ161" s="3060"/>
      <c r="NIA161" s="3060"/>
      <c r="NIB161" s="3060"/>
      <c r="NIC161" s="3060"/>
      <c r="NID161" s="3060"/>
      <c r="NIE161" s="3060"/>
      <c r="NIF161" s="3060"/>
      <c r="NIG161" s="3060"/>
      <c r="NIH161" s="3060"/>
      <c r="NII161" s="3060"/>
      <c r="NIJ161" s="3060"/>
      <c r="NIK161" s="3060"/>
      <c r="NIL161" s="3060"/>
      <c r="NIM161" s="3060"/>
      <c r="NIN161" s="3060"/>
      <c r="NIO161" s="3060"/>
      <c r="NIP161" s="3060"/>
      <c r="NIQ161" s="3060"/>
      <c r="NIR161" s="3060"/>
      <c r="NIS161" s="3060"/>
      <c r="NIT161" s="3060"/>
      <c r="NIU161" s="3060"/>
      <c r="NIV161" s="3060"/>
      <c r="NIW161" s="3060"/>
      <c r="NIX161" s="3060"/>
      <c r="NIY161" s="3060"/>
      <c r="NIZ161" s="3060"/>
      <c r="NJA161" s="3060"/>
      <c r="NJB161" s="3060"/>
      <c r="NJC161" s="3060"/>
      <c r="NJD161" s="3060"/>
      <c r="NJE161" s="3060"/>
      <c r="NJF161" s="3060"/>
      <c r="NJG161" s="3060"/>
      <c r="NJH161" s="3060"/>
      <c r="NJI161" s="3060"/>
      <c r="NJJ161" s="3060"/>
      <c r="NJK161" s="3060"/>
      <c r="NJL161" s="3060"/>
      <c r="NJM161" s="3060"/>
      <c r="NJN161" s="3060"/>
      <c r="NJO161" s="3060"/>
      <c r="NJP161" s="3060"/>
      <c r="NJQ161" s="3060"/>
      <c r="NJR161" s="3060"/>
      <c r="NJS161" s="3060"/>
      <c r="NJT161" s="3060"/>
      <c r="NJU161" s="3060"/>
      <c r="NJV161" s="3060"/>
      <c r="NJW161" s="3060"/>
      <c r="NJX161" s="3060"/>
      <c r="NJY161" s="3060"/>
      <c r="NJZ161" s="3060"/>
      <c r="NKA161" s="3060"/>
      <c r="NKB161" s="3060"/>
      <c r="NKC161" s="3060"/>
      <c r="NKD161" s="3060"/>
      <c r="NKE161" s="3060"/>
      <c r="NKF161" s="3060"/>
      <c r="NKG161" s="3060"/>
      <c r="NKH161" s="3060"/>
      <c r="NKI161" s="3060"/>
      <c r="NKJ161" s="3060"/>
      <c r="NKK161" s="3060"/>
      <c r="NKL161" s="3060"/>
      <c r="NKM161" s="3060"/>
      <c r="NKN161" s="3060"/>
      <c r="NKO161" s="3060"/>
      <c r="NKP161" s="3060"/>
      <c r="NKQ161" s="3060"/>
      <c r="NKR161" s="3060"/>
      <c r="NKS161" s="3060"/>
      <c r="NKT161" s="3060"/>
      <c r="NKU161" s="3060"/>
      <c r="NKV161" s="3060"/>
      <c r="NKW161" s="3060"/>
      <c r="NKX161" s="3060"/>
      <c r="NKY161" s="3060"/>
      <c r="NKZ161" s="3060"/>
      <c r="NLA161" s="3060"/>
      <c r="NLB161" s="3060"/>
      <c r="NLC161" s="3060"/>
      <c r="NLD161" s="3060"/>
      <c r="NLE161" s="3060"/>
      <c r="NLF161" s="3060"/>
      <c r="NLG161" s="3060"/>
      <c r="NLH161" s="3060"/>
      <c r="NLI161" s="3060"/>
      <c r="NLJ161" s="3060"/>
      <c r="NLK161" s="3060"/>
      <c r="NLL161" s="3060"/>
      <c r="NLM161" s="3060"/>
      <c r="NLN161" s="3060"/>
      <c r="NLO161" s="3060"/>
      <c r="NLP161" s="3060"/>
      <c r="NLQ161" s="3060"/>
      <c r="NLR161" s="3060"/>
      <c r="NLS161" s="3060"/>
      <c r="NLT161" s="3060"/>
      <c r="NLU161" s="3060"/>
      <c r="NLV161" s="3060"/>
      <c r="NLW161" s="3060"/>
      <c r="NLX161" s="3060"/>
      <c r="NLY161" s="3060"/>
      <c r="NLZ161" s="3060"/>
      <c r="NMA161" s="3060"/>
      <c r="NMB161" s="3060"/>
      <c r="NMC161" s="3060"/>
      <c r="NMD161" s="3060"/>
      <c r="NME161" s="3060"/>
      <c r="NMF161" s="3060"/>
      <c r="NMG161" s="3060"/>
      <c r="NMH161" s="3060"/>
      <c r="NMI161" s="3060"/>
      <c r="NMJ161" s="3060"/>
      <c r="NMK161" s="3060"/>
      <c r="NML161" s="3060"/>
      <c r="NMM161" s="3060"/>
      <c r="NMN161" s="3060"/>
      <c r="NMO161" s="3060"/>
      <c r="NMP161" s="3060"/>
      <c r="NMQ161" s="3060"/>
      <c r="NMR161" s="3060"/>
      <c r="NMS161" s="3060"/>
      <c r="NMT161" s="3060"/>
      <c r="NMU161" s="3060"/>
      <c r="NMV161" s="3060"/>
      <c r="NMW161" s="3060"/>
      <c r="NMX161" s="3060"/>
      <c r="NMY161" s="3060"/>
      <c r="NMZ161" s="3060"/>
      <c r="NNA161" s="3060"/>
      <c r="NNB161" s="3060"/>
      <c r="NNC161" s="3060"/>
      <c r="NND161" s="3060"/>
      <c r="NNE161" s="3060"/>
      <c r="NNF161" s="3060"/>
      <c r="NNG161" s="3060"/>
      <c r="NNH161" s="3060"/>
      <c r="NNI161" s="3060"/>
      <c r="NNJ161" s="3060"/>
      <c r="NNK161" s="3060"/>
      <c r="NNL161" s="3060"/>
      <c r="NNM161" s="3060"/>
      <c r="NNN161" s="3060"/>
      <c r="NNO161" s="3060"/>
      <c r="NNP161" s="3060"/>
      <c r="NNQ161" s="3060"/>
      <c r="NNR161" s="3060"/>
      <c r="NNS161" s="3060"/>
      <c r="NNT161" s="3060"/>
      <c r="NNU161" s="3060"/>
      <c r="NNV161" s="3060"/>
      <c r="NNW161" s="3060"/>
      <c r="NNX161" s="3060"/>
      <c r="NNY161" s="3060"/>
      <c r="NNZ161" s="3060"/>
      <c r="NOA161" s="3060"/>
      <c r="NOB161" s="3060"/>
      <c r="NOC161" s="3060"/>
      <c r="NOD161" s="3060"/>
      <c r="NOE161" s="3060"/>
      <c r="NOF161" s="3060"/>
      <c r="NOG161" s="3060"/>
      <c r="NOH161" s="3060"/>
      <c r="NOI161" s="3060"/>
      <c r="NOJ161" s="3060"/>
      <c r="NOK161" s="3060"/>
      <c r="NOL161" s="3060"/>
      <c r="NOM161" s="3060"/>
      <c r="NON161" s="3060"/>
      <c r="NOO161" s="3060"/>
      <c r="NOP161" s="3060"/>
      <c r="NOQ161" s="3060"/>
      <c r="NOR161" s="3060"/>
      <c r="NOS161" s="3060"/>
      <c r="NOT161" s="3060"/>
      <c r="NOU161" s="3060"/>
      <c r="NOV161" s="3060"/>
      <c r="NOW161" s="3060"/>
      <c r="NOX161" s="3060"/>
      <c r="NOY161" s="3060"/>
      <c r="NOZ161" s="3060"/>
      <c r="NPA161" s="3060"/>
      <c r="NPB161" s="3060"/>
      <c r="NPC161" s="3060"/>
      <c r="NPD161" s="3060"/>
      <c r="NPE161" s="3060"/>
      <c r="NPF161" s="3060"/>
      <c r="NPG161" s="3060"/>
      <c r="NPH161" s="3060"/>
      <c r="NPI161" s="3060"/>
      <c r="NPJ161" s="3060"/>
      <c r="NPK161" s="3060"/>
      <c r="NPL161" s="3060"/>
      <c r="NPM161" s="3060"/>
      <c r="NPN161" s="3060"/>
      <c r="NPO161" s="3060"/>
      <c r="NPP161" s="3060"/>
      <c r="NPQ161" s="3060"/>
      <c r="NPR161" s="3060"/>
      <c r="NPS161" s="3060"/>
      <c r="NPT161" s="3060"/>
      <c r="NPU161" s="3060"/>
      <c r="NPV161" s="3060"/>
      <c r="NPW161" s="3060"/>
      <c r="NPX161" s="3060"/>
      <c r="NPY161" s="3060"/>
      <c r="NPZ161" s="3060"/>
      <c r="NQA161" s="3060"/>
      <c r="NQB161" s="3060"/>
      <c r="NQC161" s="3060"/>
      <c r="NQD161" s="3060"/>
      <c r="NQE161" s="3060"/>
      <c r="NQF161" s="3060"/>
      <c r="NQG161" s="3060"/>
      <c r="NQH161" s="3060"/>
      <c r="NQI161" s="3060"/>
      <c r="NQJ161" s="3060"/>
      <c r="NQK161" s="3060"/>
      <c r="NQL161" s="3060"/>
      <c r="NQM161" s="3060"/>
      <c r="NQN161" s="3060"/>
      <c r="NQO161" s="3060"/>
      <c r="NQP161" s="3060"/>
      <c r="NQQ161" s="3060"/>
      <c r="NQR161" s="3060"/>
      <c r="NQS161" s="3060"/>
      <c r="NQT161" s="3060"/>
      <c r="NQU161" s="3060"/>
      <c r="NQV161" s="3060"/>
      <c r="NQW161" s="3060"/>
      <c r="NQX161" s="3060"/>
      <c r="NQY161" s="3060"/>
      <c r="NQZ161" s="3060"/>
      <c r="NRA161" s="3060"/>
      <c r="NRB161" s="3060"/>
      <c r="NRC161" s="3060"/>
      <c r="NRD161" s="3060"/>
      <c r="NRE161" s="3060"/>
      <c r="NRF161" s="3060"/>
      <c r="NRG161" s="3060"/>
      <c r="NRH161" s="3060"/>
      <c r="NRI161" s="3060"/>
      <c r="NRJ161" s="3060"/>
      <c r="NRK161" s="3060"/>
      <c r="NRL161" s="3060"/>
      <c r="NRM161" s="3060"/>
      <c r="NRN161" s="3060"/>
      <c r="NRO161" s="3060"/>
      <c r="NRP161" s="3060"/>
      <c r="NRQ161" s="3060"/>
      <c r="NRR161" s="3060"/>
      <c r="NRS161" s="3060"/>
      <c r="NRT161" s="3060"/>
      <c r="NRU161" s="3060"/>
      <c r="NRV161" s="3060"/>
      <c r="NRW161" s="3060"/>
      <c r="NRX161" s="3060"/>
      <c r="NRY161" s="3060"/>
      <c r="NRZ161" s="3060"/>
      <c r="NSA161" s="3060"/>
      <c r="NSB161" s="3060"/>
      <c r="NSC161" s="3060"/>
      <c r="NSD161" s="3060"/>
      <c r="NSE161" s="3060"/>
      <c r="NSF161" s="3060"/>
      <c r="NSG161" s="3060"/>
      <c r="NSH161" s="3060"/>
      <c r="NSI161" s="3060"/>
      <c r="NSJ161" s="3060"/>
      <c r="NSK161" s="3060"/>
      <c r="NSL161" s="3060"/>
      <c r="NSM161" s="3060"/>
      <c r="NSN161" s="3060"/>
      <c r="NSO161" s="3060"/>
      <c r="NSP161" s="3060"/>
      <c r="NSQ161" s="3060"/>
      <c r="NSR161" s="3060"/>
      <c r="NSS161" s="3060"/>
      <c r="NST161" s="3060"/>
      <c r="NSU161" s="3060"/>
      <c r="NSV161" s="3060"/>
      <c r="NSW161" s="3060"/>
      <c r="NSX161" s="3060"/>
      <c r="NSY161" s="3060"/>
      <c r="NSZ161" s="3060"/>
      <c r="NTA161" s="3060"/>
      <c r="NTB161" s="3060"/>
      <c r="NTC161" s="3060"/>
      <c r="NTD161" s="3060"/>
      <c r="NTE161" s="3060"/>
      <c r="NTF161" s="3060"/>
      <c r="NTG161" s="3060"/>
      <c r="NTH161" s="3060"/>
      <c r="NTI161" s="3060"/>
      <c r="NTJ161" s="3060"/>
      <c r="NTK161" s="3060"/>
      <c r="NTL161" s="3060"/>
      <c r="NTM161" s="3060"/>
      <c r="NTN161" s="3060"/>
      <c r="NTO161" s="3060"/>
      <c r="NTP161" s="3060"/>
      <c r="NTQ161" s="3060"/>
      <c r="NTR161" s="3060"/>
      <c r="NTS161" s="3060"/>
      <c r="NTT161" s="3060"/>
      <c r="NTU161" s="3060"/>
      <c r="NTV161" s="3060"/>
      <c r="NTW161" s="3060"/>
      <c r="NTX161" s="3060"/>
      <c r="NTY161" s="3060"/>
      <c r="NTZ161" s="3060"/>
      <c r="NUA161" s="3060"/>
      <c r="NUB161" s="3060"/>
      <c r="NUC161" s="3060"/>
      <c r="NUD161" s="3060"/>
      <c r="NUE161" s="3060"/>
      <c r="NUF161" s="3060"/>
      <c r="NUG161" s="3060"/>
      <c r="NUH161" s="3060"/>
      <c r="NUI161" s="3060"/>
      <c r="NUJ161" s="3060"/>
      <c r="NUK161" s="3060"/>
      <c r="NUL161" s="3060"/>
      <c r="NUM161" s="3060"/>
      <c r="NUN161" s="3060"/>
      <c r="NUO161" s="3060"/>
      <c r="NUP161" s="3060"/>
      <c r="NUQ161" s="3060"/>
      <c r="NUR161" s="3060"/>
      <c r="NUS161" s="3060"/>
      <c r="NUT161" s="3060"/>
      <c r="NUU161" s="3060"/>
      <c r="NUV161" s="3060"/>
      <c r="NUW161" s="3060"/>
      <c r="NUX161" s="3060"/>
      <c r="NUY161" s="3060"/>
      <c r="NUZ161" s="3060"/>
      <c r="NVA161" s="3060"/>
      <c r="NVB161" s="3060"/>
      <c r="NVC161" s="3060"/>
      <c r="NVD161" s="3060"/>
      <c r="NVE161" s="3060"/>
      <c r="NVF161" s="3060"/>
      <c r="NVG161" s="3060"/>
      <c r="NVH161" s="3060"/>
      <c r="NVI161" s="3060"/>
      <c r="NVJ161" s="3060"/>
      <c r="NVK161" s="3060"/>
      <c r="NVL161" s="3060"/>
      <c r="NVM161" s="3060"/>
      <c r="NVN161" s="3060"/>
      <c r="NVO161" s="3060"/>
      <c r="NVP161" s="3060"/>
      <c r="NVQ161" s="3060"/>
      <c r="NVR161" s="3060"/>
      <c r="NVS161" s="3060"/>
      <c r="NVT161" s="3060"/>
      <c r="NVU161" s="3060"/>
      <c r="NVV161" s="3060"/>
      <c r="NVW161" s="3060"/>
      <c r="NVX161" s="3060"/>
      <c r="NVY161" s="3060"/>
      <c r="NVZ161" s="3060"/>
      <c r="NWA161" s="3060"/>
      <c r="NWB161" s="3060"/>
      <c r="NWC161" s="3060"/>
      <c r="NWD161" s="3060"/>
      <c r="NWE161" s="3060"/>
      <c r="NWF161" s="3060"/>
      <c r="NWG161" s="3060"/>
      <c r="NWH161" s="3060"/>
      <c r="NWI161" s="3060"/>
      <c r="NWJ161" s="3060"/>
      <c r="NWK161" s="3060"/>
      <c r="NWL161" s="3060"/>
      <c r="NWM161" s="3060"/>
      <c r="NWN161" s="3060"/>
      <c r="NWO161" s="3060"/>
      <c r="NWP161" s="3060"/>
      <c r="NWQ161" s="3060"/>
      <c r="NWR161" s="3060"/>
      <c r="NWS161" s="3060"/>
      <c r="NWT161" s="3060"/>
      <c r="NWU161" s="3060"/>
      <c r="NWV161" s="3060"/>
      <c r="NWW161" s="3060"/>
      <c r="NWX161" s="3060"/>
      <c r="NWY161" s="3060"/>
      <c r="NWZ161" s="3060"/>
      <c r="NXA161" s="3060"/>
      <c r="NXB161" s="3060"/>
      <c r="NXC161" s="3060"/>
      <c r="NXD161" s="3060"/>
      <c r="NXE161" s="3060"/>
      <c r="NXF161" s="3060"/>
      <c r="NXG161" s="3060"/>
      <c r="NXH161" s="3060"/>
      <c r="NXI161" s="3060"/>
      <c r="NXJ161" s="3060"/>
      <c r="NXK161" s="3060"/>
      <c r="NXL161" s="3060"/>
      <c r="NXM161" s="3060"/>
      <c r="NXN161" s="3060"/>
      <c r="NXO161" s="3060"/>
      <c r="NXP161" s="3060"/>
      <c r="NXQ161" s="3060"/>
      <c r="NXR161" s="3060"/>
      <c r="NXS161" s="3060"/>
      <c r="NXT161" s="3060"/>
      <c r="NXU161" s="3060"/>
      <c r="NXV161" s="3060"/>
      <c r="NXW161" s="3060"/>
      <c r="NXX161" s="3060"/>
      <c r="NXY161" s="3060"/>
      <c r="NXZ161" s="3060"/>
      <c r="NYA161" s="3060"/>
      <c r="NYB161" s="3060"/>
      <c r="NYC161" s="3060"/>
      <c r="NYD161" s="3060"/>
      <c r="NYE161" s="3060"/>
      <c r="NYF161" s="3060"/>
      <c r="NYG161" s="3060"/>
      <c r="NYH161" s="3060"/>
      <c r="NYI161" s="3060"/>
      <c r="NYJ161" s="3060"/>
      <c r="NYK161" s="3060"/>
      <c r="NYL161" s="3060"/>
      <c r="NYM161" s="3060"/>
      <c r="NYN161" s="3060"/>
      <c r="NYO161" s="3060"/>
      <c r="NYP161" s="3060"/>
      <c r="NYQ161" s="3060"/>
      <c r="NYR161" s="3060"/>
      <c r="NYS161" s="3060"/>
      <c r="NYT161" s="3060"/>
      <c r="NYU161" s="3060"/>
      <c r="NYV161" s="3060"/>
      <c r="NYW161" s="3060"/>
      <c r="NYX161" s="3060"/>
      <c r="NYY161" s="3060"/>
      <c r="NYZ161" s="3060"/>
      <c r="NZA161" s="3060"/>
      <c r="NZB161" s="3060"/>
      <c r="NZC161" s="3060"/>
      <c r="NZD161" s="3060"/>
      <c r="NZE161" s="3060"/>
      <c r="NZF161" s="3060"/>
      <c r="NZG161" s="3060"/>
      <c r="NZH161" s="3060"/>
      <c r="NZI161" s="3060"/>
      <c r="NZJ161" s="3060"/>
      <c r="NZK161" s="3060"/>
      <c r="NZL161" s="3060"/>
      <c r="NZM161" s="3060"/>
      <c r="NZN161" s="3060"/>
      <c r="NZO161" s="3060"/>
      <c r="NZP161" s="3060"/>
      <c r="NZQ161" s="3060"/>
      <c r="NZR161" s="3060"/>
      <c r="NZS161" s="3060"/>
      <c r="NZT161" s="3060"/>
      <c r="NZU161" s="3060"/>
      <c r="NZV161" s="3060"/>
      <c r="NZW161" s="3060"/>
      <c r="NZX161" s="3060"/>
      <c r="NZY161" s="3060"/>
      <c r="NZZ161" s="3060"/>
      <c r="OAA161" s="3060"/>
      <c r="OAB161" s="3060"/>
      <c r="OAC161" s="3060"/>
      <c r="OAD161" s="3060"/>
      <c r="OAE161" s="3060"/>
      <c r="OAF161" s="3060"/>
      <c r="OAG161" s="3060"/>
      <c r="OAH161" s="3060"/>
      <c r="OAI161" s="3060"/>
      <c r="OAJ161" s="3060"/>
      <c r="OAK161" s="3060"/>
      <c r="OAL161" s="3060"/>
      <c r="OAM161" s="3060"/>
      <c r="OAN161" s="3060"/>
      <c r="OAO161" s="3060"/>
      <c r="OAP161" s="3060"/>
      <c r="OAQ161" s="3060"/>
      <c r="OAR161" s="3060"/>
      <c r="OAS161" s="3060"/>
      <c r="OAT161" s="3060"/>
      <c r="OAU161" s="3060"/>
      <c r="OAV161" s="3060"/>
      <c r="OAW161" s="3060"/>
      <c r="OAX161" s="3060"/>
      <c r="OAY161" s="3060"/>
      <c r="OAZ161" s="3060"/>
      <c r="OBA161" s="3060"/>
      <c r="OBB161" s="3060"/>
      <c r="OBC161" s="3060"/>
      <c r="OBD161" s="3060"/>
      <c r="OBE161" s="3060"/>
      <c r="OBF161" s="3060"/>
      <c r="OBG161" s="3060"/>
      <c r="OBH161" s="3060"/>
      <c r="OBI161" s="3060"/>
      <c r="OBJ161" s="3060"/>
      <c r="OBK161" s="3060"/>
      <c r="OBL161" s="3060"/>
      <c r="OBM161" s="3060"/>
      <c r="OBN161" s="3060"/>
      <c r="OBO161" s="3060"/>
      <c r="OBP161" s="3060"/>
      <c r="OBQ161" s="3060"/>
      <c r="OBR161" s="3060"/>
      <c r="OBS161" s="3060"/>
      <c r="OBT161" s="3060"/>
      <c r="OBU161" s="3060"/>
      <c r="OBV161" s="3060"/>
      <c r="OBW161" s="3060"/>
      <c r="OBX161" s="3060"/>
      <c r="OBY161" s="3060"/>
      <c r="OBZ161" s="3060"/>
      <c r="OCA161" s="3060"/>
      <c r="OCB161" s="3060"/>
      <c r="OCC161" s="3060"/>
      <c r="OCD161" s="3060"/>
      <c r="OCE161" s="3060"/>
      <c r="OCF161" s="3060"/>
      <c r="OCG161" s="3060"/>
      <c r="OCH161" s="3060"/>
      <c r="OCI161" s="3060"/>
      <c r="OCJ161" s="3060"/>
      <c r="OCK161" s="3060"/>
      <c r="OCL161" s="3060"/>
      <c r="OCM161" s="3060"/>
      <c r="OCN161" s="3060"/>
      <c r="OCO161" s="3060"/>
      <c r="OCP161" s="3060"/>
      <c r="OCQ161" s="3060"/>
      <c r="OCR161" s="3060"/>
      <c r="OCS161" s="3060"/>
      <c r="OCT161" s="3060"/>
      <c r="OCU161" s="3060"/>
      <c r="OCV161" s="3060"/>
      <c r="OCW161" s="3060"/>
      <c r="OCX161" s="3060"/>
      <c r="OCY161" s="3060"/>
      <c r="OCZ161" s="3060"/>
      <c r="ODA161" s="3060"/>
      <c r="ODB161" s="3060"/>
      <c r="ODC161" s="3060"/>
      <c r="ODD161" s="3060"/>
      <c r="ODE161" s="3060"/>
      <c r="ODF161" s="3060"/>
      <c r="ODG161" s="3060"/>
      <c r="ODH161" s="3060"/>
      <c r="ODI161" s="3060"/>
      <c r="ODJ161" s="3060"/>
      <c r="ODK161" s="3060"/>
      <c r="ODL161" s="3060"/>
      <c r="ODM161" s="3060"/>
      <c r="ODN161" s="3060"/>
      <c r="ODO161" s="3060"/>
      <c r="ODP161" s="3060"/>
      <c r="ODQ161" s="3060"/>
      <c r="ODR161" s="3060"/>
      <c r="ODS161" s="3060"/>
      <c r="ODT161" s="3060"/>
      <c r="ODU161" s="3060"/>
      <c r="ODV161" s="3060"/>
      <c r="ODW161" s="3060"/>
      <c r="ODX161" s="3060"/>
      <c r="ODY161" s="3060"/>
      <c r="ODZ161" s="3060"/>
      <c r="OEA161" s="3060"/>
      <c r="OEB161" s="3060"/>
      <c r="OEC161" s="3060"/>
      <c r="OED161" s="3060"/>
      <c r="OEE161" s="3060"/>
      <c r="OEF161" s="3060"/>
      <c r="OEG161" s="3060"/>
      <c r="OEH161" s="3060"/>
      <c r="OEI161" s="3060"/>
      <c r="OEJ161" s="3060"/>
      <c r="OEK161" s="3060"/>
      <c r="OEL161" s="3060"/>
      <c r="OEM161" s="3060"/>
      <c r="OEN161" s="3060"/>
      <c r="OEO161" s="3060"/>
      <c r="OEP161" s="3060"/>
      <c r="OEQ161" s="3060"/>
      <c r="OER161" s="3060"/>
      <c r="OES161" s="3060"/>
      <c r="OET161" s="3060"/>
      <c r="OEU161" s="3060"/>
      <c r="OEV161" s="3060"/>
      <c r="OEW161" s="3060"/>
      <c r="OEX161" s="3060"/>
      <c r="OEY161" s="3060"/>
      <c r="OEZ161" s="3060"/>
      <c r="OFA161" s="3060"/>
      <c r="OFB161" s="3060"/>
      <c r="OFC161" s="3060"/>
      <c r="OFD161" s="3060"/>
      <c r="OFE161" s="3060"/>
      <c r="OFF161" s="3060"/>
      <c r="OFG161" s="3060"/>
      <c r="OFH161" s="3060"/>
      <c r="OFI161" s="3060"/>
      <c r="OFJ161" s="3060"/>
      <c r="OFK161" s="3060"/>
      <c r="OFL161" s="3060"/>
      <c r="OFM161" s="3060"/>
      <c r="OFN161" s="3060"/>
      <c r="OFO161" s="3060"/>
      <c r="OFP161" s="3060"/>
      <c r="OFQ161" s="3060"/>
      <c r="OFR161" s="3060"/>
      <c r="OFS161" s="3060"/>
      <c r="OFT161" s="3060"/>
      <c r="OFU161" s="3060"/>
      <c r="OFV161" s="3060"/>
      <c r="OFW161" s="3060"/>
      <c r="OFX161" s="3060"/>
      <c r="OFY161" s="3060"/>
      <c r="OFZ161" s="3060"/>
      <c r="OGA161" s="3060"/>
      <c r="OGB161" s="3060"/>
      <c r="OGC161" s="3060"/>
      <c r="OGD161" s="3060"/>
      <c r="OGE161" s="3060"/>
      <c r="OGF161" s="3060"/>
      <c r="OGG161" s="3060"/>
      <c r="OGH161" s="3060"/>
      <c r="OGI161" s="3060"/>
      <c r="OGJ161" s="3060"/>
      <c r="OGK161" s="3060"/>
      <c r="OGL161" s="3060"/>
      <c r="OGM161" s="3060"/>
      <c r="OGN161" s="3060"/>
      <c r="OGO161" s="3060"/>
      <c r="OGP161" s="3060"/>
      <c r="OGQ161" s="3060"/>
      <c r="OGR161" s="3060"/>
      <c r="OGS161" s="3060"/>
      <c r="OGT161" s="3060"/>
      <c r="OGU161" s="3060"/>
      <c r="OGV161" s="3060"/>
      <c r="OGW161" s="3060"/>
      <c r="OGX161" s="3060"/>
      <c r="OGY161" s="3060"/>
      <c r="OGZ161" s="3060"/>
      <c r="OHA161" s="3060"/>
      <c r="OHB161" s="3060"/>
      <c r="OHC161" s="3060"/>
      <c r="OHD161" s="3060"/>
      <c r="OHE161" s="3060"/>
      <c r="OHF161" s="3060"/>
      <c r="OHG161" s="3060"/>
      <c r="OHH161" s="3060"/>
      <c r="OHI161" s="3060"/>
      <c r="OHJ161" s="3060"/>
      <c r="OHK161" s="3060"/>
      <c r="OHL161" s="3060"/>
      <c r="OHM161" s="3060"/>
      <c r="OHN161" s="3060"/>
      <c r="OHO161" s="3060"/>
      <c r="OHP161" s="3060"/>
      <c r="OHQ161" s="3060"/>
      <c r="OHR161" s="3060"/>
      <c r="OHS161" s="3060"/>
      <c r="OHT161" s="3060"/>
      <c r="OHU161" s="3060"/>
      <c r="OHV161" s="3060"/>
      <c r="OHW161" s="3060"/>
      <c r="OHX161" s="3060"/>
      <c r="OHY161" s="3060"/>
      <c r="OHZ161" s="3060"/>
      <c r="OIA161" s="3060"/>
      <c r="OIB161" s="3060"/>
      <c r="OIC161" s="3060"/>
      <c r="OID161" s="3060"/>
      <c r="OIE161" s="3060"/>
      <c r="OIF161" s="3060"/>
      <c r="OIG161" s="3060"/>
      <c r="OIH161" s="3060"/>
      <c r="OII161" s="3060"/>
      <c r="OIJ161" s="3060"/>
      <c r="OIK161" s="3060"/>
      <c r="OIL161" s="3060"/>
      <c r="OIM161" s="3060"/>
      <c r="OIN161" s="3060"/>
      <c r="OIO161" s="3060"/>
      <c r="OIP161" s="3060"/>
      <c r="OIQ161" s="3060"/>
      <c r="OIR161" s="3060"/>
      <c r="OIS161" s="3060"/>
      <c r="OIT161" s="3060"/>
      <c r="OIU161" s="3060"/>
      <c r="OIV161" s="3060"/>
      <c r="OIW161" s="3060"/>
      <c r="OIX161" s="3060"/>
      <c r="OIY161" s="3060"/>
      <c r="OIZ161" s="3060"/>
      <c r="OJA161" s="3060"/>
      <c r="OJB161" s="3060"/>
      <c r="OJC161" s="3060"/>
      <c r="OJD161" s="3060"/>
      <c r="OJE161" s="3060"/>
      <c r="OJF161" s="3060"/>
      <c r="OJG161" s="3060"/>
      <c r="OJH161" s="3060"/>
      <c r="OJI161" s="3060"/>
      <c r="OJJ161" s="3060"/>
      <c r="OJK161" s="3060"/>
      <c r="OJL161" s="3060"/>
      <c r="OJM161" s="3060"/>
      <c r="OJN161" s="3060"/>
      <c r="OJO161" s="3060"/>
      <c r="OJP161" s="3060"/>
      <c r="OJQ161" s="3060"/>
      <c r="OJR161" s="3060"/>
      <c r="OJS161" s="3060"/>
      <c r="OJT161" s="3060"/>
      <c r="OJU161" s="3060"/>
      <c r="OJV161" s="3060"/>
      <c r="OJW161" s="3060"/>
      <c r="OJX161" s="3060"/>
      <c r="OJY161" s="3060"/>
      <c r="OJZ161" s="3060"/>
      <c r="OKA161" s="3060"/>
      <c r="OKB161" s="3060"/>
      <c r="OKC161" s="3060"/>
      <c r="OKD161" s="3060"/>
      <c r="OKE161" s="3060"/>
      <c r="OKF161" s="3060"/>
      <c r="OKG161" s="3060"/>
      <c r="OKH161" s="3060"/>
      <c r="OKI161" s="3060"/>
      <c r="OKJ161" s="3060"/>
      <c r="OKK161" s="3060"/>
      <c r="OKL161" s="3060"/>
      <c r="OKM161" s="3060"/>
      <c r="OKN161" s="3060"/>
      <c r="OKO161" s="3060"/>
      <c r="OKP161" s="3060"/>
      <c r="OKQ161" s="3060"/>
      <c r="OKR161" s="3060"/>
      <c r="OKS161" s="3060"/>
      <c r="OKT161" s="3060"/>
      <c r="OKU161" s="3060"/>
      <c r="OKV161" s="3060"/>
      <c r="OKW161" s="3060"/>
      <c r="OKX161" s="3060"/>
      <c r="OKY161" s="3060"/>
      <c r="OKZ161" s="3060"/>
      <c r="OLA161" s="3060"/>
      <c r="OLB161" s="3060"/>
      <c r="OLC161" s="3060"/>
      <c r="OLD161" s="3060"/>
      <c r="OLE161" s="3060"/>
      <c r="OLF161" s="3060"/>
      <c r="OLG161" s="3060"/>
      <c r="OLH161" s="3060"/>
      <c r="OLI161" s="3060"/>
      <c r="OLJ161" s="3060"/>
      <c r="OLK161" s="3060"/>
      <c r="OLL161" s="3060"/>
      <c r="OLM161" s="3060"/>
      <c r="OLN161" s="3060"/>
      <c r="OLO161" s="3060"/>
      <c r="OLP161" s="3060"/>
      <c r="OLQ161" s="3060"/>
      <c r="OLR161" s="3060"/>
      <c r="OLS161" s="3060"/>
      <c r="OLT161" s="3060"/>
      <c r="OLU161" s="3060"/>
      <c r="OLV161" s="3060"/>
      <c r="OLW161" s="3060"/>
      <c r="OLX161" s="3060"/>
      <c r="OLY161" s="3060"/>
      <c r="OLZ161" s="3060"/>
      <c r="OMA161" s="3060"/>
      <c r="OMB161" s="3060"/>
      <c r="OMC161" s="3060"/>
      <c r="OMD161" s="3060"/>
      <c r="OME161" s="3060"/>
      <c r="OMF161" s="3060"/>
      <c r="OMG161" s="3060"/>
      <c r="OMH161" s="3060"/>
      <c r="OMI161" s="3060"/>
      <c r="OMJ161" s="3060"/>
      <c r="OMK161" s="3060"/>
      <c r="OML161" s="3060"/>
      <c r="OMM161" s="3060"/>
      <c r="OMN161" s="3060"/>
      <c r="OMO161" s="3060"/>
      <c r="OMP161" s="3060"/>
      <c r="OMQ161" s="3060"/>
      <c r="OMR161" s="3060"/>
      <c r="OMS161" s="3060"/>
      <c r="OMT161" s="3060"/>
      <c r="OMU161" s="3060"/>
      <c r="OMV161" s="3060"/>
      <c r="OMW161" s="3060"/>
      <c r="OMX161" s="3060"/>
      <c r="OMY161" s="3060"/>
      <c r="OMZ161" s="3060"/>
      <c r="ONA161" s="3060"/>
      <c r="ONB161" s="3060"/>
      <c r="ONC161" s="3060"/>
      <c r="OND161" s="3060"/>
      <c r="ONE161" s="3060"/>
      <c r="ONF161" s="3060"/>
      <c r="ONG161" s="3060"/>
      <c r="ONH161" s="3060"/>
      <c r="ONI161" s="3060"/>
      <c r="ONJ161" s="3060"/>
      <c r="ONK161" s="3060"/>
      <c r="ONL161" s="3060"/>
      <c r="ONM161" s="3060"/>
      <c r="ONN161" s="3060"/>
      <c r="ONO161" s="3060"/>
      <c r="ONP161" s="3060"/>
      <c r="ONQ161" s="3060"/>
      <c r="ONR161" s="3060"/>
      <c r="ONS161" s="3060"/>
      <c r="ONT161" s="3060"/>
      <c r="ONU161" s="3060"/>
      <c r="ONV161" s="3060"/>
      <c r="ONW161" s="3060"/>
      <c r="ONX161" s="3060"/>
      <c r="ONY161" s="3060"/>
      <c r="ONZ161" s="3060"/>
      <c r="OOA161" s="3060"/>
      <c r="OOB161" s="3060"/>
      <c r="OOC161" s="3060"/>
      <c r="OOD161" s="3060"/>
      <c r="OOE161" s="3060"/>
      <c r="OOF161" s="3060"/>
      <c r="OOG161" s="3060"/>
      <c r="OOH161" s="3060"/>
      <c r="OOI161" s="3060"/>
      <c r="OOJ161" s="3060"/>
      <c r="OOK161" s="3060"/>
      <c r="OOL161" s="3060"/>
      <c r="OOM161" s="3060"/>
      <c r="OON161" s="3060"/>
      <c r="OOO161" s="3060"/>
      <c r="OOP161" s="3060"/>
      <c r="OOQ161" s="3060"/>
      <c r="OOR161" s="3060"/>
      <c r="OOS161" s="3060"/>
      <c r="OOT161" s="3060"/>
      <c r="OOU161" s="3060"/>
      <c r="OOV161" s="3060"/>
      <c r="OOW161" s="3060"/>
      <c r="OOX161" s="3060"/>
      <c r="OOY161" s="3060"/>
      <c r="OOZ161" s="3060"/>
      <c r="OPA161" s="3060"/>
      <c r="OPB161" s="3060"/>
      <c r="OPC161" s="3060"/>
      <c r="OPD161" s="3060"/>
      <c r="OPE161" s="3060"/>
      <c r="OPF161" s="3060"/>
      <c r="OPG161" s="3060"/>
      <c r="OPH161" s="3060"/>
      <c r="OPI161" s="3060"/>
      <c r="OPJ161" s="3060"/>
      <c r="OPK161" s="3060"/>
      <c r="OPL161" s="3060"/>
      <c r="OPM161" s="3060"/>
      <c r="OPN161" s="3060"/>
      <c r="OPO161" s="3060"/>
      <c r="OPP161" s="3060"/>
      <c r="OPQ161" s="3060"/>
      <c r="OPR161" s="3060"/>
      <c r="OPS161" s="3060"/>
      <c r="OPT161" s="3060"/>
      <c r="OPU161" s="3060"/>
      <c r="OPV161" s="3060"/>
      <c r="OPW161" s="3060"/>
      <c r="OPX161" s="3060"/>
      <c r="OPY161" s="3060"/>
      <c r="OPZ161" s="3060"/>
      <c r="OQA161" s="3060"/>
      <c r="OQB161" s="3060"/>
      <c r="OQC161" s="3060"/>
      <c r="OQD161" s="3060"/>
      <c r="OQE161" s="3060"/>
      <c r="OQF161" s="3060"/>
      <c r="OQG161" s="3060"/>
      <c r="OQH161" s="3060"/>
      <c r="OQI161" s="3060"/>
      <c r="OQJ161" s="3060"/>
      <c r="OQK161" s="3060"/>
      <c r="OQL161" s="3060"/>
      <c r="OQM161" s="3060"/>
      <c r="OQN161" s="3060"/>
      <c r="OQO161" s="3060"/>
      <c r="OQP161" s="3060"/>
      <c r="OQQ161" s="3060"/>
      <c r="OQR161" s="3060"/>
      <c r="OQS161" s="3060"/>
      <c r="OQT161" s="3060"/>
      <c r="OQU161" s="3060"/>
      <c r="OQV161" s="3060"/>
      <c r="OQW161" s="3060"/>
      <c r="OQX161" s="3060"/>
      <c r="OQY161" s="3060"/>
      <c r="OQZ161" s="3060"/>
      <c r="ORA161" s="3060"/>
      <c r="ORB161" s="3060"/>
      <c r="ORC161" s="3060"/>
      <c r="ORD161" s="3060"/>
      <c r="ORE161" s="3060"/>
      <c r="ORF161" s="3060"/>
      <c r="ORG161" s="3060"/>
      <c r="ORH161" s="3060"/>
      <c r="ORI161" s="3060"/>
      <c r="ORJ161" s="3060"/>
      <c r="ORK161" s="3060"/>
      <c r="ORL161" s="3060"/>
      <c r="ORM161" s="3060"/>
      <c r="ORN161" s="3060"/>
      <c r="ORO161" s="3060"/>
      <c r="ORP161" s="3060"/>
      <c r="ORQ161" s="3060"/>
      <c r="ORR161" s="3060"/>
      <c r="ORS161" s="3060"/>
      <c r="ORT161" s="3060"/>
      <c r="ORU161" s="3060"/>
      <c r="ORV161" s="3060"/>
      <c r="ORW161" s="3060"/>
      <c r="ORX161" s="3060"/>
      <c r="ORY161" s="3060"/>
      <c r="ORZ161" s="3060"/>
      <c r="OSA161" s="3060"/>
      <c r="OSB161" s="3060"/>
      <c r="OSC161" s="3060"/>
      <c r="OSD161" s="3060"/>
      <c r="OSE161" s="3060"/>
      <c r="OSF161" s="3060"/>
      <c r="OSG161" s="3060"/>
      <c r="OSH161" s="3060"/>
      <c r="OSI161" s="3060"/>
      <c r="OSJ161" s="3060"/>
      <c r="OSK161" s="3060"/>
      <c r="OSL161" s="3060"/>
      <c r="OSM161" s="3060"/>
      <c r="OSN161" s="3060"/>
      <c r="OSO161" s="3060"/>
      <c r="OSP161" s="3060"/>
      <c r="OSQ161" s="3060"/>
      <c r="OSR161" s="3060"/>
      <c r="OSS161" s="3060"/>
      <c r="OST161" s="3060"/>
      <c r="OSU161" s="3060"/>
      <c r="OSV161" s="3060"/>
      <c r="OSW161" s="3060"/>
      <c r="OSX161" s="3060"/>
      <c r="OSY161" s="3060"/>
      <c r="OSZ161" s="3060"/>
      <c r="OTA161" s="3060"/>
      <c r="OTB161" s="3060"/>
      <c r="OTC161" s="3060"/>
      <c r="OTD161" s="3060"/>
      <c r="OTE161" s="3060"/>
      <c r="OTF161" s="3060"/>
      <c r="OTG161" s="3060"/>
      <c r="OTH161" s="3060"/>
      <c r="OTI161" s="3060"/>
      <c r="OTJ161" s="3060"/>
      <c r="OTK161" s="3060"/>
      <c r="OTL161" s="3060"/>
      <c r="OTM161" s="3060"/>
      <c r="OTN161" s="3060"/>
      <c r="OTO161" s="3060"/>
      <c r="OTP161" s="3060"/>
      <c r="OTQ161" s="3060"/>
      <c r="OTR161" s="3060"/>
      <c r="OTS161" s="3060"/>
      <c r="OTT161" s="3060"/>
      <c r="OTU161" s="3060"/>
      <c r="OTV161" s="3060"/>
      <c r="OTW161" s="3060"/>
      <c r="OTX161" s="3060"/>
      <c r="OTY161" s="3060"/>
      <c r="OTZ161" s="3060"/>
      <c r="OUA161" s="3060"/>
      <c r="OUB161" s="3060"/>
      <c r="OUC161" s="3060"/>
      <c r="OUD161" s="3060"/>
      <c r="OUE161" s="3060"/>
      <c r="OUF161" s="3060"/>
      <c r="OUG161" s="3060"/>
      <c r="OUH161" s="3060"/>
      <c r="OUI161" s="3060"/>
      <c r="OUJ161" s="3060"/>
      <c r="OUK161" s="3060"/>
      <c r="OUL161" s="3060"/>
      <c r="OUM161" s="3060"/>
      <c r="OUN161" s="3060"/>
      <c r="OUO161" s="3060"/>
      <c r="OUP161" s="3060"/>
      <c r="OUQ161" s="3060"/>
      <c r="OUR161" s="3060"/>
      <c r="OUS161" s="3060"/>
      <c r="OUT161" s="3060"/>
      <c r="OUU161" s="3060"/>
      <c r="OUV161" s="3060"/>
      <c r="OUW161" s="3060"/>
      <c r="OUX161" s="3060"/>
      <c r="OUY161" s="3060"/>
      <c r="OUZ161" s="3060"/>
      <c r="OVA161" s="3060"/>
      <c r="OVB161" s="3060"/>
      <c r="OVC161" s="3060"/>
      <c r="OVD161" s="3060"/>
      <c r="OVE161" s="3060"/>
      <c r="OVF161" s="3060"/>
      <c r="OVG161" s="3060"/>
      <c r="OVH161" s="3060"/>
      <c r="OVI161" s="3060"/>
      <c r="OVJ161" s="3060"/>
      <c r="OVK161" s="3060"/>
      <c r="OVL161" s="3060"/>
      <c r="OVM161" s="3060"/>
      <c r="OVN161" s="3060"/>
      <c r="OVO161" s="3060"/>
      <c r="OVP161" s="3060"/>
      <c r="OVQ161" s="3060"/>
      <c r="OVR161" s="3060"/>
      <c r="OVS161" s="3060"/>
      <c r="OVT161" s="3060"/>
      <c r="OVU161" s="3060"/>
      <c r="OVV161" s="3060"/>
      <c r="OVW161" s="3060"/>
      <c r="OVX161" s="3060"/>
      <c r="OVY161" s="3060"/>
      <c r="OVZ161" s="3060"/>
      <c r="OWA161" s="3060"/>
      <c r="OWB161" s="3060"/>
      <c r="OWC161" s="3060"/>
      <c r="OWD161" s="3060"/>
      <c r="OWE161" s="3060"/>
      <c r="OWF161" s="3060"/>
      <c r="OWG161" s="3060"/>
      <c r="OWH161" s="3060"/>
      <c r="OWI161" s="3060"/>
      <c r="OWJ161" s="3060"/>
      <c r="OWK161" s="3060"/>
      <c r="OWL161" s="3060"/>
      <c r="OWM161" s="3060"/>
      <c r="OWN161" s="3060"/>
      <c r="OWO161" s="3060"/>
      <c r="OWP161" s="3060"/>
      <c r="OWQ161" s="3060"/>
      <c r="OWR161" s="3060"/>
      <c r="OWS161" s="3060"/>
      <c r="OWT161" s="3060"/>
      <c r="OWU161" s="3060"/>
      <c r="OWV161" s="3060"/>
      <c r="OWW161" s="3060"/>
      <c r="OWX161" s="3060"/>
      <c r="OWY161" s="3060"/>
      <c r="OWZ161" s="3060"/>
      <c r="OXA161" s="3060"/>
      <c r="OXB161" s="3060"/>
      <c r="OXC161" s="3060"/>
      <c r="OXD161" s="3060"/>
      <c r="OXE161" s="3060"/>
      <c r="OXF161" s="3060"/>
      <c r="OXG161" s="3060"/>
      <c r="OXH161" s="3060"/>
      <c r="OXI161" s="3060"/>
      <c r="OXJ161" s="3060"/>
      <c r="OXK161" s="3060"/>
      <c r="OXL161" s="3060"/>
      <c r="OXM161" s="3060"/>
      <c r="OXN161" s="3060"/>
      <c r="OXO161" s="3060"/>
      <c r="OXP161" s="3060"/>
      <c r="OXQ161" s="3060"/>
      <c r="OXR161" s="3060"/>
      <c r="OXS161" s="3060"/>
      <c r="OXT161" s="3060"/>
      <c r="OXU161" s="3060"/>
      <c r="OXV161" s="3060"/>
      <c r="OXW161" s="3060"/>
      <c r="OXX161" s="3060"/>
      <c r="OXY161" s="3060"/>
      <c r="OXZ161" s="3060"/>
      <c r="OYA161" s="3060"/>
      <c r="OYB161" s="3060"/>
      <c r="OYC161" s="3060"/>
      <c r="OYD161" s="3060"/>
      <c r="OYE161" s="3060"/>
      <c r="OYF161" s="3060"/>
      <c r="OYG161" s="3060"/>
      <c r="OYH161" s="3060"/>
      <c r="OYI161" s="3060"/>
      <c r="OYJ161" s="3060"/>
      <c r="OYK161" s="3060"/>
      <c r="OYL161" s="3060"/>
      <c r="OYM161" s="3060"/>
      <c r="OYN161" s="3060"/>
      <c r="OYO161" s="3060"/>
      <c r="OYP161" s="3060"/>
      <c r="OYQ161" s="3060"/>
      <c r="OYR161" s="3060"/>
      <c r="OYS161" s="3060"/>
      <c r="OYT161" s="3060"/>
      <c r="OYU161" s="3060"/>
      <c r="OYV161" s="3060"/>
      <c r="OYW161" s="3060"/>
      <c r="OYX161" s="3060"/>
      <c r="OYY161" s="3060"/>
      <c r="OYZ161" s="3060"/>
      <c r="OZA161" s="3060"/>
      <c r="OZB161" s="3060"/>
      <c r="OZC161" s="3060"/>
      <c r="OZD161" s="3060"/>
      <c r="OZE161" s="3060"/>
      <c r="OZF161" s="3060"/>
      <c r="OZG161" s="3060"/>
      <c r="OZH161" s="3060"/>
      <c r="OZI161" s="3060"/>
      <c r="OZJ161" s="3060"/>
      <c r="OZK161" s="3060"/>
      <c r="OZL161" s="3060"/>
      <c r="OZM161" s="3060"/>
      <c r="OZN161" s="3060"/>
      <c r="OZO161" s="3060"/>
      <c r="OZP161" s="3060"/>
      <c r="OZQ161" s="3060"/>
      <c r="OZR161" s="3060"/>
      <c r="OZS161" s="3060"/>
      <c r="OZT161" s="3060"/>
      <c r="OZU161" s="3060"/>
      <c r="OZV161" s="3060"/>
      <c r="OZW161" s="3060"/>
      <c r="OZX161" s="3060"/>
      <c r="OZY161" s="3060"/>
      <c r="OZZ161" s="3060"/>
      <c r="PAA161" s="3060"/>
      <c r="PAB161" s="3060"/>
      <c r="PAC161" s="3060"/>
      <c r="PAD161" s="3060"/>
      <c r="PAE161" s="3060"/>
      <c r="PAF161" s="3060"/>
      <c r="PAG161" s="3060"/>
      <c r="PAH161" s="3060"/>
      <c r="PAI161" s="3060"/>
      <c r="PAJ161" s="3060"/>
      <c r="PAK161" s="3060"/>
      <c r="PAL161" s="3060"/>
      <c r="PAM161" s="3060"/>
      <c r="PAN161" s="3060"/>
      <c r="PAO161" s="3060"/>
      <c r="PAP161" s="3060"/>
      <c r="PAQ161" s="3060"/>
      <c r="PAR161" s="3060"/>
      <c r="PAS161" s="3060"/>
      <c r="PAT161" s="3060"/>
      <c r="PAU161" s="3060"/>
      <c r="PAV161" s="3060"/>
      <c r="PAW161" s="3060"/>
      <c r="PAX161" s="3060"/>
      <c r="PAY161" s="3060"/>
      <c r="PAZ161" s="3060"/>
      <c r="PBA161" s="3060"/>
      <c r="PBB161" s="3060"/>
      <c r="PBC161" s="3060"/>
      <c r="PBD161" s="3060"/>
      <c r="PBE161" s="3060"/>
      <c r="PBF161" s="3060"/>
      <c r="PBG161" s="3060"/>
      <c r="PBH161" s="3060"/>
      <c r="PBI161" s="3060"/>
      <c r="PBJ161" s="3060"/>
      <c r="PBK161" s="3060"/>
      <c r="PBL161" s="3060"/>
      <c r="PBM161" s="3060"/>
      <c r="PBN161" s="3060"/>
      <c r="PBO161" s="3060"/>
      <c r="PBP161" s="3060"/>
      <c r="PBQ161" s="3060"/>
      <c r="PBR161" s="3060"/>
      <c r="PBS161" s="3060"/>
      <c r="PBT161" s="3060"/>
      <c r="PBU161" s="3060"/>
      <c r="PBV161" s="3060"/>
      <c r="PBW161" s="3060"/>
      <c r="PBX161" s="3060"/>
      <c r="PBY161" s="3060"/>
      <c r="PBZ161" s="3060"/>
      <c r="PCA161" s="3060"/>
      <c r="PCB161" s="3060"/>
      <c r="PCC161" s="3060"/>
      <c r="PCD161" s="3060"/>
      <c r="PCE161" s="3060"/>
      <c r="PCF161" s="3060"/>
      <c r="PCG161" s="3060"/>
      <c r="PCH161" s="3060"/>
      <c r="PCI161" s="3060"/>
      <c r="PCJ161" s="3060"/>
      <c r="PCK161" s="3060"/>
      <c r="PCL161" s="3060"/>
      <c r="PCM161" s="3060"/>
      <c r="PCN161" s="3060"/>
      <c r="PCO161" s="3060"/>
      <c r="PCP161" s="3060"/>
      <c r="PCQ161" s="3060"/>
      <c r="PCR161" s="3060"/>
      <c r="PCS161" s="3060"/>
      <c r="PCT161" s="3060"/>
      <c r="PCU161" s="3060"/>
      <c r="PCV161" s="3060"/>
      <c r="PCW161" s="3060"/>
      <c r="PCX161" s="3060"/>
      <c r="PCY161" s="3060"/>
      <c r="PCZ161" s="3060"/>
      <c r="PDA161" s="3060"/>
      <c r="PDB161" s="3060"/>
      <c r="PDC161" s="3060"/>
      <c r="PDD161" s="3060"/>
      <c r="PDE161" s="3060"/>
      <c r="PDF161" s="3060"/>
      <c r="PDG161" s="3060"/>
      <c r="PDH161" s="3060"/>
      <c r="PDI161" s="3060"/>
      <c r="PDJ161" s="3060"/>
      <c r="PDK161" s="3060"/>
      <c r="PDL161" s="3060"/>
      <c r="PDM161" s="3060"/>
      <c r="PDN161" s="3060"/>
      <c r="PDO161" s="3060"/>
      <c r="PDP161" s="3060"/>
      <c r="PDQ161" s="3060"/>
      <c r="PDR161" s="3060"/>
      <c r="PDS161" s="3060"/>
      <c r="PDT161" s="3060"/>
      <c r="PDU161" s="3060"/>
      <c r="PDV161" s="3060"/>
      <c r="PDW161" s="3060"/>
      <c r="PDX161" s="3060"/>
      <c r="PDY161" s="3060"/>
      <c r="PDZ161" s="3060"/>
      <c r="PEA161" s="3060"/>
      <c r="PEB161" s="3060"/>
      <c r="PEC161" s="3060"/>
      <c r="PED161" s="3060"/>
      <c r="PEE161" s="3060"/>
      <c r="PEF161" s="3060"/>
      <c r="PEG161" s="3060"/>
      <c r="PEH161" s="3060"/>
      <c r="PEI161" s="3060"/>
      <c r="PEJ161" s="3060"/>
      <c r="PEK161" s="3060"/>
      <c r="PEL161" s="3060"/>
      <c r="PEM161" s="3060"/>
      <c r="PEN161" s="3060"/>
      <c r="PEO161" s="3060"/>
      <c r="PEP161" s="3060"/>
      <c r="PEQ161" s="3060"/>
      <c r="PER161" s="3060"/>
      <c r="PES161" s="3060"/>
      <c r="PET161" s="3060"/>
      <c r="PEU161" s="3060"/>
      <c r="PEV161" s="3060"/>
      <c r="PEW161" s="3060"/>
      <c r="PEX161" s="3060"/>
      <c r="PEY161" s="3060"/>
      <c r="PEZ161" s="3060"/>
      <c r="PFA161" s="3060"/>
      <c r="PFB161" s="3060"/>
      <c r="PFC161" s="3060"/>
      <c r="PFD161" s="3060"/>
      <c r="PFE161" s="3060"/>
      <c r="PFF161" s="3060"/>
      <c r="PFG161" s="3060"/>
      <c r="PFH161" s="3060"/>
      <c r="PFI161" s="3060"/>
      <c r="PFJ161" s="3060"/>
      <c r="PFK161" s="3060"/>
      <c r="PFL161" s="3060"/>
      <c r="PFM161" s="3060"/>
      <c r="PFN161" s="3060"/>
      <c r="PFO161" s="3060"/>
      <c r="PFP161" s="3060"/>
      <c r="PFQ161" s="3060"/>
      <c r="PFR161" s="3060"/>
      <c r="PFS161" s="3060"/>
      <c r="PFT161" s="3060"/>
      <c r="PFU161" s="3060"/>
      <c r="PFV161" s="3060"/>
      <c r="PFW161" s="3060"/>
      <c r="PFX161" s="3060"/>
      <c r="PFY161" s="3060"/>
      <c r="PFZ161" s="3060"/>
      <c r="PGA161" s="3060"/>
      <c r="PGB161" s="3060"/>
      <c r="PGC161" s="3060"/>
      <c r="PGD161" s="3060"/>
      <c r="PGE161" s="3060"/>
      <c r="PGF161" s="3060"/>
      <c r="PGG161" s="3060"/>
      <c r="PGH161" s="3060"/>
      <c r="PGI161" s="3060"/>
      <c r="PGJ161" s="3060"/>
      <c r="PGK161" s="3060"/>
      <c r="PGL161" s="3060"/>
      <c r="PGM161" s="3060"/>
      <c r="PGN161" s="3060"/>
      <c r="PGO161" s="3060"/>
      <c r="PGP161" s="3060"/>
      <c r="PGQ161" s="3060"/>
      <c r="PGR161" s="3060"/>
      <c r="PGS161" s="3060"/>
      <c r="PGT161" s="3060"/>
      <c r="PGU161" s="3060"/>
      <c r="PGV161" s="3060"/>
      <c r="PGW161" s="3060"/>
      <c r="PGX161" s="3060"/>
      <c r="PGY161" s="3060"/>
      <c r="PGZ161" s="3060"/>
      <c r="PHA161" s="3060"/>
      <c r="PHB161" s="3060"/>
      <c r="PHC161" s="3060"/>
      <c r="PHD161" s="3060"/>
      <c r="PHE161" s="3060"/>
      <c r="PHF161" s="3060"/>
      <c r="PHG161" s="3060"/>
      <c r="PHH161" s="3060"/>
      <c r="PHI161" s="3060"/>
      <c r="PHJ161" s="3060"/>
      <c r="PHK161" s="3060"/>
      <c r="PHL161" s="3060"/>
      <c r="PHM161" s="3060"/>
      <c r="PHN161" s="3060"/>
      <c r="PHO161" s="3060"/>
      <c r="PHP161" s="3060"/>
      <c r="PHQ161" s="3060"/>
      <c r="PHR161" s="3060"/>
      <c r="PHS161" s="3060"/>
      <c r="PHT161" s="3060"/>
      <c r="PHU161" s="3060"/>
      <c r="PHV161" s="3060"/>
      <c r="PHW161" s="3060"/>
      <c r="PHX161" s="3060"/>
      <c r="PHY161" s="3060"/>
      <c r="PHZ161" s="3060"/>
      <c r="PIA161" s="3060"/>
      <c r="PIB161" s="3060"/>
      <c r="PIC161" s="3060"/>
      <c r="PID161" s="3060"/>
      <c r="PIE161" s="3060"/>
      <c r="PIF161" s="3060"/>
      <c r="PIG161" s="3060"/>
      <c r="PIH161" s="3060"/>
      <c r="PII161" s="3060"/>
      <c r="PIJ161" s="3060"/>
      <c r="PIK161" s="3060"/>
      <c r="PIL161" s="3060"/>
      <c r="PIM161" s="3060"/>
      <c r="PIN161" s="3060"/>
      <c r="PIO161" s="3060"/>
      <c r="PIP161" s="3060"/>
      <c r="PIQ161" s="3060"/>
      <c r="PIR161" s="3060"/>
      <c r="PIS161" s="3060"/>
      <c r="PIT161" s="3060"/>
      <c r="PIU161" s="3060"/>
      <c r="PIV161" s="3060"/>
      <c r="PIW161" s="3060"/>
      <c r="PIX161" s="3060"/>
      <c r="PIY161" s="3060"/>
      <c r="PIZ161" s="3060"/>
      <c r="PJA161" s="3060"/>
      <c r="PJB161" s="3060"/>
      <c r="PJC161" s="3060"/>
      <c r="PJD161" s="3060"/>
      <c r="PJE161" s="3060"/>
      <c r="PJF161" s="3060"/>
      <c r="PJG161" s="3060"/>
      <c r="PJH161" s="3060"/>
      <c r="PJI161" s="3060"/>
      <c r="PJJ161" s="3060"/>
      <c r="PJK161" s="3060"/>
      <c r="PJL161" s="3060"/>
      <c r="PJM161" s="3060"/>
      <c r="PJN161" s="3060"/>
      <c r="PJO161" s="3060"/>
      <c r="PJP161" s="3060"/>
      <c r="PJQ161" s="3060"/>
      <c r="PJR161" s="3060"/>
      <c r="PJS161" s="3060"/>
      <c r="PJT161" s="3060"/>
      <c r="PJU161" s="3060"/>
      <c r="PJV161" s="3060"/>
      <c r="PJW161" s="3060"/>
      <c r="PJX161" s="3060"/>
      <c r="PJY161" s="3060"/>
      <c r="PJZ161" s="3060"/>
      <c r="PKA161" s="3060"/>
      <c r="PKB161" s="3060"/>
      <c r="PKC161" s="3060"/>
      <c r="PKD161" s="3060"/>
      <c r="PKE161" s="3060"/>
      <c r="PKF161" s="3060"/>
      <c r="PKG161" s="3060"/>
      <c r="PKH161" s="3060"/>
      <c r="PKI161" s="3060"/>
      <c r="PKJ161" s="3060"/>
      <c r="PKK161" s="3060"/>
      <c r="PKL161" s="3060"/>
      <c r="PKM161" s="3060"/>
      <c r="PKN161" s="3060"/>
      <c r="PKO161" s="3060"/>
      <c r="PKP161" s="3060"/>
      <c r="PKQ161" s="3060"/>
      <c r="PKR161" s="3060"/>
      <c r="PKS161" s="3060"/>
      <c r="PKT161" s="3060"/>
      <c r="PKU161" s="3060"/>
      <c r="PKV161" s="3060"/>
      <c r="PKW161" s="3060"/>
      <c r="PKX161" s="3060"/>
      <c r="PKY161" s="3060"/>
      <c r="PKZ161" s="3060"/>
      <c r="PLA161" s="3060"/>
      <c r="PLB161" s="3060"/>
      <c r="PLC161" s="3060"/>
      <c r="PLD161" s="3060"/>
      <c r="PLE161" s="3060"/>
      <c r="PLF161" s="3060"/>
      <c r="PLG161" s="3060"/>
      <c r="PLH161" s="3060"/>
      <c r="PLI161" s="3060"/>
      <c r="PLJ161" s="3060"/>
      <c r="PLK161" s="3060"/>
      <c r="PLL161" s="3060"/>
      <c r="PLM161" s="3060"/>
      <c r="PLN161" s="3060"/>
      <c r="PLO161" s="3060"/>
      <c r="PLP161" s="3060"/>
      <c r="PLQ161" s="3060"/>
      <c r="PLR161" s="3060"/>
      <c r="PLS161" s="3060"/>
      <c r="PLT161" s="3060"/>
      <c r="PLU161" s="3060"/>
      <c r="PLV161" s="3060"/>
      <c r="PLW161" s="3060"/>
      <c r="PLX161" s="3060"/>
      <c r="PLY161" s="3060"/>
      <c r="PLZ161" s="3060"/>
      <c r="PMA161" s="3060"/>
      <c r="PMB161" s="3060"/>
      <c r="PMC161" s="3060"/>
      <c r="PMD161" s="3060"/>
      <c r="PME161" s="3060"/>
      <c r="PMF161" s="3060"/>
      <c r="PMG161" s="3060"/>
      <c r="PMH161" s="3060"/>
      <c r="PMI161" s="3060"/>
      <c r="PMJ161" s="3060"/>
      <c r="PMK161" s="3060"/>
      <c r="PML161" s="3060"/>
      <c r="PMM161" s="3060"/>
      <c r="PMN161" s="3060"/>
      <c r="PMO161" s="3060"/>
      <c r="PMP161" s="3060"/>
      <c r="PMQ161" s="3060"/>
      <c r="PMR161" s="3060"/>
      <c r="PMS161" s="3060"/>
      <c r="PMT161" s="3060"/>
      <c r="PMU161" s="3060"/>
      <c r="PMV161" s="3060"/>
      <c r="PMW161" s="3060"/>
      <c r="PMX161" s="3060"/>
      <c r="PMY161" s="3060"/>
      <c r="PMZ161" s="3060"/>
      <c r="PNA161" s="3060"/>
      <c r="PNB161" s="3060"/>
      <c r="PNC161" s="3060"/>
      <c r="PND161" s="3060"/>
      <c r="PNE161" s="3060"/>
      <c r="PNF161" s="3060"/>
      <c r="PNG161" s="3060"/>
      <c r="PNH161" s="3060"/>
      <c r="PNI161" s="3060"/>
      <c r="PNJ161" s="3060"/>
      <c r="PNK161" s="3060"/>
      <c r="PNL161" s="3060"/>
      <c r="PNM161" s="3060"/>
      <c r="PNN161" s="3060"/>
      <c r="PNO161" s="3060"/>
      <c r="PNP161" s="3060"/>
      <c r="PNQ161" s="3060"/>
      <c r="PNR161" s="3060"/>
      <c r="PNS161" s="3060"/>
      <c r="PNT161" s="3060"/>
      <c r="PNU161" s="3060"/>
      <c r="PNV161" s="3060"/>
      <c r="PNW161" s="3060"/>
      <c r="PNX161" s="3060"/>
      <c r="PNY161" s="3060"/>
      <c r="PNZ161" s="3060"/>
      <c r="POA161" s="3060"/>
      <c r="POB161" s="3060"/>
      <c r="POC161" s="3060"/>
      <c r="POD161" s="3060"/>
      <c r="POE161" s="3060"/>
      <c r="POF161" s="3060"/>
      <c r="POG161" s="3060"/>
      <c r="POH161" s="3060"/>
      <c r="POI161" s="3060"/>
      <c r="POJ161" s="3060"/>
      <c r="POK161" s="3060"/>
      <c r="POL161" s="3060"/>
      <c r="POM161" s="3060"/>
      <c r="PON161" s="3060"/>
      <c r="POO161" s="3060"/>
      <c r="POP161" s="3060"/>
      <c r="POQ161" s="3060"/>
      <c r="POR161" s="3060"/>
      <c r="POS161" s="3060"/>
      <c r="POT161" s="3060"/>
      <c r="POU161" s="3060"/>
      <c r="POV161" s="3060"/>
      <c r="POW161" s="3060"/>
      <c r="POX161" s="3060"/>
      <c r="POY161" s="3060"/>
      <c r="POZ161" s="3060"/>
      <c r="PPA161" s="3060"/>
      <c r="PPB161" s="3060"/>
      <c r="PPC161" s="3060"/>
      <c r="PPD161" s="3060"/>
      <c r="PPE161" s="3060"/>
      <c r="PPF161" s="3060"/>
      <c r="PPG161" s="3060"/>
      <c r="PPH161" s="3060"/>
      <c r="PPI161" s="3060"/>
      <c r="PPJ161" s="3060"/>
      <c r="PPK161" s="3060"/>
      <c r="PPL161" s="3060"/>
      <c r="PPM161" s="3060"/>
      <c r="PPN161" s="3060"/>
      <c r="PPO161" s="3060"/>
      <c r="PPP161" s="3060"/>
      <c r="PPQ161" s="3060"/>
      <c r="PPR161" s="3060"/>
      <c r="PPS161" s="3060"/>
      <c r="PPT161" s="3060"/>
      <c r="PPU161" s="3060"/>
      <c r="PPV161" s="3060"/>
      <c r="PPW161" s="3060"/>
      <c r="PPX161" s="3060"/>
      <c r="PPY161" s="3060"/>
      <c r="PPZ161" s="3060"/>
      <c r="PQA161" s="3060"/>
      <c r="PQB161" s="3060"/>
      <c r="PQC161" s="3060"/>
      <c r="PQD161" s="3060"/>
      <c r="PQE161" s="3060"/>
      <c r="PQF161" s="3060"/>
      <c r="PQG161" s="3060"/>
      <c r="PQH161" s="3060"/>
      <c r="PQI161" s="3060"/>
      <c r="PQJ161" s="3060"/>
      <c r="PQK161" s="3060"/>
      <c r="PQL161" s="3060"/>
      <c r="PQM161" s="3060"/>
      <c r="PQN161" s="3060"/>
      <c r="PQO161" s="3060"/>
      <c r="PQP161" s="3060"/>
      <c r="PQQ161" s="3060"/>
      <c r="PQR161" s="3060"/>
      <c r="PQS161" s="3060"/>
      <c r="PQT161" s="3060"/>
      <c r="PQU161" s="3060"/>
      <c r="PQV161" s="3060"/>
      <c r="PQW161" s="3060"/>
      <c r="PQX161" s="3060"/>
      <c r="PQY161" s="3060"/>
      <c r="PQZ161" s="3060"/>
      <c r="PRA161" s="3060"/>
      <c r="PRB161" s="3060"/>
      <c r="PRC161" s="3060"/>
      <c r="PRD161" s="3060"/>
      <c r="PRE161" s="3060"/>
      <c r="PRF161" s="3060"/>
      <c r="PRG161" s="3060"/>
      <c r="PRH161" s="3060"/>
      <c r="PRI161" s="3060"/>
      <c r="PRJ161" s="3060"/>
      <c r="PRK161" s="3060"/>
      <c r="PRL161" s="3060"/>
      <c r="PRM161" s="3060"/>
      <c r="PRN161" s="3060"/>
      <c r="PRO161" s="3060"/>
      <c r="PRP161" s="3060"/>
      <c r="PRQ161" s="3060"/>
      <c r="PRR161" s="3060"/>
      <c r="PRS161" s="3060"/>
      <c r="PRT161" s="3060"/>
      <c r="PRU161" s="3060"/>
      <c r="PRV161" s="3060"/>
      <c r="PRW161" s="3060"/>
      <c r="PRX161" s="3060"/>
      <c r="PRY161" s="3060"/>
      <c r="PRZ161" s="3060"/>
      <c r="PSA161" s="3060"/>
      <c r="PSB161" s="3060"/>
      <c r="PSC161" s="3060"/>
      <c r="PSD161" s="3060"/>
      <c r="PSE161" s="3060"/>
      <c r="PSF161" s="3060"/>
      <c r="PSG161" s="3060"/>
      <c r="PSH161" s="3060"/>
      <c r="PSI161" s="3060"/>
      <c r="PSJ161" s="3060"/>
      <c r="PSK161" s="3060"/>
      <c r="PSL161" s="3060"/>
      <c r="PSM161" s="3060"/>
      <c r="PSN161" s="3060"/>
      <c r="PSO161" s="3060"/>
      <c r="PSP161" s="3060"/>
      <c r="PSQ161" s="3060"/>
      <c r="PSR161" s="3060"/>
      <c r="PSS161" s="3060"/>
      <c r="PST161" s="3060"/>
      <c r="PSU161" s="3060"/>
      <c r="PSV161" s="3060"/>
      <c r="PSW161" s="3060"/>
      <c r="PSX161" s="3060"/>
      <c r="PSY161" s="3060"/>
      <c r="PSZ161" s="3060"/>
      <c r="PTA161" s="3060"/>
      <c r="PTB161" s="3060"/>
      <c r="PTC161" s="3060"/>
      <c r="PTD161" s="3060"/>
      <c r="PTE161" s="3060"/>
      <c r="PTF161" s="3060"/>
      <c r="PTG161" s="3060"/>
      <c r="PTH161" s="3060"/>
      <c r="PTI161" s="3060"/>
      <c r="PTJ161" s="3060"/>
      <c r="PTK161" s="3060"/>
      <c r="PTL161" s="3060"/>
      <c r="PTM161" s="3060"/>
      <c r="PTN161" s="3060"/>
      <c r="PTO161" s="3060"/>
      <c r="PTP161" s="3060"/>
      <c r="PTQ161" s="3060"/>
      <c r="PTR161" s="3060"/>
      <c r="PTS161" s="3060"/>
      <c r="PTT161" s="3060"/>
      <c r="PTU161" s="3060"/>
      <c r="PTV161" s="3060"/>
      <c r="PTW161" s="3060"/>
      <c r="PTX161" s="3060"/>
      <c r="PTY161" s="3060"/>
      <c r="PTZ161" s="3060"/>
      <c r="PUA161" s="3060"/>
      <c r="PUB161" s="3060"/>
      <c r="PUC161" s="3060"/>
      <c r="PUD161" s="3060"/>
      <c r="PUE161" s="3060"/>
      <c r="PUF161" s="3060"/>
      <c r="PUG161" s="3060"/>
      <c r="PUH161" s="3060"/>
      <c r="PUI161" s="3060"/>
      <c r="PUJ161" s="3060"/>
      <c r="PUK161" s="3060"/>
      <c r="PUL161" s="3060"/>
      <c r="PUM161" s="3060"/>
      <c r="PUN161" s="3060"/>
      <c r="PUO161" s="3060"/>
      <c r="PUP161" s="3060"/>
      <c r="PUQ161" s="3060"/>
      <c r="PUR161" s="3060"/>
      <c r="PUS161" s="3060"/>
      <c r="PUT161" s="3060"/>
      <c r="PUU161" s="3060"/>
      <c r="PUV161" s="3060"/>
      <c r="PUW161" s="3060"/>
      <c r="PUX161" s="3060"/>
      <c r="PUY161" s="3060"/>
      <c r="PUZ161" s="3060"/>
      <c r="PVA161" s="3060"/>
      <c r="PVB161" s="3060"/>
      <c r="PVC161" s="3060"/>
      <c r="PVD161" s="3060"/>
      <c r="PVE161" s="3060"/>
      <c r="PVF161" s="3060"/>
      <c r="PVG161" s="3060"/>
      <c r="PVH161" s="3060"/>
      <c r="PVI161" s="3060"/>
      <c r="PVJ161" s="3060"/>
      <c r="PVK161" s="3060"/>
      <c r="PVL161" s="3060"/>
      <c r="PVM161" s="3060"/>
      <c r="PVN161" s="3060"/>
      <c r="PVO161" s="3060"/>
      <c r="PVP161" s="3060"/>
      <c r="PVQ161" s="3060"/>
      <c r="PVR161" s="3060"/>
      <c r="PVS161" s="3060"/>
      <c r="PVT161" s="3060"/>
      <c r="PVU161" s="3060"/>
      <c r="PVV161" s="3060"/>
      <c r="PVW161" s="3060"/>
      <c r="PVX161" s="3060"/>
      <c r="PVY161" s="3060"/>
      <c r="PVZ161" s="3060"/>
      <c r="PWA161" s="3060"/>
      <c r="PWB161" s="3060"/>
      <c r="PWC161" s="3060"/>
      <c r="PWD161" s="3060"/>
      <c r="PWE161" s="3060"/>
      <c r="PWF161" s="3060"/>
      <c r="PWG161" s="3060"/>
      <c r="PWH161" s="3060"/>
      <c r="PWI161" s="3060"/>
      <c r="PWJ161" s="3060"/>
      <c r="PWK161" s="3060"/>
      <c r="PWL161" s="3060"/>
      <c r="PWM161" s="3060"/>
      <c r="PWN161" s="3060"/>
      <c r="PWO161" s="3060"/>
      <c r="PWP161" s="3060"/>
      <c r="PWQ161" s="3060"/>
      <c r="PWR161" s="3060"/>
      <c r="PWS161" s="3060"/>
      <c r="PWT161" s="3060"/>
      <c r="PWU161" s="3060"/>
      <c r="PWV161" s="3060"/>
      <c r="PWW161" s="3060"/>
      <c r="PWX161" s="3060"/>
      <c r="PWY161" s="3060"/>
      <c r="PWZ161" s="3060"/>
      <c r="PXA161" s="3060"/>
      <c r="PXB161" s="3060"/>
      <c r="PXC161" s="3060"/>
      <c r="PXD161" s="3060"/>
      <c r="PXE161" s="3060"/>
      <c r="PXF161" s="3060"/>
      <c r="PXG161" s="3060"/>
      <c r="PXH161" s="3060"/>
      <c r="PXI161" s="3060"/>
      <c r="PXJ161" s="3060"/>
      <c r="PXK161" s="3060"/>
      <c r="PXL161" s="3060"/>
      <c r="PXM161" s="3060"/>
      <c r="PXN161" s="3060"/>
      <c r="PXO161" s="3060"/>
      <c r="PXP161" s="3060"/>
      <c r="PXQ161" s="3060"/>
      <c r="PXR161" s="3060"/>
      <c r="PXS161" s="3060"/>
      <c r="PXT161" s="3060"/>
      <c r="PXU161" s="3060"/>
      <c r="PXV161" s="3060"/>
      <c r="PXW161" s="3060"/>
      <c r="PXX161" s="3060"/>
      <c r="PXY161" s="3060"/>
      <c r="PXZ161" s="3060"/>
      <c r="PYA161" s="3060"/>
      <c r="PYB161" s="3060"/>
      <c r="PYC161" s="3060"/>
      <c r="PYD161" s="3060"/>
      <c r="PYE161" s="3060"/>
      <c r="PYF161" s="3060"/>
      <c r="PYG161" s="3060"/>
      <c r="PYH161" s="3060"/>
      <c r="PYI161" s="3060"/>
      <c r="PYJ161" s="3060"/>
      <c r="PYK161" s="3060"/>
      <c r="PYL161" s="3060"/>
      <c r="PYM161" s="3060"/>
      <c r="PYN161" s="3060"/>
      <c r="PYO161" s="3060"/>
      <c r="PYP161" s="3060"/>
      <c r="PYQ161" s="3060"/>
      <c r="PYR161" s="3060"/>
      <c r="PYS161" s="3060"/>
      <c r="PYT161" s="3060"/>
      <c r="PYU161" s="3060"/>
      <c r="PYV161" s="3060"/>
      <c r="PYW161" s="3060"/>
      <c r="PYX161" s="3060"/>
      <c r="PYY161" s="3060"/>
      <c r="PYZ161" s="3060"/>
      <c r="PZA161" s="3060"/>
      <c r="PZB161" s="3060"/>
      <c r="PZC161" s="3060"/>
      <c r="PZD161" s="3060"/>
      <c r="PZE161" s="3060"/>
      <c r="PZF161" s="3060"/>
      <c r="PZG161" s="3060"/>
      <c r="PZH161" s="3060"/>
      <c r="PZI161" s="3060"/>
      <c r="PZJ161" s="3060"/>
      <c r="PZK161" s="3060"/>
      <c r="PZL161" s="3060"/>
      <c r="PZM161" s="3060"/>
      <c r="PZN161" s="3060"/>
      <c r="PZO161" s="3060"/>
      <c r="PZP161" s="3060"/>
      <c r="PZQ161" s="3060"/>
      <c r="PZR161" s="3060"/>
      <c r="PZS161" s="3060"/>
      <c r="PZT161" s="3060"/>
      <c r="PZU161" s="3060"/>
      <c r="PZV161" s="3060"/>
      <c r="PZW161" s="3060"/>
      <c r="PZX161" s="3060"/>
      <c r="PZY161" s="3060"/>
      <c r="PZZ161" s="3060"/>
      <c r="QAA161" s="3060"/>
      <c r="QAB161" s="3060"/>
      <c r="QAC161" s="3060"/>
      <c r="QAD161" s="3060"/>
      <c r="QAE161" s="3060"/>
      <c r="QAF161" s="3060"/>
      <c r="QAG161" s="3060"/>
      <c r="QAH161" s="3060"/>
      <c r="QAI161" s="3060"/>
      <c r="QAJ161" s="3060"/>
      <c r="QAK161" s="3060"/>
      <c r="QAL161" s="3060"/>
      <c r="QAM161" s="3060"/>
      <c r="QAN161" s="3060"/>
      <c r="QAO161" s="3060"/>
      <c r="QAP161" s="3060"/>
      <c r="QAQ161" s="3060"/>
      <c r="QAR161" s="3060"/>
      <c r="QAS161" s="3060"/>
      <c r="QAT161" s="3060"/>
      <c r="QAU161" s="3060"/>
      <c r="QAV161" s="3060"/>
      <c r="QAW161" s="3060"/>
      <c r="QAX161" s="3060"/>
      <c r="QAY161" s="3060"/>
      <c r="QAZ161" s="3060"/>
      <c r="QBA161" s="3060"/>
      <c r="QBB161" s="3060"/>
      <c r="QBC161" s="3060"/>
      <c r="QBD161" s="3060"/>
      <c r="QBE161" s="3060"/>
      <c r="QBF161" s="3060"/>
      <c r="QBG161" s="3060"/>
      <c r="QBH161" s="3060"/>
      <c r="QBI161" s="3060"/>
      <c r="QBJ161" s="3060"/>
      <c r="QBK161" s="3060"/>
      <c r="QBL161" s="3060"/>
      <c r="QBM161" s="3060"/>
      <c r="QBN161" s="3060"/>
      <c r="QBO161" s="3060"/>
      <c r="QBP161" s="3060"/>
      <c r="QBQ161" s="3060"/>
      <c r="QBR161" s="3060"/>
      <c r="QBS161" s="3060"/>
      <c r="QBT161" s="3060"/>
      <c r="QBU161" s="3060"/>
      <c r="QBV161" s="3060"/>
      <c r="QBW161" s="3060"/>
      <c r="QBX161" s="3060"/>
      <c r="QBY161" s="3060"/>
      <c r="QBZ161" s="3060"/>
      <c r="QCA161" s="3060"/>
      <c r="QCB161" s="3060"/>
      <c r="QCC161" s="3060"/>
      <c r="QCD161" s="3060"/>
      <c r="QCE161" s="3060"/>
      <c r="QCF161" s="3060"/>
      <c r="QCG161" s="3060"/>
      <c r="QCH161" s="3060"/>
      <c r="QCI161" s="3060"/>
      <c r="QCJ161" s="3060"/>
      <c r="QCK161" s="3060"/>
      <c r="QCL161" s="3060"/>
      <c r="QCM161" s="3060"/>
      <c r="QCN161" s="3060"/>
      <c r="QCO161" s="3060"/>
      <c r="QCP161" s="3060"/>
      <c r="QCQ161" s="3060"/>
      <c r="QCR161" s="3060"/>
      <c r="QCS161" s="3060"/>
      <c r="QCT161" s="3060"/>
      <c r="QCU161" s="3060"/>
      <c r="QCV161" s="3060"/>
      <c r="QCW161" s="3060"/>
      <c r="QCX161" s="3060"/>
      <c r="QCY161" s="3060"/>
      <c r="QCZ161" s="3060"/>
      <c r="QDA161" s="3060"/>
      <c r="QDB161" s="3060"/>
      <c r="QDC161" s="3060"/>
      <c r="QDD161" s="3060"/>
      <c r="QDE161" s="3060"/>
      <c r="QDF161" s="3060"/>
      <c r="QDG161" s="3060"/>
      <c r="QDH161" s="3060"/>
      <c r="QDI161" s="3060"/>
      <c r="QDJ161" s="3060"/>
      <c r="QDK161" s="3060"/>
      <c r="QDL161" s="3060"/>
      <c r="QDM161" s="3060"/>
      <c r="QDN161" s="3060"/>
      <c r="QDO161" s="3060"/>
      <c r="QDP161" s="3060"/>
      <c r="QDQ161" s="3060"/>
      <c r="QDR161" s="3060"/>
      <c r="QDS161" s="3060"/>
      <c r="QDT161" s="3060"/>
      <c r="QDU161" s="3060"/>
      <c r="QDV161" s="3060"/>
      <c r="QDW161" s="3060"/>
      <c r="QDX161" s="3060"/>
      <c r="QDY161" s="3060"/>
      <c r="QDZ161" s="3060"/>
      <c r="QEA161" s="3060"/>
      <c r="QEB161" s="3060"/>
      <c r="QEC161" s="3060"/>
      <c r="QED161" s="3060"/>
      <c r="QEE161" s="3060"/>
      <c r="QEF161" s="3060"/>
      <c r="QEG161" s="3060"/>
      <c r="QEH161" s="3060"/>
      <c r="QEI161" s="3060"/>
      <c r="QEJ161" s="3060"/>
      <c r="QEK161" s="3060"/>
      <c r="QEL161" s="3060"/>
      <c r="QEM161" s="3060"/>
      <c r="QEN161" s="3060"/>
      <c r="QEO161" s="3060"/>
      <c r="QEP161" s="3060"/>
      <c r="QEQ161" s="3060"/>
      <c r="QER161" s="3060"/>
      <c r="QES161" s="3060"/>
      <c r="QET161" s="3060"/>
      <c r="QEU161" s="3060"/>
      <c r="QEV161" s="3060"/>
      <c r="QEW161" s="3060"/>
      <c r="QEX161" s="3060"/>
      <c r="QEY161" s="3060"/>
      <c r="QEZ161" s="3060"/>
      <c r="QFA161" s="3060"/>
      <c r="QFB161" s="3060"/>
      <c r="QFC161" s="3060"/>
      <c r="QFD161" s="3060"/>
      <c r="QFE161" s="3060"/>
      <c r="QFF161" s="3060"/>
      <c r="QFG161" s="3060"/>
      <c r="QFH161" s="3060"/>
      <c r="QFI161" s="3060"/>
      <c r="QFJ161" s="3060"/>
      <c r="QFK161" s="3060"/>
      <c r="QFL161" s="3060"/>
      <c r="QFM161" s="3060"/>
      <c r="QFN161" s="3060"/>
      <c r="QFO161" s="3060"/>
      <c r="QFP161" s="3060"/>
      <c r="QFQ161" s="3060"/>
      <c r="QFR161" s="3060"/>
      <c r="QFS161" s="3060"/>
      <c r="QFT161" s="3060"/>
      <c r="QFU161" s="3060"/>
      <c r="QFV161" s="3060"/>
      <c r="QFW161" s="3060"/>
      <c r="QFX161" s="3060"/>
      <c r="QFY161" s="3060"/>
      <c r="QFZ161" s="3060"/>
      <c r="QGA161" s="3060"/>
      <c r="QGB161" s="3060"/>
      <c r="QGC161" s="3060"/>
      <c r="QGD161" s="3060"/>
      <c r="QGE161" s="3060"/>
      <c r="QGF161" s="3060"/>
      <c r="QGG161" s="3060"/>
      <c r="QGH161" s="3060"/>
      <c r="QGI161" s="3060"/>
      <c r="QGJ161" s="3060"/>
      <c r="QGK161" s="3060"/>
      <c r="QGL161" s="3060"/>
      <c r="QGM161" s="3060"/>
      <c r="QGN161" s="3060"/>
      <c r="QGO161" s="3060"/>
      <c r="QGP161" s="3060"/>
      <c r="QGQ161" s="3060"/>
      <c r="QGR161" s="3060"/>
      <c r="QGS161" s="3060"/>
      <c r="QGT161" s="3060"/>
      <c r="QGU161" s="3060"/>
      <c r="QGV161" s="3060"/>
      <c r="QGW161" s="3060"/>
      <c r="QGX161" s="3060"/>
      <c r="QGY161" s="3060"/>
      <c r="QGZ161" s="3060"/>
      <c r="QHA161" s="3060"/>
      <c r="QHB161" s="3060"/>
      <c r="QHC161" s="3060"/>
      <c r="QHD161" s="3060"/>
      <c r="QHE161" s="3060"/>
      <c r="QHF161" s="3060"/>
      <c r="QHG161" s="3060"/>
      <c r="QHH161" s="3060"/>
      <c r="QHI161" s="3060"/>
      <c r="QHJ161" s="3060"/>
      <c r="QHK161" s="3060"/>
      <c r="QHL161" s="3060"/>
      <c r="QHM161" s="3060"/>
      <c r="QHN161" s="3060"/>
      <c r="QHO161" s="3060"/>
      <c r="QHP161" s="3060"/>
      <c r="QHQ161" s="3060"/>
      <c r="QHR161" s="3060"/>
      <c r="QHS161" s="3060"/>
      <c r="QHT161" s="3060"/>
      <c r="QHU161" s="3060"/>
      <c r="QHV161" s="3060"/>
      <c r="QHW161" s="3060"/>
      <c r="QHX161" s="3060"/>
      <c r="QHY161" s="3060"/>
      <c r="QHZ161" s="3060"/>
      <c r="QIA161" s="3060"/>
      <c r="QIB161" s="3060"/>
      <c r="QIC161" s="3060"/>
      <c r="QID161" s="3060"/>
      <c r="QIE161" s="3060"/>
      <c r="QIF161" s="3060"/>
      <c r="QIG161" s="3060"/>
      <c r="QIH161" s="3060"/>
      <c r="QII161" s="3060"/>
      <c r="QIJ161" s="3060"/>
      <c r="QIK161" s="3060"/>
      <c r="QIL161" s="3060"/>
      <c r="QIM161" s="3060"/>
      <c r="QIN161" s="3060"/>
      <c r="QIO161" s="3060"/>
      <c r="QIP161" s="3060"/>
      <c r="QIQ161" s="3060"/>
      <c r="QIR161" s="3060"/>
      <c r="QIS161" s="3060"/>
      <c r="QIT161" s="3060"/>
      <c r="QIU161" s="3060"/>
      <c r="QIV161" s="3060"/>
      <c r="QIW161" s="3060"/>
      <c r="QIX161" s="3060"/>
      <c r="QIY161" s="3060"/>
      <c r="QIZ161" s="3060"/>
      <c r="QJA161" s="3060"/>
      <c r="QJB161" s="3060"/>
      <c r="QJC161" s="3060"/>
      <c r="QJD161" s="3060"/>
      <c r="QJE161" s="3060"/>
      <c r="QJF161" s="3060"/>
      <c r="QJG161" s="3060"/>
      <c r="QJH161" s="3060"/>
      <c r="QJI161" s="3060"/>
      <c r="QJJ161" s="3060"/>
      <c r="QJK161" s="3060"/>
      <c r="QJL161" s="3060"/>
      <c r="QJM161" s="3060"/>
      <c r="QJN161" s="3060"/>
      <c r="QJO161" s="3060"/>
      <c r="QJP161" s="3060"/>
      <c r="QJQ161" s="3060"/>
      <c r="QJR161" s="3060"/>
      <c r="QJS161" s="3060"/>
      <c r="QJT161" s="3060"/>
      <c r="QJU161" s="3060"/>
      <c r="QJV161" s="3060"/>
      <c r="QJW161" s="3060"/>
      <c r="QJX161" s="3060"/>
      <c r="QJY161" s="3060"/>
      <c r="QJZ161" s="3060"/>
      <c r="QKA161" s="3060"/>
      <c r="QKB161" s="3060"/>
      <c r="QKC161" s="3060"/>
      <c r="QKD161" s="3060"/>
      <c r="QKE161" s="3060"/>
      <c r="QKF161" s="3060"/>
      <c r="QKG161" s="3060"/>
      <c r="QKH161" s="3060"/>
      <c r="QKI161" s="3060"/>
      <c r="QKJ161" s="3060"/>
      <c r="QKK161" s="3060"/>
      <c r="QKL161" s="3060"/>
      <c r="QKM161" s="3060"/>
      <c r="QKN161" s="3060"/>
      <c r="QKO161" s="3060"/>
      <c r="QKP161" s="3060"/>
      <c r="QKQ161" s="3060"/>
      <c r="QKR161" s="3060"/>
      <c r="QKS161" s="3060"/>
      <c r="QKT161" s="3060"/>
      <c r="QKU161" s="3060"/>
      <c r="QKV161" s="3060"/>
      <c r="QKW161" s="3060"/>
      <c r="QKX161" s="3060"/>
      <c r="QKY161" s="3060"/>
      <c r="QKZ161" s="3060"/>
      <c r="QLA161" s="3060"/>
      <c r="QLB161" s="3060"/>
      <c r="QLC161" s="3060"/>
      <c r="QLD161" s="3060"/>
      <c r="QLE161" s="3060"/>
      <c r="QLF161" s="3060"/>
      <c r="QLG161" s="3060"/>
      <c r="QLH161" s="3060"/>
      <c r="QLI161" s="3060"/>
      <c r="QLJ161" s="3060"/>
      <c r="QLK161" s="3060"/>
      <c r="QLL161" s="3060"/>
      <c r="QLM161" s="3060"/>
      <c r="QLN161" s="3060"/>
      <c r="QLO161" s="3060"/>
      <c r="QLP161" s="3060"/>
      <c r="QLQ161" s="3060"/>
      <c r="QLR161" s="3060"/>
      <c r="QLS161" s="3060"/>
      <c r="QLT161" s="3060"/>
      <c r="QLU161" s="3060"/>
      <c r="QLV161" s="3060"/>
      <c r="QLW161" s="3060"/>
      <c r="QLX161" s="3060"/>
      <c r="QLY161" s="3060"/>
      <c r="QLZ161" s="3060"/>
      <c r="QMA161" s="3060"/>
      <c r="QMB161" s="3060"/>
      <c r="QMC161" s="3060"/>
      <c r="QMD161" s="3060"/>
      <c r="QME161" s="3060"/>
      <c r="QMF161" s="3060"/>
      <c r="QMG161" s="3060"/>
      <c r="QMH161" s="3060"/>
      <c r="QMI161" s="3060"/>
      <c r="QMJ161" s="3060"/>
      <c r="QMK161" s="3060"/>
      <c r="QML161" s="3060"/>
      <c r="QMM161" s="3060"/>
      <c r="QMN161" s="3060"/>
      <c r="QMO161" s="3060"/>
      <c r="QMP161" s="3060"/>
      <c r="QMQ161" s="3060"/>
      <c r="QMR161" s="3060"/>
      <c r="QMS161" s="3060"/>
      <c r="QMT161" s="3060"/>
      <c r="QMU161" s="3060"/>
      <c r="QMV161" s="3060"/>
      <c r="QMW161" s="3060"/>
      <c r="QMX161" s="3060"/>
      <c r="QMY161" s="3060"/>
      <c r="QMZ161" s="3060"/>
      <c r="QNA161" s="3060"/>
      <c r="QNB161" s="3060"/>
      <c r="QNC161" s="3060"/>
      <c r="QND161" s="3060"/>
      <c r="QNE161" s="3060"/>
      <c r="QNF161" s="3060"/>
      <c r="QNG161" s="3060"/>
      <c r="QNH161" s="3060"/>
      <c r="QNI161" s="3060"/>
      <c r="QNJ161" s="3060"/>
      <c r="QNK161" s="3060"/>
      <c r="QNL161" s="3060"/>
      <c r="QNM161" s="3060"/>
      <c r="QNN161" s="3060"/>
      <c r="QNO161" s="3060"/>
      <c r="QNP161" s="3060"/>
      <c r="QNQ161" s="3060"/>
      <c r="QNR161" s="3060"/>
      <c r="QNS161" s="3060"/>
      <c r="QNT161" s="3060"/>
      <c r="QNU161" s="3060"/>
      <c r="QNV161" s="3060"/>
      <c r="QNW161" s="3060"/>
      <c r="QNX161" s="3060"/>
      <c r="QNY161" s="3060"/>
      <c r="QNZ161" s="3060"/>
      <c r="QOA161" s="3060"/>
      <c r="QOB161" s="3060"/>
      <c r="QOC161" s="3060"/>
      <c r="QOD161" s="3060"/>
      <c r="QOE161" s="3060"/>
      <c r="QOF161" s="3060"/>
      <c r="QOG161" s="3060"/>
      <c r="QOH161" s="3060"/>
      <c r="QOI161" s="3060"/>
      <c r="QOJ161" s="3060"/>
      <c r="QOK161" s="3060"/>
      <c r="QOL161" s="3060"/>
      <c r="QOM161" s="3060"/>
      <c r="QON161" s="3060"/>
      <c r="QOO161" s="3060"/>
      <c r="QOP161" s="3060"/>
      <c r="QOQ161" s="3060"/>
      <c r="QOR161" s="3060"/>
      <c r="QOS161" s="3060"/>
      <c r="QOT161" s="3060"/>
      <c r="QOU161" s="3060"/>
      <c r="QOV161" s="3060"/>
      <c r="QOW161" s="3060"/>
      <c r="QOX161" s="3060"/>
      <c r="QOY161" s="3060"/>
      <c r="QOZ161" s="3060"/>
      <c r="QPA161" s="3060"/>
      <c r="QPB161" s="3060"/>
      <c r="QPC161" s="3060"/>
      <c r="QPD161" s="3060"/>
      <c r="QPE161" s="3060"/>
      <c r="QPF161" s="3060"/>
      <c r="QPG161" s="3060"/>
      <c r="QPH161" s="3060"/>
      <c r="QPI161" s="3060"/>
      <c r="QPJ161" s="3060"/>
      <c r="QPK161" s="3060"/>
      <c r="QPL161" s="3060"/>
      <c r="QPM161" s="3060"/>
      <c r="QPN161" s="3060"/>
      <c r="QPO161" s="3060"/>
      <c r="QPP161" s="3060"/>
      <c r="QPQ161" s="3060"/>
      <c r="QPR161" s="3060"/>
      <c r="QPS161" s="3060"/>
      <c r="QPT161" s="3060"/>
      <c r="QPU161" s="3060"/>
      <c r="QPV161" s="3060"/>
      <c r="QPW161" s="3060"/>
      <c r="QPX161" s="3060"/>
      <c r="QPY161" s="3060"/>
      <c r="QPZ161" s="3060"/>
      <c r="QQA161" s="3060"/>
      <c r="QQB161" s="3060"/>
      <c r="QQC161" s="3060"/>
      <c r="QQD161" s="3060"/>
      <c r="QQE161" s="3060"/>
      <c r="QQF161" s="3060"/>
      <c r="QQG161" s="3060"/>
      <c r="QQH161" s="3060"/>
      <c r="QQI161" s="3060"/>
      <c r="QQJ161" s="3060"/>
      <c r="QQK161" s="3060"/>
      <c r="QQL161" s="3060"/>
      <c r="QQM161" s="3060"/>
      <c r="QQN161" s="3060"/>
      <c r="QQO161" s="3060"/>
      <c r="QQP161" s="3060"/>
      <c r="QQQ161" s="3060"/>
      <c r="QQR161" s="3060"/>
      <c r="QQS161" s="3060"/>
      <c r="QQT161" s="3060"/>
      <c r="QQU161" s="3060"/>
      <c r="QQV161" s="3060"/>
      <c r="QQW161" s="3060"/>
      <c r="QQX161" s="3060"/>
      <c r="QQY161" s="3060"/>
      <c r="QQZ161" s="3060"/>
      <c r="QRA161" s="3060"/>
      <c r="QRB161" s="3060"/>
      <c r="QRC161" s="3060"/>
      <c r="QRD161" s="3060"/>
      <c r="QRE161" s="3060"/>
      <c r="QRF161" s="3060"/>
      <c r="QRG161" s="3060"/>
      <c r="QRH161" s="3060"/>
      <c r="QRI161" s="3060"/>
      <c r="QRJ161" s="3060"/>
      <c r="QRK161" s="3060"/>
      <c r="QRL161" s="3060"/>
      <c r="QRM161" s="3060"/>
      <c r="QRN161" s="3060"/>
      <c r="QRO161" s="3060"/>
      <c r="QRP161" s="3060"/>
      <c r="QRQ161" s="3060"/>
      <c r="QRR161" s="3060"/>
      <c r="QRS161" s="3060"/>
      <c r="QRT161" s="3060"/>
      <c r="QRU161" s="3060"/>
      <c r="QRV161" s="3060"/>
      <c r="QRW161" s="3060"/>
      <c r="QRX161" s="3060"/>
      <c r="QRY161" s="3060"/>
      <c r="QRZ161" s="3060"/>
      <c r="QSA161" s="3060"/>
      <c r="QSB161" s="3060"/>
      <c r="QSC161" s="3060"/>
      <c r="QSD161" s="3060"/>
      <c r="QSE161" s="3060"/>
      <c r="QSF161" s="3060"/>
      <c r="QSG161" s="3060"/>
      <c r="QSH161" s="3060"/>
      <c r="QSI161" s="3060"/>
      <c r="QSJ161" s="3060"/>
      <c r="QSK161" s="3060"/>
      <c r="QSL161" s="3060"/>
      <c r="QSM161" s="3060"/>
      <c r="QSN161" s="3060"/>
      <c r="QSO161" s="3060"/>
      <c r="QSP161" s="3060"/>
      <c r="QSQ161" s="3060"/>
      <c r="QSR161" s="3060"/>
      <c r="QSS161" s="3060"/>
      <c r="QST161" s="3060"/>
      <c r="QSU161" s="3060"/>
      <c r="QSV161" s="3060"/>
      <c r="QSW161" s="3060"/>
      <c r="QSX161" s="3060"/>
      <c r="QSY161" s="3060"/>
      <c r="QSZ161" s="3060"/>
      <c r="QTA161" s="3060"/>
      <c r="QTB161" s="3060"/>
      <c r="QTC161" s="3060"/>
      <c r="QTD161" s="3060"/>
      <c r="QTE161" s="3060"/>
      <c r="QTF161" s="3060"/>
      <c r="QTG161" s="3060"/>
      <c r="QTH161" s="3060"/>
      <c r="QTI161" s="3060"/>
      <c r="QTJ161" s="3060"/>
      <c r="QTK161" s="3060"/>
      <c r="QTL161" s="3060"/>
      <c r="QTM161" s="3060"/>
      <c r="QTN161" s="3060"/>
      <c r="QTO161" s="3060"/>
      <c r="QTP161" s="3060"/>
      <c r="QTQ161" s="3060"/>
      <c r="QTR161" s="3060"/>
      <c r="QTS161" s="3060"/>
      <c r="QTT161" s="3060"/>
      <c r="QTU161" s="3060"/>
      <c r="QTV161" s="3060"/>
      <c r="QTW161" s="3060"/>
      <c r="QTX161" s="3060"/>
      <c r="QTY161" s="3060"/>
      <c r="QTZ161" s="3060"/>
      <c r="QUA161" s="3060"/>
      <c r="QUB161" s="3060"/>
      <c r="QUC161" s="3060"/>
      <c r="QUD161" s="3060"/>
      <c r="QUE161" s="3060"/>
      <c r="QUF161" s="3060"/>
      <c r="QUG161" s="3060"/>
      <c r="QUH161" s="3060"/>
      <c r="QUI161" s="3060"/>
      <c r="QUJ161" s="3060"/>
      <c r="QUK161" s="3060"/>
      <c r="QUL161" s="3060"/>
      <c r="QUM161" s="3060"/>
      <c r="QUN161" s="3060"/>
      <c r="QUO161" s="3060"/>
      <c r="QUP161" s="3060"/>
      <c r="QUQ161" s="3060"/>
      <c r="QUR161" s="3060"/>
      <c r="QUS161" s="3060"/>
      <c r="QUT161" s="3060"/>
      <c r="QUU161" s="3060"/>
      <c r="QUV161" s="3060"/>
      <c r="QUW161" s="3060"/>
      <c r="QUX161" s="3060"/>
      <c r="QUY161" s="3060"/>
      <c r="QUZ161" s="3060"/>
      <c r="QVA161" s="3060"/>
      <c r="QVB161" s="3060"/>
      <c r="QVC161" s="3060"/>
      <c r="QVD161" s="3060"/>
      <c r="QVE161" s="3060"/>
      <c r="QVF161" s="3060"/>
      <c r="QVG161" s="3060"/>
      <c r="QVH161" s="3060"/>
      <c r="QVI161" s="3060"/>
      <c r="QVJ161" s="3060"/>
      <c r="QVK161" s="3060"/>
      <c r="QVL161" s="3060"/>
      <c r="QVM161" s="3060"/>
      <c r="QVN161" s="3060"/>
      <c r="QVO161" s="3060"/>
      <c r="QVP161" s="3060"/>
      <c r="QVQ161" s="3060"/>
      <c r="QVR161" s="3060"/>
      <c r="QVS161" s="3060"/>
      <c r="QVT161" s="3060"/>
      <c r="QVU161" s="3060"/>
      <c r="QVV161" s="3060"/>
      <c r="QVW161" s="3060"/>
      <c r="QVX161" s="3060"/>
      <c r="QVY161" s="3060"/>
      <c r="QVZ161" s="3060"/>
      <c r="QWA161" s="3060"/>
      <c r="QWB161" s="3060"/>
      <c r="QWC161" s="3060"/>
      <c r="QWD161" s="3060"/>
      <c r="QWE161" s="3060"/>
      <c r="QWF161" s="3060"/>
      <c r="QWG161" s="3060"/>
      <c r="QWH161" s="3060"/>
      <c r="QWI161" s="3060"/>
      <c r="QWJ161" s="3060"/>
      <c r="QWK161" s="3060"/>
      <c r="QWL161" s="3060"/>
      <c r="QWM161" s="3060"/>
      <c r="QWN161" s="3060"/>
      <c r="QWO161" s="3060"/>
      <c r="QWP161" s="3060"/>
      <c r="QWQ161" s="3060"/>
      <c r="QWR161" s="3060"/>
      <c r="QWS161" s="3060"/>
      <c r="QWT161" s="3060"/>
      <c r="QWU161" s="3060"/>
      <c r="QWV161" s="3060"/>
      <c r="QWW161" s="3060"/>
      <c r="QWX161" s="3060"/>
      <c r="QWY161" s="3060"/>
      <c r="QWZ161" s="3060"/>
      <c r="QXA161" s="3060"/>
      <c r="QXB161" s="3060"/>
      <c r="QXC161" s="3060"/>
      <c r="QXD161" s="3060"/>
      <c r="QXE161" s="3060"/>
      <c r="QXF161" s="3060"/>
      <c r="QXG161" s="3060"/>
      <c r="QXH161" s="3060"/>
      <c r="QXI161" s="3060"/>
      <c r="QXJ161" s="3060"/>
      <c r="QXK161" s="3060"/>
      <c r="QXL161" s="3060"/>
      <c r="QXM161" s="3060"/>
      <c r="QXN161" s="3060"/>
      <c r="QXO161" s="3060"/>
      <c r="QXP161" s="3060"/>
      <c r="QXQ161" s="3060"/>
      <c r="QXR161" s="3060"/>
      <c r="QXS161" s="3060"/>
      <c r="QXT161" s="3060"/>
      <c r="QXU161" s="3060"/>
      <c r="QXV161" s="3060"/>
      <c r="QXW161" s="3060"/>
      <c r="QXX161" s="3060"/>
      <c r="QXY161" s="3060"/>
      <c r="QXZ161" s="3060"/>
      <c r="QYA161" s="3060"/>
      <c r="QYB161" s="3060"/>
      <c r="QYC161" s="3060"/>
      <c r="QYD161" s="3060"/>
      <c r="QYE161" s="3060"/>
      <c r="QYF161" s="3060"/>
      <c r="QYG161" s="3060"/>
      <c r="QYH161" s="3060"/>
      <c r="QYI161" s="3060"/>
      <c r="QYJ161" s="3060"/>
      <c r="QYK161" s="3060"/>
      <c r="QYL161" s="3060"/>
      <c r="QYM161" s="3060"/>
      <c r="QYN161" s="3060"/>
      <c r="QYO161" s="3060"/>
      <c r="QYP161" s="3060"/>
      <c r="QYQ161" s="3060"/>
      <c r="QYR161" s="3060"/>
      <c r="QYS161" s="3060"/>
      <c r="QYT161" s="3060"/>
      <c r="QYU161" s="3060"/>
      <c r="QYV161" s="3060"/>
      <c r="QYW161" s="3060"/>
      <c r="QYX161" s="3060"/>
      <c r="QYY161" s="3060"/>
      <c r="QYZ161" s="3060"/>
      <c r="QZA161" s="3060"/>
      <c r="QZB161" s="3060"/>
      <c r="QZC161" s="3060"/>
      <c r="QZD161" s="3060"/>
      <c r="QZE161" s="3060"/>
      <c r="QZF161" s="3060"/>
      <c r="QZG161" s="3060"/>
      <c r="QZH161" s="3060"/>
      <c r="QZI161" s="3060"/>
      <c r="QZJ161" s="3060"/>
      <c r="QZK161" s="3060"/>
      <c r="QZL161" s="3060"/>
      <c r="QZM161" s="3060"/>
      <c r="QZN161" s="3060"/>
      <c r="QZO161" s="3060"/>
      <c r="QZP161" s="3060"/>
      <c r="QZQ161" s="3060"/>
      <c r="QZR161" s="3060"/>
      <c r="QZS161" s="3060"/>
      <c r="QZT161" s="3060"/>
      <c r="QZU161" s="3060"/>
      <c r="QZV161" s="3060"/>
      <c r="QZW161" s="3060"/>
      <c r="QZX161" s="3060"/>
      <c r="QZY161" s="3060"/>
      <c r="QZZ161" s="3060"/>
      <c r="RAA161" s="3060"/>
      <c r="RAB161" s="3060"/>
      <c r="RAC161" s="3060"/>
      <c r="RAD161" s="3060"/>
      <c r="RAE161" s="3060"/>
      <c r="RAF161" s="3060"/>
      <c r="RAG161" s="3060"/>
      <c r="RAH161" s="3060"/>
      <c r="RAI161" s="3060"/>
      <c r="RAJ161" s="3060"/>
      <c r="RAK161" s="3060"/>
      <c r="RAL161" s="3060"/>
      <c r="RAM161" s="3060"/>
      <c r="RAN161" s="3060"/>
      <c r="RAO161" s="3060"/>
      <c r="RAP161" s="3060"/>
      <c r="RAQ161" s="3060"/>
      <c r="RAR161" s="3060"/>
      <c r="RAS161" s="3060"/>
      <c r="RAT161" s="3060"/>
      <c r="RAU161" s="3060"/>
      <c r="RAV161" s="3060"/>
      <c r="RAW161" s="3060"/>
      <c r="RAX161" s="3060"/>
      <c r="RAY161" s="3060"/>
      <c r="RAZ161" s="3060"/>
      <c r="RBA161" s="3060"/>
      <c r="RBB161" s="3060"/>
      <c r="RBC161" s="3060"/>
      <c r="RBD161" s="3060"/>
      <c r="RBE161" s="3060"/>
      <c r="RBF161" s="3060"/>
      <c r="RBG161" s="3060"/>
      <c r="RBH161" s="3060"/>
      <c r="RBI161" s="3060"/>
      <c r="RBJ161" s="3060"/>
      <c r="RBK161" s="3060"/>
      <c r="RBL161" s="3060"/>
      <c r="RBM161" s="3060"/>
      <c r="RBN161" s="3060"/>
      <c r="RBO161" s="3060"/>
      <c r="RBP161" s="3060"/>
      <c r="RBQ161" s="3060"/>
      <c r="RBR161" s="3060"/>
      <c r="RBS161" s="3060"/>
      <c r="RBT161" s="3060"/>
      <c r="RBU161" s="3060"/>
      <c r="RBV161" s="3060"/>
      <c r="RBW161" s="3060"/>
      <c r="RBX161" s="3060"/>
      <c r="RBY161" s="3060"/>
      <c r="RBZ161" s="3060"/>
      <c r="RCA161" s="3060"/>
      <c r="RCB161" s="3060"/>
      <c r="RCC161" s="3060"/>
      <c r="RCD161" s="3060"/>
      <c r="RCE161" s="3060"/>
      <c r="RCF161" s="3060"/>
      <c r="RCG161" s="3060"/>
      <c r="RCH161" s="3060"/>
      <c r="RCI161" s="3060"/>
      <c r="RCJ161" s="3060"/>
      <c r="RCK161" s="3060"/>
      <c r="RCL161" s="3060"/>
      <c r="RCM161" s="3060"/>
      <c r="RCN161" s="3060"/>
      <c r="RCO161" s="3060"/>
      <c r="RCP161" s="3060"/>
      <c r="RCQ161" s="3060"/>
      <c r="RCR161" s="3060"/>
      <c r="RCS161" s="3060"/>
      <c r="RCT161" s="3060"/>
      <c r="RCU161" s="3060"/>
      <c r="RCV161" s="3060"/>
      <c r="RCW161" s="3060"/>
      <c r="RCX161" s="3060"/>
      <c r="RCY161" s="3060"/>
      <c r="RCZ161" s="3060"/>
      <c r="RDA161" s="3060"/>
      <c r="RDB161" s="3060"/>
      <c r="RDC161" s="3060"/>
      <c r="RDD161" s="3060"/>
      <c r="RDE161" s="3060"/>
      <c r="RDF161" s="3060"/>
      <c r="RDG161" s="3060"/>
      <c r="RDH161" s="3060"/>
      <c r="RDI161" s="3060"/>
      <c r="RDJ161" s="3060"/>
      <c r="RDK161" s="3060"/>
      <c r="RDL161" s="3060"/>
      <c r="RDM161" s="3060"/>
      <c r="RDN161" s="3060"/>
      <c r="RDO161" s="3060"/>
      <c r="RDP161" s="3060"/>
      <c r="RDQ161" s="3060"/>
      <c r="RDR161" s="3060"/>
      <c r="RDS161" s="3060"/>
      <c r="RDT161" s="3060"/>
      <c r="RDU161" s="3060"/>
      <c r="RDV161" s="3060"/>
      <c r="RDW161" s="3060"/>
      <c r="RDX161" s="3060"/>
      <c r="RDY161" s="3060"/>
      <c r="RDZ161" s="3060"/>
      <c r="REA161" s="3060"/>
      <c r="REB161" s="3060"/>
      <c r="REC161" s="3060"/>
      <c r="RED161" s="3060"/>
      <c r="REE161" s="3060"/>
      <c r="REF161" s="3060"/>
      <c r="REG161" s="3060"/>
      <c r="REH161" s="3060"/>
      <c r="REI161" s="3060"/>
      <c r="REJ161" s="3060"/>
      <c r="REK161" s="3060"/>
      <c r="REL161" s="3060"/>
      <c r="REM161" s="3060"/>
      <c r="REN161" s="3060"/>
      <c r="REO161" s="3060"/>
      <c r="REP161" s="3060"/>
      <c r="REQ161" s="3060"/>
      <c r="RER161" s="3060"/>
      <c r="RES161" s="3060"/>
      <c r="RET161" s="3060"/>
      <c r="REU161" s="3060"/>
      <c r="REV161" s="3060"/>
      <c r="REW161" s="3060"/>
      <c r="REX161" s="3060"/>
      <c r="REY161" s="3060"/>
      <c r="REZ161" s="3060"/>
      <c r="RFA161" s="3060"/>
      <c r="RFB161" s="3060"/>
      <c r="RFC161" s="3060"/>
      <c r="RFD161" s="3060"/>
      <c r="RFE161" s="3060"/>
      <c r="RFF161" s="3060"/>
      <c r="RFG161" s="3060"/>
      <c r="RFH161" s="3060"/>
      <c r="RFI161" s="3060"/>
      <c r="RFJ161" s="3060"/>
      <c r="RFK161" s="3060"/>
      <c r="RFL161" s="3060"/>
      <c r="RFM161" s="3060"/>
      <c r="RFN161" s="3060"/>
      <c r="RFO161" s="3060"/>
      <c r="RFP161" s="3060"/>
      <c r="RFQ161" s="3060"/>
      <c r="RFR161" s="3060"/>
      <c r="RFS161" s="3060"/>
      <c r="RFT161" s="3060"/>
      <c r="RFU161" s="3060"/>
      <c r="RFV161" s="3060"/>
      <c r="RFW161" s="3060"/>
      <c r="RFX161" s="3060"/>
      <c r="RFY161" s="3060"/>
      <c r="RFZ161" s="3060"/>
      <c r="RGA161" s="3060"/>
      <c r="RGB161" s="3060"/>
      <c r="RGC161" s="3060"/>
      <c r="RGD161" s="3060"/>
      <c r="RGE161" s="3060"/>
      <c r="RGF161" s="3060"/>
      <c r="RGG161" s="3060"/>
      <c r="RGH161" s="3060"/>
      <c r="RGI161" s="3060"/>
      <c r="RGJ161" s="3060"/>
      <c r="RGK161" s="3060"/>
      <c r="RGL161" s="3060"/>
      <c r="RGM161" s="3060"/>
      <c r="RGN161" s="3060"/>
      <c r="RGO161" s="3060"/>
      <c r="RGP161" s="3060"/>
      <c r="RGQ161" s="3060"/>
      <c r="RGR161" s="3060"/>
      <c r="RGS161" s="3060"/>
      <c r="RGT161" s="3060"/>
      <c r="RGU161" s="3060"/>
      <c r="RGV161" s="3060"/>
      <c r="RGW161" s="3060"/>
      <c r="RGX161" s="3060"/>
      <c r="RGY161" s="3060"/>
      <c r="RGZ161" s="3060"/>
      <c r="RHA161" s="3060"/>
      <c r="RHB161" s="3060"/>
      <c r="RHC161" s="3060"/>
      <c r="RHD161" s="3060"/>
      <c r="RHE161" s="3060"/>
      <c r="RHF161" s="3060"/>
      <c r="RHG161" s="3060"/>
      <c r="RHH161" s="3060"/>
      <c r="RHI161" s="3060"/>
      <c r="RHJ161" s="3060"/>
      <c r="RHK161" s="3060"/>
      <c r="RHL161" s="3060"/>
      <c r="RHM161" s="3060"/>
      <c r="RHN161" s="3060"/>
      <c r="RHO161" s="3060"/>
      <c r="RHP161" s="3060"/>
      <c r="RHQ161" s="3060"/>
      <c r="RHR161" s="3060"/>
      <c r="RHS161" s="3060"/>
      <c r="RHT161" s="3060"/>
      <c r="RHU161" s="3060"/>
      <c r="RHV161" s="3060"/>
      <c r="RHW161" s="3060"/>
      <c r="RHX161" s="3060"/>
      <c r="RHY161" s="3060"/>
      <c r="RHZ161" s="3060"/>
      <c r="RIA161" s="3060"/>
      <c r="RIB161" s="3060"/>
      <c r="RIC161" s="3060"/>
      <c r="RID161" s="3060"/>
      <c r="RIE161" s="3060"/>
      <c r="RIF161" s="3060"/>
      <c r="RIG161" s="3060"/>
      <c r="RIH161" s="3060"/>
      <c r="RII161" s="3060"/>
      <c r="RIJ161" s="3060"/>
      <c r="RIK161" s="3060"/>
      <c r="RIL161" s="3060"/>
      <c r="RIM161" s="3060"/>
      <c r="RIN161" s="3060"/>
      <c r="RIO161" s="3060"/>
      <c r="RIP161" s="3060"/>
      <c r="RIQ161" s="3060"/>
      <c r="RIR161" s="3060"/>
      <c r="RIS161" s="3060"/>
      <c r="RIT161" s="3060"/>
      <c r="RIU161" s="3060"/>
      <c r="RIV161" s="3060"/>
      <c r="RIW161" s="3060"/>
      <c r="RIX161" s="3060"/>
      <c r="RIY161" s="3060"/>
      <c r="RIZ161" s="3060"/>
      <c r="RJA161" s="3060"/>
      <c r="RJB161" s="3060"/>
      <c r="RJC161" s="3060"/>
      <c r="RJD161" s="3060"/>
      <c r="RJE161" s="3060"/>
      <c r="RJF161" s="3060"/>
      <c r="RJG161" s="3060"/>
      <c r="RJH161" s="3060"/>
      <c r="RJI161" s="3060"/>
      <c r="RJJ161" s="3060"/>
      <c r="RJK161" s="3060"/>
      <c r="RJL161" s="3060"/>
      <c r="RJM161" s="3060"/>
      <c r="RJN161" s="3060"/>
      <c r="RJO161" s="3060"/>
      <c r="RJP161" s="3060"/>
      <c r="RJQ161" s="3060"/>
      <c r="RJR161" s="3060"/>
      <c r="RJS161" s="3060"/>
      <c r="RJT161" s="3060"/>
      <c r="RJU161" s="3060"/>
      <c r="RJV161" s="3060"/>
      <c r="RJW161" s="3060"/>
      <c r="RJX161" s="3060"/>
      <c r="RJY161" s="3060"/>
      <c r="RJZ161" s="3060"/>
      <c r="RKA161" s="3060"/>
      <c r="RKB161" s="3060"/>
      <c r="RKC161" s="3060"/>
      <c r="RKD161" s="3060"/>
      <c r="RKE161" s="3060"/>
      <c r="RKF161" s="3060"/>
      <c r="RKG161" s="3060"/>
      <c r="RKH161" s="3060"/>
      <c r="RKI161" s="3060"/>
      <c r="RKJ161" s="3060"/>
      <c r="RKK161" s="3060"/>
      <c r="RKL161" s="3060"/>
      <c r="RKM161" s="3060"/>
      <c r="RKN161" s="3060"/>
      <c r="RKO161" s="3060"/>
      <c r="RKP161" s="3060"/>
      <c r="RKQ161" s="3060"/>
      <c r="RKR161" s="3060"/>
      <c r="RKS161" s="3060"/>
      <c r="RKT161" s="3060"/>
      <c r="RKU161" s="3060"/>
      <c r="RKV161" s="3060"/>
      <c r="RKW161" s="3060"/>
      <c r="RKX161" s="3060"/>
      <c r="RKY161" s="3060"/>
      <c r="RKZ161" s="3060"/>
      <c r="RLA161" s="3060"/>
      <c r="RLB161" s="3060"/>
      <c r="RLC161" s="3060"/>
      <c r="RLD161" s="3060"/>
      <c r="RLE161" s="3060"/>
      <c r="RLF161" s="3060"/>
      <c r="RLG161" s="3060"/>
      <c r="RLH161" s="3060"/>
      <c r="RLI161" s="3060"/>
      <c r="RLJ161" s="3060"/>
      <c r="RLK161" s="3060"/>
      <c r="RLL161" s="3060"/>
      <c r="RLM161" s="3060"/>
      <c r="RLN161" s="3060"/>
      <c r="RLO161" s="3060"/>
      <c r="RLP161" s="3060"/>
      <c r="RLQ161" s="3060"/>
      <c r="RLR161" s="3060"/>
      <c r="RLS161" s="3060"/>
      <c r="RLT161" s="3060"/>
      <c r="RLU161" s="3060"/>
      <c r="RLV161" s="3060"/>
      <c r="RLW161" s="3060"/>
      <c r="RLX161" s="3060"/>
      <c r="RLY161" s="3060"/>
      <c r="RLZ161" s="3060"/>
      <c r="RMA161" s="3060"/>
      <c r="RMB161" s="3060"/>
      <c r="RMC161" s="3060"/>
      <c r="RMD161" s="3060"/>
      <c r="RME161" s="3060"/>
      <c r="RMF161" s="3060"/>
      <c r="RMG161" s="3060"/>
      <c r="RMH161" s="3060"/>
      <c r="RMI161" s="3060"/>
      <c r="RMJ161" s="3060"/>
      <c r="RMK161" s="3060"/>
      <c r="RML161" s="3060"/>
      <c r="RMM161" s="3060"/>
      <c r="RMN161" s="3060"/>
      <c r="RMO161" s="3060"/>
      <c r="RMP161" s="3060"/>
      <c r="RMQ161" s="3060"/>
      <c r="RMR161" s="3060"/>
      <c r="RMS161" s="3060"/>
      <c r="RMT161" s="3060"/>
      <c r="RMU161" s="3060"/>
      <c r="RMV161" s="3060"/>
      <c r="RMW161" s="3060"/>
      <c r="RMX161" s="3060"/>
      <c r="RMY161" s="3060"/>
      <c r="RMZ161" s="3060"/>
      <c r="RNA161" s="3060"/>
      <c r="RNB161" s="3060"/>
      <c r="RNC161" s="3060"/>
      <c r="RND161" s="3060"/>
      <c r="RNE161" s="3060"/>
      <c r="RNF161" s="3060"/>
      <c r="RNG161" s="3060"/>
      <c r="RNH161" s="3060"/>
      <c r="RNI161" s="3060"/>
      <c r="RNJ161" s="3060"/>
      <c r="RNK161" s="3060"/>
      <c r="RNL161" s="3060"/>
      <c r="RNM161" s="3060"/>
      <c r="RNN161" s="3060"/>
      <c r="RNO161" s="3060"/>
      <c r="RNP161" s="3060"/>
      <c r="RNQ161" s="3060"/>
      <c r="RNR161" s="3060"/>
      <c r="RNS161" s="3060"/>
      <c r="RNT161" s="3060"/>
      <c r="RNU161" s="3060"/>
      <c r="RNV161" s="3060"/>
      <c r="RNW161" s="3060"/>
      <c r="RNX161" s="3060"/>
      <c r="RNY161" s="3060"/>
      <c r="RNZ161" s="3060"/>
      <c r="ROA161" s="3060"/>
      <c r="ROB161" s="3060"/>
      <c r="ROC161" s="3060"/>
      <c r="ROD161" s="3060"/>
      <c r="ROE161" s="3060"/>
      <c r="ROF161" s="3060"/>
      <c r="ROG161" s="3060"/>
      <c r="ROH161" s="3060"/>
      <c r="ROI161" s="3060"/>
      <c r="ROJ161" s="3060"/>
      <c r="ROK161" s="3060"/>
      <c r="ROL161" s="3060"/>
      <c r="ROM161" s="3060"/>
      <c r="RON161" s="3060"/>
      <c r="ROO161" s="3060"/>
      <c r="ROP161" s="3060"/>
      <c r="ROQ161" s="3060"/>
      <c r="ROR161" s="3060"/>
      <c r="ROS161" s="3060"/>
      <c r="ROT161" s="3060"/>
      <c r="ROU161" s="3060"/>
      <c r="ROV161" s="3060"/>
      <c r="ROW161" s="3060"/>
      <c r="ROX161" s="3060"/>
      <c r="ROY161" s="3060"/>
      <c r="ROZ161" s="3060"/>
      <c r="RPA161" s="3060"/>
      <c r="RPB161" s="3060"/>
      <c r="RPC161" s="3060"/>
      <c r="RPD161" s="3060"/>
      <c r="RPE161" s="3060"/>
      <c r="RPF161" s="3060"/>
      <c r="RPG161" s="3060"/>
      <c r="RPH161" s="3060"/>
      <c r="RPI161" s="3060"/>
      <c r="RPJ161" s="3060"/>
      <c r="RPK161" s="3060"/>
      <c r="RPL161" s="3060"/>
      <c r="RPM161" s="3060"/>
      <c r="RPN161" s="3060"/>
      <c r="RPO161" s="3060"/>
      <c r="RPP161" s="3060"/>
      <c r="RPQ161" s="3060"/>
      <c r="RPR161" s="3060"/>
      <c r="RPS161" s="3060"/>
      <c r="RPT161" s="3060"/>
      <c r="RPU161" s="3060"/>
      <c r="RPV161" s="3060"/>
      <c r="RPW161" s="3060"/>
      <c r="RPX161" s="3060"/>
      <c r="RPY161" s="3060"/>
      <c r="RPZ161" s="3060"/>
      <c r="RQA161" s="3060"/>
      <c r="RQB161" s="3060"/>
      <c r="RQC161" s="3060"/>
      <c r="RQD161" s="3060"/>
      <c r="RQE161" s="3060"/>
      <c r="RQF161" s="3060"/>
      <c r="RQG161" s="3060"/>
      <c r="RQH161" s="3060"/>
      <c r="RQI161" s="3060"/>
      <c r="RQJ161" s="3060"/>
      <c r="RQK161" s="3060"/>
      <c r="RQL161" s="3060"/>
      <c r="RQM161" s="3060"/>
      <c r="RQN161" s="3060"/>
      <c r="RQO161" s="3060"/>
      <c r="RQP161" s="3060"/>
      <c r="RQQ161" s="3060"/>
      <c r="RQR161" s="3060"/>
      <c r="RQS161" s="3060"/>
      <c r="RQT161" s="3060"/>
      <c r="RQU161" s="3060"/>
      <c r="RQV161" s="3060"/>
      <c r="RQW161" s="3060"/>
      <c r="RQX161" s="3060"/>
      <c r="RQY161" s="3060"/>
      <c r="RQZ161" s="3060"/>
      <c r="RRA161" s="3060"/>
      <c r="RRB161" s="3060"/>
      <c r="RRC161" s="3060"/>
      <c r="RRD161" s="3060"/>
      <c r="RRE161" s="3060"/>
      <c r="RRF161" s="3060"/>
      <c r="RRG161" s="3060"/>
      <c r="RRH161" s="3060"/>
      <c r="RRI161" s="3060"/>
      <c r="RRJ161" s="3060"/>
      <c r="RRK161" s="3060"/>
      <c r="RRL161" s="3060"/>
      <c r="RRM161" s="3060"/>
      <c r="RRN161" s="3060"/>
      <c r="RRO161" s="3060"/>
      <c r="RRP161" s="3060"/>
      <c r="RRQ161" s="3060"/>
      <c r="RRR161" s="3060"/>
      <c r="RRS161" s="3060"/>
      <c r="RRT161" s="3060"/>
      <c r="RRU161" s="3060"/>
      <c r="RRV161" s="3060"/>
      <c r="RRW161" s="3060"/>
      <c r="RRX161" s="3060"/>
      <c r="RRY161" s="3060"/>
      <c r="RRZ161" s="3060"/>
      <c r="RSA161" s="3060"/>
      <c r="RSB161" s="3060"/>
      <c r="RSC161" s="3060"/>
      <c r="RSD161" s="3060"/>
      <c r="RSE161" s="3060"/>
      <c r="RSF161" s="3060"/>
      <c r="RSG161" s="3060"/>
      <c r="RSH161" s="3060"/>
      <c r="RSI161" s="3060"/>
      <c r="RSJ161" s="3060"/>
      <c r="RSK161" s="3060"/>
      <c r="RSL161" s="3060"/>
      <c r="RSM161" s="3060"/>
      <c r="RSN161" s="3060"/>
      <c r="RSO161" s="3060"/>
      <c r="RSP161" s="3060"/>
      <c r="RSQ161" s="3060"/>
      <c r="RSR161" s="3060"/>
      <c r="RSS161" s="3060"/>
      <c r="RST161" s="3060"/>
      <c r="RSU161" s="3060"/>
      <c r="RSV161" s="3060"/>
      <c r="RSW161" s="3060"/>
      <c r="RSX161" s="3060"/>
      <c r="RSY161" s="3060"/>
      <c r="RSZ161" s="3060"/>
      <c r="RTA161" s="3060"/>
      <c r="RTB161" s="3060"/>
      <c r="RTC161" s="3060"/>
      <c r="RTD161" s="3060"/>
      <c r="RTE161" s="3060"/>
      <c r="RTF161" s="3060"/>
      <c r="RTG161" s="3060"/>
      <c r="RTH161" s="3060"/>
      <c r="RTI161" s="3060"/>
      <c r="RTJ161" s="3060"/>
      <c r="RTK161" s="3060"/>
      <c r="RTL161" s="3060"/>
      <c r="RTM161" s="3060"/>
      <c r="RTN161" s="3060"/>
      <c r="RTO161" s="3060"/>
      <c r="RTP161" s="3060"/>
      <c r="RTQ161" s="3060"/>
      <c r="RTR161" s="3060"/>
      <c r="RTS161" s="3060"/>
      <c r="RTT161" s="3060"/>
      <c r="RTU161" s="3060"/>
      <c r="RTV161" s="3060"/>
      <c r="RTW161" s="3060"/>
      <c r="RTX161" s="3060"/>
      <c r="RTY161" s="3060"/>
      <c r="RTZ161" s="3060"/>
      <c r="RUA161" s="3060"/>
      <c r="RUB161" s="3060"/>
      <c r="RUC161" s="3060"/>
      <c r="RUD161" s="3060"/>
      <c r="RUE161" s="3060"/>
      <c r="RUF161" s="3060"/>
      <c r="RUG161" s="3060"/>
      <c r="RUH161" s="3060"/>
      <c r="RUI161" s="3060"/>
      <c r="RUJ161" s="3060"/>
      <c r="RUK161" s="3060"/>
      <c r="RUL161" s="3060"/>
      <c r="RUM161" s="3060"/>
      <c r="RUN161" s="3060"/>
      <c r="RUO161" s="3060"/>
      <c r="RUP161" s="3060"/>
      <c r="RUQ161" s="3060"/>
      <c r="RUR161" s="3060"/>
      <c r="RUS161" s="3060"/>
      <c r="RUT161" s="3060"/>
      <c r="RUU161" s="3060"/>
      <c r="RUV161" s="3060"/>
      <c r="RUW161" s="3060"/>
      <c r="RUX161" s="3060"/>
      <c r="RUY161" s="3060"/>
      <c r="RUZ161" s="3060"/>
      <c r="RVA161" s="3060"/>
      <c r="RVB161" s="3060"/>
      <c r="RVC161" s="3060"/>
      <c r="RVD161" s="3060"/>
      <c r="RVE161" s="3060"/>
      <c r="RVF161" s="3060"/>
      <c r="RVG161" s="3060"/>
      <c r="RVH161" s="3060"/>
      <c r="RVI161" s="3060"/>
      <c r="RVJ161" s="3060"/>
      <c r="RVK161" s="3060"/>
      <c r="RVL161" s="3060"/>
      <c r="RVM161" s="3060"/>
      <c r="RVN161" s="3060"/>
      <c r="RVO161" s="3060"/>
      <c r="RVP161" s="3060"/>
      <c r="RVQ161" s="3060"/>
      <c r="RVR161" s="3060"/>
      <c r="RVS161" s="3060"/>
      <c r="RVT161" s="3060"/>
      <c r="RVU161" s="3060"/>
      <c r="RVV161" s="3060"/>
      <c r="RVW161" s="3060"/>
      <c r="RVX161" s="3060"/>
      <c r="RVY161" s="3060"/>
      <c r="RVZ161" s="3060"/>
      <c r="RWA161" s="3060"/>
      <c r="RWB161" s="3060"/>
      <c r="RWC161" s="3060"/>
      <c r="RWD161" s="3060"/>
      <c r="RWE161" s="3060"/>
      <c r="RWF161" s="3060"/>
      <c r="RWG161" s="3060"/>
      <c r="RWH161" s="3060"/>
      <c r="RWI161" s="3060"/>
      <c r="RWJ161" s="3060"/>
      <c r="RWK161" s="3060"/>
      <c r="RWL161" s="3060"/>
      <c r="RWM161" s="3060"/>
      <c r="RWN161" s="3060"/>
      <c r="RWO161" s="3060"/>
      <c r="RWP161" s="3060"/>
      <c r="RWQ161" s="3060"/>
      <c r="RWR161" s="3060"/>
      <c r="RWS161" s="3060"/>
      <c r="RWT161" s="3060"/>
      <c r="RWU161" s="3060"/>
      <c r="RWV161" s="3060"/>
      <c r="RWW161" s="3060"/>
      <c r="RWX161" s="3060"/>
      <c r="RWY161" s="3060"/>
      <c r="RWZ161" s="3060"/>
      <c r="RXA161" s="3060"/>
      <c r="RXB161" s="3060"/>
      <c r="RXC161" s="3060"/>
      <c r="RXD161" s="3060"/>
      <c r="RXE161" s="3060"/>
      <c r="RXF161" s="3060"/>
      <c r="RXG161" s="3060"/>
      <c r="RXH161" s="3060"/>
      <c r="RXI161" s="3060"/>
      <c r="RXJ161" s="3060"/>
      <c r="RXK161" s="3060"/>
      <c r="RXL161" s="3060"/>
      <c r="RXM161" s="3060"/>
      <c r="RXN161" s="3060"/>
      <c r="RXO161" s="3060"/>
      <c r="RXP161" s="3060"/>
      <c r="RXQ161" s="3060"/>
      <c r="RXR161" s="3060"/>
      <c r="RXS161" s="3060"/>
      <c r="RXT161" s="3060"/>
      <c r="RXU161" s="3060"/>
      <c r="RXV161" s="3060"/>
      <c r="RXW161" s="3060"/>
      <c r="RXX161" s="3060"/>
      <c r="RXY161" s="3060"/>
      <c r="RXZ161" s="3060"/>
      <c r="RYA161" s="3060"/>
      <c r="RYB161" s="3060"/>
      <c r="RYC161" s="3060"/>
      <c r="RYD161" s="3060"/>
      <c r="RYE161" s="3060"/>
      <c r="RYF161" s="3060"/>
      <c r="RYG161" s="3060"/>
      <c r="RYH161" s="3060"/>
      <c r="RYI161" s="3060"/>
      <c r="RYJ161" s="3060"/>
      <c r="RYK161" s="3060"/>
      <c r="RYL161" s="3060"/>
      <c r="RYM161" s="3060"/>
      <c r="RYN161" s="3060"/>
      <c r="RYO161" s="3060"/>
      <c r="RYP161" s="3060"/>
      <c r="RYQ161" s="3060"/>
      <c r="RYR161" s="3060"/>
      <c r="RYS161" s="3060"/>
      <c r="RYT161" s="3060"/>
      <c r="RYU161" s="3060"/>
      <c r="RYV161" s="3060"/>
      <c r="RYW161" s="3060"/>
      <c r="RYX161" s="3060"/>
      <c r="RYY161" s="3060"/>
      <c r="RYZ161" s="3060"/>
      <c r="RZA161" s="3060"/>
      <c r="RZB161" s="3060"/>
      <c r="RZC161" s="3060"/>
      <c r="RZD161" s="3060"/>
      <c r="RZE161" s="3060"/>
      <c r="RZF161" s="3060"/>
      <c r="RZG161" s="3060"/>
      <c r="RZH161" s="3060"/>
      <c r="RZI161" s="3060"/>
      <c r="RZJ161" s="3060"/>
      <c r="RZK161" s="3060"/>
      <c r="RZL161" s="3060"/>
      <c r="RZM161" s="3060"/>
      <c r="RZN161" s="3060"/>
      <c r="RZO161" s="3060"/>
      <c r="RZP161" s="3060"/>
      <c r="RZQ161" s="3060"/>
      <c r="RZR161" s="3060"/>
      <c r="RZS161" s="3060"/>
      <c r="RZT161" s="3060"/>
      <c r="RZU161" s="3060"/>
      <c r="RZV161" s="3060"/>
      <c r="RZW161" s="3060"/>
      <c r="RZX161" s="3060"/>
      <c r="RZY161" s="3060"/>
      <c r="RZZ161" s="3060"/>
      <c r="SAA161" s="3060"/>
      <c r="SAB161" s="3060"/>
      <c r="SAC161" s="3060"/>
      <c r="SAD161" s="3060"/>
      <c r="SAE161" s="3060"/>
      <c r="SAF161" s="3060"/>
      <c r="SAG161" s="3060"/>
      <c r="SAH161" s="3060"/>
      <c r="SAI161" s="3060"/>
      <c r="SAJ161" s="3060"/>
      <c r="SAK161" s="3060"/>
      <c r="SAL161" s="3060"/>
      <c r="SAM161" s="3060"/>
      <c r="SAN161" s="3060"/>
      <c r="SAO161" s="3060"/>
      <c r="SAP161" s="3060"/>
      <c r="SAQ161" s="3060"/>
      <c r="SAR161" s="3060"/>
      <c r="SAS161" s="3060"/>
      <c r="SAT161" s="3060"/>
      <c r="SAU161" s="3060"/>
      <c r="SAV161" s="3060"/>
      <c r="SAW161" s="3060"/>
      <c r="SAX161" s="3060"/>
      <c r="SAY161" s="3060"/>
      <c r="SAZ161" s="3060"/>
      <c r="SBA161" s="3060"/>
      <c r="SBB161" s="3060"/>
      <c r="SBC161" s="3060"/>
      <c r="SBD161" s="3060"/>
      <c r="SBE161" s="3060"/>
      <c r="SBF161" s="3060"/>
      <c r="SBG161" s="3060"/>
      <c r="SBH161" s="3060"/>
      <c r="SBI161" s="3060"/>
      <c r="SBJ161" s="3060"/>
      <c r="SBK161" s="3060"/>
      <c r="SBL161" s="3060"/>
      <c r="SBM161" s="3060"/>
      <c r="SBN161" s="3060"/>
      <c r="SBO161" s="3060"/>
      <c r="SBP161" s="3060"/>
      <c r="SBQ161" s="3060"/>
      <c r="SBR161" s="3060"/>
      <c r="SBS161" s="3060"/>
      <c r="SBT161" s="3060"/>
      <c r="SBU161" s="3060"/>
      <c r="SBV161" s="3060"/>
      <c r="SBW161" s="3060"/>
      <c r="SBX161" s="3060"/>
      <c r="SBY161" s="3060"/>
      <c r="SBZ161" s="3060"/>
      <c r="SCA161" s="3060"/>
      <c r="SCB161" s="3060"/>
      <c r="SCC161" s="3060"/>
      <c r="SCD161" s="3060"/>
      <c r="SCE161" s="3060"/>
      <c r="SCF161" s="3060"/>
      <c r="SCG161" s="3060"/>
      <c r="SCH161" s="3060"/>
      <c r="SCI161" s="3060"/>
      <c r="SCJ161" s="3060"/>
      <c r="SCK161" s="3060"/>
      <c r="SCL161" s="3060"/>
      <c r="SCM161" s="3060"/>
      <c r="SCN161" s="3060"/>
      <c r="SCO161" s="3060"/>
      <c r="SCP161" s="3060"/>
      <c r="SCQ161" s="3060"/>
      <c r="SCR161" s="3060"/>
      <c r="SCS161" s="3060"/>
      <c r="SCT161" s="3060"/>
      <c r="SCU161" s="3060"/>
      <c r="SCV161" s="3060"/>
      <c r="SCW161" s="3060"/>
      <c r="SCX161" s="3060"/>
      <c r="SCY161" s="3060"/>
      <c r="SCZ161" s="3060"/>
      <c r="SDA161" s="3060"/>
      <c r="SDB161" s="3060"/>
      <c r="SDC161" s="3060"/>
      <c r="SDD161" s="3060"/>
      <c r="SDE161" s="3060"/>
      <c r="SDF161" s="3060"/>
      <c r="SDG161" s="3060"/>
      <c r="SDH161" s="3060"/>
      <c r="SDI161" s="3060"/>
      <c r="SDJ161" s="3060"/>
      <c r="SDK161" s="3060"/>
      <c r="SDL161" s="3060"/>
      <c r="SDM161" s="3060"/>
      <c r="SDN161" s="3060"/>
      <c r="SDO161" s="3060"/>
      <c r="SDP161" s="3060"/>
      <c r="SDQ161" s="3060"/>
      <c r="SDR161" s="3060"/>
      <c r="SDS161" s="3060"/>
      <c r="SDT161" s="3060"/>
      <c r="SDU161" s="3060"/>
      <c r="SDV161" s="3060"/>
      <c r="SDW161" s="3060"/>
      <c r="SDX161" s="3060"/>
      <c r="SDY161" s="3060"/>
      <c r="SDZ161" s="3060"/>
      <c r="SEA161" s="3060"/>
      <c r="SEB161" s="3060"/>
      <c r="SEC161" s="3060"/>
      <c r="SED161" s="3060"/>
      <c r="SEE161" s="3060"/>
      <c r="SEF161" s="3060"/>
      <c r="SEG161" s="3060"/>
      <c r="SEH161" s="3060"/>
      <c r="SEI161" s="3060"/>
      <c r="SEJ161" s="3060"/>
      <c r="SEK161" s="3060"/>
      <c r="SEL161" s="3060"/>
      <c r="SEM161" s="3060"/>
      <c r="SEN161" s="3060"/>
      <c r="SEO161" s="3060"/>
      <c r="SEP161" s="3060"/>
      <c r="SEQ161" s="3060"/>
      <c r="SER161" s="3060"/>
      <c r="SES161" s="3060"/>
      <c r="SET161" s="3060"/>
      <c r="SEU161" s="3060"/>
      <c r="SEV161" s="3060"/>
      <c r="SEW161" s="3060"/>
      <c r="SEX161" s="3060"/>
      <c r="SEY161" s="3060"/>
      <c r="SEZ161" s="3060"/>
      <c r="SFA161" s="3060"/>
      <c r="SFB161" s="3060"/>
      <c r="SFC161" s="3060"/>
      <c r="SFD161" s="3060"/>
      <c r="SFE161" s="3060"/>
      <c r="SFF161" s="3060"/>
      <c r="SFG161" s="3060"/>
      <c r="SFH161" s="3060"/>
      <c r="SFI161" s="3060"/>
      <c r="SFJ161" s="3060"/>
      <c r="SFK161" s="3060"/>
      <c r="SFL161" s="3060"/>
      <c r="SFM161" s="3060"/>
      <c r="SFN161" s="3060"/>
      <c r="SFO161" s="3060"/>
      <c r="SFP161" s="3060"/>
      <c r="SFQ161" s="3060"/>
      <c r="SFR161" s="3060"/>
      <c r="SFS161" s="3060"/>
      <c r="SFT161" s="3060"/>
      <c r="SFU161" s="3060"/>
      <c r="SFV161" s="3060"/>
      <c r="SFW161" s="3060"/>
      <c r="SFX161" s="3060"/>
      <c r="SFY161" s="3060"/>
      <c r="SFZ161" s="3060"/>
      <c r="SGA161" s="3060"/>
      <c r="SGB161" s="3060"/>
      <c r="SGC161" s="3060"/>
      <c r="SGD161" s="3060"/>
      <c r="SGE161" s="3060"/>
      <c r="SGF161" s="3060"/>
      <c r="SGG161" s="3060"/>
      <c r="SGH161" s="3060"/>
      <c r="SGI161" s="3060"/>
      <c r="SGJ161" s="3060"/>
      <c r="SGK161" s="3060"/>
      <c r="SGL161" s="3060"/>
      <c r="SGM161" s="3060"/>
      <c r="SGN161" s="3060"/>
      <c r="SGO161" s="3060"/>
      <c r="SGP161" s="3060"/>
      <c r="SGQ161" s="3060"/>
      <c r="SGR161" s="3060"/>
      <c r="SGS161" s="3060"/>
      <c r="SGT161" s="3060"/>
      <c r="SGU161" s="3060"/>
      <c r="SGV161" s="3060"/>
      <c r="SGW161" s="3060"/>
      <c r="SGX161" s="3060"/>
      <c r="SGY161" s="3060"/>
      <c r="SGZ161" s="3060"/>
      <c r="SHA161" s="3060"/>
      <c r="SHB161" s="3060"/>
      <c r="SHC161" s="3060"/>
      <c r="SHD161" s="3060"/>
      <c r="SHE161" s="3060"/>
      <c r="SHF161" s="3060"/>
      <c r="SHG161" s="3060"/>
      <c r="SHH161" s="3060"/>
      <c r="SHI161" s="3060"/>
      <c r="SHJ161" s="3060"/>
      <c r="SHK161" s="3060"/>
      <c r="SHL161" s="3060"/>
      <c r="SHM161" s="3060"/>
      <c r="SHN161" s="3060"/>
      <c r="SHO161" s="3060"/>
      <c r="SHP161" s="3060"/>
      <c r="SHQ161" s="3060"/>
      <c r="SHR161" s="3060"/>
      <c r="SHS161" s="3060"/>
      <c r="SHT161" s="3060"/>
      <c r="SHU161" s="3060"/>
      <c r="SHV161" s="3060"/>
      <c r="SHW161" s="3060"/>
      <c r="SHX161" s="3060"/>
      <c r="SHY161" s="3060"/>
      <c r="SHZ161" s="3060"/>
      <c r="SIA161" s="3060"/>
      <c r="SIB161" s="3060"/>
      <c r="SIC161" s="3060"/>
      <c r="SID161" s="3060"/>
      <c r="SIE161" s="3060"/>
      <c r="SIF161" s="3060"/>
      <c r="SIG161" s="3060"/>
      <c r="SIH161" s="3060"/>
      <c r="SII161" s="3060"/>
      <c r="SIJ161" s="3060"/>
      <c r="SIK161" s="3060"/>
      <c r="SIL161" s="3060"/>
      <c r="SIM161" s="3060"/>
      <c r="SIN161" s="3060"/>
      <c r="SIO161" s="3060"/>
      <c r="SIP161" s="3060"/>
      <c r="SIQ161" s="3060"/>
      <c r="SIR161" s="3060"/>
      <c r="SIS161" s="3060"/>
      <c r="SIT161" s="3060"/>
      <c r="SIU161" s="3060"/>
      <c r="SIV161" s="3060"/>
      <c r="SIW161" s="3060"/>
      <c r="SIX161" s="3060"/>
      <c r="SIY161" s="3060"/>
      <c r="SIZ161" s="3060"/>
      <c r="SJA161" s="3060"/>
      <c r="SJB161" s="3060"/>
      <c r="SJC161" s="3060"/>
      <c r="SJD161" s="3060"/>
      <c r="SJE161" s="3060"/>
      <c r="SJF161" s="3060"/>
      <c r="SJG161" s="3060"/>
      <c r="SJH161" s="3060"/>
      <c r="SJI161" s="3060"/>
      <c r="SJJ161" s="3060"/>
      <c r="SJK161" s="3060"/>
      <c r="SJL161" s="3060"/>
      <c r="SJM161" s="3060"/>
      <c r="SJN161" s="3060"/>
      <c r="SJO161" s="3060"/>
      <c r="SJP161" s="3060"/>
      <c r="SJQ161" s="3060"/>
      <c r="SJR161" s="3060"/>
      <c r="SJS161" s="3060"/>
      <c r="SJT161" s="3060"/>
      <c r="SJU161" s="3060"/>
      <c r="SJV161" s="3060"/>
      <c r="SJW161" s="3060"/>
      <c r="SJX161" s="3060"/>
      <c r="SJY161" s="3060"/>
      <c r="SJZ161" s="3060"/>
      <c r="SKA161" s="3060"/>
      <c r="SKB161" s="3060"/>
      <c r="SKC161" s="3060"/>
      <c r="SKD161" s="3060"/>
      <c r="SKE161" s="3060"/>
      <c r="SKF161" s="3060"/>
      <c r="SKG161" s="3060"/>
      <c r="SKH161" s="3060"/>
      <c r="SKI161" s="3060"/>
      <c r="SKJ161" s="3060"/>
      <c r="SKK161" s="3060"/>
      <c r="SKL161" s="3060"/>
      <c r="SKM161" s="3060"/>
      <c r="SKN161" s="3060"/>
      <c r="SKO161" s="3060"/>
      <c r="SKP161" s="3060"/>
      <c r="SKQ161" s="3060"/>
      <c r="SKR161" s="3060"/>
      <c r="SKS161" s="3060"/>
      <c r="SKT161" s="3060"/>
      <c r="SKU161" s="3060"/>
      <c r="SKV161" s="3060"/>
      <c r="SKW161" s="3060"/>
      <c r="SKX161" s="3060"/>
      <c r="SKY161" s="3060"/>
      <c r="SKZ161" s="3060"/>
      <c r="SLA161" s="3060"/>
      <c r="SLB161" s="3060"/>
      <c r="SLC161" s="3060"/>
      <c r="SLD161" s="3060"/>
      <c r="SLE161" s="3060"/>
      <c r="SLF161" s="3060"/>
      <c r="SLG161" s="3060"/>
      <c r="SLH161" s="3060"/>
      <c r="SLI161" s="3060"/>
      <c r="SLJ161" s="3060"/>
      <c r="SLK161" s="3060"/>
      <c r="SLL161" s="3060"/>
      <c r="SLM161" s="3060"/>
      <c r="SLN161" s="3060"/>
      <c r="SLO161" s="3060"/>
      <c r="SLP161" s="3060"/>
      <c r="SLQ161" s="3060"/>
      <c r="SLR161" s="3060"/>
      <c r="SLS161" s="3060"/>
      <c r="SLT161" s="3060"/>
      <c r="SLU161" s="3060"/>
      <c r="SLV161" s="3060"/>
      <c r="SLW161" s="3060"/>
      <c r="SLX161" s="3060"/>
      <c r="SLY161" s="3060"/>
      <c r="SLZ161" s="3060"/>
      <c r="SMA161" s="3060"/>
      <c r="SMB161" s="3060"/>
      <c r="SMC161" s="3060"/>
      <c r="SMD161" s="3060"/>
      <c r="SME161" s="3060"/>
      <c r="SMF161" s="3060"/>
      <c r="SMG161" s="3060"/>
      <c r="SMH161" s="3060"/>
      <c r="SMI161" s="3060"/>
      <c r="SMJ161" s="3060"/>
      <c r="SMK161" s="3060"/>
      <c r="SML161" s="3060"/>
      <c r="SMM161" s="3060"/>
      <c r="SMN161" s="3060"/>
      <c r="SMO161" s="3060"/>
      <c r="SMP161" s="3060"/>
      <c r="SMQ161" s="3060"/>
      <c r="SMR161" s="3060"/>
      <c r="SMS161" s="3060"/>
      <c r="SMT161" s="3060"/>
      <c r="SMU161" s="3060"/>
      <c r="SMV161" s="3060"/>
      <c r="SMW161" s="3060"/>
      <c r="SMX161" s="3060"/>
      <c r="SMY161" s="3060"/>
      <c r="SMZ161" s="3060"/>
      <c r="SNA161" s="3060"/>
      <c r="SNB161" s="3060"/>
      <c r="SNC161" s="3060"/>
      <c r="SND161" s="3060"/>
      <c r="SNE161" s="3060"/>
      <c r="SNF161" s="3060"/>
      <c r="SNG161" s="3060"/>
      <c r="SNH161" s="3060"/>
      <c r="SNI161" s="3060"/>
      <c r="SNJ161" s="3060"/>
      <c r="SNK161" s="3060"/>
      <c r="SNL161" s="3060"/>
      <c r="SNM161" s="3060"/>
      <c r="SNN161" s="3060"/>
      <c r="SNO161" s="3060"/>
      <c r="SNP161" s="3060"/>
      <c r="SNQ161" s="3060"/>
      <c r="SNR161" s="3060"/>
      <c r="SNS161" s="3060"/>
      <c r="SNT161" s="3060"/>
      <c r="SNU161" s="3060"/>
      <c r="SNV161" s="3060"/>
      <c r="SNW161" s="3060"/>
      <c r="SNX161" s="3060"/>
      <c r="SNY161" s="3060"/>
      <c r="SNZ161" s="3060"/>
      <c r="SOA161" s="3060"/>
      <c r="SOB161" s="3060"/>
      <c r="SOC161" s="3060"/>
      <c r="SOD161" s="3060"/>
      <c r="SOE161" s="3060"/>
      <c r="SOF161" s="3060"/>
      <c r="SOG161" s="3060"/>
      <c r="SOH161" s="3060"/>
      <c r="SOI161" s="3060"/>
      <c r="SOJ161" s="3060"/>
      <c r="SOK161" s="3060"/>
      <c r="SOL161" s="3060"/>
      <c r="SOM161" s="3060"/>
      <c r="SON161" s="3060"/>
      <c r="SOO161" s="3060"/>
      <c r="SOP161" s="3060"/>
      <c r="SOQ161" s="3060"/>
      <c r="SOR161" s="3060"/>
      <c r="SOS161" s="3060"/>
      <c r="SOT161" s="3060"/>
      <c r="SOU161" s="3060"/>
      <c r="SOV161" s="3060"/>
      <c r="SOW161" s="3060"/>
      <c r="SOX161" s="3060"/>
      <c r="SOY161" s="3060"/>
      <c r="SOZ161" s="3060"/>
      <c r="SPA161" s="3060"/>
      <c r="SPB161" s="3060"/>
      <c r="SPC161" s="3060"/>
      <c r="SPD161" s="3060"/>
      <c r="SPE161" s="3060"/>
      <c r="SPF161" s="3060"/>
      <c r="SPG161" s="3060"/>
      <c r="SPH161" s="3060"/>
      <c r="SPI161" s="3060"/>
      <c r="SPJ161" s="3060"/>
      <c r="SPK161" s="3060"/>
      <c r="SPL161" s="3060"/>
      <c r="SPM161" s="3060"/>
      <c r="SPN161" s="3060"/>
      <c r="SPO161" s="3060"/>
      <c r="SPP161" s="3060"/>
      <c r="SPQ161" s="3060"/>
      <c r="SPR161" s="3060"/>
      <c r="SPS161" s="3060"/>
      <c r="SPT161" s="3060"/>
      <c r="SPU161" s="3060"/>
      <c r="SPV161" s="3060"/>
      <c r="SPW161" s="3060"/>
      <c r="SPX161" s="3060"/>
      <c r="SPY161" s="3060"/>
      <c r="SPZ161" s="3060"/>
      <c r="SQA161" s="3060"/>
      <c r="SQB161" s="3060"/>
      <c r="SQC161" s="3060"/>
      <c r="SQD161" s="3060"/>
      <c r="SQE161" s="3060"/>
      <c r="SQF161" s="3060"/>
      <c r="SQG161" s="3060"/>
      <c r="SQH161" s="3060"/>
      <c r="SQI161" s="3060"/>
      <c r="SQJ161" s="3060"/>
      <c r="SQK161" s="3060"/>
      <c r="SQL161" s="3060"/>
      <c r="SQM161" s="3060"/>
      <c r="SQN161" s="3060"/>
      <c r="SQO161" s="3060"/>
      <c r="SQP161" s="3060"/>
      <c r="SQQ161" s="3060"/>
      <c r="SQR161" s="3060"/>
      <c r="SQS161" s="3060"/>
      <c r="SQT161" s="3060"/>
      <c r="SQU161" s="3060"/>
      <c r="SQV161" s="3060"/>
      <c r="SQW161" s="3060"/>
      <c r="SQX161" s="3060"/>
      <c r="SQY161" s="3060"/>
      <c r="SQZ161" s="3060"/>
      <c r="SRA161" s="3060"/>
      <c r="SRB161" s="3060"/>
      <c r="SRC161" s="3060"/>
      <c r="SRD161" s="3060"/>
      <c r="SRE161" s="3060"/>
      <c r="SRF161" s="3060"/>
      <c r="SRG161" s="3060"/>
      <c r="SRH161" s="3060"/>
      <c r="SRI161" s="3060"/>
      <c r="SRJ161" s="3060"/>
      <c r="SRK161" s="3060"/>
      <c r="SRL161" s="3060"/>
      <c r="SRM161" s="3060"/>
      <c r="SRN161" s="3060"/>
      <c r="SRO161" s="3060"/>
      <c r="SRP161" s="3060"/>
      <c r="SRQ161" s="3060"/>
      <c r="SRR161" s="3060"/>
      <c r="SRS161" s="3060"/>
      <c r="SRT161" s="3060"/>
      <c r="SRU161" s="3060"/>
      <c r="SRV161" s="3060"/>
      <c r="SRW161" s="3060"/>
      <c r="SRX161" s="3060"/>
      <c r="SRY161" s="3060"/>
      <c r="SRZ161" s="3060"/>
      <c r="SSA161" s="3060"/>
      <c r="SSB161" s="3060"/>
      <c r="SSC161" s="3060"/>
      <c r="SSD161" s="3060"/>
      <c r="SSE161" s="3060"/>
      <c r="SSF161" s="3060"/>
      <c r="SSG161" s="3060"/>
      <c r="SSH161" s="3060"/>
      <c r="SSI161" s="3060"/>
      <c r="SSJ161" s="3060"/>
      <c r="SSK161" s="3060"/>
      <c r="SSL161" s="3060"/>
      <c r="SSM161" s="3060"/>
      <c r="SSN161" s="3060"/>
      <c r="SSO161" s="3060"/>
      <c r="SSP161" s="3060"/>
      <c r="SSQ161" s="3060"/>
      <c r="SSR161" s="3060"/>
      <c r="SSS161" s="3060"/>
      <c r="SST161" s="3060"/>
      <c r="SSU161" s="3060"/>
      <c r="SSV161" s="3060"/>
      <c r="SSW161" s="3060"/>
      <c r="SSX161" s="3060"/>
      <c r="SSY161" s="3060"/>
      <c r="SSZ161" s="3060"/>
      <c r="STA161" s="3060"/>
      <c r="STB161" s="3060"/>
      <c r="STC161" s="3060"/>
      <c r="STD161" s="3060"/>
      <c r="STE161" s="3060"/>
      <c r="STF161" s="3060"/>
      <c r="STG161" s="3060"/>
      <c r="STH161" s="3060"/>
      <c r="STI161" s="3060"/>
      <c r="STJ161" s="3060"/>
      <c r="STK161" s="3060"/>
      <c r="STL161" s="3060"/>
      <c r="STM161" s="3060"/>
      <c r="STN161" s="3060"/>
      <c r="STO161" s="3060"/>
      <c r="STP161" s="3060"/>
      <c r="STQ161" s="3060"/>
      <c r="STR161" s="3060"/>
      <c r="STS161" s="3060"/>
      <c r="STT161" s="3060"/>
      <c r="STU161" s="3060"/>
      <c r="STV161" s="3060"/>
      <c r="STW161" s="3060"/>
      <c r="STX161" s="3060"/>
      <c r="STY161" s="3060"/>
      <c r="STZ161" s="3060"/>
      <c r="SUA161" s="3060"/>
      <c r="SUB161" s="3060"/>
      <c r="SUC161" s="3060"/>
      <c r="SUD161" s="3060"/>
      <c r="SUE161" s="3060"/>
      <c r="SUF161" s="3060"/>
      <c r="SUG161" s="3060"/>
      <c r="SUH161" s="3060"/>
      <c r="SUI161" s="3060"/>
      <c r="SUJ161" s="3060"/>
      <c r="SUK161" s="3060"/>
      <c r="SUL161" s="3060"/>
      <c r="SUM161" s="3060"/>
      <c r="SUN161" s="3060"/>
      <c r="SUO161" s="3060"/>
      <c r="SUP161" s="3060"/>
      <c r="SUQ161" s="3060"/>
      <c r="SUR161" s="3060"/>
      <c r="SUS161" s="3060"/>
      <c r="SUT161" s="3060"/>
      <c r="SUU161" s="3060"/>
      <c r="SUV161" s="3060"/>
      <c r="SUW161" s="3060"/>
      <c r="SUX161" s="3060"/>
      <c r="SUY161" s="3060"/>
      <c r="SUZ161" s="3060"/>
      <c r="SVA161" s="3060"/>
      <c r="SVB161" s="3060"/>
      <c r="SVC161" s="3060"/>
      <c r="SVD161" s="3060"/>
      <c r="SVE161" s="3060"/>
      <c r="SVF161" s="3060"/>
      <c r="SVG161" s="3060"/>
      <c r="SVH161" s="3060"/>
      <c r="SVI161" s="3060"/>
      <c r="SVJ161" s="3060"/>
      <c r="SVK161" s="3060"/>
      <c r="SVL161" s="3060"/>
      <c r="SVM161" s="3060"/>
      <c r="SVN161" s="3060"/>
      <c r="SVO161" s="3060"/>
      <c r="SVP161" s="3060"/>
      <c r="SVQ161" s="3060"/>
      <c r="SVR161" s="3060"/>
      <c r="SVS161" s="3060"/>
      <c r="SVT161" s="3060"/>
      <c r="SVU161" s="3060"/>
      <c r="SVV161" s="3060"/>
      <c r="SVW161" s="3060"/>
      <c r="SVX161" s="3060"/>
      <c r="SVY161" s="3060"/>
      <c r="SVZ161" s="3060"/>
      <c r="SWA161" s="3060"/>
      <c r="SWB161" s="3060"/>
      <c r="SWC161" s="3060"/>
      <c r="SWD161" s="3060"/>
      <c r="SWE161" s="3060"/>
      <c r="SWF161" s="3060"/>
      <c r="SWG161" s="3060"/>
      <c r="SWH161" s="3060"/>
      <c r="SWI161" s="3060"/>
      <c r="SWJ161" s="3060"/>
      <c r="SWK161" s="3060"/>
      <c r="SWL161" s="3060"/>
      <c r="SWM161" s="3060"/>
      <c r="SWN161" s="3060"/>
      <c r="SWO161" s="3060"/>
      <c r="SWP161" s="3060"/>
      <c r="SWQ161" s="3060"/>
      <c r="SWR161" s="3060"/>
      <c r="SWS161" s="3060"/>
      <c r="SWT161" s="3060"/>
      <c r="SWU161" s="3060"/>
      <c r="SWV161" s="3060"/>
      <c r="SWW161" s="3060"/>
      <c r="SWX161" s="3060"/>
      <c r="SWY161" s="3060"/>
      <c r="SWZ161" s="3060"/>
      <c r="SXA161" s="3060"/>
      <c r="SXB161" s="3060"/>
      <c r="SXC161" s="3060"/>
      <c r="SXD161" s="3060"/>
      <c r="SXE161" s="3060"/>
      <c r="SXF161" s="3060"/>
      <c r="SXG161" s="3060"/>
      <c r="SXH161" s="3060"/>
      <c r="SXI161" s="3060"/>
      <c r="SXJ161" s="3060"/>
      <c r="SXK161" s="3060"/>
      <c r="SXL161" s="3060"/>
      <c r="SXM161" s="3060"/>
      <c r="SXN161" s="3060"/>
      <c r="SXO161" s="3060"/>
      <c r="SXP161" s="3060"/>
      <c r="SXQ161" s="3060"/>
      <c r="SXR161" s="3060"/>
      <c r="SXS161" s="3060"/>
      <c r="SXT161" s="3060"/>
      <c r="SXU161" s="3060"/>
      <c r="SXV161" s="3060"/>
      <c r="SXW161" s="3060"/>
      <c r="SXX161" s="3060"/>
      <c r="SXY161" s="3060"/>
      <c r="SXZ161" s="3060"/>
      <c r="SYA161" s="3060"/>
      <c r="SYB161" s="3060"/>
      <c r="SYC161" s="3060"/>
      <c r="SYD161" s="3060"/>
      <c r="SYE161" s="3060"/>
      <c r="SYF161" s="3060"/>
      <c r="SYG161" s="3060"/>
      <c r="SYH161" s="3060"/>
      <c r="SYI161" s="3060"/>
      <c r="SYJ161" s="3060"/>
      <c r="SYK161" s="3060"/>
      <c r="SYL161" s="3060"/>
      <c r="SYM161" s="3060"/>
      <c r="SYN161" s="3060"/>
      <c r="SYO161" s="3060"/>
      <c r="SYP161" s="3060"/>
      <c r="SYQ161" s="3060"/>
      <c r="SYR161" s="3060"/>
      <c r="SYS161" s="3060"/>
      <c r="SYT161" s="3060"/>
      <c r="SYU161" s="3060"/>
      <c r="SYV161" s="3060"/>
      <c r="SYW161" s="3060"/>
      <c r="SYX161" s="3060"/>
      <c r="SYY161" s="3060"/>
      <c r="SYZ161" s="3060"/>
      <c r="SZA161" s="3060"/>
      <c r="SZB161" s="3060"/>
      <c r="SZC161" s="3060"/>
      <c r="SZD161" s="3060"/>
      <c r="SZE161" s="3060"/>
      <c r="SZF161" s="3060"/>
      <c r="SZG161" s="3060"/>
      <c r="SZH161" s="3060"/>
      <c r="SZI161" s="3060"/>
      <c r="SZJ161" s="3060"/>
      <c r="SZK161" s="3060"/>
      <c r="SZL161" s="3060"/>
      <c r="SZM161" s="3060"/>
      <c r="SZN161" s="3060"/>
      <c r="SZO161" s="3060"/>
      <c r="SZP161" s="3060"/>
      <c r="SZQ161" s="3060"/>
      <c r="SZR161" s="3060"/>
      <c r="SZS161" s="3060"/>
      <c r="SZT161" s="3060"/>
      <c r="SZU161" s="3060"/>
      <c r="SZV161" s="3060"/>
      <c r="SZW161" s="3060"/>
      <c r="SZX161" s="3060"/>
      <c r="SZY161" s="3060"/>
      <c r="SZZ161" s="3060"/>
      <c r="TAA161" s="3060"/>
      <c r="TAB161" s="3060"/>
      <c r="TAC161" s="3060"/>
      <c r="TAD161" s="3060"/>
      <c r="TAE161" s="3060"/>
      <c r="TAF161" s="3060"/>
      <c r="TAG161" s="3060"/>
      <c r="TAH161" s="3060"/>
      <c r="TAI161" s="3060"/>
      <c r="TAJ161" s="3060"/>
      <c r="TAK161" s="3060"/>
      <c r="TAL161" s="3060"/>
      <c r="TAM161" s="3060"/>
      <c r="TAN161" s="3060"/>
      <c r="TAO161" s="3060"/>
      <c r="TAP161" s="3060"/>
      <c r="TAQ161" s="3060"/>
      <c r="TAR161" s="3060"/>
      <c r="TAS161" s="3060"/>
      <c r="TAT161" s="3060"/>
      <c r="TAU161" s="3060"/>
      <c r="TAV161" s="3060"/>
      <c r="TAW161" s="3060"/>
      <c r="TAX161" s="3060"/>
      <c r="TAY161" s="3060"/>
      <c r="TAZ161" s="3060"/>
      <c r="TBA161" s="3060"/>
      <c r="TBB161" s="3060"/>
      <c r="TBC161" s="3060"/>
      <c r="TBD161" s="3060"/>
      <c r="TBE161" s="3060"/>
      <c r="TBF161" s="3060"/>
      <c r="TBG161" s="3060"/>
      <c r="TBH161" s="3060"/>
      <c r="TBI161" s="3060"/>
      <c r="TBJ161" s="3060"/>
      <c r="TBK161" s="3060"/>
      <c r="TBL161" s="3060"/>
      <c r="TBM161" s="3060"/>
      <c r="TBN161" s="3060"/>
      <c r="TBO161" s="3060"/>
      <c r="TBP161" s="3060"/>
      <c r="TBQ161" s="3060"/>
      <c r="TBR161" s="3060"/>
      <c r="TBS161" s="3060"/>
      <c r="TBT161" s="3060"/>
      <c r="TBU161" s="3060"/>
      <c r="TBV161" s="3060"/>
      <c r="TBW161" s="3060"/>
      <c r="TBX161" s="3060"/>
      <c r="TBY161" s="3060"/>
      <c r="TBZ161" s="3060"/>
      <c r="TCA161" s="3060"/>
      <c r="TCB161" s="3060"/>
      <c r="TCC161" s="3060"/>
      <c r="TCD161" s="3060"/>
      <c r="TCE161" s="3060"/>
      <c r="TCF161" s="3060"/>
      <c r="TCG161" s="3060"/>
      <c r="TCH161" s="3060"/>
      <c r="TCI161" s="3060"/>
      <c r="TCJ161" s="3060"/>
      <c r="TCK161" s="3060"/>
      <c r="TCL161" s="3060"/>
      <c r="TCM161" s="3060"/>
      <c r="TCN161" s="3060"/>
      <c r="TCO161" s="3060"/>
      <c r="TCP161" s="3060"/>
      <c r="TCQ161" s="3060"/>
      <c r="TCR161" s="3060"/>
      <c r="TCS161" s="3060"/>
      <c r="TCT161" s="3060"/>
      <c r="TCU161" s="3060"/>
      <c r="TCV161" s="3060"/>
      <c r="TCW161" s="3060"/>
      <c r="TCX161" s="3060"/>
      <c r="TCY161" s="3060"/>
      <c r="TCZ161" s="3060"/>
      <c r="TDA161" s="3060"/>
      <c r="TDB161" s="3060"/>
      <c r="TDC161" s="3060"/>
      <c r="TDD161" s="3060"/>
      <c r="TDE161" s="3060"/>
      <c r="TDF161" s="3060"/>
      <c r="TDG161" s="3060"/>
      <c r="TDH161" s="3060"/>
      <c r="TDI161" s="3060"/>
      <c r="TDJ161" s="3060"/>
      <c r="TDK161" s="3060"/>
      <c r="TDL161" s="3060"/>
      <c r="TDM161" s="3060"/>
      <c r="TDN161" s="3060"/>
      <c r="TDO161" s="3060"/>
      <c r="TDP161" s="3060"/>
      <c r="TDQ161" s="3060"/>
      <c r="TDR161" s="3060"/>
      <c r="TDS161" s="3060"/>
      <c r="TDT161" s="3060"/>
      <c r="TDU161" s="3060"/>
      <c r="TDV161" s="3060"/>
      <c r="TDW161" s="3060"/>
      <c r="TDX161" s="3060"/>
      <c r="TDY161" s="3060"/>
      <c r="TDZ161" s="3060"/>
      <c r="TEA161" s="3060"/>
      <c r="TEB161" s="3060"/>
      <c r="TEC161" s="3060"/>
      <c r="TED161" s="3060"/>
      <c r="TEE161" s="3060"/>
      <c r="TEF161" s="3060"/>
      <c r="TEG161" s="3060"/>
      <c r="TEH161" s="3060"/>
      <c r="TEI161" s="3060"/>
      <c r="TEJ161" s="3060"/>
      <c r="TEK161" s="3060"/>
      <c r="TEL161" s="3060"/>
      <c r="TEM161" s="3060"/>
      <c r="TEN161" s="3060"/>
      <c r="TEO161" s="3060"/>
      <c r="TEP161" s="3060"/>
      <c r="TEQ161" s="3060"/>
      <c r="TER161" s="3060"/>
      <c r="TES161" s="3060"/>
      <c r="TET161" s="3060"/>
      <c r="TEU161" s="3060"/>
      <c r="TEV161" s="3060"/>
      <c r="TEW161" s="3060"/>
      <c r="TEX161" s="3060"/>
      <c r="TEY161" s="3060"/>
      <c r="TEZ161" s="3060"/>
      <c r="TFA161" s="3060"/>
      <c r="TFB161" s="3060"/>
      <c r="TFC161" s="3060"/>
      <c r="TFD161" s="3060"/>
      <c r="TFE161" s="3060"/>
      <c r="TFF161" s="3060"/>
      <c r="TFG161" s="3060"/>
      <c r="TFH161" s="3060"/>
      <c r="TFI161" s="3060"/>
      <c r="TFJ161" s="3060"/>
      <c r="TFK161" s="3060"/>
      <c r="TFL161" s="3060"/>
      <c r="TFM161" s="3060"/>
      <c r="TFN161" s="3060"/>
      <c r="TFO161" s="3060"/>
      <c r="TFP161" s="3060"/>
      <c r="TFQ161" s="3060"/>
      <c r="TFR161" s="3060"/>
      <c r="TFS161" s="3060"/>
      <c r="TFT161" s="3060"/>
      <c r="TFU161" s="3060"/>
      <c r="TFV161" s="3060"/>
      <c r="TFW161" s="3060"/>
      <c r="TFX161" s="3060"/>
      <c r="TFY161" s="3060"/>
      <c r="TFZ161" s="3060"/>
      <c r="TGA161" s="3060"/>
      <c r="TGB161" s="3060"/>
      <c r="TGC161" s="3060"/>
      <c r="TGD161" s="3060"/>
      <c r="TGE161" s="3060"/>
      <c r="TGF161" s="3060"/>
      <c r="TGG161" s="3060"/>
      <c r="TGH161" s="3060"/>
      <c r="TGI161" s="3060"/>
      <c r="TGJ161" s="3060"/>
      <c r="TGK161" s="3060"/>
      <c r="TGL161" s="3060"/>
      <c r="TGM161" s="3060"/>
      <c r="TGN161" s="3060"/>
      <c r="TGO161" s="3060"/>
      <c r="TGP161" s="3060"/>
      <c r="TGQ161" s="3060"/>
      <c r="TGR161" s="3060"/>
      <c r="TGS161" s="3060"/>
      <c r="TGT161" s="3060"/>
      <c r="TGU161" s="3060"/>
      <c r="TGV161" s="3060"/>
      <c r="TGW161" s="3060"/>
      <c r="TGX161" s="3060"/>
      <c r="TGY161" s="3060"/>
      <c r="TGZ161" s="3060"/>
      <c r="THA161" s="3060"/>
      <c r="THB161" s="3060"/>
      <c r="THC161" s="3060"/>
      <c r="THD161" s="3060"/>
      <c r="THE161" s="3060"/>
      <c r="THF161" s="3060"/>
      <c r="THG161" s="3060"/>
      <c r="THH161" s="3060"/>
      <c r="THI161" s="3060"/>
      <c r="THJ161" s="3060"/>
      <c r="THK161" s="3060"/>
      <c r="THL161" s="3060"/>
      <c r="THM161" s="3060"/>
      <c r="THN161" s="3060"/>
      <c r="THO161" s="3060"/>
      <c r="THP161" s="3060"/>
      <c r="THQ161" s="3060"/>
      <c r="THR161" s="3060"/>
      <c r="THS161" s="3060"/>
      <c r="THT161" s="3060"/>
      <c r="THU161" s="3060"/>
      <c r="THV161" s="3060"/>
      <c r="THW161" s="3060"/>
      <c r="THX161" s="3060"/>
      <c r="THY161" s="3060"/>
      <c r="THZ161" s="3060"/>
      <c r="TIA161" s="3060"/>
      <c r="TIB161" s="3060"/>
      <c r="TIC161" s="3060"/>
      <c r="TID161" s="3060"/>
      <c r="TIE161" s="3060"/>
      <c r="TIF161" s="3060"/>
      <c r="TIG161" s="3060"/>
      <c r="TIH161" s="3060"/>
      <c r="TII161" s="3060"/>
      <c r="TIJ161" s="3060"/>
      <c r="TIK161" s="3060"/>
      <c r="TIL161" s="3060"/>
      <c r="TIM161" s="3060"/>
      <c r="TIN161" s="3060"/>
      <c r="TIO161" s="3060"/>
      <c r="TIP161" s="3060"/>
      <c r="TIQ161" s="3060"/>
      <c r="TIR161" s="3060"/>
      <c r="TIS161" s="3060"/>
      <c r="TIT161" s="3060"/>
      <c r="TIU161" s="3060"/>
      <c r="TIV161" s="3060"/>
      <c r="TIW161" s="3060"/>
      <c r="TIX161" s="3060"/>
      <c r="TIY161" s="3060"/>
      <c r="TIZ161" s="3060"/>
      <c r="TJA161" s="3060"/>
      <c r="TJB161" s="3060"/>
      <c r="TJC161" s="3060"/>
      <c r="TJD161" s="3060"/>
      <c r="TJE161" s="3060"/>
      <c r="TJF161" s="3060"/>
      <c r="TJG161" s="3060"/>
      <c r="TJH161" s="3060"/>
      <c r="TJI161" s="3060"/>
      <c r="TJJ161" s="3060"/>
      <c r="TJK161" s="3060"/>
      <c r="TJL161" s="3060"/>
      <c r="TJM161" s="3060"/>
      <c r="TJN161" s="3060"/>
      <c r="TJO161" s="3060"/>
      <c r="TJP161" s="3060"/>
      <c r="TJQ161" s="3060"/>
      <c r="TJR161" s="3060"/>
      <c r="TJS161" s="3060"/>
      <c r="TJT161" s="3060"/>
      <c r="TJU161" s="3060"/>
      <c r="TJV161" s="3060"/>
      <c r="TJW161" s="3060"/>
      <c r="TJX161" s="3060"/>
      <c r="TJY161" s="3060"/>
      <c r="TJZ161" s="3060"/>
      <c r="TKA161" s="3060"/>
      <c r="TKB161" s="3060"/>
      <c r="TKC161" s="3060"/>
      <c r="TKD161" s="3060"/>
      <c r="TKE161" s="3060"/>
      <c r="TKF161" s="3060"/>
      <c r="TKG161" s="3060"/>
      <c r="TKH161" s="3060"/>
      <c r="TKI161" s="3060"/>
      <c r="TKJ161" s="3060"/>
      <c r="TKK161" s="3060"/>
      <c r="TKL161" s="3060"/>
      <c r="TKM161" s="3060"/>
      <c r="TKN161" s="3060"/>
      <c r="TKO161" s="3060"/>
      <c r="TKP161" s="3060"/>
      <c r="TKQ161" s="3060"/>
      <c r="TKR161" s="3060"/>
      <c r="TKS161" s="3060"/>
      <c r="TKT161" s="3060"/>
      <c r="TKU161" s="3060"/>
      <c r="TKV161" s="3060"/>
      <c r="TKW161" s="3060"/>
      <c r="TKX161" s="3060"/>
      <c r="TKY161" s="3060"/>
      <c r="TKZ161" s="3060"/>
      <c r="TLA161" s="3060"/>
      <c r="TLB161" s="3060"/>
      <c r="TLC161" s="3060"/>
      <c r="TLD161" s="3060"/>
      <c r="TLE161" s="3060"/>
      <c r="TLF161" s="3060"/>
      <c r="TLG161" s="3060"/>
      <c r="TLH161" s="3060"/>
      <c r="TLI161" s="3060"/>
      <c r="TLJ161" s="3060"/>
      <c r="TLK161" s="3060"/>
      <c r="TLL161" s="3060"/>
      <c r="TLM161" s="3060"/>
      <c r="TLN161" s="3060"/>
      <c r="TLO161" s="3060"/>
      <c r="TLP161" s="3060"/>
      <c r="TLQ161" s="3060"/>
      <c r="TLR161" s="3060"/>
      <c r="TLS161" s="3060"/>
      <c r="TLT161" s="3060"/>
      <c r="TLU161" s="3060"/>
      <c r="TLV161" s="3060"/>
      <c r="TLW161" s="3060"/>
      <c r="TLX161" s="3060"/>
      <c r="TLY161" s="3060"/>
      <c r="TLZ161" s="3060"/>
      <c r="TMA161" s="3060"/>
      <c r="TMB161" s="3060"/>
      <c r="TMC161" s="3060"/>
      <c r="TMD161" s="3060"/>
      <c r="TME161" s="3060"/>
      <c r="TMF161" s="3060"/>
      <c r="TMG161" s="3060"/>
      <c r="TMH161" s="3060"/>
      <c r="TMI161" s="3060"/>
      <c r="TMJ161" s="3060"/>
      <c r="TMK161" s="3060"/>
      <c r="TML161" s="3060"/>
      <c r="TMM161" s="3060"/>
      <c r="TMN161" s="3060"/>
      <c r="TMO161" s="3060"/>
      <c r="TMP161" s="3060"/>
      <c r="TMQ161" s="3060"/>
      <c r="TMR161" s="3060"/>
      <c r="TMS161" s="3060"/>
      <c r="TMT161" s="3060"/>
      <c r="TMU161" s="3060"/>
      <c r="TMV161" s="3060"/>
      <c r="TMW161" s="3060"/>
      <c r="TMX161" s="3060"/>
      <c r="TMY161" s="3060"/>
      <c r="TMZ161" s="3060"/>
      <c r="TNA161" s="3060"/>
      <c r="TNB161" s="3060"/>
      <c r="TNC161" s="3060"/>
      <c r="TND161" s="3060"/>
      <c r="TNE161" s="3060"/>
      <c r="TNF161" s="3060"/>
      <c r="TNG161" s="3060"/>
      <c r="TNH161" s="3060"/>
      <c r="TNI161" s="3060"/>
      <c r="TNJ161" s="3060"/>
      <c r="TNK161" s="3060"/>
      <c r="TNL161" s="3060"/>
      <c r="TNM161" s="3060"/>
      <c r="TNN161" s="3060"/>
      <c r="TNO161" s="3060"/>
      <c r="TNP161" s="3060"/>
      <c r="TNQ161" s="3060"/>
      <c r="TNR161" s="3060"/>
      <c r="TNS161" s="3060"/>
      <c r="TNT161" s="3060"/>
      <c r="TNU161" s="3060"/>
      <c r="TNV161" s="3060"/>
      <c r="TNW161" s="3060"/>
      <c r="TNX161" s="3060"/>
      <c r="TNY161" s="3060"/>
      <c r="TNZ161" s="3060"/>
      <c r="TOA161" s="3060"/>
      <c r="TOB161" s="3060"/>
      <c r="TOC161" s="3060"/>
      <c r="TOD161" s="3060"/>
      <c r="TOE161" s="3060"/>
      <c r="TOF161" s="3060"/>
      <c r="TOG161" s="3060"/>
      <c r="TOH161" s="3060"/>
      <c r="TOI161" s="3060"/>
      <c r="TOJ161" s="3060"/>
      <c r="TOK161" s="3060"/>
      <c r="TOL161" s="3060"/>
      <c r="TOM161" s="3060"/>
      <c r="TON161" s="3060"/>
      <c r="TOO161" s="3060"/>
      <c r="TOP161" s="3060"/>
      <c r="TOQ161" s="3060"/>
      <c r="TOR161" s="3060"/>
      <c r="TOS161" s="3060"/>
      <c r="TOT161" s="3060"/>
      <c r="TOU161" s="3060"/>
      <c r="TOV161" s="3060"/>
      <c r="TOW161" s="3060"/>
      <c r="TOX161" s="3060"/>
      <c r="TOY161" s="3060"/>
      <c r="TOZ161" s="3060"/>
      <c r="TPA161" s="3060"/>
      <c r="TPB161" s="3060"/>
      <c r="TPC161" s="3060"/>
      <c r="TPD161" s="3060"/>
      <c r="TPE161" s="3060"/>
      <c r="TPF161" s="3060"/>
      <c r="TPG161" s="3060"/>
      <c r="TPH161" s="3060"/>
      <c r="TPI161" s="3060"/>
      <c r="TPJ161" s="3060"/>
      <c r="TPK161" s="3060"/>
      <c r="TPL161" s="3060"/>
      <c r="TPM161" s="3060"/>
      <c r="TPN161" s="3060"/>
      <c r="TPO161" s="3060"/>
      <c r="TPP161" s="3060"/>
      <c r="TPQ161" s="3060"/>
      <c r="TPR161" s="3060"/>
      <c r="TPS161" s="3060"/>
      <c r="TPT161" s="3060"/>
      <c r="TPU161" s="3060"/>
      <c r="TPV161" s="3060"/>
      <c r="TPW161" s="3060"/>
      <c r="TPX161" s="3060"/>
      <c r="TPY161" s="3060"/>
      <c r="TPZ161" s="3060"/>
      <c r="TQA161" s="3060"/>
      <c r="TQB161" s="3060"/>
      <c r="TQC161" s="3060"/>
      <c r="TQD161" s="3060"/>
      <c r="TQE161" s="3060"/>
      <c r="TQF161" s="3060"/>
      <c r="TQG161" s="3060"/>
      <c r="TQH161" s="3060"/>
      <c r="TQI161" s="3060"/>
      <c r="TQJ161" s="3060"/>
      <c r="TQK161" s="3060"/>
      <c r="TQL161" s="3060"/>
      <c r="TQM161" s="3060"/>
      <c r="TQN161" s="3060"/>
      <c r="TQO161" s="3060"/>
      <c r="TQP161" s="3060"/>
      <c r="TQQ161" s="3060"/>
      <c r="TQR161" s="3060"/>
      <c r="TQS161" s="3060"/>
      <c r="TQT161" s="3060"/>
      <c r="TQU161" s="3060"/>
      <c r="TQV161" s="3060"/>
      <c r="TQW161" s="3060"/>
      <c r="TQX161" s="3060"/>
      <c r="TQY161" s="3060"/>
      <c r="TQZ161" s="3060"/>
      <c r="TRA161" s="3060"/>
      <c r="TRB161" s="3060"/>
      <c r="TRC161" s="3060"/>
      <c r="TRD161" s="3060"/>
      <c r="TRE161" s="3060"/>
      <c r="TRF161" s="3060"/>
      <c r="TRG161" s="3060"/>
      <c r="TRH161" s="3060"/>
      <c r="TRI161" s="3060"/>
      <c r="TRJ161" s="3060"/>
      <c r="TRK161" s="3060"/>
      <c r="TRL161" s="3060"/>
      <c r="TRM161" s="3060"/>
      <c r="TRN161" s="3060"/>
      <c r="TRO161" s="3060"/>
      <c r="TRP161" s="3060"/>
      <c r="TRQ161" s="3060"/>
      <c r="TRR161" s="3060"/>
      <c r="TRS161" s="3060"/>
      <c r="TRT161" s="3060"/>
      <c r="TRU161" s="3060"/>
      <c r="TRV161" s="3060"/>
      <c r="TRW161" s="3060"/>
      <c r="TRX161" s="3060"/>
      <c r="TRY161" s="3060"/>
      <c r="TRZ161" s="3060"/>
      <c r="TSA161" s="3060"/>
      <c r="TSB161" s="3060"/>
      <c r="TSC161" s="3060"/>
      <c r="TSD161" s="3060"/>
      <c r="TSE161" s="3060"/>
      <c r="TSF161" s="3060"/>
      <c r="TSG161" s="3060"/>
      <c r="TSH161" s="3060"/>
      <c r="TSI161" s="3060"/>
      <c r="TSJ161" s="3060"/>
      <c r="TSK161" s="3060"/>
      <c r="TSL161" s="3060"/>
      <c r="TSM161" s="3060"/>
      <c r="TSN161" s="3060"/>
      <c r="TSO161" s="3060"/>
      <c r="TSP161" s="3060"/>
      <c r="TSQ161" s="3060"/>
      <c r="TSR161" s="3060"/>
      <c r="TSS161" s="3060"/>
      <c r="TST161" s="3060"/>
      <c r="TSU161" s="3060"/>
      <c r="TSV161" s="3060"/>
      <c r="TSW161" s="3060"/>
      <c r="TSX161" s="3060"/>
      <c r="TSY161" s="3060"/>
      <c r="TSZ161" s="3060"/>
      <c r="TTA161" s="3060"/>
      <c r="TTB161" s="3060"/>
      <c r="TTC161" s="3060"/>
      <c r="TTD161" s="3060"/>
      <c r="TTE161" s="3060"/>
      <c r="TTF161" s="3060"/>
      <c r="TTG161" s="3060"/>
      <c r="TTH161" s="3060"/>
      <c r="TTI161" s="3060"/>
      <c r="TTJ161" s="3060"/>
      <c r="TTK161" s="3060"/>
      <c r="TTL161" s="3060"/>
      <c r="TTM161" s="3060"/>
      <c r="TTN161" s="3060"/>
      <c r="TTO161" s="3060"/>
      <c r="TTP161" s="3060"/>
      <c r="TTQ161" s="3060"/>
      <c r="TTR161" s="3060"/>
      <c r="TTS161" s="3060"/>
      <c r="TTT161" s="3060"/>
      <c r="TTU161" s="3060"/>
      <c r="TTV161" s="3060"/>
      <c r="TTW161" s="3060"/>
      <c r="TTX161" s="3060"/>
      <c r="TTY161" s="3060"/>
      <c r="TTZ161" s="3060"/>
      <c r="TUA161" s="3060"/>
      <c r="TUB161" s="3060"/>
      <c r="TUC161" s="3060"/>
      <c r="TUD161" s="3060"/>
      <c r="TUE161" s="3060"/>
      <c r="TUF161" s="3060"/>
      <c r="TUG161" s="3060"/>
      <c r="TUH161" s="3060"/>
      <c r="TUI161" s="3060"/>
      <c r="TUJ161" s="3060"/>
      <c r="TUK161" s="3060"/>
      <c r="TUL161" s="3060"/>
      <c r="TUM161" s="3060"/>
      <c r="TUN161" s="3060"/>
      <c r="TUO161" s="3060"/>
      <c r="TUP161" s="3060"/>
      <c r="TUQ161" s="3060"/>
      <c r="TUR161" s="3060"/>
      <c r="TUS161" s="3060"/>
      <c r="TUT161" s="3060"/>
      <c r="TUU161" s="3060"/>
      <c r="TUV161" s="3060"/>
      <c r="TUW161" s="3060"/>
      <c r="TUX161" s="3060"/>
      <c r="TUY161" s="3060"/>
      <c r="TUZ161" s="3060"/>
      <c r="TVA161" s="3060"/>
      <c r="TVB161" s="3060"/>
      <c r="TVC161" s="3060"/>
      <c r="TVD161" s="3060"/>
      <c r="TVE161" s="3060"/>
      <c r="TVF161" s="3060"/>
      <c r="TVG161" s="3060"/>
      <c r="TVH161" s="3060"/>
      <c r="TVI161" s="3060"/>
      <c r="TVJ161" s="3060"/>
      <c r="TVK161" s="3060"/>
      <c r="TVL161" s="3060"/>
      <c r="TVM161" s="3060"/>
      <c r="TVN161" s="3060"/>
      <c r="TVO161" s="3060"/>
      <c r="TVP161" s="3060"/>
      <c r="TVQ161" s="3060"/>
      <c r="TVR161" s="3060"/>
      <c r="TVS161" s="3060"/>
      <c r="TVT161" s="3060"/>
      <c r="TVU161" s="3060"/>
      <c r="TVV161" s="3060"/>
      <c r="TVW161" s="3060"/>
      <c r="TVX161" s="3060"/>
      <c r="TVY161" s="3060"/>
      <c r="TVZ161" s="3060"/>
      <c r="TWA161" s="3060"/>
      <c r="TWB161" s="3060"/>
      <c r="TWC161" s="3060"/>
      <c r="TWD161" s="3060"/>
      <c r="TWE161" s="3060"/>
      <c r="TWF161" s="3060"/>
      <c r="TWG161" s="3060"/>
      <c r="TWH161" s="3060"/>
      <c r="TWI161" s="3060"/>
      <c r="TWJ161" s="3060"/>
      <c r="TWK161" s="3060"/>
      <c r="TWL161" s="3060"/>
      <c r="TWM161" s="3060"/>
      <c r="TWN161" s="3060"/>
      <c r="TWO161" s="3060"/>
      <c r="TWP161" s="3060"/>
      <c r="TWQ161" s="3060"/>
      <c r="TWR161" s="3060"/>
      <c r="TWS161" s="3060"/>
      <c r="TWT161" s="3060"/>
      <c r="TWU161" s="3060"/>
      <c r="TWV161" s="3060"/>
      <c r="TWW161" s="3060"/>
      <c r="TWX161" s="3060"/>
      <c r="TWY161" s="3060"/>
      <c r="TWZ161" s="3060"/>
      <c r="TXA161" s="3060"/>
      <c r="TXB161" s="3060"/>
      <c r="TXC161" s="3060"/>
      <c r="TXD161" s="3060"/>
      <c r="TXE161" s="3060"/>
      <c r="TXF161" s="3060"/>
      <c r="TXG161" s="3060"/>
      <c r="TXH161" s="3060"/>
      <c r="TXI161" s="3060"/>
      <c r="TXJ161" s="3060"/>
      <c r="TXK161" s="3060"/>
      <c r="TXL161" s="3060"/>
      <c r="TXM161" s="3060"/>
      <c r="TXN161" s="3060"/>
      <c r="TXO161" s="3060"/>
      <c r="TXP161" s="3060"/>
      <c r="TXQ161" s="3060"/>
      <c r="TXR161" s="3060"/>
      <c r="TXS161" s="3060"/>
      <c r="TXT161" s="3060"/>
      <c r="TXU161" s="3060"/>
      <c r="TXV161" s="3060"/>
      <c r="TXW161" s="3060"/>
      <c r="TXX161" s="3060"/>
      <c r="TXY161" s="3060"/>
      <c r="TXZ161" s="3060"/>
      <c r="TYA161" s="3060"/>
      <c r="TYB161" s="3060"/>
      <c r="TYC161" s="3060"/>
      <c r="TYD161" s="3060"/>
      <c r="TYE161" s="3060"/>
      <c r="TYF161" s="3060"/>
      <c r="TYG161" s="3060"/>
      <c r="TYH161" s="3060"/>
      <c r="TYI161" s="3060"/>
      <c r="TYJ161" s="3060"/>
      <c r="TYK161" s="3060"/>
      <c r="TYL161" s="3060"/>
      <c r="TYM161" s="3060"/>
      <c r="TYN161" s="3060"/>
      <c r="TYO161" s="3060"/>
      <c r="TYP161" s="3060"/>
      <c r="TYQ161" s="3060"/>
      <c r="TYR161" s="3060"/>
      <c r="TYS161" s="3060"/>
      <c r="TYT161" s="3060"/>
      <c r="TYU161" s="3060"/>
      <c r="TYV161" s="3060"/>
      <c r="TYW161" s="3060"/>
      <c r="TYX161" s="3060"/>
      <c r="TYY161" s="3060"/>
      <c r="TYZ161" s="3060"/>
      <c r="TZA161" s="3060"/>
      <c r="TZB161" s="3060"/>
      <c r="TZC161" s="3060"/>
      <c r="TZD161" s="3060"/>
      <c r="TZE161" s="3060"/>
      <c r="TZF161" s="3060"/>
      <c r="TZG161" s="3060"/>
      <c r="TZH161" s="3060"/>
      <c r="TZI161" s="3060"/>
      <c r="TZJ161" s="3060"/>
      <c r="TZK161" s="3060"/>
      <c r="TZL161" s="3060"/>
      <c r="TZM161" s="3060"/>
      <c r="TZN161" s="3060"/>
      <c r="TZO161" s="3060"/>
      <c r="TZP161" s="3060"/>
      <c r="TZQ161" s="3060"/>
      <c r="TZR161" s="3060"/>
      <c r="TZS161" s="3060"/>
      <c r="TZT161" s="3060"/>
      <c r="TZU161" s="3060"/>
      <c r="TZV161" s="3060"/>
      <c r="TZW161" s="3060"/>
      <c r="TZX161" s="3060"/>
      <c r="TZY161" s="3060"/>
      <c r="TZZ161" s="3060"/>
      <c r="UAA161" s="3060"/>
      <c r="UAB161" s="3060"/>
      <c r="UAC161" s="3060"/>
      <c r="UAD161" s="3060"/>
      <c r="UAE161" s="3060"/>
      <c r="UAF161" s="3060"/>
      <c r="UAG161" s="3060"/>
      <c r="UAH161" s="3060"/>
      <c r="UAI161" s="3060"/>
      <c r="UAJ161" s="3060"/>
      <c r="UAK161" s="3060"/>
      <c r="UAL161" s="3060"/>
      <c r="UAM161" s="3060"/>
      <c r="UAN161" s="3060"/>
      <c r="UAO161" s="3060"/>
      <c r="UAP161" s="3060"/>
      <c r="UAQ161" s="3060"/>
      <c r="UAR161" s="3060"/>
      <c r="UAS161" s="3060"/>
      <c r="UAT161" s="3060"/>
      <c r="UAU161" s="3060"/>
      <c r="UAV161" s="3060"/>
      <c r="UAW161" s="3060"/>
      <c r="UAX161" s="3060"/>
      <c r="UAY161" s="3060"/>
      <c r="UAZ161" s="3060"/>
      <c r="UBA161" s="3060"/>
      <c r="UBB161" s="3060"/>
      <c r="UBC161" s="3060"/>
      <c r="UBD161" s="3060"/>
      <c r="UBE161" s="3060"/>
      <c r="UBF161" s="3060"/>
      <c r="UBG161" s="3060"/>
      <c r="UBH161" s="3060"/>
      <c r="UBI161" s="3060"/>
      <c r="UBJ161" s="3060"/>
      <c r="UBK161" s="3060"/>
      <c r="UBL161" s="3060"/>
      <c r="UBM161" s="3060"/>
      <c r="UBN161" s="3060"/>
      <c r="UBO161" s="3060"/>
      <c r="UBP161" s="3060"/>
      <c r="UBQ161" s="3060"/>
      <c r="UBR161" s="3060"/>
      <c r="UBS161" s="3060"/>
      <c r="UBT161" s="3060"/>
      <c r="UBU161" s="3060"/>
      <c r="UBV161" s="3060"/>
      <c r="UBW161" s="3060"/>
      <c r="UBX161" s="3060"/>
      <c r="UBY161" s="3060"/>
      <c r="UBZ161" s="3060"/>
      <c r="UCA161" s="3060"/>
      <c r="UCB161" s="3060"/>
      <c r="UCC161" s="3060"/>
      <c r="UCD161" s="3060"/>
      <c r="UCE161" s="3060"/>
      <c r="UCF161" s="3060"/>
      <c r="UCG161" s="3060"/>
      <c r="UCH161" s="3060"/>
      <c r="UCI161" s="3060"/>
      <c r="UCJ161" s="3060"/>
      <c r="UCK161" s="3060"/>
      <c r="UCL161" s="3060"/>
      <c r="UCM161" s="3060"/>
      <c r="UCN161" s="3060"/>
      <c r="UCO161" s="3060"/>
      <c r="UCP161" s="3060"/>
      <c r="UCQ161" s="3060"/>
      <c r="UCR161" s="3060"/>
      <c r="UCS161" s="3060"/>
      <c r="UCT161" s="3060"/>
      <c r="UCU161" s="3060"/>
      <c r="UCV161" s="3060"/>
      <c r="UCW161" s="3060"/>
      <c r="UCX161" s="3060"/>
      <c r="UCY161" s="3060"/>
      <c r="UCZ161" s="3060"/>
      <c r="UDA161" s="3060"/>
      <c r="UDB161" s="3060"/>
      <c r="UDC161" s="3060"/>
      <c r="UDD161" s="3060"/>
      <c r="UDE161" s="3060"/>
      <c r="UDF161" s="3060"/>
      <c r="UDG161" s="3060"/>
      <c r="UDH161" s="3060"/>
      <c r="UDI161" s="3060"/>
      <c r="UDJ161" s="3060"/>
      <c r="UDK161" s="3060"/>
      <c r="UDL161" s="3060"/>
      <c r="UDM161" s="3060"/>
      <c r="UDN161" s="3060"/>
      <c r="UDO161" s="3060"/>
      <c r="UDP161" s="3060"/>
      <c r="UDQ161" s="3060"/>
      <c r="UDR161" s="3060"/>
      <c r="UDS161" s="3060"/>
      <c r="UDT161" s="3060"/>
      <c r="UDU161" s="3060"/>
      <c r="UDV161" s="3060"/>
      <c r="UDW161" s="3060"/>
      <c r="UDX161" s="3060"/>
      <c r="UDY161" s="3060"/>
      <c r="UDZ161" s="3060"/>
      <c r="UEA161" s="3060"/>
      <c r="UEB161" s="3060"/>
      <c r="UEC161" s="3060"/>
      <c r="UED161" s="3060"/>
      <c r="UEE161" s="3060"/>
      <c r="UEF161" s="3060"/>
      <c r="UEG161" s="3060"/>
      <c r="UEH161" s="3060"/>
      <c r="UEI161" s="3060"/>
      <c r="UEJ161" s="3060"/>
      <c r="UEK161" s="3060"/>
      <c r="UEL161" s="3060"/>
      <c r="UEM161" s="3060"/>
      <c r="UEN161" s="3060"/>
      <c r="UEO161" s="3060"/>
      <c r="UEP161" s="3060"/>
      <c r="UEQ161" s="3060"/>
      <c r="UER161" s="3060"/>
      <c r="UES161" s="3060"/>
      <c r="UET161" s="3060"/>
      <c r="UEU161" s="3060"/>
      <c r="UEV161" s="3060"/>
      <c r="UEW161" s="3060"/>
      <c r="UEX161" s="3060"/>
      <c r="UEY161" s="3060"/>
      <c r="UEZ161" s="3060"/>
      <c r="UFA161" s="3060"/>
      <c r="UFB161" s="3060"/>
      <c r="UFC161" s="3060"/>
      <c r="UFD161" s="3060"/>
      <c r="UFE161" s="3060"/>
      <c r="UFF161" s="3060"/>
      <c r="UFG161" s="3060"/>
      <c r="UFH161" s="3060"/>
      <c r="UFI161" s="3060"/>
      <c r="UFJ161" s="3060"/>
      <c r="UFK161" s="3060"/>
      <c r="UFL161" s="3060"/>
      <c r="UFM161" s="3060"/>
      <c r="UFN161" s="3060"/>
      <c r="UFO161" s="3060"/>
      <c r="UFP161" s="3060"/>
      <c r="UFQ161" s="3060"/>
      <c r="UFR161" s="3060"/>
      <c r="UFS161" s="3060"/>
      <c r="UFT161" s="3060"/>
      <c r="UFU161" s="3060"/>
      <c r="UFV161" s="3060"/>
      <c r="UFW161" s="3060"/>
      <c r="UFX161" s="3060"/>
      <c r="UFY161" s="3060"/>
      <c r="UFZ161" s="3060"/>
      <c r="UGA161" s="3060"/>
      <c r="UGB161" s="3060"/>
      <c r="UGC161" s="3060"/>
      <c r="UGD161" s="3060"/>
      <c r="UGE161" s="3060"/>
      <c r="UGF161" s="3060"/>
      <c r="UGG161" s="3060"/>
      <c r="UGH161" s="3060"/>
      <c r="UGI161" s="3060"/>
      <c r="UGJ161" s="3060"/>
      <c r="UGK161" s="3060"/>
      <c r="UGL161" s="3060"/>
      <c r="UGM161" s="3060"/>
      <c r="UGN161" s="3060"/>
      <c r="UGO161" s="3060"/>
      <c r="UGP161" s="3060"/>
      <c r="UGQ161" s="3060"/>
      <c r="UGR161" s="3060"/>
      <c r="UGS161" s="3060"/>
      <c r="UGT161" s="3060"/>
      <c r="UGU161" s="3060"/>
      <c r="UGV161" s="3060"/>
      <c r="UGW161" s="3060"/>
      <c r="UGX161" s="3060"/>
      <c r="UGY161" s="3060"/>
      <c r="UGZ161" s="3060"/>
      <c r="UHA161" s="3060"/>
      <c r="UHB161" s="3060"/>
      <c r="UHC161" s="3060"/>
      <c r="UHD161" s="3060"/>
      <c r="UHE161" s="3060"/>
      <c r="UHF161" s="3060"/>
      <c r="UHG161" s="3060"/>
      <c r="UHH161" s="3060"/>
      <c r="UHI161" s="3060"/>
      <c r="UHJ161" s="3060"/>
      <c r="UHK161" s="3060"/>
      <c r="UHL161" s="3060"/>
      <c r="UHM161" s="3060"/>
      <c r="UHN161" s="3060"/>
      <c r="UHO161" s="3060"/>
      <c r="UHP161" s="3060"/>
      <c r="UHQ161" s="3060"/>
      <c r="UHR161" s="3060"/>
      <c r="UHS161" s="3060"/>
      <c r="UHT161" s="3060"/>
      <c r="UHU161" s="3060"/>
      <c r="UHV161" s="3060"/>
      <c r="UHW161" s="3060"/>
      <c r="UHX161" s="3060"/>
      <c r="UHY161" s="3060"/>
      <c r="UHZ161" s="3060"/>
      <c r="UIA161" s="3060"/>
      <c r="UIB161" s="3060"/>
      <c r="UIC161" s="3060"/>
      <c r="UID161" s="3060"/>
      <c r="UIE161" s="3060"/>
      <c r="UIF161" s="3060"/>
      <c r="UIG161" s="3060"/>
      <c r="UIH161" s="3060"/>
      <c r="UII161" s="3060"/>
      <c r="UIJ161" s="3060"/>
      <c r="UIK161" s="3060"/>
      <c r="UIL161" s="3060"/>
      <c r="UIM161" s="3060"/>
      <c r="UIN161" s="3060"/>
      <c r="UIO161" s="3060"/>
      <c r="UIP161" s="3060"/>
      <c r="UIQ161" s="3060"/>
      <c r="UIR161" s="3060"/>
      <c r="UIS161" s="3060"/>
      <c r="UIT161" s="3060"/>
      <c r="UIU161" s="3060"/>
      <c r="UIV161" s="3060"/>
      <c r="UIW161" s="3060"/>
      <c r="UIX161" s="3060"/>
      <c r="UIY161" s="3060"/>
      <c r="UIZ161" s="3060"/>
      <c r="UJA161" s="3060"/>
      <c r="UJB161" s="3060"/>
      <c r="UJC161" s="3060"/>
      <c r="UJD161" s="3060"/>
      <c r="UJE161" s="3060"/>
      <c r="UJF161" s="3060"/>
      <c r="UJG161" s="3060"/>
      <c r="UJH161" s="3060"/>
      <c r="UJI161" s="3060"/>
      <c r="UJJ161" s="3060"/>
      <c r="UJK161" s="3060"/>
      <c r="UJL161" s="3060"/>
      <c r="UJM161" s="3060"/>
      <c r="UJN161" s="3060"/>
      <c r="UJO161" s="3060"/>
      <c r="UJP161" s="3060"/>
      <c r="UJQ161" s="3060"/>
      <c r="UJR161" s="3060"/>
      <c r="UJS161" s="3060"/>
      <c r="UJT161" s="3060"/>
      <c r="UJU161" s="3060"/>
      <c r="UJV161" s="3060"/>
      <c r="UJW161" s="3060"/>
      <c r="UJX161" s="3060"/>
      <c r="UJY161" s="3060"/>
      <c r="UJZ161" s="3060"/>
      <c r="UKA161" s="3060"/>
      <c r="UKB161" s="3060"/>
      <c r="UKC161" s="3060"/>
      <c r="UKD161" s="3060"/>
      <c r="UKE161" s="3060"/>
      <c r="UKF161" s="3060"/>
      <c r="UKG161" s="3060"/>
      <c r="UKH161" s="3060"/>
      <c r="UKI161" s="3060"/>
      <c r="UKJ161" s="3060"/>
      <c r="UKK161" s="3060"/>
      <c r="UKL161" s="3060"/>
      <c r="UKM161" s="3060"/>
      <c r="UKN161" s="3060"/>
      <c r="UKO161" s="3060"/>
      <c r="UKP161" s="3060"/>
      <c r="UKQ161" s="3060"/>
      <c r="UKR161" s="3060"/>
      <c r="UKS161" s="3060"/>
      <c r="UKT161" s="3060"/>
      <c r="UKU161" s="3060"/>
      <c r="UKV161" s="3060"/>
      <c r="UKW161" s="3060"/>
      <c r="UKX161" s="3060"/>
      <c r="UKY161" s="3060"/>
      <c r="UKZ161" s="3060"/>
      <c r="ULA161" s="3060"/>
      <c r="ULB161" s="3060"/>
      <c r="ULC161" s="3060"/>
      <c r="ULD161" s="3060"/>
      <c r="ULE161" s="3060"/>
      <c r="ULF161" s="3060"/>
      <c r="ULG161" s="3060"/>
      <c r="ULH161" s="3060"/>
      <c r="ULI161" s="3060"/>
      <c r="ULJ161" s="3060"/>
      <c r="ULK161" s="3060"/>
      <c r="ULL161" s="3060"/>
      <c r="ULM161" s="3060"/>
      <c r="ULN161" s="3060"/>
      <c r="ULO161" s="3060"/>
      <c r="ULP161" s="3060"/>
      <c r="ULQ161" s="3060"/>
      <c r="ULR161" s="3060"/>
      <c r="ULS161" s="3060"/>
      <c r="ULT161" s="3060"/>
      <c r="ULU161" s="3060"/>
      <c r="ULV161" s="3060"/>
      <c r="ULW161" s="3060"/>
      <c r="ULX161" s="3060"/>
      <c r="ULY161" s="3060"/>
      <c r="ULZ161" s="3060"/>
      <c r="UMA161" s="3060"/>
      <c r="UMB161" s="3060"/>
      <c r="UMC161" s="3060"/>
      <c r="UMD161" s="3060"/>
      <c r="UME161" s="3060"/>
      <c r="UMF161" s="3060"/>
      <c r="UMG161" s="3060"/>
      <c r="UMH161" s="3060"/>
      <c r="UMI161" s="3060"/>
      <c r="UMJ161" s="3060"/>
      <c r="UMK161" s="3060"/>
      <c r="UML161" s="3060"/>
      <c r="UMM161" s="3060"/>
      <c r="UMN161" s="3060"/>
      <c r="UMO161" s="3060"/>
      <c r="UMP161" s="3060"/>
      <c r="UMQ161" s="3060"/>
      <c r="UMR161" s="3060"/>
      <c r="UMS161" s="3060"/>
      <c r="UMT161" s="3060"/>
      <c r="UMU161" s="3060"/>
      <c r="UMV161" s="3060"/>
      <c r="UMW161" s="3060"/>
      <c r="UMX161" s="3060"/>
      <c r="UMY161" s="3060"/>
      <c r="UMZ161" s="3060"/>
      <c r="UNA161" s="3060"/>
      <c r="UNB161" s="3060"/>
      <c r="UNC161" s="3060"/>
      <c r="UND161" s="3060"/>
      <c r="UNE161" s="3060"/>
      <c r="UNF161" s="3060"/>
      <c r="UNG161" s="3060"/>
      <c r="UNH161" s="3060"/>
      <c r="UNI161" s="3060"/>
      <c r="UNJ161" s="3060"/>
      <c r="UNK161" s="3060"/>
      <c r="UNL161" s="3060"/>
      <c r="UNM161" s="3060"/>
      <c r="UNN161" s="3060"/>
      <c r="UNO161" s="3060"/>
      <c r="UNP161" s="3060"/>
      <c r="UNQ161" s="3060"/>
      <c r="UNR161" s="3060"/>
      <c r="UNS161" s="3060"/>
      <c r="UNT161" s="3060"/>
      <c r="UNU161" s="3060"/>
      <c r="UNV161" s="3060"/>
      <c r="UNW161" s="3060"/>
      <c r="UNX161" s="3060"/>
      <c r="UNY161" s="3060"/>
      <c r="UNZ161" s="3060"/>
      <c r="UOA161" s="3060"/>
      <c r="UOB161" s="3060"/>
      <c r="UOC161" s="3060"/>
      <c r="UOD161" s="3060"/>
      <c r="UOE161" s="3060"/>
      <c r="UOF161" s="3060"/>
      <c r="UOG161" s="3060"/>
      <c r="UOH161" s="3060"/>
      <c r="UOI161" s="3060"/>
      <c r="UOJ161" s="3060"/>
      <c r="UOK161" s="3060"/>
      <c r="UOL161" s="3060"/>
      <c r="UOM161" s="3060"/>
      <c r="UON161" s="3060"/>
      <c r="UOO161" s="3060"/>
      <c r="UOP161" s="3060"/>
      <c r="UOQ161" s="3060"/>
      <c r="UOR161" s="3060"/>
      <c r="UOS161" s="3060"/>
      <c r="UOT161" s="3060"/>
      <c r="UOU161" s="3060"/>
      <c r="UOV161" s="3060"/>
      <c r="UOW161" s="3060"/>
      <c r="UOX161" s="3060"/>
      <c r="UOY161" s="3060"/>
      <c r="UOZ161" s="3060"/>
      <c r="UPA161" s="3060"/>
      <c r="UPB161" s="3060"/>
      <c r="UPC161" s="3060"/>
      <c r="UPD161" s="3060"/>
      <c r="UPE161" s="3060"/>
      <c r="UPF161" s="3060"/>
      <c r="UPG161" s="3060"/>
      <c r="UPH161" s="3060"/>
      <c r="UPI161" s="3060"/>
      <c r="UPJ161" s="3060"/>
      <c r="UPK161" s="3060"/>
      <c r="UPL161" s="3060"/>
      <c r="UPM161" s="3060"/>
      <c r="UPN161" s="3060"/>
      <c r="UPO161" s="3060"/>
      <c r="UPP161" s="3060"/>
      <c r="UPQ161" s="3060"/>
      <c r="UPR161" s="3060"/>
      <c r="UPS161" s="3060"/>
      <c r="UPT161" s="3060"/>
      <c r="UPU161" s="3060"/>
      <c r="UPV161" s="3060"/>
      <c r="UPW161" s="3060"/>
      <c r="UPX161" s="3060"/>
      <c r="UPY161" s="3060"/>
      <c r="UPZ161" s="3060"/>
      <c r="UQA161" s="3060"/>
      <c r="UQB161" s="3060"/>
      <c r="UQC161" s="3060"/>
      <c r="UQD161" s="3060"/>
      <c r="UQE161" s="3060"/>
      <c r="UQF161" s="3060"/>
      <c r="UQG161" s="3060"/>
      <c r="UQH161" s="3060"/>
      <c r="UQI161" s="3060"/>
      <c r="UQJ161" s="3060"/>
      <c r="UQK161" s="3060"/>
      <c r="UQL161" s="3060"/>
      <c r="UQM161" s="3060"/>
      <c r="UQN161" s="3060"/>
      <c r="UQO161" s="3060"/>
      <c r="UQP161" s="3060"/>
      <c r="UQQ161" s="3060"/>
      <c r="UQR161" s="3060"/>
      <c r="UQS161" s="3060"/>
      <c r="UQT161" s="3060"/>
      <c r="UQU161" s="3060"/>
      <c r="UQV161" s="3060"/>
      <c r="UQW161" s="3060"/>
      <c r="UQX161" s="3060"/>
      <c r="UQY161" s="3060"/>
      <c r="UQZ161" s="3060"/>
      <c r="URA161" s="3060"/>
      <c r="URB161" s="3060"/>
      <c r="URC161" s="3060"/>
      <c r="URD161" s="3060"/>
      <c r="URE161" s="3060"/>
      <c r="URF161" s="3060"/>
      <c r="URG161" s="3060"/>
      <c r="URH161" s="3060"/>
      <c r="URI161" s="3060"/>
      <c r="URJ161" s="3060"/>
      <c r="URK161" s="3060"/>
      <c r="URL161" s="3060"/>
      <c r="URM161" s="3060"/>
      <c r="URN161" s="3060"/>
      <c r="URO161" s="3060"/>
      <c r="URP161" s="3060"/>
      <c r="URQ161" s="3060"/>
      <c r="URR161" s="3060"/>
      <c r="URS161" s="3060"/>
      <c r="URT161" s="3060"/>
      <c r="URU161" s="3060"/>
      <c r="URV161" s="3060"/>
      <c r="URW161" s="3060"/>
      <c r="URX161" s="3060"/>
      <c r="URY161" s="3060"/>
      <c r="URZ161" s="3060"/>
      <c r="USA161" s="3060"/>
      <c r="USB161" s="3060"/>
      <c r="USC161" s="3060"/>
      <c r="USD161" s="3060"/>
      <c r="USE161" s="3060"/>
      <c r="USF161" s="3060"/>
      <c r="USG161" s="3060"/>
      <c r="USH161" s="3060"/>
      <c r="USI161" s="3060"/>
      <c r="USJ161" s="3060"/>
      <c r="USK161" s="3060"/>
      <c r="USL161" s="3060"/>
      <c r="USM161" s="3060"/>
      <c r="USN161" s="3060"/>
      <c r="USO161" s="3060"/>
      <c r="USP161" s="3060"/>
      <c r="USQ161" s="3060"/>
      <c r="USR161" s="3060"/>
      <c r="USS161" s="3060"/>
      <c r="UST161" s="3060"/>
      <c r="USU161" s="3060"/>
      <c r="USV161" s="3060"/>
      <c r="USW161" s="3060"/>
      <c r="USX161" s="3060"/>
      <c r="USY161" s="3060"/>
      <c r="USZ161" s="3060"/>
      <c r="UTA161" s="3060"/>
      <c r="UTB161" s="3060"/>
      <c r="UTC161" s="3060"/>
      <c r="UTD161" s="3060"/>
      <c r="UTE161" s="3060"/>
      <c r="UTF161" s="3060"/>
      <c r="UTG161" s="3060"/>
      <c r="UTH161" s="3060"/>
      <c r="UTI161" s="3060"/>
      <c r="UTJ161" s="3060"/>
      <c r="UTK161" s="3060"/>
      <c r="UTL161" s="3060"/>
      <c r="UTM161" s="3060"/>
      <c r="UTN161" s="3060"/>
      <c r="UTO161" s="3060"/>
      <c r="UTP161" s="3060"/>
      <c r="UTQ161" s="3060"/>
      <c r="UTR161" s="3060"/>
      <c r="UTS161" s="3060"/>
      <c r="UTT161" s="3060"/>
      <c r="UTU161" s="3060"/>
      <c r="UTV161" s="3060"/>
      <c r="UTW161" s="3060"/>
      <c r="UTX161" s="3060"/>
      <c r="UTY161" s="3060"/>
      <c r="UTZ161" s="3060"/>
      <c r="UUA161" s="3060"/>
      <c r="UUB161" s="3060"/>
      <c r="UUC161" s="3060"/>
      <c r="UUD161" s="3060"/>
      <c r="UUE161" s="3060"/>
      <c r="UUF161" s="3060"/>
      <c r="UUG161" s="3060"/>
      <c r="UUH161" s="3060"/>
      <c r="UUI161" s="3060"/>
      <c r="UUJ161" s="3060"/>
      <c r="UUK161" s="3060"/>
      <c r="UUL161" s="3060"/>
      <c r="UUM161" s="3060"/>
      <c r="UUN161" s="3060"/>
      <c r="UUO161" s="3060"/>
      <c r="UUP161" s="3060"/>
      <c r="UUQ161" s="3060"/>
      <c r="UUR161" s="3060"/>
      <c r="UUS161" s="3060"/>
      <c r="UUT161" s="3060"/>
      <c r="UUU161" s="3060"/>
      <c r="UUV161" s="3060"/>
      <c r="UUW161" s="3060"/>
      <c r="UUX161" s="3060"/>
      <c r="UUY161" s="3060"/>
      <c r="UUZ161" s="3060"/>
      <c r="UVA161" s="3060"/>
      <c r="UVB161" s="3060"/>
      <c r="UVC161" s="3060"/>
      <c r="UVD161" s="3060"/>
      <c r="UVE161" s="3060"/>
      <c r="UVF161" s="3060"/>
      <c r="UVG161" s="3060"/>
      <c r="UVH161" s="3060"/>
      <c r="UVI161" s="3060"/>
      <c r="UVJ161" s="3060"/>
      <c r="UVK161" s="3060"/>
      <c r="UVL161" s="3060"/>
      <c r="UVM161" s="3060"/>
      <c r="UVN161" s="3060"/>
      <c r="UVO161" s="3060"/>
      <c r="UVP161" s="3060"/>
      <c r="UVQ161" s="3060"/>
      <c r="UVR161" s="3060"/>
      <c r="UVS161" s="3060"/>
      <c r="UVT161" s="3060"/>
      <c r="UVU161" s="3060"/>
      <c r="UVV161" s="3060"/>
      <c r="UVW161" s="3060"/>
      <c r="UVX161" s="3060"/>
      <c r="UVY161" s="3060"/>
      <c r="UVZ161" s="3060"/>
      <c r="UWA161" s="3060"/>
      <c r="UWB161" s="3060"/>
      <c r="UWC161" s="3060"/>
      <c r="UWD161" s="3060"/>
      <c r="UWE161" s="3060"/>
      <c r="UWF161" s="3060"/>
      <c r="UWG161" s="3060"/>
      <c r="UWH161" s="3060"/>
      <c r="UWI161" s="3060"/>
      <c r="UWJ161" s="3060"/>
      <c r="UWK161" s="3060"/>
      <c r="UWL161" s="3060"/>
      <c r="UWM161" s="3060"/>
      <c r="UWN161" s="3060"/>
      <c r="UWO161" s="3060"/>
      <c r="UWP161" s="3060"/>
      <c r="UWQ161" s="3060"/>
      <c r="UWR161" s="3060"/>
      <c r="UWS161" s="3060"/>
      <c r="UWT161" s="3060"/>
      <c r="UWU161" s="3060"/>
      <c r="UWV161" s="3060"/>
      <c r="UWW161" s="3060"/>
      <c r="UWX161" s="3060"/>
      <c r="UWY161" s="3060"/>
      <c r="UWZ161" s="3060"/>
      <c r="UXA161" s="3060"/>
      <c r="UXB161" s="3060"/>
      <c r="UXC161" s="3060"/>
      <c r="UXD161" s="3060"/>
      <c r="UXE161" s="3060"/>
      <c r="UXF161" s="3060"/>
      <c r="UXG161" s="3060"/>
      <c r="UXH161" s="3060"/>
      <c r="UXI161" s="3060"/>
      <c r="UXJ161" s="3060"/>
      <c r="UXK161" s="3060"/>
      <c r="UXL161" s="3060"/>
      <c r="UXM161" s="3060"/>
      <c r="UXN161" s="3060"/>
      <c r="UXO161" s="3060"/>
      <c r="UXP161" s="3060"/>
      <c r="UXQ161" s="3060"/>
      <c r="UXR161" s="3060"/>
      <c r="UXS161" s="3060"/>
      <c r="UXT161" s="3060"/>
      <c r="UXU161" s="3060"/>
      <c r="UXV161" s="3060"/>
      <c r="UXW161" s="3060"/>
      <c r="UXX161" s="3060"/>
      <c r="UXY161" s="3060"/>
      <c r="UXZ161" s="3060"/>
      <c r="UYA161" s="3060"/>
      <c r="UYB161" s="3060"/>
      <c r="UYC161" s="3060"/>
      <c r="UYD161" s="3060"/>
      <c r="UYE161" s="3060"/>
      <c r="UYF161" s="3060"/>
      <c r="UYG161" s="3060"/>
      <c r="UYH161" s="3060"/>
      <c r="UYI161" s="3060"/>
      <c r="UYJ161" s="3060"/>
      <c r="UYK161" s="3060"/>
      <c r="UYL161" s="3060"/>
      <c r="UYM161" s="3060"/>
      <c r="UYN161" s="3060"/>
      <c r="UYO161" s="3060"/>
      <c r="UYP161" s="3060"/>
      <c r="UYQ161" s="3060"/>
      <c r="UYR161" s="3060"/>
      <c r="UYS161" s="3060"/>
      <c r="UYT161" s="3060"/>
      <c r="UYU161" s="3060"/>
      <c r="UYV161" s="3060"/>
      <c r="UYW161" s="3060"/>
      <c r="UYX161" s="3060"/>
      <c r="UYY161" s="3060"/>
      <c r="UYZ161" s="3060"/>
      <c r="UZA161" s="3060"/>
      <c r="UZB161" s="3060"/>
      <c r="UZC161" s="3060"/>
      <c r="UZD161" s="3060"/>
      <c r="UZE161" s="3060"/>
      <c r="UZF161" s="3060"/>
      <c r="UZG161" s="3060"/>
      <c r="UZH161" s="3060"/>
      <c r="UZI161" s="3060"/>
      <c r="UZJ161" s="3060"/>
      <c r="UZK161" s="3060"/>
      <c r="UZL161" s="3060"/>
      <c r="UZM161" s="3060"/>
      <c r="UZN161" s="3060"/>
      <c r="UZO161" s="3060"/>
      <c r="UZP161" s="3060"/>
      <c r="UZQ161" s="3060"/>
      <c r="UZR161" s="3060"/>
      <c r="UZS161" s="3060"/>
      <c r="UZT161" s="3060"/>
      <c r="UZU161" s="3060"/>
      <c r="UZV161" s="3060"/>
      <c r="UZW161" s="3060"/>
      <c r="UZX161" s="3060"/>
      <c r="UZY161" s="3060"/>
      <c r="UZZ161" s="3060"/>
      <c r="VAA161" s="3060"/>
      <c r="VAB161" s="3060"/>
      <c r="VAC161" s="3060"/>
      <c r="VAD161" s="3060"/>
      <c r="VAE161" s="3060"/>
      <c r="VAF161" s="3060"/>
      <c r="VAG161" s="3060"/>
      <c r="VAH161" s="3060"/>
      <c r="VAI161" s="3060"/>
      <c r="VAJ161" s="3060"/>
      <c r="VAK161" s="3060"/>
      <c r="VAL161" s="3060"/>
      <c r="VAM161" s="3060"/>
      <c r="VAN161" s="3060"/>
      <c r="VAO161" s="3060"/>
      <c r="VAP161" s="3060"/>
      <c r="VAQ161" s="3060"/>
      <c r="VAR161" s="3060"/>
      <c r="VAS161" s="3060"/>
      <c r="VAT161" s="3060"/>
      <c r="VAU161" s="3060"/>
      <c r="VAV161" s="3060"/>
      <c r="VAW161" s="3060"/>
      <c r="VAX161" s="3060"/>
      <c r="VAY161" s="3060"/>
      <c r="VAZ161" s="3060"/>
      <c r="VBA161" s="3060"/>
      <c r="VBB161" s="3060"/>
      <c r="VBC161" s="3060"/>
      <c r="VBD161" s="3060"/>
      <c r="VBE161" s="3060"/>
      <c r="VBF161" s="3060"/>
      <c r="VBG161" s="3060"/>
      <c r="VBH161" s="3060"/>
      <c r="VBI161" s="3060"/>
      <c r="VBJ161" s="3060"/>
      <c r="VBK161" s="3060"/>
      <c r="VBL161" s="3060"/>
      <c r="VBM161" s="3060"/>
      <c r="VBN161" s="3060"/>
      <c r="VBO161" s="3060"/>
      <c r="VBP161" s="3060"/>
      <c r="VBQ161" s="3060"/>
      <c r="VBR161" s="3060"/>
      <c r="VBS161" s="3060"/>
      <c r="VBT161" s="3060"/>
      <c r="VBU161" s="3060"/>
      <c r="VBV161" s="3060"/>
      <c r="VBW161" s="3060"/>
      <c r="VBX161" s="3060"/>
      <c r="VBY161" s="3060"/>
      <c r="VBZ161" s="3060"/>
      <c r="VCA161" s="3060"/>
      <c r="VCB161" s="3060"/>
      <c r="VCC161" s="3060"/>
      <c r="VCD161" s="3060"/>
      <c r="VCE161" s="3060"/>
      <c r="VCF161" s="3060"/>
      <c r="VCG161" s="3060"/>
      <c r="VCH161" s="3060"/>
      <c r="VCI161" s="3060"/>
      <c r="VCJ161" s="3060"/>
      <c r="VCK161" s="3060"/>
      <c r="VCL161" s="3060"/>
      <c r="VCM161" s="3060"/>
      <c r="VCN161" s="3060"/>
      <c r="VCO161" s="3060"/>
      <c r="VCP161" s="3060"/>
      <c r="VCQ161" s="3060"/>
      <c r="VCR161" s="3060"/>
      <c r="VCS161" s="3060"/>
      <c r="VCT161" s="3060"/>
      <c r="VCU161" s="3060"/>
      <c r="VCV161" s="3060"/>
      <c r="VCW161" s="3060"/>
      <c r="VCX161" s="3060"/>
      <c r="VCY161" s="3060"/>
      <c r="VCZ161" s="3060"/>
      <c r="VDA161" s="3060"/>
      <c r="VDB161" s="3060"/>
      <c r="VDC161" s="3060"/>
      <c r="VDD161" s="3060"/>
      <c r="VDE161" s="3060"/>
      <c r="VDF161" s="3060"/>
      <c r="VDG161" s="3060"/>
      <c r="VDH161" s="3060"/>
      <c r="VDI161" s="3060"/>
      <c r="VDJ161" s="3060"/>
      <c r="VDK161" s="3060"/>
      <c r="VDL161" s="3060"/>
      <c r="VDM161" s="3060"/>
      <c r="VDN161" s="3060"/>
      <c r="VDO161" s="3060"/>
      <c r="VDP161" s="3060"/>
      <c r="VDQ161" s="3060"/>
      <c r="VDR161" s="3060"/>
      <c r="VDS161" s="3060"/>
      <c r="VDT161" s="3060"/>
      <c r="VDU161" s="3060"/>
      <c r="VDV161" s="3060"/>
      <c r="VDW161" s="3060"/>
      <c r="VDX161" s="3060"/>
      <c r="VDY161" s="3060"/>
      <c r="VDZ161" s="3060"/>
      <c r="VEA161" s="3060"/>
      <c r="VEB161" s="3060"/>
      <c r="VEC161" s="3060"/>
      <c r="VED161" s="3060"/>
      <c r="VEE161" s="3060"/>
      <c r="VEF161" s="3060"/>
      <c r="VEG161" s="3060"/>
      <c r="VEH161" s="3060"/>
      <c r="VEI161" s="3060"/>
      <c r="VEJ161" s="3060"/>
      <c r="VEK161" s="3060"/>
      <c r="VEL161" s="3060"/>
      <c r="VEM161" s="3060"/>
      <c r="VEN161" s="3060"/>
      <c r="VEO161" s="3060"/>
      <c r="VEP161" s="3060"/>
      <c r="VEQ161" s="3060"/>
      <c r="VER161" s="3060"/>
      <c r="VES161" s="3060"/>
      <c r="VET161" s="3060"/>
      <c r="VEU161" s="3060"/>
      <c r="VEV161" s="3060"/>
      <c r="VEW161" s="3060"/>
      <c r="VEX161" s="3060"/>
      <c r="VEY161" s="3060"/>
      <c r="VEZ161" s="3060"/>
      <c r="VFA161" s="3060"/>
      <c r="VFB161" s="3060"/>
      <c r="VFC161" s="3060"/>
      <c r="VFD161" s="3060"/>
      <c r="VFE161" s="3060"/>
      <c r="VFF161" s="3060"/>
      <c r="VFG161" s="3060"/>
      <c r="VFH161" s="3060"/>
      <c r="VFI161" s="3060"/>
      <c r="VFJ161" s="3060"/>
      <c r="VFK161" s="3060"/>
      <c r="VFL161" s="3060"/>
      <c r="VFM161" s="3060"/>
      <c r="VFN161" s="3060"/>
      <c r="VFO161" s="3060"/>
      <c r="VFP161" s="3060"/>
      <c r="VFQ161" s="3060"/>
      <c r="VFR161" s="3060"/>
      <c r="VFS161" s="3060"/>
      <c r="VFT161" s="3060"/>
      <c r="VFU161" s="3060"/>
      <c r="VFV161" s="3060"/>
      <c r="VFW161" s="3060"/>
      <c r="VFX161" s="3060"/>
      <c r="VFY161" s="3060"/>
      <c r="VFZ161" s="3060"/>
      <c r="VGA161" s="3060"/>
      <c r="VGB161" s="3060"/>
      <c r="VGC161" s="3060"/>
      <c r="VGD161" s="3060"/>
      <c r="VGE161" s="3060"/>
      <c r="VGF161" s="3060"/>
      <c r="VGG161" s="3060"/>
      <c r="VGH161" s="3060"/>
      <c r="VGI161" s="3060"/>
      <c r="VGJ161" s="3060"/>
      <c r="VGK161" s="3060"/>
      <c r="VGL161" s="3060"/>
      <c r="VGM161" s="3060"/>
      <c r="VGN161" s="3060"/>
      <c r="VGO161" s="3060"/>
      <c r="VGP161" s="3060"/>
      <c r="VGQ161" s="3060"/>
      <c r="VGR161" s="3060"/>
      <c r="VGS161" s="3060"/>
      <c r="VGT161" s="3060"/>
      <c r="VGU161" s="3060"/>
      <c r="VGV161" s="3060"/>
      <c r="VGW161" s="3060"/>
      <c r="VGX161" s="3060"/>
      <c r="VGY161" s="3060"/>
      <c r="VGZ161" s="3060"/>
      <c r="VHA161" s="3060"/>
      <c r="VHB161" s="3060"/>
      <c r="VHC161" s="3060"/>
      <c r="VHD161" s="3060"/>
      <c r="VHE161" s="3060"/>
      <c r="VHF161" s="3060"/>
      <c r="VHG161" s="3060"/>
      <c r="VHH161" s="3060"/>
      <c r="VHI161" s="3060"/>
      <c r="VHJ161" s="3060"/>
      <c r="VHK161" s="3060"/>
      <c r="VHL161" s="3060"/>
      <c r="VHM161" s="3060"/>
      <c r="VHN161" s="3060"/>
      <c r="VHO161" s="3060"/>
      <c r="VHP161" s="3060"/>
      <c r="VHQ161" s="3060"/>
      <c r="VHR161" s="3060"/>
      <c r="VHS161" s="3060"/>
      <c r="VHT161" s="3060"/>
      <c r="VHU161" s="3060"/>
      <c r="VHV161" s="3060"/>
      <c r="VHW161" s="3060"/>
      <c r="VHX161" s="3060"/>
      <c r="VHY161" s="3060"/>
      <c r="VHZ161" s="3060"/>
      <c r="VIA161" s="3060"/>
      <c r="VIB161" s="3060"/>
      <c r="VIC161" s="3060"/>
      <c r="VID161" s="3060"/>
      <c r="VIE161" s="3060"/>
      <c r="VIF161" s="3060"/>
      <c r="VIG161" s="3060"/>
      <c r="VIH161" s="3060"/>
      <c r="VII161" s="3060"/>
      <c r="VIJ161" s="3060"/>
      <c r="VIK161" s="3060"/>
      <c r="VIL161" s="3060"/>
      <c r="VIM161" s="3060"/>
      <c r="VIN161" s="3060"/>
      <c r="VIO161" s="3060"/>
      <c r="VIP161" s="3060"/>
      <c r="VIQ161" s="3060"/>
      <c r="VIR161" s="3060"/>
      <c r="VIS161" s="3060"/>
      <c r="VIT161" s="3060"/>
      <c r="VIU161" s="3060"/>
      <c r="VIV161" s="3060"/>
      <c r="VIW161" s="3060"/>
      <c r="VIX161" s="3060"/>
      <c r="VIY161" s="3060"/>
      <c r="VIZ161" s="3060"/>
      <c r="VJA161" s="3060"/>
      <c r="VJB161" s="3060"/>
      <c r="VJC161" s="3060"/>
      <c r="VJD161" s="3060"/>
      <c r="VJE161" s="3060"/>
      <c r="VJF161" s="3060"/>
      <c r="VJG161" s="3060"/>
      <c r="VJH161" s="3060"/>
      <c r="VJI161" s="3060"/>
      <c r="VJJ161" s="3060"/>
      <c r="VJK161" s="3060"/>
      <c r="VJL161" s="3060"/>
      <c r="VJM161" s="3060"/>
      <c r="VJN161" s="3060"/>
      <c r="VJO161" s="3060"/>
      <c r="VJP161" s="3060"/>
      <c r="VJQ161" s="3060"/>
      <c r="VJR161" s="3060"/>
      <c r="VJS161" s="3060"/>
      <c r="VJT161" s="3060"/>
      <c r="VJU161" s="3060"/>
      <c r="VJV161" s="3060"/>
      <c r="VJW161" s="3060"/>
      <c r="VJX161" s="3060"/>
      <c r="VJY161" s="3060"/>
      <c r="VJZ161" s="3060"/>
      <c r="VKA161" s="3060"/>
      <c r="VKB161" s="3060"/>
      <c r="VKC161" s="3060"/>
      <c r="VKD161" s="3060"/>
      <c r="VKE161" s="3060"/>
      <c r="VKF161" s="3060"/>
      <c r="VKG161" s="3060"/>
      <c r="VKH161" s="3060"/>
      <c r="VKI161" s="3060"/>
      <c r="VKJ161" s="3060"/>
      <c r="VKK161" s="3060"/>
      <c r="VKL161" s="3060"/>
      <c r="VKM161" s="3060"/>
      <c r="VKN161" s="3060"/>
      <c r="VKO161" s="3060"/>
      <c r="VKP161" s="3060"/>
      <c r="VKQ161" s="3060"/>
      <c r="VKR161" s="3060"/>
      <c r="VKS161" s="3060"/>
      <c r="VKT161" s="3060"/>
      <c r="VKU161" s="3060"/>
      <c r="VKV161" s="3060"/>
      <c r="VKW161" s="3060"/>
      <c r="VKX161" s="3060"/>
      <c r="VKY161" s="3060"/>
      <c r="VKZ161" s="3060"/>
      <c r="VLA161" s="3060"/>
      <c r="VLB161" s="3060"/>
      <c r="VLC161" s="3060"/>
      <c r="VLD161" s="3060"/>
      <c r="VLE161" s="3060"/>
      <c r="VLF161" s="3060"/>
      <c r="VLG161" s="3060"/>
      <c r="VLH161" s="3060"/>
      <c r="VLI161" s="3060"/>
      <c r="VLJ161" s="3060"/>
      <c r="VLK161" s="3060"/>
      <c r="VLL161" s="3060"/>
      <c r="VLM161" s="3060"/>
      <c r="VLN161" s="3060"/>
      <c r="VLO161" s="3060"/>
      <c r="VLP161" s="3060"/>
      <c r="VLQ161" s="3060"/>
      <c r="VLR161" s="3060"/>
      <c r="VLS161" s="3060"/>
      <c r="VLT161" s="3060"/>
      <c r="VLU161" s="3060"/>
      <c r="VLV161" s="3060"/>
      <c r="VLW161" s="3060"/>
      <c r="VLX161" s="3060"/>
      <c r="VLY161" s="3060"/>
      <c r="VLZ161" s="3060"/>
      <c r="VMA161" s="3060"/>
      <c r="VMB161" s="3060"/>
      <c r="VMC161" s="3060"/>
      <c r="VMD161" s="3060"/>
      <c r="VME161" s="3060"/>
      <c r="VMF161" s="3060"/>
      <c r="VMG161" s="3060"/>
      <c r="VMH161" s="3060"/>
      <c r="VMI161" s="3060"/>
      <c r="VMJ161" s="3060"/>
      <c r="VMK161" s="3060"/>
      <c r="VML161" s="3060"/>
      <c r="VMM161" s="3060"/>
      <c r="VMN161" s="3060"/>
      <c r="VMO161" s="3060"/>
      <c r="VMP161" s="3060"/>
      <c r="VMQ161" s="3060"/>
      <c r="VMR161" s="3060"/>
      <c r="VMS161" s="3060"/>
      <c r="VMT161" s="3060"/>
      <c r="VMU161" s="3060"/>
      <c r="VMV161" s="3060"/>
      <c r="VMW161" s="3060"/>
      <c r="VMX161" s="3060"/>
      <c r="VMY161" s="3060"/>
      <c r="VMZ161" s="3060"/>
      <c r="VNA161" s="3060"/>
      <c r="VNB161" s="3060"/>
      <c r="VNC161" s="3060"/>
      <c r="VND161" s="3060"/>
      <c r="VNE161" s="3060"/>
      <c r="VNF161" s="3060"/>
      <c r="VNG161" s="3060"/>
      <c r="VNH161" s="3060"/>
      <c r="VNI161" s="3060"/>
      <c r="VNJ161" s="3060"/>
      <c r="VNK161" s="3060"/>
      <c r="VNL161" s="3060"/>
      <c r="VNM161" s="3060"/>
      <c r="VNN161" s="3060"/>
      <c r="VNO161" s="3060"/>
      <c r="VNP161" s="3060"/>
      <c r="VNQ161" s="3060"/>
      <c r="VNR161" s="3060"/>
      <c r="VNS161" s="3060"/>
      <c r="VNT161" s="3060"/>
      <c r="VNU161" s="3060"/>
      <c r="VNV161" s="3060"/>
      <c r="VNW161" s="3060"/>
      <c r="VNX161" s="3060"/>
      <c r="VNY161" s="3060"/>
      <c r="VNZ161" s="3060"/>
      <c r="VOA161" s="3060"/>
      <c r="VOB161" s="3060"/>
      <c r="VOC161" s="3060"/>
      <c r="VOD161" s="3060"/>
      <c r="VOE161" s="3060"/>
      <c r="VOF161" s="3060"/>
      <c r="VOG161" s="3060"/>
      <c r="VOH161" s="3060"/>
      <c r="VOI161" s="3060"/>
      <c r="VOJ161" s="3060"/>
      <c r="VOK161" s="3060"/>
      <c r="VOL161" s="3060"/>
      <c r="VOM161" s="3060"/>
      <c r="VON161" s="3060"/>
      <c r="VOO161" s="3060"/>
      <c r="VOP161" s="3060"/>
      <c r="VOQ161" s="3060"/>
      <c r="VOR161" s="3060"/>
      <c r="VOS161" s="3060"/>
      <c r="VOT161" s="3060"/>
      <c r="VOU161" s="3060"/>
      <c r="VOV161" s="3060"/>
      <c r="VOW161" s="3060"/>
      <c r="VOX161" s="3060"/>
      <c r="VOY161" s="3060"/>
      <c r="VOZ161" s="3060"/>
      <c r="VPA161" s="3060"/>
      <c r="VPB161" s="3060"/>
      <c r="VPC161" s="3060"/>
      <c r="VPD161" s="3060"/>
      <c r="VPE161" s="3060"/>
      <c r="VPF161" s="3060"/>
      <c r="VPG161" s="3060"/>
      <c r="VPH161" s="3060"/>
      <c r="VPI161" s="3060"/>
      <c r="VPJ161" s="3060"/>
      <c r="VPK161" s="3060"/>
      <c r="VPL161" s="3060"/>
      <c r="VPM161" s="3060"/>
      <c r="VPN161" s="3060"/>
      <c r="VPO161" s="3060"/>
      <c r="VPP161" s="3060"/>
      <c r="VPQ161" s="3060"/>
      <c r="VPR161" s="3060"/>
      <c r="VPS161" s="3060"/>
      <c r="VPT161" s="3060"/>
      <c r="VPU161" s="3060"/>
      <c r="VPV161" s="3060"/>
      <c r="VPW161" s="3060"/>
      <c r="VPX161" s="3060"/>
      <c r="VPY161" s="3060"/>
      <c r="VPZ161" s="3060"/>
      <c r="VQA161" s="3060"/>
      <c r="VQB161" s="3060"/>
      <c r="VQC161" s="3060"/>
      <c r="VQD161" s="3060"/>
      <c r="VQE161" s="3060"/>
      <c r="VQF161" s="3060"/>
      <c r="VQG161" s="3060"/>
      <c r="VQH161" s="3060"/>
      <c r="VQI161" s="3060"/>
      <c r="VQJ161" s="3060"/>
      <c r="VQK161" s="3060"/>
      <c r="VQL161" s="3060"/>
      <c r="VQM161" s="3060"/>
      <c r="VQN161" s="3060"/>
      <c r="VQO161" s="3060"/>
      <c r="VQP161" s="3060"/>
      <c r="VQQ161" s="3060"/>
      <c r="VQR161" s="3060"/>
      <c r="VQS161" s="3060"/>
      <c r="VQT161" s="3060"/>
      <c r="VQU161" s="3060"/>
      <c r="VQV161" s="3060"/>
      <c r="VQW161" s="3060"/>
      <c r="VQX161" s="3060"/>
      <c r="VQY161" s="3060"/>
      <c r="VQZ161" s="3060"/>
      <c r="VRA161" s="3060"/>
      <c r="VRB161" s="3060"/>
      <c r="VRC161" s="3060"/>
      <c r="VRD161" s="3060"/>
      <c r="VRE161" s="3060"/>
      <c r="VRF161" s="3060"/>
      <c r="VRG161" s="3060"/>
      <c r="VRH161" s="3060"/>
      <c r="VRI161" s="3060"/>
      <c r="VRJ161" s="3060"/>
      <c r="VRK161" s="3060"/>
      <c r="VRL161" s="3060"/>
      <c r="VRM161" s="3060"/>
      <c r="VRN161" s="3060"/>
      <c r="VRO161" s="3060"/>
      <c r="VRP161" s="3060"/>
      <c r="VRQ161" s="3060"/>
      <c r="VRR161" s="3060"/>
      <c r="VRS161" s="3060"/>
      <c r="VRT161" s="3060"/>
      <c r="VRU161" s="3060"/>
      <c r="VRV161" s="3060"/>
      <c r="VRW161" s="3060"/>
      <c r="VRX161" s="3060"/>
      <c r="VRY161" s="3060"/>
      <c r="VRZ161" s="3060"/>
      <c r="VSA161" s="3060"/>
      <c r="VSB161" s="3060"/>
      <c r="VSC161" s="3060"/>
      <c r="VSD161" s="3060"/>
      <c r="VSE161" s="3060"/>
      <c r="VSF161" s="3060"/>
      <c r="VSG161" s="3060"/>
      <c r="VSH161" s="3060"/>
      <c r="VSI161" s="3060"/>
      <c r="VSJ161" s="3060"/>
      <c r="VSK161" s="3060"/>
      <c r="VSL161" s="3060"/>
      <c r="VSM161" s="3060"/>
      <c r="VSN161" s="3060"/>
      <c r="VSO161" s="3060"/>
      <c r="VSP161" s="3060"/>
      <c r="VSQ161" s="3060"/>
      <c r="VSR161" s="3060"/>
      <c r="VSS161" s="3060"/>
      <c r="VST161" s="3060"/>
      <c r="VSU161" s="3060"/>
      <c r="VSV161" s="3060"/>
      <c r="VSW161" s="3060"/>
      <c r="VSX161" s="3060"/>
      <c r="VSY161" s="3060"/>
      <c r="VSZ161" s="3060"/>
      <c r="VTA161" s="3060"/>
      <c r="VTB161" s="3060"/>
      <c r="VTC161" s="3060"/>
      <c r="VTD161" s="3060"/>
      <c r="VTE161" s="3060"/>
      <c r="VTF161" s="3060"/>
      <c r="VTG161" s="3060"/>
      <c r="VTH161" s="3060"/>
      <c r="VTI161" s="3060"/>
      <c r="VTJ161" s="3060"/>
      <c r="VTK161" s="3060"/>
      <c r="VTL161" s="3060"/>
      <c r="VTM161" s="3060"/>
      <c r="VTN161" s="3060"/>
      <c r="VTO161" s="3060"/>
      <c r="VTP161" s="3060"/>
      <c r="VTQ161" s="3060"/>
      <c r="VTR161" s="3060"/>
      <c r="VTS161" s="3060"/>
      <c r="VTT161" s="3060"/>
      <c r="VTU161" s="3060"/>
      <c r="VTV161" s="3060"/>
      <c r="VTW161" s="3060"/>
      <c r="VTX161" s="3060"/>
      <c r="VTY161" s="3060"/>
      <c r="VTZ161" s="3060"/>
      <c r="VUA161" s="3060"/>
      <c r="VUB161" s="3060"/>
      <c r="VUC161" s="3060"/>
      <c r="VUD161" s="3060"/>
      <c r="VUE161" s="3060"/>
      <c r="VUF161" s="3060"/>
      <c r="VUG161" s="3060"/>
      <c r="VUH161" s="3060"/>
      <c r="VUI161" s="3060"/>
      <c r="VUJ161" s="3060"/>
      <c r="VUK161" s="3060"/>
      <c r="VUL161" s="3060"/>
      <c r="VUM161" s="3060"/>
      <c r="VUN161" s="3060"/>
      <c r="VUO161" s="3060"/>
      <c r="VUP161" s="3060"/>
      <c r="VUQ161" s="3060"/>
      <c r="VUR161" s="3060"/>
      <c r="VUS161" s="3060"/>
      <c r="VUT161" s="3060"/>
      <c r="VUU161" s="3060"/>
      <c r="VUV161" s="3060"/>
      <c r="VUW161" s="3060"/>
      <c r="VUX161" s="3060"/>
      <c r="VUY161" s="3060"/>
      <c r="VUZ161" s="3060"/>
      <c r="VVA161" s="3060"/>
      <c r="VVB161" s="3060"/>
      <c r="VVC161" s="3060"/>
      <c r="VVD161" s="3060"/>
      <c r="VVE161" s="3060"/>
      <c r="VVF161" s="3060"/>
      <c r="VVG161" s="3060"/>
      <c r="VVH161" s="3060"/>
      <c r="VVI161" s="3060"/>
      <c r="VVJ161" s="3060"/>
      <c r="VVK161" s="3060"/>
      <c r="VVL161" s="3060"/>
      <c r="VVM161" s="3060"/>
      <c r="VVN161" s="3060"/>
      <c r="VVO161" s="3060"/>
      <c r="VVP161" s="3060"/>
      <c r="VVQ161" s="3060"/>
      <c r="VVR161" s="3060"/>
      <c r="VVS161" s="3060"/>
      <c r="VVT161" s="3060"/>
      <c r="VVU161" s="3060"/>
      <c r="VVV161" s="3060"/>
      <c r="VVW161" s="3060"/>
      <c r="VVX161" s="3060"/>
      <c r="VVY161" s="3060"/>
      <c r="VVZ161" s="3060"/>
      <c r="VWA161" s="3060"/>
      <c r="VWB161" s="3060"/>
      <c r="VWC161" s="3060"/>
      <c r="VWD161" s="3060"/>
      <c r="VWE161" s="3060"/>
      <c r="VWF161" s="3060"/>
      <c r="VWG161" s="3060"/>
      <c r="VWH161" s="3060"/>
      <c r="VWI161" s="3060"/>
      <c r="VWJ161" s="3060"/>
      <c r="VWK161" s="3060"/>
      <c r="VWL161" s="3060"/>
      <c r="VWM161" s="3060"/>
      <c r="VWN161" s="3060"/>
      <c r="VWO161" s="3060"/>
      <c r="VWP161" s="3060"/>
      <c r="VWQ161" s="3060"/>
      <c r="VWR161" s="3060"/>
      <c r="VWS161" s="3060"/>
      <c r="VWT161" s="3060"/>
      <c r="VWU161" s="3060"/>
      <c r="VWV161" s="3060"/>
      <c r="VWW161" s="3060"/>
      <c r="VWX161" s="3060"/>
      <c r="VWY161" s="3060"/>
      <c r="VWZ161" s="3060"/>
      <c r="VXA161" s="3060"/>
      <c r="VXB161" s="3060"/>
      <c r="VXC161" s="3060"/>
      <c r="VXD161" s="3060"/>
      <c r="VXE161" s="3060"/>
      <c r="VXF161" s="3060"/>
      <c r="VXG161" s="3060"/>
      <c r="VXH161" s="3060"/>
      <c r="VXI161" s="3060"/>
      <c r="VXJ161" s="3060"/>
      <c r="VXK161" s="3060"/>
      <c r="VXL161" s="3060"/>
      <c r="VXM161" s="3060"/>
      <c r="VXN161" s="3060"/>
      <c r="VXO161" s="3060"/>
      <c r="VXP161" s="3060"/>
      <c r="VXQ161" s="3060"/>
      <c r="VXR161" s="3060"/>
      <c r="VXS161" s="3060"/>
      <c r="VXT161" s="3060"/>
      <c r="VXU161" s="3060"/>
      <c r="VXV161" s="3060"/>
      <c r="VXW161" s="3060"/>
      <c r="VXX161" s="3060"/>
      <c r="VXY161" s="3060"/>
      <c r="VXZ161" s="3060"/>
      <c r="VYA161" s="3060"/>
      <c r="VYB161" s="3060"/>
      <c r="VYC161" s="3060"/>
      <c r="VYD161" s="3060"/>
      <c r="VYE161" s="3060"/>
      <c r="VYF161" s="3060"/>
      <c r="VYG161" s="3060"/>
      <c r="VYH161" s="3060"/>
      <c r="VYI161" s="3060"/>
      <c r="VYJ161" s="3060"/>
      <c r="VYK161" s="3060"/>
      <c r="VYL161" s="3060"/>
      <c r="VYM161" s="3060"/>
      <c r="VYN161" s="3060"/>
      <c r="VYO161" s="3060"/>
      <c r="VYP161" s="3060"/>
      <c r="VYQ161" s="3060"/>
      <c r="VYR161" s="3060"/>
      <c r="VYS161" s="3060"/>
      <c r="VYT161" s="3060"/>
      <c r="VYU161" s="3060"/>
      <c r="VYV161" s="3060"/>
      <c r="VYW161" s="3060"/>
      <c r="VYX161" s="3060"/>
      <c r="VYY161" s="3060"/>
      <c r="VYZ161" s="3060"/>
      <c r="VZA161" s="3060"/>
      <c r="VZB161" s="3060"/>
      <c r="VZC161" s="3060"/>
      <c r="VZD161" s="3060"/>
      <c r="VZE161" s="3060"/>
      <c r="VZF161" s="3060"/>
      <c r="VZG161" s="3060"/>
      <c r="VZH161" s="3060"/>
      <c r="VZI161" s="3060"/>
      <c r="VZJ161" s="3060"/>
      <c r="VZK161" s="3060"/>
      <c r="VZL161" s="3060"/>
      <c r="VZM161" s="3060"/>
      <c r="VZN161" s="3060"/>
      <c r="VZO161" s="3060"/>
      <c r="VZP161" s="3060"/>
      <c r="VZQ161" s="3060"/>
      <c r="VZR161" s="3060"/>
      <c r="VZS161" s="3060"/>
      <c r="VZT161" s="3060"/>
      <c r="VZU161" s="3060"/>
      <c r="VZV161" s="3060"/>
      <c r="VZW161" s="3060"/>
      <c r="VZX161" s="3060"/>
      <c r="VZY161" s="3060"/>
      <c r="VZZ161" s="3060"/>
      <c r="WAA161" s="3060"/>
      <c r="WAB161" s="3060"/>
      <c r="WAC161" s="3060"/>
      <c r="WAD161" s="3060"/>
      <c r="WAE161" s="3060"/>
      <c r="WAF161" s="3060"/>
      <c r="WAG161" s="3060"/>
      <c r="WAH161" s="3060"/>
      <c r="WAI161" s="3060"/>
      <c r="WAJ161" s="3060"/>
      <c r="WAK161" s="3060"/>
      <c r="WAL161" s="3060"/>
      <c r="WAM161" s="3060"/>
      <c r="WAN161" s="3060"/>
      <c r="WAO161" s="3060"/>
      <c r="WAP161" s="3060"/>
      <c r="WAQ161" s="3060"/>
      <c r="WAR161" s="3060"/>
      <c r="WAS161" s="3060"/>
      <c r="WAT161" s="3060"/>
      <c r="WAU161" s="3060"/>
      <c r="WAV161" s="3060"/>
      <c r="WAW161" s="3060"/>
      <c r="WAX161" s="3060"/>
      <c r="WAY161" s="3060"/>
      <c r="WAZ161" s="3060"/>
      <c r="WBA161" s="3060"/>
      <c r="WBB161" s="3060"/>
      <c r="WBC161" s="3060"/>
      <c r="WBD161" s="3060"/>
      <c r="WBE161" s="3060"/>
      <c r="WBF161" s="3060"/>
      <c r="WBG161" s="3060"/>
      <c r="WBH161" s="3060"/>
      <c r="WBI161" s="3060"/>
      <c r="WBJ161" s="3060"/>
      <c r="WBK161" s="3060"/>
      <c r="WBL161" s="3060"/>
      <c r="WBM161" s="3060"/>
      <c r="WBN161" s="3060"/>
      <c r="WBO161" s="3060"/>
      <c r="WBP161" s="3060"/>
      <c r="WBQ161" s="3060"/>
      <c r="WBR161" s="3060"/>
      <c r="WBS161" s="3060"/>
      <c r="WBT161" s="3060"/>
      <c r="WBU161" s="3060"/>
      <c r="WBV161" s="3060"/>
      <c r="WBW161" s="3060"/>
      <c r="WBX161" s="3060"/>
      <c r="WBY161" s="3060"/>
      <c r="WBZ161" s="3060"/>
      <c r="WCA161" s="3060"/>
      <c r="WCB161" s="3060"/>
      <c r="WCC161" s="3060"/>
      <c r="WCD161" s="3060"/>
      <c r="WCE161" s="3060"/>
      <c r="WCF161" s="3060"/>
      <c r="WCG161" s="3060"/>
      <c r="WCH161" s="3060"/>
      <c r="WCI161" s="3060"/>
      <c r="WCJ161" s="3060"/>
      <c r="WCK161" s="3060"/>
      <c r="WCL161" s="3060"/>
      <c r="WCM161" s="3060"/>
      <c r="WCN161" s="3060"/>
      <c r="WCO161" s="3060"/>
      <c r="WCP161" s="3060"/>
      <c r="WCQ161" s="3060"/>
      <c r="WCR161" s="3060"/>
      <c r="WCS161" s="3060"/>
      <c r="WCT161" s="3060"/>
      <c r="WCU161" s="3060"/>
      <c r="WCV161" s="3060"/>
      <c r="WCW161" s="3060"/>
      <c r="WCX161" s="3060"/>
      <c r="WCY161" s="3060"/>
      <c r="WCZ161" s="3060"/>
      <c r="WDA161" s="3060"/>
      <c r="WDB161" s="3060"/>
      <c r="WDC161" s="3060"/>
      <c r="WDD161" s="3060"/>
      <c r="WDE161" s="3060"/>
      <c r="WDF161" s="3060"/>
      <c r="WDG161" s="3060"/>
      <c r="WDH161" s="3060"/>
      <c r="WDI161" s="3060"/>
      <c r="WDJ161" s="3060"/>
      <c r="WDK161" s="3060"/>
      <c r="WDL161" s="3060"/>
      <c r="WDM161" s="3060"/>
      <c r="WDN161" s="3060"/>
      <c r="WDO161" s="3060"/>
      <c r="WDP161" s="3060"/>
      <c r="WDQ161" s="3060"/>
      <c r="WDR161" s="3060"/>
      <c r="WDS161" s="3060"/>
      <c r="WDT161" s="3060"/>
      <c r="WDU161" s="3060"/>
      <c r="WDV161" s="3060"/>
      <c r="WDW161" s="3060"/>
      <c r="WDX161" s="3060"/>
      <c r="WDY161" s="3060"/>
      <c r="WDZ161" s="3060"/>
      <c r="WEA161" s="3060"/>
      <c r="WEB161" s="3060"/>
      <c r="WEC161" s="3060"/>
      <c r="WED161" s="3060"/>
      <c r="WEE161" s="3060"/>
      <c r="WEF161" s="3060"/>
      <c r="WEG161" s="3060"/>
      <c r="WEH161" s="3060"/>
      <c r="WEI161" s="3060"/>
      <c r="WEJ161" s="3060"/>
      <c r="WEK161" s="3060"/>
      <c r="WEL161" s="3060"/>
      <c r="WEM161" s="3060"/>
      <c r="WEN161" s="3060"/>
      <c r="WEO161" s="3060"/>
      <c r="WEP161" s="3060"/>
      <c r="WEQ161" s="3060"/>
      <c r="WER161" s="3060"/>
      <c r="WES161" s="3060"/>
      <c r="WET161" s="3060"/>
      <c r="WEU161" s="3060"/>
      <c r="WEV161" s="3060"/>
      <c r="WEW161" s="3060"/>
      <c r="WEX161" s="3060"/>
      <c r="WEY161" s="3060"/>
      <c r="WEZ161" s="3060"/>
      <c r="WFA161" s="3060"/>
      <c r="WFB161" s="3060"/>
      <c r="WFC161" s="3060"/>
      <c r="WFD161" s="3060"/>
      <c r="WFE161" s="3060"/>
      <c r="WFF161" s="3060"/>
      <c r="WFG161" s="3060"/>
      <c r="WFH161" s="3060"/>
      <c r="WFI161" s="3060"/>
      <c r="WFJ161" s="3060"/>
      <c r="WFK161" s="3060"/>
      <c r="WFL161" s="3060"/>
      <c r="WFM161" s="3060"/>
      <c r="WFN161" s="3060"/>
      <c r="WFO161" s="3060"/>
      <c r="WFP161" s="3060"/>
      <c r="WFQ161" s="3060"/>
      <c r="WFR161" s="3060"/>
      <c r="WFS161" s="3060"/>
      <c r="WFT161" s="3060"/>
      <c r="WFU161" s="3060"/>
      <c r="WFV161" s="3060"/>
      <c r="WFW161" s="3060"/>
      <c r="WFX161" s="3060"/>
      <c r="WFY161" s="3060"/>
      <c r="WFZ161" s="3060"/>
      <c r="WGA161" s="3060"/>
      <c r="WGB161" s="3060"/>
      <c r="WGC161" s="3060"/>
      <c r="WGD161" s="3060"/>
      <c r="WGE161" s="3060"/>
      <c r="WGF161" s="3060"/>
      <c r="WGG161" s="3060"/>
      <c r="WGH161" s="3060"/>
      <c r="WGI161" s="3060"/>
      <c r="WGJ161" s="3060"/>
      <c r="WGK161" s="3060"/>
      <c r="WGL161" s="3060"/>
      <c r="WGM161" s="3060"/>
      <c r="WGN161" s="3060"/>
      <c r="WGO161" s="3060"/>
      <c r="WGP161" s="3060"/>
      <c r="WGQ161" s="3060"/>
      <c r="WGR161" s="3060"/>
      <c r="WGS161" s="3060"/>
      <c r="WGT161" s="3060"/>
      <c r="WGU161" s="3060"/>
      <c r="WGV161" s="3060"/>
      <c r="WGW161" s="3060"/>
      <c r="WGX161" s="3060"/>
      <c r="WGY161" s="3060"/>
      <c r="WGZ161" s="3060"/>
      <c r="WHA161" s="3060"/>
      <c r="WHB161" s="3060"/>
      <c r="WHC161" s="3060"/>
      <c r="WHD161" s="3060"/>
      <c r="WHE161" s="3060"/>
      <c r="WHF161" s="3060"/>
      <c r="WHG161" s="3060"/>
      <c r="WHH161" s="3060"/>
      <c r="WHI161" s="3060"/>
      <c r="WHJ161" s="3060"/>
      <c r="WHK161" s="3060"/>
      <c r="WHL161" s="3060"/>
      <c r="WHM161" s="3060"/>
      <c r="WHN161" s="3060"/>
      <c r="WHO161" s="3060"/>
      <c r="WHP161" s="3060"/>
      <c r="WHQ161" s="3060"/>
      <c r="WHR161" s="3060"/>
      <c r="WHS161" s="3060"/>
      <c r="WHT161" s="3060"/>
      <c r="WHU161" s="3060"/>
      <c r="WHV161" s="3060"/>
      <c r="WHW161" s="3060"/>
      <c r="WHX161" s="3060"/>
      <c r="WHY161" s="3060"/>
      <c r="WHZ161" s="3060"/>
      <c r="WIA161" s="3060"/>
      <c r="WIB161" s="3060"/>
      <c r="WIC161" s="3060"/>
      <c r="WID161" s="3060"/>
      <c r="WIE161" s="3060"/>
      <c r="WIF161" s="3060"/>
      <c r="WIG161" s="3060"/>
      <c r="WIH161" s="3060"/>
      <c r="WII161" s="3060"/>
      <c r="WIJ161" s="3060"/>
      <c r="WIK161" s="3060"/>
      <c r="WIL161" s="3060"/>
      <c r="WIM161" s="3060"/>
      <c r="WIN161" s="3060"/>
      <c r="WIO161" s="3060"/>
      <c r="WIP161" s="3060"/>
      <c r="WIQ161" s="3060"/>
      <c r="WIR161" s="3060"/>
      <c r="WIS161" s="3060"/>
      <c r="WIT161" s="3060"/>
      <c r="WIU161" s="3060"/>
      <c r="WIV161" s="3060"/>
      <c r="WIW161" s="3060"/>
      <c r="WIX161" s="3060"/>
      <c r="WIY161" s="3060"/>
      <c r="WIZ161" s="3060"/>
      <c r="WJA161" s="3060"/>
      <c r="WJB161" s="3060"/>
      <c r="WJC161" s="3060"/>
      <c r="WJD161" s="3060"/>
      <c r="WJE161" s="3060"/>
      <c r="WJF161" s="3060"/>
      <c r="WJG161" s="3060"/>
      <c r="WJH161" s="3060"/>
      <c r="WJI161" s="3060"/>
      <c r="WJJ161" s="3060"/>
      <c r="WJK161" s="3060"/>
      <c r="WJL161" s="3060"/>
      <c r="WJM161" s="3060"/>
      <c r="WJN161" s="3060"/>
      <c r="WJO161" s="3060"/>
      <c r="WJP161" s="3060"/>
      <c r="WJQ161" s="3060"/>
      <c r="WJR161" s="3060"/>
      <c r="WJS161" s="3060"/>
      <c r="WJT161" s="3060"/>
      <c r="WJU161" s="3060"/>
      <c r="WJV161" s="3060"/>
      <c r="WJW161" s="3060"/>
      <c r="WJX161" s="3060"/>
      <c r="WJY161" s="3060"/>
      <c r="WJZ161" s="3060"/>
      <c r="WKA161" s="3060"/>
      <c r="WKB161" s="3060"/>
      <c r="WKC161" s="3060"/>
      <c r="WKD161" s="3060"/>
      <c r="WKE161" s="3060"/>
      <c r="WKF161" s="3060"/>
      <c r="WKG161" s="3060"/>
      <c r="WKH161" s="3060"/>
      <c r="WKI161" s="3060"/>
      <c r="WKJ161" s="3060"/>
      <c r="WKK161" s="3060"/>
      <c r="WKL161" s="3060"/>
      <c r="WKM161" s="3060"/>
      <c r="WKN161" s="3060"/>
      <c r="WKO161" s="3060"/>
      <c r="WKP161" s="3060"/>
      <c r="WKQ161" s="3060"/>
      <c r="WKR161" s="3060"/>
      <c r="WKS161" s="3060"/>
      <c r="WKT161" s="3060"/>
      <c r="WKU161" s="3060"/>
      <c r="WKV161" s="3060"/>
      <c r="WKW161" s="3060"/>
      <c r="WKX161" s="3060"/>
      <c r="WKY161" s="3060"/>
      <c r="WKZ161" s="3060"/>
      <c r="WLA161" s="3060"/>
      <c r="WLB161" s="3060"/>
      <c r="WLC161" s="3060"/>
      <c r="WLD161" s="3060"/>
      <c r="WLE161" s="3060"/>
      <c r="WLF161" s="3060"/>
      <c r="WLG161" s="3060"/>
      <c r="WLH161" s="3060"/>
      <c r="WLI161" s="3060"/>
      <c r="WLJ161" s="3060"/>
      <c r="WLK161" s="3060"/>
      <c r="WLL161" s="3060"/>
      <c r="WLM161" s="3060"/>
      <c r="WLN161" s="3060"/>
      <c r="WLO161" s="3060"/>
      <c r="WLP161" s="3060"/>
      <c r="WLQ161" s="3060"/>
      <c r="WLR161" s="3060"/>
      <c r="WLS161" s="3060"/>
      <c r="WLT161" s="3060"/>
      <c r="WLU161" s="3060"/>
      <c r="WLV161" s="3060"/>
      <c r="WLW161" s="3060"/>
      <c r="WLX161" s="3060"/>
      <c r="WLY161" s="3060"/>
      <c r="WLZ161" s="3060"/>
      <c r="WMA161" s="3060"/>
      <c r="WMB161" s="3060"/>
      <c r="WMC161" s="3060"/>
      <c r="WMD161" s="3060"/>
      <c r="WME161" s="3060"/>
      <c r="WMF161" s="3060"/>
      <c r="WMG161" s="3060"/>
      <c r="WMH161" s="3060"/>
      <c r="WMI161" s="3060"/>
      <c r="WMJ161" s="3060"/>
      <c r="WMK161" s="3060"/>
      <c r="WML161" s="3060"/>
      <c r="WMM161" s="3060"/>
      <c r="WMN161" s="3060"/>
      <c r="WMO161" s="3060"/>
      <c r="WMP161" s="3060"/>
      <c r="WMQ161" s="3060"/>
      <c r="WMR161" s="3060"/>
      <c r="WMS161" s="3060"/>
      <c r="WMT161" s="3060"/>
      <c r="WMU161" s="3060"/>
      <c r="WMV161" s="3060"/>
      <c r="WMW161" s="3060"/>
      <c r="WMX161" s="3060"/>
      <c r="WMY161" s="3060"/>
      <c r="WMZ161" s="3060"/>
      <c r="WNA161" s="3060"/>
      <c r="WNB161" s="3060"/>
      <c r="WNC161" s="3060"/>
      <c r="WND161" s="3060"/>
      <c r="WNE161" s="3060"/>
      <c r="WNF161" s="3060"/>
      <c r="WNG161" s="3060"/>
      <c r="WNH161" s="3060"/>
      <c r="WNI161" s="3060"/>
      <c r="WNJ161" s="3060"/>
      <c r="WNK161" s="3060"/>
      <c r="WNL161" s="3060"/>
      <c r="WNM161" s="3060"/>
      <c r="WNN161" s="3060"/>
      <c r="WNO161" s="3060"/>
      <c r="WNP161" s="3060"/>
      <c r="WNQ161" s="3060"/>
      <c r="WNR161" s="3060"/>
      <c r="WNS161" s="3060"/>
      <c r="WNT161" s="3060"/>
      <c r="WNU161" s="3060"/>
      <c r="WNV161" s="3060"/>
      <c r="WNW161" s="3060"/>
      <c r="WNX161" s="3060"/>
      <c r="WNY161" s="3060"/>
      <c r="WNZ161" s="3060"/>
      <c r="WOA161" s="3060"/>
      <c r="WOB161" s="3060"/>
      <c r="WOC161" s="3060"/>
      <c r="WOD161" s="3060"/>
      <c r="WOE161" s="3060"/>
      <c r="WOF161" s="3060"/>
      <c r="WOG161" s="3060"/>
      <c r="WOH161" s="3060"/>
      <c r="WOI161" s="3060"/>
      <c r="WOJ161" s="3060"/>
      <c r="WOK161" s="3060"/>
      <c r="WOL161" s="3060"/>
      <c r="WOM161" s="3060"/>
      <c r="WON161" s="3060"/>
      <c r="WOO161" s="3060"/>
      <c r="WOP161" s="3060"/>
      <c r="WOQ161" s="3060"/>
      <c r="WOR161" s="3060"/>
      <c r="WOS161" s="3060"/>
      <c r="WOT161" s="3060"/>
      <c r="WOU161" s="3060"/>
      <c r="WOV161" s="3060"/>
      <c r="WOW161" s="3060"/>
      <c r="WOX161" s="3060"/>
      <c r="WOY161" s="3060"/>
      <c r="WOZ161" s="3060"/>
      <c r="WPA161" s="3060"/>
      <c r="WPB161" s="3060"/>
      <c r="WPC161" s="3060"/>
      <c r="WPD161" s="3060"/>
      <c r="WPE161" s="3060"/>
      <c r="WPF161" s="3060"/>
      <c r="WPG161" s="3060"/>
      <c r="WPH161" s="3060"/>
      <c r="WPI161" s="3060"/>
      <c r="WPJ161" s="3060"/>
      <c r="WPK161" s="3060"/>
      <c r="WPL161" s="3060"/>
      <c r="WPM161" s="3060"/>
      <c r="WPN161" s="3060"/>
      <c r="WPO161" s="3060"/>
      <c r="WPP161" s="3060"/>
      <c r="WPQ161" s="3060"/>
      <c r="WPR161" s="3060"/>
      <c r="WPS161" s="3060"/>
      <c r="WPT161" s="3060"/>
      <c r="WPU161" s="3060"/>
      <c r="WPV161" s="3060"/>
      <c r="WPW161" s="3060"/>
      <c r="WPX161" s="3060"/>
      <c r="WPY161" s="3060"/>
      <c r="WPZ161" s="3060"/>
      <c r="WQA161" s="3060"/>
      <c r="WQB161" s="3060"/>
      <c r="WQC161" s="3060"/>
      <c r="WQD161" s="3060"/>
      <c r="WQE161" s="3060"/>
      <c r="WQF161" s="3060"/>
      <c r="WQG161" s="3060"/>
      <c r="WQH161" s="3060"/>
      <c r="WQI161" s="3060"/>
      <c r="WQJ161" s="3060"/>
      <c r="WQK161" s="3060"/>
      <c r="WQL161" s="3060"/>
      <c r="WQM161" s="3060"/>
      <c r="WQN161" s="3060"/>
      <c r="WQO161" s="3060"/>
      <c r="WQP161" s="3060"/>
      <c r="WQQ161" s="3060"/>
      <c r="WQR161" s="3060"/>
      <c r="WQS161" s="3060"/>
      <c r="WQT161" s="3060"/>
      <c r="WQU161" s="3060"/>
      <c r="WQV161" s="3060"/>
      <c r="WQW161" s="3060"/>
      <c r="WQX161" s="3060"/>
      <c r="WQY161" s="3060"/>
      <c r="WQZ161" s="3060"/>
      <c r="WRA161" s="3060"/>
      <c r="WRB161" s="3060"/>
      <c r="WRC161" s="3060"/>
      <c r="WRD161" s="3060"/>
      <c r="WRE161" s="3060"/>
      <c r="WRF161" s="3060"/>
      <c r="WRG161" s="3060"/>
      <c r="WRH161" s="3060"/>
      <c r="WRI161" s="3060"/>
      <c r="WRJ161" s="3060"/>
      <c r="WRK161" s="3060"/>
      <c r="WRL161" s="3060"/>
      <c r="WRM161" s="3060"/>
      <c r="WRN161" s="3060"/>
      <c r="WRO161" s="3060"/>
      <c r="WRP161" s="3060"/>
      <c r="WRQ161" s="3060"/>
      <c r="WRR161" s="3060"/>
      <c r="WRS161" s="3060"/>
      <c r="WRT161" s="3060"/>
      <c r="WRU161" s="3060"/>
      <c r="WRV161" s="3060"/>
      <c r="WRW161" s="3060"/>
      <c r="WRX161" s="3060"/>
      <c r="WRY161" s="3060"/>
      <c r="WRZ161" s="3060"/>
      <c r="WSA161" s="3060"/>
      <c r="WSB161" s="3060"/>
      <c r="WSC161" s="3060"/>
      <c r="WSD161" s="3060"/>
      <c r="WSE161" s="3060"/>
      <c r="WSF161" s="3060"/>
      <c r="WSG161" s="3060"/>
      <c r="WSH161" s="3060"/>
      <c r="WSI161" s="3060"/>
      <c r="WSJ161" s="3060"/>
      <c r="WSK161" s="3060"/>
      <c r="WSL161" s="3060"/>
      <c r="WSM161" s="3060"/>
      <c r="WSN161" s="3060"/>
      <c r="WSO161" s="3060"/>
      <c r="WSP161" s="3060"/>
      <c r="WSQ161" s="3060"/>
      <c r="WSR161" s="3060"/>
      <c r="WSS161" s="3060"/>
      <c r="WST161" s="3060"/>
      <c r="WSU161" s="3060"/>
      <c r="WSV161" s="3060"/>
      <c r="WSW161" s="3060"/>
      <c r="WSX161" s="3060"/>
      <c r="WSY161" s="3060"/>
      <c r="WSZ161" s="3060"/>
      <c r="WTA161" s="3060"/>
      <c r="WTB161" s="3060"/>
      <c r="WTC161" s="3060"/>
      <c r="WTD161" s="3060"/>
      <c r="WTE161" s="3060"/>
      <c r="WTF161" s="3060"/>
      <c r="WTG161" s="3060"/>
      <c r="WTH161" s="3060"/>
      <c r="WTI161" s="3060"/>
      <c r="WTJ161" s="3060"/>
      <c r="WTK161" s="3060"/>
      <c r="WTL161" s="3060"/>
      <c r="WTM161" s="3060"/>
      <c r="WTN161" s="3060"/>
      <c r="WTO161" s="3060"/>
      <c r="WTP161" s="3060"/>
      <c r="WTQ161" s="3060"/>
      <c r="WTR161" s="3060"/>
      <c r="WTS161" s="3060"/>
      <c r="WTT161" s="3060"/>
      <c r="WTU161" s="3060"/>
      <c r="WTV161" s="3060"/>
      <c r="WTW161" s="3060"/>
      <c r="WTX161" s="3060"/>
      <c r="WTY161" s="3060"/>
      <c r="WTZ161" s="3060"/>
      <c r="WUA161" s="3060"/>
      <c r="WUB161" s="3060"/>
      <c r="WUC161" s="3060"/>
      <c r="WUD161" s="3060"/>
      <c r="WUE161" s="3060"/>
      <c r="WUF161" s="3060"/>
      <c r="WUG161" s="3060"/>
      <c r="WUH161" s="3060"/>
      <c r="WUI161" s="3060"/>
      <c r="WUJ161" s="3060"/>
      <c r="WUK161" s="3060"/>
      <c r="WUL161" s="3060"/>
      <c r="WUM161" s="3060"/>
      <c r="WUN161" s="3060"/>
      <c r="WUO161" s="3060"/>
      <c r="WUP161" s="3060"/>
      <c r="WUQ161" s="3060"/>
      <c r="WUR161" s="3060"/>
      <c r="WUS161" s="3060"/>
      <c r="WUT161" s="3060"/>
      <c r="WUU161" s="3060"/>
      <c r="WUV161" s="3060"/>
      <c r="WUW161" s="3060"/>
      <c r="WUX161" s="3060"/>
      <c r="WUY161" s="3060"/>
      <c r="WUZ161" s="3060"/>
      <c r="WVA161" s="3060"/>
      <c r="WVB161" s="3060"/>
      <c r="WVC161" s="3060"/>
      <c r="WVD161" s="3060"/>
      <c r="WVE161" s="3060"/>
      <c r="WVF161" s="3060"/>
      <c r="WVG161" s="3060"/>
      <c r="WVH161" s="3060"/>
      <c r="WVI161" s="3060"/>
      <c r="WVJ161" s="3060"/>
      <c r="WVK161" s="3060"/>
      <c r="WVL161" s="3060"/>
      <c r="WVM161" s="3060"/>
      <c r="WVN161" s="3060"/>
      <c r="WVO161" s="3060"/>
      <c r="WVP161" s="3060"/>
      <c r="WVQ161" s="3060"/>
      <c r="WVR161" s="3060"/>
      <c r="WVS161" s="3060"/>
      <c r="WVT161" s="3060"/>
      <c r="WVU161" s="3060"/>
      <c r="WVV161" s="3060"/>
      <c r="WVW161" s="3060"/>
      <c r="WVX161" s="3060"/>
      <c r="WVY161" s="3060"/>
      <c r="WVZ161" s="3060"/>
      <c r="WWA161" s="3060"/>
      <c r="WWB161" s="3060"/>
      <c r="WWC161" s="3060"/>
      <c r="WWD161" s="3060"/>
      <c r="WWE161" s="3060"/>
      <c r="WWF161" s="3060"/>
      <c r="WWG161" s="3060"/>
      <c r="WWH161" s="3060"/>
      <c r="WWI161" s="3060"/>
      <c r="WWJ161" s="3060"/>
      <c r="WWK161" s="3060"/>
      <c r="WWL161" s="3060"/>
      <c r="WWM161" s="3060"/>
      <c r="WWN161" s="3060"/>
      <c r="WWO161" s="3060"/>
      <c r="WWP161" s="3060"/>
      <c r="WWQ161" s="3060"/>
      <c r="WWR161" s="3060"/>
      <c r="WWS161" s="3060"/>
      <c r="WWT161" s="3060"/>
      <c r="WWU161" s="3060"/>
      <c r="WWV161" s="3060"/>
      <c r="WWW161" s="3060"/>
      <c r="WWX161" s="3060"/>
      <c r="WWY161" s="3060"/>
      <c r="WWZ161" s="3060"/>
      <c r="WXA161" s="3060"/>
      <c r="WXB161" s="3060"/>
      <c r="WXC161" s="3060"/>
      <c r="WXD161" s="3060"/>
      <c r="WXE161" s="3060"/>
      <c r="WXF161" s="3060"/>
      <c r="WXG161" s="3060"/>
      <c r="WXH161" s="3060"/>
      <c r="WXI161" s="3060"/>
      <c r="WXJ161" s="3060"/>
      <c r="WXK161" s="3060"/>
      <c r="WXL161" s="3060"/>
      <c r="WXM161" s="3060"/>
      <c r="WXN161" s="3060"/>
      <c r="WXO161" s="3060"/>
      <c r="WXP161" s="3060"/>
      <c r="WXQ161" s="3060"/>
      <c r="WXR161" s="3060"/>
      <c r="WXS161" s="3060"/>
      <c r="WXT161" s="3060"/>
      <c r="WXU161" s="3060"/>
      <c r="WXV161" s="3060"/>
      <c r="WXW161" s="3060"/>
      <c r="WXX161" s="3060"/>
      <c r="WXY161" s="3060"/>
      <c r="WXZ161" s="3060"/>
      <c r="WYA161" s="3060"/>
      <c r="WYB161" s="3060"/>
      <c r="WYC161" s="3060"/>
      <c r="WYD161" s="3060"/>
      <c r="WYE161" s="3060"/>
      <c r="WYF161" s="3060"/>
      <c r="WYG161" s="3060"/>
      <c r="WYH161" s="3060"/>
      <c r="WYI161" s="3060"/>
      <c r="WYJ161" s="3060"/>
      <c r="WYK161" s="3060"/>
      <c r="WYL161" s="3060"/>
      <c r="WYM161" s="3060"/>
      <c r="WYN161" s="3060"/>
      <c r="WYO161" s="3060"/>
      <c r="WYP161" s="3060"/>
      <c r="WYQ161" s="3060"/>
      <c r="WYR161" s="3060"/>
      <c r="WYS161" s="3060"/>
      <c r="WYT161" s="3060"/>
      <c r="WYU161" s="3060"/>
      <c r="WYV161" s="3060"/>
      <c r="WYW161" s="3060"/>
      <c r="WYX161" s="3060"/>
      <c r="WYY161" s="3060"/>
      <c r="WYZ161" s="3060"/>
      <c r="WZA161" s="3060"/>
      <c r="WZB161" s="3060"/>
      <c r="WZC161" s="3060"/>
      <c r="WZD161" s="3060"/>
      <c r="WZE161" s="3060"/>
      <c r="WZF161" s="3060"/>
      <c r="WZG161" s="3060"/>
      <c r="WZH161" s="3060"/>
      <c r="WZI161" s="3060"/>
      <c r="WZJ161" s="3060"/>
      <c r="WZK161" s="3060"/>
      <c r="WZL161" s="3060"/>
      <c r="WZM161" s="3060"/>
      <c r="WZN161" s="3060"/>
      <c r="WZO161" s="3060"/>
      <c r="WZP161" s="3060"/>
      <c r="WZQ161" s="3060"/>
      <c r="WZR161" s="3060"/>
      <c r="WZS161" s="3060"/>
      <c r="WZT161" s="3060"/>
      <c r="WZU161" s="3060"/>
      <c r="WZV161" s="3060"/>
      <c r="WZW161" s="3060"/>
      <c r="WZX161" s="3060"/>
      <c r="WZY161" s="3060"/>
      <c r="WZZ161" s="3060"/>
      <c r="XAA161" s="3060"/>
      <c r="XAB161" s="3060"/>
      <c r="XAC161" s="3060"/>
      <c r="XAD161" s="3060"/>
      <c r="XAE161" s="3060"/>
      <c r="XAF161" s="3060"/>
      <c r="XAG161" s="3060"/>
      <c r="XAH161" s="3060"/>
      <c r="XAI161" s="3060"/>
      <c r="XAJ161" s="3060"/>
      <c r="XAK161" s="3060"/>
      <c r="XAL161" s="3060"/>
      <c r="XAM161" s="3060"/>
      <c r="XAN161" s="3060"/>
      <c r="XAO161" s="3060"/>
      <c r="XAP161" s="3060"/>
      <c r="XAQ161" s="3060"/>
      <c r="XAR161" s="3060"/>
      <c r="XAS161" s="3060"/>
      <c r="XAT161" s="3060"/>
      <c r="XAU161" s="3060"/>
      <c r="XAV161" s="3060"/>
      <c r="XAW161" s="3060"/>
      <c r="XAX161" s="3060"/>
      <c r="XAY161" s="3060"/>
      <c r="XAZ161" s="3060"/>
      <c r="XBA161" s="3060"/>
      <c r="XBB161" s="3060"/>
      <c r="XBC161" s="3060"/>
      <c r="XBD161" s="3060"/>
      <c r="XBE161" s="3060"/>
      <c r="XBF161" s="3060"/>
      <c r="XBG161" s="3060"/>
      <c r="XBH161" s="3060"/>
      <c r="XBI161" s="3060"/>
      <c r="XBJ161" s="3060"/>
      <c r="XBK161" s="3060"/>
      <c r="XBL161" s="3060"/>
      <c r="XBM161" s="3060"/>
      <c r="XBN161" s="3060"/>
      <c r="XBO161" s="3060"/>
      <c r="XBP161" s="3060"/>
      <c r="XBQ161" s="3060"/>
      <c r="XBR161" s="3060"/>
      <c r="XBS161" s="3060"/>
      <c r="XBT161" s="3060"/>
      <c r="XBU161" s="3060"/>
      <c r="XBV161" s="3060"/>
      <c r="XBW161" s="3060"/>
      <c r="XBX161" s="3060"/>
      <c r="XBY161" s="3060"/>
      <c r="XBZ161" s="3060"/>
      <c r="XCA161" s="3060"/>
      <c r="XCB161" s="3060"/>
      <c r="XCC161" s="3060"/>
      <c r="XCD161" s="3060"/>
      <c r="XCE161" s="3060"/>
      <c r="XCF161" s="3060"/>
      <c r="XCG161" s="3060"/>
      <c r="XCH161" s="3060"/>
      <c r="XCI161" s="3060"/>
      <c r="XCJ161" s="3060"/>
      <c r="XCK161" s="3060"/>
      <c r="XCL161" s="3060"/>
      <c r="XCM161" s="3060"/>
      <c r="XCN161" s="3060"/>
      <c r="XCO161" s="3060"/>
      <c r="XCP161" s="3060"/>
      <c r="XCQ161" s="3060"/>
      <c r="XCR161" s="3060"/>
      <c r="XCS161" s="3060"/>
      <c r="XCT161" s="3060"/>
      <c r="XCU161" s="3060"/>
      <c r="XCV161" s="3060"/>
      <c r="XCW161" s="3060"/>
      <c r="XCX161" s="3060"/>
      <c r="XCY161" s="3060"/>
      <c r="XCZ161" s="3060"/>
      <c r="XDA161" s="3060"/>
      <c r="XDB161" s="3060"/>
      <c r="XDC161" s="3060"/>
      <c r="XDD161" s="3060"/>
      <c r="XDE161" s="3060"/>
      <c r="XDF161" s="3060"/>
      <c r="XDG161" s="3060"/>
      <c r="XDH161" s="3060"/>
      <c r="XDI161" s="3060"/>
      <c r="XDJ161" s="3060"/>
      <c r="XDK161" s="3060"/>
      <c r="XDL161" s="3060"/>
      <c r="XDM161" s="3060"/>
      <c r="XDN161" s="3060"/>
      <c r="XDO161" s="3060"/>
      <c r="XDP161" s="3060"/>
      <c r="XDQ161" s="3060"/>
      <c r="XDR161" s="3060"/>
      <c r="XDS161" s="3060"/>
      <c r="XDT161" s="3060"/>
      <c r="XDU161" s="3060"/>
      <c r="XDV161" s="3060"/>
      <c r="XDW161" s="3060"/>
      <c r="XDX161" s="3060"/>
      <c r="XDY161" s="3060"/>
      <c r="XDZ161" s="3060"/>
      <c r="XEA161" s="3060"/>
      <c r="XEB161" s="3060"/>
      <c r="XEC161" s="3060"/>
      <c r="XED161" s="3060"/>
      <c r="XEE161" s="3060"/>
      <c r="XEF161" s="3060"/>
      <c r="XEG161" s="3060"/>
      <c r="XEH161" s="3060"/>
      <c r="XEI161" s="3060"/>
      <c r="XEJ161" s="3060"/>
      <c r="XEK161" s="3060"/>
      <c r="XEL161" s="3060"/>
      <c r="XEM161" s="3060"/>
      <c r="XEN161" s="3060"/>
      <c r="XEO161" s="3060"/>
      <c r="XEP161" s="3060"/>
      <c r="XEQ161" s="3060"/>
      <c r="XER161" s="3060"/>
      <c r="XES161" s="3060"/>
      <c r="XET161" s="3060"/>
      <c r="XEU161" s="3060"/>
      <c r="XEV161" s="3060"/>
      <c r="XEW161" s="3060"/>
      <c r="XEX161" s="3060"/>
      <c r="XEY161" s="3060"/>
      <c r="XEZ161" s="3060"/>
      <c r="XFA161" s="3060"/>
      <c r="XFB161" s="3060"/>
      <c r="XFC161" s="3060"/>
      <c r="XFD161" s="3060"/>
    </row>
  </sheetData>
  <autoFilter ref="A10:XFD156"/>
  <mergeCells count="47">
    <mergeCell ref="A3:AF3"/>
    <mergeCell ref="S129:S130"/>
    <mergeCell ref="U129:U130"/>
    <mergeCell ref="AF129:AF130"/>
    <mergeCell ref="AA8:AA9"/>
    <mergeCell ref="N8:N9"/>
    <mergeCell ref="O8:O9"/>
    <mergeCell ref="V8:V9"/>
    <mergeCell ref="W8:W9"/>
    <mergeCell ref="X8:Y8"/>
    <mergeCell ref="Z8:Z9"/>
    <mergeCell ref="H8:H9"/>
    <mergeCell ref="I8:I9"/>
    <mergeCell ref="J8:J9"/>
    <mergeCell ref="K8:K9"/>
    <mergeCell ref="L8:L9"/>
    <mergeCell ref="M8:M9"/>
    <mergeCell ref="L7:M7"/>
    <mergeCell ref="N7:O7"/>
    <mergeCell ref="V7:Y7"/>
    <mergeCell ref="Z7:AA7"/>
    <mergeCell ref="B8:B9"/>
    <mergeCell ref="C8:C9"/>
    <mergeCell ref="D8:D9"/>
    <mergeCell ref="E8:E9"/>
    <mergeCell ref="F8:F9"/>
    <mergeCell ref="I6:O6"/>
    <mergeCell ref="B7:D7"/>
    <mergeCell ref="E7:F7"/>
    <mergeCell ref="G7:H7"/>
    <mergeCell ref="I7:K7"/>
    <mergeCell ref="U1:AF1"/>
    <mergeCell ref="A2:AF2"/>
    <mergeCell ref="A5:A9"/>
    <mergeCell ref="B5:H5"/>
    <mergeCell ref="I5:O5"/>
    <mergeCell ref="P5:P9"/>
    <mergeCell ref="Q5:Q9"/>
    <mergeCell ref="R5:S8"/>
    <mergeCell ref="T5:U8"/>
    <mergeCell ref="V5:AA6"/>
    <mergeCell ref="G8:G9"/>
    <mergeCell ref="AB5:AC8"/>
    <mergeCell ref="AD5:AD9"/>
    <mergeCell ref="AE5:AE9"/>
    <mergeCell ref="AF5:AF9"/>
    <mergeCell ref="B6:H6"/>
  </mergeCells>
  <pageMargins left="0.59055118110236227" right="0.15748031496062992" top="0.74803149606299213" bottom="0.74803149606299213" header="0.31496062992125984" footer="0.31496062992125984"/>
  <pageSetup paperSize="9" scale="20" orientation="landscape" r:id="rId1"/>
  <rowBreaks count="1" manualBreakCount="1">
    <brk id="81" max="3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tabColor rgb="FF00FFFF"/>
  </sheetPr>
  <dimension ref="A1:E14"/>
  <sheetViews>
    <sheetView view="pageBreakPreview" zoomScale="80" zoomScaleNormal="100" zoomScaleSheetLayoutView="80" workbookViewId="0">
      <selection activeCell="C16" sqref="C16"/>
    </sheetView>
  </sheetViews>
  <sheetFormatPr defaultRowHeight="39.75" customHeight="1" x14ac:dyDescent="0.25"/>
  <cols>
    <col min="1" max="1" width="81.33203125" style="380" customWidth="1"/>
    <col min="2" max="2" width="10" style="380" customWidth="1"/>
    <col min="3" max="5" width="25.83203125" style="380" customWidth="1"/>
    <col min="6" max="16384" width="9.33203125" style="380"/>
  </cols>
  <sheetData>
    <row r="1" spans="1:5" ht="55.5" customHeight="1" x14ac:dyDescent="0.25">
      <c r="A1" s="3425" t="s">
        <v>1438</v>
      </c>
      <c r="B1" s="3425"/>
      <c r="C1" s="3425"/>
      <c r="D1" s="3425"/>
      <c r="E1" s="3425"/>
    </row>
    <row r="2" spans="1:5" ht="34.5" customHeight="1" x14ac:dyDescent="0.25">
      <c r="A2" s="3425" t="s">
        <v>1442</v>
      </c>
      <c r="B2" s="3425"/>
      <c r="C2" s="3425"/>
      <c r="D2" s="3425"/>
      <c r="E2" s="3425"/>
    </row>
    <row r="3" spans="1:5" ht="13.5" customHeight="1" x14ac:dyDescent="0.25">
      <c r="A3" s="391"/>
      <c r="B3" s="391"/>
      <c r="C3" s="391"/>
      <c r="D3" s="391"/>
      <c r="E3" s="382">
        <v>43831</v>
      </c>
    </row>
    <row r="4" spans="1:5" ht="39.75" customHeight="1" x14ac:dyDescent="0.25">
      <c r="A4" s="3426" t="s">
        <v>386</v>
      </c>
      <c r="B4" s="3426" t="s">
        <v>387</v>
      </c>
      <c r="C4" s="3426" t="s">
        <v>388</v>
      </c>
      <c r="D4" s="3426"/>
      <c r="E4" s="3426"/>
    </row>
    <row r="5" spans="1:5" ht="39.75" customHeight="1" x14ac:dyDescent="0.25">
      <c r="A5" s="3426"/>
      <c r="B5" s="3426"/>
      <c r="C5" s="392" t="s">
        <v>397</v>
      </c>
      <c r="D5" s="392" t="s">
        <v>398</v>
      </c>
      <c r="E5" s="392" t="s">
        <v>399</v>
      </c>
    </row>
    <row r="6" spans="1:5" ht="39.75" customHeight="1" x14ac:dyDescent="0.25">
      <c r="A6" s="3426"/>
      <c r="B6" s="3426"/>
      <c r="C6" s="392" t="s">
        <v>389</v>
      </c>
      <c r="D6" s="392" t="s">
        <v>390</v>
      </c>
      <c r="E6" s="392" t="s">
        <v>391</v>
      </c>
    </row>
    <row r="7" spans="1:5" ht="16.5" customHeight="1" x14ac:dyDescent="0.25">
      <c r="A7" s="392">
        <v>1</v>
      </c>
      <c r="B7" s="392">
        <v>2</v>
      </c>
      <c r="C7" s="392">
        <v>3</v>
      </c>
      <c r="D7" s="392">
        <v>4</v>
      </c>
      <c r="E7" s="392">
        <v>5</v>
      </c>
    </row>
    <row r="8" spans="1:5" ht="17.25" customHeight="1" x14ac:dyDescent="0.25">
      <c r="A8" s="384" t="s">
        <v>478</v>
      </c>
      <c r="B8" s="392">
        <v>100</v>
      </c>
      <c r="C8" s="385"/>
      <c r="D8" s="385"/>
      <c r="E8" s="385"/>
    </row>
    <row r="9" spans="1:5" ht="17.25" customHeight="1" x14ac:dyDescent="0.25">
      <c r="A9" s="384" t="s">
        <v>479</v>
      </c>
      <c r="B9" s="392">
        <v>200</v>
      </c>
      <c r="C9" s="385"/>
      <c r="D9" s="385"/>
      <c r="E9" s="385"/>
    </row>
    <row r="10" spans="1:5" ht="44.25" customHeight="1" x14ac:dyDescent="0.25">
      <c r="A10" s="384" t="s">
        <v>480</v>
      </c>
      <c r="B10" s="392">
        <v>300</v>
      </c>
      <c r="C10" s="385">
        <f>C11</f>
        <v>0</v>
      </c>
      <c r="D10" s="385">
        <f t="shared" ref="D10:E10" si="0">D11</f>
        <v>0</v>
      </c>
      <c r="E10" s="385">
        <f t="shared" si="0"/>
        <v>0</v>
      </c>
    </row>
    <row r="11" spans="1:5" ht="104.25" customHeight="1" x14ac:dyDescent="0.25">
      <c r="A11" s="384" t="s">
        <v>481</v>
      </c>
      <c r="B11" s="392">
        <v>301</v>
      </c>
      <c r="C11" s="385"/>
      <c r="D11" s="385"/>
      <c r="E11" s="385"/>
    </row>
    <row r="12" spans="1:5" ht="18" customHeight="1" x14ac:dyDescent="0.25">
      <c r="A12" s="384" t="s">
        <v>482</v>
      </c>
      <c r="B12" s="392">
        <v>400</v>
      </c>
      <c r="C12" s="385"/>
      <c r="D12" s="385"/>
      <c r="E12" s="385"/>
    </row>
    <row r="13" spans="1:5" ht="18" customHeight="1" x14ac:dyDescent="0.25">
      <c r="A13" s="384" t="s">
        <v>483</v>
      </c>
      <c r="B13" s="392">
        <v>500</v>
      </c>
      <c r="C13" s="385"/>
      <c r="D13" s="385"/>
      <c r="E13" s="385"/>
    </row>
    <row r="14" spans="1:5" s="389" customFormat="1" ht="66.75" customHeight="1" x14ac:dyDescent="0.2">
      <c r="A14" s="386" t="s">
        <v>509</v>
      </c>
      <c r="B14" s="387">
        <v>600</v>
      </c>
      <c r="C14" s="388">
        <f>C8-C9+C10-C12+C13</f>
        <v>0</v>
      </c>
      <c r="D14" s="388">
        <f t="shared" ref="D14:E14" si="1">D8-D9+D10-D12+D13</f>
        <v>0</v>
      </c>
      <c r="E14" s="388">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tabColor rgb="FF00FFFF"/>
  </sheetPr>
  <dimension ref="A1:H35"/>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activeCell="M26" sqref="M26"/>
    </sheetView>
  </sheetViews>
  <sheetFormatPr defaultRowHeight="15" x14ac:dyDescent="0.25"/>
  <cols>
    <col min="1" max="1" width="67.83203125" style="319" customWidth="1"/>
    <col min="2" max="2" width="10.83203125" style="319" customWidth="1"/>
    <col min="3" max="5" width="29" style="319" customWidth="1"/>
    <col min="6" max="6" width="13" style="319" customWidth="1"/>
    <col min="7" max="7" width="10.83203125" style="319" bestFit="1" customWidth="1"/>
    <col min="8" max="16384" width="9.33203125" style="319"/>
  </cols>
  <sheetData>
    <row r="1" spans="1:5" ht="61.5" customHeight="1" x14ac:dyDescent="0.25">
      <c r="A1" s="3421" t="s">
        <v>2864</v>
      </c>
      <c r="B1" s="3421"/>
      <c r="C1" s="3421"/>
      <c r="D1" s="3421"/>
      <c r="E1" s="3421"/>
    </row>
    <row r="2" spans="1:5" x14ac:dyDescent="0.25">
      <c r="A2" s="3419" t="s">
        <v>1442</v>
      </c>
      <c r="B2" s="3419"/>
      <c r="C2" s="3419"/>
      <c r="D2" s="3419"/>
      <c r="E2" s="3419"/>
    </row>
    <row r="3" spans="1:5" x14ac:dyDescent="0.25">
      <c r="A3" s="3117"/>
      <c r="B3" s="3117"/>
      <c r="C3" s="3117"/>
      <c r="D3" s="3117"/>
      <c r="E3" s="957">
        <v>43831</v>
      </c>
    </row>
    <row r="4" spans="1:5" x14ac:dyDescent="0.25">
      <c r="A4" s="3422" t="s">
        <v>386</v>
      </c>
      <c r="B4" s="3422" t="s">
        <v>387</v>
      </c>
      <c r="C4" s="3422" t="s">
        <v>388</v>
      </c>
      <c r="D4" s="3422"/>
      <c r="E4" s="3422"/>
    </row>
    <row r="5" spans="1:5" ht="20.25" customHeight="1" x14ac:dyDescent="0.25">
      <c r="A5" s="3422"/>
      <c r="B5" s="3422"/>
      <c r="C5" s="3114" t="s">
        <v>397</v>
      </c>
      <c r="D5" s="3114" t="s">
        <v>398</v>
      </c>
      <c r="E5" s="3114" t="s">
        <v>399</v>
      </c>
    </row>
    <row r="6" spans="1:5" ht="47.25" customHeight="1" x14ac:dyDescent="0.25">
      <c r="A6" s="3422"/>
      <c r="B6" s="3422"/>
      <c r="C6" s="3114" t="s">
        <v>389</v>
      </c>
      <c r="D6" s="3114" t="s">
        <v>390</v>
      </c>
      <c r="E6" s="3114" t="s">
        <v>391</v>
      </c>
    </row>
    <row r="7" spans="1:5" x14ac:dyDescent="0.25">
      <c r="A7" s="3114">
        <v>1</v>
      </c>
      <c r="B7" s="3114">
        <v>2</v>
      </c>
      <c r="C7" s="3114">
        <v>3</v>
      </c>
      <c r="D7" s="3114">
        <v>4</v>
      </c>
      <c r="E7" s="3114">
        <v>5</v>
      </c>
    </row>
    <row r="8" spans="1:5" ht="60" customHeight="1" x14ac:dyDescent="0.25">
      <c r="A8" s="644" t="s">
        <v>405</v>
      </c>
      <c r="B8" s="3114">
        <v>100</v>
      </c>
      <c r="C8" s="645"/>
      <c r="D8" s="645"/>
      <c r="E8" s="645"/>
    </row>
    <row r="9" spans="1:5" ht="42" customHeight="1" x14ac:dyDescent="0.25">
      <c r="A9" s="644" t="s">
        <v>406</v>
      </c>
      <c r="B9" s="3114">
        <v>200</v>
      </c>
      <c r="C9" s="645"/>
      <c r="D9" s="645"/>
      <c r="E9" s="645"/>
    </row>
    <row r="10" spans="1:5" ht="19.5" customHeight="1" x14ac:dyDescent="0.25">
      <c r="A10" s="644" t="s">
        <v>407</v>
      </c>
      <c r="B10" s="3114">
        <v>300</v>
      </c>
      <c r="C10" s="645">
        <f>SUM(C12:C30)</f>
        <v>224900</v>
      </c>
      <c r="D10" s="645">
        <f t="shared" ref="D10:E10" si="0">SUM(D12:D30)</f>
        <v>0</v>
      </c>
      <c r="E10" s="645">
        <f t="shared" si="0"/>
        <v>0</v>
      </c>
    </row>
    <row r="11" spans="1:5" x14ac:dyDescent="0.25">
      <c r="A11" s="644" t="s">
        <v>408</v>
      </c>
      <c r="B11" s="644"/>
      <c r="C11" s="645"/>
      <c r="D11" s="645"/>
      <c r="E11" s="645"/>
    </row>
    <row r="12" spans="1:5" x14ac:dyDescent="0.25">
      <c r="A12" s="644" t="s">
        <v>410</v>
      </c>
      <c r="B12" s="3114">
        <v>301</v>
      </c>
      <c r="C12" s="645">
        <f>'75 лет (01.01.20)'!S84*1000</f>
        <v>7500</v>
      </c>
      <c r="D12" s="645">
        <v>0</v>
      </c>
      <c r="E12" s="645">
        <v>0</v>
      </c>
    </row>
    <row r="13" spans="1:5" x14ac:dyDescent="0.25">
      <c r="A13" s="644" t="s">
        <v>409</v>
      </c>
      <c r="B13" s="3114">
        <v>302</v>
      </c>
      <c r="C13" s="645"/>
      <c r="D13" s="645"/>
      <c r="E13" s="645"/>
    </row>
    <row r="14" spans="1:5" x14ac:dyDescent="0.25">
      <c r="A14" s="644" t="s">
        <v>411</v>
      </c>
      <c r="B14" s="3114">
        <v>303</v>
      </c>
      <c r="C14" s="645"/>
      <c r="D14" s="645"/>
      <c r="E14" s="645"/>
    </row>
    <row r="15" spans="1:5" x14ac:dyDescent="0.25">
      <c r="A15" s="644" t="s">
        <v>863</v>
      </c>
      <c r="B15" s="3114">
        <v>304</v>
      </c>
      <c r="C15" s="645"/>
      <c r="D15" s="645"/>
      <c r="E15" s="645"/>
    </row>
    <row r="16" spans="1:5" x14ac:dyDescent="0.25">
      <c r="A16" s="644" t="s">
        <v>546</v>
      </c>
      <c r="B16" s="3114">
        <v>305</v>
      </c>
      <c r="C16" s="645"/>
      <c r="D16" s="645"/>
      <c r="E16" s="645"/>
    </row>
    <row r="17" spans="1:8" x14ac:dyDescent="0.25">
      <c r="A17" s="644" t="s">
        <v>412</v>
      </c>
      <c r="B17" s="3114">
        <v>306</v>
      </c>
      <c r="C17" s="645"/>
      <c r="D17" s="645"/>
      <c r="E17" s="645"/>
    </row>
    <row r="18" spans="1:8" x14ac:dyDescent="0.25">
      <c r="A18" s="644" t="s">
        <v>413</v>
      </c>
      <c r="B18" s="3114">
        <v>307</v>
      </c>
      <c r="C18" s="645"/>
      <c r="D18" s="645"/>
      <c r="E18" s="645"/>
    </row>
    <row r="19" spans="1:8" ht="22.5" customHeight="1" x14ac:dyDescent="0.25">
      <c r="A19" s="644" t="s">
        <v>684</v>
      </c>
      <c r="B19" s="3114">
        <v>308</v>
      </c>
      <c r="C19" s="645"/>
      <c r="D19" s="645"/>
      <c r="E19" s="645"/>
    </row>
    <row r="20" spans="1:8" x14ac:dyDescent="0.25">
      <c r="A20" s="644" t="s">
        <v>414</v>
      </c>
      <c r="B20" s="3114">
        <v>309</v>
      </c>
      <c r="C20" s="645"/>
      <c r="D20" s="645"/>
      <c r="E20" s="645"/>
    </row>
    <row r="21" spans="1:8" x14ac:dyDescent="0.25">
      <c r="A21" s="644" t="s">
        <v>422</v>
      </c>
      <c r="B21" s="3114">
        <v>310</v>
      </c>
      <c r="C21" s="2972"/>
      <c r="D21" s="2972"/>
      <c r="E21" s="2972"/>
    </row>
    <row r="22" spans="1:8" ht="18" customHeight="1" x14ac:dyDescent="0.25">
      <c r="A22" s="644" t="s">
        <v>415</v>
      </c>
      <c r="B22" s="3114">
        <v>311</v>
      </c>
      <c r="C22" s="645"/>
      <c r="D22" s="645"/>
      <c r="E22" s="645"/>
    </row>
    <row r="23" spans="1:8" ht="26.25" customHeight="1" x14ac:dyDescent="0.25">
      <c r="A23" s="644" t="s">
        <v>710</v>
      </c>
      <c r="B23" s="3114">
        <v>312</v>
      </c>
      <c r="C23" s="645">
        <f>'75 лет (01.01.20)'!S85*1000</f>
        <v>48400</v>
      </c>
      <c r="D23" s="645">
        <v>0</v>
      </c>
      <c r="E23" s="645">
        <v>0</v>
      </c>
    </row>
    <row r="24" spans="1:8" ht="26.25" customHeight="1" x14ac:dyDescent="0.25">
      <c r="A24" s="644" t="s">
        <v>711</v>
      </c>
      <c r="B24" s="3114">
        <v>313</v>
      </c>
      <c r="C24" s="645"/>
      <c r="D24" s="645"/>
      <c r="E24" s="645"/>
    </row>
    <row r="25" spans="1:8" ht="28.5" customHeight="1" x14ac:dyDescent="0.25">
      <c r="A25" s="644" t="s">
        <v>423</v>
      </c>
      <c r="B25" s="3114">
        <v>314</v>
      </c>
      <c r="C25" s="645">
        <f>'75 лет (01.01.20)'!S86*1000</f>
        <v>30000</v>
      </c>
      <c r="D25" s="645">
        <v>0</v>
      </c>
      <c r="E25" s="645">
        <v>0</v>
      </c>
    </row>
    <row r="26" spans="1:8" ht="15" customHeight="1" x14ac:dyDescent="0.25">
      <c r="A26" s="644" t="s">
        <v>424</v>
      </c>
      <c r="B26" s="3114">
        <v>315</v>
      </c>
      <c r="C26" s="645"/>
      <c r="D26" s="645"/>
      <c r="E26" s="645"/>
    </row>
    <row r="27" spans="1:8" ht="63.75" customHeight="1" x14ac:dyDescent="0.25">
      <c r="A27" s="644" t="s">
        <v>416</v>
      </c>
      <c r="B27" s="3114">
        <v>316</v>
      </c>
      <c r="C27" s="645"/>
      <c r="D27" s="645"/>
      <c r="E27" s="645"/>
    </row>
    <row r="28" spans="1:8" ht="20.25" customHeight="1" x14ac:dyDescent="0.25">
      <c r="A28" s="644" t="s">
        <v>417</v>
      </c>
      <c r="B28" s="3114">
        <v>317</v>
      </c>
      <c r="C28" s="645">
        <f>'75 лет (01.01.20)'!S87*1000</f>
        <v>56500</v>
      </c>
      <c r="D28" s="645">
        <v>0</v>
      </c>
      <c r="E28" s="645">
        <v>0</v>
      </c>
    </row>
    <row r="29" spans="1:8" ht="20.25" customHeight="1" x14ac:dyDescent="0.25">
      <c r="A29" s="644" t="s">
        <v>418</v>
      </c>
      <c r="B29" s="3114">
        <v>318</v>
      </c>
      <c r="C29" s="645">
        <f>('75 лет (01.01.20)'!S88+'75 лет (01.01.20)'!S89)*1000</f>
        <v>82500</v>
      </c>
      <c r="D29" s="645">
        <v>0</v>
      </c>
      <c r="E29" s="645">
        <v>0</v>
      </c>
      <c r="F29" s="324"/>
      <c r="G29" s="324"/>
      <c r="H29" s="324"/>
    </row>
    <row r="30" spans="1:8" ht="20.25" customHeight="1" x14ac:dyDescent="0.25">
      <c r="A30" s="644" t="s">
        <v>777</v>
      </c>
      <c r="B30" s="3114">
        <v>319</v>
      </c>
      <c r="C30" s="645"/>
      <c r="D30" s="645"/>
      <c r="E30" s="645"/>
      <c r="G30" s="324"/>
    </row>
    <row r="31" spans="1:8" ht="59.25" customHeight="1" x14ac:dyDescent="0.25">
      <c r="A31" s="644" t="s">
        <v>419</v>
      </c>
      <c r="B31" s="3114">
        <v>400</v>
      </c>
      <c r="C31" s="645"/>
      <c r="D31" s="645"/>
      <c r="E31" s="645"/>
      <c r="F31" s="324"/>
    </row>
    <row r="32" spans="1:8" ht="49.5" customHeight="1" x14ac:dyDescent="0.25">
      <c r="A32" s="644" t="s">
        <v>420</v>
      </c>
      <c r="B32" s="3114">
        <v>500</v>
      </c>
      <c r="C32" s="645"/>
      <c r="D32" s="645"/>
      <c r="E32" s="645"/>
    </row>
    <row r="33" spans="1:6" s="328" customFormat="1" ht="31.5" customHeight="1" x14ac:dyDescent="0.25">
      <c r="A33" s="646" t="s">
        <v>1293</v>
      </c>
      <c r="B33" s="647">
        <v>600</v>
      </c>
      <c r="C33" s="648">
        <f>C8-C9+C10-C31+C32</f>
        <v>224900</v>
      </c>
      <c r="D33" s="648">
        <f>D8-D9+D10-D31+D32</f>
        <v>0</v>
      </c>
      <c r="E33" s="648">
        <f>E8-E9+E10-E31+E32</f>
        <v>0</v>
      </c>
    </row>
    <row r="34" spans="1:6" x14ac:dyDescent="0.25">
      <c r="A34" s="319" t="s">
        <v>183</v>
      </c>
      <c r="C34" s="324">
        <v>224900</v>
      </c>
      <c r="D34" s="324"/>
      <c r="E34" s="324"/>
      <c r="F34" s="324"/>
    </row>
    <row r="35" spans="1:6" x14ac:dyDescent="0.25">
      <c r="C35" s="324">
        <f>C33-C34</f>
        <v>0</v>
      </c>
      <c r="D35" s="324"/>
      <c r="E35" s="324"/>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fitToPage="1"/>
  </sheetPr>
  <dimension ref="A1:AI92"/>
  <sheetViews>
    <sheetView view="pageBreakPreview" zoomScale="70" zoomScaleNormal="70" zoomScaleSheetLayoutView="70" workbookViewId="0">
      <pane xSplit="4" ySplit="8" topLeftCell="E9" activePane="bottomRight" state="frozen"/>
      <selection activeCell="R424" sqref="R424"/>
      <selection pane="topRight" activeCell="R424" sqref="R424"/>
      <selection pane="bottomLeft" activeCell="R424" sqref="R424"/>
      <selection pane="bottomRight" activeCell="R16" sqref="R16"/>
    </sheetView>
  </sheetViews>
  <sheetFormatPr defaultColWidth="10.6640625" defaultRowHeight="15" x14ac:dyDescent="0.25"/>
  <cols>
    <col min="1" max="1" width="9.33203125" style="585" customWidth="1"/>
    <col min="2" max="2" width="66.33203125" style="467" customWidth="1"/>
    <col min="3" max="3" width="20.1640625" style="586" customWidth="1"/>
    <col min="4" max="5" width="16.1640625" style="585" customWidth="1"/>
    <col min="6" max="6" width="16.5" style="563" hidden="1" customWidth="1"/>
    <col min="7" max="7" width="16.5" style="564" hidden="1" customWidth="1"/>
    <col min="8" max="8" width="16.5" style="565" hidden="1" customWidth="1"/>
    <col min="9" max="9" width="10.83203125" style="470" hidden="1" customWidth="1"/>
    <col min="10" max="10" width="17.33203125" style="470" hidden="1" customWidth="1"/>
    <col min="11" max="11" width="14.83203125" style="470" hidden="1" customWidth="1"/>
    <col min="12" max="12" width="25.1640625" style="470" hidden="1" customWidth="1"/>
    <col min="13" max="13" width="17.33203125" style="470" hidden="1" customWidth="1"/>
    <col min="14" max="14" width="14.83203125" style="470" hidden="1" customWidth="1"/>
    <col min="15" max="17" width="14.83203125" style="470" customWidth="1"/>
    <col min="18" max="18" width="18.33203125" style="470" customWidth="1"/>
    <col min="19" max="25" width="14.83203125" style="470" customWidth="1"/>
    <col min="26" max="27" width="14.83203125" style="566" customWidth="1"/>
    <col min="28" max="28" width="42.1640625" style="465" customWidth="1"/>
    <col min="29" max="29" width="14.83203125" style="583" customWidth="1"/>
    <col min="30" max="30" width="12.83203125" style="467" customWidth="1"/>
    <col min="31" max="31" width="10.83203125" style="467" bestFit="1" customWidth="1"/>
    <col min="32" max="32" width="18.5" style="584" customWidth="1"/>
    <col min="33" max="33" width="13.5" style="467" customWidth="1"/>
    <col min="34" max="16384" width="10.6640625" style="467"/>
  </cols>
  <sheetData>
    <row r="1" spans="1:34" x14ac:dyDescent="0.25">
      <c r="A1" s="1034"/>
      <c r="B1" s="374"/>
      <c r="C1" s="374"/>
      <c r="D1" s="1034"/>
      <c r="E1" s="1034"/>
      <c r="F1" s="375"/>
      <c r="G1" s="376"/>
      <c r="H1" s="377"/>
      <c r="I1" s="378"/>
      <c r="J1" s="378"/>
      <c r="K1" s="463"/>
      <c r="L1" s="378"/>
      <c r="M1" s="378"/>
      <c r="N1" s="463"/>
      <c r="O1" s="378"/>
      <c r="P1" s="378"/>
      <c r="Q1" s="463"/>
      <c r="R1" s="463"/>
      <c r="S1" s="463"/>
      <c r="T1" s="378"/>
      <c r="U1" s="378"/>
      <c r="V1" s="463"/>
      <c r="W1" s="378"/>
      <c r="X1" s="378"/>
      <c r="Y1" s="463"/>
      <c r="Z1" s="377"/>
      <c r="AA1" s="377"/>
      <c r="AB1" s="379"/>
      <c r="AC1" s="464"/>
      <c r="AD1" s="465"/>
      <c r="AE1" s="465"/>
      <c r="AF1" s="466"/>
      <c r="AG1" s="465"/>
      <c r="AH1" s="465"/>
    </row>
    <row r="2" spans="1:34" ht="19.5" x14ac:dyDescent="0.25">
      <c r="A2" s="3513" t="s">
        <v>2848</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464"/>
      <c r="AD2" s="465"/>
      <c r="AE2" s="465"/>
      <c r="AF2" s="466"/>
      <c r="AG2" s="465"/>
      <c r="AH2" s="465"/>
    </row>
    <row r="3" spans="1:34" ht="18.75" x14ac:dyDescent="0.25">
      <c r="A3" s="3538" t="s">
        <v>1442</v>
      </c>
      <c r="B3" s="3538"/>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464"/>
      <c r="AD3" s="465"/>
      <c r="AE3" s="465"/>
      <c r="AF3" s="466"/>
      <c r="AG3" s="465"/>
      <c r="AH3" s="465"/>
    </row>
    <row r="4" spans="1:34" ht="30.75" x14ac:dyDescent="0.4">
      <c r="A4" s="1034"/>
      <c r="B4" s="374"/>
      <c r="C4" s="374"/>
      <c r="D4" s="1034"/>
      <c r="E4" s="1034"/>
      <c r="F4" s="375"/>
      <c r="G4" s="376"/>
      <c r="H4" s="377"/>
      <c r="I4" s="378"/>
      <c r="J4" s="378"/>
      <c r="K4" s="463"/>
      <c r="L4" s="378"/>
      <c r="M4" s="378"/>
      <c r="N4" s="463"/>
      <c r="O4" s="378"/>
      <c r="P4" s="378"/>
      <c r="Q4" s="463"/>
      <c r="R4" s="463"/>
      <c r="S4" s="463"/>
      <c r="T4" s="378"/>
      <c r="U4" s="378"/>
      <c r="V4" s="463"/>
      <c r="W4" s="378"/>
      <c r="X4" s="378"/>
      <c r="Y4" s="463"/>
      <c r="Z4" s="377"/>
      <c r="AA4" s="377"/>
      <c r="AB4" s="3085"/>
      <c r="AC4" s="464"/>
      <c r="AD4" s="465"/>
      <c r="AE4" s="465"/>
      <c r="AF4" s="466"/>
      <c r="AG4" s="465"/>
      <c r="AH4" s="465"/>
    </row>
    <row r="5" spans="1:34" ht="63.75" customHeight="1" x14ac:dyDescent="0.25">
      <c r="A5" s="3539" t="s">
        <v>78</v>
      </c>
      <c r="B5" s="3539" t="s">
        <v>484</v>
      </c>
      <c r="C5" s="3540" t="s">
        <v>485</v>
      </c>
      <c r="D5" s="3539" t="s">
        <v>486</v>
      </c>
      <c r="E5" s="3539" t="s">
        <v>219</v>
      </c>
      <c r="F5" s="3533" t="s">
        <v>344</v>
      </c>
      <c r="G5" s="3533"/>
      <c r="H5" s="3533"/>
      <c r="I5" s="3533" t="s">
        <v>487</v>
      </c>
      <c r="J5" s="3533"/>
      <c r="K5" s="3533"/>
      <c r="L5" s="3541" t="s">
        <v>488</v>
      </c>
      <c r="M5" s="3542"/>
      <c r="N5" s="3543"/>
      <c r="O5" s="3533" t="s">
        <v>489</v>
      </c>
      <c r="P5" s="3533"/>
      <c r="Q5" s="3533"/>
      <c r="R5" s="3531" t="s">
        <v>490</v>
      </c>
      <c r="S5" s="3532"/>
      <c r="T5" s="3533" t="s">
        <v>205</v>
      </c>
      <c r="U5" s="3533"/>
      <c r="V5" s="3533"/>
      <c r="W5" s="3534" t="s">
        <v>206</v>
      </c>
      <c r="X5" s="3535"/>
      <c r="Y5" s="3536"/>
      <c r="Z5" s="3537" t="s">
        <v>120</v>
      </c>
      <c r="AA5" s="3537"/>
      <c r="AB5" s="3530" t="s">
        <v>491</v>
      </c>
      <c r="AC5" s="464"/>
      <c r="AD5" s="465"/>
      <c r="AE5" s="465"/>
      <c r="AF5" s="466"/>
      <c r="AG5" s="465"/>
      <c r="AH5" s="465"/>
    </row>
    <row r="6" spans="1:34" s="465" customFormat="1" ht="62.25" customHeight="1" x14ac:dyDescent="0.25">
      <c r="A6" s="3539"/>
      <c r="B6" s="3539"/>
      <c r="C6" s="3540"/>
      <c r="D6" s="3539"/>
      <c r="E6" s="3539"/>
      <c r="F6" s="3544" t="s">
        <v>492</v>
      </c>
      <c r="G6" s="3545" t="s">
        <v>493</v>
      </c>
      <c r="H6" s="3520" t="s">
        <v>494</v>
      </c>
      <c r="I6" s="3520" t="s">
        <v>492</v>
      </c>
      <c r="J6" s="3520" t="s">
        <v>493</v>
      </c>
      <c r="K6" s="3520" t="s">
        <v>494</v>
      </c>
      <c r="L6" s="3521" t="s">
        <v>492</v>
      </c>
      <c r="M6" s="3521" t="s">
        <v>493</v>
      </c>
      <c r="N6" s="3521" t="s">
        <v>494</v>
      </c>
      <c r="O6" s="3520" t="s">
        <v>492</v>
      </c>
      <c r="P6" s="3520" t="s">
        <v>493</v>
      </c>
      <c r="Q6" s="3520" t="s">
        <v>494</v>
      </c>
      <c r="R6" s="468" t="s">
        <v>495</v>
      </c>
      <c r="S6" s="1769" t="s">
        <v>496</v>
      </c>
      <c r="T6" s="3520" t="s">
        <v>492</v>
      </c>
      <c r="U6" s="3520" t="s">
        <v>493</v>
      </c>
      <c r="V6" s="3520" t="s">
        <v>494</v>
      </c>
      <c r="W6" s="3521" t="s">
        <v>492</v>
      </c>
      <c r="X6" s="3521" t="s">
        <v>493</v>
      </c>
      <c r="Y6" s="3521" t="s">
        <v>494</v>
      </c>
      <c r="Z6" s="3520" t="s">
        <v>497</v>
      </c>
      <c r="AA6" s="3526" t="s">
        <v>498</v>
      </c>
      <c r="AB6" s="3530"/>
      <c r="AC6" s="469" t="e">
        <f>#REF!+[16]РМС!X9+[16]СПЖ!X9+[16]ОД!X9+[16]Наркомания!X9+[16]Молодежь!X9+[16]Стимулирование!V1392</f>
        <v>#REF!</v>
      </c>
      <c r="AD6" s="470" t="e">
        <f>#REF!+[16]Стимулирование!T873+1750</f>
        <v>#REF!</v>
      </c>
      <c r="AF6" s="466"/>
    </row>
    <row r="7" spans="1:34" s="465" customFormat="1" ht="59.25" hidden="1" customHeight="1" x14ac:dyDescent="0.25">
      <c r="A7" s="3539"/>
      <c r="B7" s="3539"/>
      <c r="C7" s="3540"/>
      <c r="D7" s="3539"/>
      <c r="E7" s="3539"/>
      <c r="F7" s="3544"/>
      <c r="G7" s="3545"/>
      <c r="H7" s="3520"/>
      <c r="I7" s="3520"/>
      <c r="J7" s="3520"/>
      <c r="K7" s="3520"/>
      <c r="L7" s="3522"/>
      <c r="M7" s="3522"/>
      <c r="N7" s="3522"/>
      <c r="O7" s="3520"/>
      <c r="P7" s="3520"/>
      <c r="Q7" s="3520"/>
      <c r="R7" s="1769"/>
      <c r="S7" s="1769"/>
      <c r="T7" s="3520"/>
      <c r="U7" s="3520"/>
      <c r="V7" s="3520"/>
      <c r="W7" s="3522"/>
      <c r="X7" s="3522"/>
      <c r="Y7" s="3522"/>
      <c r="Z7" s="3520"/>
      <c r="AA7" s="3526"/>
      <c r="AB7" s="3530"/>
      <c r="AC7" s="464"/>
      <c r="AD7" s="470"/>
      <c r="AE7" s="470"/>
      <c r="AF7" s="466"/>
    </row>
    <row r="8" spans="1:34" s="465" customFormat="1" x14ac:dyDescent="0.25">
      <c r="A8" s="1771">
        <v>1</v>
      </c>
      <c r="B8" s="1771">
        <v>2</v>
      </c>
      <c r="C8" s="1771">
        <v>3</v>
      </c>
      <c r="D8" s="1771">
        <v>4</v>
      </c>
      <c r="E8" s="1771">
        <v>5</v>
      </c>
      <c r="F8" s="471">
        <v>6</v>
      </c>
      <c r="G8" s="471">
        <v>7</v>
      </c>
      <c r="H8" s="1771">
        <v>8</v>
      </c>
      <c r="I8" s="1771">
        <v>9</v>
      </c>
      <c r="J8" s="1771">
        <v>10</v>
      </c>
      <c r="K8" s="1771">
        <v>11</v>
      </c>
      <c r="L8" s="1771">
        <v>12</v>
      </c>
      <c r="M8" s="1771">
        <v>13</v>
      </c>
      <c r="N8" s="1771">
        <v>14</v>
      </c>
      <c r="O8" s="472">
        <v>15</v>
      </c>
      <c r="P8" s="472">
        <v>16</v>
      </c>
      <c r="Q8" s="472">
        <v>17</v>
      </c>
      <c r="R8" s="473" t="s">
        <v>499</v>
      </c>
      <c r="S8" s="473" t="s">
        <v>500</v>
      </c>
      <c r="T8" s="472">
        <v>18</v>
      </c>
      <c r="U8" s="472">
        <v>19</v>
      </c>
      <c r="V8" s="472">
        <v>20</v>
      </c>
      <c r="W8" s="472">
        <v>21</v>
      </c>
      <c r="X8" s="472">
        <v>22</v>
      </c>
      <c r="Y8" s="472">
        <v>23</v>
      </c>
      <c r="Z8" s="1771">
        <v>24</v>
      </c>
      <c r="AA8" s="1771">
        <v>25</v>
      </c>
      <c r="AB8" s="1771">
        <v>26</v>
      </c>
      <c r="AC8" s="464"/>
      <c r="AF8" s="466"/>
    </row>
    <row r="9" spans="1:34" s="517" customFormat="1" ht="14.25" hidden="1" x14ac:dyDescent="0.2">
      <c r="A9" s="487"/>
      <c r="B9" s="510" t="s">
        <v>773</v>
      </c>
      <c r="C9" s="511"/>
      <c r="D9" s="487"/>
      <c r="E9" s="512"/>
      <c r="F9" s="488"/>
      <c r="G9" s="489"/>
      <c r="H9" s="513" t="e">
        <f>#REF!+H3+#REF!+H51288+H10+#REF!+#REF!+#REF!+#REF!</f>
        <v>#REF!</v>
      </c>
      <c r="I9" s="490"/>
      <c r="J9" s="490"/>
      <c r="K9" s="513">
        <f>K10</f>
        <v>229.7</v>
      </c>
      <c r="L9" s="490"/>
      <c r="M9" s="490"/>
      <c r="N9" s="513">
        <f>N10</f>
        <v>229.7</v>
      </c>
      <c r="O9" s="490"/>
      <c r="P9" s="490"/>
      <c r="Q9" s="513">
        <f>Q10</f>
        <v>464</v>
      </c>
      <c r="R9" s="513">
        <f t="shared" ref="R9" si="0">R10</f>
        <v>230.3</v>
      </c>
      <c r="S9" s="513">
        <f>S10</f>
        <v>224.9</v>
      </c>
      <c r="T9" s="513"/>
      <c r="U9" s="513"/>
      <c r="V9" s="513">
        <f>V10</f>
        <v>0</v>
      </c>
      <c r="W9" s="513"/>
      <c r="X9" s="513"/>
      <c r="Y9" s="513">
        <f>Y10</f>
        <v>0</v>
      </c>
      <c r="Z9" s="513">
        <f t="shared" ref="Z9:Z72" si="1">Q9-K9</f>
        <v>234.3</v>
      </c>
      <c r="AA9" s="513">
        <f t="shared" ref="AA9:AA72" si="2">IFERROR(Q9/K9*100,"-")</f>
        <v>202</v>
      </c>
      <c r="AB9" s="514"/>
      <c r="AC9" s="515"/>
      <c r="AD9" s="516">
        <f>Z9+[16]Стимулирование!R873+-211+225</f>
        <v>448.1</v>
      </c>
      <c r="AF9" s="518"/>
      <c r="AG9" s="519"/>
      <c r="AH9" s="519"/>
    </row>
    <row r="10" spans="1:34" s="527" customFormat="1" ht="38.25" hidden="1" x14ac:dyDescent="0.2">
      <c r="A10" s="522"/>
      <c r="B10" s="892" t="s">
        <v>1664</v>
      </c>
      <c r="C10" s="521"/>
      <c r="D10" s="522" t="s">
        <v>1444</v>
      </c>
      <c r="E10" s="522"/>
      <c r="F10" s="851"/>
      <c r="G10" s="852"/>
      <c r="H10" s="853">
        <f>H11+H21+H39+H70</f>
        <v>259.10000000000002</v>
      </c>
      <c r="I10" s="853"/>
      <c r="J10" s="853"/>
      <c r="K10" s="853">
        <f>K11+K21+K39+K70</f>
        <v>229.7</v>
      </c>
      <c r="L10" s="853"/>
      <c r="M10" s="853"/>
      <c r="N10" s="853">
        <f>N11+N21+N39+N70</f>
        <v>229.7</v>
      </c>
      <c r="O10" s="853"/>
      <c r="P10" s="853"/>
      <c r="Q10" s="853">
        <f>Q11+Q21+Q39+Q70</f>
        <v>464</v>
      </c>
      <c r="R10" s="853">
        <f>R11+R21+R39+R70</f>
        <v>230.3</v>
      </c>
      <c r="S10" s="853">
        <f t="shared" ref="S10" si="3">S11+S21+S39+S70</f>
        <v>224.9</v>
      </c>
      <c r="T10" s="853"/>
      <c r="U10" s="853"/>
      <c r="V10" s="853">
        <f>V11+V21+V39+V70</f>
        <v>0</v>
      </c>
      <c r="W10" s="853"/>
      <c r="X10" s="853"/>
      <c r="Y10" s="853">
        <f>Y11+Y21+Y39+Y70</f>
        <v>0</v>
      </c>
      <c r="Z10" s="525">
        <f t="shared" si="1"/>
        <v>234.3</v>
      </c>
      <c r="AA10" s="853">
        <f t="shared" si="2"/>
        <v>202</v>
      </c>
      <c r="AB10" s="909"/>
      <c r="AC10" s="549" t="s">
        <v>1665</v>
      </c>
      <c r="AF10" s="528"/>
      <c r="AG10" s="528"/>
      <c r="AH10" s="528"/>
    </row>
    <row r="11" spans="1:34" s="871" customFormat="1" ht="14.25" hidden="1" x14ac:dyDescent="0.2">
      <c r="A11" s="869"/>
      <c r="B11" s="875" t="s">
        <v>1724</v>
      </c>
      <c r="C11" s="868"/>
      <c r="D11" s="869"/>
      <c r="E11" s="869"/>
      <c r="F11" s="879"/>
      <c r="G11" s="880"/>
      <c r="H11" s="681">
        <f>H16+H17+H19</f>
        <v>37</v>
      </c>
      <c r="I11" s="681"/>
      <c r="J11" s="681"/>
      <c r="K11" s="681">
        <f>K16+K17+K19</f>
        <v>33.5</v>
      </c>
      <c r="L11" s="681"/>
      <c r="M11" s="681"/>
      <c r="N11" s="681">
        <f>N16+N17+N19</f>
        <v>18.5</v>
      </c>
      <c r="O11" s="681"/>
      <c r="P11" s="681"/>
      <c r="Q11" s="681">
        <f>Q12+Q16+Q17+Q19</f>
        <v>32.299999999999997</v>
      </c>
      <c r="R11" s="681">
        <f t="shared" ref="R11:S11" si="4">R12+R16+R17+R19</f>
        <v>32.299999999999997</v>
      </c>
      <c r="S11" s="681">
        <f t="shared" si="4"/>
        <v>0</v>
      </c>
      <c r="T11" s="681"/>
      <c r="U11" s="681"/>
      <c r="V11" s="681">
        <f>V12+V16+V17+V19</f>
        <v>0</v>
      </c>
      <c r="W11" s="681"/>
      <c r="X11" s="681"/>
      <c r="Y11" s="681">
        <f>Y12+Y16+Y17+Y19</f>
        <v>0</v>
      </c>
      <c r="Z11" s="681">
        <f t="shared" si="1"/>
        <v>-1.2</v>
      </c>
      <c r="AA11" s="681">
        <f t="shared" si="2"/>
        <v>96.4</v>
      </c>
      <c r="AB11" s="1842"/>
      <c r="AC11" s="549" t="s">
        <v>1665</v>
      </c>
      <c r="AF11" s="872"/>
      <c r="AG11" s="872"/>
      <c r="AH11" s="872"/>
    </row>
    <row r="12" spans="1:34" s="492" customFormat="1" ht="14.25" hidden="1" x14ac:dyDescent="0.2">
      <c r="A12" s="1771"/>
      <c r="B12" s="876" t="s">
        <v>1233</v>
      </c>
      <c r="C12" s="501" t="s">
        <v>1230</v>
      </c>
      <c r="D12" s="1771"/>
      <c r="E12" s="1771"/>
      <c r="F12" s="530"/>
      <c r="G12" s="531"/>
      <c r="H12" s="493"/>
      <c r="I12" s="493"/>
      <c r="J12" s="493"/>
      <c r="K12" s="493"/>
      <c r="L12" s="493"/>
      <c r="M12" s="493"/>
      <c r="N12" s="493"/>
      <c r="O12" s="493"/>
      <c r="P12" s="493"/>
      <c r="Q12" s="532">
        <f>SUM(Q13:Q15)</f>
        <v>10.3</v>
      </c>
      <c r="R12" s="532">
        <f>Q12</f>
        <v>10.3</v>
      </c>
      <c r="S12" s="532"/>
      <c r="T12" s="493"/>
      <c r="U12" s="493"/>
      <c r="V12" s="532"/>
      <c r="W12" s="493"/>
      <c r="X12" s="493"/>
      <c r="Y12" s="532"/>
      <c r="Z12" s="493">
        <f t="shared" si="1"/>
        <v>10.3</v>
      </c>
      <c r="AA12" s="493" t="str">
        <f t="shared" si="2"/>
        <v>-</v>
      </c>
      <c r="AB12" s="921"/>
      <c r="AC12" s="549" t="s">
        <v>1665</v>
      </c>
      <c r="AF12" s="466"/>
      <c r="AG12" s="466"/>
      <c r="AH12" s="466"/>
    </row>
    <row r="13" spans="1:34" s="492" customFormat="1" ht="63.75" hidden="1" x14ac:dyDescent="0.2">
      <c r="A13" s="1771"/>
      <c r="B13" s="881" t="s">
        <v>1725</v>
      </c>
      <c r="C13" s="501"/>
      <c r="D13" s="1771"/>
      <c r="E13" s="873" t="s">
        <v>318</v>
      </c>
      <c r="F13" s="530"/>
      <c r="G13" s="531"/>
      <c r="H13" s="493"/>
      <c r="I13" s="493"/>
      <c r="J13" s="493"/>
      <c r="K13" s="493"/>
      <c r="L13" s="493"/>
      <c r="M13" s="493"/>
      <c r="N13" s="493"/>
      <c r="O13" s="496">
        <v>2</v>
      </c>
      <c r="P13" s="496">
        <v>2.2999999999999998</v>
      </c>
      <c r="Q13" s="496">
        <f>O13*P13</f>
        <v>4.5999999999999996</v>
      </c>
      <c r="R13" s="496">
        <f t="shared" ref="R13:R20" si="5">Q13</f>
        <v>4.5999999999999996</v>
      </c>
      <c r="S13" s="496"/>
      <c r="T13" s="496">
        <v>2</v>
      </c>
      <c r="U13" s="496">
        <v>2.2999999999999998</v>
      </c>
      <c r="V13" s="496">
        <f>T13*U13</f>
        <v>4.5999999999999996</v>
      </c>
      <c r="W13" s="496">
        <v>2</v>
      </c>
      <c r="X13" s="496">
        <v>2.2999999999999998</v>
      </c>
      <c r="Y13" s="496">
        <f>W13*X13</f>
        <v>4.5999999999999996</v>
      </c>
      <c r="Z13" s="493">
        <f t="shared" si="1"/>
        <v>4.5999999999999996</v>
      </c>
      <c r="AA13" s="493" t="str">
        <f t="shared" si="2"/>
        <v>-</v>
      </c>
      <c r="AB13" s="893" t="s">
        <v>1726</v>
      </c>
      <c r="AC13" s="491" t="s">
        <v>1665</v>
      </c>
      <c r="AF13" s="466"/>
      <c r="AG13" s="466"/>
      <c r="AH13" s="466"/>
    </row>
    <row r="14" spans="1:34" s="492" customFormat="1" ht="51" hidden="1" x14ac:dyDescent="0.2">
      <c r="A14" s="1771"/>
      <c r="B14" s="881" t="s">
        <v>1727</v>
      </c>
      <c r="C14" s="501"/>
      <c r="D14" s="1771"/>
      <c r="E14" s="962" t="s">
        <v>227</v>
      </c>
      <c r="F14" s="530"/>
      <c r="G14" s="531"/>
      <c r="H14" s="493"/>
      <c r="I14" s="493"/>
      <c r="J14" s="493"/>
      <c r="K14" s="493"/>
      <c r="L14" s="493"/>
      <c r="M14" s="493"/>
      <c r="N14" s="493"/>
      <c r="O14" s="496">
        <v>1</v>
      </c>
      <c r="P14" s="496">
        <v>3.5</v>
      </c>
      <c r="Q14" s="496">
        <f>O14*P14</f>
        <v>3.5</v>
      </c>
      <c r="R14" s="496">
        <f t="shared" si="5"/>
        <v>3.5</v>
      </c>
      <c r="S14" s="496"/>
      <c r="T14" s="496"/>
      <c r="U14" s="496"/>
      <c r="V14" s="496"/>
      <c r="W14" s="496"/>
      <c r="X14" s="496"/>
      <c r="Y14" s="496"/>
      <c r="Z14" s="493">
        <f t="shared" si="1"/>
        <v>3.5</v>
      </c>
      <c r="AA14" s="493" t="str">
        <f t="shared" si="2"/>
        <v>-</v>
      </c>
      <c r="AB14" s="893" t="s">
        <v>1728</v>
      </c>
      <c r="AC14" s="491" t="s">
        <v>1665</v>
      </c>
      <c r="AF14" s="466"/>
      <c r="AG14" s="466"/>
      <c r="AH14" s="466"/>
    </row>
    <row r="15" spans="1:34" s="492" customFormat="1" ht="14.25" hidden="1" x14ac:dyDescent="0.2">
      <c r="A15" s="1771"/>
      <c r="B15" s="881" t="s">
        <v>1729</v>
      </c>
      <c r="C15" s="501"/>
      <c r="D15" s="1771"/>
      <c r="E15" s="1771"/>
      <c r="F15" s="530"/>
      <c r="G15" s="531"/>
      <c r="H15" s="493"/>
      <c r="I15" s="493"/>
      <c r="J15" s="493"/>
      <c r="K15" s="493"/>
      <c r="L15" s="493"/>
      <c r="M15" s="493"/>
      <c r="N15" s="493"/>
      <c r="O15" s="496"/>
      <c r="P15" s="496"/>
      <c r="Q15" s="496">
        <f>SUM(Q13:Q14)*0.271</f>
        <v>2.2000000000000002</v>
      </c>
      <c r="R15" s="496">
        <f t="shared" si="5"/>
        <v>2.2000000000000002</v>
      </c>
      <c r="S15" s="496"/>
      <c r="T15" s="496"/>
      <c r="U15" s="496"/>
      <c r="V15" s="496">
        <f>SUM(V13)*0.271</f>
        <v>1.2</v>
      </c>
      <c r="W15" s="496"/>
      <c r="X15" s="496"/>
      <c r="Y15" s="496">
        <f>SUM(Y13)*0.271</f>
        <v>1.2</v>
      </c>
      <c r="Z15" s="493">
        <f t="shared" si="1"/>
        <v>2.2000000000000002</v>
      </c>
      <c r="AA15" s="493" t="str">
        <f t="shared" si="2"/>
        <v>-</v>
      </c>
      <c r="AB15" s="921"/>
      <c r="AC15" s="491" t="s">
        <v>1665</v>
      </c>
      <c r="AF15" s="466"/>
      <c r="AG15" s="466"/>
      <c r="AH15" s="466"/>
    </row>
    <row r="16" spans="1:34" s="492" customFormat="1" ht="14.25" x14ac:dyDescent="0.2">
      <c r="A16" s="1771"/>
      <c r="B16" s="876" t="s">
        <v>1730</v>
      </c>
      <c r="C16" s="501" t="s">
        <v>797</v>
      </c>
      <c r="D16" s="1771"/>
      <c r="E16" s="1771" t="s">
        <v>318</v>
      </c>
      <c r="F16" s="530">
        <v>15</v>
      </c>
      <c r="G16" s="531">
        <v>2</v>
      </c>
      <c r="H16" s="493">
        <f>F16*G16</f>
        <v>30</v>
      </c>
      <c r="I16" s="532">
        <v>15</v>
      </c>
      <c r="J16" s="532">
        <v>2</v>
      </c>
      <c r="K16" s="532">
        <f>I16*J16</f>
        <v>30</v>
      </c>
      <c r="L16" s="532">
        <v>15</v>
      </c>
      <c r="M16" s="532">
        <v>2</v>
      </c>
      <c r="N16" s="532">
        <f>L16*M16-30+15</f>
        <v>15</v>
      </c>
      <c r="O16" s="532">
        <v>15</v>
      </c>
      <c r="P16" s="532">
        <v>2</v>
      </c>
      <c r="Q16" s="532">
        <f>O16*P16-30+15</f>
        <v>15</v>
      </c>
      <c r="R16" s="532">
        <f>Q16</f>
        <v>15</v>
      </c>
      <c r="S16" s="532"/>
      <c r="T16" s="532"/>
      <c r="U16" s="532"/>
      <c r="V16" s="532"/>
      <c r="W16" s="532"/>
      <c r="X16" s="532"/>
      <c r="Y16" s="532"/>
      <c r="Z16" s="493">
        <f t="shared" si="1"/>
        <v>-15</v>
      </c>
      <c r="AA16" s="493">
        <f t="shared" si="2"/>
        <v>50</v>
      </c>
      <c r="AB16" s="893"/>
      <c r="AC16" s="491" t="s">
        <v>1665</v>
      </c>
      <c r="AF16" s="466"/>
      <c r="AG16" s="466"/>
      <c r="AH16" s="466"/>
    </row>
    <row r="17" spans="1:34" s="492" customFormat="1" ht="25.5" x14ac:dyDescent="0.2">
      <c r="A17" s="1771"/>
      <c r="B17" s="876" t="s">
        <v>1731</v>
      </c>
      <c r="C17" s="501" t="s">
        <v>797</v>
      </c>
      <c r="D17" s="1771"/>
      <c r="E17" s="1771"/>
      <c r="F17" s="530"/>
      <c r="G17" s="531"/>
      <c r="H17" s="493">
        <f>H18</f>
        <v>5.8</v>
      </c>
      <c r="I17" s="532"/>
      <c r="J17" s="532"/>
      <c r="K17" s="532">
        <f>K18</f>
        <v>2.9</v>
      </c>
      <c r="L17" s="532"/>
      <c r="M17" s="532"/>
      <c r="N17" s="532">
        <f>N18</f>
        <v>2.9</v>
      </c>
      <c r="O17" s="532"/>
      <c r="P17" s="532"/>
      <c r="Q17" s="532">
        <f>Q18</f>
        <v>6</v>
      </c>
      <c r="R17" s="532">
        <f t="shared" si="5"/>
        <v>6</v>
      </c>
      <c r="S17" s="532"/>
      <c r="T17" s="532"/>
      <c r="U17" s="532"/>
      <c r="V17" s="532"/>
      <c r="W17" s="532"/>
      <c r="X17" s="532"/>
      <c r="Y17" s="532"/>
      <c r="Z17" s="493">
        <f t="shared" si="1"/>
        <v>3.1</v>
      </c>
      <c r="AA17" s="493">
        <f t="shared" si="2"/>
        <v>206.9</v>
      </c>
      <c r="AB17" s="893"/>
      <c r="AC17" s="491" t="s">
        <v>1665</v>
      </c>
      <c r="AF17" s="466"/>
      <c r="AG17" s="466"/>
      <c r="AH17" s="466"/>
    </row>
    <row r="18" spans="1:34" s="498" customFormat="1" ht="51" hidden="1" x14ac:dyDescent="0.25">
      <c r="A18" s="962"/>
      <c r="B18" s="881" t="s">
        <v>1669</v>
      </c>
      <c r="C18" s="503"/>
      <c r="D18" s="962"/>
      <c r="E18" s="962" t="s">
        <v>227</v>
      </c>
      <c r="F18" s="494">
        <v>58</v>
      </c>
      <c r="G18" s="495">
        <v>0.1</v>
      </c>
      <c r="H18" s="1770">
        <f>F18*G18</f>
        <v>5.8</v>
      </c>
      <c r="I18" s="496">
        <v>58</v>
      </c>
      <c r="J18" s="862">
        <v>0.05</v>
      </c>
      <c r="K18" s="496">
        <f>I18*J18</f>
        <v>2.9</v>
      </c>
      <c r="L18" s="496">
        <v>58</v>
      </c>
      <c r="M18" s="862">
        <v>0.05</v>
      </c>
      <c r="N18" s="496">
        <f>L18*M18</f>
        <v>2.9</v>
      </c>
      <c r="O18" s="496">
        <v>30</v>
      </c>
      <c r="P18" s="857">
        <v>0.2</v>
      </c>
      <c r="Q18" s="496">
        <f>O18*P18</f>
        <v>6</v>
      </c>
      <c r="R18" s="496">
        <f t="shared" si="5"/>
        <v>6</v>
      </c>
      <c r="S18" s="496"/>
      <c r="T18" s="496">
        <v>30</v>
      </c>
      <c r="U18" s="857">
        <v>0.2</v>
      </c>
      <c r="V18" s="496">
        <f>T18*U18</f>
        <v>6</v>
      </c>
      <c r="W18" s="496">
        <v>30</v>
      </c>
      <c r="X18" s="857">
        <v>0.2</v>
      </c>
      <c r="Y18" s="496">
        <f>W18*X18</f>
        <v>6</v>
      </c>
      <c r="Z18" s="1770">
        <f t="shared" si="1"/>
        <v>3.1</v>
      </c>
      <c r="AA18" s="1770">
        <f t="shared" si="2"/>
        <v>206.9</v>
      </c>
      <c r="AB18" s="901" t="s">
        <v>1732</v>
      </c>
      <c r="AC18" s="491" t="s">
        <v>1665</v>
      </c>
      <c r="AF18" s="466"/>
      <c r="AG18" s="465"/>
      <c r="AH18" s="465"/>
    </row>
    <row r="19" spans="1:34" s="492" customFormat="1" ht="14.25" x14ac:dyDescent="0.2">
      <c r="A19" s="1771"/>
      <c r="B19" s="876" t="s">
        <v>1733</v>
      </c>
      <c r="C19" s="501" t="s">
        <v>797</v>
      </c>
      <c r="D19" s="1771"/>
      <c r="E19" s="1771"/>
      <c r="F19" s="530"/>
      <c r="G19" s="531"/>
      <c r="H19" s="493">
        <f>H20</f>
        <v>1.2</v>
      </c>
      <c r="I19" s="532"/>
      <c r="J19" s="532"/>
      <c r="K19" s="532">
        <f>K20</f>
        <v>0.6</v>
      </c>
      <c r="L19" s="532"/>
      <c r="M19" s="532"/>
      <c r="N19" s="532">
        <f>N20</f>
        <v>0.6</v>
      </c>
      <c r="O19" s="532"/>
      <c r="P19" s="532"/>
      <c r="Q19" s="532">
        <f>Q20</f>
        <v>1</v>
      </c>
      <c r="R19" s="532">
        <f t="shared" si="5"/>
        <v>1</v>
      </c>
      <c r="S19" s="532"/>
      <c r="T19" s="532"/>
      <c r="U19" s="532"/>
      <c r="V19" s="532"/>
      <c r="W19" s="532"/>
      <c r="X19" s="532"/>
      <c r="Y19" s="532"/>
      <c r="Z19" s="493">
        <f t="shared" si="1"/>
        <v>0.4</v>
      </c>
      <c r="AA19" s="493">
        <f t="shared" si="2"/>
        <v>166.7</v>
      </c>
      <c r="AB19" s="893"/>
      <c r="AC19" s="491" t="s">
        <v>1665</v>
      </c>
      <c r="AF19" s="466"/>
      <c r="AG19" s="466"/>
      <c r="AH19" s="466"/>
    </row>
    <row r="20" spans="1:34" s="498" customFormat="1" ht="26.25" hidden="1" x14ac:dyDescent="0.25">
      <c r="A20" s="962"/>
      <c r="B20" s="502" t="s">
        <v>1734</v>
      </c>
      <c r="C20" s="503"/>
      <c r="D20" s="962"/>
      <c r="E20" s="962" t="s">
        <v>227</v>
      </c>
      <c r="F20" s="494">
        <v>12</v>
      </c>
      <c r="G20" s="495">
        <v>0.1</v>
      </c>
      <c r="H20" s="1770">
        <f>F20*G20</f>
        <v>1.2</v>
      </c>
      <c r="I20" s="496">
        <v>6</v>
      </c>
      <c r="J20" s="862">
        <v>0.1</v>
      </c>
      <c r="K20" s="496">
        <f>I20*J20</f>
        <v>0.6</v>
      </c>
      <c r="L20" s="496">
        <v>6</v>
      </c>
      <c r="M20" s="862">
        <v>0.1</v>
      </c>
      <c r="N20" s="496">
        <f>L20*M20</f>
        <v>0.6</v>
      </c>
      <c r="O20" s="496">
        <v>10</v>
      </c>
      <c r="P20" s="857">
        <v>0.1</v>
      </c>
      <c r="Q20" s="496">
        <f>O20*P20</f>
        <v>1</v>
      </c>
      <c r="R20" s="496">
        <f t="shared" si="5"/>
        <v>1</v>
      </c>
      <c r="S20" s="496"/>
      <c r="T20" s="496">
        <v>10</v>
      </c>
      <c r="U20" s="857">
        <v>0.1</v>
      </c>
      <c r="V20" s="496">
        <f>T20*U20</f>
        <v>1</v>
      </c>
      <c r="W20" s="496">
        <v>10</v>
      </c>
      <c r="X20" s="857">
        <v>0.1</v>
      </c>
      <c r="Y20" s="496">
        <f>W20*X20</f>
        <v>1</v>
      </c>
      <c r="Z20" s="1770">
        <f t="shared" si="1"/>
        <v>0.4</v>
      </c>
      <c r="AA20" s="1770">
        <f t="shared" si="2"/>
        <v>166.7</v>
      </c>
      <c r="AB20" s="893" t="s">
        <v>1735</v>
      </c>
      <c r="AC20" s="491" t="s">
        <v>1665</v>
      </c>
      <c r="AF20" s="466"/>
      <c r="AG20" s="465"/>
      <c r="AH20" s="465"/>
    </row>
    <row r="21" spans="1:34" s="871" customFormat="1" ht="25.5" hidden="1" x14ac:dyDescent="0.2">
      <c r="A21" s="869"/>
      <c r="B21" s="875" t="s">
        <v>1736</v>
      </c>
      <c r="C21" s="868"/>
      <c r="D21" s="869"/>
      <c r="E21" s="869"/>
      <c r="F21" s="879"/>
      <c r="G21" s="880"/>
      <c r="H21" s="681">
        <f>H22+H27+H32+H31+H33+H34</f>
        <v>162.19999999999999</v>
      </c>
      <c r="I21" s="681"/>
      <c r="J21" s="1843"/>
      <c r="K21" s="681">
        <f>K22+K27+K32+K31+K33+K34</f>
        <v>138.5</v>
      </c>
      <c r="L21" s="681"/>
      <c r="M21" s="1843"/>
      <c r="N21" s="681">
        <f>N22+N27+N32+N31+N33+N34</f>
        <v>153.5</v>
      </c>
      <c r="O21" s="681"/>
      <c r="P21" s="681"/>
      <c r="Q21" s="681">
        <f>Q22+Q27+Q32+Q31+Q33+Q34</f>
        <v>187.1</v>
      </c>
      <c r="R21" s="681">
        <f>R22+R27+R32+R31+R33+R34</f>
        <v>141.5</v>
      </c>
      <c r="S21" s="681">
        <f>S22+S27+S32+S31+S33+S34</f>
        <v>36.9</v>
      </c>
      <c r="T21" s="681"/>
      <c r="U21" s="681"/>
      <c r="V21" s="681">
        <f>V22+V27+V32+V31+V33+V34</f>
        <v>0</v>
      </c>
      <c r="W21" s="681"/>
      <c r="X21" s="681"/>
      <c r="Y21" s="681">
        <f>Y22+Y27+Y32+Y31+Y33+Y34</f>
        <v>0</v>
      </c>
      <c r="Z21" s="681">
        <f t="shared" si="1"/>
        <v>48.6</v>
      </c>
      <c r="AA21" s="681">
        <f t="shared" si="2"/>
        <v>135.1</v>
      </c>
      <c r="AB21" s="1842"/>
      <c r="AC21" s="491" t="s">
        <v>1665</v>
      </c>
      <c r="AF21" s="872"/>
      <c r="AG21" s="872"/>
      <c r="AH21" s="872"/>
    </row>
    <row r="22" spans="1:34" s="492" customFormat="1" ht="14.25" hidden="1" x14ac:dyDescent="0.2">
      <c r="A22" s="1771"/>
      <c r="B22" s="876" t="s">
        <v>1233</v>
      </c>
      <c r="C22" s="501" t="s">
        <v>1230</v>
      </c>
      <c r="D22" s="1771"/>
      <c r="E22" s="1771"/>
      <c r="F22" s="530"/>
      <c r="G22" s="531"/>
      <c r="H22" s="542">
        <f>SUM(H23:H26)</f>
        <v>10.3</v>
      </c>
      <c r="I22" s="532"/>
      <c r="J22" s="532"/>
      <c r="K22" s="533">
        <f>SUM(K23:K26)</f>
        <v>10.3</v>
      </c>
      <c r="L22" s="532"/>
      <c r="M22" s="532"/>
      <c r="N22" s="533">
        <f>SUM(N23:N26)</f>
        <v>10.3</v>
      </c>
      <c r="O22" s="532"/>
      <c r="P22" s="532"/>
      <c r="Q22" s="533">
        <f>SUM(Q23:Q26)</f>
        <v>17.7</v>
      </c>
      <c r="R22" s="533">
        <f t="shared" ref="R22:S22" si="6">SUM(R23:R26)</f>
        <v>17.7</v>
      </c>
      <c r="S22" s="533">
        <f t="shared" si="6"/>
        <v>0</v>
      </c>
      <c r="T22" s="532"/>
      <c r="U22" s="532"/>
      <c r="V22" s="533"/>
      <c r="W22" s="532"/>
      <c r="X22" s="532"/>
      <c r="Y22" s="533"/>
      <c r="Z22" s="542">
        <f t="shared" si="1"/>
        <v>7.4</v>
      </c>
      <c r="AA22" s="542">
        <f t="shared" si="2"/>
        <v>171.8</v>
      </c>
      <c r="AB22" s="893"/>
      <c r="AC22" s="491" t="s">
        <v>1665</v>
      </c>
      <c r="AF22" s="466"/>
      <c r="AG22" s="466"/>
      <c r="AH22" s="466"/>
    </row>
    <row r="23" spans="1:34" s="498" customFormat="1" hidden="1" x14ac:dyDescent="0.25">
      <c r="A23" s="962"/>
      <c r="B23" s="881" t="s">
        <v>1737</v>
      </c>
      <c r="C23" s="503"/>
      <c r="D23" s="962"/>
      <c r="E23" s="962" t="s">
        <v>318</v>
      </c>
      <c r="F23" s="494">
        <v>1</v>
      </c>
      <c r="G23" s="495">
        <v>3.5</v>
      </c>
      <c r="H23" s="559">
        <f>F23*G23</f>
        <v>3.5</v>
      </c>
      <c r="I23" s="496">
        <v>1</v>
      </c>
      <c r="J23" s="496">
        <v>3.5</v>
      </c>
      <c r="K23" s="857">
        <f>I23*J23</f>
        <v>3.5</v>
      </c>
      <c r="L23" s="496">
        <v>1</v>
      </c>
      <c r="M23" s="496">
        <v>3.5</v>
      </c>
      <c r="N23" s="857">
        <f>L23*M23</f>
        <v>3.5</v>
      </c>
      <c r="O23" s="496">
        <v>1</v>
      </c>
      <c r="P23" s="496">
        <v>3.5</v>
      </c>
      <c r="Q23" s="857">
        <f>O23*P23</f>
        <v>3.5</v>
      </c>
      <c r="R23" s="857">
        <f>Q23</f>
        <v>3.5</v>
      </c>
      <c r="S23" s="857"/>
      <c r="T23" s="496">
        <v>1</v>
      </c>
      <c r="U23" s="496">
        <v>3.5</v>
      </c>
      <c r="V23" s="857">
        <f>T23*U23</f>
        <v>3.5</v>
      </c>
      <c r="W23" s="496">
        <v>1</v>
      </c>
      <c r="X23" s="496">
        <v>3.5</v>
      </c>
      <c r="Y23" s="857">
        <f>W23*X23</f>
        <v>3.5</v>
      </c>
      <c r="Z23" s="559">
        <f t="shared" si="1"/>
        <v>0</v>
      </c>
      <c r="AA23" s="559">
        <f t="shared" si="2"/>
        <v>100</v>
      </c>
      <c r="AB23" s="893"/>
      <c r="AC23" s="491" t="s">
        <v>1665</v>
      </c>
      <c r="AF23" s="466"/>
      <c r="AG23" s="465"/>
      <c r="AH23" s="465"/>
    </row>
    <row r="24" spans="1:34" s="498" customFormat="1" ht="51.75" hidden="1" x14ac:dyDescent="0.25">
      <c r="A24" s="962"/>
      <c r="B24" s="881" t="s">
        <v>1738</v>
      </c>
      <c r="C24" s="503"/>
      <c r="D24" s="962"/>
      <c r="E24" s="962" t="s">
        <v>318</v>
      </c>
      <c r="F24" s="494"/>
      <c r="G24" s="495"/>
      <c r="H24" s="559"/>
      <c r="I24" s="496"/>
      <c r="J24" s="496"/>
      <c r="K24" s="857"/>
      <c r="L24" s="496"/>
      <c r="M24" s="496"/>
      <c r="N24" s="857"/>
      <c r="O24" s="496">
        <v>1</v>
      </c>
      <c r="P24" s="496">
        <v>5.8</v>
      </c>
      <c r="Q24" s="857">
        <f>O24*P24</f>
        <v>5.8</v>
      </c>
      <c r="R24" s="857">
        <f>Q24</f>
        <v>5.8</v>
      </c>
      <c r="S24" s="857"/>
      <c r="T24" s="496">
        <v>1</v>
      </c>
      <c r="U24" s="496">
        <v>4.5999999999999996</v>
      </c>
      <c r="V24" s="857">
        <f>T24*U24</f>
        <v>4.5999999999999996</v>
      </c>
      <c r="W24" s="496">
        <v>1</v>
      </c>
      <c r="X24" s="496">
        <v>4.5999999999999996</v>
      </c>
      <c r="Y24" s="857">
        <f>W24*X24</f>
        <v>4.5999999999999996</v>
      </c>
      <c r="Z24" s="559">
        <f t="shared" si="1"/>
        <v>5.8</v>
      </c>
      <c r="AA24" s="559" t="str">
        <f t="shared" si="2"/>
        <v>-</v>
      </c>
      <c r="AB24" s="893" t="s">
        <v>1739</v>
      </c>
      <c r="AC24" s="491" t="s">
        <v>1665</v>
      </c>
      <c r="AF24" s="466"/>
      <c r="AG24" s="465"/>
      <c r="AH24" s="465"/>
    </row>
    <row r="25" spans="1:34" s="498" customFormat="1" hidden="1" x14ac:dyDescent="0.25">
      <c r="A25" s="962"/>
      <c r="B25" s="881" t="s">
        <v>1740</v>
      </c>
      <c r="C25" s="503"/>
      <c r="D25" s="962"/>
      <c r="E25" s="962" t="s">
        <v>318</v>
      </c>
      <c r="F25" s="494">
        <v>2</v>
      </c>
      <c r="G25" s="495">
        <v>2.2999999999999998</v>
      </c>
      <c r="H25" s="559">
        <f>F25*G25</f>
        <v>4.5999999999999996</v>
      </c>
      <c r="I25" s="496">
        <v>2</v>
      </c>
      <c r="J25" s="496">
        <v>2.2999999999999998</v>
      </c>
      <c r="K25" s="857">
        <f>I25*J25</f>
        <v>4.5999999999999996</v>
      </c>
      <c r="L25" s="496">
        <v>2</v>
      </c>
      <c r="M25" s="496">
        <v>2.2999999999999998</v>
      </c>
      <c r="N25" s="857">
        <f>L25*M25</f>
        <v>4.5999999999999996</v>
      </c>
      <c r="O25" s="496">
        <v>2</v>
      </c>
      <c r="P25" s="496">
        <v>2.2999999999999998</v>
      </c>
      <c r="Q25" s="857">
        <f>O25*P25</f>
        <v>4.5999999999999996</v>
      </c>
      <c r="R25" s="857">
        <f>Q25</f>
        <v>4.5999999999999996</v>
      </c>
      <c r="S25" s="857"/>
      <c r="T25" s="496">
        <v>2</v>
      </c>
      <c r="U25" s="496">
        <v>2.2999999999999998</v>
      </c>
      <c r="V25" s="857">
        <f>T25*U25</f>
        <v>4.5999999999999996</v>
      </c>
      <c r="W25" s="496">
        <v>2</v>
      </c>
      <c r="X25" s="496">
        <v>2.2999999999999998</v>
      </c>
      <c r="Y25" s="857">
        <f>W25*X25</f>
        <v>4.5999999999999996</v>
      </c>
      <c r="Z25" s="559">
        <f t="shared" si="1"/>
        <v>0</v>
      </c>
      <c r="AA25" s="559">
        <f t="shared" si="2"/>
        <v>100</v>
      </c>
      <c r="AB25" s="893"/>
      <c r="AC25" s="491" t="s">
        <v>1665</v>
      </c>
      <c r="AF25" s="466"/>
      <c r="AG25" s="465"/>
      <c r="AH25" s="465"/>
    </row>
    <row r="26" spans="1:34" s="498" customFormat="1" hidden="1" x14ac:dyDescent="0.25">
      <c r="A26" s="962"/>
      <c r="B26" s="881" t="s">
        <v>1729</v>
      </c>
      <c r="C26" s="503"/>
      <c r="D26" s="962"/>
      <c r="E26" s="962"/>
      <c r="F26" s="494"/>
      <c r="G26" s="495"/>
      <c r="H26" s="1770">
        <f>SUM(H23:H25)*0.271</f>
        <v>2.2000000000000002</v>
      </c>
      <c r="I26" s="496"/>
      <c r="J26" s="496"/>
      <c r="K26" s="496">
        <f>SUM(K23:K25)*0.271</f>
        <v>2.2000000000000002</v>
      </c>
      <c r="L26" s="496"/>
      <c r="M26" s="496"/>
      <c r="N26" s="496">
        <f>SUM(N23:N25)*0.271</f>
        <v>2.2000000000000002</v>
      </c>
      <c r="O26" s="496"/>
      <c r="P26" s="496"/>
      <c r="Q26" s="496">
        <f>SUM(Q23:Q25)*0.271</f>
        <v>3.8</v>
      </c>
      <c r="R26" s="496">
        <f t="shared" ref="R26:S26" si="7">SUM(R23:R25)*0.271</f>
        <v>3.8</v>
      </c>
      <c r="S26" s="496">
        <f t="shared" si="7"/>
        <v>0</v>
      </c>
      <c r="T26" s="496"/>
      <c r="U26" s="496"/>
      <c r="V26" s="496">
        <f>SUM(V23:V25)*0.271</f>
        <v>3.4</v>
      </c>
      <c r="W26" s="496"/>
      <c r="X26" s="496"/>
      <c r="Y26" s="496">
        <f>SUM(Y23:Y25)*0.271</f>
        <v>3.4</v>
      </c>
      <c r="Z26" s="1770">
        <f t="shared" si="1"/>
        <v>1.6</v>
      </c>
      <c r="AA26" s="1770">
        <f t="shared" si="2"/>
        <v>172.7</v>
      </c>
      <c r="AB26" s="921"/>
      <c r="AC26" s="491" t="s">
        <v>1665</v>
      </c>
      <c r="AF26" s="466"/>
      <c r="AG26" s="465"/>
      <c r="AH26" s="465"/>
    </row>
    <row r="27" spans="1:34" s="492" customFormat="1" ht="14.25" x14ac:dyDescent="0.2">
      <c r="A27" s="1771"/>
      <c r="B27" s="876" t="s">
        <v>1741</v>
      </c>
      <c r="C27" s="501" t="s">
        <v>797</v>
      </c>
      <c r="D27" s="1771"/>
      <c r="E27" s="1771"/>
      <c r="F27" s="530"/>
      <c r="G27" s="531"/>
      <c r="H27" s="542">
        <f>SUM(H28:H30)</f>
        <v>4.4000000000000004</v>
      </c>
      <c r="I27" s="532"/>
      <c r="J27" s="532"/>
      <c r="K27" s="533">
        <f>SUM(K28:K30)</f>
        <v>1.2</v>
      </c>
      <c r="L27" s="532"/>
      <c r="M27" s="532"/>
      <c r="N27" s="533">
        <f>SUM(N28:N30)</f>
        <v>1.2</v>
      </c>
      <c r="O27" s="532"/>
      <c r="P27" s="532"/>
      <c r="Q27" s="533">
        <f>SUM(Q28:Q30)</f>
        <v>22.2</v>
      </c>
      <c r="R27" s="533">
        <f>SUM(R28:R30)</f>
        <v>0</v>
      </c>
      <c r="S27" s="533">
        <f>SUM(S28:S30)</f>
        <v>22.2</v>
      </c>
      <c r="T27" s="532"/>
      <c r="U27" s="532"/>
      <c r="V27" s="533"/>
      <c r="W27" s="532"/>
      <c r="X27" s="532"/>
      <c r="Y27" s="533"/>
      <c r="Z27" s="542">
        <f t="shared" si="1"/>
        <v>21</v>
      </c>
      <c r="AA27" s="542">
        <f t="shared" si="2"/>
        <v>1850</v>
      </c>
      <c r="AB27" s="921"/>
      <c r="AC27" s="491" t="s">
        <v>1665</v>
      </c>
      <c r="AF27" s="466"/>
      <c r="AG27" s="466"/>
      <c r="AH27" s="466"/>
    </row>
    <row r="28" spans="1:34" s="498" customFormat="1" hidden="1" x14ac:dyDescent="0.25">
      <c r="A28" s="962"/>
      <c r="B28" s="502" t="s">
        <v>1742</v>
      </c>
      <c r="C28" s="499"/>
      <c r="D28" s="962"/>
      <c r="E28" s="962" t="s">
        <v>227</v>
      </c>
      <c r="F28" s="494">
        <v>26</v>
      </c>
      <c r="G28" s="495">
        <v>0.1</v>
      </c>
      <c r="H28" s="559">
        <f>F28*G28</f>
        <v>2.6</v>
      </c>
      <c r="I28" s="496">
        <v>12</v>
      </c>
      <c r="J28" s="862">
        <v>0.1</v>
      </c>
      <c r="K28" s="857">
        <f>I28*J28</f>
        <v>1.2</v>
      </c>
      <c r="L28" s="496">
        <v>12</v>
      </c>
      <c r="M28" s="862">
        <v>0.1</v>
      </c>
      <c r="N28" s="857">
        <f>L28*M28</f>
        <v>1.2</v>
      </c>
      <c r="O28" s="496">
        <v>10</v>
      </c>
      <c r="P28" s="857">
        <v>0.1</v>
      </c>
      <c r="Q28" s="857">
        <f>O28*P28</f>
        <v>1</v>
      </c>
      <c r="R28" s="857"/>
      <c r="S28" s="857">
        <v>1</v>
      </c>
      <c r="T28" s="496">
        <v>10</v>
      </c>
      <c r="U28" s="857">
        <v>0.1</v>
      </c>
      <c r="V28" s="857">
        <f t="shared" ref="V28:V30" si="8">T28*U28</f>
        <v>1</v>
      </c>
      <c r="W28" s="496">
        <v>10</v>
      </c>
      <c r="X28" s="857">
        <v>0.1</v>
      </c>
      <c r="Y28" s="857">
        <f t="shared" ref="Y28:Y30" si="9">W28*X28</f>
        <v>1</v>
      </c>
      <c r="Z28" s="559">
        <f t="shared" si="1"/>
        <v>-0.2</v>
      </c>
      <c r="AA28" s="559">
        <f t="shared" si="2"/>
        <v>83.3</v>
      </c>
      <c r="AB28" s="893"/>
      <c r="AC28" s="491" t="s">
        <v>1665</v>
      </c>
      <c r="AF28" s="466"/>
      <c r="AG28" s="465"/>
      <c r="AH28" s="465"/>
    </row>
    <row r="29" spans="1:34" s="498" customFormat="1" ht="39" hidden="1" x14ac:dyDescent="0.25">
      <c r="A29" s="962"/>
      <c r="B29" s="502" t="s">
        <v>1743</v>
      </c>
      <c r="C29" s="499"/>
      <c r="D29" s="962"/>
      <c r="E29" s="962" t="s">
        <v>1238</v>
      </c>
      <c r="F29" s="494"/>
      <c r="G29" s="495"/>
      <c r="H29" s="559"/>
      <c r="I29" s="496"/>
      <c r="J29" s="862"/>
      <c r="K29" s="857"/>
      <c r="L29" s="496"/>
      <c r="M29" s="862"/>
      <c r="N29" s="857"/>
      <c r="O29" s="496">
        <v>20</v>
      </c>
      <c r="P29" s="857">
        <v>0.9</v>
      </c>
      <c r="Q29" s="857">
        <f>O29*P29</f>
        <v>18</v>
      </c>
      <c r="R29" s="857"/>
      <c r="S29" s="857">
        <f>Q29-R29</f>
        <v>18</v>
      </c>
      <c r="T29" s="496"/>
      <c r="U29" s="857"/>
      <c r="V29" s="857">
        <f t="shared" si="8"/>
        <v>0</v>
      </c>
      <c r="W29" s="496"/>
      <c r="X29" s="857"/>
      <c r="Y29" s="857">
        <f t="shared" si="9"/>
        <v>0</v>
      </c>
      <c r="Z29" s="559">
        <f t="shared" si="1"/>
        <v>18</v>
      </c>
      <c r="AA29" s="559" t="str">
        <f t="shared" si="2"/>
        <v>-</v>
      </c>
      <c r="AB29" s="1844" t="s">
        <v>1744</v>
      </c>
      <c r="AC29" s="491" t="s">
        <v>1665</v>
      </c>
      <c r="AF29" s="466"/>
      <c r="AG29" s="465"/>
      <c r="AH29" s="465"/>
    </row>
    <row r="30" spans="1:34" s="498" customFormat="1" hidden="1" x14ac:dyDescent="0.25">
      <c r="A30" s="962"/>
      <c r="B30" s="878" t="s">
        <v>1692</v>
      </c>
      <c r="C30" s="499"/>
      <c r="D30" s="962"/>
      <c r="E30" s="962" t="s">
        <v>227</v>
      </c>
      <c r="F30" s="494">
        <v>6</v>
      </c>
      <c r="G30" s="495">
        <v>0.3</v>
      </c>
      <c r="H30" s="559">
        <f>F30*G30</f>
        <v>1.8</v>
      </c>
      <c r="I30" s="496"/>
      <c r="J30" s="496"/>
      <c r="K30" s="857">
        <f>I30*J30</f>
        <v>0</v>
      </c>
      <c r="L30" s="496"/>
      <c r="M30" s="496"/>
      <c r="N30" s="857">
        <f>L30*M30</f>
        <v>0</v>
      </c>
      <c r="O30" s="496">
        <v>8</v>
      </c>
      <c r="P30" s="496">
        <v>0.4</v>
      </c>
      <c r="Q30" s="857">
        <f>O30*P30</f>
        <v>3.2</v>
      </c>
      <c r="R30" s="857"/>
      <c r="S30" s="857">
        <f>Q30</f>
        <v>3.2</v>
      </c>
      <c r="T30" s="496">
        <v>8</v>
      </c>
      <c r="U30" s="496">
        <v>0.4</v>
      </c>
      <c r="V30" s="857">
        <f t="shared" si="8"/>
        <v>3.2</v>
      </c>
      <c r="W30" s="496">
        <v>8</v>
      </c>
      <c r="X30" s="496">
        <v>0.4</v>
      </c>
      <c r="Y30" s="857">
        <f t="shared" si="9"/>
        <v>3.2</v>
      </c>
      <c r="Z30" s="559">
        <f t="shared" si="1"/>
        <v>3.2</v>
      </c>
      <c r="AA30" s="559" t="str">
        <f t="shared" si="2"/>
        <v>-</v>
      </c>
      <c r="AB30" s="1845"/>
      <c r="AC30" s="491" t="s">
        <v>1665</v>
      </c>
      <c r="AF30" s="466"/>
      <c r="AG30" s="465"/>
      <c r="AH30" s="465"/>
    </row>
    <row r="31" spans="1:34" s="492" customFormat="1" ht="38.25" hidden="1" x14ac:dyDescent="0.2">
      <c r="A31" s="1771"/>
      <c r="B31" s="877" t="s">
        <v>1745</v>
      </c>
      <c r="C31" s="508" t="s">
        <v>796</v>
      </c>
      <c r="D31" s="1771"/>
      <c r="E31" s="1771" t="s">
        <v>1235</v>
      </c>
      <c r="F31" s="530">
        <v>12</v>
      </c>
      <c r="G31" s="1846">
        <v>0.5</v>
      </c>
      <c r="H31" s="542">
        <f>F31*G31</f>
        <v>6</v>
      </c>
      <c r="I31" s="532">
        <v>15</v>
      </c>
      <c r="J31" s="1847">
        <v>0.4</v>
      </c>
      <c r="K31" s="533">
        <f>I31*J31</f>
        <v>6</v>
      </c>
      <c r="L31" s="532">
        <v>15</v>
      </c>
      <c r="M31" s="1847">
        <v>0.4</v>
      </c>
      <c r="N31" s="533">
        <f>L31*M31</f>
        <v>6</v>
      </c>
      <c r="O31" s="532"/>
      <c r="P31" s="1847"/>
      <c r="Q31" s="533"/>
      <c r="R31" s="533"/>
      <c r="S31" s="533"/>
      <c r="T31" s="532"/>
      <c r="U31" s="1847"/>
      <c r="V31" s="533"/>
      <c r="W31" s="532"/>
      <c r="X31" s="1847"/>
      <c r="Y31" s="533"/>
      <c r="Z31" s="542">
        <f t="shared" si="1"/>
        <v>-6</v>
      </c>
      <c r="AA31" s="542">
        <f t="shared" si="2"/>
        <v>0</v>
      </c>
      <c r="AB31" s="893" t="s">
        <v>1746</v>
      </c>
      <c r="AC31" s="491" t="s">
        <v>1665</v>
      </c>
      <c r="AF31" s="466"/>
      <c r="AG31" s="466"/>
      <c r="AH31" s="466"/>
    </row>
    <row r="32" spans="1:34" s="492" customFormat="1" ht="14.25" hidden="1" x14ac:dyDescent="0.2">
      <c r="A32" s="1771"/>
      <c r="B32" s="876" t="s">
        <v>1246</v>
      </c>
      <c r="C32" s="501" t="s">
        <v>1237</v>
      </c>
      <c r="D32" s="1771"/>
      <c r="E32" s="1771" t="s">
        <v>664</v>
      </c>
      <c r="F32" s="1848">
        <v>2</v>
      </c>
      <c r="G32" s="1830">
        <v>2.5</v>
      </c>
      <c r="H32" s="542">
        <f>F32*G32</f>
        <v>5</v>
      </c>
      <c r="I32" s="1849">
        <v>2</v>
      </c>
      <c r="J32" s="1831">
        <v>2.5</v>
      </c>
      <c r="K32" s="533">
        <f>I32*J32</f>
        <v>5</v>
      </c>
      <c r="L32" s="1849">
        <v>2</v>
      </c>
      <c r="M32" s="1831">
        <v>2.5</v>
      </c>
      <c r="N32" s="533">
        <f>L32*M32</f>
        <v>5</v>
      </c>
      <c r="O32" s="1849">
        <v>2</v>
      </c>
      <c r="P32" s="1831">
        <v>2.5</v>
      </c>
      <c r="Q32" s="533">
        <f>O32*P32</f>
        <v>5</v>
      </c>
      <c r="R32" s="533">
        <f>Q32</f>
        <v>5</v>
      </c>
      <c r="S32" s="533"/>
      <c r="T32" s="1849"/>
      <c r="U32" s="1831"/>
      <c r="V32" s="533"/>
      <c r="W32" s="1849"/>
      <c r="X32" s="1831"/>
      <c r="Y32" s="533"/>
      <c r="Z32" s="542">
        <f t="shared" si="1"/>
        <v>0</v>
      </c>
      <c r="AA32" s="542">
        <f t="shared" si="2"/>
        <v>100</v>
      </c>
      <c r="AB32" s="893"/>
      <c r="AC32" s="491" t="s">
        <v>1665</v>
      </c>
      <c r="AF32" s="466"/>
      <c r="AG32" s="466"/>
      <c r="AH32" s="466"/>
    </row>
    <row r="33" spans="1:34" s="492" customFormat="1" ht="14.25" x14ac:dyDescent="0.2">
      <c r="A33" s="1771"/>
      <c r="B33" s="876" t="s">
        <v>1367</v>
      </c>
      <c r="C33" s="501" t="s">
        <v>797</v>
      </c>
      <c r="D33" s="1771"/>
      <c r="E33" s="1771" t="s">
        <v>227</v>
      </c>
      <c r="F33" s="1848">
        <v>3</v>
      </c>
      <c r="G33" s="1830">
        <v>35</v>
      </c>
      <c r="H33" s="542">
        <f>F33*G33</f>
        <v>105</v>
      </c>
      <c r="I33" s="1849">
        <v>3</v>
      </c>
      <c r="J33" s="1831">
        <v>35</v>
      </c>
      <c r="K33" s="533">
        <f>I33*J33</f>
        <v>105</v>
      </c>
      <c r="L33" s="1849">
        <v>3</v>
      </c>
      <c r="M33" s="1831">
        <v>35</v>
      </c>
      <c r="N33" s="533">
        <f>L33*M33</f>
        <v>105</v>
      </c>
      <c r="O33" s="1849">
        <v>3</v>
      </c>
      <c r="P33" s="1831">
        <v>35</v>
      </c>
      <c r="Q33" s="533">
        <f>O33*P33</f>
        <v>105</v>
      </c>
      <c r="R33" s="533">
        <f>Q33</f>
        <v>105</v>
      </c>
      <c r="S33" s="533"/>
      <c r="T33" s="1849"/>
      <c r="U33" s="1831"/>
      <c r="V33" s="533"/>
      <c r="W33" s="1849"/>
      <c r="X33" s="1831"/>
      <c r="Y33" s="533"/>
      <c r="Z33" s="542">
        <f t="shared" si="1"/>
        <v>0</v>
      </c>
      <c r="AA33" s="542">
        <f t="shared" si="2"/>
        <v>100</v>
      </c>
      <c r="AB33" s="893"/>
      <c r="AC33" s="491" t="s">
        <v>1665</v>
      </c>
      <c r="AF33" s="466"/>
      <c r="AG33" s="466"/>
      <c r="AH33" s="466"/>
    </row>
    <row r="34" spans="1:34" s="492" customFormat="1" ht="25.5" x14ac:dyDescent="0.2">
      <c r="A34" s="1771"/>
      <c r="B34" s="877" t="s">
        <v>1747</v>
      </c>
      <c r="C34" s="508" t="s">
        <v>797</v>
      </c>
      <c r="D34" s="1771"/>
      <c r="E34" s="1771"/>
      <c r="F34" s="1848"/>
      <c r="G34" s="1830"/>
      <c r="H34" s="493">
        <f>H35+H38</f>
        <v>31.5</v>
      </c>
      <c r="I34" s="1849"/>
      <c r="J34" s="1831"/>
      <c r="K34" s="532">
        <f>K35+K38</f>
        <v>11</v>
      </c>
      <c r="L34" s="1849"/>
      <c r="M34" s="1831"/>
      <c r="N34" s="532">
        <f>N35+N38</f>
        <v>26</v>
      </c>
      <c r="O34" s="1849"/>
      <c r="P34" s="1831"/>
      <c r="Q34" s="532">
        <f>SUM(Q35:Q38)</f>
        <v>37.200000000000003</v>
      </c>
      <c r="R34" s="532">
        <f t="shared" ref="R34" si="10">SUM(R35:R38)</f>
        <v>13.8</v>
      </c>
      <c r="S34" s="532">
        <f>SUM(S35:S38)-8.7</f>
        <v>14.7</v>
      </c>
      <c r="T34" s="1849"/>
      <c r="U34" s="1831"/>
      <c r="V34" s="532"/>
      <c r="W34" s="1849"/>
      <c r="X34" s="1831"/>
      <c r="Y34" s="532"/>
      <c r="Z34" s="493">
        <f t="shared" si="1"/>
        <v>26.2</v>
      </c>
      <c r="AA34" s="493">
        <f t="shared" si="2"/>
        <v>338.2</v>
      </c>
      <c r="AB34" s="921"/>
      <c r="AC34" s="491" t="s">
        <v>1665</v>
      </c>
      <c r="AF34" s="466"/>
      <c r="AG34" s="466"/>
      <c r="AH34" s="466"/>
    </row>
    <row r="35" spans="1:34" s="498" customFormat="1" hidden="1" x14ac:dyDescent="0.25">
      <c r="A35" s="962"/>
      <c r="B35" s="1850" t="s">
        <v>1748</v>
      </c>
      <c r="C35" s="499"/>
      <c r="D35" s="962"/>
      <c r="E35" s="962" t="s">
        <v>227</v>
      </c>
      <c r="F35" s="494">
        <v>210</v>
      </c>
      <c r="G35" s="495">
        <v>0.12</v>
      </c>
      <c r="H35" s="1851">
        <f>F35*G35</f>
        <v>25.2</v>
      </c>
      <c r="I35" s="496">
        <v>220</v>
      </c>
      <c r="J35" s="883">
        <v>0.05</v>
      </c>
      <c r="K35" s="1852">
        <f>I35*J35</f>
        <v>11</v>
      </c>
      <c r="L35" s="496">
        <v>220</v>
      </c>
      <c r="M35" s="883">
        <v>0.05</v>
      </c>
      <c r="N35" s="1852">
        <f>L35*M35</f>
        <v>11</v>
      </c>
      <c r="O35" s="496"/>
      <c r="P35" s="496"/>
      <c r="Q35" s="1852"/>
      <c r="R35" s="1852"/>
      <c r="S35" s="1852"/>
      <c r="T35" s="496"/>
      <c r="U35" s="496"/>
      <c r="V35" s="1852"/>
      <c r="W35" s="496"/>
      <c r="X35" s="496"/>
      <c r="Y35" s="1852"/>
      <c r="Z35" s="1851">
        <f t="shared" si="1"/>
        <v>-11</v>
      </c>
      <c r="AA35" s="1851">
        <f t="shared" si="2"/>
        <v>0</v>
      </c>
      <c r="AB35" s="893"/>
      <c r="AC35" s="491" t="s">
        <v>1665</v>
      </c>
      <c r="AF35" s="466"/>
      <c r="AG35" s="465"/>
      <c r="AH35" s="465"/>
    </row>
    <row r="36" spans="1:34" s="498" customFormat="1" ht="25.5" hidden="1" x14ac:dyDescent="0.25">
      <c r="A36" s="962"/>
      <c r="B36" s="1850" t="s">
        <v>1689</v>
      </c>
      <c r="C36" s="499"/>
      <c r="D36" s="962"/>
      <c r="E36" s="541" t="s">
        <v>1238</v>
      </c>
      <c r="F36" s="494"/>
      <c r="G36" s="495"/>
      <c r="H36" s="1851"/>
      <c r="I36" s="496"/>
      <c r="J36" s="883"/>
      <c r="K36" s="1852"/>
      <c r="L36" s="496"/>
      <c r="M36" s="883"/>
      <c r="N36" s="1852"/>
      <c r="O36" s="496">
        <v>4</v>
      </c>
      <c r="P36" s="496">
        <v>2</v>
      </c>
      <c r="Q36" s="1852">
        <f>O36*P36</f>
        <v>8</v>
      </c>
      <c r="R36" s="1852"/>
      <c r="S36" s="1852">
        <f>Q36</f>
        <v>8</v>
      </c>
      <c r="T36" s="496">
        <v>4</v>
      </c>
      <c r="U36" s="496">
        <v>2</v>
      </c>
      <c r="V36" s="1852"/>
      <c r="W36" s="496">
        <v>4</v>
      </c>
      <c r="X36" s="496">
        <v>2</v>
      </c>
      <c r="Y36" s="1852"/>
      <c r="Z36" s="1851">
        <f t="shared" si="1"/>
        <v>8</v>
      </c>
      <c r="AA36" s="1851" t="str">
        <f t="shared" si="2"/>
        <v>-</v>
      </c>
      <c r="AB36" s="1853" t="s">
        <v>1749</v>
      </c>
      <c r="AC36" s="491" t="s">
        <v>1665</v>
      </c>
      <c r="AF36" s="466"/>
      <c r="AG36" s="465"/>
      <c r="AH36" s="465"/>
    </row>
    <row r="37" spans="1:34" s="498" customFormat="1" hidden="1" x14ac:dyDescent="0.25">
      <c r="A37" s="962"/>
      <c r="B37" s="1850" t="s">
        <v>1750</v>
      </c>
      <c r="C37" s="499"/>
      <c r="D37" s="962"/>
      <c r="E37" s="541" t="s">
        <v>1238</v>
      </c>
      <c r="F37" s="494"/>
      <c r="G37" s="495"/>
      <c r="H37" s="1851"/>
      <c r="I37" s="496"/>
      <c r="J37" s="883"/>
      <c r="K37" s="1852"/>
      <c r="L37" s="496"/>
      <c r="M37" s="883"/>
      <c r="N37" s="1852"/>
      <c r="O37" s="496">
        <v>6</v>
      </c>
      <c r="P37" s="496">
        <v>2.2000000000000002</v>
      </c>
      <c r="Q37" s="1852">
        <f>O37*P37</f>
        <v>13.2</v>
      </c>
      <c r="R37" s="1852"/>
      <c r="S37" s="1852">
        <f>Q37</f>
        <v>13.2</v>
      </c>
      <c r="T37" s="496"/>
      <c r="U37" s="496"/>
      <c r="V37" s="1852"/>
      <c r="W37" s="496"/>
      <c r="X37" s="496"/>
      <c r="Y37" s="1852"/>
      <c r="Z37" s="1851">
        <f t="shared" si="1"/>
        <v>13.2</v>
      </c>
      <c r="AA37" s="1851" t="str">
        <f t="shared" si="2"/>
        <v>-</v>
      </c>
      <c r="AB37" s="1854"/>
      <c r="AC37" s="491" t="s">
        <v>1665</v>
      </c>
      <c r="AF37" s="466"/>
      <c r="AG37" s="465"/>
      <c r="AH37" s="465"/>
    </row>
    <row r="38" spans="1:34" s="498" customFormat="1" ht="64.5" hidden="1" x14ac:dyDescent="0.25">
      <c r="A38" s="962"/>
      <c r="B38" s="1855" t="s">
        <v>1751</v>
      </c>
      <c r="C38" s="499"/>
      <c r="D38" s="962"/>
      <c r="E38" s="962" t="s">
        <v>1240</v>
      </c>
      <c r="F38" s="494">
        <v>1</v>
      </c>
      <c r="G38" s="495">
        <v>6.3</v>
      </c>
      <c r="H38" s="1851">
        <f>F38*G38</f>
        <v>6.3</v>
      </c>
      <c r="I38" s="496"/>
      <c r="J38" s="496"/>
      <c r="K38" s="1852">
        <f>I38*J38</f>
        <v>0</v>
      </c>
      <c r="L38" s="496"/>
      <c r="M38" s="496"/>
      <c r="N38" s="1852">
        <v>15</v>
      </c>
      <c r="O38" s="496">
        <v>2</v>
      </c>
      <c r="P38" s="496">
        <v>8</v>
      </c>
      <c r="Q38" s="1852">
        <f>O38*P38</f>
        <v>16</v>
      </c>
      <c r="R38" s="1852">
        <f>11+2.8</f>
        <v>13.8</v>
      </c>
      <c r="S38" s="1852">
        <f>Q38-R38</f>
        <v>2.2000000000000002</v>
      </c>
      <c r="T38" s="496">
        <v>2</v>
      </c>
      <c r="U38" s="496">
        <v>8</v>
      </c>
      <c r="V38" s="1852">
        <f>T38*U38</f>
        <v>16</v>
      </c>
      <c r="W38" s="496">
        <v>2</v>
      </c>
      <c r="X38" s="496">
        <v>8</v>
      </c>
      <c r="Y38" s="1852">
        <f>W38*X38</f>
        <v>16</v>
      </c>
      <c r="Z38" s="1851">
        <f t="shared" si="1"/>
        <v>16</v>
      </c>
      <c r="AA38" s="1851" t="str">
        <f t="shared" si="2"/>
        <v>-</v>
      </c>
      <c r="AB38" s="893" t="s">
        <v>1752</v>
      </c>
      <c r="AC38" s="491" t="s">
        <v>1665</v>
      </c>
      <c r="AF38" s="466"/>
      <c r="AG38" s="465"/>
      <c r="AH38" s="465"/>
    </row>
    <row r="39" spans="1:34" s="871" customFormat="1" ht="14.25" hidden="1" x14ac:dyDescent="0.2">
      <c r="A39" s="869"/>
      <c r="B39" s="1856" t="s">
        <v>1753</v>
      </c>
      <c r="C39" s="1857"/>
      <c r="D39" s="869"/>
      <c r="E39" s="869"/>
      <c r="F39" s="1858"/>
      <c r="G39" s="1859"/>
      <c r="H39" s="681">
        <f>H40+H50+H51+H54+H55+H56</f>
        <v>59.9</v>
      </c>
      <c r="I39" s="1860"/>
      <c r="J39" s="888"/>
      <c r="K39" s="681">
        <f>K40+K50+K51+K54+K55+K56</f>
        <v>57.7</v>
      </c>
      <c r="L39" s="1860"/>
      <c r="M39" s="888"/>
      <c r="N39" s="681">
        <f>N40+N50+N51+N54+N55+N56</f>
        <v>57.7</v>
      </c>
      <c r="O39" s="1860"/>
      <c r="P39" s="888"/>
      <c r="Q39" s="681">
        <f>Q40+Q50+Q51+Q54+Q55+Q56+Q62+Q61</f>
        <v>169.6</v>
      </c>
      <c r="R39" s="681">
        <f t="shared" ref="R39" si="11">R40+R50+R51+R54+R55+R56+R62+R61</f>
        <v>56.5</v>
      </c>
      <c r="S39" s="681">
        <f>S40+S50+S51+S54+S55+S56+S62+S61</f>
        <v>113</v>
      </c>
      <c r="T39" s="1860"/>
      <c r="U39" s="888"/>
      <c r="V39" s="681">
        <f>V40+V50+V51+V54+V55+V56+V62</f>
        <v>0</v>
      </c>
      <c r="W39" s="1860"/>
      <c r="X39" s="888"/>
      <c r="Y39" s="681">
        <f>Y40+Y50+Y51+Y54+Y55+Y56+Y62</f>
        <v>0</v>
      </c>
      <c r="Z39" s="681">
        <f t="shared" si="1"/>
        <v>111.9</v>
      </c>
      <c r="AA39" s="681">
        <f t="shared" si="2"/>
        <v>293.89999999999998</v>
      </c>
      <c r="AB39" s="896"/>
      <c r="AC39" s="920" t="s">
        <v>1665</v>
      </c>
      <c r="AF39" s="872"/>
      <c r="AG39" s="872"/>
      <c r="AH39" s="872"/>
    </row>
    <row r="40" spans="1:34" s="492" customFormat="1" ht="14.25" hidden="1" x14ac:dyDescent="0.2">
      <c r="A40" s="1771"/>
      <c r="B40" s="1861" t="s">
        <v>1233</v>
      </c>
      <c r="C40" s="508" t="s">
        <v>1230</v>
      </c>
      <c r="D40" s="1771"/>
      <c r="E40" s="1771"/>
      <c r="F40" s="530"/>
      <c r="G40" s="531"/>
      <c r="H40" s="542">
        <f>SUM(H41:H49)</f>
        <v>26.1</v>
      </c>
      <c r="I40" s="532"/>
      <c r="J40" s="532"/>
      <c r="K40" s="533">
        <f>SUM(K41:K49)</f>
        <v>25.8</v>
      </c>
      <c r="L40" s="532"/>
      <c r="M40" s="532"/>
      <c r="N40" s="533">
        <f>SUM(N41:N49)</f>
        <v>25.8</v>
      </c>
      <c r="O40" s="532"/>
      <c r="P40" s="532"/>
      <c r="Q40" s="533">
        <f>SUM(Q41:Q49)</f>
        <v>47.7</v>
      </c>
      <c r="R40" s="533">
        <f>SUM(R41:R49)</f>
        <v>37.200000000000003</v>
      </c>
      <c r="S40" s="533">
        <f t="shared" ref="S40" si="12">SUM(S41:S49)</f>
        <v>10.4</v>
      </c>
      <c r="T40" s="532"/>
      <c r="U40" s="532"/>
      <c r="V40" s="533"/>
      <c r="W40" s="532"/>
      <c r="X40" s="532"/>
      <c r="Y40" s="533"/>
      <c r="Z40" s="542">
        <f t="shared" si="1"/>
        <v>21.9</v>
      </c>
      <c r="AA40" s="542">
        <f t="shared" si="2"/>
        <v>184.9</v>
      </c>
      <c r="AB40" s="893"/>
      <c r="AC40" s="491" t="s">
        <v>1665</v>
      </c>
      <c r="AF40" s="466"/>
      <c r="AG40" s="466"/>
      <c r="AH40" s="466"/>
    </row>
    <row r="41" spans="1:34" s="498" customFormat="1" hidden="1" x14ac:dyDescent="0.25">
      <c r="A41" s="962"/>
      <c r="B41" s="1862" t="s">
        <v>1737</v>
      </c>
      <c r="C41" s="499"/>
      <c r="D41" s="962"/>
      <c r="E41" s="962" t="s">
        <v>318</v>
      </c>
      <c r="F41" s="494">
        <v>1</v>
      </c>
      <c r="G41" s="495">
        <v>3.5</v>
      </c>
      <c r="H41" s="559">
        <f>F41*G41</f>
        <v>3.5</v>
      </c>
      <c r="I41" s="496">
        <v>1</v>
      </c>
      <c r="J41" s="496">
        <v>3.5</v>
      </c>
      <c r="K41" s="857">
        <f>I41*J41</f>
        <v>3.5</v>
      </c>
      <c r="L41" s="496">
        <v>1</v>
      </c>
      <c r="M41" s="496">
        <v>3.5</v>
      </c>
      <c r="N41" s="857">
        <f>L41*M41</f>
        <v>3.5</v>
      </c>
      <c r="O41" s="496">
        <v>1</v>
      </c>
      <c r="P41" s="496">
        <v>3.5</v>
      </c>
      <c r="Q41" s="857">
        <f t="shared" ref="Q41:Q47" si="13">O41*P41</f>
        <v>3.5</v>
      </c>
      <c r="R41" s="857">
        <f>K41</f>
        <v>3.5</v>
      </c>
      <c r="S41" s="857">
        <f>Q41-R41</f>
        <v>0</v>
      </c>
      <c r="T41" s="496">
        <v>1</v>
      </c>
      <c r="U41" s="496">
        <v>3.5</v>
      </c>
      <c r="V41" s="857">
        <f>T41*U41</f>
        <v>3.5</v>
      </c>
      <c r="W41" s="496">
        <v>1</v>
      </c>
      <c r="X41" s="496">
        <v>3.5</v>
      </c>
      <c r="Y41" s="857">
        <f>W41*X41</f>
        <v>3.5</v>
      </c>
      <c r="Z41" s="559">
        <f t="shared" si="1"/>
        <v>0</v>
      </c>
      <c r="AA41" s="559">
        <f t="shared" si="2"/>
        <v>100</v>
      </c>
      <c r="AB41" s="893"/>
      <c r="AC41" s="491" t="s">
        <v>1665</v>
      </c>
      <c r="AF41" s="466"/>
      <c r="AG41" s="465"/>
      <c r="AH41" s="465"/>
    </row>
    <row r="42" spans="1:34" s="498" customFormat="1" hidden="1" x14ac:dyDescent="0.25">
      <c r="A42" s="962"/>
      <c r="B42" s="1862" t="s">
        <v>1754</v>
      </c>
      <c r="C42" s="499"/>
      <c r="D42" s="962"/>
      <c r="E42" s="962" t="s">
        <v>318</v>
      </c>
      <c r="F42" s="494">
        <v>2</v>
      </c>
      <c r="G42" s="495">
        <v>2.2999999999999998</v>
      </c>
      <c r="H42" s="559">
        <f>F42*G42</f>
        <v>4.5999999999999996</v>
      </c>
      <c r="I42" s="496">
        <v>2</v>
      </c>
      <c r="J42" s="496">
        <v>2.2999999999999998</v>
      </c>
      <c r="K42" s="857">
        <f t="shared" ref="K42:K48" si="14">I42*J42</f>
        <v>4.5999999999999996</v>
      </c>
      <c r="L42" s="496">
        <v>2</v>
      </c>
      <c r="M42" s="496">
        <v>2.2999999999999998</v>
      </c>
      <c r="N42" s="857">
        <f t="shared" ref="N42:N48" si="15">L42*M42</f>
        <v>4.5999999999999996</v>
      </c>
      <c r="O42" s="496">
        <v>2</v>
      </c>
      <c r="P42" s="496">
        <v>2.2999999999999998</v>
      </c>
      <c r="Q42" s="857">
        <f t="shared" si="13"/>
        <v>4.5999999999999996</v>
      </c>
      <c r="R42" s="857">
        <f t="shared" ref="R42:R43" si="16">K42</f>
        <v>4.5999999999999996</v>
      </c>
      <c r="S42" s="857">
        <f t="shared" ref="S42:S48" si="17">Q42-R42</f>
        <v>0</v>
      </c>
      <c r="T42" s="496">
        <v>2</v>
      </c>
      <c r="U42" s="496">
        <v>2.2999999999999998</v>
      </c>
      <c r="V42" s="857">
        <f>T42*U42</f>
        <v>4.5999999999999996</v>
      </c>
      <c r="W42" s="496">
        <v>2</v>
      </c>
      <c r="X42" s="496">
        <v>2.2999999999999998</v>
      </c>
      <c r="Y42" s="857">
        <f>W42*X42</f>
        <v>4.5999999999999996</v>
      </c>
      <c r="Z42" s="559">
        <f t="shared" si="1"/>
        <v>0</v>
      </c>
      <c r="AA42" s="559">
        <f t="shared" si="2"/>
        <v>100</v>
      </c>
      <c r="AB42" s="893"/>
      <c r="AC42" s="491" t="s">
        <v>1665</v>
      </c>
      <c r="AF42" s="466"/>
      <c r="AG42" s="465"/>
      <c r="AH42" s="465"/>
    </row>
    <row r="43" spans="1:34" s="498" customFormat="1" ht="127.5" hidden="1" x14ac:dyDescent="0.25">
      <c r="A43" s="962"/>
      <c r="B43" s="1855" t="s">
        <v>1755</v>
      </c>
      <c r="C43" s="499"/>
      <c r="D43" s="962"/>
      <c r="E43" s="962" t="s">
        <v>318</v>
      </c>
      <c r="F43" s="494">
        <v>6</v>
      </c>
      <c r="G43" s="495">
        <v>1.73</v>
      </c>
      <c r="H43" s="559">
        <f>F43*G43</f>
        <v>10.4</v>
      </c>
      <c r="I43" s="496">
        <v>6</v>
      </c>
      <c r="J43" s="496">
        <v>1.7</v>
      </c>
      <c r="K43" s="857">
        <f t="shared" si="14"/>
        <v>10.199999999999999</v>
      </c>
      <c r="L43" s="496">
        <v>6</v>
      </c>
      <c r="M43" s="496">
        <v>1.7</v>
      </c>
      <c r="N43" s="857">
        <f t="shared" si="15"/>
        <v>10.199999999999999</v>
      </c>
      <c r="O43" s="496">
        <v>6</v>
      </c>
      <c r="P43" s="496">
        <v>2.2999999999999998</v>
      </c>
      <c r="Q43" s="857">
        <f t="shared" si="13"/>
        <v>13.8</v>
      </c>
      <c r="R43" s="857">
        <f t="shared" si="16"/>
        <v>10.199999999999999</v>
      </c>
      <c r="S43" s="857">
        <f t="shared" si="17"/>
        <v>3.6</v>
      </c>
      <c r="T43" s="496">
        <v>6</v>
      </c>
      <c r="U43" s="496">
        <v>1.7</v>
      </c>
      <c r="V43" s="857">
        <f>T43*U43</f>
        <v>10.199999999999999</v>
      </c>
      <c r="W43" s="496">
        <v>6</v>
      </c>
      <c r="X43" s="496">
        <v>1.7</v>
      </c>
      <c r="Y43" s="857">
        <f>W43*X43</f>
        <v>10.199999999999999</v>
      </c>
      <c r="Z43" s="559">
        <f t="shared" si="1"/>
        <v>3.6</v>
      </c>
      <c r="AA43" s="559">
        <f t="shared" si="2"/>
        <v>135.30000000000001</v>
      </c>
      <c r="AB43" s="1863" t="s">
        <v>1756</v>
      </c>
      <c r="AC43" s="491" t="s">
        <v>1665</v>
      </c>
      <c r="AF43" s="466"/>
      <c r="AG43" s="465"/>
      <c r="AH43" s="465"/>
    </row>
    <row r="44" spans="1:34" s="498" customFormat="1" ht="39.75" hidden="1" customHeight="1" x14ac:dyDescent="0.25">
      <c r="A44" s="962"/>
      <c r="B44" s="1855" t="s">
        <v>1757</v>
      </c>
      <c r="C44" s="499"/>
      <c r="D44" s="962"/>
      <c r="E44" s="541" t="s">
        <v>318</v>
      </c>
      <c r="F44" s="494"/>
      <c r="G44" s="495"/>
      <c r="H44" s="559"/>
      <c r="I44" s="496"/>
      <c r="J44" s="496"/>
      <c r="K44" s="857"/>
      <c r="L44" s="496"/>
      <c r="M44" s="496"/>
      <c r="N44" s="857"/>
      <c r="O44" s="496">
        <v>1</v>
      </c>
      <c r="P44" s="496">
        <v>3.5</v>
      </c>
      <c r="Q44" s="857">
        <f t="shared" si="13"/>
        <v>3.5</v>
      </c>
      <c r="R44" s="857">
        <f>Q44</f>
        <v>3.5</v>
      </c>
      <c r="S44" s="857"/>
      <c r="T44" s="496">
        <v>1</v>
      </c>
      <c r="U44" s="496">
        <v>3.5</v>
      </c>
      <c r="V44" s="857">
        <f t="shared" ref="V44:V45" si="18">T44*U44</f>
        <v>3.5</v>
      </c>
      <c r="W44" s="496">
        <v>1</v>
      </c>
      <c r="X44" s="496">
        <v>3.5</v>
      </c>
      <c r="Y44" s="857">
        <f t="shared" ref="Y44:Y45" si="19">W44*X44</f>
        <v>3.5</v>
      </c>
      <c r="Z44" s="559">
        <f t="shared" si="1"/>
        <v>3.5</v>
      </c>
      <c r="AA44" s="559" t="str">
        <f t="shared" si="2"/>
        <v>-</v>
      </c>
      <c r="AB44" s="1863" t="s">
        <v>1758</v>
      </c>
      <c r="AC44" s="491" t="s">
        <v>1665</v>
      </c>
      <c r="AF44" s="466"/>
      <c r="AG44" s="465"/>
      <c r="AH44" s="465"/>
    </row>
    <row r="45" spans="1:34" s="498" customFormat="1" ht="34.5" hidden="1" customHeight="1" x14ac:dyDescent="0.25">
      <c r="A45" s="962"/>
      <c r="B45" s="1855" t="s">
        <v>1759</v>
      </c>
      <c r="C45" s="499"/>
      <c r="D45" s="962"/>
      <c r="E45" s="541" t="s">
        <v>318</v>
      </c>
      <c r="F45" s="494"/>
      <c r="G45" s="495"/>
      <c r="H45" s="559"/>
      <c r="I45" s="496"/>
      <c r="J45" s="496"/>
      <c r="K45" s="857"/>
      <c r="L45" s="496"/>
      <c r="M45" s="496"/>
      <c r="N45" s="857"/>
      <c r="O45" s="496">
        <v>1</v>
      </c>
      <c r="P45" s="496">
        <v>3.5</v>
      </c>
      <c r="Q45" s="857">
        <f t="shared" si="13"/>
        <v>3.5</v>
      </c>
      <c r="R45" s="857">
        <f>Q45</f>
        <v>3.5</v>
      </c>
      <c r="S45" s="857"/>
      <c r="T45" s="496">
        <v>1</v>
      </c>
      <c r="U45" s="496">
        <v>3.5</v>
      </c>
      <c r="V45" s="857">
        <f t="shared" si="18"/>
        <v>3.5</v>
      </c>
      <c r="W45" s="496">
        <v>1</v>
      </c>
      <c r="X45" s="496">
        <v>3.5</v>
      </c>
      <c r="Y45" s="857">
        <f t="shared" si="19"/>
        <v>3.5</v>
      </c>
      <c r="Z45" s="559">
        <f t="shared" si="1"/>
        <v>3.5</v>
      </c>
      <c r="AA45" s="559" t="str">
        <f t="shared" si="2"/>
        <v>-</v>
      </c>
      <c r="AB45" s="1863" t="s">
        <v>1760</v>
      </c>
      <c r="AC45" s="491" t="s">
        <v>1665</v>
      </c>
      <c r="AF45" s="466"/>
      <c r="AG45" s="465"/>
      <c r="AH45" s="465"/>
    </row>
    <row r="46" spans="1:34" s="498" customFormat="1" ht="25.5" hidden="1" x14ac:dyDescent="0.25">
      <c r="A46" s="962"/>
      <c r="B46" s="1855" t="s">
        <v>1761</v>
      </c>
      <c r="C46" s="499"/>
      <c r="D46" s="962"/>
      <c r="E46" s="541" t="s">
        <v>1762</v>
      </c>
      <c r="F46" s="494"/>
      <c r="G46" s="495"/>
      <c r="H46" s="559"/>
      <c r="I46" s="496"/>
      <c r="J46" s="496"/>
      <c r="K46" s="857"/>
      <c r="L46" s="496"/>
      <c r="M46" s="496"/>
      <c r="N46" s="857"/>
      <c r="O46" s="496">
        <v>2</v>
      </c>
      <c r="P46" s="496">
        <v>2.2999999999999998</v>
      </c>
      <c r="Q46" s="857">
        <f t="shared" si="13"/>
        <v>4.5999999999999996</v>
      </c>
      <c r="R46" s="857"/>
      <c r="S46" s="857">
        <f>Q46</f>
        <v>4.5999999999999996</v>
      </c>
      <c r="T46" s="496">
        <v>2</v>
      </c>
      <c r="U46" s="496">
        <v>2.2999999999999998</v>
      </c>
      <c r="V46" s="857">
        <f>T46*U46</f>
        <v>4.5999999999999996</v>
      </c>
      <c r="W46" s="496">
        <v>2</v>
      </c>
      <c r="X46" s="496">
        <v>2.2999999999999998</v>
      </c>
      <c r="Y46" s="857">
        <f>W46*X46</f>
        <v>4.5999999999999996</v>
      </c>
      <c r="Z46" s="559">
        <f t="shared" si="1"/>
        <v>4.5999999999999996</v>
      </c>
      <c r="AA46" s="559" t="str">
        <f t="shared" si="2"/>
        <v>-</v>
      </c>
      <c r="AB46" s="1863" t="s">
        <v>1763</v>
      </c>
      <c r="AC46" s="491" t="s">
        <v>1665</v>
      </c>
      <c r="AF46" s="466"/>
      <c r="AG46" s="465"/>
      <c r="AH46" s="465"/>
    </row>
    <row r="47" spans="1:34" s="498" customFormat="1" ht="77.25" hidden="1" x14ac:dyDescent="0.25">
      <c r="A47" s="962"/>
      <c r="B47" s="551" t="s">
        <v>1764</v>
      </c>
      <c r="C47" s="499"/>
      <c r="D47" s="962"/>
      <c r="E47" s="541" t="s">
        <v>318</v>
      </c>
      <c r="F47" s="494"/>
      <c r="G47" s="495"/>
      <c r="H47" s="559"/>
      <c r="I47" s="496"/>
      <c r="J47" s="496"/>
      <c r="K47" s="857"/>
      <c r="L47" s="496"/>
      <c r="M47" s="496"/>
      <c r="N47" s="857"/>
      <c r="O47" s="1864">
        <v>1</v>
      </c>
      <c r="P47" s="1864">
        <v>4</v>
      </c>
      <c r="Q47" s="857">
        <f t="shared" si="13"/>
        <v>4</v>
      </c>
      <c r="R47" s="857">
        <f>Q47</f>
        <v>4</v>
      </c>
      <c r="S47" s="857"/>
      <c r="T47" s="1864">
        <v>1</v>
      </c>
      <c r="U47" s="1864">
        <v>4</v>
      </c>
      <c r="V47" s="1865">
        <f>U47*T47</f>
        <v>4</v>
      </c>
      <c r="W47" s="1864">
        <v>1</v>
      </c>
      <c r="X47" s="1864">
        <v>4</v>
      </c>
      <c r="Y47" s="1865">
        <f>X47*W47</f>
        <v>4</v>
      </c>
      <c r="Z47" s="559">
        <f t="shared" si="1"/>
        <v>4</v>
      </c>
      <c r="AA47" s="559" t="str">
        <f t="shared" si="2"/>
        <v>-</v>
      </c>
      <c r="AB47" s="893" t="s">
        <v>1765</v>
      </c>
      <c r="AC47" s="491" t="s">
        <v>1665</v>
      </c>
      <c r="AF47" s="466"/>
      <c r="AG47" s="465"/>
      <c r="AH47" s="465"/>
    </row>
    <row r="48" spans="1:34" s="498" customFormat="1" hidden="1" x14ac:dyDescent="0.25">
      <c r="A48" s="962"/>
      <c r="B48" s="881" t="s">
        <v>1766</v>
      </c>
      <c r="C48" s="503"/>
      <c r="D48" s="962"/>
      <c r="E48" s="962" t="s">
        <v>318</v>
      </c>
      <c r="F48" s="494">
        <v>1</v>
      </c>
      <c r="G48" s="495">
        <v>2</v>
      </c>
      <c r="H48" s="559">
        <f>F48*G48</f>
        <v>2</v>
      </c>
      <c r="I48" s="496">
        <v>1</v>
      </c>
      <c r="J48" s="496">
        <v>2</v>
      </c>
      <c r="K48" s="857">
        <f t="shared" si="14"/>
        <v>2</v>
      </c>
      <c r="L48" s="496">
        <v>1</v>
      </c>
      <c r="M48" s="496">
        <v>2</v>
      </c>
      <c r="N48" s="857">
        <f t="shared" si="15"/>
        <v>2</v>
      </c>
      <c r="O48" s="496"/>
      <c r="P48" s="496"/>
      <c r="Q48" s="857"/>
      <c r="R48" s="857"/>
      <c r="S48" s="857">
        <f t="shared" si="17"/>
        <v>0</v>
      </c>
      <c r="T48" s="496"/>
      <c r="U48" s="496"/>
      <c r="V48" s="857">
        <f>T48*U48</f>
        <v>0</v>
      </c>
      <c r="W48" s="496"/>
      <c r="X48" s="496"/>
      <c r="Y48" s="857">
        <f>W48*X48</f>
        <v>0</v>
      </c>
      <c r="Z48" s="559">
        <f t="shared" si="1"/>
        <v>-2</v>
      </c>
      <c r="AA48" s="559">
        <f t="shared" si="2"/>
        <v>0</v>
      </c>
      <c r="AB48" s="893"/>
      <c r="AC48" s="491" t="s">
        <v>1665</v>
      </c>
      <c r="AF48" s="466"/>
      <c r="AG48" s="465"/>
      <c r="AH48" s="465"/>
    </row>
    <row r="49" spans="1:34" s="498" customFormat="1" hidden="1" x14ac:dyDescent="0.25">
      <c r="A49" s="962"/>
      <c r="B49" s="881" t="s">
        <v>1729</v>
      </c>
      <c r="C49" s="503"/>
      <c r="D49" s="962"/>
      <c r="E49" s="962"/>
      <c r="F49" s="494"/>
      <c r="G49" s="495"/>
      <c r="H49" s="559">
        <f>SUM(H41:H48)*0.271</f>
        <v>5.6</v>
      </c>
      <c r="I49" s="496"/>
      <c r="J49" s="496"/>
      <c r="K49" s="857">
        <f>SUM(K41:K48)*0.271</f>
        <v>5.5</v>
      </c>
      <c r="L49" s="496"/>
      <c r="M49" s="496"/>
      <c r="N49" s="857">
        <f>SUM(N41:N48)*0.271</f>
        <v>5.5</v>
      </c>
      <c r="O49" s="496"/>
      <c r="P49" s="496"/>
      <c r="Q49" s="857">
        <f>SUM(Q41:Q48)*0.271</f>
        <v>10.199999999999999</v>
      </c>
      <c r="R49" s="857">
        <f t="shared" ref="R49:S49" si="20">SUM(R41:R48)*0.271</f>
        <v>7.9</v>
      </c>
      <c r="S49" s="857">
        <f t="shared" si="20"/>
        <v>2.2000000000000002</v>
      </c>
      <c r="T49" s="496"/>
      <c r="U49" s="496"/>
      <c r="V49" s="857">
        <f>SUM(V41:V48)*0.271</f>
        <v>9.1999999999999993</v>
      </c>
      <c r="W49" s="496"/>
      <c r="X49" s="496"/>
      <c r="Y49" s="857">
        <f>SUM(Y41:Y48)*0.271</f>
        <v>9.1999999999999993</v>
      </c>
      <c r="Z49" s="559">
        <f t="shared" si="1"/>
        <v>4.7</v>
      </c>
      <c r="AA49" s="559">
        <f t="shared" si="2"/>
        <v>185.5</v>
      </c>
      <c r="AB49" s="551"/>
      <c r="AC49" s="491" t="s">
        <v>1665</v>
      </c>
      <c r="AF49" s="466"/>
      <c r="AG49" s="465"/>
      <c r="AH49" s="465"/>
    </row>
    <row r="50" spans="1:34" s="492" customFormat="1" ht="14.25" hidden="1" x14ac:dyDescent="0.2">
      <c r="A50" s="1771"/>
      <c r="B50" s="876" t="s">
        <v>1767</v>
      </c>
      <c r="C50" s="501" t="s">
        <v>796</v>
      </c>
      <c r="D50" s="1771"/>
      <c r="E50" s="1771" t="s">
        <v>227</v>
      </c>
      <c r="F50" s="530">
        <v>50</v>
      </c>
      <c r="G50" s="531">
        <v>0.05</v>
      </c>
      <c r="H50" s="542">
        <f>F50*G50</f>
        <v>2.5</v>
      </c>
      <c r="I50" s="532">
        <v>50</v>
      </c>
      <c r="J50" s="532">
        <v>0.1</v>
      </c>
      <c r="K50" s="533">
        <f>I50*J50</f>
        <v>5</v>
      </c>
      <c r="L50" s="532">
        <v>50</v>
      </c>
      <c r="M50" s="532">
        <v>0.1</v>
      </c>
      <c r="N50" s="533">
        <f>L50*M50</f>
        <v>5</v>
      </c>
      <c r="O50" s="532">
        <v>25</v>
      </c>
      <c r="P50" s="532">
        <v>0.1</v>
      </c>
      <c r="Q50" s="533">
        <f>O50*P50</f>
        <v>2.5</v>
      </c>
      <c r="R50" s="533">
        <f>Q50</f>
        <v>2.5</v>
      </c>
      <c r="S50" s="533"/>
      <c r="T50" s="532"/>
      <c r="U50" s="532"/>
      <c r="V50" s="533"/>
      <c r="W50" s="532"/>
      <c r="X50" s="532"/>
      <c r="Y50" s="533"/>
      <c r="Z50" s="542">
        <f t="shared" si="1"/>
        <v>-2.5</v>
      </c>
      <c r="AA50" s="542">
        <f t="shared" si="2"/>
        <v>50</v>
      </c>
      <c r="AB50" s="893"/>
      <c r="AC50" s="491" t="s">
        <v>1665</v>
      </c>
      <c r="AF50" s="466"/>
      <c r="AG50" s="466"/>
      <c r="AH50" s="466"/>
    </row>
    <row r="51" spans="1:34" s="492" customFormat="1" ht="14.25" x14ac:dyDescent="0.2">
      <c r="A51" s="1771"/>
      <c r="B51" s="876" t="s">
        <v>1768</v>
      </c>
      <c r="C51" s="501" t="s">
        <v>797</v>
      </c>
      <c r="D51" s="1771"/>
      <c r="E51" s="1771"/>
      <c r="F51" s="530"/>
      <c r="G51" s="531"/>
      <c r="H51" s="493">
        <f>H52+H53</f>
        <v>7.8</v>
      </c>
      <c r="I51" s="532"/>
      <c r="J51" s="532"/>
      <c r="K51" s="532">
        <f>K52+K53</f>
        <v>1</v>
      </c>
      <c r="L51" s="532"/>
      <c r="M51" s="532"/>
      <c r="N51" s="532">
        <f>N52+N53</f>
        <v>1</v>
      </c>
      <c r="O51" s="532"/>
      <c r="P51" s="532"/>
      <c r="Q51" s="532">
        <f>SUM(Q52:Q53)</f>
        <v>22</v>
      </c>
      <c r="R51" s="532">
        <f t="shared" ref="R51:S51" si="21">SUM(R52:R53)</f>
        <v>5.4</v>
      </c>
      <c r="S51" s="532">
        <f t="shared" si="21"/>
        <v>16.600000000000001</v>
      </c>
      <c r="T51" s="532"/>
      <c r="U51" s="532"/>
      <c r="V51" s="532"/>
      <c r="W51" s="532"/>
      <c r="X51" s="532"/>
      <c r="Y51" s="532"/>
      <c r="Z51" s="493">
        <f t="shared" si="1"/>
        <v>21</v>
      </c>
      <c r="AA51" s="493">
        <f t="shared" si="2"/>
        <v>2200</v>
      </c>
      <c r="AB51" s="893"/>
      <c r="AC51" s="491" t="s">
        <v>1665</v>
      </c>
      <c r="AF51" s="466"/>
      <c r="AG51" s="466"/>
      <c r="AH51" s="466"/>
    </row>
    <row r="52" spans="1:34" s="498" customFormat="1" ht="51.75" hidden="1" x14ac:dyDescent="0.25">
      <c r="A52" s="962"/>
      <c r="B52" s="502" t="s">
        <v>1769</v>
      </c>
      <c r="C52" s="503"/>
      <c r="D52" s="962"/>
      <c r="E52" s="962" t="s">
        <v>227</v>
      </c>
      <c r="F52" s="494">
        <v>20</v>
      </c>
      <c r="G52" s="495">
        <v>0.1</v>
      </c>
      <c r="H52" s="1770">
        <f>F52*G52</f>
        <v>2</v>
      </c>
      <c r="I52" s="496">
        <v>10</v>
      </c>
      <c r="J52" s="883">
        <v>0.1</v>
      </c>
      <c r="K52" s="496">
        <f>I52*J52</f>
        <v>1</v>
      </c>
      <c r="L52" s="496">
        <v>10</v>
      </c>
      <c r="M52" s="883">
        <v>0.1</v>
      </c>
      <c r="N52" s="496">
        <f>L52*M52</f>
        <v>1</v>
      </c>
      <c r="O52" s="496">
        <v>20</v>
      </c>
      <c r="P52" s="496">
        <v>0.1</v>
      </c>
      <c r="Q52" s="496">
        <f>O52*P52</f>
        <v>2</v>
      </c>
      <c r="R52" s="496"/>
      <c r="S52" s="496">
        <f>Q52</f>
        <v>2</v>
      </c>
      <c r="T52" s="496">
        <v>20</v>
      </c>
      <c r="U52" s="496">
        <v>0.1</v>
      </c>
      <c r="V52" s="496">
        <f>T52*U52</f>
        <v>2</v>
      </c>
      <c r="W52" s="496">
        <v>20</v>
      </c>
      <c r="X52" s="496">
        <v>0.1</v>
      </c>
      <c r="Y52" s="496">
        <f>W52*X52</f>
        <v>2</v>
      </c>
      <c r="Z52" s="1770">
        <f t="shared" si="1"/>
        <v>1</v>
      </c>
      <c r="AA52" s="1770">
        <f t="shared" si="2"/>
        <v>200</v>
      </c>
      <c r="AB52" s="893" t="s">
        <v>1770</v>
      </c>
      <c r="AC52" s="491" t="s">
        <v>1665</v>
      </c>
      <c r="AF52" s="466"/>
      <c r="AG52" s="465"/>
      <c r="AH52" s="465"/>
    </row>
    <row r="53" spans="1:34" s="498" customFormat="1" ht="26.25" hidden="1" x14ac:dyDescent="0.25">
      <c r="A53" s="962"/>
      <c r="B53" s="881" t="s">
        <v>1771</v>
      </c>
      <c r="C53" s="503"/>
      <c r="D53" s="962"/>
      <c r="E53" s="962" t="s">
        <v>227</v>
      </c>
      <c r="F53" s="494">
        <v>58</v>
      </c>
      <c r="G53" s="495">
        <v>0.1</v>
      </c>
      <c r="H53" s="559">
        <f>F53*G53</f>
        <v>5.8</v>
      </c>
      <c r="I53" s="496"/>
      <c r="J53" s="496"/>
      <c r="K53" s="496">
        <f>I53*J53</f>
        <v>0</v>
      </c>
      <c r="L53" s="496"/>
      <c r="M53" s="496"/>
      <c r="N53" s="496">
        <f>L53*M53</f>
        <v>0</v>
      </c>
      <c r="O53" s="496">
        <v>100</v>
      </c>
      <c r="P53" s="496">
        <v>0.2</v>
      </c>
      <c r="Q53" s="496">
        <f>O53*P53</f>
        <v>20</v>
      </c>
      <c r="R53" s="496">
        <v>5.4</v>
      </c>
      <c r="S53" s="496">
        <f>Q53-R53</f>
        <v>14.6</v>
      </c>
      <c r="T53" s="496">
        <v>100</v>
      </c>
      <c r="U53" s="496">
        <v>0.2</v>
      </c>
      <c r="V53" s="496">
        <f>T53*U53</f>
        <v>20</v>
      </c>
      <c r="W53" s="496">
        <v>100</v>
      </c>
      <c r="X53" s="496">
        <v>0.2</v>
      </c>
      <c r="Y53" s="496">
        <f>W53*X53</f>
        <v>20</v>
      </c>
      <c r="Z53" s="559">
        <f t="shared" si="1"/>
        <v>20</v>
      </c>
      <c r="AA53" s="559" t="str">
        <f t="shared" si="2"/>
        <v>-</v>
      </c>
      <c r="AB53" s="893" t="s">
        <v>1772</v>
      </c>
      <c r="AC53" s="491" t="s">
        <v>1665</v>
      </c>
      <c r="AF53" s="466"/>
      <c r="AG53" s="465"/>
      <c r="AH53" s="465"/>
    </row>
    <row r="54" spans="1:34" s="492" customFormat="1" ht="14.25" hidden="1" x14ac:dyDescent="0.2">
      <c r="A54" s="1771"/>
      <c r="B54" s="876" t="s">
        <v>1246</v>
      </c>
      <c r="C54" s="501" t="s">
        <v>1237</v>
      </c>
      <c r="D54" s="1771"/>
      <c r="E54" s="1771" t="s">
        <v>664</v>
      </c>
      <c r="F54" s="530">
        <v>3</v>
      </c>
      <c r="G54" s="531">
        <v>2.5</v>
      </c>
      <c r="H54" s="542">
        <f>F54*G54</f>
        <v>7.5</v>
      </c>
      <c r="I54" s="532">
        <v>3</v>
      </c>
      <c r="J54" s="532">
        <v>2.5</v>
      </c>
      <c r="K54" s="533">
        <f>I54*J54</f>
        <v>7.5</v>
      </c>
      <c r="L54" s="532">
        <v>3</v>
      </c>
      <c r="M54" s="532">
        <v>2.5</v>
      </c>
      <c r="N54" s="533">
        <f>L54*M54</f>
        <v>7.5</v>
      </c>
      <c r="O54" s="532">
        <v>3</v>
      </c>
      <c r="P54" s="532">
        <v>2.5</v>
      </c>
      <c r="Q54" s="533">
        <f>O54*P54</f>
        <v>7.5</v>
      </c>
      <c r="R54" s="533"/>
      <c r="S54" s="533">
        <f>Q54</f>
        <v>7.5</v>
      </c>
      <c r="T54" s="532"/>
      <c r="U54" s="532"/>
      <c r="V54" s="533"/>
      <c r="W54" s="532"/>
      <c r="X54" s="532"/>
      <c r="Y54" s="533"/>
      <c r="Z54" s="542">
        <f t="shared" si="1"/>
        <v>0</v>
      </c>
      <c r="AA54" s="542">
        <f t="shared" si="2"/>
        <v>100</v>
      </c>
      <c r="AB54" s="893"/>
      <c r="AC54" s="491" t="s">
        <v>1665</v>
      </c>
      <c r="AF54" s="466"/>
      <c r="AG54" s="466"/>
      <c r="AH54" s="466"/>
    </row>
    <row r="55" spans="1:34" s="492" customFormat="1" ht="14.25" x14ac:dyDescent="0.2">
      <c r="A55" s="1771"/>
      <c r="B55" s="876" t="s">
        <v>1773</v>
      </c>
      <c r="C55" s="501" t="s">
        <v>797</v>
      </c>
      <c r="D55" s="1771"/>
      <c r="E55" s="1771" t="s">
        <v>227</v>
      </c>
      <c r="F55" s="1829">
        <v>100</v>
      </c>
      <c r="G55" s="1830">
        <v>0.06</v>
      </c>
      <c r="H55" s="542">
        <f>F55*G55</f>
        <v>6</v>
      </c>
      <c r="I55" s="1831">
        <v>60</v>
      </c>
      <c r="J55" s="1831">
        <v>0.1</v>
      </c>
      <c r="K55" s="533">
        <f>I55*J55</f>
        <v>6</v>
      </c>
      <c r="L55" s="1831">
        <v>60</v>
      </c>
      <c r="M55" s="1831">
        <v>0.1</v>
      </c>
      <c r="N55" s="533">
        <f>L55*M55</f>
        <v>6</v>
      </c>
      <c r="O55" s="1831">
        <v>60</v>
      </c>
      <c r="P55" s="1831">
        <v>0.1</v>
      </c>
      <c r="Q55" s="533">
        <f>O55*P55</f>
        <v>6</v>
      </c>
      <c r="R55" s="533"/>
      <c r="S55" s="533">
        <f>Q55</f>
        <v>6</v>
      </c>
      <c r="T55" s="1831"/>
      <c r="U55" s="1831"/>
      <c r="V55" s="533"/>
      <c r="W55" s="1831"/>
      <c r="X55" s="1831"/>
      <c r="Y55" s="533"/>
      <c r="Z55" s="542">
        <f t="shared" si="1"/>
        <v>0</v>
      </c>
      <c r="AA55" s="542">
        <f t="shared" si="2"/>
        <v>100</v>
      </c>
      <c r="AB55" s="893"/>
      <c r="AC55" s="491" t="s">
        <v>1665</v>
      </c>
      <c r="AF55" s="466"/>
      <c r="AG55" s="466"/>
      <c r="AH55" s="466"/>
    </row>
    <row r="56" spans="1:34" s="492" customFormat="1" ht="14.25" x14ac:dyDescent="0.2">
      <c r="A56" s="1771"/>
      <c r="B56" s="876" t="s">
        <v>1368</v>
      </c>
      <c r="C56" s="501" t="s">
        <v>797</v>
      </c>
      <c r="D56" s="1771"/>
      <c r="E56" s="1771"/>
      <c r="F56" s="1829"/>
      <c r="G56" s="1830"/>
      <c r="H56" s="493">
        <f>SUM(H57:H60)</f>
        <v>10</v>
      </c>
      <c r="I56" s="1831"/>
      <c r="J56" s="1831"/>
      <c r="K56" s="532">
        <f>SUM(K57:K60)</f>
        <v>12.4</v>
      </c>
      <c r="L56" s="1831"/>
      <c r="M56" s="1831"/>
      <c r="N56" s="532">
        <f>SUM(N57:N60)</f>
        <v>12.4</v>
      </c>
      <c r="O56" s="1831"/>
      <c r="P56" s="1831"/>
      <c r="Q56" s="532">
        <f>SUM(Q57:Q60)</f>
        <v>21.4</v>
      </c>
      <c r="R56" s="532">
        <f t="shared" ref="R56:S56" si="22">SUM(R57:R60)</f>
        <v>11.4</v>
      </c>
      <c r="S56" s="532">
        <f t="shared" si="22"/>
        <v>10</v>
      </c>
      <c r="T56" s="1831"/>
      <c r="U56" s="1831"/>
      <c r="V56" s="532"/>
      <c r="W56" s="1831"/>
      <c r="X56" s="1831"/>
      <c r="Y56" s="532"/>
      <c r="Z56" s="493">
        <f t="shared" si="1"/>
        <v>9</v>
      </c>
      <c r="AA56" s="493">
        <f t="shared" si="2"/>
        <v>172.6</v>
      </c>
      <c r="AB56" s="893"/>
      <c r="AC56" s="491" t="s">
        <v>1665</v>
      </c>
      <c r="AF56" s="466"/>
      <c r="AG56" s="466"/>
      <c r="AH56" s="466"/>
    </row>
    <row r="57" spans="1:34" s="498" customFormat="1" hidden="1" x14ac:dyDescent="0.25">
      <c r="A57" s="962"/>
      <c r="B57" s="878" t="s">
        <v>1774</v>
      </c>
      <c r="C57" s="499"/>
      <c r="D57" s="962"/>
      <c r="E57" s="541" t="s">
        <v>227</v>
      </c>
      <c r="F57" s="494">
        <v>100</v>
      </c>
      <c r="G57" s="495">
        <v>0.02</v>
      </c>
      <c r="H57" s="1770">
        <f>F57*G57</f>
        <v>2</v>
      </c>
      <c r="I57" s="496">
        <v>10</v>
      </c>
      <c r="J57" s="496">
        <v>0.1</v>
      </c>
      <c r="K57" s="496">
        <f>I57*J57</f>
        <v>1</v>
      </c>
      <c r="L57" s="496">
        <v>10</v>
      </c>
      <c r="M57" s="496">
        <v>0.1</v>
      </c>
      <c r="N57" s="496">
        <f>L57*M57</f>
        <v>1</v>
      </c>
      <c r="O57" s="496"/>
      <c r="P57" s="496"/>
      <c r="Q57" s="496"/>
      <c r="R57" s="496"/>
      <c r="S57" s="496"/>
      <c r="T57" s="496"/>
      <c r="U57" s="496"/>
      <c r="V57" s="496">
        <f>T57*U57</f>
        <v>0</v>
      </c>
      <c r="W57" s="496"/>
      <c r="X57" s="496"/>
      <c r="Y57" s="496">
        <f>W57*X57</f>
        <v>0</v>
      </c>
      <c r="Z57" s="1770">
        <f t="shared" si="1"/>
        <v>-1</v>
      </c>
      <c r="AA57" s="1770">
        <f t="shared" si="2"/>
        <v>0</v>
      </c>
      <c r="AB57" s="893"/>
      <c r="AC57" s="491" t="s">
        <v>1665</v>
      </c>
      <c r="AF57" s="466"/>
      <c r="AG57" s="465"/>
      <c r="AH57" s="465"/>
    </row>
    <row r="58" spans="1:34" s="498" customFormat="1" ht="25.5" hidden="1" x14ac:dyDescent="0.25">
      <c r="A58" s="962"/>
      <c r="B58" s="878" t="s">
        <v>1775</v>
      </c>
      <c r="C58" s="499"/>
      <c r="D58" s="962"/>
      <c r="E58" s="541" t="s">
        <v>227</v>
      </c>
      <c r="F58" s="494"/>
      <c r="G58" s="495"/>
      <c r="H58" s="1770"/>
      <c r="I58" s="496">
        <v>3</v>
      </c>
      <c r="J58" s="496">
        <v>3.8</v>
      </c>
      <c r="K58" s="496">
        <f>I58*J58</f>
        <v>11.4</v>
      </c>
      <c r="L58" s="496">
        <v>3</v>
      </c>
      <c r="M58" s="496">
        <v>3.8</v>
      </c>
      <c r="N58" s="496">
        <f>L58*M58</f>
        <v>11.4</v>
      </c>
      <c r="O58" s="496">
        <v>3</v>
      </c>
      <c r="P58" s="496">
        <v>3.8</v>
      </c>
      <c r="Q58" s="496">
        <f>O58*P58</f>
        <v>11.4</v>
      </c>
      <c r="R58" s="496">
        <f>Q58</f>
        <v>11.4</v>
      </c>
      <c r="S58" s="496"/>
      <c r="T58" s="496"/>
      <c r="U58" s="496"/>
      <c r="V58" s="496"/>
      <c r="W58" s="496"/>
      <c r="X58" s="496"/>
      <c r="Y58" s="496"/>
      <c r="Z58" s="1770">
        <f t="shared" si="1"/>
        <v>0</v>
      </c>
      <c r="AA58" s="1770">
        <f t="shared" si="2"/>
        <v>100</v>
      </c>
      <c r="AB58" s="1031" t="s">
        <v>1776</v>
      </c>
      <c r="AC58" s="491" t="s">
        <v>1665</v>
      </c>
      <c r="AF58" s="466"/>
      <c r="AG58" s="465"/>
      <c r="AH58" s="465"/>
    </row>
    <row r="59" spans="1:34" s="498" customFormat="1" hidden="1" x14ac:dyDescent="0.25">
      <c r="A59" s="962"/>
      <c r="B59" s="878" t="s">
        <v>1777</v>
      </c>
      <c r="C59" s="499"/>
      <c r="D59" s="962"/>
      <c r="E59" s="541" t="s">
        <v>227</v>
      </c>
      <c r="F59" s="494"/>
      <c r="G59" s="495"/>
      <c r="H59" s="1770"/>
      <c r="I59" s="496"/>
      <c r="J59" s="496"/>
      <c r="K59" s="496"/>
      <c r="L59" s="496"/>
      <c r="M59" s="496"/>
      <c r="N59" s="496"/>
      <c r="O59" s="496">
        <v>10</v>
      </c>
      <c r="P59" s="496">
        <v>0.5</v>
      </c>
      <c r="Q59" s="496">
        <f>O59*P59</f>
        <v>5</v>
      </c>
      <c r="R59" s="496"/>
      <c r="S59" s="496">
        <f>Q59</f>
        <v>5</v>
      </c>
      <c r="T59" s="496"/>
      <c r="U59" s="496"/>
      <c r="V59" s="496"/>
      <c r="W59" s="496"/>
      <c r="X59" s="496"/>
      <c r="Y59" s="496"/>
      <c r="Z59" s="1770">
        <f t="shared" si="1"/>
        <v>5</v>
      </c>
      <c r="AA59" s="1770" t="str">
        <f t="shared" si="2"/>
        <v>-</v>
      </c>
      <c r="AB59" s="1031"/>
      <c r="AC59" s="491" t="s">
        <v>1665</v>
      </c>
      <c r="AF59" s="466"/>
      <c r="AG59" s="465"/>
      <c r="AH59" s="465"/>
    </row>
    <row r="60" spans="1:34" s="498" customFormat="1" hidden="1" x14ac:dyDescent="0.25">
      <c r="A60" s="962"/>
      <c r="B60" s="878" t="s">
        <v>1778</v>
      </c>
      <c r="C60" s="499"/>
      <c r="D60" s="962"/>
      <c r="E60" s="962" t="s">
        <v>227</v>
      </c>
      <c r="F60" s="494">
        <v>1</v>
      </c>
      <c r="G60" s="495">
        <v>8</v>
      </c>
      <c r="H60" s="1770">
        <v>8</v>
      </c>
      <c r="I60" s="496"/>
      <c r="J60" s="496"/>
      <c r="K60" s="496">
        <v>0</v>
      </c>
      <c r="L60" s="496"/>
      <c r="M60" s="496"/>
      <c r="N60" s="496">
        <v>0</v>
      </c>
      <c r="O60" s="496">
        <v>2</v>
      </c>
      <c r="P60" s="496">
        <v>2.5</v>
      </c>
      <c r="Q60" s="496">
        <f>O60*P60</f>
        <v>5</v>
      </c>
      <c r="R60" s="496"/>
      <c r="S60" s="496">
        <f>Q60-R60</f>
        <v>5</v>
      </c>
      <c r="T60" s="496"/>
      <c r="U60" s="496"/>
      <c r="V60" s="496">
        <f>T60*U60</f>
        <v>0</v>
      </c>
      <c r="W60" s="496"/>
      <c r="X60" s="496"/>
      <c r="Y60" s="496">
        <f>W60*X60</f>
        <v>0</v>
      </c>
      <c r="Z60" s="1770">
        <f t="shared" si="1"/>
        <v>5</v>
      </c>
      <c r="AA60" s="1770" t="str">
        <f t="shared" si="2"/>
        <v>-</v>
      </c>
      <c r="AB60" s="893"/>
      <c r="AC60" s="491" t="s">
        <v>1665</v>
      </c>
      <c r="AF60" s="466"/>
      <c r="AG60" s="465"/>
      <c r="AH60" s="465"/>
    </row>
    <row r="61" spans="1:34" s="498" customFormat="1" ht="51.75" x14ac:dyDescent="0.25">
      <c r="A61" s="962"/>
      <c r="B61" s="877" t="s">
        <v>1779</v>
      </c>
      <c r="C61" s="508" t="s">
        <v>797</v>
      </c>
      <c r="D61" s="962"/>
      <c r="E61" s="962"/>
      <c r="F61" s="494"/>
      <c r="G61" s="495"/>
      <c r="H61" s="1770"/>
      <c r="I61" s="496"/>
      <c r="J61" s="496"/>
      <c r="K61" s="496"/>
      <c r="L61" s="496"/>
      <c r="M61" s="496"/>
      <c r="N61" s="496"/>
      <c r="O61" s="496"/>
      <c r="P61" s="496"/>
      <c r="Q61" s="532">
        <v>6</v>
      </c>
      <c r="R61" s="532"/>
      <c r="S61" s="532">
        <f>Q61</f>
        <v>6</v>
      </c>
      <c r="T61" s="496"/>
      <c r="U61" s="496"/>
      <c r="V61" s="496"/>
      <c r="W61" s="496"/>
      <c r="X61" s="496"/>
      <c r="Y61" s="496"/>
      <c r="Z61" s="1770">
        <f t="shared" si="1"/>
        <v>6</v>
      </c>
      <c r="AA61" s="1770" t="str">
        <f t="shared" si="2"/>
        <v>-</v>
      </c>
      <c r="AB61" s="893" t="s">
        <v>1780</v>
      </c>
      <c r="AC61" s="491" t="s">
        <v>1665</v>
      </c>
      <c r="AF61" s="466"/>
      <c r="AG61" s="465"/>
      <c r="AH61" s="465"/>
    </row>
    <row r="62" spans="1:34" s="498" customFormat="1" ht="26.25" hidden="1" x14ac:dyDescent="0.25">
      <c r="A62" s="962"/>
      <c r="B62" s="877" t="s">
        <v>1370</v>
      </c>
      <c r="C62" s="508" t="s">
        <v>800</v>
      </c>
      <c r="D62" s="962"/>
      <c r="E62" s="962"/>
      <c r="F62" s="494"/>
      <c r="G62" s="495"/>
      <c r="H62" s="1770"/>
      <c r="I62" s="496"/>
      <c r="J62" s="496"/>
      <c r="K62" s="496"/>
      <c r="L62" s="496"/>
      <c r="M62" s="496"/>
      <c r="N62" s="496"/>
      <c r="O62" s="496"/>
      <c r="P62" s="496"/>
      <c r="Q62" s="532">
        <v>56.5</v>
      </c>
      <c r="R62" s="532"/>
      <c r="S62" s="532">
        <f>Q62</f>
        <v>56.5</v>
      </c>
      <c r="T62" s="496"/>
      <c r="U62" s="496"/>
      <c r="V62" s="532">
        <f>SUM(V66:V69)</f>
        <v>0</v>
      </c>
      <c r="W62" s="496"/>
      <c r="X62" s="496"/>
      <c r="Y62" s="532">
        <f>SUM(Y66:Y69)</f>
        <v>0</v>
      </c>
      <c r="Z62" s="1770">
        <f t="shared" si="1"/>
        <v>56.5</v>
      </c>
      <c r="AA62" s="1770" t="str">
        <f t="shared" si="2"/>
        <v>-</v>
      </c>
      <c r="AB62" s="893" t="s">
        <v>1781</v>
      </c>
      <c r="AC62" s="491" t="s">
        <v>1665</v>
      </c>
      <c r="AF62" s="466"/>
      <c r="AG62" s="465"/>
      <c r="AH62" s="465"/>
    </row>
    <row r="63" spans="1:34" s="498" customFormat="1" ht="51" hidden="1" x14ac:dyDescent="0.25">
      <c r="A63" s="962"/>
      <c r="B63" s="878" t="s">
        <v>1782</v>
      </c>
      <c r="C63" s="499"/>
      <c r="D63" s="962"/>
      <c r="E63" s="541" t="s">
        <v>227</v>
      </c>
      <c r="F63" s="494"/>
      <c r="G63" s="495"/>
      <c r="H63" s="1770"/>
      <c r="I63" s="496"/>
      <c r="J63" s="496"/>
      <c r="K63" s="496"/>
      <c r="L63" s="496"/>
      <c r="M63" s="496"/>
      <c r="N63" s="496"/>
      <c r="O63" s="496">
        <v>2</v>
      </c>
      <c r="P63" s="496">
        <v>3.2</v>
      </c>
      <c r="Q63" s="496">
        <f t="shared" ref="Q63:Q69" si="23">O63*P63</f>
        <v>6.4</v>
      </c>
      <c r="R63" s="496"/>
      <c r="S63" s="496">
        <f>Q63</f>
        <v>6.4</v>
      </c>
      <c r="T63" s="496"/>
      <c r="U63" s="496"/>
      <c r="V63" s="532"/>
      <c r="W63" s="496"/>
      <c r="X63" s="496"/>
      <c r="Y63" s="532"/>
      <c r="Z63" s="1770">
        <f t="shared" si="1"/>
        <v>6.4</v>
      </c>
      <c r="AA63" s="1770" t="str">
        <f t="shared" si="2"/>
        <v>-</v>
      </c>
      <c r="AB63" s="1031" t="s">
        <v>1783</v>
      </c>
      <c r="AC63" s="491" t="s">
        <v>1665</v>
      </c>
      <c r="AF63" s="466"/>
      <c r="AG63" s="465"/>
      <c r="AH63" s="465"/>
    </row>
    <row r="64" spans="1:34" s="498" customFormat="1" hidden="1" x14ac:dyDescent="0.25">
      <c r="A64" s="962"/>
      <c r="B64" s="878" t="s">
        <v>1784</v>
      </c>
      <c r="C64" s="499"/>
      <c r="D64" s="962"/>
      <c r="E64" s="541" t="s">
        <v>227</v>
      </c>
      <c r="F64" s="494"/>
      <c r="G64" s="495"/>
      <c r="H64" s="1770"/>
      <c r="I64" s="496"/>
      <c r="J64" s="496"/>
      <c r="K64" s="496"/>
      <c r="L64" s="496"/>
      <c r="M64" s="496"/>
      <c r="N64" s="496"/>
      <c r="O64" s="496">
        <v>2</v>
      </c>
      <c r="P64" s="496">
        <v>1.9</v>
      </c>
      <c r="Q64" s="496">
        <f t="shared" si="23"/>
        <v>3.8</v>
      </c>
      <c r="R64" s="496"/>
      <c r="S64" s="496">
        <f>Q64</f>
        <v>3.8</v>
      </c>
      <c r="T64" s="496"/>
      <c r="U64" s="496"/>
      <c r="V64" s="532"/>
      <c r="W64" s="496"/>
      <c r="X64" s="496"/>
      <c r="Y64" s="532"/>
      <c r="Z64" s="1770">
        <f t="shared" si="1"/>
        <v>3.8</v>
      </c>
      <c r="AA64" s="1770" t="str">
        <f t="shared" si="2"/>
        <v>-</v>
      </c>
      <c r="AB64" s="1031"/>
      <c r="AC64" s="491" t="s">
        <v>1665</v>
      </c>
      <c r="AF64" s="466"/>
      <c r="AG64" s="465"/>
      <c r="AH64" s="465"/>
    </row>
    <row r="65" spans="1:34" s="498" customFormat="1" ht="51.75" hidden="1" x14ac:dyDescent="0.25">
      <c r="A65" s="962"/>
      <c r="B65" s="878" t="s">
        <v>1785</v>
      </c>
      <c r="C65" s="499"/>
      <c r="D65" s="962"/>
      <c r="E65" s="541" t="s">
        <v>227</v>
      </c>
      <c r="F65" s="494"/>
      <c r="G65" s="495"/>
      <c r="H65" s="1770"/>
      <c r="I65" s="496"/>
      <c r="J65" s="496"/>
      <c r="K65" s="496"/>
      <c r="L65" s="496"/>
      <c r="M65" s="496"/>
      <c r="N65" s="496"/>
      <c r="O65" s="496">
        <v>2</v>
      </c>
      <c r="P65" s="496">
        <v>2</v>
      </c>
      <c r="Q65" s="496">
        <f t="shared" si="23"/>
        <v>4</v>
      </c>
      <c r="R65" s="496"/>
      <c r="S65" s="496">
        <f t="shared" ref="S65:S69" si="24">Q65</f>
        <v>4</v>
      </c>
      <c r="T65" s="496"/>
      <c r="U65" s="496"/>
      <c r="V65" s="532"/>
      <c r="W65" s="496"/>
      <c r="X65" s="496"/>
      <c r="Y65" s="532"/>
      <c r="Z65" s="1770">
        <f t="shared" si="1"/>
        <v>4</v>
      </c>
      <c r="AA65" s="1770" t="str">
        <f t="shared" si="2"/>
        <v>-</v>
      </c>
      <c r="AB65" s="893" t="s">
        <v>1786</v>
      </c>
      <c r="AC65" s="491" t="s">
        <v>1665</v>
      </c>
      <c r="AF65" s="466"/>
      <c r="AG65" s="465"/>
      <c r="AH65" s="465"/>
    </row>
    <row r="66" spans="1:34" s="498" customFormat="1" ht="51.75" hidden="1" x14ac:dyDescent="0.25">
      <c r="A66" s="962"/>
      <c r="B66" s="878" t="s">
        <v>1787</v>
      </c>
      <c r="C66" s="499"/>
      <c r="D66" s="962"/>
      <c r="E66" s="541" t="s">
        <v>227</v>
      </c>
      <c r="F66" s="494"/>
      <c r="G66" s="495"/>
      <c r="H66" s="1770"/>
      <c r="I66" s="496"/>
      <c r="J66" s="496"/>
      <c r="K66" s="496"/>
      <c r="L66" s="496"/>
      <c r="M66" s="496"/>
      <c r="N66" s="496"/>
      <c r="O66" s="496">
        <v>20</v>
      </c>
      <c r="P66" s="496">
        <v>1.3</v>
      </c>
      <c r="Q66" s="496">
        <f t="shared" si="23"/>
        <v>26</v>
      </c>
      <c r="R66" s="496"/>
      <c r="S66" s="496">
        <f t="shared" si="24"/>
        <v>26</v>
      </c>
      <c r="T66" s="496"/>
      <c r="U66" s="496"/>
      <c r="V66" s="496"/>
      <c r="W66" s="496"/>
      <c r="X66" s="496"/>
      <c r="Y66" s="496"/>
      <c r="Z66" s="1770">
        <f t="shared" si="1"/>
        <v>26</v>
      </c>
      <c r="AA66" s="1770" t="str">
        <f t="shared" si="2"/>
        <v>-</v>
      </c>
      <c r="AB66" s="893" t="s">
        <v>1788</v>
      </c>
      <c r="AC66" s="491" t="s">
        <v>1665</v>
      </c>
      <c r="AF66" s="466"/>
      <c r="AG66" s="465"/>
      <c r="AH66" s="465"/>
    </row>
    <row r="67" spans="1:34" s="498" customFormat="1" ht="38.25" hidden="1" x14ac:dyDescent="0.25">
      <c r="A67" s="962"/>
      <c r="B67" s="878" t="s">
        <v>1789</v>
      </c>
      <c r="C67" s="499"/>
      <c r="D67" s="962"/>
      <c r="E67" s="541" t="s">
        <v>227</v>
      </c>
      <c r="F67" s="494"/>
      <c r="G67" s="495"/>
      <c r="H67" s="1770"/>
      <c r="I67" s="496"/>
      <c r="J67" s="496"/>
      <c r="K67" s="496"/>
      <c r="L67" s="496"/>
      <c r="M67" s="496"/>
      <c r="N67" s="496"/>
      <c r="O67" s="496">
        <v>10</v>
      </c>
      <c r="P67" s="496">
        <v>0.5</v>
      </c>
      <c r="Q67" s="496">
        <f t="shared" si="23"/>
        <v>5</v>
      </c>
      <c r="R67" s="496"/>
      <c r="S67" s="496">
        <f t="shared" si="24"/>
        <v>5</v>
      </c>
      <c r="T67" s="496"/>
      <c r="U67" s="496"/>
      <c r="V67" s="496"/>
      <c r="W67" s="496"/>
      <c r="X67" s="496"/>
      <c r="Y67" s="496"/>
      <c r="Z67" s="1770">
        <f t="shared" si="1"/>
        <v>5</v>
      </c>
      <c r="AA67" s="1770" t="str">
        <f t="shared" si="2"/>
        <v>-</v>
      </c>
      <c r="AB67" s="843" t="s">
        <v>1790</v>
      </c>
      <c r="AC67" s="491" t="s">
        <v>1665</v>
      </c>
      <c r="AF67" s="466"/>
      <c r="AG67" s="465"/>
      <c r="AH67" s="465"/>
    </row>
    <row r="68" spans="1:34" s="498" customFormat="1" hidden="1" x14ac:dyDescent="0.25">
      <c r="A68" s="962"/>
      <c r="B68" s="878" t="s">
        <v>1791</v>
      </c>
      <c r="C68" s="499"/>
      <c r="D68" s="962"/>
      <c r="E68" s="541" t="s">
        <v>227</v>
      </c>
      <c r="F68" s="494"/>
      <c r="G68" s="495"/>
      <c r="H68" s="1770"/>
      <c r="I68" s="496"/>
      <c r="J68" s="496"/>
      <c r="K68" s="496"/>
      <c r="L68" s="496"/>
      <c r="M68" s="496"/>
      <c r="N68" s="496"/>
      <c r="O68" s="496">
        <v>1</v>
      </c>
      <c r="P68" s="496">
        <v>1.5</v>
      </c>
      <c r="Q68" s="496">
        <f t="shared" si="23"/>
        <v>1.5</v>
      </c>
      <c r="R68" s="496"/>
      <c r="S68" s="496">
        <f t="shared" si="24"/>
        <v>1.5</v>
      </c>
      <c r="T68" s="496"/>
      <c r="U68" s="496"/>
      <c r="V68" s="496"/>
      <c r="W68" s="496"/>
      <c r="X68" s="496"/>
      <c r="Y68" s="496"/>
      <c r="Z68" s="1770">
        <f t="shared" si="1"/>
        <v>1.5</v>
      </c>
      <c r="AA68" s="1770" t="str">
        <f t="shared" si="2"/>
        <v>-</v>
      </c>
      <c r="AB68" s="843"/>
      <c r="AC68" s="491" t="s">
        <v>1665</v>
      </c>
      <c r="AF68" s="466"/>
      <c r="AG68" s="465"/>
      <c r="AH68" s="465"/>
    </row>
    <row r="69" spans="1:34" s="498" customFormat="1" hidden="1" x14ac:dyDescent="0.25">
      <c r="A69" s="962"/>
      <c r="B69" s="878" t="s">
        <v>1792</v>
      </c>
      <c r="C69" s="499"/>
      <c r="D69" s="962"/>
      <c r="E69" s="541" t="s">
        <v>227</v>
      </c>
      <c r="F69" s="494"/>
      <c r="G69" s="495"/>
      <c r="H69" s="1770"/>
      <c r="I69" s="496"/>
      <c r="J69" s="496"/>
      <c r="K69" s="496"/>
      <c r="L69" s="496"/>
      <c r="M69" s="496"/>
      <c r="N69" s="496"/>
      <c r="O69" s="496">
        <v>10</v>
      </c>
      <c r="P69" s="496">
        <v>1</v>
      </c>
      <c r="Q69" s="496">
        <f t="shared" si="23"/>
        <v>10</v>
      </c>
      <c r="R69" s="496"/>
      <c r="S69" s="496">
        <f t="shared" si="24"/>
        <v>10</v>
      </c>
      <c r="T69" s="496"/>
      <c r="U69" s="496"/>
      <c r="V69" s="496"/>
      <c r="W69" s="496"/>
      <c r="X69" s="496"/>
      <c r="Y69" s="496"/>
      <c r="Z69" s="1770">
        <f t="shared" si="1"/>
        <v>10</v>
      </c>
      <c r="AA69" s="1770" t="str">
        <f t="shared" si="2"/>
        <v>-</v>
      </c>
      <c r="AB69" s="843"/>
      <c r="AC69" s="491" t="s">
        <v>1665</v>
      </c>
      <c r="AF69" s="466"/>
      <c r="AG69" s="465"/>
      <c r="AH69" s="465"/>
    </row>
    <row r="70" spans="1:34" s="889" customFormat="1" ht="107.25" hidden="1" customHeight="1" x14ac:dyDescent="0.25">
      <c r="A70" s="885"/>
      <c r="B70" s="1866" t="s">
        <v>1793</v>
      </c>
      <c r="C70" s="894"/>
      <c r="D70" s="885"/>
      <c r="E70" s="1867"/>
      <c r="F70" s="1868"/>
      <c r="G70" s="1868"/>
      <c r="H70" s="887"/>
      <c r="I70" s="1868"/>
      <c r="J70" s="1868"/>
      <c r="K70" s="887"/>
      <c r="L70" s="1868"/>
      <c r="M70" s="1868"/>
      <c r="N70" s="887"/>
      <c r="O70" s="1868"/>
      <c r="P70" s="1868"/>
      <c r="Q70" s="884">
        <f>Q71+Q77+Q78+Q80</f>
        <v>75</v>
      </c>
      <c r="R70" s="884">
        <f t="shared" ref="R70" si="25">R71+R77+R78+R80</f>
        <v>0</v>
      </c>
      <c r="S70" s="884">
        <f>S71+S77+S78+S80</f>
        <v>75</v>
      </c>
      <c r="T70" s="1868"/>
      <c r="U70" s="1868"/>
      <c r="V70" s="887"/>
      <c r="W70" s="1868"/>
      <c r="X70" s="1868"/>
      <c r="Y70" s="887"/>
      <c r="Z70" s="895">
        <f t="shared" si="1"/>
        <v>75</v>
      </c>
      <c r="AA70" s="895" t="str">
        <f t="shared" si="2"/>
        <v>-</v>
      </c>
      <c r="AB70" s="1869" t="s">
        <v>1794</v>
      </c>
      <c r="AC70" s="491" t="s">
        <v>1665</v>
      </c>
      <c r="AF70" s="872"/>
      <c r="AG70" s="890"/>
      <c r="AH70" s="890"/>
    </row>
    <row r="71" spans="1:34" s="498" customFormat="1" hidden="1" x14ac:dyDescent="0.25">
      <c r="A71" s="962"/>
      <c r="B71" s="1861" t="s">
        <v>1233</v>
      </c>
      <c r="C71" s="508" t="s">
        <v>1230</v>
      </c>
      <c r="D71" s="962"/>
      <c r="E71" s="535"/>
      <c r="F71" s="682"/>
      <c r="G71" s="682"/>
      <c r="H71" s="496"/>
      <c r="I71" s="682"/>
      <c r="J71" s="682"/>
      <c r="K71" s="496"/>
      <c r="L71" s="682"/>
      <c r="M71" s="682"/>
      <c r="N71" s="496"/>
      <c r="O71" s="682"/>
      <c r="P71" s="682"/>
      <c r="Q71" s="532">
        <v>38</v>
      </c>
      <c r="R71" s="532"/>
      <c r="S71" s="532">
        <f>Q71</f>
        <v>38</v>
      </c>
      <c r="T71" s="682"/>
      <c r="U71" s="682"/>
      <c r="V71" s="496"/>
      <c r="W71" s="682"/>
      <c r="X71" s="682"/>
      <c r="Y71" s="496"/>
      <c r="Z71" s="1770">
        <f t="shared" si="1"/>
        <v>38</v>
      </c>
      <c r="AA71" s="1770" t="str">
        <f t="shared" si="2"/>
        <v>-</v>
      </c>
      <c r="AB71" s="1870"/>
      <c r="AC71" s="491" t="s">
        <v>1665</v>
      </c>
      <c r="AF71" s="466"/>
      <c r="AG71" s="465"/>
      <c r="AH71" s="465"/>
    </row>
    <row r="72" spans="1:34" s="1876" customFormat="1" hidden="1" x14ac:dyDescent="0.25">
      <c r="A72" s="541"/>
      <c r="B72" s="1871" t="s">
        <v>1737</v>
      </c>
      <c r="C72" s="1872"/>
      <c r="D72" s="541"/>
      <c r="E72" s="1040" t="s">
        <v>318</v>
      </c>
      <c r="F72" s="1873"/>
      <c r="G72" s="1873"/>
      <c r="H72" s="908"/>
      <c r="I72" s="1873"/>
      <c r="J72" s="1873"/>
      <c r="K72" s="908"/>
      <c r="L72" s="1873"/>
      <c r="M72" s="1873"/>
      <c r="N72" s="908"/>
      <c r="O72" s="1873">
        <v>1</v>
      </c>
      <c r="P72" s="1873">
        <v>10</v>
      </c>
      <c r="Q72" s="908">
        <f>O72*P72</f>
        <v>10</v>
      </c>
      <c r="R72" s="908"/>
      <c r="S72" s="908">
        <f t="shared" ref="S72:S81" si="26">Q72</f>
        <v>10</v>
      </c>
      <c r="T72" s="1873"/>
      <c r="U72" s="1873"/>
      <c r="V72" s="908"/>
      <c r="W72" s="1873"/>
      <c r="X72" s="1873"/>
      <c r="Y72" s="908"/>
      <c r="Z72" s="1874">
        <f t="shared" si="1"/>
        <v>10</v>
      </c>
      <c r="AA72" s="1874" t="str">
        <f t="shared" si="2"/>
        <v>-</v>
      </c>
      <c r="AB72" s="3527" t="s">
        <v>1795</v>
      </c>
      <c r="AC72" s="1875" t="s">
        <v>1665</v>
      </c>
      <c r="AF72" s="1877"/>
      <c r="AG72" s="379"/>
      <c r="AH72" s="379"/>
    </row>
    <row r="73" spans="1:34" s="1876" customFormat="1" hidden="1" x14ac:dyDescent="0.25">
      <c r="A73" s="541"/>
      <c r="B73" s="1871" t="s">
        <v>1754</v>
      </c>
      <c r="C73" s="1872"/>
      <c r="D73" s="541"/>
      <c r="E73" s="1040" t="s">
        <v>318</v>
      </c>
      <c r="F73" s="1873"/>
      <c r="G73" s="1873"/>
      <c r="H73" s="908"/>
      <c r="I73" s="1873"/>
      <c r="J73" s="1873"/>
      <c r="K73" s="908"/>
      <c r="L73" s="1873"/>
      <c r="M73" s="1873"/>
      <c r="N73" s="908"/>
      <c r="O73" s="1873">
        <v>2</v>
      </c>
      <c r="P73" s="1873">
        <v>5</v>
      </c>
      <c r="Q73" s="908">
        <f>O73*P73</f>
        <v>10</v>
      </c>
      <c r="R73" s="908"/>
      <c r="S73" s="908">
        <f t="shared" si="26"/>
        <v>10</v>
      </c>
      <c r="T73" s="1873"/>
      <c r="U73" s="1873"/>
      <c r="V73" s="908"/>
      <c r="W73" s="1873"/>
      <c r="X73" s="1873"/>
      <c r="Y73" s="908"/>
      <c r="Z73" s="1874">
        <f t="shared" ref="Z73:Z81" si="27">Q73-K73</f>
        <v>10</v>
      </c>
      <c r="AA73" s="1874" t="str">
        <f t="shared" ref="AA73:AA81" si="28">IFERROR(Q73/K73*100,"-")</f>
        <v>-</v>
      </c>
      <c r="AB73" s="3528"/>
      <c r="AC73" s="1875" t="s">
        <v>1665</v>
      </c>
      <c r="AF73" s="1877"/>
      <c r="AG73" s="1878">
        <f>Q70-[17]ПГ!$Q$187</f>
        <v>2.4</v>
      </c>
      <c r="AH73" s="379"/>
    </row>
    <row r="74" spans="1:34" s="1876" customFormat="1" hidden="1" x14ac:dyDescent="0.25">
      <c r="A74" s="541"/>
      <c r="B74" s="1879" t="s">
        <v>1796</v>
      </c>
      <c r="C74" s="1872"/>
      <c r="D74" s="541"/>
      <c r="E74" s="1040" t="s">
        <v>318</v>
      </c>
      <c r="F74" s="1873"/>
      <c r="G74" s="1873"/>
      <c r="H74" s="908"/>
      <c r="I74" s="1873"/>
      <c r="J74" s="1873"/>
      <c r="K74" s="908"/>
      <c r="L74" s="1873"/>
      <c r="M74" s="1873"/>
      <c r="N74" s="908"/>
      <c r="O74" s="1873">
        <v>1</v>
      </c>
      <c r="P74" s="1873">
        <v>10</v>
      </c>
      <c r="Q74" s="908">
        <f>O74*P74</f>
        <v>10</v>
      </c>
      <c r="R74" s="908"/>
      <c r="S74" s="908">
        <f t="shared" si="26"/>
        <v>10</v>
      </c>
      <c r="T74" s="1873"/>
      <c r="U74" s="1873"/>
      <c r="V74" s="908"/>
      <c r="W74" s="1873"/>
      <c r="X74" s="1873"/>
      <c r="Y74" s="908"/>
      <c r="Z74" s="1874">
        <f t="shared" si="27"/>
        <v>10</v>
      </c>
      <c r="AA74" s="1874" t="str">
        <f t="shared" si="28"/>
        <v>-</v>
      </c>
      <c r="AB74" s="3529"/>
      <c r="AC74" s="1875" t="s">
        <v>1665</v>
      </c>
      <c r="AF74" s="1877"/>
      <c r="AG74" s="379"/>
      <c r="AH74" s="379"/>
    </row>
    <row r="75" spans="1:34" s="1876" customFormat="1" hidden="1" x14ac:dyDescent="0.25">
      <c r="A75" s="541"/>
      <c r="B75" s="1879" t="s">
        <v>1797</v>
      </c>
      <c r="C75" s="1872"/>
      <c r="D75" s="541"/>
      <c r="E75" s="1040" t="s">
        <v>318</v>
      </c>
      <c r="F75" s="1873"/>
      <c r="G75" s="1873"/>
      <c r="H75" s="908"/>
      <c r="I75" s="1873"/>
      <c r="J75" s="1873"/>
      <c r="K75" s="908"/>
      <c r="L75" s="1873"/>
      <c r="M75" s="1873"/>
      <c r="N75" s="908"/>
      <c r="O75" s="1873"/>
      <c r="P75" s="1873"/>
      <c r="Q75" s="908">
        <f>O75*P75</f>
        <v>0</v>
      </c>
      <c r="R75" s="908"/>
      <c r="S75" s="908">
        <f t="shared" si="26"/>
        <v>0</v>
      </c>
      <c r="T75" s="1873"/>
      <c r="U75" s="1873"/>
      <c r="V75" s="908"/>
      <c r="W75" s="1873"/>
      <c r="X75" s="1873"/>
      <c r="Y75" s="908"/>
      <c r="Z75" s="1874">
        <f t="shared" si="27"/>
        <v>0</v>
      </c>
      <c r="AA75" s="1874" t="str">
        <f t="shared" si="28"/>
        <v>-</v>
      </c>
      <c r="AB75" s="1870"/>
      <c r="AC75" s="1875" t="s">
        <v>1665</v>
      </c>
      <c r="AF75" s="1877"/>
      <c r="AG75" s="379"/>
      <c r="AH75" s="379"/>
    </row>
    <row r="76" spans="1:34" s="1876" customFormat="1" hidden="1" x14ac:dyDescent="0.25">
      <c r="A76" s="541"/>
      <c r="B76" s="1880" t="s">
        <v>1729</v>
      </c>
      <c r="C76" s="1872"/>
      <c r="D76" s="541"/>
      <c r="E76" s="1040"/>
      <c r="F76" s="1873"/>
      <c r="G76" s="1873"/>
      <c r="H76" s="908"/>
      <c r="I76" s="1873"/>
      <c r="J76" s="1873"/>
      <c r="K76" s="908"/>
      <c r="L76" s="1873"/>
      <c r="M76" s="1873"/>
      <c r="N76" s="908"/>
      <c r="O76" s="1873"/>
      <c r="P76" s="1873"/>
      <c r="Q76" s="908">
        <f>SUM(Q72:Q75)*0.271</f>
        <v>8.1</v>
      </c>
      <c r="R76" s="908"/>
      <c r="S76" s="908">
        <f t="shared" si="26"/>
        <v>8.1</v>
      </c>
      <c r="T76" s="1873"/>
      <c r="U76" s="1873"/>
      <c r="V76" s="908"/>
      <c r="W76" s="1873"/>
      <c r="X76" s="1873"/>
      <c r="Y76" s="908"/>
      <c r="Z76" s="1874">
        <f t="shared" si="27"/>
        <v>8.1</v>
      </c>
      <c r="AA76" s="1874" t="str">
        <f t="shared" si="28"/>
        <v>-</v>
      </c>
      <c r="AB76" s="1870"/>
      <c r="AC76" s="1875" t="s">
        <v>1665</v>
      </c>
      <c r="AF76" s="1877"/>
      <c r="AG76" s="379"/>
      <c r="AH76" s="379"/>
    </row>
    <row r="77" spans="1:34" s="1876" customFormat="1" x14ac:dyDescent="0.25">
      <c r="A77" s="541"/>
      <c r="B77" s="876" t="s">
        <v>1798</v>
      </c>
      <c r="C77" s="508" t="s">
        <v>797</v>
      </c>
      <c r="D77" s="962"/>
      <c r="E77" s="535" t="s">
        <v>227</v>
      </c>
      <c r="F77" s="682"/>
      <c r="G77" s="682"/>
      <c r="H77" s="496"/>
      <c r="I77" s="682"/>
      <c r="J77" s="682"/>
      <c r="K77" s="496"/>
      <c r="L77" s="682"/>
      <c r="M77" s="682"/>
      <c r="N77" s="496"/>
      <c r="O77" s="1825">
        <v>50</v>
      </c>
      <c r="P77" s="1825">
        <v>0.1</v>
      </c>
      <c r="Q77" s="532">
        <f>O77*P77</f>
        <v>5</v>
      </c>
      <c r="R77" s="532"/>
      <c r="S77" s="532">
        <f t="shared" si="26"/>
        <v>5</v>
      </c>
      <c r="T77" s="682"/>
      <c r="U77" s="1873"/>
      <c r="V77" s="908"/>
      <c r="W77" s="1873"/>
      <c r="X77" s="1873"/>
      <c r="Y77" s="908"/>
      <c r="Z77" s="1874">
        <f t="shared" si="27"/>
        <v>5</v>
      </c>
      <c r="AA77" s="1874" t="str">
        <f t="shared" si="28"/>
        <v>-</v>
      </c>
      <c r="AB77" s="1881" t="s">
        <v>1799</v>
      </c>
      <c r="AC77" s="1875" t="s">
        <v>1665</v>
      </c>
      <c r="AF77" s="1877"/>
      <c r="AG77" s="379"/>
      <c r="AH77" s="379"/>
    </row>
    <row r="78" spans="1:34" s="1876" customFormat="1" ht="28.5" hidden="1" customHeight="1" x14ac:dyDescent="0.25">
      <c r="A78" s="541"/>
      <c r="B78" s="876" t="s">
        <v>1226</v>
      </c>
      <c r="C78" s="1882" t="s">
        <v>796</v>
      </c>
      <c r="D78" s="962"/>
      <c r="E78" s="535"/>
      <c r="F78" s="682"/>
      <c r="G78" s="682"/>
      <c r="H78" s="496"/>
      <c r="I78" s="682"/>
      <c r="J78" s="682"/>
      <c r="K78" s="496"/>
      <c r="L78" s="682"/>
      <c r="M78" s="682"/>
      <c r="N78" s="496"/>
      <c r="O78" s="682"/>
      <c r="P78" s="682"/>
      <c r="Q78" s="532">
        <f>SUM(Q79:Q79)</f>
        <v>30</v>
      </c>
      <c r="R78" s="532"/>
      <c r="S78" s="532">
        <f t="shared" si="26"/>
        <v>30</v>
      </c>
      <c r="T78" s="682"/>
      <c r="U78" s="1873"/>
      <c r="V78" s="908"/>
      <c r="W78" s="1873"/>
      <c r="X78" s="1873"/>
      <c r="Y78" s="908"/>
      <c r="Z78" s="1874">
        <f t="shared" si="27"/>
        <v>30</v>
      </c>
      <c r="AA78" s="1874" t="str">
        <f t="shared" si="28"/>
        <v>-</v>
      </c>
      <c r="AB78" s="3527" t="s">
        <v>1800</v>
      </c>
      <c r="AC78" s="1875" t="s">
        <v>1665</v>
      </c>
      <c r="AF78" s="1877"/>
      <c r="AG78" s="379"/>
      <c r="AH78" s="379"/>
    </row>
    <row r="79" spans="1:34" s="1876" customFormat="1" hidden="1" x14ac:dyDescent="0.25">
      <c r="A79" s="541"/>
      <c r="B79" s="1880" t="s">
        <v>1801</v>
      </c>
      <c r="C79" s="1872"/>
      <c r="D79" s="541"/>
      <c r="E79" s="1040" t="s">
        <v>227</v>
      </c>
      <c r="F79" s="1873"/>
      <c r="G79" s="1873"/>
      <c r="H79" s="908"/>
      <c r="I79" s="1873"/>
      <c r="J79" s="1873"/>
      <c r="K79" s="908"/>
      <c r="L79" s="1873"/>
      <c r="M79" s="1873"/>
      <c r="N79" s="908"/>
      <c r="O79" s="1873">
        <v>3</v>
      </c>
      <c r="P79" s="1873">
        <v>10</v>
      </c>
      <c r="Q79" s="908">
        <v>30</v>
      </c>
      <c r="R79" s="908"/>
      <c r="S79" s="908">
        <f t="shared" si="26"/>
        <v>30</v>
      </c>
      <c r="T79" s="1873"/>
      <c r="U79" s="1873"/>
      <c r="V79" s="908"/>
      <c r="W79" s="1873"/>
      <c r="X79" s="1873"/>
      <c r="Y79" s="908"/>
      <c r="Z79" s="1874">
        <f t="shared" si="27"/>
        <v>30</v>
      </c>
      <c r="AA79" s="1874" t="str">
        <f t="shared" si="28"/>
        <v>-</v>
      </c>
      <c r="AB79" s="3529"/>
      <c r="AC79" s="1875" t="s">
        <v>1665</v>
      </c>
      <c r="AF79" s="1877"/>
      <c r="AG79" s="379"/>
      <c r="AH79" s="379"/>
    </row>
    <row r="80" spans="1:34" s="498" customFormat="1" x14ac:dyDescent="0.25">
      <c r="A80" s="962"/>
      <c r="B80" s="876" t="s">
        <v>1741</v>
      </c>
      <c r="C80" s="508" t="s">
        <v>797</v>
      </c>
      <c r="D80" s="962"/>
      <c r="E80" s="535"/>
      <c r="F80" s="682"/>
      <c r="G80" s="682"/>
      <c r="H80" s="496"/>
      <c r="I80" s="682"/>
      <c r="J80" s="682"/>
      <c r="K80" s="496"/>
      <c r="L80" s="682"/>
      <c r="M80" s="682"/>
      <c r="N80" s="496"/>
      <c r="O80" s="682"/>
      <c r="P80" s="682"/>
      <c r="Q80" s="532">
        <f>Q81</f>
        <v>2</v>
      </c>
      <c r="R80" s="532"/>
      <c r="S80" s="532">
        <f t="shared" si="26"/>
        <v>2</v>
      </c>
      <c r="T80" s="682"/>
      <c r="U80" s="682"/>
      <c r="V80" s="496"/>
      <c r="W80" s="682"/>
      <c r="X80" s="682"/>
      <c r="Y80" s="496"/>
      <c r="Z80" s="1770">
        <f t="shared" si="27"/>
        <v>2</v>
      </c>
      <c r="AA80" s="1770" t="str">
        <f t="shared" si="28"/>
        <v>-</v>
      </c>
      <c r="AB80" s="1870"/>
      <c r="AC80" s="491" t="s">
        <v>1665</v>
      </c>
      <c r="AF80" s="466"/>
      <c r="AG80" s="465"/>
      <c r="AH80" s="465"/>
    </row>
    <row r="81" spans="1:35" s="498" customFormat="1" hidden="1" x14ac:dyDescent="0.25">
      <c r="A81" s="962"/>
      <c r="B81" s="502" t="s">
        <v>1769</v>
      </c>
      <c r="C81" s="499"/>
      <c r="D81" s="962"/>
      <c r="E81" s="535" t="s">
        <v>227</v>
      </c>
      <c r="F81" s="682"/>
      <c r="G81" s="682"/>
      <c r="H81" s="496"/>
      <c r="I81" s="682"/>
      <c r="J81" s="682"/>
      <c r="K81" s="496"/>
      <c r="L81" s="682"/>
      <c r="M81" s="682"/>
      <c r="N81" s="496"/>
      <c r="O81" s="682">
        <v>20</v>
      </c>
      <c r="P81" s="682">
        <v>0.1</v>
      </c>
      <c r="Q81" s="496">
        <f>O81*P81</f>
        <v>2</v>
      </c>
      <c r="R81" s="496"/>
      <c r="S81" s="496">
        <f t="shared" si="26"/>
        <v>2</v>
      </c>
      <c r="T81" s="682"/>
      <c r="U81" s="682"/>
      <c r="V81" s="496"/>
      <c r="W81" s="682"/>
      <c r="X81" s="682"/>
      <c r="Y81" s="496"/>
      <c r="Z81" s="1770">
        <f t="shared" si="27"/>
        <v>2</v>
      </c>
      <c r="AA81" s="1770" t="str">
        <f t="shared" si="28"/>
        <v>-</v>
      </c>
      <c r="AB81" s="1870"/>
      <c r="AC81" s="491" t="s">
        <v>1665</v>
      </c>
      <c r="AF81" s="466"/>
      <c r="AG81" s="465"/>
      <c r="AH81" s="465"/>
    </row>
    <row r="82" spans="1:35" s="576" customFormat="1" ht="17.25" customHeight="1" x14ac:dyDescent="0.25">
      <c r="A82" s="571"/>
      <c r="B82" s="606"/>
      <c r="C82" s="606"/>
      <c r="D82" s="571"/>
      <c r="E82" s="571"/>
      <c r="F82" s="924"/>
      <c r="G82" s="925"/>
      <c r="H82" s="571"/>
      <c r="I82" s="571"/>
      <c r="J82" s="571"/>
      <c r="K82" s="575"/>
      <c r="L82" s="571"/>
      <c r="M82" s="571"/>
      <c r="N82" s="575"/>
      <c r="O82" s="571"/>
      <c r="P82" s="571"/>
      <c r="Q82" s="575"/>
      <c r="R82" s="575"/>
      <c r="S82" s="575"/>
      <c r="T82" s="571"/>
      <c r="U82" s="571"/>
      <c r="V82" s="575"/>
      <c r="W82" s="571"/>
      <c r="X82" s="571"/>
      <c r="Y82" s="575"/>
      <c r="Z82" s="575"/>
      <c r="AA82" s="575"/>
      <c r="AC82" s="926"/>
      <c r="AD82" s="562"/>
      <c r="AE82" s="562"/>
      <c r="AF82" s="568"/>
      <c r="AG82" s="561"/>
      <c r="AH82" s="561"/>
      <c r="AI82" s="927"/>
    </row>
    <row r="83" spans="1:35" s="1959" customFormat="1" ht="14.25" x14ac:dyDescent="0.2">
      <c r="A83" s="1955"/>
      <c r="B83" s="1955"/>
      <c r="C83" s="572" t="s">
        <v>1665</v>
      </c>
      <c r="D83" s="572"/>
      <c r="E83" s="572"/>
      <c r="F83" s="573"/>
      <c r="G83" s="574"/>
      <c r="H83" s="572" t="e">
        <f>H84+H85+H86+H87+H88+#REF!+H89</f>
        <v>#REF!</v>
      </c>
      <c r="I83" s="572"/>
      <c r="J83" s="572"/>
      <c r="K83" s="572" t="e">
        <f>K84+K85+K86+K87+K88+#REF!+K89</f>
        <v>#REF!</v>
      </c>
      <c r="L83" s="572"/>
      <c r="M83" s="572"/>
      <c r="N83" s="572" t="e">
        <f>N84+N85+N86+N87+N88+#REF!+N89</f>
        <v>#REF!</v>
      </c>
      <c r="O83" s="572"/>
      <c r="P83" s="572"/>
      <c r="Q83" s="572">
        <f>Q84+Q85+Q86+Q87+Q88+Q89</f>
        <v>344</v>
      </c>
      <c r="R83" s="572">
        <f t="shared" ref="R83:Y83" si="29">R84+R85+R86+R87+R88+R89</f>
        <v>110.3</v>
      </c>
      <c r="S83" s="572">
        <f t="shared" si="29"/>
        <v>224.9</v>
      </c>
      <c r="T83" s="572"/>
      <c r="U83" s="572"/>
      <c r="V83" s="572">
        <f t="shared" si="29"/>
        <v>0</v>
      </c>
      <c r="W83" s="572"/>
      <c r="X83" s="572"/>
      <c r="Y83" s="572">
        <f t="shared" si="29"/>
        <v>0</v>
      </c>
      <c r="Z83" s="579"/>
      <c r="AA83" s="579"/>
      <c r="AB83" s="576"/>
      <c r="AC83" s="1956"/>
      <c r="AD83" s="1957"/>
      <c r="AE83" s="1957"/>
      <c r="AF83" s="1958"/>
      <c r="AG83" s="1958"/>
      <c r="AH83" s="1958"/>
    </row>
    <row r="84" spans="1:35" s="1961" customFormat="1" x14ac:dyDescent="0.25">
      <c r="A84" s="571"/>
      <c r="B84" s="571"/>
      <c r="C84" s="578" t="s">
        <v>1237</v>
      </c>
      <c r="D84" s="578"/>
      <c r="E84" s="578"/>
      <c r="F84" s="1772"/>
      <c r="G84" s="1773"/>
      <c r="H84" s="1769" t="e">
        <f>#REF!+H32+H54+#REF!+#REF!+#REF!+#REF!</f>
        <v>#REF!</v>
      </c>
      <c r="I84" s="1769"/>
      <c r="J84" s="1769"/>
      <c r="K84" s="1769" t="e">
        <f>#REF!+K32+K54+#REF!+#REF!+#REF!+#REF!</f>
        <v>#REF!</v>
      </c>
      <c r="L84" s="1769"/>
      <c r="M84" s="1769"/>
      <c r="N84" s="1769" t="e">
        <f>#REF!+N32+N54+#REF!+#REF!+#REF!+#REF!</f>
        <v>#REF!</v>
      </c>
      <c r="O84" s="1769"/>
      <c r="P84" s="1769"/>
      <c r="Q84" s="1769">
        <f>Q32+Q54</f>
        <v>12.5</v>
      </c>
      <c r="R84" s="1769">
        <f t="shared" ref="R84:Y84" si="30">R32+R54</f>
        <v>5</v>
      </c>
      <c r="S84" s="1769">
        <f t="shared" si="30"/>
        <v>7.5</v>
      </c>
      <c r="T84" s="1769"/>
      <c r="U84" s="1769"/>
      <c r="V84" s="1769">
        <f t="shared" si="30"/>
        <v>0</v>
      </c>
      <c r="W84" s="1769"/>
      <c r="X84" s="1769"/>
      <c r="Y84" s="1769">
        <f t="shared" si="30"/>
        <v>0</v>
      </c>
      <c r="Z84" s="575"/>
      <c r="AA84" s="575"/>
      <c r="AB84" s="576"/>
      <c r="AC84" s="577"/>
      <c r="AD84" s="1960"/>
      <c r="AE84" s="1960"/>
      <c r="AF84" s="1958"/>
      <c r="AG84" s="560"/>
      <c r="AH84" s="560"/>
    </row>
    <row r="85" spans="1:35" s="1961" customFormat="1" x14ac:dyDescent="0.25">
      <c r="A85" s="571"/>
      <c r="B85" s="571"/>
      <c r="C85" s="578" t="s">
        <v>1230</v>
      </c>
      <c r="D85" s="578"/>
      <c r="E85" s="578"/>
      <c r="F85" s="1772"/>
      <c r="G85" s="1773"/>
      <c r="H85" s="1769" t="e">
        <f>#REF!+#REF!+#REF!+H12+H22+H40+H71+#REF!+#REF!+#REF!+#REF!+#REF!+#REF!+#REF!+#REF!+#REF!+#REF!+#REF!</f>
        <v>#REF!</v>
      </c>
      <c r="I85" s="1769"/>
      <c r="J85" s="1769"/>
      <c r="K85" s="1769" t="e">
        <f>#REF!+#REF!+#REF!+K12+K22+K40+K71+#REF!+#REF!+#REF!+#REF!+#REF!+#REF!+#REF!+#REF!+#REF!+#REF!+#REF!</f>
        <v>#REF!</v>
      </c>
      <c r="L85" s="1769"/>
      <c r="M85" s="1769"/>
      <c r="N85" s="1769" t="e">
        <f>#REF!+#REF!+#REF!+N12+N22+N40+N71+#REF!+#REF!+#REF!+#REF!+#REF!+#REF!+#REF!+#REF!+#REF!+#REF!+#REF!</f>
        <v>#REF!</v>
      </c>
      <c r="O85" s="1769"/>
      <c r="P85" s="1769"/>
      <c r="Q85" s="1036">
        <f>Q12+Q22+Q40+Q71</f>
        <v>113.7</v>
      </c>
      <c r="R85" s="1036">
        <f t="shared" ref="R85:Y85" si="31">R12+R22+R40+R71</f>
        <v>65.2</v>
      </c>
      <c r="S85" s="1036">
        <f t="shared" si="31"/>
        <v>48.4</v>
      </c>
      <c r="T85" s="1036"/>
      <c r="U85" s="1036"/>
      <c r="V85" s="1036">
        <f t="shared" si="31"/>
        <v>0</v>
      </c>
      <c r="W85" s="1036"/>
      <c r="X85" s="1036"/>
      <c r="Y85" s="1036">
        <f t="shared" si="31"/>
        <v>0</v>
      </c>
      <c r="Z85" s="575"/>
      <c r="AA85" s="575"/>
      <c r="AB85" s="576"/>
      <c r="AC85" s="577"/>
      <c r="AD85" s="1960"/>
      <c r="AE85" s="1960"/>
      <c r="AF85" s="1958"/>
      <c r="AG85" s="560"/>
      <c r="AH85" s="560"/>
    </row>
    <row r="86" spans="1:35" s="2570" customFormat="1" x14ac:dyDescent="0.25">
      <c r="A86" s="377"/>
      <c r="B86" s="377"/>
      <c r="C86" s="1036" t="s">
        <v>796</v>
      </c>
      <c r="D86" s="1036"/>
      <c r="E86" s="1036"/>
      <c r="F86" s="1772"/>
      <c r="G86" s="1773"/>
      <c r="H86" s="1769" t="e">
        <f>#REF!+#REF!+#REF!+#REF!+#REF!+#REF!+#REF!+H31+H50+H78+#REF!+#REF!+#REF!+#REF!+#REF!+#REF!+#REF!+#REF!+#REF!+#REF!+#REF!</f>
        <v>#REF!</v>
      </c>
      <c r="I86" s="1769"/>
      <c r="J86" s="1769"/>
      <c r="K86" s="1769" t="e">
        <f>#REF!+#REF!+#REF!+#REF!+#REF!+#REF!+#REF!+K31+K50+K78+#REF!+#REF!+#REF!+#REF!+#REF!+#REF!+#REF!+#REF!+#REF!+#REF!+#REF!</f>
        <v>#REF!</v>
      </c>
      <c r="L86" s="1769"/>
      <c r="M86" s="1769"/>
      <c r="N86" s="1769" t="e">
        <f>#REF!+#REF!+#REF!+#REF!+#REF!+#REF!+#REF!+N31+N50+N78+#REF!+#REF!+#REF!+#REF!+#REF!+#REF!+#REF!+#REF!+#REF!+#REF!+#REF!</f>
        <v>#REF!</v>
      </c>
      <c r="O86" s="1036"/>
      <c r="P86" s="1036"/>
      <c r="Q86" s="1036">
        <f>Q31+Q50+Q78</f>
        <v>32.5</v>
      </c>
      <c r="R86" s="1036">
        <f t="shared" ref="R86:Y86" si="32">R31+R50+R78</f>
        <v>2.5</v>
      </c>
      <c r="S86" s="1036">
        <f t="shared" si="32"/>
        <v>30</v>
      </c>
      <c r="T86" s="1036"/>
      <c r="U86" s="1036"/>
      <c r="V86" s="1036">
        <f t="shared" si="32"/>
        <v>0</v>
      </c>
      <c r="W86" s="1036"/>
      <c r="X86" s="1036"/>
      <c r="Y86" s="1036">
        <f t="shared" si="32"/>
        <v>0</v>
      </c>
      <c r="Z86" s="377"/>
      <c r="AA86" s="377"/>
      <c r="AB86" s="2568"/>
      <c r="AC86" s="2569"/>
      <c r="AF86" s="2571"/>
      <c r="AG86" s="2572"/>
      <c r="AH86" s="2572"/>
    </row>
    <row r="87" spans="1:35" s="2570" customFormat="1" x14ac:dyDescent="0.25">
      <c r="A87" s="377"/>
      <c r="B87" s="377"/>
      <c r="C87" s="1036" t="s">
        <v>800</v>
      </c>
      <c r="D87" s="1036"/>
      <c r="E87" s="1036"/>
      <c r="F87" s="1772"/>
      <c r="G87" s="1773"/>
      <c r="H87" s="1769" t="e">
        <f>H62+#REF!+#REF!+#REF!+#REF!+#REF!</f>
        <v>#REF!</v>
      </c>
      <c r="I87" s="1769"/>
      <c r="J87" s="1769"/>
      <c r="K87" s="1769" t="e">
        <f>K62+#REF!+#REF!+#REF!+#REF!+#REF!+#REF!</f>
        <v>#REF!</v>
      </c>
      <c r="L87" s="1769"/>
      <c r="M87" s="1769"/>
      <c r="N87" s="1769" t="e">
        <f>N62+#REF!+#REF!+#REF!+#REF!+#REF!+#REF!</f>
        <v>#REF!</v>
      </c>
      <c r="O87" s="1036"/>
      <c r="P87" s="1036"/>
      <c r="Q87" s="1036">
        <f>Q62</f>
        <v>56.5</v>
      </c>
      <c r="R87" s="1036">
        <f t="shared" ref="R87:Y87" si="33">R62</f>
        <v>0</v>
      </c>
      <c r="S87" s="1036">
        <f t="shared" si="33"/>
        <v>56.5</v>
      </c>
      <c r="T87" s="1036"/>
      <c r="U87" s="1036"/>
      <c r="V87" s="1036">
        <f t="shared" si="33"/>
        <v>0</v>
      </c>
      <c r="W87" s="1036"/>
      <c r="X87" s="1036"/>
      <c r="Y87" s="1036">
        <f t="shared" si="33"/>
        <v>0</v>
      </c>
      <c r="Z87" s="377"/>
      <c r="AA87" s="377"/>
      <c r="AB87" s="2568"/>
      <c r="AC87" s="2569"/>
      <c r="AF87" s="2571"/>
      <c r="AG87" s="2572"/>
      <c r="AH87" s="2572"/>
    </row>
    <row r="88" spans="1:35" s="1961" customFormat="1" x14ac:dyDescent="0.25">
      <c r="A88" s="571"/>
      <c r="B88" s="571"/>
      <c r="C88" s="578" t="s">
        <v>797</v>
      </c>
      <c r="D88" s="578"/>
      <c r="E88" s="578"/>
      <c r="F88" s="1772"/>
      <c r="G88" s="1773"/>
      <c r="H88" s="1769" t="e">
        <f>#REF!+#REF!+#REF!+#REF!+#REF!+#REF!+#REF!+#REF!+H17+H19+H27+H34+H51+H55+H56+H77+H80+#REF!+#REF!+#REF!+#REF!+#REF!+#REF!+#REF!+#REF!+#REF!+#REF!+#REF!+#REF!+#REF!+#REF!+#REF!+#REF!+#REF!+#REF!+#REF!+#REF!+#REF!+#REF!+#REF!+#REF!+#REF!+#REF!+#REF!+#REF!+#REF!+#REF!+#REF!+#REF!+#REF!+#REF!+#REF!+#REF!+#REF!+#REF!</f>
        <v>#REF!</v>
      </c>
      <c r="I88" s="1769"/>
      <c r="J88" s="1769"/>
      <c r="K88" s="1769" t="e">
        <f>#REF!+#REF!+#REF!+#REF!+#REF!+#REF!+#REF!+#REF!+K17+K19+K27+K34+K51+K55+K56+K77+K80+#REF!+#REF!+#REF!+#REF!+#REF!+#REF!+#REF!+#REF!+#REF!+#REF!+#REF!+#REF!+#REF!+#REF!+#REF!+#REF!+#REF!+#REF!+#REF!+#REF!+#REF!+#REF!+#REF!+#REF!+#REF!+#REF!+#REF!+#REF!+#REF!+#REF!+#REF!+#REF!+#REF!+#REF!+#REF!+#REF!+#REF!+#REF!</f>
        <v>#REF!</v>
      </c>
      <c r="L88" s="1769"/>
      <c r="M88" s="1769"/>
      <c r="N88" s="1769" t="e">
        <f>#REF!+#REF!+#REF!+#REF!+#REF!+#REF!+#REF!+#REF!+N17+N19+N27+N34+N51+N55+N56+N77+N80+#REF!+#REF!+#REF!+#REF!+#REF!+#REF!+#REF!+#REF!+#REF!+#REF!+#REF!+#REF!+#REF!+#REF!+#REF!+#REF!+#REF!+#REF!+#REF!+#REF!+#REF!+#REF!+#REF!+#REF!+#REF!+#REF!+#REF!+#REF!+#REF!+#REF!+#REF!+#REF!+#REF!+#REF!+#REF!+#REF!+#REF!+#REF!</f>
        <v>#REF!</v>
      </c>
      <c r="O88" s="1769"/>
      <c r="P88" s="1769"/>
      <c r="Q88" s="1769">
        <f>Q17+Q19+Q27+Q34+Q51+Q55+Q56+Q77+Q80</f>
        <v>122.8</v>
      </c>
      <c r="R88" s="1769">
        <f t="shared" ref="R88:Y88" si="34">R17+R19+R27+R34+R51+R55+R56+R77+R80</f>
        <v>37.6</v>
      </c>
      <c r="S88" s="1769">
        <f>S17+S19+S27+S34+S51+S55+S56+S77+S80</f>
        <v>76.5</v>
      </c>
      <c r="T88" s="1769"/>
      <c r="U88" s="1769"/>
      <c r="V88" s="1769">
        <f t="shared" si="34"/>
        <v>0</v>
      </c>
      <c r="W88" s="1769"/>
      <c r="X88" s="1769"/>
      <c r="Y88" s="1769">
        <f t="shared" si="34"/>
        <v>0</v>
      </c>
      <c r="Z88" s="575"/>
      <c r="AA88" s="575"/>
      <c r="AB88" s="576"/>
      <c r="AC88" s="577"/>
      <c r="AD88" s="1960"/>
      <c r="AE88" s="1960"/>
      <c r="AF88" s="1958"/>
      <c r="AG88" s="560"/>
      <c r="AH88" s="560"/>
    </row>
    <row r="89" spans="1:35" s="1961" customFormat="1" x14ac:dyDescent="0.25">
      <c r="A89" s="571"/>
      <c r="B89" s="571"/>
      <c r="C89" s="607">
        <v>981</v>
      </c>
      <c r="D89" s="578"/>
      <c r="E89" s="578"/>
      <c r="F89" s="1772"/>
      <c r="G89" s="1773"/>
      <c r="H89" s="1769" t="e">
        <f>#REF!+H61+#REF!+#REF!</f>
        <v>#REF!</v>
      </c>
      <c r="I89" s="1769"/>
      <c r="J89" s="1769"/>
      <c r="K89" s="1769" t="e">
        <f>#REF!+K61+#REF!+#REF!</f>
        <v>#REF!</v>
      </c>
      <c r="L89" s="1769"/>
      <c r="M89" s="1769"/>
      <c r="N89" s="1769" t="e">
        <f>#REF!+N61+#REF!+#REF!</f>
        <v>#REF!</v>
      </c>
      <c r="O89" s="1769"/>
      <c r="P89" s="1769"/>
      <c r="Q89" s="1769">
        <f>Q61</f>
        <v>6</v>
      </c>
      <c r="R89" s="1769">
        <f t="shared" ref="R89:Y89" si="35">R61</f>
        <v>0</v>
      </c>
      <c r="S89" s="1769">
        <f>S61</f>
        <v>6</v>
      </c>
      <c r="T89" s="1769"/>
      <c r="U89" s="1769"/>
      <c r="V89" s="1769">
        <f t="shared" si="35"/>
        <v>0</v>
      </c>
      <c r="W89" s="1769"/>
      <c r="X89" s="1769"/>
      <c r="Y89" s="1769">
        <f t="shared" si="35"/>
        <v>0</v>
      </c>
      <c r="Z89" s="575"/>
      <c r="AA89" s="575"/>
      <c r="AB89" s="576"/>
      <c r="AC89" s="577"/>
      <c r="AD89" s="1960"/>
      <c r="AE89" s="1960"/>
      <c r="AF89" s="1958"/>
      <c r="AG89" s="560"/>
      <c r="AH89" s="560"/>
    </row>
    <row r="92" spans="1:35" x14ac:dyDescent="0.25">
      <c r="R92" s="1963"/>
    </row>
  </sheetData>
  <autoFilter ref="A8:AN81">
    <filterColumn colId="2">
      <filters>
        <filter val="981"/>
      </filters>
    </filterColumn>
  </autoFilter>
  <mergeCells count="38">
    <mergeCell ref="A2:AB2"/>
    <mergeCell ref="Y6:Y7"/>
    <mergeCell ref="Z6:Z7"/>
    <mergeCell ref="AA6:AA7"/>
    <mergeCell ref="AB72:AB74"/>
    <mergeCell ref="K6:K7"/>
    <mergeCell ref="L6:L7"/>
    <mergeCell ref="M6:M7"/>
    <mergeCell ref="N6:N7"/>
    <mergeCell ref="O6:O7"/>
    <mergeCell ref="P6:P7"/>
    <mergeCell ref="R5:S5"/>
    <mergeCell ref="T5:V5"/>
    <mergeCell ref="W5:Y5"/>
    <mergeCell ref="Z5:AA5"/>
    <mergeCell ref="F6:F7"/>
    <mergeCell ref="AB78:AB79"/>
    <mergeCell ref="Q6:Q7"/>
    <mergeCell ref="T6:T7"/>
    <mergeCell ref="U6:U7"/>
    <mergeCell ref="V6:V7"/>
    <mergeCell ref="W6:W7"/>
    <mergeCell ref="X6:X7"/>
    <mergeCell ref="AB5:AB7"/>
    <mergeCell ref="G6:G7"/>
    <mergeCell ref="H6:H7"/>
    <mergeCell ref="I6:I7"/>
    <mergeCell ref="J6:J7"/>
    <mergeCell ref="A3:AB3"/>
    <mergeCell ref="A5:A7"/>
    <mergeCell ref="B5:B7"/>
    <mergeCell ref="C5:C7"/>
    <mergeCell ref="D5:D7"/>
    <mergeCell ref="E5:E7"/>
    <mergeCell ref="F5:H5"/>
    <mergeCell ref="I5:K5"/>
    <mergeCell ref="L5:N5"/>
    <mergeCell ref="O5:Q5"/>
  </mergeCells>
  <pageMargins left="0.70866141732283472" right="0.70866141732283472" top="0.74803149606299213" bottom="0.74803149606299213" header="0.31496062992125984" footer="0.31496062992125984"/>
  <pageSetup paperSize="9" scale="3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tabColor rgb="FF00FFFF"/>
  </sheetPr>
  <dimension ref="A1:H35"/>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activeCell="C30" sqref="C30"/>
    </sheetView>
  </sheetViews>
  <sheetFormatPr defaultRowHeight="15" x14ac:dyDescent="0.25"/>
  <cols>
    <col min="1" max="1" width="67.83203125" style="319" customWidth="1"/>
    <col min="2" max="2" width="10.83203125" style="319" customWidth="1"/>
    <col min="3" max="5" width="29" style="319" customWidth="1"/>
    <col min="6" max="6" width="13" style="319" customWidth="1"/>
    <col min="7" max="7" width="10.83203125" style="319" bestFit="1" customWidth="1"/>
    <col min="8" max="16384" width="9.33203125" style="319"/>
  </cols>
  <sheetData>
    <row r="1" spans="1:5" ht="61.5" customHeight="1" x14ac:dyDescent="0.25">
      <c r="A1" s="3844" t="s">
        <v>2865</v>
      </c>
      <c r="B1" s="3844"/>
      <c r="C1" s="3844"/>
      <c r="D1" s="3844"/>
      <c r="E1" s="3844"/>
    </row>
    <row r="2" spans="1:5" x14ac:dyDescent="0.25">
      <c r="A2" s="3845" t="s">
        <v>1442</v>
      </c>
      <c r="B2" s="3845"/>
      <c r="C2" s="3845"/>
      <c r="D2" s="3845"/>
      <c r="E2" s="3845"/>
    </row>
    <row r="3" spans="1:5" x14ac:dyDescent="0.25">
      <c r="A3" s="960"/>
      <c r="B3" s="960"/>
      <c r="C3" s="960"/>
      <c r="D3" s="960"/>
      <c r="E3" s="320">
        <v>43831</v>
      </c>
    </row>
    <row r="4" spans="1:5" x14ac:dyDescent="0.25">
      <c r="A4" s="3846" t="s">
        <v>386</v>
      </c>
      <c r="B4" s="3846" t="s">
        <v>387</v>
      </c>
      <c r="C4" s="3846" t="s">
        <v>388</v>
      </c>
      <c r="D4" s="3846"/>
      <c r="E4" s="3846"/>
    </row>
    <row r="5" spans="1:5" ht="20.25" customHeight="1" x14ac:dyDescent="0.25">
      <c r="A5" s="3846"/>
      <c r="B5" s="3846"/>
      <c r="C5" s="961" t="s">
        <v>397</v>
      </c>
      <c r="D5" s="961" t="s">
        <v>398</v>
      </c>
      <c r="E5" s="961" t="s">
        <v>399</v>
      </c>
    </row>
    <row r="6" spans="1:5" ht="47.25" customHeight="1" x14ac:dyDescent="0.25">
      <c r="A6" s="3846"/>
      <c r="B6" s="3846"/>
      <c r="C6" s="961" t="s">
        <v>389</v>
      </c>
      <c r="D6" s="961" t="s">
        <v>390</v>
      </c>
      <c r="E6" s="961" t="s">
        <v>391</v>
      </c>
    </row>
    <row r="7" spans="1:5" x14ac:dyDescent="0.25">
      <c r="A7" s="961">
        <v>1</v>
      </c>
      <c r="B7" s="961">
        <v>2</v>
      </c>
      <c r="C7" s="961">
        <v>3</v>
      </c>
      <c r="D7" s="961">
        <v>4</v>
      </c>
      <c r="E7" s="961">
        <v>5</v>
      </c>
    </row>
    <row r="8" spans="1:5" ht="60" customHeight="1" x14ac:dyDescent="0.25">
      <c r="A8" s="321" t="s">
        <v>405</v>
      </c>
      <c r="B8" s="961">
        <v>100</v>
      </c>
      <c r="C8" s="322"/>
      <c r="D8" s="322"/>
      <c r="E8" s="322"/>
    </row>
    <row r="9" spans="1:5" ht="42" customHeight="1" x14ac:dyDescent="0.25">
      <c r="A9" s="608" t="s">
        <v>406</v>
      </c>
      <c r="B9" s="961">
        <v>200</v>
      </c>
      <c r="C9" s="322"/>
      <c r="D9" s="322"/>
      <c r="E9" s="322"/>
    </row>
    <row r="10" spans="1:5" ht="19.5" customHeight="1" x14ac:dyDescent="0.25">
      <c r="A10" s="321" t="s">
        <v>407</v>
      </c>
      <c r="B10" s="961">
        <v>300</v>
      </c>
      <c r="C10" s="322">
        <f>SUM(C12:C30)</f>
        <v>0</v>
      </c>
      <c r="D10" s="322"/>
      <c r="E10" s="322"/>
    </row>
    <row r="11" spans="1:5" x14ac:dyDescent="0.25">
      <c r="A11" s="321" t="s">
        <v>408</v>
      </c>
      <c r="B11" s="321"/>
      <c r="C11" s="322"/>
      <c r="D11" s="322"/>
      <c r="E11" s="322"/>
    </row>
    <row r="12" spans="1:5" x14ac:dyDescent="0.25">
      <c r="A12" s="321" t="s">
        <v>410</v>
      </c>
      <c r="B12" s="961">
        <v>301</v>
      </c>
      <c r="C12" s="322"/>
      <c r="D12" s="322"/>
      <c r="E12" s="322"/>
    </row>
    <row r="13" spans="1:5" x14ac:dyDescent="0.25">
      <c r="A13" s="321" t="s">
        <v>409</v>
      </c>
      <c r="B13" s="961">
        <v>302</v>
      </c>
      <c r="C13" s="322"/>
      <c r="D13" s="322"/>
      <c r="E13" s="322"/>
    </row>
    <row r="14" spans="1:5" x14ac:dyDescent="0.25">
      <c r="A14" s="321" t="s">
        <v>411</v>
      </c>
      <c r="B14" s="961">
        <v>303</v>
      </c>
      <c r="C14" s="322"/>
      <c r="D14" s="322"/>
      <c r="E14" s="322"/>
    </row>
    <row r="15" spans="1:5" x14ac:dyDescent="0.25">
      <c r="A15" s="608" t="s">
        <v>863</v>
      </c>
      <c r="B15" s="961">
        <v>304</v>
      </c>
      <c r="C15" s="322"/>
      <c r="D15" s="322"/>
      <c r="E15" s="322"/>
    </row>
    <row r="16" spans="1:5" x14ac:dyDescent="0.25">
      <c r="A16" s="397" t="s">
        <v>546</v>
      </c>
      <c r="B16" s="961">
        <v>305</v>
      </c>
      <c r="C16" s="322"/>
      <c r="D16" s="322"/>
      <c r="E16" s="322"/>
    </row>
    <row r="17" spans="1:8" x14ac:dyDescent="0.25">
      <c r="A17" s="321" t="s">
        <v>412</v>
      </c>
      <c r="B17" s="961">
        <v>306</v>
      </c>
      <c r="C17" s="322"/>
      <c r="D17" s="322"/>
      <c r="E17" s="322"/>
    </row>
    <row r="18" spans="1:8" x14ac:dyDescent="0.25">
      <c r="A18" s="321" t="s">
        <v>413</v>
      </c>
      <c r="B18" s="961">
        <v>307</v>
      </c>
      <c r="C18" s="322"/>
      <c r="D18" s="322"/>
      <c r="E18" s="322"/>
    </row>
    <row r="19" spans="1:8" ht="22.5" customHeight="1" x14ac:dyDescent="0.25">
      <c r="A19" s="397" t="s">
        <v>684</v>
      </c>
      <c r="B19" s="961">
        <v>308</v>
      </c>
      <c r="C19" s="322"/>
      <c r="D19" s="322"/>
      <c r="E19" s="322"/>
    </row>
    <row r="20" spans="1:8" x14ac:dyDescent="0.25">
      <c r="A20" s="321" t="s">
        <v>414</v>
      </c>
      <c r="B20" s="961">
        <v>309</v>
      </c>
      <c r="C20" s="322"/>
      <c r="D20" s="322"/>
      <c r="E20" s="322"/>
    </row>
    <row r="21" spans="1:8" x14ac:dyDescent="0.25">
      <c r="A21" s="321" t="s">
        <v>422</v>
      </c>
      <c r="B21" s="961">
        <v>310</v>
      </c>
      <c r="C21" s="323"/>
      <c r="D21" s="323"/>
      <c r="E21" s="323"/>
    </row>
    <row r="22" spans="1:8" ht="18" customHeight="1" x14ac:dyDescent="0.25">
      <c r="A22" s="321" t="s">
        <v>415</v>
      </c>
      <c r="B22" s="961">
        <v>311</v>
      </c>
      <c r="C22" s="322"/>
      <c r="D22" s="322"/>
      <c r="E22" s="322"/>
    </row>
    <row r="23" spans="1:8" ht="26.25" customHeight="1" x14ac:dyDescent="0.25">
      <c r="A23" s="397" t="s">
        <v>710</v>
      </c>
      <c r="B23" s="961">
        <v>312</v>
      </c>
      <c r="C23" s="322"/>
      <c r="D23" s="322"/>
      <c r="E23" s="322"/>
    </row>
    <row r="24" spans="1:8" ht="26.25" customHeight="1" x14ac:dyDescent="0.25">
      <c r="A24" s="397" t="s">
        <v>711</v>
      </c>
      <c r="B24" s="961">
        <v>313</v>
      </c>
      <c r="C24" s="322"/>
      <c r="D24" s="322"/>
      <c r="E24" s="322"/>
    </row>
    <row r="25" spans="1:8" ht="28.5" customHeight="1" x14ac:dyDescent="0.25">
      <c r="A25" s="321" t="s">
        <v>423</v>
      </c>
      <c r="B25" s="961">
        <v>314</v>
      </c>
      <c r="C25" s="322"/>
      <c r="D25" s="322"/>
      <c r="E25" s="322"/>
    </row>
    <row r="26" spans="1:8" ht="15" customHeight="1" x14ac:dyDescent="0.25">
      <c r="A26" s="321" t="s">
        <v>424</v>
      </c>
      <c r="B26" s="961">
        <v>315</v>
      </c>
      <c r="C26" s="322"/>
      <c r="D26" s="322"/>
      <c r="E26" s="322"/>
    </row>
    <row r="27" spans="1:8" ht="63.75" customHeight="1" x14ac:dyDescent="0.25">
      <c r="A27" s="321" t="s">
        <v>416</v>
      </c>
      <c r="B27" s="961">
        <v>316</v>
      </c>
      <c r="C27" s="322"/>
      <c r="D27" s="322"/>
      <c r="E27" s="322"/>
    </row>
    <row r="28" spans="1:8" ht="20.25" customHeight="1" x14ac:dyDescent="0.25">
      <c r="A28" s="321" t="s">
        <v>417</v>
      </c>
      <c r="B28" s="961">
        <v>317</v>
      </c>
      <c r="C28" s="322"/>
      <c r="D28" s="322"/>
      <c r="E28" s="322"/>
    </row>
    <row r="29" spans="1:8" ht="20.25" customHeight="1" x14ac:dyDescent="0.25">
      <c r="A29" s="321" t="s">
        <v>418</v>
      </c>
      <c r="B29" s="961">
        <v>318</v>
      </c>
      <c r="C29" s="322"/>
      <c r="D29" s="322"/>
      <c r="E29" s="322"/>
      <c r="F29" s="324"/>
      <c r="G29" s="324"/>
      <c r="H29" s="324"/>
    </row>
    <row r="30" spans="1:8" ht="20.25" customHeight="1" x14ac:dyDescent="0.25">
      <c r="A30" s="397" t="s">
        <v>777</v>
      </c>
      <c r="B30" s="961">
        <v>319</v>
      </c>
      <c r="C30" s="322"/>
      <c r="D30" s="322"/>
      <c r="E30" s="322"/>
      <c r="G30" s="324"/>
    </row>
    <row r="31" spans="1:8" ht="59.25" customHeight="1" x14ac:dyDescent="0.25">
      <c r="A31" s="321" t="s">
        <v>419</v>
      </c>
      <c r="B31" s="961">
        <v>400</v>
      </c>
      <c r="C31" s="322"/>
      <c r="D31" s="322"/>
      <c r="E31" s="322"/>
      <c r="F31" s="324"/>
    </row>
    <row r="32" spans="1:8" ht="49.5" customHeight="1" x14ac:dyDescent="0.25">
      <c r="A32" s="321" t="s">
        <v>420</v>
      </c>
      <c r="B32" s="961">
        <v>500</v>
      </c>
      <c r="C32" s="322"/>
      <c r="D32" s="322"/>
      <c r="E32" s="322"/>
    </row>
    <row r="33" spans="1:6" s="328" customFormat="1" ht="31.5" customHeight="1" x14ac:dyDescent="0.25">
      <c r="A33" s="325" t="s">
        <v>421</v>
      </c>
      <c r="B33" s="326">
        <v>600</v>
      </c>
      <c r="C33" s="327">
        <f>C8-C9+C10-C31+C32</f>
        <v>0</v>
      </c>
      <c r="D33" s="327">
        <f>D8-D9+D10-D31+D32</f>
        <v>0</v>
      </c>
      <c r="E33" s="327">
        <f>E8-E9+E10-E31+E32</f>
        <v>0</v>
      </c>
    </row>
    <row r="34" spans="1:6" x14ac:dyDescent="0.25">
      <c r="A34" s="319" t="s">
        <v>183</v>
      </c>
      <c r="C34" s="324"/>
      <c r="D34" s="324"/>
      <c r="E34" s="324"/>
      <c r="F34" s="324"/>
    </row>
    <row r="35" spans="1:6" x14ac:dyDescent="0.25">
      <c r="C35" s="324"/>
      <c r="D35" s="324"/>
      <c r="E35" s="324"/>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tabColor rgb="FF00FFFF"/>
  </sheetPr>
  <dimension ref="A1:E14"/>
  <sheetViews>
    <sheetView view="pageBreakPreview" zoomScale="80" zoomScaleNormal="100" zoomScaleSheetLayoutView="80" workbookViewId="0">
      <selection activeCell="L8" sqref="L8"/>
    </sheetView>
  </sheetViews>
  <sheetFormatPr defaultRowHeight="39.75" customHeight="1" x14ac:dyDescent="0.25"/>
  <cols>
    <col min="1" max="1" width="47.33203125" style="313" customWidth="1"/>
    <col min="2" max="2" width="10" style="313" customWidth="1"/>
    <col min="3" max="5" width="25.83203125" style="313" customWidth="1"/>
    <col min="6" max="16384" width="9.33203125" style="313"/>
  </cols>
  <sheetData>
    <row r="1" spans="1:5" ht="39.75" customHeight="1" x14ac:dyDescent="0.25">
      <c r="A1" s="3425" t="s">
        <v>425</v>
      </c>
      <c r="B1" s="3425"/>
      <c r="C1" s="3425"/>
      <c r="D1" s="3425"/>
      <c r="E1" s="3425"/>
    </row>
    <row r="2" spans="1:5" ht="24" customHeight="1" x14ac:dyDescent="0.25">
      <c r="A2" s="3425" t="s">
        <v>1442</v>
      </c>
      <c r="B2" s="3425"/>
      <c r="C2" s="3425"/>
      <c r="D2" s="3425"/>
      <c r="E2" s="3425"/>
    </row>
    <row r="3" spans="1:5" ht="13.5" customHeight="1" x14ac:dyDescent="0.25">
      <c r="A3" s="3115"/>
      <c r="B3" s="3115"/>
      <c r="C3" s="3115"/>
      <c r="D3" s="3115"/>
      <c r="E3" s="382">
        <v>43831</v>
      </c>
    </row>
    <row r="4" spans="1:5" ht="39.75" customHeight="1" x14ac:dyDescent="0.25">
      <c r="A4" s="3426" t="s">
        <v>386</v>
      </c>
      <c r="B4" s="3426" t="s">
        <v>387</v>
      </c>
      <c r="C4" s="3426" t="s">
        <v>388</v>
      </c>
      <c r="D4" s="3426"/>
      <c r="E4" s="3426"/>
    </row>
    <row r="5" spans="1:5" ht="39.75" customHeight="1" x14ac:dyDescent="0.25">
      <c r="A5" s="3426"/>
      <c r="B5" s="3426"/>
      <c r="C5" s="3116" t="s">
        <v>397</v>
      </c>
      <c r="D5" s="3116" t="s">
        <v>398</v>
      </c>
      <c r="E5" s="3116" t="s">
        <v>399</v>
      </c>
    </row>
    <row r="6" spans="1:5" ht="39.75" customHeight="1" x14ac:dyDescent="0.25">
      <c r="A6" s="3426"/>
      <c r="B6" s="3426"/>
      <c r="C6" s="3116" t="s">
        <v>389</v>
      </c>
      <c r="D6" s="3116" t="s">
        <v>390</v>
      </c>
      <c r="E6" s="3116" t="s">
        <v>391</v>
      </c>
    </row>
    <row r="7" spans="1:5" ht="16.5" customHeight="1" x14ac:dyDescent="0.25">
      <c r="A7" s="3116">
        <v>1</v>
      </c>
      <c r="B7" s="3116">
        <v>2</v>
      </c>
      <c r="C7" s="3116">
        <v>3</v>
      </c>
      <c r="D7" s="3116">
        <v>4</v>
      </c>
      <c r="E7" s="3116">
        <v>5</v>
      </c>
    </row>
    <row r="8" spans="1:5" ht="46.5" customHeight="1" x14ac:dyDescent="0.25">
      <c r="A8" s="384" t="s">
        <v>392</v>
      </c>
      <c r="B8" s="3116">
        <v>100</v>
      </c>
      <c r="C8" s="385"/>
      <c r="D8" s="385"/>
      <c r="E8" s="385"/>
    </row>
    <row r="9" spans="1:5" ht="44.25" customHeight="1" x14ac:dyDescent="0.25">
      <c r="A9" s="384" t="s">
        <v>393</v>
      </c>
      <c r="B9" s="3116">
        <v>200</v>
      </c>
      <c r="C9" s="385"/>
      <c r="D9" s="385"/>
      <c r="E9" s="385"/>
    </row>
    <row r="10" spans="1:5" ht="26.25" customHeight="1" x14ac:dyDescent="0.25">
      <c r="A10" s="384" t="s">
        <v>394</v>
      </c>
      <c r="B10" s="3116">
        <v>300</v>
      </c>
      <c r="C10" s="385">
        <f>'внеб 991,992,911 (01.01.20)'!H17*1000</f>
        <v>2642700</v>
      </c>
      <c r="D10" s="385">
        <f>'внеб 991,992,911 (01.01.20)'!K17*1000</f>
        <v>2642700</v>
      </c>
      <c r="E10" s="385">
        <f>'внеб 991,992,911 (01.01.20)'!N17*1000</f>
        <v>2642700</v>
      </c>
    </row>
    <row r="11" spans="1:5" ht="46.5" customHeight="1" x14ac:dyDescent="0.25">
      <c r="A11" s="384" t="s">
        <v>395</v>
      </c>
      <c r="B11" s="3116">
        <v>400</v>
      </c>
      <c r="C11" s="385"/>
      <c r="D11" s="385"/>
      <c r="E11" s="385"/>
    </row>
    <row r="12" spans="1:5" ht="49.5" customHeight="1" x14ac:dyDescent="0.25">
      <c r="A12" s="384" t="s">
        <v>396</v>
      </c>
      <c r="B12" s="3116">
        <v>500</v>
      </c>
      <c r="C12" s="385"/>
      <c r="D12" s="385"/>
      <c r="E12" s="385"/>
    </row>
    <row r="13" spans="1:5" s="316" customFormat="1" ht="39.75" customHeight="1" x14ac:dyDescent="0.25">
      <c r="A13" s="386" t="s">
        <v>507</v>
      </c>
      <c r="B13" s="387">
        <v>600</v>
      </c>
      <c r="C13" s="388">
        <f>C8-C9+C10-C11+C12</f>
        <v>2642700</v>
      </c>
      <c r="D13" s="388">
        <f t="shared" ref="D13:E13" si="0">D8-D9+D10-D11+D12</f>
        <v>2642700</v>
      </c>
      <c r="E13" s="388">
        <f t="shared" si="0"/>
        <v>2642700</v>
      </c>
    </row>
    <row r="14" spans="1:5" ht="39.75" customHeight="1" x14ac:dyDescent="0.25">
      <c r="C14" s="654"/>
    </row>
  </sheetData>
  <mergeCells count="5">
    <mergeCell ref="A1:E1"/>
    <mergeCell ref="A4:A6"/>
    <mergeCell ref="B4:B6"/>
    <mergeCell ref="C4:E4"/>
    <mergeCell ref="A2:E2"/>
  </mergeCells>
  <pageMargins left="0.7" right="0.7" top="0.75" bottom="0.75" header="0.3" footer="0.3"/>
  <pageSetup paperSize="9"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I43"/>
  <sheetViews>
    <sheetView zoomScale="80" zoomScaleNormal="80" workbookViewId="0">
      <pane xSplit="1" ySplit="1" topLeftCell="B2" activePane="bottomRight" state="frozen"/>
      <selection activeCell="E71" sqref="E71"/>
      <selection pane="topRight" activeCell="E71" sqref="E71"/>
      <selection pane="bottomLeft" activeCell="E71" sqref="E71"/>
      <selection pane="bottomRight" activeCell="G16" sqref="G16"/>
    </sheetView>
  </sheetViews>
  <sheetFormatPr defaultRowHeight="12.75" x14ac:dyDescent="0.2"/>
  <cols>
    <col min="1" max="1" width="35.6640625" style="763" customWidth="1"/>
    <col min="2" max="2" width="7.5" style="763" customWidth="1"/>
    <col min="3" max="3" width="6.5" style="763" customWidth="1"/>
    <col min="4" max="4" width="31.83203125" style="763" customWidth="1"/>
    <col min="5" max="5" width="8.6640625" style="763" customWidth="1"/>
    <col min="6" max="6" width="36.1640625" style="763" customWidth="1"/>
    <col min="7" max="7" width="9.33203125" style="763" customWidth="1"/>
    <col min="8" max="8" width="50.6640625" style="763" customWidth="1"/>
    <col min="9" max="9" width="42.5" style="763" customWidth="1"/>
    <col min="10" max="16384" width="9.33203125" style="763"/>
  </cols>
  <sheetData>
    <row r="1" spans="1:9" ht="46.5" customHeight="1" x14ac:dyDescent="0.2">
      <c r="A1" s="758" t="s">
        <v>1034</v>
      </c>
      <c r="B1" s="759">
        <v>2100</v>
      </c>
      <c r="C1" s="759" t="s">
        <v>1158</v>
      </c>
      <c r="D1" s="760" t="s">
        <v>1159</v>
      </c>
      <c r="E1" s="759" t="s">
        <v>1160</v>
      </c>
      <c r="F1" s="760" t="s">
        <v>1161</v>
      </c>
      <c r="G1" s="761" t="s">
        <v>477</v>
      </c>
      <c r="H1" s="761" t="s">
        <v>1162</v>
      </c>
      <c r="I1" s="762" t="s">
        <v>180</v>
      </c>
    </row>
    <row r="2" spans="1:9" ht="20.25" customHeight="1" x14ac:dyDescent="0.2">
      <c r="A2" s="360" t="s">
        <v>408</v>
      </c>
      <c r="B2" s="764"/>
      <c r="C2" s="764"/>
      <c r="D2" s="765"/>
      <c r="E2" s="764"/>
      <c r="F2" s="765"/>
      <c r="G2" s="766"/>
      <c r="H2" s="767"/>
      <c r="I2" s="768"/>
    </row>
    <row r="3" spans="1:9" ht="27.75" customHeight="1" x14ac:dyDescent="0.2">
      <c r="A3" s="769" t="s">
        <v>1035</v>
      </c>
      <c r="B3" s="770">
        <v>2110</v>
      </c>
      <c r="C3" s="770">
        <v>111</v>
      </c>
      <c r="D3" s="771" t="s">
        <v>1163</v>
      </c>
      <c r="E3" s="771">
        <v>211</v>
      </c>
      <c r="F3" s="771" t="s">
        <v>514</v>
      </c>
      <c r="G3" s="772">
        <v>991</v>
      </c>
      <c r="H3" s="773" t="s">
        <v>514</v>
      </c>
      <c r="I3" s="774"/>
    </row>
    <row r="4" spans="1:9" ht="42.75" customHeight="1" x14ac:dyDescent="0.2">
      <c r="A4" s="360"/>
      <c r="B4" s="764"/>
      <c r="C4" s="764"/>
      <c r="D4" s="765"/>
      <c r="E4" s="765">
        <v>266</v>
      </c>
      <c r="F4" s="765" t="s">
        <v>1164</v>
      </c>
      <c r="G4" s="766">
        <v>991</v>
      </c>
      <c r="H4" s="767" t="s">
        <v>514</v>
      </c>
      <c r="I4" s="768"/>
    </row>
    <row r="5" spans="1:9" ht="54" customHeight="1" x14ac:dyDescent="0.2">
      <c r="A5" s="769" t="s">
        <v>1036</v>
      </c>
      <c r="B5" s="770">
        <v>2120</v>
      </c>
      <c r="C5" s="770">
        <v>112</v>
      </c>
      <c r="D5" s="771" t="s">
        <v>459</v>
      </c>
      <c r="E5" s="770">
        <v>212</v>
      </c>
      <c r="F5" s="771" t="s">
        <v>1165</v>
      </c>
      <c r="G5" s="772">
        <v>912</v>
      </c>
      <c r="H5" s="773" t="s">
        <v>460</v>
      </c>
      <c r="I5" s="774"/>
    </row>
    <row r="6" spans="1:9" ht="29.25" customHeight="1" x14ac:dyDescent="0.2">
      <c r="A6" s="360"/>
      <c r="B6" s="764"/>
      <c r="C6" s="764"/>
      <c r="D6" s="765"/>
      <c r="E6" s="764">
        <v>214</v>
      </c>
      <c r="F6" s="765" t="s">
        <v>1166</v>
      </c>
      <c r="G6" s="766">
        <v>911</v>
      </c>
      <c r="H6" s="767" t="s">
        <v>461</v>
      </c>
      <c r="I6" s="768"/>
    </row>
    <row r="7" spans="1:9" ht="13.5" customHeight="1" x14ac:dyDescent="0.2">
      <c r="A7" s="360"/>
      <c r="B7" s="764"/>
      <c r="C7" s="764"/>
      <c r="D7" s="765"/>
      <c r="E7" s="764"/>
      <c r="F7" s="765"/>
      <c r="G7" s="766" t="s">
        <v>471</v>
      </c>
      <c r="H7" s="767" t="s">
        <v>462</v>
      </c>
      <c r="I7" s="768"/>
    </row>
    <row r="8" spans="1:9" ht="66.75" customHeight="1" x14ac:dyDescent="0.2">
      <c r="A8" s="360"/>
      <c r="B8" s="764"/>
      <c r="C8" s="764"/>
      <c r="D8" s="765"/>
      <c r="E8" s="764"/>
      <c r="F8" s="765"/>
      <c r="G8" s="766" t="s">
        <v>472</v>
      </c>
      <c r="H8" s="767" t="s">
        <v>463</v>
      </c>
      <c r="I8" s="768"/>
    </row>
    <row r="9" spans="1:9" ht="15.75" customHeight="1" x14ac:dyDescent="0.2">
      <c r="A9" s="360"/>
      <c r="B9" s="764"/>
      <c r="C9" s="764"/>
      <c r="D9" s="765"/>
      <c r="E9" s="764">
        <v>226</v>
      </c>
      <c r="F9" s="765" t="s">
        <v>1167</v>
      </c>
      <c r="G9" s="766" t="s">
        <v>473</v>
      </c>
      <c r="H9" s="767" t="s">
        <v>464</v>
      </c>
      <c r="I9" s="768" t="s">
        <v>1168</v>
      </c>
    </row>
    <row r="10" spans="1:9" ht="28.5" customHeight="1" x14ac:dyDescent="0.2">
      <c r="A10" s="360"/>
      <c r="B10" s="764"/>
      <c r="C10" s="764"/>
      <c r="D10" s="765"/>
      <c r="E10" s="764"/>
      <c r="F10" s="765"/>
      <c r="G10" s="766" t="s">
        <v>474</v>
      </c>
      <c r="H10" s="767" t="s">
        <v>465</v>
      </c>
      <c r="I10" s="768"/>
    </row>
    <row r="11" spans="1:9" ht="66.75" customHeight="1" x14ac:dyDescent="0.2">
      <c r="A11" s="360"/>
      <c r="B11" s="764"/>
      <c r="C11" s="764"/>
      <c r="D11" s="765"/>
      <c r="E11" s="764"/>
      <c r="F11" s="765"/>
      <c r="G11" s="766" t="s">
        <v>472</v>
      </c>
      <c r="H11" s="767" t="s">
        <v>463</v>
      </c>
      <c r="I11" s="768"/>
    </row>
    <row r="12" spans="1:9" ht="41.25" customHeight="1" x14ac:dyDescent="0.2">
      <c r="A12" s="360"/>
      <c r="B12" s="764"/>
      <c r="C12" s="764"/>
      <c r="D12" s="765"/>
      <c r="E12" s="764"/>
      <c r="F12" s="765"/>
      <c r="G12" s="766" t="s">
        <v>475</v>
      </c>
      <c r="H12" s="767" t="s">
        <v>466</v>
      </c>
      <c r="I12" s="768"/>
    </row>
    <row r="13" spans="1:9" ht="43.5" customHeight="1" x14ac:dyDescent="0.2">
      <c r="A13" s="360"/>
      <c r="B13" s="764"/>
      <c r="C13" s="764"/>
      <c r="D13" s="765"/>
      <c r="E13" s="764">
        <v>266</v>
      </c>
      <c r="F13" s="765" t="s">
        <v>467</v>
      </c>
      <c r="G13" s="766" t="s">
        <v>476</v>
      </c>
      <c r="H13" s="767" t="s">
        <v>467</v>
      </c>
      <c r="I13" s="768"/>
    </row>
    <row r="14" spans="1:9" ht="63.75" customHeight="1" x14ac:dyDescent="0.2">
      <c r="A14" s="769" t="s">
        <v>1037</v>
      </c>
      <c r="B14" s="770">
        <v>2130</v>
      </c>
      <c r="C14" s="770">
        <v>113</v>
      </c>
      <c r="D14" s="771" t="s">
        <v>480</v>
      </c>
      <c r="E14" s="770" t="s">
        <v>1169</v>
      </c>
      <c r="F14" s="771" t="s">
        <v>1167</v>
      </c>
      <c r="G14" s="772" t="s">
        <v>502</v>
      </c>
      <c r="H14" s="773" t="s">
        <v>481</v>
      </c>
      <c r="I14" s="774"/>
    </row>
    <row r="15" spans="1:9" ht="61.5" customHeight="1" x14ac:dyDescent="0.2">
      <c r="A15" s="769" t="s">
        <v>1038</v>
      </c>
      <c r="B15" s="770">
        <v>2140</v>
      </c>
      <c r="C15" s="770">
        <v>119</v>
      </c>
      <c r="D15" s="771" t="s">
        <v>1170</v>
      </c>
      <c r="E15" s="774"/>
      <c r="F15" s="774"/>
      <c r="G15" s="774"/>
      <c r="H15" s="774"/>
      <c r="I15" s="774"/>
    </row>
    <row r="16" spans="1:9" ht="20.25" customHeight="1" x14ac:dyDescent="0.2">
      <c r="A16" s="360" t="s">
        <v>408</v>
      </c>
      <c r="B16" s="764"/>
      <c r="C16" s="764"/>
      <c r="D16" s="765"/>
      <c r="E16" s="764"/>
      <c r="F16" s="765"/>
      <c r="G16" s="766"/>
      <c r="H16" s="767"/>
      <c r="I16" s="768"/>
    </row>
    <row r="17" spans="1:9" s="361" customFormat="1" ht="24" customHeight="1" x14ac:dyDescent="0.2">
      <c r="A17" s="360" t="s">
        <v>1039</v>
      </c>
      <c r="B17" s="764">
        <v>2141</v>
      </c>
      <c r="C17" s="764">
        <v>119</v>
      </c>
      <c r="D17" s="765"/>
      <c r="E17" s="764" t="s">
        <v>1171</v>
      </c>
      <c r="F17" s="765" t="s">
        <v>1172</v>
      </c>
      <c r="G17" s="775" t="s">
        <v>1173</v>
      </c>
      <c r="H17" s="776" t="s">
        <v>1172</v>
      </c>
      <c r="I17" s="777"/>
    </row>
    <row r="18" spans="1:9" ht="63" customHeight="1" x14ac:dyDescent="0.2">
      <c r="A18" s="360" t="s">
        <v>1040</v>
      </c>
      <c r="B18" s="764">
        <v>2142</v>
      </c>
      <c r="C18" s="764">
        <v>119</v>
      </c>
      <c r="D18" s="765"/>
      <c r="E18" s="764" t="s">
        <v>1169</v>
      </c>
      <c r="F18" s="765" t="s">
        <v>1167</v>
      </c>
      <c r="G18" s="766" t="s">
        <v>1174</v>
      </c>
      <c r="H18" s="767" t="s">
        <v>1175</v>
      </c>
      <c r="I18" s="767" t="s">
        <v>1176</v>
      </c>
    </row>
    <row r="19" spans="1:9" ht="25.5" x14ac:dyDescent="0.2">
      <c r="A19" s="768"/>
      <c r="B19" s="768"/>
      <c r="C19" s="768"/>
      <c r="D19" s="768"/>
      <c r="E19" s="764" t="s">
        <v>1177</v>
      </c>
      <c r="F19" s="765" t="s">
        <v>1178</v>
      </c>
      <c r="G19" s="766" t="s">
        <v>1179</v>
      </c>
      <c r="H19" s="767" t="s">
        <v>1180</v>
      </c>
      <c r="I19" s="767" t="s">
        <v>1176</v>
      </c>
    </row>
    <row r="20" spans="1:9" ht="57" customHeight="1" x14ac:dyDescent="0.2">
      <c r="A20" s="769" t="s">
        <v>1043</v>
      </c>
      <c r="B20" s="770">
        <v>2211</v>
      </c>
      <c r="C20" s="770">
        <v>321</v>
      </c>
      <c r="D20" s="771" t="s">
        <v>512</v>
      </c>
      <c r="E20" s="771">
        <v>264</v>
      </c>
      <c r="F20" s="771" t="s">
        <v>1181</v>
      </c>
      <c r="G20" s="772" t="s">
        <v>1182</v>
      </c>
      <c r="H20" s="773" t="s">
        <v>513</v>
      </c>
      <c r="I20" s="768"/>
    </row>
    <row r="21" spans="1:9" ht="53.25" customHeight="1" x14ac:dyDescent="0.2">
      <c r="A21" s="360"/>
      <c r="B21" s="764"/>
      <c r="C21" s="764"/>
      <c r="D21" s="765"/>
      <c r="E21" s="765" t="s">
        <v>1183</v>
      </c>
      <c r="F21" s="765" t="s">
        <v>1181</v>
      </c>
      <c r="G21" s="766" t="s">
        <v>1184</v>
      </c>
      <c r="H21" s="767" t="s">
        <v>514</v>
      </c>
      <c r="I21" s="778" t="s">
        <v>1185</v>
      </c>
    </row>
    <row r="22" spans="1:9" ht="63.75" customHeight="1" x14ac:dyDescent="0.2">
      <c r="A22" s="360"/>
      <c r="B22" s="764"/>
      <c r="C22" s="764"/>
      <c r="D22" s="765"/>
      <c r="E22" s="765" t="s">
        <v>1183</v>
      </c>
      <c r="F22" s="765" t="s">
        <v>1181</v>
      </c>
      <c r="G22" s="766" t="s">
        <v>1186</v>
      </c>
      <c r="H22" s="767" t="s">
        <v>515</v>
      </c>
      <c r="I22" s="779" t="s">
        <v>1187</v>
      </c>
    </row>
    <row r="23" spans="1:9" ht="51" customHeight="1" x14ac:dyDescent="0.2">
      <c r="A23" s="360"/>
      <c r="B23" s="764"/>
      <c r="C23" s="764"/>
      <c r="D23" s="765"/>
      <c r="E23" s="765" t="s">
        <v>1188</v>
      </c>
      <c r="F23" s="765" t="s">
        <v>1189</v>
      </c>
      <c r="G23" s="766" t="s">
        <v>1190</v>
      </c>
      <c r="H23" s="767" t="s">
        <v>516</v>
      </c>
      <c r="I23" s="779"/>
    </row>
    <row r="24" spans="1:9" ht="25.5" x14ac:dyDescent="0.2">
      <c r="A24" s="780" t="s">
        <v>1044</v>
      </c>
      <c r="B24" s="781">
        <v>2300</v>
      </c>
      <c r="C24" s="781">
        <v>850</v>
      </c>
      <c r="D24" s="773"/>
      <c r="E24" s="772"/>
      <c r="F24" s="773"/>
      <c r="G24" s="772"/>
      <c r="H24" s="773"/>
      <c r="I24" s="772"/>
    </row>
    <row r="25" spans="1:9" ht="40.5" customHeight="1" x14ac:dyDescent="0.2">
      <c r="A25" s="360" t="s">
        <v>1045</v>
      </c>
      <c r="B25" s="764">
        <v>2310</v>
      </c>
      <c r="C25" s="764">
        <v>851</v>
      </c>
      <c r="D25" s="767"/>
      <c r="E25" s="766"/>
      <c r="F25" s="767"/>
      <c r="G25" s="766"/>
      <c r="H25" s="767"/>
      <c r="I25" s="766"/>
    </row>
    <row r="26" spans="1:9" ht="55.5" customHeight="1" x14ac:dyDescent="0.2">
      <c r="A26" s="360" t="s">
        <v>1046</v>
      </c>
      <c r="B26" s="764">
        <v>2320</v>
      </c>
      <c r="C26" s="764">
        <v>852</v>
      </c>
      <c r="D26" s="767" t="s">
        <v>1191</v>
      </c>
      <c r="E26" s="766" t="s">
        <v>1192</v>
      </c>
      <c r="F26" s="767" t="s">
        <v>979</v>
      </c>
      <c r="G26" s="766" t="s">
        <v>1193</v>
      </c>
      <c r="H26" s="767" t="s">
        <v>979</v>
      </c>
      <c r="I26" s="766"/>
    </row>
    <row r="27" spans="1:9" ht="51" x14ac:dyDescent="0.2">
      <c r="A27" s="360" t="s">
        <v>1047</v>
      </c>
      <c r="B27" s="764">
        <v>2330</v>
      </c>
      <c r="C27" s="764">
        <v>853</v>
      </c>
      <c r="D27" s="767" t="s">
        <v>1194</v>
      </c>
      <c r="E27" s="766" t="s">
        <v>1195</v>
      </c>
      <c r="F27" s="767" t="s">
        <v>980</v>
      </c>
      <c r="G27" s="766" t="s">
        <v>1196</v>
      </c>
      <c r="H27" s="767" t="s">
        <v>980</v>
      </c>
      <c r="I27" s="766"/>
    </row>
    <row r="28" spans="1:9" x14ac:dyDescent="0.2">
      <c r="A28" s="360"/>
      <c r="B28" s="764"/>
      <c r="C28" s="764"/>
      <c r="D28" s="767"/>
      <c r="E28" s="766" t="s">
        <v>1197</v>
      </c>
      <c r="F28" s="767" t="s">
        <v>981</v>
      </c>
      <c r="G28" s="766" t="s">
        <v>1198</v>
      </c>
      <c r="H28" s="767" t="s">
        <v>1199</v>
      </c>
      <c r="I28" s="766"/>
    </row>
    <row r="29" spans="1:9" ht="25.5" x14ac:dyDescent="0.2">
      <c r="A29" s="360"/>
      <c r="B29" s="764"/>
      <c r="C29" s="764"/>
      <c r="D29" s="767"/>
      <c r="E29" s="766" t="s">
        <v>1200</v>
      </c>
      <c r="F29" s="767" t="s">
        <v>1201</v>
      </c>
      <c r="G29" s="766" t="s">
        <v>1202</v>
      </c>
      <c r="H29" s="767" t="s">
        <v>982</v>
      </c>
      <c r="I29" s="766"/>
    </row>
    <row r="30" spans="1:9" ht="25.5" x14ac:dyDescent="0.2">
      <c r="A30" s="360"/>
      <c r="B30" s="764"/>
      <c r="C30" s="764"/>
      <c r="D30" s="767"/>
      <c r="E30" s="766" t="s">
        <v>1203</v>
      </c>
      <c r="F30" s="767" t="s">
        <v>1204</v>
      </c>
      <c r="G30" s="766" t="s">
        <v>1205</v>
      </c>
      <c r="H30" s="767" t="s">
        <v>983</v>
      </c>
      <c r="I30" s="766"/>
    </row>
    <row r="31" spans="1:9" ht="41.25" customHeight="1" x14ac:dyDescent="0.2">
      <c r="A31" s="780" t="s">
        <v>1048</v>
      </c>
      <c r="B31" s="781">
        <v>2400</v>
      </c>
      <c r="C31" s="781" t="s">
        <v>898</v>
      </c>
      <c r="D31" s="773"/>
      <c r="E31" s="772"/>
      <c r="F31" s="773"/>
      <c r="G31" s="772"/>
      <c r="H31" s="773"/>
      <c r="I31" s="772"/>
    </row>
    <row r="32" spans="1:9" ht="51" x14ac:dyDescent="0.2">
      <c r="A32" s="360" t="s">
        <v>1049</v>
      </c>
      <c r="B32" s="764">
        <v>2410</v>
      </c>
      <c r="C32" s="764">
        <v>810</v>
      </c>
      <c r="D32" s="767"/>
      <c r="E32" s="766"/>
      <c r="F32" s="767"/>
      <c r="G32" s="766"/>
      <c r="H32" s="767"/>
      <c r="I32" s="766"/>
    </row>
    <row r="33" spans="1:9" ht="25.5" x14ac:dyDescent="0.2">
      <c r="A33" s="360" t="s">
        <v>1050</v>
      </c>
      <c r="B33" s="764">
        <v>2420</v>
      </c>
      <c r="C33" s="764">
        <v>862</v>
      </c>
      <c r="D33" s="767"/>
      <c r="E33" s="766"/>
      <c r="F33" s="767"/>
      <c r="G33" s="766"/>
      <c r="H33" s="767"/>
      <c r="I33" s="766"/>
    </row>
    <row r="34" spans="1:9" ht="25.5" x14ac:dyDescent="0.2">
      <c r="A34" s="780" t="s">
        <v>1051</v>
      </c>
      <c r="B34" s="781">
        <v>2500</v>
      </c>
      <c r="C34" s="781" t="s">
        <v>898</v>
      </c>
      <c r="D34" s="773"/>
      <c r="E34" s="772"/>
      <c r="F34" s="773"/>
      <c r="G34" s="772"/>
      <c r="H34" s="773"/>
      <c r="I34" s="772"/>
    </row>
    <row r="35" spans="1:9" ht="81.75" customHeight="1" x14ac:dyDescent="0.2">
      <c r="A35" s="360" t="s">
        <v>1052</v>
      </c>
      <c r="B35" s="764">
        <v>252</v>
      </c>
      <c r="C35" s="764">
        <v>831</v>
      </c>
      <c r="D35" s="767"/>
      <c r="E35" s="766"/>
      <c r="F35" s="767"/>
      <c r="G35" s="766"/>
      <c r="H35" s="767"/>
      <c r="I35" s="766"/>
    </row>
    <row r="36" spans="1:9" ht="29.25" customHeight="1" x14ac:dyDescent="0.2">
      <c r="A36" s="780" t="s">
        <v>1206</v>
      </c>
      <c r="B36" s="781">
        <v>2600</v>
      </c>
      <c r="C36" s="781" t="s">
        <v>898</v>
      </c>
      <c r="D36" s="773"/>
      <c r="E36" s="772"/>
      <c r="F36" s="773"/>
      <c r="G36" s="772"/>
      <c r="H36" s="773"/>
      <c r="I36" s="772"/>
    </row>
    <row r="37" spans="1:9" ht="45.75" customHeight="1" x14ac:dyDescent="0.2">
      <c r="A37" s="360" t="s">
        <v>1054</v>
      </c>
      <c r="B37" s="764">
        <v>2610</v>
      </c>
      <c r="C37" s="764">
        <v>241</v>
      </c>
      <c r="D37" s="767"/>
      <c r="E37" s="766"/>
      <c r="F37" s="767"/>
      <c r="G37" s="766"/>
      <c r="H37" s="767"/>
      <c r="I37" s="766"/>
    </row>
    <row r="38" spans="1:9" ht="42.75" customHeight="1" x14ac:dyDescent="0.2">
      <c r="A38" s="360" t="s">
        <v>1055</v>
      </c>
      <c r="B38" s="764">
        <v>2620</v>
      </c>
      <c r="C38" s="764">
        <v>242</v>
      </c>
      <c r="D38" s="767"/>
      <c r="E38" s="766"/>
      <c r="F38" s="767"/>
      <c r="G38" s="766"/>
      <c r="H38" s="767"/>
      <c r="I38" s="766"/>
    </row>
    <row r="39" spans="1:9" ht="65.25" customHeight="1" x14ac:dyDescent="0.2">
      <c r="A39" s="360" t="s">
        <v>1056</v>
      </c>
      <c r="B39" s="764">
        <v>2630</v>
      </c>
      <c r="C39" s="764">
        <v>243</v>
      </c>
      <c r="D39" s="767" t="s">
        <v>1207</v>
      </c>
      <c r="E39" s="766" t="s">
        <v>1169</v>
      </c>
      <c r="F39" s="767" t="s">
        <v>1167</v>
      </c>
      <c r="G39" s="766" t="s">
        <v>1208</v>
      </c>
      <c r="H39" s="767" t="s">
        <v>1209</v>
      </c>
      <c r="I39" s="766"/>
    </row>
    <row r="40" spans="1:9" ht="81.75" customHeight="1" x14ac:dyDescent="0.2">
      <c r="A40" s="360"/>
      <c r="B40" s="764"/>
      <c r="C40" s="764"/>
      <c r="D40" s="767" t="s">
        <v>1207</v>
      </c>
      <c r="E40" s="766" t="s">
        <v>1169</v>
      </c>
      <c r="F40" s="767" t="s">
        <v>1167</v>
      </c>
      <c r="G40" s="766" t="s">
        <v>1210</v>
      </c>
      <c r="H40" s="767" t="s">
        <v>1211</v>
      </c>
      <c r="I40" s="766"/>
    </row>
    <row r="41" spans="1:9" ht="25.5" x14ac:dyDescent="0.2">
      <c r="A41" s="360" t="s">
        <v>1057</v>
      </c>
      <c r="B41" s="764">
        <v>2640</v>
      </c>
      <c r="C41" s="764">
        <v>244</v>
      </c>
      <c r="D41" s="767"/>
      <c r="E41" s="766"/>
      <c r="F41" s="767"/>
      <c r="G41" s="766"/>
      <c r="H41" s="767"/>
      <c r="I41" s="766"/>
    </row>
    <row r="42" spans="1:9" x14ac:dyDescent="0.2">
      <c r="A42" s="360" t="s">
        <v>835</v>
      </c>
      <c r="B42" s="764"/>
      <c r="C42" s="764"/>
      <c r="D42" s="767"/>
      <c r="E42" s="766"/>
      <c r="F42" s="767"/>
      <c r="G42" s="766"/>
      <c r="H42" s="767"/>
      <c r="I42" s="766"/>
    </row>
    <row r="43" spans="1:9" x14ac:dyDescent="0.2">
      <c r="A43" s="360"/>
      <c r="B43" s="764"/>
      <c r="C43" s="764"/>
      <c r="D43" s="767"/>
      <c r="E43" s="766"/>
      <c r="F43" s="767"/>
      <c r="G43" s="766"/>
      <c r="H43" s="767"/>
      <c r="I43" s="766"/>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tabColor rgb="FF00FFFF"/>
  </sheetPr>
  <dimension ref="A1:E13"/>
  <sheetViews>
    <sheetView view="pageBreakPreview" zoomScaleNormal="100" zoomScaleSheetLayoutView="100" workbookViewId="0">
      <selection activeCell="I6" sqref="I6"/>
    </sheetView>
  </sheetViews>
  <sheetFormatPr defaultRowHeight="15" x14ac:dyDescent="0.25"/>
  <cols>
    <col min="1" max="1" width="52.33203125" style="313" customWidth="1"/>
    <col min="2" max="2" width="9.6640625" style="313" customWidth="1"/>
    <col min="3" max="5" width="24.33203125" style="313" customWidth="1"/>
    <col min="6" max="16384" width="9.33203125" style="313"/>
  </cols>
  <sheetData>
    <row r="1" spans="1:5" ht="48" customHeight="1" x14ac:dyDescent="0.25">
      <c r="A1" s="3425" t="s">
        <v>2860</v>
      </c>
      <c r="B1" s="3425"/>
      <c r="C1" s="3425"/>
      <c r="D1" s="3425"/>
      <c r="E1" s="3425"/>
    </row>
    <row r="2" spans="1:5" ht="13.5" customHeight="1" x14ac:dyDescent="0.25">
      <c r="A2" s="3115"/>
      <c r="B2" s="3115"/>
      <c r="C2" s="3115"/>
      <c r="D2" s="3115"/>
      <c r="E2" s="382">
        <v>43831</v>
      </c>
    </row>
    <row r="3" spans="1:5" ht="21" customHeight="1" x14ac:dyDescent="0.25">
      <c r="A3" s="3427" t="s">
        <v>1442</v>
      </c>
      <c r="B3" s="3427"/>
      <c r="C3" s="3427"/>
      <c r="D3" s="3427"/>
      <c r="E3" s="3427"/>
    </row>
    <row r="4" spans="1:5" x14ac:dyDescent="0.25">
      <c r="A4" s="3426" t="s">
        <v>386</v>
      </c>
      <c r="B4" s="3426" t="s">
        <v>387</v>
      </c>
      <c r="C4" s="3426" t="s">
        <v>388</v>
      </c>
      <c r="D4" s="3426"/>
      <c r="E4" s="3426"/>
    </row>
    <row r="5" spans="1:5" x14ac:dyDescent="0.25">
      <c r="A5" s="3426"/>
      <c r="B5" s="3426"/>
      <c r="C5" s="3116" t="s">
        <v>397</v>
      </c>
      <c r="D5" s="3116" t="s">
        <v>398</v>
      </c>
      <c r="E5" s="3116" t="s">
        <v>399</v>
      </c>
    </row>
    <row r="6" spans="1:5" ht="28.5" customHeight="1" x14ac:dyDescent="0.25">
      <c r="A6" s="3426"/>
      <c r="B6" s="3426"/>
      <c r="C6" s="3116" t="s">
        <v>389</v>
      </c>
      <c r="D6" s="3116" t="s">
        <v>390</v>
      </c>
      <c r="E6" s="3116" t="s">
        <v>391</v>
      </c>
    </row>
    <row r="7" spans="1:5" x14ac:dyDescent="0.25">
      <c r="A7" s="3116">
        <v>1</v>
      </c>
      <c r="B7" s="3116">
        <v>2</v>
      </c>
      <c r="C7" s="3116">
        <v>3</v>
      </c>
      <c r="D7" s="3116">
        <v>4</v>
      </c>
      <c r="E7" s="3116">
        <v>5</v>
      </c>
    </row>
    <row r="8" spans="1:5" ht="30" customHeight="1" x14ac:dyDescent="0.25">
      <c r="A8" s="384" t="s">
        <v>400</v>
      </c>
      <c r="B8" s="3116">
        <v>100</v>
      </c>
      <c r="C8" s="385"/>
      <c r="D8" s="385"/>
      <c r="E8" s="385"/>
    </row>
    <row r="9" spans="1:5" ht="42" customHeight="1" x14ac:dyDescent="0.25">
      <c r="A9" s="384" t="s">
        <v>401</v>
      </c>
      <c r="B9" s="3116">
        <v>200</v>
      </c>
      <c r="C9" s="385"/>
      <c r="D9" s="385"/>
      <c r="E9" s="385"/>
    </row>
    <row r="10" spans="1:5" ht="28.5" customHeight="1" x14ac:dyDescent="0.25">
      <c r="A10" s="384" t="s">
        <v>402</v>
      </c>
      <c r="B10" s="3116">
        <v>300</v>
      </c>
      <c r="C10" s="385">
        <f>'внеб 991,992,911 (01.01.20)'!I17*1000</f>
        <v>798100</v>
      </c>
      <c r="D10" s="385">
        <f>'внеб 991,992,911 (01.01.20)'!L17*1000</f>
        <v>798100</v>
      </c>
      <c r="E10" s="385">
        <f>'внеб 991,992,911 (01.01.20)'!O17*1000</f>
        <v>798100</v>
      </c>
    </row>
    <row r="11" spans="1:5" ht="33" customHeight="1" x14ac:dyDescent="0.25">
      <c r="A11" s="384" t="s">
        <v>403</v>
      </c>
      <c r="B11" s="3116">
        <v>400</v>
      </c>
      <c r="C11" s="385"/>
      <c r="D11" s="385"/>
      <c r="E11" s="385"/>
    </row>
    <row r="12" spans="1:5" ht="42.75" customHeight="1" x14ac:dyDescent="0.25">
      <c r="A12" s="384" t="s">
        <v>404</v>
      </c>
      <c r="B12" s="3116">
        <v>500</v>
      </c>
      <c r="C12" s="385"/>
      <c r="D12" s="385"/>
      <c r="E12" s="385"/>
    </row>
    <row r="13" spans="1:5" s="316" customFormat="1" ht="44.25" customHeight="1" x14ac:dyDescent="0.25">
      <c r="A13" s="386" t="s">
        <v>508</v>
      </c>
      <c r="B13" s="387">
        <v>600</v>
      </c>
      <c r="C13" s="388">
        <f>C8-C9+C10-C11+C12</f>
        <v>798100</v>
      </c>
      <c r="D13" s="388">
        <f t="shared" ref="D13:E13" si="0">D8-D9+D10-D11+D12</f>
        <v>798100</v>
      </c>
      <c r="E13" s="388">
        <f t="shared" si="0"/>
        <v>798100</v>
      </c>
    </row>
  </sheetData>
  <mergeCells count="5">
    <mergeCell ref="A1:E1"/>
    <mergeCell ref="A4:A6"/>
    <mergeCell ref="B4:B6"/>
    <mergeCell ref="C4:E4"/>
    <mergeCell ref="A3:E3"/>
  </mergeCells>
  <pageMargins left="0.7" right="0.7" top="0.75" bottom="0.75" header="0.3" footer="0.3"/>
  <pageSetup paperSize="9" scale="6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WWV157"/>
  <sheetViews>
    <sheetView view="pageBreakPreview" zoomScale="80" zoomScaleNormal="80" zoomScaleSheetLayoutView="80" workbookViewId="0">
      <pane xSplit="3" ySplit="8" topLeftCell="H9" activePane="bottomRight" state="frozen"/>
      <selection pane="topRight" activeCell="D1" sqref="D1"/>
      <selection pane="bottomLeft" activeCell="A9" sqref="A9"/>
      <selection pane="bottomRight" activeCell="N25" sqref="N25"/>
    </sheetView>
  </sheetViews>
  <sheetFormatPr defaultRowHeight="12.75" x14ac:dyDescent="0.2"/>
  <cols>
    <col min="1" max="1" width="12.83203125" style="1254" customWidth="1"/>
    <col min="2" max="2" width="30.83203125" style="1255" customWidth="1"/>
    <col min="3" max="3" width="13.83203125" style="1255" customWidth="1"/>
    <col min="4" max="4" width="11.5" style="1256" customWidth="1"/>
    <col min="5" max="5" width="13" style="1255" customWidth="1"/>
    <col min="6" max="6" width="14.6640625" style="1255" customWidth="1"/>
    <col min="7" max="9" width="13.1640625" style="1256" customWidth="1"/>
    <col min="10" max="10" width="16.83203125" style="1256" customWidth="1"/>
    <col min="11" max="11" width="12" style="1256" customWidth="1"/>
    <col min="12" max="15" width="11.5" style="1257" customWidth="1"/>
    <col min="16" max="16" width="13" style="1257" customWidth="1"/>
    <col min="17" max="17" width="11.5" style="1257" customWidth="1"/>
    <col min="18" max="18" width="10.83203125" style="1255" customWidth="1"/>
    <col min="19" max="19" width="15.5" style="1255" customWidth="1"/>
    <col min="20" max="20" width="12.33203125" style="1255" customWidth="1"/>
    <col min="21" max="21" width="11.6640625" style="1258" customWidth="1"/>
    <col min="22" max="22" width="16" style="1256" customWidth="1"/>
    <col min="23" max="23" width="12" style="1256" customWidth="1"/>
    <col min="24" max="24" width="8.5" style="1256" customWidth="1"/>
    <col min="25" max="25" width="8.5" style="1255" customWidth="1"/>
    <col min="26" max="26" width="15" style="1255" customWidth="1"/>
    <col min="27" max="27" width="8.5" style="1256" customWidth="1"/>
    <col min="28" max="29" width="8.5" style="1255" customWidth="1"/>
    <col min="30" max="30" width="8.5" style="1256" customWidth="1"/>
    <col min="31" max="31" width="8.5" style="1255" customWidth="1"/>
    <col min="32" max="32" width="9.6640625" style="1255" customWidth="1"/>
    <col min="33" max="33" width="9.33203125" style="1255" customWidth="1"/>
    <col min="34" max="34" width="14.6640625" style="1255" customWidth="1"/>
    <col min="35" max="35" width="11.1640625" style="1255" customWidth="1"/>
    <col min="36" max="36" width="3" style="1255" customWidth="1"/>
    <col min="37" max="37" width="12.6640625" style="1256" customWidth="1"/>
    <col min="38" max="38" width="11.83203125" style="1256" customWidth="1"/>
    <col min="39" max="39" width="13" style="1256" customWidth="1"/>
    <col min="40" max="40" width="14" style="1256" customWidth="1"/>
    <col min="41" max="256" width="9.33203125" style="1255"/>
    <col min="257" max="257" width="12.83203125" style="1255" customWidth="1"/>
    <col min="258" max="258" width="30.83203125" style="1255" customWidth="1"/>
    <col min="259" max="259" width="13.83203125" style="1255" customWidth="1"/>
    <col min="260" max="260" width="11.5" style="1255" customWidth="1"/>
    <col min="261" max="261" width="13" style="1255" customWidth="1"/>
    <col min="262" max="262" width="14.6640625" style="1255" customWidth="1"/>
    <col min="263" max="265" width="13.1640625" style="1255" customWidth="1"/>
    <col min="266" max="266" width="16.83203125" style="1255" customWidth="1"/>
    <col min="267" max="267" width="12" style="1255" customWidth="1"/>
    <col min="268" max="273" width="11.5" style="1255" customWidth="1"/>
    <col min="274" max="274" width="10.83203125" style="1255" customWidth="1"/>
    <col min="275" max="275" width="15.5" style="1255" customWidth="1"/>
    <col min="276" max="276" width="12.33203125" style="1255" customWidth="1"/>
    <col min="277" max="277" width="11.6640625" style="1255" customWidth="1"/>
    <col min="278" max="278" width="16" style="1255" customWidth="1"/>
    <col min="279" max="279" width="12" style="1255" customWidth="1"/>
    <col min="280" max="281" width="8.5" style="1255" customWidth="1"/>
    <col min="282" max="282" width="15" style="1255" customWidth="1"/>
    <col min="283" max="287" width="8.5" style="1255" customWidth="1"/>
    <col min="288" max="288" width="9.6640625" style="1255" customWidth="1"/>
    <col min="289" max="289" width="9.33203125" style="1255" customWidth="1"/>
    <col min="290" max="290" width="12" style="1255" customWidth="1"/>
    <col min="291" max="292" width="11.1640625" style="1255" customWidth="1"/>
    <col min="293" max="293" width="12.6640625" style="1255" customWidth="1"/>
    <col min="294" max="294" width="11.83203125" style="1255" customWidth="1"/>
    <col min="295" max="295" width="13" style="1255" customWidth="1"/>
    <col min="296" max="296" width="14" style="1255" customWidth="1"/>
    <col min="297" max="512" width="9.33203125" style="1255"/>
    <col min="513" max="513" width="12.83203125" style="1255" customWidth="1"/>
    <col min="514" max="514" width="30.83203125" style="1255" customWidth="1"/>
    <col min="515" max="515" width="13.83203125" style="1255" customWidth="1"/>
    <col min="516" max="516" width="11.5" style="1255" customWidth="1"/>
    <col min="517" max="517" width="13" style="1255" customWidth="1"/>
    <col min="518" max="518" width="14.6640625" style="1255" customWidth="1"/>
    <col min="519" max="521" width="13.1640625" style="1255" customWidth="1"/>
    <col min="522" max="522" width="16.83203125" style="1255" customWidth="1"/>
    <col min="523" max="523" width="12" style="1255" customWidth="1"/>
    <col min="524" max="529" width="11.5" style="1255" customWidth="1"/>
    <col min="530" max="530" width="10.83203125" style="1255" customWidth="1"/>
    <col min="531" max="531" width="15.5" style="1255" customWidth="1"/>
    <col min="532" max="532" width="12.33203125" style="1255" customWidth="1"/>
    <col min="533" max="533" width="11.6640625" style="1255" customWidth="1"/>
    <col min="534" max="534" width="16" style="1255" customWidth="1"/>
    <col min="535" max="535" width="12" style="1255" customWidth="1"/>
    <col min="536" max="537" width="8.5" style="1255" customWidth="1"/>
    <col min="538" max="538" width="15" style="1255" customWidth="1"/>
    <col min="539" max="543" width="8.5" style="1255" customWidth="1"/>
    <col min="544" max="544" width="9.6640625" style="1255" customWidth="1"/>
    <col min="545" max="545" width="9.33203125" style="1255" customWidth="1"/>
    <col min="546" max="546" width="12" style="1255" customWidth="1"/>
    <col min="547" max="548" width="11.1640625" style="1255" customWidth="1"/>
    <col min="549" max="549" width="12.6640625" style="1255" customWidth="1"/>
    <col min="550" max="550" width="11.83203125" style="1255" customWidth="1"/>
    <col min="551" max="551" width="13" style="1255" customWidth="1"/>
    <col min="552" max="552" width="14" style="1255" customWidth="1"/>
    <col min="553" max="768" width="9.33203125" style="1255"/>
    <col min="769" max="769" width="12.83203125" style="1255" customWidth="1"/>
    <col min="770" max="770" width="30.83203125" style="1255" customWidth="1"/>
    <col min="771" max="771" width="13.83203125" style="1255" customWidth="1"/>
    <col min="772" max="772" width="11.5" style="1255" customWidth="1"/>
    <col min="773" max="773" width="13" style="1255" customWidth="1"/>
    <col min="774" max="774" width="14.6640625" style="1255" customWidth="1"/>
    <col min="775" max="777" width="13.1640625" style="1255" customWidth="1"/>
    <col min="778" max="778" width="16.83203125" style="1255" customWidth="1"/>
    <col min="779" max="779" width="12" style="1255" customWidth="1"/>
    <col min="780" max="785" width="11.5" style="1255" customWidth="1"/>
    <col min="786" max="786" width="10.83203125" style="1255" customWidth="1"/>
    <col min="787" max="787" width="15.5" style="1255" customWidth="1"/>
    <col min="788" max="788" width="12.33203125" style="1255" customWidth="1"/>
    <col min="789" max="789" width="11.6640625" style="1255" customWidth="1"/>
    <col min="790" max="790" width="16" style="1255" customWidth="1"/>
    <col min="791" max="791" width="12" style="1255" customWidth="1"/>
    <col min="792" max="793" width="8.5" style="1255" customWidth="1"/>
    <col min="794" max="794" width="15" style="1255" customWidth="1"/>
    <col min="795" max="799" width="8.5" style="1255" customWidth="1"/>
    <col min="800" max="800" width="9.6640625" style="1255" customWidth="1"/>
    <col min="801" max="801" width="9.33203125" style="1255" customWidth="1"/>
    <col min="802" max="802" width="12" style="1255" customWidth="1"/>
    <col min="803" max="804" width="11.1640625" style="1255" customWidth="1"/>
    <col min="805" max="805" width="12.6640625" style="1255" customWidth="1"/>
    <col min="806" max="806" width="11.83203125" style="1255" customWidth="1"/>
    <col min="807" max="807" width="13" style="1255" customWidth="1"/>
    <col min="808" max="808" width="14" style="1255" customWidth="1"/>
    <col min="809" max="1024" width="9.33203125" style="1255"/>
    <col min="1025" max="1025" width="12.83203125" style="1255" customWidth="1"/>
    <col min="1026" max="1026" width="30.83203125" style="1255" customWidth="1"/>
    <col min="1027" max="1027" width="13.83203125" style="1255" customWidth="1"/>
    <col min="1028" max="1028" width="11.5" style="1255" customWidth="1"/>
    <col min="1029" max="1029" width="13" style="1255" customWidth="1"/>
    <col min="1030" max="1030" width="14.6640625" style="1255" customWidth="1"/>
    <col min="1031" max="1033" width="13.1640625" style="1255" customWidth="1"/>
    <col min="1034" max="1034" width="16.83203125" style="1255" customWidth="1"/>
    <col min="1035" max="1035" width="12" style="1255" customWidth="1"/>
    <col min="1036" max="1041" width="11.5" style="1255" customWidth="1"/>
    <col min="1042" max="1042" width="10.83203125" style="1255" customWidth="1"/>
    <col min="1043" max="1043" width="15.5" style="1255" customWidth="1"/>
    <col min="1044" max="1044" width="12.33203125" style="1255" customWidth="1"/>
    <col min="1045" max="1045" width="11.6640625" style="1255" customWidth="1"/>
    <col min="1046" max="1046" width="16" style="1255" customWidth="1"/>
    <col min="1047" max="1047" width="12" style="1255" customWidth="1"/>
    <col min="1048" max="1049" width="8.5" style="1255" customWidth="1"/>
    <col min="1050" max="1050" width="15" style="1255" customWidth="1"/>
    <col min="1051" max="1055" width="8.5" style="1255" customWidth="1"/>
    <col min="1056" max="1056" width="9.6640625" style="1255" customWidth="1"/>
    <col min="1057" max="1057" width="9.33203125" style="1255" customWidth="1"/>
    <col min="1058" max="1058" width="12" style="1255" customWidth="1"/>
    <col min="1059" max="1060" width="11.1640625" style="1255" customWidth="1"/>
    <col min="1061" max="1061" width="12.6640625" style="1255" customWidth="1"/>
    <col min="1062" max="1062" width="11.83203125" style="1255" customWidth="1"/>
    <col min="1063" max="1063" width="13" style="1255" customWidth="1"/>
    <col min="1064" max="1064" width="14" style="1255" customWidth="1"/>
    <col min="1065" max="1280" width="9.33203125" style="1255"/>
    <col min="1281" max="1281" width="12.83203125" style="1255" customWidth="1"/>
    <col min="1282" max="1282" width="30.83203125" style="1255" customWidth="1"/>
    <col min="1283" max="1283" width="13.83203125" style="1255" customWidth="1"/>
    <col min="1284" max="1284" width="11.5" style="1255" customWidth="1"/>
    <col min="1285" max="1285" width="13" style="1255" customWidth="1"/>
    <col min="1286" max="1286" width="14.6640625" style="1255" customWidth="1"/>
    <col min="1287" max="1289" width="13.1640625" style="1255" customWidth="1"/>
    <col min="1290" max="1290" width="16.83203125" style="1255" customWidth="1"/>
    <col min="1291" max="1291" width="12" style="1255" customWidth="1"/>
    <col min="1292" max="1297" width="11.5" style="1255" customWidth="1"/>
    <col min="1298" max="1298" width="10.83203125" style="1255" customWidth="1"/>
    <col min="1299" max="1299" width="15.5" style="1255" customWidth="1"/>
    <col min="1300" max="1300" width="12.33203125" style="1255" customWidth="1"/>
    <col min="1301" max="1301" width="11.6640625" style="1255" customWidth="1"/>
    <col min="1302" max="1302" width="16" style="1255" customWidth="1"/>
    <col min="1303" max="1303" width="12" style="1255" customWidth="1"/>
    <col min="1304" max="1305" width="8.5" style="1255" customWidth="1"/>
    <col min="1306" max="1306" width="15" style="1255" customWidth="1"/>
    <col min="1307" max="1311" width="8.5" style="1255" customWidth="1"/>
    <col min="1312" max="1312" width="9.6640625" style="1255" customWidth="1"/>
    <col min="1313" max="1313" width="9.33203125" style="1255" customWidth="1"/>
    <col min="1314" max="1314" width="12" style="1255" customWidth="1"/>
    <col min="1315" max="1316" width="11.1640625" style="1255" customWidth="1"/>
    <col min="1317" max="1317" width="12.6640625" style="1255" customWidth="1"/>
    <col min="1318" max="1318" width="11.83203125" style="1255" customWidth="1"/>
    <col min="1319" max="1319" width="13" style="1255" customWidth="1"/>
    <col min="1320" max="1320" width="14" style="1255" customWidth="1"/>
    <col min="1321" max="1536" width="9.33203125" style="1255"/>
    <col min="1537" max="1537" width="12.83203125" style="1255" customWidth="1"/>
    <col min="1538" max="1538" width="30.83203125" style="1255" customWidth="1"/>
    <col min="1539" max="1539" width="13.83203125" style="1255" customWidth="1"/>
    <col min="1540" max="1540" width="11.5" style="1255" customWidth="1"/>
    <col min="1541" max="1541" width="13" style="1255" customWidth="1"/>
    <col min="1542" max="1542" width="14.6640625" style="1255" customWidth="1"/>
    <col min="1543" max="1545" width="13.1640625" style="1255" customWidth="1"/>
    <col min="1546" max="1546" width="16.83203125" style="1255" customWidth="1"/>
    <col min="1547" max="1547" width="12" style="1255" customWidth="1"/>
    <col min="1548" max="1553" width="11.5" style="1255" customWidth="1"/>
    <col min="1554" max="1554" width="10.83203125" style="1255" customWidth="1"/>
    <col min="1555" max="1555" width="15.5" style="1255" customWidth="1"/>
    <col min="1556" max="1556" width="12.33203125" style="1255" customWidth="1"/>
    <col min="1557" max="1557" width="11.6640625" style="1255" customWidth="1"/>
    <col min="1558" max="1558" width="16" style="1255" customWidth="1"/>
    <col min="1559" max="1559" width="12" style="1255" customWidth="1"/>
    <col min="1560" max="1561" width="8.5" style="1255" customWidth="1"/>
    <col min="1562" max="1562" width="15" style="1255" customWidth="1"/>
    <col min="1563" max="1567" width="8.5" style="1255" customWidth="1"/>
    <col min="1568" max="1568" width="9.6640625" style="1255" customWidth="1"/>
    <col min="1569" max="1569" width="9.33203125" style="1255" customWidth="1"/>
    <col min="1570" max="1570" width="12" style="1255" customWidth="1"/>
    <col min="1571" max="1572" width="11.1640625" style="1255" customWidth="1"/>
    <col min="1573" max="1573" width="12.6640625" style="1255" customWidth="1"/>
    <col min="1574" max="1574" width="11.83203125" style="1255" customWidth="1"/>
    <col min="1575" max="1575" width="13" style="1255" customWidth="1"/>
    <col min="1576" max="1576" width="14" style="1255" customWidth="1"/>
    <col min="1577" max="1792" width="9.33203125" style="1255"/>
    <col min="1793" max="1793" width="12.83203125" style="1255" customWidth="1"/>
    <col min="1794" max="1794" width="30.83203125" style="1255" customWidth="1"/>
    <col min="1795" max="1795" width="13.83203125" style="1255" customWidth="1"/>
    <col min="1796" max="1796" width="11.5" style="1255" customWidth="1"/>
    <col min="1797" max="1797" width="13" style="1255" customWidth="1"/>
    <col min="1798" max="1798" width="14.6640625" style="1255" customWidth="1"/>
    <col min="1799" max="1801" width="13.1640625" style="1255" customWidth="1"/>
    <col min="1802" max="1802" width="16.83203125" style="1255" customWidth="1"/>
    <col min="1803" max="1803" width="12" style="1255" customWidth="1"/>
    <col min="1804" max="1809" width="11.5" style="1255" customWidth="1"/>
    <col min="1810" max="1810" width="10.83203125" style="1255" customWidth="1"/>
    <col min="1811" max="1811" width="15.5" style="1255" customWidth="1"/>
    <col min="1812" max="1812" width="12.33203125" style="1255" customWidth="1"/>
    <col min="1813" max="1813" width="11.6640625" style="1255" customWidth="1"/>
    <col min="1814" max="1814" width="16" style="1255" customWidth="1"/>
    <col min="1815" max="1815" width="12" style="1255" customWidth="1"/>
    <col min="1816" max="1817" width="8.5" style="1255" customWidth="1"/>
    <col min="1818" max="1818" width="15" style="1255" customWidth="1"/>
    <col min="1819" max="1823" width="8.5" style="1255" customWidth="1"/>
    <col min="1824" max="1824" width="9.6640625" style="1255" customWidth="1"/>
    <col min="1825" max="1825" width="9.33203125" style="1255" customWidth="1"/>
    <col min="1826" max="1826" width="12" style="1255" customWidth="1"/>
    <col min="1827" max="1828" width="11.1640625" style="1255" customWidth="1"/>
    <col min="1829" max="1829" width="12.6640625" style="1255" customWidth="1"/>
    <col min="1830" max="1830" width="11.83203125" style="1255" customWidth="1"/>
    <col min="1831" max="1831" width="13" style="1255" customWidth="1"/>
    <col min="1832" max="1832" width="14" style="1255" customWidth="1"/>
    <col min="1833" max="2048" width="9.33203125" style="1255"/>
    <col min="2049" max="2049" width="12.83203125" style="1255" customWidth="1"/>
    <col min="2050" max="2050" width="30.83203125" style="1255" customWidth="1"/>
    <col min="2051" max="2051" width="13.83203125" style="1255" customWidth="1"/>
    <col min="2052" max="2052" width="11.5" style="1255" customWidth="1"/>
    <col min="2053" max="2053" width="13" style="1255" customWidth="1"/>
    <col min="2054" max="2054" width="14.6640625" style="1255" customWidth="1"/>
    <col min="2055" max="2057" width="13.1640625" style="1255" customWidth="1"/>
    <col min="2058" max="2058" width="16.83203125" style="1255" customWidth="1"/>
    <col min="2059" max="2059" width="12" style="1255" customWidth="1"/>
    <col min="2060" max="2065" width="11.5" style="1255" customWidth="1"/>
    <col min="2066" max="2066" width="10.83203125" style="1255" customWidth="1"/>
    <col min="2067" max="2067" width="15.5" style="1255" customWidth="1"/>
    <col min="2068" max="2068" width="12.33203125" style="1255" customWidth="1"/>
    <col min="2069" max="2069" width="11.6640625" style="1255" customWidth="1"/>
    <col min="2070" max="2070" width="16" style="1255" customWidth="1"/>
    <col min="2071" max="2071" width="12" style="1255" customWidth="1"/>
    <col min="2072" max="2073" width="8.5" style="1255" customWidth="1"/>
    <col min="2074" max="2074" width="15" style="1255" customWidth="1"/>
    <col min="2075" max="2079" width="8.5" style="1255" customWidth="1"/>
    <col min="2080" max="2080" width="9.6640625" style="1255" customWidth="1"/>
    <col min="2081" max="2081" width="9.33203125" style="1255" customWidth="1"/>
    <col min="2082" max="2082" width="12" style="1255" customWidth="1"/>
    <col min="2083" max="2084" width="11.1640625" style="1255" customWidth="1"/>
    <col min="2085" max="2085" width="12.6640625" style="1255" customWidth="1"/>
    <col min="2086" max="2086" width="11.83203125" style="1255" customWidth="1"/>
    <col min="2087" max="2087" width="13" style="1255" customWidth="1"/>
    <col min="2088" max="2088" width="14" style="1255" customWidth="1"/>
    <col min="2089" max="2304" width="9.33203125" style="1255"/>
    <col min="2305" max="2305" width="12.83203125" style="1255" customWidth="1"/>
    <col min="2306" max="2306" width="30.83203125" style="1255" customWidth="1"/>
    <col min="2307" max="2307" width="13.83203125" style="1255" customWidth="1"/>
    <col min="2308" max="2308" width="11.5" style="1255" customWidth="1"/>
    <col min="2309" max="2309" width="13" style="1255" customWidth="1"/>
    <col min="2310" max="2310" width="14.6640625" style="1255" customWidth="1"/>
    <col min="2311" max="2313" width="13.1640625" style="1255" customWidth="1"/>
    <col min="2314" max="2314" width="16.83203125" style="1255" customWidth="1"/>
    <col min="2315" max="2315" width="12" style="1255" customWidth="1"/>
    <col min="2316" max="2321" width="11.5" style="1255" customWidth="1"/>
    <col min="2322" max="2322" width="10.83203125" style="1255" customWidth="1"/>
    <col min="2323" max="2323" width="15.5" style="1255" customWidth="1"/>
    <col min="2324" max="2324" width="12.33203125" style="1255" customWidth="1"/>
    <col min="2325" max="2325" width="11.6640625" style="1255" customWidth="1"/>
    <col min="2326" max="2326" width="16" style="1255" customWidth="1"/>
    <col min="2327" max="2327" width="12" style="1255" customWidth="1"/>
    <col min="2328" max="2329" width="8.5" style="1255" customWidth="1"/>
    <col min="2330" max="2330" width="15" style="1255" customWidth="1"/>
    <col min="2331" max="2335" width="8.5" style="1255" customWidth="1"/>
    <col min="2336" max="2336" width="9.6640625" style="1255" customWidth="1"/>
    <col min="2337" max="2337" width="9.33203125" style="1255" customWidth="1"/>
    <col min="2338" max="2338" width="12" style="1255" customWidth="1"/>
    <col min="2339" max="2340" width="11.1640625" style="1255" customWidth="1"/>
    <col min="2341" max="2341" width="12.6640625" style="1255" customWidth="1"/>
    <col min="2342" max="2342" width="11.83203125" style="1255" customWidth="1"/>
    <col min="2343" max="2343" width="13" style="1255" customWidth="1"/>
    <col min="2344" max="2344" width="14" style="1255" customWidth="1"/>
    <col min="2345" max="2560" width="9.33203125" style="1255"/>
    <col min="2561" max="2561" width="12.83203125" style="1255" customWidth="1"/>
    <col min="2562" max="2562" width="30.83203125" style="1255" customWidth="1"/>
    <col min="2563" max="2563" width="13.83203125" style="1255" customWidth="1"/>
    <col min="2564" max="2564" width="11.5" style="1255" customWidth="1"/>
    <col min="2565" max="2565" width="13" style="1255" customWidth="1"/>
    <col min="2566" max="2566" width="14.6640625" style="1255" customWidth="1"/>
    <col min="2567" max="2569" width="13.1640625" style="1255" customWidth="1"/>
    <col min="2570" max="2570" width="16.83203125" style="1255" customWidth="1"/>
    <col min="2571" max="2571" width="12" style="1255" customWidth="1"/>
    <col min="2572" max="2577" width="11.5" style="1255" customWidth="1"/>
    <col min="2578" max="2578" width="10.83203125" style="1255" customWidth="1"/>
    <col min="2579" max="2579" width="15.5" style="1255" customWidth="1"/>
    <col min="2580" max="2580" width="12.33203125" style="1255" customWidth="1"/>
    <col min="2581" max="2581" width="11.6640625" style="1255" customWidth="1"/>
    <col min="2582" max="2582" width="16" style="1255" customWidth="1"/>
    <col min="2583" max="2583" width="12" style="1255" customWidth="1"/>
    <col min="2584" max="2585" width="8.5" style="1255" customWidth="1"/>
    <col min="2586" max="2586" width="15" style="1255" customWidth="1"/>
    <col min="2587" max="2591" width="8.5" style="1255" customWidth="1"/>
    <col min="2592" max="2592" width="9.6640625" style="1255" customWidth="1"/>
    <col min="2593" max="2593" width="9.33203125" style="1255" customWidth="1"/>
    <col min="2594" max="2594" width="12" style="1255" customWidth="1"/>
    <col min="2595" max="2596" width="11.1640625" style="1255" customWidth="1"/>
    <col min="2597" max="2597" width="12.6640625" style="1255" customWidth="1"/>
    <col min="2598" max="2598" width="11.83203125" style="1255" customWidth="1"/>
    <col min="2599" max="2599" width="13" style="1255" customWidth="1"/>
    <col min="2600" max="2600" width="14" style="1255" customWidth="1"/>
    <col min="2601" max="2816" width="9.33203125" style="1255"/>
    <col min="2817" max="2817" width="12.83203125" style="1255" customWidth="1"/>
    <col min="2818" max="2818" width="30.83203125" style="1255" customWidth="1"/>
    <col min="2819" max="2819" width="13.83203125" style="1255" customWidth="1"/>
    <col min="2820" max="2820" width="11.5" style="1255" customWidth="1"/>
    <col min="2821" max="2821" width="13" style="1255" customWidth="1"/>
    <col min="2822" max="2822" width="14.6640625" style="1255" customWidth="1"/>
    <col min="2823" max="2825" width="13.1640625" style="1255" customWidth="1"/>
    <col min="2826" max="2826" width="16.83203125" style="1255" customWidth="1"/>
    <col min="2827" max="2827" width="12" style="1255" customWidth="1"/>
    <col min="2828" max="2833" width="11.5" style="1255" customWidth="1"/>
    <col min="2834" max="2834" width="10.83203125" style="1255" customWidth="1"/>
    <col min="2835" max="2835" width="15.5" style="1255" customWidth="1"/>
    <col min="2836" max="2836" width="12.33203125" style="1255" customWidth="1"/>
    <col min="2837" max="2837" width="11.6640625" style="1255" customWidth="1"/>
    <col min="2838" max="2838" width="16" style="1255" customWidth="1"/>
    <col min="2839" max="2839" width="12" style="1255" customWidth="1"/>
    <col min="2840" max="2841" width="8.5" style="1255" customWidth="1"/>
    <col min="2842" max="2842" width="15" style="1255" customWidth="1"/>
    <col min="2843" max="2847" width="8.5" style="1255" customWidth="1"/>
    <col min="2848" max="2848" width="9.6640625" style="1255" customWidth="1"/>
    <col min="2849" max="2849" width="9.33203125" style="1255" customWidth="1"/>
    <col min="2850" max="2850" width="12" style="1255" customWidth="1"/>
    <col min="2851" max="2852" width="11.1640625" style="1255" customWidth="1"/>
    <col min="2853" max="2853" width="12.6640625" style="1255" customWidth="1"/>
    <col min="2854" max="2854" width="11.83203125" style="1255" customWidth="1"/>
    <col min="2855" max="2855" width="13" style="1255" customWidth="1"/>
    <col min="2856" max="2856" width="14" style="1255" customWidth="1"/>
    <col min="2857" max="3072" width="9.33203125" style="1255"/>
    <col min="3073" max="3073" width="12.83203125" style="1255" customWidth="1"/>
    <col min="3074" max="3074" width="30.83203125" style="1255" customWidth="1"/>
    <col min="3075" max="3075" width="13.83203125" style="1255" customWidth="1"/>
    <col min="3076" max="3076" width="11.5" style="1255" customWidth="1"/>
    <col min="3077" max="3077" width="13" style="1255" customWidth="1"/>
    <col min="3078" max="3078" width="14.6640625" style="1255" customWidth="1"/>
    <col min="3079" max="3081" width="13.1640625" style="1255" customWidth="1"/>
    <col min="3082" max="3082" width="16.83203125" style="1255" customWidth="1"/>
    <col min="3083" max="3083" width="12" style="1255" customWidth="1"/>
    <col min="3084" max="3089" width="11.5" style="1255" customWidth="1"/>
    <col min="3090" max="3090" width="10.83203125" style="1255" customWidth="1"/>
    <col min="3091" max="3091" width="15.5" style="1255" customWidth="1"/>
    <col min="3092" max="3092" width="12.33203125" style="1255" customWidth="1"/>
    <col min="3093" max="3093" width="11.6640625" style="1255" customWidth="1"/>
    <col min="3094" max="3094" width="16" style="1255" customWidth="1"/>
    <col min="3095" max="3095" width="12" style="1255" customWidth="1"/>
    <col min="3096" max="3097" width="8.5" style="1255" customWidth="1"/>
    <col min="3098" max="3098" width="15" style="1255" customWidth="1"/>
    <col min="3099" max="3103" width="8.5" style="1255" customWidth="1"/>
    <col min="3104" max="3104" width="9.6640625" style="1255" customWidth="1"/>
    <col min="3105" max="3105" width="9.33203125" style="1255" customWidth="1"/>
    <col min="3106" max="3106" width="12" style="1255" customWidth="1"/>
    <col min="3107" max="3108" width="11.1640625" style="1255" customWidth="1"/>
    <col min="3109" max="3109" width="12.6640625" style="1255" customWidth="1"/>
    <col min="3110" max="3110" width="11.83203125" style="1255" customWidth="1"/>
    <col min="3111" max="3111" width="13" style="1255" customWidth="1"/>
    <col min="3112" max="3112" width="14" style="1255" customWidth="1"/>
    <col min="3113" max="3328" width="9.33203125" style="1255"/>
    <col min="3329" max="3329" width="12.83203125" style="1255" customWidth="1"/>
    <col min="3330" max="3330" width="30.83203125" style="1255" customWidth="1"/>
    <col min="3331" max="3331" width="13.83203125" style="1255" customWidth="1"/>
    <col min="3332" max="3332" width="11.5" style="1255" customWidth="1"/>
    <col min="3333" max="3333" width="13" style="1255" customWidth="1"/>
    <col min="3334" max="3334" width="14.6640625" style="1255" customWidth="1"/>
    <col min="3335" max="3337" width="13.1640625" style="1255" customWidth="1"/>
    <col min="3338" max="3338" width="16.83203125" style="1255" customWidth="1"/>
    <col min="3339" max="3339" width="12" style="1255" customWidth="1"/>
    <col min="3340" max="3345" width="11.5" style="1255" customWidth="1"/>
    <col min="3346" max="3346" width="10.83203125" style="1255" customWidth="1"/>
    <col min="3347" max="3347" width="15.5" style="1255" customWidth="1"/>
    <col min="3348" max="3348" width="12.33203125" style="1255" customWidth="1"/>
    <col min="3349" max="3349" width="11.6640625" style="1255" customWidth="1"/>
    <col min="3350" max="3350" width="16" style="1255" customWidth="1"/>
    <col min="3351" max="3351" width="12" style="1255" customWidth="1"/>
    <col min="3352" max="3353" width="8.5" style="1255" customWidth="1"/>
    <col min="3354" max="3354" width="15" style="1255" customWidth="1"/>
    <col min="3355" max="3359" width="8.5" style="1255" customWidth="1"/>
    <col min="3360" max="3360" width="9.6640625" style="1255" customWidth="1"/>
    <col min="3361" max="3361" width="9.33203125" style="1255" customWidth="1"/>
    <col min="3362" max="3362" width="12" style="1255" customWidth="1"/>
    <col min="3363" max="3364" width="11.1640625" style="1255" customWidth="1"/>
    <col min="3365" max="3365" width="12.6640625" style="1255" customWidth="1"/>
    <col min="3366" max="3366" width="11.83203125" style="1255" customWidth="1"/>
    <col min="3367" max="3367" width="13" style="1255" customWidth="1"/>
    <col min="3368" max="3368" width="14" style="1255" customWidth="1"/>
    <col min="3369" max="3584" width="9.33203125" style="1255"/>
    <col min="3585" max="3585" width="12.83203125" style="1255" customWidth="1"/>
    <col min="3586" max="3586" width="30.83203125" style="1255" customWidth="1"/>
    <col min="3587" max="3587" width="13.83203125" style="1255" customWidth="1"/>
    <col min="3588" max="3588" width="11.5" style="1255" customWidth="1"/>
    <col min="3589" max="3589" width="13" style="1255" customWidth="1"/>
    <col min="3590" max="3590" width="14.6640625" style="1255" customWidth="1"/>
    <col min="3591" max="3593" width="13.1640625" style="1255" customWidth="1"/>
    <col min="3594" max="3594" width="16.83203125" style="1255" customWidth="1"/>
    <col min="3595" max="3595" width="12" style="1255" customWidth="1"/>
    <col min="3596" max="3601" width="11.5" style="1255" customWidth="1"/>
    <col min="3602" max="3602" width="10.83203125" style="1255" customWidth="1"/>
    <col min="3603" max="3603" width="15.5" style="1255" customWidth="1"/>
    <col min="3604" max="3604" width="12.33203125" style="1255" customWidth="1"/>
    <col min="3605" max="3605" width="11.6640625" style="1255" customWidth="1"/>
    <col min="3606" max="3606" width="16" style="1255" customWidth="1"/>
    <col min="3607" max="3607" width="12" style="1255" customWidth="1"/>
    <col min="3608" max="3609" width="8.5" style="1255" customWidth="1"/>
    <col min="3610" max="3610" width="15" style="1255" customWidth="1"/>
    <col min="3611" max="3615" width="8.5" style="1255" customWidth="1"/>
    <col min="3616" max="3616" width="9.6640625" style="1255" customWidth="1"/>
    <col min="3617" max="3617" width="9.33203125" style="1255" customWidth="1"/>
    <col min="3618" max="3618" width="12" style="1255" customWidth="1"/>
    <col min="3619" max="3620" width="11.1640625" style="1255" customWidth="1"/>
    <col min="3621" max="3621" width="12.6640625" style="1255" customWidth="1"/>
    <col min="3622" max="3622" width="11.83203125" style="1255" customWidth="1"/>
    <col min="3623" max="3623" width="13" style="1255" customWidth="1"/>
    <col min="3624" max="3624" width="14" style="1255" customWidth="1"/>
    <col min="3625" max="3840" width="9.33203125" style="1255"/>
    <col min="3841" max="3841" width="12.83203125" style="1255" customWidth="1"/>
    <col min="3842" max="3842" width="30.83203125" style="1255" customWidth="1"/>
    <col min="3843" max="3843" width="13.83203125" style="1255" customWidth="1"/>
    <col min="3844" max="3844" width="11.5" style="1255" customWidth="1"/>
    <col min="3845" max="3845" width="13" style="1255" customWidth="1"/>
    <col min="3846" max="3846" width="14.6640625" style="1255" customWidth="1"/>
    <col min="3847" max="3849" width="13.1640625" style="1255" customWidth="1"/>
    <col min="3850" max="3850" width="16.83203125" style="1255" customWidth="1"/>
    <col min="3851" max="3851" width="12" style="1255" customWidth="1"/>
    <col min="3852" max="3857" width="11.5" style="1255" customWidth="1"/>
    <col min="3858" max="3858" width="10.83203125" style="1255" customWidth="1"/>
    <col min="3859" max="3859" width="15.5" style="1255" customWidth="1"/>
    <col min="3860" max="3860" width="12.33203125" style="1255" customWidth="1"/>
    <col min="3861" max="3861" width="11.6640625" style="1255" customWidth="1"/>
    <col min="3862" max="3862" width="16" style="1255" customWidth="1"/>
    <col min="3863" max="3863" width="12" style="1255" customWidth="1"/>
    <col min="3864" max="3865" width="8.5" style="1255" customWidth="1"/>
    <col min="3866" max="3866" width="15" style="1255" customWidth="1"/>
    <col min="3867" max="3871" width="8.5" style="1255" customWidth="1"/>
    <col min="3872" max="3872" width="9.6640625" style="1255" customWidth="1"/>
    <col min="3873" max="3873" width="9.33203125" style="1255" customWidth="1"/>
    <col min="3874" max="3874" width="12" style="1255" customWidth="1"/>
    <col min="3875" max="3876" width="11.1640625" style="1255" customWidth="1"/>
    <col min="3877" max="3877" width="12.6640625" style="1255" customWidth="1"/>
    <col min="3878" max="3878" width="11.83203125" style="1255" customWidth="1"/>
    <col min="3879" max="3879" width="13" style="1255" customWidth="1"/>
    <col min="3880" max="3880" width="14" style="1255" customWidth="1"/>
    <col min="3881" max="4096" width="9.33203125" style="1255"/>
    <col min="4097" max="4097" width="12.83203125" style="1255" customWidth="1"/>
    <col min="4098" max="4098" width="30.83203125" style="1255" customWidth="1"/>
    <col min="4099" max="4099" width="13.83203125" style="1255" customWidth="1"/>
    <col min="4100" max="4100" width="11.5" style="1255" customWidth="1"/>
    <col min="4101" max="4101" width="13" style="1255" customWidth="1"/>
    <col min="4102" max="4102" width="14.6640625" style="1255" customWidth="1"/>
    <col min="4103" max="4105" width="13.1640625" style="1255" customWidth="1"/>
    <col min="4106" max="4106" width="16.83203125" style="1255" customWidth="1"/>
    <col min="4107" max="4107" width="12" style="1255" customWidth="1"/>
    <col min="4108" max="4113" width="11.5" style="1255" customWidth="1"/>
    <col min="4114" max="4114" width="10.83203125" style="1255" customWidth="1"/>
    <col min="4115" max="4115" width="15.5" style="1255" customWidth="1"/>
    <col min="4116" max="4116" width="12.33203125" style="1255" customWidth="1"/>
    <col min="4117" max="4117" width="11.6640625" style="1255" customWidth="1"/>
    <col min="4118" max="4118" width="16" style="1255" customWidth="1"/>
    <col min="4119" max="4119" width="12" style="1255" customWidth="1"/>
    <col min="4120" max="4121" width="8.5" style="1255" customWidth="1"/>
    <col min="4122" max="4122" width="15" style="1255" customWidth="1"/>
    <col min="4123" max="4127" width="8.5" style="1255" customWidth="1"/>
    <col min="4128" max="4128" width="9.6640625" style="1255" customWidth="1"/>
    <col min="4129" max="4129" width="9.33203125" style="1255" customWidth="1"/>
    <col min="4130" max="4130" width="12" style="1255" customWidth="1"/>
    <col min="4131" max="4132" width="11.1640625" style="1255" customWidth="1"/>
    <col min="4133" max="4133" width="12.6640625" style="1255" customWidth="1"/>
    <col min="4134" max="4134" width="11.83203125" style="1255" customWidth="1"/>
    <col min="4135" max="4135" width="13" style="1255" customWidth="1"/>
    <col min="4136" max="4136" width="14" style="1255" customWidth="1"/>
    <col min="4137" max="4352" width="9.33203125" style="1255"/>
    <col min="4353" max="4353" width="12.83203125" style="1255" customWidth="1"/>
    <col min="4354" max="4354" width="30.83203125" style="1255" customWidth="1"/>
    <col min="4355" max="4355" width="13.83203125" style="1255" customWidth="1"/>
    <col min="4356" max="4356" width="11.5" style="1255" customWidth="1"/>
    <col min="4357" max="4357" width="13" style="1255" customWidth="1"/>
    <col min="4358" max="4358" width="14.6640625" style="1255" customWidth="1"/>
    <col min="4359" max="4361" width="13.1640625" style="1255" customWidth="1"/>
    <col min="4362" max="4362" width="16.83203125" style="1255" customWidth="1"/>
    <col min="4363" max="4363" width="12" style="1255" customWidth="1"/>
    <col min="4364" max="4369" width="11.5" style="1255" customWidth="1"/>
    <col min="4370" max="4370" width="10.83203125" style="1255" customWidth="1"/>
    <col min="4371" max="4371" width="15.5" style="1255" customWidth="1"/>
    <col min="4372" max="4372" width="12.33203125" style="1255" customWidth="1"/>
    <col min="4373" max="4373" width="11.6640625" style="1255" customWidth="1"/>
    <col min="4374" max="4374" width="16" style="1255" customWidth="1"/>
    <col min="4375" max="4375" width="12" style="1255" customWidth="1"/>
    <col min="4376" max="4377" width="8.5" style="1255" customWidth="1"/>
    <col min="4378" max="4378" width="15" style="1255" customWidth="1"/>
    <col min="4379" max="4383" width="8.5" style="1255" customWidth="1"/>
    <col min="4384" max="4384" width="9.6640625" style="1255" customWidth="1"/>
    <col min="4385" max="4385" width="9.33203125" style="1255" customWidth="1"/>
    <col min="4386" max="4386" width="12" style="1255" customWidth="1"/>
    <col min="4387" max="4388" width="11.1640625" style="1255" customWidth="1"/>
    <col min="4389" max="4389" width="12.6640625" style="1255" customWidth="1"/>
    <col min="4390" max="4390" width="11.83203125" style="1255" customWidth="1"/>
    <col min="4391" max="4391" width="13" style="1255" customWidth="1"/>
    <col min="4392" max="4392" width="14" style="1255" customWidth="1"/>
    <col min="4393" max="4608" width="9.33203125" style="1255"/>
    <col min="4609" max="4609" width="12.83203125" style="1255" customWidth="1"/>
    <col min="4610" max="4610" width="30.83203125" style="1255" customWidth="1"/>
    <col min="4611" max="4611" width="13.83203125" style="1255" customWidth="1"/>
    <col min="4612" max="4612" width="11.5" style="1255" customWidth="1"/>
    <col min="4613" max="4613" width="13" style="1255" customWidth="1"/>
    <col min="4614" max="4614" width="14.6640625" style="1255" customWidth="1"/>
    <col min="4615" max="4617" width="13.1640625" style="1255" customWidth="1"/>
    <col min="4618" max="4618" width="16.83203125" style="1255" customWidth="1"/>
    <col min="4619" max="4619" width="12" style="1255" customWidth="1"/>
    <col min="4620" max="4625" width="11.5" style="1255" customWidth="1"/>
    <col min="4626" max="4626" width="10.83203125" style="1255" customWidth="1"/>
    <col min="4627" max="4627" width="15.5" style="1255" customWidth="1"/>
    <col min="4628" max="4628" width="12.33203125" style="1255" customWidth="1"/>
    <col min="4629" max="4629" width="11.6640625" style="1255" customWidth="1"/>
    <col min="4630" max="4630" width="16" style="1255" customWidth="1"/>
    <col min="4631" max="4631" width="12" style="1255" customWidth="1"/>
    <col min="4632" max="4633" width="8.5" style="1255" customWidth="1"/>
    <col min="4634" max="4634" width="15" style="1255" customWidth="1"/>
    <col min="4635" max="4639" width="8.5" style="1255" customWidth="1"/>
    <col min="4640" max="4640" width="9.6640625" style="1255" customWidth="1"/>
    <col min="4641" max="4641" width="9.33203125" style="1255" customWidth="1"/>
    <col min="4642" max="4642" width="12" style="1255" customWidth="1"/>
    <col min="4643" max="4644" width="11.1640625" style="1255" customWidth="1"/>
    <col min="4645" max="4645" width="12.6640625" style="1255" customWidth="1"/>
    <col min="4646" max="4646" width="11.83203125" style="1255" customWidth="1"/>
    <col min="4647" max="4647" width="13" style="1255" customWidth="1"/>
    <col min="4648" max="4648" width="14" style="1255" customWidth="1"/>
    <col min="4649" max="4864" width="9.33203125" style="1255"/>
    <col min="4865" max="4865" width="12.83203125" style="1255" customWidth="1"/>
    <col min="4866" max="4866" width="30.83203125" style="1255" customWidth="1"/>
    <col min="4867" max="4867" width="13.83203125" style="1255" customWidth="1"/>
    <col min="4868" max="4868" width="11.5" style="1255" customWidth="1"/>
    <col min="4869" max="4869" width="13" style="1255" customWidth="1"/>
    <col min="4870" max="4870" width="14.6640625" style="1255" customWidth="1"/>
    <col min="4871" max="4873" width="13.1640625" style="1255" customWidth="1"/>
    <col min="4874" max="4874" width="16.83203125" style="1255" customWidth="1"/>
    <col min="4875" max="4875" width="12" style="1255" customWidth="1"/>
    <col min="4876" max="4881" width="11.5" style="1255" customWidth="1"/>
    <col min="4882" max="4882" width="10.83203125" style="1255" customWidth="1"/>
    <col min="4883" max="4883" width="15.5" style="1255" customWidth="1"/>
    <col min="4884" max="4884" width="12.33203125" style="1255" customWidth="1"/>
    <col min="4885" max="4885" width="11.6640625" style="1255" customWidth="1"/>
    <col min="4886" max="4886" width="16" style="1255" customWidth="1"/>
    <col min="4887" max="4887" width="12" style="1255" customWidth="1"/>
    <col min="4888" max="4889" width="8.5" style="1255" customWidth="1"/>
    <col min="4890" max="4890" width="15" style="1255" customWidth="1"/>
    <col min="4891" max="4895" width="8.5" style="1255" customWidth="1"/>
    <col min="4896" max="4896" width="9.6640625" style="1255" customWidth="1"/>
    <col min="4897" max="4897" width="9.33203125" style="1255" customWidth="1"/>
    <col min="4898" max="4898" width="12" style="1255" customWidth="1"/>
    <col min="4899" max="4900" width="11.1640625" style="1255" customWidth="1"/>
    <col min="4901" max="4901" width="12.6640625" style="1255" customWidth="1"/>
    <col min="4902" max="4902" width="11.83203125" style="1255" customWidth="1"/>
    <col min="4903" max="4903" width="13" style="1255" customWidth="1"/>
    <col min="4904" max="4904" width="14" style="1255" customWidth="1"/>
    <col min="4905" max="5120" width="9.33203125" style="1255"/>
    <col min="5121" max="5121" width="12.83203125" style="1255" customWidth="1"/>
    <col min="5122" max="5122" width="30.83203125" style="1255" customWidth="1"/>
    <col min="5123" max="5123" width="13.83203125" style="1255" customWidth="1"/>
    <col min="5124" max="5124" width="11.5" style="1255" customWidth="1"/>
    <col min="5125" max="5125" width="13" style="1255" customWidth="1"/>
    <col min="5126" max="5126" width="14.6640625" style="1255" customWidth="1"/>
    <col min="5127" max="5129" width="13.1640625" style="1255" customWidth="1"/>
    <col min="5130" max="5130" width="16.83203125" style="1255" customWidth="1"/>
    <col min="5131" max="5131" width="12" style="1255" customWidth="1"/>
    <col min="5132" max="5137" width="11.5" style="1255" customWidth="1"/>
    <col min="5138" max="5138" width="10.83203125" style="1255" customWidth="1"/>
    <col min="5139" max="5139" width="15.5" style="1255" customWidth="1"/>
    <col min="5140" max="5140" width="12.33203125" style="1255" customWidth="1"/>
    <col min="5141" max="5141" width="11.6640625" style="1255" customWidth="1"/>
    <col min="5142" max="5142" width="16" style="1255" customWidth="1"/>
    <col min="5143" max="5143" width="12" style="1255" customWidth="1"/>
    <col min="5144" max="5145" width="8.5" style="1255" customWidth="1"/>
    <col min="5146" max="5146" width="15" style="1255" customWidth="1"/>
    <col min="5147" max="5151" width="8.5" style="1255" customWidth="1"/>
    <col min="5152" max="5152" width="9.6640625" style="1255" customWidth="1"/>
    <col min="5153" max="5153" width="9.33203125" style="1255" customWidth="1"/>
    <col min="5154" max="5154" width="12" style="1255" customWidth="1"/>
    <col min="5155" max="5156" width="11.1640625" style="1255" customWidth="1"/>
    <col min="5157" max="5157" width="12.6640625" style="1255" customWidth="1"/>
    <col min="5158" max="5158" width="11.83203125" style="1255" customWidth="1"/>
    <col min="5159" max="5159" width="13" style="1255" customWidth="1"/>
    <col min="5160" max="5160" width="14" style="1255" customWidth="1"/>
    <col min="5161" max="5376" width="9.33203125" style="1255"/>
    <col min="5377" max="5377" width="12.83203125" style="1255" customWidth="1"/>
    <col min="5378" max="5378" width="30.83203125" style="1255" customWidth="1"/>
    <col min="5379" max="5379" width="13.83203125" style="1255" customWidth="1"/>
    <col min="5380" max="5380" width="11.5" style="1255" customWidth="1"/>
    <col min="5381" max="5381" width="13" style="1255" customWidth="1"/>
    <col min="5382" max="5382" width="14.6640625" style="1255" customWidth="1"/>
    <col min="5383" max="5385" width="13.1640625" style="1255" customWidth="1"/>
    <col min="5386" max="5386" width="16.83203125" style="1255" customWidth="1"/>
    <col min="5387" max="5387" width="12" style="1255" customWidth="1"/>
    <col min="5388" max="5393" width="11.5" style="1255" customWidth="1"/>
    <col min="5394" max="5394" width="10.83203125" style="1255" customWidth="1"/>
    <col min="5395" max="5395" width="15.5" style="1255" customWidth="1"/>
    <col min="5396" max="5396" width="12.33203125" style="1255" customWidth="1"/>
    <col min="5397" max="5397" width="11.6640625" style="1255" customWidth="1"/>
    <col min="5398" max="5398" width="16" style="1255" customWidth="1"/>
    <col min="5399" max="5399" width="12" style="1255" customWidth="1"/>
    <col min="5400" max="5401" width="8.5" style="1255" customWidth="1"/>
    <col min="5402" max="5402" width="15" style="1255" customWidth="1"/>
    <col min="5403" max="5407" width="8.5" style="1255" customWidth="1"/>
    <col min="5408" max="5408" width="9.6640625" style="1255" customWidth="1"/>
    <col min="5409" max="5409" width="9.33203125" style="1255" customWidth="1"/>
    <col min="5410" max="5410" width="12" style="1255" customWidth="1"/>
    <col min="5411" max="5412" width="11.1640625" style="1255" customWidth="1"/>
    <col min="5413" max="5413" width="12.6640625" style="1255" customWidth="1"/>
    <col min="5414" max="5414" width="11.83203125" style="1255" customWidth="1"/>
    <col min="5415" max="5415" width="13" style="1255" customWidth="1"/>
    <col min="5416" max="5416" width="14" style="1255" customWidth="1"/>
    <col min="5417" max="5632" width="9.33203125" style="1255"/>
    <col min="5633" max="5633" width="12.83203125" style="1255" customWidth="1"/>
    <col min="5634" max="5634" width="30.83203125" style="1255" customWidth="1"/>
    <col min="5635" max="5635" width="13.83203125" style="1255" customWidth="1"/>
    <col min="5636" max="5636" width="11.5" style="1255" customWidth="1"/>
    <col min="5637" max="5637" width="13" style="1255" customWidth="1"/>
    <col min="5638" max="5638" width="14.6640625" style="1255" customWidth="1"/>
    <col min="5639" max="5641" width="13.1640625" style="1255" customWidth="1"/>
    <col min="5642" max="5642" width="16.83203125" style="1255" customWidth="1"/>
    <col min="5643" max="5643" width="12" style="1255" customWidth="1"/>
    <col min="5644" max="5649" width="11.5" style="1255" customWidth="1"/>
    <col min="5650" max="5650" width="10.83203125" style="1255" customWidth="1"/>
    <col min="5651" max="5651" width="15.5" style="1255" customWidth="1"/>
    <col min="5652" max="5652" width="12.33203125" style="1255" customWidth="1"/>
    <col min="5653" max="5653" width="11.6640625" style="1255" customWidth="1"/>
    <col min="5654" max="5654" width="16" style="1255" customWidth="1"/>
    <col min="5655" max="5655" width="12" style="1255" customWidth="1"/>
    <col min="5656" max="5657" width="8.5" style="1255" customWidth="1"/>
    <col min="5658" max="5658" width="15" style="1255" customWidth="1"/>
    <col min="5659" max="5663" width="8.5" style="1255" customWidth="1"/>
    <col min="5664" max="5664" width="9.6640625" style="1255" customWidth="1"/>
    <col min="5665" max="5665" width="9.33203125" style="1255" customWidth="1"/>
    <col min="5666" max="5666" width="12" style="1255" customWidth="1"/>
    <col min="5667" max="5668" width="11.1640625" style="1255" customWidth="1"/>
    <col min="5669" max="5669" width="12.6640625" style="1255" customWidth="1"/>
    <col min="5670" max="5670" width="11.83203125" style="1255" customWidth="1"/>
    <col min="5671" max="5671" width="13" style="1255" customWidth="1"/>
    <col min="5672" max="5672" width="14" style="1255" customWidth="1"/>
    <col min="5673" max="5888" width="9.33203125" style="1255"/>
    <col min="5889" max="5889" width="12.83203125" style="1255" customWidth="1"/>
    <col min="5890" max="5890" width="30.83203125" style="1255" customWidth="1"/>
    <col min="5891" max="5891" width="13.83203125" style="1255" customWidth="1"/>
    <col min="5892" max="5892" width="11.5" style="1255" customWidth="1"/>
    <col min="5893" max="5893" width="13" style="1255" customWidth="1"/>
    <col min="5894" max="5894" width="14.6640625" style="1255" customWidth="1"/>
    <col min="5895" max="5897" width="13.1640625" style="1255" customWidth="1"/>
    <col min="5898" max="5898" width="16.83203125" style="1255" customWidth="1"/>
    <col min="5899" max="5899" width="12" style="1255" customWidth="1"/>
    <col min="5900" max="5905" width="11.5" style="1255" customWidth="1"/>
    <col min="5906" max="5906" width="10.83203125" style="1255" customWidth="1"/>
    <col min="5907" max="5907" width="15.5" style="1255" customWidth="1"/>
    <col min="5908" max="5908" width="12.33203125" style="1255" customWidth="1"/>
    <col min="5909" max="5909" width="11.6640625" style="1255" customWidth="1"/>
    <col min="5910" max="5910" width="16" style="1255" customWidth="1"/>
    <col min="5911" max="5911" width="12" style="1255" customWidth="1"/>
    <col min="5912" max="5913" width="8.5" style="1255" customWidth="1"/>
    <col min="5914" max="5914" width="15" style="1255" customWidth="1"/>
    <col min="5915" max="5919" width="8.5" style="1255" customWidth="1"/>
    <col min="5920" max="5920" width="9.6640625" style="1255" customWidth="1"/>
    <col min="5921" max="5921" width="9.33203125" style="1255" customWidth="1"/>
    <col min="5922" max="5922" width="12" style="1255" customWidth="1"/>
    <col min="5923" max="5924" width="11.1640625" style="1255" customWidth="1"/>
    <col min="5925" max="5925" width="12.6640625" style="1255" customWidth="1"/>
    <col min="5926" max="5926" width="11.83203125" style="1255" customWidth="1"/>
    <col min="5927" max="5927" width="13" style="1255" customWidth="1"/>
    <col min="5928" max="5928" width="14" style="1255" customWidth="1"/>
    <col min="5929" max="6144" width="9.33203125" style="1255"/>
    <col min="6145" max="6145" width="12.83203125" style="1255" customWidth="1"/>
    <col min="6146" max="6146" width="30.83203125" style="1255" customWidth="1"/>
    <col min="6147" max="6147" width="13.83203125" style="1255" customWidth="1"/>
    <col min="6148" max="6148" width="11.5" style="1255" customWidth="1"/>
    <col min="6149" max="6149" width="13" style="1255" customWidth="1"/>
    <col min="6150" max="6150" width="14.6640625" style="1255" customWidth="1"/>
    <col min="6151" max="6153" width="13.1640625" style="1255" customWidth="1"/>
    <col min="6154" max="6154" width="16.83203125" style="1255" customWidth="1"/>
    <col min="6155" max="6155" width="12" style="1255" customWidth="1"/>
    <col min="6156" max="6161" width="11.5" style="1255" customWidth="1"/>
    <col min="6162" max="6162" width="10.83203125" style="1255" customWidth="1"/>
    <col min="6163" max="6163" width="15.5" style="1255" customWidth="1"/>
    <col min="6164" max="6164" width="12.33203125" style="1255" customWidth="1"/>
    <col min="6165" max="6165" width="11.6640625" style="1255" customWidth="1"/>
    <col min="6166" max="6166" width="16" style="1255" customWidth="1"/>
    <col min="6167" max="6167" width="12" style="1255" customWidth="1"/>
    <col min="6168" max="6169" width="8.5" style="1255" customWidth="1"/>
    <col min="6170" max="6170" width="15" style="1255" customWidth="1"/>
    <col min="6171" max="6175" width="8.5" style="1255" customWidth="1"/>
    <col min="6176" max="6176" width="9.6640625" style="1255" customWidth="1"/>
    <col min="6177" max="6177" width="9.33203125" style="1255" customWidth="1"/>
    <col min="6178" max="6178" width="12" style="1255" customWidth="1"/>
    <col min="6179" max="6180" width="11.1640625" style="1255" customWidth="1"/>
    <col min="6181" max="6181" width="12.6640625" style="1255" customWidth="1"/>
    <col min="6182" max="6182" width="11.83203125" style="1255" customWidth="1"/>
    <col min="6183" max="6183" width="13" style="1255" customWidth="1"/>
    <col min="6184" max="6184" width="14" style="1255" customWidth="1"/>
    <col min="6185" max="6400" width="9.33203125" style="1255"/>
    <col min="6401" max="6401" width="12.83203125" style="1255" customWidth="1"/>
    <col min="6402" max="6402" width="30.83203125" style="1255" customWidth="1"/>
    <col min="6403" max="6403" width="13.83203125" style="1255" customWidth="1"/>
    <col min="6404" max="6404" width="11.5" style="1255" customWidth="1"/>
    <col min="6405" max="6405" width="13" style="1255" customWidth="1"/>
    <col min="6406" max="6406" width="14.6640625" style="1255" customWidth="1"/>
    <col min="6407" max="6409" width="13.1640625" style="1255" customWidth="1"/>
    <col min="6410" max="6410" width="16.83203125" style="1255" customWidth="1"/>
    <col min="6411" max="6411" width="12" style="1255" customWidth="1"/>
    <col min="6412" max="6417" width="11.5" style="1255" customWidth="1"/>
    <col min="6418" max="6418" width="10.83203125" style="1255" customWidth="1"/>
    <col min="6419" max="6419" width="15.5" style="1255" customWidth="1"/>
    <col min="6420" max="6420" width="12.33203125" style="1255" customWidth="1"/>
    <col min="6421" max="6421" width="11.6640625" style="1255" customWidth="1"/>
    <col min="6422" max="6422" width="16" style="1255" customWidth="1"/>
    <col min="6423" max="6423" width="12" style="1255" customWidth="1"/>
    <col min="6424" max="6425" width="8.5" style="1255" customWidth="1"/>
    <col min="6426" max="6426" width="15" style="1255" customWidth="1"/>
    <col min="6427" max="6431" width="8.5" style="1255" customWidth="1"/>
    <col min="6432" max="6432" width="9.6640625" style="1255" customWidth="1"/>
    <col min="6433" max="6433" width="9.33203125" style="1255" customWidth="1"/>
    <col min="6434" max="6434" width="12" style="1255" customWidth="1"/>
    <col min="6435" max="6436" width="11.1640625" style="1255" customWidth="1"/>
    <col min="6437" max="6437" width="12.6640625" style="1255" customWidth="1"/>
    <col min="6438" max="6438" width="11.83203125" style="1255" customWidth="1"/>
    <col min="6439" max="6439" width="13" style="1255" customWidth="1"/>
    <col min="6440" max="6440" width="14" style="1255" customWidth="1"/>
    <col min="6441" max="6656" width="9.33203125" style="1255"/>
    <col min="6657" max="6657" width="12.83203125" style="1255" customWidth="1"/>
    <col min="6658" max="6658" width="30.83203125" style="1255" customWidth="1"/>
    <col min="6659" max="6659" width="13.83203125" style="1255" customWidth="1"/>
    <col min="6660" max="6660" width="11.5" style="1255" customWidth="1"/>
    <col min="6661" max="6661" width="13" style="1255" customWidth="1"/>
    <col min="6662" max="6662" width="14.6640625" style="1255" customWidth="1"/>
    <col min="6663" max="6665" width="13.1640625" style="1255" customWidth="1"/>
    <col min="6666" max="6666" width="16.83203125" style="1255" customWidth="1"/>
    <col min="6667" max="6667" width="12" style="1255" customWidth="1"/>
    <col min="6668" max="6673" width="11.5" style="1255" customWidth="1"/>
    <col min="6674" max="6674" width="10.83203125" style="1255" customWidth="1"/>
    <col min="6675" max="6675" width="15.5" style="1255" customWidth="1"/>
    <col min="6676" max="6676" width="12.33203125" style="1255" customWidth="1"/>
    <col min="6677" max="6677" width="11.6640625" style="1255" customWidth="1"/>
    <col min="6678" max="6678" width="16" style="1255" customWidth="1"/>
    <col min="6679" max="6679" width="12" style="1255" customWidth="1"/>
    <col min="6680" max="6681" width="8.5" style="1255" customWidth="1"/>
    <col min="6682" max="6682" width="15" style="1255" customWidth="1"/>
    <col min="6683" max="6687" width="8.5" style="1255" customWidth="1"/>
    <col min="6688" max="6688" width="9.6640625" style="1255" customWidth="1"/>
    <col min="6689" max="6689" width="9.33203125" style="1255" customWidth="1"/>
    <col min="6690" max="6690" width="12" style="1255" customWidth="1"/>
    <col min="6691" max="6692" width="11.1640625" style="1255" customWidth="1"/>
    <col min="6693" max="6693" width="12.6640625" style="1255" customWidth="1"/>
    <col min="6694" max="6694" width="11.83203125" style="1255" customWidth="1"/>
    <col min="6695" max="6695" width="13" style="1255" customWidth="1"/>
    <col min="6696" max="6696" width="14" style="1255" customWidth="1"/>
    <col min="6697" max="6912" width="9.33203125" style="1255"/>
    <col min="6913" max="6913" width="12.83203125" style="1255" customWidth="1"/>
    <col min="6914" max="6914" width="30.83203125" style="1255" customWidth="1"/>
    <col min="6915" max="6915" width="13.83203125" style="1255" customWidth="1"/>
    <col min="6916" max="6916" width="11.5" style="1255" customWidth="1"/>
    <col min="6917" max="6917" width="13" style="1255" customWidth="1"/>
    <col min="6918" max="6918" width="14.6640625" style="1255" customWidth="1"/>
    <col min="6919" max="6921" width="13.1640625" style="1255" customWidth="1"/>
    <col min="6922" max="6922" width="16.83203125" style="1255" customWidth="1"/>
    <col min="6923" max="6923" width="12" style="1255" customWidth="1"/>
    <col min="6924" max="6929" width="11.5" style="1255" customWidth="1"/>
    <col min="6930" max="6930" width="10.83203125" style="1255" customWidth="1"/>
    <col min="6931" max="6931" width="15.5" style="1255" customWidth="1"/>
    <col min="6932" max="6932" width="12.33203125" style="1255" customWidth="1"/>
    <col min="6933" max="6933" width="11.6640625" style="1255" customWidth="1"/>
    <col min="6934" max="6934" width="16" style="1255" customWidth="1"/>
    <col min="6935" max="6935" width="12" style="1255" customWidth="1"/>
    <col min="6936" max="6937" width="8.5" style="1255" customWidth="1"/>
    <col min="6938" max="6938" width="15" style="1255" customWidth="1"/>
    <col min="6939" max="6943" width="8.5" style="1255" customWidth="1"/>
    <col min="6944" max="6944" width="9.6640625" style="1255" customWidth="1"/>
    <col min="6945" max="6945" width="9.33203125" style="1255" customWidth="1"/>
    <col min="6946" max="6946" width="12" style="1255" customWidth="1"/>
    <col min="6947" max="6948" width="11.1640625" style="1255" customWidth="1"/>
    <col min="6949" max="6949" width="12.6640625" style="1255" customWidth="1"/>
    <col min="6950" max="6950" width="11.83203125" style="1255" customWidth="1"/>
    <col min="6951" max="6951" width="13" style="1255" customWidth="1"/>
    <col min="6952" max="6952" width="14" style="1255" customWidth="1"/>
    <col min="6953" max="7168" width="9.33203125" style="1255"/>
    <col min="7169" max="7169" width="12.83203125" style="1255" customWidth="1"/>
    <col min="7170" max="7170" width="30.83203125" style="1255" customWidth="1"/>
    <col min="7171" max="7171" width="13.83203125" style="1255" customWidth="1"/>
    <col min="7172" max="7172" width="11.5" style="1255" customWidth="1"/>
    <col min="7173" max="7173" width="13" style="1255" customWidth="1"/>
    <col min="7174" max="7174" width="14.6640625" style="1255" customWidth="1"/>
    <col min="7175" max="7177" width="13.1640625" style="1255" customWidth="1"/>
    <col min="7178" max="7178" width="16.83203125" style="1255" customWidth="1"/>
    <col min="7179" max="7179" width="12" style="1255" customWidth="1"/>
    <col min="7180" max="7185" width="11.5" style="1255" customWidth="1"/>
    <col min="7186" max="7186" width="10.83203125" style="1255" customWidth="1"/>
    <col min="7187" max="7187" width="15.5" style="1255" customWidth="1"/>
    <col min="7188" max="7188" width="12.33203125" style="1255" customWidth="1"/>
    <col min="7189" max="7189" width="11.6640625" style="1255" customWidth="1"/>
    <col min="7190" max="7190" width="16" style="1255" customWidth="1"/>
    <col min="7191" max="7191" width="12" style="1255" customWidth="1"/>
    <col min="7192" max="7193" width="8.5" style="1255" customWidth="1"/>
    <col min="7194" max="7194" width="15" style="1255" customWidth="1"/>
    <col min="7195" max="7199" width="8.5" style="1255" customWidth="1"/>
    <col min="7200" max="7200" width="9.6640625" style="1255" customWidth="1"/>
    <col min="7201" max="7201" width="9.33203125" style="1255" customWidth="1"/>
    <col min="7202" max="7202" width="12" style="1255" customWidth="1"/>
    <col min="7203" max="7204" width="11.1640625" style="1255" customWidth="1"/>
    <col min="7205" max="7205" width="12.6640625" style="1255" customWidth="1"/>
    <col min="7206" max="7206" width="11.83203125" style="1255" customWidth="1"/>
    <col min="7207" max="7207" width="13" style="1255" customWidth="1"/>
    <col min="7208" max="7208" width="14" style="1255" customWidth="1"/>
    <col min="7209" max="7424" width="9.33203125" style="1255"/>
    <col min="7425" max="7425" width="12.83203125" style="1255" customWidth="1"/>
    <col min="7426" max="7426" width="30.83203125" style="1255" customWidth="1"/>
    <col min="7427" max="7427" width="13.83203125" style="1255" customWidth="1"/>
    <col min="7428" max="7428" width="11.5" style="1255" customWidth="1"/>
    <col min="7429" max="7429" width="13" style="1255" customWidth="1"/>
    <col min="7430" max="7430" width="14.6640625" style="1255" customWidth="1"/>
    <col min="7431" max="7433" width="13.1640625" style="1255" customWidth="1"/>
    <col min="7434" max="7434" width="16.83203125" style="1255" customWidth="1"/>
    <col min="7435" max="7435" width="12" style="1255" customWidth="1"/>
    <col min="7436" max="7441" width="11.5" style="1255" customWidth="1"/>
    <col min="7442" max="7442" width="10.83203125" style="1255" customWidth="1"/>
    <col min="7443" max="7443" width="15.5" style="1255" customWidth="1"/>
    <col min="7444" max="7444" width="12.33203125" style="1255" customWidth="1"/>
    <col min="7445" max="7445" width="11.6640625" style="1255" customWidth="1"/>
    <col min="7446" max="7446" width="16" style="1255" customWidth="1"/>
    <col min="7447" max="7447" width="12" style="1255" customWidth="1"/>
    <col min="7448" max="7449" width="8.5" style="1255" customWidth="1"/>
    <col min="7450" max="7450" width="15" style="1255" customWidth="1"/>
    <col min="7451" max="7455" width="8.5" style="1255" customWidth="1"/>
    <col min="7456" max="7456" width="9.6640625" style="1255" customWidth="1"/>
    <col min="7457" max="7457" width="9.33203125" style="1255" customWidth="1"/>
    <col min="7458" max="7458" width="12" style="1255" customWidth="1"/>
    <col min="7459" max="7460" width="11.1640625" style="1255" customWidth="1"/>
    <col min="7461" max="7461" width="12.6640625" style="1255" customWidth="1"/>
    <col min="7462" max="7462" width="11.83203125" style="1255" customWidth="1"/>
    <col min="7463" max="7463" width="13" style="1255" customWidth="1"/>
    <col min="7464" max="7464" width="14" style="1255" customWidth="1"/>
    <col min="7465" max="7680" width="9.33203125" style="1255"/>
    <col min="7681" max="7681" width="12.83203125" style="1255" customWidth="1"/>
    <col min="7682" max="7682" width="30.83203125" style="1255" customWidth="1"/>
    <col min="7683" max="7683" width="13.83203125" style="1255" customWidth="1"/>
    <col min="7684" max="7684" width="11.5" style="1255" customWidth="1"/>
    <col min="7685" max="7685" width="13" style="1255" customWidth="1"/>
    <col min="7686" max="7686" width="14.6640625" style="1255" customWidth="1"/>
    <col min="7687" max="7689" width="13.1640625" style="1255" customWidth="1"/>
    <col min="7690" max="7690" width="16.83203125" style="1255" customWidth="1"/>
    <col min="7691" max="7691" width="12" style="1255" customWidth="1"/>
    <col min="7692" max="7697" width="11.5" style="1255" customWidth="1"/>
    <col min="7698" max="7698" width="10.83203125" style="1255" customWidth="1"/>
    <col min="7699" max="7699" width="15.5" style="1255" customWidth="1"/>
    <col min="7700" max="7700" width="12.33203125" style="1255" customWidth="1"/>
    <col min="7701" max="7701" width="11.6640625" style="1255" customWidth="1"/>
    <col min="7702" max="7702" width="16" style="1255" customWidth="1"/>
    <col min="7703" max="7703" width="12" style="1255" customWidth="1"/>
    <col min="7704" max="7705" width="8.5" style="1255" customWidth="1"/>
    <col min="7706" max="7706" width="15" style="1255" customWidth="1"/>
    <col min="7707" max="7711" width="8.5" style="1255" customWidth="1"/>
    <col min="7712" max="7712" width="9.6640625" style="1255" customWidth="1"/>
    <col min="7713" max="7713" width="9.33203125" style="1255" customWidth="1"/>
    <col min="7714" max="7714" width="12" style="1255" customWidth="1"/>
    <col min="7715" max="7716" width="11.1640625" style="1255" customWidth="1"/>
    <col min="7717" max="7717" width="12.6640625" style="1255" customWidth="1"/>
    <col min="7718" max="7718" width="11.83203125" style="1255" customWidth="1"/>
    <col min="7719" max="7719" width="13" style="1255" customWidth="1"/>
    <col min="7720" max="7720" width="14" style="1255" customWidth="1"/>
    <col min="7721" max="7936" width="9.33203125" style="1255"/>
    <col min="7937" max="7937" width="12.83203125" style="1255" customWidth="1"/>
    <col min="7938" max="7938" width="30.83203125" style="1255" customWidth="1"/>
    <col min="7939" max="7939" width="13.83203125" style="1255" customWidth="1"/>
    <col min="7940" max="7940" width="11.5" style="1255" customWidth="1"/>
    <col min="7941" max="7941" width="13" style="1255" customWidth="1"/>
    <col min="7942" max="7942" width="14.6640625" style="1255" customWidth="1"/>
    <col min="7943" max="7945" width="13.1640625" style="1255" customWidth="1"/>
    <col min="7946" max="7946" width="16.83203125" style="1255" customWidth="1"/>
    <col min="7947" max="7947" width="12" style="1255" customWidth="1"/>
    <col min="7948" max="7953" width="11.5" style="1255" customWidth="1"/>
    <col min="7954" max="7954" width="10.83203125" style="1255" customWidth="1"/>
    <col min="7955" max="7955" width="15.5" style="1255" customWidth="1"/>
    <col min="7956" max="7956" width="12.33203125" style="1255" customWidth="1"/>
    <col min="7957" max="7957" width="11.6640625" style="1255" customWidth="1"/>
    <col min="7958" max="7958" width="16" style="1255" customWidth="1"/>
    <col min="7959" max="7959" width="12" style="1255" customWidth="1"/>
    <col min="7960" max="7961" width="8.5" style="1255" customWidth="1"/>
    <col min="7962" max="7962" width="15" style="1255" customWidth="1"/>
    <col min="7963" max="7967" width="8.5" style="1255" customWidth="1"/>
    <col min="7968" max="7968" width="9.6640625" style="1255" customWidth="1"/>
    <col min="7969" max="7969" width="9.33203125" style="1255" customWidth="1"/>
    <col min="7970" max="7970" width="12" style="1255" customWidth="1"/>
    <col min="7971" max="7972" width="11.1640625" style="1255" customWidth="1"/>
    <col min="7973" max="7973" width="12.6640625" style="1255" customWidth="1"/>
    <col min="7974" max="7974" width="11.83203125" style="1255" customWidth="1"/>
    <col min="7975" max="7975" width="13" style="1255" customWidth="1"/>
    <col min="7976" max="7976" width="14" style="1255" customWidth="1"/>
    <col min="7977" max="8192" width="9.33203125" style="1255"/>
    <col min="8193" max="8193" width="12.83203125" style="1255" customWidth="1"/>
    <col min="8194" max="8194" width="30.83203125" style="1255" customWidth="1"/>
    <col min="8195" max="8195" width="13.83203125" style="1255" customWidth="1"/>
    <col min="8196" max="8196" width="11.5" style="1255" customWidth="1"/>
    <col min="8197" max="8197" width="13" style="1255" customWidth="1"/>
    <col min="8198" max="8198" width="14.6640625" style="1255" customWidth="1"/>
    <col min="8199" max="8201" width="13.1640625" style="1255" customWidth="1"/>
    <col min="8202" max="8202" width="16.83203125" style="1255" customWidth="1"/>
    <col min="8203" max="8203" width="12" style="1255" customWidth="1"/>
    <col min="8204" max="8209" width="11.5" style="1255" customWidth="1"/>
    <col min="8210" max="8210" width="10.83203125" style="1255" customWidth="1"/>
    <col min="8211" max="8211" width="15.5" style="1255" customWidth="1"/>
    <col min="8212" max="8212" width="12.33203125" style="1255" customWidth="1"/>
    <col min="8213" max="8213" width="11.6640625" style="1255" customWidth="1"/>
    <col min="8214" max="8214" width="16" style="1255" customWidth="1"/>
    <col min="8215" max="8215" width="12" style="1255" customWidth="1"/>
    <col min="8216" max="8217" width="8.5" style="1255" customWidth="1"/>
    <col min="8218" max="8218" width="15" style="1255" customWidth="1"/>
    <col min="8219" max="8223" width="8.5" style="1255" customWidth="1"/>
    <col min="8224" max="8224" width="9.6640625" style="1255" customWidth="1"/>
    <col min="8225" max="8225" width="9.33203125" style="1255" customWidth="1"/>
    <col min="8226" max="8226" width="12" style="1255" customWidth="1"/>
    <col min="8227" max="8228" width="11.1640625" style="1255" customWidth="1"/>
    <col min="8229" max="8229" width="12.6640625" style="1255" customWidth="1"/>
    <col min="8230" max="8230" width="11.83203125" style="1255" customWidth="1"/>
    <col min="8231" max="8231" width="13" style="1255" customWidth="1"/>
    <col min="8232" max="8232" width="14" style="1255" customWidth="1"/>
    <col min="8233" max="8448" width="9.33203125" style="1255"/>
    <col min="8449" max="8449" width="12.83203125" style="1255" customWidth="1"/>
    <col min="8450" max="8450" width="30.83203125" style="1255" customWidth="1"/>
    <col min="8451" max="8451" width="13.83203125" style="1255" customWidth="1"/>
    <col min="8452" max="8452" width="11.5" style="1255" customWidth="1"/>
    <col min="8453" max="8453" width="13" style="1255" customWidth="1"/>
    <col min="8454" max="8454" width="14.6640625" style="1255" customWidth="1"/>
    <col min="8455" max="8457" width="13.1640625" style="1255" customWidth="1"/>
    <col min="8458" max="8458" width="16.83203125" style="1255" customWidth="1"/>
    <col min="8459" max="8459" width="12" style="1255" customWidth="1"/>
    <col min="8460" max="8465" width="11.5" style="1255" customWidth="1"/>
    <col min="8466" max="8466" width="10.83203125" style="1255" customWidth="1"/>
    <col min="8467" max="8467" width="15.5" style="1255" customWidth="1"/>
    <col min="8468" max="8468" width="12.33203125" style="1255" customWidth="1"/>
    <col min="8469" max="8469" width="11.6640625" style="1255" customWidth="1"/>
    <col min="8470" max="8470" width="16" style="1255" customWidth="1"/>
    <col min="8471" max="8471" width="12" style="1255" customWidth="1"/>
    <col min="8472" max="8473" width="8.5" style="1255" customWidth="1"/>
    <col min="8474" max="8474" width="15" style="1255" customWidth="1"/>
    <col min="8475" max="8479" width="8.5" style="1255" customWidth="1"/>
    <col min="8480" max="8480" width="9.6640625" style="1255" customWidth="1"/>
    <col min="8481" max="8481" width="9.33203125" style="1255" customWidth="1"/>
    <col min="8482" max="8482" width="12" style="1255" customWidth="1"/>
    <col min="8483" max="8484" width="11.1640625" style="1255" customWidth="1"/>
    <col min="8485" max="8485" width="12.6640625" style="1255" customWidth="1"/>
    <col min="8486" max="8486" width="11.83203125" style="1255" customWidth="1"/>
    <col min="8487" max="8487" width="13" style="1255" customWidth="1"/>
    <col min="8488" max="8488" width="14" style="1255" customWidth="1"/>
    <col min="8489" max="8704" width="9.33203125" style="1255"/>
    <col min="8705" max="8705" width="12.83203125" style="1255" customWidth="1"/>
    <col min="8706" max="8706" width="30.83203125" style="1255" customWidth="1"/>
    <col min="8707" max="8707" width="13.83203125" style="1255" customWidth="1"/>
    <col min="8708" max="8708" width="11.5" style="1255" customWidth="1"/>
    <col min="8709" max="8709" width="13" style="1255" customWidth="1"/>
    <col min="8710" max="8710" width="14.6640625" style="1255" customWidth="1"/>
    <col min="8711" max="8713" width="13.1640625" style="1255" customWidth="1"/>
    <col min="8714" max="8714" width="16.83203125" style="1255" customWidth="1"/>
    <col min="8715" max="8715" width="12" style="1255" customWidth="1"/>
    <col min="8716" max="8721" width="11.5" style="1255" customWidth="1"/>
    <col min="8722" max="8722" width="10.83203125" style="1255" customWidth="1"/>
    <col min="8723" max="8723" width="15.5" style="1255" customWidth="1"/>
    <col min="8724" max="8724" width="12.33203125" style="1255" customWidth="1"/>
    <col min="8725" max="8725" width="11.6640625" style="1255" customWidth="1"/>
    <col min="8726" max="8726" width="16" style="1255" customWidth="1"/>
    <col min="8727" max="8727" width="12" style="1255" customWidth="1"/>
    <col min="8728" max="8729" width="8.5" style="1255" customWidth="1"/>
    <col min="8730" max="8730" width="15" style="1255" customWidth="1"/>
    <col min="8731" max="8735" width="8.5" style="1255" customWidth="1"/>
    <col min="8736" max="8736" width="9.6640625" style="1255" customWidth="1"/>
    <col min="8737" max="8737" width="9.33203125" style="1255" customWidth="1"/>
    <col min="8738" max="8738" width="12" style="1255" customWidth="1"/>
    <col min="8739" max="8740" width="11.1640625" style="1255" customWidth="1"/>
    <col min="8741" max="8741" width="12.6640625" style="1255" customWidth="1"/>
    <col min="8742" max="8742" width="11.83203125" style="1255" customWidth="1"/>
    <col min="8743" max="8743" width="13" style="1255" customWidth="1"/>
    <col min="8744" max="8744" width="14" style="1255" customWidth="1"/>
    <col min="8745" max="8960" width="9.33203125" style="1255"/>
    <col min="8961" max="8961" width="12.83203125" style="1255" customWidth="1"/>
    <col min="8962" max="8962" width="30.83203125" style="1255" customWidth="1"/>
    <col min="8963" max="8963" width="13.83203125" style="1255" customWidth="1"/>
    <col min="8964" max="8964" width="11.5" style="1255" customWidth="1"/>
    <col min="8965" max="8965" width="13" style="1255" customWidth="1"/>
    <col min="8966" max="8966" width="14.6640625" style="1255" customWidth="1"/>
    <col min="8967" max="8969" width="13.1640625" style="1255" customWidth="1"/>
    <col min="8970" max="8970" width="16.83203125" style="1255" customWidth="1"/>
    <col min="8971" max="8971" width="12" style="1255" customWidth="1"/>
    <col min="8972" max="8977" width="11.5" style="1255" customWidth="1"/>
    <col min="8978" max="8978" width="10.83203125" style="1255" customWidth="1"/>
    <col min="8979" max="8979" width="15.5" style="1255" customWidth="1"/>
    <col min="8980" max="8980" width="12.33203125" style="1255" customWidth="1"/>
    <col min="8981" max="8981" width="11.6640625" style="1255" customWidth="1"/>
    <col min="8982" max="8982" width="16" style="1255" customWidth="1"/>
    <col min="8983" max="8983" width="12" style="1255" customWidth="1"/>
    <col min="8984" max="8985" width="8.5" style="1255" customWidth="1"/>
    <col min="8986" max="8986" width="15" style="1255" customWidth="1"/>
    <col min="8987" max="8991" width="8.5" style="1255" customWidth="1"/>
    <col min="8992" max="8992" width="9.6640625" style="1255" customWidth="1"/>
    <col min="8993" max="8993" width="9.33203125" style="1255" customWidth="1"/>
    <col min="8994" max="8994" width="12" style="1255" customWidth="1"/>
    <col min="8995" max="8996" width="11.1640625" style="1255" customWidth="1"/>
    <col min="8997" max="8997" width="12.6640625" style="1255" customWidth="1"/>
    <col min="8998" max="8998" width="11.83203125" style="1255" customWidth="1"/>
    <col min="8999" max="8999" width="13" style="1255" customWidth="1"/>
    <col min="9000" max="9000" width="14" style="1255" customWidth="1"/>
    <col min="9001" max="9216" width="9.33203125" style="1255"/>
    <col min="9217" max="9217" width="12.83203125" style="1255" customWidth="1"/>
    <col min="9218" max="9218" width="30.83203125" style="1255" customWidth="1"/>
    <col min="9219" max="9219" width="13.83203125" style="1255" customWidth="1"/>
    <col min="9220" max="9220" width="11.5" style="1255" customWidth="1"/>
    <col min="9221" max="9221" width="13" style="1255" customWidth="1"/>
    <col min="9222" max="9222" width="14.6640625" style="1255" customWidth="1"/>
    <col min="9223" max="9225" width="13.1640625" style="1255" customWidth="1"/>
    <col min="9226" max="9226" width="16.83203125" style="1255" customWidth="1"/>
    <col min="9227" max="9227" width="12" style="1255" customWidth="1"/>
    <col min="9228" max="9233" width="11.5" style="1255" customWidth="1"/>
    <col min="9234" max="9234" width="10.83203125" style="1255" customWidth="1"/>
    <col min="9235" max="9235" width="15.5" style="1255" customWidth="1"/>
    <col min="9236" max="9236" width="12.33203125" style="1255" customWidth="1"/>
    <col min="9237" max="9237" width="11.6640625" style="1255" customWidth="1"/>
    <col min="9238" max="9238" width="16" style="1255" customWidth="1"/>
    <col min="9239" max="9239" width="12" style="1255" customWidth="1"/>
    <col min="9240" max="9241" width="8.5" style="1255" customWidth="1"/>
    <col min="9242" max="9242" width="15" style="1255" customWidth="1"/>
    <col min="9243" max="9247" width="8.5" style="1255" customWidth="1"/>
    <col min="9248" max="9248" width="9.6640625" style="1255" customWidth="1"/>
    <col min="9249" max="9249" width="9.33203125" style="1255" customWidth="1"/>
    <col min="9250" max="9250" width="12" style="1255" customWidth="1"/>
    <col min="9251" max="9252" width="11.1640625" style="1255" customWidth="1"/>
    <col min="9253" max="9253" width="12.6640625" style="1255" customWidth="1"/>
    <col min="9254" max="9254" width="11.83203125" style="1255" customWidth="1"/>
    <col min="9255" max="9255" width="13" style="1255" customWidth="1"/>
    <col min="9256" max="9256" width="14" style="1255" customWidth="1"/>
    <col min="9257" max="9472" width="9.33203125" style="1255"/>
    <col min="9473" max="9473" width="12.83203125" style="1255" customWidth="1"/>
    <col min="9474" max="9474" width="30.83203125" style="1255" customWidth="1"/>
    <col min="9475" max="9475" width="13.83203125" style="1255" customWidth="1"/>
    <col min="9476" max="9476" width="11.5" style="1255" customWidth="1"/>
    <col min="9477" max="9477" width="13" style="1255" customWidth="1"/>
    <col min="9478" max="9478" width="14.6640625" style="1255" customWidth="1"/>
    <col min="9479" max="9481" width="13.1640625" style="1255" customWidth="1"/>
    <col min="9482" max="9482" width="16.83203125" style="1255" customWidth="1"/>
    <col min="9483" max="9483" width="12" style="1255" customWidth="1"/>
    <col min="9484" max="9489" width="11.5" style="1255" customWidth="1"/>
    <col min="9490" max="9490" width="10.83203125" style="1255" customWidth="1"/>
    <col min="9491" max="9491" width="15.5" style="1255" customWidth="1"/>
    <col min="9492" max="9492" width="12.33203125" style="1255" customWidth="1"/>
    <col min="9493" max="9493" width="11.6640625" style="1255" customWidth="1"/>
    <col min="9494" max="9494" width="16" style="1255" customWidth="1"/>
    <col min="9495" max="9495" width="12" style="1255" customWidth="1"/>
    <col min="9496" max="9497" width="8.5" style="1255" customWidth="1"/>
    <col min="9498" max="9498" width="15" style="1255" customWidth="1"/>
    <col min="9499" max="9503" width="8.5" style="1255" customWidth="1"/>
    <col min="9504" max="9504" width="9.6640625" style="1255" customWidth="1"/>
    <col min="9505" max="9505" width="9.33203125" style="1255" customWidth="1"/>
    <col min="9506" max="9506" width="12" style="1255" customWidth="1"/>
    <col min="9507" max="9508" width="11.1640625" style="1255" customWidth="1"/>
    <col min="9509" max="9509" width="12.6640625" style="1255" customWidth="1"/>
    <col min="9510" max="9510" width="11.83203125" style="1255" customWidth="1"/>
    <col min="9511" max="9511" width="13" style="1255" customWidth="1"/>
    <col min="9512" max="9512" width="14" style="1255" customWidth="1"/>
    <col min="9513" max="9728" width="9.33203125" style="1255"/>
    <col min="9729" max="9729" width="12.83203125" style="1255" customWidth="1"/>
    <col min="9730" max="9730" width="30.83203125" style="1255" customWidth="1"/>
    <col min="9731" max="9731" width="13.83203125" style="1255" customWidth="1"/>
    <col min="9732" max="9732" width="11.5" style="1255" customWidth="1"/>
    <col min="9733" max="9733" width="13" style="1255" customWidth="1"/>
    <col min="9734" max="9734" width="14.6640625" style="1255" customWidth="1"/>
    <col min="9735" max="9737" width="13.1640625" style="1255" customWidth="1"/>
    <col min="9738" max="9738" width="16.83203125" style="1255" customWidth="1"/>
    <col min="9739" max="9739" width="12" style="1255" customWidth="1"/>
    <col min="9740" max="9745" width="11.5" style="1255" customWidth="1"/>
    <col min="9746" max="9746" width="10.83203125" style="1255" customWidth="1"/>
    <col min="9747" max="9747" width="15.5" style="1255" customWidth="1"/>
    <col min="9748" max="9748" width="12.33203125" style="1255" customWidth="1"/>
    <col min="9749" max="9749" width="11.6640625" style="1255" customWidth="1"/>
    <col min="9750" max="9750" width="16" style="1255" customWidth="1"/>
    <col min="9751" max="9751" width="12" style="1255" customWidth="1"/>
    <col min="9752" max="9753" width="8.5" style="1255" customWidth="1"/>
    <col min="9754" max="9754" width="15" style="1255" customWidth="1"/>
    <col min="9755" max="9759" width="8.5" style="1255" customWidth="1"/>
    <col min="9760" max="9760" width="9.6640625" style="1255" customWidth="1"/>
    <col min="9761" max="9761" width="9.33203125" style="1255" customWidth="1"/>
    <col min="9762" max="9762" width="12" style="1255" customWidth="1"/>
    <col min="9763" max="9764" width="11.1640625" style="1255" customWidth="1"/>
    <col min="9765" max="9765" width="12.6640625" style="1255" customWidth="1"/>
    <col min="9766" max="9766" width="11.83203125" style="1255" customWidth="1"/>
    <col min="9767" max="9767" width="13" style="1255" customWidth="1"/>
    <col min="9768" max="9768" width="14" style="1255" customWidth="1"/>
    <col min="9769" max="9984" width="9.33203125" style="1255"/>
    <col min="9985" max="9985" width="12.83203125" style="1255" customWidth="1"/>
    <col min="9986" max="9986" width="30.83203125" style="1255" customWidth="1"/>
    <col min="9987" max="9987" width="13.83203125" style="1255" customWidth="1"/>
    <col min="9988" max="9988" width="11.5" style="1255" customWidth="1"/>
    <col min="9989" max="9989" width="13" style="1255" customWidth="1"/>
    <col min="9990" max="9990" width="14.6640625" style="1255" customWidth="1"/>
    <col min="9991" max="9993" width="13.1640625" style="1255" customWidth="1"/>
    <col min="9994" max="9994" width="16.83203125" style="1255" customWidth="1"/>
    <col min="9995" max="9995" width="12" style="1255" customWidth="1"/>
    <col min="9996" max="10001" width="11.5" style="1255" customWidth="1"/>
    <col min="10002" max="10002" width="10.83203125" style="1255" customWidth="1"/>
    <col min="10003" max="10003" width="15.5" style="1255" customWidth="1"/>
    <col min="10004" max="10004" width="12.33203125" style="1255" customWidth="1"/>
    <col min="10005" max="10005" width="11.6640625" style="1255" customWidth="1"/>
    <col min="10006" max="10006" width="16" style="1255" customWidth="1"/>
    <col min="10007" max="10007" width="12" style="1255" customWidth="1"/>
    <col min="10008" max="10009" width="8.5" style="1255" customWidth="1"/>
    <col min="10010" max="10010" width="15" style="1255" customWidth="1"/>
    <col min="10011" max="10015" width="8.5" style="1255" customWidth="1"/>
    <col min="10016" max="10016" width="9.6640625" style="1255" customWidth="1"/>
    <col min="10017" max="10017" width="9.33203125" style="1255" customWidth="1"/>
    <col min="10018" max="10018" width="12" style="1255" customWidth="1"/>
    <col min="10019" max="10020" width="11.1640625" style="1255" customWidth="1"/>
    <col min="10021" max="10021" width="12.6640625" style="1255" customWidth="1"/>
    <col min="10022" max="10022" width="11.83203125" style="1255" customWidth="1"/>
    <col min="10023" max="10023" width="13" style="1255" customWidth="1"/>
    <col min="10024" max="10024" width="14" style="1255" customWidth="1"/>
    <col min="10025" max="10240" width="9.33203125" style="1255"/>
    <col min="10241" max="10241" width="12.83203125" style="1255" customWidth="1"/>
    <col min="10242" max="10242" width="30.83203125" style="1255" customWidth="1"/>
    <col min="10243" max="10243" width="13.83203125" style="1255" customWidth="1"/>
    <col min="10244" max="10244" width="11.5" style="1255" customWidth="1"/>
    <col min="10245" max="10245" width="13" style="1255" customWidth="1"/>
    <col min="10246" max="10246" width="14.6640625" style="1255" customWidth="1"/>
    <col min="10247" max="10249" width="13.1640625" style="1255" customWidth="1"/>
    <col min="10250" max="10250" width="16.83203125" style="1255" customWidth="1"/>
    <col min="10251" max="10251" width="12" style="1255" customWidth="1"/>
    <col min="10252" max="10257" width="11.5" style="1255" customWidth="1"/>
    <col min="10258" max="10258" width="10.83203125" style="1255" customWidth="1"/>
    <col min="10259" max="10259" width="15.5" style="1255" customWidth="1"/>
    <col min="10260" max="10260" width="12.33203125" style="1255" customWidth="1"/>
    <col min="10261" max="10261" width="11.6640625" style="1255" customWidth="1"/>
    <col min="10262" max="10262" width="16" style="1255" customWidth="1"/>
    <col min="10263" max="10263" width="12" style="1255" customWidth="1"/>
    <col min="10264" max="10265" width="8.5" style="1255" customWidth="1"/>
    <col min="10266" max="10266" width="15" style="1255" customWidth="1"/>
    <col min="10267" max="10271" width="8.5" style="1255" customWidth="1"/>
    <col min="10272" max="10272" width="9.6640625" style="1255" customWidth="1"/>
    <col min="10273" max="10273" width="9.33203125" style="1255" customWidth="1"/>
    <col min="10274" max="10274" width="12" style="1255" customWidth="1"/>
    <col min="10275" max="10276" width="11.1640625" style="1255" customWidth="1"/>
    <col min="10277" max="10277" width="12.6640625" style="1255" customWidth="1"/>
    <col min="10278" max="10278" width="11.83203125" style="1255" customWidth="1"/>
    <col min="10279" max="10279" width="13" style="1255" customWidth="1"/>
    <col min="10280" max="10280" width="14" style="1255" customWidth="1"/>
    <col min="10281" max="10496" width="9.33203125" style="1255"/>
    <col min="10497" max="10497" width="12.83203125" style="1255" customWidth="1"/>
    <col min="10498" max="10498" width="30.83203125" style="1255" customWidth="1"/>
    <col min="10499" max="10499" width="13.83203125" style="1255" customWidth="1"/>
    <col min="10500" max="10500" width="11.5" style="1255" customWidth="1"/>
    <col min="10501" max="10501" width="13" style="1255" customWidth="1"/>
    <col min="10502" max="10502" width="14.6640625" style="1255" customWidth="1"/>
    <col min="10503" max="10505" width="13.1640625" style="1255" customWidth="1"/>
    <col min="10506" max="10506" width="16.83203125" style="1255" customWidth="1"/>
    <col min="10507" max="10507" width="12" style="1255" customWidth="1"/>
    <col min="10508" max="10513" width="11.5" style="1255" customWidth="1"/>
    <col min="10514" max="10514" width="10.83203125" style="1255" customWidth="1"/>
    <col min="10515" max="10515" width="15.5" style="1255" customWidth="1"/>
    <col min="10516" max="10516" width="12.33203125" style="1255" customWidth="1"/>
    <col min="10517" max="10517" width="11.6640625" style="1255" customWidth="1"/>
    <col min="10518" max="10518" width="16" style="1255" customWidth="1"/>
    <col min="10519" max="10519" width="12" style="1255" customWidth="1"/>
    <col min="10520" max="10521" width="8.5" style="1255" customWidth="1"/>
    <col min="10522" max="10522" width="15" style="1255" customWidth="1"/>
    <col min="10523" max="10527" width="8.5" style="1255" customWidth="1"/>
    <col min="10528" max="10528" width="9.6640625" style="1255" customWidth="1"/>
    <col min="10529" max="10529" width="9.33203125" style="1255" customWidth="1"/>
    <col min="10530" max="10530" width="12" style="1255" customWidth="1"/>
    <col min="10531" max="10532" width="11.1640625" style="1255" customWidth="1"/>
    <col min="10533" max="10533" width="12.6640625" style="1255" customWidth="1"/>
    <col min="10534" max="10534" width="11.83203125" style="1255" customWidth="1"/>
    <col min="10535" max="10535" width="13" style="1255" customWidth="1"/>
    <col min="10536" max="10536" width="14" style="1255" customWidth="1"/>
    <col min="10537" max="10752" width="9.33203125" style="1255"/>
    <col min="10753" max="10753" width="12.83203125" style="1255" customWidth="1"/>
    <col min="10754" max="10754" width="30.83203125" style="1255" customWidth="1"/>
    <col min="10755" max="10755" width="13.83203125" style="1255" customWidth="1"/>
    <col min="10756" max="10756" width="11.5" style="1255" customWidth="1"/>
    <col min="10757" max="10757" width="13" style="1255" customWidth="1"/>
    <col min="10758" max="10758" width="14.6640625" style="1255" customWidth="1"/>
    <col min="10759" max="10761" width="13.1640625" style="1255" customWidth="1"/>
    <col min="10762" max="10762" width="16.83203125" style="1255" customWidth="1"/>
    <col min="10763" max="10763" width="12" style="1255" customWidth="1"/>
    <col min="10764" max="10769" width="11.5" style="1255" customWidth="1"/>
    <col min="10770" max="10770" width="10.83203125" style="1255" customWidth="1"/>
    <col min="10771" max="10771" width="15.5" style="1255" customWidth="1"/>
    <col min="10772" max="10772" width="12.33203125" style="1255" customWidth="1"/>
    <col min="10773" max="10773" width="11.6640625" style="1255" customWidth="1"/>
    <col min="10774" max="10774" width="16" style="1255" customWidth="1"/>
    <col min="10775" max="10775" width="12" style="1255" customWidth="1"/>
    <col min="10776" max="10777" width="8.5" style="1255" customWidth="1"/>
    <col min="10778" max="10778" width="15" style="1255" customWidth="1"/>
    <col min="10779" max="10783" width="8.5" style="1255" customWidth="1"/>
    <col min="10784" max="10784" width="9.6640625" style="1255" customWidth="1"/>
    <col min="10785" max="10785" width="9.33203125" style="1255" customWidth="1"/>
    <col min="10786" max="10786" width="12" style="1255" customWidth="1"/>
    <col min="10787" max="10788" width="11.1640625" style="1255" customWidth="1"/>
    <col min="10789" max="10789" width="12.6640625" style="1255" customWidth="1"/>
    <col min="10790" max="10790" width="11.83203125" style="1255" customWidth="1"/>
    <col min="10791" max="10791" width="13" style="1255" customWidth="1"/>
    <col min="10792" max="10792" width="14" style="1255" customWidth="1"/>
    <col min="10793" max="11008" width="9.33203125" style="1255"/>
    <col min="11009" max="11009" width="12.83203125" style="1255" customWidth="1"/>
    <col min="11010" max="11010" width="30.83203125" style="1255" customWidth="1"/>
    <col min="11011" max="11011" width="13.83203125" style="1255" customWidth="1"/>
    <col min="11012" max="11012" width="11.5" style="1255" customWidth="1"/>
    <col min="11013" max="11013" width="13" style="1255" customWidth="1"/>
    <col min="11014" max="11014" width="14.6640625" style="1255" customWidth="1"/>
    <col min="11015" max="11017" width="13.1640625" style="1255" customWidth="1"/>
    <col min="11018" max="11018" width="16.83203125" style="1255" customWidth="1"/>
    <col min="11019" max="11019" width="12" style="1255" customWidth="1"/>
    <col min="11020" max="11025" width="11.5" style="1255" customWidth="1"/>
    <col min="11026" max="11026" width="10.83203125" style="1255" customWidth="1"/>
    <col min="11027" max="11027" width="15.5" style="1255" customWidth="1"/>
    <col min="11028" max="11028" width="12.33203125" style="1255" customWidth="1"/>
    <col min="11029" max="11029" width="11.6640625" style="1255" customWidth="1"/>
    <col min="11030" max="11030" width="16" style="1255" customWidth="1"/>
    <col min="11031" max="11031" width="12" style="1255" customWidth="1"/>
    <col min="11032" max="11033" width="8.5" style="1255" customWidth="1"/>
    <col min="11034" max="11034" width="15" style="1255" customWidth="1"/>
    <col min="11035" max="11039" width="8.5" style="1255" customWidth="1"/>
    <col min="11040" max="11040" width="9.6640625" style="1255" customWidth="1"/>
    <col min="11041" max="11041" width="9.33203125" style="1255" customWidth="1"/>
    <col min="11042" max="11042" width="12" style="1255" customWidth="1"/>
    <col min="11043" max="11044" width="11.1640625" style="1255" customWidth="1"/>
    <col min="11045" max="11045" width="12.6640625" style="1255" customWidth="1"/>
    <col min="11046" max="11046" width="11.83203125" style="1255" customWidth="1"/>
    <col min="11047" max="11047" width="13" style="1255" customWidth="1"/>
    <col min="11048" max="11048" width="14" style="1255" customWidth="1"/>
    <col min="11049" max="11264" width="9.33203125" style="1255"/>
    <col min="11265" max="11265" width="12.83203125" style="1255" customWidth="1"/>
    <col min="11266" max="11266" width="30.83203125" style="1255" customWidth="1"/>
    <col min="11267" max="11267" width="13.83203125" style="1255" customWidth="1"/>
    <col min="11268" max="11268" width="11.5" style="1255" customWidth="1"/>
    <col min="11269" max="11269" width="13" style="1255" customWidth="1"/>
    <col min="11270" max="11270" width="14.6640625" style="1255" customWidth="1"/>
    <col min="11271" max="11273" width="13.1640625" style="1255" customWidth="1"/>
    <col min="11274" max="11274" width="16.83203125" style="1255" customWidth="1"/>
    <col min="11275" max="11275" width="12" style="1255" customWidth="1"/>
    <col min="11276" max="11281" width="11.5" style="1255" customWidth="1"/>
    <col min="11282" max="11282" width="10.83203125" style="1255" customWidth="1"/>
    <col min="11283" max="11283" width="15.5" style="1255" customWidth="1"/>
    <col min="11284" max="11284" width="12.33203125" style="1255" customWidth="1"/>
    <col min="11285" max="11285" width="11.6640625" style="1255" customWidth="1"/>
    <col min="11286" max="11286" width="16" style="1255" customWidth="1"/>
    <col min="11287" max="11287" width="12" style="1255" customWidth="1"/>
    <col min="11288" max="11289" width="8.5" style="1255" customWidth="1"/>
    <col min="11290" max="11290" width="15" style="1255" customWidth="1"/>
    <col min="11291" max="11295" width="8.5" style="1255" customWidth="1"/>
    <col min="11296" max="11296" width="9.6640625" style="1255" customWidth="1"/>
    <col min="11297" max="11297" width="9.33203125" style="1255" customWidth="1"/>
    <col min="11298" max="11298" width="12" style="1255" customWidth="1"/>
    <col min="11299" max="11300" width="11.1640625" style="1255" customWidth="1"/>
    <col min="11301" max="11301" width="12.6640625" style="1255" customWidth="1"/>
    <col min="11302" max="11302" width="11.83203125" style="1255" customWidth="1"/>
    <col min="11303" max="11303" width="13" style="1255" customWidth="1"/>
    <col min="11304" max="11304" width="14" style="1255" customWidth="1"/>
    <col min="11305" max="11520" width="9.33203125" style="1255"/>
    <col min="11521" max="11521" width="12.83203125" style="1255" customWidth="1"/>
    <col min="11522" max="11522" width="30.83203125" style="1255" customWidth="1"/>
    <col min="11523" max="11523" width="13.83203125" style="1255" customWidth="1"/>
    <col min="11524" max="11524" width="11.5" style="1255" customWidth="1"/>
    <col min="11525" max="11525" width="13" style="1255" customWidth="1"/>
    <col min="11526" max="11526" width="14.6640625" style="1255" customWidth="1"/>
    <col min="11527" max="11529" width="13.1640625" style="1255" customWidth="1"/>
    <col min="11530" max="11530" width="16.83203125" style="1255" customWidth="1"/>
    <col min="11531" max="11531" width="12" style="1255" customWidth="1"/>
    <col min="11532" max="11537" width="11.5" style="1255" customWidth="1"/>
    <col min="11538" max="11538" width="10.83203125" style="1255" customWidth="1"/>
    <col min="11539" max="11539" width="15.5" style="1255" customWidth="1"/>
    <col min="11540" max="11540" width="12.33203125" style="1255" customWidth="1"/>
    <col min="11541" max="11541" width="11.6640625" style="1255" customWidth="1"/>
    <col min="11542" max="11542" width="16" style="1255" customWidth="1"/>
    <col min="11543" max="11543" width="12" style="1255" customWidth="1"/>
    <col min="11544" max="11545" width="8.5" style="1255" customWidth="1"/>
    <col min="11546" max="11546" width="15" style="1255" customWidth="1"/>
    <col min="11547" max="11551" width="8.5" style="1255" customWidth="1"/>
    <col min="11552" max="11552" width="9.6640625" style="1255" customWidth="1"/>
    <col min="11553" max="11553" width="9.33203125" style="1255" customWidth="1"/>
    <col min="11554" max="11554" width="12" style="1255" customWidth="1"/>
    <col min="11555" max="11556" width="11.1640625" style="1255" customWidth="1"/>
    <col min="11557" max="11557" width="12.6640625" style="1255" customWidth="1"/>
    <col min="11558" max="11558" width="11.83203125" style="1255" customWidth="1"/>
    <col min="11559" max="11559" width="13" style="1255" customWidth="1"/>
    <col min="11560" max="11560" width="14" style="1255" customWidth="1"/>
    <col min="11561" max="11776" width="9.33203125" style="1255"/>
    <col min="11777" max="11777" width="12.83203125" style="1255" customWidth="1"/>
    <col min="11778" max="11778" width="30.83203125" style="1255" customWidth="1"/>
    <col min="11779" max="11779" width="13.83203125" style="1255" customWidth="1"/>
    <col min="11780" max="11780" width="11.5" style="1255" customWidth="1"/>
    <col min="11781" max="11781" width="13" style="1255" customWidth="1"/>
    <col min="11782" max="11782" width="14.6640625" style="1255" customWidth="1"/>
    <col min="11783" max="11785" width="13.1640625" style="1255" customWidth="1"/>
    <col min="11786" max="11786" width="16.83203125" style="1255" customWidth="1"/>
    <col min="11787" max="11787" width="12" style="1255" customWidth="1"/>
    <col min="11788" max="11793" width="11.5" style="1255" customWidth="1"/>
    <col min="11794" max="11794" width="10.83203125" style="1255" customWidth="1"/>
    <col min="11795" max="11795" width="15.5" style="1255" customWidth="1"/>
    <col min="11796" max="11796" width="12.33203125" style="1255" customWidth="1"/>
    <col min="11797" max="11797" width="11.6640625" style="1255" customWidth="1"/>
    <col min="11798" max="11798" width="16" style="1255" customWidth="1"/>
    <col min="11799" max="11799" width="12" style="1255" customWidth="1"/>
    <col min="11800" max="11801" width="8.5" style="1255" customWidth="1"/>
    <col min="11802" max="11802" width="15" style="1255" customWidth="1"/>
    <col min="11803" max="11807" width="8.5" style="1255" customWidth="1"/>
    <col min="11808" max="11808" width="9.6640625" style="1255" customWidth="1"/>
    <col min="11809" max="11809" width="9.33203125" style="1255" customWidth="1"/>
    <col min="11810" max="11810" width="12" style="1255" customWidth="1"/>
    <col min="11811" max="11812" width="11.1640625" style="1255" customWidth="1"/>
    <col min="11813" max="11813" width="12.6640625" style="1255" customWidth="1"/>
    <col min="11814" max="11814" width="11.83203125" style="1255" customWidth="1"/>
    <col min="11815" max="11815" width="13" style="1255" customWidth="1"/>
    <col min="11816" max="11816" width="14" style="1255" customWidth="1"/>
    <col min="11817" max="12032" width="9.33203125" style="1255"/>
    <col min="12033" max="12033" width="12.83203125" style="1255" customWidth="1"/>
    <col min="12034" max="12034" width="30.83203125" style="1255" customWidth="1"/>
    <col min="12035" max="12035" width="13.83203125" style="1255" customWidth="1"/>
    <col min="12036" max="12036" width="11.5" style="1255" customWidth="1"/>
    <col min="12037" max="12037" width="13" style="1255" customWidth="1"/>
    <col min="12038" max="12038" width="14.6640625" style="1255" customWidth="1"/>
    <col min="12039" max="12041" width="13.1640625" style="1255" customWidth="1"/>
    <col min="12042" max="12042" width="16.83203125" style="1255" customWidth="1"/>
    <col min="12043" max="12043" width="12" style="1255" customWidth="1"/>
    <col min="12044" max="12049" width="11.5" style="1255" customWidth="1"/>
    <col min="12050" max="12050" width="10.83203125" style="1255" customWidth="1"/>
    <col min="12051" max="12051" width="15.5" style="1255" customWidth="1"/>
    <col min="12052" max="12052" width="12.33203125" style="1255" customWidth="1"/>
    <col min="12053" max="12053" width="11.6640625" style="1255" customWidth="1"/>
    <col min="12054" max="12054" width="16" style="1255" customWidth="1"/>
    <col min="12055" max="12055" width="12" style="1255" customWidth="1"/>
    <col min="12056" max="12057" width="8.5" style="1255" customWidth="1"/>
    <col min="12058" max="12058" width="15" style="1255" customWidth="1"/>
    <col min="12059" max="12063" width="8.5" style="1255" customWidth="1"/>
    <col min="12064" max="12064" width="9.6640625" style="1255" customWidth="1"/>
    <col min="12065" max="12065" width="9.33203125" style="1255" customWidth="1"/>
    <col min="12066" max="12066" width="12" style="1255" customWidth="1"/>
    <col min="12067" max="12068" width="11.1640625" style="1255" customWidth="1"/>
    <col min="12069" max="12069" width="12.6640625" style="1255" customWidth="1"/>
    <col min="12070" max="12070" width="11.83203125" style="1255" customWidth="1"/>
    <col min="12071" max="12071" width="13" style="1255" customWidth="1"/>
    <col min="12072" max="12072" width="14" style="1255" customWidth="1"/>
    <col min="12073" max="12288" width="9.33203125" style="1255"/>
    <col min="12289" max="12289" width="12.83203125" style="1255" customWidth="1"/>
    <col min="12290" max="12290" width="30.83203125" style="1255" customWidth="1"/>
    <col min="12291" max="12291" width="13.83203125" style="1255" customWidth="1"/>
    <col min="12292" max="12292" width="11.5" style="1255" customWidth="1"/>
    <col min="12293" max="12293" width="13" style="1255" customWidth="1"/>
    <col min="12294" max="12294" width="14.6640625" style="1255" customWidth="1"/>
    <col min="12295" max="12297" width="13.1640625" style="1255" customWidth="1"/>
    <col min="12298" max="12298" width="16.83203125" style="1255" customWidth="1"/>
    <col min="12299" max="12299" width="12" style="1255" customWidth="1"/>
    <col min="12300" max="12305" width="11.5" style="1255" customWidth="1"/>
    <col min="12306" max="12306" width="10.83203125" style="1255" customWidth="1"/>
    <col min="12307" max="12307" width="15.5" style="1255" customWidth="1"/>
    <col min="12308" max="12308" width="12.33203125" style="1255" customWidth="1"/>
    <col min="12309" max="12309" width="11.6640625" style="1255" customWidth="1"/>
    <col min="12310" max="12310" width="16" style="1255" customWidth="1"/>
    <col min="12311" max="12311" width="12" style="1255" customWidth="1"/>
    <col min="12312" max="12313" width="8.5" style="1255" customWidth="1"/>
    <col min="12314" max="12314" width="15" style="1255" customWidth="1"/>
    <col min="12315" max="12319" width="8.5" style="1255" customWidth="1"/>
    <col min="12320" max="12320" width="9.6640625" style="1255" customWidth="1"/>
    <col min="12321" max="12321" width="9.33203125" style="1255" customWidth="1"/>
    <col min="12322" max="12322" width="12" style="1255" customWidth="1"/>
    <col min="12323" max="12324" width="11.1640625" style="1255" customWidth="1"/>
    <col min="12325" max="12325" width="12.6640625" style="1255" customWidth="1"/>
    <col min="12326" max="12326" width="11.83203125" style="1255" customWidth="1"/>
    <col min="12327" max="12327" width="13" style="1255" customWidth="1"/>
    <col min="12328" max="12328" width="14" style="1255" customWidth="1"/>
    <col min="12329" max="12544" width="9.33203125" style="1255"/>
    <col min="12545" max="12545" width="12.83203125" style="1255" customWidth="1"/>
    <col min="12546" max="12546" width="30.83203125" style="1255" customWidth="1"/>
    <col min="12547" max="12547" width="13.83203125" style="1255" customWidth="1"/>
    <col min="12548" max="12548" width="11.5" style="1255" customWidth="1"/>
    <col min="12549" max="12549" width="13" style="1255" customWidth="1"/>
    <col min="12550" max="12550" width="14.6640625" style="1255" customWidth="1"/>
    <col min="12551" max="12553" width="13.1640625" style="1255" customWidth="1"/>
    <col min="12554" max="12554" width="16.83203125" style="1255" customWidth="1"/>
    <col min="12555" max="12555" width="12" style="1255" customWidth="1"/>
    <col min="12556" max="12561" width="11.5" style="1255" customWidth="1"/>
    <col min="12562" max="12562" width="10.83203125" style="1255" customWidth="1"/>
    <col min="12563" max="12563" width="15.5" style="1255" customWidth="1"/>
    <col min="12564" max="12564" width="12.33203125" style="1255" customWidth="1"/>
    <col min="12565" max="12565" width="11.6640625" style="1255" customWidth="1"/>
    <col min="12566" max="12566" width="16" style="1255" customWidth="1"/>
    <col min="12567" max="12567" width="12" style="1255" customWidth="1"/>
    <col min="12568" max="12569" width="8.5" style="1255" customWidth="1"/>
    <col min="12570" max="12570" width="15" style="1255" customWidth="1"/>
    <col min="12571" max="12575" width="8.5" style="1255" customWidth="1"/>
    <col min="12576" max="12576" width="9.6640625" style="1255" customWidth="1"/>
    <col min="12577" max="12577" width="9.33203125" style="1255" customWidth="1"/>
    <col min="12578" max="12578" width="12" style="1255" customWidth="1"/>
    <col min="12579" max="12580" width="11.1640625" style="1255" customWidth="1"/>
    <col min="12581" max="12581" width="12.6640625" style="1255" customWidth="1"/>
    <col min="12582" max="12582" width="11.83203125" style="1255" customWidth="1"/>
    <col min="12583" max="12583" width="13" style="1255" customWidth="1"/>
    <col min="12584" max="12584" width="14" style="1255" customWidth="1"/>
    <col min="12585" max="12800" width="9.33203125" style="1255"/>
    <col min="12801" max="12801" width="12.83203125" style="1255" customWidth="1"/>
    <col min="12802" max="12802" width="30.83203125" style="1255" customWidth="1"/>
    <col min="12803" max="12803" width="13.83203125" style="1255" customWidth="1"/>
    <col min="12804" max="12804" width="11.5" style="1255" customWidth="1"/>
    <col min="12805" max="12805" width="13" style="1255" customWidth="1"/>
    <col min="12806" max="12806" width="14.6640625" style="1255" customWidth="1"/>
    <col min="12807" max="12809" width="13.1640625" style="1255" customWidth="1"/>
    <col min="12810" max="12810" width="16.83203125" style="1255" customWidth="1"/>
    <col min="12811" max="12811" width="12" style="1255" customWidth="1"/>
    <col min="12812" max="12817" width="11.5" style="1255" customWidth="1"/>
    <col min="12818" max="12818" width="10.83203125" style="1255" customWidth="1"/>
    <col min="12819" max="12819" width="15.5" style="1255" customWidth="1"/>
    <col min="12820" max="12820" width="12.33203125" style="1255" customWidth="1"/>
    <col min="12821" max="12821" width="11.6640625" style="1255" customWidth="1"/>
    <col min="12822" max="12822" width="16" style="1255" customWidth="1"/>
    <col min="12823" max="12823" width="12" style="1255" customWidth="1"/>
    <col min="12824" max="12825" width="8.5" style="1255" customWidth="1"/>
    <col min="12826" max="12826" width="15" style="1255" customWidth="1"/>
    <col min="12827" max="12831" width="8.5" style="1255" customWidth="1"/>
    <col min="12832" max="12832" width="9.6640625" style="1255" customWidth="1"/>
    <col min="12833" max="12833" width="9.33203125" style="1255" customWidth="1"/>
    <col min="12834" max="12834" width="12" style="1255" customWidth="1"/>
    <col min="12835" max="12836" width="11.1640625" style="1255" customWidth="1"/>
    <col min="12837" max="12837" width="12.6640625" style="1255" customWidth="1"/>
    <col min="12838" max="12838" width="11.83203125" style="1255" customWidth="1"/>
    <col min="12839" max="12839" width="13" style="1255" customWidth="1"/>
    <col min="12840" max="12840" width="14" style="1255" customWidth="1"/>
    <col min="12841" max="13056" width="9.33203125" style="1255"/>
    <col min="13057" max="13057" width="12.83203125" style="1255" customWidth="1"/>
    <col min="13058" max="13058" width="30.83203125" style="1255" customWidth="1"/>
    <col min="13059" max="13059" width="13.83203125" style="1255" customWidth="1"/>
    <col min="13060" max="13060" width="11.5" style="1255" customWidth="1"/>
    <col min="13061" max="13061" width="13" style="1255" customWidth="1"/>
    <col min="13062" max="13062" width="14.6640625" style="1255" customWidth="1"/>
    <col min="13063" max="13065" width="13.1640625" style="1255" customWidth="1"/>
    <col min="13066" max="13066" width="16.83203125" style="1255" customWidth="1"/>
    <col min="13067" max="13067" width="12" style="1255" customWidth="1"/>
    <col min="13068" max="13073" width="11.5" style="1255" customWidth="1"/>
    <col min="13074" max="13074" width="10.83203125" style="1255" customWidth="1"/>
    <col min="13075" max="13075" width="15.5" style="1255" customWidth="1"/>
    <col min="13076" max="13076" width="12.33203125" style="1255" customWidth="1"/>
    <col min="13077" max="13077" width="11.6640625" style="1255" customWidth="1"/>
    <col min="13078" max="13078" width="16" style="1255" customWidth="1"/>
    <col min="13079" max="13079" width="12" style="1255" customWidth="1"/>
    <col min="13080" max="13081" width="8.5" style="1255" customWidth="1"/>
    <col min="13082" max="13082" width="15" style="1255" customWidth="1"/>
    <col min="13083" max="13087" width="8.5" style="1255" customWidth="1"/>
    <col min="13088" max="13088" width="9.6640625" style="1255" customWidth="1"/>
    <col min="13089" max="13089" width="9.33203125" style="1255" customWidth="1"/>
    <col min="13090" max="13090" width="12" style="1255" customWidth="1"/>
    <col min="13091" max="13092" width="11.1640625" style="1255" customWidth="1"/>
    <col min="13093" max="13093" width="12.6640625" style="1255" customWidth="1"/>
    <col min="13094" max="13094" width="11.83203125" style="1255" customWidth="1"/>
    <col min="13095" max="13095" width="13" style="1255" customWidth="1"/>
    <col min="13096" max="13096" width="14" style="1255" customWidth="1"/>
    <col min="13097" max="13312" width="9.33203125" style="1255"/>
    <col min="13313" max="13313" width="12.83203125" style="1255" customWidth="1"/>
    <col min="13314" max="13314" width="30.83203125" style="1255" customWidth="1"/>
    <col min="13315" max="13315" width="13.83203125" style="1255" customWidth="1"/>
    <col min="13316" max="13316" width="11.5" style="1255" customWidth="1"/>
    <col min="13317" max="13317" width="13" style="1255" customWidth="1"/>
    <col min="13318" max="13318" width="14.6640625" style="1255" customWidth="1"/>
    <col min="13319" max="13321" width="13.1640625" style="1255" customWidth="1"/>
    <col min="13322" max="13322" width="16.83203125" style="1255" customWidth="1"/>
    <col min="13323" max="13323" width="12" style="1255" customWidth="1"/>
    <col min="13324" max="13329" width="11.5" style="1255" customWidth="1"/>
    <col min="13330" max="13330" width="10.83203125" style="1255" customWidth="1"/>
    <col min="13331" max="13331" width="15.5" style="1255" customWidth="1"/>
    <col min="13332" max="13332" width="12.33203125" style="1255" customWidth="1"/>
    <col min="13333" max="13333" width="11.6640625" style="1255" customWidth="1"/>
    <col min="13334" max="13334" width="16" style="1255" customWidth="1"/>
    <col min="13335" max="13335" width="12" style="1255" customWidth="1"/>
    <col min="13336" max="13337" width="8.5" style="1255" customWidth="1"/>
    <col min="13338" max="13338" width="15" style="1255" customWidth="1"/>
    <col min="13339" max="13343" width="8.5" style="1255" customWidth="1"/>
    <col min="13344" max="13344" width="9.6640625" style="1255" customWidth="1"/>
    <col min="13345" max="13345" width="9.33203125" style="1255" customWidth="1"/>
    <col min="13346" max="13346" width="12" style="1255" customWidth="1"/>
    <col min="13347" max="13348" width="11.1640625" style="1255" customWidth="1"/>
    <col min="13349" max="13349" width="12.6640625" style="1255" customWidth="1"/>
    <col min="13350" max="13350" width="11.83203125" style="1255" customWidth="1"/>
    <col min="13351" max="13351" width="13" style="1255" customWidth="1"/>
    <col min="13352" max="13352" width="14" style="1255" customWidth="1"/>
    <col min="13353" max="13568" width="9.33203125" style="1255"/>
    <col min="13569" max="13569" width="12.83203125" style="1255" customWidth="1"/>
    <col min="13570" max="13570" width="30.83203125" style="1255" customWidth="1"/>
    <col min="13571" max="13571" width="13.83203125" style="1255" customWidth="1"/>
    <col min="13572" max="13572" width="11.5" style="1255" customWidth="1"/>
    <col min="13573" max="13573" width="13" style="1255" customWidth="1"/>
    <col min="13574" max="13574" width="14.6640625" style="1255" customWidth="1"/>
    <col min="13575" max="13577" width="13.1640625" style="1255" customWidth="1"/>
    <col min="13578" max="13578" width="16.83203125" style="1255" customWidth="1"/>
    <col min="13579" max="13579" width="12" style="1255" customWidth="1"/>
    <col min="13580" max="13585" width="11.5" style="1255" customWidth="1"/>
    <col min="13586" max="13586" width="10.83203125" style="1255" customWidth="1"/>
    <col min="13587" max="13587" width="15.5" style="1255" customWidth="1"/>
    <col min="13588" max="13588" width="12.33203125" style="1255" customWidth="1"/>
    <col min="13589" max="13589" width="11.6640625" style="1255" customWidth="1"/>
    <col min="13590" max="13590" width="16" style="1255" customWidth="1"/>
    <col min="13591" max="13591" width="12" style="1255" customWidth="1"/>
    <col min="13592" max="13593" width="8.5" style="1255" customWidth="1"/>
    <col min="13594" max="13594" width="15" style="1255" customWidth="1"/>
    <col min="13595" max="13599" width="8.5" style="1255" customWidth="1"/>
    <col min="13600" max="13600" width="9.6640625" style="1255" customWidth="1"/>
    <col min="13601" max="13601" width="9.33203125" style="1255" customWidth="1"/>
    <col min="13602" max="13602" width="12" style="1255" customWidth="1"/>
    <col min="13603" max="13604" width="11.1640625" style="1255" customWidth="1"/>
    <col min="13605" max="13605" width="12.6640625" style="1255" customWidth="1"/>
    <col min="13606" max="13606" width="11.83203125" style="1255" customWidth="1"/>
    <col min="13607" max="13607" width="13" style="1255" customWidth="1"/>
    <col min="13608" max="13608" width="14" style="1255" customWidth="1"/>
    <col min="13609" max="13824" width="9.33203125" style="1255"/>
    <col min="13825" max="13825" width="12.83203125" style="1255" customWidth="1"/>
    <col min="13826" max="13826" width="30.83203125" style="1255" customWidth="1"/>
    <col min="13827" max="13827" width="13.83203125" style="1255" customWidth="1"/>
    <col min="13828" max="13828" width="11.5" style="1255" customWidth="1"/>
    <col min="13829" max="13829" width="13" style="1255" customWidth="1"/>
    <col min="13830" max="13830" width="14.6640625" style="1255" customWidth="1"/>
    <col min="13831" max="13833" width="13.1640625" style="1255" customWidth="1"/>
    <col min="13834" max="13834" width="16.83203125" style="1255" customWidth="1"/>
    <col min="13835" max="13835" width="12" style="1255" customWidth="1"/>
    <col min="13836" max="13841" width="11.5" style="1255" customWidth="1"/>
    <col min="13842" max="13842" width="10.83203125" style="1255" customWidth="1"/>
    <col min="13843" max="13843" width="15.5" style="1255" customWidth="1"/>
    <col min="13844" max="13844" width="12.33203125" style="1255" customWidth="1"/>
    <col min="13845" max="13845" width="11.6640625" style="1255" customWidth="1"/>
    <col min="13846" max="13846" width="16" style="1255" customWidth="1"/>
    <col min="13847" max="13847" width="12" style="1255" customWidth="1"/>
    <col min="13848" max="13849" width="8.5" style="1255" customWidth="1"/>
    <col min="13850" max="13850" width="15" style="1255" customWidth="1"/>
    <col min="13851" max="13855" width="8.5" style="1255" customWidth="1"/>
    <col min="13856" max="13856" width="9.6640625" style="1255" customWidth="1"/>
    <col min="13857" max="13857" width="9.33203125" style="1255" customWidth="1"/>
    <col min="13858" max="13858" width="12" style="1255" customWidth="1"/>
    <col min="13859" max="13860" width="11.1640625" style="1255" customWidth="1"/>
    <col min="13861" max="13861" width="12.6640625" style="1255" customWidth="1"/>
    <col min="13862" max="13862" width="11.83203125" style="1255" customWidth="1"/>
    <col min="13863" max="13863" width="13" style="1255" customWidth="1"/>
    <col min="13864" max="13864" width="14" style="1255" customWidth="1"/>
    <col min="13865" max="14080" width="9.33203125" style="1255"/>
    <col min="14081" max="14081" width="12.83203125" style="1255" customWidth="1"/>
    <col min="14082" max="14082" width="30.83203125" style="1255" customWidth="1"/>
    <col min="14083" max="14083" width="13.83203125" style="1255" customWidth="1"/>
    <col min="14084" max="14084" width="11.5" style="1255" customWidth="1"/>
    <col min="14085" max="14085" width="13" style="1255" customWidth="1"/>
    <col min="14086" max="14086" width="14.6640625" style="1255" customWidth="1"/>
    <col min="14087" max="14089" width="13.1640625" style="1255" customWidth="1"/>
    <col min="14090" max="14090" width="16.83203125" style="1255" customWidth="1"/>
    <col min="14091" max="14091" width="12" style="1255" customWidth="1"/>
    <col min="14092" max="14097" width="11.5" style="1255" customWidth="1"/>
    <col min="14098" max="14098" width="10.83203125" style="1255" customWidth="1"/>
    <col min="14099" max="14099" width="15.5" style="1255" customWidth="1"/>
    <col min="14100" max="14100" width="12.33203125" style="1255" customWidth="1"/>
    <col min="14101" max="14101" width="11.6640625" style="1255" customWidth="1"/>
    <col min="14102" max="14102" width="16" style="1255" customWidth="1"/>
    <col min="14103" max="14103" width="12" style="1255" customWidth="1"/>
    <col min="14104" max="14105" width="8.5" style="1255" customWidth="1"/>
    <col min="14106" max="14106" width="15" style="1255" customWidth="1"/>
    <col min="14107" max="14111" width="8.5" style="1255" customWidth="1"/>
    <col min="14112" max="14112" width="9.6640625" style="1255" customWidth="1"/>
    <col min="14113" max="14113" width="9.33203125" style="1255" customWidth="1"/>
    <col min="14114" max="14114" width="12" style="1255" customWidth="1"/>
    <col min="14115" max="14116" width="11.1640625" style="1255" customWidth="1"/>
    <col min="14117" max="14117" width="12.6640625" style="1255" customWidth="1"/>
    <col min="14118" max="14118" width="11.83203125" style="1255" customWidth="1"/>
    <col min="14119" max="14119" width="13" style="1255" customWidth="1"/>
    <col min="14120" max="14120" width="14" style="1255" customWidth="1"/>
    <col min="14121" max="14336" width="9.33203125" style="1255"/>
    <col min="14337" max="14337" width="12.83203125" style="1255" customWidth="1"/>
    <col min="14338" max="14338" width="30.83203125" style="1255" customWidth="1"/>
    <col min="14339" max="14339" width="13.83203125" style="1255" customWidth="1"/>
    <col min="14340" max="14340" width="11.5" style="1255" customWidth="1"/>
    <col min="14341" max="14341" width="13" style="1255" customWidth="1"/>
    <col min="14342" max="14342" width="14.6640625" style="1255" customWidth="1"/>
    <col min="14343" max="14345" width="13.1640625" style="1255" customWidth="1"/>
    <col min="14346" max="14346" width="16.83203125" style="1255" customWidth="1"/>
    <col min="14347" max="14347" width="12" style="1255" customWidth="1"/>
    <col min="14348" max="14353" width="11.5" style="1255" customWidth="1"/>
    <col min="14354" max="14354" width="10.83203125" style="1255" customWidth="1"/>
    <col min="14355" max="14355" width="15.5" style="1255" customWidth="1"/>
    <col min="14356" max="14356" width="12.33203125" style="1255" customWidth="1"/>
    <col min="14357" max="14357" width="11.6640625" style="1255" customWidth="1"/>
    <col min="14358" max="14358" width="16" style="1255" customWidth="1"/>
    <col min="14359" max="14359" width="12" style="1255" customWidth="1"/>
    <col min="14360" max="14361" width="8.5" style="1255" customWidth="1"/>
    <col min="14362" max="14362" width="15" style="1255" customWidth="1"/>
    <col min="14363" max="14367" width="8.5" style="1255" customWidth="1"/>
    <col min="14368" max="14368" width="9.6640625" style="1255" customWidth="1"/>
    <col min="14369" max="14369" width="9.33203125" style="1255" customWidth="1"/>
    <col min="14370" max="14370" width="12" style="1255" customWidth="1"/>
    <col min="14371" max="14372" width="11.1640625" style="1255" customWidth="1"/>
    <col min="14373" max="14373" width="12.6640625" style="1255" customWidth="1"/>
    <col min="14374" max="14374" width="11.83203125" style="1255" customWidth="1"/>
    <col min="14375" max="14375" width="13" style="1255" customWidth="1"/>
    <col min="14376" max="14376" width="14" style="1255" customWidth="1"/>
    <col min="14377" max="14592" width="9.33203125" style="1255"/>
    <col min="14593" max="14593" width="12.83203125" style="1255" customWidth="1"/>
    <col min="14594" max="14594" width="30.83203125" style="1255" customWidth="1"/>
    <col min="14595" max="14595" width="13.83203125" style="1255" customWidth="1"/>
    <col min="14596" max="14596" width="11.5" style="1255" customWidth="1"/>
    <col min="14597" max="14597" width="13" style="1255" customWidth="1"/>
    <col min="14598" max="14598" width="14.6640625" style="1255" customWidth="1"/>
    <col min="14599" max="14601" width="13.1640625" style="1255" customWidth="1"/>
    <col min="14602" max="14602" width="16.83203125" style="1255" customWidth="1"/>
    <col min="14603" max="14603" width="12" style="1255" customWidth="1"/>
    <col min="14604" max="14609" width="11.5" style="1255" customWidth="1"/>
    <col min="14610" max="14610" width="10.83203125" style="1255" customWidth="1"/>
    <col min="14611" max="14611" width="15.5" style="1255" customWidth="1"/>
    <col min="14612" max="14612" width="12.33203125" style="1255" customWidth="1"/>
    <col min="14613" max="14613" width="11.6640625" style="1255" customWidth="1"/>
    <col min="14614" max="14614" width="16" style="1255" customWidth="1"/>
    <col min="14615" max="14615" width="12" style="1255" customWidth="1"/>
    <col min="14616" max="14617" width="8.5" style="1255" customWidth="1"/>
    <col min="14618" max="14618" width="15" style="1255" customWidth="1"/>
    <col min="14619" max="14623" width="8.5" style="1255" customWidth="1"/>
    <col min="14624" max="14624" width="9.6640625" style="1255" customWidth="1"/>
    <col min="14625" max="14625" width="9.33203125" style="1255" customWidth="1"/>
    <col min="14626" max="14626" width="12" style="1255" customWidth="1"/>
    <col min="14627" max="14628" width="11.1640625" style="1255" customWidth="1"/>
    <col min="14629" max="14629" width="12.6640625" style="1255" customWidth="1"/>
    <col min="14630" max="14630" width="11.83203125" style="1255" customWidth="1"/>
    <col min="14631" max="14631" width="13" style="1255" customWidth="1"/>
    <col min="14632" max="14632" width="14" style="1255" customWidth="1"/>
    <col min="14633" max="14848" width="9.33203125" style="1255"/>
    <col min="14849" max="14849" width="12.83203125" style="1255" customWidth="1"/>
    <col min="14850" max="14850" width="30.83203125" style="1255" customWidth="1"/>
    <col min="14851" max="14851" width="13.83203125" style="1255" customWidth="1"/>
    <col min="14852" max="14852" width="11.5" style="1255" customWidth="1"/>
    <col min="14853" max="14853" width="13" style="1255" customWidth="1"/>
    <col min="14854" max="14854" width="14.6640625" style="1255" customWidth="1"/>
    <col min="14855" max="14857" width="13.1640625" style="1255" customWidth="1"/>
    <col min="14858" max="14858" width="16.83203125" style="1255" customWidth="1"/>
    <col min="14859" max="14859" width="12" style="1255" customWidth="1"/>
    <col min="14860" max="14865" width="11.5" style="1255" customWidth="1"/>
    <col min="14866" max="14866" width="10.83203125" style="1255" customWidth="1"/>
    <col min="14867" max="14867" width="15.5" style="1255" customWidth="1"/>
    <col min="14868" max="14868" width="12.33203125" style="1255" customWidth="1"/>
    <col min="14869" max="14869" width="11.6640625" style="1255" customWidth="1"/>
    <col min="14870" max="14870" width="16" style="1255" customWidth="1"/>
    <col min="14871" max="14871" width="12" style="1255" customWidth="1"/>
    <col min="14872" max="14873" width="8.5" style="1255" customWidth="1"/>
    <col min="14874" max="14874" width="15" style="1255" customWidth="1"/>
    <col min="14875" max="14879" width="8.5" style="1255" customWidth="1"/>
    <col min="14880" max="14880" width="9.6640625" style="1255" customWidth="1"/>
    <col min="14881" max="14881" width="9.33203125" style="1255" customWidth="1"/>
    <col min="14882" max="14882" width="12" style="1255" customWidth="1"/>
    <col min="14883" max="14884" width="11.1640625" style="1255" customWidth="1"/>
    <col min="14885" max="14885" width="12.6640625" style="1255" customWidth="1"/>
    <col min="14886" max="14886" width="11.83203125" style="1255" customWidth="1"/>
    <col min="14887" max="14887" width="13" style="1255" customWidth="1"/>
    <col min="14888" max="14888" width="14" style="1255" customWidth="1"/>
    <col min="14889" max="15104" width="9.33203125" style="1255"/>
    <col min="15105" max="15105" width="12.83203125" style="1255" customWidth="1"/>
    <col min="15106" max="15106" width="30.83203125" style="1255" customWidth="1"/>
    <col min="15107" max="15107" width="13.83203125" style="1255" customWidth="1"/>
    <col min="15108" max="15108" width="11.5" style="1255" customWidth="1"/>
    <col min="15109" max="15109" width="13" style="1255" customWidth="1"/>
    <col min="15110" max="15110" width="14.6640625" style="1255" customWidth="1"/>
    <col min="15111" max="15113" width="13.1640625" style="1255" customWidth="1"/>
    <col min="15114" max="15114" width="16.83203125" style="1255" customWidth="1"/>
    <col min="15115" max="15115" width="12" style="1255" customWidth="1"/>
    <col min="15116" max="15121" width="11.5" style="1255" customWidth="1"/>
    <col min="15122" max="15122" width="10.83203125" style="1255" customWidth="1"/>
    <col min="15123" max="15123" width="15.5" style="1255" customWidth="1"/>
    <col min="15124" max="15124" width="12.33203125" style="1255" customWidth="1"/>
    <col min="15125" max="15125" width="11.6640625" style="1255" customWidth="1"/>
    <col min="15126" max="15126" width="16" style="1255" customWidth="1"/>
    <col min="15127" max="15127" width="12" style="1255" customWidth="1"/>
    <col min="15128" max="15129" width="8.5" style="1255" customWidth="1"/>
    <col min="15130" max="15130" width="15" style="1255" customWidth="1"/>
    <col min="15131" max="15135" width="8.5" style="1255" customWidth="1"/>
    <col min="15136" max="15136" width="9.6640625" style="1255" customWidth="1"/>
    <col min="15137" max="15137" width="9.33203125" style="1255" customWidth="1"/>
    <col min="15138" max="15138" width="12" style="1255" customWidth="1"/>
    <col min="15139" max="15140" width="11.1640625" style="1255" customWidth="1"/>
    <col min="15141" max="15141" width="12.6640625" style="1255" customWidth="1"/>
    <col min="15142" max="15142" width="11.83203125" style="1255" customWidth="1"/>
    <col min="15143" max="15143" width="13" style="1255" customWidth="1"/>
    <col min="15144" max="15144" width="14" style="1255" customWidth="1"/>
    <col min="15145" max="15360" width="9.33203125" style="1255"/>
    <col min="15361" max="15361" width="12.83203125" style="1255" customWidth="1"/>
    <col min="15362" max="15362" width="30.83203125" style="1255" customWidth="1"/>
    <col min="15363" max="15363" width="13.83203125" style="1255" customWidth="1"/>
    <col min="15364" max="15364" width="11.5" style="1255" customWidth="1"/>
    <col min="15365" max="15365" width="13" style="1255" customWidth="1"/>
    <col min="15366" max="15366" width="14.6640625" style="1255" customWidth="1"/>
    <col min="15367" max="15369" width="13.1640625" style="1255" customWidth="1"/>
    <col min="15370" max="15370" width="16.83203125" style="1255" customWidth="1"/>
    <col min="15371" max="15371" width="12" style="1255" customWidth="1"/>
    <col min="15372" max="15377" width="11.5" style="1255" customWidth="1"/>
    <col min="15378" max="15378" width="10.83203125" style="1255" customWidth="1"/>
    <col min="15379" max="15379" width="15.5" style="1255" customWidth="1"/>
    <col min="15380" max="15380" width="12.33203125" style="1255" customWidth="1"/>
    <col min="15381" max="15381" width="11.6640625" style="1255" customWidth="1"/>
    <col min="15382" max="15382" width="16" style="1255" customWidth="1"/>
    <col min="15383" max="15383" width="12" style="1255" customWidth="1"/>
    <col min="15384" max="15385" width="8.5" style="1255" customWidth="1"/>
    <col min="15386" max="15386" width="15" style="1255" customWidth="1"/>
    <col min="15387" max="15391" width="8.5" style="1255" customWidth="1"/>
    <col min="15392" max="15392" width="9.6640625" style="1255" customWidth="1"/>
    <col min="15393" max="15393" width="9.33203125" style="1255" customWidth="1"/>
    <col min="15394" max="15394" width="12" style="1255" customWidth="1"/>
    <col min="15395" max="15396" width="11.1640625" style="1255" customWidth="1"/>
    <col min="15397" max="15397" width="12.6640625" style="1255" customWidth="1"/>
    <col min="15398" max="15398" width="11.83203125" style="1255" customWidth="1"/>
    <col min="15399" max="15399" width="13" style="1255" customWidth="1"/>
    <col min="15400" max="15400" width="14" style="1255" customWidth="1"/>
    <col min="15401" max="15616" width="9.33203125" style="1255"/>
    <col min="15617" max="15617" width="12.83203125" style="1255" customWidth="1"/>
    <col min="15618" max="15618" width="30.83203125" style="1255" customWidth="1"/>
    <col min="15619" max="15619" width="13.83203125" style="1255" customWidth="1"/>
    <col min="15620" max="15620" width="11.5" style="1255" customWidth="1"/>
    <col min="15621" max="15621" width="13" style="1255" customWidth="1"/>
    <col min="15622" max="15622" width="14.6640625" style="1255" customWidth="1"/>
    <col min="15623" max="15625" width="13.1640625" style="1255" customWidth="1"/>
    <col min="15626" max="15626" width="16.83203125" style="1255" customWidth="1"/>
    <col min="15627" max="15627" width="12" style="1255" customWidth="1"/>
    <col min="15628" max="15633" width="11.5" style="1255" customWidth="1"/>
    <col min="15634" max="15634" width="10.83203125" style="1255" customWidth="1"/>
    <col min="15635" max="15635" width="15.5" style="1255" customWidth="1"/>
    <col min="15636" max="15636" width="12.33203125" style="1255" customWidth="1"/>
    <col min="15637" max="15637" width="11.6640625" style="1255" customWidth="1"/>
    <col min="15638" max="15638" width="16" style="1255" customWidth="1"/>
    <col min="15639" max="15639" width="12" style="1255" customWidth="1"/>
    <col min="15640" max="15641" width="8.5" style="1255" customWidth="1"/>
    <col min="15642" max="15642" width="15" style="1255" customWidth="1"/>
    <col min="15643" max="15647" width="8.5" style="1255" customWidth="1"/>
    <col min="15648" max="15648" width="9.6640625" style="1255" customWidth="1"/>
    <col min="15649" max="15649" width="9.33203125" style="1255" customWidth="1"/>
    <col min="15650" max="15650" width="12" style="1255" customWidth="1"/>
    <col min="15651" max="15652" width="11.1640625" style="1255" customWidth="1"/>
    <col min="15653" max="15653" width="12.6640625" style="1255" customWidth="1"/>
    <col min="15654" max="15654" width="11.83203125" style="1255" customWidth="1"/>
    <col min="15655" max="15655" width="13" style="1255" customWidth="1"/>
    <col min="15656" max="15656" width="14" style="1255" customWidth="1"/>
    <col min="15657" max="15872" width="9.33203125" style="1255"/>
    <col min="15873" max="15873" width="12.83203125" style="1255" customWidth="1"/>
    <col min="15874" max="15874" width="30.83203125" style="1255" customWidth="1"/>
    <col min="15875" max="15875" width="13.83203125" style="1255" customWidth="1"/>
    <col min="15876" max="15876" width="11.5" style="1255" customWidth="1"/>
    <col min="15877" max="15877" width="13" style="1255" customWidth="1"/>
    <col min="15878" max="15878" width="14.6640625" style="1255" customWidth="1"/>
    <col min="15879" max="15881" width="13.1640625" style="1255" customWidth="1"/>
    <col min="15882" max="15882" width="16.83203125" style="1255" customWidth="1"/>
    <col min="15883" max="15883" width="12" style="1255" customWidth="1"/>
    <col min="15884" max="15889" width="11.5" style="1255" customWidth="1"/>
    <col min="15890" max="15890" width="10.83203125" style="1255" customWidth="1"/>
    <col min="15891" max="15891" width="15.5" style="1255" customWidth="1"/>
    <col min="15892" max="15892" width="12.33203125" style="1255" customWidth="1"/>
    <col min="15893" max="15893" width="11.6640625" style="1255" customWidth="1"/>
    <col min="15894" max="15894" width="16" style="1255" customWidth="1"/>
    <col min="15895" max="15895" width="12" style="1255" customWidth="1"/>
    <col min="15896" max="15897" width="8.5" style="1255" customWidth="1"/>
    <col min="15898" max="15898" width="15" style="1255" customWidth="1"/>
    <col min="15899" max="15903" width="8.5" style="1255" customWidth="1"/>
    <col min="15904" max="15904" width="9.6640625" style="1255" customWidth="1"/>
    <col min="15905" max="15905" width="9.33203125" style="1255" customWidth="1"/>
    <col min="15906" max="15906" width="12" style="1255" customWidth="1"/>
    <col min="15907" max="15908" width="11.1640625" style="1255" customWidth="1"/>
    <col min="15909" max="15909" width="12.6640625" style="1255" customWidth="1"/>
    <col min="15910" max="15910" width="11.83203125" style="1255" customWidth="1"/>
    <col min="15911" max="15911" width="13" style="1255" customWidth="1"/>
    <col min="15912" max="15912" width="14" style="1255" customWidth="1"/>
    <col min="15913" max="16128" width="9.33203125" style="1255"/>
    <col min="16129" max="16129" width="12.83203125" style="1255" customWidth="1"/>
    <col min="16130" max="16130" width="30.83203125" style="1255" customWidth="1"/>
    <col min="16131" max="16131" width="13.83203125" style="1255" customWidth="1"/>
    <col min="16132" max="16132" width="11.5" style="1255" customWidth="1"/>
    <col min="16133" max="16133" width="13" style="1255" customWidth="1"/>
    <col min="16134" max="16134" width="14.6640625" style="1255" customWidth="1"/>
    <col min="16135" max="16137" width="13.1640625" style="1255" customWidth="1"/>
    <col min="16138" max="16138" width="16.83203125" style="1255" customWidth="1"/>
    <col min="16139" max="16139" width="12" style="1255" customWidth="1"/>
    <col min="16140" max="16145" width="11.5" style="1255" customWidth="1"/>
    <col min="16146" max="16146" width="10.83203125" style="1255" customWidth="1"/>
    <col min="16147" max="16147" width="15.5" style="1255" customWidth="1"/>
    <col min="16148" max="16148" width="12.33203125" style="1255" customWidth="1"/>
    <col min="16149" max="16149" width="11.6640625" style="1255" customWidth="1"/>
    <col min="16150" max="16150" width="16" style="1255" customWidth="1"/>
    <col min="16151" max="16151" width="12" style="1255" customWidth="1"/>
    <col min="16152" max="16153" width="8.5" style="1255" customWidth="1"/>
    <col min="16154" max="16154" width="15" style="1255" customWidth="1"/>
    <col min="16155" max="16159" width="8.5" style="1255" customWidth="1"/>
    <col min="16160" max="16160" width="9.6640625" style="1255" customWidth="1"/>
    <col min="16161" max="16161" width="9.33203125" style="1255" customWidth="1"/>
    <col min="16162" max="16162" width="12" style="1255" customWidth="1"/>
    <col min="16163" max="16164" width="11.1640625" style="1255" customWidth="1"/>
    <col min="16165" max="16165" width="12.6640625" style="1255" customWidth="1"/>
    <col min="16166" max="16166" width="11.83203125" style="1255" customWidth="1"/>
    <col min="16167" max="16167" width="13" style="1255" customWidth="1"/>
    <col min="16168" max="16168" width="14" style="1255" customWidth="1"/>
    <col min="16169" max="16384" width="9.33203125" style="1255"/>
  </cols>
  <sheetData>
    <row r="1" spans="1:40" ht="21" customHeight="1" x14ac:dyDescent="0.2">
      <c r="AE1" s="3864" t="s">
        <v>848</v>
      </c>
      <c r="AF1" s="3864"/>
      <c r="AG1" s="3864"/>
      <c r="AH1" s="3864"/>
    </row>
    <row r="2" spans="1:40" ht="24" customHeight="1" x14ac:dyDescent="0.2">
      <c r="A2" s="3865" t="s">
        <v>1441</v>
      </c>
      <c r="B2" s="3865"/>
      <c r="C2" s="3865"/>
      <c r="D2" s="3865"/>
      <c r="E2" s="3865"/>
      <c r="F2" s="3865"/>
      <c r="G2" s="3865"/>
      <c r="H2" s="3865"/>
      <c r="I2" s="3865"/>
      <c r="J2" s="3865"/>
      <c r="K2" s="3865"/>
      <c r="L2" s="3865"/>
      <c r="M2" s="3865"/>
      <c r="N2" s="3865"/>
      <c r="O2" s="3865"/>
      <c r="P2" s="3865"/>
      <c r="Q2" s="3865"/>
      <c r="R2" s="3865"/>
      <c r="S2" s="3865"/>
      <c r="T2" s="3865"/>
      <c r="U2" s="3865"/>
      <c r="V2" s="3865"/>
      <c r="W2" s="3865"/>
      <c r="X2" s="3865"/>
      <c r="Y2" s="3865"/>
      <c r="Z2" s="3865"/>
      <c r="AA2" s="3865"/>
      <c r="AB2" s="3865"/>
      <c r="AC2" s="3865"/>
      <c r="AD2" s="3865"/>
      <c r="AE2" s="3865"/>
      <c r="AF2" s="3865"/>
      <c r="AG2" s="3865"/>
      <c r="AH2" s="3865"/>
    </row>
    <row r="3" spans="1:40" ht="24.75" customHeight="1" x14ac:dyDescent="0.2">
      <c r="A3" s="3866"/>
      <c r="B3" s="3866"/>
      <c r="C3" s="3866"/>
      <c r="D3" s="3866"/>
      <c r="E3" s="3866"/>
      <c r="F3" s="3866"/>
      <c r="G3" s="3866"/>
      <c r="H3" s="3866"/>
      <c r="I3" s="3866"/>
      <c r="J3" s="3866"/>
      <c r="K3" s="3866"/>
      <c r="L3" s="3866"/>
      <c r="M3" s="3866"/>
      <c r="N3" s="3866"/>
      <c r="O3" s="3866"/>
      <c r="P3" s="3866"/>
      <c r="Q3" s="3866"/>
      <c r="R3" s="3866"/>
      <c r="S3" s="3866"/>
      <c r="T3" s="3866"/>
      <c r="U3" s="3866"/>
      <c r="V3" s="3866"/>
      <c r="W3" s="3866"/>
      <c r="X3" s="3866"/>
      <c r="Y3" s="3866"/>
      <c r="Z3" s="3866"/>
      <c r="AA3" s="3866"/>
      <c r="AB3" s="3866"/>
      <c r="AC3" s="3866"/>
      <c r="AD3" s="3866"/>
      <c r="AE3" s="3866"/>
      <c r="AF3" s="3866"/>
      <c r="AG3" s="3866"/>
      <c r="AH3" s="3866"/>
    </row>
    <row r="4" spans="1:40" x14ac:dyDescent="0.2">
      <c r="L4" s="1259">
        <v>0.73926000000000003</v>
      </c>
      <c r="AH4" s="1284">
        <v>43831</v>
      </c>
    </row>
    <row r="5" spans="1:40" ht="38.25" customHeight="1" x14ac:dyDescent="0.2">
      <c r="A5" s="3867" t="s">
        <v>78</v>
      </c>
      <c r="B5" s="3867" t="s">
        <v>77</v>
      </c>
      <c r="C5" s="3868" t="s">
        <v>0</v>
      </c>
      <c r="D5" s="3868" t="s">
        <v>3</v>
      </c>
      <c r="E5" s="3868"/>
      <c r="F5" s="3868"/>
      <c r="G5" s="3868"/>
      <c r="H5" s="3868"/>
      <c r="I5" s="3868"/>
      <c r="J5" s="3868"/>
      <c r="K5" s="3868"/>
      <c r="L5" s="3868"/>
      <c r="M5" s="3868"/>
      <c r="N5" s="3868"/>
      <c r="O5" s="3868"/>
      <c r="P5" s="3868"/>
      <c r="Q5" s="3868"/>
      <c r="R5" s="3868"/>
      <c r="S5" s="3868"/>
      <c r="T5" s="3868"/>
      <c r="U5" s="3868"/>
      <c r="V5" s="3868"/>
      <c r="W5" s="3868"/>
      <c r="X5" s="3868" t="s">
        <v>4</v>
      </c>
      <c r="Y5" s="3868"/>
      <c r="Z5" s="3868"/>
      <c r="AA5" s="3868"/>
      <c r="AB5" s="3868"/>
      <c r="AC5" s="3868"/>
      <c r="AD5" s="3868"/>
      <c r="AE5" s="3868"/>
      <c r="AF5" s="3868"/>
      <c r="AG5" s="3868"/>
      <c r="AH5" s="3868"/>
    </row>
    <row r="6" spans="1:40" ht="60" customHeight="1" x14ac:dyDescent="0.2">
      <c r="A6" s="3867"/>
      <c r="B6" s="3867"/>
      <c r="C6" s="3868"/>
      <c r="D6" s="3869" t="s">
        <v>79</v>
      </c>
      <c r="E6" s="3869" t="s">
        <v>69</v>
      </c>
      <c r="F6" s="3869" t="s">
        <v>89</v>
      </c>
      <c r="G6" s="3869" t="s">
        <v>1</v>
      </c>
      <c r="H6" s="3869" t="s">
        <v>2</v>
      </c>
      <c r="I6" s="3869" t="s">
        <v>70</v>
      </c>
      <c r="J6" s="3869" t="s">
        <v>61</v>
      </c>
      <c r="K6" s="3869" t="s">
        <v>27</v>
      </c>
      <c r="L6" s="3874" t="s">
        <v>65</v>
      </c>
      <c r="M6" s="3874" t="s">
        <v>86</v>
      </c>
      <c r="N6" s="3876" t="s">
        <v>91</v>
      </c>
      <c r="O6" s="3876"/>
      <c r="P6" s="3876" t="s">
        <v>88</v>
      </c>
      <c r="Q6" s="3874" t="s">
        <v>82</v>
      </c>
      <c r="R6" s="3875" t="s">
        <v>83</v>
      </c>
      <c r="S6" s="3874" t="s">
        <v>87</v>
      </c>
      <c r="T6" s="3875" t="s">
        <v>84</v>
      </c>
      <c r="U6" s="3869" t="s">
        <v>9</v>
      </c>
      <c r="V6" s="3869" t="s">
        <v>1299</v>
      </c>
      <c r="W6" s="3869" t="s">
        <v>85</v>
      </c>
      <c r="X6" s="3868" t="s">
        <v>10</v>
      </c>
      <c r="Y6" s="3868"/>
      <c r="Z6" s="3868"/>
      <c r="AA6" s="3868" t="s">
        <v>11</v>
      </c>
      <c r="AB6" s="3868"/>
      <c r="AC6" s="3868"/>
      <c r="AD6" s="3868" t="s">
        <v>12</v>
      </c>
      <c r="AE6" s="3868"/>
      <c r="AF6" s="3868"/>
      <c r="AG6" s="3868" t="s">
        <v>13</v>
      </c>
      <c r="AH6" s="3870" t="s">
        <v>73</v>
      </c>
    </row>
    <row r="7" spans="1:40" ht="97.5" customHeight="1" x14ac:dyDescent="0.2">
      <c r="A7" s="3867"/>
      <c r="B7" s="3867"/>
      <c r="C7" s="3868"/>
      <c r="D7" s="3869"/>
      <c r="E7" s="3869"/>
      <c r="F7" s="3869"/>
      <c r="G7" s="3869"/>
      <c r="H7" s="3869"/>
      <c r="I7" s="3869"/>
      <c r="J7" s="3869"/>
      <c r="K7" s="3869"/>
      <c r="L7" s="3874" t="s">
        <v>66</v>
      </c>
      <c r="M7" s="3874"/>
      <c r="N7" s="1260" t="s">
        <v>80</v>
      </c>
      <c r="O7" s="1260" t="s">
        <v>81</v>
      </c>
      <c r="P7" s="3876"/>
      <c r="Q7" s="3874"/>
      <c r="R7" s="3875"/>
      <c r="S7" s="3874" t="s">
        <v>67</v>
      </c>
      <c r="T7" s="3875"/>
      <c r="U7" s="3869"/>
      <c r="V7" s="3869"/>
      <c r="W7" s="3869"/>
      <c r="X7" s="1261" t="s">
        <v>5</v>
      </c>
      <c r="Y7" s="1262" t="s">
        <v>6</v>
      </c>
      <c r="Z7" s="1261" t="s">
        <v>74</v>
      </c>
      <c r="AA7" s="1261" t="s">
        <v>5</v>
      </c>
      <c r="AB7" s="1262" t="s">
        <v>6</v>
      </c>
      <c r="AC7" s="1261" t="s">
        <v>75</v>
      </c>
      <c r="AD7" s="1261" t="s">
        <v>5</v>
      </c>
      <c r="AE7" s="1262" t="s">
        <v>6</v>
      </c>
      <c r="AF7" s="1262" t="s">
        <v>76</v>
      </c>
      <c r="AG7" s="3868"/>
      <c r="AH7" s="3870"/>
      <c r="AK7" s="1263"/>
      <c r="AL7" s="1263"/>
      <c r="AM7" s="1263"/>
    </row>
    <row r="8" spans="1:40" x14ac:dyDescent="0.2">
      <c r="A8" s="1264">
        <v>1</v>
      </c>
      <c r="B8" s="1264">
        <v>2</v>
      </c>
      <c r="C8" s="1264">
        <v>3</v>
      </c>
      <c r="D8" s="1264">
        <v>4</v>
      </c>
      <c r="E8" s="1264">
        <v>5</v>
      </c>
      <c r="F8" s="1264">
        <v>6</v>
      </c>
      <c r="G8" s="1265">
        <v>7</v>
      </c>
      <c r="H8" s="1264">
        <v>8</v>
      </c>
      <c r="I8" s="1264">
        <v>9</v>
      </c>
      <c r="J8" s="1264">
        <v>10</v>
      </c>
      <c r="K8" s="1264">
        <v>11</v>
      </c>
      <c r="L8" s="1264">
        <v>12</v>
      </c>
      <c r="M8" s="1264">
        <v>13</v>
      </c>
      <c r="N8" s="1264">
        <v>14</v>
      </c>
      <c r="O8" s="1264">
        <v>15</v>
      </c>
      <c r="P8" s="1264">
        <v>16</v>
      </c>
      <c r="Q8" s="1264">
        <v>17</v>
      </c>
      <c r="R8" s="1264">
        <v>18</v>
      </c>
      <c r="S8" s="1264">
        <v>19</v>
      </c>
      <c r="T8" s="1264">
        <v>20</v>
      </c>
      <c r="U8" s="1264">
        <v>21</v>
      </c>
      <c r="V8" s="1264">
        <v>22</v>
      </c>
      <c r="W8" s="1264">
        <v>23</v>
      </c>
      <c r="X8" s="1264">
        <v>25</v>
      </c>
      <c r="Y8" s="1264">
        <v>26</v>
      </c>
      <c r="Z8" s="1264">
        <v>27</v>
      </c>
      <c r="AA8" s="1264">
        <v>28</v>
      </c>
      <c r="AB8" s="1264">
        <v>29</v>
      </c>
      <c r="AC8" s="1264">
        <v>30</v>
      </c>
      <c r="AD8" s="1264">
        <v>31</v>
      </c>
      <c r="AE8" s="1264">
        <v>32</v>
      </c>
      <c r="AF8" s="1264">
        <v>33</v>
      </c>
      <c r="AG8" s="1264">
        <v>34</v>
      </c>
      <c r="AH8" s="1264">
        <v>35</v>
      </c>
      <c r="AK8" s="1266"/>
      <c r="AL8" s="1266"/>
      <c r="AM8" s="1266"/>
    </row>
    <row r="9" spans="1:40" s="979" customFormat="1" ht="16.5" customHeight="1" x14ac:dyDescent="0.2">
      <c r="A9" s="980">
        <v>1</v>
      </c>
      <c r="B9" s="981" t="s">
        <v>33</v>
      </c>
      <c r="C9" s="980">
        <v>1</v>
      </c>
      <c r="D9" s="1267">
        <v>8.8369999999999997</v>
      </c>
      <c r="E9" s="226">
        <f>C9*D9</f>
        <v>8.84</v>
      </c>
      <c r="F9" s="226">
        <f>E9*12</f>
        <v>106.08</v>
      </c>
      <c r="G9" s="982"/>
      <c r="H9" s="982"/>
      <c r="I9" s="982"/>
      <c r="J9" s="982"/>
      <c r="K9" s="982"/>
      <c r="L9" s="983">
        <f>F9*1.12</f>
        <v>118.81</v>
      </c>
      <c r="M9" s="983">
        <f>F9+G9+H9+I9+J9+K9+L9</f>
        <v>224.89</v>
      </c>
      <c r="N9" s="983">
        <v>0.49</v>
      </c>
      <c r="O9" s="983">
        <f>M9*N9</f>
        <v>110.2</v>
      </c>
      <c r="P9" s="983">
        <f>M9+O9</f>
        <v>335.09</v>
      </c>
      <c r="Q9" s="983">
        <f>P9*0.8</f>
        <v>268.07</v>
      </c>
      <c r="R9" s="982">
        <f>P9*0.8</f>
        <v>268.07</v>
      </c>
      <c r="S9" s="982">
        <f>(P9+Q9+R9)*0.032</f>
        <v>27.88</v>
      </c>
      <c r="T9" s="982">
        <f>P9+Q9+R9+S9</f>
        <v>899.11</v>
      </c>
      <c r="U9" s="3871">
        <v>1</v>
      </c>
      <c r="V9" s="982">
        <f>T9*$U$9</f>
        <v>899.11</v>
      </c>
      <c r="W9" s="982">
        <f>V9*0.302</f>
        <v>271.52999999999997</v>
      </c>
      <c r="X9" s="980">
        <v>1</v>
      </c>
      <c r="Y9" s="984">
        <v>30</v>
      </c>
      <c r="Z9" s="985">
        <f>X9*Y9</f>
        <v>30</v>
      </c>
      <c r="AA9" s="980"/>
      <c r="AB9" s="984">
        <v>15</v>
      </c>
      <c r="AC9" s="985"/>
      <c r="AD9" s="980"/>
      <c r="AE9" s="984">
        <v>30</v>
      </c>
      <c r="AF9" s="985">
        <f>AD9*AE9</f>
        <v>0</v>
      </c>
      <c r="AG9" s="985">
        <f>(Z9+AC9+AF9)*1%*30</f>
        <v>9</v>
      </c>
      <c r="AH9" s="985">
        <f>Z9+AC9+AF9+AG9</f>
        <v>39</v>
      </c>
      <c r="AI9" s="986">
        <f>V9/12/C9*1000</f>
        <v>74925.8</v>
      </c>
      <c r="AJ9" s="986"/>
      <c r="AK9" s="986">
        <f>V9/C9</f>
        <v>899.1</v>
      </c>
      <c r="AL9" s="986">
        <f>((753*0.302)+((AK9-753)*0.153))</f>
        <v>249.8</v>
      </c>
      <c r="AM9" s="987">
        <v>0.30199999999999999</v>
      </c>
    </row>
    <row r="10" spans="1:40" s="979" customFormat="1" x14ac:dyDescent="0.2">
      <c r="A10" s="980">
        <v>2</v>
      </c>
      <c r="B10" s="981" t="s">
        <v>92</v>
      </c>
      <c r="C10" s="980">
        <v>1</v>
      </c>
      <c r="D10" s="1267">
        <v>4.5650000000000004</v>
      </c>
      <c r="E10" s="226">
        <f>C10*D10</f>
        <v>4.57</v>
      </c>
      <c r="F10" s="226">
        <f>E10*12</f>
        <v>54.84</v>
      </c>
      <c r="G10" s="982">
        <f>581.52/1000</f>
        <v>0.57999999999999996</v>
      </c>
      <c r="H10" s="982">
        <f>1674.77/1000</f>
        <v>1.67</v>
      </c>
      <c r="I10" s="982"/>
      <c r="J10" s="982"/>
      <c r="K10" s="982"/>
      <c r="L10" s="983">
        <f>F10*0.7</f>
        <v>38.39</v>
      </c>
      <c r="M10" s="983">
        <f>F10+G10+H10+I10+J10+K10+L10</f>
        <v>95.48</v>
      </c>
      <c r="N10" s="983">
        <v>0.47</v>
      </c>
      <c r="O10" s="983">
        <f>M10*N10</f>
        <v>44.88</v>
      </c>
      <c r="P10" s="983">
        <f>M10+O10</f>
        <v>140.36000000000001</v>
      </c>
      <c r="Q10" s="983">
        <f>P10*0.8</f>
        <v>112.29</v>
      </c>
      <c r="R10" s="982">
        <f>P10*0.8</f>
        <v>112.29</v>
      </c>
      <c r="S10" s="982">
        <f>(P10+Q10+R10)*0.032</f>
        <v>11.68</v>
      </c>
      <c r="T10" s="982">
        <f>P10+Q10+R10+S10</f>
        <v>376.62</v>
      </c>
      <c r="U10" s="3872"/>
      <c r="V10" s="982">
        <f>T10*$U$9</f>
        <v>376.62</v>
      </c>
      <c r="W10" s="982">
        <f>V10*0.302</f>
        <v>113.74</v>
      </c>
      <c r="X10" s="980"/>
      <c r="Y10" s="984">
        <v>30</v>
      </c>
      <c r="Z10" s="985">
        <f>X10*Y10</f>
        <v>0</v>
      </c>
      <c r="AA10" s="980"/>
      <c r="AB10" s="984">
        <v>15</v>
      </c>
      <c r="AC10" s="985"/>
      <c r="AD10" s="980"/>
      <c r="AE10" s="984">
        <v>30</v>
      </c>
      <c r="AF10" s="985">
        <f>AD10*AE10</f>
        <v>0</v>
      </c>
      <c r="AG10" s="985">
        <f>(Z10+AC10+AF10)*1%*30</f>
        <v>0</v>
      </c>
      <c r="AH10" s="985">
        <f>Z10+AC10+AF10+AG10</f>
        <v>0</v>
      </c>
      <c r="AI10" s="986">
        <f>V10/12/C10*1000</f>
        <v>31385</v>
      </c>
      <c r="AJ10" s="986"/>
      <c r="AK10" s="986">
        <f t="shared" ref="AK10:AK11" si="0">V10/C10</f>
        <v>376.6</v>
      </c>
      <c r="AL10" s="986">
        <f>((753*0.302)+((AK10-753)*0.153))</f>
        <v>169.8</v>
      </c>
      <c r="AM10" s="987">
        <v>0.30199999999999999</v>
      </c>
    </row>
    <row r="11" spans="1:40" s="979" customFormat="1" x14ac:dyDescent="0.2">
      <c r="A11" s="980">
        <v>3</v>
      </c>
      <c r="B11" s="981" t="s">
        <v>25</v>
      </c>
      <c r="C11" s="980">
        <v>3</v>
      </c>
      <c r="D11" s="1267">
        <v>4.4960000000000004</v>
      </c>
      <c r="E11" s="226">
        <f>C11*D11</f>
        <v>13.49</v>
      </c>
      <c r="F11" s="226">
        <f>E11*12</f>
        <v>161.88</v>
      </c>
      <c r="G11" s="982">
        <f>7856.87/1000</f>
        <v>7.86</v>
      </c>
      <c r="H11" s="982">
        <f>1885.65/1000</f>
        <v>1.89</v>
      </c>
      <c r="I11" s="982"/>
      <c r="J11" s="982"/>
      <c r="K11" s="982"/>
      <c r="L11" s="983">
        <f>F11*$L$4</f>
        <v>119.67</v>
      </c>
      <c r="M11" s="983">
        <f>F11+G11+H11+I11+J11+K11+L11</f>
        <v>291.3</v>
      </c>
      <c r="N11" s="983">
        <v>0.75</v>
      </c>
      <c r="O11" s="983">
        <f>M11*N11</f>
        <v>218.48</v>
      </c>
      <c r="P11" s="983">
        <f>M11+O11</f>
        <v>509.78</v>
      </c>
      <c r="Q11" s="983">
        <f>P11*0.8</f>
        <v>407.82</v>
      </c>
      <c r="R11" s="982">
        <f>P11*0.8</f>
        <v>407.82</v>
      </c>
      <c r="S11" s="982">
        <f>(P11+Q11+R11)*0.032</f>
        <v>42.41</v>
      </c>
      <c r="T11" s="982">
        <f>P11+Q11+R11+S11</f>
        <v>1367.83</v>
      </c>
      <c r="U11" s="3872"/>
      <c r="V11" s="982">
        <f>T11*$U$9-0.9</f>
        <v>1366.93</v>
      </c>
      <c r="W11" s="982">
        <f>V11*0.302</f>
        <v>412.81</v>
      </c>
      <c r="X11" s="980">
        <v>2</v>
      </c>
      <c r="Y11" s="984">
        <v>30</v>
      </c>
      <c r="Z11" s="985">
        <f>X11*Y11</f>
        <v>60</v>
      </c>
      <c r="AA11" s="980"/>
      <c r="AB11" s="984">
        <v>15</v>
      </c>
      <c r="AC11" s="985"/>
      <c r="AD11" s="980"/>
      <c r="AE11" s="984">
        <v>30</v>
      </c>
      <c r="AF11" s="985">
        <f>AD11*AE11</f>
        <v>0</v>
      </c>
      <c r="AG11" s="985">
        <f>(Z11+AC11+AF11)*1%*30</f>
        <v>18</v>
      </c>
      <c r="AH11" s="985">
        <f>Z11+AC11+AF11+AG11</f>
        <v>78</v>
      </c>
      <c r="AI11" s="986">
        <f>V11/12/C11*1000</f>
        <v>37970.300000000003</v>
      </c>
      <c r="AJ11" s="986"/>
      <c r="AK11" s="986">
        <f t="shared" si="0"/>
        <v>455.6</v>
      </c>
      <c r="AL11" s="986">
        <f>((753*0.302)+((AK11-753)*0.153))</f>
        <v>181.9</v>
      </c>
      <c r="AM11" s="987">
        <v>0.30199999999999999</v>
      </c>
    </row>
    <row r="12" spans="1:40" s="1254" customFormat="1" ht="20.25" customHeight="1" x14ac:dyDescent="0.2">
      <c r="A12" s="3873" t="s">
        <v>8</v>
      </c>
      <c r="B12" s="3873"/>
      <c r="C12" s="1268">
        <f t="shared" ref="C12:AG12" si="1">SUM(C9:C11)</f>
        <v>5</v>
      </c>
      <c r="D12" s="1268">
        <f t="shared" si="1"/>
        <v>17.899999999999999</v>
      </c>
      <c r="E12" s="1268">
        <f t="shared" si="1"/>
        <v>26.9</v>
      </c>
      <c r="F12" s="1268">
        <f t="shared" si="1"/>
        <v>322.8</v>
      </c>
      <c r="G12" s="1269">
        <f t="shared" si="1"/>
        <v>8.4</v>
      </c>
      <c r="H12" s="1268">
        <f t="shared" si="1"/>
        <v>3.6</v>
      </c>
      <c r="I12" s="1268">
        <f t="shared" si="1"/>
        <v>0</v>
      </c>
      <c r="J12" s="1268">
        <f t="shared" si="1"/>
        <v>0</v>
      </c>
      <c r="K12" s="1268">
        <f t="shared" si="1"/>
        <v>0</v>
      </c>
      <c r="L12" s="1268">
        <f t="shared" si="1"/>
        <v>276.89999999999998</v>
      </c>
      <c r="M12" s="1268">
        <f t="shared" si="1"/>
        <v>611.70000000000005</v>
      </c>
      <c r="N12" s="1268">
        <f t="shared" si="1"/>
        <v>1.7</v>
      </c>
      <c r="O12" s="1268">
        <f t="shared" si="1"/>
        <v>373.6</v>
      </c>
      <c r="P12" s="1268">
        <f t="shared" si="1"/>
        <v>985.2</v>
      </c>
      <c r="Q12" s="1268">
        <f t="shared" si="1"/>
        <v>788.2</v>
      </c>
      <c r="R12" s="1268">
        <f t="shared" si="1"/>
        <v>788.2</v>
      </c>
      <c r="S12" s="1268">
        <f t="shared" si="1"/>
        <v>82</v>
      </c>
      <c r="T12" s="1268">
        <f t="shared" si="1"/>
        <v>2643.6</v>
      </c>
      <c r="U12" s="1268">
        <f t="shared" si="1"/>
        <v>1</v>
      </c>
      <c r="V12" s="1268">
        <f t="shared" si="1"/>
        <v>2642.7</v>
      </c>
      <c r="W12" s="1268">
        <f t="shared" si="1"/>
        <v>798.1</v>
      </c>
      <c r="X12" s="1268">
        <f t="shared" si="1"/>
        <v>3</v>
      </c>
      <c r="Y12" s="1268">
        <f t="shared" si="1"/>
        <v>90</v>
      </c>
      <c r="Z12" s="1268">
        <f t="shared" si="1"/>
        <v>90</v>
      </c>
      <c r="AA12" s="1268">
        <f t="shared" si="1"/>
        <v>0</v>
      </c>
      <c r="AB12" s="1268">
        <f t="shared" si="1"/>
        <v>45</v>
      </c>
      <c r="AC12" s="1268">
        <f t="shared" si="1"/>
        <v>0</v>
      </c>
      <c r="AD12" s="1268">
        <f t="shared" si="1"/>
        <v>0</v>
      </c>
      <c r="AE12" s="1268">
        <f t="shared" si="1"/>
        <v>90</v>
      </c>
      <c r="AF12" s="1268">
        <f t="shared" si="1"/>
        <v>0</v>
      </c>
      <c r="AG12" s="1268">
        <f t="shared" si="1"/>
        <v>27</v>
      </c>
      <c r="AH12" s="1268">
        <f>SUM(AH9:AH11)</f>
        <v>117</v>
      </c>
      <c r="AK12" s="1270"/>
      <c r="AL12" s="1270"/>
      <c r="AM12" s="1270"/>
      <c r="AN12" s="1270"/>
    </row>
    <row r="13" spans="1:40" x14ac:dyDescent="0.2">
      <c r="E13" s="1256"/>
      <c r="G13" s="1271"/>
      <c r="H13" s="1271"/>
      <c r="I13" s="1271"/>
      <c r="J13" s="1271"/>
      <c r="K13" s="1271"/>
      <c r="L13" s="1271"/>
      <c r="M13" s="1271"/>
      <c r="N13" s="1271"/>
      <c r="O13" s="1271"/>
      <c r="P13" s="1271"/>
      <c r="Q13" s="1271"/>
      <c r="R13" s="1271"/>
      <c r="S13" s="1271"/>
      <c r="T13" s="1271"/>
      <c r="V13" s="1271"/>
      <c r="W13" s="1271"/>
      <c r="X13" s="1271"/>
      <c r="AA13" s="1271"/>
      <c r="AD13" s="1271"/>
      <c r="AG13" s="1271"/>
      <c r="AH13" s="1272"/>
    </row>
    <row r="14" spans="1:40" ht="19.5" x14ac:dyDescent="0.3">
      <c r="A14" s="1273"/>
      <c r="B14" s="1274"/>
      <c r="C14" s="1275"/>
      <c r="D14" s="1275"/>
      <c r="E14" s="1275"/>
      <c r="F14" s="1275"/>
      <c r="G14" s="1276"/>
      <c r="H14" s="1277"/>
      <c r="I14" s="1277"/>
      <c r="J14" s="1277"/>
      <c r="K14" s="1277"/>
      <c r="L14" s="1277"/>
      <c r="M14" s="1277"/>
      <c r="N14" s="1277"/>
      <c r="O14" s="1277"/>
      <c r="P14" s="1277"/>
      <c r="Q14" s="1277"/>
      <c r="R14" s="1277"/>
      <c r="S14" s="1277"/>
      <c r="T14" s="1277"/>
      <c r="U14" s="1277"/>
      <c r="V14" s="1277"/>
      <c r="W14" s="1271"/>
      <c r="X14" s="1271"/>
      <c r="AA14" s="1271"/>
      <c r="AD14" s="1271"/>
      <c r="AG14" s="1271"/>
      <c r="AH14" s="1272"/>
    </row>
    <row r="15" spans="1:40" ht="32.25" customHeight="1" x14ac:dyDescent="0.2">
      <c r="D15" s="1255"/>
      <c r="H15" s="3877" t="s">
        <v>1300</v>
      </c>
      <c r="I15" s="3877"/>
      <c r="J15" s="3877"/>
      <c r="K15" s="3877" t="s">
        <v>1301</v>
      </c>
      <c r="L15" s="3877"/>
      <c r="M15" s="3877"/>
      <c r="N15" s="3877" t="s">
        <v>1302</v>
      </c>
      <c r="O15" s="3877"/>
      <c r="P15" s="3877"/>
      <c r="Q15" s="1255"/>
      <c r="U15" s="1256"/>
      <c r="V15" s="1278"/>
      <c r="W15" s="1278"/>
      <c r="X15" s="1271"/>
      <c r="AA15" s="1271"/>
      <c r="AD15" s="1271"/>
      <c r="AG15" s="1271"/>
      <c r="AH15" s="1272"/>
    </row>
    <row r="16" spans="1:40" ht="15" x14ac:dyDescent="0.2">
      <c r="D16" s="1255"/>
      <c r="H16" s="1279">
        <v>991</v>
      </c>
      <c r="I16" s="1279">
        <v>992</v>
      </c>
      <c r="J16" s="1279">
        <v>911</v>
      </c>
      <c r="K16" s="1279">
        <v>991</v>
      </c>
      <c r="L16" s="1279">
        <v>992</v>
      </c>
      <c r="M16" s="1279">
        <v>911</v>
      </c>
      <c r="N16" s="1279">
        <v>991</v>
      </c>
      <c r="O16" s="1279">
        <v>992</v>
      </c>
      <c r="P16" s="1279">
        <v>911</v>
      </c>
      <c r="Q16" s="1255"/>
      <c r="T16" s="1280"/>
      <c r="U16" s="1256"/>
      <c r="W16" s="1271"/>
      <c r="X16" s="1271"/>
      <c r="AA16" s="1271"/>
      <c r="AD16" s="1271"/>
      <c r="AG16" s="1271"/>
      <c r="AH16" s="1272"/>
    </row>
    <row r="17" spans="8:25" ht="15" x14ac:dyDescent="0.2">
      <c r="H17" s="1281">
        <f>V12</f>
        <v>2642.7</v>
      </c>
      <c r="I17" s="1281">
        <f>W12</f>
        <v>798.1</v>
      </c>
      <c r="J17" s="1281">
        <f>AH12</f>
        <v>117</v>
      </c>
      <c r="K17" s="1281">
        <v>2642.7</v>
      </c>
      <c r="L17" s="1281">
        <v>798.1</v>
      </c>
      <c r="M17" s="1281">
        <v>117</v>
      </c>
      <c r="N17" s="1281">
        <v>2642.7</v>
      </c>
      <c r="O17" s="1281">
        <v>798.1</v>
      </c>
      <c r="P17" s="1281">
        <v>117</v>
      </c>
    </row>
    <row r="18" spans="8:25" x14ac:dyDescent="0.2">
      <c r="V18" s="1256">
        <f>2642.7</f>
        <v>2642.7</v>
      </c>
      <c r="W18" s="1256">
        <v>798.1</v>
      </c>
      <c r="X18" s="1282"/>
    </row>
    <row r="19" spans="8:25" x14ac:dyDescent="0.2">
      <c r="V19" s="1278">
        <f>V12-V18</f>
        <v>0</v>
      </c>
      <c r="W19" s="1278">
        <f>W12-W18</f>
        <v>0</v>
      </c>
      <c r="Y19" s="1283"/>
    </row>
    <row r="20" spans="8:25" x14ac:dyDescent="0.2">
      <c r="Y20" s="1283"/>
    </row>
    <row r="86" spans="1:16168" s="1256" customFormat="1" x14ac:dyDescent="0.2">
      <c r="A86" s="1254"/>
      <c r="B86" s="1255"/>
      <c r="C86" s="1255"/>
      <c r="E86" s="1255"/>
      <c r="F86" s="1255"/>
      <c r="G86" s="1256">
        <f>SUM(H86:K86)</f>
        <v>0</v>
      </c>
      <c r="L86" s="1257"/>
      <c r="M86" s="1257"/>
      <c r="N86" s="1257"/>
      <c r="O86" s="1257"/>
      <c r="P86" s="1257"/>
      <c r="Q86" s="1257"/>
      <c r="R86" s="1255"/>
      <c r="S86" s="1255"/>
      <c r="T86" s="1255"/>
      <c r="U86" s="1258"/>
      <c r="Y86" s="1255"/>
      <c r="Z86" s="1255"/>
      <c r="AB86" s="1255"/>
      <c r="AC86" s="1255"/>
      <c r="AE86" s="1255"/>
      <c r="AF86" s="1255"/>
      <c r="AG86" s="1255"/>
      <c r="AH86" s="1255"/>
      <c r="AI86" s="1255"/>
      <c r="AJ86" s="1255"/>
      <c r="AO86" s="1255"/>
      <c r="AP86" s="1255"/>
      <c r="AQ86" s="1255"/>
      <c r="AR86" s="1255"/>
      <c r="AS86" s="1255"/>
      <c r="AT86" s="1255"/>
      <c r="AU86" s="1255"/>
      <c r="AV86" s="1255"/>
      <c r="AW86" s="1255"/>
      <c r="AX86" s="1255"/>
      <c r="AY86" s="1255"/>
      <c r="AZ86" s="1255"/>
      <c r="BA86" s="1255"/>
      <c r="BB86" s="1255"/>
      <c r="BC86" s="1255"/>
      <c r="BD86" s="1255"/>
      <c r="BE86" s="1255"/>
      <c r="BF86" s="1255"/>
      <c r="BG86" s="1255"/>
      <c r="BH86" s="1255"/>
      <c r="BI86" s="1255"/>
      <c r="BJ86" s="1255"/>
      <c r="BK86" s="1255"/>
      <c r="BL86" s="1255"/>
      <c r="BM86" s="1255"/>
      <c r="BN86" s="1255"/>
      <c r="BO86" s="1255"/>
      <c r="BP86" s="1255"/>
      <c r="BQ86" s="1255"/>
      <c r="BR86" s="1255"/>
      <c r="BS86" s="1255"/>
      <c r="BT86" s="1255"/>
      <c r="BU86" s="1255"/>
      <c r="BV86" s="1255"/>
      <c r="BW86" s="1255"/>
      <c r="BX86" s="1255"/>
      <c r="BY86" s="1255"/>
      <c r="BZ86" s="1255"/>
      <c r="CA86" s="1255"/>
      <c r="CB86" s="1255"/>
      <c r="CC86" s="1255"/>
      <c r="CD86" s="1255"/>
      <c r="CE86" s="1255"/>
      <c r="CF86" s="1255"/>
      <c r="CG86" s="1255"/>
      <c r="CH86" s="1255"/>
      <c r="CI86" s="1255"/>
      <c r="CJ86" s="1255"/>
      <c r="CK86" s="1255"/>
      <c r="CL86" s="1255"/>
      <c r="CM86" s="1255"/>
      <c r="CN86" s="1255"/>
      <c r="CO86" s="1255"/>
      <c r="CP86" s="1255"/>
      <c r="CQ86" s="1255"/>
      <c r="CR86" s="1255"/>
      <c r="CS86" s="1255"/>
      <c r="CT86" s="1255"/>
      <c r="CU86" s="1255"/>
      <c r="CV86" s="1255"/>
      <c r="CW86" s="1255"/>
      <c r="CX86" s="1255"/>
      <c r="CY86" s="1255"/>
      <c r="CZ86" s="1255"/>
      <c r="DA86" s="1255"/>
      <c r="DB86" s="1255"/>
      <c r="DC86" s="1255"/>
      <c r="DD86" s="1255"/>
      <c r="DE86" s="1255"/>
      <c r="DF86" s="1255"/>
      <c r="DG86" s="1255"/>
      <c r="DH86" s="1255"/>
      <c r="DI86" s="1255"/>
      <c r="DJ86" s="1255"/>
      <c r="DK86" s="1255"/>
      <c r="DL86" s="1255"/>
      <c r="DM86" s="1255"/>
      <c r="DN86" s="1255"/>
      <c r="DO86" s="1255"/>
      <c r="DP86" s="1255"/>
      <c r="DQ86" s="1255"/>
      <c r="DR86" s="1255"/>
      <c r="DS86" s="1255"/>
      <c r="DT86" s="1255"/>
      <c r="DU86" s="1255"/>
      <c r="DV86" s="1255"/>
      <c r="DW86" s="1255"/>
      <c r="DX86" s="1255"/>
      <c r="DY86" s="1255"/>
      <c r="DZ86" s="1255"/>
      <c r="EA86" s="1255"/>
      <c r="EB86" s="1255"/>
      <c r="EC86" s="1255"/>
      <c r="ED86" s="1255"/>
      <c r="EE86" s="1255"/>
      <c r="EF86" s="1255"/>
      <c r="EG86" s="1255"/>
      <c r="EH86" s="1255"/>
      <c r="EI86" s="1255"/>
      <c r="EJ86" s="1255"/>
      <c r="EK86" s="1255"/>
      <c r="EL86" s="1255"/>
      <c r="EM86" s="1255"/>
      <c r="EN86" s="1255"/>
      <c r="EO86" s="1255"/>
      <c r="EP86" s="1255"/>
      <c r="EQ86" s="1255"/>
      <c r="ER86" s="1255"/>
      <c r="ES86" s="1255"/>
      <c r="ET86" s="1255"/>
      <c r="EU86" s="1255"/>
      <c r="EV86" s="1255"/>
      <c r="EW86" s="1255"/>
      <c r="EX86" s="1255"/>
      <c r="EY86" s="1255"/>
      <c r="EZ86" s="1255"/>
      <c r="FA86" s="1255"/>
      <c r="FB86" s="1255"/>
      <c r="FC86" s="1255"/>
      <c r="FD86" s="1255"/>
      <c r="FE86" s="1255"/>
      <c r="FF86" s="1255"/>
      <c r="FG86" s="1255"/>
      <c r="FH86" s="1255"/>
      <c r="FI86" s="1255"/>
      <c r="FJ86" s="1255"/>
      <c r="FK86" s="1255"/>
      <c r="FL86" s="1255"/>
      <c r="FM86" s="1255"/>
      <c r="FN86" s="1255"/>
      <c r="FO86" s="1255"/>
      <c r="FP86" s="1255"/>
      <c r="FQ86" s="1255"/>
      <c r="FR86" s="1255"/>
      <c r="FS86" s="1255"/>
      <c r="FT86" s="1255"/>
      <c r="FU86" s="1255"/>
      <c r="FV86" s="1255"/>
      <c r="FW86" s="1255"/>
      <c r="FX86" s="1255"/>
      <c r="FY86" s="1255"/>
      <c r="FZ86" s="1255"/>
      <c r="GA86" s="1255"/>
      <c r="GB86" s="1255"/>
      <c r="GC86" s="1255"/>
      <c r="GD86" s="1255"/>
      <c r="GE86" s="1255"/>
      <c r="GF86" s="1255"/>
      <c r="GG86" s="1255"/>
      <c r="GH86" s="1255"/>
      <c r="GI86" s="1255"/>
      <c r="GJ86" s="1255"/>
      <c r="GK86" s="1255"/>
      <c r="GL86" s="1255"/>
      <c r="GM86" s="1255"/>
      <c r="GN86" s="1255"/>
      <c r="GO86" s="1255"/>
      <c r="GP86" s="1255"/>
      <c r="GQ86" s="1255"/>
      <c r="GR86" s="1255"/>
      <c r="GS86" s="1255"/>
      <c r="GT86" s="1255"/>
      <c r="GU86" s="1255"/>
      <c r="GV86" s="1255"/>
      <c r="GW86" s="1255"/>
      <c r="GX86" s="1255"/>
      <c r="GY86" s="1255"/>
      <c r="GZ86" s="1255"/>
      <c r="HA86" s="1255"/>
      <c r="HB86" s="1255"/>
      <c r="HC86" s="1255"/>
      <c r="HD86" s="1255"/>
      <c r="HE86" s="1255"/>
      <c r="HF86" s="1255"/>
      <c r="HG86" s="1255"/>
      <c r="HH86" s="1255"/>
      <c r="HI86" s="1255"/>
      <c r="HJ86" s="1255"/>
      <c r="HK86" s="1255"/>
      <c r="HL86" s="1255"/>
      <c r="HM86" s="1255"/>
      <c r="HN86" s="1255"/>
      <c r="HO86" s="1255"/>
      <c r="HP86" s="1255"/>
      <c r="HQ86" s="1255"/>
      <c r="HR86" s="1255"/>
      <c r="HS86" s="1255"/>
      <c r="HT86" s="1255"/>
      <c r="HU86" s="1255"/>
      <c r="HV86" s="1255"/>
      <c r="HW86" s="1255"/>
      <c r="HX86" s="1255"/>
      <c r="HY86" s="1255"/>
      <c r="HZ86" s="1255"/>
      <c r="IA86" s="1255"/>
      <c r="IB86" s="1255"/>
      <c r="IC86" s="1255"/>
      <c r="ID86" s="1255"/>
      <c r="IE86" s="1255"/>
      <c r="IF86" s="1255"/>
      <c r="IG86" s="1255"/>
      <c r="IH86" s="1255"/>
      <c r="II86" s="1255"/>
      <c r="IJ86" s="1255"/>
      <c r="IK86" s="1255"/>
      <c r="IL86" s="1255"/>
      <c r="IM86" s="1255"/>
      <c r="IN86" s="1255"/>
      <c r="IO86" s="1255"/>
      <c r="IP86" s="1255"/>
      <c r="IQ86" s="1255"/>
      <c r="IR86" s="1255"/>
      <c r="IS86" s="1255"/>
      <c r="IT86" s="1255"/>
      <c r="IU86" s="1255"/>
      <c r="IV86" s="1255"/>
      <c r="IW86" s="1255"/>
      <c r="IX86" s="1255"/>
      <c r="IY86" s="1255"/>
      <c r="IZ86" s="1255"/>
      <c r="JA86" s="1255"/>
      <c r="JB86" s="1255"/>
      <c r="JC86" s="1255"/>
      <c r="JD86" s="1255"/>
      <c r="JE86" s="1255"/>
      <c r="JF86" s="1255"/>
      <c r="JG86" s="1255"/>
      <c r="JH86" s="1255"/>
      <c r="JI86" s="1255"/>
      <c r="JJ86" s="1255"/>
      <c r="JK86" s="1255"/>
      <c r="JL86" s="1255"/>
      <c r="JM86" s="1255"/>
      <c r="JN86" s="1255"/>
      <c r="JO86" s="1255"/>
      <c r="JP86" s="1255"/>
      <c r="JQ86" s="1255"/>
      <c r="JR86" s="1255"/>
      <c r="JS86" s="1255"/>
      <c r="JT86" s="1255"/>
      <c r="JU86" s="1255"/>
      <c r="JV86" s="1255"/>
      <c r="JW86" s="1255"/>
      <c r="JX86" s="1255"/>
      <c r="JY86" s="1255"/>
      <c r="JZ86" s="1255"/>
      <c r="KA86" s="1255"/>
      <c r="KB86" s="1255"/>
      <c r="KC86" s="1255"/>
      <c r="KD86" s="1255"/>
      <c r="KE86" s="1255"/>
      <c r="KF86" s="1255"/>
      <c r="KG86" s="1255"/>
      <c r="KH86" s="1255"/>
      <c r="KI86" s="1255"/>
      <c r="KJ86" s="1255"/>
      <c r="KK86" s="1255"/>
      <c r="KL86" s="1255"/>
      <c r="KM86" s="1255"/>
      <c r="KN86" s="1255"/>
      <c r="KO86" s="1255"/>
      <c r="KP86" s="1255"/>
      <c r="KQ86" s="1255"/>
      <c r="KR86" s="1255"/>
      <c r="KS86" s="1255"/>
      <c r="KT86" s="1255"/>
      <c r="KU86" s="1255"/>
      <c r="KV86" s="1255"/>
      <c r="KW86" s="1255"/>
      <c r="KX86" s="1255"/>
      <c r="KY86" s="1255"/>
      <c r="KZ86" s="1255"/>
      <c r="LA86" s="1255"/>
      <c r="LB86" s="1255"/>
      <c r="LC86" s="1255"/>
      <c r="LD86" s="1255"/>
      <c r="LE86" s="1255"/>
      <c r="LF86" s="1255"/>
      <c r="LG86" s="1255"/>
      <c r="LH86" s="1255"/>
      <c r="LI86" s="1255"/>
      <c r="LJ86" s="1255"/>
      <c r="LK86" s="1255"/>
      <c r="LL86" s="1255"/>
      <c r="LM86" s="1255"/>
      <c r="LN86" s="1255"/>
      <c r="LO86" s="1255"/>
      <c r="LP86" s="1255"/>
      <c r="LQ86" s="1255"/>
      <c r="LR86" s="1255"/>
      <c r="LS86" s="1255"/>
      <c r="LT86" s="1255"/>
      <c r="LU86" s="1255"/>
      <c r="LV86" s="1255"/>
      <c r="LW86" s="1255"/>
      <c r="LX86" s="1255"/>
      <c r="LY86" s="1255"/>
      <c r="LZ86" s="1255"/>
      <c r="MA86" s="1255"/>
      <c r="MB86" s="1255"/>
      <c r="MC86" s="1255"/>
      <c r="MD86" s="1255"/>
      <c r="ME86" s="1255"/>
      <c r="MF86" s="1255"/>
      <c r="MG86" s="1255"/>
      <c r="MH86" s="1255"/>
      <c r="MI86" s="1255"/>
      <c r="MJ86" s="1255"/>
      <c r="MK86" s="1255"/>
      <c r="ML86" s="1255"/>
      <c r="MM86" s="1255"/>
      <c r="MN86" s="1255"/>
      <c r="MO86" s="1255"/>
      <c r="MP86" s="1255"/>
      <c r="MQ86" s="1255"/>
      <c r="MR86" s="1255"/>
      <c r="MS86" s="1255"/>
      <c r="MT86" s="1255"/>
      <c r="MU86" s="1255"/>
      <c r="MV86" s="1255"/>
      <c r="MW86" s="1255"/>
      <c r="MX86" s="1255"/>
      <c r="MY86" s="1255"/>
      <c r="MZ86" s="1255"/>
      <c r="NA86" s="1255"/>
      <c r="NB86" s="1255"/>
      <c r="NC86" s="1255"/>
      <c r="ND86" s="1255"/>
      <c r="NE86" s="1255"/>
      <c r="NF86" s="1255"/>
      <c r="NG86" s="1255"/>
      <c r="NH86" s="1255"/>
      <c r="NI86" s="1255"/>
      <c r="NJ86" s="1255"/>
      <c r="NK86" s="1255"/>
      <c r="NL86" s="1255"/>
      <c r="NM86" s="1255"/>
      <c r="NN86" s="1255"/>
      <c r="NO86" s="1255"/>
      <c r="NP86" s="1255"/>
      <c r="NQ86" s="1255"/>
      <c r="NR86" s="1255"/>
      <c r="NS86" s="1255"/>
      <c r="NT86" s="1255"/>
      <c r="NU86" s="1255"/>
      <c r="NV86" s="1255"/>
      <c r="NW86" s="1255"/>
      <c r="NX86" s="1255"/>
      <c r="NY86" s="1255"/>
      <c r="NZ86" s="1255"/>
      <c r="OA86" s="1255"/>
      <c r="OB86" s="1255"/>
      <c r="OC86" s="1255"/>
      <c r="OD86" s="1255"/>
      <c r="OE86" s="1255"/>
      <c r="OF86" s="1255"/>
      <c r="OG86" s="1255"/>
      <c r="OH86" s="1255"/>
      <c r="OI86" s="1255"/>
      <c r="OJ86" s="1255"/>
      <c r="OK86" s="1255"/>
      <c r="OL86" s="1255"/>
      <c r="OM86" s="1255"/>
      <c r="ON86" s="1255"/>
      <c r="OO86" s="1255"/>
      <c r="OP86" s="1255"/>
      <c r="OQ86" s="1255"/>
      <c r="OR86" s="1255"/>
      <c r="OS86" s="1255"/>
      <c r="OT86" s="1255"/>
      <c r="OU86" s="1255"/>
      <c r="OV86" s="1255"/>
      <c r="OW86" s="1255"/>
      <c r="OX86" s="1255"/>
      <c r="OY86" s="1255"/>
      <c r="OZ86" s="1255"/>
      <c r="PA86" s="1255"/>
      <c r="PB86" s="1255"/>
      <c r="PC86" s="1255"/>
      <c r="PD86" s="1255"/>
      <c r="PE86" s="1255"/>
      <c r="PF86" s="1255"/>
      <c r="PG86" s="1255"/>
      <c r="PH86" s="1255"/>
      <c r="PI86" s="1255"/>
      <c r="PJ86" s="1255"/>
      <c r="PK86" s="1255"/>
      <c r="PL86" s="1255"/>
      <c r="PM86" s="1255"/>
      <c r="PN86" s="1255"/>
      <c r="PO86" s="1255"/>
      <c r="PP86" s="1255"/>
      <c r="PQ86" s="1255"/>
      <c r="PR86" s="1255"/>
      <c r="PS86" s="1255"/>
      <c r="PT86" s="1255"/>
      <c r="PU86" s="1255"/>
      <c r="PV86" s="1255"/>
      <c r="PW86" s="1255"/>
      <c r="PX86" s="1255"/>
      <c r="PY86" s="1255"/>
      <c r="PZ86" s="1255"/>
      <c r="QA86" s="1255"/>
      <c r="QB86" s="1255"/>
      <c r="QC86" s="1255"/>
      <c r="QD86" s="1255"/>
      <c r="QE86" s="1255"/>
      <c r="QF86" s="1255"/>
      <c r="QG86" s="1255"/>
      <c r="QH86" s="1255"/>
      <c r="QI86" s="1255"/>
      <c r="QJ86" s="1255"/>
      <c r="QK86" s="1255"/>
      <c r="QL86" s="1255"/>
      <c r="QM86" s="1255"/>
      <c r="QN86" s="1255"/>
      <c r="QO86" s="1255"/>
      <c r="QP86" s="1255"/>
      <c r="QQ86" s="1255"/>
      <c r="QR86" s="1255"/>
      <c r="QS86" s="1255"/>
      <c r="QT86" s="1255"/>
      <c r="QU86" s="1255"/>
      <c r="QV86" s="1255"/>
      <c r="QW86" s="1255"/>
      <c r="QX86" s="1255"/>
      <c r="QY86" s="1255"/>
      <c r="QZ86" s="1255"/>
      <c r="RA86" s="1255"/>
      <c r="RB86" s="1255"/>
      <c r="RC86" s="1255"/>
      <c r="RD86" s="1255"/>
      <c r="RE86" s="1255"/>
      <c r="RF86" s="1255"/>
      <c r="RG86" s="1255"/>
      <c r="RH86" s="1255"/>
      <c r="RI86" s="1255"/>
      <c r="RJ86" s="1255"/>
      <c r="RK86" s="1255"/>
      <c r="RL86" s="1255"/>
      <c r="RM86" s="1255"/>
      <c r="RN86" s="1255"/>
      <c r="RO86" s="1255"/>
      <c r="RP86" s="1255"/>
      <c r="RQ86" s="1255"/>
      <c r="RR86" s="1255"/>
      <c r="RS86" s="1255"/>
      <c r="RT86" s="1255"/>
      <c r="RU86" s="1255"/>
      <c r="RV86" s="1255"/>
      <c r="RW86" s="1255"/>
      <c r="RX86" s="1255"/>
      <c r="RY86" s="1255"/>
      <c r="RZ86" s="1255"/>
      <c r="SA86" s="1255"/>
      <c r="SB86" s="1255"/>
      <c r="SC86" s="1255"/>
      <c r="SD86" s="1255"/>
      <c r="SE86" s="1255"/>
      <c r="SF86" s="1255"/>
      <c r="SG86" s="1255"/>
      <c r="SH86" s="1255"/>
      <c r="SI86" s="1255"/>
      <c r="SJ86" s="1255"/>
      <c r="SK86" s="1255"/>
      <c r="SL86" s="1255"/>
      <c r="SM86" s="1255"/>
      <c r="SN86" s="1255"/>
      <c r="SO86" s="1255"/>
      <c r="SP86" s="1255"/>
      <c r="SQ86" s="1255"/>
      <c r="SR86" s="1255"/>
      <c r="SS86" s="1255"/>
      <c r="ST86" s="1255"/>
      <c r="SU86" s="1255"/>
      <c r="SV86" s="1255"/>
      <c r="SW86" s="1255"/>
      <c r="SX86" s="1255"/>
      <c r="SY86" s="1255"/>
      <c r="SZ86" s="1255"/>
      <c r="TA86" s="1255"/>
      <c r="TB86" s="1255"/>
      <c r="TC86" s="1255"/>
      <c r="TD86" s="1255"/>
      <c r="TE86" s="1255"/>
      <c r="TF86" s="1255"/>
      <c r="TG86" s="1255"/>
      <c r="TH86" s="1255"/>
      <c r="TI86" s="1255"/>
      <c r="TJ86" s="1255"/>
      <c r="TK86" s="1255"/>
      <c r="TL86" s="1255"/>
      <c r="TM86" s="1255"/>
      <c r="TN86" s="1255"/>
      <c r="TO86" s="1255"/>
      <c r="TP86" s="1255"/>
      <c r="TQ86" s="1255"/>
      <c r="TR86" s="1255"/>
      <c r="TS86" s="1255"/>
      <c r="TT86" s="1255"/>
      <c r="TU86" s="1255"/>
      <c r="TV86" s="1255"/>
      <c r="TW86" s="1255"/>
      <c r="TX86" s="1255"/>
      <c r="TY86" s="1255"/>
      <c r="TZ86" s="1255"/>
      <c r="UA86" s="1255"/>
      <c r="UB86" s="1255"/>
      <c r="UC86" s="1255"/>
      <c r="UD86" s="1255"/>
      <c r="UE86" s="1255"/>
      <c r="UF86" s="1255"/>
      <c r="UG86" s="1255"/>
      <c r="UH86" s="1255"/>
      <c r="UI86" s="1255"/>
      <c r="UJ86" s="1255"/>
      <c r="UK86" s="1255"/>
      <c r="UL86" s="1255"/>
      <c r="UM86" s="1255"/>
      <c r="UN86" s="1255"/>
      <c r="UO86" s="1255"/>
      <c r="UP86" s="1255"/>
      <c r="UQ86" s="1255"/>
      <c r="UR86" s="1255"/>
      <c r="US86" s="1255"/>
      <c r="UT86" s="1255"/>
      <c r="UU86" s="1255"/>
      <c r="UV86" s="1255"/>
      <c r="UW86" s="1255"/>
      <c r="UX86" s="1255"/>
      <c r="UY86" s="1255"/>
      <c r="UZ86" s="1255"/>
      <c r="VA86" s="1255"/>
      <c r="VB86" s="1255"/>
      <c r="VC86" s="1255"/>
      <c r="VD86" s="1255"/>
      <c r="VE86" s="1255"/>
      <c r="VF86" s="1255"/>
      <c r="VG86" s="1255"/>
      <c r="VH86" s="1255"/>
      <c r="VI86" s="1255"/>
      <c r="VJ86" s="1255"/>
      <c r="VK86" s="1255"/>
      <c r="VL86" s="1255"/>
      <c r="VM86" s="1255"/>
      <c r="VN86" s="1255"/>
      <c r="VO86" s="1255"/>
      <c r="VP86" s="1255"/>
      <c r="VQ86" s="1255"/>
      <c r="VR86" s="1255"/>
      <c r="VS86" s="1255"/>
      <c r="VT86" s="1255"/>
      <c r="VU86" s="1255"/>
      <c r="VV86" s="1255"/>
      <c r="VW86" s="1255"/>
      <c r="VX86" s="1255"/>
      <c r="VY86" s="1255"/>
      <c r="VZ86" s="1255"/>
      <c r="WA86" s="1255"/>
      <c r="WB86" s="1255"/>
      <c r="WC86" s="1255"/>
      <c r="WD86" s="1255"/>
      <c r="WE86" s="1255"/>
      <c r="WF86" s="1255"/>
      <c r="WG86" s="1255"/>
      <c r="WH86" s="1255"/>
      <c r="WI86" s="1255"/>
      <c r="WJ86" s="1255"/>
      <c r="WK86" s="1255"/>
      <c r="WL86" s="1255"/>
      <c r="WM86" s="1255"/>
      <c r="WN86" s="1255"/>
      <c r="WO86" s="1255"/>
      <c r="WP86" s="1255"/>
      <c r="WQ86" s="1255"/>
      <c r="WR86" s="1255"/>
      <c r="WS86" s="1255"/>
      <c r="WT86" s="1255"/>
      <c r="WU86" s="1255"/>
      <c r="WV86" s="1255"/>
      <c r="WW86" s="1255"/>
      <c r="WX86" s="1255"/>
      <c r="WY86" s="1255"/>
      <c r="WZ86" s="1255"/>
      <c r="XA86" s="1255"/>
      <c r="XB86" s="1255"/>
      <c r="XC86" s="1255"/>
      <c r="XD86" s="1255"/>
      <c r="XE86" s="1255"/>
      <c r="XF86" s="1255"/>
      <c r="XG86" s="1255"/>
      <c r="XH86" s="1255"/>
      <c r="XI86" s="1255"/>
      <c r="XJ86" s="1255"/>
      <c r="XK86" s="1255"/>
      <c r="XL86" s="1255"/>
      <c r="XM86" s="1255"/>
      <c r="XN86" s="1255"/>
      <c r="XO86" s="1255"/>
      <c r="XP86" s="1255"/>
      <c r="XQ86" s="1255"/>
      <c r="XR86" s="1255"/>
      <c r="XS86" s="1255"/>
      <c r="XT86" s="1255"/>
      <c r="XU86" s="1255"/>
      <c r="XV86" s="1255"/>
      <c r="XW86" s="1255"/>
      <c r="XX86" s="1255"/>
      <c r="XY86" s="1255"/>
      <c r="XZ86" s="1255"/>
      <c r="YA86" s="1255"/>
      <c r="YB86" s="1255"/>
      <c r="YC86" s="1255"/>
      <c r="YD86" s="1255"/>
      <c r="YE86" s="1255"/>
      <c r="YF86" s="1255"/>
      <c r="YG86" s="1255"/>
      <c r="YH86" s="1255"/>
      <c r="YI86" s="1255"/>
      <c r="YJ86" s="1255"/>
      <c r="YK86" s="1255"/>
      <c r="YL86" s="1255"/>
      <c r="YM86" s="1255"/>
      <c r="YN86" s="1255"/>
      <c r="YO86" s="1255"/>
      <c r="YP86" s="1255"/>
      <c r="YQ86" s="1255"/>
      <c r="YR86" s="1255"/>
      <c r="YS86" s="1255"/>
      <c r="YT86" s="1255"/>
      <c r="YU86" s="1255"/>
      <c r="YV86" s="1255"/>
      <c r="YW86" s="1255"/>
      <c r="YX86" s="1255"/>
      <c r="YY86" s="1255"/>
      <c r="YZ86" s="1255"/>
      <c r="ZA86" s="1255"/>
      <c r="ZB86" s="1255"/>
      <c r="ZC86" s="1255"/>
      <c r="ZD86" s="1255"/>
      <c r="ZE86" s="1255"/>
      <c r="ZF86" s="1255"/>
      <c r="ZG86" s="1255"/>
      <c r="ZH86" s="1255"/>
      <c r="ZI86" s="1255"/>
      <c r="ZJ86" s="1255"/>
      <c r="ZK86" s="1255"/>
      <c r="ZL86" s="1255"/>
      <c r="ZM86" s="1255"/>
      <c r="ZN86" s="1255"/>
      <c r="ZO86" s="1255"/>
      <c r="ZP86" s="1255"/>
      <c r="ZQ86" s="1255"/>
      <c r="ZR86" s="1255"/>
      <c r="ZS86" s="1255"/>
      <c r="ZT86" s="1255"/>
      <c r="ZU86" s="1255"/>
      <c r="ZV86" s="1255"/>
      <c r="ZW86" s="1255"/>
      <c r="ZX86" s="1255"/>
      <c r="ZY86" s="1255"/>
      <c r="ZZ86" s="1255"/>
      <c r="AAA86" s="1255"/>
      <c r="AAB86" s="1255"/>
      <c r="AAC86" s="1255"/>
      <c r="AAD86" s="1255"/>
      <c r="AAE86" s="1255"/>
      <c r="AAF86" s="1255"/>
      <c r="AAG86" s="1255"/>
      <c r="AAH86" s="1255"/>
      <c r="AAI86" s="1255"/>
      <c r="AAJ86" s="1255"/>
      <c r="AAK86" s="1255"/>
      <c r="AAL86" s="1255"/>
      <c r="AAM86" s="1255"/>
      <c r="AAN86" s="1255"/>
      <c r="AAO86" s="1255"/>
      <c r="AAP86" s="1255"/>
      <c r="AAQ86" s="1255"/>
      <c r="AAR86" s="1255"/>
      <c r="AAS86" s="1255"/>
      <c r="AAT86" s="1255"/>
      <c r="AAU86" s="1255"/>
      <c r="AAV86" s="1255"/>
      <c r="AAW86" s="1255"/>
      <c r="AAX86" s="1255"/>
      <c r="AAY86" s="1255"/>
      <c r="AAZ86" s="1255"/>
      <c r="ABA86" s="1255"/>
      <c r="ABB86" s="1255"/>
      <c r="ABC86" s="1255"/>
      <c r="ABD86" s="1255"/>
      <c r="ABE86" s="1255"/>
      <c r="ABF86" s="1255"/>
      <c r="ABG86" s="1255"/>
      <c r="ABH86" s="1255"/>
      <c r="ABI86" s="1255"/>
      <c r="ABJ86" s="1255"/>
      <c r="ABK86" s="1255"/>
      <c r="ABL86" s="1255"/>
      <c r="ABM86" s="1255"/>
      <c r="ABN86" s="1255"/>
      <c r="ABO86" s="1255"/>
      <c r="ABP86" s="1255"/>
      <c r="ABQ86" s="1255"/>
      <c r="ABR86" s="1255"/>
      <c r="ABS86" s="1255"/>
      <c r="ABT86" s="1255"/>
      <c r="ABU86" s="1255"/>
      <c r="ABV86" s="1255"/>
      <c r="ABW86" s="1255"/>
      <c r="ABX86" s="1255"/>
      <c r="ABY86" s="1255"/>
      <c r="ABZ86" s="1255"/>
      <c r="ACA86" s="1255"/>
      <c r="ACB86" s="1255"/>
      <c r="ACC86" s="1255"/>
      <c r="ACD86" s="1255"/>
      <c r="ACE86" s="1255"/>
      <c r="ACF86" s="1255"/>
      <c r="ACG86" s="1255"/>
      <c r="ACH86" s="1255"/>
      <c r="ACI86" s="1255"/>
      <c r="ACJ86" s="1255"/>
      <c r="ACK86" s="1255"/>
      <c r="ACL86" s="1255"/>
      <c r="ACM86" s="1255"/>
      <c r="ACN86" s="1255"/>
      <c r="ACO86" s="1255"/>
      <c r="ACP86" s="1255"/>
      <c r="ACQ86" s="1255"/>
      <c r="ACR86" s="1255"/>
      <c r="ACS86" s="1255"/>
      <c r="ACT86" s="1255"/>
      <c r="ACU86" s="1255"/>
      <c r="ACV86" s="1255"/>
      <c r="ACW86" s="1255"/>
      <c r="ACX86" s="1255"/>
      <c r="ACY86" s="1255"/>
      <c r="ACZ86" s="1255"/>
      <c r="ADA86" s="1255"/>
      <c r="ADB86" s="1255"/>
      <c r="ADC86" s="1255"/>
      <c r="ADD86" s="1255"/>
      <c r="ADE86" s="1255"/>
      <c r="ADF86" s="1255"/>
      <c r="ADG86" s="1255"/>
      <c r="ADH86" s="1255"/>
      <c r="ADI86" s="1255"/>
      <c r="ADJ86" s="1255"/>
      <c r="ADK86" s="1255"/>
      <c r="ADL86" s="1255"/>
      <c r="ADM86" s="1255"/>
      <c r="ADN86" s="1255"/>
      <c r="ADO86" s="1255"/>
      <c r="ADP86" s="1255"/>
      <c r="ADQ86" s="1255"/>
      <c r="ADR86" s="1255"/>
      <c r="ADS86" s="1255"/>
      <c r="ADT86" s="1255"/>
      <c r="ADU86" s="1255"/>
      <c r="ADV86" s="1255"/>
      <c r="ADW86" s="1255"/>
      <c r="ADX86" s="1255"/>
      <c r="ADY86" s="1255"/>
      <c r="ADZ86" s="1255"/>
      <c r="AEA86" s="1255"/>
      <c r="AEB86" s="1255"/>
      <c r="AEC86" s="1255"/>
      <c r="AED86" s="1255"/>
      <c r="AEE86" s="1255"/>
      <c r="AEF86" s="1255"/>
      <c r="AEG86" s="1255"/>
      <c r="AEH86" s="1255"/>
      <c r="AEI86" s="1255"/>
      <c r="AEJ86" s="1255"/>
      <c r="AEK86" s="1255"/>
      <c r="AEL86" s="1255"/>
      <c r="AEM86" s="1255"/>
      <c r="AEN86" s="1255"/>
      <c r="AEO86" s="1255"/>
      <c r="AEP86" s="1255"/>
      <c r="AEQ86" s="1255"/>
      <c r="AER86" s="1255"/>
      <c r="AES86" s="1255"/>
      <c r="AET86" s="1255"/>
      <c r="AEU86" s="1255"/>
      <c r="AEV86" s="1255"/>
      <c r="AEW86" s="1255"/>
      <c r="AEX86" s="1255"/>
      <c r="AEY86" s="1255"/>
      <c r="AEZ86" s="1255"/>
      <c r="AFA86" s="1255"/>
      <c r="AFB86" s="1255"/>
      <c r="AFC86" s="1255"/>
      <c r="AFD86" s="1255"/>
      <c r="AFE86" s="1255"/>
      <c r="AFF86" s="1255"/>
      <c r="AFG86" s="1255"/>
      <c r="AFH86" s="1255"/>
      <c r="AFI86" s="1255"/>
      <c r="AFJ86" s="1255"/>
      <c r="AFK86" s="1255"/>
      <c r="AFL86" s="1255"/>
      <c r="AFM86" s="1255"/>
      <c r="AFN86" s="1255"/>
      <c r="AFO86" s="1255"/>
      <c r="AFP86" s="1255"/>
      <c r="AFQ86" s="1255"/>
      <c r="AFR86" s="1255"/>
      <c r="AFS86" s="1255"/>
      <c r="AFT86" s="1255"/>
      <c r="AFU86" s="1255"/>
      <c r="AFV86" s="1255"/>
      <c r="AFW86" s="1255"/>
      <c r="AFX86" s="1255"/>
      <c r="AFY86" s="1255"/>
      <c r="AFZ86" s="1255"/>
      <c r="AGA86" s="1255"/>
      <c r="AGB86" s="1255"/>
      <c r="AGC86" s="1255"/>
      <c r="AGD86" s="1255"/>
      <c r="AGE86" s="1255"/>
      <c r="AGF86" s="1255"/>
      <c r="AGG86" s="1255"/>
      <c r="AGH86" s="1255"/>
      <c r="AGI86" s="1255"/>
      <c r="AGJ86" s="1255"/>
      <c r="AGK86" s="1255"/>
      <c r="AGL86" s="1255"/>
      <c r="AGM86" s="1255"/>
      <c r="AGN86" s="1255"/>
      <c r="AGO86" s="1255"/>
      <c r="AGP86" s="1255"/>
      <c r="AGQ86" s="1255"/>
      <c r="AGR86" s="1255"/>
      <c r="AGS86" s="1255"/>
      <c r="AGT86" s="1255"/>
      <c r="AGU86" s="1255"/>
      <c r="AGV86" s="1255"/>
      <c r="AGW86" s="1255"/>
      <c r="AGX86" s="1255"/>
      <c r="AGY86" s="1255"/>
      <c r="AGZ86" s="1255"/>
      <c r="AHA86" s="1255"/>
      <c r="AHB86" s="1255"/>
      <c r="AHC86" s="1255"/>
      <c r="AHD86" s="1255"/>
      <c r="AHE86" s="1255"/>
      <c r="AHF86" s="1255"/>
      <c r="AHG86" s="1255"/>
      <c r="AHH86" s="1255"/>
      <c r="AHI86" s="1255"/>
      <c r="AHJ86" s="1255"/>
      <c r="AHK86" s="1255"/>
      <c r="AHL86" s="1255"/>
      <c r="AHM86" s="1255"/>
      <c r="AHN86" s="1255"/>
      <c r="AHO86" s="1255"/>
      <c r="AHP86" s="1255"/>
      <c r="AHQ86" s="1255"/>
      <c r="AHR86" s="1255"/>
      <c r="AHS86" s="1255"/>
      <c r="AHT86" s="1255"/>
      <c r="AHU86" s="1255"/>
      <c r="AHV86" s="1255"/>
      <c r="AHW86" s="1255"/>
      <c r="AHX86" s="1255"/>
      <c r="AHY86" s="1255"/>
      <c r="AHZ86" s="1255"/>
      <c r="AIA86" s="1255"/>
      <c r="AIB86" s="1255"/>
      <c r="AIC86" s="1255"/>
      <c r="AID86" s="1255"/>
      <c r="AIE86" s="1255"/>
      <c r="AIF86" s="1255"/>
      <c r="AIG86" s="1255"/>
      <c r="AIH86" s="1255"/>
      <c r="AII86" s="1255"/>
      <c r="AIJ86" s="1255"/>
      <c r="AIK86" s="1255"/>
      <c r="AIL86" s="1255"/>
      <c r="AIM86" s="1255"/>
      <c r="AIN86" s="1255"/>
      <c r="AIO86" s="1255"/>
      <c r="AIP86" s="1255"/>
      <c r="AIQ86" s="1255"/>
      <c r="AIR86" s="1255"/>
      <c r="AIS86" s="1255"/>
      <c r="AIT86" s="1255"/>
      <c r="AIU86" s="1255"/>
      <c r="AIV86" s="1255"/>
      <c r="AIW86" s="1255"/>
      <c r="AIX86" s="1255"/>
      <c r="AIY86" s="1255"/>
      <c r="AIZ86" s="1255"/>
      <c r="AJA86" s="1255"/>
      <c r="AJB86" s="1255"/>
      <c r="AJC86" s="1255"/>
      <c r="AJD86" s="1255"/>
      <c r="AJE86" s="1255"/>
      <c r="AJF86" s="1255"/>
      <c r="AJG86" s="1255"/>
      <c r="AJH86" s="1255"/>
      <c r="AJI86" s="1255"/>
      <c r="AJJ86" s="1255"/>
      <c r="AJK86" s="1255"/>
      <c r="AJL86" s="1255"/>
      <c r="AJM86" s="1255"/>
      <c r="AJN86" s="1255"/>
      <c r="AJO86" s="1255"/>
      <c r="AJP86" s="1255"/>
      <c r="AJQ86" s="1255"/>
      <c r="AJR86" s="1255"/>
      <c r="AJS86" s="1255"/>
      <c r="AJT86" s="1255"/>
      <c r="AJU86" s="1255"/>
      <c r="AJV86" s="1255"/>
      <c r="AJW86" s="1255"/>
      <c r="AJX86" s="1255"/>
      <c r="AJY86" s="1255"/>
      <c r="AJZ86" s="1255"/>
      <c r="AKA86" s="1255"/>
      <c r="AKB86" s="1255"/>
      <c r="AKC86" s="1255"/>
      <c r="AKD86" s="1255"/>
      <c r="AKE86" s="1255"/>
      <c r="AKF86" s="1255"/>
      <c r="AKG86" s="1255"/>
      <c r="AKH86" s="1255"/>
      <c r="AKI86" s="1255"/>
      <c r="AKJ86" s="1255"/>
      <c r="AKK86" s="1255"/>
      <c r="AKL86" s="1255"/>
      <c r="AKM86" s="1255"/>
      <c r="AKN86" s="1255"/>
      <c r="AKO86" s="1255"/>
      <c r="AKP86" s="1255"/>
      <c r="AKQ86" s="1255"/>
      <c r="AKR86" s="1255"/>
      <c r="AKS86" s="1255"/>
      <c r="AKT86" s="1255"/>
      <c r="AKU86" s="1255"/>
      <c r="AKV86" s="1255"/>
      <c r="AKW86" s="1255"/>
      <c r="AKX86" s="1255"/>
      <c r="AKY86" s="1255"/>
      <c r="AKZ86" s="1255"/>
      <c r="ALA86" s="1255"/>
      <c r="ALB86" s="1255"/>
      <c r="ALC86" s="1255"/>
      <c r="ALD86" s="1255"/>
      <c r="ALE86" s="1255"/>
      <c r="ALF86" s="1255"/>
      <c r="ALG86" s="1255"/>
      <c r="ALH86" s="1255"/>
      <c r="ALI86" s="1255"/>
      <c r="ALJ86" s="1255"/>
      <c r="ALK86" s="1255"/>
      <c r="ALL86" s="1255"/>
      <c r="ALM86" s="1255"/>
      <c r="ALN86" s="1255"/>
      <c r="ALO86" s="1255"/>
      <c r="ALP86" s="1255"/>
      <c r="ALQ86" s="1255"/>
      <c r="ALR86" s="1255"/>
      <c r="ALS86" s="1255"/>
      <c r="ALT86" s="1255"/>
      <c r="ALU86" s="1255"/>
      <c r="ALV86" s="1255"/>
      <c r="ALW86" s="1255"/>
      <c r="ALX86" s="1255"/>
      <c r="ALY86" s="1255"/>
      <c r="ALZ86" s="1255"/>
      <c r="AMA86" s="1255"/>
      <c r="AMB86" s="1255"/>
      <c r="AMC86" s="1255"/>
      <c r="AMD86" s="1255"/>
      <c r="AME86" s="1255"/>
      <c r="AMF86" s="1255"/>
      <c r="AMG86" s="1255"/>
      <c r="AMH86" s="1255"/>
      <c r="AMI86" s="1255"/>
      <c r="AMJ86" s="1255"/>
      <c r="AMK86" s="1255"/>
      <c r="AML86" s="1255"/>
      <c r="AMM86" s="1255"/>
      <c r="AMN86" s="1255"/>
      <c r="AMO86" s="1255"/>
      <c r="AMP86" s="1255"/>
      <c r="AMQ86" s="1255"/>
      <c r="AMR86" s="1255"/>
      <c r="AMS86" s="1255"/>
      <c r="AMT86" s="1255"/>
      <c r="AMU86" s="1255"/>
      <c r="AMV86" s="1255"/>
      <c r="AMW86" s="1255"/>
      <c r="AMX86" s="1255"/>
      <c r="AMY86" s="1255"/>
      <c r="AMZ86" s="1255"/>
      <c r="ANA86" s="1255"/>
      <c r="ANB86" s="1255"/>
      <c r="ANC86" s="1255"/>
      <c r="AND86" s="1255"/>
      <c r="ANE86" s="1255"/>
      <c r="ANF86" s="1255"/>
      <c r="ANG86" s="1255"/>
      <c r="ANH86" s="1255"/>
      <c r="ANI86" s="1255"/>
      <c r="ANJ86" s="1255"/>
      <c r="ANK86" s="1255"/>
      <c r="ANL86" s="1255"/>
      <c r="ANM86" s="1255"/>
      <c r="ANN86" s="1255"/>
      <c r="ANO86" s="1255"/>
      <c r="ANP86" s="1255"/>
      <c r="ANQ86" s="1255"/>
      <c r="ANR86" s="1255"/>
      <c r="ANS86" s="1255"/>
      <c r="ANT86" s="1255"/>
      <c r="ANU86" s="1255"/>
      <c r="ANV86" s="1255"/>
      <c r="ANW86" s="1255"/>
      <c r="ANX86" s="1255"/>
      <c r="ANY86" s="1255"/>
      <c r="ANZ86" s="1255"/>
      <c r="AOA86" s="1255"/>
      <c r="AOB86" s="1255"/>
      <c r="AOC86" s="1255"/>
      <c r="AOD86" s="1255"/>
      <c r="AOE86" s="1255"/>
      <c r="AOF86" s="1255"/>
      <c r="AOG86" s="1255"/>
      <c r="AOH86" s="1255"/>
      <c r="AOI86" s="1255"/>
      <c r="AOJ86" s="1255"/>
      <c r="AOK86" s="1255"/>
      <c r="AOL86" s="1255"/>
      <c r="AOM86" s="1255"/>
      <c r="AON86" s="1255"/>
      <c r="AOO86" s="1255"/>
      <c r="AOP86" s="1255"/>
      <c r="AOQ86" s="1255"/>
      <c r="AOR86" s="1255"/>
      <c r="AOS86" s="1255"/>
      <c r="AOT86" s="1255"/>
      <c r="AOU86" s="1255"/>
      <c r="AOV86" s="1255"/>
      <c r="AOW86" s="1255"/>
      <c r="AOX86" s="1255"/>
      <c r="AOY86" s="1255"/>
      <c r="AOZ86" s="1255"/>
      <c r="APA86" s="1255"/>
      <c r="APB86" s="1255"/>
      <c r="APC86" s="1255"/>
      <c r="APD86" s="1255"/>
      <c r="APE86" s="1255"/>
      <c r="APF86" s="1255"/>
      <c r="APG86" s="1255"/>
      <c r="APH86" s="1255"/>
      <c r="API86" s="1255"/>
      <c r="APJ86" s="1255"/>
      <c r="APK86" s="1255"/>
      <c r="APL86" s="1255"/>
      <c r="APM86" s="1255"/>
      <c r="APN86" s="1255"/>
      <c r="APO86" s="1255"/>
      <c r="APP86" s="1255"/>
      <c r="APQ86" s="1255"/>
      <c r="APR86" s="1255"/>
      <c r="APS86" s="1255"/>
      <c r="APT86" s="1255"/>
      <c r="APU86" s="1255"/>
      <c r="APV86" s="1255"/>
      <c r="APW86" s="1255"/>
      <c r="APX86" s="1255"/>
      <c r="APY86" s="1255"/>
      <c r="APZ86" s="1255"/>
      <c r="AQA86" s="1255"/>
      <c r="AQB86" s="1255"/>
      <c r="AQC86" s="1255"/>
      <c r="AQD86" s="1255"/>
      <c r="AQE86" s="1255"/>
      <c r="AQF86" s="1255"/>
      <c r="AQG86" s="1255"/>
      <c r="AQH86" s="1255"/>
      <c r="AQI86" s="1255"/>
      <c r="AQJ86" s="1255"/>
      <c r="AQK86" s="1255"/>
      <c r="AQL86" s="1255"/>
      <c r="AQM86" s="1255"/>
      <c r="AQN86" s="1255"/>
      <c r="AQO86" s="1255"/>
      <c r="AQP86" s="1255"/>
      <c r="AQQ86" s="1255"/>
      <c r="AQR86" s="1255"/>
      <c r="AQS86" s="1255"/>
      <c r="AQT86" s="1255"/>
      <c r="AQU86" s="1255"/>
      <c r="AQV86" s="1255"/>
      <c r="AQW86" s="1255"/>
      <c r="AQX86" s="1255"/>
      <c r="AQY86" s="1255"/>
      <c r="AQZ86" s="1255"/>
      <c r="ARA86" s="1255"/>
      <c r="ARB86" s="1255"/>
      <c r="ARC86" s="1255"/>
      <c r="ARD86" s="1255"/>
      <c r="ARE86" s="1255"/>
      <c r="ARF86" s="1255"/>
      <c r="ARG86" s="1255"/>
      <c r="ARH86" s="1255"/>
      <c r="ARI86" s="1255"/>
      <c r="ARJ86" s="1255"/>
      <c r="ARK86" s="1255"/>
      <c r="ARL86" s="1255"/>
      <c r="ARM86" s="1255"/>
      <c r="ARN86" s="1255"/>
      <c r="ARO86" s="1255"/>
      <c r="ARP86" s="1255"/>
      <c r="ARQ86" s="1255"/>
      <c r="ARR86" s="1255"/>
      <c r="ARS86" s="1255"/>
      <c r="ART86" s="1255"/>
      <c r="ARU86" s="1255"/>
      <c r="ARV86" s="1255"/>
      <c r="ARW86" s="1255"/>
      <c r="ARX86" s="1255"/>
      <c r="ARY86" s="1255"/>
      <c r="ARZ86" s="1255"/>
      <c r="ASA86" s="1255"/>
      <c r="ASB86" s="1255"/>
      <c r="ASC86" s="1255"/>
      <c r="ASD86" s="1255"/>
      <c r="ASE86" s="1255"/>
      <c r="ASF86" s="1255"/>
      <c r="ASG86" s="1255"/>
      <c r="ASH86" s="1255"/>
      <c r="ASI86" s="1255"/>
      <c r="ASJ86" s="1255"/>
      <c r="ASK86" s="1255"/>
      <c r="ASL86" s="1255"/>
      <c r="ASM86" s="1255"/>
      <c r="ASN86" s="1255"/>
      <c r="ASO86" s="1255"/>
      <c r="ASP86" s="1255"/>
      <c r="ASQ86" s="1255"/>
      <c r="ASR86" s="1255"/>
      <c r="ASS86" s="1255"/>
      <c r="AST86" s="1255"/>
      <c r="ASU86" s="1255"/>
      <c r="ASV86" s="1255"/>
      <c r="ASW86" s="1255"/>
      <c r="ASX86" s="1255"/>
      <c r="ASY86" s="1255"/>
      <c r="ASZ86" s="1255"/>
      <c r="ATA86" s="1255"/>
      <c r="ATB86" s="1255"/>
      <c r="ATC86" s="1255"/>
      <c r="ATD86" s="1255"/>
      <c r="ATE86" s="1255"/>
      <c r="ATF86" s="1255"/>
      <c r="ATG86" s="1255"/>
      <c r="ATH86" s="1255"/>
      <c r="ATI86" s="1255"/>
      <c r="ATJ86" s="1255"/>
      <c r="ATK86" s="1255"/>
      <c r="ATL86" s="1255"/>
      <c r="ATM86" s="1255"/>
      <c r="ATN86" s="1255"/>
      <c r="ATO86" s="1255"/>
      <c r="ATP86" s="1255"/>
      <c r="ATQ86" s="1255"/>
      <c r="ATR86" s="1255"/>
      <c r="ATS86" s="1255"/>
      <c r="ATT86" s="1255"/>
      <c r="ATU86" s="1255"/>
      <c r="ATV86" s="1255"/>
      <c r="ATW86" s="1255"/>
      <c r="ATX86" s="1255"/>
      <c r="ATY86" s="1255"/>
      <c r="ATZ86" s="1255"/>
      <c r="AUA86" s="1255"/>
      <c r="AUB86" s="1255"/>
      <c r="AUC86" s="1255"/>
      <c r="AUD86" s="1255"/>
      <c r="AUE86" s="1255"/>
      <c r="AUF86" s="1255"/>
      <c r="AUG86" s="1255"/>
      <c r="AUH86" s="1255"/>
      <c r="AUI86" s="1255"/>
      <c r="AUJ86" s="1255"/>
      <c r="AUK86" s="1255"/>
      <c r="AUL86" s="1255"/>
      <c r="AUM86" s="1255"/>
      <c r="AUN86" s="1255"/>
      <c r="AUO86" s="1255"/>
      <c r="AUP86" s="1255"/>
      <c r="AUQ86" s="1255"/>
      <c r="AUR86" s="1255"/>
      <c r="AUS86" s="1255"/>
      <c r="AUT86" s="1255"/>
      <c r="AUU86" s="1255"/>
      <c r="AUV86" s="1255"/>
      <c r="AUW86" s="1255"/>
      <c r="AUX86" s="1255"/>
      <c r="AUY86" s="1255"/>
      <c r="AUZ86" s="1255"/>
      <c r="AVA86" s="1255"/>
      <c r="AVB86" s="1255"/>
      <c r="AVC86" s="1255"/>
      <c r="AVD86" s="1255"/>
      <c r="AVE86" s="1255"/>
      <c r="AVF86" s="1255"/>
      <c r="AVG86" s="1255"/>
      <c r="AVH86" s="1255"/>
      <c r="AVI86" s="1255"/>
      <c r="AVJ86" s="1255"/>
      <c r="AVK86" s="1255"/>
      <c r="AVL86" s="1255"/>
      <c r="AVM86" s="1255"/>
      <c r="AVN86" s="1255"/>
      <c r="AVO86" s="1255"/>
      <c r="AVP86" s="1255"/>
      <c r="AVQ86" s="1255"/>
      <c r="AVR86" s="1255"/>
      <c r="AVS86" s="1255"/>
      <c r="AVT86" s="1255"/>
      <c r="AVU86" s="1255"/>
      <c r="AVV86" s="1255"/>
      <c r="AVW86" s="1255"/>
      <c r="AVX86" s="1255"/>
      <c r="AVY86" s="1255"/>
      <c r="AVZ86" s="1255"/>
      <c r="AWA86" s="1255"/>
      <c r="AWB86" s="1255"/>
      <c r="AWC86" s="1255"/>
      <c r="AWD86" s="1255"/>
      <c r="AWE86" s="1255"/>
      <c r="AWF86" s="1255"/>
      <c r="AWG86" s="1255"/>
      <c r="AWH86" s="1255"/>
      <c r="AWI86" s="1255"/>
      <c r="AWJ86" s="1255"/>
      <c r="AWK86" s="1255"/>
      <c r="AWL86" s="1255"/>
      <c r="AWM86" s="1255"/>
      <c r="AWN86" s="1255"/>
      <c r="AWO86" s="1255"/>
      <c r="AWP86" s="1255"/>
      <c r="AWQ86" s="1255"/>
      <c r="AWR86" s="1255"/>
      <c r="AWS86" s="1255"/>
      <c r="AWT86" s="1255"/>
      <c r="AWU86" s="1255"/>
      <c r="AWV86" s="1255"/>
      <c r="AWW86" s="1255"/>
      <c r="AWX86" s="1255"/>
      <c r="AWY86" s="1255"/>
      <c r="AWZ86" s="1255"/>
      <c r="AXA86" s="1255"/>
      <c r="AXB86" s="1255"/>
      <c r="AXC86" s="1255"/>
      <c r="AXD86" s="1255"/>
      <c r="AXE86" s="1255"/>
      <c r="AXF86" s="1255"/>
      <c r="AXG86" s="1255"/>
      <c r="AXH86" s="1255"/>
      <c r="AXI86" s="1255"/>
      <c r="AXJ86" s="1255"/>
      <c r="AXK86" s="1255"/>
      <c r="AXL86" s="1255"/>
      <c r="AXM86" s="1255"/>
      <c r="AXN86" s="1255"/>
      <c r="AXO86" s="1255"/>
      <c r="AXP86" s="1255"/>
      <c r="AXQ86" s="1255"/>
      <c r="AXR86" s="1255"/>
      <c r="AXS86" s="1255"/>
      <c r="AXT86" s="1255"/>
      <c r="AXU86" s="1255"/>
      <c r="AXV86" s="1255"/>
      <c r="AXW86" s="1255"/>
      <c r="AXX86" s="1255"/>
      <c r="AXY86" s="1255"/>
      <c r="AXZ86" s="1255"/>
      <c r="AYA86" s="1255"/>
      <c r="AYB86" s="1255"/>
      <c r="AYC86" s="1255"/>
      <c r="AYD86" s="1255"/>
      <c r="AYE86" s="1255"/>
      <c r="AYF86" s="1255"/>
      <c r="AYG86" s="1255"/>
      <c r="AYH86" s="1255"/>
      <c r="AYI86" s="1255"/>
      <c r="AYJ86" s="1255"/>
      <c r="AYK86" s="1255"/>
      <c r="AYL86" s="1255"/>
      <c r="AYM86" s="1255"/>
      <c r="AYN86" s="1255"/>
      <c r="AYO86" s="1255"/>
      <c r="AYP86" s="1255"/>
      <c r="AYQ86" s="1255"/>
      <c r="AYR86" s="1255"/>
      <c r="AYS86" s="1255"/>
      <c r="AYT86" s="1255"/>
      <c r="AYU86" s="1255"/>
      <c r="AYV86" s="1255"/>
      <c r="AYW86" s="1255"/>
      <c r="AYX86" s="1255"/>
      <c r="AYY86" s="1255"/>
      <c r="AYZ86" s="1255"/>
      <c r="AZA86" s="1255"/>
      <c r="AZB86" s="1255"/>
      <c r="AZC86" s="1255"/>
      <c r="AZD86" s="1255"/>
      <c r="AZE86" s="1255"/>
      <c r="AZF86" s="1255"/>
      <c r="AZG86" s="1255"/>
      <c r="AZH86" s="1255"/>
      <c r="AZI86" s="1255"/>
      <c r="AZJ86" s="1255"/>
      <c r="AZK86" s="1255"/>
      <c r="AZL86" s="1255"/>
      <c r="AZM86" s="1255"/>
      <c r="AZN86" s="1255"/>
      <c r="AZO86" s="1255"/>
      <c r="AZP86" s="1255"/>
      <c r="AZQ86" s="1255"/>
      <c r="AZR86" s="1255"/>
      <c r="AZS86" s="1255"/>
      <c r="AZT86" s="1255"/>
      <c r="AZU86" s="1255"/>
      <c r="AZV86" s="1255"/>
      <c r="AZW86" s="1255"/>
      <c r="AZX86" s="1255"/>
      <c r="AZY86" s="1255"/>
      <c r="AZZ86" s="1255"/>
      <c r="BAA86" s="1255"/>
      <c r="BAB86" s="1255"/>
      <c r="BAC86" s="1255"/>
      <c r="BAD86" s="1255"/>
      <c r="BAE86" s="1255"/>
      <c r="BAF86" s="1255"/>
      <c r="BAG86" s="1255"/>
      <c r="BAH86" s="1255"/>
      <c r="BAI86" s="1255"/>
      <c r="BAJ86" s="1255"/>
      <c r="BAK86" s="1255"/>
      <c r="BAL86" s="1255"/>
      <c r="BAM86" s="1255"/>
      <c r="BAN86" s="1255"/>
      <c r="BAO86" s="1255"/>
      <c r="BAP86" s="1255"/>
      <c r="BAQ86" s="1255"/>
      <c r="BAR86" s="1255"/>
      <c r="BAS86" s="1255"/>
      <c r="BAT86" s="1255"/>
      <c r="BAU86" s="1255"/>
      <c r="BAV86" s="1255"/>
      <c r="BAW86" s="1255"/>
      <c r="BAX86" s="1255"/>
      <c r="BAY86" s="1255"/>
      <c r="BAZ86" s="1255"/>
      <c r="BBA86" s="1255"/>
      <c r="BBB86" s="1255"/>
      <c r="BBC86" s="1255"/>
      <c r="BBD86" s="1255"/>
      <c r="BBE86" s="1255"/>
      <c r="BBF86" s="1255"/>
      <c r="BBG86" s="1255"/>
      <c r="BBH86" s="1255"/>
      <c r="BBI86" s="1255"/>
      <c r="BBJ86" s="1255"/>
      <c r="BBK86" s="1255"/>
      <c r="BBL86" s="1255"/>
      <c r="BBM86" s="1255"/>
      <c r="BBN86" s="1255"/>
      <c r="BBO86" s="1255"/>
      <c r="BBP86" s="1255"/>
      <c r="BBQ86" s="1255"/>
      <c r="BBR86" s="1255"/>
      <c r="BBS86" s="1255"/>
      <c r="BBT86" s="1255"/>
      <c r="BBU86" s="1255"/>
      <c r="BBV86" s="1255"/>
      <c r="BBW86" s="1255"/>
      <c r="BBX86" s="1255"/>
      <c r="BBY86" s="1255"/>
      <c r="BBZ86" s="1255"/>
      <c r="BCA86" s="1255"/>
      <c r="BCB86" s="1255"/>
      <c r="BCC86" s="1255"/>
      <c r="BCD86" s="1255"/>
      <c r="BCE86" s="1255"/>
      <c r="BCF86" s="1255"/>
      <c r="BCG86" s="1255"/>
      <c r="BCH86" s="1255"/>
      <c r="BCI86" s="1255"/>
      <c r="BCJ86" s="1255"/>
      <c r="BCK86" s="1255"/>
      <c r="BCL86" s="1255"/>
      <c r="BCM86" s="1255"/>
      <c r="BCN86" s="1255"/>
      <c r="BCO86" s="1255"/>
      <c r="BCP86" s="1255"/>
      <c r="BCQ86" s="1255"/>
      <c r="BCR86" s="1255"/>
      <c r="BCS86" s="1255"/>
      <c r="BCT86" s="1255"/>
      <c r="BCU86" s="1255"/>
      <c r="BCV86" s="1255"/>
      <c r="BCW86" s="1255"/>
      <c r="BCX86" s="1255"/>
      <c r="BCY86" s="1255"/>
      <c r="BCZ86" s="1255"/>
      <c r="BDA86" s="1255"/>
      <c r="BDB86" s="1255"/>
      <c r="BDC86" s="1255"/>
      <c r="BDD86" s="1255"/>
      <c r="BDE86" s="1255"/>
      <c r="BDF86" s="1255"/>
      <c r="BDG86" s="1255"/>
      <c r="BDH86" s="1255"/>
      <c r="BDI86" s="1255"/>
      <c r="BDJ86" s="1255"/>
      <c r="BDK86" s="1255"/>
      <c r="BDL86" s="1255"/>
      <c r="BDM86" s="1255"/>
      <c r="BDN86" s="1255"/>
      <c r="BDO86" s="1255"/>
      <c r="BDP86" s="1255"/>
      <c r="BDQ86" s="1255"/>
      <c r="BDR86" s="1255"/>
      <c r="BDS86" s="1255"/>
      <c r="BDT86" s="1255"/>
      <c r="BDU86" s="1255"/>
      <c r="BDV86" s="1255"/>
      <c r="BDW86" s="1255"/>
      <c r="BDX86" s="1255"/>
      <c r="BDY86" s="1255"/>
      <c r="BDZ86" s="1255"/>
      <c r="BEA86" s="1255"/>
      <c r="BEB86" s="1255"/>
      <c r="BEC86" s="1255"/>
      <c r="BED86" s="1255"/>
      <c r="BEE86" s="1255"/>
      <c r="BEF86" s="1255"/>
      <c r="BEG86" s="1255"/>
      <c r="BEH86" s="1255"/>
      <c r="BEI86" s="1255"/>
      <c r="BEJ86" s="1255"/>
      <c r="BEK86" s="1255"/>
      <c r="BEL86" s="1255"/>
      <c r="BEM86" s="1255"/>
      <c r="BEN86" s="1255"/>
      <c r="BEO86" s="1255"/>
      <c r="BEP86" s="1255"/>
      <c r="BEQ86" s="1255"/>
      <c r="BER86" s="1255"/>
      <c r="BES86" s="1255"/>
      <c r="BET86" s="1255"/>
      <c r="BEU86" s="1255"/>
      <c r="BEV86" s="1255"/>
      <c r="BEW86" s="1255"/>
      <c r="BEX86" s="1255"/>
      <c r="BEY86" s="1255"/>
      <c r="BEZ86" s="1255"/>
      <c r="BFA86" s="1255"/>
      <c r="BFB86" s="1255"/>
      <c r="BFC86" s="1255"/>
      <c r="BFD86" s="1255"/>
      <c r="BFE86" s="1255"/>
      <c r="BFF86" s="1255"/>
      <c r="BFG86" s="1255"/>
      <c r="BFH86" s="1255"/>
      <c r="BFI86" s="1255"/>
      <c r="BFJ86" s="1255"/>
      <c r="BFK86" s="1255"/>
      <c r="BFL86" s="1255"/>
      <c r="BFM86" s="1255"/>
      <c r="BFN86" s="1255"/>
      <c r="BFO86" s="1255"/>
      <c r="BFP86" s="1255"/>
      <c r="BFQ86" s="1255"/>
      <c r="BFR86" s="1255"/>
      <c r="BFS86" s="1255"/>
      <c r="BFT86" s="1255"/>
      <c r="BFU86" s="1255"/>
      <c r="BFV86" s="1255"/>
      <c r="BFW86" s="1255"/>
      <c r="BFX86" s="1255"/>
      <c r="BFY86" s="1255"/>
      <c r="BFZ86" s="1255"/>
      <c r="BGA86" s="1255"/>
      <c r="BGB86" s="1255"/>
      <c r="BGC86" s="1255"/>
      <c r="BGD86" s="1255"/>
      <c r="BGE86" s="1255"/>
      <c r="BGF86" s="1255"/>
      <c r="BGG86" s="1255"/>
      <c r="BGH86" s="1255"/>
      <c r="BGI86" s="1255"/>
      <c r="BGJ86" s="1255"/>
      <c r="BGK86" s="1255"/>
      <c r="BGL86" s="1255"/>
      <c r="BGM86" s="1255"/>
      <c r="BGN86" s="1255"/>
      <c r="BGO86" s="1255"/>
      <c r="BGP86" s="1255"/>
      <c r="BGQ86" s="1255"/>
      <c r="BGR86" s="1255"/>
      <c r="BGS86" s="1255"/>
      <c r="BGT86" s="1255"/>
      <c r="BGU86" s="1255"/>
      <c r="BGV86" s="1255"/>
      <c r="BGW86" s="1255"/>
      <c r="BGX86" s="1255"/>
      <c r="BGY86" s="1255"/>
      <c r="BGZ86" s="1255"/>
      <c r="BHA86" s="1255"/>
      <c r="BHB86" s="1255"/>
      <c r="BHC86" s="1255"/>
      <c r="BHD86" s="1255"/>
      <c r="BHE86" s="1255"/>
      <c r="BHF86" s="1255"/>
      <c r="BHG86" s="1255"/>
      <c r="BHH86" s="1255"/>
      <c r="BHI86" s="1255"/>
      <c r="BHJ86" s="1255"/>
      <c r="BHK86" s="1255"/>
      <c r="BHL86" s="1255"/>
      <c r="BHM86" s="1255"/>
      <c r="BHN86" s="1255"/>
      <c r="BHO86" s="1255"/>
      <c r="BHP86" s="1255"/>
      <c r="BHQ86" s="1255"/>
      <c r="BHR86" s="1255"/>
      <c r="BHS86" s="1255"/>
      <c r="BHT86" s="1255"/>
      <c r="BHU86" s="1255"/>
      <c r="BHV86" s="1255"/>
      <c r="BHW86" s="1255"/>
      <c r="BHX86" s="1255"/>
      <c r="BHY86" s="1255"/>
      <c r="BHZ86" s="1255"/>
      <c r="BIA86" s="1255"/>
      <c r="BIB86" s="1255"/>
      <c r="BIC86" s="1255"/>
      <c r="BID86" s="1255"/>
      <c r="BIE86" s="1255"/>
      <c r="BIF86" s="1255"/>
      <c r="BIG86" s="1255"/>
      <c r="BIH86" s="1255"/>
      <c r="BII86" s="1255"/>
      <c r="BIJ86" s="1255"/>
      <c r="BIK86" s="1255"/>
      <c r="BIL86" s="1255"/>
      <c r="BIM86" s="1255"/>
      <c r="BIN86" s="1255"/>
      <c r="BIO86" s="1255"/>
      <c r="BIP86" s="1255"/>
      <c r="BIQ86" s="1255"/>
      <c r="BIR86" s="1255"/>
      <c r="BIS86" s="1255"/>
      <c r="BIT86" s="1255"/>
      <c r="BIU86" s="1255"/>
      <c r="BIV86" s="1255"/>
      <c r="BIW86" s="1255"/>
      <c r="BIX86" s="1255"/>
      <c r="BIY86" s="1255"/>
      <c r="BIZ86" s="1255"/>
      <c r="BJA86" s="1255"/>
      <c r="BJB86" s="1255"/>
      <c r="BJC86" s="1255"/>
      <c r="BJD86" s="1255"/>
      <c r="BJE86" s="1255"/>
      <c r="BJF86" s="1255"/>
      <c r="BJG86" s="1255"/>
      <c r="BJH86" s="1255"/>
      <c r="BJI86" s="1255"/>
      <c r="BJJ86" s="1255"/>
      <c r="BJK86" s="1255"/>
      <c r="BJL86" s="1255"/>
      <c r="BJM86" s="1255"/>
      <c r="BJN86" s="1255"/>
      <c r="BJO86" s="1255"/>
      <c r="BJP86" s="1255"/>
      <c r="BJQ86" s="1255"/>
      <c r="BJR86" s="1255"/>
      <c r="BJS86" s="1255"/>
      <c r="BJT86" s="1255"/>
      <c r="BJU86" s="1255"/>
      <c r="BJV86" s="1255"/>
      <c r="BJW86" s="1255"/>
      <c r="BJX86" s="1255"/>
      <c r="BJY86" s="1255"/>
      <c r="BJZ86" s="1255"/>
      <c r="BKA86" s="1255"/>
      <c r="BKB86" s="1255"/>
      <c r="BKC86" s="1255"/>
      <c r="BKD86" s="1255"/>
      <c r="BKE86" s="1255"/>
      <c r="BKF86" s="1255"/>
      <c r="BKG86" s="1255"/>
      <c r="BKH86" s="1255"/>
      <c r="BKI86" s="1255"/>
      <c r="BKJ86" s="1255"/>
      <c r="BKK86" s="1255"/>
      <c r="BKL86" s="1255"/>
      <c r="BKM86" s="1255"/>
      <c r="BKN86" s="1255"/>
      <c r="BKO86" s="1255"/>
      <c r="BKP86" s="1255"/>
      <c r="BKQ86" s="1255"/>
      <c r="BKR86" s="1255"/>
      <c r="BKS86" s="1255"/>
      <c r="BKT86" s="1255"/>
      <c r="BKU86" s="1255"/>
      <c r="BKV86" s="1255"/>
      <c r="BKW86" s="1255"/>
      <c r="BKX86" s="1255"/>
      <c r="BKY86" s="1255"/>
      <c r="BKZ86" s="1255"/>
      <c r="BLA86" s="1255"/>
      <c r="BLB86" s="1255"/>
      <c r="BLC86" s="1255"/>
      <c r="BLD86" s="1255"/>
      <c r="BLE86" s="1255"/>
      <c r="BLF86" s="1255"/>
      <c r="BLG86" s="1255"/>
      <c r="BLH86" s="1255"/>
      <c r="BLI86" s="1255"/>
      <c r="BLJ86" s="1255"/>
      <c r="BLK86" s="1255"/>
      <c r="BLL86" s="1255"/>
      <c r="BLM86" s="1255"/>
      <c r="BLN86" s="1255"/>
      <c r="BLO86" s="1255"/>
      <c r="BLP86" s="1255"/>
      <c r="BLQ86" s="1255"/>
      <c r="BLR86" s="1255"/>
      <c r="BLS86" s="1255"/>
      <c r="BLT86" s="1255"/>
      <c r="BLU86" s="1255"/>
      <c r="BLV86" s="1255"/>
      <c r="BLW86" s="1255"/>
      <c r="BLX86" s="1255"/>
      <c r="BLY86" s="1255"/>
      <c r="BLZ86" s="1255"/>
      <c r="BMA86" s="1255"/>
      <c r="BMB86" s="1255"/>
      <c r="BMC86" s="1255"/>
      <c r="BMD86" s="1255"/>
      <c r="BME86" s="1255"/>
      <c r="BMF86" s="1255"/>
      <c r="BMG86" s="1255"/>
      <c r="BMH86" s="1255"/>
      <c r="BMI86" s="1255"/>
      <c r="BMJ86" s="1255"/>
      <c r="BMK86" s="1255"/>
      <c r="BML86" s="1255"/>
      <c r="BMM86" s="1255"/>
      <c r="BMN86" s="1255"/>
      <c r="BMO86" s="1255"/>
      <c r="BMP86" s="1255"/>
      <c r="BMQ86" s="1255"/>
      <c r="BMR86" s="1255"/>
      <c r="BMS86" s="1255"/>
      <c r="BMT86" s="1255"/>
      <c r="BMU86" s="1255"/>
      <c r="BMV86" s="1255"/>
      <c r="BMW86" s="1255"/>
      <c r="BMX86" s="1255"/>
      <c r="BMY86" s="1255"/>
      <c r="BMZ86" s="1255"/>
      <c r="BNA86" s="1255"/>
      <c r="BNB86" s="1255"/>
      <c r="BNC86" s="1255"/>
      <c r="BND86" s="1255"/>
      <c r="BNE86" s="1255"/>
      <c r="BNF86" s="1255"/>
      <c r="BNG86" s="1255"/>
      <c r="BNH86" s="1255"/>
      <c r="BNI86" s="1255"/>
      <c r="BNJ86" s="1255"/>
      <c r="BNK86" s="1255"/>
      <c r="BNL86" s="1255"/>
      <c r="BNM86" s="1255"/>
      <c r="BNN86" s="1255"/>
      <c r="BNO86" s="1255"/>
      <c r="BNP86" s="1255"/>
      <c r="BNQ86" s="1255"/>
      <c r="BNR86" s="1255"/>
      <c r="BNS86" s="1255"/>
      <c r="BNT86" s="1255"/>
      <c r="BNU86" s="1255"/>
      <c r="BNV86" s="1255"/>
      <c r="BNW86" s="1255"/>
      <c r="BNX86" s="1255"/>
      <c r="BNY86" s="1255"/>
      <c r="BNZ86" s="1255"/>
      <c r="BOA86" s="1255"/>
      <c r="BOB86" s="1255"/>
      <c r="BOC86" s="1255"/>
      <c r="BOD86" s="1255"/>
      <c r="BOE86" s="1255"/>
      <c r="BOF86" s="1255"/>
      <c r="BOG86" s="1255"/>
      <c r="BOH86" s="1255"/>
      <c r="BOI86" s="1255"/>
      <c r="BOJ86" s="1255"/>
      <c r="BOK86" s="1255"/>
      <c r="BOL86" s="1255"/>
      <c r="BOM86" s="1255"/>
      <c r="BON86" s="1255"/>
      <c r="BOO86" s="1255"/>
      <c r="BOP86" s="1255"/>
      <c r="BOQ86" s="1255"/>
      <c r="BOR86" s="1255"/>
      <c r="BOS86" s="1255"/>
      <c r="BOT86" s="1255"/>
      <c r="BOU86" s="1255"/>
      <c r="BOV86" s="1255"/>
      <c r="BOW86" s="1255"/>
      <c r="BOX86" s="1255"/>
      <c r="BOY86" s="1255"/>
      <c r="BOZ86" s="1255"/>
      <c r="BPA86" s="1255"/>
      <c r="BPB86" s="1255"/>
      <c r="BPC86" s="1255"/>
      <c r="BPD86" s="1255"/>
      <c r="BPE86" s="1255"/>
      <c r="BPF86" s="1255"/>
      <c r="BPG86" s="1255"/>
      <c r="BPH86" s="1255"/>
      <c r="BPI86" s="1255"/>
      <c r="BPJ86" s="1255"/>
      <c r="BPK86" s="1255"/>
      <c r="BPL86" s="1255"/>
      <c r="BPM86" s="1255"/>
      <c r="BPN86" s="1255"/>
      <c r="BPO86" s="1255"/>
      <c r="BPP86" s="1255"/>
      <c r="BPQ86" s="1255"/>
      <c r="BPR86" s="1255"/>
      <c r="BPS86" s="1255"/>
      <c r="BPT86" s="1255"/>
      <c r="BPU86" s="1255"/>
      <c r="BPV86" s="1255"/>
      <c r="BPW86" s="1255"/>
      <c r="BPX86" s="1255"/>
      <c r="BPY86" s="1255"/>
      <c r="BPZ86" s="1255"/>
      <c r="BQA86" s="1255"/>
      <c r="BQB86" s="1255"/>
      <c r="BQC86" s="1255"/>
      <c r="BQD86" s="1255"/>
      <c r="BQE86" s="1255"/>
      <c r="BQF86" s="1255"/>
      <c r="BQG86" s="1255"/>
      <c r="BQH86" s="1255"/>
      <c r="BQI86" s="1255"/>
      <c r="BQJ86" s="1255"/>
      <c r="BQK86" s="1255"/>
      <c r="BQL86" s="1255"/>
      <c r="BQM86" s="1255"/>
      <c r="BQN86" s="1255"/>
      <c r="BQO86" s="1255"/>
      <c r="BQP86" s="1255"/>
      <c r="BQQ86" s="1255"/>
      <c r="BQR86" s="1255"/>
      <c r="BQS86" s="1255"/>
      <c r="BQT86" s="1255"/>
      <c r="BQU86" s="1255"/>
      <c r="BQV86" s="1255"/>
      <c r="BQW86" s="1255"/>
      <c r="BQX86" s="1255"/>
      <c r="BQY86" s="1255"/>
      <c r="BQZ86" s="1255"/>
      <c r="BRA86" s="1255"/>
      <c r="BRB86" s="1255"/>
      <c r="BRC86" s="1255"/>
      <c r="BRD86" s="1255"/>
      <c r="BRE86" s="1255"/>
      <c r="BRF86" s="1255"/>
      <c r="BRG86" s="1255"/>
      <c r="BRH86" s="1255"/>
      <c r="BRI86" s="1255"/>
      <c r="BRJ86" s="1255"/>
      <c r="BRK86" s="1255"/>
      <c r="BRL86" s="1255"/>
      <c r="BRM86" s="1255"/>
      <c r="BRN86" s="1255"/>
      <c r="BRO86" s="1255"/>
      <c r="BRP86" s="1255"/>
      <c r="BRQ86" s="1255"/>
      <c r="BRR86" s="1255"/>
      <c r="BRS86" s="1255"/>
      <c r="BRT86" s="1255"/>
      <c r="BRU86" s="1255"/>
      <c r="BRV86" s="1255"/>
      <c r="BRW86" s="1255"/>
      <c r="BRX86" s="1255"/>
      <c r="BRY86" s="1255"/>
      <c r="BRZ86" s="1255"/>
      <c r="BSA86" s="1255"/>
      <c r="BSB86" s="1255"/>
      <c r="BSC86" s="1255"/>
      <c r="BSD86" s="1255"/>
      <c r="BSE86" s="1255"/>
      <c r="BSF86" s="1255"/>
      <c r="BSG86" s="1255"/>
      <c r="BSH86" s="1255"/>
      <c r="BSI86" s="1255"/>
      <c r="BSJ86" s="1255"/>
      <c r="BSK86" s="1255"/>
      <c r="BSL86" s="1255"/>
      <c r="BSM86" s="1255"/>
      <c r="BSN86" s="1255"/>
      <c r="BSO86" s="1255"/>
      <c r="BSP86" s="1255"/>
      <c r="BSQ86" s="1255"/>
      <c r="BSR86" s="1255"/>
      <c r="BSS86" s="1255"/>
      <c r="BST86" s="1255"/>
      <c r="BSU86" s="1255"/>
      <c r="BSV86" s="1255"/>
      <c r="BSW86" s="1255"/>
      <c r="BSX86" s="1255"/>
      <c r="BSY86" s="1255"/>
      <c r="BSZ86" s="1255"/>
      <c r="BTA86" s="1255"/>
      <c r="BTB86" s="1255"/>
      <c r="BTC86" s="1255"/>
      <c r="BTD86" s="1255"/>
      <c r="BTE86" s="1255"/>
      <c r="BTF86" s="1255"/>
      <c r="BTG86" s="1255"/>
      <c r="BTH86" s="1255"/>
      <c r="BTI86" s="1255"/>
      <c r="BTJ86" s="1255"/>
      <c r="BTK86" s="1255"/>
      <c r="BTL86" s="1255"/>
      <c r="BTM86" s="1255"/>
      <c r="BTN86" s="1255"/>
      <c r="BTO86" s="1255"/>
      <c r="BTP86" s="1255"/>
      <c r="BTQ86" s="1255"/>
      <c r="BTR86" s="1255"/>
      <c r="BTS86" s="1255"/>
      <c r="BTT86" s="1255"/>
      <c r="BTU86" s="1255"/>
      <c r="BTV86" s="1255"/>
      <c r="BTW86" s="1255"/>
      <c r="BTX86" s="1255"/>
      <c r="BTY86" s="1255"/>
      <c r="BTZ86" s="1255"/>
      <c r="BUA86" s="1255"/>
      <c r="BUB86" s="1255"/>
      <c r="BUC86" s="1255"/>
      <c r="BUD86" s="1255"/>
      <c r="BUE86" s="1255"/>
      <c r="BUF86" s="1255"/>
      <c r="BUG86" s="1255"/>
      <c r="BUH86" s="1255"/>
      <c r="BUI86" s="1255"/>
      <c r="BUJ86" s="1255"/>
      <c r="BUK86" s="1255"/>
      <c r="BUL86" s="1255"/>
      <c r="BUM86" s="1255"/>
      <c r="BUN86" s="1255"/>
      <c r="BUO86" s="1255"/>
      <c r="BUP86" s="1255"/>
      <c r="BUQ86" s="1255"/>
      <c r="BUR86" s="1255"/>
      <c r="BUS86" s="1255"/>
      <c r="BUT86" s="1255"/>
      <c r="BUU86" s="1255"/>
      <c r="BUV86" s="1255"/>
      <c r="BUW86" s="1255"/>
      <c r="BUX86" s="1255"/>
      <c r="BUY86" s="1255"/>
      <c r="BUZ86" s="1255"/>
      <c r="BVA86" s="1255"/>
      <c r="BVB86" s="1255"/>
      <c r="BVC86" s="1255"/>
      <c r="BVD86" s="1255"/>
      <c r="BVE86" s="1255"/>
      <c r="BVF86" s="1255"/>
      <c r="BVG86" s="1255"/>
      <c r="BVH86" s="1255"/>
      <c r="BVI86" s="1255"/>
      <c r="BVJ86" s="1255"/>
      <c r="BVK86" s="1255"/>
      <c r="BVL86" s="1255"/>
      <c r="BVM86" s="1255"/>
      <c r="BVN86" s="1255"/>
      <c r="BVO86" s="1255"/>
      <c r="BVP86" s="1255"/>
      <c r="BVQ86" s="1255"/>
      <c r="BVR86" s="1255"/>
      <c r="BVS86" s="1255"/>
      <c r="BVT86" s="1255"/>
      <c r="BVU86" s="1255"/>
      <c r="BVV86" s="1255"/>
      <c r="BVW86" s="1255"/>
      <c r="BVX86" s="1255"/>
      <c r="BVY86" s="1255"/>
      <c r="BVZ86" s="1255"/>
      <c r="BWA86" s="1255"/>
      <c r="BWB86" s="1255"/>
      <c r="BWC86" s="1255"/>
      <c r="BWD86" s="1255"/>
      <c r="BWE86" s="1255"/>
      <c r="BWF86" s="1255"/>
      <c r="BWG86" s="1255"/>
      <c r="BWH86" s="1255"/>
      <c r="BWI86" s="1255"/>
      <c r="BWJ86" s="1255"/>
      <c r="BWK86" s="1255"/>
      <c r="BWL86" s="1255"/>
      <c r="BWM86" s="1255"/>
      <c r="BWN86" s="1255"/>
      <c r="BWO86" s="1255"/>
      <c r="BWP86" s="1255"/>
      <c r="BWQ86" s="1255"/>
      <c r="BWR86" s="1255"/>
      <c r="BWS86" s="1255"/>
      <c r="BWT86" s="1255"/>
      <c r="BWU86" s="1255"/>
      <c r="BWV86" s="1255"/>
      <c r="BWW86" s="1255"/>
      <c r="BWX86" s="1255"/>
      <c r="BWY86" s="1255"/>
      <c r="BWZ86" s="1255"/>
      <c r="BXA86" s="1255"/>
      <c r="BXB86" s="1255"/>
      <c r="BXC86" s="1255"/>
      <c r="BXD86" s="1255"/>
      <c r="BXE86" s="1255"/>
      <c r="BXF86" s="1255"/>
      <c r="BXG86" s="1255"/>
      <c r="BXH86" s="1255"/>
      <c r="BXI86" s="1255"/>
      <c r="BXJ86" s="1255"/>
      <c r="BXK86" s="1255"/>
      <c r="BXL86" s="1255"/>
      <c r="BXM86" s="1255"/>
      <c r="BXN86" s="1255"/>
      <c r="BXO86" s="1255"/>
      <c r="BXP86" s="1255"/>
      <c r="BXQ86" s="1255"/>
      <c r="BXR86" s="1255"/>
      <c r="BXS86" s="1255"/>
      <c r="BXT86" s="1255"/>
      <c r="BXU86" s="1255"/>
      <c r="BXV86" s="1255"/>
      <c r="BXW86" s="1255"/>
      <c r="BXX86" s="1255"/>
      <c r="BXY86" s="1255"/>
      <c r="BXZ86" s="1255"/>
      <c r="BYA86" s="1255"/>
      <c r="BYB86" s="1255"/>
      <c r="BYC86" s="1255"/>
      <c r="BYD86" s="1255"/>
      <c r="BYE86" s="1255"/>
      <c r="BYF86" s="1255"/>
      <c r="BYG86" s="1255"/>
      <c r="BYH86" s="1255"/>
      <c r="BYI86" s="1255"/>
      <c r="BYJ86" s="1255"/>
      <c r="BYK86" s="1255"/>
      <c r="BYL86" s="1255"/>
      <c r="BYM86" s="1255"/>
      <c r="BYN86" s="1255"/>
      <c r="BYO86" s="1255"/>
      <c r="BYP86" s="1255"/>
      <c r="BYQ86" s="1255"/>
      <c r="BYR86" s="1255"/>
      <c r="BYS86" s="1255"/>
      <c r="BYT86" s="1255"/>
      <c r="BYU86" s="1255"/>
      <c r="BYV86" s="1255"/>
      <c r="BYW86" s="1255"/>
      <c r="BYX86" s="1255"/>
      <c r="BYY86" s="1255"/>
      <c r="BYZ86" s="1255"/>
      <c r="BZA86" s="1255"/>
      <c r="BZB86" s="1255"/>
      <c r="BZC86" s="1255"/>
      <c r="BZD86" s="1255"/>
      <c r="BZE86" s="1255"/>
      <c r="BZF86" s="1255"/>
      <c r="BZG86" s="1255"/>
      <c r="BZH86" s="1255"/>
      <c r="BZI86" s="1255"/>
      <c r="BZJ86" s="1255"/>
      <c r="BZK86" s="1255"/>
      <c r="BZL86" s="1255"/>
      <c r="BZM86" s="1255"/>
      <c r="BZN86" s="1255"/>
      <c r="BZO86" s="1255"/>
      <c r="BZP86" s="1255"/>
      <c r="BZQ86" s="1255"/>
      <c r="BZR86" s="1255"/>
      <c r="BZS86" s="1255"/>
      <c r="BZT86" s="1255"/>
      <c r="BZU86" s="1255"/>
      <c r="BZV86" s="1255"/>
      <c r="BZW86" s="1255"/>
      <c r="BZX86" s="1255"/>
      <c r="BZY86" s="1255"/>
      <c r="BZZ86" s="1255"/>
      <c r="CAA86" s="1255"/>
      <c r="CAB86" s="1255"/>
      <c r="CAC86" s="1255"/>
      <c r="CAD86" s="1255"/>
      <c r="CAE86" s="1255"/>
      <c r="CAF86" s="1255"/>
      <c r="CAG86" s="1255"/>
      <c r="CAH86" s="1255"/>
      <c r="CAI86" s="1255"/>
      <c r="CAJ86" s="1255"/>
      <c r="CAK86" s="1255"/>
      <c r="CAL86" s="1255"/>
      <c r="CAM86" s="1255"/>
      <c r="CAN86" s="1255"/>
      <c r="CAO86" s="1255"/>
      <c r="CAP86" s="1255"/>
      <c r="CAQ86" s="1255"/>
      <c r="CAR86" s="1255"/>
      <c r="CAS86" s="1255"/>
      <c r="CAT86" s="1255"/>
      <c r="CAU86" s="1255"/>
      <c r="CAV86" s="1255"/>
      <c r="CAW86" s="1255"/>
      <c r="CAX86" s="1255"/>
      <c r="CAY86" s="1255"/>
      <c r="CAZ86" s="1255"/>
      <c r="CBA86" s="1255"/>
      <c r="CBB86" s="1255"/>
      <c r="CBC86" s="1255"/>
      <c r="CBD86" s="1255"/>
      <c r="CBE86" s="1255"/>
      <c r="CBF86" s="1255"/>
      <c r="CBG86" s="1255"/>
      <c r="CBH86" s="1255"/>
      <c r="CBI86" s="1255"/>
      <c r="CBJ86" s="1255"/>
      <c r="CBK86" s="1255"/>
      <c r="CBL86" s="1255"/>
      <c r="CBM86" s="1255"/>
      <c r="CBN86" s="1255"/>
      <c r="CBO86" s="1255"/>
      <c r="CBP86" s="1255"/>
      <c r="CBQ86" s="1255"/>
      <c r="CBR86" s="1255"/>
      <c r="CBS86" s="1255"/>
      <c r="CBT86" s="1255"/>
      <c r="CBU86" s="1255"/>
      <c r="CBV86" s="1255"/>
      <c r="CBW86" s="1255"/>
      <c r="CBX86" s="1255"/>
      <c r="CBY86" s="1255"/>
      <c r="CBZ86" s="1255"/>
      <c r="CCA86" s="1255"/>
      <c r="CCB86" s="1255"/>
      <c r="CCC86" s="1255"/>
      <c r="CCD86" s="1255"/>
      <c r="CCE86" s="1255"/>
      <c r="CCF86" s="1255"/>
      <c r="CCG86" s="1255"/>
      <c r="CCH86" s="1255"/>
      <c r="CCI86" s="1255"/>
      <c r="CCJ86" s="1255"/>
      <c r="CCK86" s="1255"/>
      <c r="CCL86" s="1255"/>
      <c r="CCM86" s="1255"/>
      <c r="CCN86" s="1255"/>
      <c r="CCO86" s="1255"/>
      <c r="CCP86" s="1255"/>
      <c r="CCQ86" s="1255"/>
      <c r="CCR86" s="1255"/>
      <c r="CCS86" s="1255"/>
      <c r="CCT86" s="1255"/>
      <c r="CCU86" s="1255"/>
      <c r="CCV86" s="1255"/>
      <c r="CCW86" s="1255"/>
      <c r="CCX86" s="1255"/>
      <c r="CCY86" s="1255"/>
      <c r="CCZ86" s="1255"/>
      <c r="CDA86" s="1255"/>
      <c r="CDB86" s="1255"/>
      <c r="CDC86" s="1255"/>
      <c r="CDD86" s="1255"/>
      <c r="CDE86" s="1255"/>
      <c r="CDF86" s="1255"/>
      <c r="CDG86" s="1255"/>
      <c r="CDH86" s="1255"/>
      <c r="CDI86" s="1255"/>
      <c r="CDJ86" s="1255"/>
      <c r="CDK86" s="1255"/>
      <c r="CDL86" s="1255"/>
      <c r="CDM86" s="1255"/>
      <c r="CDN86" s="1255"/>
      <c r="CDO86" s="1255"/>
      <c r="CDP86" s="1255"/>
      <c r="CDQ86" s="1255"/>
      <c r="CDR86" s="1255"/>
      <c r="CDS86" s="1255"/>
      <c r="CDT86" s="1255"/>
      <c r="CDU86" s="1255"/>
      <c r="CDV86" s="1255"/>
      <c r="CDW86" s="1255"/>
      <c r="CDX86" s="1255"/>
      <c r="CDY86" s="1255"/>
      <c r="CDZ86" s="1255"/>
      <c r="CEA86" s="1255"/>
      <c r="CEB86" s="1255"/>
      <c r="CEC86" s="1255"/>
      <c r="CED86" s="1255"/>
      <c r="CEE86" s="1255"/>
      <c r="CEF86" s="1255"/>
      <c r="CEG86" s="1255"/>
      <c r="CEH86" s="1255"/>
      <c r="CEI86" s="1255"/>
      <c r="CEJ86" s="1255"/>
      <c r="CEK86" s="1255"/>
      <c r="CEL86" s="1255"/>
      <c r="CEM86" s="1255"/>
      <c r="CEN86" s="1255"/>
      <c r="CEO86" s="1255"/>
      <c r="CEP86" s="1255"/>
      <c r="CEQ86" s="1255"/>
      <c r="CER86" s="1255"/>
      <c r="CES86" s="1255"/>
      <c r="CET86" s="1255"/>
      <c r="CEU86" s="1255"/>
      <c r="CEV86" s="1255"/>
      <c r="CEW86" s="1255"/>
      <c r="CEX86" s="1255"/>
      <c r="CEY86" s="1255"/>
      <c r="CEZ86" s="1255"/>
      <c r="CFA86" s="1255"/>
      <c r="CFB86" s="1255"/>
      <c r="CFC86" s="1255"/>
      <c r="CFD86" s="1255"/>
      <c r="CFE86" s="1255"/>
      <c r="CFF86" s="1255"/>
      <c r="CFG86" s="1255"/>
      <c r="CFH86" s="1255"/>
      <c r="CFI86" s="1255"/>
      <c r="CFJ86" s="1255"/>
      <c r="CFK86" s="1255"/>
      <c r="CFL86" s="1255"/>
      <c r="CFM86" s="1255"/>
      <c r="CFN86" s="1255"/>
      <c r="CFO86" s="1255"/>
      <c r="CFP86" s="1255"/>
      <c r="CFQ86" s="1255"/>
      <c r="CFR86" s="1255"/>
      <c r="CFS86" s="1255"/>
      <c r="CFT86" s="1255"/>
      <c r="CFU86" s="1255"/>
      <c r="CFV86" s="1255"/>
      <c r="CFW86" s="1255"/>
      <c r="CFX86" s="1255"/>
      <c r="CFY86" s="1255"/>
      <c r="CFZ86" s="1255"/>
      <c r="CGA86" s="1255"/>
      <c r="CGB86" s="1255"/>
      <c r="CGC86" s="1255"/>
      <c r="CGD86" s="1255"/>
      <c r="CGE86" s="1255"/>
      <c r="CGF86" s="1255"/>
      <c r="CGG86" s="1255"/>
      <c r="CGH86" s="1255"/>
      <c r="CGI86" s="1255"/>
      <c r="CGJ86" s="1255"/>
      <c r="CGK86" s="1255"/>
      <c r="CGL86" s="1255"/>
      <c r="CGM86" s="1255"/>
      <c r="CGN86" s="1255"/>
      <c r="CGO86" s="1255"/>
      <c r="CGP86" s="1255"/>
      <c r="CGQ86" s="1255"/>
      <c r="CGR86" s="1255"/>
      <c r="CGS86" s="1255"/>
      <c r="CGT86" s="1255"/>
      <c r="CGU86" s="1255"/>
      <c r="CGV86" s="1255"/>
      <c r="CGW86" s="1255"/>
      <c r="CGX86" s="1255"/>
      <c r="CGY86" s="1255"/>
      <c r="CGZ86" s="1255"/>
      <c r="CHA86" s="1255"/>
      <c r="CHB86" s="1255"/>
      <c r="CHC86" s="1255"/>
      <c r="CHD86" s="1255"/>
      <c r="CHE86" s="1255"/>
      <c r="CHF86" s="1255"/>
      <c r="CHG86" s="1255"/>
      <c r="CHH86" s="1255"/>
      <c r="CHI86" s="1255"/>
      <c r="CHJ86" s="1255"/>
      <c r="CHK86" s="1255"/>
      <c r="CHL86" s="1255"/>
      <c r="CHM86" s="1255"/>
      <c r="CHN86" s="1255"/>
      <c r="CHO86" s="1255"/>
      <c r="CHP86" s="1255"/>
      <c r="CHQ86" s="1255"/>
      <c r="CHR86" s="1255"/>
      <c r="CHS86" s="1255"/>
      <c r="CHT86" s="1255"/>
      <c r="CHU86" s="1255"/>
      <c r="CHV86" s="1255"/>
      <c r="CHW86" s="1255"/>
      <c r="CHX86" s="1255"/>
      <c r="CHY86" s="1255"/>
      <c r="CHZ86" s="1255"/>
      <c r="CIA86" s="1255"/>
      <c r="CIB86" s="1255"/>
      <c r="CIC86" s="1255"/>
      <c r="CID86" s="1255"/>
      <c r="CIE86" s="1255"/>
      <c r="CIF86" s="1255"/>
      <c r="CIG86" s="1255"/>
      <c r="CIH86" s="1255"/>
      <c r="CII86" s="1255"/>
      <c r="CIJ86" s="1255"/>
      <c r="CIK86" s="1255"/>
      <c r="CIL86" s="1255"/>
      <c r="CIM86" s="1255"/>
      <c r="CIN86" s="1255"/>
      <c r="CIO86" s="1255"/>
      <c r="CIP86" s="1255"/>
      <c r="CIQ86" s="1255"/>
      <c r="CIR86" s="1255"/>
      <c r="CIS86" s="1255"/>
      <c r="CIT86" s="1255"/>
      <c r="CIU86" s="1255"/>
      <c r="CIV86" s="1255"/>
      <c r="CIW86" s="1255"/>
      <c r="CIX86" s="1255"/>
      <c r="CIY86" s="1255"/>
      <c r="CIZ86" s="1255"/>
      <c r="CJA86" s="1255"/>
      <c r="CJB86" s="1255"/>
      <c r="CJC86" s="1255"/>
      <c r="CJD86" s="1255"/>
      <c r="CJE86" s="1255"/>
      <c r="CJF86" s="1255"/>
      <c r="CJG86" s="1255"/>
      <c r="CJH86" s="1255"/>
      <c r="CJI86" s="1255"/>
      <c r="CJJ86" s="1255"/>
      <c r="CJK86" s="1255"/>
      <c r="CJL86" s="1255"/>
      <c r="CJM86" s="1255"/>
      <c r="CJN86" s="1255"/>
      <c r="CJO86" s="1255"/>
      <c r="CJP86" s="1255"/>
      <c r="CJQ86" s="1255"/>
      <c r="CJR86" s="1255"/>
      <c r="CJS86" s="1255"/>
      <c r="CJT86" s="1255"/>
      <c r="CJU86" s="1255"/>
      <c r="CJV86" s="1255"/>
      <c r="CJW86" s="1255"/>
      <c r="CJX86" s="1255"/>
      <c r="CJY86" s="1255"/>
      <c r="CJZ86" s="1255"/>
      <c r="CKA86" s="1255"/>
      <c r="CKB86" s="1255"/>
      <c r="CKC86" s="1255"/>
      <c r="CKD86" s="1255"/>
      <c r="CKE86" s="1255"/>
      <c r="CKF86" s="1255"/>
      <c r="CKG86" s="1255"/>
      <c r="CKH86" s="1255"/>
      <c r="CKI86" s="1255"/>
      <c r="CKJ86" s="1255"/>
      <c r="CKK86" s="1255"/>
      <c r="CKL86" s="1255"/>
      <c r="CKM86" s="1255"/>
      <c r="CKN86" s="1255"/>
      <c r="CKO86" s="1255"/>
      <c r="CKP86" s="1255"/>
      <c r="CKQ86" s="1255"/>
      <c r="CKR86" s="1255"/>
      <c r="CKS86" s="1255"/>
      <c r="CKT86" s="1255"/>
      <c r="CKU86" s="1255"/>
      <c r="CKV86" s="1255"/>
      <c r="CKW86" s="1255"/>
      <c r="CKX86" s="1255"/>
      <c r="CKY86" s="1255"/>
      <c r="CKZ86" s="1255"/>
      <c r="CLA86" s="1255"/>
      <c r="CLB86" s="1255"/>
      <c r="CLC86" s="1255"/>
      <c r="CLD86" s="1255"/>
      <c r="CLE86" s="1255"/>
      <c r="CLF86" s="1255"/>
      <c r="CLG86" s="1255"/>
      <c r="CLH86" s="1255"/>
      <c r="CLI86" s="1255"/>
      <c r="CLJ86" s="1255"/>
      <c r="CLK86" s="1255"/>
      <c r="CLL86" s="1255"/>
      <c r="CLM86" s="1255"/>
      <c r="CLN86" s="1255"/>
      <c r="CLO86" s="1255"/>
      <c r="CLP86" s="1255"/>
      <c r="CLQ86" s="1255"/>
      <c r="CLR86" s="1255"/>
      <c r="CLS86" s="1255"/>
      <c r="CLT86" s="1255"/>
      <c r="CLU86" s="1255"/>
      <c r="CLV86" s="1255"/>
      <c r="CLW86" s="1255"/>
      <c r="CLX86" s="1255"/>
      <c r="CLY86" s="1255"/>
      <c r="CLZ86" s="1255"/>
      <c r="CMA86" s="1255"/>
      <c r="CMB86" s="1255"/>
      <c r="CMC86" s="1255"/>
      <c r="CMD86" s="1255"/>
      <c r="CME86" s="1255"/>
      <c r="CMF86" s="1255"/>
      <c r="CMG86" s="1255"/>
      <c r="CMH86" s="1255"/>
      <c r="CMI86" s="1255"/>
      <c r="CMJ86" s="1255"/>
      <c r="CMK86" s="1255"/>
      <c r="CML86" s="1255"/>
      <c r="CMM86" s="1255"/>
      <c r="CMN86" s="1255"/>
      <c r="CMO86" s="1255"/>
      <c r="CMP86" s="1255"/>
      <c r="CMQ86" s="1255"/>
      <c r="CMR86" s="1255"/>
      <c r="CMS86" s="1255"/>
      <c r="CMT86" s="1255"/>
      <c r="CMU86" s="1255"/>
      <c r="CMV86" s="1255"/>
      <c r="CMW86" s="1255"/>
      <c r="CMX86" s="1255"/>
      <c r="CMY86" s="1255"/>
      <c r="CMZ86" s="1255"/>
      <c r="CNA86" s="1255"/>
      <c r="CNB86" s="1255"/>
      <c r="CNC86" s="1255"/>
      <c r="CND86" s="1255"/>
      <c r="CNE86" s="1255"/>
      <c r="CNF86" s="1255"/>
      <c r="CNG86" s="1255"/>
      <c r="CNH86" s="1255"/>
      <c r="CNI86" s="1255"/>
      <c r="CNJ86" s="1255"/>
      <c r="CNK86" s="1255"/>
      <c r="CNL86" s="1255"/>
      <c r="CNM86" s="1255"/>
      <c r="CNN86" s="1255"/>
      <c r="CNO86" s="1255"/>
      <c r="CNP86" s="1255"/>
      <c r="CNQ86" s="1255"/>
      <c r="CNR86" s="1255"/>
      <c r="CNS86" s="1255"/>
      <c r="CNT86" s="1255"/>
      <c r="CNU86" s="1255"/>
      <c r="CNV86" s="1255"/>
      <c r="CNW86" s="1255"/>
      <c r="CNX86" s="1255"/>
      <c r="CNY86" s="1255"/>
      <c r="CNZ86" s="1255"/>
      <c r="COA86" s="1255"/>
      <c r="COB86" s="1255"/>
      <c r="COC86" s="1255"/>
      <c r="COD86" s="1255"/>
      <c r="COE86" s="1255"/>
      <c r="COF86" s="1255"/>
      <c r="COG86" s="1255"/>
      <c r="COH86" s="1255"/>
      <c r="COI86" s="1255"/>
      <c r="COJ86" s="1255"/>
      <c r="COK86" s="1255"/>
      <c r="COL86" s="1255"/>
      <c r="COM86" s="1255"/>
      <c r="CON86" s="1255"/>
      <c r="COO86" s="1255"/>
      <c r="COP86" s="1255"/>
      <c r="COQ86" s="1255"/>
      <c r="COR86" s="1255"/>
      <c r="COS86" s="1255"/>
      <c r="COT86" s="1255"/>
      <c r="COU86" s="1255"/>
      <c r="COV86" s="1255"/>
      <c r="COW86" s="1255"/>
      <c r="COX86" s="1255"/>
      <c r="COY86" s="1255"/>
      <c r="COZ86" s="1255"/>
      <c r="CPA86" s="1255"/>
      <c r="CPB86" s="1255"/>
      <c r="CPC86" s="1255"/>
      <c r="CPD86" s="1255"/>
      <c r="CPE86" s="1255"/>
      <c r="CPF86" s="1255"/>
      <c r="CPG86" s="1255"/>
      <c r="CPH86" s="1255"/>
      <c r="CPI86" s="1255"/>
      <c r="CPJ86" s="1255"/>
      <c r="CPK86" s="1255"/>
      <c r="CPL86" s="1255"/>
      <c r="CPM86" s="1255"/>
      <c r="CPN86" s="1255"/>
      <c r="CPO86" s="1255"/>
      <c r="CPP86" s="1255"/>
      <c r="CPQ86" s="1255"/>
      <c r="CPR86" s="1255"/>
      <c r="CPS86" s="1255"/>
      <c r="CPT86" s="1255"/>
      <c r="CPU86" s="1255"/>
      <c r="CPV86" s="1255"/>
      <c r="CPW86" s="1255"/>
      <c r="CPX86" s="1255"/>
      <c r="CPY86" s="1255"/>
      <c r="CPZ86" s="1255"/>
      <c r="CQA86" s="1255"/>
      <c r="CQB86" s="1255"/>
      <c r="CQC86" s="1255"/>
      <c r="CQD86" s="1255"/>
      <c r="CQE86" s="1255"/>
      <c r="CQF86" s="1255"/>
      <c r="CQG86" s="1255"/>
      <c r="CQH86" s="1255"/>
      <c r="CQI86" s="1255"/>
      <c r="CQJ86" s="1255"/>
      <c r="CQK86" s="1255"/>
      <c r="CQL86" s="1255"/>
      <c r="CQM86" s="1255"/>
      <c r="CQN86" s="1255"/>
      <c r="CQO86" s="1255"/>
      <c r="CQP86" s="1255"/>
      <c r="CQQ86" s="1255"/>
      <c r="CQR86" s="1255"/>
      <c r="CQS86" s="1255"/>
      <c r="CQT86" s="1255"/>
      <c r="CQU86" s="1255"/>
      <c r="CQV86" s="1255"/>
      <c r="CQW86" s="1255"/>
      <c r="CQX86" s="1255"/>
      <c r="CQY86" s="1255"/>
      <c r="CQZ86" s="1255"/>
      <c r="CRA86" s="1255"/>
      <c r="CRB86" s="1255"/>
      <c r="CRC86" s="1255"/>
      <c r="CRD86" s="1255"/>
      <c r="CRE86" s="1255"/>
      <c r="CRF86" s="1255"/>
      <c r="CRG86" s="1255"/>
      <c r="CRH86" s="1255"/>
      <c r="CRI86" s="1255"/>
      <c r="CRJ86" s="1255"/>
      <c r="CRK86" s="1255"/>
      <c r="CRL86" s="1255"/>
      <c r="CRM86" s="1255"/>
      <c r="CRN86" s="1255"/>
      <c r="CRO86" s="1255"/>
      <c r="CRP86" s="1255"/>
      <c r="CRQ86" s="1255"/>
      <c r="CRR86" s="1255"/>
      <c r="CRS86" s="1255"/>
      <c r="CRT86" s="1255"/>
      <c r="CRU86" s="1255"/>
      <c r="CRV86" s="1255"/>
      <c r="CRW86" s="1255"/>
      <c r="CRX86" s="1255"/>
      <c r="CRY86" s="1255"/>
      <c r="CRZ86" s="1255"/>
      <c r="CSA86" s="1255"/>
      <c r="CSB86" s="1255"/>
      <c r="CSC86" s="1255"/>
      <c r="CSD86" s="1255"/>
      <c r="CSE86" s="1255"/>
      <c r="CSF86" s="1255"/>
      <c r="CSG86" s="1255"/>
      <c r="CSH86" s="1255"/>
      <c r="CSI86" s="1255"/>
      <c r="CSJ86" s="1255"/>
      <c r="CSK86" s="1255"/>
      <c r="CSL86" s="1255"/>
      <c r="CSM86" s="1255"/>
      <c r="CSN86" s="1255"/>
      <c r="CSO86" s="1255"/>
      <c r="CSP86" s="1255"/>
      <c r="CSQ86" s="1255"/>
      <c r="CSR86" s="1255"/>
      <c r="CSS86" s="1255"/>
      <c r="CST86" s="1255"/>
      <c r="CSU86" s="1255"/>
      <c r="CSV86" s="1255"/>
      <c r="CSW86" s="1255"/>
      <c r="CSX86" s="1255"/>
      <c r="CSY86" s="1255"/>
      <c r="CSZ86" s="1255"/>
      <c r="CTA86" s="1255"/>
      <c r="CTB86" s="1255"/>
      <c r="CTC86" s="1255"/>
      <c r="CTD86" s="1255"/>
      <c r="CTE86" s="1255"/>
      <c r="CTF86" s="1255"/>
      <c r="CTG86" s="1255"/>
      <c r="CTH86" s="1255"/>
      <c r="CTI86" s="1255"/>
      <c r="CTJ86" s="1255"/>
      <c r="CTK86" s="1255"/>
      <c r="CTL86" s="1255"/>
      <c r="CTM86" s="1255"/>
      <c r="CTN86" s="1255"/>
      <c r="CTO86" s="1255"/>
      <c r="CTP86" s="1255"/>
      <c r="CTQ86" s="1255"/>
      <c r="CTR86" s="1255"/>
      <c r="CTS86" s="1255"/>
      <c r="CTT86" s="1255"/>
      <c r="CTU86" s="1255"/>
      <c r="CTV86" s="1255"/>
      <c r="CTW86" s="1255"/>
      <c r="CTX86" s="1255"/>
      <c r="CTY86" s="1255"/>
      <c r="CTZ86" s="1255"/>
      <c r="CUA86" s="1255"/>
      <c r="CUB86" s="1255"/>
      <c r="CUC86" s="1255"/>
      <c r="CUD86" s="1255"/>
      <c r="CUE86" s="1255"/>
      <c r="CUF86" s="1255"/>
      <c r="CUG86" s="1255"/>
      <c r="CUH86" s="1255"/>
      <c r="CUI86" s="1255"/>
      <c r="CUJ86" s="1255"/>
      <c r="CUK86" s="1255"/>
      <c r="CUL86" s="1255"/>
      <c r="CUM86" s="1255"/>
      <c r="CUN86" s="1255"/>
      <c r="CUO86" s="1255"/>
      <c r="CUP86" s="1255"/>
      <c r="CUQ86" s="1255"/>
      <c r="CUR86" s="1255"/>
      <c r="CUS86" s="1255"/>
      <c r="CUT86" s="1255"/>
      <c r="CUU86" s="1255"/>
      <c r="CUV86" s="1255"/>
      <c r="CUW86" s="1255"/>
      <c r="CUX86" s="1255"/>
      <c r="CUY86" s="1255"/>
      <c r="CUZ86" s="1255"/>
      <c r="CVA86" s="1255"/>
      <c r="CVB86" s="1255"/>
      <c r="CVC86" s="1255"/>
      <c r="CVD86" s="1255"/>
      <c r="CVE86" s="1255"/>
      <c r="CVF86" s="1255"/>
      <c r="CVG86" s="1255"/>
      <c r="CVH86" s="1255"/>
      <c r="CVI86" s="1255"/>
      <c r="CVJ86" s="1255"/>
      <c r="CVK86" s="1255"/>
      <c r="CVL86" s="1255"/>
      <c r="CVM86" s="1255"/>
      <c r="CVN86" s="1255"/>
      <c r="CVO86" s="1255"/>
      <c r="CVP86" s="1255"/>
      <c r="CVQ86" s="1255"/>
      <c r="CVR86" s="1255"/>
      <c r="CVS86" s="1255"/>
      <c r="CVT86" s="1255"/>
      <c r="CVU86" s="1255"/>
      <c r="CVV86" s="1255"/>
      <c r="CVW86" s="1255"/>
      <c r="CVX86" s="1255"/>
      <c r="CVY86" s="1255"/>
      <c r="CVZ86" s="1255"/>
      <c r="CWA86" s="1255"/>
      <c r="CWB86" s="1255"/>
      <c r="CWC86" s="1255"/>
      <c r="CWD86" s="1255"/>
      <c r="CWE86" s="1255"/>
      <c r="CWF86" s="1255"/>
      <c r="CWG86" s="1255"/>
      <c r="CWH86" s="1255"/>
      <c r="CWI86" s="1255"/>
      <c r="CWJ86" s="1255"/>
      <c r="CWK86" s="1255"/>
      <c r="CWL86" s="1255"/>
      <c r="CWM86" s="1255"/>
      <c r="CWN86" s="1255"/>
      <c r="CWO86" s="1255"/>
      <c r="CWP86" s="1255"/>
      <c r="CWQ86" s="1255"/>
      <c r="CWR86" s="1255"/>
      <c r="CWS86" s="1255"/>
      <c r="CWT86" s="1255"/>
      <c r="CWU86" s="1255"/>
      <c r="CWV86" s="1255"/>
      <c r="CWW86" s="1255"/>
      <c r="CWX86" s="1255"/>
      <c r="CWY86" s="1255"/>
      <c r="CWZ86" s="1255"/>
      <c r="CXA86" s="1255"/>
      <c r="CXB86" s="1255"/>
      <c r="CXC86" s="1255"/>
      <c r="CXD86" s="1255"/>
      <c r="CXE86" s="1255"/>
      <c r="CXF86" s="1255"/>
      <c r="CXG86" s="1255"/>
      <c r="CXH86" s="1255"/>
      <c r="CXI86" s="1255"/>
      <c r="CXJ86" s="1255"/>
      <c r="CXK86" s="1255"/>
      <c r="CXL86" s="1255"/>
      <c r="CXM86" s="1255"/>
      <c r="CXN86" s="1255"/>
      <c r="CXO86" s="1255"/>
      <c r="CXP86" s="1255"/>
      <c r="CXQ86" s="1255"/>
      <c r="CXR86" s="1255"/>
      <c r="CXS86" s="1255"/>
      <c r="CXT86" s="1255"/>
      <c r="CXU86" s="1255"/>
      <c r="CXV86" s="1255"/>
      <c r="CXW86" s="1255"/>
      <c r="CXX86" s="1255"/>
      <c r="CXY86" s="1255"/>
      <c r="CXZ86" s="1255"/>
      <c r="CYA86" s="1255"/>
      <c r="CYB86" s="1255"/>
      <c r="CYC86" s="1255"/>
      <c r="CYD86" s="1255"/>
      <c r="CYE86" s="1255"/>
      <c r="CYF86" s="1255"/>
      <c r="CYG86" s="1255"/>
      <c r="CYH86" s="1255"/>
      <c r="CYI86" s="1255"/>
      <c r="CYJ86" s="1255"/>
      <c r="CYK86" s="1255"/>
      <c r="CYL86" s="1255"/>
      <c r="CYM86" s="1255"/>
      <c r="CYN86" s="1255"/>
      <c r="CYO86" s="1255"/>
      <c r="CYP86" s="1255"/>
      <c r="CYQ86" s="1255"/>
      <c r="CYR86" s="1255"/>
      <c r="CYS86" s="1255"/>
      <c r="CYT86" s="1255"/>
      <c r="CYU86" s="1255"/>
      <c r="CYV86" s="1255"/>
      <c r="CYW86" s="1255"/>
      <c r="CYX86" s="1255"/>
      <c r="CYY86" s="1255"/>
      <c r="CYZ86" s="1255"/>
      <c r="CZA86" s="1255"/>
      <c r="CZB86" s="1255"/>
      <c r="CZC86" s="1255"/>
      <c r="CZD86" s="1255"/>
      <c r="CZE86" s="1255"/>
      <c r="CZF86" s="1255"/>
      <c r="CZG86" s="1255"/>
      <c r="CZH86" s="1255"/>
      <c r="CZI86" s="1255"/>
      <c r="CZJ86" s="1255"/>
      <c r="CZK86" s="1255"/>
      <c r="CZL86" s="1255"/>
      <c r="CZM86" s="1255"/>
      <c r="CZN86" s="1255"/>
      <c r="CZO86" s="1255"/>
      <c r="CZP86" s="1255"/>
      <c r="CZQ86" s="1255"/>
      <c r="CZR86" s="1255"/>
      <c r="CZS86" s="1255"/>
      <c r="CZT86" s="1255"/>
      <c r="CZU86" s="1255"/>
      <c r="CZV86" s="1255"/>
      <c r="CZW86" s="1255"/>
      <c r="CZX86" s="1255"/>
      <c r="CZY86" s="1255"/>
      <c r="CZZ86" s="1255"/>
      <c r="DAA86" s="1255"/>
      <c r="DAB86" s="1255"/>
      <c r="DAC86" s="1255"/>
      <c r="DAD86" s="1255"/>
      <c r="DAE86" s="1255"/>
      <c r="DAF86" s="1255"/>
      <c r="DAG86" s="1255"/>
      <c r="DAH86" s="1255"/>
      <c r="DAI86" s="1255"/>
      <c r="DAJ86" s="1255"/>
      <c r="DAK86" s="1255"/>
      <c r="DAL86" s="1255"/>
      <c r="DAM86" s="1255"/>
      <c r="DAN86" s="1255"/>
      <c r="DAO86" s="1255"/>
      <c r="DAP86" s="1255"/>
      <c r="DAQ86" s="1255"/>
      <c r="DAR86" s="1255"/>
      <c r="DAS86" s="1255"/>
      <c r="DAT86" s="1255"/>
      <c r="DAU86" s="1255"/>
      <c r="DAV86" s="1255"/>
      <c r="DAW86" s="1255"/>
      <c r="DAX86" s="1255"/>
      <c r="DAY86" s="1255"/>
      <c r="DAZ86" s="1255"/>
      <c r="DBA86" s="1255"/>
      <c r="DBB86" s="1255"/>
      <c r="DBC86" s="1255"/>
      <c r="DBD86" s="1255"/>
      <c r="DBE86" s="1255"/>
      <c r="DBF86" s="1255"/>
      <c r="DBG86" s="1255"/>
      <c r="DBH86" s="1255"/>
      <c r="DBI86" s="1255"/>
      <c r="DBJ86" s="1255"/>
      <c r="DBK86" s="1255"/>
      <c r="DBL86" s="1255"/>
      <c r="DBM86" s="1255"/>
      <c r="DBN86" s="1255"/>
      <c r="DBO86" s="1255"/>
      <c r="DBP86" s="1255"/>
      <c r="DBQ86" s="1255"/>
      <c r="DBR86" s="1255"/>
      <c r="DBS86" s="1255"/>
      <c r="DBT86" s="1255"/>
      <c r="DBU86" s="1255"/>
      <c r="DBV86" s="1255"/>
      <c r="DBW86" s="1255"/>
      <c r="DBX86" s="1255"/>
      <c r="DBY86" s="1255"/>
      <c r="DBZ86" s="1255"/>
      <c r="DCA86" s="1255"/>
      <c r="DCB86" s="1255"/>
      <c r="DCC86" s="1255"/>
      <c r="DCD86" s="1255"/>
      <c r="DCE86" s="1255"/>
      <c r="DCF86" s="1255"/>
      <c r="DCG86" s="1255"/>
      <c r="DCH86" s="1255"/>
      <c r="DCI86" s="1255"/>
      <c r="DCJ86" s="1255"/>
      <c r="DCK86" s="1255"/>
      <c r="DCL86" s="1255"/>
      <c r="DCM86" s="1255"/>
      <c r="DCN86" s="1255"/>
      <c r="DCO86" s="1255"/>
      <c r="DCP86" s="1255"/>
      <c r="DCQ86" s="1255"/>
      <c r="DCR86" s="1255"/>
      <c r="DCS86" s="1255"/>
      <c r="DCT86" s="1255"/>
      <c r="DCU86" s="1255"/>
      <c r="DCV86" s="1255"/>
      <c r="DCW86" s="1255"/>
      <c r="DCX86" s="1255"/>
      <c r="DCY86" s="1255"/>
      <c r="DCZ86" s="1255"/>
      <c r="DDA86" s="1255"/>
      <c r="DDB86" s="1255"/>
      <c r="DDC86" s="1255"/>
      <c r="DDD86" s="1255"/>
      <c r="DDE86" s="1255"/>
      <c r="DDF86" s="1255"/>
      <c r="DDG86" s="1255"/>
      <c r="DDH86" s="1255"/>
      <c r="DDI86" s="1255"/>
      <c r="DDJ86" s="1255"/>
      <c r="DDK86" s="1255"/>
      <c r="DDL86" s="1255"/>
      <c r="DDM86" s="1255"/>
      <c r="DDN86" s="1255"/>
      <c r="DDO86" s="1255"/>
      <c r="DDP86" s="1255"/>
      <c r="DDQ86" s="1255"/>
      <c r="DDR86" s="1255"/>
      <c r="DDS86" s="1255"/>
      <c r="DDT86" s="1255"/>
      <c r="DDU86" s="1255"/>
      <c r="DDV86" s="1255"/>
      <c r="DDW86" s="1255"/>
      <c r="DDX86" s="1255"/>
      <c r="DDY86" s="1255"/>
      <c r="DDZ86" s="1255"/>
      <c r="DEA86" s="1255"/>
      <c r="DEB86" s="1255"/>
      <c r="DEC86" s="1255"/>
      <c r="DED86" s="1255"/>
      <c r="DEE86" s="1255"/>
      <c r="DEF86" s="1255"/>
      <c r="DEG86" s="1255"/>
      <c r="DEH86" s="1255"/>
      <c r="DEI86" s="1255"/>
      <c r="DEJ86" s="1255"/>
      <c r="DEK86" s="1255"/>
      <c r="DEL86" s="1255"/>
      <c r="DEM86" s="1255"/>
      <c r="DEN86" s="1255"/>
      <c r="DEO86" s="1255"/>
      <c r="DEP86" s="1255"/>
      <c r="DEQ86" s="1255"/>
      <c r="DER86" s="1255"/>
      <c r="DES86" s="1255"/>
      <c r="DET86" s="1255"/>
      <c r="DEU86" s="1255"/>
      <c r="DEV86" s="1255"/>
      <c r="DEW86" s="1255"/>
      <c r="DEX86" s="1255"/>
      <c r="DEY86" s="1255"/>
      <c r="DEZ86" s="1255"/>
      <c r="DFA86" s="1255"/>
      <c r="DFB86" s="1255"/>
      <c r="DFC86" s="1255"/>
      <c r="DFD86" s="1255"/>
      <c r="DFE86" s="1255"/>
      <c r="DFF86" s="1255"/>
      <c r="DFG86" s="1255"/>
      <c r="DFH86" s="1255"/>
      <c r="DFI86" s="1255"/>
      <c r="DFJ86" s="1255"/>
      <c r="DFK86" s="1255"/>
      <c r="DFL86" s="1255"/>
      <c r="DFM86" s="1255"/>
      <c r="DFN86" s="1255"/>
      <c r="DFO86" s="1255"/>
      <c r="DFP86" s="1255"/>
      <c r="DFQ86" s="1255"/>
      <c r="DFR86" s="1255"/>
      <c r="DFS86" s="1255"/>
      <c r="DFT86" s="1255"/>
      <c r="DFU86" s="1255"/>
      <c r="DFV86" s="1255"/>
      <c r="DFW86" s="1255"/>
      <c r="DFX86" s="1255"/>
      <c r="DFY86" s="1255"/>
      <c r="DFZ86" s="1255"/>
      <c r="DGA86" s="1255"/>
      <c r="DGB86" s="1255"/>
      <c r="DGC86" s="1255"/>
      <c r="DGD86" s="1255"/>
      <c r="DGE86" s="1255"/>
      <c r="DGF86" s="1255"/>
      <c r="DGG86" s="1255"/>
      <c r="DGH86" s="1255"/>
      <c r="DGI86" s="1255"/>
      <c r="DGJ86" s="1255"/>
      <c r="DGK86" s="1255"/>
      <c r="DGL86" s="1255"/>
      <c r="DGM86" s="1255"/>
      <c r="DGN86" s="1255"/>
      <c r="DGO86" s="1255"/>
      <c r="DGP86" s="1255"/>
      <c r="DGQ86" s="1255"/>
      <c r="DGR86" s="1255"/>
      <c r="DGS86" s="1255"/>
      <c r="DGT86" s="1255"/>
      <c r="DGU86" s="1255"/>
      <c r="DGV86" s="1255"/>
      <c r="DGW86" s="1255"/>
      <c r="DGX86" s="1255"/>
      <c r="DGY86" s="1255"/>
      <c r="DGZ86" s="1255"/>
      <c r="DHA86" s="1255"/>
      <c r="DHB86" s="1255"/>
      <c r="DHC86" s="1255"/>
      <c r="DHD86" s="1255"/>
      <c r="DHE86" s="1255"/>
      <c r="DHF86" s="1255"/>
      <c r="DHG86" s="1255"/>
      <c r="DHH86" s="1255"/>
      <c r="DHI86" s="1255"/>
      <c r="DHJ86" s="1255"/>
      <c r="DHK86" s="1255"/>
      <c r="DHL86" s="1255"/>
      <c r="DHM86" s="1255"/>
      <c r="DHN86" s="1255"/>
      <c r="DHO86" s="1255"/>
      <c r="DHP86" s="1255"/>
      <c r="DHQ86" s="1255"/>
      <c r="DHR86" s="1255"/>
      <c r="DHS86" s="1255"/>
      <c r="DHT86" s="1255"/>
      <c r="DHU86" s="1255"/>
      <c r="DHV86" s="1255"/>
      <c r="DHW86" s="1255"/>
      <c r="DHX86" s="1255"/>
      <c r="DHY86" s="1255"/>
      <c r="DHZ86" s="1255"/>
      <c r="DIA86" s="1255"/>
      <c r="DIB86" s="1255"/>
      <c r="DIC86" s="1255"/>
      <c r="DID86" s="1255"/>
      <c r="DIE86" s="1255"/>
      <c r="DIF86" s="1255"/>
      <c r="DIG86" s="1255"/>
      <c r="DIH86" s="1255"/>
      <c r="DII86" s="1255"/>
      <c r="DIJ86" s="1255"/>
      <c r="DIK86" s="1255"/>
      <c r="DIL86" s="1255"/>
      <c r="DIM86" s="1255"/>
      <c r="DIN86" s="1255"/>
      <c r="DIO86" s="1255"/>
      <c r="DIP86" s="1255"/>
      <c r="DIQ86" s="1255"/>
      <c r="DIR86" s="1255"/>
      <c r="DIS86" s="1255"/>
      <c r="DIT86" s="1255"/>
      <c r="DIU86" s="1255"/>
      <c r="DIV86" s="1255"/>
      <c r="DIW86" s="1255"/>
      <c r="DIX86" s="1255"/>
      <c r="DIY86" s="1255"/>
      <c r="DIZ86" s="1255"/>
      <c r="DJA86" s="1255"/>
      <c r="DJB86" s="1255"/>
      <c r="DJC86" s="1255"/>
      <c r="DJD86" s="1255"/>
      <c r="DJE86" s="1255"/>
      <c r="DJF86" s="1255"/>
      <c r="DJG86" s="1255"/>
      <c r="DJH86" s="1255"/>
      <c r="DJI86" s="1255"/>
      <c r="DJJ86" s="1255"/>
      <c r="DJK86" s="1255"/>
      <c r="DJL86" s="1255"/>
      <c r="DJM86" s="1255"/>
      <c r="DJN86" s="1255"/>
      <c r="DJO86" s="1255"/>
      <c r="DJP86" s="1255"/>
      <c r="DJQ86" s="1255"/>
      <c r="DJR86" s="1255"/>
      <c r="DJS86" s="1255"/>
      <c r="DJT86" s="1255"/>
      <c r="DJU86" s="1255"/>
      <c r="DJV86" s="1255"/>
      <c r="DJW86" s="1255"/>
      <c r="DJX86" s="1255"/>
      <c r="DJY86" s="1255"/>
      <c r="DJZ86" s="1255"/>
      <c r="DKA86" s="1255"/>
      <c r="DKB86" s="1255"/>
      <c r="DKC86" s="1255"/>
      <c r="DKD86" s="1255"/>
      <c r="DKE86" s="1255"/>
      <c r="DKF86" s="1255"/>
      <c r="DKG86" s="1255"/>
      <c r="DKH86" s="1255"/>
      <c r="DKI86" s="1255"/>
      <c r="DKJ86" s="1255"/>
      <c r="DKK86" s="1255"/>
      <c r="DKL86" s="1255"/>
      <c r="DKM86" s="1255"/>
      <c r="DKN86" s="1255"/>
      <c r="DKO86" s="1255"/>
      <c r="DKP86" s="1255"/>
      <c r="DKQ86" s="1255"/>
      <c r="DKR86" s="1255"/>
      <c r="DKS86" s="1255"/>
      <c r="DKT86" s="1255"/>
      <c r="DKU86" s="1255"/>
      <c r="DKV86" s="1255"/>
      <c r="DKW86" s="1255"/>
      <c r="DKX86" s="1255"/>
      <c r="DKY86" s="1255"/>
      <c r="DKZ86" s="1255"/>
      <c r="DLA86" s="1255"/>
      <c r="DLB86" s="1255"/>
      <c r="DLC86" s="1255"/>
      <c r="DLD86" s="1255"/>
      <c r="DLE86" s="1255"/>
      <c r="DLF86" s="1255"/>
      <c r="DLG86" s="1255"/>
      <c r="DLH86" s="1255"/>
      <c r="DLI86" s="1255"/>
      <c r="DLJ86" s="1255"/>
      <c r="DLK86" s="1255"/>
      <c r="DLL86" s="1255"/>
      <c r="DLM86" s="1255"/>
      <c r="DLN86" s="1255"/>
      <c r="DLO86" s="1255"/>
      <c r="DLP86" s="1255"/>
      <c r="DLQ86" s="1255"/>
      <c r="DLR86" s="1255"/>
      <c r="DLS86" s="1255"/>
      <c r="DLT86" s="1255"/>
      <c r="DLU86" s="1255"/>
      <c r="DLV86" s="1255"/>
      <c r="DLW86" s="1255"/>
      <c r="DLX86" s="1255"/>
      <c r="DLY86" s="1255"/>
      <c r="DLZ86" s="1255"/>
      <c r="DMA86" s="1255"/>
      <c r="DMB86" s="1255"/>
      <c r="DMC86" s="1255"/>
      <c r="DMD86" s="1255"/>
      <c r="DME86" s="1255"/>
      <c r="DMF86" s="1255"/>
      <c r="DMG86" s="1255"/>
      <c r="DMH86" s="1255"/>
      <c r="DMI86" s="1255"/>
      <c r="DMJ86" s="1255"/>
      <c r="DMK86" s="1255"/>
      <c r="DML86" s="1255"/>
      <c r="DMM86" s="1255"/>
      <c r="DMN86" s="1255"/>
      <c r="DMO86" s="1255"/>
      <c r="DMP86" s="1255"/>
      <c r="DMQ86" s="1255"/>
      <c r="DMR86" s="1255"/>
      <c r="DMS86" s="1255"/>
      <c r="DMT86" s="1255"/>
      <c r="DMU86" s="1255"/>
      <c r="DMV86" s="1255"/>
      <c r="DMW86" s="1255"/>
      <c r="DMX86" s="1255"/>
      <c r="DMY86" s="1255"/>
      <c r="DMZ86" s="1255"/>
      <c r="DNA86" s="1255"/>
      <c r="DNB86" s="1255"/>
      <c r="DNC86" s="1255"/>
      <c r="DND86" s="1255"/>
      <c r="DNE86" s="1255"/>
      <c r="DNF86" s="1255"/>
      <c r="DNG86" s="1255"/>
      <c r="DNH86" s="1255"/>
      <c r="DNI86" s="1255"/>
      <c r="DNJ86" s="1255"/>
      <c r="DNK86" s="1255"/>
      <c r="DNL86" s="1255"/>
      <c r="DNM86" s="1255"/>
      <c r="DNN86" s="1255"/>
      <c r="DNO86" s="1255"/>
      <c r="DNP86" s="1255"/>
      <c r="DNQ86" s="1255"/>
      <c r="DNR86" s="1255"/>
      <c r="DNS86" s="1255"/>
      <c r="DNT86" s="1255"/>
      <c r="DNU86" s="1255"/>
      <c r="DNV86" s="1255"/>
      <c r="DNW86" s="1255"/>
      <c r="DNX86" s="1255"/>
      <c r="DNY86" s="1255"/>
      <c r="DNZ86" s="1255"/>
      <c r="DOA86" s="1255"/>
      <c r="DOB86" s="1255"/>
      <c r="DOC86" s="1255"/>
      <c r="DOD86" s="1255"/>
      <c r="DOE86" s="1255"/>
      <c r="DOF86" s="1255"/>
      <c r="DOG86" s="1255"/>
      <c r="DOH86" s="1255"/>
      <c r="DOI86" s="1255"/>
      <c r="DOJ86" s="1255"/>
      <c r="DOK86" s="1255"/>
      <c r="DOL86" s="1255"/>
      <c r="DOM86" s="1255"/>
      <c r="DON86" s="1255"/>
      <c r="DOO86" s="1255"/>
      <c r="DOP86" s="1255"/>
      <c r="DOQ86" s="1255"/>
      <c r="DOR86" s="1255"/>
      <c r="DOS86" s="1255"/>
      <c r="DOT86" s="1255"/>
      <c r="DOU86" s="1255"/>
      <c r="DOV86" s="1255"/>
      <c r="DOW86" s="1255"/>
      <c r="DOX86" s="1255"/>
      <c r="DOY86" s="1255"/>
      <c r="DOZ86" s="1255"/>
      <c r="DPA86" s="1255"/>
      <c r="DPB86" s="1255"/>
      <c r="DPC86" s="1255"/>
      <c r="DPD86" s="1255"/>
      <c r="DPE86" s="1255"/>
      <c r="DPF86" s="1255"/>
      <c r="DPG86" s="1255"/>
      <c r="DPH86" s="1255"/>
      <c r="DPI86" s="1255"/>
      <c r="DPJ86" s="1255"/>
      <c r="DPK86" s="1255"/>
      <c r="DPL86" s="1255"/>
      <c r="DPM86" s="1255"/>
      <c r="DPN86" s="1255"/>
      <c r="DPO86" s="1255"/>
      <c r="DPP86" s="1255"/>
      <c r="DPQ86" s="1255"/>
      <c r="DPR86" s="1255"/>
      <c r="DPS86" s="1255"/>
      <c r="DPT86" s="1255"/>
      <c r="DPU86" s="1255"/>
      <c r="DPV86" s="1255"/>
      <c r="DPW86" s="1255"/>
      <c r="DPX86" s="1255"/>
      <c r="DPY86" s="1255"/>
      <c r="DPZ86" s="1255"/>
      <c r="DQA86" s="1255"/>
      <c r="DQB86" s="1255"/>
      <c r="DQC86" s="1255"/>
      <c r="DQD86" s="1255"/>
      <c r="DQE86" s="1255"/>
      <c r="DQF86" s="1255"/>
      <c r="DQG86" s="1255"/>
      <c r="DQH86" s="1255"/>
      <c r="DQI86" s="1255"/>
      <c r="DQJ86" s="1255"/>
      <c r="DQK86" s="1255"/>
      <c r="DQL86" s="1255"/>
      <c r="DQM86" s="1255"/>
      <c r="DQN86" s="1255"/>
      <c r="DQO86" s="1255"/>
      <c r="DQP86" s="1255"/>
      <c r="DQQ86" s="1255"/>
      <c r="DQR86" s="1255"/>
      <c r="DQS86" s="1255"/>
      <c r="DQT86" s="1255"/>
      <c r="DQU86" s="1255"/>
      <c r="DQV86" s="1255"/>
      <c r="DQW86" s="1255"/>
      <c r="DQX86" s="1255"/>
      <c r="DQY86" s="1255"/>
      <c r="DQZ86" s="1255"/>
      <c r="DRA86" s="1255"/>
      <c r="DRB86" s="1255"/>
      <c r="DRC86" s="1255"/>
      <c r="DRD86" s="1255"/>
      <c r="DRE86" s="1255"/>
      <c r="DRF86" s="1255"/>
      <c r="DRG86" s="1255"/>
      <c r="DRH86" s="1255"/>
      <c r="DRI86" s="1255"/>
      <c r="DRJ86" s="1255"/>
      <c r="DRK86" s="1255"/>
      <c r="DRL86" s="1255"/>
      <c r="DRM86" s="1255"/>
      <c r="DRN86" s="1255"/>
      <c r="DRO86" s="1255"/>
      <c r="DRP86" s="1255"/>
      <c r="DRQ86" s="1255"/>
      <c r="DRR86" s="1255"/>
      <c r="DRS86" s="1255"/>
      <c r="DRT86" s="1255"/>
      <c r="DRU86" s="1255"/>
      <c r="DRV86" s="1255"/>
      <c r="DRW86" s="1255"/>
      <c r="DRX86" s="1255"/>
      <c r="DRY86" s="1255"/>
      <c r="DRZ86" s="1255"/>
      <c r="DSA86" s="1255"/>
      <c r="DSB86" s="1255"/>
      <c r="DSC86" s="1255"/>
      <c r="DSD86" s="1255"/>
      <c r="DSE86" s="1255"/>
      <c r="DSF86" s="1255"/>
      <c r="DSG86" s="1255"/>
      <c r="DSH86" s="1255"/>
      <c r="DSI86" s="1255"/>
      <c r="DSJ86" s="1255"/>
      <c r="DSK86" s="1255"/>
      <c r="DSL86" s="1255"/>
      <c r="DSM86" s="1255"/>
      <c r="DSN86" s="1255"/>
      <c r="DSO86" s="1255"/>
      <c r="DSP86" s="1255"/>
      <c r="DSQ86" s="1255"/>
      <c r="DSR86" s="1255"/>
      <c r="DSS86" s="1255"/>
      <c r="DST86" s="1255"/>
      <c r="DSU86" s="1255"/>
      <c r="DSV86" s="1255"/>
      <c r="DSW86" s="1255"/>
      <c r="DSX86" s="1255"/>
      <c r="DSY86" s="1255"/>
      <c r="DSZ86" s="1255"/>
      <c r="DTA86" s="1255"/>
      <c r="DTB86" s="1255"/>
      <c r="DTC86" s="1255"/>
      <c r="DTD86" s="1255"/>
      <c r="DTE86" s="1255"/>
      <c r="DTF86" s="1255"/>
      <c r="DTG86" s="1255"/>
      <c r="DTH86" s="1255"/>
      <c r="DTI86" s="1255"/>
      <c r="DTJ86" s="1255"/>
      <c r="DTK86" s="1255"/>
      <c r="DTL86" s="1255"/>
      <c r="DTM86" s="1255"/>
      <c r="DTN86" s="1255"/>
      <c r="DTO86" s="1255"/>
      <c r="DTP86" s="1255"/>
      <c r="DTQ86" s="1255"/>
      <c r="DTR86" s="1255"/>
      <c r="DTS86" s="1255"/>
      <c r="DTT86" s="1255"/>
      <c r="DTU86" s="1255"/>
      <c r="DTV86" s="1255"/>
      <c r="DTW86" s="1255"/>
      <c r="DTX86" s="1255"/>
      <c r="DTY86" s="1255"/>
      <c r="DTZ86" s="1255"/>
      <c r="DUA86" s="1255"/>
      <c r="DUB86" s="1255"/>
      <c r="DUC86" s="1255"/>
      <c r="DUD86" s="1255"/>
      <c r="DUE86" s="1255"/>
      <c r="DUF86" s="1255"/>
      <c r="DUG86" s="1255"/>
      <c r="DUH86" s="1255"/>
      <c r="DUI86" s="1255"/>
      <c r="DUJ86" s="1255"/>
      <c r="DUK86" s="1255"/>
      <c r="DUL86" s="1255"/>
      <c r="DUM86" s="1255"/>
      <c r="DUN86" s="1255"/>
      <c r="DUO86" s="1255"/>
      <c r="DUP86" s="1255"/>
      <c r="DUQ86" s="1255"/>
      <c r="DUR86" s="1255"/>
      <c r="DUS86" s="1255"/>
      <c r="DUT86" s="1255"/>
      <c r="DUU86" s="1255"/>
      <c r="DUV86" s="1255"/>
      <c r="DUW86" s="1255"/>
      <c r="DUX86" s="1255"/>
      <c r="DUY86" s="1255"/>
      <c r="DUZ86" s="1255"/>
      <c r="DVA86" s="1255"/>
      <c r="DVB86" s="1255"/>
      <c r="DVC86" s="1255"/>
      <c r="DVD86" s="1255"/>
      <c r="DVE86" s="1255"/>
      <c r="DVF86" s="1255"/>
      <c r="DVG86" s="1255"/>
      <c r="DVH86" s="1255"/>
      <c r="DVI86" s="1255"/>
      <c r="DVJ86" s="1255"/>
      <c r="DVK86" s="1255"/>
      <c r="DVL86" s="1255"/>
      <c r="DVM86" s="1255"/>
      <c r="DVN86" s="1255"/>
      <c r="DVO86" s="1255"/>
      <c r="DVP86" s="1255"/>
      <c r="DVQ86" s="1255"/>
      <c r="DVR86" s="1255"/>
      <c r="DVS86" s="1255"/>
      <c r="DVT86" s="1255"/>
      <c r="DVU86" s="1255"/>
      <c r="DVV86" s="1255"/>
      <c r="DVW86" s="1255"/>
      <c r="DVX86" s="1255"/>
      <c r="DVY86" s="1255"/>
      <c r="DVZ86" s="1255"/>
      <c r="DWA86" s="1255"/>
      <c r="DWB86" s="1255"/>
      <c r="DWC86" s="1255"/>
      <c r="DWD86" s="1255"/>
      <c r="DWE86" s="1255"/>
      <c r="DWF86" s="1255"/>
      <c r="DWG86" s="1255"/>
      <c r="DWH86" s="1255"/>
      <c r="DWI86" s="1255"/>
      <c r="DWJ86" s="1255"/>
      <c r="DWK86" s="1255"/>
      <c r="DWL86" s="1255"/>
      <c r="DWM86" s="1255"/>
      <c r="DWN86" s="1255"/>
      <c r="DWO86" s="1255"/>
      <c r="DWP86" s="1255"/>
      <c r="DWQ86" s="1255"/>
      <c r="DWR86" s="1255"/>
      <c r="DWS86" s="1255"/>
      <c r="DWT86" s="1255"/>
      <c r="DWU86" s="1255"/>
      <c r="DWV86" s="1255"/>
      <c r="DWW86" s="1255"/>
      <c r="DWX86" s="1255"/>
      <c r="DWY86" s="1255"/>
      <c r="DWZ86" s="1255"/>
      <c r="DXA86" s="1255"/>
      <c r="DXB86" s="1255"/>
      <c r="DXC86" s="1255"/>
      <c r="DXD86" s="1255"/>
      <c r="DXE86" s="1255"/>
      <c r="DXF86" s="1255"/>
      <c r="DXG86" s="1255"/>
      <c r="DXH86" s="1255"/>
      <c r="DXI86" s="1255"/>
      <c r="DXJ86" s="1255"/>
      <c r="DXK86" s="1255"/>
      <c r="DXL86" s="1255"/>
      <c r="DXM86" s="1255"/>
      <c r="DXN86" s="1255"/>
      <c r="DXO86" s="1255"/>
      <c r="DXP86" s="1255"/>
      <c r="DXQ86" s="1255"/>
      <c r="DXR86" s="1255"/>
      <c r="DXS86" s="1255"/>
      <c r="DXT86" s="1255"/>
      <c r="DXU86" s="1255"/>
      <c r="DXV86" s="1255"/>
      <c r="DXW86" s="1255"/>
      <c r="DXX86" s="1255"/>
      <c r="DXY86" s="1255"/>
      <c r="DXZ86" s="1255"/>
      <c r="DYA86" s="1255"/>
      <c r="DYB86" s="1255"/>
      <c r="DYC86" s="1255"/>
      <c r="DYD86" s="1255"/>
      <c r="DYE86" s="1255"/>
      <c r="DYF86" s="1255"/>
      <c r="DYG86" s="1255"/>
      <c r="DYH86" s="1255"/>
      <c r="DYI86" s="1255"/>
      <c r="DYJ86" s="1255"/>
      <c r="DYK86" s="1255"/>
      <c r="DYL86" s="1255"/>
      <c r="DYM86" s="1255"/>
      <c r="DYN86" s="1255"/>
      <c r="DYO86" s="1255"/>
      <c r="DYP86" s="1255"/>
      <c r="DYQ86" s="1255"/>
      <c r="DYR86" s="1255"/>
      <c r="DYS86" s="1255"/>
      <c r="DYT86" s="1255"/>
      <c r="DYU86" s="1255"/>
      <c r="DYV86" s="1255"/>
      <c r="DYW86" s="1255"/>
      <c r="DYX86" s="1255"/>
      <c r="DYY86" s="1255"/>
      <c r="DYZ86" s="1255"/>
      <c r="DZA86" s="1255"/>
      <c r="DZB86" s="1255"/>
      <c r="DZC86" s="1255"/>
      <c r="DZD86" s="1255"/>
      <c r="DZE86" s="1255"/>
      <c r="DZF86" s="1255"/>
      <c r="DZG86" s="1255"/>
      <c r="DZH86" s="1255"/>
      <c r="DZI86" s="1255"/>
      <c r="DZJ86" s="1255"/>
      <c r="DZK86" s="1255"/>
      <c r="DZL86" s="1255"/>
      <c r="DZM86" s="1255"/>
      <c r="DZN86" s="1255"/>
      <c r="DZO86" s="1255"/>
      <c r="DZP86" s="1255"/>
      <c r="DZQ86" s="1255"/>
      <c r="DZR86" s="1255"/>
      <c r="DZS86" s="1255"/>
      <c r="DZT86" s="1255"/>
      <c r="DZU86" s="1255"/>
      <c r="DZV86" s="1255"/>
      <c r="DZW86" s="1255"/>
      <c r="DZX86" s="1255"/>
      <c r="DZY86" s="1255"/>
      <c r="DZZ86" s="1255"/>
      <c r="EAA86" s="1255"/>
      <c r="EAB86" s="1255"/>
      <c r="EAC86" s="1255"/>
      <c r="EAD86" s="1255"/>
      <c r="EAE86" s="1255"/>
      <c r="EAF86" s="1255"/>
      <c r="EAG86" s="1255"/>
      <c r="EAH86" s="1255"/>
      <c r="EAI86" s="1255"/>
      <c r="EAJ86" s="1255"/>
      <c r="EAK86" s="1255"/>
      <c r="EAL86" s="1255"/>
      <c r="EAM86" s="1255"/>
      <c r="EAN86" s="1255"/>
      <c r="EAO86" s="1255"/>
      <c r="EAP86" s="1255"/>
      <c r="EAQ86" s="1255"/>
      <c r="EAR86" s="1255"/>
      <c r="EAS86" s="1255"/>
      <c r="EAT86" s="1255"/>
      <c r="EAU86" s="1255"/>
      <c r="EAV86" s="1255"/>
      <c r="EAW86" s="1255"/>
      <c r="EAX86" s="1255"/>
      <c r="EAY86" s="1255"/>
      <c r="EAZ86" s="1255"/>
      <c r="EBA86" s="1255"/>
      <c r="EBB86" s="1255"/>
      <c r="EBC86" s="1255"/>
      <c r="EBD86" s="1255"/>
      <c r="EBE86" s="1255"/>
      <c r="EBF86" s="1255"/>
      <c r="EBG86" s="1255"/>
      <c r="EBH86" s="1255"/>
      <c r="EBI86" s="1255"/>
      <c r="EBJ86" s="1255"/>
      <c r="EBK86" s="1255"/>
      <c r="EBL86" s="1255"/>
      <c r="EBM86" s="1255"/>
      <c r="EBN86" s="1255"/>
      <c r="EBO86" s="1255"/>
      <c r="EBP86" s="1255"/>
      <c r="EBQ86" s="1255"/>
      <c r="EBR86" s="1255"/>
      <c r="EBS86" s="1255"/>
      <c r="EBT86" s="1255"/>
      <c r="EBU86" s="1255"/>
      <c r="EBV86" s="1255"/>
      <c r="EBW86" s="1255"/>
      <c r="EBX86" s="1255"/>
      <c r="EBY86" s="1255"/>
      <c r="EBZ86" s="1255"/>
      <c r="ECA86" s="1255"/>
      <c r="ECB86" s="1255"/>
      <c r="ECC86" s="1255"/>
      <c r="ECD86" s="1255"/>
      <c r="ECE86" s="1255"/>
      <c r="ECF86" s="1255"/>
      <c r="ECG86" s="1255"/>
      <c r="ECH86" s="1255"/>
      <c r="ECI86" s="1255"/>
      <c r="ECJ86" s="1255"/>
      <c r="ECK86" s="1255"/>
      <c r="ECL86" s="1255"/>
      <c r="ECM86" s="1255"/>
      <c r="ECN86" s="1255"/>
      <c r="ECO86" s="1255"/>
      <c r="ECP86" s="1255"/>
      <c r="ECQ86" s="1255"/>
      <c r="ECR86" s="1255"/>
      <c r="ECS86" s="1255"/>
      <c r="ECT86" s="1255"/>
      <c r="ECU86" s="1255"/>
      <c r="ECV86" s="1255"/>
      <c r="ECW86" s="1255"/>
      <c r="ECX86" s="1255"/>
      <c r="ECY86" s="1255"/>
      <c r="ECZ86" s="1255"/>
      <c r="EDA86" s="1255"/>
      <c r="EDB86" s="1255"/>
      <c r="EDC86" s="1255"/>
      <c r="EDD86" s="1255"/>
      <c r="EDE86" s="1255"/>
      <c r="EDF86" s="1255"/>
      <c r="EDG86" s="1255"/>
      <c r="EDH86" s="1255"/>
      <c r="EDI86" s="1255"/>
      <c r="EDJ86" s="1255"/>
      <c r="EDK86" s="1255"/>
      <c r="EDL86" s="1255"/>
      <c r="EDM86" s="1255"/>
      <c r="EDN86" s="1255"/>
      <c r="EDO86" s="1255"/>
      <c r="EDP86" s="1255"/>
      <c r="EDQ86" s="1255"/>
      <c r="EDR86" s="1255"/>
      <c r="EDS86" s="1255"/>
      <c r="EDT86" s="1255"/>
      <c r="EDU86" s="1255"/>
      <c r="EDV86" s="1255"/>
      <c r="EDW86" s="1255"/>
      <c r="EDX86" s="1255"/>
      <c r="EDY86" s="1255"/>
      <c r="EDZ86" s="1255"/>
      <c r="EEA86" s="1255"/>
      <c r="EEB86" s="1255"/>
      <c r="EEC86" s="1255"/>
      <c r="EED86" s="1255"/>
      <c r="EEE86" s="1255"/>
      <c r="EEF86" s="1255"/>
      <c r="EEG86" s="1255"/>
      <c r="EEH86" s="1255"/>
      <c r="EEI86" s="1255"/>
      <c r="EEJ86" s="1255"/>
      <c r="EEK86" s="1255"/>
      <c r="EEL86" s="1255"/>
      <c r="EEM86" s="1255"/>
      <c r="EEN86" s="1255"/>
      <c r="EEO86" s="1255"/>
      <c r="EEP86" s="1255"/>
      <c r="EEQ86" s="1255"/>
      <c r="EER86" s="1255"/>
      <c r="EES86" s="1255"/>
      <c r="EET86" s="1255"/>
      <c r="EEU86" s="1255"/>
      <c r="EEV86" s="1255"/>
      <c r="EEW86" s="1255"/>
      <c r="EEX86" s="1255"/>
      <c r="EEY86" s="1255"/>
      <c r="EEZ86" s="1255"/>
      <c r="EFA86" s="1255"/>
      <c r="EFB86" s="1255"/>
      <c r="EFC86" s="1255"/>
      <c r="EFD86" s="1255"/>
      <c r="EFE86" s="1255"/>
      <c r="EFF86" s="1255"/>
      <c r="EFG86" s="1255"/>
      <c r="EFH86" s="1255"/>
      <c r="EFI86" s="1255"/>
      <c r="EFJ86" s="1255"/>
      <c r="EFK86" s="1255"/>
      <c r="EFL86" s="1255"/>
      <c r="EFM86" s="1255"/>
      <c r="EFN86" s="1255"/>
      <c r="EFO86" s="1255"/>
      <c r="EFP86" s="1255"/>
      <c r="EFQ86" s="1255"/>
      <c r="EFR86" s="1255"/>
      <c r="EFS86" s="1255"/>
      <c r="EFT86" s="1255"/>
      <c r="EFU86" s="1255"/>
      <c r="EFV86" s="1255"/>
      <c r="EFW86" s="1255"/>
      <c r="EFX86" s="1255"/>
      <c r="EFY86" s="1255"/>
      <c r="EFZ86" s="1255"/>
      <c r="EGA86" s="1255"/>
      <c r="EGB86" s="1255"/>
      <c r="EGC86" s="1255"/>
      <c r="EGD86" s="1255"/>
      <c r="EGE86" s="1255"/>
      <c r="EGF86" s="1255"/>
      <c r="EGG86" s="1255"/>
      <c r="EGH86" s="1255"/>
      <c r="EGI86" s="1255"/>
      <c r="EGJ86" s="1255"/>
      <c r="EGK86" s="1255"/>
      <c r="EGL86" s="1255"/>
      <c r="EGM86" s="1255"/>
      <c r="EGN86" s="1255"/>
      <c r="EGO86" s="1255"/>
      <c r="EGP86" s="1255"/>
      <c r="EGQ86" s="1255"/>
      <c r="EGR86" s="1255"/>
      <c r="EGS86" s="1255"/>
      <c r="EGT86" s="1255"/>
      <c r="EGU86" s="1255"/>
      <c r="EGV86" s="1255"/>
      <c r="EGW86" s="1255"/>
      <c r="EGX86" s="1255"/>
      <c r="EGY86" s="1255"/>
      <c r="EGZ86" s="1255"/>
      <c r="EHA86" s="1255"/>
      <c r="EHB86" s="1255"/>
      <c r="EHC86" s="1255"/>
      <c r="EHD86" s="1255"/>
      <c r="EHE86" s="1255"/>
      <c r="EHF86" s="1255"/>
      <c r="EHG86" s="1255"/>
      <c r="EHH86" s="1255"/>
      <c r="EHI86" s="1255"/>
      <c r="EHJ86" s="1255"/>
      <c r="EHK86" s="1255"/>
      <c r="EHL86" s="1255"/>
      <c r="EHM86" s="1255"/>
      <c r="EHN86" s="1255"/>
      <c r="EHO86" s="1255"/>
      <c r="EHP86" s="1255"/>
      <c r="EHQ86" s="1255"/>
      <c r="EHR86" s="1255"/>
      <c r="EHS86" s="1255"/>
      <c r="EHT86" s="1255"/>
      <c r="EHU86" s="1255"/>
      <c r="EHV86" s="1255"/>
      <c r="EHW86" s="1255"/>
      <c r="EHX86" s="1255"/>
      <c r="EHY86" s="1255"/>
      <c r="EHZ86" s="1255"/>
      <c r="EIA86" s="1255"/>
      <c r="EIB86" s="1255"/>
      <c r="EIC86" s="1255"/>
      <c r="EID86" s="1255"/>
      <c r="EIE86" s="1255"/>
      <c r="EIF86" s="1255"/>
      <c r="EIG86" s="1255"/>
      <c r="EIH86" s="1255"/>
      <c r="EII86" s="1255"/>
      <c r="EIJ86" s="1255"/>
      <c r="EIK86" s="1255"/>
      <c r="EIL86" s="1255"/>
      <c r="EIM86" s="1255"/>
      <c r="EIN86" s="1255"/>
      <c r="EIO86" s="1255"/>
      <c r="EIP86" s="1255"/>
      <c r="EIQ86" s="1255"/>
      <c r="EIR86" s="1255"/>
      <c r="EIS86" s="1255"/>
      <c r="EIT86" s="1255"/>
      <c r="EIU86" s="1255"/>
      <c r="EIV86" s="1255"/>
      <c r="EIW86" s="1255"/>
      <c r="EIX86" s="1255"/>
      <c r="EIY86" s="1255"/>
      <c r="EIZ86" s="1255"/>
      <c r="EJA86" s="1255"/>
      <c r="EJB86" s="1255"/>
      <c r="EJC86" s="1255"/>
      <c r="EJD86" s="1255"/>
      <c r="EJE86" s="1255"/>
      <c r="EJF86" s="1255"/>
      <c r="EJG86" s="1255"/>
      <c r="EJH86" s="1255"/>
      <c r="EJI86" s="1255"/>
      <c r="EJJ86" s="1255"/>
      <c r="EJK86" s="1255"/>
      <c r="EJL86" s="1255"/>
      <c r="EJM86" s="1255"/>
      <c r="EJN86" s="1255"/>
      <c r="EJO86" s="1255"/>
      <c r="EJP86" s="1255"/>
      <c r="EJQ86" s="1255"/>
      <c r="EJR86" s="1255"/>
      <c r="EJS86" s="1255"/>
      <c r="EJT86" s="1255"/>
      <c r="EJU86" s="1255"/>
      <c r="EJV86" s="1255"/>
      <c r="EJW86" s="1255"/>
      <c r="EJX86" s="1255"/>
      <c r="EJY86" s="1255"/>
      <c r="EJZ86" s="1255"/>
      <c r="EKA86" s="1255"/>
      <c r="EKB86" s="1255"/>
      <c r="EKC86" s="1255"/>
      <c r="EKD86" s="1255"/>
      <c r="EKE86" s="1255"/>
      <c r="EKF86" s="1255"/>
      <c r="EKG86" s="1255"/>
      <c r="EKH86" s="1255"/>
      <c r="EKI86" s="1255"/>
      <c r="EKJ86" s="1255"/>
      <c r="EKK86" s="1255"/>
      <c r="EKL86" s="1255"/>
      <c r="EKM86" s="1255"/>
      <c r="EKN86" s="1255"/>
      <c r="EKO86" s="1255"/>
      <c r="EKP86" s="1255"/>
      <c r="EKQ86" s="1255"/>
      <c r="EKR86" s="1255"/>
      <c r="EKS86" s="1255"/>
      <c r="EKT86" s="1255"/>
      <c r="EKU86" s="1255"/>
      <c r="EKV86" s="1255"/>
      <c r="EKW86" s="1255"/>
      <c r="EKX86" s="1255"/>
      <c r="EKY86" s="1255"/>
      <c r="EKZ86" s="1255"/>
      <c r="ELA86" s="1255"/>
      <c r="ELB86" s="1255"/>
      <c r="ELC86" s="1255"/>
      <c r="ELD86" s="1255"/>
      <c r="ELE86" s="1255"/>
      <c r="ELF86" s="1255"/>
      <c r="ELG86" s="1255"/>
      <c r="ELH86" s="1255"/>
      <c r="ELI86" s="1255"/>
      <c r="ELJ86" s="1255"/>
      <c r="ELK86" s="1255"/>
      <c r="ELL86" s="1255"/>
      <c r="ELM86" s="1255"/>
      <c r="ELN86" s="1255"/>
      <c r="ELO86" s="1255"/>
      <c r="ELP86" s="1255"/>
      <c r="ELQ86" s="1255"/>
      <c r="ELR86" s="1255"/>
      <c r="ELS86" s="1255"/>
      <c r="ELT86" s="1255"/>
      <c r="ELU86" s="1255"/>
      <c r="ELV86" s="1255"/>
      <c r="ELW86" s="1255"/>
      <c r="ELX86" s="1255"/>
      <c r="ELY86" s="1255"/>
      <c r="ELZ86" s="1255"/>
      <c r="EMA86" s="1255"/>
      <c r="EMB86" s="1255"/>
      <c r="EMC86" s="1255"/>
      <c r="EMD86" s="1255"/>
      <c r="EME86" s="1255"/>
      <c r="EMF86" s="1255"/>
      <c r="EMG86" s="1255"/>
      <c r="EMH86" s="1255"/>
      <c r="EMI86" s="1255"/>
      <c r="EMJ86" s="1255"/>
      <c r="EMK86" s="1255"/>
      <c r="EML86" s="1255"/>
      <c r="EMM86" s="1255"/>
      <c r="EMN86" s="1255"/>
      <c r="EMO86" s="1255"/>
      <c r="EMP86" s="1255"/>
      <c r="EMQ86" s="1255"/>
      <c r="EMR86" s="1255"/>
      <c r="EMS86" s="1255"/>
      <c r="EMT86" s="1255"/>
      <c r="EMU86" s="1255"/>
      <c r="EMV86" s="1255"/>
      <c r="EMW86" s="1255"/>
      <c r="EMX86" s="1255"/>
      <c r="EMY86" s="1255"/>
      <c r="EMZ86" s="1255"/>
      <c r="ENA86" s="1255"/>
      <c r="ENB86" s="1255"/>
      <c r="ENC86" s="1255"/>
      <c r="END86" s="1255"/>
      <c r="ENE86" s="1255"/>
      <c r="ENF86" s="1255"/>
      <c r="ENG86" s="1255"/>
      <c r="ENH86" s="1255"/>
      <c r="ENI86" s="1255"/>
      <c r="ENJ86" s="1255"/>
      <c r="ENK86" s="1255"/>
      <c r="ENL86" s="1255"/>
      <c r="ENM86" s="1255"/>
      <c r="ENN86" s="1255"/>
      <c r="ENO86" s="1255"/>
      <c r="ENP86" s="1255"/>
      <c r="ENQ86" s="1255"/>
      <c r="ENR86" s="1255"/>
      <c r="ENS86" s="1255"/>
      <c r="ENT86" s="1255"/>
      <c r="ENU86" s="1255"/>
      <c r="ENV86" s="1255"/>
      <c r="ENW86" s="1255"/>
      <c r="ENX86" s="1255"/>
      <c r="ENY86" s="1255"/>
      <c r="ENZ86" s="1255"/>
      <c r="EOA86" s="1255"/>
      <c r="EOB86" s="1255"/>
      <c r="EOC86" s="1255"/>
      <c r="EOD86" s="1255"/>
      <c r="EOE86" s="1255"/>
      <c r="EOF86" s="1255"/>
      <c r="EOG86" s="1255"/>
      <c r="EOH86" s="1255"/>
      <c r="EOI86" s="1255"/>
      <c r="EOJ86" s="1255"/>
      <c r="EOK86" s="1255"/>
      <c r="EOL86" s="1255"/>
      <c r="EOM86" s="1255"/>
      <c r="EON86" s="1255"/>
      <c r="EOO86" s="1255"/>
      <c r="EOP86" s="1255"/>
      <c r="EOQ86" s="1255"/>
      <c r="EOR86" s="1255"/>
      <c r="EOS86" s="1255"/>
      <c r="EOT86" s="1255"/>
      <c r="EOU86" s="1255"/>
      <c r="EOV86" s="1255"/>
      <c r="EOW86" s="1255"/>
      <c r="EOX86" s="1255"/>
      <c r="EOY86" s="1255"/>
      <c r="EOZ86" s="1255"/>
      <c r="EPA86" s="1255"/>
      <c r="EPB86" s="1255"/>
      <c r="EPC86" s="1255"/>
      <c r="EPD86" s="1255"/>
      <c r="EPE86" s="1255"/>
      <c r="EPF86" s="1255"/>
      <c r="EPG86" s="1255"/>
      <c r="EPH86" s="1255"/>
      <c r="EPI86" s="1255"/>
      <c r="EPJ86" s="1255"/>
      <c r="EPK86" s="1255"/>
      <c r="EPL86" s="1255"/>
      <c r="EPM86" s="1255"/>
      <c r="EPN86" s="1255"/>
      <c r="EPO86" s="1255"/>
      <c r="EPP86" s="1255"/>
      <c r="EPQ86" s="1255"/>
      <c r="EPR86" s="1255"/>
      <c r="EPS86" s="1255"/>
      <c r="EPT86" s="1255"/>
      <c r="EPU86" s="1255"/>
      <c r="EPV86" s="1255"/>
      <c r="EPW86" s="1255"/>
      <c r="EPX86" s="1255"/>
      <c r="EPY86" s="1255"/>
      <c r="EPZ86" s="1255"/>
      <c r="EQA86" s="1255"/>
      <c r="EQB86" s="1255"/>
      <c r="EQC86" s="1255"/>
      <c r="EQD86" s="1255"/>
      <c r="EQE86" s="1255"/>
      <c r="EQF86" s="1255"/>
      <c r="EQG86" s="1255"/>
      <c r="EQH86" s="1255"/>
      <c r="EQI86" s="1255"/>
      <c r="EQJ86" s="1255"/>
      <c r="EQK86" s="1255"/>
      <c r="EQL86" s="1255"/>
      <c r="EQM86" s="1255"/>
      <c r="EQN86" s="1255"/>
      <c r="EQO86" s="1255"/>
      <c r="EQP86" s="1255"/>
      <c r="EQQ86" s="1255"/>
      <c r="EQR86" s="1255"/>
      <c r="EQS86" s="1255"/>
      <c r="EQT86" s="1255"/>
      <c r="EQU86" s="1255"/>
      <c r="EQV86" s="1255"/>
      <c r="EQW86" s="1255"/>
      <c r="EQX86" s="1255"/>
      <c r="EQY86" s="1255"/>
      <c r="EQZ86" s="1255"/>
      <c r="ERA86" s="1255"/>
      <c r="ERB86" s="1255"/>
      <c r="ERC86" s="1255"/>
      <c r="ERD86" s="1255"/>
      <c r="ERE86" s="1255"/>
      <c r="ERF86" s="1255"/>
      <c r="ERG86" s="1255"/>
      <c r="ERH86" s="1255"/>
      <c r="ERI86" s="1255"/>
      <c r="ERJ86" s="1255"/>
      <c r="ERK86" s="1255"/>
      <c r="ERL86" s="1255"/>
      <c r="ERM86" s="1255"/>
      <c r="ERN86" s="1255"/>
      <c r="ERO86" s="1255"/>
      <c r="ERP86" s="1255"/>
      <c r="ERQ86" s="1255"/>
      <c r="ERR86" s="1255"/>
      <c r="ERS86" s="1255"/>
      <c r="ERT86" s="1255"/>
      <c r="ERU86" s="1255"/>
      <c r="ERV86" s="1255"/>
      <c r="ERW86" s="1255"/>
      <c r="ERX86" s="1255"/>
      <c r="ERY86" s="1255"/>
      <c r="ERZ86" s="1255"/>
      <c r="ESA86" s="1255"/>
      <c r="ESB86" s="1255"/>
      <c r="ESC86" s="1255"/>
      <c r="ESD86" s="1255"/>
      <c r="ESE86" s="1255"/>
      <c r="ESF86" s="1255"/>
      <c r="ESG86" s="1255"/>
      <c r="ESH86" s="1255"/>
      <c r="ESI86" s="1255"/>
      <c r="ESJ86" s="1255"/>
      <c r="ESK86" s="1255"/>
      <c r="ESL86" s="1255"/>
      <c r="ESM86" s="1255"/>
      <c r="ESN86" s="1255"/>
      <c r="ESO86" s="1255"/>
      <c r="ESP86" s="1255"/>
      <c r="ESQ86" s="1255"/>
      <c r="ESR86" s="1255"/>
      <c r="ESS86" s="1255"/>
      <c r="EST86" s="1255"/>
      <c r="ESU86" s="1255"/>
      <c r="ESV86" s="1255"/>
      <c r="ESW86" s="1255"/>
      <c r="ESX86" s="1255"/>
      <c r="ESY86" s="1255"/>
      <c r="ESZ86" s="1255"/>
      <c r="ETA86" s="1255"/>
      <c r="ETB86" s="1255"/>
      <c r="ETC86" s="1255"/>
      <c r="ETD86" s="1255"/>
      <c r="ETE86" s="1255"/>
      <c r="ETF86" s="1255"/>
      <c r="ETG86" s="1255"/>
      <c r="ETH86" s="1255"/>
      <c r="ETI86" s="1255"/>
      <c r="ETJ86" s="1255"/>
      <c r="ETK86" s="1255"/>
      <c r="ETL86" s="1255"/>
      <c r="ETM86" s="1255"/>
      <c r="ETN86" s="1255"/>
      <c r="ETO86" s="1255"/>
      <c r="ETP86" s="1255"/>
      <c r="ETQ86" s="1255"/>
      <c r="ETR86" s="1255"/>
      <c r="ETS86" s="1255"/>
      <c r="ETT86" s="1255"/>
      <c r="ETU86" s="1255"/>
      <c r="ETV86" s="1255"/>
      <c r="ETW86" s="1255"/>
      <c r="ETX86" s="1255"/>
      <c r="ETY86" s="1255"/>
      <c r="ETZ86" s="1255"/>
      <c r="EUA86" s="1255"/>
      <c r="EUB86" s="1255"/>
      <c r="EUC86" s="1255"/>
      <c r="EUD86" s="1255"/>
      <c r="EUE86" s="1255"/>
      <c r="EUF86" s="1255"/>
      <c r="EUG86" s="1255"/>
      <c r="EUH86" s="1255"/>
      <c r="EUI86" s="1255"/>
      <c r="EUJ86" s="1255"/>
      <c r="EUK86" s="1255"/>
      <c r="EUL86" s="1255"/>
      <c r="EUM86" s="1255"/>
      <c r="EUN86" s="1255"/>
      <c r="EUO86" s="1255"/>
      <c r="EUP86" s="1255"/>
      <c r="EUQ86" s="1255"/>
      <c r="EUR86" s="1255"/>
      <c r="EUS86" s="1255"/>
      <c r="EUT86" s="1255"/>
      <c r="EUU86" s="1255"/>
      <c r="EUV86" s="1255"/>
      <c r="EUW86" s="1255"/>
      <c r="EUX86" s="1255"/>
      <c r="EUY86" s="1255"/>
      <c r="EUZ86" s="1255"/>
      <c r="EVA86" s="1255"/>
      <c r="EVB86" s="1255"/>
      <c r="EVC86" s="1255"/>
      <c r="EVD86" s="1255"/>
      <c r="EVE86" s="1255"/>
      <c r="EVF86" s="1255"/>
      <c r="EVG86" s="1255"/>
      <c r="EVH86" s="1255"/>
      <c r="EVI86" s="1255"/>
      <c r="EVJ86" s="1255"/>
      <c r="EVK86" s="1255"/>
      <c r="EVL86" s="1255"/>
      <c r="EVM86" s="1255"/>
      <c r="EVN86" s="1255"/>
      <c r="EVO86" s="1255"/>
      <c r="EVP86" s="1255"/>
      <c r="EVQ86" s="1255"/>
      <c r="EVR86" s="1255"/>
      <c r="EVS86" s="1255"/>
      <c r="EVT86" s="1255"/>
      <c r="EVU86" s="1255"/>
      <c r="EVV86" s="1255"/>
      <c r="EVW86" s="1255"/>
      <c r="EVX86" s="1255"/>
      <c r="EVY86" s="1255"/>
      <c r="EVZ86" s="1255"/>
      <c r="EWA86" s="1255"/>
      <c r="EWB86" s="1255"/>
      <c r="EWC86" s="1255"/>
      <c r="EWD86" s="1255"/>
      <c r="EWE86" s="1255"/>
      <c r="EWF86" s="1255"/>
      <c r="EWG86" s="1255"/>
      <c r="EWH86" s="1255"/>
      <c r="EWI86" s="1255"/>
      <c r="EWJ86" s="1255"/>
      <c r="EWK86" s="1255"/>
      <c r="EWL86" s="1255"/>
      <c r="EWM86" s="1255"/>
      <c r="EWN86" s="1255"/>
      <c r="EWO86" s="1255"/>
      <c r="EWP86" s="1255"/>
      <c r="EWQ86" s="1255"/>
      <c r="EWR86" s="1255"/>
      <c r="EWS86" s="1255"/>
      <c r="EWT86" s="1255"/>
      <c r="EWU86" s="1255"/>
      <c r="EWV86" s="1255"/>
      <c r="EWW86" s="1255"/>
      <c r="EWX86" s="1255"/>
      <c r="EWY86" s="1255"/>
      <c r="EWZ86" s="1255"/>
      <c r="EXA86" s="1255"/>
      <c r="EXB86" s="1255"/>
      <c r="EXC86" s="1255"/>
      <c r="EXD86" s="1255"/>
      <c r="EXE86" s="1255"/>
      <c r="EXF86" s="1255"/>
      <c r="EXG86" s="1255"/>
      <c r="EXH86" s="1255"/>
      <c r="EXI86" s="1255"/>
      <c r="EXJ86" s="1255"/>
      <c r="EXK86" s="1255"/>
      <c r="EXL86" s="1255"/>
      <c r="EXM86" s="1255"/>
      <c r="EXN86" s="1255"/>
      <c r="EXO86" s="1255"/>
      <c r="EXP86" s="1255"/>
      <c r="EXQ86" s="1255"/>
      <c r="EXR86" s="1255"/>
      <c r="EXS86" s="1255"/>
      <c r="EXT86" s="1255"/>
      <c r="EXU86" s="1255"/>
      <c r="EXV86" s="1255"/>
      <c r="EXW86" s="1255"/>
      <c r="EXX86" s="1255"/>
      <c r="EXY86" s="1255"/>
      <c r="EXZ86" s="1255"/>
      <c r="EYA86" s="1255"/>
      <c r="EYB86" s="1255"/>
      <c r="EYC86" s="1255"/>
      <c r="EYD86" s="1255"/>
      <c r="EYE86" s="1255"/>
      <c r="EYF86" s="1255"/>
      <c r="EYG86" s="1255"/>
      <c r="EYH86" s="1255"/>
      <c r="EYI86" s="1255"/>
      <c r="EYJ86" s="1255"/>
      <c r="EYK86" s="1255"/>
      <c r="EYL86" s="1255"/>
      <c r="EYM86" s="1255"/>
      <c r="EYN86" s="1255"/>
      <c r="EYO86" s="1255"/>
      <c r="EYP86" s="1255"/>
      <c r="EYQ86" s="1255"/>
      <c r="EYR86" s="1255"/>
      <c r="EYS86" s="1255"/>
      <c r="EYT86" s="1255"/>
      <c r="EYU86" s="1255"/>
      <c r="EYV86" s="1255"/>
      <c r="EYW86" s="1255"/>
      <c r="EYX86" s="1255"/>
      <c r="EYY86" s="1255"/>
      <c r="EYZ86" s="1255"/>
      <c r="EZA86" s="1255"/>
      <c r="EZB86" s="1255"/>
      <c r="EZC86" s="1255"/>
      <c r="EZD86" s="1255"/>
      <c r="EZE86" s="1255"/>
      <c r="EZF86" s="1255"/>
      <c r="EZG86" s="1255"/>
      <c r="EZH86" s="1255"/>
      <c r="EZI86" s="1255"/>
      <c r="EZJ86" s="1255"/>
      <c r="EZK86" s="1255"/>
      <c r="EZL86" s="1255"/>
      <c r="EZM86" s="1255"/>
      <c r="EZN86" s="1255"/>
      <c r="EZO86" s="1255"/>
      <c r="EZP86" s="1255"/>
      <c r="EZQ86" s="1255"/>
      <c r="EZR86" s="1255"/>
      <c r="EZS86" s="1255"/>
      <c r="EZT86" s="1255"/>
      <c r="EZU86" s="1255"/>
      <c r="EZV86" s="1255"/>
      <c r="EZW86" s="1255"/>
      <c r="EZX86" s="1255"/>
      <c r="EZY86" s="1255"/>
      <c r="EZZ86" s="1255"/>
      <c r="FAA86" s="1255"/>
      <c r="FAB86" s="1255"/>
      <c r="FAC86" s="1255"/>
      <c r="FAD86" s="1255"/>
      <c r="FAE86" s="1255"/>
      <c r="FAF86" s="1255"/>
      <c r="FAG86" s="1255"/>
      <c r="FAH86" s="1255"/>
      <c r="FAI86" s="1255"/>
      <c r="FAJ86" s="1255"/>
      <c r="FAK86" s="1255"/>
      <c r="FAL86" s="1255"/>
      <c r="FAM86" s="1255"/>
      <c r="FAN86" s="1255"/>
      <c r="FAO86" s="1255"/>
      <c r="FAP86" s="1255"/>
      <c r="FAQ86" s="1255"/>
      <c r="FAR86" s="1255"/>
      <c r="FAS86" s="1255"/>
      <c r="FAT86" s="1255"/>
      <c r="FAU86" s="1255"/>
      <c r="FAV86" s="1255"/>
      <c r="FAW86" s="1255"/>
      <c r="FAX86" s="1255"/>
      <c r="FAY86" s="1255"/>
      <c r="FAZ86" s="1255"/>
      <c r="FBA86" s="1255"/>
      <c r="FBB86" s="1255"/>
      <c r="FBC86" s="1255"/>
      <c r="FBD86" s="1255"/>
      <c r="FBE86" s="1255"/>
      <c r="FBF86" s="1255"/>
      <c r="FBG86" s="1255"/>
      <c r="FBH86" s="1255"/>
      <c r="FBI86" s="1255"/>
      <c r="FBJ86" s="1255"/>
      <c r="FBK86" s="1255"/>
      <c r="FBL86" s="1255"/>
      <c r="FBM86" s="1255"/>
      <c r="FBN86" s="1255"/>
      <c r="FBO86" s="1255"/>
      <c r="FBP86" s="1255"/>
      <c r="FBQ86" s="1255"/>
      <c r="FBR86" s="1255"/>
      <c r="FBS86" s="1255"/>
      <c r="FBT86" s="1255"/>
      <c r="FBU86" s="1255"/>
      <c r="FBV86" s="1255"/>
      <c r="FBW86" s="1255"/>
      <c r="FBX86" s="1255"/>
      <c r="FBY86" s="1255"/>
      <c r="FBZ86" s="1255"/>
      <c r="FCA86" s="1255"/>
      <c r="FCB86" s="1255"/>
      <c r="FCC86" s="1255"/>
      <c r="FCD86" s="1255"/>
      <c r="FCE86" s="1255"/>
      <c r="FCF86" s="1255"/>
      <c r="FCG86" s="1255"/>
      <c r="FCH86" s="1255"/>
      <c r="FCI86" s="1255"/>
      <c r="FCJ86" s="1255"/>
      <c r="FCK86" s="1255"/>
      <c r="FCL86" s="1255"/>
      <c r="FCM86" s="1255"/>
      <c r="FCN86" s="1255"/>
      <c r="FCO86" s="1255"/>
      <c r="FCP86" s="1255"/>
      <c r="FCQ86" s="1255"/>
      <c r="FCR86" s="1255"/>
      <c r="FCS86" s="1255"/>
      <c r="FCT86" s="1255"/>
      <c r="FCU86" s="1255"/>
      <c r="FCV86" s="1255"/>
      <c r="FCW86" s="1255"/>
      <c r="FCX86" s="1255"/>
      <c r="FCY86" s="1255"/>
      <c r="FCZ86" s="1255"/>
      <c r="FDA86" s="1255"/>
      <c r="FDB86" s="1255"/>
      <c r="FDC86" s="1255"/>
      <c r="FDD86" s="1255"/>
      <c r="FDE86" s="1255"/>
      <c r="FDF86" s="1255"/>
      <c r="FDG86" s="1255"/>
      <c r="FDH86" s="1255"/>
      <c r="FDI86" s="1255"/>
      <c r="FDJ86" s="1255"/>
      <c r="FDK86" s="1255"/>
      <c r="FDL86" s="1255"/>
      <c r="FDM86" s="1255"/>
      <c r="FDN86" s="1255"/>
      <c r="FDO86" s="1255"/>
      <c r="FDP86" s="1255"/>
      <c r="FDQ86" s="1255"/>
      <c r="FDR86" s="1255"/>
      <c r="FDS86" s="1255"/>
      <c r="FDT86" s="1255"/>
      <c r="FDU86" s="1255"/>
      <c r="FDV86" s="1255"/>
      <c r="FDW86" s="1255"/>
      <c r="FDX86" s="1255"/>
      <c r="FDY86" s="1255"/>
      <c r="FDZ86" s="1255"/>
      <c r="FEA86" s="1255"/>
      <c r="FEB86" s="1255"/>
      <c r="FEC86" s="1255"/>
      <c r="FED86" s="1255"/>
      <c r="FEE86" s="1255"/>
      <c r="FEF86" s="1255"/>
      <c r="FEG86" s="1255"/>
      <c r="FEH86" s="1255"/>
      <c r="FEI86" s="1255"/>
      <c r="FEJ86" s="1255"/>
      <c r="FEK86" s="1255"/>
      <c r="FEL86" s="1255"/>
      <c r="FEM86" s="1255"/>
      <c r="FEN86" s="1255"/>
      <c r="FEO86" s="1255"/>
      <c r="FEP86" s="1255"/>
      <c r="FEQ86" s="1255"/>
      <c r="FER86" s="1255"/>
      <c r="FES86" s="1255"/>
      <c r="FET86" s="1255"/>
      <c r="FEU86" s="1255"/>
      <c r="FEV86" s="1255"/>
      <c r="FEW86" s="1255"/>
      <c r="FEX86" s="1255"/>
      <c r="FEY86" s="1255"/>
      <c r="FEZ86" s="1255"/>
      <c r="FFA86" s="1255"/>
      <c r="FFB86" s="1255"/>
      <c r="FFC86" s="1255"/>
      <c r="FFD86" s="1255"/>
      <c r="FFE86" s="1255"/>
      <c r="FFF86" s="1255"/>
      <c r="FFG86" s="1255"/>
      <c r="FFH86" s="1255"/>
      <c r="FFI86" s="1255"/>
      <c r="FFJ86" s="1255"/>
      <c r="FFK86" s="1255"/>
      <c r="FFL86" s="1255"/>
      <c r="FFM86" s="1255"/>
      <c r="FFN86" s="1255"/>
      <c r="FFO86" s="1255"/>
      <c r="FFP86" s="1255"/>
      <c r="FFQ86" s="1255"/>
      <c r="FFR86" s="1255"/>
      <c r="FFS86" s="1255"/>
      <c r="FFT86" s="1255"/>
      <c r="FFU86" s="1255"/>
      <c r="FFV86" s="1255"/>
      <c r="FFW86" s="1255"/>
      <c r="FFX86" s="1255"/>
      <c r="FFY86" s="1255"/>
      <c r="FFZ86" s="1255"/>
      <c r="FGA86" s="1255"/>
      <c r="FGB86" s="1255"/>
      <c r="FGC86" s="1255"/>
      <c r="FGD86" s="1255"/>
      <c r="FGE86" s="1255"/>
      <c r="FGF86" s="1255"/>
      <c r="FGG86" s="1255"/>
      <c r="FGH86" s="1255"/>
      <c r="FGI86" s="1255"/>
      <c r="FGJ86" s="1255"/>
      <c r="FGK86" s="1255"/>
      <c r="FGL86" s="1255"/>
      <c r="FGM86" s="1255"/>
      <c r="FGN86" s="1255"/>
      <c r="FGO86" s="1255"/>
      <c r="FGP86" s="1255"/>
      <c r="FGQ86" s="1255"/>
      <c r="FGR86" s="1255"/>
      <c r="FGS86" s="1255"/>
      <c r="FGT86" s="1255"/>
      <c r="FGU86" s="1255"/>
      <c r="FGV86" s="1255"/>
      <c r="FGW86" s="1255"/>
      <c r="FGX86" s="1255"/>
      <c r="FGY86" s="1255"/>
      <c r="FGZ86" s="1255"/>
      <c r="FHA86" s="1255"/>
      <c r="FHB86" s="1255"/>
      <c r="FHC86" s="1255"/>
      <c r="FHD86" s="1255"/>
      <c r="FHE86" s="1255"/>
      <c r="FHF86" s="1255"/>
      <c r="FHG86" s="1255"/>
      <c r="FHH86" s="1255"/>
      <c r="FHI86" s="1255"/>
      <c r="FHJ86" s="1255"/>
      <c r="FHK86" s="1255"/>
      <c r="FHL86" s="1255"/>
      <c r="FHM86" s="1255"/>
      <c r="FHN86" s="1255"/>
      <c r="FHO86" s="1255"/>
      <c r="FHP86" s="1255"/>
      <c r="FHQ86" s="1255"/>
      <c r="FHR86" s="1255"/>
      <c r="FHS86" s="1255"/>
      <c r="FHT86" s="1255"/>
      <c r="FHU86" s="1255"/>
      <c r="FHV86" s="1255"/>
      <c r="FHW86" s="1255"/>
      <c r="FHX86" s="1255"/>
      <c r="FHY86" s="1255"/>
      <c r="FHZ86" s="1255"/>
      <c r="FIA86" s="1255"/>
      <c r="FIB86" s="1255"/>
      <c r="FIC86" s="1255"/>
      <c r="FID86" s="1255"/>
      <c r="FIE86" s="1255"/>
      <c r="FIF86" s="1255"/>
      <c r="FIG86" s="1255"/>
      <c r="FIH86" s="1255"/>
      <c r="FII86" s="1255"/>
      <c r="FIJ86" s="1255"/>
      <c r="FIK86" s="1255"/>
      <c r="FIL86" s="1255"/>
      <c r="FIM86" s="1255"/>
      <c r="FIN86" s="1255"/>
      <c r="FIO86" s="1255"/>
      <c r="FIP86" s="1255"/>
      <c r="FIQ86" s="1255"/>
      <c r="FIR86" s="1255"/>
      <c r="FIS86" s="1255"/>
      <c r="FIT86" s="1255"/>
      <c r="FIU86" s="1255"/>
      <c r="FIV86" s="1255"/>
      <c r="FIW86" s="1255"/>
      <c r="FIX86" s="1255"/>
      <c r="FIY86" s="1255"/>
      <c r="FIZ86" s="1255"/>
      <c r="FJA86" s="1255"/>
      <c r="FJB86" s="1255"/>
      <c r="FJC86" s="1255"/>
      <c r="FJD86" s="1255"/>
      <c r="FJE86" s="1255"/>
      <c r="FJF86" s="1255"/>
      <c r="FJG86" s="1255"/>
      <c r="FJH86" s="1255"/>
      <c r="FJI86" s="1255"/>
      <c r="FJJ86" s="1255"/>
      <c r="FJK86" s="1255"/>
      <c r="FJL86" s="1255"/>
      <c r="FJM86" s="1255"/>
      <c r="FJN86" s="1255"/>
      <c r="FJO86" s="1255"/>
      <c r="FJP86" s="1255"/>
      <c r="FJQ86" s="1255"/>
      <c r="FJR86" s="1255"/>
      <c r="FJS86" s="1255"/>
      <c r="FJT86" s="1255"/>
      <c r="FJU86" s="1255"/>
      <c r="FJV86" s="1255"/>
      <c r="FJW86" s="1255"/>
      <c r="FJX86" s="1255"/>
      <c r="FJY86" s="1255"/>
      <c r="FJZ86" s="1255"/>
      <c r="FKA86" s="1255"/>
      <c r="FKB86" s="1255"/>
      <c r="FKC86" s="1255"/>
      <c r="FKD86" s="1255"/>
      <c r="FKE86" s="1255"/>
      <c r="FKF86" s="1255"/>
      <c r="FKG86" s="1255"/>
      <c r="FKH86" s="1255"/>
      <c r="FKI86" s="1255"/>
      <c r="FKJ86" s="1255"/>
      <c r="FKK86" s="1255"/>
      <c r="FKL86" s="1255"/>
      <c r="FKM86" s="1255"/>
      <c r="FKN86" s="1255"/>
      <c r="FKO86" s="1255"/>
      <c r="FKP86" s="1255"/>
      <c r="FKQ86" s="1255"/>
      <c r="FKR86" s="1255"/>
      <c r="FKS86" s="1255"/>
      <c r="FKT86" s="1255"/>
      <c r="FKU86" s="1255"/>
      <c r="FKV86" s="1255"/>
      <c r="FKW86" s="1255"/>
      <c r="FKX86" s="1255"/>
      <c r="FKY86" s="1255"/>
      <c r="FKZ86" s="1255"/>
      <c r="FLA86" s="1255"/>
      <c r="FLB86" s="1255"/>
      <c r="FLC86" s="1255"/>
      <c r="FLD86" s="1255"/>
      <c r="FLE86" s="1255"/>
      <c r="FLF86" s="1255"/>
      <c r="FLG86" s="1255"/>
      <c r="FLH86" s="1255"/>
      <c r="FLI86" s="1255"/>
      <c r="FLJ86" s="1255"/>
      <c r="FLK86" s="1255"/>
      <c r="FLL86" s="1255"/>
      <c r="FLM86" s="1255"/>
      <c r="FLN86" s="1255"/>
      <c r="FLO86" s="1255"/>
      <c r="FLP86" s="1255"/>
      <c r="FLQ86" s="1255"/>
      <c r="FLR86" s="1255"/>
      <c r="FLS86" s="1255"/>
      <c r="FLT86" s="1255"/>
      <c r="FLU86" s="1255"/>
      <c r="FLV86" s="1255"/>
      <c r="FLW86" s="1255"/>
      <c r="FLX86" s="1255"/>
      <c r="FLY86" s="1255"/>
      <c r="FLZ86" s="1255"/>
      <c r="FMA86" s="1255"/>
      <c r="FMB86" s="1255"/>
      <c r="FMC86" s="1255"/>
      <c r="FMD86" s="1255"/>
      <c r="FME86" s="1255"/>
      <c r="FMF86" s="1255"/>
      <c r="FMG86" s="1255"/>
      <c r="FMH86" s="1255"/>
      <c r="FMI86" s="1255"/>
      <c r="FMJ86" s="1255"/>
      <c r="FMK86" s="1255"/>
      <c r="FML86" s="1255"/>
      <c r="FMM86" s="1255"/>
      <c r="FMN86" s="1255"/>
      <c r="FMO86" s="1255"/>
      <c r="FMP86" s="1255"/>
      <c r="FMQ86" s="1255"/>
      <c r="FMR86" s="1255"/>
      <c r="FMS86" s="1255"/>
      <c r="FMT86" s="1255"/>
      <c r="FMU86" s="1255"/>
      <c r="FMV86" s="1255"/>
      <c r="FMW86" s="1255"/>
      <c r="FMX86" s="1255"/>
      <c r="FMY86" s="1255"/>
      <c r="FMZ86" s="1255"/>
      <c r="FNA86" s="1255"/>
      <c r="FNB86" s="1255"/>
      <c r="FNC86" s="1255"/>
      <c r="FND86" s="1255"/>
      <c r="FNE86" s="1255"/>
      <c r="FNF86" s="1255"/>
      <c r="FNG86" s="1255"/>
      <c r="FNH86" s="1255"/>
      <c r="FNI86" s="1255"/>
      <c r="FNJ86" s="1255"/>
      <c r="FNK86" s="1255"/>
      <c r="FNL86" s="1255"/>
      <c r="FNM86" s="1255"/>
      <c r="FNN86" s="1255"/>
      <c r="FNO86" s="1255"/>
      <c r="FNP86" s="1255"/>
      <c r="FNQ86" s="1255"/>
      <c r="FNR86" s="1255"/>
      <c r="FNS86" s="1255"/>
      <c r="FNT86" s="1255"/>
      <c r="FNU86" s="1255"/>
      <c r="FNV86" s="1255"/>
      <c r="FNW86" s="1255"/>
      <c r="FNX86" s="1255"/>
      <c r="FNY86" s="1255"/>
      <c r="FNZ86" s="1255"/>
      <c r="FOA86" s="1255"/>
      <c r="FOB86" s="1255"/>
      <c r="FOC86" s="1255"/>
      <c r="FOD86" s="1255"/>
      <c r="FOE86" s="1255"/>
      <c r="FOF86" s="1255"/>
      <c r="FOG86" s="1255"/>
      <c r="FOH86" s="1255"/>
      <c r="FOI86" s="1255"/>
      <c r="FOJ86" s="1255"/>
      <c r="FOK86" s="1255"/>
      <c r="FOL86" s="1255"/>
      <c r="FOM86" s="1255"/>
      <c r="FON86" s="1255"/>
      <c r="FOO86" s="1255"/>
      <c r="FOP86" s="1255"/>
      <c r="FOQ86" s="1255"/>
      <c r="FOR86" s="1255"/>
      <c r="FOS86" s="1255"/>
      <c r="FOT86" s="1255"/>
      <c r="FOU86" s="1255"/>
      <c r="FOV86" s="1255"/>
      <c r="FOW86" s="1255"/>
      <c r="FOX86" s="1255"/>
      <c r="FOY86" s="1255"/>
      <c r="FOZ86" s="1255"/>
      <c r="FPA86" s="1255"/>
      <c r="FPB86" s="1255"/>
      <c r="FPC86" s="1255"/>
      <c r="FPD86" s="1255"/>
      <c r="FPE86" s="1255"/>
      <c r="FPF86" s="1255"/>
      <c r="FPG86" s="1255"/>
      <c r="FPH86" s="1255"/>
      <c r="FPI86" s="1255"/>
      <c r="FPJ86" s="1255"/>
      <c r="FPK86" s="1255"/>
      <c r="FPL86" s="1255"/>
      <c r="FPM86" s="1255"/>
      <c r="FPN86" s="1255"/>
      <c r="FPO86" s="1255"/>
      <c r="FPP86" s="1255"/>
      <c r="FPQ86" s="1255"/>
      <c r="FPR86" s="1255"/>
      <c r="FPS86" s="1255"/>
      <c r="FPT86" s="1255"/>
      <c r="FPU86" s="1255"/>
      <c r="FPV86" s="1255"/>
      <c r="FPW86" s="1255"/>
      <c r="FPX86" s="1255"/>
      <c r="FPY86" s="1255"/>
      <c r="FPZ86" s="1255"/>
      <c r="FQA86" s="1255"/>
      <c r="FQB86" s="1255"/>
      <c r="FQC86" s="1255"/>
      <c r="FQD86" s="1255"/>
      <c r="FQE86" s="1255"/>
      <c r="FQF86" s="1255"/>
      <c r="FQG86" s="1255"/>
      <c r="FQH86" s="1255"/>
      <c r="FQI86" s="1255"/>
      <c r="FQJ86" s="1255"/>
      <c r="FQK86" s="1255"/>
      <c r="FQL86" s="1255"/>
      <c r="FQM86" s="1255"/>
      <c r="FQN86" s="1255"/>
      <c r="FQO86" s="1255"/>
      <c r="FQP86" s="1255"/>
      <c r="FQQ86" s="1255"/>
      <c r="FQR86" s="1255"/>
      <c r="FQS86" s="1255"/>
      <c r="FQT86" s="1255"/>
      <c r="FQU86" s="1255"/>
      <c r="FQV86" s="1255"/>
      <c r="FQW86" s="1255"/>
      <c r="FQX86" s="1255"/>
      <c r="FQY86" s="1255"/>
      <c r="FQZ86" s="1255"/>
      <c r="FRA86" s="1255"/>
      <c r="FRB86" s="1255"/>
      <c r="FRC86" s="1255"/>
      <c r="FRD86" s="1255"/>
      <c r="FRE86" s="1255"/>
      <c r="FRF86" s="1255"/>
      <c r="FRG86" s="1255"/>
      <c r="FRH86" s="1255"/>
      <c r="FRI86" s="1255"/>
      <c r="FRJ86" s="1255"/>
      <c r="FRK86" s="1255"/>
      <c r="FRL86" s="1255"/>
      <c r="FRM86" s="1255"/>
      <c r="FRN86" s="1255"/>
      <c r="FRO86" s="1255"/>
      <c r="FRP86" s="1255"/>
      <c r="FRQ86" s="1255"/>
      <c r="FRR86" s="1255"/>
      <c r="FRS86" s="1255"/>
      <c r="FRT86" s="1255"/>
      <c r="FRU86" s="1255"/>
      <c r="FRV86" s="1255"/>
      <c r="FRW86" s="1255"/>
      <c r="FRX86" s="1255"/>
      <c r="FRY86" s="1255"/>
      <c r="FRZ86" s="1255"/>
      <c r="FSA86" s="1255"/>
      <c r="FSB86" s="1255"/>
      <c r="FSC86" s="1255"/>
      <c r="FSD86" s="1255"/>
      <c r="FSE86" s="1255"/>
      <c r="FSF86" s="1255"/>
      <c r="FSG86" s="1255"/>
      <c r="FSH86" s="1255"/>
      <c r="FSI86" s="1255"/>
      <c r="FSJ86" s="1255"/>
      <c r="FSK86" s="1255"/>
      <c r="FSL86" s="1255"/>
      <c r="FSM86" s="1255"/>
      <c r="FSN86" s="1255"/>
      <c r="FSO86" s="1255"/>
      <c r="FSP86" s="1255"/>
      <c r="FSQ86" s="1255"/>
      <c r="FSR86" s="1255"/>
      <c r="FSS86" s="1255"/>
      <c r="FST86" s="1255"/>
      <c r="FSU86" s="1255"/>
      <c r="FSV86" s="1255"/>
      <c r="FSW86" s="1255"/>
      <c r="FSX86" s="1255"/>
      <c r="FSY86" s="1255"/>
      <c r="FSZ86" s="1255"/>
      <c r="FTA86" s="1255"/>
      <c r="FTB86" s="1255"/>
      <c r="FTC86" s="1255"/>
      <c r="FTD86" s="1255"/>
      <c r="FTE86" s="1255"/>
      <c r="FTF86" s="1255"/>
      <c r="FTG86" s="1255"/>
      <c r="FTH86" s="1255"/>
      <c r="FTI86" s="1255"/>
      <c r="FTJ86" s="1255"/>
      <c r="FTK86" s="1255"/>
      <c r="FTL86" s="1255"/>
      <c r="FTM86" s="1255"/>
      <c r="FTN86" s="1255"/>
      <c r="FTO86" s="1255"/>
      <c r="FTP86" s="1255"/>
      <c r="FTQ86" s="1255"/>
      <c r="FTR86" s="1255"/>
      <c r="FTS86" s="1255"/>
      <c r="FTT86" s="1255"/>
      <c r="FTU86" s="1255"/>
      <c r="FTV86" s="1255"/>
      <c r="FTW86" s="1255"/>
      <c r="FTX86" s="1255"/>
      <c r="FTY86" s="1255"/>
      <c r="FTZ86" s="1255"/>
      <c r="FUA86" s="1255"/>
      <c r="FUB86" s="1255"/>
      <c r="FUC86" s="1255"/>
      <c r="FUD86" s="1255"/>
      <c r="FUE86" s="1255"/>
      <c r="FUF86" s="1255"/>
      <c r="FUG86" s="1255"/>
      <c r="FUH86" s="1255"/>
      <c r="FUI86" s="1255"/>
      <c r="FUJ86" s="1255"/>
      <c r="FUK86" s="1255"/>
      <c r="FUL86" s="1255"/>
      <c r="FUM86" s="1255"/>
      <c r="FUN86" s="1255"/>
      <c r="FUO86" s="1255"/>
      <c r="FUP86" s="1255"/>
      <c r="FUQ86" s="1255"/>
      <c r="FUR86" s="1255"/>
      <c r="FUS86" s="1255"/>
      <c r="FUT86" s="1255"/>
      <c r="FUU86" s="1255"/>
      <c r="FUV86" s="1255"/>
      <c r="FUW86" s="1255"/>
      <c r="FUX86" s="1255"/>
      <c r="FUY86" s="1255"/>
      <c r="FUZ86" s="1255"/>
      <c r="FVA86" s="1255"/>
      <c r="FVB86" s="1255"/>
      <c r="FVC86" s="1255"/>
      <c r="FVD86" s="1255"/>
      <c r="FVE86" s="1255"/>
      <c r="FVF86" s="1255"/>
      <c r="FVG86" s="1255"/>
      <c r="FVH86" s="1255"/>
      <c r="FVI86" s="1255"/>
      <c r="FVJ86" s="1255"/>
      <c r="FVK86" s="1255"/>
      <c r="FVL86" s="1255"/>
      <c r="FVM86" s="1255"/>
      <c r="FVN86" s="1255"/>
      <c r="FVO86" s="1255"/>
      <c r="FVP86" s="1255"/>
      <c r="FVQ86" s="1255"/>
      <c r="FVR86" s="1255"/>
      <c r="FVS86" s="1255"/>
      <c r="FVT86" s="1255"/>
      <c r="FVU86" s="1255"/>
      <c r="FVV86" s="1255"/>
      <c r="FVW86" s="1255"/>
      <c r="FVX86" s="1255"/>
      <c r="FVY86" s="1255"/>
      <c r="FVZ86" s="1255"/>
      <c r="FWA86" s="1255"/>
      <c r="FWB86" s="1255"/>
      <c r="FWC86" s="1255"/>
      <c r="FWD86" s="1255"/>
      <c r="FWE86" s="1255"/>
      <c r="FWF86" s="1255"/>
      <c r="FWG86" s="1255"/>
      <c r="FWH86" s="1255"/>
      <c r="FWI86" s="1255"/>
      <c r="FWJ86" s="1255"/>
      <c r="FWK86" s="1255"/>
      <c r="FWL86" s="1255"/>
      <c r="FWM86" s="1255"/>
      <c r="FWN86" s="1255"/>
      <c r="FWO86" s="1255"/>
      <c r="FWP86" s="1255"/>
      <c r="FWQ86" s="1255"/>
      <c r="FWR86" s="1255"/>
      <c r="FWS86" s="1255"/>
      <c r="FWT86" s="1255"/>
      <c r="FWU86" s="1255"/>
      <c r="FWV86" s="1255"/>
      <c r="FWW86" s="1255"/>
      <c r="FWX86" s="1255"/>
      <c r="FWY86" s="1255"/>
      <c r="FWZ86" s="1255"/>
      <c r="FXA86" s="1255"/>
      <c r="FXB86" s="1255"/>
      <c r="FXC86" s="1255"/>
      <c r="FXD86" s="1255"/>
      <c r="FXE86" s="1255"/>
      <c r="FXF86" s="1255"/>
      <c r="FXG86" s="1255"/>
      <c r="FXH86" s="1255"/>
      <c r="FXI86" s="1255"/>
      <c r="FXJ86" s="1255"/>
      <c r="FXK86" s="1255"/>
      <c r="FXL86" s="1255"/>
      <c r="FXM86" s="1255"/>
      <c r="FXN86" s="1255"/>
      <c r="FXO86" s="1255"/>
      <c r="FXP86" s="1255"/>
      <c r="FXQ86" s="1255"/>
      <c r="FXR86" s="1255"/>
      <c r="FXS86" s="1255"/>
      <c r="FXT86" s="1255"/>
      <c r="FXU86" s="1255"/>
      <c r="FXV86" s="1255"/>
      <c r="FXW86" s="1255"/>
      <c r="FXX86" s="1255"/>
      <c r="FXY86" s="1255"/>
      <c r="FXZ86" s="1255"/>
      <c r="FYA86" s="1255"/>
      <c r="FYB86" s="1255"/>
      <c r="FYC86" s="1255"/>
      <c r="FYD86" s="1255"/>
      <c r="FYE86" s="1255"/>
      <c r="FYF86" s="1255"/>
      <c r="FYG86" s="1255"/>
      <c r="FYH86" s="1255"/>
      <c r="FYI86" s="1255"/>
      <c r="FYJ86" s="1255"/>
      <c r="FYK86" s="1255"/>
      <c r="FYL86" s="1255"/>
      <c r="FYM86" s="1255"/>
      <c r="FYN86" s="1255"/>
      <c r="FYO86" s="1255"/>
      <c r="FYP86" s="1255"/>
      <c r="FYQ86" s="1255"/>
      <c r="FYR86" s="1255"/>
      <c r="FYS86" s="1255"/>
      <c r="FYT86" s="1255"/>
      <c r="FYU86" s="1255"/>
      <c r="FYV86" s="1255"/>
      <c r="FYW86" s="1255"/>
      <c r="FYX86" s="1255"/>
      <c r="FYY86" s="1255"/>
      <c r="FYZ86" s="1255"/>
      <c r="FZA86" s="1255"/>
      <c r="FZB86" s="1255"/>
      <c r="FZC86" s="1255"/>
      <c r="FZD86" s="1255"/>
      <c r="FZE86" s="1255"/>
      <c r="FZF86" s="1255"/>
      <c r="FZG86" s="1255"/>
      <c r="FZH86" s="1255"/>
      <c r="FZI86" s="1255"/>
      <c r="FZJ86" s="1255"/>
      <c r="FZK86" s="1255"/>
      <c r="FZL86" s="1255"/>
      <c r="FZM86" s="1255"/>
      <c r="FZN86" s="1255"/>
      <c r="FZO86" s="1255"/>
      <c r="FZP86" s="1255"/>
      <c r="FZQ86" s="1255"/>
      <c r="FZR86" s="1255"/>
      <c r="FZS86" s="1255"/>
      <c r="FZT86" s="1255"/>
      <c r="FZU86" s="1255"/>
      <c r="FZV86" s="1255"/>
      <c r="FZW86" s="1255"/>
      <c r="FZX86" s="1255"/>
      <c r="FZY86" s="1255"/>
      <c r="FZZ86" s="1255"/>
      <c r="GAA86" s="1255"/>
      <c r="GAB86" s="1255"/>
      <c r="GAC86" s="1255"/>
      <c r="GAD86" s="1255"/>
      <c r="GAE86" s="1255"/>
      <c r="GAF86" s="1255"/>
      <c r="GAG86" s="1255"/>
      <c r="GAH86" s="1255"/>
      <c r="GAI86" s="1255"/>
      <c r="GAJ86" s="1255"/>
      <c r="GAK86" s="1255"/>
      <c r="GAL86" s="1255"/>
      <c r="GAM86" s="1255"/>
      <c r="GAN86" s="1255"/>
      <c r="GAO86" s="1255"/>
      <c r="GAP86" s="1255"/>
      <c r="GAQ86" s="1255"/>
      <c r="GAR86" s="1255"/>
      <c r="GAS86" s="1255"/>
      <c r="GAT86" s="1255"/>
      <c r="GAU86" s="1255"/>
      <c r="GAV86" s="1255"/>
      <c r="GAW86" s="1255"/>
      <c r="GAX86" s="1255"/>
      <c r="GAY86" s="1255"/>
      <c r="GAZ86" s="1255"/>
      <c r="GBA86" s="1255"/>
      <c r="GBB86" s="1255"/>
      <c r="GBC86" s="1255"/>
      <c r="GBD86" s="1255"/>
      <c r="GBE86" s="1255"/>
      <c r="GBF86" s="1255"/>
      <c r="GBG86" s="1255"/>
      <c r="GBH86" s="1255"/>
      <c r="GBI86" s="1255"/>
      <c r="GBJ86" s="1255"/>
      <c r="GBK86" s="1255"/>
      <c r="GBL86" s="1255"/>
      <c r="GBM86" s="1255"/>
      <c r="GBN86" s="1255"/>
      <c r="GBO86" s="1255"/>
      <c r="GBP86" s="1255"/>
      <c r="GBQ86" s="1255"/>
      <c r="GBR86" s="1255"/>
      <c r="GBS86" s="1255"/>
      <c r="GBT86" s="1255"/>
      <c r="GBU86" s="1255"/>
      <c r="GBV86" s="1255"/>
      <c r="GBW86" s="1255"/>
      <c r="GBX86" s="1255"/>
      <c r="GBY86" s="1255"/>
      <c r="GBZ86" s="1255"/>
      <c r="GCA86" s="1255"/>
      <c r="GCB86" s="1255"/>
      <c r="GCC86" s="1255"/>
      <c r="GCD86" s="1255"/>
      <c r="GCE86" s="1255"/>
      <c r="GCF86" s="1255"/>
      <c r="GCG86" s="1255"/>
      <c r="GCH86" s="1255"/>
      <c r="GCI86" s="1255"/>
      <c r="GCJ86" s="1255"/>
      <c r="GCK86" s="1255"/>
      <c r="GCL86" s="1255"/>
      <c r="GCM86" s="1255"/>
      <c r="GCN86" s="1255"/>
      <c r="GCO86" s="1255"/>
      <c r="GCP86" s="1255"/>
      <c r="GCQ86" s="1255"/>
      <c r="GCR86" s="1255"/>
      <c r="GCS86" s="1255"/>
      <c r="GCT86" s="1255"/>
      <c r="GCU86" s="1255"/>
      <c r="GCV86" s="1255"/>
      <c r="GCW86" s="1255"/>
      <c r="GCX86" s="1255"/>
      <c r="GCY86" s="1255"/>
      <c r="GCZ86" s="1255"/>
      <c r="GDA86" s="1255"/>
      <c r="GDB86" s="1255"/>
      <c r="GDC86" s="1255"/>
      <c r="GDD86" s="1255"/>
      <c r="GDE86" s="1255"/>
      <c r="GDF86" s="1255"/>
      <c r="GDG86" s="1255"/>
      <c r="GDH86" s="1255"/>
      <c r="GDI86" s="1255"/>
      <c r="GDJ86" s="1255"/>
      <c r="GDK86" s="1255"/>
      <c r="GDL86" s="1255"/>
      <c r="GDM86" s="1255"/>
      <c r="GDN86" s="1255"/>
      <c r="GDO86" s="1255"/>
      <c r="GDP86" s="1255"/>
      <c r="GDQ86" s="1255"/>
      <c r="GDR86" s="1255"/>
      <c r="GDS86" s="1255"/>
      <c r="GDT86" s="1255"/>
      <c r="GDU86" s="1255"/>
      <c r="GDV86" s="1255"/>
      <c r="GDW86" s="1255"/>
      <c r="GDX86" s="1255"/>
      <c r="GDY86" s="1255"/>
      <c r="GDZ86" s="1255"/>
      <c r="GEA86" s="1255"/>
      <c r="GEB86" s="1255"/>
      <c r="GEC86" s="1255"/>
      <c r="GED86" s="1255"/>
      <c r="GEE86" s="1255"/>
      <c r="GEF86" s="1255"/>
      <c r="GEG86" s="1255"/>
      <c r="GEH86" s="1255"/>
      <c r="GEI86" s="1255"/>
      <c r="GEJ86" s="1255"/>
      <c r="GEK86" s="1255"/>
      <c r="GEL86" s="1255"/>
      <c r="GEM86" s="1255"/>
      <c r="GEN86" s="1255"/>
      <c r="GEO86" s="1255"/>
      <c r="GEP86" s="1255"/>
      <c r="GEQ86" s="1255"/>
      <c r="GER86" s="1255"/>
      <c r="GES86" s="1255"/>
      <c r="GET86" s="1255"/>
      <c r="GEU86" s="1255"/>
      <c r="GEV86" s="1255"/>
      <c r="GEW86" s="1255"/>
      <c r="GEX86" s="1255"/>
      <c r="GEY86" s="1255"/>
      <c r="GEZ86" s="1255"/>
      <c r="GFA86" s="1255"/>
      <c r="GFB86" s="1255"/>
      <c r="GFC86" s="1255"/>
      <c r="GFD86" s="1255"/>
      <c r="GFE86" s="1255"/>
      <c r="GFF86" s="1255"/>
      <c r="GFG86" s="1255"/>
      <c r="GFH86" s="1255"/>
      <c r="GFI86" s="1255"/>
      <c r="GFJ86" s="1255"/>
      <c r="GFK86" s="1255"/>
      <c r="GFL86" s="1255"/>
      <c r="GFM86" s="1255"/>
      <c r="GFN86" s="1255"/>
      <c r="GFO86" s="1255"/>
      <c r="GFP86" s="1255"/>
      <c r="GFQ86" s="1255"/>
      <c r="GFR86" s="1255"/>
      <c r="GFS86" s="1255"/>
      <c r="GFT86" s="1255"/>
      <c r="GFU86" s="1255"/>
      <c r="GFV86" s="1255"/>
      <c r="GFW86" s="1255"/>
      <c r="GFX86" s="1255"/>
      <c r="GFY86" s="1255"/>
      <c r="GFZ86" s="1255"/>
      <c r="GGA86" s="1255"/>
      <c r="GGB86" s="1255"/>
      <c r="GGC86" s="1255"/>
      <c r="GGD86" s="1255"/>
      <c r="GGE86" s="1255"/>
      <c r="GGF86" s="1255"/>
      <c r="GGG86" s="1255"/>
      <c r="GGH86" s="1255"/>
      <c r="GGI86" s="1255"/>
      <c r="GGJ86" s="1255"/>
      <c r="GGK86" s="1255"/>
      <c r="GGL86" s="1255"/>
      <c r="GGM86" s="1255"/>
      <c r="GGN86" s="1255"/>
      <c r="GGO86" s="1255"/>
      <c r="GGP86" s="1255"/>
      <c r="GGQ86" s="1255"/>
      <c r="GGR86" s="1255"/>
      <c r="GGS86" s="1255"/>
      <c r="GGT86" s="1255"/>
      <c r="GGU86" s="1255"/>
      <c r="GGV86" s="1255"/>
      <c r="GGW86" s="1255"/>
      <c r="GGX86" s="1255"/>
      <c r="GGY86" s="1255"/>
      <c r="GGZ86" s="1255"/>
      <c r="GHA86" s="1255"/>
      <c r="GHB86" s="1255"/>
      <c r="GHC86" s="1255"/>
      <c r="GHD86" s="1255"/>
      <c r="GHE86" s="1255"/>
      <c r="GHF86" s="1255"/>
      <c r="GHG86" s="1255"/>
      <c r="GHH86" s="1255"/>
      <c r="GHI86" s="1255"/>
      <c r="GHJ86" s="1255"/>
      <c r="GHK86" s="1255"/>
      <c r="GHL86" s="1255"/>
      <c r="GHM86" s="1255"/>
      <c r="GHN86" s="1255"/>
      <c r="GHO86" s="1255"/>
      <c r="GHP86" s="1255"/>
      <c r="GHQ86" s="1255"/>
      <c r="GHR86" s="1255"/>
      <c r="GHS86" s="1255"/>
      <c r="GHT86" s="1255"/>
      <c r="GHU86" s="1255"/>
      <c r="GHV86" s="1255"/>
      <c r="GHW86" s="1255"/>
      <c r="GHX86" s="1255"/>
      <c r="GHY86" s="1255"/>
      <c r="GHZ86" s="1255"/>
      <c r="GIA86" s="1255"/>
      <c r="GIB86" s="1255"/>
      <c r="GIC86" s="1255"/>
      <c r="GID86" s="1255"/>
      <c r="GIE86" s="1255"/>
      <c r="GIF86" s="1255"/>
      <c r="GIG86" s="1255"/>
      <c r="GIH86" s="1255"/>
      <c r="GII86" s="1255"/>
      <c r="GIJ86" s="1255"/>
      <c r="GIK86" s="1255"/>
      <c r="GIL86" s="1255"/>
      <c r="GIM86" s="1255"/>
      <c r="GIN86" s="1255"/>
      <c r="GIO86" s="1255"/>
      <c r="GIP86" s="1255"/>
      <c r="GIQ86" s="1255"/>
      <c r="GIR86" s="1255"/>
      <c r="GIS86" s="1255"/>
      <c r="GIT86" s="1255"/>
      <c r="GIU86" s="1255"/>
      <c r="GIV86" s="1255"/>
      <c r="GIW86" s="1255"/>
      <c r="GIX86" s="1255"/>
      <c r="GIY86" s="1255"/>
      <c r="GIZ86" s="1255"/>
      <c r="GJA86" s="1255"/>
      <c r="GJB86" s="1255"/>
      <c r="GJC86" s="1255"/>
      <c r="GJD86" s="1255"/>
      <c r="GJE86" s="1255"/>
      <c r="GJF86" s="1255"/>
      <c r="GJG86" s="1255"/>
      <c r="GJH86" s="1255"/>
      <c r="GJI86" s="1255"/>
      <c r="GJJ86" s="1255"/>
      <c r="GJK86" s="1255"/>
      <c r="GJL86" s="1255"/>
      <c r="GJM86" s="1255"/>
      <c r="GJN86" s="1255"/>
      <c r="GJO86" s="1255"/>
      <c r="GJP86" s="1255"/>
      <c r="GJQ86" s="1255"/>
      <c r="GJR86" s="1255"/>
      <c r="GJS86" s="1255"/>
      <c r="GJT86" s="1255"/>
      <c r="GJU86" s="1255"/>
      <c r="GJV86" s="1255"/>
      <c r="GJW86" s="1255"/>
      <c r="GJX86" s="1255"/>
      <c r="GJY86" s="1255"/>
      <c r="GJZ86" s="1255"/>
      <c r="GKA86" s="1255"/>
      <c r="GKB86" s="1255"/>
      <c r="GKC86" s="1255"/>
      <c r="GKD86" s="1255"/>
      <c r="GKE86" s="1255"/>
      <c r="GKF86" s="1255"/>
      <c r="GKG86" s="1255"/>
      <c r="GKH86" s="1255"/>
      <c r="GKI86" s="1255"/>
      <c r="GKJ86" s="1255"/>
      <c r="GKK86" s="1255"/>
      <c r="GKL86" s="1255"/>
      <c r="GKM86" s="1255"/>
      <c r="GKN86" s="1255"/>
      <c r="GKO86" s="1255"/>
      <c r="GKP86" s="1255"/>
      <c r="GKQ86" s="1255"/>
      <c r="GKR86" s="1255"/>
      <c r="GKS86" s="1255"/>
      <c r="GKT86" s="1255"/>
      <c r="GKU86" s="1255"/>
      <c r="GKV86" s="1255"/>
      <c r="GKW86" s="1255"/>
      <c r="GKX86" s="1255"/>
      <c r="GKY86" s="1255"/>
      <c r="GKZ86" s="1255"/>
      <c r="GLA86" s="1255"/>
      <c r="GLB86" s="1255"/>
      <c r="GLC86" s="1255"/>
      <c r="GLD86" s="1255"/>
      <c r="GLE86" s="1255"/>
      <c r="GLF86" s="1255"/>
      <c r="GLG86" s="1255"/>
      <c r="GLH86" s="1255"/>
      <c r="GLI86" s="1255"/>
      <c r="GLJ86" s="1255"/>
      <c r="GLK86" s="1255"/>
      <c r="GLL86" s="1255"/>
      <c r="GLM86" s="1255"/>
      <c r="GLN86" s="1255"/>
      <c r="GLO86" s="1255"/>
      <c r="GLP86" s="1255"/>
      <c r="GLQ86" s="1255"/>
      <c r="GLR86" s="1255"/>
      <c r="GLS86" s="1255"/>
      <c r="GLT86" s="1255"/>
      <c r="GLU86" s="1255"/>
      <c r="GLV86" s="1255"/>
      <c r="GLW86" s="1255"/>
      <c r="GLX86" s="1255"/>
      <c r="GLY86" s="1255"/>
      <c r="GLZ86" s="1255"/>
      <c r="GMA86" s="1255"/>
      <c r="GMB86" s="1255"/>
      <c r="GMC86" s="1255"/>
      <c r="GMD86" s="1255"/>
      <c r="GME86" s="1255"/>
      <c r="GMF86" s="1255"/>
      <c r="GMG86" s="1255"/>
      <c r="GMH86" s="1255"/>
      <c r="GMI86" s="1255"/>
      <c r="GMJ86" s="1255"/>
      <c r="GMK86" s="1255"/>
      <c r="GML86" s="1255"/>
      <c r="GMM86" s="1255"/>
      <c r="GMN86" s="1255"/>
      <c r="GMO86" s="1255"/>
      <c r="GMP86" s="1255"/>
      <c r="GMQ86" s="1255"/>
      <c r="GMR86" s="1255"/>
      <c r="GMS86" s="1255"/>
      <c r="GMT86" s="1255"/>
      <c r="GMU86" s="1255"/>
      <c r="GMV86" s="1255"/>
      <c r="GMW86" s="1255"/>
      <c r="GMX86" s="1255"/>
      <c r="GMY86" s="1255"/>
      <c r="GMZ86" s="1255"/>
      <c r="GNA86" s="1255"/>
      <c r="GNB86" s="1255"/>
      <c r="GNC86" s="1255"/>
      <c r="GND86" s="1255"/>
      <c r="GNE86" s="1255"/>
      <c r="GNF86" s="1255"/>
      <c r="GNG86" s="1255"/>
      <c r="GNH86" s="1255"/>
      <c r="GNI86" s="1255"/>
      <c r="GNJ86" s="1255"/>
      <c r="GNK86" s="1255"/>
      <c r="GNL86" s="1255"/>
      <c r="GNM86" s="1255"/>
      <c r="GNN86" s="1255"/>
      <c r="GNO86" s="1255"/>
      <c r="GNP86" s="1255"/>
      <c r="GNQ86" s="1255"/>
      <c r="GNR86" s="1255"/>
      <c r="GNS86" s="1255"/>
      <c r="GNT86" s="1255"/>
      <c r="GNU86" s="1255"/>
      <c r="GNV86" s="1255"/>
      <c r="GNW86" s="1255"/>
      <c r="GNX86" s="1255"/>
      <c r="GNY86" s="1255"/>
      <c r="GNZ86" s="1255"/>
      <c r="GOA86" s="1255"/>
      <c r="GOB86" s="1255"/>
      <c r="GOC86" s="1255"/>
      <c r="GOD86" s="1255"/>
      <c r="GOE86" s="1255"/>
      <c r="GOF86" s="1255"/>
      <c r="GOG86" s="1255"/>
      <c r="GOH86" s="1255"/>
      <c r="GOI86" s="1255"/>
      <c r="GOJ86" s="1255"/>
      <c r="GOK86" s="1255"/>
      <c r="GOL86" s="1255"/>
      <c r="GOM86" s="1255"/>
      <c r="GON86" s="1255"/>
      <c r="GOO86" s="1255"/>
      <c r="GOP86" s="1255"/>
      <c r="GOQ86" s="1255"/>
      <c r="GOR86" s="1255"/>
      <c r="GOS86" s="1255"/>
      <c r="GOT86" s="1255"/>
      <c r="GOU86" s="1255"/>
      <c r="GOV86" s="1255"/>
      <c r="GOW86" s="1255"/>
      <c r="GOX86" s="1255"/>
      <c r="GOY86" s="1255"/>
      <c r="GOZ86" s="1255"/>
      <c r="GPA86" s="1255"/>
      <c r="GPB86" s="1255"/>
      <c r="GPC86" s="1255"/>
      <c r="GPD86" s="1255"/>
      <c r="GPE86" s="1255"/>
      <c r="GPF86" s="1255"/>
      <c r="GPG86" s="1255"/>
      <c r="GPH86" s="1255"/>
      <c r="GPI86" s="1255"/>
      <c r="GPJ86" s="1255"/>
      <c r="GPK86" s="1255"/>
      <c r="GPL86" s="1255"/>
      <c r="GPM86" s="1255"/>
      <c r="GPN86" s="1255"/>
      <c r="GPO86" s="1255"/>
      <c r="GPP86" s="1255"/>
      <c r="GPQ86" s="1255"/>
      <c r="GPR86" s="1255"/>
      <c r="GPS86" s="1255"/>
      <c r="GPT86" s="1255"/>
      <c r="GPU86" s="1255"/>
      <c r="GPV86" s="1255"/>
      <c r="GPW86" s="1255"/>
      <c r="GPX86" s="1255"/>
      <c r="GPY86" s="1255"/>
      <c r="GPZ86" s="1255"/>
      <c r="GQA86" s="1255"/>
      <c r="GQB86" s="1255"/>
      <c r="GQC86" s="1255"/>
      <c r="GQD86" s="1255"/>
      <c r="GQE86" s="1255"/>
      <c r="GQF86" s="1255"/>
      <c r="GQG86" s="1255"/>
      <c r="GQH86" s="1255"/>
      <c r="GQI86" s="1255"/>
      <c r="GQJ86" s="1255"/>
      <c r="GQK86" s="1255"/>
      <c r="GQL86" s="1255"/>
      <c r="GQM86" s="1255"/>
      <c r="GQN86" s="1255"/>
      <c r="GQO86" s="1255"/>
      <c r="GQP86" s="1255"/>
      <c r="GQQ86" s="1255"/>
      <c r="GQR86" s="1255"/>
      <c r="GQS86" s="1255"/>
      <c r="GQT86" s="1255"/>
      <c r="GQU86" s="1255"/>
      <c r="GQV86" s="1255"/>
      <c r="GQW86" s="1255"/>
      <c r="GQX86" s="1255"/>
      <c r="GQY86" s="1255"/>
      <c r="GQZ86" s="1255"/>
      <c r="GRA86" s="1255"/>
      <c r="GRB86" s="1255"/>
      <c r="GRC86" s="1255"/>
      <c r="GRD86" s="1255"/>
      <c r="GRE86" s="1255"/>
      <c r="GRF86" s="1255"/>
      <c r="GRG86" s="1255"/>
      <c r="GRH86" s="1255"/>
      <c r="GRI86" s="1255"/>
      <c r="GRJ86" s="1255"/>
      <c r="GRK86" s="1255"/>
      <c r="GRL86" s="1255"/>
      <c r="GRM86" s="1255"/>
      <c r="GRN86" s="1255"/>
      <c r="GRO86" s="1255"/>
      <c r="GRP86" s="1255"/>
      <c r="GRQ86" s="1255"/>
      <c r="GRR86" s="1255"/>
      <c r="GRS86" s="1255"/>
      <c r="GRT86" s="1255"/>
      <c r="GRU86" s="1255"/>
      <c r="GRV86" s="1255"/>
      <c r="GRW86" s="1255"/>
      <c r="GRX86" s="1255"/>
      <c r="GRY86" s="1255"/>
      <c r="GRZ86" s="1255"/>
      <c r="GSA86" s="1255"/>
      <c r="GSB86" s="1255"/>
      <c r="GSC86" s="1255"/>
      <c r="GSD86" s="1255"/>
      <c r="GSE86" s="1255"/>
      <c r="GSF86" s="1255"/>
      <c r="GSG86" s="1255"/>
      <c r="GSH86" s="1255"/>
      <c r="GSI86" s="1255"/>
      <c r="GSJ86" s="1255"/>
      <c r="GSK86" s="1255"/>
      <c r="GSL86" s="1255"/>
      <c r="GSM86" s="1255"/>
      <c r="GSN86" s="1255"/>
      <c r="GSO86" s="1255"/>
      <c r="GSP86" s="1255"/>
      <c r="GSQ86" s="1255"/>
      <c r="GSR86" s="1255"/>
      <c r="GSS86" s="1255"/>
      <c r="GST86" s="1255"/>
      <c r="GSU86" s="1255"/>
      <c r="GSV86" s="1255"/>
      <c r="GSW86" s="1255"/>
      <c r="GSX86" s="1255"/>
      <c r="GSY86" s="1255"/>
      <c r="GSZ86" s="1255"/>
      <c r="GTA86" s="1255"/>
      <c r="GTB86" s="1255"/>
      <c r="GTC86" s="1255"/>
      <c r="GTD86" s="1255"/>
      <c r="GTE86" s="1255"/>
      <c r="GTF86" s="1255"/>
      <c r="GTG86" s="1255"/>
      <c r="GTH86" s="1255"/>
      <c r="GTI86" s="1255"/>
      <c r="GTJ86" s="1255"/>
      <c r="GTK86" s="1255"/>
      <c r="GTL86" s="1255"/>
      <c r="GTM86" s="1255"/>
      <c r="GTN86" s="1255"/>
      <c r="GTO86" s="1255"/>
      <c r="GTP86" s="1255"/>
      <c r="GTQ86" s="1255"/>
      <c r="GTR86" s="1255"/>
      <c r="GTS86" s="1255"/>
      <c r="GTT86" s="1255"/>
      <c r="GTU86" s="1255"/>
      <c r="GTV86" s="1255"/>
      <c r="GTW86" s="1255"/>
      <c r="GTX86" s="1255"/>
      <c r="GTY86" s="1255"/>
      <c r="GTZ86" s="1255"/>
      <c r="GUA86" s="1255"/>
      <c r="GUB86" s="1255"/>
      <c r="GUC86" s="1255"/>
      <c r="GUD86" s="1255"/>
      <c r="GUE86" s="1255"/>
      <c r="GUF86" s="1255"/>
      <c r="GUG86" s="1255"/>
      <c r="GUH86" s="1255"/>
      <c r="GUI86" s="1255"/>
      <c r="GUJ86" s="1255"/>
      <c r="GUK86" s="1255"/>
      <c r="GUL86" s="1255"/>
      <c r="GUM86" s="1255"/>
      <c r="GUN86" s="1255"/>
      <c r="GUO86" s="1255"/>
      <c r="GUP86" s="1255"/>
      <c r="GUQ86" s="1255"/>
      <c r="GUR86" s="1255"/>
      <c r="GUS86" s="1255"/>
      <c r="GUT86" s="1255"/>
      <c r="GUU86" s="1255"/>
      <c r="GUV86" s="1255"/>
      <c r="GUW86" s="1255"/>
      <c r="GUX86" s="1255"/>
      <c r="GUY86" s="1255"/>
      <c r="GUZ86" s="1255"/>
      <c r="GVA86" s="1255"/>
      <c r="GVB86" s="1255"/>
      <c r="GVC86" s="1255"/>
      <c r="GVD86" s="1255"/>
      <c r="GVE86" s="1255"/>
      <c r="GVF86" s="1255"/>
      <c r="GVG86" s="1255"/>
      <c r="GVH86" s="1255"/>
      <c r="GVI86" s="1255"/>
      <c r="GVJ86" s="1255"/>
      <c r="GVK86" s="1255"/>
      <c r="GVL86" s="1255"/>
      <c r="GVM86" s="1255"/>
      <c r="GVN86" s="1255"/>
      <c r="GVO86" s="1255"/>
      <c r="GVP86" s="1255"/>
      <c r="GVQ86" s="1255"/>
      <c r="GVR86" s="1255"/>
      <c r="GVS86" s="1255"/>
      <c r="GVT86" s="1255"/>
      <c r="GVU86" s="1255"/>
      <c r="GVV86" s="1255"/>
      <c r="GVW86" s="1255"/>
      <c r="GVX86" s="1255"/>
      <c r="GVY86" s="1255"/>
      <c r="GVZ86" s="1255"/>
      <c r="GWA86" s="1255"/>
      <c r="GWB86" s="1255"/>
      <c r="GWC86" s="1255"/>
      <c r="GWD86" s="1255"/>
      <c r="GWE86" s="1255"/>
      <c r="GWF86" s="1255"/>
      <c r="GWG86" s="1255"/>
      <c r="GWH86" s="1255"/>
      <c r="GWI86" s="1255"/>
      <c r="GWJ86" s="1255"/>
      <c r="GWK86" s="1255"/>
      <c r="GWL86" s="1255"/>
      <c r="GWM86" s="1255"/>
      <c r="GWN86" s="1255"/>
      <c r="GWO86" s="1255"/>
      <c r="GWP86" s="1255"/>
      <c r="GWQ86" s="1255"/>
      <c r="GWR86" s="1255"/>
      <c r="GWS86" s="1255"/>
      <c r="GWT86" s="1255"/>
      <c r="GWU86" s="1255"/>
      <c r="GWV86" s="1255"/>
      <c r="GWW86" s="1255"/>
      <c r="GWX86" s="1255"/>
      <c r="GWY86" s="1255"/>
      <c r="GWZ86" s="1255"/>
      <c r="GXA86" s="1255"/>
      <c r="GXB86" s="1255"/>
      <c r="GXC86" s="1255"/>
      <c r="GXD86" s="1255"/>
      <c r="GXE86" s="1255"/>
      <c r="GXF86" s="1255"/>
      <c r="GXG86" s="1255"/>
      <c r="GXH86" s="1255"/>
      <c r="GXI86" s="1255"/>
      <c r="GXJ86" s="1255"/>
      <c r="GXK86" s="1255"/>
      <c r="GXL86" s="1255"/>
      <c r="GXM86" s="1255"/>
      <c r="GXN86" s="1255"/>
      <c r="GXO86" s="1255"/>
      <c r="GXP86" s="1255"/>
      <c r="GXQ86" s="1255"/>
      <c r="GXR86" s="1255"/>
      <c r="GXS86" s="1255"/>
      <c r="GXT86" s="1255"/>
      <c r="GXU86" s="1255"/>
      <c r="GXV86" s="1255"/>
      <c r="GXW86" s="1255"/>
      <c r="GXX86" s="1255"/>
      <c r="GXY86" s="1255"/>
      <c r="GXZ86" s="1255"/>
      <c r="GYA86" s="1255"/>
      <c r="GYB86" s="1255"/>
      <c r="GYC86" s="1255"/>
      <c r="GYD86" s="1255"/>
      <c r="GYE86" s="1255"/>
      <c r="GYF86" s="1255"/>
      <c r="GYG86" s="1255"/>
      <c r="GYH86" s="1255"/>
      <c r="GYI86" s="1255"/>
      <c r="GYJ86" s="1255"/>
      <c r="GYK86" s="1255"/>
      <c r="GYL86" s="1255"/>
      <c r="GYM86" s="1255"/>
      <c r="GYN86" s="1255"/>
      <c r="GYO86" s="1255"/>
      <c r="GYP86" s="1255"/>
      <c r="GYQ86" s="1255"/>
      <c r="GYR86" s="1255"/>
      <c r="GYS86" s="1255"/>
      <c r="GYT86" s="1255"/>
      <c r="GYU86" s="1255"/>
      <c r="GYV86" s="1255"/>
      <c r="GYW86" s="1255"/>
      <c r="GYX86" s="1255"/>
      <c r="GYY86" s="1255"/>
      <c r="GYZ86" s="1255"/>
      <c r="GZA86" s="1255"/>
      <c r="GZB86" s="1255"/>
      <c r="GZC86" s="1255"/>
      <c r="GZD86" s="1255"/>
      <c r="GZE86" s="1255"/>
      <c r="GZF86" s="1255"/>
      <c r="GZG86" s="1255"/>
      <c r="GZH86" s="1255"/>
      <c r="GZI86" s="1255"/>
      <c r="GZJ86" s="1255"/>
      <c r="GZK86" s="1255"/>
      <c r="GZL86" s="1255"/>
      <c r="GZM86" s="1255"/>
      <c r="GZN86" s="1255"/>
      <c r="GZO86" s="1255"/>
      <c r="GZP86" s="1255"/>
      <c r="GZQ86" s="1255"/>
      <c r="GZR86" s="1255"/>
      <c r="GZS86" s="1255"/>
      <c r="GZT86" s="1255"/>
      <c r="GZU86" s="1255"/>
      <c r="GZV86" s="1255"/>
      <c r="GZW86" s="1255"/>
      <c r="GZX86" s="1255"/>
      <c r="GZY86" s="1255"/>
      <c r="GZZ86" s="1255"/>
      <c r="HAA86" s="1255"/>
      <c r="HAB86" s="1255"/>
      <c r="HAC86" s="1255"/>
      <c r="HAD86" s="1255"/>
      <c r="HAE86" s="1255"/>
      <c r="HAF86" s="1255"/>
      <c r="HAG86" s="1255"/>
      <c r="HAH86" s="1255"/>
      <c r="HAI86" s="1255"/>
      <c r="HAJ86" s="1255"/>
      <c r="HAK86" s="1255"/>
      <c r="HAL86" s="1255"/>
      <c r="HAM86" s="1255"/>
      <c r="HAN86" s="1255"/>
      <c r="HAO86" s="1255"/>
      <c r="HAP86" s="1255"/>
      <c r="HAQ86" s="1255"/>
      <c r="HAR86" s="1255"/>
      <c r="HAS86" s="1255"/>
      <c r="HAT86" s="1255"/>
      <c r="HAU86" s="1255"/>
      <c r="HAV86" s="1255"/>
      <c r="HAW86" s="1255"/>
      <c r="HAX86" s="1255"/>
      <c r="HAY86" s="1255"/>
      <c r="HAZ86" s="1255"/>
      <c r="HBA86" s="1255"/>
      <c r="HBB86" s="1255"/>
      <c r="HBC86" s="1255"/>
      <c r="HBD86" s="1255"/>
      <c r="HBE86" s="1255"/>
      <c r="HBF86" s="1255"/>
      <c r="HBG86" s="1255"/>
      <c r="HBH86" s="1255"/>
      <c r="HBI86" s="1255"/>
      <c r="HBJ86" s="1255"/>
      <c r="HBK86" s="1255"/>
      <c r="HBL86" s="1255"/>
      <c r="HBM86" s="1255"/>
      <c r="HBN86" s="1255"/>
      <c r="HBO86" s="1255"/>
      <c r="HBP86" s="1255"/>
      <c r="HBQ86" s="1255"/>
      <c r="HBR86" s="1255"/>
      <c r="HBS86" s="1255"/>
      <c r="HBT86" s="1255"/>
      <c r="HBU86" s="1255"/>
      <c r="HBV86" s="1255"/>
      <c r="HBW86" s="1255"/>
      <c r="HBX86" s="1255"/>
      <c r="HBY86" s="1255"/>
      <c r="HBZ86" s="1255"/>
      <c r="HCA86" s="1255"/>
      <c r="HCB86" s="1255"/>
      <c r="HCC86" s="1255"/>
      <c r="HCD86" s="1255"/>
      <c r="HCE86" s="1255"/>
      <c r="HCF86" s="1255"/>
      <c r="HCG86" s="1255"/>
      <c r="HCH86" s="1255"/>
      <c r="HCI86" s="1255"/>
      <c r="HCJ86" s="1255"/>
      <c r="HCK86" s="1255"/>
      <c r="HCL86" s="1255"/>
      <c r="HCM86" s="1255"/>
      <c r="HCN86" s="1255"/>
      <c r="HCO86" s="1255"/>
      <c r="HCP86" s="1255"/>
      <c r="HCQ86" s="1255"/>
      <c r="HCR86" s="1255"/>
      <c r="HCS86" s="1255"/>
      <c r="HCT86" s="1255"/>
      <c r="HCU86" s="1255"/>
      <c r="HCV86" s="1255"/>
      <c r="HCW86" s="1255"/>
      <c r="HCX86" s="1255"/>
      <c r="HCY86" s="1255"/>
      <c r="HCZ86" s="1255"/>
      <c r="HDA86" s="1255"/>
      <c r="HDB86" s="1255"/>
      <c r="HDC86" s="1255"/>
      <c r="HDD86" s="1255"/>
      <c r="HDE86" s="1255"/>
      <c r="HDF86" s="1255"/>
      <c r="HDG86" s="1255"/>
      <c r="HDH86" s="1255"/>
      <c r="HDI86" s="1255"/>
      <c r="HDJ86" s="1255"/>
      <c r="HDK86" s="1255"/>
      <c r="HDL86" s="1255"/>
      <c r="HDM86" s="1255"/>
      <c r="HDN86" s="1255"/>
      <c r="HDO86" s="1255"/>
      <c r="HDP86" s="1255"/>
      <c r="HDQ86" s="1255"/>
      <c r="HDR86" s="1255"/>
      <c r="HDS86" s="1255"/>
      <c r="HDT86" s="1255"/>
      <c r="HDU86" s="1255"/>
      <c r="HDV86" s="1255"/>
      <c r="HDW86" s="1255"/>
      <c r="HDX86" s="1255"/>
      <c r="HDY86" s="1255"/>
      <c r="HDZ86" s="1255"/>
      <c r="HEA86" s="1255"/>
      <c r="HEB86" s="1255"/>
      <c r="HEC86" s="1255"/>
      <c r="HED86" s="1255"/>
      <c r="HEE86" s="1255"/>
      <c r="HEF86" s="1255"/>
      <c r="HEG86" s="1255"/>
      <c r="HEH86" s="1255"/>
      <c r="HEI86" s="1255"/>
      <c r="HEJ86" s="1255"/>
      <c r="HEK86" s="1255"/>
      <c r="HEL86" s="1255"/>
      <c r="HEM86" s="1255"/>
      <c r="HEN86" s="1255"/>
      <c r="HEO86" s="1255"/>
      <c r="HEP86" s="1255"/>
      <c r="HEQ86" s="1255"/>
      <c r="HER86" s="1255"/>
      <c r="HES86" s="1255"/>
      <c r="HET86" s="1255"/>
      <c r="HEU86" s="1255"/>
      <c r="HEV86" s="1255"/>
      <c r="HEW86" s="1255"/>
      <c r="HEX86" s="1255"/>
      <c r="HEY86" s="1255"/>
      <c r="HEZ86" s="1255"/>
      <c r="HFA86" s="1255"/>
      <c r="HFB86" s="1255"/>
      <c r="HFC86" s="1255"/>
      <c r="HFD86" s="1255"/>
      <c r="HFE86" s="1255"/>
      <c r="HFF86" s="1255"/>
      <c r="HFG86" s="1255"/>
      <c r="HFH86" s="1255"/>
      <c r="HFI86" s="1255"/>
      <c r="HFJ86" s="1255"/>
      <c r="HFK86" s="1255"/>
      <c r="HFL86" s="1255"/>
      <c r="HFM86" s="1255"/>
      <c r="HFN86" s="1255"/>
      <c r="HFO86" s="1255"/>
      <c r="HFP86" s="1255"/>
      <c r="HFQ86" s="1255"/>
      <c r="HFR86" s="1255"/>
      <c r="HFS86" s="1255"/>
      <c r="HFT86" s="1255"/>
      <c r="HFU86" s="1255"/>
      <c r="HFV86" s="1255"/>
      <c r="HFW86" s="1255"/>
      <c r="HFX86" s="1255"/>
      <c r="HFY86" s="1255"/>
      <c r="HFZ86" s="1255"/>
      <c r="HGA86" s="1255"/>
      <c r="HGB86" s="1255"/>
      <c r="HGC86" s="1255"/>
      <c r="HGD86" s="1255"/>
      <c r="HGE86" s="1255"/>
      <c r="HGF86" s="1255"/>
      <c r="HGG86" s="1255"/>
      <c r="HGH86" s="1255"/>
      <c r="HGI86" s="1255"/>
      <c r="HGJ86" s="1255"/>
      <c r="HGK86" s="1255"/>
      <c r="HGL86" s="1255"/>
      <c r="HGM86" s="1255"/>
      <c r="HGN86" s="1255"/>
      <c r="HGO86" s="1255"/>
      <c r="HGP86" s="1255"/>
      <c r="HGQ86" s="1255"/>
      <c r="HGR86" s="1255"/>
      <c r="HGS86" s="1255"/>
      <c r="HGT86" s="1255"/>
      <c r="HGU86" s="1255"/>
      <c r="HGV86" s="1255"/>
      <c r="HGW86" s="1255"/>
      <c r="HGX86" s="1255"/>
      <c r="HGY86" s="1255"/>
      <c r="HGZ86" s="1255"/>
      <c r="HHA86" s="1255"/>
      <c r="HHB86" s="1255"/>
      <c r="HHC86" s="1255"/>
      <c r="HHD86" s="1255"/>
      <c r="HHE86" s="1255"/>
      <c r="HHF86" s="1255"/>
      <c r="HHG86" s="1255"/>
      <c r="HHH86" s="1255"/>
      <c r="HHI86" s="1255"/>
      <c r="HHJ86" s="1255"/>
      <c r="HHK86" s="1255"/>
      <c r="HHL86" s="1255"/>
      <c r="HHM86" s="1255"/>
      <c r="HHN86" s="1255"/>
      <c r="HHO86" s="1255"/>
      <c r="HHP86" s="1255"/>
      <c r="HHQ86" s="1255"/>
      <c r="HHR86" s="1255"/>
      <c r="HHS86" s="1255"/>
      <c r="HHT86" s="1255"/>
      <c r="HHU86" s="1255"/>
      <c r="HHV86" s="1255"/>
      <c r="HHW86" s="1255"/>
      <c r="HHX86" s="1255"/>
      <c r="HHY86" s="1255"/>
      <c r="HHZ86" s="1255"/>
      <c r="HIA86" s="1255"/>
      <c r="HIB86" s="1255"/>
      <c r="HIC86" s="1255"/>
      <c r="HID86" s="1255"/>
      <c r="HIE86" s="1255"/>
      <c r="HIF86" s="1255"/>
      <c r="HIG86" s="1255"/>
      <c r="HIH86" s="1255"/>
      <c r="HII86" s="1255"/>
      <c r="HIJ86" s="1255"/>
      <c r="HIK86" s="1255"/>
      <c r="HIL86" s="1255"/>
      <c r="HIM86" s="1255"/>
      <c r="HIN86" s="1255"/>
      <c r="HIO86" s="1255"/>
      <c r="HIP86" s="1255"/>
      <c r="HIQ86" s="1255"/>
      <c r="HIR86" s="1255"/>
      <c r="HIS86" s="1255"/>
      <c r="HIT86" s="1255"/>
      <c r="HIU86" s="1255"/>
      <c r="HIV86" s="1255"/>
      <c r="HIW86" s="1255"/>
      <c r="HIX86" s="1255"/>
      <c r="HIY86" s="1255"/>
      <c r="HIZ86" s="1255"/>
      <c r="HJA86" s="1255"/>
      <c r="HJB86" s="1255"/>
      <c r="HJC86" s="1255"/>
      <c r="HJD86" s="1255"/>
      <c r="HJE86" s="1255"/>
      <c r="HJF86" s="1255"/>
      <c r="HJG86" s="1255"/>
      <c r="HJH86" s="1255"/>
      <c r="HJI86" s="1255"/>
      <c r="HJJ86" s="1255"/>
      <c r="HJK86" s="1255"/>
      <c r="HJL86" s="1255"/>
      <c r="HJM86" s="1255"/>
      <c r="HJN86" s="1255"/>
      <c r="HJO86" s="1255"/>
      <c r="HJP86" s="1255"/>
      <c r="HJQ86" s="1255"/>
      <c r="HJR86" s="1255"/>
      <c r="HJS86" s="1255"/>
      <c r="HJT86" s="1255"/>
      <c r="HJU86" s="1255"/>
      <c r="HJV86" s="1255"/>
      <c r="HJW86" s="1255"/>
      <c r="HJX86" s="1255"/>
      <c r="HJY86" s="1255"/>
      <c r="HJZ86" s="1255"/>
      <c r="HKA86" s="1255"/>
      <c r="HKB86" s="1255"/>
      <c r="HKC86" s="1255"/>
      <c r="HKD86" s="1255"/>
      <c r="HKE86" s="1255"/>
      <c r="HKF86" s="1255"/>
      <c r="HKG86" s="1255"/>
      <c r="HKH86" s="1255"/>
      <c r="HKI86" s="1255"/>
      <c r="HKJ86" s="1255"/>
      <c r="HKK86" s="1255"/>
      <c r="HKL86" s="1255"/>
      <c r="HKM86" s="1255"/>
      <c r="HKN86" s="1255"/>
      <c r="HKO86" s="1255"/>
      <c r="HKP86" s="1255"/>
      <c r="HKQ86" s="1255"/>
      <c r="HKR86" s="1255"/>
      <c r="HKS86" s="1255"/>
      <c r="HKT86" s="1255"/>
      <c r="HKU86" s="1255"/>
      <c r="HKV86" s="1255"/>
      <c r="HKW86" s="1255"/>
      <c r="HKX86" s="1255"/>
      <c r="HKY86" s="1255"/>
      <c r="HKZ86" s="1255"/>
      <c r="HLA86" s="1255"/>
      <c r="HLB86" s="1255"/>
      <c r="HLC86" s="1255"/>
      <c r="HLD86" s="1255"/>
      <c r="HLE86" s="1255"/>
      <c r="HLF86" s="1255"/>
      <c r="HLG86" s="1255"/>
      <c r="HLH86" s="1255"/>
      <c r="HLI86" s="1255"/>
      <c r="HLJ86" s="1255"/>
      <c r="HLK86" s="1255"/>
      <c r="HLL86" s="1255"/>
      <c r="HLM86" s="1255"/>
      <c r="HLN86" s="1255"/>
      <c r="HLO86" s="1255"/>
      <c r="HLP86" s="1255"/>
      <c r="HLQ86" s="1255"/>
      <c r="HLR86" s="1255"/>
      <c r="HLS86" s="1255"/>
      <c r="HLT86" s="1255"/>
      <c r="HLU86" s="1255"/>
      <c r="HLV86" s="1255"/>
      <c r="HLW86" s="1255"/>
      <c r="HLX86" s="1255"/>
      <c r="HLY86" s="1255"/>
      <c r="HLZ86" s="1255"/>
      <c r="HMA86" s="1255"/>
      <c r="HMB86" s="1255"/>
      <c r="HMC86" s="1255"/>
      <c r="HMD86" s="1255"/>
      <c r="HME86" s="1255"/>
      <c r="HMF86" s="1255"/>
      <c r="HMG86" s="1255"/>
      <c r="HMH86" s="1255"/>
      <c r="HMI86" s="1255"/>
      <c r="HMJ86" s="1255"/>
      <c r="HMK86" s="1255"/>
      <c r="HML86" s="1255"/>
      <c r="HMM86" s="1255"/>
      <c r="HMN86" s="1255"/>
      <c r="HMO86" s="1255"/>
      <c r="HMP86" s="1255"/>
      <c r="HMQ86" s="1255"/>
      <c r="HMR86" s="1255"/>
      <c r="HMS86" s="1255"/>
      <c r="HMT86" s="1255"/>
      <c r="HMU86" s="1255"/>
      <c r="HMV86" s="1255"/>
      <c r="HMW86" s="1255"/>
      <c r="HMX86" s="1255"/>
      <c r="HMY86" s="1255"/>
      <c r="HMZ86" s="1255"/>
      <c r="HNA86" s="1255"/>
      <c r="HNB86" s="1255"/>
      <c r="HNC86" s="1255"/>
      <c r="HND86" s="1255"/>
      <c r="HNE86" s="1255"/>
      <c r="HNF86" s="1255"/>
      <c r="HNG86" s="1255"/>
      <c r="HNH86" s="1255"/>
      <c r="HNI86" s="1255"/>
      <c r="HNJ86" s="1255"/>
      <c r="HNK86" s="1255"/>
      <c r="HNL86" s="1255"/>
      <c r="HNM86" s="1255"/>
      <c r="HNN86" s="1255"/>
      <c r="HNO86" s="1255"/>
      <c r="HNP86" s="1255"/>
      <c r="HNQ86" s="1255"/>
      <c r="HNR86" s="1255"/>
      <c r="HNS86" s="1255"/>
      <c r="HNT86" s="1255"/>
      <c r="HNU86" s="1255"/>
      <c r="HNV86" s="1255"/>
      <c r="HNW86" s="1255"/>
      <c r="HNX86" s="1255"/>
      <c r="HNY86" s="1255"/>
      <c r="HNZ86" s="1255"/>
      <c r="HOA86" s="1255"/>
      <c r="HOB86" s="1255"/>
      <c r="HOC86" s="1255"/>
      <c r="HOD86" s="1255"/>
      <c r="HOE86" s="1255"/>
      <c r="HOF86" s="1255"/>
      <c r="HOG86" s="1255"/>
      <c r="HOH86" s="1255"/>
      <c r="HOI86" s="1255"/>
      <c r="HOJ86" s="1255"/>
      <c r="HOK86" s="1255"/>
      <c r="HOL86" s="1255"/>
      <c r="HOM86" s="1255"/>
      <c r="HON86" s="1255"/>
      <c r="HOO86" s="1255"/>
      <c r="HOP86" s="1255"/>
      <c r="HOQ86" s="1255"/>
      <c r="HOR86" s="1255"/>
      <c r="HOS86" s="1255"/>
      <c r="HOT86" s="1255"/>
      <c r="HOU86" s="1255"/>
      <c r="HOV86" s="1255"/>
      <c r="HOW86" s="1255"/>
      <c r="HOX86" s="1255"/>
      <c r="HOY86" s="1255"/>
      <c r="HOZ86" s="1255"/>
      <c r="HPA86" s="1255"/>
      <c r="HPB86" s="1255"/>
      <c r="HPC86" s="1255"/>
      <c r="HPD86" s="1255"/>
      <c r="HPE86" s="1255"/>
      <c r="HPF86" s="1255"/>
      <c r="HPG86" s="1255"/>
      <c r="HPH86" s="1255"/>
      <c r="HPI86" s="1255"/>
      <c r="HPJ86" s="1255"/>
      <c r="HPK86" s="1255"/>
      <c r="HPL86" s="1255"/>
      <c r="HPM86" s="1255"/>
      <c r="HPN86" s="1255"/>
      <c r="HPO86" s="1255"/>
      <c r="HPP86" s="1255"/>
      <c r="HPQ86" s="1255"/>
      <c r="HPR86" s="1255"/>
      <c r="HPS86" s="1255"/>
      <c r="HPT86" s="1255"/>
      <c r="HPU86" s="1255"/>
      <c r="HPV86" s="1255"/>
      <c r="HPW86" s="1255"/>
      <c r="HPX86" s="1255"/>
      <c r="HPY86" s="1255"/>
      <c r="HPZ86" s="1255"/>
      <c r="HQA86" s="1255"/>
      <c r="HQB86" s="1255"/>
      <c r="HQC86" s="1255"/>
      <c r="HQD86" s="1255"/>
      <c r="HQE86" s="1255"/>
      <c r="HQF86" s="1255"/>
      <c r="HQG86" s="1255"/>
      <c r="HQH86" s="1255"/>
      <c r="HQI86" s="1255"/>
      <c r="HQJ86" s="1255"/>
      <c r="HQK86" s="1255"/>
      <c r="HQL86" s="1255"/>
      <c r="HQM86" s="1255"/>
      <c r="HQN86" s="1255"/>
      <c r="HQO86" s="1255"/>
      <c r="HQP86" s="1255"/>
      <c r="HQQ86" s="1255"/>
      <c r="HQR86" s="1255"/>
      <c r="HQS86" s="1255"/>
      <c r="HQT86" s="1255"/>
      <c r="HQU86" s="1255"/>
      <c r="HQV86" s="1255"/>
      <c r="HQW86" s="1255"/>
      <c r="HQX86" s="1255"/>
      <c r="HQY86" s="1255"/>
      <c r="HQZ86" s="1255"/>
      <c r="HRA86" s="1255"/>
      <c r="HRB86" s="1255"/>
      <c r="HRC86" s="1255"/>
      <c r="HRD86" s="1255"/>
      <c r="HRE86" s="1255"/>
      <c r="HRF86" s="1255"/>
      <c r="HRG86" s="1255"/>
      <c r="HRH86" s="1255"/>
      <c r="HRI86" s="1255"/>
      <c r="HRJ86" s="1255"/>
      <c r="HRK86" s="1255"/>
      <c r="HRL86" s="1255"/>
      <c r="HRM86" s="1255"/>
      <c r="HRN86" s="1255"/>
      <c r="HRO86" s="1255"/>
      <c r="HRP86" s="1255"/>
      <c r="HRQ86" s="1255"/>
      <c r="HRR86" s="1255"/>
      <c r="HRS86" s="1255"/>
      <c r="HRT86" s="1255"/>
      <c r="HRU86" s="1255"/>
      <c r="HRV86" s="1255"/>
      <c r="HRW86" s="1255"/>
      <c r="HRX86" s="1255"/>
      <c r="HRY86" s="1255"/>
      <c r="HRZ86" s="1255"/>
      <c r="HSA86" s="1255"/>
      <c r="HSB86" s="1255"/>
      <c r="HSC86" s="1255"/>
      <c r="HSD86" s="1255"/>
      <c r="HSE86" s="1255"/>
      <c r="HSF86" s="1255"/>
      <c r="HSG86" s="1255"/>
      <c r="HSH86" s="1255"/>
      <c r="HSI86" s="1255"/>
      <c r="HSJ86" s="1255"/>
      <c r="HSK86" s="1255"/>
      <c r="HSL86" s="1255"/>
      <c r="HSM86" s="1255"/>
      <c r="HSN86" s="1255"/>
      <c r="HSO86" s="1255"/>
      <c r="HSP86" s="1255"/>
      <c r="HSQ86" s="1255"/>
      <c r="HSR86" s="1255"/>
      <c r="HSS86" s="1255"/>
      <c r="HST86" s="1255"/>
      <c r="HSU86" s="1255"/>
      <c r="HSV86" s="1255"/>
      <c r="HSW86" s="1255"/>
      <c r="HSX86" s="1255"/>
      <c r="HSY86" s="1255"/>
      <c r="HSZ86" s="1255"/>
      <c r="HTA86" s="1255"/>
      <c r="HTB86" s="1255"/>
      <c r="HTC86" s="1255"/>
      <c r="HTD86" s="1255"/>
      <c r="HTE86" s="1255"/>
      <c r="HTF86" s="1255"/>
      <c r="HTG86" s="1255"/>
      <c r="HTH86" s="1255"/>
      <c r="HTI86" s="1255"/>
      <c r="HTJ86" s="1255"/>
      <c r="HTK86" s="1255"/>
      <c r="HTL86" s="1255"/>
      <c r="HTM86" s="1255"/>
      <c r="HTN86" s="1255"/>
      <c r="HTO86" s="1255"/>
      <c r="HTP86" s="1255"/>
      <c r="HTQ86" s="1255"/>
      <c r="HTR86" s="1255"/>
      <c r="HTS86" s="1255"/>
      <c r="HTT86" s="1255"/>
      <c r="HTU86" s="1255"/>
      <c r="HTV86" s="1255"/>
      <c r="HTW86" s="1255"/>
      <c r="HTX86" s="1255"/>
      <c r="HTY86" s="1255"/>
      <c r="HTZ86" s="1255"/>
      <c r="HUA86" s="1255"/>
      <c r="HUB86" s="1255"/>
      <c r="HUC86" s="1255"/>
      <c r="HUD86" s="1255"/>
      <c r="HUE86" s="1255"/>
      <c r="HUF86" s="1255"/>
      <c r="HUG86" s="1255"/>
      <c r="HUH86" s="1255"/>
      <c r="HUI86" s="1255"/>
      <c r="HUJ86" s="1255"/>
      <c r="HUK86" s="1255"/>
      <c r="HUL86" s="1255"/>
      <c r="HUM86" s="1255"/>
      <c r="HUN86" s="1255"/>
      <c r="HUO86" s="1255"/>
      <c r="HUP86" s="1255"/>
      <c r="HUQ86" s="1255"/>
      <c r="HUR86" s="1255"/>
      <c r="HUS86" s="1255"/>
      <c r="HUT86" s="1255"/>
      <c r="HUU86" s="1255"/>
      <c r="HUV86" s="1255"/>
      <c r="HUW86" s="1255"/>
      <c r="HUX86" s="1255"/>
      <c r="HUY86" s="1255"/>
      <c r="HUZ86" s="1255"/>
      <c r="HVA86" s="1255"/>
      <c r="HVB86" s="1255"/>
      <c r="HVC86" s="1255"/>
      <c r="HVD86" s="1255"/>
      <c r="HVE86" s="1255"/>
      <c r="HVF86" s="1255"/>
      <c r="HVG86" s="1255"/>
      <c r="HVH86" s="1255"/>
      <c r="HVI86" s="1255"/>
      <c r="HVJ86" s="1255"/>
      <c r="HVK86" s="1255"/>
      <c r="HVL86" s="1255"/>
      <c r="HVM86" s="1255"/>
      <c r="HVN86" s="1255"/>
      <c r="HVO86" s="1255"/>
      <c r="HVP86" s="1255"/>
      <c r="HVQ86" s="1255"/>
      <c r="HVR86" s="1255"/>
      <c r="HVS86" s="1255"/>
      <c r="HVT86" s="1255"/>
      <c r="HVU86" s="1255"/>
      <c r="HVV86" s="1255"/>
      <c r="HVW86" s="1255"/>
      <c r="HVX86" s="1255"/>
      <c r="HVY86" s="1255"/>
      <c r="HVZ86" s="1255"/>
      <c r="HWA86" s="1255"/>
      <c r="HWB86" s="1255"/>
      <c r="HWC86" s="1255"/>
      <c r="HWD86" s="1255"/>
      <c r="HWE86" s="1255"/>
      <c r="HWF86" s="1255"/>
      <c r="HWG86" s="1255"/>
      <c r="HWH86" s="1255"/>
      <c r="HWI86" s="1255"/>
      <c r="HWJ86" s="1255"/>
      <c r="HWK86" s="1255"/>
      <c r="HWL86" s="1255"/>
      <c r="HWM86" s="1255"/>
      <c r="HWN86" s="1255"/>
      <c r="HWO86" s="1255"/>
      <c r="HWP86" s="1255"/>
      <c r="HWQ86" s="1255"/>
      <c r="HWR86" s="1255"/>
      <c r="HWS86" s="1255"/>
      <c r="HWT86" s="1255"/>
      <c r="HWU86" s="1255"/>
      <c r="HWV86" s="1255"/>
      <c r="HWW86" s="1255"/>
      <c r="HWX86" s="1255"/>
      <c r="HWY86" s="1255"/>
      <c r="HWZ86" s="1255"/>
      <c r="HXA86" s="1255"/>
      <c r="HXB86" s="1255"/>
      <c r="HXC86" s="1255"/>
      <c r="HXD86" s="1255"/>
      <c r="HXE86" s="1255"/>
      <c r="HXF86" s="1255"/>
      <c r="HXG86" s="1255"/>
      <c r="HXH86" s="1255"/>
      <c r="HXI86" s="1255"/>
      <c r="HXJ86" s="1255"/>
      <c r="HXK86" s="1255"/>
      <c r="HXL86" s="1255"/>
      <c r="HXM86" s="1255"/>
      <c r="HXN86" s="1255"/>
      <c r="HXO86" s="1255"/>
      <c r="HXP86" s="1255"/>
      <c r="HXQ86" s="1255"/>
      <c r="HXR86" s="1255"/>
      <c r="HXS86" s="1255"/>
      <c r="HXT86" s="1255"/>
      <c r="HXU86" s="1255"/>
      <c r="HXV86" s="1255"/>
      <c r="HXW86" s="1255"/>
      <c r="HXX86" s="1255"/>
      <c r="HXY86" s="1255"/>
      <c r="HXZ86" s="1255"/>
      <c r="HYA86" s="1255"/>
      <c r="HYB86" s="1255"/>
      <c r="HYC86" s="1255"/>
      <c r="HYD86" s="1255"/>
      <c r="HYE86" s="1255"/>
      <c r="HYF86" s="1255"/>
      <c r="HYG86" s="1255"/>
      <c r="HYH86" s="1255"/>
      <c r="HYI86" s="1255"/>
      <c r="HYJ86" s="1255"/>
      <c r="HYK86" s="1255"/>
      <c r="HYL86" s="1255"/>
      <c r="HYM86" s="1255"/>
      <c r="HYN86" s="1255"/>
      <c r="HYO86" s="1255"/>
      <c r="HYP86" s="1255"/>
      <c r="HYQ86" s="1255"/>
      <c r="HYR86" s="1255"/>
      <c r="HYS86" s="1255"/>
      <c r="HYT86" s="1255"/>
      <c r="HYU86" s="1255"/>
      <c r="HYV86" s="1255"/>
      <c r="HYW86" s="1255"/>
      <c r="HYX86" s="1255"/>
      <c r="HYY86" s="1255"/>
      <c r="HYZ86" s="1255"/>
      <c r="HZA86" s="1255"/>
      <c r="HZB86" s="1255"/>
      <c r="HZC86" s="1255"/>
      <c r="HZD86" s="1255"/>
      <c r="HZE86" s="1255"/>
      <c r="HZF86" s="1255"/>
      <c r="HZG86" s="1255"/>
      <c r="HZH86" s="1255"/>
      <c r="HZI86" s="1255"/>
      <c r="HZJ86" s="1255"/>
      <c r="HZK86" s="1255"/>
      <c r="HZL86" s="1255"/>
      <c r="HZM86" s="1255"/>
      <c r="HZN86" s="1255"/>
      <c r="HZO86" s="1255"/>
      <c r="HZP86" s="1255"/>
      <c r="HZQ86" s="1255"/>
      <c r="HZR86" s="1255"/>
      <c r="HZS86" s="1255"/>
      <c r="HZT86" s="1255"/>
      <c r="HZU86" s="1255"/>
      <c r="HZV86" s="1255"/>
      <c r="HZW86" s="1255"/>
      <c r="HZX86" s="1255"/>
      <c r="HZY86" s="1255"/>
      <c r="HZZ86" s="1255"/>
      <c r="IAA86" s="1255"/>
      <c r="IAB86" s="1255"/>
      <c r="IAC86" s="1255"/>
      <c r="IAD86" s="1255"/>
      <c r="IAE86" s="1255"/>
      <c r="IAF86" s="1255"/>
      <c r="IAG86" s="1255"/>
      <c r="IAH86" s="1255"/>
      <c r="IAI86" s="1255"/>
      <c r="IAJ86" s="1255"/>
      <c r="IAK86" s="1255"/>
      <c r="IAL86" s="1255"/>
      <c r="IAM86" s="1255"/>
      <c r="IAN86" s="1255"/>
      <c r="IAO86" s="1255"/>
      <c r="IAP86" s="1255"/>
      <c r="IAQ86" s="1255"/>
      <c r="IAR86" s="1255"/>
      <c r="IAS86" s="1255"/>
      <c r="IAT86" s="1255"/>
      <c r="IAU86" s="1255"/>
      <c r="IAV86" s="1255"/>
      <c r="IAW86" s="1255"/>
      <c r="IAX86" s="1255"/>
      <c r="IAY86" s="1255"/>
      <c r="IAZ86" s="1255"/>
      <c r="IBA86" s="1255"/>
      <c r="IBB86" s="1255"/>
      <c r="IBC86" s="1255"/>
      <c r="IBD86" s="1255"/>
      <c r="IBE86" s="1255"/>
      <c r="IBF86" s="1255"/>
      <c r="IBG86" s="1255"/>
      <c r="IBH86" s="1255"/>
      <c r="IBI86" s="1255"/>
      <c r="IBJ86" s="1255"/>
      <c r="IBK86" s="1255"/>
      <c r="IBL86" s="1255"/>
      <c r="IBM86" s="1255"/>
      <c r="IBN86" s="1255"/>
      <c r="IBO86" s="1255"/>
      <c r="IBP86" s="1255"/>
      <c r="IBQ86" s="1255"/>
      <c r="IBR86" s="1255"/>
      <c r="IBS86" s="1255"/>
      <c r="IBT86" s="1255"/>
      <c r="IBU86" s="1255"/>
      <c r="IBV86" s="1255"/>
      <c r="IBW86" s="1255"/>
      <c r="IBX86" s="1255"/>
      <c r="IBY86" s="1255"/>
      <c r="IBZ86" s="1255"/>
      <c r="ICA86" s="1255"/>
      <c r="ICB86" s="1255"/>
      <c r="ICC86" s="1255"/>
      <c r="ICD86" s="1255"/>
      <c r="ICE86" s="1255"/>
      <c r="ICF86" s="1255"/>
      <c r="ICG86" s="1255"/>
      <c r="ICH86" s="1255"/>
      <c r="ICI86" s="1255"/>
      <c r="ICJ86" s="1255"/>
      <c r="ICK86" s="1255"/>
      <c r="ICL86" s="1255"/>
      <c r="ICM86" s="1255"/>
      <c r="ICN86" s="1255"/>
      <c r="ICO86" s="1255"/>
      <c r="ICP86" s="1255"/>
      <c r="ICQ86" s="1255"/>
      <c r="ICR86" s="1255"/>
      <c r="ICS86" s="1255"/>
      <c r="ICT86" s="1255"/>
      <c r="ICU86" s="1255"/>
      <c r="ICV86" s="1255"/>
      <c r="ICW86" s="1255"/>
      <c r="ICX86" s="1255"/>
      <c r="ICY86" s="1255"/>
      <c r="ICZ86" s="1255"/>
      <c r="IDA86" s="1255"/>
      <c r="IDB86" s="1255"/>
      <c r="IDC86" s="1255"/>
      <c r="IDD86" s="1255"/>
      <c r="IDE86" s="1255"/>
      <c r="IDF86" s="1255"/>
      <c r="IDG86" s="1255"/>
      <c r="IDH86" s="1255"/>
      <c r="IDI86" s="1255"/>
      <c r="IDJ86" s="1255"/>
      <c r="IDK86" s="1255"/>
      <c r="IDL86" s="1255"/>
      <c r="IDM86" s="1255"/>
      <c r="IDN86" s="1255"/>
      <c r="IDO86" s="1255"/>
      <c r="IDP86" s="1255"/>
      <c r="IDQ86" s="1255"/>
      <c r="IDR86" s="1255"/>
      <c r="IDS86" s="1255"/>
      <c r="IDT86" s="1255"/>
      <c r="IDU86" s="1255"/>
      <c r="IDV86" s="1255"/>
      <c r="IDW86" s="1255"/>
      <c r="IDX86" s="1255"/>
      <c r="IDY86" s="1255"/>
      <c r="IDZ86" s="1255"/>
      <c r="IEA86" s="1255"/>
      <c r="IEB86" s="1255"/>
      <c r="IEC86" s="1255"/>
      <c r="IED86" s="1255"/>
      <c r="IEE86" s="1255"/>
      <c r="IEF86" s="1255"/>
      <c r="IEG86" s="1255"/>
      <c r="IEH86" s="1255"/>
      <c r="IEI86" s="1255"/>
      <c r="IEJ86" s="1255"/>
      <c r="IEK86" s="1255"/>
      <c r="IEL86" s="1255"/>
      <c r="IEM86" s="1255"/>
      <c r="IEN86" s="1255"/>
      <c r="IEO86" s="1255"/>
      <c r="IEP86" s="1255"/>
      <c r="IEQ86" s="1255"/>
      <c r="IER86" s="1255"/>
      <c r="IES86" s="1255"/>
      <c r="IET86" s="1255"/>
      <c r="IEU86" s="1255"/>
      <c r="IEV86" s="1255"/>
      <c r="IEW86" s="1255"/>
      <c r="IEX86" s="1255"/>
      <c r="IEY86" s="1255"/>
      <c r="IEZ86" s="1255"/>
      <c r="IFA86" s="1255"/>
      <c r="IFB86" s="1255"/>
      <c r="IFC86" s="1255"/>
      <c r="IFD86" s="1255"/>
      <c r="IFE86" s="1255"/>
      <c r="IFF86" s="1255"/>
      <c r="IFG86" s="1255"/>
      <c r="IFH86" s="1255"/>
      <c r="IFI86" s="1255"/>
      <c r="IFJ86" s="1255"/>
      <c r="IFK86" s="1255"/>
      <c r="IFL86" s="1255"/>
      <c r="IFM86" s="1255"/>
      <c r="IFN86" s="1255"/>
      <c r="IFO86" s="1255"/>
      <c r="IFP86" s="1255"/>
      <c r="IFQ86" s="1255"/>
      <c r="IFR86" s="1255"/>
      <c r="IFS86" s="1255"/>
      <c r="IFT86" s="1255"/>
      <c r="IFU86" s="1255"/>
      <c r="IFV86" s="1255"/>
      <c r="IFW86" s="1255"/>
      <c r="IFX86" s="1255"/>
      <c r="IFY86" s="1255"/>
      <c r="IFZ86" s="1255"/>
      <c r="IGA86" s="1255"/>
      <c r="IGB86" s="1255"/>
      <c r="IGC86" s="1255"/>
      <c r="IGD86" s="1255"/>
      <c r="IGE86" s="1255"/>
      <c r="IGF86" s="1255"/>
      <c r="IGG86" s="1255"/>
      <c r="IGH86" s="1255"/>
      <c r="IGI86" s="1255"/>
      <c r="IGJ86" s="1255"/>
      <c r="IGK86" s="1255"/>
      <c r="IGL86" s="1255"/>
      <c r="IGM86" s="1255"/>
      <c r="IGN86" s="1255"/>
      <c r="IGO86" s="1255"/>
      <c r="IGP86" s="1255"/>
      <c r="IGQ86" s="1255"/>
      <c r="IGR86" s="1255"/>
      <c r="IGS86" s="1255"/>
      <c r="IGT86" s="1255"/>
      <c r="IGU86" s="1255"/>
      <c r="IGV86" s="1255"/>
      <c r="IGW86" s="1255"/>
      <c r="IGX86" s="1255"/>
      <c r="IGY86" s="1255"/>
      <c r="IGZ86" s="1255"/>
      <c r="IHA86" s="1255"/>
      <c r="IHB86" s="1255"/>
      <c r="IHC86" s="1255"/>
      <c r="IHD86" s="1255"/>
      <c r="IHE86" s="1255"/>
      <c r="IHF86" s="1255"/>
      <c r="IHG86" s="1255"/>
      <c r="IHH86" s="1255"/>
      <c r="IHI86" s="1255"/>
      <c r="IHJ86" s="1255"/>
      <c r="IHK86" s="1255"/>
      <c r="IHL86" s="1255"/>
      <c r="IHM86" s="1255"/>
      <c r="IHN86" s="1255"/>
      <c r="IHO86" s="1255"/>
      <c r="IHP86" s="1255"/>
      <c r="IHQ86" s="1255"/>
      <c r="IHR86" s="1255"/>
      <c r="IHS86" s="1255"/>
      <c r="IHT86" s="1255"/>
      <c r="IHU86" s="1255"/>
      <c r="IHV86" s="1255"/>
      <c r="IHW86" s="1255"/>
      <c r="IHX86" s="1255"/>
      <c r="IHY86" s="1255"/>
      <c r="IHZ86" s="1255"/>
      <c r="IIA86" s="1255"/>
      <c r="IIB86" s="1255"/>
      <c r="IIC86" s="1255"/>
      <c r="IID86" s="1255"/>
      <c r="IIE86" s="1255"/>
      <c r="IIF86" s="1255"/>
      <c r="IIG86" s="1255"/>
      <c r="IIH86" s="1255"/>
      <c r="III86" s="1255"/>
      <c r="IIJ86" s="1255"/>
      <c r="IIK86" s="1255"/>
      <c r="IIL86" s="1255"/>
      <c r="IIM86" s="1255"/>
      <c r="IIN86" s="1255"/>
      <c r="IIO86" s="1255"/>
      <c r="IIP86" s="1255"/>
      <c r="IIQ86" s="1255"/>
      <c r="IIR86" s="1255"/>
      <c r="IIS86" s="1255"/>
      <c r="IIT86" s="1255"/>
      <c r="IIU86" s="1255"/>
      <c r="IIV86" s="1255"/>
      <c r="IIW86" s="1255"/>
      <c r="IIX86" s="1255"/>
      <c r="IIY86" s="1255"/>
      <c r="IIZ86" s="1255"/>
      <c r="IJA86" s="1255"/>
      <c r="IJB86" s="1255"/>
      <c r="IJC86" s="1255"/>
      <c r="IJD86" s="1255"/>
      <c r="IJE86" s="1255"/>
      <c r="IJF86" s="1255"/>
      <c r="IJG86" s="1255"/>
      <c r="IJH86" s="1255"/>
      <c r="IJI86" s="1255"/>
      <c r="IJJ86" s="1255"/>
      <c r="IJK86" s="1255"/>
      <c r="IJL86" s="1255"/>
      <c r="IJM86" s="1255"/>
      <c r="IJN86" s="1255"/>
      <c r="IJO86" s="1255"/>
      <c r="IJP86" s="1255"/>
      <c r="IJQ86" s="1255"/>
      <c r="IJR86" s="1255"/>
      <c r="IJS86" s="1255"/>
      <c r="IJT86" s="1255"/>
      <c r="IJU86" s="1255"/>
      <c r="IJV86" s="1255"/>
      <c r="IJW86" s="1255"/>
      <c r="IJX86" s="1255"/>
      <c r="IJY86" s="1255"/>
      <c r="IJZ86" s="1255"/>
      <c r="IKA86" s="1255"/>
      <c r="IKB86" s="1255"/>
      <c r="IKC86" s="1255"/>
      <c r="IKD86" s="1255"/>
      <c r="IKE86" s="1255"/>
      <c r="IKF86" s="1255"/>
      <c r="IKG86" s="1255"/>
      <c r="IKH86" s="1255"/>
      <c r="IKI86" s="1255"/>
      <c r="IKJ86" s="1255"/>
      <c r="IKK86" s="1255"/>
      <c r="IKL86" s="1255"/>
      <c r="IKM86" s="1255"/>
      <c r="IKN86" s="1255"/>
      <c r="IKO86" s="1255"/>
      <c r="IKP86" s="1255"/>
      <c r="IKQ86" s="1255"/>
      <c r="IKR86" s="1255"/>
      <c r="IKS86" s="1255"/>
      <c r="IKT86" s="1255"/>
      <c r="IKU86" s="1255"/>
      <c r="IKV86" s="1255"/>
      <c r="IKW86" s="1255"/>
      <c r="IKX86" s="1255"/>
      <c r="IKY86" s="1255"/>
      <c r="IKZ86" s="1255"/>
      <c r="ILA86" s="1255"/>
      <c r="ILB86" s="1255"/>
      <c r="ILC86" s="1255"/>
      <c r="ILD86" s="1255"/>
      <c r="ILE86" s="1255"/>
      <c r="ILF86" s="1255"/>
      <c r="ILG86" s="1255"/>
      <c r="ILH86" s="1255"/>
      <c r="ILI86" s="1255"/>
      <c r="ILJ86" s="1255"/>
      <c r="ILK86" s="1255"/>
      <c r="ILL86" s="1255"/>
      <c r="ILM86" s="1255"/>
      <c r="ILN86" s="1255"/>
      <c r="ILO86" s="1255"/>
      <c r="ILP86" s="1255"/>
      <c r="ILQ86" s="1255"/>
      <c r="ILR86" s="1255"/>
      <c r="ILS86" s="1255"/>
      <c r="ILT86" s="1255"/>
      <c r="ILU86" s="1255"/>
      <c r="ILV86" s="1255"/>
      <c r="ILW86" s="1255"/>
      <c r="ILX86" s="1255"/>
      <c r="ILY86" s="1255"/>
      <c r="ILZ86" s="1255"/>
      <c r="IMA86" s="1255"/>
      <c r="IMB86" s="1255"/>
      <c r="IMC86" s="1255"/>
      <c r="IMD86" s="1255"/>
      <c r="IME86" s="1255"/>
      <c r="IMF86" s="1255"/>
      <c r="IMG86" s="1255"/>
      <c r="IMH86" s="1255"/>
      <c r="IMI86" s="1255"/>
      <c r="IMJ86" s="1255"/>
      <c r="IMK86" s="1255"/>
      <c r="IML86" s="1255"/>
      <c r="IMM86" s="1255"/>
      <c r="IMN86" s="1255"/>
      <c r="IMO86" s="1255"/>
      <c r="IMP86" s="1255"/>
      <c r="IMQ86" s="1255"/>
      <c r="IMR86" s="1255"/>
      <c r="IMS86" s="1255"/>
      <c r="IMT86" s="1255"/>
      <c r="IMU86" s="1255"/>
      <c r="IMV86" s="1255"/>
      <c r="IMW86" s="1255"/>
      <c r="IMX86" s="1255"/>
      <c r="IMY86" s="1255"/>
      <c r="IMZ86" s="1255"/>
      <c r="INA86" s="1255"/>
      <c r="INB86" s="1255"/>
      <c r="INC86" s="1255"/>
      <c r="IND86" s="1255"/>
      <c r="INE86" s="1255"/>
      <c r="INF86" s="1255"/>
      <c r="ING86" s="1255"/>
      <c r="INH86" s="1255"/>
      <c r="INI86" s="1255"/>
      <c r="INJ86" s="1255"/>
      <c r="INK86" s="1255"/>
      <c r="INL86" s="1255"/>
      <c r="INM86" s="1255"/>
      <c r="INN86" s="1255"/>
      <c r="INO86" s="1255"/>
      <c r="INP86" s="1255"/>
      <c r="INQ86" s="1255"/>
      <c r="INR86" s="1255"/>
      <c r="INS86" s="1255"/>
      <c r="INT86" s="1255"/>
      <c r="INU86" s="1255"/>
      <c r="INV86" s="1255"/>
      <c r="INW86" s="1255"/>
      <c r="INX86" s="1255"/>
      <c r="INY86" s="1255"/>
      <c r="INZ86" s="1255"/>
      <c r="IOA86" s="1255"/>
      <c r="IOB86" s="1255"/>
      <c r="IOC86" s="1255"/>
      <c r="IOD86" s="1255"/>
      <c r="IOE86" s="1255"/>
      <c r="IOF86" s="1255"/>
      <c r="IOG86" s="1255"/>
      <c r="IOH86" s="1255"/>
      <c r="IOI86" s="1255"/>
      <c r="IOJ86" s="1255"/>
      <c r="IOK86" s="1255"/>
      <c r="IOL86" s="1255"/>
      <c r="IOM86" s="1255"/>
      <c r="ION86" s="1255"/>
      <c r="IOO86" s="1255"/>
      <c r="IOP86" s="1255"/>
      <c r="IOQ86" s="1255"/>
      <c r="IOR86" s="1255"/>
      <c r="IOS86" s="1255"/>
      <c r="IOT86" s="1255"/>
      <c r="IOU86" s="1255"/>
      <c r="IOV86" s="1255"/>
      <c r="IOW86" s="1255"/>
      <c r="IOX86" s="1255"/>
      <c r="IOY86" s="1255"/>
      <c r="IOZ86" s="1255"/>
      <c r="IPA86" s="1255"/>
      <c r="IPB86" s="1255"/>
      <c r="IPC86" s="1255"/>
      <c r="IPD86" s="1255"/>
      <c r="IPE86" s="1255"/>
      <c r="IPF86" s="1255"/>
      <c r="IPG86" s="1255"/>
      <c r="IPH86" s="1255"/>
      <c r="IPI86" s="1255"/>
      <c r="IPJ86" s="1255"/>
      <c r="IPK86" s="1255"/>
      <c r="IPL86" s="1255"/>
      <c r="IPM86" s="1255"/>
      <c r="IPN86" s="1255"/>
      <c r="IPO86" s="1255"/>
      <c r="IPP86" s="1255"/>
      <c r="IPQ86" s="1255"/>
      <c r="IPR86" s="1255"/>
      <c r="IPS86" s="1255"/>
      <c r="IPT86" s="1255"/>
      <c r="IPU86" s="1255"/>
      <c r="IPV86" s="1255"/>
      <c r="IPW86" s="1255"/>
      <c r="IPX86" s="1255"/>
      <c r="IPY86" s="1255"/>
      <c r="IPZ86" s="1255"/>
      <c r="IQA86" s="1255"/>
      <c r="IQB86" s="1255"/>
      <c r="IQC86" s="1255"/>
      <c r="IQD86" s="1255"/>
      <c r="IQE86" s="1255"/>
      <c r="IQF86" s="1255"/>
      <c r="IQG86" s="1255"/>
      <c r="IQH86" s="1255"/>
      <c r="IQI86" s="1255"/>
      <c r="IQJ86" s="1255"/>
      <c r="IQK86" s="1255"/>
      <c r="IQL86" s="1255"/>
      <c r="IQM86" s="1255"/>
      <c r="IQN86" s="1255"/>
      <c r="IQO86" s="1255"/>
      <c r="IQP86" s="1255"/>
      <c r="IQQ86" s="1255"/>
      <c r="IQR86" s="1255"/>
      <c r="IQS86" s="1255"/>
      <c r="IQT86" s="1255"/>
      <c r="IQU86" s="1255"/>
      <c r="IQV86" s="1255"/>
      <c r="IQW86" s="1255"/>
      <c r="IQX86" s="1255"/>
      <c r="IQY86" s="1255"/>
      <c r="IQZ86" s="1255"/>
      <c r="IRA86" s="1255"/>
      <c r="IRB86" s="1255"/>
      <c r="IRC86" s="1255"/>
      <c r="IRD86" s="1255"/>
      <c r="IRE86" s="1255"/>
      <c r="IRF86" s="1255"/>
      <c r="IRG86" s="1255"/>
      <c r="IRH86" s="1255"/>
      <c r="IRI86" s="1255"/>
      <c r="IRJ86" s="1255"/>
      <c r="IRK86" s="1255"/>
      <c r="IRL86" s="1255"/>
      <c r="IRM86" s="1255"/>
      <c r="IRN86" s="1255"/>
      <c r="IRO86" s="1255"/>
      <c r="IRP86" s="1255"/>
      <c r="IRQ86" s="1255"/>
      <c r="IRR86" s="1255"/>
      <c r="IRS86" s="1255"/>
      <c r="IRT86" s="1255"/>
      <c r="IRU86" s="1255"/>
      <c r="IRV86" s="1255"/>
      <c r="IRW86" s="1255"/>
      <c r="IRX86" s="1255"/>
      <c r="IRY86" s="1255"/>
      <c r="IRZ86" s="1255"/>
      <c r="ISA86" s="1255"/>
      <c r="ISB86" s="1255"/>
      <c r="ISC86" s="1255"/>
      <c r="ISD86" s="1255"/>
      <c r="ISE86" s="1255"/>
      <c r="ISF86" s="1255"/>
      <c r="ISG86" s="1255"/>
      <c r="ISH86" s="1255"/>
      <c r="ISI86" s="1255"/>
      <c r="ISJ86" s="1255"/>
      <c r="ISK86" s="1255"/>
      <c r="ISL86" s="1255"/>
      <c r="ISM86" s="1255"/>
      <c r="ISN86" s="1255"/>
      <c r="ISO86" s="1255"/>
      <c r="ISP86" s="1255"/>
      <c r="ISQ86" s="1255"/>
      <c r="ISR86" s="1255"/>
      <c r="ISS86" s="1255"/>
      <c r="IST86" s="1255"/>
      <c r="ISU86" s="1255"/>
      <c r="ISV86" s="1255"/>
      <c r="ISW86" s="1255"/>
      <c r="ISX86" s="1255"/>
      <c r="ISY86" s="1255"/>
      <c r="ISZ86" s="1255"/>
      <c r="ITA86" s="1255"/>
      <c r="ITB86" s="1255"/>
      <c r="ITC86" s="1255"/>
      <c r="ITD86" s="1255"/>
      <c r="ITE86" s="1255"/>
      <c r="ITF86" s="1255"/>
      <c r="ITG86" s="1255"/>
      <c r="ITH86" s="1255"/>
      <c r="ITI86" s="1255"/>
      <c r="ITJ86" s="1255"/>
      <c r="ITK86" s="1255"/>
      <c r="ITL86" s="1255"/>
      <c r="ITM86" s="1255"/>
      <c r="ITN86" s="1255"/>
      <c r="ITO86" s="1255"/>
      <c r="ITP86" s="1255"/>
      <c r="ITQ86" s="1255"/>
      <c r="ITR86" s="1255"/>
      <c r="ITS86" s="1255"/>
      <c r="ITT86" s="1255"/>
      <c r="ITU86" s="1255"/>
      <c r="ITV86" s="1255"/>
      <c r="ITW86" s="1255"/>
      <c r="ITX86" s="1255"/>
      <c r="ITY86" s="1255"/>
      <c r="ITZ86" s="1255"/>
      <c r="IUA86" s="1255"/>
      <c r="IUB86" s="1255"/>
      <c r="IUC86" s="1255"/>
      <c r="IUD86" s="1255"/>
      <c r="IUE86" s="1255"/>
      <c r="IUF86" s="1255"/>
      <c r="IUG86" s="1255"/>
      <c r="IUH86" s="1255"/>
      <c r="IUI86" s="1255"/>
      <c r="IUJ86" s="1255"/>
      <c r="IUK86" s="1255"/>
      <c r="IUL86" s="1255"/>
      <c r="IUM86" s="1255"/>
      <c r="IUN86" s="1255"/>
      <c r="IUO86" s="1255"/>
      <c r="IUP86" s="1255"/>
      <c r="IUQ86" s="1255"/>
      <c r="IUR86" s="1255"/>
      <c r="IUS86" s="1255"/>
      <c r="IUT86" s="1255"/>
      <c r="IUU86" s="1255"/>
      <c r="IUV86" s="1255"/>
      <c r="IUW86" s="1255"/>
      <c r="IUX86" s="1255"/>
      <c r="IUY86" s="1255"/>
      <c r="IUZ86" s="1255"/>
      <c r="IVA86" s="1255"/>
      <c r="IVB86" s="1255"/>
      <c r="IVC86" s="1255"/>
      <c r="IVD86" s="1255"/>
      <c r="IVE86" s="1255"/>
      <c r="IVF86" s="1255"/>
      <c r="IVG86" s="1255"/>
      <c r="IVH86" s="1255"/>
      <c r="IVI86" s="1255"/>
      <c r="IVJ86" s="1255"/>
      <c r="IVK86" s="1255"/>
      <c r="IVL86" s="1255"/>
      <c r="IVM86" s="1255"/>
      <c r="IVN86" s="1255"/>
      <c r="IVO86" s="1255"/>
      <c r="IVP86" s="1255"/>
      <c r="IVQ86" s="1255"/>
      <c r="IVR86" s="1255"/>
      <c r="IVS86" s="1255"/>
      <c r="IVT86" s="1255"/>
      <c r="IVU86" s="1255"/>
      <c r="IVV86" s="1255"/>
      <c r="IVW86" s="1255"/>
      <c r="IVX86" s="1255"/>
      <c r="IVY86" s="1255"/>
      <c r="IVZ86" s="1255"/>
      <c r="IWA86" s="1255"/>
      <c r="IWB86" s="1255"/>
      <c r="IWC86" s="1255"/>
      <c r="IWD86" s="1255"/>
      <c r="IWE86" s="1255"/>
      <c r="IWF86" s="1255"/>
      <c r="IWG86" s="1255"/>
      <c r="IWH86" s="1255"/>
      <c r="IWI86" s="1255"/>
      <c r="IWJ86" s="1255"/>
      <c r="IWK86" s="1255"/>
      <c r="IWL86" s="1255"/>
      <c r="IWM86" s="1255"/>
      <c r="IWN86" s="1255"/>
      <c r="IWO86" s="1255"/>
      <c r="IWP86" s="1255"/>
      <c r="IWQ86" s="1255"/>
      <c r="IWR86" s="1255"/>
      <c r="IWS86" s="1255"/>
      <c r="IWT86" s="1255"/>
      <c r="IWU86" s="1255"/>
      <c r="IWV86" s="1255"/>
      <c r="IWW86" s="1255"/>
      <c r="IWX86" s="1255"/>
      <c r="IWY86" s="1255"/>
      <c r="IWZ86" s="1255"/>
      <c r="IXA86" s="1255"/>
      <c r="IXB86" s="1255"/>
      <c r="IXC86" s="1255"/>
      <c r="IXD86" s="1255"/>
      <c r="IXE86" s="1255"/>
      <c r="IXF86" s="1255"/>
      <c r="IXG86" s="1255"/>
      <c r="IXH86" s="1255"/>
      <c r="IXI86" s="1255"/>
      <c r="IXJ86" s="1255"/>
      <c r="IXK86" s="1255"/>
      <c r="IXL86" s="1255"/>
      <c r="IXM86" s="1255"/>
      <c r="IXN86" s="1255"/>
      <c r="IXO86" s="1255"/>
      <c r="IXP86" s="1255"/>
      <c r="IXQ86" s="1255"/>
      <c r="IXR86" s="1255"/>
      <c r="IXS86" s="1255"/>
      <c r="IXT86" s="1255"/>
      <c r="IXU86" s="1255"/>
      <c r="IXV86" s="1255"/>
      <c r="IXW86" s="1255"/>
      <c r="IXX86" s="1255"/>
      <c r="IXY86" s="1255"/>
      <c r="IXZ86" s="1255"/>
      <c r="IYA86" s="1255"/>
      <c r="IYB86" s="1255"/>
      <c r="IYC86" s="1255"/>
      <c r="IYD86" s="1255"/>
      <c r="IYE86" s="1255"/>
      <c r="IYF86" s="1255"/>
      <c r="IYG86" s="1255"/>
      <c r="IYH86" s="1255"/>
      <c r="IYI86" s="1255"/>
      <c r="IYJ86" s="1255"/>
      <c r="IYK86" s="1255"/>
      <c r="IYL86" s="1255"/>
      <c r="IYM86" s="1255"/>
      <c r="IYN86" s="1255"/>
      <c r="IYO86" s="1255"/>
      <c r="IYP86" s="1255"/>
      <c r="IYQ86" s="1255"/>
      <c r="IYR86" s="1255"/>
      <c r="IYS86" s="1255"/>
      <c r="IYT86" s="1255"/>
      <c r="IYU86" s="1255"/>
      <c r="IYV86" s="1255"/>
      <c r="IYW86" s="1255"/>
      <c r="IYX86" s="1255"/>
      <c r="IYY86" s="1255"/>
      <c r="IYZ86" s="1255"/>
      <c r="IZA86" s="1255"/>
      <c r="IZB86" s="1255"/>
      <c r="IZC86" s="1255"/>
      <c r="IZD86" s="1255"/>
      <c r="IZE86" s="1255"/>
      <c r="IZF86" s="1255"/>
      <c r="IZG86" s="1255"/>
      <c r="IZH86" s="1255"/>
      <c r="IZI86" s="1255"/>
      <c r="IZJ86" s="1255"/>
      <c r="IZK86" s="1255"/>
      <c r="IZL86" s="1255"/>
      <c r="IZM86" s="1255"/>
      <c r="IZN86" s="1255"/>
      <c r="IZO86" s="1255"/>
      <c r="IZP86" s="1255"/>
      <c r="IZQ86" s="1255"/>
      <c r="IZR86" s="1255"/>
      <c r="IZS86" s="1255"/>
      <c r="IZT86" s="1255"/>
      <c r="IZU86" s="1255"/>
      <c r="IZV86" s="1255"/>
      <c r="IZW86" s="1255"/>
      <c r="IZX86" s="1255"/>
      <c r="IZY86" s="1255"/>
      <c r="IZZ86" s="1255"/>
      <c r="JAA86" s="1255"/>
      <c r="JAB86" s="1255"/>
      <c r="JAC86" s="1255"/>
      <c r="JAD86" s="1255"/>
      <c r="JAE86" s="1255"/>
      <c r="JAF86" s="1255"/>
      <c r="JAG86" s="1255"/>
      <c r="JAH86" s="1255"/>
      <c r="JAI86" s="1255"/>
      <c r="JAJ86" s="1255"/>
      <c r="JAK86" s="1255"/>
      <c r="JAL86" s="1255"/>
      <c r="JAM86" s="1255"/>
      <c r="JAN86" s="1255"/>
      <c r="JAO86" s="1255"/>
      <c r="JAP86" s="1255"/>
      <c r="JAQ86" s="1255"/>
      <c r="JAR86" s="1255"/>
      <c r="JAS86" s="1255"/>
      <c r="JAT86" s="1255"/>
      <c r="JAU86" s="1255"/>
      <c r="JAV86" s="1255"/>
      <c r="JAW86" s="1255"/>
      <c r="JAX86" s="1255"/>
      <c r="JAY86" s="1255"/>
      <c r="JAZ86" s="1255"/>
      <c r="JBA86" s="1255"/>
      <c r="JBB86" s="1255"/>
      <c r="JBC86" s="1255"/>
      <c r="JBD86" s="1255"/>
      <c r="JBE86" s="1255"/>
      <c r="JBF86" s="1255"/>
      <c r="JBG86" s="1255"/>
      <c r="JBH86" s="1255"/>
      <c r="JBI86" s="1255"/>
      <c r="JBJ86" s="1255"/>
      <c r="JBK86" s="1255"/>
      <c r="JBL86" s="1255"/>
      <c r="JBM86" s="1255"/>
      <c r="JBN86" s="1255"/>
      <c r="JBO86" s="1255"/>
      <c r="JBP86" s="1255"/>
      <c r="JBQ86" s="1255"/>
      <c r="JBR86" s="1255"/>
      <c r="JBS86" s="1255"/>
      <c r="JBT86" s="1255"/>
      <c r="JBU86" s="1255"/>
      <c r="JBV86" s="1255"/>
      <c r="JBW86" s="1255"/>
      <c r="JBX86" s="1255"/>
      <c r="JBY86" s="1255"/>
      <c r="JBZ86" s="1255"/>
      <c r="JCA86" s="1255"/>
      <c r="JCB86" s="1255"/>
      <c r="JCC86" s="1255"/>
      <c r="JCD86" s="1255"/>
      <c r="JCE86" s="1255"/>
      <c r="JCF86" s="1255"/>
      <c r="JCG86" s="1255"/>
      <c r="JCH86" s="1255"/>
      <c r="JCI86" s="1255"/>
      <c r="JCJ86" s="1255"/>
      <c r="JCK86" s="1255"/>
      <c r="JCL86" s="1255"/>
      <c r="JCM86" s="1255"/>
      <c r="JCN86" s="1255"/>
      <c r="JCO86" s="1255"/>
      <c r="JCP86" s="1255"/>
      <c r="JCQ86" s="1255"/>
      <c r="JCR86" s="1255"/>
      <c r="JCS86" s="1255"/>
      <c r="JCT86" s="1255"/>
      <c r="JCU86" s="1255"/>
      <c r="JCV86" s="1255"/>
      <c r="JCW86" s="1255"/>
      <c r="JCX86" s="1255"/>
      <c r="JCY86" s="1255"/>
      <c r="JCZ86" s="1255"/>
      <c r="JDA86" s="1255"/>
      <c r="JDB86" s="1255"/>
      <c r="JDC86" s="1255"/>
      <c r="JDD86" s="1255"/>
      <c r="JDE86" s="1255"/>
      <c r="JDF86" s="1255"/>
      <c r="JDG86" s="1255"/>
      <c r="JDH86" s="1255"/>
      <c r="JDI86" s="1255"/>
      <c r="JDJ86" s="1255"/>
      <c r="JDK86" s="1255"/>
      <c r="JDL86" s="1255"/>
      <c r="JDM86" s="1255"/>
      <c r="JDN86" s="1255"/>
      <c r="JDO86" s="1255"/>
      <c r="JDP86" s="1255"/>
      <c r="JDQ86" s="1255"/>
      <c r="JDR86" s="1255"/>
      <c r="JDS86" s="1255"/>
      <c r="JDT86" s="1255"/>
      <c r="JDU86" s="1255"/>
      <c r="JDV86" s="1255"/>
      <c r="JDW86" s="1255"/>
      <c r="JDX86" s="1255"/>
      <c r="JDY86" s="1255"/>
      <c r="JDZ86" s="1255"/>
      <c r="JEA86" s="1255"/>
      <c r="JEB86" s="1255"/>
      <c r="JEC86" s="1255"/>
      <c r="JED86" s="1255"/>
      <c r="JEE86" s="1255"/>
      <c r="JEF86" s="1255"/>
      <c r="JEG86" s="1255"/>
      <c r="JEH86" s="1255"/>
      <c r="JEI86" s="1255"/>
      <c r="JEJ86" s="1255"/>
      <c r="JEK86" s="1255"/>
      <c r="JEL86" s="1255"/>
      <c r="JEM86" s="1255"/>
      <c r="JEN86" s="1255"/>
      <c r="JEO86" s="1255"/>
      <c r="JEP86" s="1255"/>
      <c r="JEQ86" s="1255"/>
      <c r="JER86" s="1255"/>
      <c r="JES86" s="1255"/>
      <c r="JET86" s="1255"/>
      <c r="JEU86" s="1255"/>
      <c r="JEV86" s="1255"/>
      <c r="JEW86" s="1255"/>
      <c r="JEX86" s="1255"/>
      <c r="JEY86" s="1255"/>
      <c r="JEZ86" s="1255"/>
      <c r="JFA86" s="1255"/>
      <c r="JFB86" s="1255"/>
      <c r="JFC86" s="1255"/>
      <c r="JFD86" s="1255"/>
      <c r="JFE86" s="1255"/>
      <c r="JFF86" s="1255"/>
      <c r="JFG86" s="1255"/>
      <c r="JFH86" s="1255"/>
      <c r="JFI86" s="1255"/>
      <c r="JFJ86" s="1255"/>
      <c r="JFK86" s="1255"/>
      <c r="JFL86" s="1255"/>
      <c r="JFM86" s="1255"/>
      <c r="JFN86" s="1255"/>
      <c r="JFO86" s="1255"/>
      <c r="JFP86" s="1255"/>
      <c r="JFQ86" s="1255"/>
      <c r="JFR86" s="1255"/>
      <c r="JFS86" s="1255"/>
      <c r="JFT86" s="1255"/>
      <c r="JFU86" s="1255"/>
      <c r="JFV86" s="1255"/>
      <c r="JFW86" s="1255"/>
      <c r="JFX86" s="1255"/>
      <c r="JFY86" s="1255"/>
      <c r="JFZ86" s="1255"/>
      <c r="JGA86" s="1255"/>
      <c r="JGB86" s="1255"/>
      <c r="JGC86" s="1255"/>
      <c r="JGD86" s="1255"/>
      <c r="JGE86" s="1255"/>
      <c r="JGF86" s="1255"/>
      <c r="JGG86" s="1255"/>
      <c r="JGH86" s="1255"/>
      <c r="JGI86" s="1255"/>
      <c r="JGJ86" s="1255"/>
      <c r="JGK86" s="1255"/>
      <c r="JGL86" s="1255"/>
      <c r="JGM86" s="1255"/>
      <c r="JGN86" s="1255"/>
      <c r="JGO86" s="1255"/>
      <c r="JGP86" s="1255"/>
      <c r="JGQ86" s="1255"/>
      <c r="JGR86" s="1255"/>
      <c r="JGS86" s="1255"/>
      <c r="JGT86" s="1255"/>
      <c r="JGU86" s="1255"/>
      <c r="JGV86" s="1255"/>
      <c r="JGW86" s="1255"/>
      <c r="JGX86" s="1255"/>
      <c r="JGY86" s="1255"/>
      <c r="JGZ86" s="1255"/>
      <c r="JHA86" s="1255"/>
      <c r="JHB86" s="1255"/>
      <c r="JHC86" s="1255"/>
      <c r="JHD86" s="1255"/>
      <c r="JHE86" s="1255"/>
      <c r="JHF86" s="1255"/>
      <c r="JHG86" s="1255"/>
      <c r="JHH86" s="1255"/>
      <c r="JHI86" s="1255"/>
      <c r="JHJ86" s="1255"/>
      <c r="JHK86" s="1255"/>
      <c r="JHL86" s="1255"/>
      <c r="JHM86" s="1255"/>
      <c r="JHN86" s="1255"/>
      <c r="JHO86" s="1255"/>
      <c r="JHP86" s="1255"/>
      <c r="JHQ86" s="1255"/>
      <c r="JHR86" s="1255"/>
      <c r="JHS86" s="1255"/>
      <c r="JHT86" s="1255"/>
      <c r="JHU86" s="1255"/>
      <c r="JHV86" s="1255"/>
      <c r="JHW86" s="1255"/>
      <c r="JHX86" s="1255"/>
      <c r="JHY86" s="1255"/>
      <c r="JHZ86" s="1255"/>
      <c r="JIA86" s="1255"/>
      <c r="JIB86" s="1255"/>
      <c r="JIC86" s="1255"/>
      <c r="JID86" s="1255"/>
      <c r="JIE86" s="1255"/>
      <c r="JIF86" s="1255"/>
      <c r="JIG86" s="1255"/>
      <c r="JIH86" s="1255"/>
      <c r="JII86" s="1255"/>
      <c r="JIJ86" s="1255"/>
      <c r="JIK86" s="1255"/>
      <c r="JIL86" s="1255"/>
      <c r="JIM86" s="1255"/>
      <c r="JIN86" s="1255"/>
      <c r="JIO86" s="1255"/>
      <c r="JIP86" s="1255"/>
      <c r="JIQ86" s="1255"/>
      <c r="JIR86" s="1255"/>
      <c r="JIS86" s="1255"/>
      <c r="JIT86" s="1255"/>
      <c r="JIU86" s="1255"/>
      <c r="JIV86" s="1255"/>
      <c r="JIW86" s="1255"/>
      <c r="JIX86" s="1255"/>
      <c r="JIY86" s="1255"/>
      <c r="JIZ86" s="1255"/>
      <c r="JJA86" s="1255"/>
      <c r="JJB86" s="1255"/>
      <c r="JJC86" s="1255"/>
      <c r="JJD86" s="1255"/>
      <c r="JJE86" s="1255"/>
      <c r="JJF86" s="1255"/>
      <c r="JJG86" s="1255"/>
      <c r="JJH86" s="1255"/>
      <c r="JJI86" s="1255"/>
      <c r="JJJ86" s="1255"/>
      <c r="JJK86" s="1255"/>
      <c r="JJL86" s="1255"/>
      <c r="JJM86" s="1255"/>
      <c r="JJN86" s="1255"/>
      <c r="JJO86" s="1255"/>
      <c r="JJP86" s="1255"/>
      <c r="JJQ86" s="1255"/>
      <c r="JJR86" s="1255"/>
      <c r="JJS86" s="1255"/>
      <c r="JJT86" s="1255"/>
      <c r="JJU86" s="1255"/>
      <c r="JJV86" s="1255"/>
      <c r="JJW86" s="1255"/>
      <c r="JJX86" s="1255"/>
      <c r="JJY86" s="1255"/>
      <c r="JJZ86" s="1255"/>
      <c r="JKA86" s="1255"/>
      <c r="JKB86" s="1255"/>
      <c r="JKC86" s="1255"/>
      <c r="JKD86" s="1255"/>
      <c r="JKE86" s="1255"/>
      <c r="JKF86" s="1255"/>
      <c r="JKG86" s="1255"/>
      <c r="JKH86" s="1255"/>
      <c r="JKI86" s="1255"/>
      <c r="JKJ86" s="1255"/>
      <c r="JKK86" s="1255"/>
      <c r="JKL86" s="1255"/>
      <c r="JKM86" s="1255"/>
      <c r="JKN86" s="1255"/>
      <c r="JKO86" s="1255"/>
      <c r="JKP86" s="1255"/>
      <c r="JKQ86" s="1255"/>
      <c r="JKR86" s="1255"/>
      <c r="JKS86" s="1255"/>
      <c r="JKT86" s="1255"/>
      <c r="JKU86" s="1255"/>
      <c r="JKV86" s="1255"/>
      <c r="JKW86" s="1255"/>
      <c r="JKX86" s="1255"/>
      <c r="JKY86" s="1255"/>
      <c r="JKZ86" s="1255"/>
      <c r="JLA86" s="1255"/>
      <c r="JLB86" s="1255"/>
      <c r="JLC86" s="1255"/>
      <c r="JLD86" s="1255"/>
      <c r="JLE86" s="1255"/>
      <c r="JLF86" s="1255"/>
      <c r="JLG86" s="1255"/>
      <c r="JLH86" s="1255"/>
      <c r="JLI86" s="1255"/>
      <c r="JLJ86" s="1255"/>
      <c r="JLK86" s="1255"/>
      <c r="JLL86" s="1255"/>
      <c r="JLM86" s="1255"/>
      <c r="JLN86" s="1255"/>
      <c r="JLO86" s="1255"/>
      <c r="JLP86" s="1255"/>
      <c r="JLQ86" s="1255"/>
      <c r="JLR86" s="1255"/>
      <c r="JLS86" s="1255"/>
      <c r="JLT86" s="1255"/>
      <c r="JLU86" s="1255"/>
      <c r="JLV86" s="1255"/>
      <c r="JLW86" s="1255"/>
      <c r="JLX86" s="1255"/>
      <c r="JLY86" s="1255"/>
      <c r="JLZ86" s="1255"/>
      <c r="JMA86" s="1255"/>
      <c r="JMB86" s="1255"/>
      <c r="JMC86" s="1255"/>
      <c r="JMD86" s="1255"/>
      <c r="JME86" s="1255"/>
      <c r="JMF86" s="1255"/>
      <c r="JMG86" s="1255"/>
      <c r="JMH86" s="1255"/>
      <c r="JMI86" s="1255"/>
      <c r="JMJ86" s="1255"/>
      <c r="JMK86" s="1255"/>
      <c r="JML86" s="1255"/>
      <c r="JMM86" s="1255"/>
      <c r="JMN86" s="1255"/>
      <c r="JMO86" s="1255"/>
      <c r="JMP86" s="1255"/>
      <c r="JMQ86" s="1255"/>
      <c r="JMR86" s="1255"/>
      <c r="JMS86" s="1255"/>
      <c r="JMT86" s="1255"/>
      <c r="JMU86" s="1255"/>
      <c r="JMV86" s="1255"/>
      <c r="JMW86" s="1255"/>
      <c r="JMX86" s="1255"/>
      <c r="JMY86" s="1255"/>
      <c r="JMZ86" s="1255"/>
      <c r="JNA86" s="1255"/>
      <c r="JNB86" s="1255"/>
      <c r="JNC86" s="1255"/>
      <c r="JND86" s="1255"/>
      <c r="JNE86" s="1255"/>
      <c r="JNF86" s="1255"/>
      <c r="JNG86" s="1255"/>
      <c r="JNH86" s="1255"/>
      <c r="JNI86" s="1255"/>
      <c r="JNJ86" s="1255"/>
      <c r="JNK86" s="1255"/>
      <c r="JNL86" s="1255"/>
      <c r="JNM86" s="1255"/>
      <c r="JNN86" s="1255"/>
      <c r="JNO86" s="1255"/>
      <c r="JNP86" s="1255"/>
      <c r="JNQ86" s="1255"/>
      <c r="JNR86" s="1255"/>
      <c r="JNS86" s="1255"/>
      <c r="JNT86" s="1255"/>
      <c r="JNU86" s="1255"/>
      <c r="JNV86" s="1255"/>
      <c r="JNW86" s="1255"/>
      <c r="JNX86" s="1255"/>
      <c r="JNY86" s="1255"/>
      <c r="JNZ86" s="1255"/>
      <c r="JOA86" s="1255"/>
      <c r="JOB86" s="1255"/>
      <c r="JOC86" s="1255"/>
      <c r="JOD86" s="1255"/>
      <c r="JOE86" s="1255"/>
      <c r="JOF86" s="1255"/>
      <c r="JOG86" s="1255"/>
      <c r="JOH86" s="1255"/>
      <c r="JOI86" s="1255"/>
      <c r="JOJ86" s="1255"/>
      <c r="JOK86" s="1255"/>
      <c r="JOL86" s="1255"/>
      <c r="JOM86" s="1255"/>
      <c r="JON86" s="1255"/>
      <c r="JOO86" s="1255"/>
      <c r="JOP86" s="1255"/>
      <c r="JOQ86" s="1255"/>
      <c r="JOR86" s="1255"/>
      <c r="JOS86" s="1255"/>
      <c r="JOT86" s="1255"/>
      <c r="JOU86" s="1255"/>
      <c r="JOV86" s="1255"/>
      <c r="JOW86" s="1255"/>
      <c r="JOX86" s="1255"/>
      <c r="JOY86" s="1255"/>
      <c r="JOZ86" s="1255"/>
      <c r="JPA86" s="1255"/>
      <c r="JPB86" s="1255"/>
      <c r="JPC86" s="1255"/>
      <c r="JPD86" s="1255"/>
      <c r="JPE86" s="1255"/>
      <c r="JPF86" s="1255"/>
      <c r="JPG86" s="1255"/>
      <c r="JPH86" s="1255"/>
      <c r="JPI86" s="1255"/>
      <c r="JPJ86" s="1255"/>
      <c r="JPK86" s="1255"/>
      <c r="JPL86" s="1255"/>
      <c r="JPM86" s="1255"/>
      <c r="JPN86" s="1255"/>
      <c r="JPO86" s="1255"/>
      <c r="JPP86" s="1255"/>
      <c r="JPQ86" s="1255"/>
      <c r="JPR86" s="1255"/>
      <c r="JPS86" s="1255"/>
      <c r="JPT86" s="1255"/>
      <c r="JPU86" s="1255"/>
      <c r="JPV86" s="1255"/>
      <c r="JPW86" s="1255"/>
      <c r="JPX86" s="1255"/>
      <c r="JPY86" s="1255"/>
      <c r="JPZ86" s="1255"/>
      <c r="JQA86" s="1255"/>
      <c r="JQB86" s="1255"/>
      <c r="JQC86" s="1255"/>
      <c r="JQD86" s="1255"/>
      <c r="JQE86" s="1255"/>
      <c r="JQF86" s="1255"/>
      <c r="JQG86" s="1255"/>
      <c r="JQH86" s="1255"/>
      <c r="JQI86" s="1255"/>
      <c r="JQJ86" s="1255"/>
      <c r="JQK86" s="1255"/>
      <c r="JQL86" s="1255"/>
      <c r="JQM86" s="1255"/>
      <c r="JQN86" s="1255"/>
      <c r="JQO86" s="1255"/>
      <c r="JQP86" s="1255"/>
      <c r="JQQ86" s="1255"/>
      <c r="JQR86" s="1255"/>
      <c r="JQS86" s="1255"/>
      <c r="JQT86" s="1255"/>
      <c r="JQU86" s="1255"/>
      <c r="JQV86" s="1255"/>
      <c r="JQW86" s="1255"/>
      <c r="JQX86" s="1255"/>
      <c r="JQY86" s="1255"/>
      <c r="JQZ86" s="1255"/>
      <c r="JRA86" s="1255"/>
      <c r="JRB86" s="1255"/>
      <c r="JRC86" s="1255"/>
      <c r="JRD86" s="1255"/>
      <c r="JRE86" s="1255"/>
      <c r="JRF86" s="1255"/>
      <c r="JRG86" s="1255"/>
      <c r="JRH86" s="1255"/>
      <c r="JRI86" s="1255"/>
      <c r="JRJ86" s="1255"/>
      <c r="JRK86" s="1255"/>
      <c r="JRL86" s="1255"/>
      <c r="JRM86" s="1255"/>
      <c r="JRN86" s="1255"/>
      <c r="JRO86" s="1255"/>
      <c r="JRP86" s="1255"/>
      <c r="JRQ86" s="1255"/>
      <c r="JRR86" s="1255"/>
      <c r="JRS86" s="1255"/>
      <c r="JRT86" s="1255"/>
      <c r="JRU86" s="1255"/>
      <c r="JRV86" s="1255"/>
      <c r="JRW86" s="1255"/>
      <c r="JRX86" s="1255"/>
      <c r="JRY86" s="1255"/>
      <c r="JRZ86" s="1255"/>
      <c r="JSA86" s="1255"/>
      <c r="JSB86" s="1255"/>
      <c r="JSC86" s="1255"/>
      <c r="JSD86" s="1255"/>
      <c r="JSE86" s="1255"/>
      <c r="JSF86" s="1255"/>
      <c r="JSG86" s="1255"/>
      <c r="JSH86" s="1255"/>
      <c r="JSI86" s="1255"/>
      <c r="JSJ86" s="1255"/>
      <c r="JSK86" s="1255"/>
      <c r="JSL86" s="1255"/>
      <c r="JSM86" s="1255"/>
      <c r="JSN86" s="1255"/>
      <c r="JSO86" s="1255"/>
      <c r="JSP86" s="1255"/>
      <c r="JSQ86" s="1255"/>
      <c r="JSR86" s="1255"/>
      <c r="JSS86" s="1255"/>
      <c r="JST86" s="1255"/>
      <c r="JSU86" s="1255"/>
      <c r="JSV86" s="1255"/>
      <c r="JSW86" s="1255"/>
      <c r="JSX86" s="1255"/>
      <c r="JSY86" s="1255"/>
      <c r="JSZ86" s="1255"/>
      <c r="JTA86" s="1255"/>
      <c r="JTB86" s="1255"/>
      <c r="JTC86" s="1255"/>
      <c r="JTD86" s="1255"/>
      <c r="JTE86" s="1255"/>
      <c r="JTF86" s="1255"/>
      <c r="JTG86" s="1255"/>
      <c r="JTH86" s="1255"/>
      <c r="JTI86" s="1255"/>
      <c r="JTJ86" s="1255"/>
      <c r="JTK86" s="1255"/>
      <c r="JTL86" s="1255"/>
      <c r="JTM86" s="1255"/>
      <c r="JTN86" s="1255"/>
      <c r="JTO86" s="1255"/>
      <c r="JTP86" s="1255"/>
      <c r="JTQ86" s="1255"/>
      <c r="JTR86" s="1255"/>
      <c r="JTS86" s="1255"/>
      <c r="JTT86" s="1255"/>
      <c r="JTU86" s="1255"/>
      <c r="JTV86" s="1255"/>
      <c r="JTW86" s="1255"/>
      <c r="JTX86" s="1255"/>
      <c r="JTY86" s="1255"/>
      <c r="JTZ86" s="1255"/>
      <c r="JUA86" s="1255"/>
      <c r="JUB86" s="1255"/>
      <c r="JUC86" s="1255"/>
      <c r="JUD86" s="1255"/>
      <c r="JUE86" s="1255"/>
      <c r="JUF86" s="1255"/>
      <c r="JUG86" s="1255"/>
      <c r="JUH86" s="1255"/>
      <c r="JUI86" s="1255"/>
      <c r="JUJ86" s="1255"/>
      <c r="JUK86" s="1255"/>
      <c r="JUL86" s="1255"/>
      <c r="JUM86" s="1255"/>
      <c r="JUN86" s="1255"/>
      <c r="JUO86" s="1255"/>
      <c r="JUP86" s="1255"/>
      <c r="JUQ86" s="1255"/>
      <c r="JUR86" s="1255"/>
      <c r="JUS86" s="1255"/>
      <c r="JUT86" s="1255"/>
      <c r="JUU86" s="1255"/>
      <c r="JUV86" s="1255"/>
      <c r="JUW86" s="1255"/>
      <c r="JUX86" s="1255"/>
      <c r="JUY86" s="1255"/>
      <c r="JUZ86" s="1255"/>
      <c r="JVA86" s="1255"/>
      <c r="JVB86" s="1255"/>
      <c r="JVC86" s="1255"/>
      <c r="JVD86" s="1255"/>
      <c r="JVE86" s="1255"/>
      <c r="JVF86" s="1255"/>
      <c r="JVG86" s="1255"/>
      <c r="JVH86" s="1255"/>
      <c r="JVI86" s="1255"/>
      <c r="JVJ86" s="1255"/>
      <c r="JVK86" s="1255"/>
      <c r="JVL86" s="1255"/>
      <c r="JVM86" s="1255"/>
      <c r="JVN86" s="1255"/>
      <c r="JVO86" s="1255"/>
      <c r="JVP86" s="1255"/>
      <c r="JVQ86" s="1255"/>
      <c r="JVR86" s="1255"/>
      <c r="JVS86" s="1255"/>
      <c r="JVT86" s="1255"/>
      <c r="JVU86" s="1255"/>
      <c r="JVV86" s="1255"/>
      <c r="JVW86" s="1255"/>
      <c r="JVX86" s="1255"/>
      <c r="JVY86" s="1255"/>
      <c r="JVZ86" s="1255"/>
      <c r="JWA86" s="1255"/>
      <c r="JWB86" s="1255"/>
      <c r="JWC86" s="1255"/>
      <c r="JWD86" s="1255"/>
      <c r="JWE86" s="1255"/>
      <c r="JWF86" s="1255"/>
      <c r="JWG86" s="1255"/>
      <c r="JWH86" s="1255"/>
      <c r="JWI86" s="1255"/>
      <c r="JWJ86" s="1255"/>
      <c r="JWK86" s="1255"/>
      <c r="JWL86" s="1255"/>
      <c r="JWM86" s="1255"/>
      <c r="JWN86" s="1255"/>
      <c r="JWO86" s="1255"/>
      <c r="JWP86" s="1255"/>
      <c r="JWQ86" s="1255"/>
      <c r="JWR86" s="1255"/>
      <c r="JWS86" s="1255"/>
      <c r="JWT86" s="1255"/>
      <c r="JWU86" s="1255"/>
      <c r="JWV86" s="1255"/>
      <c r="JWW86" s="1255"/>
      <c r="JWX86" s="1255"/>
      <c r="JWY86" s="1255"/>
      <c r="JWZ86" s="1255"/>
      <c r="JXA86" s="1255"/>
      <c r="JXB86" s="1255"/>
      <c r="JXC86" s="1255"/>
      <c r="JXD86" s="1255"/>
      <c r="JXE86" s="1255"/>
      <c r="JXF86" s="1255"/>
      <c r="JXG86" s="1255"/>
      <c r="JXH86" s="1255"/>
      <c r="JXI86" s="1255"/>
      <c r="JXJ86" s="1255"/>
      <c r="JXK86" s="1255"/>
      <c r="JXL86" s="1255"/>
      <c r="JXM86" s="1255"/>
      <c r="JXN86" s="1255"/>
      <c r="JXO86" s="1255"/>
      <c r="JXP86" s="1255"/>
      <c r="JXQ86" s="1255"/>
      <c r="JXR86" s="1255"/>
      <c r="JXS86" s="1255"/>
      <c r="JXT86" s="1255"/>
      <c r="JXU86" s="1255"/>
      <c r="JXV86" s="1255"/>
      <c r="JXW86" s="1255"/>
      <c r="JXX86" s="1255"/>
      <c r="JXY86" s="1255"/>
      <c r="JXZ86" s="1255"/>
      <c r="JYA86" s="1255"/>
      <c r="JYB86" s="1255"/>
      <c r="JYC86" s="1255"/>
      <c r="JYD86" s="1255"/>
      <c r="JYE86" s="1255"/>
      <c r="JYF86" s="1255"/>
      <c r="JYG86" s="1255"/>
      <c r="JYH86" s="1255"/>
      <c r="JYI86" s="1255"/>
      <c r="JYJ86" s="1255"/>
      <c r="JYK86" s="1255"/>
      <c r="JYL86" s="1255"/>
      <c r="JYM86" s="1255"/>
      <c r="JYN86" s="1255"/>
      <c r="JYO86" s="1255"/>
      <c r="JYP86" s="1255"/>
      <c r="JYQ86" s="1255"/>
      <c r="JYR86" s="1255"/>
      <c r="JYS86" s="1255"/>
      <c r="JYT86" s="1255"/>
      <c r="JYU86" s="1255"/>
      <c r="JYV86" s="1255"/>
      <c r="JYW86" s="1255"/>
      <c r="JYX86" s="1255"/>
      <c r="JYY86" s="1255"/>
      <c r="JYZ86" s="1255"/>
      <c r="JZA86" s="1255"/>
      <c r="JZB86" s="1255"/>
      <c r="JZC86" s="1255"/>
      <c r="JZD86" s="1255"/>
      <c r="JZE86" s="1255"/>
      <c r="JZF86" s="1255"/>
      <c r="JZG86" s="1255"/>
      <c r="JZH86" s="1255"/>
      <c r="JZI86" s="1255"/>
      <c r="JZJ86" s="1255"/>
      <c r="JZK86" s="1255"/>
      <c r="JZL86" s="1255"/>
      <c r="JZM86" s="1255"/>
      <c r="JZN86" s="1255"/>
      <c r="JZO86" s="1255"/>
      <c r="JZP86" s="1255"/>
      <c r="JZQ86" s="1255"/>
      <c r="JZR86" s="1255"/>
      <c r="JZS86" s="1255"/>
      <c r="JZT86" s="1255"/>
      <c r="JZU86" s="1255"/>
      <c r="JZV86" s="1255"/>
      <c r="JZW86" s="1255"/>
      <c r="JZX86" s="1255"/>
      <c r="JZY86" s="1255"/>
      <c r="JZZ86" s="1255"/>
      <c r="KAA86" s="1255"/>
      <c r="KAB86" s="1255"/>
      <c r="KAC86" s="1255"/>
      <c r="KAD86" s="1255"/>
      <c r="KAE86" s="1255"/>
      <c r="KAF86" s="1255"/>
      <c r="KAG86" s="1255"/>
      <c r="KAH86" s="1255"/>
      <c r="KAI86" s="1255"/>
      <c r="KAJ86" s="1255"/>
      <c r="KAK86" s="1255"/>
      <c r="KAL86" s="1255"/>
      <c r="KAM86" s="1255"/>
      <c r="KAN86" s="1255"/>
      <c r="KAO86" s="1255"/>
      <c r="KAP86" s="1255"/>
      <c r="KAQ86" s="1255"/>
      <c r="KAR86" s="1255"/>
      <c r="KAS86" s="1255"/>
      <c r="KAT86" s="1255"/>
      <c r="KAU86" s="1255"/>
      <c r="KAV86" s="1255"/>
      <c r="KAW86" s="1255"/>
      <c r="KAX86" s="1255"/>
      <c r="KAY86" s="1255"/>
      <c r="KAZ86" s="1255"/>
      <c r="KBA86" s="1255"/>
      <c r="KBB86" s="1255"/>
      <c r="KBC86" s="1255"/>
      <c r="KBD86" s="1255"/>
      <c r="KBE86" s="1255"/>
      <c r="KBF86" s="1255"/>
      <c r="KBG86" s="1255"/>
      <c r="KBH86" s="1255"/>
      <c r="KBI86" s="1255"/>
      <c r="KBJ86" s="1255"/>
      <c r="KBK86" s="1255"/>
      <c r="KBL86" s="1255"/>
      <c r="KBM86" s="1255"/>
      <c r="KBN86" s="1255"/>
      <c r="KBO86" s="1255"/>
      <c r="KBP86" s="1255"/>
      <c r="KBQ86" s="1255"/>
      <c r="KBR86" s="1255"/>
      <c r="KBS86" s="1255"/>
      <c r="KBT86" s="1255"/>
      <c r="KBU86" s="1255"/>
      <c r="KBV86" s="1255"/>
      <c r="KBW86" s="1255"/>
      <c r="KBX86" s="1255"/>
      <c r="KBY86" s="1255"/>
      <c r="KBZ86" s="1255"/>
      <c r="KCA86" s="1255"/>
      <c r="KCB86" s="1255"/>
      <c r="KCC86" s="1255"/>
      <c r="KCD86" s="1255"/>
      <c r="KCE86" s="1255"/>
      <c r="KCF86" s="1255"/>
      <c r="KCG86" s="1255"/>
      <c r="KCH86" s="1255"/>
      <c r="KCI86" s="1255"/>
      <c r="KCJ86" s="1255"/>
      <c r="KCK86" s="1255"/>
      <c r="KCL86" s="1255"/>
      <c r="KCM86" s="1255"/>
      <c r="KCN86" s="1255"/>
      <c r="KCO86" s="1255"/>
      <c r="KCP86" s="1255"/>
      <c r="KCQ86" s="1255"/>
      <c r="KCR86" s="1255"/>
      <c r="KCS86" s="1255"/>
      <c r="KCT86" s="1255"/>
      <c r="KCU86" s="1255"/>
      <c r="KCV86" s="1255"/>
      <c r="KCW86" s="1255"/>
      <c r="KCX86" s="1255"/>
      <c r="KCY86" s="1255"/>
      <c r="KCZ86" s="1255"/>
      <c r="KDA86" s="1255"/>
      <c r="KDB86" s="1255"/>
      <c r="KDC86" s="1255"/>
      <c r="KDD86" s="1255"/>
      <c r="KDE86" s="1255"/>
      <c r="KDF86" s="1255"/>
      <c r="KDG86" s="1255"/>
      <c r="KDH86" s="1255"/>
      <c r="KDI86" s="1255"/>
      <c r="KDJ86" s="1255"/>
      <c r="KDK86" s="1255"/>
      <c r="KDL86" s="1255"/>
      <c r="KDM86" s="1255"/>
      <c r="KDN86" s="1255"/>
      <c r="KDO86" s="1255"/>
      <c r="KDP86" s="1255"/>
      <c r="KDQ86" s="1255"/>
      <c r="KDR86" s="1255"/>
      <c r="KDS86" s="1255"/>
      <c r="KDT86" s="1255"/>
      <c r="KDU86" s="1255"/>
      <c r="KDV86" s="1255"/>
      <c r="KDW86" s="1255"/>
      <c r="KDX86" s="1255"/>
      <c r="KDY86" s="1255"/>
      <c r="KDZ86" s="1255"/>
      <c r="KEA86" s="1255"/>
      <c r="KEB86" s="1255"/>
      <c r="KEC86" s="1255"/>
      <c r="KED86" s="1255"/>
      <c r="KEE86" s="1255"/>
      <c r="KEF86" s="1255"/>
      <c r="KEG86" s="1255"/>
      <c r="KEH86" s="1255"/>
      <c r="KEI86" s="1255"/>
      <c r="KEJ86" s="1255"/>
      <c r="KEK86" s="1255"/>
      <c r="KEL86" s="1255"/>
      <c r="KEM86" s="1255"/>
      <c r="KEN86" s="1255"/>
      <c r="KEO86" s="1255"/>
      <c r="KEP86" s="1255"/>
      <c r="KEQ86" s="1255"/>
      <c r="KER86" s="1255"/>
      <c r="KES86" s="1255"/>
      <c r="KET86" s="1255"/>
      <c r="KEU86" s="1255"/>
      <c r="KEV86" s="1255"/>
      <c r="KEW86" s="1255"/>
      <c r="KEX86" s="1255"/>
      <c r="KEY86" s="1255"/>
      <c r="KEZ86" s="1255"/>
      <c r="KFA86" s="1255"/>
      <c r="KFB86" s="1255"/>
      <c r="KFC86" s="1255"/>
      <c r="KFD86" s="1255"/>
      <c r="KFE86" s="1255"/>
      <c r="KFF86" s="1255"/>
      <c r="KFG86" s="1255"/>
      <c r="KFH86" s="1255"/>
      <c r="KFI86" s="1255"/>
      <c r="KFJ86" s="1255"/>
      <c r="KFK86" s="1255"/>
      <c r="KFL86" s="1255"/>
      <c r="KFM86" s="1255"/>
      <c r="KFN86" s="1255"/>
      <c r="KFO86" s="1255"/>
      <c r="KFP86" s="1255"/>
      <c r="KFQ86" s="1255"/>
      <c r="KFR86" s="1255"/>
      <c r="KFS86" s="1255"/>
      <c r="KFT86" s="1255"/>
      <c r="KFU86" s="1255"/>
      <c r="KFV86" s="1255"/>
      <c r="KFW86" s="1255"/>
      <c r="KFX86" s="1255"/>
      <c r="KFY86" s="1255"/>
      <c r="KFZ86" s="1255"/>
      <c r="KGA86" s="1255"/>
      <c r="KGB86" s="1255"/>
      <c r="KGC86" s="1255"/>
      <c r="KGD86" s="1255"/>
      <c r="KGE86" s="1255"/>
      <c r="KGF86" s="1255"/>
      <c r="KGG86" s="1255"/>
      <c r="KGH86" s="1255"/>
      <c r="KGI86" s="1255"/>
      <c r="KGJ86" s="1255"/>
      <c r="KGK86" s="1255"/>
      <c r="KGL86" s="1255"/>
      <c r="KGM86" s="1255"/>
      <c r="KGN86" s="1255"/>
      <c r="KGO86" s="1255"/>
      <c r="KGP86" s="1255"/>
      <c r="KGQ86" s="1255"/>
      <c r="KGR86" s="1255"/>
      <c r="KGS86" s="1255"/>
      <c r="KGT86" s="1255"/>
      <c r="KGU86" s="1255"/>
      <c r="KGV86" s="1255"/>
      <c r="KGW86" s="1255"/>
      <c r="KGX86" s="1255"/>
      <c r="KGY86" s="1255"/>
      <c r="KGZ86" s="1255"/>
      <c r="KHA86" s="1255"/>
      <c r="KHB86" s="1255"/>
      <c r="KHC86" s="1255"/>
      <c r="KHD86" s="1255"/>
      <c r="KHE86" s="1255"/>
      <c r="KHF86" s="1255"/>
      <c r="KHG86" s="1255"/>
      <c r="KHH86" s="1255"/>
      <c r="KHI86" s="1255"/>
      <c r="KHJ86" s="1255"/>
      <c r="KHK86" s="1255"/>
      <c r="KHL86" s="1255"/>
      <c r="KHM86" s="1255"/>
      <c r="KHN86" s="1255"/>
      <c r="KHO86" s="1255"/>
      <c r="KHP86" s="1255"/>
      <c r="KHQ86" s="1255"/>
      <c r="KHR86" s="1255"/>
      <c r="KHS86" s="1255"/>
      <c r="KHT86" s="1255"/>
      <c r="KHU86" s="1255"/>
      <c r="KHV86" s="1255"/>
      <c r="KHW86" s="1255"/>
      <c r="KHX86" s="1255"/>
      <c r="KHY86" s="1255"/>
      <c r="KHZ86" s="1255"/>
      <c r="KIA86" s="1255"/>
      <c r="KIB86" s="1255"/>
      <c r="KIC86" s="1255"/>
      <c r="KID86" s="1255"/>
      <c r="KIE86" s="1255"/>
      <c r="KIF86" s="1255"/>
      <c r="KIG86" s="1255"/>
      <c r="KIH86" s="1255"/>
      <c r="KII86" s="1255"/>
      <c r="KIJ86" s="1255"/>
      <c r="KIK86" s="1255"/>
      <c r="KIL86" s="1255"/>
      <c r="KIM86" s="1255"/>
      <c r="KIN86" s="1255"/>
      <c r="KIO86" s="1255"/>
      <c r="KIP86" s="1255"/>
      <c r="KIQ86" s="1255"/>
      <c r="KIR86" s="1255"/>
      <c r="KIS86" s="1255"/>
      <c r="KIT86" s="1255"/>
      <c r="KIU86" s="1255"/>
      <c r="KIV86" s="1255"/>
      <c r="KIW86" s="1255"/>
      <c r="KIX86" s="1255"/>
      <c r="KIY86" s="1255"/>
      <c r="KIZ86" s="1255"/>
      <c r="KJA86" s="1255"/>
      <c r="KJB86" s="1255"/>
      <c r="KJC86" s="1255"/>
      <c r="KJD86" s="1255"/>
      <c r="KJE86" s="1255"/>
      <c r="KJF86" s="1255"/>
      <c r="KJG86" s="1255"/>
      <c r="KJH86" s="1255"/>
      <c r="KJI86" s="1255"/>
      <c r="KJJ86" s="1255"/>
      <c r="KJK86" s="1255"/>
      <c r="KJL86" s="1255"/>
      <c r="KJM86" s="1255"/>
      <c r="KJN86" s="1255"/>
      <c r="KJO86" s="1255"/>
      <c r="KJP86" s="1255"/>
      <c r="KJQ86" s="1255"/>
      <c r="KJR86" s="1255"/>
      <c r="KJS86" s="1255"/>
      <c r="KJT86" s="1255"/>
      <c r="KJU86" s="1255"/>
      <c r="KJV86" s="1255"/>
      <c r="KJW86" s="1255"/>
      <c r="KJX86" s="1255"/>
      <c r="KJY86" s="1255"/>
      <c r="KJZ86" s="1255"/>
      <c r="KKA86" s="1255"/>
      <c r="KKB86" s="1255"/>
      <c r="KKC86" s="1255"/>
      <c r="KKD86" s="1255"/>
      <c r="KKE86" s="1255"/>
      <c r="KKF86" s="1255"/>
      <c r="KKG86" s="1255"/>
      <c r="KKH86" s="1255"/>
      <c r="KKI86" s="1255"/>
      <c r="KKJ86" s="1255"/>
      <c r="KKK86" s="1255"/>
      <c r="KKL86" s="1255"/>
      <c r="KKM86" s="1255"/>
      <c r="KKN86" s="1255"/>
      <c r="KKO86" s="1255"/>
      <c r="KKP86" s="1255"/>
      <c r="KKQ86" s="1255"/>
      <c r="KKR86" s="1255"/>
      <c r="KKS86" s="1255"/>
      <c r="KKT86" s="1255"/>
      <c r="KKU86" s="1255"/>
      <c r="KKV86" s="1255"/>
      <c r="KKW86" s="1255"/>
      <c r="KKX86" s="1255"/>
      <c r="KKY86" s="1255"/>
      <c r="KKZ86" s="1255"/>
      <c r="KLA86" s="1255"/>
      <c r="KLB86" s="1255"/>
      <c r="KLC86" s="1255"/>
      <c r="KLD86" s="1255"/>
      <c r="KLE86" s="1255"/>
      <c r="KLF86" s="1255"/>
      <c r="KLG86" s="1255"/>
      <c r="KLH86" s="1255"/>
      <c r="KLI86" s="1255"/>
      <c r="KLJ86" s="1255"/>
      <c r="KLK86" s="1255"/>
      <c r="KLL86" s="1255"/>
      <c r="KLM86" s="1255"/>
      <c r="KLN86" s="1255"/>
      <c r="KLO86" s="1255"/>
      <c r="KLP86" s="1255"/>
      <c r="KLQ86" s="1255"/>
      <c r="KLR86" s="1255"/>
      <c r="KLS86" s="1255"/>
      <c r="KLT86" s="1255"/>
      <c r="KLU86" s="1255"/>
      <c r="KLV86" s="1255"/>
      <c r="KLW86" s="1255"/>
      <c r="KLX86" s="1255"/>
      <c r="KLY86" s="1255"/>
      <c r="KLZ86" s="1255"/>
      <c r="KMA86" s="1255"/>
      <c r="KMB86" s="1255"/>
      <c r="KMC86" s="1255"/>
      <c r="KMD86" s="1255"/>
      <c r="KME86" s="1255"/>
      <c r="KMF86" s="1255"/>
      <c r="KMG86" s="1255"/>
      <c r="KMH86" s="1255"/>
      <c r="KMI86" s="1255"/>
      <c r="KMJ86" s="1255"/>
      <c r="KMK86" s="1255"/>
      <c r="KML86" s="1255"/>
      <c r="KMM86" s="1255"/>
      <c r="KMN86" s="1255"/>
      <c r="KMO86" s="1255"/>
      <c r="KMP86" s="1255"/>
      <c r="KMQ86" s="1255"/>
      <c r="KMR86" s="1255"/>
      <c r="KMS86" s="1255"/>
      <c r="KMT86" s="1255"/>
      <c r="KMU86" s="1255"/>
      <c r="KMV86" s="1255"/>
      <c r="KMW86" s="1255"/>
      <c r="KMX86" s="1255"/>
      <c r="KMY86" s="1255"/>
      <c r="KMZ86" s="1255"/>
      <c r="KNA86" s="1255"/>
      <c r="KNB86" s="1255"/>
      <c r="KNC86" s="1255"/>
      <c r="KND86" s="1255"/>
      <c r="KNE86" s="1255"/>
      <c r="KNF86" s="1255"/>
      <c r="KNG86" s="1255"/>
      <c r="KNH86" s="1255"/>
      <c r="KNI86" s="1255"/>
      <c r="KNJ86" s="1255"/>
      <c r="KNK86" s="1255"/>
      <c r="KNL86" s="1255"/>
      <c r="KNM86" s="1255"/>
      <c r="KNN86" s="1255"/>
      <c r="KNO86" s="1255"/>
      <c r="KNP86" s="1255"/>
      <c r="KNQ86" s="1255"/>
      <c r="KNR86" s="1255"/>
      <c r="KNS86" s="1255"/>
      <c r="KNT86" s="1255"/>
      <c r="KNU86" s="1255"/>
      <c r="KNV86" s="1255"/>
      <c r="KNW86" s="1255"/>
      <c r="KNX86" s="1255"/>
      <c r="KNY86" s="1255"/>
      <c r="KNZ86" s="1255"/>
      <c r="KOA86" s="1255"/>
      <c r="KOB86" s="1255"/>
      <c r="KOC86" s="1255"/>
      <c r="KOD86" s="1255"/>
      <c r="KOE86" s="1255"/>
      <c r="KOF86" s="1255"/>
      <c r="KOG86" s="1255"/>
      <c r="KOH86" s="1255"/>
      <c r="KOI86" s="1255"/>
      <c r="KOJ86" s="1255"/>
      <c r="KOK86" s="1255"/>
      <c r="KOL86" s="1255"/>
      <c r="KOM86" s="1255"/>
      <c r="KON86" s="1255"/>
      <c r="KOO86" s="1255"/>
      <c r="KOP86" s="1255"/>
      <c r="KOQ86" s="1255"/>
      <c r="KOR86" s="1255"/>
      <c r="KOS86" s="1255"/>
      <c r="KOT86" s="1255"/>
      <c r="KOU86" s="1255"/>
      <c r="KOV86" s="1255"/>
      <c r="KOW86" s="1255"/>
      <c r="KOX86" s="1255"/>
      <c r="KOY86" s="1255"/>
      <c r="KOZ86" s="1255"/>
      <c r="KPA86" s="1255"/>
      <c r="KPB86" s="1255"/>
      <c r="KPC86" s="1255"/>
      <c r="KPD86" s="1255"/>
      <c r="KPE86" s="1255"/>
      <c r="KPF86" s="1255"/>
      <c r="KPG86" s="1255"/>
      <c r="KPH86" s="1255"/>
      <c r="KPI86" s="1255"/>
      <c r="KPJ86" s="1255"/>
      <c r="KPK86" s="1255"/>
      <c r="KPL86" s="1255"/>
      <c r="KPM86" s="1255"/>
      <c r="KPN86" s="1255"/>
      <c r="KPO86" s="1255"/>
      <c r="KPP86" s="1255"/>
      <c r="KPQ86" s="1255"/>
      <c r="KPR86" s="1255"/>
      <c r="KPS86" s="1255"/>
      <c r="KPT86" s="1255"/>
      <c r="KPU86" s="1255"/>
      <c r="KPV86" s="1255"/>
      <c r="KPW86" s="1255"/>
      <c r="KPX86" s="1255"/>
      <c r="KPY86" s="1255"/>
      <c r="KPZ86" s="1255"/>
      <c r="KQA86" s="1255"/>
      <c r="KQB86" s="1255"/>
      <c r="KQC86" s="1255"/>
      <c r="KQD86" s="1255"/>
      <c r="KQE86" s="1255"/>
      <c r="KQF86" s="1255"/>
      <c r="KQG86" s="1255"/>
      <c r="KQH86" s="1255"/>
      <c r="KQI86" s="1255"/>
      <c r="KQJ86" s="1255"/>
      <c r="KQK86" s="1255"/>
      <c r="KQL86" s="1255"/>
      <c r="KQM86" s="1255"/>
      <c r="KQN86" s="1255"/>
      <c r="KQO86" s="1255"/>
      <c r="KQP86" s="1255"/>
      <c r="KQQ86" s="1255"/>
      <c r="KQR86" s="1255"/>
      <c r="KQS86" s="1255"/>
      <c r="KQT86" s="1255"/>
      <c r="KQU86" s="1255"/>
      <c r="KQV86" s="1255"/>
      <c r="KQW86" s="1255"/>
      <c r="KQX86" s="1255"/>
      <c r="KQY86" s="1255"/>
      <c r="KQZ86" s="1255"/>
      <c r="KRA86" s="1255"/>
      <c r="KRB86" s="1255"/>
      <c r="KRC86" s="1255"/>
      <c r="KRD86" s="1255"/>
      <c r="KRE86" s="1255"/>
      <c r="KRF86" s="1255"/>
      <c r="KRG86" s="1255"/>
      <c r="KRH86" s="1255"/>
      <c r="KRI86" s="1255"/>
      <c r="KRJ86" s="1255"/>
      <c r="KRK86" s="1255"/>
      <c r="KRL86" s="1255"/>
      <c r="KRM86" s="1255"/>
      <c r="KRN86" s="1255"/>
      <c r="KRO86" s="1255"/>
      <c r="KRP86" s="1255"/>
      <c r="KRQ86" s="1255"/>
      <c r="KRR86" s="1255"/>
      <c r="KRS86" s="1255"/>
      <c r="KRT86" s="1255"/>
      <c r="KRU86" s="1255"/>
      <c r="KRV86" s="1255"/>
      <c r="KRW86" s="1255"/>
      <c r="KRX86" s="1255"/>
      <c r="KRY86" s="1255"/>
      <c r="KRZ86" s="1255"/>
      <c r="KSA86" s="1255"/>
      <c r="KSB86" s="1255"/>
      <c r="KSC86" s="1255"/>
      <c r="KSD86" s="1255"/>
      <c r="KSE86" s="1255"/>
      <c r="KSF86" s="1255"/>
      <c r="KSG86" s="1255"/>
      <c r="KSH86" s="1255"/>
      <c r="KSI86" s="1255"/>
      <c r="KSJ86" s="1255"/>
      <c r="KSK86" s="1255"/>
      <c r="KSL86" s="1255"/>
      <c r="KSM86" s="1255"/>
      <c r="KSN86" s="1255"/>
      <c r="KSO86" s="1255"/>
      <c r="KSP86" s="1255"/>
      <c r="KSQ86" s="1255"/>
      <c r="KSR86" s="1255"/>
      <c r="KSS86" s="1255"/>
      <c r="KST86" s="1255"/>
      <c r="KSU86" s="1255"/>
      <c r="KSV86" s="1255"/>
      <c r="KSW86" s="1255"/>
      <c r="KSX86" s="1255"/>
      <c r="KSY86" s="1255"/>
      <c r="KSZ86" s="1255"/>
      <c r="KTA86" s="1255"/>
      <c r="KTB86" s="1255"/>
      <c r="KTC86" s="1255"/>
      <c r="KTD86" s="1255"/>
      <c r="KTE86" s="1255"/>
      <c r="KTF86" s="1255"/>
      <c r="KTG86" s="1255"/>
      <c r="KTH86" s="1255"/>
      <c r="KTI86" s="1255"/>
      <c r="KTJ86" s="1255"/>
      <c r="KTK86" s="1255"/>
      <c r="KTL86" s="1255"/>
      <c r="KTM86" s="1255"/>
      <c r="KTN86" s="1255"/>
      <c r="KTO86" s="1255"/>
      <c r="KTP86" s="1255"/>
      <c r="KTQ86" s="1255"/>
      <c r="KTR86" s="1255"/>
      <c r="KTS86" s="1255"/>
      <c r="KTT86" s="1255"/>
      <c r="KTU86" s="1255"/>
      <c r="KTV86" s="1255"/>
      <c r="KTW86" s="1255"/>
      <c r="KTX86" s="1255"/>
      <c r="KTY86" s="1255"/>
      <c r="KTZ86" s="1255"/>
      <c r="KUA86" s="1255"/>
      <c r="KUB86" s="1255"/>
      <c r="KUC86" s="1255"/>
      <c r="KUD86" s="1255"/>
      <c r="KUE86" s="1255"/>
      <c r="KUF86" s="1255"/>
      <c r="KUG86" s="1255"/>
      <c r="KUH86" s="1255"/>
      <c r="KUI86" s="1255"/>
      <c r="KUJ86" s="1255"/>
      <c r="KUK86" s="1255"/>
      <c r="KUL86" s="1255"/>
      <c r="KUM86" s="1255"/>
      <c r="KUN86" s="1255"/>
      <c r="KUO86" s="1255"/>
      <c r="KUP86" s="1255"/>
      <c r="KUQ86" s="1255"/>
      <c r="KUR86" s="1255"/>
      <c r="KUS86" s="1255"/>
      <c r="KUT86" s="1255"/>
      <c r="KUU86" s="1255"/>
      <c r="KUV86" s="1255"/>
      <c r="KUW86" s="1255"/>
      <c r="KUX86" s="1255"/>
      <c r="KUY86" s="1255"/>
      <c r="KUZ86" s="1255"/>
      <c r="KVA86" s="1255"/>
      <c r="KVB86" s="1255"/>
      <c r="KVC86" s="1255"/>
      <c r="KVD86" s="1255"/>
      <c r="KVE86" s="1255"/>
      <c r="KVF86" s="1255"/>
      <c r="KVG86" s="1255"/>
      <c r="KVH86" s="1255"/>
      <c r="KVI86" s="1255"/>
      <c r="KVJ86" s="1255"/>
      <c r="KVK86" s="1255"/>
      <c r="KVL86" s="1255"/>
      <c r="KVM86" s="1255"/>
      <c r="KVN86" s="1255"/>
      <c r="KVO86" s="1255"/>
      <c r="KVP86" s="1255"/>
      <c r="KVQ86" s="1255"/>
      <c r="KVR86" s="1255"/>
      <c r="KVS86" s="1255"/>
      <c r="KVT86" s="1255"/>
      <c r="KVU86" s="1255"/>
      <c r="KVV86" s="1255"/>
      <c r="KVW86" s="1255"/>
      <c r="KVX86" s="1255"/>
      <c r="KVY86" s="1255"/>
      <c r="KVZ86" s="1255"/>
      <c r="KWA86" s="1255"/>
      <c r="KWB86" s="1255"/>
      <c r="KWC86" s="1255"/>
      <c r="KWD86" s="1255"/>
      <c r="KWE86" s="1255"/>
      <c r="KWF86" s="1255"/>
      <c r="KWG86" s="1255"/>
      <c r="KWH86" s="1255"/>
      <c r="KWI86" s="1255"/>
      <c r="KWJ86" s="1255"/>
      <c r="KWK86" s="1255"/>
      <c r="KWL86" s="1255"/>
      <c r="KWM86" s="1255"/>
      <c r="KWN86" s="1255"/>
      <c r="KWO86" s="1255"/>
      <c r="KWP86" s="1255"/>
      <c r="KWQ86" s="1255"/>
      <c r="KWR86" s="1255"/>
      <c r="KWS86" s="1255"/>
      <c r="KWT86" s="1255"/>
      <c r="KWU86" s="1255"/>
      <c r="KWV86" s="1255"/>
      <c r="KWW86" s="1255"/>
      <c r="KWX86" s="1255"/>
      <c r="KWY86" s="1255"/>
      <c r="KWZ86" s="1255"/>
      <c r="KXA86" s="1255"/>
      <c r="KXB86" s="1255"/>
      <c r="KXC86" s="1255"/>
      <c r="KXD86" s="1255"/>
      <c r="KXE86" s="1255"/>
      <c r="KXF86" s="1255"/>
      <c r="KXG86" s="1255"/>
      <c r="KXH86" s="1255"/>
      <c r="KXI86" s="1255"/>
      <c r="KXJ86" s="1255"/>
      <c r="KXK86" s="1255"/>
      <c r="KXL86" s="1255"/>
      <c r="KXM86" s="1255"/>
      <c r="KXN86" s="1255"/>
      <c r="KXO86" s="1255"/>
      <c r="KXP86" s="1255"/>
      <c r="KXQ86" s="1255"/>
      <c r="KXR86" s="1255"/>
      <c r="KXS86" s="1255"/>
      <c r="KXT86" s="1255"/>
      <c r="KXU86" s="1255"/>
      <c r="KXV86" s="1255"/>
      <c r="KXW86" s="1255"/>
      <c r="KXX86" s="1255"/>
      <c r="KXY86" s="1255"/>
      <c r="KXZ86" s="1255"/>
      <c r="KYA86" s="1255"/>
      <c r="KYB86" s="1255"/>
      <c r="KYC86" s="1255"/>
      <c r="KYD86" s="1255"/>
      <c r="KYE86" s="1255"/>
      <c r="KYF86" s="1255"/>
      <c r="KYG86" s="1255"/>
      <c r="KYH86" s="1255"/>
      <c r="KYI86" s="1255"/>
      <c r="KYJ86" s="1255"/>
      <c r="KYK86" s="1255"/>
      <c r="KYL86" s="1255"/>
      <c r="KYM86" s="1255"/>
      <c r="KYN86" s="1255"/>
      <c r="KYO86" s="1255"/>
      <c r="KYP86" s="1255"/>
      <c r="KYQ86" s="1255"/>
      <c r="KYR86" s="1255"/>
      <c r="KYS86" s="1255"/>
      <c r="KYT86" s="1255"/>
      <c r="KYU86" s="1255"/>
      <c r="KYV86" s="1255"/>
      <c r="KYW86" s="1255"/>
      <c r="KYX86" s="1255"/>
      <c r="KYY86" s="1255"/>
      <c r="KYZ86" s="1255"/>
      <c r="KZA86" s="1255"/>
      <c r="KZB86" s="1255"/>
      <c r="KZC86" s="1255"/>
      <c r="KZD86" s="1255"/>
      <c r="KZE86" s="1255"/>
      <c r="KZF86" s="1255"/>
      <c r="KZG86" s="1255"/>
      <c r="KZH86" s="1255"/>
      <c r="KZI86" s="1255"/>
      <c r="KZJ86" s="1255"/>
      <c r="KZK86" s="1255"/>
      <c r="KZL86" s="1255"/>
      <c r="KZM86" s="1255"/>
      <c r="KZN86" s="1255"/>
      <c r="KZO86" s="1255"/>
      <c r="KZP86" s="1255"/>
      <c r="KZQ86" s="1255"/>
      <c r="KZR86" s="1255"/>
      <c r="KZS86" s="1255"/>
      <c r="KZT86" s="1255"/>
      <c r="KZU86" s="1255"/>
      <c r="KZV86" s="1255"/>
      <c r="KZW86" s="1255"/>
      <c r="KZX86" s="1255"/>
      <c r="KZY86" s="1255"/>
      <c r="KZZ86" s="1255"/>
      <c r="LAA86" s="1255"/>
      <c r="LAB86" s="1255"/>
      <c r="LAC86" s="1255"/>
      <c r="LAD86" s="1255"/>
      <c r="LAE86" s="1255"/>
      <c r="LAF86" s="1255"/>
      <c r="LAG86" s="1255"/>
      <c r="LAH86" s="1255"/>
      <c r="LAI86" s="1255"/>
      <c r="LAJ86" s="1255"/>
      <c r="LAK86" s="1255"/>
      <c r="LAL86" s="1255"/>
      <c r="LAM86" s="1255"/>
      <c r="LAN86" s="1255"/>
      <c r="LAO86" s="1255"/>
      <c r="LAP86" s="1255"/>
      <c r="LAQ86" s="1255"/>
      <c r="LAR86" s="1255"/>
      <c r="LAS86" s="1255"/>
      <c r="LAT86" s="1255"/>
      <c r="LAU86" s="1255"/>
      <c r="LAV86" s="1255"/>
      <c r="LAW86" s="1255"/>
      <c r="LAX86" s="1255"/>
      <c r="LAY86" s="1255"/>
      <c r="LAZ86" s="1255"/>
      <c r="LBA86" s="1255"/>
      <c r="LBB86" s="1255"/>
      <c r="LBC86" s="1255"/>
      <c r="LBD86" s="1255"/>
      <c r="LBE86" s="1255"/>
      <c r="LBF86" s="1255"/>
      <c r="LBG86" s="1255"/>
      <c r="LBH86" s="1255"/>
      <c r="LBI86" s="1255"/>
      <c r="LBJ86" s="1255"/>
      <c r="LBK86" s="1255"/>
      <c r="LBL86" s="1255"/>
      <c r="LBM86" s="1255"/>
      <c r="LBN86" s="1255"/>
      <c r="LBO86" s="1255"/>
      <c r="LBP86" s="1255"/>
      <c r="LBQ86" s="1255"/>
      <c r="LBR86" s="1255"/>
      <c r="LBS86" s="1255"/>
      <c r="LBT86" s="1255"/>
      <c r="LBU86" s="1255"/>
      <c r="LBV86" s="1255"/>
      <c r="LBW86" s="1255"/>
      <c r="LBX86" s="1255"/>
      <c r="LBY86" s="1255"/>
      <c r="LBZ86" s="1255"/>
      <c r="LCA86" s="1255"/>
      <c r="LCB86" s="1255"/>
      <c r="LCC86" s="1255"/>
      <c r="LCD86" s="1255"/>
      <c r="LCE86" s="1255"/>
      <c r="LCF86" s="1255"/>
      <c r="LCG86" s="1255"/>
      <c r="LCH86" s="1255"/>
      <c r="LCI86" s="1255"/>
      <c r="LCJ86" s="1255"/>
      <c r="LCK86" s="1255"/>
      <c r="LCL86" s="1255"/>
      <c r="LCM86" s="1255"/>
      <c r="LCN86" s="1255"/>
      <c r="LCO86" s="1255"/>
      <c r="LCP86" s="1255"/>
      <c r="LCQ86" s="1255"/>
      <c r="LCR86" s="1255"/>
      <c r="LCS86" s="1255"/>
      <c r="LCT86" s="1255"/>
      <c r="LCU86" s="1255"/>
      <c r="LCV86" s="1255"/>
      <c r="LCW86" s="1255"/>
      <c r="LCX86" s="1255"/>
      <c r="LCY86" s="1255"/>
      <c r="LCZ86" s="1255"/>
      <c r="LDA86" s="1255"/>
      <c r="LDB86" s="1255"/>
      <c r="LDC86" s="1255"/>
      <c r="LDD86" s="1255"/>
      <c r="LDE86" s="1255"/>
      <c r="LDF86" s="1255"/>
      <c r="LDG86" s="1255"/>
      <c r="LDH86" s="1255"/>
      <c r="LDI86" s="1255"/>
      <c r="LDJ86" s="1255"/>
      <c r="LDK86" s="1255"/>
      <c r="LDL86" s="1255"/>
      <c r="LDM86" s="1255"/>
      <c r="LDN86" s="1255"/>
      <c r="LDO86" s="1255"/>
      <c r="LDP86" s="1255"/>
      <c r="LDQ86" s="1255"/>
      <c r="LDR86" s="1255"/>
      <c r="LDS86" s="1255"/>
      <c r="LDT86" s="1255"/>
      <c r="LDU86" s="1255"/>
      <c r="LDV86" s="1255"/>
      <c r="LDW86" s="1255"/>
      <c r="LDX86" s="1255"/>
      <c r="LDY86" s="1255"/>
      <c r="LDZ86" s="1255"/>
      <c r="LEA86" s="1255"/>
      <c r="LEB86" s="1255"/>
      <c r="LEC86" s="1255"/>
      <c r="LED86" s="1255"/>
      <c r="LEE86" s="1255"/>
      <c r="LEF86" s="1255"/>
      <c r="LEG86" s="1255"/>
      <c r="LEH86" s="1255"/>
      <c r="LEI86" s="1255"/>
      <c r="LEJ86" s="1255"/>
      <c r="LEK86" s="1255"/>
      <c r="LEL86" s="1255"/>
      <c r="LEM86" s="1255"/>
      <c r="LEN86" s="1255"/>
      <c r="LEO86" s="1255"/>
      <c r="LEP86" s="1255"/>
      <c r="LEQ86" s="1255"/>
      <c r="LER86" s="1255"/>
      <c r="LES86" s="1255"/>
      <c r="LET86" s="1255"/>
      <c r="LEU86" s="1255"/>
      <c r="LEV86" s="1255"/>
      <c r="LEW86" s="1255"/>
      <c r="LEX86" s="1255"/>
      <c r="LEY86" s="1255"/>
      <c r="LEZ86" s="1255"/>
      <c r="LFA86" s="1255"/>
      <c r="LFB86" s="1255"/>
      <c r="LFC86" s="1255"/>
      <c r="LFD86" s="1255"/>
      <c r="LFE86" s="1255"/>
      <c r="LFF86" s="1255"/>
      <c r="LFG86" s="1255"/>
      <c r="LFH86" s="1255"/>
      <c r="LFI86" s="1255"/>
      <c r="LFJ86" s="1255"/>
      <c r="LFK86" s="1255"/>
      <c r="LFL86" s="1255"/>
      <c r="LFM86" s="1255"/>
      <c r="LFN86" s="1255"/>
      <c r="LFO86" s="1255"/>
      <c r="LFP86" s="1255"/>
      <c r="LFQ86" s="1255"/>
      <c r="LFR86" s="1255"/>
      <c r="LFS86" s="1255"/>
      <c r="LFT86" s="1255"/>
      <c r="LFU86" s="1255"/>
      <c r="LFV86" s="1255"/>
      <c r="LFW86" s="1255"/>
      <c r="LFX86" s="1255"/>
      <c r="LFY86" s="1255"/>
      <c r="LFZ86" s="1255"/>
      <c r="LGA86" s="1255"/>
      <c r="LGB86" s="1255"/>
      <c r="LGC86" s="1255"/>
      <c r="LGD86" s="1255"/>
      <c r="LGE86" s="1255"/>
      <c r="LGF86" s="1255"/>
      <c r="LGG86" s="1255"/>
      <c r="LGH86" s="1255"/>
      <c r="LGI86" s="1255"/>
      <c r="LGJ86" s="1255"/>
      <c r="LGK86" s="1255"/>
      <c r="LGL86" s="1255"/>
      <c r="LGM86" s="1255"/>
      <c r="LGN86" s="1255"/>
      <c r="LGO86" s="1255"/>
      <c r="LGP86" s="1255"/>
      <c r="LGQ86" s="1255"/>
      <c r="LGR86" s="1255"/>
      <c r="LGS86" s="1255"/>
      <c r="LGT86" s="1255"/>
      <c r="LGU86" s="1255"/>
      <c r="LGV86" s="1255"/>
      <c r="LGW86" s="1255"/>
      <c r="LGX86" s="1255"/>
      <c r="LGY86" s="1255"/>
      <c r="LGZ86" s="1255"/>
      <c r="LHA86" s="1255"/>
      <c r="LHB86" s="1255"/>
      <c r="LHC86" s="1255"/>
      <c r="LHD86" s="1255"/>
      <c r="LHE86" s="1255"/>
      <c r="LHF86" s="1255"/>
      <c r="LHG86" s="1255"/>
      <c r="LHH86" s="1255"/>
      <c r="LHI86" s="1255"/>
      <c r="LHJ86" s="1255"/>
      <c r="LHK86" s="1255"/>
      <c r="LHL86" s="1255"/>
      <c r="LHM86" s="1255"/>
      <c r="LHN86" s="1255"/>
      <c r="LHO86" s="1255"/>
      <c r="LHP86" s="1255"/>
      <c r="LHQ86" s="1255"/>
      <c r="LHR86" s="1255"/>
      <c r="LHS86" s="1255"/>
      <c r="LHT86" s="1255"/>
      <c r="LHU86" s="1255"/>
      <c r="LHV86" s="1255"/>
      <c r="LHW86" s="1255"/>
      <c r="LHX86" s="1255"/>
      <c r="LHY86" s="1255"/>
      <c r="LHZ86" s="1255"/>
      <c r="LIA86" s="1255"/>
      <c r="LIB86" s="1255"/>
      <c r="LIC86" s="1255"/>
      <c r="LID86" s="1255"/>
      <c r="LIE86" s="1255"/>
      <c r="LIF86" s="1255"/>
      <c r="LIG86" s="1255"/>
      <c r="LIH86" s="1255"/>
      <c r="LII86" s="1255"/>
      <c r="LIJ86" s="1255"/>
      <c r="LIK86" s="1255"/>
      <c r="LIL86" s="1255"/>
      <c r="LIM86" s="1255"/>
      <c r="LIN86" s="1255"/>
      <c r="LIO86" s="1255"/>
      <c r="LIP86" s="1255"/>
      <c r="LIQ86" s="1255"/>
      <c r="LIR86" s="1255"/>
      <c r="LIS86" s="1255"/>
      <c r="LIT86" s="1255"/>
      <c r="LIU86" s="1255"/>
      <c r="LIV86" s="1255"/>
      <c r="LIW86" s="1255"/>
      <c r="LIX86" s="1255"/>
      <c r="LIY86" s="1255"/>
      <c r="LIZ86" s="1255"/>
      <c r="LJA86" s="1255"/>
      <c r="LJB86" s="1255"/>
      <c r="LJC86" s="1255"/>
      <c r="LJD86" s="1255"/>
      <c r="LJE86" s="1255"/>
      <c r="LJF86" s="1255"/>
      <c r="LJG86" s="1255"/>
      <c r="LJH86" s="1255"/>
      <c r="LJI86" s="1255"/>
      <c r="LJJ86" s="1255"/>
      <c r="LJK86" s="1255"/>
      <c r="LJL86" s="1255"/>
      <c r="LJM86" s="1255"/>
      <c r="LJN86" s="1255"/>
      <c r="LJO86" s="1255"/>
      <c r="LJP86" s="1255"/>
      <c r="LJQ86" s="1255"/>
      <c r="LJR86" s="1255"/>
      <c r="LJS86" s="1255"/>
      <c r="LJT86" s="1255"/>
      <c r="LJU86" s="1255"/>
      <c r="LJV86" s="1255"/>
      <c r="LJW86" s="1255"/>
      <c r="LJX86" s="1255"/>
      <c r="LJY86" s="1255"/>
      <c r="LJZ86" s="1255"/>
      <c r="LKA86" s="1255"/>
      <c r="LKB86" s="1255"/>
      <c r="LKC86" s="1255"/>
      <c r="LKD86" s="1255"/>
      <c r="LKE86" s="1255"/>
      <c r="LKF86" s="1255"/>
      <c r="LKG86" s="1255"/>
      <c r="LKH86" s="1255"/>
      <c r="LKI86" s="1255"/>
      <c r="LKJ86" s="1255"/>
      <c r="LKK86" s="1255"/>
      <c r="LKL86" s="1255"/>
      <c r="LKM86" s="1255"/>
      <c r="LKN86" s="1255"/>
      <c r="LKO86" s="1255"/>
      <c r="LKP86" s="1255"/>
      <c r="LKQ86" s="1255"/>
      <c r="LKR86" s="1255"/>
      <c r="LKS86" s="1255"/>
      <c r="LKT86" s="1255"/>
      <c r="LKU86" s="1255"/>
      <c r="LKV86" s="1255"/>
      <c r="LKW86" s="1255"/>
      <c r="LKX86" s="1255"/>
      <c r="LKY86" s="1255"/>
      <c r="LKZ86" s="1255"/>
      <c r="LLA86" s="1255"/>
      <c r="LLB86" s="1255"/>
      <c r="LLC86" s="1255"/>
      <c r="LLD86" s="1255"/>
      <c r="LLE86" s="1255"/>
      <c r="LLF86" s="1255"/>
      <c r="LLG86" s="1255"/>
      <c r="LLH86" s="1255"/>
      <c r="LLI86" s="1255"/>
      <c r="LLJ86" s="1255"/>
      <c r="LLK86" s="1255"/>
      <c r="LLL86" s="1255"/>
      <c r="LLM86" s="1255"/>
      <c r="LLN86" s="1255"/>
      <c r="LLO86" s="1255"/>
      <c r="LLP86" s="1255"/>
      <c r="LLQ86" s="1255"/>
      <c r="LLR86" s="1255"/>
      <c r="LLS86" s="1255"/>
      <c r="LLT86" s="1255"/>
      <c r="LLU86" s="1255"/>
      <c r="LLV86" s="1255"/>
      <c r="LLW86" s="1255"/>
      <c r="LLX86" s="1255"/>
      <c r="LLY86" s="1255"/>
      <c r="LLZ86" s="1255"/>
      <c r="LMA86" s="1255"/>
      <c r="LMB86" s="1255"/>
      <c r="LMC86" s="1255"/>
      <c r="LMD86" s="1255"/>
      <c r="LME86" s="1255"/>
      <c r="LMF86" s="1255"/>
      <c r="LMG86" s="1255"/>
      <c r="LMH86" s="1255"/>
      <c r="LMI86" s="1255"/>
      <c r="LMJ86" s="1255"/>
      <c r="LMK86" s="1255"/>
      <c r="LML86" s="1255"/>
      <c r="LMM86" s="1255"/>
      <c r="LMN86" s="1255"/>
      <c r="LMO86" s="1255"/>
      <c r="LMP86" s="1255"/>
      <c r="LMQ86" s="1255"/>
      <c r="LMR86" s="1255"/>
      <c r="LMS86" s="1255"/>
      <c r="LMT86" s="1255"/>
      <c r="LMU86" s="1255"/>
      <c r="LMV86" s="1255"/>
      <c r="LMW86" s="1255"/>
      <c r="LMX86" s="1255"/>
      <c r="LMY86" s="1255"/>
      <c r="LMZ86" s="1255"/>
      <c r="LNA86" s="1255"/>
      <c r="LNB86" s="1255"/>
      <c r="LNC86" s="1255"/>
      <c r="LND86" s="1255"/>
      <c r="LNE86" s="1255"/>
      <c r="LNF86" s="1255"/>
      <c r="LNG86" s="1255"/>
      <c r="LNH86" s="1255"/>
      <c r="LNI86" s="1255"/>
      <c r="LNJ86" s="1255"/>
      <c r="LNK86" s="1255"/>
      <c r="LNL86" s="1255"/>
      <c r="LNM86" s="1255"/>
      <c r="LNN86" s="1255"/>
      <c r="LNO86" s="1255"/>
      <c r="LNP86" s="1255"/>
      <c r="LNQ86" s="1255"/>
      <c r="LNR86" s="1255"/>
      <c r="LNS86" s="1255"/>
      <c r="LNT86" s="1255"/>
      <c r="LNU86" s="1255"/>
      <c r="LNV86" s="1255"/>
      <c r="LNW86" s="1255"/>
      <c r="LNX86" s="1255"/>
      <c r="LNY86" s="1255"/>
      <c r="LNZ86" s="1255"/>
      <c r="LOA86" s="1255"/>
      <c r="LOB86" s="1255"/>
      <c r="LOC86" s="1255"/>
      <c r="LOD86" s="1255"/>
      <c r="LOE86" s="1255"/>
      <c r="LOF86" s="1255"/>
      <c r="LOG86" s="1255"/>
      <c r="LOH86" s="1255"/>
      <c r="LOI86" s="1255"/>
      <c r="LOJ86" s="1255"/>
      <c r="LOK86" s="1255"/>
      <c r="LOL86" s="1255"/>
      <c r="LOM86" s="1255"/>
      <c r="LON86" s="1255"/>
      <c r="LOO86" s="1255"/>
      <c r="LOP86" s="1255"/>
      <c r="LOQ86" s="1255"/>
      <c r="LOR86" s="1255"/>
      <c r="LOS86" s="1255"/>
      <c r="LOT86" s="1255"/>
      <c r="LOU86" s="1255"/>
      <c r="LOV86" s="1255"/>
      <c r="LOW86" s="1255"/>
      <c r="LOX86" s="1255"/>
      <c r="LOY86" s="1255"/>
      <c r="LOZ86" s="1255"/>
      <c r="LPA86" s="1255"/>
      <c r="LPB86" s="1255"/>
      <c r="LPC86" s="1255"/>
      <c r="LPD86" s="1255"/>
      <c r="LPE86" s="1255"/>
      <c r="LPF86" s="1255"/>
      <c r="LPG86" s="1255"/>
      <c r="LPH86" s="1255"/>
      <c r="LPI86" s="1255"/>
      <c r="LPJ86" s="1255"/>
      <c r="LPK86" s="1255"/>
      <c r="LPL86" s="1255"/>
      <c r="LPM86" s="1255"/>
      <c r="LPN86" s="1255"/>
      <c r="LPO86" s="1255"/>
      <c r="LPP86" s="1255"/>
      <c r="LPQ86" s="1255"/>
      <c r="LPR86" s="1255"/>
      <c r="LPS86" s="1255"/>
      <c r="LPT86" s="1255"/>
      <c r="LPU86" s="1255"/>
      <c r="LPV86" s="1255"/>
      <c r="LPW86" s="1255"/>
      <c r="LPX86" s="1255"/>
      <c r="LPY86" s="1255"/>
      <c r="LPZ86" s="1255"/>
      <c r="LQA86" s="1255"/>
      <c r="LQB86" s="1255"/>
      <c r="LQC86" s="1255"/>
      <c r="LQD86" s="1255"/>
      <c r="LQE86" s="1255"/>
      <c r="LQF86" s="1255"/>
      <c r="LQG86" s="1255"/>
      <c r="LQH86" s="1255"/>
      <c r="LQI86" s="1255"/>
      <c r="LQJ86" s="1255"/>
      <c r="LQK86" s="1255"/>
      <c r="LQL86" s="1255"/>
      <c r="LQM86" s="1255"/>
      <c r="LQN86" s="1255"/>
      <c r="LQO86" s="1255"/>
      <c r="LQP86" s="1255"/>
      <c r="LQQ86" s="1255"/>
      <c r="LQR86" s="1255"/>
      <c r="LQS86" s="1255"/>
      <c r="LQT86" s="1255"/>
      <c r="LQU86" s="1255"/>
      <c r="LQV86" s="1255"/>
      <c r="LQW86" s="1255"/>
      <c r="LQX86" s="1255"/>
      <c r="LQY86" s="1255"/>
      <c r="LQZ86" s="1255"/>
      <c r="LRA86" s="1255"/>
      <c r="LRB86" s="1255"/>
      <c r="LRC86" s="1255"/>
      <c r="LRD86" s="1255"/>
      <c r="LRE86" s="1255"/>
      <c r="LRF86" s="1255"/>
      <c r="LRG86" s="1255"/>
      <c r="LRH86" s="1255"/>
      <c r="LRI86" s="1255"/>
      <c r="LRJ86" s="1255"/>
      <c r="LRK86" s="1255"/>
      <c r="LRL86" s="1255"/>
      <c r="LRM86" s="1255"/>
      <c r="LRN86" s="1255"/>
      <c r="LRO86" s="1255"/>
      <c r="LRP86" s="1255"/>
      <c r="LRQ86" s="1255"/>
      <c r="LRR86" s="1255"/>
      <c r="LRS86" s="1255"/>
      <c r="LRT86" s="1255"/>
      <c r="LRU86" s="1255"/>
      <c r="LRV86" s="1255"/>
      <c r="LRW86" s="1255"/>
      <c r="LRX86" s="1255"/>
      <c r="LRY86" s="1255"/>
      <c r="LRZ86" s="1255"/>
      <c r="LSA86" s="1255"/>
      <c r="LSB86" s="1255"/>
      <c r="LSC86" s="1255"/>
      <c r="LSD86" s="1255"/>
      <c r="LSE86" s="1255"/>
      <c r="LSF86" s="1255"/>
      <c r="LSG86" s="1255"/>
      <c r="LSH86" s="1255"/>
      <c r="LSI86" s="1255"/>
      <c r="LSJ86" s="1255"/>
      <c r="LSK86" s="1255"/>
      <c r="LSL86" s="1255"/>
      <c r="LSM86" s="1255"/>
      <c r="LSN86" s="1255"/>
      <c r="LSO86" s="1255"/>
      <c r="LSP86" s="1255"/>
      <c r="LSQ86" s="1255"/>
      <c r="LSR86" s="1255"/>
      <c r="LSS86" s="1255"/>
      <c r="LST86" s="1255"/>
      <c r="LSU86" s="1255"/>
      <c r="LSV86" s="1255"/>
      <c r="LSW86" s="1255"/>
      <c r="LSX86" s="1255"/>
      <c r="LSY86" s="1255"/>
      <c r="LSZ86" s="1255"/>
      <c r="LTA86" s="1255"/>
      <c r="LTB86" s="1255"/>
      <c r="LTC86" s="1255"/>
      <c r="LTD86" s="1255"/>
      <c r="LTE86" s="1255"/>
      <c r="LTF86" s="1255"/>
      <c r="LTG86" s="1255"/>
      <c r="LTH86" s="1255"/>
      <c r="LTI86" s="1255"/>
      <c r="LTJ86" s="1255"/>
      <c r="LTK86" s="1255"/>
      <c r="LTL86" s="1255"/>
      <c r="LTM86" s="1255"/>
      <c r="LTN86" s="1255"/>
      <c r="LTO86" s="1255"/>
      <c r="LTP86" s="1255"/>
      <c r="LTQ86" s="1255"/>
      <c r="LTR86" s="1255"/>
      <c r="LTS86" s="1255"/>
      <c r="LTT86" s="1255"/>
      <c r="LTU86" s="1255"/>
      <c r="LTV86" s="1255"/>
      <c r="LTW86" s="1255"/>
      <c r="LTX86" s="1255"/>
      <c r="LTY86" s="1255"/>
      <c r="LTZ86" s="1255"/>
      <c r="LUA86" s="1255"/>
      <c r="LUB86" s="1255"/>
      <c r="LUC86" s="1255"/>
      <c r="LUD86" s="1255"/>
      <c r="LUE86" s="1255"/>
      <c r="LUF86" s="1255"/>
      <c r="LUG86" s="1255"/>
      <c r="LUH86" s="1255"/>
      <c r="LUI86" s="1255"/>
      <c r="LUJ86" s="1255"/>
      <c r="LUK86" s="1255"/>
      <c r="LUL86" s="1255"/>
      <c r="LUM86" s="1255"/>
      <c r="LUN86" s="1255"/>
      <c r="LUO86" s="1255"/>
      <c r="LUP86" s="1255"/>
      <c r="LUQ86" s="1255"/>
      <c r="LUR86" s="1255"/>
      <c r="LUS86" s="1255"/>
      <c r="LUT86" s="1255"/>
      <c r="LUU86" s="1255"/>
      <c r="LUV86" s="1255"/>
      <c r="LUW86" s="1255"/>
      <c r="LUX86" s="1255"/>
      <c r="LUY86" s="1255"/>
      <c r="LUZ86" s="1255"/>
      <c r="LVA86" s="1255"/>
      <c r="LVB86" s="1255"/>
      <c r="LVC86" s="1255"/>
      <c r="LVD86" s="1255"/>
      <c r="LVE86" s="1255"/>
      <c r="LVF86" s="1255"/>
      <c r="LVG86" s="1255"/>
      <c r="LVH86" s="1255"/>
      <c r="LVI86" s="1255"/>
      <c r="LVJ86" s="1255"/>
      <c r="LVK86" s="1255"/>
      <c r="LVL86" s="1255"/>
      <c r="LVM86" s="1255"/>
      <c r="LVN86" s="1255"/>
      <c r="LVO86" s="1255"/>
      <c r="LVP86" s="1255"/>
      <c r="LVQ86" s="1255"/>
      <c r="LVR86" s="1255"/>
      <c r="LVS86" s="1255"/>
      <c r="LVT86" s="1255"/>
      <c r="LVU86" s="1255"/>
      <c r="LVV86" s="1255"/>
      <c r="LVW86" s="1255"/>
      <c r="LVX86" s="1255"/>
      <c r="LVY86" s="1255"/>
      <c r="LVZ86" s="1255"/>
      <c r="LWA86" s="1255"/>
      <c r="LWB86" s="1255"/>
      <c r="LWC86" s="1255"/>
      <c r="LWD86" s="1255"/>
      <c r="LWE86" s="1255"/>
      <c r="LWF86" s="1255"/>
      <c r="LWG86" s="1255"/>
      <c r="LWH86" s="1255"/>
      <c r="LWI86" s="1255"/>
      <c r="LWJ86" s="1255"/>
      <c r="LWK86" s="1255"/>
      <c r="LWL86" s="1255"/>
      <c r="LWM86" s="1255"/>
      <c r="LWN86" s="1255"/>
      <c r="LWO86" s="1255"/>
      <c r="LWP86" s="1255"/>
      <c r="LWQ86" s="1255"/>
      <c r="LWR86" s="1255"/>
      <c r="LWS86" s="1255"/>
      <c r="LWT86" s="1255"/>
      <c r="LWU86" s="1255"/>
      <c r="LWV86" s="1255"/>
      <c r="LWW86" s="1255"/>
      <c r="LWX86" s="1255"/>
      <c r="LWY86" s="1255"/>
      <c r="LWZ86" s="1255"/>
      <c r="LXA86" s="1255"/>
      <c r="LXB86" s="1255"/>
      <c r="LXC86" s="1255"/>
      <c r="LXD86" s="1255"/>
      <c r="LXE86" s="1255"/>
      <c r="LXF86" s="1255"/>
      <c r="LXG86" s="1255"/>
      <c r="LXH86" s="1255"/>
      <c r="LXI86" s="1255"/>
      <c r="LXJ86" s="1255"/>
      <c r="LXK86" s="1255"/>
      <c r="LXL86" s="1255"/>
      <c r="LXM86" s="1255"/>
      <c r="LXN86" s="1255"/>
      <c r="LXO86" s="1255"/>
      <c r="LXP86" s="1255"/>
      <c r="LXQ86" s="1255"/>
      <c r="LXR86" s="1255"/>
      <c r="LXS86" s="1255"/>
      <c r="LXT86" s="1255"/>
      <c r="LXU86" s="1255"/>
      <c r="LXV86" s="1255"/>
      <c r="LXW86" s="1255"/>
      <c r="LXX86" s="1255"/>
      <c r="LXY86" s="1255"/>
      <c r="LXZ86" s="1255"/>
      <c r="LYA86" s="1255"/>
      <c r="LYB86" s="1255"/>
      <c r="LYC86" s="1255"/>
      <c r="LYD86" s="1255"/>
      <c r="LYE86" s="1255"/>
      <c r="LYF86" s="1255"/>
      <c r="LYG86" s="1255"/>
      <c r="LYH86" s="1255"/>
      <c r="LYI86" s="1255"/>
      <c r="LYJ86" s="1255"/>
      <c r="LYK86" s="1255"/>
      <c r="LYL86" s="1255"/>
      <c r="LYM86" s="1255"/>
      <c r="LYN86" s="1255"/>
      <c r="LYO86" s="1255"/>
      <c r="LYP86" s="1255"/>
      <c r="LYQ86" s="1255"/>
      <c r="LYR86" s="1255"/>
      <c r="LYS86" s="1255"/>
      <c r="LYT86" s="1255"/>
      <c r="LYU86" s="1255"/>
      <c r="LYV86" s="1255"/>
      <c r="LYW86" s="1255"/>
      <c r="LYX86" s="1255"/>
      <c r="LYY86" s="1255"/>
      <c r="LYZ86" s="1255"/>
      <c r="LZA86" s="1255"/>
      <c r="LZB86" s="1255"/>
      <c r="LZC86" s="1255"/>
      <c r="LZD86" s="1255"/>
      <c r="LZE86" s="1255"/>
      <c r="LZF86" s="1255"/>
      <c r="LZG86" s="1255"/>
      <c r="LZH86" s="1255"/>
      <c r="LZI86" s="1255"/>
      <c r="LZJ86" s="1255"/>
      <c r="LZK86" s="1255"/>
      <c r="LZL86" s="1255"/>
      <c r="LZM86" s="1255"/>
      <c r="LZN86" s="1255"/>
      <c r="LZO86" s="1255"/>
      <c r="LZP86" s="1255"/>
      <c r="LZQ86" s="1255"/>
      <c r="LZR86" s="1255"/>
      <c r="LZS86" s="1255"/>
      <c r="LZT86" s="1255"/>
      <c r="LZU86" s="1255"/>
      <c r="LZV86" s="1255"/>
      <c r="LZW86" s="1255"/>
      <c r="LZX86" s="1255"/>
      <c r="LZY86" s="1255"/>
      <c r="LZZ86" s="1255"/>
      <c r="MAA86" s="1255"/>
      <c r="MAB86" s="1255"/>
      <c r="MAC86" s="1255"/>
      <c r="MAD86" s="1255"/>
      <c r="MAE86" s="1255"/>
      <c r="MAF86" s="1255"/>
      <c r="MAG86" s="1255"/>
      <c r="MAH86" s="1255"/>
      <c r="MAI86" s="1255"/>
      <c r="MAJ86" s="1255"/>
      <c r="MAK86" s="1255"/>
      <c r="MAL86" s="1255"/>
      <c r="MAM86" s="1255"/>
      <c r="MAN86" s="1255"/>
      <c r="MAO86" s="1255"/>
      <c r="MAP86" s="1255"/>
      <c r="MAQ86" s="1255"/>
      <c r="MAR86" s="1255"/>
      <c r="MAS86" s="1255"/>
      <c r="MAT86" s="1255"/>
      <c r="MAU86" s="1255"/>
      <c r="MAV86" s="1255"/>
      <c r="MAW86" s="1255"/>
      <c r="MAX86" s="1255"/>
      <c r="MAY86" s="1255"/>
      <c r="MAZ86" s="1255"/>
      <c r="MBA86" s="1255"/>
      <c r="MBB86" s="1255"/>
      <c r="MBC86" s="1255"/>
      <c r="MBD86" s="1255"/>
      <c r="MBE86" s="1255"/>
      <c r="MBF86" s="1255"/>
      <c r="MBG86" s="1255"/>
      <c r="MBH86" s="1255"/>
      <c r="MBI86" s="1255"/>
      <c r="MBJ86" s="1255"/>
      <c r="MBK86" s="1255"/>
      <c r="MBL86" s="1255"/>
      <c r="MBM86" s="1255"/>
      <c r="MBN86" s="1255"/>
      <c r="MBO86" s="1255"/>
      <c r="MBP86" s="1255"/>
      <c r="MBQ86" s="1255"/>
      <c r="MBR86" s="1255"/>
      <c r="MBS86" s="1255"/>
      <c r="MBT86" s="1255"/>
      <c r="MBU86" s="1255"/>
      <c r="MBV86" s="1255"/>
      <c r="MBW86" s="1255"/>
      <c r="MBX86" s="1255"/>
      <c r="MBY86" s="1255"/>
      <c r="MBZ86" s="1255"/>
      <c r="MCA86" s="1255"/>
      <c r="MCB86" s="1255"/>
      <c r="MCC86" s="1255"/>
      <c r="MCD86" s="1255"/>
      <c r="MCE86" s="1255"/>
      <c r="MCF86" s="1255"/>
      <c r="MCG86" s="1255"/>
      <c r="MCH86" s="1255"/>
      <c r="MCI86" s="1255"/>
      <c r="MCJ86" s="1255"/>
      <c r="MCK86" s="1255"/>
      <c r="MCL86" s="1255"/>
      <c r="MCM86" s="1255"/>
      <c r="MCN86" s="1255"/>
      <c r="MCO86" s="1255"/>
      <c r="MCP86" s="1255"/>
      <c r="MCQ86" s="1255"/>
      <c r="MCR86" s="1255"/>
      <c r="MCS86" s="1255"/>
      <c r="MCT86" s="1255"/>
      <c r="MCU86" s="1255"/>
      <c r="MCV86" s="1255"/>
      <c r="MCW86" s="1255"/>
      <c r="MCX86" s="1255"/>
      <c r="MCY86" s="1255"/>
      <c r="MCZ86" s="1255"/>
      <c r="MDA86" s="1255"/>
      <c r="MDB86" s="1255"/>
      <c r="MDC86" s="1255"/>
      <c r="MDD86" s="1255"/>
      <c r="MDE86" s="1255"/>
      <c r="MDF86" s="1255"/>
      <c r="MDG86" s="1255"/>
      <c r="MDH86" s="1255"/>
      <c r="MDI86" s="1255"/>
      <c r="MDJ86" s="1255"/>
      <c r="MDK86" s="1255"/>
      <c r="MDL86" s="1255"/>
      <c r="MDM86" s="1255"/>
      <c r="MDN86" s="1255"/>
      <c r="MDO86" s="1255"/>
      <c r="MDP86" s="1255"/>
      <c r="MDQ86" s="1255"/>
      <c r="MDR86" s="1255"/>
      <c r="MDS86" s="1255"/>
      <c r="MDT86" s="1255"/>
      <c r="MDU86" s="1255"/>
      <c r="MDV86" s="1255"/>
      <c r="MDW86" s="1255"/>
      <c r="MDX86" s="1255"/>
      <c r="MDY86" s="1255"/>
      <c r="MDZ86" s="1255"/>
      <c r="MEA86" s="1255"/>
      <c r="MEB86" s="1255"/>
      <c r="MEC86" s="1255"/>
      <c r="MED86" s="1255"/>
      <c r="MEE86" s="1255"/>
      <c r="MEF86" s="1255"/>
      <c r="MEG86" s="1255"/>
      <c r="MEH86" s="1255"/>
      <c r="MEI86" s="1255"/>
      <c r="MEJ86" s="1255"/>
      <c r="MEK86" s="1255"/>
      <c r="MEL86" s="1255"/>
      <c r="MEM86" s="1255"/>
      <c r="MEN86" s="1255"/>
      <c r="MEO86" s="1255"/>
      <c r="MEP86" s="1255"/>
      <c r="MEQ86" s="1255"/>
      <c r="MER86" s="1255"/>
      <c r="MES86" s="1255"/>
      <c r="MET86" s="1255"/>
      <c r="MEU86" s="1255"/>
      <c r="MEV86" s="1255"/>
      <c r="MEW86" s="1255"/>
      <c r="MEX86" s="1255"/>
      <c r="MEY86" s="1255"/>
      <c r="MEZ86" s="1255"/>
      <c r="MFA86" s="1255"/>
      <c r="MFB86" s="1255"/>
      <c r="MFC86" s="1255"/>
      <c r="MFD86" s="1255"/>
      <c r="MFE86" s="1255"/>
      <c r="MFF86" s="1255"/>
      <c r="MFG86" s="1255"/>
      <c r="MFH86" s="1255"/>
      <c r="MFI86" s="1255"/>
      <c r="MFJ86" s="1255"/>
      <c r="MFK86" s="1255"/>
      <c r="MFL86" s="1255"/>
      <c r="MFM86" s="1255"/>
      <c r="MFN86" s="1255"/>
      <c r="MFO86" s="1255"/>
      <c r="MFP86" s="1255"/>
      <c r="MFQ86" s="1255"/>
      <c r="MFR86" s="1255"/>
      <c r="MFS86" s="1255"/>
      <c r="MFT86" s="1255"/>
      <c r="MFU86" s="1255"/>
      <c r="MFV86" s="1255"/>
      <c r="MFW86" s="1255"/>
      <c r="MFX86" s="1255"/>
      <c r="MFY86" s="1255"/>
      <c r="MFZ86" s="1255"/>
      <c r="MGA86" s="1255"/>
      <c r="MGB86" s="1255"/>
      <c r="MGC86" s="1255"/>
      <c r="MGD86" s="1255"/>
      <c r="MGE86" s="1255"/>
      <c r="MGF86" s="1255"/>
      <c r="MGG86" s="1255"/>
      <c r="MGH86" s="1255"/>
      <c r="MGI86" s="1255"/>
      <c r="MGJ86" s="1255"/>
      <c r="MGK86" s="1255"/>
      <c r="MGL86" s="1255"/>
      <c r="MGM86" s="1255"/>
      <c r="MGN86" s="1255"/>
      <c r="MGO86" s="1255"/>
      <c r="MGP86" s="1255"/>
      <c r="MGQ86" s="1255"/>
      <c r="MGR86" s="1255"/>
      <c r="MGS86" s="1255"/>
      <c r="MGT86" s="1255"/>
      <c r="MGU86" s="1255"/>
      <c r="MGV86" s="1255"/>
      <c r="MGW86" s="1255"/>
      <c r="MGX86" s="1255"/>
      <c r="MGY86" s="1255"/>
      <c r="MGZ86" s="1255"/>
      <c r="MHA86" s="1255"/>
      <c r="MHB86" s="1255"/>
      <c r="MHC86" s="1255"/>
      <c r="MHD86" s="1255"/>
      <c r="MHE86" s="1255"/>
      <c r="MHF86" s="1255"/>
      <c r="MHG86" s="1255"/>
      <c r="MHH86" s="1255"/>
      <c r="MHI86" s="1255"/>
      <c r="MHJ86" s="1255"/>
      <c r="MHK86" s="1255"/>
      <c r="MHL86" s="1255"/>
      <c r="MHM86" s="1255"/>
      <c r="MHN86" s="1255"/>
      <c r="MHO86" s="1255"/>
      <c r="MHP86" s="1255"/>
      <c r="MHQ86" s="1255"/>
      <c r="MHR86" s="1255"/>
      <c r="MHS86" s="1255"/>
      <c r="MHT86" s="1255"/>
      <c r="MHU86" s="1255"/>
      <c r="MHV86" s="1255"/>
      <c r="MHW86" s="1255"/>
      <c r="MHX86" s="1255"/>
      <c r="MHY86" s="1255"/>
      <c r="MHZ86" s="1255"/>
      <c r="MIA86" s="1255"/>
      <c r="MIB86" s="1255"/>
      <c r="MIC86" s="1255"/>
      <c r="MID86" s="1255"/>
      <c r="MIE86" s="1255"/>
      <c r="MIF86" s="1255"/>
      <c r="MIG86" s="1255"/>
      <c r="MIH86" s="1255"/>
      <c r="MII86" s="1255"/>
      <c r="MIJ86" s="1255"/>
      <c r="MIK86" s="1255"/>
      <c r="MIL86" s="1255"/>
      <c r="MIM86" s="1255"/>
      <c r="MIN86" s="1255"/>
      <c r="MIO86" s="1255"/>
      <c r="MIP86" s="1255"/>
      <c r="MIQ86" s="1255"/>
      <c r="MIR86" s="1255"/>
      <c r="MIS86" s="1255"/>
      <c r="MIT86" s="1255"/>
      <c r="MIU86" s="1255"/>
      <c r="MIV86" s="1255"/>
      <c r="MIW86" s="1255"/>
      <c r="MIX86" s="1255"/>
      <c r="MIY86" s="1255"/>
      <c r="MIZ86" s="1255"/>
      <c r="MJA86" s="1255"/>
      <c r="MJB86" s="1255"/>
      <c r="MJC86" s="1255"/>
      <c r="MJD86" s="1255"/>
      <c r="MJE86" s="1255"/>
      <c r="MJF86" s="1255"/>
      <c r="MJG86" s="1255"/>
      <c r="MJH86" s="1255"/>
      <c r="MJI86" s="1255"/>
      <c r="MJJ86" s="1255"/>
      <c r="MJK86" s="1255"/>
      <c r="MJL86" s="1255"/>
      <c r="MJM86" s="1255"/>
      <c r="MJN86" s="1255"/>
      <c r="MJO86" s="1255"/>
      <c r="MJP86" s="1255"/>
      <c r="MJQ86" s="1255"/>
      <c r="MJR86" s="1255"/>
      <c r="MJS86" s="1255"/>
      <c r="MJT86" s="1255"/>
      <c r="MJU86" s="1255"/>
      <c r="MJV86" s="1255"/>
      <c r="MJW86" s="1255"/>
      <c r="MJX86" s="1255"/>
      <c r="MJY86" s="1255"/>
      <c r="MJZ86" s="1255"/>
      <c r="MKA86" s="1255"/>
      <c r="MKB86" s="1255"/>
      <c r="MKC86" s="1255"/>
      <c r="MKD86" s="1255"/>
      <c r="MKE86" s="1255"/>
      <c r="MKF86" s="1255"/>
      <c r="MKG86" s="1255"/>
      <c r="MKH86" s="1255"/>
      <c r="MKI86" s="1255"/>
      <c r="MKJ86" s="1255"/>
      <c r="MKK86" s="1255"/>
      <c r="MKL86" s="1255"/>
      <c r="MKM86" s="1255"/>
      <c r="MKN86" s="1255"/>
      <c r="MKO86" s="1255"/>
      <c r="MKP86" s="1255"/>
      <c r="MKQ86" s="1255"/>
      <c r="MKR86" s="1255"/>
      <c r="MKS86" s="1255"/>
      <c r="MKT86" s="1255"/>
      <c r="MKU86" s="1255"/>
      <c r="MKV86" s="1255"/>
      <c r="MKW86" s="1255"/>
      <c r="MKX86" s="1255"/>
      <c r="MKY86" s="1255"/>
      <c r="MKZ86" s="1255"/>
      <c r="MLA86" s="1255"/>
      <c r="MLB86" s="1255"/>
      <c r="MLC86" s="1255"/>
      <c r="MLD86" s="1255"/>
      <c r="MLE86" s="1255"/>
      <c r="MLF86" s="1255"/>
      <c r="MLG86" s="1255"/>
      <c r="MLH86" s="1255"/>
      <c r="MLI86" s="1255"/>
      <c r="MLJ86" s="1255"/>
      <c r="MLK86" s="1255"/>
      <c r="MLL86" s="1255"/>
      <c r="MLM86" s="1255"/>
      <c r="MLN86" s="1255"/>
      <c r="MLO86" s="1255"/>
      <c r="MLP86" s="1255"/>
      <c r="MLQ86" s="1255"/>
      <c r="MLR86" s="1255"/>
      <c r="MLS86" s="1255"/>
      <c r="MLT86" s="1255"/>
      <c r="MLU86" s="1255"/>
      <c r="MLV86" s="1255"/>
      <c r="MLW86" s="1255"/>
      <c r="MLX86" s="1255"/>
      <c r="MLY86" s="1255"/>
      <c r="MLZ86" s="1255"/>
      <c r="MMA86" s="1255"/>
      <c r="MMB86" s="1255"/>
      <c r="MMC86" s="1255"/>
      <c r="MMD86" s="1255"/>
      <c r="MME86" s="1255"/>
      <c r="MMF86" s="1255"/>
      <c r="MMG86" s="1255"/>
      <c r="MMH86" s="1255"/>
      <c r="MMI86" s="1255"/>
      <c r="MMJ86" s="1255"/>
      <c r="MMK86" s="1255"/>
      <c r="MML86" s="1255"/>
      <c r="MMM86" s="1255"/>
      <c r="MMN86" s="1255"/>
      <c r="MMO86" s="1255"/>
      <c r="MMP86" s="1255"/>
      <c r="MMQ86" s="1255"/>
      <c r="MMR86" s="1255"/>
      <c r="MMS86" s="1255"/>
      <c r="MMT86" s="1255"/>
      <c r="MMU86" s="1255"/>
      <c r="MMV86" s="1255"/>
      <c r="MMW86" s="1255"/>
      <c r="MMX86" s="1255"/>
      <c r="MMY86" s="1255"/>
      <c r="MMZ86" s="1255"/>
      <c r="MNA86" s="1255"/>
      <c r="MNB86" s="1255"/>
      <c r="MNC86" s="1255"/>
      <c r="MND86" s="1255"/>
      <c r="MNE86" s="1255"/>
      <c r="MNF86" s="1255"/>
      <c r="MNG86" s="1255"/>
      <c r="MNH86" s="1255"/>
      <c r="MNI86" s="1255"/>
      <c r="MNJ86" s="1255"/>
      <c r="MNK86" s="1255"/>
      <c r="MNL86" s="1255"/>
      <c r="MNM86" s="1255"/>
      <c r="MNN86" s="1255"/>
      <c r="MNO86" s="1255"/>
      <c r="MNP86" s="1255"/>
      <c r="MNQ86" s="1255"/>
      <c r="MNR86" s="1255"/>
      <c r="MNS86" s="1255"/>
      <c r="MNT86" s="1255"/>
      <c r="MNU86" s="1255"/>
      <c r="MNV86" s="1255"/>
      <c r="MNW86" s="1255"/>
      <c r="MNX86" s="1255"/>
      <c r="MNY86" s="1255"/>
      <c r="MNZ86" s="1255"/>
      <c r="MOA86" s="1255"/>
      <c r="MOB86" s="1255"/>
      <c r="MOC86" s="1255"/>
      <c r="MOD86" s="1255"/>
      <c r="MOE86" s="1255"/>
      <c r="MOF86" s="1255"/>
      <c r="MOG86" s="1255"/>
      <c r="MOH86" s="1255"/>
      <c r="MOI86" s="1255"/>
      <c r="MOJ86" s="1255"/>
      <c r="MOK86" s="1255"/>
      <c r="MOL86" s="1255"/>
      <c r="MOM86" s="1255"/>
      <c r="MON86" s="1255"/>
      <c r="MOO86" s="1255"/>
      <c r="MOP86" s="1255"/>
      <c r="MOQ86" s="1255"/>
      <c r="MOR86" s="1255"/>
      <c r="MOS86" s="1255"/>
      <c r="MOT86" s="1255"/>
      <c r="MOU86" s="1255"/>
      <c r="MOV86" s="1255"/>
      <c r="MOW86" s="1255"/>
      <c r="MOX86" s="1255"/>
      <c r="MOY86" s="1255"/>
      <c r="MOZ86" s="1255"/>
      <c r="MPA86" s="1255"/>
      <c r="MPB86" s="1255"/>
      <c r="MPC86" s="1255"/>
      <c r="MPD86" s="1255"/>
      <c r="MPE86" s="1255"/>
      <c r="MPF86" s="1255"/>
      <c r="MPG86" s="1255"/>
      <c r="MPH86" s="1255"/>
      <c r="MPI86" s="1255"/>
      <c r="MPJ86" s="1255"/>
      <c r="MPK86" s="1255"/>
      <c r="MPL86" s="1255"/>
      <c r="MPM86" s="1255"/>
      <c r="MPN86" s="1255"/>
      <c r="MPO86" s="1255"/>
      <c r="MPP86" s="1255"/>
      <c r="MPQ86" s="1255"/>
      <c r="MPR86" s="1255"/>
      <c r="MPS86" s="1255"/>
      <c r="MPT86" s="1255"/>
      <c r="MPU86" s="1255"/>
      <c r="MPV86" s="1255"/>
      <c r="MPW86" s="1255"/>
      <c r="MPX86" s="1255"/>
      <c r="MPY86" s="1255"/>
      <c r="MPZ86" s="1255"/>
      <c r="MQA86" s="1255"/>
      <c r="MQB86" s="1255"/>
      <c r="MQC86" s="1255"/>
      <c r="MQD86" s="1255"/>
      <c r="MQE86" s="1255"/>
      <c r="MQF86" s="1255"/>
      <c r="MQG86" s="1255"/>
      <c r="MQH86" s="1255"/>
      <c r="MQI86" s="1255"/>
      <c r="MQJ86" s="1255"/>
      <c r="MQK86" s="1255"/>
      <c r="MQL86" s="1255"/>
      <c r="MQM86" s="1255"/>
      <c r="MQN86" s="1255"/>
      <c r="MQO86" s="1255"/>
      <c r="MQP86" s="1255"/>
      <c r="MQQ86" s="1255"/>
      <c r="MQR86" s="1255"/>
      <c r="MQS86" s="1255"/>
      <c r="MQT86" s="1255"/>
      <c r="MQU86" s="1255"/>
      <c r="MQV86" s="1255"/>
      <c r="MQW86" s="1255"/>
      <c r="MQX86" s="1255"/>
      <c r="MQY86" s="1255"/>
      <c r="MQZ86" s="1255"/>
      <c r="MRA86" s="1255"/>
      <c r="MRB86" s="1255"/>
      <c r="MRC86" s="1255"/>
      <c r="MRD86" s="1255"/>
      <c r="MRE86" s="1255"/>
      <c r="MRF86" s="1255"/>
      <c r="MRG86" s="1255"/>
      <c r="MRH86" s="1255"/>
      <c r="MRI86" s="1255"/>
      <c r="MRJ86" s="1255"/>
      <c r="MRK86" s="1255"/>
      <c r="MRL86" s="1255"/>
      <c r="MRM86" s="1255"/>
      <c r="MRN86" s="1255"/>
      <c r="MRO86" s="1255"/>
      <c r="MRP86" s="1255"/>
      <c r="MRQ86" s="1255"/>
      <c r="MRR86" s="1255"/>
      <c r="MRS86" s="1255"/>
      <c r="MRT86" s="1255"/>
      <c r="MRU86" s="1255"/>
      <c r="MRV86" s="1255"/>
      <c r="MRW86" s="1255"/>
      <c r="MRX86" s="1255"/>
      <c r="MRY86" s="1255"/>
      <c r="MRZ86" s="1255"/>
      <c r="MSA86" s="1255"/>
      <c r="MSB86" s="1255"/>
      <c r="MSC86" s="1255"/>
      <c r="MSD86" s="1255"/>
      <c r="MSE86" s="1255"/>
      <c r="MSF86" s="1255"/>
      <c r="MSG86" s="1255"/>
      <c r="MSH86" s="1255"/>
      <c r="MSI86" s="1255"/>
      <c r="MSJ86" s="1255"/>
      <c r="MSK86" s="1255"/>
      <c r="MSL86" s="1255"/>
      <c r="MSM86" s="1255"/>
      <c r="MSN86" s="1255"/>
      <c r="MSO86" s="1255"/>
      <c r="MSP86" s="1255"/>
      <c r="MSQ86" s="1255"/>
      <c r="MSR86" s="1255"/>
      <c r="MSS86" s="1255"/>
      <c r="MST86" s="1255"/>
      <c r="MSU86" s="1255"/>
      <c r="MSV86" s="1255"/>
      <c r="MSW86" s="1255"/>
      <c r="MSX86" s="1255"/>
      <c r="MSY86" s="1255"/>
      <c r="MSZ86" s="1255"/>
      <c r="MTA86" s="1255"/>
      <c r="MTB86" s="1255"/>
      <c r="MTC86" s="1255"/>
      <c r="MTD86" s="1255"/>
      <c r="MTE86" s="1255"/>
      <c r="MTF86" s="1255"/>
      <c r="MTG86" s="1255"/>
      <c r="MTH86" s="1255"/>
      <c r="MTI86" s="1255"/>
      <c r="MTJ86" s="1255"/>
      <c r="MTK86" s="1255"/>
      <c r="MTL86" s="1255"/>
      <c r="MTM86" s="1255"/>
      <c r="MTN86" s="1255"/>
      <c r="MTO86" s="1255"/>
      <c r="MTP86" s="1255"/>
      <c r="MTQ86" s="1255"/>
      <c r="MTR86" s="1255"/>
      <c r="MTS86" s="1255"/>
      <c r="MTT86" s="1255"/>
      <c r="MTU86" s="1255"/>
      <c r="MTV86" s="1255"/>
      <c r="MTW86" s="1255"/>
      <c r="MTX86" s="1255"/>
      <c r="MTY86" s="1255"/>
      <c r="MTZ86" s="1255"/>
      <c r="MUA86" s="1255"/>
      <c r="MUB86" s="1255"/>
      <c r="MUC86" s="1255"/>
      <c r="MUD86" s="1255"/>
      <c r="MUE86" s="1255"/>
      <c r="MUF86" s="1255"/>
      <c r="MUG86" s="1255"/>
      <c r="MUH86" s="1255"/>
      <c r="MUI86" s="1255"/>
      <c r="MUJ86" s="1255"/>
      <c r="MUK86" s="1255"/>
      <c r="MUL86" s="1255"/>
      <c r="MUM86" s="1255"/>
      <c r="MUN86" s="1255"/>
      <c r="MUO86" s="1255"/>
      <c r="MUP86" s="1255"/>
      <c r="MUQ86" s="1255"/>
      <c r="MUR86" s="1255"/>
      <c r="MUS86" s="1255"/>
      <c r="MUT86" s="1255"/>
      <c r="MUU86" s="1255"/>
      <c r="MUV86" s="1255"/>
      <c r="MUW86" s="1255"/>
      <c r="MUX86" s="1255"/>
      <c r="MUY86" s="1255"/>
      <c r="MUZ86" s="1255"/>
      <c r="MVA86" s="1255"/>
      <c r="MVB86" s="1255"/>
      <c r="MVC86" s="1255"/>
      <c r="MVD86" s="1255"/>
      <c r="MVE86" s="1255"/>
      <c r="MVF86" s="1255"/>
      <c r="MVG86" s="1255"/>
      <c r="MVH86" s="1255"/>
      <c r="MVI86" s="1255"/>
      <c r="MVJ86" s="1255"/>
      <c r="MVK86" s="1255"/>
      <c r="MVL86" s="1255"/>
      <c r="MVM86" s="1255"/>
      <c r="MVN86" s="1255"/>
      <c r="MVO86" s="1255"/>
      <c r="MVP86" s="1255"/>
      <c r="MVQ86" s="1255"/>
      <c r="MVR86" s="1255"/>
      <c r="MVS86" s="1255"/>
      <c r="MVT86" s="1255"/>
      <c r="MVU86" s="1255"/>
      <c r="MVV86" s="1255"/>
      <c r="MVW86" s="1255"/>
      <c r="MVX86" s="1255"/>
      <c r="MVY86" s="1255"/>
      <c r="MVZ86" s="1255"/>
      <c r="MWA86" s="1255"/>
      <c r="MWB86" s="1255"/>
      <c r="MWC86" s="1255"/>
      <c r="MWD86" s="1255"/>
      <c r="MWE86" s="1255"/>
      <c r="MWF86" s="1255"/>
      <c r="MWG86" s="1255"/>
      <c r="MWH86" s="1255"/>
      <c r="MWI86" s="1255"/>
      <c r="MWJ86" s="1255"/>
      <c r="MWK86" s="1255"/>
      <c r="MWL86" s="1255"/>
      <c r="MWM86" s="1255"/>
      <c r="MWN86" s="1255"/>
      <c r="MWO86" s="1255"/>
      <c r="MWP86" s="1255"/>
      <c r="MWQ86" s="1255"/>
      <c r="MWR86" s="1255"/>
      <c r="MWS86" s="1255"/>
      <c r="MWT86" s="1255"/>
      <c r="MWU86" s="1255"/>
      <c r="MWV86" s="1255"/>
      <c r="MWW86" s="1255"/>
      <c r="MWX86" s="1255"/>
      <c r="MWY86" s="1255"/>
      <c r="MWZ86" s="1255"/>
      <c r="MXA86" s="1255"/>
      <c r="MXB86" s="1255"/>
      <c r="MXC86" s="1255"/>
      <c r="MXD86" s="1255"/>
      <c r="MXE86" s="1255"/>
      <c r="MXF86" s="1255"/>
      <c r="MXG86" s="1255"/>
      <c r="MXH86" s="1255"/>
      <c r="MXI86" s="1255"/>
      <c r="MXJ86" s="1255"/>
      <c r="MXK86" s="1255"/>
      <c r="MXL86" s="1255"/>
      <c r="MXM86" s="1255"/>
      <c r="MXN86" s="1255"/>
      <c r="MXO86" s="1255"/>
      <c r="MXP86" s="1255"/>
      <c r="MXQ86" s="1255"/>
      <c r="MXR86" s="1255"/>
      <c r="MXS86" s="1255"/>
      <c r="MXT86" s="1255"/>
      <c r="MXU86" s="1255"/>
      <c r="MXV86" s="1255"/>
      <c r="MXW86" s="1255"/>
      <c r="MXX86" s="1255"/>
      <c r="MXY86" s="1255"/>
      <c r="MXZ86" s="1255"/>
      <c r="MYA86" s="1255"/>
      <c r="MYB86" s="1255"/>
      <c r="MYC86" s="1255"/>
      <c r="MYD86" s="1255"/>
      <c r="MYE86" s="1255"/>
      <c r="MYF86" s="1255"/>
      <c r="MYG86" s="1255"/>
      <c r="MYH86" s="1255"/>
      <c r="MYI86" s="1255"/>
      <c r="MYJ86" s="1255"/>
      <c r="MYK86" s="1255"/>
      <c r="MYL86" s="1255"/>
      <c r="MYM86" s="1255"/>
      <c r="MYN86" s="1255"/>
      <c r="MYO86" s="1255"/>
      <c r="MYP86" s="1255"/>
      <c r="MYQ86" s="1255"/>
      <c r="MYR86" s="1255"/>
      <c r="MYS86" s="1255"/>
      <c r="MYT86" s="1255"/>
      <c r="MYU86" s="1255"/>
      <c r="MYV86" s="1255"/>
      <c r="MYW86" s="1255"/>
      <c r="MYX86" s="1255"/>
      <c r="MYY86" s="1255"/>
      <c r="MYZ86" s="1255"/>
      <c r="MZA86" s="1255"/>
      <c r="MZB86" s="1255"/>
      <c r="MZC86" s="1255"/>
      <c r="MZD86" s="1255"/>
      <c r="MZE86" s="1255"/>
      <c r="MZF86" s="1255"/>
      <c r="MZG86" s="1255"/>
      <c r="MZH86" s="1255"/>
      <c r="MZI86" s="1255"/>
      <c r="MZJ86" s="1255"/>
      <c r="MZK86" s="1255"/>
      <c r="MZL86" s="1255"/>
      <c r="MZM86" s="1255"/>
      <c r="MZN86" s="1255"/>
      <c r="MZO86" s="1255"/>
      <c r="MZP86" s="1255"/>
      <c r="MZQ86" s="1255"/>
      <c r="MZR86" s="1255"/>
      <c r="MZS86" s="1255"/>
      <c r="MZT86" s="1255"/>
      <c r="MZU86" s="1255"/>
      <c r="MZV86" s="1255"/>
      <c r="MZW86" s="1255"/>
      <c r="MZX86" s="1255"/>
      <c r="MZY86" s="1255"/>
      <c r="MZZ86" s="1255"/>
      <c r="NAA86" s="1255"/>
      <c r="NAB86" s="1255"/>
      <c r="NAC86" s="1255"/>
      <c r="NAD86" s="1255"/>
      <c r="NAE86" s="1255"/>
      <c r="NAF86" s="1255"/>
      <c r="NAG86" s="1255"/>
      <c r="NAH86" s="1255"/>
      <c r="NAI86" s="1255"/>
      <c r="NAJ86" s="1255"/>
      <c r="NAK86" s="1255"/>
      <c r="NAL86" s="1255"/>
      <c r="NAM86" s="1255"/>
      <c r="NAN86" s="1255"/>
      <c r="NAO86" s="1255"/>
      <c r="NAP86" s="1255"/>
      <c r="NAQ86" s="1255"/>
      <c r="NAR86" s="1255"/>
      <c r="NAS86" s="1255"/>
      <c r="NAT86" s="1255"/>
      <c r="NAU86" s="1255"/>
      <c r="NAV86" s="1255"/>
      <c r="NAW86" s="1255"/>
      <c r="NAX86" s="1255"/>
      <c r="NAY86" s="1255"/>
      <c r="NAZ86" s="1255"/>
      <c r="NBA86" s="1255"/>
      <c r="NBB86" s="1255"/>
      <c r="NBC86" s="1255"/>
      <c r="NBD86" s="1255"/>
      <c r="NBE86" s="1255"/>
      <c r="NBF86" s="1255"/>
      <c r="NBG86" s="1255"/>
      <c r="NBH86" s="1255"/>
      <c r="NBI86" s="1255"/>
      <c r="NBJ86" s="1255"/>
      <c r="NBK86" s="1255"/>
      <c r="NBL86" s="1255"/>
      <c r="NBM86" s="1255"/>
      <c r="NBN86" s="1255"/>
      <c r="NBO86" s="1255"/>
      <c r="NBP86" s="1255"/>
      <c r="NBQ86" s="1255"/>
      <c r="NBR86" s="1255"/>
      <c r="NBS86" s="1255"/>
      <c r="NBT86" s="1255"/>
      <c r="NBU86" s="1255"/>
      <c r="NBV86" s="1255"/>
      <c r="NBW86" s="1255"/>
      <c r="NBX86" s="1255"/>
      <c r="NBY86" s="1255"/>
      <c r="NBZ86" s="1255"/>
      <c r="NCA86" s="1255"/>
      <c r="NCB86" s="1255"/>
      <c r="NCC86" s="1255"/>
      <c r="NCD86" s="1255"/>
      <c r="NCE86" s="1255"/>
      <c r="NCF86" s="1255"/>
      <c r="NCG86" s="1255"/>
      <c r="NCH86" s="1255"/>
      <c r="NCI86" s="1255"/>
      <c r="NCJ86" s="1255"/>
      <c r="NCK86" s="1255"/>
      <c r="NCL86" s="1255"/>
      <c r="NCM86" s="1255"/>
      <c r="NCN86" s="1255"/>
      <c r="NCO86" s="1255"/>
      <c r="NCP86" s="1255"/>
      <c r="NCQ86" s="1255"/>
      <c r="NCR86" s="1255"/>
      <c r="NCS86" s="1255"/>
      <c r="NCT86" s="1255"/>
      <c r="NCU86" s="1255"/>
      <c r="NCV86" s="1255"/>
      <c r="NCW86" s="1255"/>
      <c r="NCX86" s="1255"/>
      <c r="NCY86" s="1255"/>
      <c r="NCZ86" s="1255"/>
      <c r="NDA86" s="1255"/>
      <c r="NDB86" s="1255"/>
      <c r="NDC86" s="1255"/>
      <c r="NDD86" s="1255"/>
      <c r="NDE86" s="1255"/>
      <c r="NDF86" s="1255"/>
      <c r="NDG86" s="1255"/>
      <c r="NDH86" s="1255"/>
      <c r="NDI86" s="1255"/>
      <c r="NDJ86" s="1255"/>
      <c r="NDK86" s="1255"/>
      <c r="NDL86" s="1255"/>
      <c r="NDM86" s="1255"/>
      <c r="NDN86" s="1255"/>
      <c r="NDO86" s="1255"/>
      <c r="NDP86" s="1255"/>
      <c r="NDQ86" s="1255"/>
      <c r="NDR86" s="1255"/>
      <c r="NDS86" s="1255"/>
      <c r="NDT86" s="1255"/>
      <c r="NDU86" s="1255"/>
      <c r="NDV86" s="1255"/>
      <c r="NDW86" s="1255"/>
      <c r="NDX86" s="1255"/>
      <c r="NDY86" s="1255"/>
      <c r="NDZ86" s="1255"/>
      <c r="NEA86" s="1255"/>
      <c r="NEB86" s="1255"/>
      <c r="NEC86" s="1255"/>
      <c r="NED86" s="1255"/>
      <c r="NEE86" s="1255"/>
      <c r="NEF86" s="1255"/>
      <c r="NEG86" s="1255"/>
      <c r="NEH86" s="1255"/>
      <c r="NEI86" s="1255"/>
      <c r="NEJ86" s="1255"/>
      <c r="NEK86" s="1255"/>
      <c r="NEL86" s="1255"/>
      <c r="NEM86" s="1255"/>
      <c r="NEN86" s="1255"/>
      <c r="NEO86" s="1255"/>
      <c r="NEP86" s="1255"/>
      <c r="NEQ86" s="1255"/>
      <c r="NER86" s="1255"/>
      <c r="NES86" s="1255"/>
      <c r="NET86" s="1255"/>
      <c r="NEU86" s="1255"/>
      <c r="NEV86" s="1255"/>
      <c r="NEW86" s="1255"/>
      <c r="NEX86" s="1255"/>
      <c r="NEY86" s="1255"/>
      <c r="NEZ86" s="1255"/>
      <c r="NFA86" s="1255"/>
      <c r="NFB86" s="1255"/>
      <c r="NFC86" s="1255"/>
      <c r="NFD86" s="1255"/>
      <c r="NFE86" s="1255"/>
      <c r="NFF86" s="1255"/>
      <c r="NFG86" s="1255"/>
      <c r="NFH86" s="1255"/>
      <c r="NFI86" s="1255"/>
      <c r="NFJ86" s="1255"/>
      <c r="NFK86" s="1255"/>
      <c r="NFL86" s="1255"/>
      <c r="NFM86" s="1255"/>
      <c r="NFN86" s="1255"/>
      <c r="NFO86" s="1255"/>
      <c r="NFP86" s="1255"/>
      <c r="NFQ86" s="1255"/>
      <c r="NFR86" s="1255"/>
      <c r="NFS86" s="1255"/>
      <c r="NFT86" s="1255"/>
      <c r="NFU86" s="1255"/>
      <c r="NFV86" s="1255"/>
      <c r="NFW86" s="1255"/>
      <c r="NFX86" s="1255"/>
      <c r="NFY86" s="1255"/>
      <c r="NFZ86" s="1255"/>
      <c r="NGA86" s="1255"/>
      <c r="NGB86" s="1255"/>
      <c r="NGC86" s="1255"/>
      <c r="NGD86" s="1255"/>
      <c r="NGE86" s="1255"/>
      <c r="NGF86" s="1255"/>
      <c r="NGG86" s="1255"/>
      <c r="NGH86" s="1255"/>
      <c r="NGI86" s="1255"/>
      <c r="NGJ86" s="1255"/>
      <c r="NGK86" s="1255"/>
      <c r="NGL86" s="1255"/>
      <c r="NGM86" s="1255"/>
      <c r="NGN86" s="1255"/>
      <c r="NGO86" s="1255"/>
      <c r="NGP86" s="1255"/>
      <c r="NGQ86" s="1255"/>
      <c r="NGR86" s="1255"/>
      <c r="NGS86" s="1255"/>
      <c r="NGT86" s="1255"/>
      <c r="NGU86" s="1255"/>
      <c r="NGV86" s="1255"/>
      <c r="NGW86" s="1255"/>
      <c r="NGX86" s="1255"/>
      <c r="NGY86" s="1255"/>
      <c r="NGZ86" s="1255"/>
      <c r="NHA86" s="1255"/>
      <c r="NHB86" s="1255"/>
      <c r="NHC86" s="1255"/>
      <c r="NHD86" s="1255"/>
      <c r="NHE86" s="1255"/>
      <c r="NHF86" s="1255"/>
      <c r="NHG86" s="1255"/>
      <c r="NHH86" s="1255"/>
      <c r="NHI86" s="1255"/>
      <c r="NHJ86" s="1255"/>
      <c r="NHK86" s="1255"/>
      <c r="NHL86" s="1255"/>
      <c r="NHM86" s="1255"/>
      <c r="NHN86" s="1255"/>
      <c r="NHO86" s="1255"/>
      <c r="NHP86" s="1255"/>
      <c r="NHQ86" s="1255"/>
      <c r="NHR86" s="1255"/>
      <c r="NHS86" s="1255"/>
      <c r="NHT86" s="1255"/>
      <c r="NHU86" s="1255"/>
      <c r="NHV86" s="1255"/>
      <c r="NHW86" s="1255"/>
      <c r="NHX86" s="1255"/>
      <c r="NHY86" s="1255"/>
      <c r="NHZ86" s="1255"/>
      <c r="NIA86" s="1255"/>
      <c r="NIB86" s="1255"/>
      <c r="NIC86" s="1255"/>
      <c r="NID86" s="1255"/>
      <c r="NIE86" s="1255"/>
      <c r="NIF86" s="1255"/>
      <c r="NIG86" s="1255"/>
      <c r="NIH86" s="1255"/>
      <c r="NII86" s="1255"/>
      <c r="NIJ86" s="1255"/>
      <c r="NIK86" s="1255"/>
      <c r="NIL86" s="1255"/>
      <c r="NIM86" s="1255"/>
      <c r="NIN86" s="1255"/>
      <c r="NIO86" s="1255"/>
      <c r="NIP86" s="1255"/>
      <c r="NIQ86" s="1255"/>
      <c r="NIR86" s="1255"/>
      <c r="NIS86" s="1255"/>
      <c r="NIT86" s="1255"/>
      <c r="NIU86" s="1255"/>
      <c r="NIV86" s="1255"/>
      <c r="NIW86" s="1255"/>
      <c r="NIX86" s="1255"/>
      <c r="NIY86" s="1255"/>
      <c r="NIZ86" s="1255"/>
      <c r="NJA86" s="1255"/>
      <c r="NJB86" s="1255"/>
      <c r="NJC86" s="1255"/>
      <c r="NJD86" s="1255"/>
      <c r="NJE86" s="1255"/>
      <c r="NJF86" s="1255"/>
      <c r="NJG86" s="1255"/>
      <c r="NJH86" s="1255"/>
      <c r="NJI86" s="1255"/>
      <c r="NJJ86" s="1255"/>
      <c r="NJK86" s="1255"/>
      <c r="NJL86" s="1255"/>
      <c r="NJM86" s="1255"/>
      <c r="NJN86" s="1255"/>
      <c r="NJO86" s="1255"/>
      <c r="NJP86" s="1255"/>
      <c r="NJQ86" s="1255"/>
      <c r="NJR86" s="1255"/>
      <c r="NJS86" s="1255"/>
      <c r="NJT86" s="1255"/>
      <c r="NJU86" s="1255"/>
      <c r="NJV86" s="1255"/>
      <c r="NJW86" s="1255"/>
      <c r="NJX86" s="1255"/>
      <c r="NJY86" s="1255"/>
      <c r="NJZ86" s="1255"/>
      <c r="NKA86" s="1255"/>
      <c r="NKB86" s="1255"/>
      <c r="NKC86" s="1255"/>
      <c r="NKD86" s="1255"/>
      <c r="NKE86" s="1255"/>
      <c r="NKF86" s="1255"/>
      <c r="NKG86" s="1255"/>
      <c r="NKH86" s="1255"/>
      <c r="NKI86" s="1255"/>
      <c r="NKJ86" s="1255"/>
      <c r="NKK86" s="1255"/>
      <c r="NKL86" s="1255"/>
      <c r="NKM86" s="1255"/>
      <c r="NKN86" s="1255"/>
      <c r="NKO86" s="1255"/>
      <c r="NKP86" s="1255"/>
      <c r="NKQ86" s="1255"/>
      <c r="NKR86" s="1255"/>
      <c r="NKS86" s="1255"/>
      <c r="NKT86" s="1255"/>
      <c r="NKU86" s="1255"/>
      <c r="NKV86" s="1255"/>
      <c r="NKW86" s="1255"/>
      <c r="NKX86" s="1255"/>
      <c r="NKY86" s="1255"/>
      <c r="NKZ86" s="1255"/>
      <c r="NLA86" s="1255"/>
      <c r="NLB86" s="1255"/>
      <c r="NLC86" s="1255"/>
      <c r="NLD86" s="1255"/>
      <c r="NLE86" s="1255"/>
      <c r="NLF86" s="1255"/>
      <c r="NLG86" s="1255"/>
      <c r="NLH86" s="1255"/>
      <c r="NLI86" s="1255"/>
      <c r="NLJ86" s="1255"/>
      <c r="NLK86" s="1255"/>
      <c r="NLL86" s="1255"/>
      <c r="NLM86" s="1255"/>
      <c r="NLN86" s="1255"/>
      <c r="NLO86" s="1255"/>
      <c r="NLP86" s="1255"/>
      <c r="NLQ86" s="1255"/>
      <c r="NLR86" s="1255"/>
      <c r="NLS86" s="1255"/>
      <c r="NLT86" s="1255"/>
      <c r="NLU86" s="1255"/>
      <c r="NLV86" s="1255"/>
      <c r="NLW86" s="1255"/>
      <c r="NLX86" s="1255"/>
      <c r="NLY86" s="1255"/>
      <c r="NLZ86" s="1255"/>
      <c r="NMA86" s="1255"/>
      <c r="NMB86" s="1255"/>
      <c r="NMC86" s="1255"/>
      <c r="NMD86" s="1255"/>
      <c r="NME86" s="1255"/>
      <c r="NMF86" s="1255"/>
      <c r="NMG86" s="1255"/>
      <c r="NMH86" s="1255"/>
      <c r="NMI86" s="1255"/>
      <c r="NMJ86" s="1255"/>
      <c r="NMK86" s="1255"/>
      <c r="NML86" s="1255"/>
      <c r="NMM86" s="1255"/>
      <c r="NMN86" s="1255"/>
      <c r="NMO86" s="1255"/>
      <c r="NMP86" s="1255"/>
      <c r="NMQ86" s="1255"/>
      <c r="NMR86" s="1255"/>
      <c r="NMS86" s="1255"/>
      <c r="NMT86" s="1255"/>
      <c r="NMU86" s="1255"/>
      <c r="NMV86" s="1255"/>
      <c r="NMW86" s="1255"/>
      <c r="NMX86" s="1255"/>
      <c r="NMY86" s="1255"/>
      <c r="NMZ86" s="1255"/>
      <c r="NNA86" s="1255"/>
      <c r="NNB86" s="1255"/>
      <c r="NNC86" s="1255"/>
      <c r="NND86" s="1255"/>
      <c r="NNE86" s="1255"/>
      <c r="NNF86" s="1255"/>
      <c r="NNG86" s="1255"/>
      <c r="NNH86" s="1255"/>
      <c r="NNI86" s="1255"/>
      <c r="NNJ86" s="1255"/>
      <c r="NNK86" s="1255"/>
      <c r="NNL86" s="1255"/>
      <c r="NNM86" s="1255"/>
      <c r="NNN86" s="1255"/>
      <c r="NNO86" s="1255"/>
      <c r="NNP86" s="1255"/>
      <c r="NNQ86" s="1255"/>
      <c r="NNR86" s="1255"/>
      <c r="NNS86" s="1255"/>
      <c r="NNT86" s="1255"/>
      <c r="NNU86" s="1255"/>
      <c r="NNV86" s="1255"/>
      <c r="NNW86" s="1255"/>
      <c r="NNX86" s="1255"/>
      <c r="NNY86" s="1255"/>
      <c r="NNZ86" s="1255"/>
      <c r="NOA86" s="1255"/>
      <c r="NOB86" s="1255"/>
      <c r="NOC86" s="1255"/>
      <c r="NOD86" s="1255"/>
      <c r="NOE86" s="1255"/>
      <c r="NOF86" s="1255"/>
      <c r="NOG86" s="1255"/>
      <c r="NOH86" s="1255"/>
      <c r="NOI86" s="1255"/>
      <c r="NOJ86" s="1255"/>
      <c r="NOK86" s="1255"/>
      <c r="NOL86" s="1255"/>
      <c r="NOM86" s="1255"/>
      <c r="NON86" s="1255"/>
      <c r="NOO86" s="1255"/>
      <c r="NOP86" s="1255"/>
      <c r="NOQ86" s="1255"/>
      <c r="NOR86" s="1255"/>
      <c r="NOS86" s="1255"/>
      <c r="NOT86" s="1255"/>
      <c r="NOU86" s="1255"/>
      <c r="NOV86" s="1255"/>
      <c r="NOW86" s="1255"/>
      <c r="NOX86" s="1255"/>
      <c r="NOY86" s="1255"/>
      <c r="NOZ86" s="1255"/>
      <c r="NPA86" s="1255"/>
      <c r="NPB86" s="1255"/>
      <c r="NPC86" s="1255"/>
      <c r="NPD86" s="1255"/>
      <c r="NPE86" s="1255"/>
      <c r="NPF86" s="1255"/>
      <c r="NPG86" s="1255"/>
      <c r="NPH86" s="1255"/>
      <c r="NPI86" s="1255"/>
      <c r="NPJ86" s="1255"/>
      <c r="NPK86" s="1255"/>
      <c r="NPL86" s="1255"/>
      <c r="NPM86" s="1255"/>
      <c r="NPN86" s="1255"/>
      <c r="NPO86" s="1255"/>
      <c r="NPP86" s="1255"/>
      <c r="NPQ86" s="1255"/>
      <c r="NPR86" s="1255"/>
      <c r="NPS86" s="1255"/>
      <c r="NPT86" s="1255"/>
      <c r="NPU86" s="1255"/>
      <c r="NPV86" s="1255"/>
      <c r="NPW86" s="1255"/>
      <c r="NPX86" s="1255"/>
      <c r="NPY86" s="1255"/>
      <c r="NPZ86" s="1255"/>
      <c r="NQA86" s="1255"/>
      <c r="NQB86" s="1255"/>
      <c r="NQC86" s="1255"/>
      <c r="NQD86" s="1255"/>
      <c r="NQE86" s="1255"/>
      <c r="NQF86" s="1255"/>
      <c r="NQG86" s="1255"/>
      <c r="NQH86" s="1255"/>
      <c r="NQI86" s="1255"/>
      <c r="NQJ86" s="1255"/>
      <c r="NQK86" s="1255"/>
      <c r="NQL86" s="1255"/>
      <c r="NQM86" s="1255"/>
      <c r="NQN86" s="1255"/>
      <c r="NQO86" s="1255"/>
      <c r="NQP86" s="1255"/>
      <c r="NQQ86" s="1255"/>
      <c r="NQR86" s="1255"/>
      <c r="NQS86" s="1255"/>
      <c r="NQT86" s="1255"/>
      <c r="NQU86" s="1255"/>
      <c r="NQV86" s="1255"/>
      <c r="NQW86" s="1255"/>
      <c r="NQX86" s="1255"/>
      <c r="NQY86" s="1255"/>
      <c r="NQZ86" s="1255"/>
      <c r="NRA86" s="1255"/>
      <c r="NRB86" s="1255"/>
      <c r="NRC86" s="1255"/>
      <c r="NRD86" s="1255"/>
      <c r="NRE86" s="1255"/>
      <c r="NRF86" s="1255"/>
      <c r="NRG86" s="1255"/>
      <c r="NRH86" s="1255"/>
      <c r="NRI86" s="1255"/>
      <c r="NRJ86" s="1255"/>
      <c r="NRK86" s="1255"/>
      <c r="NRL86" s="1255"/>
      <c r="NRM86" s="1255"/>
      <c r="NRN86" s="1255"/>
      <c r="NRO86" s="1255"/>
      <c r="NRP86" s="1255"/>
      <c r="NRQ86" s="1255"/>
      <c r="NRR86" s="1255"/>
      <c r="NRS86" s="1255"/>
      <c r="NRT86" s="1255"/>
      <c r="NRU86" s="1255"/>
      <c r="NRV86" s="1255"/>
      <c r="NRW86" s="1255"/>
      <c r="NRX86" s="1255"/>
      <c r="NRY86" s="1255"/>
      <c r="NRZ86" s="1255"/>
      <c r="NSA86" s="1255"/>
      <c r="NSB86" s="1255"/>
      <c r="NSC86" s="1255"/>
      <c r="NSD86" s="1255"/>
      <c r="NSE86" s="1255"/>
      <c r="NSF86" s="1255"/>
      <c r="NSG86" s="1255"/>
      <c r="NSH86" s="1255"/>
      <c r="NSI86" s="1255"/>
      <c r="NSJ86" s="1255"/>
      <c r="NSK86" s="1255"/>
      <c r="NSL86" s="1255"/>
      <c r="NSM86" s="1255"/>
      <c r="NSN86" s="1255"/>
      <c r="NSO86" s="1255"/>
      <c r="NSP86" s="1255"/>
      <c r="NSQ86" s="1255"/>
      <c r="NSR86" s="1255"/>
      <c r="NSS86" s="1255"/>
      <c r="NST86" s="1255"/>
      <c r="NSU86" s="1255"/>
      <c r="NSV86" s="1255"/>
      <c r="NSW86" s="1255"/>
      <c r="NSX86" s="1255"/>
      <c r="NSY86" s="1255"/>
      <c r="NSZ86" s="1255"/>
      <c r="NTA86" s="1255"/>
      <c r="NTB86" s="1255"/>
      <c r="NTC86" s="1255"/>
      <c r="NTD86" s="1255"/>
      <c r="NTE86" s="1255"/>
      <c r="NTF86" s="1255"/>
      <c r="NTG86" s="1255"/>
      <c r="NTH86" s="1255"/>
      <c r="NTI86" s="1255"/>
      <c r="NTJ86" s="1255"/>
      <c r="NTK86" s="1255"/>
      <c r="NTL86" s="1255"/>
      <c r="NTM86" s="1255"/>
      <c r="NTN86" s="1255"/>
      <c r="NTO86" s="1255"/>
      <c r="NTP86" s="1255"/>
      <c r="NTQ86" s="1255"/>
      <c r="NTR86" s="1255"/>
      <c r="NTS86" s="1255"/>
      <c r="NTT86" s="1255"/>
      <c r="NTU86" s="1255"/>
      <c r="NTV86" s="1255"/>
      <c r="NTW86" s="1255"/>
      <c r="NTX86" s="1255"/>
      <c r="NTY86" s="1255"/>
      <c r="NTZ86" s="1255"/>
      <c r="NUA86" s="1255"/>
      <c r="NUB86" s="1255"/>
      <c r="NUC86" s="1255"/>
      <c r="NUD86" s="1255"/>
      <c r="NUE86" s="1255"/>
      <c r="NUF86" s="1255"/>
      <c r="NUG86" s="1255"/>
      <c r="NUH86" s="1255"/>
      <c r="NUI86" s="1255"/>
      <c r="NUJ86" s="1255"/>
      <c r="NUK86" s="1255"/>
      <c r="NUL86" s="1255"/>
      <c r="NUM86" s="1255"/>
      <c r="NUN86" s="1255"/>
      <c r="NUO86" s="1255"/>
      <c r="NUP86" s="1255"/>
      <c r="NUQ86" s="1255"/>
      <c r="NUR86" s="1255"/>
      <c r="NUS86" s="1255"/>
      <c r="NUT86" s="1255"/>
      <c r="NUU86" s="1255"/>
      <c r="NUV86" s="1255"/>
      <c r="NUW86" s="1255"/>
      <c r="NUX86" s="1255"/>
      <c r="NUY86" s="1255"/>
      <c r="NUZ86" s="1255"/>
      <c r="NVA86" s="1255"/>
      <c r="NVB86" s="1255"/>
      <c r="NVC86" s="1255"/>
      <c r="NVD86" s="1255"/>
      <c r="NVE86" s="1255"/>
      <c r="NVF86" s="1255"/>
      <c r="NVG86" s="1255"/>
      <c r="NVH86" s="1255"/>
      <c r="NVI86" s="1255"/>
      <c r="NVJ86" s="1255"/>
      <c r="NVK86" s="1255"/>
      <c r="NVL86" s="1255"/>
      <c r="NVM86" s="1255"/>
      <c r="NVN86" s="1255"/>
      <c r="NVO86" s="1255"/>
      <c r="NVP86" s="1255"/>
      <c r="NVQ86" s="1255"/>
      <c r="NVR86" s="1255"/>
      <c r="NVS86" s="1255"/>
      <c r="NVT86" s="1255"/>
      <c r="NVU86" s="1255"/>
      <c r="NVV86" s="1255"/>
      <c r="NVW86" s="1255"/>
      <c r="NVX86" s="1255"/>
      <c r="NVY86" s="1255"/>
      <c r="NVZ86" s="1255"/>
      <c r="NWA86" s="1255"/>
      <c r="NWB86" s="1255"/>
      <c r="NWC86" s="1255"/>
      <c r="NWD86" s="1255"/>
      <c r="NWE86" s="1255"/>
      <c r="NWF86" s="1255"/>
      <c r="NWG86" s="1255"/>
      <c r="NWH86" s="1255"/>
      <c r="NWI86" s="1255"/>
      <c r="NWJ86" s="1255"/>
      <c r="NWK86" s="1255"/>
      <c r="NWL86" s="1255"/>
      <c r="NWM86" s="1255"/>
      <c r="NWN86" s="1255"/>
      <c r="NWO86" s="1255"/>
      <c r="NWP86" s="1255"/>
      <c r="NWQ86" s="1255"/>
      <c r="NWR86" s="1255"/>
      <c r="NWS86" s="1255"/>
      <c r="NWT86" s="1255"/>
      <c r="NWU86" s="1255"/>
      <c r="NWV86" s="1255"/>
      <c r="NWW86" s="1255"/>
      <c r="NWX86" s="1255"/>
      <c r="NWY86" s="1255"/>
      <c r="NWZ86" s="1255"/>
      <c r="NXA86" s="1255"/>
      <c r="NXB86" s="1255"/>
      <c r="NXC86" s="1255"/>
      <c r="NXD86" s="1255"/>
      <c r="NXE86" s="1255"/>
      <c r="NXF86" s="1255"/>
      <c r="NXG86" s="1255"/>
      <c r="NXH86" s="1255"/>
      <c r="NXI86" s="1255"/>
      <c r="NXJ86" s="1255"/>
      <c r="NXK86" s="1255"/>
      <c r="NXL86" s="1255"/>
      <c r="NXM86" s="1255"/>
      <c r="NXN86" s="1255"/>
      <c r="NXO86" s="1255"/>
      <c r="NXP86" s="1255"/>
      <c r="NXQ86" s="1255"/>
      <c r="NXR86" s="1255"/>
      <c r="NXS86" s="1255"/>
      <c r="NXT86" s="1255"/>
      <c r="NXU86" s="1255"/>
      <c r="NXV86" s="1255"/>
      <c r="NXW86" s="1255"/>
      <c r="NXX86" s="1255"/>
      <c r="NXY86" s="1255"/>
      <c r="NXZ86" s="1255"/>
      <c r="NYA86" s="1255"/>
      <c r="NYB86" s="1255"/>
      <c r="NYC86" s="1255"/>
      <c r="NYD86" s="1255"/>
      <c r="NYE86" s="1255"/>
      <c r="NYF86" s="1255"/>
      <c r="NYG86" s="1255"/>
      <c r="NYH86" s="1255"/>
      <c r="NYI86" s="1255"/>
      <c r="NYJ86" s="1255"/>
      <c r="NYK86" s="1255"/>
      <c r="NYL86" s="1255"/>
      <c r="NYM86" s="1255"/>
      <c r="NYN86" s="1255"/>
      <c r="NYO86" s="1255"/>
      <c r="NYP86" s="1255"/>
      <c r="NYQ86" s="1255"/>
      <c r="NYR86" s="1255"/>
      <c r="NYS86" s="1255"/>
      <c r="NYT86" s="1255"/>
      <c r="NYU86" s="1255"/>
      <c r="NYV86" s="1255"/>
      <c r="NYW86" s="1255"/>
      <c r="NYX86" s="1255"/>
      <c r="NYY86" s="1255"/>
      <c r="NYZ86" s="1255"/>
      <c r="NZA86" s="1255"/>
      <c r="NZB86" s="1255"/>
      <c r="NZC86" s="1255"/>
      <c r="NZD86" s="1255"/>
      <c r="NZE86" s="1255"/>
      <c r="NZF86" s="1255"/>
      <c r="NZG86" s="1255"/>
      <c r="NZH86" s="1255"/>
      <c r="NZI86" s="1255"/>
      <c r="NZJ86" s="1255"/>
      <c r="NZK86" s="1255"/>
      <c r="NZL86" s="1255"/>
      <c r="NZM86" s="1255"/>
      <c r="NZN86" s="1255"/>
      <c r="NZO86" s="1255"/>
      <c r="NZP86" s="1255"/>
      <c r="NZQ86" s="1255"/>
      <c r="NZR86" s="1255"/>
      <c r="NZS86" s="1255"/>
      <c r="NZT86" s="1255"/>
      <c r="NZU86" s="1255"/>
      <c r="NZV86" s="1255"/>
      <c r="NZW86" s="1255"/>
      <c r="NZX86" s="1255"/>
      <c r="NZY86" s="1255"/>
      <c r="NZZ86" s="1255"/>
      <c r="OAA86" s="1255"/>
      <c r="OAB86" s="1255"/>
      <c r="OAC86" s="1255"/>
      <c r="OAD86" s="1255"/>
      <c r="OAE86" s="1255"/>
      <c r="OAF86" s="1255"/>
      <c r="OAG86" s="1255"/>
      <c r="OAH86" s="1255"/>
      <c r="OAI86" s="1255"/>
      <c r="OAJ86" s="1255"/>
      <c r="OAK86" s="1255"/>
      <c r="OAL86" s="1255"/>
      <c r="OAM86" s="1255"/>
      <c r="OAN86" s="1255"/>
      <c r="OAO86" s="1255"/>
      <c r="OAP86" s="1255"/>
      <c r="OAQ86" s="1255"/>
      <c r="OAR86" s="1255"/>
      <c r="OAS86" s="1255"/>
      <c r="OAT86" s="1255"/>
      <c r="OAU86" s="1255"/>
      <c r="OAV86" s="1255"/>
      <c r="OAW86" s="1255"/>
      <c r="OAX86" s="1255"/>
      <c r="OAY86" s="1255"/>
      <c r="OAZ86" s="1255"/>
      <c r="OBA86" s="1255"/>
      <c r="OBB86" s="1255"/>
      <c r="OBC86" s="1255"/>
      <c r="OBD86" s="1255"/>
      <c r="OBE86" s="1255"/>
      <c r="OBF86" s="1255"/>
      <c r="OBG86" s="1255"/>
      <c r="OBH86" s="1255"/>
      <c r="OBI86" s="1255"/>
      <c r="OBJ86" s="1255"/>
      <c r="OBK86" s="1255"/>
      <c r="OBL86" s="1255"/>
      <c r="OBM86" s="1255"/>
      <c r="OBN86" s="1255"/>
      <c r="OBO86" s="1255"/>
      <c r="OBP86" s="1255"/>
      <c r="OBQ86" s="1255"/>
      <c r="OBR86" s="1255"/>
      <c r="OBS86" s="1255"/>
      <c r="OBT86" s="1255"/>
      <c r="OBU86" s="1255"/>
      <c r="OBV86" s="1255"/>
      <c r="OBW86" s="1255"/>
      <c r="OBX86" s="1255"/>
      <c r="OBY86" s="1255"/>
      <c r="OBZ86" s="1255"/>
      <c r="OCA86" s="1255"/>
      <c r="OCB86" s="1255"/>
      <c r="OCC86" s="1255"/>
      <c r="OCD86" s="1255"/>
      <c r="OCE86" s="1255"/>
      <c r="OCF86" s="1255"/>
      <c r="OCG86" s="1255"/>
      <c r="OCH86" s="1255"/>
      <c r="OCI86" s="1255"/>
      <c r="OCJ86" s="1255"/>
      <c r="OCK86" s="1255"/>
      <c r="OCL86" s="1255"/>
      <c r="OCM86" s="1255"/>
      <c r="OCN86" s="1255"/>
      <c r="OCO86" s="1255"/>
      <c r="OCP86" s="1255"/>
      <c r="OCQ86" s="1255"/>
      <c r="OCR86" s="1255"/>
      <c r="OCS86" s="1255"/>
      <c r="OCT86" s="1255"/>
      <c r="OCU86" s="1255"/>
      <c r="OCV86" s="1255"/>
      <c r="OCW86" s="1255"/>
      <c r="OCX86" s="1255"/>
      <c r="OCY86" s="1255"/>
      <c r="OCZ86" s="1255"/>
      <c r="ODA86" s="1255"/>
      <c r="ODB86" s="1255"/>
      <c r="ODC86" s="1255"/>
      <c r="ODD86" s="1255"/>
      <c r="ODE86" s="1255"/>
      <c r="ODF86" s="1255"/>
      <c r="ODG86" s="1255"/>
      <c r="ODH86" s="1255"/>
      <c r="ODI86" s="1255"/>
      <c r="ODJ86" s="1255"/>
      <c r="ODK86" s="1255"/>
      <c r="ODL86" s="1255"/>
      <c r="ODM86" s="1255"/>
      <c r="ODN86" s="1255"/>
      <c r="ODO86" s="1255"/>
      <c r="ODP86" s="1255"/>
      <c r="ODQ86" s="1255"/>
      <c r="ODR86" s="1255"/>
      <c r="ODS86" s="1255"/>
      <c r="ODT86" s="1255"/>
      <c r="ODU86" s="1255"/>
      <c r="ODV86" s="1255"/>
      <c r="ODW86" s="1255"/>
      <c r="ODX86" s="1255"/>
      <c r="ODY86" s="1255"/>
      <c r="ODZ86" s="1255"/>
      <c r="OEA86" s="1255"/>
      <c r="OEB86" s="1255"/>
      <c r="OEC86" s="1255"/>
      <c r="OED86" s="1255"/>
      <c r="OEE86" s="1255"/>
      <c r="OEF86" s="1255"/>
      <c r="OEG86" s="1255"/>
      <c r="OEH86" s="1255"/>
      <c r="OEI86" s="1255"/>
      <c r="OEJ86" s="1255"/>
      <c r="OEK86" s="1255"/>
      <c r="OEL86" s="1255"/>
      <c r="OEM86" s="1255"/>
      <c r="OEN86" s="1255"/>
      <c r="OEO86" s="1255"/>
      <c r="OEP86" s="1255"/>
      <c r="OEQ86" s="1255"/>
      <c r="OER86" s="1255"/>
      <c r="OES86" s="1255"/>
      <c r="OET86" s="1255"/>
      <c r="OEU86" s="1255"/>
      <c r="OEV86" s="1255"/>
      <c r="OEW86" s="1255"/>
      <c r="OEX86" s="1255"/>
      <c r="OEY86" s="1255"/>
      <c r="OEZ86" s="1255"/>
      <c r="OFA86" s="1255"/>
      <c r="OFB86" s="1255"/>
      <c r="OFC86" s="1255"/>
      <c r="OFD86" s="1255"/>
      <c r="OFE86" s="1255"/>
      <c r="OFF86" s="1255"/>
      <c r="OFG86" s="1255"/>
      <c r="OFH86" s="1255"/>
      <c r="OFI86" s="1255"/>
      <c r="OFJ86" s="1255"/>
      <c r="OFK86" s="1255"/>
      <c r="OFL86" s="1255"/>
      <c r="OFM86" s="1255"/>
      <c r="OFN86" s="1255"/>
      <c r="OFO86" s="1255"/>
      <c r="OFP86" s="1255"/>
      <c r="OFQ86" s="1255"/>
      <c r="OFR86" s="1255"/>
      <c r="OFS86" s="1255"/>
      <c r="OFT86" s="1255"/>
      <c r="OFU86" s="1255"/>
      <c r="OFV86" s="1255"/>
      <c r="OFW86" s="1255"/>
      <c r="OFX86" s="1255"/>
      <c r="OFY86" s="1255"/>
      <c r="OFZ86" s="1255"/>
      <c r="OGA86" s="1255"/>
      <c r="OGB86" s="1255"/>
      <c r="OGC86" s="1255"/>
      <c r="OGD86" s="1255"/>
      <c r="OGE86" s="1255"/>
      <c r="OGF86" s="1255"/>
      <c r="OGG86" s="1255"/>
      <c r="OGH86" s="1255"/>
      <c r="OGI86" s="1255"/>
      <c r="OGJ86" s="1255"/>
      <c r="OGK86" s="1255"/>
      <c r="OGL86" s="1255"/>
      <c r="OGM86" s="1255"/>
      <c r="OGN86" s="1255"/>
      <c r="OGO86" s="1255"/>
      <c r="OGP86" s="1255"/>
      <c r="OGQ86" s="1255"/>
      <c r="OGR86" s="1255"/>
      <c r="OGS86" s="1255"/>
      <c r="OGT86" s="1255"/>
      <c r="OGU86" s="1255"/>
      <c r="OGV86" s="1255"/>
      <c r="OGW86" s="1255"/>
      <c r="OGX86" s="1255"/>
      <c r="OGY86" s="1255"/>
      <c r="OGZ86" s="1255"/>
      <c r="OHA86" s="1255"/>
      <c r="OHB86" s="1255"/>
      <c r="OHC86" s="1255"/>
      <c r="OHD86" s="1255"/>
      <c r="OHE86" s="1255"/>
      <c r="OHF86" s="1255"/>
      <c r="OHG86" s="1255"/>
      <c r="OHH86" s="1255"/>
      <c r="OHI86" s="1255"/>
      <c r="OHJ86" s="1255"/>
      <c r="OHK86" s="1255"/>
      <c r="OHL86" s="1255"/>
      <c r="OHM86" s="1255"/>
      <c r="OHN86" s="1255"/>
      <c r="OHO86" s="1255"/>
      <c r="OHP86" s="1255"/>
      <c r="OHQ86" s="1255"/>
      <c r="OHR86" s="1255"/>
      <c r="OHS86" s="1255"/>
      <c r="OHT86" s="1255"/>
      <c r="OHU86" s="1255"/>
      <c r="OHV86" s="1255"/>
      <c r="OHW86" s="1255"/>
      <c r="OHX86" s="1255"/>
      <c r="OHY86" s="1255"/>
      <c r="OHZ86" s="1255"/>
      <c r="OIA86" s="1255"/>
      <c r="OIB86" s="1255"/>
      <c r="OIC86" s="1255"/>
      <c r="OID86" s="1255"/>
      <c r="OIE86" s="1255"/>
      <c r="OIF86" s="1255"/>
      <c r="OIG86" s="1255"/>
      <c r="OIH86" s="1255"/>
      <c r="OII86" s="1255"/>
      <c r="OIJ86" s="1255"/>
      <c r="OIK86" s="1255"/>
      <c r="OIL86" s="1255"/>
      <c r="OIM86" s="1255"/>
      <c r="OIN86" s="1255"/>
      <c r="OIO86" s="1255"/>
      <c r="OIP86" s="1255"/>
      <c r="OIQ86" s="1255"/>
      <c r="OIR86" s="1255"/>
      <c r="OIS86" s="1255"/>
      <c r="OIT86" s="1255"/>
      <c r="OIU86" s="1255"/>
      <c r="OIV86" s="1255"/>
      <c r="OIW86" s="1255"/>
      <c r="OIX86" s="1255"/>
      <c r="OIY86" s="1255"/>
      <c r="OIZ86" s="1255"/>
      <c r="OJA86" s="1255"/>
      <c r="OJB86" s="1255"/>
      <c r="OJC86" s="1255"/>
      <c r="OJD86" s="1255"/>
      <c r="OJE86" s="1255"/>
      <c r="OJF86" s="1255"/>
      <c r="OJG86" s="1255"/>
      <c r="OJH86" s="1255"/>
      <c r="OJI86" s="1255"/>
      <c r="OJJ86" s="1255"/>
      <c r="OJK86" s="1255"/>
      <c r="OJL86" s="1255"/>
      <c r="OJM86" s="1255"/>
      <c r="OJN86" s="1255"/>
      <c r="OJO86" s="1255"/>
      <c r="OJP86" s="1255"/>
      <c r="OJQ86" s="1255"/>
      <c r="OJR86" s="1255"/>
      <c r="OJS86" s="1255"/>
      <c r="OJT86" s="1255"/>
      <c r="OJU86" s="1255"/>
      <c r="OJV86" s="1255"/>
      <c r="OJW86" s="1255"/>
      <c r="OJX86" s="1255"/>
      <c r="OJY86" s="1255"/>
      <c r="OJZ86" s="1255"/>
      <c r="OKA86" s="1255"/>
      <c r="OKB86" s="1255"/>
      <c r="OKC86" s="1255"/>
      <c r="OKD86" s="1255"/>
      <c r="OKE86" s="1255"/>
      <c r="OKF86" s="1255"/>
      <c r="OKG86" s="1255"/>
      <c r="OKH86" s="1255"/>
      <c r="OKI86" s="1255"/>
      <c r="OKJ86" s="1255"/>
      <c r="OKK86" s="1255"/>
      <c r="OKL86" s="1255"/>
      <c r="OKM86" s="1255"/>
      <c r="OKN86" s="1255"/>
      <c r="OKO86" s="1255"/>
      <c r="OKP86" s="1255"/>
      <c r="OKQ86" s="1255"/>
      <c r="OKR86" s="1255"/>
      <c r="OKS86" s="1255"/>
      <c r="OKT86" s="1255"/>
      <c r="OKU86" s="1255"/>
      <c r="OKV86" s="1255"/>
      <c r="OKW86" s="1255"/>
      <c r="OKX86" s="1255"/>
      <c r="OKY86" s="1255"/>
      <c r="OKZ86" s="1255"/>
      <c r="OLA86" s="1255"/>
      <c r="OLB86" s="1255"/>
      <c r="OLC86" s="1255"/>
      <c r="OLD86" s="1255"/>
      <c r="OLE86" s="1255"/>
      <c r="OLF86" s="1255"/>
      <c r="OLG86" s="1255"/>
      <c r="OLH86" s="1255"/>
      <c r="OLI86" s="1255"/>
      <c r="OLJ86" s="1255"/>
      <c r="OLK86" s="1255"/>
      <c r="OLL86" s="1255"/>
      <c r="OLM86" s="1255"/>
      <c r="OLN86" s="1255"/>
      <c r="OLO86" s="1255"/>
      <c r="OLP86" s="1255"/>
      <c r="OLQ86" s="1255"/>
      <c r="OLR86" s="1255"/>
      <c r="OLS86" s="1255"/>
      <c r="OLT86" s="1255"/>
      <c r="OLU86" s="1255"/>
      <c r="OLV86" s="1255"/>
      <c r="OLW86" s="1255"/>
      <c r="OLX86" s="1255"/>
      <c r="OLY86" s="1255"/>
      <c r="OLZ86" s="1255"/>
      <c r="OMA86" s="1255"/>
      <c r="OMB86" s="1255"/>
      <c r="OMC86" s="1255"/>
      <c r="OMD86" s="1255"/>
      <c r="OME86" s="1255"/>
      <c r="OMF86" s="1255"/>
      <c r="OMG86" s="1255"/>
      <c r="OMH86" s="1255"/>
      <c r="OMI86" s="1255"/>
      <c r="OMJ86" s="1255"/>
      <c r="OMK86" s="1255"/>
      <c r="OML86" s="1255"/>
      <c r="OMM86" s="1255"/>
      <c r="OMN86" s="1255"/>
      <c r="OMO86" s="1255"/>
      <c r="OMP86" s="1255"/>
      <c r="OMQ86" s="1255"/>
      <c r="OMR86" s="1255"/>
      <c r="OMS86" s="1255"/>
      <c r="OMT86" s="1255"/>
      <c r="OMU86" s="1255"/>
      <c r="OMV86" s="1255"/>
      <c r="OMW86" s="1255"/>
      <c r="OMX86" s="1255"/>
      <c r="OMY86" s="1255"/>
      <c r="OMZ86" s="1255"/>
      <c r="ONA86" s="1255"/>
      <c r="ONB86" s="1255"/>
      <c r="ONC86" s="1255"/>
      <c r="OND86" s="1255"/>
      <c r="ONE86" s="1255"/>
      <c r="ONF86" s="1255"/>
      <c r="ONG86" s="1255"/>
      <c r="ONH86" s="1255"/>
      <c r="ONI86" s="1255"/>
      <c r="ONJ86" s="1255"/>
      <c r="ONK86" s="1255"/>
      <c r="ONL86" s="1255"/>
      <c r="ONM86" s="1255"/>
      <c r="ONN86" s="1255"/>
      <c r="ONO86" s="1255"/>
      <c r="ONP86" s="1255"/>
      <c r="ONQ86" s="1255"/>
      <c r="ONR86" s="1255"/>
      <c r="ONS86" s="1255"/>
      <c r="ONT86" s="1255"/>
      <c r="ONU86" s="1255"/>
      <c r="ONV86" s="1255"/>
      <c r="ONW86" s="1255"/>
      <c r="ONX86" s="1255"/>
      <c r="ONY86" s="1255"/>
      <c r="ONZ86" s="1255"/>
      <c r="OOA86" s="1255"/>
      <c r="OOB86" s="1255"/>
      <c r="OOC86" s="1255"/>
      <c r="OOD86" s="1255"/>
      <c r="OOE86" s="1255"/>
      <c r="OOF86" s="1255"/>
      <c r="OOG86" s="1255"/>
      <c r="OOH86" s="1255"/>
      <c r="OOI86" s="1255"/>
      <c r="OOJ86" s="1255"/>
      <c r="OOK86" s="1255"/>
      <c r="OOL86" s="1255"/>
      <c r="OOM86" s="1255"/>
      <c r="OON86" s="1255"/>
      <c r="OOO86" s="1255"/>
      <c r="OOP86" s="1255"/>
      <c r="OOQ86" s="1255"/>
      <c r="OOR86" s="1255"/>
      <c r="OOS86" s="1255"/>
      <c r="OOT86" s="1255"/>
      <c r="OOU86" s="1255"/>
      <c r="OOV86" s="1255"/>
      <c r="OOW86" s="1255"/>
      <c r="OOX86" s="1255"/>
      <c r="OOY86" s="1255"/>
      <c r="OOZ86" s="1255"/>
      <c r="OPA86" s="1255"/>
      <c r="OPB86" s="1255"/>
      <c r="OPC86" s="1255"/>
      <c r="OPD86" s="1255"/>
      <c r="OPE86" s="1255"/>
      <c r="OPF86" s="1255"/>
      <c r="OPG86" s="1255"/>
      <c r="OPH86" s="1255"/>
      <c r="OPI86" s="1255"/>
      <c r="OPJ86" s="1255"/>
      <c r="OPK86" s="1255"/>
      <c r="OPL86" s="1255"/>
      <c r="OPM86" s="1255"/>
      <c r="OPN86" s="1255"/>
      <c r="OPO86" s="1255"/>
      <c r="OPP86" s="1255"/>
      <c r="OPQ86" s="1255"/>
      <c r="OPR86" s="1255"/>
      <c r="OPS86" s="1255"/>
      <c r="OPT86" s="1255"/>
      <c r="OPU86" s="1255"/>
      <c r="OPV86" s="1255"/>
      <c r="OPW86" s="1255"/>
      <c r="OPX86" s="1255"/>
      <c r="OPY86" s="1255"/>
      <c r="OPZ86" s="1255"/>
      <c r="OQA86" s="1255"/>
      <c r="OQB86" s="1255"/>
      <c r="OQC86" s="1255"/>
      <c r="OQD86" s="1255"/>
      <c r="OQE86" s="1255"/>
      <c r="OQF86" s="1255"/>
      <c r="OQG86" s="1255"/>
      <c r="OQH86" s="1255"/>
      <c r="OQI86" s="1255"/>
      <c r="OQJ86" s="1255"/>
      <c r="OQK86" s="1255"/>
      <c r="OQL86" s="1255"/>
      <c r="OQM86" s="1255"/>
      <c r="OQN86" s="1255"/>
      <c r="OQO86" s="1255"/>
      <c r="OQP86" s="1255"/>
      <c r="OQQ86" s="1255"/>
      <c r="OQR86" s="1255"/>
      <c r="OQS86" s="1255"/>
      <c r="OQT86" s="1255"/>
      <c r="OQU86" s="1255"/>
      <c r="OQV86" s="1255"/>
      <c r="OQW86" s="1255"/>
      <c r="OQX86" s="1255"/>
      <c r="OQY86" s="1255"/>
      <c r="OQZ86" s="1255"/>
      <c r="ORA86" s="1255"/>
      <c r="ORB86" s="1255"/>
      <c r="ORC86" s="1255"/>
      <c r="ORD86" s="1255"/>
      <c r="ORE86" s="1255"/>
      <c r="ORF86" s="1255"/>
      <c r="ORG86" s="1255"/>
      <c r="ORH86" s="1255"/>
      <c r="ORI86" s="1255"/>
      <c r="ORJ86" s="1255"/>
      <c r="ORK86" s="1255"/>
      <c r="ORL86" s="1255"/>
      <c r="ORM86" s="1255"/>
      <c r="ORN86" s="1255"/>
      <c r="ORO86" s="1255"/>
      <c r="ORP86" s="1255"/>
      <c r="ORQ86" s="1255"/>
      <c r="ORR86" s="1255"/>
      <c r="ORS86" s="1255"/>
      <c r="ORT86" s="1255"/>
      <c r="ORU86" s="1255"/>
      <c r="ORV86" s="1255"/>
      <c r="ORW86" s="1255"/>
      <c r="ORX86" s="1255"/>
      <c r="ORY86" s="1255"/>
      <c r="ORZ86" s="1255"/>
      <c r="OSA86" s="1255"/>
      <c r="OSB86" s="1255"/>
      <c r="OSC86" s="1255"/>
      <c r="OSD86" s="1255"/>
      <c r="OSE86" s="1255"/>
      <c r="OSF86" s="1255"/>
      <c r="OSG86" s="1255"/>
      <c r="OSH86" s="1255"/>
      <c r="OSI86" s="1255"/>
      <c r="OSJ86" s="1255"/>
      <c r="OSK86" s="1255"/>
      <c r="OSL86" s="1255"/>
      <c r="OSM86" s="1255"/>
      <c r="OSN86" s="1255"/>
      <c r="OSO86" s="1255"/>
      <c r="OSP86" s="1255"/>
      <c r="OSQ86" s="1255"/>
      <c r="OSR86" s="1255"/>
      <c r="OSS86" s="1255"/>
      <c r="OST86" s="1255"/>
      <c r="OSU86" s="1255"/>
      <c r="OSV86" s="1255"/>
      <c r="OSW86" s="1255"/>
      <c r="OSX86" s="1255"/>
      <c r="OSY86" s="1255"/>
      <c r="OSZ86" s="1255"/>
      <c r="OTA86" s="1255"/>
      <c r="OTB86" s="1255"/>
      <c r="OTC86" s="1255"/>
      <c r="OTD86" s="1255"/>
      <c r="OTE86" s="1255"/>
      <c r="OTF86" s="1255"/>
      <c r="OTG86" s="1255"/>
      <c r="OTH86" s="1255"/>
      <c r="OTI86" s="1255"/>
      <c r="OTJ86" s="1255"/>
      <c r="OTK86" s="1255"/>
      <c r="OTL86" s="1255"/>
      <c r="OTM86" s="1255"/>
      <c r="OTN86" s="1255"/>
      <c r="OTO86" s="1255"/>
      <c r="OTP86" s="1255"/>
      <c r="OTQ86" s="1255"/>
      <c r="OTR86" s="1255"/>
      <c r="OTS86" s="1255"/>
      <c r="OTT86" s="1255"/>
      <c r="OTU86" s="1255"/>
      <c r="OTV86" s="1255"/>
      <c r="OTW86" s="1255"/>
      <c r="OTX86" s="1255"/>
      <c r="OTY86" s="1255"/>
      <c r="OTZ86" s="1255"/>
      <c r="OUA86" s="1255"/>
      <c r="OUB86" s="1255"/>
      <c r="OUC86" s="1255"/>
      <c r="OUD86" s="1255"/>
      <c r="OUE86" s="1255"/>
      <c r="OUF86" s="1255"/>
      <c r="OUG86" s="1255"/>
      <c r="OUH86" s="1255"/>
      <c r="OUI86" s="1255"/>
      <c r="OUJ86" s="1255"/>
      <c r="OUK86" s="1255"/>
      <c r="OUL86" s="1255"/>
      <c r="OUM86" s="1255"/>
      <c r="OUN86" s="1255"/>
      <c r="OUO86" s="1255"/>
      <c r="OUP86" s="1255"/>
      <c r="OUQ86" s="1255"/>
      <c r="OUR86" s="1255"/>
      <c r="OUS86" s="1255"/>
      <c r="OUT86" s="1255"/>
      <c r="OUU86" s="1255"/>
      <c r="OUV86" s="1255"/>
      <c r="OUW86" s="1255"/>
      <c r="OUX86" s="1255"/>
      <c r="OUY86" s="1255"/>
      <c r="OUZ86" s="1255"/>
      <c r="OVA86" s="1255"/>
      <c r="OVB86" s="1255"/>
      <c r="OVC86" s="1255"/>
      <c r="OVD86" s="1255"/>
      <c r="OVE86" s="1255"/>
      <c r="OVF86" s="1255"/>
      <c r="OVG86" s="1255"/>
      <c r="OVH86" s="1255"/>
      <c r="OVI86" s="1255"/>
      <c r="OVJ86" s="1255"/>
      <c r="OVK86" s="1255"/>
      <c r="OVL86" s="1255"/>
      <c r="OVM86" s="1255"/>
      <c r="OVN86" s="1255"/>
      <c r="OVO86" s="1255"/>
      <c r="OVP86" s="1255"/>
      <c r="OVQ86" s="1255"/>
      <c r="OVR86" s="1255"/>
      <c r="OVS86" s="1255"/>
      <c r="OVT86" s="1255"/>
      <c r="OVU86" s="1255"/>
      <c r="OVV86" s="1255"/>
      <c r="OVW86" s="1255"/>
      <c r="OVX86" s="1255"/>
      <c r="OVY86" s="1255"/>
      <c r="OVZ86" s="1255"/>
      <c r="OWA86" s="1255"/>
      <c r="OWB86" s="1255"/>
      <c r="OWC86" s="1255"/>
      <c r="OWD86" s="1255"/>
      <c r="OWE86" s="1255"/>
      <c r="OWF86" s="1255"/>
      <c r="OWG86" s="1255"/>
      <c r="OWH86" s="1255"/>
      <c r="OWI86" s="1255"/>
      <c r="OWJ86" s="1255"/>
      <c r="OWK86" s="1255"/>
      <c r="OWL86" s="1255"/>
      <c r="OWM86" s="1255"/>
      <c r="OWN86" s="1255"/>
      <c r="OWO86" s="1255"/>
      <c r="OWP86" s="1255"/>
      <c r="OWQ86" s="1255"/>
      <c r="OWR86" s="1255"/>
      <c r="OWS86" s="1255"/>
      <c r="OWT86" s="1255"/>
      <c r="OWU86" s="1255"/>
      <c r="OWV86" s="1255"/>
      <c r="OWW86" s="1255"/>
      <c r="OWX86" s="1255"/>
      <c r="OWY86" s="1255"/>
      <c r="OWZ86" s="1255"/>
      <c r="OXA86" s="1255"/>
      <c r="OXB86" s="1255"/>
      <c r="OXC86" s="1255"/>
      <c r="OXD86" s="1255"/>
      <c r="OXE86" s="1255"/>
      <c r="OXF86" s="1255"/>
      <c r="OXG86" s="1255"/>
      <c r="OXH86" s="1255"/>
      <c r="OXI86" s="1255"/>
      <c r="OXJ86" s="1255"/>
      <c r="OXK86" s="1255"/>
      <c r="OXL86" s="1255"/>
      <c r="OXM86" s="1255"/>
      <c r="OXN86" s="1255"/>
      <c r="OXO86" s="1255"/>
      <c r="OXP86" s="1255"/>
      <c r="OXQ86" s="1255"/>
      <c r="OXR86" s="1255"/>
      <c r="OXS86" s="1255"/>
      <c r="OXT86" s="1255"/>
      <c r="OXU86" s="1255"/>
      <c r="OXV86" s="1255"/>
      <c r="OXW86" s="1255"/>
      <c r="OXX86" s="1255"/>
      <c r="OXY86" s="1255"/>
      <c r="OXZ86" s="1255"/>
      <c r="OYA86" s="1255"/>
      <c r="OYB86" s="1255"/>
      <c r="OYC86" s="1255"/>
      <c r="OYD86" s="1255"/>
      <c r="OYE86" s="1255"/>
      <c r="OYF86" s="1255"/>
      <c r="OYG86" s="1255"/>
      <c r="OYH86" s="1255"/>
      <c r="OYI86" s="1255"/>
      <c r="OYJ86" s="1255"/>
      <c r="OYK86" s="1255"/>
      <c r="OYL86" s="1255"/>
      <c r="OYM86" s="1255"/>
      <c r="OYN86" s="1255"/>
      <c r="OYO86" s="1255"/>
      <c r="OYP86" s="1255"/>
      <c r="OYQ86" s="1255"/>
      <c r="OYR86" s="1255"/>
      <c r="OYS86" s="1255"/>
      <c r="OYT86" s="1255"/>
      <c r="OYU86" s="1255"/>
      <c r="OYV86" s="1255"/>
      <c r="OYW86" s="1255"/>
      <c r="OYX86" s="1255"/>
      <c r="OYY86" s="1255"/>
      <c r="OYZ86" s="1255"/>
      <c r="OZA86" s="1255"/>
      <c r="OZB86" s="1255"/>
      <c r="OZC86" s="1255"/>
      <c r="OZD86" s="1255"/>
      <c r="OZE86" s="1255"/>
      <c r="OZF86" s="1255"/>
      <c r="OZG86" s="1255"/>
      <c r="OZH86" s="1255"/>
      <c r="OZI86" s="1255"/>
      <c r="OZJ86" s="1255"/>
      <c r="OZK86" s="1255"/>
      <c r="OZL86" s="1255"/>
      <c r="OZM86" s="1255"/>
      <c r="OZN86" s="1255"/>
      <c r="OZO86" s="1255"/>
      <c r="OZP86" s="1255"/>
      <c r="OZQ86" s="1255"/>
      <c r="OZR86" s="1255"/>
      <c r="OZS86" s="1255"/>
      <c r="OZT86" s="1255"/>
      <c r="OZU86" s="1255"/>
      <c r="OZV86" s="1255"/>
      <c r="OZW86" s="1255"/>
      <c r="OZX86" s="1255"/>
      <c r="OZY86" s="1255"/>
      <c r="OZZ86" s="1255"/>
      <c r="PAA86" s="1255"/>
      <c r="PAB86" s="1255"/>
      <c r="PAC86" s="1255"/>
      <c r="PAD86" s="1255"/>
      <c r="PAE86" s="1255"/>
      <c r="PAF86" s="1255"/>
      <c r="PAG86" s="1255"/>
      <c r="PAH86" s="1255"/>
      <c r="PAI86" s="1255"/>
      <c r="PAJ86" s="1255"/>
      <c r="PAK86" s="1255"/>
      <c r="PAL86" s="1255"/>
      <c r="PAM86" s="1255"/>
      <c r="PAN86" s="1255"/>
      <c r="PAO86" s="1255"/>
      <c r="PAP86" s="1255"/>
      <c r="PAQ86" s="1255"/>
      <c r="PAR86" s="1255"/>
      <c r="PAS86" s="1255"/>
      <c r="PAT86" s="1255"/>
      <c r="PAU86" s="1255"/>
      <c r="PAV86" s="1255"/>
      <c r="PAW86" s="1255"/>
      <c r="PAX86" s="1255"/>
      <c r="PAY86" s="1255"/>
      <c r="PAZ86" s="1255"/>
      <c r="PBA86" s="1255"/>
      <c r="PBB86" s="1255"/>
      <c r="PBC86" s="1255"/>
      <c r="PBD86" s="1255"/>
      <c r="PBE86" s="1255"/>
      <c r="PBF86" s="1255"/>
      <c r="PBG86" s="1255"/>
      <c r="PBH86" s="1255"/>
      <c r="PBI86" s="1255"/>
      <c r="PBJ86" s="1255"/>
      <c r="PBK86" s="1255"/>
      <c r="PBL86" s="1255"/>
      <c r="PBM86" s="1255"/>
      <c r="PBN86" s="1255"/>
      <c r="PBO86" s="1255"/>
      <c r="PBP86" s="1255"/>
      <c r="PBQ86" s="1255"/>
      <c r="PBR86" s="1255"/>
      <c r="PBS86" s="1255"/>
      <c r="PBT86" s="1255"/>
      <c r="PBU86" s="1255"/>
      <c r="PBV86" s="1255"/>
      <c r="PBW86" s="1255"/>
      <c r="PBX86" s="1255"/>
      <c r="PBY86" s="1255"/>
      <c r="PBZ86" s="1255"/>
      <c r="PCA86" s="1255"/>
      <c r="PCB86" s="1255"/>
      <c r="PCC86" s="1255"/>
      <c r="PCD86" s="1255"/>
      <c r="PCE86" s="1255"/>
      <c r="PCF86" s="1255"/>
      <c r="PCG86" s="1255"/>
      <c r="PCH86" s="1255"/>
      <c r="PCI86" s="1255"/>
      <c r="PCJ86" s="1255"/>
      <c r="PCK86" s="1255"/>
      <c r="PCL86" s="1255"/>
      <c r="PCM86" s="1255"/>
      <c r="PCN86" s="1255"/>
      <c r="PCO86" s="1255"/>
      <c r="PCP86" s="1255"/>
      <c r="PCQ86" s="1255"/>
      <c r="PCR86" s="1255"/>
      <c r="PCS86" s="1255"/>
      <c r="PCT86" s="1255"/>
      <c r="PCU86" s="1255"/>
      <c r="PCV86" s="1255"/>
      <c r="PCW86" s="1255"/>
      <c r="PCX86" s="1255"/>
      <c r="PCY86" s="1255"/>
      <c r="PCZ86" s="1255"/>
      <c r="PDA86" s="1255"/>
      <c r="PDB86" s="1255"/>
      <c r="PDC86" s="1255"/>
      <c r="PDD86" s="1255"/>
      <c r="PDE86" s="1255"/>
      <c r="PDF86" s="1255"/>
      <c r="PDG86" s="1255"/>
      <c r="PDH86" s="1255"/>
      <c r="PDI86" s="1255"/>
      <c r="PDJ86" s="1255"/>
      <c r="PDK86" s="1255"/>
      <c r="PDL86" s="1255"/>
      <c r="PDM86" s="1255"/>
      <c r="PDN86" s="1255"/>
      <c r="PDO86" s="1255"/>
      <c r="PDP86" s="1255"/>
      <c r="PDQ86" s="1255"/>
      <c r="PDR86" s="1255"/>
      <c r="PDS86" s="1255"/>
      <c r="PDT86" s="1255"/>
      <c r="PDU86" s="1255"/>
      <c r="PDV86" s="1255"/>
      <c r="PDW86" s="1255"/>
      <c r="PDX86" s="1255"/>
      <c r="PDY86" s="1255"/>
      <c r="PDZ86" s="1255"/>
      <c r="PEA86" s="1255"/>
      <c r="PEB86" s="1255"/>
      <c r="PEC86" s="1255"/>
      <c r="PED86" s="1255"/>
      <c r="PEE86" s="1255"/>
      <c r="PEF86" s="1255"/>
      <c r="PEG86" s="1255"/>
      <c r="PEH86" s="1255"/>
      <c r="PEI86" s="1255"/>
      <c r="PEJ86" s="1255"/>
      <c r="PEK86" s="1255"/>
      <c r="PEL86" s="1255"/>
      <c r="PEM86" s="1255"/>
      <c r="PEN86" s="1255"/>
      <c r="PEO86" s="1255"/>
      <c r="PEP86" s="1255"/>
      <c r="PEQ86" s="1255"/>
      <c r="PER86" s="1255"/>
      <c r="PES86" s="1255"/>
      <c r="PET86" s="1255"/>
      <c r="PEU86" s="1255"/>
      <c r="PEV86" s="1255"/>
      <c r="PEW86" s="1255"/>
      <c r="PEX86" s="1255"/>
      <c r="PEY86" s="1255"/>
      <c r="PEZ86" s="1255"/>
      <c r="PFA86" s="1255"/>
      <c r="PFB86" s="1255"/>
      <c r="PFC86" s="1255"/>
      <c r="PFD86" s="1255"/>
      <c r="PFE86" s="1255"/>
      <c r="PFF86" s="1255"/>
      <c r="PFG86" s="1255"/>
      <c r="PFH86" s="1255"/>
      <c r="PFI86" s="1255"/>
      <c r="PFJ86" s="1255"/>
      <c r="PFK86" s="1255"/>
      <c r="PFL86" s="1255"/>
      <c r="PFM86" s="1255"/>
      <c r="PFN86" s="1255"/>
      <c r="PFO86" s="1255"/>
      <c r="PFP86" s="1255"/>
      <c r="PFQ86" s="1255"/>
      <c r="PFR86" s="1255"/>
      <c r="PFS86" s="1255"/>
      <c r="PFT86" s="1255"/>
      <c r="PFU86" s="1255"/>
      <c r="PFV86" s="1255"/>
      <c r="PFW86" s="1255"/>
      <c r="PFX86" s="1255"/>
      <c r="PFY86" s="1255"/>
      <c r="PFZ86" s="1255"/>
      <c r="PGA86" s="1255"/>
      <c r="PGB86" s="1255"/>
      <c r="PGC86" s="1255"/>
      <c r="PGD86" s="1255"/>
      <c r="PGE86" s="1255"/>
      <c r="PGF86" s="1255"/>
      <c r="PGG86" s="1255"/>
      <c r="PGH86" s="1255"/>
      <c r="PGI86" s="1255"/>
      <c r="PGJ86" s="1255"/>
      <c r="PGK86" s="1255"/>
      <c r="PGL86" s="1255"/>
      <c r="PGM86" s="1255"/>
      <c r="PGN86" s="1255"/>
      <c r="PGO86" s="1255"/>
      <c r="PGP86" s="1255"/>
      <c r="PGQ86" s="1255"/>
      <c r="PGR86" s="1255"/>
      <c r="PGS86" s="1255"/>
      <c r="PGT86" s="1255"/>
      <c r="PGU86" s="1255"/>
      <c r="PGV86" s="1255"/>
      <c r="PGW86" s="1255"/>
      <c r="PGX86" s="1255"/>
      <c r="PGY86" s="1255"/>
      <c r="PGZ86" s="1255"/>
      <c r="PHA86" s="1255"/>
      <c r="PHB86" s="1255"/>
      <c r="PHC86" s="1255"/>
      <c r="PHD86" s="1255"/>
      <c r="PHE86" s="1255"/>
      <c r="PHF86" s="1255"/>
      <c r="PHG86" s="1255"/>
      <c r="PHH86" s="1255"/>
      <c r="PHI86" s="1255"/>
      <c r="PHJ86" s="1255"/>
      <c r="PHK86" s="1255"/>
      <c r="PHL86" s="1255"/>
      <c r="PHM86" s="1255"/>
      <c r="PHN86" s="1255"/>
      <c r="PHO86" s="1255"/>
      <c r="PHP86" s="1255"/>
      <c r="PHQ86" s="1255"/>
      <c r="PHR86" s="1255"/>
      <c r="PHS86" s="1255"/>
      <c r="PHT86" s="1255"/>
      <c r="PHU86" s="1255"/>
      <c r="PHV86" s="1255"/>
      <c r="PHW86" s="1255"/>
      <c r="PHX86" s="1255"/>
      <c r="PHY86" s="1255"/>
      <c r="PHZ86" s="1255"/>
      <c r="PIA86" s="1255"/>
      <c r="PIB86" s="1255"/>
      <c r="PIC86" s="1255"/>
      <c r="PID86" s="1255"/>
      <c r="PIE86" s="1255"/>
      <c r="PIF86" s="1255"/>
      <c r="PIG86" s="1255"/>
      <c r="PIH86" s="1255"/>
      <c r="PII86" s="1255"/>
      <c r="PIJ86" s="1255"/>
      <c r="PIK86" s="1255"/>
      <c r="PIL86" s="1255"/>
      <c r="PIM86" s="1255"/>
      <c r="PIN86" s="1255"/>
      <c r="PIO86" s="1255"/>
      <c r="PIP86" s="1255"/>
      <c r="PIQ86" s="1255"/>
      <c r="PIR86" s="1255"/>
      <c r="PIS86" s="1255"/>
      <c r="PIT86" s="1255"/>
      <c r="PIU86" s="1255"/>
      <c r="PIV86" s="1255"/>
      <c r="PIW86" s="1255"/>
      <c r="PIX86" s="1255"/>
      <c r="PIY86" s="1255"/>
      <c r="PIZ86" s="1255"/>
      <c r="PJA86" s="1255"/>
      <c r="PJB86" s="1255"/>
      <c r="PJC86" s="1255"/>
      <c r="PJD86" s="1255"/>
      <c r="PJE86" s="1255"/>
      <c r="PJF86" s="1255"/>
      <c r="PJG86" s="1255"/>
      <c r="PJH86" s="1255"/>
      <c r="PJI86" s="1255"/>
      <c r="PJJ86" s="1255"/>
      <c r="PJK86" s="1255"/>
      <c r="PJL86" s="1255"/>
      <c r="PJM86" s="1255"/>
      <c r="PJN86" s="1255"/>
      <c r="PJO86" s="1255"/>
      <c r="PJP86" s="1255"/>
      <c r="PJQ86" s="1255"/>
      <c r="PJR86" s="1255"/>
      <c r="PJS86" s="1255"/>
      <c r="PJT86" s="1255"/>
      <c r="PJU86" s="1255"/>
      <c r="PJV86" s="1255"/>
      <c r="PJW86" s="1255"/>
      <c r="PJX86" s="1255"/>
      <c r="PJY86" s="1255"/>
      <c r="PJZ86" s="1255"/>
      <c r="PKA86" s="1255"/>
      <c r="PKB86" s="1255"/>
      <c r="PKC86" s="1255"/>
      <c r="PKD86" s="1255"/>
      <c r="PKE86" s="1255"/>
      <c r="PKF86" s="1255"/>
      <c r="PKG86" s="1255"/>
      <c r="PKH86" s="1255"/>
      <c r="PKI86" s="1255"/>
      <c r="PKJ86" s="1255"/>
      <c r="PKK86" s="1255"/>
      <c r="PKL86" s="1255"/>
      <c r="PKM86" s="1255"/>
      <c r="PKN86" s="1255"/>
      <c r="PKO86" s="1255"/>
      <c r="PKP86" s="1255"/>
      <c r="PKQ86" s="1255"/>
      <c r="PKR86" s="1255"/>
      <c r="PKS86" s="1255"/>
      <c r="PKT86" s="1255"/>
      <c r="PKU86" s="1255"/>
      <c r="PKV86" s="1255"/>
      <c r="PKW86" s="1255"/>
      <c r="PKX86" s="1255"/>
      <c r="PKY86" s="1255"/>
      <c r="PKZ86" s="1255"/>
      <c r="PLA86" s="1255"/>
      <c r="PLB86" s="1255"/>
      <c r="PLC86" s="1255"/>
      <c r="PLD86" s="1255"/>
      <c r="PLE86" s="1255"/>
      <c r="PLF86" s="1255"/>
      <c r="PLG86" s="1255"/>
      <c r="PLH86" s="1255"/>
      <c r="PLI86" s="1255"/>
      <c r="PLJ86" s="1255"/>
      <c r="PLK86" s="1255"/>
      <c r="PLL86" s="1255"/>
      <c r="PLM86" s="1255"/>
      <c r="PLN86" s="1255"/>
      <c r="PLO86" s="1255"/>
      <c r="PLP86" s="1255"/>
      <c r="PLQ86" s="1255"/>
      <c r="PLR86" s="1255"/>
      <c r="PLS86" s="1255"/>
      <c r="PLT86" s="1255"/>
      <c r="PLU86" s="1255"/>
      <c r="PLV86" s="1255"/>
      <c r="PLW86" s="1255"/>
      <c r="PLX86" s="1255"/>
      <c r="PLY86" s="1255"/>
      <c r="PLZ86" s="1255"/>
      <c r="PMA86" s="1255"/>
      <c r="PMB86" s="1255"/>
      <c r="PMC86" s="1255"/>
      <c r="PMD86" s="1255"/>
      <c r="PME86" s="1255"/>
      <c r="PMF86" s="1255"/>
      <c r="PMG86" s="1255"/>
      <c r="PMH86" s="1255"/>
      <c r="PMI86" s="1255"/>
      <c r="PMJ86" s="1255"/>
      <c r="PMK86" s="1255"/>
      <c r="PML86" s="1255"/>
      <c r="PMM86" s="1255"/>
      <c r="PMN86" s="1255"/>
      <c r="PMO86" s="1255"/>
      <c r="PMP86" s="1255"/>
      <c r="PMQ86" s="1255"/>
      <c r="PMR86" s="1255"/>
      <c r="PMS86" s="1255"/>
      <c r="PMT86" s="1255"/>
      <c r="PMU86" s="1255"/>
      <c r="PMV86" s="1255"/>
      <c r="PMW86" s="1255"/>
      <c r="PMX86" s="1255"/>
      <c r="PMY86" s="1255"/>
      <c r="PMZ86" s="1255"/>
      <c r="PNA86" s="1255"/>
      <c r="PNB86" s="1255"/>
      <c r="PNC86" s="1255"/>
      <c r="PND86" s="1255"/>
      <c r="PNE86" s="1255"/>
      <c r="PNF86" s="1255"/>
      <c r="PNG86" s="1255"/>
      <c r="PNH86" s="1255"/>
      <c r="PNI86" s="1255"/>
      <c r="PNJ86" s="1255"/>
      <c r="PNK86" s="1255"/>
      <c r="PNL86" s="1255"/>
      <c r="PNM86" s="1255"/>
      <c r="PNN86" s="1255"/>
      <c r="PNO86" s="1255"/>
      <c r="PNP86" s="1255"/>
      <c r="PNQ86" s="1255"/>
      <c r="PNR86" s="1255"/>
      <c r="PNS86" s="1255"/>
      <c r="PNT86" s="1255"/>
      <c r="PNU86" s="1255"/>
      <c r="PNV86" s="1255"/>
      <c r="PNW86" s="1255"/>
      <c r="PNX86" s="1255"/>
      <c r="PNY86" s="1255"/>
      <c r="PNZ86" s="1255"/>
      <c r="POA86" s="1255"/>
      <c r="POB86" s="1255"/>
      <c r="POC86" s="1255"/>
      <c r="POD86" s="1255"/>
      <c r="POE86" s="1255"/>
      <c r="POF86" s="1255"/>
      <c r="POG86" s="1255"/>
      <c r="POH86" s="1255"/>
      <c r="POI86" s="1255"/>
      <c r="POJ86" s="1255"/>
      <c r="POK86" s="1255"/>
      <c r="POL86" s="1255"/>
      <c r="POM86" s="1255"/>
      <c r="PON86" s="1255"/>
      <c r="POO86" s="1255"/>
      <c r="POP86" s="1255"/>
      <c r="POQ86" s="1255"/>
      <c r="POR86" s="1255"/>
      <c r="POS86" s="1255"/>
      <c r="POT86" s="1255"/>
      <c r="POU86" s="1255"/>
      <c r="POV86" s="1255"/>
      <c r="POW86" s="1255"/>
      <c r="POX86" s="1255"/>
      <c r="POY86" s="1255"/>
      <c r="POZ86" s="1255"/>
      <c r="PPA86" s="1255"/>
      <c r="PPB86" s="1255"/>
      <c r="PPC86" s="1255"/>
      <c r="PPD86" s="1255"/>
      <c r="PPE86" s="1255"/>
      <c r="PPF86" s="1255"/>
      <c r="PPG86" s="1255"/>
      <c r="PPH86" s="1255"/>
      <c r="PPI86" s="1255"/>
      <c r="PPJ86" s="1255"/>
      <c r="PPK86" s="1255"/>
      <c r="PPL86" s="1255"/>
      <c r="PPM86" s="1255"/>
      <c r="PPN86" s="1255"/>
      <c r="PPO86" s="1255"/>
      <c r="PPP86" s="1255"/>
      <c r="PPQ86" s="1255"/>
      <c r="PPR86" s="1255"/>
      <c r="PPS86" s="1255"/>
      <c r="PPT86" s="1255"/>
      <c r="PPU86" s="1255"/>
      <c r="PPV86" s="1255"/>
      <c r="PPW86" s="1255"/>
      <c r="PPX86" s="1255"/>
      <c r="PPY86" s="1255"/>
      <c r="PPZ86" s="1255"/>
      <c r="PQA86" s="1255"/>
      <c r="PQB86" s="1255"/>
      <c r="PQC86" s="1255"/>
      <c r="PQD86" s="1255"/>
      <c r="PQE86" s="1255"/>
      <c r="PQF86" s="1255"/>
      <c r="PQG86" s="1255"/>
      <c r="PQH86" s="1255"/>
      <c r="PQI86" s="1255"/>
      <c r="PQJ86" s="1255"/>
      <c r="PQK86" s="1255"/>
      <c r="PQL86" s="1255"/>
      <c r="PQM86" s="1255"/>
      <c r="PQN86" s="1255"/>
      <c r="PQO86" s="1255"/>
      <c r="PQP86" s="1255"/>
      <c r="PQQ86" s="1255"/>
      <c r="PQR86" s="1255"/>
      <c r="PQS86" s="1255"/>
      <c r="PQT86" s="1255"/>
      <c r="PQU86" s="1255"/>
      <c r="PQV86" s="1255"/>
      <c r="PQW86" s="1255"/>
      <c r="PQX86" s="1255"/>
      <c r="PQY86" s="1255"/>
      <c r="PQZ86" s="1255"/>
      <c r="PRA86" s="1255"/>
      <c r="PRB86" s="1255"/>
      <c r="PRC86" s="1255"/>
      <c r="PRD86" s="1255"/>
      <c r="PRE86" s="1255"/>
      <c r="PRF86" s="1255"/>
      <c r="PRG86" s="1255"/>
      <c r="PRH86" s="1255"/>
      <c r="PRI86" s="1255"/>
      <c r="PRJ86" s="1255"/>
      <c r="PRK86" s="1255"/>
      <c r="PRL86" s="1255"/>
      <c r="PRM86" s="1255"/>
      <c r="PRN86" s="1255"/>
      <c r="PRO86" s="1255"/>
      <c r="PRP86" s="1255"/>
      <c r="PRQ86" s="1255"/>
      <c r="PRR86" s="1255"/>
      <c r="PRS86" s="1255"/>
      <c r="PRT86" s="1255"/>
      <c r="PRU86" s="1255"/>
      <c r="PRV86" s="1255"/>
      <c r="PRW86" s="1255"/>
      <c r="PRX86" s="1255"/>
      <c r="PRY86" s="1255"/>
      <c r="PRZ86" s="1255"/>
      <c r="PSA86" s="1255"/>
      <c r="PSB86" s="1255"/>
      <c r="PSC86" s="1255"/>
      <c r="PSD86" s="1255"/>
      <c r="PSE86" s="1255"/>
      <c r="PSF86" s="1255"/>
      <c r="PSG86" s="1255"/>
      <c r="PSH86" s="1255"/>
      <c r="PSI86" s="1255"/>
      <c r="PSJ86" s="1255"/>
      <c r="PSK86" s="1255"/>
      <c r="PSL86" s="1255"/>
      <c r="PSM86" s="1255"/>
      <c r="PSN86" s="1255"/>
      <c r="PSO86" s="1255"/>
      <c r="PSP86" s="1255"/>
      <c r="PSQ86" s="1255"/>
      <c r="PSR86" s="1255"/>
      <c r="PSS86" s="1255"/>
      <c r="PST86" s="1255"/>
      <c r="PSU86" s="1255"/>
      <c r="PSV86" s="1255"/>
      <c r="PSW86" s="1255"/>
      <c r="PSX86" s="1255"/>
      <c r="PSY86" s="1255"/>
      <c r="PSZ86" s="1255"/>
      <c r="PTA86" s="1255"/>
      <c r="PTB86" s="1255"/>
      <c r="PTC86" s="1255"/>
      <c r="PTD86" s="1255"/>
      <c r="PTE86" s="1255"/>
      <c r="PTF86" s="1255"/>
      <c r="PTG86" s="1255"/>
      <c r="PTH86" s="1255"/>
      <c r="PTI86" s="1255"/>
      <c r="PTJ86" s="1255"/>
      <c r="PTK86" s="1255"/>
      <c r="PTL86" s="1255"/>
      <c r="PTM86" s="1255"/>
      <c r="PTN86" s="1255"/>
      <c r="PTO86" s="1255"/>
      <c r="PTP86" s="1255"/>
      <c r="PTQ86" s="1255"/>
      <c r="PTR86" s="1255"/>
      <c r="PTS86" s="1255"/>
      <c r="PTT86" s="1255"/>
      <c r="PTU86" s="1255"/>
      <c r="PTV86" s="1255"/>
      <c r="PTW86" s="1255"/>
      <c r="PTX86" s="1255"/>
      <c r="PTY86" s="1255"/>
      <c r="PTZ86" s="1255"/>
      <c r="PUA86" s="1255"/>
      <c r="PUB86" s="1255"/>
      <c r="PUC86" s="1255"/>
      <c r="PUD86" s="1255"/>
      <c r="PUE86" s="1255"/>
      <c r="PUF86" s="1255"/>
      <c r="PUG86" s="1255"/>
      <c r="PUH86" s="1255"/>
      <c r="PUI86" s="1255"/>
      <c r="PUJ86" s="1255"/>
      <c r="PUK86" s="1255"/>
      <c r="PUL86" s="1255"/>
      <c r="PUM86" s="1255"/>
      <c r="PUN86" s="1255"/>
      <c r="PUO86" s="1255"/>
      <c r="PUP86" s="1255"/>
      <c r="PUQ86" s="1255"/>
      <c r="PUR86" s="1255"/>
      <c r="PUS86" s="1255"/>
      <c r="PUT86" s="1255"/>
      <c r="PUU86" s="1255"/>
      <c r="PUV86" s="1255"/>
      <c r="PUW86" s="1255"/>
      <c r="PUX86" s="1255"/>
      <c r="PUY86" s="1255"/>
      <c r="PUZ86" s="1255"/>
      <c r="PVA86" s="1255"/>
      <c r="PVB86" s="1255"/>
      <c r="PVC86" s="1255"/>
      <c r="PVD86" s="1255"/>
      <c r="PVE86" s="1255"/>
      <c r="PVF86" s="1255"/>
      <c r="PVG86" s="1255"/>
      <c r="PVH86" s="1255"/>
      <c r="PVI86" s="1255"/>
      <c r="PVJ86" s="1255"/>
      <c r="PVK86" s="1255"/>
      <c r="PVL86" s="1255"/>
      <c r="PVM86" s="1255"/>
      <c r="PVN86" s="1255"/>
      <c r="PVO86" s="1255"/>
      <c r="PVP86" s="1255"/>
      <c r="PVQ86" s="1255"/>
      <c r="PVR86" s="1255"/>
      <c r="PVS86" s="1255"/>
      <c r="PVT86" s="1255"/>
      <c r="PVU86" s="1255"/>
      <c r="PVV86" s="1255"/>
      <c r="PVW86" s="1255"/>
      <c r="PVX86" s="1255"/>
      <c r="PVY86" s="1255"/>
      <c r="PVZ86" s="1255"/>
      <c r="PWA86" s="1255"/>
      <c r="PWB86" s="1255"/>
      <c r="PWC86" s="1255"/>
      <c r="PWD86" s="1255"/>
      <c r="PWE86" s="1255"/>
      <c r="PWF86" s="1255"/>
      <c r="PWG86" s="1255"/>
      <c r="PWH86" s="1255"/>
      <c r="PWI86" s="1255"/>
      <c r="PWJ86" s="1255"/>
      <c r="PWK86" s="1255"/>
      <c r="PWL86" s="1255"/>
      <c r="PWM86" s="1255"/>
      <c r="PWN86" s="1255"/>
      <c r="PWO86" s="1255"/>
      <c r="PWP86" s="1255"/>
      <c r="PWQ86" s="1255"/>
      <c r="PWR86" s="1255"/>
      <c r="PWS86" s="1255"/>
      <c r="PWT86" s="1255"/>
      <c r="PWU86" s="1255"/>
      <c r="PWV86" s="1255"/>
      <c r="PWW86" s="1255"/>
      <c r="PWX86" s="1255"/>
      <c r="PWY86" s="1255"/>
      <c r="PWZ86" s="1255"/>
      <c r="PXA86" s="1255"/>
      <c r="PXB86" s="1255"/>
      <c r="PXC86" s="1255"/>
      <c r="PXD86" s="1255"/>
      <c r="PXE86" s="1255"/>
      <c r="PXF86" s="1255"/>
      <c r="PXG86" s="1255"/>
      <c r="PXH86" s="1255"/>
      <c r="PXI86" s="1255"/>
      <c r="PXJ86" s="1255"/>
      <c r="PXK86" s="1255"/>
      <c r="PXL86" s="1255"/>
      <c r="PXM86" s="1255"/>
      <c r="PXN86" s="1255"/>
      <c r="PXO86" s="1255"/>
      <c r="PXP86" s="1255"/>
      <c r="PXQ86" s="1255"/>
      <c r="PXR86" s="1255"/>
      <c r="PXS86" s="1255"/>
      <c r="PXT86" s="1255"/>
      <c r="PXU86" s="1255"/>
      <c r="PXV86" s="1255"/>
      <c r="PXW86" s="1255"/>
      <c r="PXX86" s="1255"/>
      <c r="PXY86" s="1255"/>
      <c r="PXZ86" s="1255"/>
      <c r="PYA86" s="1255"/>
      <c r="PYB86" s="1255"/>
      <c r="PYC86" s="1255"/>
      <c r="PYD86" s="1255"/>
      <c r="PYE86" s="1255"/>
      <c r="PYF86" s="1255"/>
      <c r="PYG86" s="1255"/>
      <c r="PYH86" s="1255"/>
      <c r="PYI86" s="1255"/>
      <c r="PYJ86" s="1255"/>
      <c r="PYK86" s="1255"/>
      <c r="PYL86" s="1255"/>
      <c r="PYM86" s="1255"/>
      <c r="PYN86" s="1255"/>
      <c r="PYO86" s="1255"/>
      <c r="PYP86" s="1255"/>
      <c r="PYQ86" s="1255"/>
      <c r="PYR86" s="1255"/>
      <c r="PYS86" s="1255"/>
      <c r="PYT86" s="1255"/>
      <c r="PYU86" s="1255"/>
      <c r="PYV86" s="1255"/>
      <c r="PYW86" s="1255"/>
      <c r="PYX86" s="1255"/>
      <c r="PYY86" s="1255"/>
      <c r="PYZ86" s="1255"/>
      <c r="PZA86" s="1255"/>
      <c r="PZB86" s="1255"/>
      <c r="PZC86" s="1255"/>
      <c r="PZD86" s="1255"/>
      <c r="PZE86" s="1255"/>
      <c r="PZF86" s="1255"/>
      <c r="PZG86" s="1255"/>
      <c r="PZH86" s="1255"/>
      <c r="PZI86" s="1255"/>
      <c r="PZJ86" s="1255"/>
      <c r="PZK86" s="1255"/>
      <c r="PZL86" s="1255"/>
      <c r="PZM86" s="1255"/>
      <c r="PZN86" s="1255"/>
      <c r="PZO86" s="1255"/>
      <c r="PZP86" s="1255"/>
      <c r="PZQ86" s="1255"/>
      <c r="PZR86" s="1255"/>
      <c r="PZS86" s="1255"/>
      <c r="PZT86" s="1255"/>
      <c r="PZU86" s="1255"/>
      <c r="PZV86" s="1255"/>
      <c r="PZW86" s="1255"/>
      <c r="PZX86" s="1255"/>
      <c r="PZY86" s="1255"/>
      <c r="PZZ86" s="1255"/>
      <c r="QAA86" s="1255"/>
      <c r="QAB86" s="1255"/>
      <c r="QAC86" s="1255"/>
      <c r="QAD86" s="1255"/>
      <c r="QAE86" s="1255"/>
      <c r="QAF86" s="1255"/>
      <c r="QAG86" s="1255"/>
      <c r="QAH86" s="1255"/>
      <c r="QAI86" s="1255"/>
      <c r="QAJ86" s="1255"/>
      <c r="QAK86" s="1255"/>
      <c r="QAL86" s="1255"/>
      <c r="QAM86" s="1255"/>
      <c r="QAN86" s="1255"/>
      <c r="QAO86" s="1255"/>
      <c r="QAP86" s="1255"/>
      <c r="QAQ86" s="1255"/>
      <c r="QAR86" s="1255"/>
      <c r="QAS86" s="1255"/>
      <c r="QAT86" s="1255"/>
      <c r="QAU86" s="1255"/>
      <c r="QAV86" s="1255"/>
      <c r="QAW86" s="1255"/>
      <c r="QAX86" s="1255"/>
      <c r="QAY86" s="1255"/>
      <c r="QAZ86" s="1255"/>
      <c r="QBA86" s="1255"/>
      <c r="QBB86" s="1255"/>
      <c r="QBC86" s="1255"/>
      <c r="QBD86" s="1255"/>
      <c r="QBE86" s="1255"/>
      <c r="QBF86" s="1255"/>
      <c r="QBG86" s="1255"/>
      <c r="QBH86" s="1255"/>
      <c r="QBI86" s="1255"/>
      <c r="QBJ86" s="1255"/>
      <c r="QBK86" s="1255"/>
      <c r="QBL86" s="1255"/>
      <c r="QBM86" s="1255"/>
      <c r="QBN86" s="1255"/>
      <c r="QBO86" s="1255"/>
      <c r="QBP86" s="1255"/>
      <c r="QBQ86" s="1255"/>
      <c r="QBR86" s="1255"/>
      <c r="QBS86" s="1255"/>
      <c r="QBT86" s="1255"/>
      <c r="QBU86" s="1255"/>
      <c r="QBV86" s="1255"/>
      <c r="QBW86" s="1255"/>
      <c r="QBX86" s="1255"/>
      <c r="QBY86" s="1255"/>
      <c r="QBZ86" s="1255"/>
      <c r="QCA86" s="1255"/>
      <c r="QCB86" s="1255"/>
      <c r="QCC86" s="1255"/>
      <c r="QCD86" s="1255"/>
      <c r="QCE86" s="1255"/>
      <c r="QCF86" s="1255"/>
      <c r="QCG86" s="1255"/>
      <c r="QCH86" s="1255"/>
      <c r="QCI86" s="1255"/>
      <c r="QCJ86" s="1255"/>
      <c r="QCK86" s="1255"/>
      <c r="QCL86" s="1255"/>
      <c r="QCM86" s="1255"/>
      <c r="QCN86" s="1255"/>
      <c r="QCO86" s="1255"/>
      <c r="QCP86" s="1255"/>
      <c r="QCQ86" s="1255"/>
      <c r="QCR86" s="1255"/>
      <c r="QCS86" s="1255"/>
      <c r="QCT86" s="1255"/>
      <c r="QCU86" s="1255"/>
      <c r="QCV86" s="1255"/>
      <c r="QCW86" s="1255"/>
      <c r="QCX86" s="1255"/>
      <c r="QCY86" s="1255"/>
      <c r="QCZ86" s="1255"/>
      <c r="QDA86" s="1255"/>
      <c r="QDB86" s="1255"/>
      <c r="QDC86" s="1255"/>
      <c r="QDD86" s="1255"/>
      <c r="QDE86" s="1255"/>
      <c r="QDF86" s="1255"/>
      <c r="QDG86" s="1255"/>
      <c r="QDH86" s="1255"/>
      <c r="QDI86" s="1255"/>
      <c r="QDJ86" s="1255"/>
      <c r="QDK86" s="1255"/>
      <c r="QDL86" s="1255"/>
      <c r="QDM86" s="1255"/>
      <c r="QDN86" s="1255"/>
      <c r="QDO86" s="1255"/>
      <c r="QDP86" s="1255"/>
      <c r="QDQ86" s="1255"/>
      <c r="QDR86" s="1255"/>
      <c r="QDS86" s="1255"/>
      <c r="QDT86" s="1255"/>
      <c r="QDU86" s="1255"/>
      <c r="QDV86" s="1255"/>
      <c r="QDW86" s="1255"/>
      <c r="QDX86" s="1255"/>
      <c r="QDY86" s="1255"/>
      <c r="QDZ86" s="1255"/>
      <c r="QEA86" s="1255"/>
      <c r="QEB86" s="1255"/>
      <c r="QEC86" s="1255"/>
      <c r="QED86" s="1255"/>
      <c r="QEE86" s="1255"/>
      <c r="QEF86" s="1255"/>
      <c r="QEG86" s="1255"/>
      <c r="QEH86" s="1255"/>
      <c r="QEI86" s="1255"/>
      <c r="QEJ86" s="1255"/>
      <c r="QEK86" s="1255"/>
      <c r="QEL86" s="1255"/>
      <c r="QEM86" s="1255"/>
      <c r="QEN86" s="1255"/>
      <c r="QEO86" s="1255"/>
      <c r="QEP86" s="1255"/>
      <c r="QEQ86" s="1255"/>
      <c r="QER86" s="1255"/>
      <c r="QES86" s="1255"/>
      <c r="QET86" s="1255"/>
      <c r="QEU86" s="1255"/>
      <c r="QEV86" s="1255"/>
      <c r="QEW86" s="1255"/>
      <c r="QEX86" s="1255"/>
      <c r="QEY86" s="1255"/>
      <c r="QEZ86" s="1255"/>
      <c r="QFA86" s="1255"/>
      <c r="QFB86" s="1255"/>
      <c r="QFC86" s="1255"/>
      <c r="QFD86" s="1255"/>
      <c r="QFE86" s="1255"/>
      <c r="QFF86" s="1255"/>
      <c r="QFG86" s="1255"/>
      <c r="QFH86" s="1255"/>
      <c r="QFI86" s="1255"/>
      <c r="QFJ86" s="1255"/>
      <c r="QFK86" s="1255"/>
      <c r="QFL86" s="1255"/>
      <c r="QFM86" s="1255"/>
      <c r="QFN86" s="1255"/>
      <c r="QFO86" s="1255"/>
      <c r="QFP86" s="1255"/>
      <c r="QFQ86" s="1255"/>
      <c r="QFR86" s="1255"/>
      <c r="QFS86" s="1255"/>
      <c r="QFT86" s="1255"/>
      <c r="QFU86" s="1255"/>
      <c r="QFV86" s="1255"/>
      <c r="QFW86" s="1255"/>
      <c r="QFX86" s="1255"/>
      <c r="QFY86" s="1255"/>
      <c r="QFZ86" s="1255"/>
      <c r="QGA86" s="1255"/>
      <c r="QGB86" s="1255"/>
      <c r="QGC86" s="1255"/>
      <c r="QGD86" s="1255"/>
      <c r="QGE86" s="1255"/>
      <c r="QGF86" s="1255"/>
      <c r="QGG86" s="1255"/>
      <c r="QGH86" s="1255"/>
      <c r="QGI86" s="1255"/>
      <c r="QGJ86" s="1255"/>
      <c r="QGK86" s="1255"/>
      <c r="QGL86" s="1255"/>
      <c r="QGM86" s="1255"/>
      <c r="QGN86" s="1255"/>
      <c r="QGO86" s="1255"/>
      <c r="QGP86" s="1255"/>
      <c r="QGQ86" s="1255"/>
      <c r="QGR86" s="1255"/>
      <c r="QGS86" s="1255"/>
      <c r="QGT86" s="1255"/>
      <c r="QGU86" s="1255"/>
      <c r="QGV86" s="1255"/>
      <c r="QGW86" s="1255"/>
      <c r="QGX86" s="1255"/>
      <c r="QGY86" s="1255"/>
      <c r="QGZ86" s="1255"/>
      <c r="QHA86" s="1255"/>
      <c r="QHB86" s="1255"/>
      <c r="QHC86" s="1255"/>
      <c r="QHD86" s="1255"/>
      <c r="QHE86" s="1255"/>
      <c r="QHF86" s="1255"/>
      <c r="QHG86" s="1255"/>
      <c r="QHH86" s="1255"/>
      <c r="QHI86" s="1255"/>
      <c r="QHJ86" s="1255"/>
      <c r="QHK86" s="1255"/>
      <c r="QHL86" s="1255"/>
      <c r="QHM86" s="1255"/>
      <c r="QHN86" s="1255"/>
      <c r="QHO86" s="1255"/>
      <c r="QHP86" s="1255"/>
      <c r="QHQ86" s="1255"/>
      <c r="QHR86" s="1255"/>
      <c r="QHS86" s="1255"/>
      <c r="QHT86" s="1255"/>
      <c r="QHU86" s="1255"/>
      <c r="QHV86" s="1255"/>
      <c r="QHW86" s="1255"/>
      <c r="QHX86" s="1255"/>
      <c r="QHY86" s="1255"/>
      <c r="QHZ86" s="1255"/>
      <c r="QIA86" s="1255"/>
      <c r="QIB86" s="1255"/>
      <c r="QIC86" s="1255"/>
      <c r="QID86" s="1255"/>
      <c r="QIE86" s="1255"/>
      <c r="QIF86" s="1255"/>
      <c r="QIG86" s="1255"/>
      <c r="QIH86" s="1255"/>
      <c r="QII86" s="1255"/>
      <c r="QIJ86" s="1255"/>
      <c r="QIK86" s="1255"/>
      <c r="QIL86" s="1255"/>
      <c r="QIM86" s="1255"/>
      <c r="QIN86" s="1255"/>
      <c r="QIO86" s="1255"/>
      <c r="QIP86" s="1255"/>
      <c r="QIQ86" s="1255"/>
      <c r="QIR86" s="1255"/>
      <c r="QIS86" s="1255"/>
      <c r="QIT86" s="1255"/>
      <c r="QIU86" s="1255"/>
      <c r="QIV86" s="1255"/>
      <c r="QIW86" s="1255"/>
      <c r="QIX86" s="1255"/>
      <c r="QIY86" s="1255"/>
      <c r="QIZ86" s="1255"/>
      <c r="QJA86" s="1255"/>
      <c r="QJB86" s="1255"/>
      <c r="QJC86" s="1255"/>
      <c r="QJD86" s="1255"/>
      <c r="QJE86" s="1255"/>
      <c r="QJF86" s="1255"/>
      <c r="QJG86" s="1255"/>
      <c r="QJH86" s="1255"/>
      <c r="QJI86" s="1255"/>
      <c r="QJJ86" s="1255"/>
      <c r="QJK86" s="1255"/>
      <c r="QJL86" s="1255"/>
      <c r="QJM86" s="1255"/>
      <c r="QJN86" s="1255"/>
      <c r="QJO86" s="1255"/>
      <c r="QJP86" s="1255"/>
      <c r="QJQ86" s="1255"/>
      <c r="QJR86" s="1255"/>
      <c r="QJS86" s="1255"/>
      <c r="QJT86" s="1255"/>
      <c r="QJU86" s="1255"/>
      <c r="QJV86" s="1255"/>
      <c r="QJW86" s="1255"/>
      <c r="QJX86" s="1255"/>
      <c r="QJY86" s="1255"/>
      <c r="QJZ86" s="1255"/>
      <c r="QKA86" s="1255"/>
      <c r="QKB86" s="1255"/>
      <c r="QKC86" s="1255"/>
      <c r="QKD86" s="1255"/>
      <c r="QKE86" s="1255"/>
      <c r="QKF86" s="1255"/>
      <c r="QKG86" s="1255"/>
      <c r="QKH86" s="1255"/>
      <c r="QKI86" s="1255"/>
      <c r="QKJ86" s="1255"/>
      <c r="QKK86" s="1255"/>
      <c r="QKL86" s="1255"/>
      <c r="QKM86" s="1255"/>
      <c r="QKN86" s="1255"/>
      <c r="QKO86" s="1255"/>
      <c r="QKP86" s="1255"/>
      <c r="QKQ86" s="1255"/>
      <c r="QKR86" s="1255"/>
      <c r="QKS86" s="1255"/>
      <c r="QKT86" s="1255"/>
      <c r="QKU86" s="1255"/>
      <c r="QKV86" s="1255"/>
      <c r="QKW86" s="1255"/>
      <c r="QKX86" s="1255"/>
      <c r="QKY86" s="1255"/>
      <c r="QKZ86" s="1255"/>
      <c r="QLA86" s="1255"/>
      <c r="QLB86" s="1255"/>
      <c r="QLC86" s="1255"/>
      <c r="QLD86" s="1255"/>
      <c r="QLE86" s="1255"/>
      <c r="QLF86" s="1255"/>
      <c r="QLG86" s="1255"/>
      <c r="QLH86" s="1255"/>
      <c r="QLI86" s="1255"/>
      <c r="QLJ86" s="1255"/>
      <c r="QLK86" s="1255"/>
      <c r="QLL86" s="1255"/>
      <c r="QLM86" s="1255"/>
      <c r="QLN86" s="1255"/>
      <c r="QLO86" s="1255"/>
      <c r="QLP86" s="1255"/>
      <c r="QLQ86" s="1255"/>
      <c r="QLR86" s="1255"/>
      <c r="QLS86" s="1255"/>
      <c r="QLT86" s="1255"/>
      <c r="QLU86" s="1255"/>
      <c r="QLV86" s="1255"/>
      <c r="QLW86" s="1255"/>
      <c r="QLX86" s="1255"/>
      <c r="QLY86" s="1255"/>
      <c r="QLZ86" s="1255"/>
      <c r="QMA86" s="1255"/>
      <c r="QMB86" s="1255"/>
      <c r="QMC86" s="1255"/>
      <c r="QMD86" s="1255"/>
      <c r="QME86" s="1255"/>
      <c r="QMF86" s="1255"/>
      <c r="QMG86" s="1255"/>
      <c r="QMH86" s="1255"/>
      <c r="QMI86" s="1255"/>
      <c r="QMJ86" s="1255"/>
      <c r="QMK86" s="1255"/>
      <c r="QML86" s="1255"/>
      <c r="QMM86" s="1255"/>
      <c r="QMN86" s="1255"/>
      <c r="QMO86" s="1255"/>
      <c r="QMP86" s="1255"/>
      <c r="QMQ86" s="1255"/>
      <c r="QMR86" s="1255"/>
      <c r="QMS86" s="1255"/>
      <c r="QMT86" s="1255"/>
      <c r="QMU86" s="1255"/>
      <c r="QMV86" s="1255"/>
      <c r="QMW86" s="1255"/>
      <c r="QMX86" s="1255"/>
      <c r="QMY86" s="1255"/>
      <c r="QMZ86" s="1255"/>
      <c r="QNA86" s="1255"/>
      <c r="QNB86" s="1255"/>
      <c r="QNC86" s="1255"/>
      <c r="QND86" s="1255"/>
      <c r="QNE86" s="1255"/>
      <c r="QNF86" s="1255"/>
      <c r="QNG86" s="1255"/>
      <c r="QNH86" s="1255"/>
      <c r="QNI86" s="1255"/>
      <c r="QNJ86" s="1255"/>
      <c r="QNK86" s="1255"/>
      <c r="QNL86" s="1255"/>
      <c r="QNM86" s="1255"/>
      <c r="QNN86" s="1255"/>
      <c r="QNO86" s="1255"/>
      <c r="QNP86" s="1255"/>
      <c r="QNQ86" s="1255"/>
      <c r="QNR86" s="1255"/>
      <c r="QNS86" s="1255"/>
      <c r="QNT86" s="1255"/>
      <c r="QNU86" s="1255"/>
      <c r="QNV86" s="1255"/>
      <c r="QNW86" s="1255"/>
      <c r="QNX86" s="1255"/>
      <c r="QNY86" s="1255"/>
      <c r="QNZ86" s="1255"/>
      <c r="QOA86" s="1255"/>
      <c r="QOB86" s="1255"/>
      <c r="QOC86" s="1255"/>
      <c r="QOD86" s="1255"/>
      <c r="QOE86" s="1255"/>
      <c r="QOF86" s="1255"/>
      <c r="QOG86" s="1255"/>
      <c r="QOH86" s="1255"/>
      <c r="QOI86" s="1255"/>
      <c r="QOJ86" s="1255"/>
      <c r="QOK86" s="1255"/>
      <c r="QOL86" s="1255"/>
      <c r="QOM86" s="1255"/>
      <c r="QON86" s="1255"/>
      <c r="QOO86" s="1255"/>
      <c r="QOP86" s="1255"/>
      <c r="QOQ86" s="1255"/>
      <c r="QOR86" s="1255"/>
      <c r="QOS86" s="1255"/>
      <c r="QOT86" s="1255"/>
      <c r="QOU86" s="1255"/>
      <c r="QOV86" s="1255"/>
      <c r="QOW86" s="1255"/>
      <c r="QOX86" s="1255"/>
      <c r="QOY86" s="1255"/>
      <c r="QOZ86" s="1255"/>
      <c r="QPA86" s="1255"/>
      <c r="QPB86" s="1255"/>
      <c r="QPC86" s="1255"/>
      <c r="QPD86" s="1255"/>
      <c r="QPE86" s="1255"/>
      <c r="QPF86" s="1255"/>
      <c r="QPG86" s="1255"/>
      <c r="QPH86" s="1255"/>
      <c r="QPI86" s="1255"/>
      <c r="QPJ86" s="1255"/>
      <c r="QPK86" s="1255"/>
      <c r="QPL86" s="1255"/>
      <c r="QPM86" s="1255"/>
      <c r="QPN86" s="1255"/>
      <c r="QPO86" s="1255"/>
      <c r="QPP86" s="1255"/>
      <c r="QPQ86" s="1255"/>
      <c r="QPR86" s="1255"/>
      <c r="QPS86" s="1255"/>
      <c r="QPT86" s="1255"/>
      <c r="QPU86" s="1255"/>
      <c r="QPV86" s="1255"/>
      <c r="QPW86" s="1255"/>
      <c r="QPX86" s="1255"/>
      <c r="QPY86" s="1255"/>
      <c r="QPZ86" s="1255"/>
      <c r="QQA86" s="1255"/>
      <c r="QQB86" s="1255"/>
      <c r="QQC86" s="1255"/>
      <c r="QQD86" s="1255"/>
      <c r="QQE86" s="1255"/>
      <c r="QQF86" s="1255"/>
      <c r="QQG86" s="1255"/>
      <c r="QQH86" s="1255"/>
      <c r="QQI86" s="1255"/>
      <c r="QQJ86" s="1255"/>
      <c r="QQK86" s="1255"/>
      <c r="QQL86" s="1255"/>
      <c r="QQM86" s="1255"/>
      <c r="QQN86" s="1255"/>
      <c r="QQO86" s="1255"/>
      <c r="QQP86" s="1255"/>
      <c r="QQQ86" s="1255"/>
      <c r="QQR86" s="1255"/>
      <c r="QQS86" s="1255"/>
      <c r="QQT86" s="1255"/>
      <c r="QQU86" s="1255"/>
      <c r="QQV86" s="1255"/>
      <c r="QQW86" s="1255"/>
      <c r="QQX86" s="1255"/>
      <c r="QQY86" s="1255"/>
      <c r="QQZ86" s="1255"/>
      <c r="QRA86" s="1255"/>
      <c r="QRB86" s="1255"/>
      <c r="QRC86" s="1255"/>
      <c r="QRD86" s="1255"/>
      <c r="QRE86" s="1255"/>
      <c r="QRF86" s="1255"/>
      <c r="QRG86" s="1255"/>
      <c r="QRH86" s="1255"/>
      <c r="QRI86" s="1255"/>
      <c r="QRJ86" s="1255"/>
      <c r="QRK86" s="1255"/>
      <c r="QRL86" s="1255"/>
      <c r="QRM86" s="1255"/>
      <c r="QRN86" s="1255"/>
      <c r="QRO86" s="1255"/>
      <c r="QRP86" s="1255"/>
      <c r="QRQ86" s="1255"/>
      <c r="QRR86" s="1255"/>
      <c r="QRS86" s="1255"/>
      <c r="QRT86" s="1255"/>
      <c r="QRU86" s="1255"/>
      <c r="QRV86" s="1255"/>
      <c r="QRW86" s="1255"/>
      <c r="QRX86" s="1255"/>
      <c r="QRY86" s="1255"/>
      <c r="QRZ86" s="1255"/>
      <c r="QSA86" s="1255"/>
      <c r="QSB86" s="1255"/>
      <c r="QSC86" s="1255"/>
      <c r="QSD86" s="1255"/>
      <c r="QSE86" s="1255"/>
      <c r="QSF86" s="1255"/>
      <c r="QSG86" s="1255"/>
      <c r="QSH86" s="1255"/>
      <c r="QSI86" s="1255"/>
      <c r="QSJ86" s="1255"/>
      <c r="QSK86" s="1255"/>
      <c r="QSL86" s="1255"/>
      <c r="QSM86" s="1255"/>
      <c r="QSN86" s="1255"/>
      <c r="QSO86" s="1255"/>
      <c r="QSP86" s="1255"/>
      <c r="QSQ86" s="1255"/>
      <c r="QSR86" s="1255"/>
      <c r="QSS86" s="1255"/>
      <c r="QST86" s="1255"/>
      <c r="QSU86" s="1255"/>
      <c r="QSV86" s="1255"/>
      <c r="QSW86" s="1255"/>
      <c r="QSX86" s="1255"/>
      <c r="QSY86" s="1255"/>
      <c r="QSZ86" s="1255"/>
      <c r="QTA86" s="1255"/>
      <c r="QTB86" s="1255"/>
      <c r="QTC86" s="1255"/>
      <c r="QTD86" s="1255"/>
      <c r="QTE86" s="1255"/>
      <c r="QTF86" s="1255"/>
      <c r="QTG86" s="1255"/>
      <c r="QTH86" s="1255"/>
      <c r="QTI86" s="1255"/>
      <c r="QTJ86" s="1255"/>
      <c r="QTK86" s="1255"/>
      <c r="QTL86" s="1255"/>
      <c r="QTM86" s="1255"/>
      <c r="QTN86" s="1255"/>
      <c r="QTO86" s="1255"/>
      <c r="QTP86" s="1255"/>
      <c r="QTQ86" s="1255"/>
      <c r="QTR86" s="1255"/>
      <c r="QTS86" s="1255"/>
      <c r="QTT86" s="1255"/>
      <c r="QTU86" s="1255"/>
      <c r="QTV86" s="1255"/>
      <c r="QTW86" s="1255"/>
      <c r="QTX86" s="1255"/>
      <c r="QTY86" s="1255"/>
      <c r="QTZ86" s="1255"/>
      <c r="QUA86" s="1255"/>
      <c r="QUB86" s="1255"/>
      <c r="QUC86" s="1255"/>
      <c r="QUD86" s="1255"/>
      <c r="QUE86" s="1255"/>
      <c r="QUF86" s="1255"/>
      <c r="QUG86" s="1255"/>
      <c r="QUH86" s="1255"/>
      <c r="QUI86" s="1255"/>
      <c r="QUJ86" s="1255"/>
      <c r="QUK86" s="1255"/>
      <c r="QUL86" s="1255"/>
      <c r="QUM86" s="1255"/>
      <c r="QUN86" s="1255"/>
      <c r="QUO86" s="1255"/>
      <c r="QUP86" s="1255"/>
      <c r="QUQ86" s="1255"/>
      <c r="QUR86" s="1255"/>
      <c r="QUS86" s="1255"/>
      <c r="QUT86" s="1255"/>
      <c r="QUU86" s="1255"/>
      <c r="QUV86" s="1255"/>
      <c r="QUW86" s="1255"/>
      <c r="QUX86" s="1255"/>
      <c r="QUY86" s="1255"/>
      <c r="QUZ86" s="1255"/>
      <c r="QVA86" s="1255"/>
      <c r="QVB86" s="1255"/>
      <c r="QVC86" s="1255"/>
      <c r="QVD86" s="1255"/>
      <c r="QVE86" s="1255"/>
      <c r="QVF86" s="1255"/>
      <c r="QVG86" s="1255"/>
      <c r="QVH86" s="1255"/>
      <c r="QVI86" s="1255"/>
      <c r="QVJ86" s="1255"/>
      <c r="QVK86" s="1255"/>
      <c r="QVL86" s="1255"/>
      <c r="QVM86" s="1255"/>
      <c r="QVN86" s="1255"/>
      <c r="QVO86" s="1255"/>
      <c r="QVP86" s="1255"/>
      <c r="QVQ86" s="1255"/>
      <c r="QVR86" s="1255"/>
      <c r="QVS86" s="1255"/>
      <c r="QVT86" s="1255"/>
      <c r="QVU86" s="1255"/>
      <c r="QVV86" s="1255"/>
      <c r="QVW86" s="1255"/>
      <c r="QVX86" s="1255"/>
      <c r="QVY86" s="1255"/>
      <c r="QVZ86" s="1255"/>
      <c r="QWA86" s="1255"/>
      <c r="QWB86" s="1255"/>
      <c r="QWC86" s="1255"/>
      <c r="QWD86" s="1255"/>
      <c r="QWE86" s="1255"/>
      <c r="QWF86" s="1255"/>
      <c r="QWG86" s="1255"/>
      <c r="QWH86" s="1255"/>
      <c r="QWI86" s="1255"/>
      <c r="QWJ86" s="1255"/>
      <c r="QWK86" s="1255"/>
      <c r="QWL86" s="1255"/>
      <c r="QWM86" s="1255"/>
      <c r="QWN86" s="1255"/>
      <c r="QWO86" s="1255"/>
      <c r="QWP86" s="1255"/>
      <c r="QWQ86" s="1255"/>
      <c r="QWR86" s="1255"/>
      <c r="QWS86" s="1255"/>
      <c r="QWT86" s="1255"/>
      <c r="QWU86" s="1255"/>
      <c r="QWV86" s="1255"/>
      <c r="QWW86" s="1255"/>
      <c r="QWX86" s="1255"/>
      <c r="QWY86" s="1255"/>
      <c r="QWZ86" s="1255"/>
      <c r="QXA86" s="1255"/>
      <c r="QXB86" s="1255"/>
      <c r="QXC86" s="1255"/>
      <c r="QXD86" s="1255"/>
      <c r="QXE86" s="1255"/>
      <c r="QXF86" s="1255"/>
      <c r="QXG86" s="1255"/>
      <c r="QXH86" s="1255"/>
      <c r="QXI86" s="1255"/>
      <c r="QXJ86" s="1255"/>
      <c r="QXK86" s="1255"/>
      <c r="QXL86" s="1255"/>
      <c r="QXM86" s="1255"/>
      <c r="QXN86" s="1255"/>
      <c r="QXO86" s="1255"/>
      <c r="QXP86" s="1255"/>
      <c r="QXQ86" s="1255"/>
      <c r="QXR86" s="1255"/>
      <c r="QXS86" s="1255"/>
      <c r="QXT86" s="1255"/>
      <c r="QXU86" s="1255"/>
      <c r="QXV86" s="1255"/>
      <c r="QXW86" s="1255"/>
      <c r="QXX86" s="1255"/>
      <c r="QXY86" s="1255"/>
      <c r="QXZ86" s="1255"/>
      <c r="QYA86" s="1255"/>
      <c r="QYB86" s="1255"/>
      <c r="QYC86" s="1255"/>
      <c r="QYD86" s="1255"/>
      <c r="QYE86" s="1255"/>
      <c r="QYF86" s="1255"/>
      <c r="QYG86" s="1255"/>
      <c r="QYH86" s="1255"/>
      <c r="QYI86" s="1255"/>
      <c r="QYJ86" s="1255"/>
      <c r="QYK86" s="1255"/>
      <c r="QYL86" s="1255"/>
      <c r="QYM86" s="1255"/>
      <c r="QYN86" s="1255"/>
      <c r="QYO86" s="1255"/>
      <c r="QYP86" s="1255"/>
      <c r="QYQ86" s="1255"/>
      <c r="QYR86" s="1255"/>
      <c r="QYS86" s="1255"/>
      <c r="QYT86" s="1255"/>
      <c r="QYU86" s="1255"/>
      <c r="QYV86" s="1255"/>
      <c r="QYW86" s="1255"/>
      <c r="QYX86" s="1255"/>
      <c r="QYY86" s="1255"/>
      <c r="QYZ86" s="1255"/>
      <c r="QZA86" s="1255"/>
      <c r="QZB86" s="1255"/>
      <c r="QZC86" s="1255"/>
      <c r="QZD86" s="1255"/>
      <c r="QZE86" s="1255"/>
      <c r="QZF86" s="1255"/>
      <c r="QZG86" s="1255"/>
      <c r="QZH86" s="1255"/>
      <c r="QZI86" s="1255"/>
      <c r="QZJ86" s="1255"/>
      <c r="QZK86" s="1255"/>
      <c r="QZL86" s="1255"/>
      <c r="QZM86" s="1255"/>
      <c r="QZN86" s="1255"/>
      <c r="QZO86" s="1255"/>
      <c r="QZP86" s="1255"/>
      <c r="QZQ86" s="1255"/>
      <c r="QZR86" s="1255"/>
      <c r="QZS86" s="1255"/>
      <c r="QZT86" s="1255"/>
      <c r="QZU86" s="1255"/>
      <c r="QZV86" s="1255"/>
      <c r="QZW86" s="1255"/>
      <c r="QZX86" s="1255"/>
      <c r="QZY86" s="1255"/>
      <c r="QZZ86" s="1255"/>
      <c r="RAA86" s="1255"/>
      <c r="RAB86" s="1255"/>
      <c r="RAC86" s="1255"/>
      <c r="RAD86" s="1255"/>
      <c r="RAE86" s="1255"/>
      <c r="RAF86" s="1255"/>
      <c r="RAG86" s="1255"/>
      <c r="RAH86" s="1255"/>
      <c r="RAI86" s="1255"/>
      <c r="RAJ86" s="1255"/>
      <c r="RAK86" s="1255"/>
      <c r="RAL86" s="1255"/>
      <c r="RAM86" s="1255"/>
      <c r="RAN86" s="1255"/>
      <c r="RAO86" s="1255"/>
      <c r="RAP86" s="1255"/>
      <c r="RAQ86" s="1255"/>
      <c r="RAR86" s="1255"/>
      <c r="RAS86" s="1255"/>
      <c r="RAT86" s="1255"/>
      <c r="RAU86" s="1255"/>
      <c r="RAV86" s="1255"/>
      <c r="RAW86" s="1255"/>
      <c r="RAX86" s="1255"/>
      <c r="RAY86" s="1255"/>
      <c r="RAZ86" s="1255"/>
      <c r="RBA86" s="1255"/>
      <c r="RBB86" s="1255"/>
      <c r="RBC86" s="1255"/>
      <c r="RBD86" s="1255"/>
      <c r="RBE86" s="1255"/>
      <c r="RBF86" s="1255"/>
      <c r="RBG86" s="1255"/>
      <c r="RBH86" s="1255"/>
      <c r="RBI86" s="1255"/>
      <c r="RBJ86" s="1255"/>
      <c r="RBK86" s="1255"/>
      <c r="RBL86" s="1255"/>
      <c r="RBM86" s="1255"/>
      <c r="RBN86" s="1255"/>
      <c r="RBO86" s="1255"/>
      <c r="RBP86" s="1255"/>
      <c r="RBQ86" s="1255"/>
      <c r="RBR86" s="1255"/>
      <c r="RBS86" s="1255"/>
      <c r="RBT86" s="1255"/>
      <c r="RBU86" s="1255"/>
      <c r="RBV86" s="1255"/>
      <c r="RBW86" s="1255"/>
      <c r="RBX86" s="1255"/>
      <c r="RBY86" s="1255"/>
      <c r="RBZ86" s="1255"/>
      <c r="RCA86" s="1255"/>
      <c r="RCB86" s="1255"/>
      <c r="RCC86" s="1255"/>
      <c r="RCD86" s="1255"/>
      <c r="RCE86" s="1255"/>
      <c r="RCF86" s="1255"/>
      <c r="RCG86" s="1255"/>
      <c r="RCH86" s="1255"/>
      <c r="RCI86" s="1255"/>
      <c r="RCJ86" s="1255"/>
      <c r="RCK86" s="1255"/>
      <c r="RCL86" s="1255"/>
      <c r="RCM86" s="1255"/>
      <c r="RCN86" s="1255"/>
      <c r="RCO86" s="1255"/>
      <c r="RCP86" s="1255"/>
      <c r="RCQ86" s="1255"/>
      <c r="RCR86" s="1255"/>
      <c r="RCS86" s="1255"/>
      <c r="RCT86" s="1255"/>
      <c r="RCU86" s="1255"/>
      <c r="RCV86" s="1255"/>
      <c r="RCW86" s="1255"/>
      <c r="RCX86" s="1255"/>
      <c r="RCY86" s="1255"/>
      <c r="RCZ86" s="1255"/>
      <c r="RDA86" s="1255"/>
      <c r="RDB86" s="1255"/>
      <c r="RDC86" s="1255"/>
      <c r="RDD86" s="1255"/>
      <c r="RDE86" s="1255"/>
      <c r="RDF86" s="1255"/>
      <c r="RDG86" s="1255"/>
      <c r="RDH86" s="1255"/>
      <c r="RDI86" s="1255"/>
      <c r="RDJ86" s="1255"/>
      <c r="RDK86" s="1255"/>
      <c r="RDL86" s="1255"/>
      <c r="RDM86" s="1255"/>
      <c r="RDN86" s="1255"/>
      <c r="RDO86" s="1255"/>
      <c r="RDP86" s="1255"/>
      <c r="RDQ86" s="1255"/>
      <c r="RDR86" s="1255"/>
      <c r="RDS86" s="1255"/>
      <c r="RDT86" s="1255"/>
      <c r="RDU86" s="1255"/>
      <c r="RDV86" s="1255"/>
      <c r="RDW86" s="1255"/>
      <c r="RDX86" s="1255"/>
      <c r="RDY86" s="1255"/>
      <c r="RDZ86" s="1255"/>
      <c r="REA86" s="1255"/>
      <c r="REB86" s="1255"/>
      <c r="REC86" s="1255"/>
      <c r="RED86" s="1255"/>
      <c r="REE86" s="1255"/>
      <c r="REF86" s="1255"/>
      <c r="REG86" s="1255"/>
      <c r="REH86" s="1255"/>
      <c r="REI86" s="1255"/>
      <c r="REJ86" s="1255"/>
      <c r="REK86" s="1255"/>
      <c r="REL86" s="1255"/>
      <c r="REM86" s="1255"/>
      <c r="REN86" s="1255"/>
      <c r="REO86" s="1255"/>
      <c r="REP86" s="1255"/>
      <c r="REQ86" s="1255"/>
      <c r="RER86" s="1255"/>
      <c r="RES86" s="1255"/>
      <c r="RET86" s="1255"/>
      <c r="REU86" s="1255"/>
      <c r="REV86" s="1255"/>
      <c r="REW86" s="1255"/>
      <c r="REX86" s="1255"/>
      <c r="REY86" s="1255"/>
      <c r="REZ86" s="1255"/>
      <c r="RFA86" s="1255"/>
      <c r="RFB86" s="1255"/>
      <c r="RFC86" s="1255"/>
      <c r="RFD86" s="1255"/>
      <c r="RFE86" s="1255"/>
      <c r="RFF86" s="1255"/>
      <c r="RFG86" s="1255"/>
      <c r="RFH86" s="1255"/>
      <c r="RFI86" s="1255"/>
      <c r="RFJ86" s="1255"/>
      <c r="RFK86" s="1255"/>
      <c r="RFL86" s="1255"/>
      <c r="RFM86" s="1255"/>
      <c r="RFN86" s="1255"/>
      <c r="RFO86" s="1255"/>
      <c r="RFP86" s="1255"/>
      <c r="RFQ86" s="1255"/>
      <c r="RFR86" s="1255"/>
      <c r="RFS86" s="1255"/>
      <c r="RFT86" s="1255"/>
      <c r="RFU86" s="1255"/>
      <c r="RFV86" s="1255"/>
      <c r="RFW86" s="1255"/>
      <c r="RFX86" s="1255"/>
      <c r="RFY86" s="1255"/>
      <c r="RFZ86" s="1255"/>
      <c r="RGA86" s="1255"/>
      <c r="RGB86" s="1255"/>
      <c r="RGC86" s="1255"/>
      <c r="RGD86" s="1255"/>
      <c r="RGE86" s="1255"/>
      <c r="RGF86" s="1255"/>
      <c r="RGG86" s="1255"/>
      <c r="RGH86" s="1255"/>
      <c r="RGI86" s="1255"/>
      <c r="RGJ86" s="1255"/>
      <c r="RGK86" s="1255"/>
      <c r="RGL86" s="1255"/>
      <c r="RGM86" s="1255"/>
      <c r="RGN86" s="1255"/>
      <c r="RGO86" s="1255"/>
      <c r="RGP86" s="1255"/>
      <c r="RGQ86" s="1255"/>
      <c r="RGR86" s="1255"/>
      <c r="RGS86" s="1255"/>
      <c r="RGT86" s="1255"/>
      <c r="RGU86" s="1255"/>
      <c r="RGV86" s="1255"/>
      <c r="RGW86" s="1255"/>
      <c r="RGX86" s="1255"/>
      <c r="RGY86" s="1255"/>
      <c r="RGZ86" s="1255"/>
      <c r="RHA86" s="1255"/>
      <c r="RHB86" s="1255"/>
      <c r="RHC86" s="1255"/>
      <c r="RHD86" s="1255"/>
      <c r="RHE86" s="1255"/>
      <c r="RHF86" s="1255"/>
      <c r="RHG86" s="1255"/>
      <c r="RHH86" s="1255"/>
      <c r="RHI86" s="1255"/>
      <c r="RHJ86" s="1255"/>
      <c r="RHK86" s="1255"/>
      <c r="RHL86" s="1255"/>
      <c r="RHM86" s="1255"/>
      <c r="RHN86" s="1255"/>
      <c r="RHO86" s="1255"/>
      <c r="RHP86" s="1255"/>
      <c r="RHQ86" s="1255"/>
      <c r="RHR86" s="1255"/>
      <c r="RHS86" s="1255"/>
      <c r="RHT86" s="1255"/>
      <c r="RHU86" s="1255"/>
      <c r="RHV86" s="1255"/>
      <c r="RHW86" s="1255"/>
      <c r="RHX86" s="1255"/>
      <c r="RHY86" s="1255"/>
      <c r="RHZ86" s="1255"/>
      <c r="RIA86" s="1255"/>
      <c r="RIB86" s="1255"/>
      <c r="RIC86" s="1255"/>
      <c r="RID86" s="1255"/>
      <c r="RIE86" s="1255"/>
      <c r="RIF86" s="1255"/>
      <c r="RIG86" s="1255"/>
      <c r="RIH86" s="1255"/>
      <c r="RII86" s="1255"/>
      <c r="RIJ86" s="1255"/>
      <c r="RIK86" s="1255"/>
      <c r="RIL86" s="1255"/>
      <c r="RIM86" s="1255"/>
      <c r="RIN86" s="1255"/>
      <c r="RIO86" s="1255"/>
      <c r="RIP86" s="1255"/>
      <c r="RIQ86" s="1255"/>
      <c r="RIR86" s="1255"/>
      <c r="RIS86" s="1255"/>
      <c r="RIT86" s="1255"/>
      <c r="RIU86" s="1255"/>
      <c r="RIV86" s="1255"/>
      <c r="RIW86" s="1255"/>
      <c r="RIX86" s="1255"/>
      <c r="RIY86" s="1255"/>
      <c r="RIZ86" s="1255"/>
      <c r="RJA86" s="1255"/>
      <c r="RJB86" s="1255"/>
      <c r="RJC86" s="1255"/>
      <c r="RJD86" s="1255"/>
      <c r="RJE86" s="1255"/>
      <c r="RJF86" s="1255"/>
      <c r="RJG86" s="1255"/>
      <c r="RJH86" s="1255"/>
      <c r="RJI86" s="1255"/>
      <c r="RJJ86" s="1255"/>
      <c r="RJK86" s="1255"/>
      <c r="RJL86" s="1255"/>
      <c r="RJM86" s="1255"/>
      <c r="RJN86" s="1255"/>
      <c r="RJO86" s="1255"/>
      <c r="RJP86" s="1255"/>
      <c r="RJQ86" s="1255"/>
      <c r="RJR86" s="1255"/>
      <c r="RJS86" s="1255"/>
      <c r="RJT86" s="1255"/>
      <c r="RJU86" s="1255"/>
      <c r="RJV86" s="1255"/>
      <c r="RJW86" s="1255"/>
      <c r="RJX86" s="1255"/>
      <c r="RJY86" s="1255"/>
      <c r="RJZ86" s="1255"/>
      <c r="RKA86" s="1255"/>
      <c r="RKB86" s="1255"/>
      <c r="RKC86" s="1255"/>
      <c r="RKD86" s="1255"/>
      <c r="RKE86" s="1255"/>
      <c r="RKF86" s="1255"/>
      <c r="RKG86" s="1255"/>
      <c r="RKH86" s="1255"/>
      <c r="RKI86" s="1255"/>
      <c r="RKJ86" s="1255"/>
      <c r="RKK86" s="1255"/>
      <c r="RKL86" s="1255"/>
      <c r="RKM86" s="1255"/>
      <c r="RKN86" s="1255"/>
      <c r="RKO86" s="1255"/>
      <c r="RKP86" s="1255"/>
      <c r="RKQ86" s="1255"/>
      <c r="RKR86" s="1255"/>
      <c r="RKS86" s="1255"/>
      <c r="RKT86" s="1255"/>
      <c r="RKU86" s="1255"/>
      <c r="RKV86" s="1255"/>
      <c r="RKW86" s="1255"/>
      <c r="RKX86" s="1255"/>
      <c r="RKY86" s="1255"/>
      <c r="RKZ86" s="1255"/>
      <c r="RLA86" s="1255"/>
      <c r="RLB86" s="1255"/>
      <c r="RLC86" s="1255"/>
      <c r="RLD86" s="1255"/>
      <c r="RLE86" s="1255"/>
      <c r="RLF86" s="1255"/>
      <c r="RLG86" s="1255"/>
      <c r="RLH86" s="1255"/>
      <c r="RLI86" s="1255"/>
      <c r="RLJ86" s="1255"/>
      <c r="RLK86" s="1255"/>
      <c r="RLL86" s="1255"/>
      <c r="RLM86" s="1255"/>
      <c r="RLN86" s="1255"/>
      <c r="RLO86" s="1255"/>
      <c r="RLP86" s="1255"/>
      <c r="RLQ86" s="1255"/>
      <c r="RLR86" s="1255"/>
      <c r="RLS86" s="1255"/>
      <c r="RLT86" s="1255"/>
      <c r="RLU86" s="1255"/>
      <c r="RLV86" s="1255"/>
      <c r="RLW86" s="1255"/>
      <c r="RLX86" s="1255"/>
      <c r="RLY86" s="1255"/>
      <c r="RLZ86" s="1255"/>
      <c r="RMA86" s="1255"/>
      <c r="RMB86" s="1255"/>
      <c r="RMC86" s="1255"/>
      <c r="RMD86" s="1255"/>
      <c r="RME86" s="1255"/>
      <c r="RMF86" s="1255"/>
      <c r="RMG86" s="1255"/>
      <c r="RMH86" s="1255"/>
      <c r="RMI86" s="1255"/>
      <c r="RMJ86" s="1255"/>
      <c r="RMK86" s="1255"/>
      <c r="RML86" s="1255"/>
      <c r="RMM86" s="1255"/>
      <c r="RMN86" s="1255"/>
      <c r="RMO86" s="1255"/>
      <c r="RMP86" s="1255"/>
      <c r="RMQ86" s="1255"/>
      <c r="RMR86" s="1255"/>
      <c r="RMS86" s="1255"/>
      <c r="RMT86" s="1255"/>
      <c r="RMU86" s="1255"/>
      <c r="RMV86" s="1255"/>
      <c r="RMW86" s="1255"/>
      <c r="RMX86" s="1255"/>
      <c r="RMY86" s="1255"/>
      <c r="RMZ86" s="1255"/>
      <c r="RNA86" s="1255"/>
      <c r="RNB86" s="1255"/>
      <c r="RNC86" s="1255"/>
      <c r="RND86" s="1255"/>
      <c r="RNE86" s="1255"/>
      <c r="RNF86" s="1255"/>
      <c r="RNG86" s="1255"/>
      <c r="RNH86" s="1255"/>
      <c r="RNI86" s="1255"/>
      <c r="RNJ86" s="1255"/>
      <c r="RNK86" s="1255"/>
      <c r="RNL86" s="1255"/>
      <c r="RNM86" s="1255"/>
      <c r="RNN86" s="1255"/>
      <c r="RNO86" s="1255"/>
      <c r="RNP86" s="1255"/>
      <c r="RNQ86" s="1255"/>
      <c r="RNR86" s="1255"/>
      <c r="RNS86" s="1255"/>
      <c r="RNT86" s="1255"/>
      <c r="RNU86" s="1255"/>
      <c r="RNV86" s="1255"/>
      <c r="RNW86" s="1255"/>
      <c r="RNX86" s="1255"/>
      <c r="RNY86" s="1255"/>
      <c r="RNZ86" s="1255"/>
      <c r="ROA86" s="1255"/>
      <c r="ROB86" s="1255"/>
      <c r="ROC86" s="1255"/>
      <c r="ROD86" s="1255"/>
      <c r="ROE86" s="1255"/>
      <c r="ROF86" s="1255"/>
      <c r="ROG86" s="1255"/>
      <c r="ROH86" s="1255"/>
      <c r="ROI86" s="1255"/>
      <c r="ROJ86" s="1255"/>
      <c r="ROK86" s="1255"/>
      <c r="ROL86" s="1255"/>
      <c r="ROM86" s="1255"/>
      <c r="RON86" s="1255"/>
      <c r="ROO86" s="1255"/>
      <c r="ROP86" s="1255"/>
      <c r="ROQ86" s="1255"/>
      <c r="ROR86" s="1255"/>
      <c r="ROS86" s="1255"/>
      <c r="ROT86" s="1255"/>
      <c r="ROU86" s="1255"/>
      <c r="ROV86" s="1255"/>
      <c r="ROW86" s="1255"/>
      <c r="ROX86" s="1255"/>
      <c r="ROY86" s="1255"/>
      <c r="ROZ86" s="1255"/>
      <c r="RPA86" s="1255"/>
      <c r="RPB86" s="1255"/>
      <c r="RPC86" s="1255"/>
      <c r="RPD86" s="1255"/>
      <c r="RPE86" s="1255"/>
      <c r="RPF86" s="1255"/>
      <c r="RPG86" s="1255"/>
      <c r="RPH86" s="1255"/>
      <c r="RPI86" s="1255"/>
      <c r="RPJ86" s="1255"/>
      <c r="RPK86" s="1255"/>
      <c r="RPL86" s="1255"/>
      <c r="RPM86" s="1255"/>
      <c r="RPN86" s="1255"/>
      <c r="RPO86" s="1255"/>
      <c r="RPP86" s="1255"/>
      <c r="RPQ86" s="1255"/>
      <c r="RPR86" s="1255"/>
      <c r="RPS86" s="1255"/>
      <c r="RPT86" s="1255"/>
      <c r="RPU86" s="1255"/>
      <c r="RPV86" s="1255"/>
      <c r="RPW86" s="1255"/>
      <c r="RPX86" s="1255"/>
      <c r="RPY86" s="1255"/>
      <c r="RPZ86" s="1255"/>
      <c r="RQA86" s="1255"/>
      <c r="RQB86" s="1255"/>
      <c r="RQC86" s="1255"/>
      <c r="RQD86" s="1255"/>
      <c r="RQE86" s="1255"/>
      <c r="RQF86" s="1255"/>
      <c r="RQG86" s="1255"/>
      <c r="RQH86" s="1255"/>
      <c r="RQI86" s="1255"/>
      <c r="RQJ86" s="1255"/>
      <c r="RQK86" s="1255"/>
      <c r="RQL86" s="1255"/>
      <c r="RQM86" s="1255"/>
      <c r="RQN86" s="1255"/>
      <c r="RQO86" s="1255"/>
      <c r="RQP86" s="1255"/>
      <c r="RQQ86" s="1255"/>
      <c r="RQR86" s="1255"/>
      <c r="RQS86" s="1255"/>
      <c r="RQT86" s="1255"/>
      <c r="RQU86" s="1255"/>
      <c r="RQV86" s="1255"/>
      <c r="RQW86" s="1255"/>
      <c r="RQX86" s="1255"/>
      <c r="RQY86" s="1255"/>
      <c r="RQZ86" s="1255"/>
      <c r="RRA86" s="1255"/>
      <c r="RRB86" s="1255"/>
      <c r="RRC86" s="1255"/>
      <c r="RRD86" s="1255"/>
      <c r="RRE86" s="1255"/>
      <c r="RRF86" s="1255"/>
      <c r="RRG86" s="1255"/>
      <c r="RRH86" s="1255"/>
      <c r="RRI86" s="1255"/>
      <c r="RRJ86" s="1255"/>
      <c r="RRK86" s="1255"/>
      <c r="RRL86" s="1255"/>
      <c r="RRM86" s="1255"/>
      <c r="RRN86" s="1255"/>
      <c r="RRO86" s="1255"/>
      <c r="RRP86" s="1255"/>
      <c r="RRQ86" s="1255"/>
      <c r="RRR86" s="1255"/>
      <c r="RRS86" s="1255"/>
      <c r="RRT86" s="1255"/>
      <c r="RRU86" s="1255"/>
      <c r="RRV86" s="1255"/>
      <c r="RRW86" s="1255"/>
      <c r="RRX86" s="1255"/>
      <c r="RRY86" s="1255"/>
      <c r="RRZ86" s="1255"/>
      <c r="RSA86" s="1255"/>
      <c r="RSB86" s="1255"/>
      <c r="RSC86" s="1255"/>
      <c r="RSD86" s="1255"/>
      <c r="RSE86" s="1255"/>
      <c r="RSF86" s="1255"/>
      <c r="RSG86" s="1255"/>
      <c r="RSH86" s="1255"/>
      <c r="RSI86" s="1255"/>
      <c r="RSJ86" s="1255"/>
      <c r="RSK86" s="1255"/>
      <c r="RSL86" s="1255"/>
      <c r="RSM86" s="1255"/>
      <c r="RSN86" s="1255"/>
      <c r="RSO86" s="1255"/>
      <c r="RSP86" s="1255"/>
      <c r="RSQ86" s="1255"/>
      <c r="RSR86" s="1255"/>
      <c r="RSS86" s="1255"/>
      <c r="RST86" s="1255"/>
      <c r="RSU86" s="1255"/>
      <c r="RSV86" s="1255"/>
      <c r="RSW86" s="1255"/>
      <c r="RSX86" s="1255"/>
      <c r="RSY86" s="1255"/>
      <c r="RSZ86" s="1255"/>
      <c r="RTA86" s="1255"/>
      <c r="RTB86" s="1255"/>
      <c r="RTC86" s="1255"/>
      <c r="RTD86" s="1255"/>
      <c r="RTE86" s="1255"/>
      <c r="RTF86" s="1255"/>
      <c r="RTG86" s="1255"/>
      <c r="RTH86" s="1255"/>
      <c r="RTI86" s="1255"/>
      <c r="RTJ86" s="1255"/>
      <c r="RTK86" s="1255"/>
      <c r="RTL86" s="1255"/>
      <c r="RTM86" s="1255"/>
      <c r="RTN86" s="1255"/>
      <c r="RTO86" s="1255"/>
      <c r="RTP86" s="1255"/>
      <c r="RTQ86" s="1255"/>
      <c r="RTR86" s="1255"/>
      <c r="RTS86" s="1255"/>
      <c r="RTT86" s="1255"/>
      <c r="RTU86" s="1255"/>
      <c r="RTV86" s="1255"/>
      <c r="RTW86" s="1255"/>
      <c r="RTX86" s="1255"/>
      <c r="RTY86" s="1255"/>
      <c r="RTZ86" s="1255"/>
      <c r="RUA86" s="1255"/>
      <c r="RUB86" s="1255"/>
      <c r="RUC86" s="1255"/>
      <c r="RUD86" s="1255"/>
      <c r="RUE86" s="1255"/>
      <c r="RUF86" s="1255"/>
      <c r="RUG86" s="1255"/>
      <c r="RUH86" s="1255"/>
      <c r="RUI86" s="1255"/>
      <c r="RUJ86" s="1255"/>
      <c r="RUK86" s="1255"/>
      <c r="RUL86" s="1255"/>
      <c r="RUM86" s="1255"/>
      <c r="RUN86" s="1255"/>
      <c r="RUO86" s="1255"/>
      <c r="RUP86" s="1255"/>
      <c r="RUQ86" s="1255"/>
      <c r="RUR86" s="1255"/>
      <c r="RUS86" s="1255"/>
      <c r="RUT86" s="1255"/>
      <c r="RUU86" s="1255"/>
      <c r="RUV86" s="1255"/>
      <c r="RUW86" s="1255"/>
      <c r="RUX86" s="1255"/>
      <c r="RUY86" s="1255"/>
      <c r="RUZ86" s="1255"/>
      <c r="RVA86" s="1255"/>
      <c r="RVB86" s="1255"/>
      <c r="RVC86" s="1255"/>
      <c r="RVD86" s="1255"/>
      <c r="RVE86" s="1255"/>
      <c r="RVF86" s="1255"/>
      <c r="RVG86" s="1255"/>
      <c r="RVH86" s="1255"/>
      <c r="RVI86" s="1255"/>
      <c r="RVJ86" s="1255"/>
      <c r="RVK86" s="1255"/>
      <c r="RVL86" s="1255"/>
      <c r="RVM86" s="1255"/>
      <c r="RVN86" s="1255"/>
      <c r="RVO86" s="1255"/>
      <c r="RVP86" s="1255"/>
      <c r="RVQ86" s="1255"/>
      <c r="RVR86" s="1255"/>
      <c r="RVS86" s="1255"/>
      <c r="RVT86" s="1255"/>
      <c r="RVU86" s="1255"/>
      <c r="RVV86" s="1255"/>
      <c r="RVW86" s="1255"/>
      <c r="RVX86" s="1255"/>
      <c r="RVY86" s="1255"/>
      <c r="RVZ86" s="1255"/>
      <c r="RWA86" s="1255"/>
      <c r="RWB86" s="1255"/>
      <c r="RWC86" s="1255"/>
      <c r="RWD86" s="1255"/>
      <c r="RWE86" s="1255"/>
      <c r="RWF86" s="1255"/>
      <c r="RWG86" s="1255"/>
      <c r="RWH86" s="1255"/>
      <c r="RWI86" s="1255"/>
      <c r="RWJ86" s="1255"/>
      <c r="RWK86" s="1255"/>
      <c r="RWL86" s="1255"/>
      <c r="RWM86" s="1255"/>
      <c r="RWN86" s="1255"/>
      <c r="RWO86" s="1255"/>
      <c r="RWP86" s="1255"/>
      <c r="RWQ86" s="1255"/>
      <c r="RWR86" s="1255"/>
      <c r="RWS86" s="1255"/>
      <c r="RWT86" s="1255"/>
      <c r="RWU86" s="1255"/>
      <c r="RWV86" s="1255"/>
      <c r="RWW86" s="1255"/>
      <c r="RWX86" s="1255"/>
      <c r="RWY86" s="1255"/>
      <c r="RWZ86" s="1255"/>
      <c r="RXA86" s="1255"/>
      <c r="RXB86" s="1255"/>
      <c r="RXC86" s="1255"/>
      <c r="RXD86" s="1255"/>
      <c r="RXE86" s="1255"/>
      <c r="RXF86" s="1255"/>
      <c r="RXG86" s="1255"/>
      <c r="RXH86" s="1255"/>
      <c r="RXI86" s="1255"/>
      <c r="RXJ86" s="1255"/>
      <c r="RXK86" s="1255"/>
      <c r="RXL86" s="1255"/>
      <c r="RXM86" s="1255"/>
      <c r="RXN86" s="1255"/>
      <c r="RXO86" s="1255"/>
      <c r="RXP86" s="1255"/>
      <c r="RXQ86" s="1255"/>
      <c r="RXR86" s="1255"/>
      <c r="RXS86" s="1255"/>
      <c r="RXT86" s="1255"/>
      <c r="RXU86" s="1255"/>
      <c r="RXV86" s="1255"/>
      <c r="RXW86" s="1255"/>
      <c r="RXX86" s="1255"/>
      <c r="RXY86" s="1255"/>
      <c r="RXZ86" s="1255"/>
      <c r="RYA86" s="1255"/>
      <c r="RYB86" s="1255"/>
      <c r="RYC86" s="1255"/>
      <c r="RYD86" s="1255"/>
      <c r="RYE86" s="1255"/>
      <c r="RYF86" s="1255"/>
      <c r="RYG86" s="1255"/>
      <c r="RYH86" s="1255"/>
      <c r="RYI86" s="1255"/>
      <c r="RYJ86" s="1255"/>
      <c r="RYK86" s="1255"/>
      <c r="RYL86" s="1255"/>
      <c r="RYM86" s="1255"/>
      <c r="RYN86" s="1255"/>
      <c r="RYO86" s="1255"/>
      <c r="RYP86" s="1255"/>
      <c r="RYQ86" s="1255"/>
      <c r="RYR86" s="1255"/>
      <c r="RYS86" s="1255"/>
      <c r="RYT86" s="1255"/>
      <c r="RYU86" s="1255"/>
      <c r="RYV86" s="1255"/>
      <c r="RYW86" s="1255"/>
      <c r="RYX86" s="1255"/>
      <c r="RYY86" s="1255"/>
      <c r="RYZ86" s="1255"/>
      <c r="RZA86" s="1255"/>
      <c r="RZB86" s="1255"/>
      <c r="RZC86" s="1255"/>
      <c r="RZD86" s="1255"/>
      <c r="RZE86" s="1255"/>
      <c r="RZF86" s="1255"/>
      <c r="RZG86" s="1255"/>
      <c r="RZH86" s="1255"/>
      <c r="RZI86" s="1255"/>
      <c r="RZJ86" s="1255"/>
      <c r="RZK86" s="1255"/>
      <c r="RZL86" s="1255"/>
      <c r="RZM86" s="1255"/>
      <c r="RZN86" s="1255"/>
      <c r="RZO86" s="1255"/>
      <c r="RZP86" s="1255"/>
      <c r="RZQ86" s="1255"/>
      <c r="RZR86" s="1255"/>
      <c r="RZS86" s="1255"/>
      <c r="RZT86" s="1255"/>
      <c r="RZU86" s="1255"/>
      <c r="RZV86" s="1255"/>
      <c r="RZW86" s="1255"/>
      <c r="RZX86" s="1255"/>
      <c r="RZY86" s="1255"/>
      <c r="RZZ86" s="1255"/>
      <c r="SAA86" s="1255"/>
      <c r="SAB86" s="1255"/>
      <c r="SAC86" s="1255"/>
      <c r="SAD86" s="1255"/>
      <c r="SAE86" s="1255"/>
      <c r="SAF86" s="1255"/>
      <c r="SAG86" s="1255"/>
      <c r="SAH86" s="1255"/>
      <c r="SAI86" s="1255"/>
      <c r="SAJ86" s="1255"/>
      <c r="SAK86" s="1255"/>
      <c r="SAL86" s="1255"/>
      <c r="SAM86" s="1255"/>
      <c r="SAN86" s="1255"/>
      <c r="SAO86" s="1255"/>
      <c r="SAP86" s="1255"/>
      <c r="SAQ86" s="1255"/>
      <c r="SAR86" s="1255"/>
      <c r="SAS86" s="1255"/>
      <c r="SAT86" s="1255"/>
      <c r="SAU86" s="1255"/>
      <c r="SAV86" s="1255"/>
      <c r="SAW86" s="1255"/>
      <c r="SAX86" s="1255"/>
      <c r="SAY86" s="1255"/>
      <c r="SAZ86" s="1255"/>
      <c r="SBA86" s="1255"/>
      <c r="SBB86" s="1255"/>
      <c r="SBC86" s="1255"/>
      <c r="SBD86" s="1255"/>
      <c r="SBE86" s="1255"/>
      <c r="SBF86" s="1255"/>
      <c r="SBG86" s="1255"/>
      <c r="SBH86" s="1255"/>
      <c r="SBI86" s="1255"/>
      <c r="SBJ86" s="1255"/>
      <c r="SBK86" s="1255"/>
      <c r="SBL86" s="1255"/>
      <c r="SBM86" s="1255"/>
      <c r="SBN86" s="1255"/>
      <c r="SBO86" s="1255"/>
      <c r="SBP86" s="1255"/>
      <c r="SBQ86" s="1255"/>
      <c r="SBR86" s="1255"/>
      <c r="SBS86" s="1255"/>
      <c r="SBT86" s="1255"/>
      <c r="SBU86" s="1255"/>
      <c r="SBV86" s="1255"/>
      <c r="SBW86" s="1255"/>
      <c r="SBX86" s="1255"/>
      <c r="SBY86" s="1255"/>
      <c r="SBZ86" s="1255"/>
      <c r="SCA86" s="1255"/>
      <c r="SCB86" s="1255"/>
      <c r="SCC86" s="1255"/>
      <c r="SCD86" s="1255"/>
      <c r="SCE86" s="1255"/>
      <c r="SCF86" s="1255"/>
      <c r="SCG86" s="1255"/>
      <c r="SCH86" s="1255"/>
      <c r="SCI86" s="1255"/>
      <c r="SCJ86" s="1255"/>
      <c r="SCK86" s="1255"/>
      <c r="SCL86" s="1255"/>
      <c r="SCM86" s="1255"/>
      <c r="SCN86" s="1255"/>
      <c r="SCO86" s="1255"/>
      <c r="SCP86" s="1255"/>
      <c r="SCQ86" s="1255"/>
      <c r="SCR86" s="1255"/>
      <c r="SCS86" s="1255"/>
      <c r="SCT86" s="1255"/>
      <c r="SCU86" s="1255"/>
      <c r="SCV86" s="1255"/>
      <c r="SCW86" s="1255"/>
      <c r="SCX86" s="1255"/>
      <c r="SCY86" s="1255"/>
      <c r="SCZ86" s="1255"/>
      <c r="SDA86" s="1255"/>
      <c r="SDB86" s="1255"/>
      <c r="SDC86" s="1255"/>
      <c r="SDD86" s="1255"/>
      <c r="SDE86" s="1255"/>
      <c r="SDF86" s="1255"/>
      <c r="SDG86" s="1255"/>
      <c r="SDH86" s="1255"/>
      <c r="SDI86" s="1255"/>
      <c r="SDJ86" s="1255"/>
      <c r="SDK86" s="1255"/>
      <c r="SDL86" s="1255"/>
      <c r="SDM86" s="1255"/>
      <c r="SDN86" s="1255"/>
      <c r="SDO86" s="1255"/>
      <c r="SDP86" s="1255"/>
      <c r="SDQ86" s="1255"/>
      <c r="SDR86" s="1255"/>
      <c r="SDS86" s="1255"/>
      <c r="SDT86" s="1255"/>
      <c r="SDU86" s="1255"/>
      <c r="SDV86" s="1255"/>
      <c r="SDW86" s="1255"/>
      <c r="SDX86" s="1255"/>
      <c r="SDY86" s="1255"/>
      <c r="SDZ86" s="1255"/>
      <c r="SEA86" s="1255"/>
      <c r="SEB86" s="1255"/>
      <c r="SEC86" s="1255"/>
      <c r="SED86" s="1255"/>
      <c r="SEE86" s="1255"/>
      <c r="SEF86" s="1255"/>
      <c r="SEG86" s="1255"/>
      <c r="SEH86" s="1255"/>
      <c r="SEI86" s="1255"/>
      <c r="SEJ86" s="1255"/>
      <c r="SEK86" s="1255"/>
      <c r="SEL86" s="1255"/>
      <c r="SEM86" s="1255"/>
      <c r="SEN86" s="1255"/>
      <c r="SEO86" s="1255"/>
      <c r="SEP86" s="1255"/>
      <c r="SEQ86" s="1255"/>
      <c r="SER86" s="1255"/>
      <c r="SES86" s="1255"/>
      <c r="SET86" s="1255"/>
      <c r="SEU86" s="1255"/>
      <c r="SEV86" s="1255"/>
      <c r="SEW86" s="1255"/>
      <c r="SEX86" s="1255"/>
      <c r="SEY86" s="1255"/>
      <c r="SEZ86" s="1255"/>
      <c r="SFA86" s="1255"/>
      <c r="SFB86" s="1255"/>
      <c r="SFC86" s="1255"/>
      <c r="SFD86" s="1255"/>
      <c r="SFE86" s="1255"/>
      <c r="SFF86" s="1255"/>
      <c r="SFG86" s="1255"/>
      <c r="SFH86" s="1255"/>
      <c r="SFI86" s="1255"/>
      <c r="SFJ86" s="1255"/>
      <c r="SFK86" s="1255"/>
      <c r="SFL86" s="1255"/>
      <c r="SFM86" s="1255"/>
      <c r="SFN86" s="1255"/>
      <c r="SFO86" s="1255"/>
      <c r="SFP86" s="1255"/>
      <c r="SFQ86" s="1255"/>
      <c r="SFR86" s="1255"/>
      <c r="SFS86" s="1255"/>
      <c r="SFT86" s="1255"/>
      <c r="SFU86" s="1255"/>
      <c r="SFV86" s="1255"/>
      <c r="SFW86" s="1255"/>
      <c r="SFX86" s="1255"/>
      <c r="SFY86" s="1255"/>
      <c r="SFZ86" s="1255"/>
      <c r="SGA86" s="1255"/>
      <c r="SGB86" s="1255"/>
      <c r="SGC86" s="1255"/>
      <c r="SGD86" s="1255"/>
      <c r="SGE86" s="1255"/>
      <c r="SGF86" s="1255"/>
      <c r="SGG86" s="1255"/>
      <c r="SGH86" s="1255"/>
      <c r="SGI86" s="1255"/>
      <c r="SGJ86" s="1255"/>
      <c r="SGK86" s="1255"/>
      <c r="SGL86" s="1255"/>
      <c r="SGM86" s="1255"/>
      <c r="SGN86" s="1255"/>
      <c r="SGO86" s="1255"/>
      <c r="SGP86" s="1255"/>
      <c r="SGQ86" s="1255"/>
      <c r="SGR86" s="1255"/>
      <c r="SGS86" s="1255"/>
      <c r="SGT86" s="1255"/>
      <c r="SGU86" s="1255"/>
      <c r="SGV86" s="1255"/>
      <c r="SGW86" s="1255"/>
      <c r="SGX86" s="1255"/>
      <c r="SGY86" s="1255"/>
      <c r="SGZ86" s="1255"/>
      <c r="SHA86" s="1255"/>
      <c r="SHB86" s="1255"/>
      <c r="SHC86" s="1255"/>
      <c r="SHD86" s="1255"/>
      <c r="SHE86" s="1255"/>
      <c r="SHF86" s="1255"/>
      <c r="SHG86" s="1255"/>
      <c r="SHH86" s="1255"/>
      <c r="SHI86" s="1255"/>
      <c r="SHJ86" s="1255"/>
      <c r="SHK86" s="1255"/>
      <c r="SHL86" s="1255"/>
      <c r="SHM86" s="1255"/>
      <c r="SHN86" s="1255"/>
      <c r="SHO86" s="1255"/>
      <c r="SHP86" s="1255"/>
      <c r="SHQ86" s="1255"/>
      <c r="SHR86" s="1255"/>
      <c r="SHS86" s="1255"/>
      <c r="SHT86" s="1255"/>
      <c r="SHU86" s="1255"/>
      <c r="SHV86" s="1255"/>
      <c r="SHW86" s="1255"/>
      <c r="SHX86" s="1255"/>
      <c r="SHY86" s="1255"/>
      <c r="SHZ86" s="1255"/>
      <c r="SIA86" s="1255"/>
      <c r="SIB86" s="1255"/>
      <c r="SIC86" s="1255"/>
      <c r="SID86" s="1255"/>
      <c r="SIE86" s="1255"/>
      <c r="SIF86" s="1255"/>
      <c r="SIG86" s="1255"/>
      <c r="SIH86" s="1255"/>
      <c r="SII86" s="1255"/>
      <c r="SIJ86" s="1255"/>
      <c r="SIK86" s="1255"/>
      <c r="SIL86" s="1255"/>
      <c r="SIM86" s="1255"/>
      <c r="SIN86" s="1255"/>
      <c r="SIO86" s="1255"/>
      <c r="SIP86" s="1255"/>
      <c r="SIQ86" s="1255"/>
      <c r="SIR86" s="1255"/>
      <c r="SIS86" s="1255"/>
      <c r="SIT86" s="1255"/>
      <c r="SIU86" s="1255"/>
      <c r="SIV86" s="1255"/>
      <c r="SIW86" s="1255"/>
      <c r="SIX86" s="1255"/>
      <c r="SIY86" s="1255"/>
      <c r="SIZ86" s="1255"/>
      <c r="SJA86" s="1255"/>
      <c r="SJB86" s="1255"/>
      <c r="SJC86" s="1255"/>
      <c r="SJD86" s="1255"/>
      <c r="SJE86" s="1255"/>
      <c r="SJF86" s="1255"/>
      <c r="SJG86" s="1255"/>
      <c r="SJH86" s="1255"/>
      <c r="SJI86" s="1255"/>
      <c r="SJJ86" s="1255"/>
      <c r="SJK86" s="1255"/>
      <c r="SJL86" s="1255"/>
      <c r="SJM86" s="1255"/>
      <c r="SJN86" s="1255"/>
      <c r="SJO86" s="1255"/>
      <c r="SJP86" s="1255"/>
      <c r="SJQ86" s="1255"/>
      <c r="SJR86" s="1255"/>
      <c r="SJS86" s="1255"/>
      <c r="SJT86" s="1255"/>
      <c r="SJU86" s="1255"/>
      <c r="SJV86" s="1255"/>
      <c r="SJW86" s="1255"/>
      <c r="SJX86" s="1255"/>
      <c r="SJY86" s="1255"/>
      <c r="SJZ86" s="1255"/>
      <c r="SKA86" s="1255"/>
      <c r="SKB86" s="1255"/>
      <c r="SKC86" s="1255"/>
      <c r="SKD86" s="1255"/>
      <c r="SKE86" s="1255"/>
      <c r="SKF86" s="1255"/>
      <c r="SKG86" s="1255"/>
      <c r="SKH86" s="1255"/>
      <c r="SKI86" s="1255"/>
      <c r="SKJ86" s="1255"/>
      <c r="SKK86" s="1255"/>
      <c r="SKL86" s="1255"/>
      <c r="SKM86" s="1255"/>
      <c r="SKN86" s="1255"/>
      <c r="SKO86" s="1255"/>
      <c r="SKP86" s="1255"/>
      <c r="SKQ86" s="1255"/>
      <c r="SKR86" s="1255"/>
      <c r="SKS86" s="1255"/>
      <c r="SKT86" s="1255"/>
      <c r="SKU86" s="1255"/>
      <c r="SKV86" s="1255"/>
      <c r="SKW86" s="1255"/>
      <c r="SKX86" s="1255"/>
      <c r="SKY86" s="1255"/>
      <c r="SKZ86" s="1255"/>
      <c r="SLA86" s="1255"/>
      <c r="SLB86" s="1255"/>
      <c r="SLC86" s="1255"/>
      <c r="SLD86" s="1255"/>
      <c r="SLE86" s="1255"/>
      <c r="SLF86" s="1255"/>
      <c r="SLG86" s="1255"/>
      <c r="SLH86" s="1255"/>
      <c r="SLI86" s="1255"/>
      <c r="SLJ86" s="1255"/>
      <c r="SLK86" s="1255"/>
      <c r="SLL86" s="1255"/>
      <c r="SLM86" s="1255"/>
      <c r="SLN86" s="1255"/>
      <c r="SLO86" s="1255"/>
      <c r="SLP86" s="1255"/>
      <c r="SLQ86" s="1255"/>
      <c r="SLR86" s="1255"/>
      <c r="SLS86" s="1255"/>
      <c r="SLT86" s="1255"/>
      <c r="SLU86" s="1255"/>
      <c r="SLV86" s="1255"/>
      <c r="SLW86" s="1255"/>
      <c r="SLX86" s="1255"/>
      <c r="SLY86" s="1255"/>
      <c r="SLZ86" s="1255"/>
      <c r="SMA86" s="1255"/>
      <c r="SMB86" s="1255"/>
      <c r="SMC86" s="1255"/>
      <c r="SMD86" s="1255"/>
      <c r="SME86" s="1255"/>
      <c r="SMF86" s="1255"/>
      <c r="SMG86" s="1255"/>
      <c r="SMH86" s="1255"/>
      <c r="SMI86" s="1255"/>
      <c r="SMJ86" s="1255"/>
      <c r="SMK86" s="1255"/>
      <c r="SML86" s="1255"/>
      <c r="SMM86" s="1255"/>
      <c r="SMN86" s="1255"/>
      <c r="SMO86" s="1255"/>
      <c r="SMP86" s="1255"/>
      <c r="SMQ86" s="1255"/>
      <c r="SMR86" s="1255"/>
      <c r="SMS86" s="1255"/>
      <c r="SMT86" s="1255"/>
      <c r="SMU86" s="1255"/>
      <c r="SMV86" s="1255"/>
      <c r="SMW86" s="1255"/>
      <c r="SMX86" s="1255"/>
      <c r="SMY86" s="1255"/>
      <c r="SMZ86" s="1255"/>
      <c r="SNA86" s="1255"/>
      <c r="SNB86" s="1255"/>
      <c r="SNC86" s="1255"/>
      <c r="SND86" s="1255"/>
      <c r="SNE86" s="1255"/>
      <c r="SNF86" s="1255"/>
      <c r="SNG86" s="1255"/>
      <c r="SNH86" s="1255"/>
      <c r="SNI86" s="1255"/>
      <c r="SNJ86" s="1255"/>
      <c r="SNK86" s="1255"/>
      <c r="SNL86" s="1255"/>
      <c r="SNM86" s="1255"/>
      <c r="SNN86" s="1255"/>
      <c r="SNO86" s="1255"/>
      <c r="SNP86" s="1255"/>
      <c r="SNQ86" s="1255"/>
      <c r="SNR86" s="1255"/>
      <c r="SNS86" s="1255"/>
      <c r="SNT86" s="1255"/>
      <c r="SNU86" s="1255"/>
      <c r="SNV86" s="1255"/>
      <c r="SNW86" s="1255"/>
      <c r="SNX86" s="1255"/>
      <c r="SNY86" s="1255"/>
      <c r="SNZ86" s="1255"/>
      <c r="SOA86" s="1255"/>
      <c r="SOB86" s="1255"/>
      <c r="SOC86" s="1255"/>
      <c r="SOD86" s="1255"/>
      <c r="SOE86" s="1255"/>
      <c r="SOF86" s="1255"/>
      <c r="SOG86" s="1255"/>
      <c r="SOH86" s="1255"/>
      <c r="SOI86" s="1255"/>
      <c r="SOJ86" s="1255"/>
      <c r="SOK86" s="1255"/>
      <c r="SOL86" s="1255"/>
      <c r="SOM86" s="1255"/>
      <c r="SON86" s="1255"/>
      <c r="SOO86" s="1255"/>
      <c r="SOP86" s="1255"/>
      <c r="SOQ86" s="1255"/>
      <c r="SOR86" s="1255"/>
      <c r="SOS86" s="1255"/>
      <c r="SOT86" s="1255"/>
      <c r="SOU86" s="1255"/>
      <c r="SOV86" s="1255"/>
      <c r="SOW86" s="1255"/>
      <c r="SOX86" s="1255"/>
      <c r="SOY86" s="1255"/>
      <c r="SOZ86" s="1255"/>
      <c r="SPA86" s="1255"/>
      <c r="SPB86" s="1255"/>
      <c r="SPC86" s="1255"/>
      <c r="SPD86" s="1255"/>
      <c r="SPE86" s="1255"/>
      <c r="SPF86" s="1255"/>
      <c r="SPG86" s="1255"/>
      <c r="SPH86" s="1255"/>
      <c r="SPI86" s="1255"/>
      <c r="SPJ86" s="1255"/>
      <c r="SPK86" s="1255"/>
      <c r="SPL86" s="1255"/>
      <c r="SPM86" s="1255"/>
      <c r="SPN86" s="1255"/>
      <c r="SPO86" s="1255"/>
      <c r="SPP86" s="1255"/>
      <c r="SPQ86" s="1255"/>
      <c r="SPR86" s="1255"/>
      <c r="SPS86" s="1255"/>
      <c r="SPT86" s="1255"/>
      <c r="SPU86" s="1255"/>
      <c r="SPV86" s="1255"/>
      <c r="SPW86" s="1255"/>
      <c r="SPX86" s="1255"/>
      <c r="SPY86" s="1255"/>
      <c r="SPZ86" s="1255"/>
      <c r="SQA86" s="1255"/>
      <c r="SQB86" s="1255"/>
      <c r="SQC86" s="1255"/>
      <c r="SQD86" s="1255"/>
      <c r="SQE86" s="1255"/>
      <c r="SQF86" s="1255"/>
      <c r="SQG86" s="1255"/>
      <c r="SQH86" s="1255"/>
      <c r="SQI86" s="1255"/>
      <c r="SQJ86" s="1255"/>
      <c r="SQK86" s="1255"/>
      <c r="SQL86" s="1255"/>
      <c r="SQM86" s="1255"/>
      <c r="SQN86" s="1255"/>
      <c r="SQO86" s="1255"/>
      <c r="SQP86" s="1255"/>
      <c r="SQQ86" s="1255"/>
      <c r="SQR86" s="1255"/>
      <c r="SQS86" s="1255"/>
      <c r="SQT86" s="1255"/>
      <c r="SQU86" s="1255"/>
      <c r="SQV86" s="1255"/>
      <c r="SQW86" s="1255"/>
      <c r="SQX86" s="1255"/>
      <c r="SQY86" s="1255"/>
      <c r="SQZ86" s="1255"/>
      <c r="SRA86" s="1255"/>
      <c r="SRB86" s="1255"/>
      <c r="SRC86" s="1255"/>
      <c r="SRD86" s="1255"/>
      <c r="SRE86" s="1255"/>
      <c r="SRF86" s="1255"/>
      <c r="SRG86" s="1255"/>
      <c r="SRH86" s="1255"/>
      <c r="SRI86" s="1255"/>
      <c r="SRJ86" s="1255"/>
      <c r="SRK86" s="1255"/>
      <c r="SRL86" s="1255"/>
      <c r="SRM86" s="1255"/>
      <c r="SRN86" s="1255"/>
      <c r="SRO86" s="1255"/>
      <c r="SRP86" s="1255"/>
      <c r="SRQ86" s="1255"/>
      <c r="SRR86" s="1255"/>
      <c r="SRS86" s="1255"/>
      <c r="SRT86" s="1255"/>
      <c r="SRU86" s="1255"/>
      <c r="SRV86" s="1255"/>
      <c r="SRW86" s="1255"/>
      <c r="SRX86" s="1255"/>
      <c r="SRY86" s="1255"/>
      <c r="SRZ86" s="1255"/>
      <c r="SSA86" s="1255"/>
      <c r="SSB86" s="1255"/>
      <c r="SSC86" s="1255"/>
      <c r="SSD86" s="1255"/>
      <c r="SSE86" s="1255"/>
      <c r="SSF86" s="1255"/>
      <c r="SSG86" s="1255"/>
      <c r="SSH86" s="1255"/>
      <c r="SSI86" s="1255"/>
      <c r="SSJ86" s="1255"/>
      <c r="SSK86" s="1255"/>
      <c r="SSL86" s="1255"/>
      <c r="SSM86" s="1255"/>
      <c r="SSN86" s="1255"/>
      <c r="SSO86" s="1255"/>
      <c r="SSP86" s="1255"/>
      <c r="SSQ86" s="1255"/>
      <c r="SSR86" s="1255"/>
      <c r="SSS86" s="1255"/>
      <c r="SST86" s="1255"/>
      <c r="SSU86" s="1255"/>
      <c r="SSV86" s="1255"/>
      <c r="SSW86" s="1255"/>
      <c r="SSX86" s="1255"/>
      <c r="SSY86" s="1255"/>
      <c r="SSZ86" s="1255"/>
      <c r="STA86" s="1255"/>
      <c r="STB86" s="1255"/>
      <c r="STC86" s="1255"/>
      <c r="STD86" s="1255"/>
      <c r="STE86" s="1255"/>
      <c r="STF86" s="1255"/>
      <c r="STG86" s="1255"/>
      <c r="STH86" s="1255"/>
      <c r="STI86" s="1255"/>
      <c r="STJ86" s="1255"/>
      <c r="STK86" s="1255"/>
      <c r="STL86" s="1255"/>
      <c r="STM86" s="1255"/>
      <c r="STN86" s="1255"/>
      <c r="STO86" s="1255"/>
      <c r="STP86" s="1255"/>
      <c r="STQ86" s="1255"/>
      <c r="STR86" s="1255"/>
      <c r="STS86" s="1255"/>
      <c r="STT86" s="1255"/>
      <c r="STU86" s="1255"/>
      <c r="STV86" s="1255"/>
      <c r="STW86" s="1255"/>
      <c r="STX86" s="1255"/>
      <c r="STY86" s="1255"/>
      <c r="STZ86" s="1255"/>
      <c r="SUA86" s="1255"/>
      <c r="SUB86" s="1255"/>
      <c r="SUC86" s="1255"/>
      <c r="SUD86" s="1255"/>
      <c r="SUE86" s="1255"/>
      <c r="SUF86" s="1255"/>
      <c r="SUG86" s="1255"/>
      <c r="SUH86" s="1255"/>
      <c r="SUI86" s="1255"/>
      <c r="SUJ86" s="1255"/>
      <c r="SUK86" s="1255"/>
      <c r="SUL86" s="1255"/>
      <c r="SUM86" s="1255"/>
      <c r="SUN86" s="1255"/>
      <c r="SUO86" s="1255"/>
      <c r="SUP86" s="1255"/>
      <c r="SUQ86" s="1255"/>
      <c r="SUR86" s="1255"/>
      <c r="SUS86" s="1255"/>
      <c r="SUT86" s="1255"/>
      <c r="SUU86" s="1255"/>
      <c r="SUV86" s="1255"/>
      <c r="SUW86" s="1255"/>
      <c r="SUX86" s="1255"/>
      <c r="SUY86" s="1255"/>
      <c r="SUZ86" s="1255"/>
      <c r="SVA86" s="1255"/>
      <c r="SVB86" s="1255"/>
      <c r="SVC86" s="1255"/>
      <c r="SVD86" s="1255"/>
      <c r="SVE86" s="1255"/>
      <c r="SVF86" s="1255"/>
      <c r="SVG86" s="1255"/>
      <c r="SVH86" s="1255"/>
      <c r="SVI86" s="1255"/>
      <c r="SVJ86" s="1255"/>
      <c r="SVK86" s="1255"/>
      <c r="SVL86" s="1255"/>
      <c r="SVM86" s="1255"/>
      <c r="SVN86" s="1255"/>
      <c r="SVO86" s="1255"/>
      <c r="SVP86" s="1255"/>
      <c r="SVQ86" s="1255"/>
      <c r="SVR86" s="1255"/>
      <c r="SVS86" s="1255"/>
      <c r="SVT86" s="1255"/>
      <c r="SVU86" s="1255"/>
      <c r="SVV86" s="1255"/>
      <c r="SVW86" s="1255"/>
      <c r="SVX86" s="1255"/>
      <c r="SVY86" s="1255"/>
      <c r="SVZ86" s="1255"/>
      <c r="SWA86" s="1255"/>
      <c r="SWB86" s="1255"/>
      <c r="SWC86" s="1255"/>
      <c r="SWD86" s="1255"/>
      <c r="SWE86" s="1255"/>
      <c r="SWF86" s="1255"/>
      <c r="SWG86" s="1255"/>
      <c r="SWH86" s="1255"/>
      <c r="SWI86" s="1255"/>
      <c r="SWJ86" s="1255"/>
      <c r="SWK86" s="1255"/>
      <c r="SWL86" s="1255"/>
      <c r="SWM86" s="1255"/>
      <c r="SWN86" s="1255"/>
      <c r="SWO86" s="1255"/>
      <c r="SWP86" s="1255"/>
      <c r="SWQ86" s="1255"/>
      <c r="SWR86" s="1255"/>
      <c r="SWS86" s="1255"/>
      <c r="SWT86" s="1255"/>
      <c r="SWU86" s="1255"/>
      <c r="SWV86" s="1255"/>
      <c r="SWW86" s="1255"/>
      <c r="SWX86" s="1255"/>
      <c r="SWY86" s="1255"/>
      <c r="SWZ86" s="1255"/>
      <c r="SXA86" s="1255"/>
      <c r="SXB86" s="1255"/>
      <c r="SXC86" s="1255"/>
      <c r="SXD86" s="1255"/>
      <c r="SXE86" s="1255"/>
      <c r="SXF86" s="1255"/>
      <c r="SXG86" s="1255"/>
      <c r="SXH86" s="1255"/>
      <c r="SXI86" s="1255"/>
      <c r="SXJ86" s="1255"/>
      <c r="SXK86" s="1255"/>
      <c r="SXL86" s="1255"/>
      <c r="SXM86" s="1255"/>
      <c r="SXN86" s="1255"/>
      <c r="SXO86" s="1255"/>
      <c r="SXP86" s="1255"/>
      <c r="SXQ86" s="1255"/>
      <c r="SXR86" s="1255"/>
      <c r="SXS86" s="1255"/>
      <c r="SXT86" s="1255"/>
      <c r="SXU86" s="1255"/>
      <c r="SXV86" s="1255"/>
      <c r="SXW86" s="1255"/>
      <c r="SXX86" s="1255"/>
      <c r="SXY86" s="1255"/>
      <c r="SXZ86" s="1255"/>
      <c r="SYA86" s="1255"/>
      <c r="SYB86" s="1255"/>
      <c r="SYC86" s="1255"/>
      <c r="SYD86" s="1255"/>
      <c r="SYE86" s="1255"/>
      <c r="SYF86" s="1255"/>
      <c r="SYG86" s="1255"/>
      <c r="SYH86" s="1255"/>
      <c r="SYI86" s="1255"/>
      <c r="SYJ86" s="1255"/>
      <c r="SYK86" s="1255"/>
      <c r="SYL86" s="1255"/>
      <c r="SYM86" s="1255"/>
      <c r="SYN86" s="1255"/>
      <c r="SYO86" s="1255"/>
      <c r="SYP86" s="1255"/>
      <c r="SYQ86" s="1255"/>
      <c r="SYR86" s="1255"/>
      <c r="SYS86" s="1255"/>
      <c r="SYT86" s="1255"/>
      <c r="SYU86" s="1255"/>
      <c r="SYV86" s="1255"/>
      <c r="SYW86" s="1255"/>
      <c r="SYX86" s="1255"/>
      <c r="SYY86" s="1255"/>
      <c r="SYZ86" s="1255"/>
      <c r="SZA86" s="1255"/>
      <c r="SZB86" s="1255"/>
      <c r="SZC86" s="1255"/>
      <c r="SZD86" s="1255"/>
      <c r="SZE86" s="1255"/>
      <c r="SZF86" s="1255"/>
      <c r="SZG86" s="1255"/>
      <c r="SZH86" s="1255"/>
      <c r="SZI86" s="1255"/>
      <c r="SZJ86" s="1255"/>
      <c r="SZK86" s="1255"/>
      <c r="SZL86" s="1255"/>
      <c r="SZM86" s="1255"/>
      <c r="SZN86" s="1255"/>
      <c r="SZO86" s="1255"/>
      <c r="SZP86" s="1255"/>
      <c r="SZQ86" s="1255"/>
      <c r="SZR86" s="1255"/>
      <c r="SZS86" s="1255"/>
      <c r="SZT86" s="1255"/>
      <c r="SZU86" s="1255"/>
      <c r="SZV86" s="1255"/>
      <c r="SZW86" s="1255"/>
      <c r="SZX86" s="1255"/>
      <c r="SZY86" s="1255"/>
      <c r="SZZ86" s="1255"/>
      <c r="TAA86" s="1255"/>
      <c r="TAB86" s="1255"/>
      <c r="TAC86" s="1255"/>
      <c r="TAD86" s="1255"/>
      <c r="TAE86" s="1255"/>
      <c r="TAF86" s="1255"/>
      <c r="TAG86" s="1255"/>
      <c r="TAH86" s="1255"/>
      <c r="TAI86" s="1255"/>
      <c r="TAJ86" s="1255"/>
      <c r="TAK86" s="1255"/>
      <c r="TAL86" s="1255"/>
      <c r="TAM86" s="1255"/>
      <c r="TAN86" s="1255"/>
      <c r="TAO86" s="1255"/>
      <c r="TAP86" s="1255"/>
      <c r="TAQ86" s="1255"/>
      <c r="TAR86" s="1255"/>
      <c r="TAS86" s="1255"/>
      <c r="TAT86" s="1255"/>
      <c r="TAU86" s="1255"/>
      <c r="TAV86" s="1255"/>
      <c r="TAW86" s="1255"/>
      <c r="TAX86" s="1255"/>
      <c r="TAY86" s="1255"/>
      <c r="TAZ86" s="1255"/>
      <c r="TBA86" s="1255"/>
      <c r="TBB86" s="1255"/>
      <c r="TBC86" s="1255"/>
      <c r="TBD86" s="1255"/>
      <c r="TBE86" s="1255"/>
      <c r="TBF86" s="1255"/>
      <c r="TBG86" s="1255"/>
      <c r="TBH86" s="1255"/>
      <c r="TBI86" s="1255"/>
      <c r="TBJ86" s="1255"/>
      <c r="TBK86" s="1255"/>
      <c r="TBL86" s="1255"/>
      <c r="TBM86" s="1255"/>
      <c r="TBN86" s="1255"/>
      <c r="TBO86" s="1255"/>
      <c r="TBP86" s="1255"/>
      <c r="TBQ86" s="1255"/>
      <c r="TBR86" s="1255"/>
      <c r="TBS86" s="1255"/>
      <c r="TBT86" s="1255"/>
      <c r="TBU86" s="1255"/>
      <c r="TBV86" s="1255"/>
      <c r="TBW86" s="1255"/>
      <c r="TBX86" s="1255"/>
      <c r="TBY86" s="1255"/>
      <c r="TBZ86" s="1255"/>
      <c r="TCA86" s="1255"/>
      <c r="TCB86" s="1255"/>
      <c r="TCC86" s="1255"/>
      <c r="TCD86" s="1255"/>
      <c r="TCE86" s="1255"/>
      <c r="TCF86" s="1255"/>
      <c r="TCG86" s="1255"/>
      <c r="TCH86" s="1255"/>
      <c r="TCI86" s="1255"/>
      <c r="TCJ86" s="1255"/>
      <c r="TCK86" s="1255"/>
      <c r="TCL86" s="1255"/>
      <c r="TCM86" s="1255"/>
      <c r="TCN86" s="1255"/>
      <c r="TCO86" s="1255"/>
      <c r="TCP86" s="1255"/>
      <c r="TCQ86" s="1255"/>
      <c r="TCR86" s="1255"/>
      <c r="TCS86" s="1255"/>
      <c r="TCT86" s="1255"/>
      <c r="TCU86" s="1255"/>
      <c r="TCV86" s="1255"/>
      <c r="TCW86" s="1255"/>
      <c r="TCX86" s="1255"/>
      <c r="TCY86" s="1255"/>
      <c r="TCZ86" s="1255"/>
      <c r="TDA86" s="1255"/>
      <c r="TDB86" s="1255"/>
      <c r="TDC86" s="1255"/>
      <c r="TDD86" s="1255"/>
      <c r="TDE86" s="1255"/>
      <c r="TDF86" s="1255"/>
      <c r="TDG86" s="1255"/>
      <c r="TDH86" s="1255"/>
      <c r="TDI86" s="1255"/>
      <c r="TDJ86" s="1255"/>
      <c r="TDK86" s="1255"/>
      <c r="TDL86" s="1255"/>
      <c r="TDM86" s="1255"/>
      <c r="TDN86" s="1255"/>
      <c r="TDO86" s="1255"/>
      <c r="TDP86" s="1255"/>
      <c r="TDQ86" s="1255"/>
      <c r="TDR86" s="1255"/>
      <c r="TDS86" s="1255"/>
      <c r="TDT86" s="1255"/>
      <c r="TDU86" s="1255"/>
      <c r="TDV86" s="1255"/>
      <c r="TDW86" s="1255"/>
      <c r="TDX86" s="1255"/>
      <c r="TDY86" s="1255"/>
      <c r="TDZ86" s="1255"/>
      <c r="TEA86" s="1255"/>
      <c r="TEB86" s="1255"/>
      <c r="TEC86" s="1255"/>
      <c r="TED86" s="1255"/>
      <c r="TEE86" s="1255"/>
      <c r="TEF86" s="1255"/>
      <c r="TEG86" s="1255"/>
      <c r="TEH86" s="1255"/>
      <c r="TEI86" s="1255"/>
      <c r="TEJ86" s="1255"/>
      <c r="TEK86" s="1255"/>
      <c r="TEL86" s="1255"/>
      <c r="TEM86" s="1255"/>
      <c r="TEN86" s="1255"/>
      <c r="TEO86" s="1255"/>
      <c r="TEP86" s="1255"/>
      <c r="TEQ86" s="1255"/>
      <c r="TER86" s="1255"/>
      <c r="TES86" s="1255"/>
      <c r="TET86" s="1255"/>
      <c r="TEU86" s="1255"/>
      <c r="TEV86" s="1255"/>
      <c r="TEW86" s="1255"/>
      <c r="TEX86" s="1255"/>
      <c r="TEY86" s="1255"/>
      <c r="TEZ86" s="1255"/>
      <c r="TFA86" s="1255"/>
      <c r="TFB86" s="1255"/>
      <c r="TFC86" s="1255"/>
      <c r="TFD86" s="1255"/>
      <c r="TFE86" s="1255"/>
      <c r="TFF86" s="1255"/>
      <c r="TFG86" s="1255"/>
      <c r="TFH86" s="1255"/>
      <c r="TFI86" s="1255"/>
      <c r="TFJ86" s="1255"/>
      <c r="TFK86" s="1255"/>
      <c r="TFL86" s="1255"/>
      <c r="TFM86" s="1255"/>
      <c r="TFN86" s="1255"/>
      <c r="TFO86" s="1255"/>
      <c r="TFP86" s="1255"/>
      <c r="TFQ86" s="1255"/>
      <c r="TFR86" s="1255"/>
      <c r="TFS86" s="1255"/>
      <c r="TFT86" s="1255"/>
      <c r="TFU86" s="1255"/>
      <c r="TFV86" s="1255"/>
      <c r="TFW86" s="1255"/>
      <c r="TFX86" s="1255"/>
      <c r="TFY86" s="1255"/>
      <c r="TFZ86" s="1255"/>
      <c r="TGA86" s="1255"/>
      <c r="TGB86" s="1255"/>
      <c r="TGC86" s="1255"/>
      <c r="TGD86" s="1255"/>
      <c r="TGE86" s="1255"/>
      <c r="TGF86" s="1255"/>
      <c r="TGG86" s="1255"/>
      <c r="TGH86" s="1255"/>
      <c r="TGI86" s="1255"/>
      <c r="TGJ86" s="1255"/>
      <c r="TGK86" s="1255"/>
      <c r="TGL86" s="1255"/>
      <c r="TGM86" s="1255"/>
      <c r="TGN86" s="1255"/>
      <c r="TGO86" s="1255"/>
      <c r="TGP86" s="1255"/>
      <c r="TGQ86" s="1255"/>
      <c r="TGR86" s="1255"/>
      <c r="TGS86" s="1255"/>
      <c r="TGT86" s="1255"/>
      <c r="TGU86" s="1255"/>
      <c r="TGV86" s="1255"/>
      <c r="TGW86" s="1255"/>
      <c r="TGX86" s="1255"/>
      <c r="TGY86" s="1255"/>
      <c r="TGZ86" s="1255"/>
      <c r="THA86" s="1255"/>
      <c r="THB86" s="1255"/>
      <c r="THC86" s="1255"/>
      <c r="THD86" s="1255"/>
      <c r="THE86" s="1255"/>
      <c r="THF86" s="1255"/>
      <c r="THG86" s="1255"/>
      <c r="THH86" s="1255"/>
      <c r="THI86" s="1255"/>
      <c r="THJ86" s="1255"/>
      <c r="THK86" s="1255"/>
      <c r="THL86" s="1255"/>
      <c r="THM86" s="1255"/>
      <c r="THN86" s="1255"/>
      <c r="THO86" s="1255"/>
      <c r="THP86" s="1255"/>
      <c r="THQ86" s="1255"/>
      <c r="THR86" s="1255"/>
      <c r="THS86" s="1255"/>
      <c r="THT86" s="1255"/>
      <c r="THU86" s="1255"/>
      <c r="THV86" s="1255"/>
      <c r="THW86" s="1255"/>
      <c r="THX86" s="1255"/>
      <c r="THY86" s="1255"/>
      <c r="THZ86" s="1255"/>
      <c r="TIA86" s="1255"/>
      <c r="TIB86" s="1255"/>
      <c r="TIC86" s="1255"/>
      <c r="TID86" s="1255"/>
      <c r="TIE86" s="1255"/>
      <c r="TIF86" s="1255"/>
      <c r="TIG86" s="1255"/>
      <c r="TIH86" s="1255"/>
      <c r="TII86" s="1255"/>
      <c r="TIJ86" s="1255"/>
      <c r="TIK86" s="1255"/>
      <c r="TIL86" s="1255"/>
      <c r="TIM86" s="1255"/>
      <c r="TIN86" s="1255"/>
      <c r="TIO86" s="1255"/>
      <c r="TIP86" s="1255"/>
      <c r="TIQ86" s="1255"/>
      <c r="TIR86" s="1255"/>
      <c r="TIS86" s="1255"/>
      <c r="TIT86" s="1255"/>
      <c r="TIU86" s="1255"/>
      <c r="TIV86" s="1255"/>
      <c r="TIW86" s="1255"/>
      <c r="TIX86" s="1255"/>
      <c r="TIY86" s="1255"/>
      <c r="TIZ86" s="1255"/>
      <c r="TJA86" s="1255"/>
      <c r="TJB86" s="1255"/>
      <c r="TJC86" s="1255"/>
      <c r="TJD86" s="1255"/>
      <c r="TJE86" s="1255"/>
      <c r="TJF86" s="1255"/>
      <c r="TJG86" s="1255"/>
      <c r="TJH86" s="1255"/>
      <c r="TJI86" s="1255"/>
      <c r="TJJ86" s="1255"/>
      <c r="TJK86" s="1255"/>
      <c r="TJL86" s="1255"/>
      <c r="TJM86" s="1255"/>
      <c r="TJN86" s="1255"/>
      <c r="TJO86" s="1255"/>
      <c r="TJP86" s="1255"/>
      <c r="TJQ86" s="1255"/>
      <c r="TJR86" s="1255"/>
      <c r="TJS86" s="1255"/>
      <c r="TJT86" s="1255"/>
      <c r="TJU86" s="1255"/>
      <c r="TJV86" s="1255"/>
      <c r="TJW86" s="1255"/>
      <c r="TJX86" s="1255"/>
      <c r="TJY86" s="1255"/>
      <c r="TJZ86" s="1255"/>
      <c r="TKA86" s="1255"/>
      <c r="TKB86" s="1255"/>
      <c r="TKC86" s="1255"/>
      <c r="TKD86" s="1255"/>
      <c r="TKE86" s="1255"/>
      <c r="TKF86" s="1255"/>
      <c r="TKG86" s="1255"/>
      <c r="TKH86" s="1255"/>
      <c r="TKI86" s="1255"/>
      <c r="TKJ86" s="1255"/>
      <c r="TKK86" s="1255"/>
      <c r="TKL86" s="1255"/>
      <c r="TKM86" s="1255"/>
      <c r="TKN86" s="1255"/>
      <c r="TKO86" s="1255"/>
      <c r="TKP86" s="1255"/>
      <c r="TKQ86" s="1255"/>
      <c r="TKR86" s="1255"/>
      <c r="TKS86" s="1255"/>
      <c r="TKT86" s="1255"/>
      <c r="TKU86" s="1255"/>
      <c r="TKV86" s="1255"/>
      <c r="TKW86" s="1255"/>
      <c r="TKX86" s="1255"/>
      <c r="TKY86" s="1255"/>
      <c r="TKZ86" s="1255"/>
      <c r="TLA86" s="1255"/>
      <c r="TLB86" s="1255"/>
      <c r="TLC86" s="1255"/>
      <c r="TLD86" s="1255"/>
      <c r="TLE86" s="1255"/>
      <c r="TLF86" s="1255"/>
      <c r="TLG86" s="1255"/>
      <c r="TLH86" s="1255"/>
      <c r="TLI86" s="1255"/>
      <c r="TLJ86" s="1255"/>
      <c r="TLK86" s="1255"/>
      <c r="TLL86" s="1255"/>
      <c r="TLM86" s="1255"/>
      <c r="TLN86" s="1255"/>
      <c r="TLO86" s="1255"/>
      <c r="TLP86" s="1255"/>
      <c r="TLQ86" s="1255"/>
      <c r="TLR86" s="1255"/>
      <c r="TLS86" s="1255"/>
      <c r="TLT86" s="1255"/>
      <c r="TLU86" s="1255"/>
      <c r="TLV86" s="1255"/>
      <c r="TLW86" s="1255"/>
      <c r="TLX86" s="1255"/>
      <c r="TLY86" s="1255"/>
      <c r="TLZ86" s="1255"/>
      <c r="TMA86" s="1255"/>
      <c r="TMB86" s="1255"/>
      <c r="TMC86" s="1255"/>
      <c r="TMD86" s="1255"/>
      <c r="TME86" s="1255"/>
      <c r="TMF86" s="1255"/>
      <c r="TMG86" s="1255"/>
      <c r="TMH86" s="1255"/>
      <c r="TMI86" s="1255"/>
      <c r="TMJ86" s="1255"/>
      <c r="TMK86" s="1255"/>
      <c r="TML86" s="1255"/>
      <c r="TMM86" s="1255"/>
      <c r="TMN86" s="1255"/>
      <c r="TMO86" s="1255"/>
      <c r="TMP86" s="1255"/>
      <c r="TMQ86" s="1255"/>
      <c r="TMR86" s="1255"/>
      <c r="TMS86" s="1255"/>
      <c r="TMT86" s="1255"/>
      <c r="TMU86" s="1255"/>
      <c r="TMV86" s="1255"/>
      <c r="TMW86" s="1255"/>
      <c r="TMX86" s="1255"/>
      <c r="TMY86" s="1255"/>
      <c r="TMZ86" s="1255"/>
      <c r="TNA86" s="1255"/>
      <c r="TNB86" s="1255"/>
      <c r="TNC86" s="1255"/>
      <c r="TND86" s="1255"/>
      <c r="TNE86" s="1255"/>
      <c r="TNF86" s="1255"/>
      <c r="TNG86" s="1255"/>
      <c r="TNH86" s="1255"/>
      <c r="TNI86" s="1255"/>
      <c r="TNJ86" s="1255"/>
      <c r="TNK86" s="1255"/>
      <c r="TNL86" s="1255"/>
      <c r="TNM86" s="1255"/>
      <c r="TNN86" s="1255"/>
      <c r="TNO86" s="1255"/>
      <c r="TNP86" s="1255"/>
      <c r="TNQ86" s="1255"/>
      <c r="TNR86" s="1255"/>
      <c r="TNS86" s="1255"/>
      <c r="TNT86" s="1255"/>
      <c r="TNU86" s="1255"/>
      <c r="TNV86" s="1255"/>
      <c r="TNW86" s="1255"/>
      <c r="TNX86" s="1255"/>
      <c r="TNY86" s="1255"/>
      <c r="TNZ86" s="1255"/>
      <c r="TOA86" s="1255"/>
      <c r="TOB86" s="1255"/>
      <c r="TOC86" s="1255"/>
      <c r="TOD86" s="1255"/>
      <c r="TOE86" s="1255"/>
      <c r="TOF86" s="1255"/>
      <c r="TOG86" s="1255"/>
      <c r="TOH86" s="1255"/>
      <c r="TOI86" s="1255"/>
      <c r="TOJ86" s="1255"/>
      <c r="TOK86" s="1255"/>
      <c r="TOL86" s="1255"/>
      <c r="TOM86" s="1255"/>
      <c r="TON86" s="1255"/>
      <c r="TOO86" s="1255"/>
      <c r="TOP86" s="1255"/>
      <c r="TOQ86" s="1255"/>
      <c r="TOR86" s="1255"/>
      <c r="TOS86" s="1255"/>
      <c r="TOT86" s="1255"/>
      <c r="TOU86" s="1255"/>
      <c r="TOV86" s="1255"/>
      <c r="TOW86" s="1255"/>
      <c r="TOX86" s="1255"/>
      <c r="TOY86" s="1255"/>
      <c r="TOZ86" s="1255"/>
      <c r="TPA86" s="1255"/>
      <c r="TPB86" s="1255"/>
      <c r="TPC86" s="1255"/>
      <c r="TPD86" s="1255"/>
      <c r="TPE86" s="1255"/>
      <c r="TPF86" s="1255"/>
      <c r="TPG86" s="1255"/>
      <c r="TPH86" s="1255"/>
      <c r="TPI86" s="1255"/>
      <c r="TPJ86" s="1255"/>
      <c r="TPK86" s="1255"/>
      <c r="TPL86" s="1255"/>
      <c r="TPM86" s="1255"/>
      <c r="TPN86" s="1255"/>
      <c r="TPO86" s="1255"/>
      <c r="TPP86" s="1255"/>
      <c r="TPQ86" s="1255"/>
      <c r="TPR86" s="1255"/>
      <c r="TPS86" s="1255"/>
      <c r="TPT86" s="1255"/>
      <c r="TPU86" s="1255"/>
      <c r="TPV86" s="1255"/>
      <c r="TPW86" s="1255"/>
      <c r="TPX86" s="1255"/>
      <c r="TPY86" s="1255"/>
      <c r="TPZ86" s="1255"/>
      <c r="TQA86" s="1255"/>
      <c r="TQB86" s="1255"/>
      <c r="TQC86" s="1255"/>
      <c r="TQD86" s="1255"/>
      <c r="TQE86" s="1255"/>
      <c r="TQF86" s="1255"/>
      <c r="TQG86" s="1255"/>
      <c r="TQH86" s="1255"/>
      <c r="TQI86" s="1255"/>
      <c r="TQJ86" s="1255"/>
      <c r="TQK86" s="1255"/>
      <c r="TQL86" s="1255"/>
      <c r="TQM86" s="1255"/>
      <c r="TQN86" s="1255"/>
      <c r="TQO86" s="1255"/>
      <c r="TQP86" s="1255"/>
      <c r="TQQ86" s="1255"/>
      <c r="TQR86" s="1255"/>
      <c r="TQS86" s="1255"/>
      <c r="TQT86" s="1255"/>
      <c r="TQU86" s="1255"/>
      <c r="TQV86" s="1255"/>
      <c r="TQW86" s="1255"/>
      <c r="TQX86" s="1255"/>
      <c r="TQY86" s="1255"/>
      <c r="TQZ86" s="1255"/>
      <c r="TRA86" s="1255"/>
      <c r="TRB86" s="1255"/>
      <c r="TRC86" s="1255"/>
      <c r="TRD86" s="1255"/>
      <c r="TRE86" s="1255"/>
      <c r="TRF86" s="1255"/>
      <c r="TRG86" s="1255"/>
      <c r="TRH86" s="1255"/>
      <c r="TRI86" s="1255"/>
      <c r="TRJ86" s="1255"/>
      <c r="TRK86" s="1255"/>
      <c r="TRL86" s="1255"/>
      <c r="TRM86" s="1255"/>
      <c r="TRN86" s="1255"/>
      <c r="TRO86" s="1255"/>
      <c r="TRP86" s="1255"/>
      <c r="TRQ86" s="1255"/>
      <c r="TRR86" s="1255"/>
      <c r="TRS86" s="1255"/>
      <c r="TRT86" s="1255"/>
      <c r="TRU86" s="1255"/>
      <c r="TRV86" s="1255"/>
      <c r="TRW86" s="1255"/>
      <c r="TRX86" s="1255"/>
      <c r="TRY86" s="1255"/>
      <c r="TRZ86" s="1255"/>
      <c r="TSA86" s="1255"/>
      <c r="TSB86" s="1255"/>
      <c r="TSC86" s="1255"/>
      <c r="TSD86" s="1255"/>
      <c r="TSE86" s="1255"/>
      <c r="TSF86" s="1255"/>
      <c r="TSG86" s="1255"/>
      <c r="TSH86" s="1255"/>
      <c r="TSI86" s="1255"/>
      <c r="TSJ86" s="1255"/>
      <c r="TSK86" s="1255"/>
      <c r="TSL86" s="1255"/>
      <c r="TSM86" s="1255"/>
      <c r="TSN86" s="1255"/>
      <c r="TSO86" s="1255"/>
      <c r="TSP86" s="1255"/>
      <c r="TSQ86" s="1255"/>
      <c r="TSR86" s="1255"/>
      <c r="TSS86" s="1255"/>
      <c r="TST86" s="1255"/>
      <c r="TSU86" s="1255"/>
      <c r="TSV86" s="1255"/>
      <c r="TSW86" s="1255"/>
      <c r="TSX86" s="1255"/>
      <c r="TSY86" s="1255"/>
      <c r="TSZ86" s="1255"/>
      <c r="TTA86" s="1255"/>
      <c r="TTB86" s="1255"/>
      <c r="TTC86" s="1255"/>
      <c r="TTD86" s="1255"/>
      <c r="TTE86" s="1255"/>
      <c r="TTF86" s="1255"/>
      <c r="TTG86" s="1255"/>
      <c r="TTH86" s="1255"/>
      <c r="TTI86" s="1255"/>
      <c r="TTJ86" s="1255"/>
      <c r="TTK86" s="1255"/>
      <c r="TTL86" s="1255"/>
      <c r="TTM86" s="1255"/>
      <c r="TTN86" s="1255"/>
      <c r="TTO86" s="1255"/>
      <c r="TTP86" s="1255"/>
      <c r="TTQ86" s="1255"/>
      <c r="TTR86" s="1255"/>
      <c r="TTS86" s="1255"/>
      <c r="TTT86" s="1255"/>
      <c r="TTU86" s="1255"/>
      <c r="TTV86" s="1255"/>
      <c r="TTW86" s="1255"/>
      <c r="TTX86" s="1255"/>
      <c r="TTY86" s="1255"/>
      <c r="TTZ86" s="1255"/>
      <c r="TUA86" s="1255"/>
      <c r="TUB86" s="1255"/>
      <c r="TUC86" s="1255"/>
      <c r="TUD86" s="1255"/>
      <c r="TUE86" s="1255"/>
      <c r="TUF86" s="1255"/>
      <c r="TUG86" s="1255"/>
      <c r="TUH86" s="1255"/>
      <c r="TUI86" s="1255"/>
      <c r="TUJ86" s="1255"/>
      <c r="TUK86" s="1255"/>
      <c r="TUL86" s="1255"/>
      <c r="TUM86" s="1255"/>
      <c r="TUN86" s="1255"/>
      <c r="TUO86" s="1255"/>
      <c r="TUP86" s="1255"/>
      <c r="TUQ86" s="1255"/>
      <c r="TUR86" s="1255"/>
      <c r="TUS86" s="1255"/>
      <c r="TUT86" s="1255"/>
      <c r="TUU86" s="1255"/>
      <c r="TUV86" s="1255"/>
      <c r="TUW86" s="1255"/>
      <c r="TUX86" s="1255"/>
      <c r="TUY86" s="1255"/>
      <c r="TUZ86" s="1255"/>
      <c r="TVA86" s="1255"/>
      <c r="TVB86" s="1255"/>
      <c r="TVC86" s="1255"/>
      <c r="TVD86" s="1255"/>
      <c r="TVE86" s="1255"/>
      <c r="TVF86" s="1255"/>
      <c r="TVG86" s="1255"/>
      <c r="TVH86" s="1255"/>
      <c r="TVI86" s="1255"/>
      <c r="TVJ86" s="1255"/>
      <c r="TVK86" s="1255"/>
      <c r="TVL86" s="1255"/>
      <c r="TVM86" s="1255"/>
      <c r="TVN86" s="1255"/>
      <c r="TVO86" s="1255"/>
      <c r="TVP86" s="1255"/>
      <c r="TVQ86" s="1255"/>
      <c r="TVR86" s="1255"/>
      <c r="TVS86" s="1255"/>
      <c r="TVT86" s="1255"/>
      <c r="TVU86" s="1255"/>
      <c r="TVV86" s="1255"/>
      <c r="TVW86" s="1255"/>
      <c r="TVX86" s="1255"/>
      <c r="TVY86" s="1255"/>
      <c r="TVZ86" s="1255"/>
      <c r="TWA86" s="1255"/>
      <c r="TWB86" s="1255"/>
      <c r="TWC86" s="1255"/>
      <c r="TWD86" s="1255"/>
      <c r="TWE86" s="1255"/>
      <c r="TWF86" s="1255"/>
      <c r="TWG86" s="1255"/>
      <c r="TWH86" s="1255"/>
      <c r="TWI86" s="1255"/>
      <c r="TWJ86" s="1255"/>
      <c r="TWK86" s="1255"/>
      <c r="TWL86" s="1255"/>
      <c r="TWM86" s="1255"/>
      <c r="TWN86" s="1255"/>
      <c r="TWO86" s="1255"/>
      <c r="TWP86" s="1255"/>
      <c r="TWQ86" s="1255"/>
      <c r="TWR86" s="1255"/>
      <c r="TWS86" s="1255"/>
      <c r="TWT86" s="1255"/>
      <c r="TWU86" s="1255"/>
      <c r="TWV86" s="1255"/>
      <c r="TWW86" s="1255"/>
      <c r="TWX86" s="1255"/>
      <c r="TWY86" s="1255"/>
      <c r="TWZ86" s="1255"/>
      <c r="TXA86" s="1255"/>
      <c r="TXB86" s="1255"/>
      <c r="TXC86" s="1255"/>
      <c r="TXD86" s="1255"/>
      <c r="TXE86" s="1255"/>
      <c r="TXF86" s="1255"/>
      <c r="TXG86" s="1255"/>
      <c r="TXH86" s="1255"/>
      <c r="TXI86" s="1255"/>
      <c r="TXJ86" s="1255"/>
      <c r="TXK86" s="1255"/>
      <c r="TXL86" s="1255"/>
      <c r="TXM86" s="1255"/>
      <c r="TXN86" s="1255"/>
      <c r="TXO86" s="1255"/>
      <c r="TXP86" s="1255"/>
      <c r="TXQ86" s="1255"/>
      <c r="TXR86" s="1255"/>
      <c r="TXS86" s="1255"/>
      <c r="TXT86" s="1255"/>
      <c r="TXU86" s="1255"/>
      <c r="TXV86" s="1255"/>
      <c r="TXW86" s="1255"/>
      <c r="TXX86" s="1255"/>
      <c r="TXY86" s="1255"/>
      <c r="TXZ86" s="1255"/>
      <c r="TYA86" s="1255"/>
      <c r="TYB86" s="1255"/>
      <c r="TYC86" s="1255"/>
      <c r="TYD86" s="1255"/>
      <c r="TYE86" s="1255"/>
      <c r="TYF86" s="1255"/>
      <c r="TYG86" s="1255"/>
      <c r="TYH86" s="1255"/>
      <c r="TYI86" s="1255"/>
      <c r="TYJ86" s="1255"/>
      <c r="TYK86" s="1255"/>
      <c r="TYL86" s="1255"/>
      <c r="TYM86" s="1255"/>
      <c r="TYN86" s="1255"/>
      <c r="TYO86" s="1255"/>
      <c r="TYP86" s="1255"/>
      <c r="TYQ86" s="1255"/>
      <c r="TYR86" s="1255"/>
      <c r="TYS86" s="1255"/>
      <c r="TYT86" s="1255"/>
      <c r="TYU86" s="1255"/>
      <c r="TYV86" s="1255"/>
      <c r="TYW86" s="1255"/>
      <c r="TYX86" s="1255"/>
      <c r="TYY86" s="1255"/>
      <c r="TYZ86" s="1255"/>
      <c r="TZA86" s="1255"/>
      <c r="TZB86" s="1255"/>
      <c r="TZC86" s="1255"/>
      <c r="TZD86" s="1255"/>
      <c r="TZE86" s="1255"/>
      <c r="TZF86" s="1255"/>
      <c r="TZG86" s="1255"/>
      <c r="TZH86" s="1255"/>
      <c r="TZI86" s="1255"/>
      <c r="TZJ86" s="1255"/>
      <c r="TZK86" s="1255"/>
      <c r="TZL86" s="1255"/>
      <c r="TZM86" s="1255"/>
      <c r="TZN86" s="1255"/>
      <c r="TZO86" s="1255"/>
      <c r="TZP86" s="1255"/>
      <c r="TZQ86" s="1255"/>
      <c r="TZR86" s="1255"/>
      <c r="TZS86" s="1255"/>
      <c r="TZT86" s="1255"/>
      <c r="TZU86" s="1255"/>
      <c r="TZV86" s="1255"/>
      <c r="TZW86" s="1255"/>
      <c r="TZX86" s="1255"/>
      <c r="TZY86" s="1255"/>
      <c r="TZZ86" s="1255"/>
      <c r="UAA86" s="1255"/>
      <c r="UAB86" s="1255"/>
      <c r="UAC86" s="1255"/>
      <c r="UAD86" s="1255"/>
      <c r="UAE86" s="1255"/>
      <c r="UAF86" s="1255"/>
      <c r="UAG86" s="1255"/>
      <c r="UAH86" s="1255"/>
      <c r="UAI86" s="1255"/>
      <c r="UAJ86" s="1255"/>
      <c r="UAK86" s="1255"/>
      <c r="UAL86" s="1255"/>
      <c r="UAM86" s="1255"/>
      <c r="UAN86" s="1255"/>
      <c r="UAO86" s="1255"/>
      <c r="UAP86" s="1255"/>
      <c r="UAQ86" s="1255"/>
      <c r="UAR86" s="1255"/>
      <c r="UAS86" s="1255"/>
      <c r="UAT86" s="1255"/>
      <c r="UAU86" s="1255"/>
      <c r="UAV86" s="1255"/>
      <c r="UAW86" s="1255"/>
      <c r="UAX86" s="1255"/>
      <c r="UAY86" s="1255"/>
      <c r="UAZ86" s="1255"/>
      <c r="UBA86" s="1255"/>
      <c r="UBB86" s="1255"/>
      <c r="UBC86" s="1255"/>
      <c r="UBD86" s="1255"/>
      <c r="UBE86" s="1255"/>
      <c r="UBF86" s="1255"/>
      <c r="UBG86" s="1255"/>
      <c r="UBH86" s="1255"/>
      <c r="UBI86" s="1255"/>
      <c r="UBJ86" s="1255"/>
      <c r="UBK86" s="1255"/>
      <c r="UBL86" s="1255"/>
      <c r="UBM86" s="1255"/>
      <c r="UBN86" s="1255"/>
      <c r="UBO86" s="1255"/>
      <c r="UBP86" s="1255"/>
      <c r="UBQ86" s="1255"/>
      <c r="UBR86" s="1255"/>
      <c r="UBS86" s="1255"/>
      <c r="UBT86" s="1255"/>
      <c r="UBU86" s="1255"/>
      <c r="UBV86" s="1255"/>
      <c r="UBW86" s="1255"/>
      <c r="UBX86" s="1255"/>
      <c r="UBY86" s="1255"/>
      <c r="UBZ86" s="1255"/>
      <c r="UCA86" s="1255"/>
      <c r="UCB86" s="1255"/>
      <c r="UCC86" s="1255"/>
      <c r="UCD86" s="1255"/>
      <c r="UCE86" s="1255"/>
      <c r="UCF86" s="1255"/>
      <c r="UCG86" s="1255"/>
      <c r="UCH86" s="1255"/>
      <c r="UCI86" s="1255"/>
      <c r="UCJ86" s="1255"/>
      <c r="UCK86" s="1255"/>
      <c r="UCL86" s="1255"/>
      <c r="UCM86" s="1255"/>
      <c r="UCN86" s="1255"/>
      <c r="UCO86" s="1255"/>
      <c r="UCP86" s="1255"/>
      <c r="UCQ86" s="1255"/>
      <c r="UCR86" s="1255"/>
      <c r="UCS86" s="1255"/>
      <c r="UCT86" s="1255"/>
      <c r="UCU86" s="1255"/>
      <c r="UCV86" s="1255"/>
      <c r="UCW86" s="1255"/>
      <c r="UCX86" s="1255"/>
      <c r="UCY86" s="1255"/>
      <c r="UCZ86" s="1255"/>
      <c r="UDA86" s="1255"/>
      <c r="UDB86" s="1255"/>
      <c r="UDC86" s="1255"/>
      <c r="UDD86" s="1255"/>
      <c r="UDE86" s="1255"/>
      <c r="UDF86" s="1255"/>
      <c r="UDG86" s="1255"/>
      <c r="UDH86" s="1255"/>
      <c r="UDI86" s="1255"/>
      <c r="UDJ86" s="1255"/>
      <c r="UDK86" s="1255"/>
      <c r="UDL86" s="1255"/>
      <c r="UDM86" s="1255"/>
      <c r="UDN86" s="1255"/>
      <c r="UDO86" s="1255"/>
      <c r="UDP86" s="1255"/>
      <c r="UDQ86" s="1255"/>
      <c r="UDR86" s="1255"/>
      <c r="UDS86" s="1255"/>
      <c r="UDT86" s="1255"/>
      <c r="UDU86" s="1255"/>
      <c r="UDV86" s="1255"/>
      <c r="UDW86" s="1255"/>
      <c r="UDX86" s="1255"/>
      <c r="UDY86" s="1255"/>
      <c r="UDZ86" s="1255"/>
      <c r="UEA86" s="1255"/>
      <c r="UEB86" s="1255"/>
      <c r="UEC86" s="1255"/>
      <c r="UED86" s="1255"/>
      <c r="UEE86" s="1255"/>
      <c r="UEF86" s="1255"/>
      <c r="UEG86" s="1255"/>
      <c r="UEH86" s="1255"/>
      <c r="UEI86" s="1255"/>
      <c r="UEJ86" s="1255"/>
      <c r="UEK86" s="1255"/>
      <c r="UEL86" s="1255"/>
      <c r="UEM86" s="1255"/>
      <c r="UEN86" s="1255"/>
      <c r="UEO86" s="1255"/>
      <c r="UEP86" s="1255"/>
      <c r="UEQ86" s="1255"/>
      <c r="UER86" s="1255"/>
      <c r="UES86" s="1255"/>
      <c r="UET86" s="1255"/>
      <c r="UEU86" s="1255"/>
      <c r="UEV86" s="1255"/>
      <c r="UEW86" s="1255"/>
      <c r="UEX86" s="1255"/>
      <c r="UEY86" s="1255"/>
      <c r="UEZ86" s="1255"/>
      <c r="UFA86" s="1255"/>
      <c r="UFB86" s="1255"/>
      <c r="UFC86" s="1255"/>
      <c r="UFD86" s="1255"/>
      <c r="UFE86" s="1255"/>
      <c r="UFF86" s="1255"/>
      <c r="UFG86" s="1255"/>
      <c r="UFH86" s="1255"/>
      <c r="UFI86" s="1255"/>
      <c r="UFJ86" s="1255"/>
      <c r="UFK86" s="1255"/>
      <c r="UFL86" s="1255"/>
      <c r="UFM86" s="1255"/>
      <c r="UFN86" s="1255"/>
      <c r="UFO86" s="1255"/>
      <c r="UFP86" s="1255"/>
      <c r="UFQ86" s="1255"/>
      <c r="UFR86" s="1255"/>
      <c r="UFS86" s="1255"/>
      <c r="UFT86" s="1255"/>
      <c r="UFU86" s="1255"/>
      <c r="UFV86" s="1255"/>
      <c r="UFW86" s="1255"/>
      <c r="UFX86" s="1255"/>
      <c r="UFY86" s="1255"/>
      <c r="UFZ86" s="1255"/>
      <c r="UGA86" s="1255"/>
      <c r="UGB86" s="1255"/>
      <c r="UGC86" s="1255"/>
      <c r="UGD86" s="1255"/>
      <c r="UGE86" s="1255"/>
      <c r="UGF86" s="1255"/>
      <c r="UGG86" s="1255"/>
      <c r="UGH86" s="1255"/>
      <c r="UGI86" s="1255"/>
      <c r="UGJ86" s="1255"/>
      <c r="UGK86" s="1255"/>
      <c r="UGL86" s="1255"/>
      <c r="UGM86" s="1255"/>
      <c r="UGN86" s="1255"/>
      <c r="UGO86" s="1255"/>
      <c r="UGP86" s="1255"/>
      <c r="UGQ86" s="1255"/>
      <c r="UGR86" s="1255"/>
      <c r="UGS86" s="1255"/>
      <c r="UGT86" s="1255"/>
      <c r="UGU86" s="1255"/>
      <c r="UGV86" s="1255"/>
      <c r="UGW86" s="1255"/>
      <c r="UGX86" s="1255"/>
      <c r="UGY86" s="1255"/>
      <c r="UGZ86" s="1255"/>
      <c r="UHA86" s="1255"/>
      <c r="UHB86" s="1255"/>
      <c r="UHC86" s="1255"/>
      <c r="UHD86" s="1255"/>
      <c r="UHE86" s="1255"/>
      <c r="UHF86" s="1255"/>
      <c r="UHG86" s="1255"/>
      <c r="UHH86" s="1255"/>
      <c r="UHI86" s="1255"/>
      <c r="UHJ86" s="1255"/>
      <c r="UHK86" s="1255"/>
      <c r="UHL86" s="1255"/>
      <c r="UHM86" s="1255"/>
      <c r="UHN86" s="1255"/>
      <c r="UHO86" s="1255"/>
      <c r="UHP86" s="1255"/>
      <c r="UHQ86" s="1255"/>
      <c r="UHR86" s="1255"/>
      <c r="UHS86" s="1255"/>
      <c r="UHT86" s="1255"/>
      <c r="UHU86" s="1255"/>
      <c r="UHV86" s="1255"/>
      <c r="UHW86" s="1255"/>
      <c r="UHX86" s="1255"/>
      <c r="UHY86" s="1255"/>
      <c r="UHZ86" s="1255"/>
      <c r="UIA86" s="1255"/>
      <c r="UIB86" s="1255"/>
      <c r="UIC86" s="1255"/>
      <c r="UID86" s="1255"/>
      <c r="UIE86" s="1255"/>
      <c r="UIF86" s="1255"/>
      <c r="UIG86" s="1255"/>
      <c r="UIH86" s="1255"/>
      <c r="UII86" s="1255"/>
      <c r="UIJ86" s="1255"/>
      <c r="UIK86" s="1255"/>
      <c r="UIL86" s="1255"/>
      <c r="UIM86" s="1255"/>
      <c r="UIN86" s="1255"/>
      <c r="UIO86" s="1255"/>
      <c r="UIP86" s="1255"/>
      <c r="UIQ86" s="1255"/>
      <c r="UIR86" s="1255"/>
      <c r="UIS86" s="1255"/>
      <c r="UIT86" s="1255"/>
      <c r="UIU86" s="1255"/>
      <c r="UIV86" s="1255"/>
      <c r="UIW86" s="1255"/>
      <c r="UIX86" s="1255"/>
      <c r="UIY86" s="1255"/>
      <c r="UIZ86" s="1255"/>
      <c r="UJA86" s="1255"/>
      <c r="UJB86" s="1255"/>
      <c r="UJC86" s="1255"/>
      <c r="UJD86" s="1255"/>
      <c r="UJE86" s="1255"/>
      <c r="UJF86" s="1255"/>
      <c r="UJG86" s="1255"/>
      <c r="UJH86" s="1255"/>
      <c r="UJI86" s="1255"/>
      <c r="UJJ86" s="1255"/>
      <c r="UJK86" s="1255"/>
      <c r="UJL86" s="1255"/>
      <c r="UJM86" s="1255"/>
      <c r="UJN86" s="1255"/>
      <c r="UJO86" s="1255"/>
      <c r="UJP86" s="1255"/>
      <c r="UJQ86" s="1255"/>
      <c r="UJR86" s="1255"/>
      <c r="UJS86" s="1255"/>
      <c r="UJT86" s="1255"/>
      <c r="UJU86" s="1255"/>
      <c r="UJV86" s="1255"/>
      <c r="UJW86" s="1255"/>
      <c r="UJX86" s="1255"/>
      <c r="UJY86" s="1255"/>
      <c r="UJZ86" s="1255"/>
      <c r="UKA86" s="1255"/>
      <c r="UKB86" s="1255"/>
      <c r="UKC86" s="1255"/>
      <c r="UKD86" s="1255"/>
      <c r="UKE86" s="1255"/>
      <c r="UKF86" s="1255"/>
      <c r="UKG86" s="1255"/>
      <c r="UKH86" s="1255"/>
      <c r="UKI86" s="1255"/>
      <c r="UKJ86" s="1255"/>
      <c r="UKK86" s="1255"/>
      <c r="UKL86" s="1255"/>
      <c r="UKM86" s="1255"/>
      <c r="UKN86" s="1255"/>
      <c r="UKO86" s="1255"/>
      <c r="UKP86" s="1255"/>
      <c r="UKQ86" s="1255"/>
      <c r="UKR86" s="1255"/>
      <c r="UKS86" s="1255"/>
      <c r="UKT86" s="1255"/>
      <c r="UKU86" s="1255"/>
      <c r="UKV86" s="1255"/>
      <c r="UKW86" s="1255"/>
      <c r="UKX86" s="1255"/>
      <c r="UKY86" s="1255"/>
      <c r="UKZ86" s="1255"/>
      <c r="ULA86" s="1255"/>
      <c r="ULB86" s="1255"/>
      <c r="ULC86" s="1255"/>
      <c r="ULD86" s="1255"/>
      <c r="ULE86" s="1255"/>
      <c r="ULF86" s="1255"/>
      <c r="ULG86" s="1255"/>
      <c r="ULH86" s="1255"/>
      <c r="ULI86" s="1255"/>
      <c r="ULJ86" s="1255"/>
      <c r="ULK86" s="1255"/>
      <c r="ULL86" s="1255"/>
      <c r="ULM86" s="1255"/>
      <c r="ULN86" s="1255"/>
      <c r="ULO86" s="1255"/>
      <c r="ULP86" s="1255"/>
      <c r="ULQ86" s="1255"/>
      <c r="ULR86" s="1255"/>
      <c r="ULS86" s="1255"/>
      <c r="ULT86" s="1255"/>
      <c r="ULU86" s="1255"/>
      <c r="ULV86" s="1255"/>
      <c r="ULW86" s="1255"/>
      <c r="ULX86" s="1255"/>
      <c r="ULY86" s="1255"/>
      <c r="ULZ86" s="1255"/>
      <c r="UMA86" s="1255"/>
      <c r="UMB86" s="1255"/>
      <c r="UMC86" s="1255"/>
      <c r="UMD86" s="1255"/>
      <c r="UME86" s="1255"/>
      <c r="UMF86" s="1255"/>
      <c r="UMG86" s="1255"/>
      <c r="UMH86" s="1255"/>
      <c r="UMI86" s="1255"/>
      <c r="UMJ86" s="1255"/>
      <c r="UMK86" s="1255"/>
      <c r="UML86" s="1255"/>
      <c r="UMM86" s="1255"/>
      <c r="UMN86" s="1255"/>
      <c r="UMO86" s="1255"/>
      <c r="UMP86" s="1255"/>
      <c r="UMQ86" s="1255"/>
      <c r="UMR86" s="1255"/>
      <c r="UMS86" s="1255"/>
      <c r="UMT86" s="1255"/>
      <c r="UMU86" s="1255"/>
      <c r="UMV86" s="1255"/>
      <c r="UMW86" s="1255"/>
      <c r="UMX86" s="1255"/>
      <c r="UMY86" s="1255"/>
      <c r="UMZ86" s="1255"/>
      <c r="UNA86" s="1255"/>
      <c r="UNB86" s="1255"/>
      <c r="UNC86" s="1255"/>
      <c r="UND86" s="1255"/>
      <c r="UNE86" s="1255"/>
      <c r="UNF86" s="1255"/>
      <c r="UNG86" s="1255"/>
      <c r="UNH86" s="1255"/>
      <c r="UNI86" s="1255"/>
      <c r="UNJ86" s="1255"/>
      <c r="UNK86" s="1255"/>
      <c r="UNL86" s="1255"/>
      <c r="UNM86" s="1255"/>
      <c r="UNN86" s="1255"/>
      <c r="UNO86" s="1255"/>
      <c r="UNP86" s="1255"/>
      <c r="UNQ86" s="1255"/>
      <c r="UNR86" s="1255"/>
      <c r="UNS86" s="1255"/>
      <c r="UNT86" s="1255"/>
      <c r="UNU86" s="1255"/>
      <c r="UNV86" s="1255"/>
      <c r="UNW86" s="1255"/>
      <c r="UNX86" s="1255"/>
      <c r="UNY86" s="1255"/>
      <c r="UNZ86" s="1255"/>
      <c r="UOA86" s="1255"/>
      <c r="UOB86" s="1255"/>
      <c r="UOC86" s="1255"/>
      <c r="UOD86" s="1255"/>
      <c r="UOE86" s="1255"/>
      <c r="UOF86" s="1255"/>
      <c r="UOG86" s="1255"/>
      <c r="UOH86" s="1255"/>
      <c r="UOI86" s="1255"/>
      <c r="UOJ86" s="1255"/>
      <c r="UOK86" s="1255"/>
      <c r="UOL86" s="1255"/>
      <c r="UOM86" s="1255"/>
      <c r="UON86" s="1255"/>
      <c r="UOO86" s="1255"/>
      <c r="UOP86" s="1255"/>
      <c r="UOQ86" s="1255"/>
      <c r="UOR86" s="1255"/>
      <c r="UOS86" s="1255"/>
      <c r="UOT86" s="1255"/>
      <c r="UOU86" s="1255"/>
      <c r="UOV86" s="1255"/>
      <c r="UOW86" s="1255"/>
      <c r="UOX86" s="1255"/>
      <c r="UOY86" s="1255"/>
      <c r="UOZ86" s="1255"/>
      <c r="UPA86" s="1255"/>
      <c r="UPB86" s="1255"/>
      <c r="UPC86" s="1255"/>
      <c r="UPD86" s="1255"/>
      <c r="UPE86" s="1255"/>
      <c r="UPF86" s="1255"/>
      <c r="UPG86" s="1255"/>
      <c r="UPH86" s="1255"/>
      <c r="UPI86" s="1255"/>
      <c r="UPJ86" s="1255"/>
      <c r="UPK86" s="1255"/>
      <c r="UPL86" s="1255"/>
      <c r="UPM86" s="1255"/>
      <c r="UPN86" s="1255"/>
      <c r="UPO86" s="1255"/>
      <c r="UPP86" s="1255"/>
      <c r="UPQ86" s="1255"/>
      <c r="UPR86" s="1255"/>
      <c r="UPS86" s="1255"/>
      <c r="UPT86" s="1255"/>
      <c r="UPU86" s="1255"/>
      <c r="UPV86" s="1255"/>
      <c r="UPW86" s="1255"/>
      <c r="UPX86" s="1255"/>
      <c r="UPY86" s="1255"/>
      <c r="UPZ86" s="1255"/>
      <c r="UQA86" s="1255"/>
      <c r="UQB86" s="1255"/>
      <c r="UQC86" s="1255"/>
      <c r="UQD86" s="1255"/>
      <c r="UQE86" s="1255"/>
      <c r="UQF86" s="1255"/>
      <c r="UQG86" s="1255"/>
      <c r="UQH86" s="1255"/>
      <c r="UQI86" s="1255"/>
      <c r="UQJ86" s="1255"/>
      <c r="UQK86" s="1255"/>
      <c r="UQL86" s="1255"/>
      <c r="UQM86" s="1255"/>
      <c r="UQN86" s="1255"/>
      <c r="UQO86" s="1255"/>
      <c r="UQP86" s="1255"/>
      <c r="UQQ86" s="1255"/>
      <c r="UQR86" s="1255"/>
      <c r="UQS86" s="1255"/>
      <c r="UQT86" s="1255"/>
      <c r="UQU86" s="1255"/>
      <c r="UQV86" s="1255"/>
      <c r="UQW86" s="1255"/>
      <c r="UQX86" s="1255"/>
      <c r="UQY86" s="1255"/>
      <c r="UQZ86" s="1255"/>
      <c r="URA86" s="1255"/>
      <c r="URB86" s="1255"/>
      <c r="URC86" s="1255"/>
      <c r="URD86" s="1255"/>
      <c r="URE86" s="1255"/>
      <c r="URF86" s="1255"/>
      <c r="URG86" s="1255"/>
      <c r="URH86" s="1255"/>
      <c r="URI86" s="1255"/>
      <c r="URJ86" s="1255"/>
      <c r="URK86" s="1255"/>
      <c r="URL86" s="1255"/>
      <c r="URM86" s="1255"/>
      <c r="URN86" s="1255"/>
      <c r="URO86" s="1255"/>
      <c r="URP86" s="1255"/>
      <c r="URQ86" s="1255"/>
      <c r="URR86" s="1255"/>
      <c r="URS86" s="1255"/>
      <c r="URT86" s="1255"/>
      <c r="URU86" s="1255"/>
      <c r="URV86" s="1255"/>
      <c r="URW86" s="1255"/>
      <c r="URX86" s="1255"/>
      <c r="URY86" s="1255"/>
      <c r="URZ86" s="1255"/>
      <c r="USA86" s="1255"/>
      <c r="USB86" s="1255"/>
      <c r="USC86" s="1255"/>
      <c r="USD86" s="1255"/>
      <c r="USE86" s="1255"/>
      <c r="USF86" s="1255"/>
      <c r="USG86" s="1255"/>
      <c r="USH86" s="1255"/>
      <c r="USI86" s="1255"/>
      <c r="USJ86" s="1255"/>
      <c r="USK86" s="1255"/>
      <c r="USL86" s="1255"/>
      <c r="USM86" s="1255"/>
      <c r="USN86" s="1255"/>
      <c r="USO86" s="1255"/>
      <c r="USP86" s="1255"/>
      <c r="USQ86" s="1255"/>
      <c r="USR86" s="1255"/>
      <c r="USS86" s="1255"/>
      <c r="UST86" s="1255"/>
      <c r="USU86" s="1255"/>
      <c r="USV86" s="1255"/>
      <c r="USW86" s="1255"/>
      <c r="USX86" s="1255"/>
      <c r="USY86" s="1255"/>
      <c r="USZ86" s="1255"/>
      <c r="UTA86" s="1255"/>
      <c r="UTB86" s="1255"/>
      <c r="UTC86" s="1255"/>
      <c r="UTD86" s="1255"/>
      <c r="UTE86" s="1255"/>
      <c r="UTF86" s="1255"/>
      <c r="UTG86" s="1255"/>
      <c r="UTH86" s="1255"/>
      <c r="UTI86" s="1255"/>
      <c r="UTJ86" s="1255"/>
      <c r="UTK86" s="1255"/>
      <c r="UTL86" s="1255"/>
      <c r="UTM86" s="1255"/>
      <c r="UTN86" s="1255"/>
      <c r="UTO86" s="1255"/>
      <c r="UTP86" s="1255"/>
      <c r="UTQ86" s="1255"/>
      <c r="UTR86" s="1255"/>
      <c r="UTS86" s="1255"/>
      <c r="UTT86" s="1255"/>
      <c r="UTU86" s="1255"/>
      <c r="UTV86" s="1255"/>
      <c r="UTW86" s="1255"/>
      <c r="UTX86" s="1255"/>
      <c r="UTY86" s="1255"/>
      <c r="UTZ86" s="1255"/>
      <c r="UUA86" s="1255"/>
      <c r="UUB86" s="1255"/>
      <c r="UUC86" s="1255"/>
      <c r="UUD86" s="1255"/>
      <c r="UUE86" s="1255"/>
      <c r="UUF86" s="1255"/>
      <c r="UUG86" s="1255"/>
      <c r="UUH86" s="1255"/>
      <c r="UUI86" s="1255"/>
      <c r="UUJ86" s="1255"/>
      <c r="UUK86" s="1255"/>
      <c r="UUL86" s="1255"/>
      <c r="UUM86" s="1255"/>
      <c r="UUN86" s="1255"/>
      <c r="UUO86" s="1255"/>
      <c r="UUP86" s="1255"/>
      <c r="UUQ86" s="1255"/>
      <c r="UUR86" s="1255"/>
      <c r="UUS86" s="1255"/>
      <c r="UUT86" s="1255"/>
      <c r="UUU86" s="1255"/>
      <c r="UUV86" s="1255"/>
      <c r="UUW86" s="1255"/>
      <c r="UUX86" s="1255"/>
      <c r="UUY86" s="1255"/>
      <c r="UUZ86" s="1255"/>
      <c r="UVA86" s="1255"/>
      <c r="UVB86" s="1255"/>
      <c r="UVC86" s="1255"/>
      <c r="UVD86" s="1255"/>
      <c r="UVE86" s="1255"/>
      <c r="UVF86" s="1255"/>
      <c r="UVG86" s="1255"/>
      <c r="UVH86" s="1255"/>
      <c r="UVI86" s="1255"/>
      <c r="UVJ86" s="1255"/>
      <c r="UVK86" s="1255"/>
      <c r="UVL86" s="1255"/>
      <c r="UVM86" s="1255"/>
      <c r="UVN86" s="1255"/>
      <c r="UVO86" s="1255"/>
      <c r="UVP86" s="1255"/>
      <c r="UVQ86" s="1255"/>
      <c r="UVR86" s="1255"/>
      <c r="UVS86" s="1255"/>
      <c r="UVT86" s="1255"/>
      <c r="UVU86" s="1255"/>
      <c r="UVV86" s="1255"/>
      <c r="UVW86" s="1255"/>
      <c r="UVX86" s="1255"/>
      <c r="UVY86" s="1255"/>
      <c r="UVZ86" s="1255"/>
      <c r="UWA86" s="1255"/>
      <c r="UWB86" s="1255"/>
      <c r="UWC86" s="1255"/>
      <c r="UWD86" s="1255"/>
      <c r="UWE86" s="1255"/>
      <c r="UWF86" s="1255"/>
      <c r="UWG86" s="1255"/>
      <c r="UWH86" s="1255"/>
      <c r="UWI86" s="1255"/>
      <c r="UWJ86" s="1255"/>
      <c r="UWK86" s="1255"/>
      <c r="UWL86" s="1255"/>
      <c r="UWM86" s="1255"/>
      <c r="UWN86" s="1255"/>
      <c r="UWO86" s="1255"/>
      <c r="UWP86" s="1255"/>
      <c r="UWQ86" s="1255"/>
      <c r="UWR86" s="1255"/>
      <c r="UWS86" s="1255"/>
      <c r="UWT86" s="1255"/>
      <c r="UWU86" s="1255"/>
      <c r="UWV86" s="1255"/>
      <c r="UWW86" s="1255"/>
      <c r="UWX86" s="1255"/>
      <c r="UWY86" s="1255"/>
      <c r="UWZ86" s="1255"/>
      <c r="UXA86" s="1255"/>
      <c r="UXB86" s="1255"/>
      <c r="UXC86" s="1255"/>
      <c r="UXD86" s="1255"/>
      <c r="UXE86" s="1255"/>
      <c r="UXF86" s="1255"/>
      <c r="UXG86" s="1255"/>
      <c r="UXH86" s="1255"/>
      <c r="UXI86" s="1255"/>
      <c r="UXJ86" s="1255"/>
      <c r="UXK86" s="1255"/>
      <c r="UXL86" s="1255"/>
      <c r="UXM86" s="1255"/>
      <c r="UXN86" s="1255"/>
      <c r="UXO86" s="1255"/>
      <c r="UXP86" s="1255"/>
      <c r="UXQ86" s="1255"/>
      <c r="UXR86" s="1255"/>
      <c r="UXS86" s="1255"/>
      <c r="UXT86" s="1255"/>
      <c r="UXU86" s="1255"/>
      <c r="UXV86" s="1255"/>
      <c r="UXW86" s="1255"/>
      <c r="UXX86" s="1255"/>
      <c r="UXY86" s="1255"/>
      <c r="UXZ86" s="1255"/>
      <c r="UYA86" s="1255"/>
      <c r="UYB86" s="1255"/>
      <c r="UYC86" s="1255"/>
      <c r="UYD86" s="1255"/>
      <c r="UYE86" s="1255"/>
      <c r="UYF86" s="1255"/>
      <c r="UYG86" s="1255"/>
      <c r="UYH86" s="1255"/>
      <c r="UYI86" s="1255"/>
      <c r="UYJ86" s="1255"/>
      <c r="UYK86" s="1255"/>
      <c r="UYL86" s="1255"/>
      <c r="UYM86" s="1255"/>
      <c r="UYN86" s="1255"/>
      <c r="UYO86" s="1255"/>
      <c r="UYP86" s="1255"/>
      <c r="UYQ86" s="1255"/>
      <c r="UYR86" s="1255"/>
      <c r="UYS86" s="1255"/>
      <c r="UYT86" s="1255"/>
      <c r="UYU86" s="1255"/>
      <c r="UYV86" s="1255"/>
      <c r="UYW86" s="1255"/>
      <c r="UYX86" s="1255"/>
      <c r="UYY86" s="1255"/>
      <c r="UYZ86" s="1255"/>
      <c r="UZA86" s="1255"/>
      <c r="UZB86" s="1255"/>
      <c r="UZC86" s="1255"/>
      <c r="UZD86" s="1255"/>
      <c r="UZE86" s="1255"/>
      <c r="UZF86" s="1255"/>
      <c r="UZG86" s="1255"/>
      <c r="UZH86" s="1255"/>
      <c r="UZI86" s="1255"/>
      <c r="UZJ86" s="1255"/>
      <c r="UZK86" s="1255"/>
      <c r="UZL86" s="1255"/>
      <c r="UZM86" s="1255"/>
      <c r="UZN86" s="1255"/>
      <c r="UZO86" s="1255"/>
      <c r="UZP86" s="1255"/>
      <c r="UZQ86" s="1255"/>
      <c r="UZR86" s="1255"/>
      <c r="UZS86" s="1255"/>
      <c r="UZT86" s="1255"/>
      <c r="UZU86" s="1255"/>
      <c r="UZV86" s="1255"/>
      <c r="UZW86" s="1255"/>
      <c r="UZX86" s="1255"/>
      <c r="UZY86" s="1255"/>
      <c r="UZZ86" s="1255"/>
      <c r="VAA86" s="1255"/>
      <c r="VAB86" s="1255"/>
      <c r="VAC86" s="1255"/>
      <c r="VAD86" s="1255"/>
      <c r="VAE86" s="1255"/>
      <c r="VAF86" s="1255"/>
      <c r="VAG86" s="1255"/>
      <c r="VAH86" s="1255"/>
      <c r="VAI86" s="1255"/>
      <c r="VAJ86" s="1255"/>
      <c r="VAK86" s="1255"/>
      <c r="VAL86" s="1255"/>
      <c r="VAM86" s="1255"/>
      <c r="VAN86" s="1255"/>
      <c r="VAO86" s="1255"/>
      <c r="VAP86" s="1255"/>
      <c r="VAQ86" s="1255"/>
      <c r="VAR86" s="1255"/>
      <c r="VAS86" s="1255"/>
      <c r="VAT86" s="1255"/>
      <c r="VAU86" s="1255"/>
      <c r="VAV86" s="1255"/>
      <c r="VAW86" s="1255"/>
      <c r="VAX86" s="1255"/>
      <c r="VAY86" s="1255"/>
      <c r="VAZ86" s="1255"/>
      <c r="VBA86" s="1255"/>
      <c r="VBB86" s="1255"/>
      <c r="VBC86" s="1255"/>
      <c r="VBD86" s="1255"/>
      <c r="VBE86" s="1255"/>
      <c r="VBF86" s="1255"/>
      <c r="VBG86" s="1255"/>
      <c r="VBH86" s="1255"/>
      <c r="VBI86" s="1255"/>
      <c r="VBJ86" s="1255"/>
      <c r="VBK86" s="1255"/>
      <c r="VBL86" s="1255"/>
      <c r="VBM86" s="1255"/>
      <c r="VBN86" s="1255"/>
      <c r="VBO86" s="1255"/>
      <c r="VBP86" s="1255"/>
      <c r="VBQ86" s="1255"/>
      <c r="VBR86" s="1255"/>
      <c r="VBS86" s="1255"/>
      <c r="VBT86" s="1255"/>
      <c r="VBU86" s="1255"/>
      <c r="VBV86" s="1255"/>
      <c r="VBW86" s="1255"/>
      <c r="VBX86" s="1255"/>
      <c r="VBY86" s="1255"/>
      <c r="VBZ86" s="1255"/>
      <c r="VCA86" s="1255"/>
      <c r="VCB86" s="1255"/>
      <c r="VCC86" s="1255"/>
      <c r="VCD86" s="1255"/>
      <c r="VCE86" s="1255"/>
      <c r="VCF86" s="1255"/>
      <c r="VCG86" s="1255"/>
      <c r="VCH86" s="1255"/>
      <c r="VCI86" s="1255"/>
      <c r="VCJ86" s="1255"/>
      <c r="VCK86" s="1255"/>
      <c r="VCL86" s="1255"/>
      <c r="VCM86" s="1255"/>
      <c r="VCN86" s="1255"/>
      <c r="VCO86" s="1255"/>
      <c r="VCP86" s="1255"/>
      <c r="VCQ86" s="1255"/>
      <c r="VCR86" s="1255"/>
      <c r="VCS86" s="1255"/>
      <c r="VCT86" s="1255"/>
      <c r="VCU86" s="1255"/>
      <c r="VCV86" s="1255"/>
      <c r="VCW86" s="1255"/>
      <c r="VCX86" s="1255"/>
      <c r="VCY86" s="1255"/>
      <c r="VCZ86" s="1255"/>
      <c r="VDA86" s="1255"/>
      <c r="VDB86" s="1255"/>
      <c r="VDC86" s="1255"/>
      <c r="VDD86" s="1255"/>
      <c r="VDE86" s="1255"/>
      <c r="VDF86" s="1255"/>
      <c r="VDG86" s="1255"/>
      <c r="VDH86" s="1255"/>
      <c r="VDI86" s="1255"/>
      <c r="VDJ86" s="1255"/>
      <c r="VDK86" s="1255"/>
      <c r="VDL86" s="1255"/>
      <c r="VDM86" s="1255"/>
      <c r="VDN86" s="1255"/>
      <c r="VDO86" s="1255"/>
      <c r="VDP86" s="1255"/>
      <c r="VDQ86" s="1255"/>
      <c r="VDR86" s="1255"/>
      <c r="VDS86" s="1255"/>
      <c r="VDT86" s="1255"/>
      <c r="VDU86" s="1255"/>
      <c r="VDV86" s="1255"/>
      <c r="VDW86" s="1255"/>
      <c r="VDX86" s="1255"/>
      <c r="VDY86" s="1255"/>
      <c r="VDZ86" s="1255"/>
      <c r="VEA86" s="1255"/>
      <c r="VEB86" s="1255"/>
      <c r="VEC86" s="1255"/>
      <c r="VED86" s="1255"/>
      <c r="VEE86" s="1255"/>
      <c r="VEF86" s="1255"/>
      <c r="VEG86" s="1255"/>
      <c r="VEH86" s="1255"/>
      <c r="VEI86" s="1255"/>
      <c r="VEJ86" s="1255"/>
      <c r="VEK86" s="1255"/>
      <c r="VEL86" s="1255"/>
      <c r="VEM86" s="1255"/>
      <c r="VEN86" s="1255"/>
      <c r="VEO86" s="1255"/>
      <c r="VEP86" s="1255"/>
      <c r="VEQ86" s="1255"/>
      <c r="VER86" s="1255"/>
      <c r="VES86" s="1255"/>
      <c r="VET86" s="1255"/>
      <c r="VEU86" s="1255"/>
      <c r="VEV86" s="1255"/>
      <c r="VEW86" s="1255"/>
      <c r="VEX86" s="1255"/>
      <c r="VEY86" s="1255"/>
      <c r="VEZ86" s="1255"/>
      <c r="VFA86" s="1255"/>
      <c r="VFB86" s="1255"/>
      <c r="VFC86" s="1255"/>
      <c r="VFD86" s="1255"/>
      <c r="VFE86" s="1255"/>
      <c r="VFF86" s="1255"/>
      <c r="VFG86" s="1255"/>
      <c r="VFH86" s="1255"/>
      <c r="VFI86" s="1255"/>
      <c r="VFJ86" s="1255"/>
      <c r="VFK86" s="1255"/>
      <c r="VFL86" s="1255"/>
      <c r="VFM86" s="1255"/>
      <c r="VFN86" s="1255"/>
      <c r="VFO86" s="1255"/>
      <c r="VFP86" s="1255"/>
      <c r="VFQ86" s="1255"/>
      <c r="VFR86" s="1255"/>
      <c r="VFS86" s="1255"/>
      <c r="VFT86" s="1255"/>
      <c r="VFU86" s="1255"/>
      <c r="VFV86" s="1255"/>
      <c r="VFW86" s="1255"/>
      <c r="VFX86" s="1255"/>
      <c r="VFY86" s="1255"/>
      <c r="VFZ86" s="1255"/>
      <c r="VGA86" s="1255"/>
      <c r="VGB86" s="1255"/>
      <c r="VGC86" s="1255"/>
      <c r="VGD86" s="1255"/>
      <c r="VGE86" s="1255"/>
      <c r="VGF86" s="1255"/>
      <c r="VGG86" s="1255"/>
      <c r="VGH86" s="1255"/>
      <c r="VGI86" s="1255"/>
      <c r="VGJ86" s="1255"/>
      <c r="VGK86" s="1255"/>
      <c r="VGL86" s="1255"/>
      <c r="VGM86" s="1255"/>
      <c r="VGN86" s="1255"/>
      <c r="VGO86" s="1255"/>
      <c r="VGP86" s="1255"/>
      <c r="VGQ86" s="1255"/>
      <c r="VGR86" s="1255"/>
      <c r="VGS86" s="1255"/>
      <c r="VGT86" s="1255"/>
      <c r="VGU86" s="1255"/>
      <c r="VGV86" s="1255"/>
      <c r="VGW86" s="1255"/>
      <c r="VGX86" s="1255"/>
      <c r="VGY86" s="1255"/>
      <c r="VGZ86" s="1255"/>
      <c r="VHA86" s="1255"/>
      <c r="VHB86" s="1255"/>
      <c r="VHC86" s="1255"/>
      <c r="VHD86" s="1255"/>
      <c r="VHE86" s="1255"/>
      <c r="VHF86" s="1255"/>
      <c r="VHG86" s="1255"/>
      <c r="VHH86" s="1255"/>
      <c r="VHI86" s="1255"/>
      <c r="VHJ86" s="1255"/>
      <c r="VHK86" s="1255"/>
      <c r="VHL86" s="1255"/>
      <c r="VHM86" s="1255"/>
      <c r="VHN86" s="1255"/>
      <c r="VHO86" s="1255"/>
      <c r="VHP86" s="1255"/>
      <c r="VHQ86" s="1255"/>
      <c r="VHR86" s="1255"/>
      <c r="VHS86" s="1255"/>
      <c r="VHT86" s="1255"/>
      <c r="VHU86" s="1255"/>
      <c r="VHV86" s="1255"/>
      <c r="VHW86" s="1255"/>
      <c r="VHX86" s="1255"/>
      <c r="VHY86" s="1255"/>
      <c r="VHZ86" s="1255"/>
      <c r="VIA86" s="1255"/>
      <c r="VIB86" s="1255"/>
      <c r="VIC86" s="1255"/>
      <c r="VID86" s="1255"/>
      <c r="VIE86" s="1255"/>
      <c r="VIF86" s="1255"/>
      <c r="VIG86" s="1255"/>
      <c r="VIH86" s="1255"/>
      <c r="VII86" s="1255"/>
      <c r="VIJ86" s="1255"/>
      <c r="VIK86" s="1255"/>
      <c r="VIL86" s="1255"/>
      <c r="VIM86" s="1255"/>
      <c r="VIN86" s="1255"/>
      <c r="VIO86" s="1255"/>
      <c r="VIP86" s="1255"/>
      <c r="VIQ86" s="1255"/>
      <c r="VIR86" s="1255"/>
      <c r="VIS86" s="1255"/>
      <c r="VIT86" s="1255"/>
      <c r="VIU86" s="1255"/>
      <c r="VIV86" s="1255"/>
      <c r="VIW86" s="1255"/>
      <c r="VIX86" s="1255"/>
      <c r="VIY86" s="1255"/>
      <c r="VIZ86" s="1255"/>
      <c r="VJA86" s="1255"/>
      <c r="VJB86" s="1255"/>
      <c r="VJC86" s="1255"/>
      <c r="VJD86" s="1255"/>
      <c r="VJE86" s="1255"/>
      <c r="VJF86" s="1255"/>
      <c r="VJG86" s="1255"/>
      <c r="VJH86" s="1255"/>
      <c r="VJI86" s="1255"/>
      <c r="VJJ86" s="1255"/>
      <c r="VJK86" s="1255"/>
      <c r="VJL86" s="1255"/>
      <c r="VJM86" s="1255"/>
      <c r="VJN86" s="1255"/>
      <c r="VJO86" s="1255"/>
      <c r="VJP86" s="1255"/>
      <c r="VJQ86" s="1255"/>
      <c r="VJR86" s="1255"/>
      <c r="VJS86" s="1255"/>
      <c r="VJT86" s="1255"/>
      <c r="VJU86" s="1255"/>
      <c r="VJV86" s="1255"/>
      <c r="VJW86" s="1255"/>
      <c r="VJX86" s="1255"/>
      <c r="VJY86" s="1255"/>
      <c r="VJZ86" s="1255"/>
      <c r="VKA86" s="1255"/>
      <c r="VKB86" s="1255"/>
      <c r="VKC86" s="1255"/>
      <c r="VKD86" s="1255"/>
      <c r="VKE86" s="1255"/>
      <c r="VKF86" s="1255"/>
      <c r="VKG86" s="1255"/>
      <c r="VKH86" s="1255"/>
      <c r="VKI86" s="1255"/>
      <c r="VKJ86" s="1255"/>
      <c r="VKK86" s="1255"/>
      <c r="VKL86" s="1255"/>
      <c r="VKM86" s="1255"/>
      <c r="VKN86" s="1255"/>
      <c r="VKO86" s="1255"/>
      <c r="VKP86" s="1255"/>
      <c r="VKQ86" s="1255"/>
      <c r="VKR86" s="1255"/>
      <c r="VKS86" s="1255"/>
      <c r="VKT86" s="1255"/>
      <c r="VKU86" s="1255"/>
      <c r="VKV86" s="1255"/>
      <c r="VKW86" s="1255"/>
      <c r="VKX86" s="1255"/>
      <c r="VKY86" s="1255"/>
      <c r="VKZ86" s="1255"/>
      <c r="VLA86" s="1255"/>
      <c r="VLB86" s="1255"/>
      <c r="VLC86" s="1255"/>
      <c r="VLD86" s="1255"/>
      <c r="VLE86" s="1255"/>
      <c r="VLF86" s="1255"/>
      <c r="VLG86" s="1255"/>
      <c r="VLH86" s="1255"/>
      <c r="VLI86" s="1255"/>
      <c r="VLJ86" s="1255"/>
      <c r="VLK86" s="1255"/>
      <c r="VLL86" s="1255"/>
      <c r="VLM86" s="1255"/>
      <c r="VLN86" s="1255"/>
      <c r="VLO86" s="1255"/>
      <c r="VLP86" s="1255"/>
      <c r="VLQ86" s="1255"/>
      <c r="VLR86" s="1255"/>
      <c r="VLS86" s="1255"/>
      <c r="VLT86" s="1255"/>
      <c r="VLU86" s="1255"/>
      <c r="VLV86" s="1255"/>
      <c r="VLW86" s="1255"/>
      <c r="VLX86" s="1255"/>
      <c r="VLY86" s="1255"/>
      <c r="VLZ86" s="1255"/>
      <c r="VMA86" s="1255"/>
      <c r="VMB86" s="1255"/>
      <c r="VMC86" s="1255"/>
      <c r="VMD86" s="1255"/>
      <c r="VME86" s="1255"/>
      <c r="VMF86" s="1255"/>
      <c r="VMG86" s="1255"/>
      <c r="VMH86" s="1255"/>
      <c r="VMI86" s="1255"/>
      <c r="VMJ86" s="1255"/>
      <c r="VMK86" s="1255"/>
      <c r="VML86" s="1255"/>
      <c r="VMM86" s="1255"/>
      <c r="VMN86" s="1255"/>
      <c r="VMO86" s="1255"/>
      <c r="VMP86" s="1255"/>
      <c r="VMQ86" s="1255"/>
      <c r="VMR86" s="1255"/>
      <c r="VMS86" s="1255"/>
      <c r="VMT86" s="1255"/>
      <c r="VMU86" s="1255"/>
      <c r="VMV86" s="1255"/>
      <c r="VMW86" s="1255"/>
      <c r="VMX86" s="1255"/>
      <c r="VMY86" s="1255"/>
      <c r="VMZ86" s="1255"/>
      <c r="VNA86" s="1255"/>
      <c r="VNB86" s="1255"/>
      <c r="VNC86" s="1255"/>
      <c r="VND86" s="1255"/>
      <c r="VNE86" s="1255"/>
      <c r="VNF86" s="1255"/>
      <c r="VNG86" s="1255"/>
      <c r="VNH86" s="1255"/>
      <c r="VNI86" s="1255"/>
      <c r="VNJ86" s="1255"/>
      <c r="VNK86" s="1255"/>
      <c r="VNL86" s="1255"/>
      <c r="VNM86" s="1255"/>
      <c r="VNN86" s="1255"/>
      <c r="VNO86" s="1255"/>
      <c r="VNP86" s="1255"/>
      <c r="VNQ86" s="1255"/>
      <c r="VNR86" s="1255"/>
      <c r="VNS86" s="1255"/>
      <c r="VNT86" s="1255"/>
      <c r="VNU86" s="1255"/>
      <c r="VNV86" s="1255"/>
      <c r="VNW86" s="1255"/>
      <c r="VNX86" s="1255"/>
      <c r="VNY86" s="1255"/>
      <c r="VNZ86" s="1255"/>
      <c r="VOA86" s="1255"/>
      <c r="VOB86" s="1255"/>
      <c r="VOC86" s="1255"/>
      <c r="VOD86" s="1255"/>
      <c r="VOE86" s="1255"/>
      <c r="VOF86" s="1255"/>
      <c r="VOG86" s="1255"/>
      <c r="VOH86" s="1255"/>
      <c r="VOI86" s="1255"/>
      <c r="VOJ86" s="1255"/>
      <c r="VOK86" s="1255"/>
      <c r="VOL86" s="1255"/>
      <c r="VOM86" s="1255"/>
      <c r="VON86" s="1255"/>
      <c r="VOO86" s="1255"/>
      <c r="VOP86" s="1255"/>
      <c r="VOQ86" s="1255"/>
      <c r="VOR86" s="1255"/>
      <c r="VOS86" s="1255"/>
      <c r="VOT86" s="1255"/>
      <c r="VOU86" s="1255"/>
      <c r="VOV86" s="1255"/>
      <c r="VOW86" s="1255"/>
      <c r="VOX86" s="1255"/>
      <c r="VOY86" s="1255"/>
      <c r="VOZ86" s="1255"/>
      <c r="VPA86" s="1255"/>
      <c r="VPB86" s="1255"/>
      <c r="VPC86" s="1255"/>
      <c r="VPD86" s="1255"/>
      <c r="VPE86" s="1255"/>
      <c r="VPF86" s="1255"/>
      <c r="VPG86" s="1255"/>
      <c r="VPH86" s="1255"/>
      <c r="VPI86" s="1255"/>
      <c r="VPJ86" s="1255"/>
      <c r="VPK86" s="1255"/>
      <c r="VPL86" s="1255"/>
      <c r="VPM86" s="1255"/>
      <c r="VPN86" s="1255"/>
      <c r="VPO86" s="1255"/>
      <c r="VPP86" s="1255"/>
      <c r="VPQ86" s="1255"/>
      <c r="VPR86" s="1255"/>
      <c r="VPS86" s="1255"/>
      <c r="VPT86" s="1255"/>
      <c r="VPU86" s="1255"/>
      <c r="VPV86" s="1255"/>
      <c r="VPW86" s="1255"/>
      <c r="VPX86" s="1255"/>
      <c r="VPY86" s="1255"/>
      <c r="VPZ86" s="1255"/>
      <c r="VQA86" s="1255"/>
      <c r="VQB86" s="1255"/>
      <c r="VQC86" s="1255"/>
      <c r="VQD86" s="1255"/>
      <c r="VQE86" s="1255"/>
      <c r="VQF86" s="1255"/>
      <c r="VQG86" s="1255"/>
      <c r="VQH86" s="1255"/>
      <c r="VQI86" s="1255"/>
      <c r="VQJ86" s="1255"/>
      <c r="VQK86" s="1255"/>
      <c r="VQL86" s="1255"/>
      <c r="VQM86" s="1255"/>
      <c r="VQN86" s="1255"/>
      <c r="VQO86" s="1255"/>
      <c r="VQP86" s="1255"/>
      <c r="VQQ86" s="1255"/>
      <c r="VQR86" s="1255"/>
      <c r="VQS86" s="1255"/>
      <c r="VQT86" s="1255"/>
      <c r="VQU86" s="1255"/>
      <c r="VQV86" s="1255"/>
      <c r="VQW86" s="1255"/>
      <c r="VQX86" s="1255"/>
      <c r="VQY86" s="1255"/>
      <c r="VQZ86" s="1255"/>
      <c r="VRA86" s="1255"/>
      <c r="VRB86" s="1255"/>
      <c r="VRC86" s="1255"/>
      <c r="VRD86" s="1255"/>
      <c r="VRE86" s="1255"/>
      <c r="VRF86" s="1255"/>
      <c r="VRG86" s="1255"/>
      <c r="VRH86" s="1255"/>
      <c r="VRI86" s="1255"/>
      <c r="VRJ86" s="1255"/>
      <c r="VRK86" s="1255"/>
      <c r="VRL86" s="1255"/>
      <c r="VRM86" s="1255"/>
      <c r="VRN86" s="1255"/>
      <c r="VRO86" s="1255"/>
      <c r="VRP86" s="1255"/>
      <c r="VRQ86" s="1255"/>
      <c r="VRR86" s="1255"/>
      <c r="VRS86" s="1255"/>
      <c r="VRT86" s="1255"/>
      <c r="VRU86" s="1255"/>
      <c r="VRV86" s="1255"/>
      <c r="VRW86" s="1255"/>
      <c r="VRX86" s="1255"/>
      <c r="VRY86" s="1255"/>
      <c r="VRZ86" s="1255"/>
      <c r="VSA86" s="1255"/>
      <c r="VSB86" s="1255"/>
      <c r="VSC86" s="1255"/>
      <c r="VSD86" s="1255"/>
      <c r="VSE86" s="1255"/>
      <c r="VSF86" s="1255"/>
      <c r="VSG86" s="1255"/>
      <c r="VSH86" s="1255"/>
      <c r="VSI86" s="1255"/>
      <c r="VSJ86" s="1255"/>
      <c r="VSK86" s="1255"/>
      <c r="VSL86" s="1255"/>
      <c r="VSM86" s="1255"/>
      <c r="VSN86" s="1255"/>
      <c r="VSO86" s="1255"/>
      <c r="VSP86" s="1255"/>
      <c r="VSQ86" s="1255"/>
      <c r="VSR86" s="1255"/>
      <c r="VSS86" s="1255"/>
      <c r="VST86" s="1255"/>
      <c r="VSU86" s="1255"/>
      <c r="VSV86" s="1255"/>
      <c r="VSW86" s="1255"/>
      <c r="VSX86" s="1255"/>
      <c r="VSY86" s="1255"/>
      <c r="VSZ86" s="1255"/>
      <c r="VTA86" s="1255"/>
      <c r="VTB86" s="1255"/>
      <c r="VTC86" s="1255"/>
      <c r="VTD86" s="1255"/>
      <c r="VTE86" s="1255"/>
      <c r="VTF86" s="1255"/>
      <c r="VTG86" s="1255"/>
      <c r="VTH86" s="1255"/>
      <c r="VTI86" s="1255"/>
      <c r="VTJ86" s="1255"/>
      <c r="VTK86" s="1255"/>
      <c r="VTL86" s="1255"/>
      <c r="VTM86" s="1255"/>
      <c r="VTN86" s="1255"/>
      <c r="VTO86" s="1255"/>
      <c r="VTP86" s="1255"/>
      <c r="VTQ86" s="1255"/>
      <c r="VTR86" s="1255"/>
      <c r="VTS86" s="1255"/>
      <c r="VTT86" s="1255"/>
      <c r="VTU86" s="1255"/>
      <c r="VTV86" s="1255"/>
      <c r="VTW86" s="1255"/>
      <c r="VTX86" s="1255"/>
      <c r="VTY86" s="1255"/>
      <c r="VTZ86" s="1255"/>
      <c r="VUA86" s="1255"/>
      <c r="VUB86" s="1255"/>
      <c r="VUC86" s="1255"/>
      <c r="VUD86" s="1255"/>
      <c r="VUE86" s="1255"/>
      <c r="VUF86" s="1255"/>
      <c r="VUG86" s="1255"/>
      <c r="VUH86" s="1255"/>
      <c r="VUI86" s="1255"/>
      <c r="VUJ86" s="1255"/>
      <c r="VUK86" s="1255"/>
      <c r="VUL86" s="1255"/>
      <c r="VUM86" s="1255"/>
      <c r="VUN86" s="1255"/>
      <c r="VUO86" s="1255"/>
      <c r="VUP86" s="1255"/>
      <c r="VUQ86" s="1255"/>
      <c r="VUR86" s="1255"/>
      <c r="VUS86" s="1255"/>
      <c r="VUT86" s="1255"/>
      <c r="VUU86" s="1255"/>
      <c r="VUV86" s="1255"/>
      <c r="VUW86" s="1255"/>
      <c r="VUX86" s="1255"/>
      <c r="VUY86" s="1255"/>
      <c r="VUZ86" s="1255"/>
      <c r="VVA86" s="1255"/>
      <c r="VVB86" s="1255"/>
      <c r="VVC86" s="1255"/>
      <c r="VVD86" s="1255"/>
      <c r="VVE86" s="1255"/>
      <c r="VVF86" s="1255"/>
      <c r="VVG86" s="1255"/>
      <c r="VVH86" s="1255"/>
      <c r="VVI86" s="1255"/>
      <c r="VVJ86" s="1255"/>
      <c r="VVK86" s="1255"/>
      <c r="VVL86" s="1255"/>
      <c r="VVM86" s="1255"/>
      <c r="VVN86" s="1255"/>
      <c r="VVO86" s="1255"/>
      <c r="VVP86" s="1255"/>
      <c r="VVQ86" s="1255"/>
      <c r="VVR86" s="1255"/>
      <c r="VVS86" s="1255"/>
      <c r="VVT86" s="1255"/>
      <c r="VVU86" s="1255"/>
      <c r="VVV86" s="1255"/>
      <c r="VVW86" s="1255"/>
      <c r="VVX86" s="1255"/>
      <c r="VVY86" s="1255"/>
      <c r="VVZ86" s="1255"/>
      <c r="VWA86" s="1255"/>
      <c r="VWB86" s="1255"/>
      <c r="VWC86" s="1255"/>
      <c r="VWD86" s="1255"/>
      <c r="VWE86" s="1255"/>
      <c r="VWF86" s="1255"/>
      <c r="VWG86" s="1255"/>
      <c r="VWH86" s="1255"/>
      <c r="VWI86" s="1255"/>
      <c r="VWJ86" s="1255"/>
      <c r="VWK86" s="1255"/>
      <c r="VWL86" s="1255"/>
      <c r="VWM86" s="1255"/>
      <c r="VWN86" s="1255"/>
      <c r="VWO86" s="1255"/>
      <c r="VWP86" s="1255"/>
      <c r="VWQ86" s="1255"/>
      <c r="VWR86" s="1255"/>
      <c r="VWS86" s="1255"/>
      <c r="VWT86" s="1255"/>
      <c r="VWU86" s="1255"/>
      <c r="VWV86" s="1255"/>
      <c r="VWW86" s="1255"/>
      <c r="VWX86" s="1255"/>
      <c r="VWY86" s="1255"/>
      <c r="VWZ86" s="1255"/>
      <c r="VXA86" s="1255"/>
      <c r="VXB86" s="1255"/>
      <c r="VXC86" s="1255"/>
      <c r="VXD86" s="1255"/>
      <c r="VXE86" s="1255"/>
      <c r="VXF86" s="1255"/>
      <c r="VXG86" s="1255"/>
      <c r="VXH86" s="1255"/>
      <c r="VXI86" s="1255"/>
      <c r="VXJ86" s="1255"/>
      <c r="VXK86" s="1255"/>
      <c r="VXL86" s="1255"/>
      <c r="VXM86" s="1255"/>
      <c r="VXN86" s="1255"/>
      <c r="VXO86" s="1255"/>
      <c r="VXP86" s="1255"/>
      <c r="VXQ86" s="1255"/>
      <c r="VXR86" s="1255"/>
      <c r="VXS86" s="1255"/>
      <c r="VXT86" s="1255"/>
      <c r="VXU86" s="1255"/>
      <c r="VXV86" s="1255"/>
      <c r="VXW86" s="1255"/>
      <c r="VXX86" s="1255"/>
      <c r="VXY86" s="1255"/>
      <c r="VXZ86" s="1255"/>
      <c r="VYA86" s="1255"/>
      <c r="VYB86" s="1255"/>
      <c r="VYC86" s="1255"/>
      <c r="VYD86" s="1255"/>
      <c r="VYE86" s="1255"/>
      <c r="VYF86" s="1255"/>
      <c r="VYG86" s="1255"/>
      <c r="VYH86" s="1255"/>
      <c r="VYI86" s="1255"/>
      <c r="VYJ86" s="1255"/>
      <c r="VYK86" s="1255"/>
      <c r="VYL86" s="1255"/>
      <c r="VYM86" s="1255"/>
      <c r="VYN86" s="1255"/>
      <c r="VYO86" s="1255"/>
      <c r="VYP86" s="1255"/>
      <c r="VYQ86" s="1255"/>
      <c r="VYR86" s="1255"/>
      <c r="VYS86" s="1255"/>
      <c r="VYT86" s="1255"/>
      <c r="VYU86" s="1255"/>
      <c r="VYV86" s="1255"/>
      <c r="VYW86" s="1255"/>
      <c r="VYX86" s="1255"/>
      <c r="VYY86" s="1255"/>
      <c r="VYZ86" s="1255"/>
      <c r="VZA86" s="1255"/>
      <c r="VZB86" s="1255"/>
      <c r="VZC86" s="1255"/>
      <c r="VZD86" s="1255"/>
      <c r="VZE86" s="1255"/>
      <c r="VZF86" s="1255"/>
      <c r="VZG86" s="1255"/>
      <c r="VZH86" s="1255"/>
      <c r="VZI86" s="1255"/>
      <c r="VZJ86" s="1255"/>
      <c r="VZK86" s="1255"/>
      <c r="VZL86" s="1255"/>
      <c r="VZM86" s="1255"/>
      <c r="VZN86" s="1255"/>
      <c r="VZO86" s="1255"/>
      <c r="VZP86" s="1255"/>
      <c r="VZQ86" s="1255"/>
      <c r="VZR86" s="1255"/>
      <c r="VZS86" s="1255"/>
      <c r="VZT86" s="1255"/>
      <c r="VZU86" s="1255"/>
      <c r="VZV86" s="1255"/>
      <c r="VZW86" s="1255"/>
      <c r="VZX86" s="1255"/>
      <c r="VZY86" s="1255"/>
      <c r="VZZ86" s="1255"/>
      <c r="WAA86" s="1255"/>
      <c r="WAB86" s="1255"/>
      <c r="WAC86" s="1255"/>
      <c r="WAD86" s="1255"/>
      <c r="WAE86" s="1255"/>
      <c r="WAF86" s="1255"/>
      <c r="WAG86" s="1255"/>
      <c r="WAH86" s="1255"/>
      <c r="WAI86" s="1255"/>
      <c r="WAJ86" s="1255"/>
      <c r="WAK86" s="1255"/>
      <c r="WAL86" s="1255"/>
      <c r="WAM86" s="1255"/>
      <c r="WAN86" s="1255"/>
      <c r="WAO86" s="1255"/>
      <c r="WAP86" s="1255"/>
      <c r="WAQ86" s="1255"/>
      <c r="WAR86" s="1255"/>
      <c r="WAS86" s="1255"/>
      <c r="WAT86" s="1255"/>
      <c r="WAU86" s="1255"/>
      <c r="WAV86" s="1255"/>
      <c r="WAW86" s="1255"/>
      <c r="WAX86" s="1255"/>
      <c r="WAY86" s="1255"/>
      <c r="WAZ86" s="1255"/>
      <c r="WBA86" s="1255"/>
      <c r="WBB86" s="1255"/>
      <c r="WBC86" s="1255"/>
      <c r="WBD86" s="1255"/>
      <c r="WBE86" s="1255"/>
      <c r="WBF86" s="1255"/>
      <c r="WBG86" s="1255"/>
      <c r="WBH86" s="1255"/>
      <c r="WBI86" s="1255"/>
      <c r="WBJ86" s="1255"/>
      <c r="WBK86" s="1255"/>
      <c r="WBL86" s="1255"/>
      <c r="WBM86" s="1255"/>
      <c r="WBN86" s="1255"/>
      <c r="WBO86" s="1255"/>
      <c r="WBP86" s="1255"/>
      <c r="WBQ86" s="1255"/>
      <c r="WBR86" s="1255"/>
      <c r="WBS86" s="1255"/>
      <c r="WBT86" s="1255"/>
      <c r="WBU86" s="1255"/>
      <c r="WBV86" s="1255"/>
      <c r="WBW86" s="1255"/>
      <c r="WBX86" s="1255"/>
      <c r="WBY86" s="1255"/>
      <c r="WBZ86" s="1255"/>
      <c r="WCA86" s="1255"/>
      <c r="WCB86" s="1255"/>
      <c r="WCC86" s="1255"/>
      <c r="WCD86" s="1255"/>
      <c r="WCE86" s="1255"/>
      <c r="WCF86" s="1255"/>
      <c r="WCG86" s="1255"/>
      <c r="WCH86" s="1255"/>
      <c r="WCI86" s="1255"/>
      <c r="WCJ86" s="1255"/>
      <c r="WCK86" s="1255"/>
      <c r="WCL86" s="1255"/>
      <c r="WCM86" s="1255"/>
      <c r="WCN86" s="1255"/>
      <c r="WCO86" s="1255"/>
      <c r="WCP86" s="1255"/>
      <c r="WCQ86" s="1255"/>
      <c r="WCR86" s="1255"/>
      <c r="WCS86" s="1255"/>
      <c r="WCT86" s="1255"/>
      <c r="WCU86" s="1255"/>
      <c r="WCV86" s="1255"/>
      <c r="WCW86" s="1255"/>
      <c r="WCX86" s="1255"/>
      <c r="WCY86" s="1255"/>
      <c r="WCZ86" s="1255"/>
      <c r="WDA86" s="1255"/>
      <c r="WDB86" s="1255"/>
      <c r="WDC86" s="1255"/>
      <c r="WDD86" s="1255"/>
      <c r="WDE86" s="1255"/>
      <c r="WDF86" s="1255"/>
      <c r="WDG86" s="1255"/>
      <c r="WDH86" s="1255"/>
      <c r="WDI86" s="1255"/>
      <c r="WDJ86" s="1255"/>
      <c r="WDK86" s="1255"/>
      <c r="WDL86" s="1255"/>
      <c r="WDM86" s="1255"/>
      <c r="WDN86" s="1255"/>
      <c r="WDO86" s="1255"/>
      <c r="WDP86" s="1255"/>
      <c r="WDQ86" s="1255"/>
      <c r="WDR86" s="1255"/>
      <c r="WDS86" s="1255"/>
      <c r="WDT86" s="1255"/>
      <c r="WDU86" s="1255"/>
      <c r="WDV86" s="1255"/>
      <c r="WDW86" s="1255"/>
      <c r="WDX86" s="1255"/>
      <c r="WDY86" s="1255"/>
      <c r="WDZ86" s="1255"/>
      <c r="WEA86" s="1255"/>
      <c r="WEB86" s="1255"/>
      <c r="WEC86" s="1255"/>
      <c r="WED86" s="1255"/>
      <c r="WEE86" s="1255"/>
      <c r="WEF86" s="1255"/>
      <c r="WEG86" s="1255"/>
      <c r="WEH86" s="1255"/>
      <c r="WEI86" s="1255"/>
      <c r="WEJ86" s="1255"/>
      <c r="WEK86" s="1255"/>
      <c r="WEL86" s="1255"/>
      <c r="WEM86" s="1255"/>
      <c r="WEN86" s="1255"/>
      <c r="WEO86" s="1255"/>
      <c r="WEP86" s="1255"/>
      <c r="WEQ86" s="1255"/>
      <c r="WER86" s="1255"/>
      <c r="WES86" s="1255"/>
      <c r="WET86" s="1255"/>
      <c r="WEU86" s="1255"/>
      <c r="WEV86" s="1255"/>
      <c r="WEW86" s="1255"/>
      <c r="WEX86" s="1255"/>
      <c r="WEY86" s="1255"/>
      <c r="WEZ86" s="1255"/>
      <c r="WFA86" s="1255"/>
      <c r="WFB86" s="1255"/>
      <c r="WFC86" s="1255"/>
      <c r="WFD86" s="1255"/>
      <c r="WFE86" s="1255"/>
      <c r="WFF86" s="1255"/>
      <c r="WFG86" s="1255"/>
      <c r="WFH86" s="1255"/>
      <c r="WFI86" s="1255"/>
      <c r="WFJ86" s="1255"/>
      <c r="WFK86" s="1255"/>
      <c r="WFL86" s="1255"/>
      <c r="WFM86" s="1255"/>
      <c r="WFN86" s="1255"/>
      <c r="WFO86" s="1255"/>
      <c r="WFP86" s="1255"/>
      <c r="WFQ86" s="1255"/>
      <c r="WFR86" s="1255"/>
      <c r="WFS86" s="1255"/>
      <c r="WFT86" s="1255"/>
      <c r="WFU86" s="1255"/>
      <c r="WFV86" s="1255"/>
      <c r="WFW86" s="1255"/>
      <c r="WFX86" s="1255"/>
      <c r="WFY86" s="1255"/>
      <c r="WFZ86" s="1255"/>
      <c r="WGA86" s="1255"/>
      <c r="WGB86" s="1255"/>
      <c r="WGC86" s="1255"/>
      <c r="WGD86" s="1255"/>
      <c r="WGE86" s="1255"/>
      <c r="WGF86" s="1255"/>
      <c r="WGG86" s="1255"/>
      <c r="WGH86" s="1255"/>
      <c r="WGI86" s="1255"/>
      <c r="WGJ86" s="1255"/>
      <c r="WGK86" s="1255"/>
      <c r="WGL86" s="1255"/>
      <c r="WGM86" s="1255"/>
      <c r="WGN86" s="1255"/>
      <c r="WGO86" s="1255"/>
      <c r="WGP86" s="1255"/>
      <c r="WGQ86" s="1255"/>
      <c r="WGR86" s="1255"/>
      <c r="WGS86" s="1255"/>
      <c r="WGT86" s="1255"/>
      <c r="WGU86" s="1255"/>
      <c r="WGV86" s="1255"/>
      <c r="WGW86" s="1255"/>
      <c r="WGX86" s="1255"/>
      <c r="WGY86" s="1255"/>
      <c r="WGZ86" s="1255"/>
      <c r="WHA86" s="1255"/>
      <c r="WHB86" s="1255"/>
      <c r="WHC86" s="1255"/>
      <c r="WHD86" s="1255"/>
      <c r="WHE86" s="1255"/>
      <c r="WHF86" s="1255"/>
      <c r="WHG86" s="1255"/>
      <c r="WHH86" s="1255"/>
      <c r="WHI86" s="1255"/>
      <c r="WHJ86" s="1255"/>
      <c r="WHK86" s="1255"/>
      <c r="WHL86" s="1255"/>
      <c r="WHM86" s="1255"/>
      <c r="WHN86" s="1255"/>
      <c r="WHO86" s="1255"/>
      <c r="WHP86" s="1255"/>
      <c r="WHQ86" s="1255"/>
      <c r="WHR86" s="1255"/>
      <c r="WHS86" s="1255"/>
      <c r="WHT86" s="1255"/>
      <c r="WHU86" s="1255"/>
      <c r="WHV86" s="1255"/>
      <c r="WHW86" s="1255"/>
      <c r="WHX86" s="1255"/>
      <c r="WHY86" s="1255"/>
      <c r="WHZ86" s="1255"/>
      <c r="WIA86" s="1255"/>
      <c r="WIB86" s="1255"/>
      <c r="WIC86" s="1255"/>
      <c r="WID86" s="1255"/>
      <c r="WIE86" s="1255"/>
      <c r="WIF86" s="1255"/>
      <c r="WIG86" s="1255"/>
      <c r="WIH86" s="1255"/>
      <c r="WII86" s="1255"/>
      <c r="WIJ86" s="1255"/>
      <c r="WIK86" s="1255"/>
      <c r="WIL86" s="1255"/>
      <c r="WIM86" s="1255"/>
      <c r="WIN86" s="1255"/>
      <c r="WIO86" s="1255"/>
      <c r="WIP86" s="1255"/>
      <c r="WIQ86" s="1255"/>
      <c r="WIR86" s="1255"/>
      <c r="WIS86" s="1255"/>
      <c r="WIT86" s="1255"/>
      <c r="WIU86" s="1255"/>
      <c r="WIV86" s="1255"/>
      <c r="WIW86" s="1255"/>
      <c r="WIX86" s="1255"/>
      <c r="WIY86" s="1255"/>
      <c r="WIZ86" s="1255"/>
      <c r="WJA86" s="1255"/>
      <c r="WJB86" s="1255"/>
      <c r="WJC86" s="1255"/>
      <c r="WJD86" s="1255"/>
      <c r="WJE86" s="1255"/>
      <c r="WJF86" s="1255"/>
      <c r="WJG86" s="1255"/>
      <c r="WJH86" s="1255"/>
      <c r="WJI86" s="1255"/>
      <c r="WJJ86" s="1255"/>
      <c r="WJK86" s="1255"/>
      <c r="WJL86" s="1255"/>
      <c r="WJM86" s="1255"/>
      <c r="WJN86" s="1255"/>
      <c r="WJO86" s="1255"/>
      <c r="WJP86" s="1255"/>
      <c r="WJQ86" s="1255"/>
      <c r="WJR86" s="1255"/>
      <c r="WJS86" s="1255"/>
      <c r="WJT86" s="1255"/>
      <c r="WJU86" s="1255"/>
      <c r="WJV86" s="1255"/>
      <c r="WJW86" s="1255"/>
      <c r="WJX86" s="1255"/>
      <c r="WJY86" s="1255"/>
      <c r="WJZ86" s="1255"/>
      <c r="WKA86" s="1255"/>
      <c r="WKB86" s="1255"/>
      <c r="WKC86" s="1255"/>
      <c r="WKD86" s="1255"/>
      <c r="WKE86" s="1255"/>
      <c r="WKF86" s="1255"/>
      <c r="WKG86" s="1255"/>
      <c r="WKH86" s="1255"/>
      <c r="WKI86" s="1255"/>
      <c r="WKJ86" s="1255"/>
      <c r="WKK86" s="1255"/>
      <c r="WKL86" s="1255"/>
      <c r="WKM86" s="1255"/>
      <c r="WKN86" s="1255"/>
      <c r="WKO86" s="1255"/>
      <c r="WKP86" s="1255"/>
      <c r="WKQ86" s="1255"/>
      <c r="WKR86" s="1255"/>
      <c r="WKS86" s="1255"/>
      <c r="WKT86" s="1255"/>
      <c r="WKU86" s="1255"/>
      <c r="WKV86" s="1255"/>
      <c r="WKW86" s="1255"/>
      <c r="WKX86" s="1255"/>
      <c r="WKY86" s="1255"/>
      <c r="WKZ86" s="1255"/>
      <c r="WLA86" s="1255"/>
      <c r="WLB86" s="1255"/>
      <c r="WLC86" s="1255"/>
      <c r="WLD86" s="1255"/>
      <c r="WLE86" s="1255"/>
      <c r="WLF86" s="1255"/>
      <c r="WLG86" s="1255"/>
      <c r="WLH86" s="1255"/>
      <c r="WLI86" s="1255"/>
      <c r="WLJ86" s="1255"/>
      <c r="WLK86" s="1255"/>
      <c r="WLL86" s="1255"/>
      <c r="WLM86" s="1255"/>
      <c r="WLN86" s="1255"/>
      <c r="WLO86" s="1255"/>
      <c r="WLP86" s="1255"/>
      <c r="WLQ86" s="1255"/>
      <c r="WLR86" s="1255"/>
      <c r="WLS86" s="1255"/>
      <c r="WLT86" s="1255"/>
      <c r="WLU86" s="1255"/>
      <c r="WLV86" s="1255"/>
      <c r="WLW86" s="1255"/>
      <c r="WLX86" s="1255"/>
      <c r="WLY86" s="1255"/>
      <c r="WLZ86" s="1255"/>
      <c r="WMA86" s="1255"/>
      <c r="WMB86" s="1255"/>
      <c r="WMC86" s="1255"/>
      <c r="WMD86" s="1255"/>
      <c r="WME86" s="1255"/>
      <c r="WMF86" s="1255"/>
      <c r="WMG86" s="1255"/>
      <c r="WMH86" s="1255"/>
      <c r="WMI86" s="1255"/>
      <c r="WMJ86" s="1255"/>
      <c r="WMK86" s="1255"/>
      <c r="WML86" s="1255"/>
      <c r="WMM86" s="1255"/>
      <c r="WMN86" s="1255"/>
      <c r="WMO86" s="1255"/>
      <c r="WMP86" s="1255"/>
      <c r="WMQ86" s="1255"/>
      <c r="WMR86" s="1255"/>
      <c r="WMS86" s="1255"/>
      <c r="WMT86" s="1255"/>
      <c r="WMU86" s="1255"/>
      <c r="WMV86" s="1255"/>
      <c r="WMW86" s="1255"/>
      <c r="WMX86" s="1255"/>
      <c r="WMY86" s="1255"/>
      <c r="WMZ86" s="1255"/>
      <c r="WNA86" s="1255"/>
      <c r="WNB86" s="1255"/>
      <c r="WNC86" s="1255"/>
      <c r="WND86" s="1255"/>
      <c r="WNE86" s="1255"/>
      <c r="WNF86" s="1255"/>
      <c r="WNG86" s="1255"/>
      <c r="WNH86" s="1255"/>
      <c r="WNI86" s="1255"/>
      <c r="WNJ86" s="1255"/>
      <c r="WNK86" s="1255"/>
      <c r="WNL86" s="1255"/>
      <c r="WNM86" s="1255"/>
      <c r="WNN86" s="1255"/>
      <c r="WNO86" s="1255"/>
      <c r="WNP86" s="1255"/>
      <c r="WNQ86" s="1255"/>
      <c r="WNR86" s="1255"/>
      <c r="WNS86" s="1255"/>
      <c r="WNT86" s="1255"/>
      <c r="WNU86" s="1255"/>
      <c r="WNV86" s="1255"/>
      <c r="WNW86" s="1255"/>
      <c r="WNX86" s="1255"/>
      <c r="WNY86" s="1255"/>
      <c r="WNZ86" s="1255"/>
      <c r="WOA86" s="1255"/>
      <c r="WOB86" s="1255"/>
      <c r="WOC86" s="1255"/>
      <c r="WOD86" s="1255"/>
      <c r="WOE86" s="1255"/>
      <c r="WOF86" s="1255"/>
      <c r="WOG86" s="1255"/>
      <c r="WOH86" s="1255"/>
      <c r="WOI86" s="1255"/>
      <c r="WOJ86" s="1255"/>
      <c r="WOK86" s="1255"/>
      <c r="WOL86" s="1255"/>
      <c r="WOM86" s="1255"/>
      <c r="WON86" s="1255"/>
      <c r="WOO86" s="1255"/>
      <c r="WOP86" s="1255"/>
      <c r="WOQ86" s="1255"/>
      <c r="WOR86" s="1255"/>
      <c r="WOS86" s="1255"/>
      <c r="WOT86" s="1255"/>
      <c r="WOU86" s="1255"/>
      <c r="WOV86" s="1255"/>
      <c r="WOW86" s="1255"/>
      <c r="WOX86" s="1255"/>
      <c r="WOY86" s="1255"/>
      <c r="WOZ86" s="1255"/>
      <c r="WPA86" s="1255"/>
      <c r="WPB86" s="1255"/>
      <c r="WPC86" s="1255"/>
      <c r="WPD86" s="1255"/>
      <c r="WPE86" s="1255"/>
      <c r="WPF86" s="1255"/>
      <c r="WPG86" s="1255"/>
      <c r="WPH86" s="1255"/>
      <c r="WPI86" s="1255"/>
      <c r="WPJ86" s="1255"/>
      <c r="WPK86" s="1255"/>
      <c r="WPL86" s="1255"/>
      <c r="WPM86" s="1255"/>
      <c r="WPN86" s="1255"/>
      <c r="WPO86" s="1255"/>
      <c r="WPP86" s="1255"/>
      <c r="WPQ86" s="1255"/>
      <c r="WPR86" s="1255"/>
      <c r="WPS86" s="1255"/>
      <c r="WPT86" s="1255"/>
      <c r="WPU86" s="1255"/>
      <c r="WPV86" s="1255"/>
      <c r="WPW86" s="1255"/>
      <c r="WPX86" s="1255"/>
      <c r="WPY86" s="1255"/>
      <c r="WPZ86" s="1255"/>
      <c r="WQA86" s="1255"/>
      <c r="WQB86" s="1255"/>
      <c r="WQC86" s="1255"/>
      <c r="WQD86" s="1255"/>
      <c r="WQE86" s="1255"/>
      <c r="WQF86" s="1255"/>
      <c r="WQG86" s="1255"/>
      <c r="WQH86" s="1255"/>
      <c r="WQI86" s="1255"/>
      <c r="WQJ86" s="1255"/>
      <c r="WQK86" s="1255"/>
      <c r="WQL86" s="1255"/>
      <c r="WQM86" s="1255"/>
      <c r="WQN86" s="1255"/>
      <c r="WQO86" s="1255"/>
      <c r="WQP86" s="1255"/>
      <c r="WQQ86" s="1255"/>
      <c r="WQR86" s="1255"/>
      <c r="WQS86" s="1255"/>
      <c r="WQT86" s="1255"/>
      <c r="WQU86" s="1255"/>
      <c r="WQV86" s="1255"/>
      <c r="WQW86" s="1255"/>
      <c r="WQX86" s="1255"/>
      <c r="WQY86" s="1255"/>
      <c r="WQZ86" s="1255"/>
      <c r="WRA86" s="1255"/>
      <c r="WRB86" s="1255"/>
      <c r="WRC86" s="1255"/>
      <c r="WRD86" s="1255"/>
      <c r="WRE86" s="1255"/>
      <c r="WRF86" s="1255"/>
      <c r="WRG86" s="1255"/>
      <c r="WRH86" s="1255"/>
      <c r="WRI86" s="1255"/>
      <c r="WRJ86" s="1255"/>
      <c r="WRK86" s="1255"/>
      <c r="WRL86" s="1255"/>
      <c r="WRM86" s="1255"/>
      <c r="WRN86" s="1255"/>
      <c r="WRO86" s="1255"/>
      <c r="WRP86" s="1255"/>
      <c r="WRQ86" s="1255"/>
      <c r="WRR86" s="1255"/>
      <c r="WRS86" s="1255"/>
      <c r="WRT86" s="1255"/>
      <c r="WRU86" s="1255"/>
      <c r="WRV86" s="1255"/>
      <c r="WRW86" s="1255"/>
      <c r="WRX86" s="1255"/>
      <c r="WRY86" s="1255"/>
      <c r="WRZ86" s="1255"/>
      <c r="WSA86" s="1255"/>
      <c r="WSB86" s="1255"/>
      <c r="WSC86" s="1255"/>
      <c r="WSD86" s="1255"/>
      <c r="WSE86" s="1255"/>
      <c r="WSF86" s="1255"/>
      <c r="WSG86" s="1255"/>
      <c r="WSH86" s="1255"/>
      <c r="WSI86" s="1255"/>
      <c r="WSJ86" s="1255"/>
      <c r="WSK86" s="1255"/>
      <c r="WSL86" s="1255"/>
      <c r="WSM86" s="1255"/>
      <c r="WSN86" s="1255"/>
      <c r="WSO86" s="1255"/>
      <c r="WSP86" s="1255"/>
      <c r="WSQ86" s="1255"/>
      <c r="WSR86" s="1255"/>
      <c r="WSS86" s="1255"/>
      <c r="WST86" s="1255"/>
      <c r="WSU86" s="1255"/>
      <c r="WSV86" s="1255"/>
      <c r="WSW86" s="1255"/>
      <c r="WSX86" s="1255"/>
      <c r="WSY86" s="1255"/>
      <c r="WSZ86" s="1255"/>
      <c r="WTA86" s="1255"/>
      <c r="WTB86" s="1255"/>
      <c r="WTC86" s="1255"/>
      <c r="WTD86" s="1255"/>
      <c r="WTE86" s="1255"/>
      <c r="WTF86" s="1255"/>
      <c r="WTG86" s="1255"/>
      <c r="WTH86" s="1255"/>
      <c r="WTI86" s="1255"/>
      <c r="WTJ86" s="1255"/>
      <c r="WTK86" s="1255"/>
      <c r="WTL86" s="1255"/>
      <c r="WTM86" s="1255"/>
      <c r="WTN86" s="1255"/>
      <c r="WTO86" s="1255"/>
      <c r="WTP86" s="1255"/>
      <c r="WTQ86" s="1255"/>
      <c r="WTR86" s="1255"/>
      <c r="WTS86" s="1255"/>
      <c r="WTT86" s="1255"/>
      <c r="WTU86" s="1255"/>
      <c r="WTV86" s="1255"/>
      <c r="WTW86" s="1255"/>
      <c r="WTX86" s="1255"/>
      <c r="WTY86" s="1255"/>
      <c r="WTZ86" s="1255"/>
      <c r="WUA86" s="1255"/>
      <c r="WUB86" s="1255"/>
      <c r="WUC86" s="1255"/>
      <c r="WUD86" s="1255"/>
      <c r="WUE86" s="1255"/>
      <c r="WUF86" s="1255"/>
      <c r="WUG86" s="1255"/>
      <c r="WUH86" s="1255"/>
      <c r="WUI86" s="1255"/>
      <c r="WUJ86" s="1255"/>
      <c r="WUK86" s="1255"/>
      <c r="WUL86" s="1255"/>
      <c r="WUM86" s="1255"/>
      <c r="WUN86" s="1255"/>
      <c r="WUO86" s="1255"/>
      <c r="WUP86" s="1255"/>
      <c r="WUQ86" s="1255"/>
      <c r="WUR86" s="1255"/>
      <c r="WUS86" s="1255"/>
      <c r="WUT86" s="1255"/>
      <c r="WUU86" s="1255"/>
      <c r="WUV86" s="1255"/>
      <c r="WUW86" s="1255"/>
      <c r="WUX86" s="1255"/>
      <c r="WUY86" s="1255"/>
      <c r="WUZ86" s="1255"/>
      <c r="WVA86" s="1255"/>
      <c r="WVB86" s="1255"/>
      <c r="WVC86" s="1255"/>
      <c r="WVD86" s="1255"/>
      <c r="WVE86" s="1255"/>
      <c r="WVF86" s="1255"/>
      <c r="WVG86" s="1255"/>
      <c r="WVH86" s="1255"/>
      <c r="WVI86" s="1255"/>
      <c r="WVJ86" s="1255"/>
      <c r="WVK86" s="1255"/>
      <c r="WVL86" s="1255"/>
      <c r="WVM86" s="1255"/>
      <c r="WVN86" s="1255"/>
      <c r="WVO86" s="1255"/>
      <c r="WVP86" s="1255"/>
      <c r="WVQ86" s="1255"/>
      <c r="WVR86" s="1255"/>
      <c r="WVS86" s="1255"/>
      <c r="WVT86" s="1255"/>
      <c r="WVU86" s="1255"/>
      <c r="WVV86" s="1255"/>
      <c r="WVW86" s="1255"/>
      <c r="WVX86" s="1255"/>
      <c r="WVY86" s="1255"/>
      <c r="WVZ86" s="1255"/>
      <c r="WWA86" s="1255"/>
      <c r="WWB86" s="1255"/>
      <c r="WWC86" s="1255"/>
      <c r="WWD86" s="1255"/>
      <c r="WWE86" s="1255"/>
      <c r="WWF86" s="1255"/>
      <c r="WWG86" s="1255"/>
      <c r="WWH86" s="1255"/>
      <c r="WWI86" s="1255"/>
      <c r="WWJ86" s="1255"/>
      <c r="WWK86" s="1255"/>
      <c r="WWL86" s="1255"/>
      <c r="WWM86" s="1255"/>
      <c r="WWN86" s="1255"/>
      <c r="WWO86" s="1255"/>
      <c r="WWP86" s="1255"/>
      <c r="WWQ86" s="1255"/>
      <c r="WWR86" s="1255"/>
      <c r="WWS86" s="1255"/>
      <c r="WWT86" s="1255"/>
      <c r="WWU86" s="1255"/>
      <c r="WWV86" s="1255"/>
    </row>
    <row r="157" spans="1:16168" s="1256" customFormat="1" x14ac:dyDescent="0.2">
      <c r="A157" s="1254"/>
      <c r="B157" s="1255"/>
      <c r="C157" s="1255"/>
      <c r="E157" s="1255"/>
      <c r="F157" s="1255"/>
      <c r="H157" s="1256">
        <v>510560</v>
      </c>
      <c r="L157" s="1257"/>
      <c r="M157" s="1257"/>
      <c r="N157" s="1257"/>
      <c r="O157" s="1257"/>
      <c r="P157" s="1257"/>
      <c r="Q157" s="1257"/>
      <c r="R157" s="1255"/>
      <c r="S157" s="1255"/>
      <c r="T157" s="1255"/>
      <c r="U157" s="1258"/>
      <c r="Y157" s="1255"/>
      <c r="Z157" s="1255"/>
      <c r="AB157" s="1255"/>
      <c r="AC157" s="1255"/>
      <c r="AE157" s="1255"/>
      <c r="AF157" s="1255"/>
      <c r="AG157" s="1255"/>
      <c r="AH157" s="1255"/>
      <c r="AI157" s="1255"/>
      <c r="AJ157" s="1255"/>
      <c r="AO157" s="1255"/>
      <c r="AP157" s="1255"/>
      <c r="AQ157" s="1255"/>
      <c r="AR157" s="1255"/>
      <c r="AS157" s="1255"/>
      <c r="AT157" s="1255"/>
      <c r="AU157" s="1255"/>
      <c r="AV157" s="1255"/>
      <c r="AW157" s="1255"/>
      <c r="AX157" s="1255"/>
      <c r="AY157" s="1255"/>
      <c r="AZ157" s="1255"/>
      <c r="BA157" s="1255"/>
      <c r="BB157" s="1255"/>
      <c r="BC157" s="1255"/>
      <c r="BD157" s="1255"/>
      <c r="BE157" s="1255"/>
      <c r="BF157" s="1255"/>
      <c r="BG157" s="1255"/>
      <c r="BH157" s="1255"/>
      <c r="BI157" s="1255"/>
      <c r="BJ157" s="1255"/>
      <c r="BK157" s="1255"/>
      <c r="BL157" s="1255"/>
      <c r="BM157" s="1255"/>
      <c r="BN157" s="1255"/>
      <c r="BO157" s="1255"/>
      <c r="BP157" s="1255"/>
      <c r="BQ157" s="1255"/>
      <c r="BR157" s="1255"/>
      <c r="BS157" s="1255"/>
      <c r="BT157" s="1255"/>
      <c r="BU157" s="1255"/>
      <c r="BV157" s="1255"/>
      <c r="BW157" s="1255"/>
      <c r="BX157" s="1255"/>
      <c r="BY157" s="1255"/>
      <c r="BZ157" s="1255"/>
      <c r="CA157" s="1255"/>
      <c r="CB157" s="1255"/>
      <c r="CC157" s="1255"/>
      <c r="CD157" s="1255"/>
      <c r="CE157" s="1255"/>
      <c r="CF157" s="1255"/>
      <c r="CG157" s="1255"/>
      <c r="CH157" s="1255"/>
      <c r="CI157" s="1255"/>
      <c r="CJ157" s="1255"/>
      <c r="CK157" s="1255"/>
      <c r="CL157" s="1255"/>
      <c r="CM157" s="1255"/>
      <c r="CN157" s="1255"/>
      <c r="CO157" s="1255"/>
      <c r="CP157" s="1255"/>
      <c r="CQ157" s="1255"/>
      <c r="CR157" s="1255"/>
      <c r="CS157" s="1255"/>
      <c r="CT157" s="1255"/>
      <c r="CU157" s="1255"/>
      <c r="CV157" s="1255"/>
      <c r="CW157" s="1255"/>
      <c r="CX157" s="1255"/>
      <c r="CY157" s="1255"/>
      <c r="CZ157" s="1255"/>
      <c r="DA157" s="1255"/>
      <c r="DB157" s="1255"/>
      <c r="DC157" s="1255"/>
      <c r="DD157" s="1255"/>
      <c r="DE157" s="1255"/>
      <c r="DF157" s="1255"/>
      <c r="DG157" s="1255"/>
      <c r="DH157" s="1255"/>
      <c r="DI157" s="1255"/>
      <c r="DJ157" s="1255"/>
      <c r="DK157" s="1255"/>
      <c r="DL157" s="1255"/>
      <c r="DM157" s="1255"/>
      <c r="DN157" s="1255"/>
      <c r="DO157" s="1255"/>
      <c r="DP157" s="1255"/>
      <c r="DQ157" s="1255"/>
      <c r="DR157" s="1255"/>
      <c r="DS157" s="1255"/>
      <c r="DT157" s="1255"/>
      <c r="DU157" s="1255"/>
      <c r="DV157" s="1255"/>
      <c r="DW157" s="1255"/>
      <c r="DX157" s="1255"/>
      <c r="DY157" s="1255"/>
      <c r="DZ157" s="1255"/>
      <c r="EA157" s="1255"/>
      <c r="EB157" s="1255"/>
      <c r="EC157" s="1255"/>
      <c r="ED157" s="1255"/>
      <c r="EE157" s="1255"/>
      <c r="EF157" s="1255"/>
      <c r="EG157" s="1255"/>
      <c r="EH157" s="1255"/>
      <c r="EI157" s="1255"/>
      <c r="EJ157" s="1255"/>
      <c r="EK157" s="1255"/>
      <c r="EL157" s="1255"/>
      <c r="EM157" s="1255"/>
      <c r="EN157" s="1255"/>
      <c r="EO157" s="1255"/>
      <c r="EP157" s="1255"/>
      <c r="EQ157" s="1255"/>
      <c r="ER157" s="1255"/>
      <c r="ES157" s="1255"/>
      <c r="ET157" s="1255"/>
      <c r="EU157" s="1255"/>
      <c r="EV157" s="1255"/>
      <c r="EW157" s="1255"/>
      <c r="EX157" s="1255"/>
      <c r="EY157" s="1255"/>
      <c r="EZ157" s="1255"/>
      <c r="FA157" s="1255"/>
      <c r="FB157" s="1255"/>
      <c r="FC157" s="1255"/>
      <c r="FD157" s="1255"/>
      <c r="FE157" s="1255"/>
      <c r="FF157" s="1255"/>
      <c r="FG157" s="1255"/>
      <c r="FH157" s="1255"/>
      <c r="FI157" s="1255"/>
      <c r="FJ157" s="1255"/>
      <c r="FK157" s="1255"/>
      <c r="FL157" s="1255"/>
      <c r="FM157" s="1255"/>
      <c r="FN157" s="1255"/>
      <c r="FO157" s="1255"/>
      <c r="FP157" s="1255"/>
      <c r="FQ157" s="1255"/>
      <c r="FR157" s="1255"/>
      <c r="FS157" s="1255"/>
      <c r="FT157" s="1255"/>
      <c r="FU157" s="1255"/>
      <c r="FV157" s="1255"/>
      <c r="FW157" s="1255"/>
      <c r="FX157" s="1255"/>
      <c r="FY157" s="1255"/>
      <c r="FZ157" s="1255"/>
      <c r="GA157" s="1255"/>
      <c r="GB157" s="1255"/>
      <c r="GC157" s="1255"/>
      <c r="GD157" s="1255"/>
      <c r="GE157" s="1255"/>
      <c r="GF157" s="1255"/>
      <c r="GG157" s="1255"/>
      <c r="GH157" s="1255"/>
      <c r="GI157" s="1255"/>
      <c r="GJ157" s="1255"/>
      <c r="GK157" s="1255"/>
      <c r="GL157" s="1255"/>
      <c r="GM157" s="1255"/>
      <c r="GN157" s="1255"/>
      <c r="GO157" s="1255"/>
      <c r="GP157" s="1255"/>
      <c r="GQ157" s="1255"/>
      <c r="GR157" s="1255"/>
      <c r="GS157" s="1255"/>
      <c r="GT157" s="1255"/>
      <c r="GU157" s="1255"/>
      <c r="GV157" s="1255"/>
      <c r="GW157" s="1255"/>
      <c r="GX157" s="1255"/>
      <c r="GY157" s="1255"/>
      <c r="GZ157" s="1255"/>
      <c r="HA157" s="1255"/>
      <c r="HB157" s="1255"/>
      <c r="HC157" s="1255"/>
      <c r="HD157" s="1255"/>
      <c r="HE157" s="1255"/>
      <c r="HF157" s="1255"/>
      <c r="HG157" s="1255"/>
      <c r="HH157" s="1255"/>
      <c r="HI157" s="1255"/>
      <c r="HJ157" s="1255"/>
      <c r="HK157" s="1255"/>
      <c r="HL157" s="1255"/>
      <c r="HM157" s="1255"/>
      <c r="HN157" s="1255"/>
      <c r="HO157" s="1255"/>
      <c r="HP157" s="1255"/>
      <c r="HQ157" s="1255"/>
      <c r="HR157" s="1255"/>
      <c r="HS157" s="1255"/>
      <c r="HT157" s="1255"/>
      <c r="HU157" s="1255"/>
      <c r="HV157" s="1255"/>
      <c r="HW157" s="1255"/>
      <c r="HX157" s="1255"/>
      <c r="HY157" s="1255"/>
      <c r="HZ157" s="1255"/>
      <c r="IA157" s="1255"/>
      <c r="IB157" s="1255"/>
      <c r="IC157" s="1255"/>
      <c r="ID157" s="1255"/>
      <c r="IE157" s="1255"/>
      <c r="IF157" s="1255"/>
      <c r="IG157" s="1255"/>
      <c r="IH157" s="1255"/>
      <c r="II157" s="1255"/>
      <c r="IJ157" s="1255"/>
      <c r="IK157" s="1255"/>
      <c r="IL157" s="1255"/>
      <c r="IM157" s="1255"/>
      <c r="IN157" s="1255"/>
      <c r="IO157" s="1255"/>
      <c r="IP157" s="1255"/>
      <c r="IQ157" s="1255"/>
      <c r="IR157" s="1255"/>
      <c r="IS157" s="1255"/>
      <c r="IT157" s="1255"/>
      <c r="IU157" s="1255"/>
      <c r="IV157" s="1255"/>
      <c r="IW157" s="1255"/>
      <c r="IX157" s="1255"/>
      <c r="IY157" s="1255"/>
      <c r="IZ157" s="1255"/>
      <c r="JA157" s="1255"/>
      <c r="JB157" s="1255"/>
      <c r="JC157" s="1255"/>
      <c r="JD157" s="1255"/>
      <c r="JE157" s="1255"/>
      <c r="JF157" s="1255"/>
      <c r="JG157" s="1255"/>
      <c r="JH157" s="1255"/>
      <c r="JI157" s="1255"/>
      <c r="JJ157" s="1255"/>
      <c r="JK157" s="1255"/>
      <c r="JL157" s="1255"/>
      <c r="JM157" s="1255"/>
      <c r="JN157" s="1255"/>
      <c r="JO157" s="1255"/>
      <c r="JP157" s="1255"/>
      <c r="JQ157" s="1255"/>
      <c r="JR157" s="1255"/>
      <c r="JS157" s="1255"/>
      <c r="JT157" s="1255"/>
      <c r="JU157" s="1255"/>
      <c r="JV157" s="1255"/>
      <c r="JW157" s="1255"/>
      <c r="JX157" s="1255"/>
      <c r="JY157" s="1255"/>
      <c r="JZ157" s="1255"/>
      <c r="KA157" s="1255"/>
      <c r="KB157" s="1255"/>
      <c r="KC157" s="1255"/>
      <c r="KD157" s="1255"/>
      <c r="KE157" s="1255"/>
      <c r="KF157" s="1255"/>
      <c r="KG157" s="1255"/>
      <c r="KH157" s="1255"/>
      <c r="KI157" s="1255"/>
      <c r="KJ157" s="1255"/>
      <c r="KK157" s="1255"/>
      <c r="KL157" s="1255"/>
      <c r="KM157" s="1255"/>
      <c r="KN157" s="1255"/>
      <c r="KO157" s="1255"/>
      <c r="KP157" s="1255"/>
      <c r="KQ157" s="1255"/>
      <c r="KR157" s="1255"/>
      <c r="KS157" s="1255"/>
      <c r="KT157" s="1255"/>
      <c r="KU157" s="1255"/>
      <c r="KV157" s="1255"/>
      <c r="KW157" s="1255"/>
      <c r="KX157" s="1255"/>
      <c r="KY157" s="1255"/>
      <c r="KZ157" s="1255"/>
      <c r="LA157" s="1255"/>
      <c r="LB157" s="1255"/>
      <c r="LC157" s="1255"/>
      <c r="LD157" s="1255"/>
      <c r="LE157" s="1255"/>
      <c r="LF157" s="1255"/>
      <c r="LG157" s="1255"/>
      <c r="LH157" s="1255"/>
      <c r="LI157" s="1255"/>
      <c r="LJ157" s="1255"/>
      <c r="LK157" s="1255"/>
      <c r="LL157" s="1255"/>
      <c r="LM157" s="1255"/>
      <c r="LN157" s="1255"/>
      <c r="LO157" s="1255"/>
      <c r="LP157" s="1255"/>
      <c r="LQ157" s="1255"/>
      <c r="LR157" s="1255"/>
      <c r="LS157" s="1255"/>
      <c r="LT157" s="1255"/>
      <c r="LU157" s="1255"/>
      <c r="LV157" s="1255"/>
      <c r="LW157" s="1255"/>
      <c r="LX157" s="1255"/>
      <c r="LY157" s="1255"/>
      <c r="LZ157" s="1255"/>
      <c r="MA157" s="1255"/>
      <c r="MB157" s="1255"/>
      <c r="MC157" s="1255"/>
      <c r="MD157" s="1255"/>
      <c r="ME157" s="1255"/>
      <c r="MF157" s="1255"/>
      <c r="MG157" s="1255"/>
      <c r="MH157" s="1255"/>
      <c r="MI157" s="1255"/>
      <c r="MJ157" s="1255"/>
      <c r="MK157" s="1255"/>
      <c r="ML157" s="1255"/>
      <c r="MM157" s="1255"/>
      <c r="MN157" s="1255"/>
      <c r="MO157" s="1255"/>
      <c r="MP157" s="1255"/>
      <c r="MQ157" s="1255"/>
      <c r="MR157" s="1255"/>
      <c r="MS157" s="1255"/>
      <c r="MT157" s="1255"/>
      <c r="MU157" s="1255"/>
      <c r="MV157" s="1255"/>
      <c r="MW157" s="1255"/>
      <c r="MX157" s="1255"/>
      <c r="MY157" s="1255"/>
      <c r="MZ157" s="1255"/>
      <c r="NA157" s="1255"/>
      <c r="NB157" s="1255"/>
      <c r="NC157" s="1255"/>
      <c r="ND157" s="1255"/>
      <c r="NE157" s="1255"/>
      <c r="NF157" s="1255"/>
      <c r="NG157" s="1255"/>
      <c r="NH157" s="1255"/>
      <c r="NI157" s="1255"/>
      <c r="NJ157" s="1255"/>
      <c r="NK157" s="1255"/>
      <c r="NL157" s="1255"/>
      <c r="NM157" s="1255"/>
      <c r="NN157" s="1255"/>
      <c r="NO157" s="1255"/>
      <c r="NP157" s="1255"/>
      <c r="NQ157" s="1255"/>
      <c r="NR157" s="1255"/>
      <c r="NS157" s="1255"/>
      <c r="NT157" s="1255"/>
      <c r="NU157" s="1255"/>
      <c r="NV157" s="1255"/>
      <c r="NW157" s="1255"/>
      <c r="NX157" s="1255"/>
      <c r="NY157" s="1255"/>
      <c r="NZ157" s="1255"/>
      <c r="OA157" s="1255"/>
      <c r="OB157" s="1255"/>
      <c r="OC157" s="1255"/>
      <c r="OD157" s="1255"/>
      <c r="OE157" s="1255"/>
      <c r="OF157" s="1255"/>
      <c r="OG157" s="1255"/>
      <c r="OH157" s="1255"/>
      <c r="OI157" s="1255"/>
      <c r="OJ157" s="1255"/>
      <c r="OK157" s="1255"/>
      <c r="OL157" s="1255"/>
      <c r="OM157" s="1255"/>
      <c r="ON157" s="1255"/>
      <c r="OO157" s="1255"/>
      <c r="OP157" s="1255"/>
      <c r="OQ157" s="1255"/>
      <c r="OR157" s="1255"/>
      <c r="OS157" s="1255"/>
      <c r="OT157" s="1255"/>
      <c r="OU157" s="1255"/>
      <c r="OV157" s="1255"/>
      <c r="OW157" s="1255"/>
      <c r="OX157" s="1255"/>
      <c r="OY157" s="1255"/>
      <c r="OZ157" s="1255"/>
      <c r="PA157" s="1255"/>
      <c r="PB157" s="1255"/>
      <c r="PC157" s="1255"/>
      <c r="PD157" s="1255"/>
      <c r="PE157" s="1255"/>
      <c r="PF157" s="1255"/>
      <c r="PG157" s="1255"/>
      <c r="PH157" s="1255"/>
      <c r="PI157" s="1255"/>
      <c r="PJ157" s="1255"/>
      <c r="PK157" s="1255"/>
      <c r="PL157" s="1255"/>
      <c r="PM157" s="1255"/>
      <c r="PN157" s="1255"/>
      <c r="PO157" s="1255"/>
      <c r="PP157" s="1255"/>
      <c r="PQ157" s="1255"/>
      <c r="PR157" s="1255"/>
      <c r="PS157" s="1255"/>
      <c r="PT157" s="1255"/>
      <c r="PU157" s="1255"/>
      <c r="PV157" s="1255"/>
      <c r="PW157" s="1255"/>
      <c r="PX157" s="1255"/>
      <c r="PY157" s="1255"/>
      <c r="PZ157" s="1255"/>
      <c r="QA157" s="1255"/>
      <c r="QB157" s="1255"/>
      <c r="QC157" s="1255"/>
      <c r="QD157" s="1255"/>
      <c r="QE157" s="1255"/>
      <c r="QF157" s="1255"/>
      <c r="QG157" s="1255"/>
      <c r="QH157" s="1255"/>
      <c r="QI157" s="1255"/>
      <c r="QJ157" s="1255"/>
      <c r="QK157" s="1255"/>
      <c r="QL157" s="1255"/>
      <c r="QM157" s="1255"/>
      <c r="QN157" s="1255"/>
      <c r="QO157" s="1255"/>
      <c r="QP157" s="1255"/>
      <c r="QQ157" s="1255"/>
      <c r="QR157" s="1255"/>
      <c r="QS157" s="1255"/>
      <c r="QT157" s="1255"/>
      <c r="QU157" s="1255"/>
      <c r="QV157" s="1255"/>
      <c r="QW157" s="1255"/>
      <c r="QX157" s="1255"/>
      <c r="QY157" s="1255"/>
      <c r="QZ157" s="1255"/>
      <c r="RA157" s="1255"/>
      <c r="RB157" s="1255"/>
      <c r="RC157" s="1255"/>
      <c r="RD157" s="1255"/>
      <c r="RE157" s="1255"/>
      <c r="RF157" s="1255"/>
      <c r="RG157" s="1255"/>
      <c r="RH157" s="1255"/>
      <c r="RI157" s="1255"/>
      <c r="RJ157" s="1255"/>
      <c r="RK157" s="1255"/>
      <c r="RL157" s="1255"/>
      <c r="RM157" s="1255"/>
      <c r="RN157" s="1255"/>
      <c r="RO157" s="1255"/>
      <c r="RP157" s="1255"/>
      <c r="RQ157" s="1255"/>
      <c r="RR157" s="1255"/>
      <c r="RS157" s="1255"/>
      <c r="RT157" s="1255"/>
      <c r="RU157" s="1255"/>
      <c r="RV157" s="1255"/>
      <c r="RW157" s="1255"/>
      <c r="RX157" s="1255"/>
      <c r="RY157" s="1255"/>
      <c r="RZ157" s="1255"/>
      <c r="SA157" s="1255"/>
      <c r="SB157" s="1255"/>
      <c r="SC157" s="1255"/>
      <c r="SD157" s="1255"/>
      <c r="SE157" s="1255"/>
      <c r="SF157" s="1255"/>
      <c r="SG157" s="1255"/>
      <c r="SH157" s="1255"/>
      <c r="SI157" s="1255"/>
      <c r="SJ157" s="1255"/>
      <c r="SK157" s="1255"/>
      <c r="SL157" s="1255"/>
      <c r="SM157" s="1255"/>
      <c r="SN157" s="1255"/>
      <c r="SO157" s="1255"/>
      <c r="SP157" s="1255"/>
      <c r="SQ157" s="1255"/>
      <c r="SR157" s="1255"/>
      <c r="SS157" s="1255"/>
      <c r="ST157" s="1255"/>
      <c r="SU157" s="1255"/>
      <c r="SV157" s="1255"/>
      <c r="SW157" s="1255"/>
      <c r="SX157" s="1255"/>
      <c r="SY157" s="1255"/>
      <c r="SZ157" s="1255"/>
      <c r="TA157" s="1255"/>
      <c r="TB157" s="1255"/>
      <c r="TC157" s="1255"/>
      <c r="TD157" s="1255"/>
      <c r="TE157" s="1255"/>
      <c r="TF157" s="1255"/>
      <c r="TG157" s="1255"/>
      <c r="TH157" s="1255"/>
      <c r="TI157" s="1255"/>
      <c r="TJ157" s="1255"/>
      <c r="TK157" s="1255"/>
      <c r="TL157" s="1255"/>
      <c r="TM157" s="1255"/>
      <c r="TN157" s="1255"/>
      <c r="TO157" s="1255"/>
      <c r="TP157" s="1255"/>
      <c r="TQ157" s="1255"/>
      <c r="TR157" s="1255"/>
      <c r="TS157" s="1255"/>
      <c r="TT157" s="1255"/>
      <c r="TU157" s="1255"/>
      <c r="TV157" s="1255"/>
      <c r="TW157" s="1255"/>
      <c r="TX157" s="1255"/>
      <c r="TY157" s="1255"/>
      <c r="TZ157" s="1255"/>
      <c r="UA157" s="1255"/>
      <c r="UB157" s="1255"/>
      <c r="UC157" s="1255"/>
      <c r="UD157" s="1255"/>
      <c r="UE157" s="1255"/>
      <c r="UF157" s="1255"/>
      <c r="UG157" s="1255"/>
      <c r="UH157" s="1255"/>
      <c r="UI157" s="1255"/>
      <c r="UJ157" s="1255"/>
      <c r="UK157" s="1255"/>
      <c r="UL157" s="1255"/>
      <c r="UM157" s="1255"/>
      <c r="UN157" s="1255"/>
      <c r="UO157" s="1255"/>
      <c r="UP157" s="1255"/>
      <c r="UQ157" s="1255"/>
      <c r="UR157" s="1255"/>
      <c r="US157" s="1255"/>
      <c r="UT157" s="1255"/>
      <c r="UU157" s="1255"/>
      <c r="UV157" s="1255"/>
      <c r="UW157" s="1255"/>
      <c r="UX157" s="1255"/>
      <c r="UY157" s="1255"/>
      <c r="UZ157" s="1255"/>
      <c r="VA157" s="1255"/>
      <c r="VB157" s="1255"/>
      <c r="VC157" s="1255"/>
      <c r="VD157" s="1255"/>
      <c r="VE157" s="1255"/>
      <c r="VF157" s="1255"/>
      <c r="VG157" s="1255"/>
      <c r="VH157" s="1255"/>
      <c r="VI157" s="1255"/>
      <c r="VJ157" s="1255"/>
      <c r="VK157" s="1255"/>
      <c r="VL157" s="1255"/>
      <c r="VM157" s="1255"/>
      <c r="VN157" s="1255"/>
      <c r="VO157" s="1255"/>
      <c r="VP157" s="1255"/>
      <c r="VQ157" s="1255"/>
      <c r="VR157" s="1255"/>
      <c r="VS157" s="1255"/>
      <c r="VT157" s="1255"/>
      <c r="VU157" s="1255"/>
      <c r="VV157" s="1255"/>
      <c r="VW157" s="1255"/>
      <c r="VX157" s="1255"/>
      <c r="VY157" s="1255"/>
      <c r="VZ157" s="1255"/>
      <c r="WA157" s="1255"/>
      <c r="WB157" s="1255"/>
      <c r="WC157" s="1255"/>
      <c r="WD157" s="1255"/>
      <c r="WE157" s="1255"/>
      <c r="WF157" s="1255"/>
      <c r="WG157" s="1255"/>
      <c r="WH157" s="1255"/>
      <c r="WI157" s="1255"/>
      <c r="WJ157" s="1255"/>
      <c r="WK157" s="1255"/>
      <c r="WL157" s="1255"/>
      <c r="WM157" s="1255"/>
      <c r="WN157" s="1255"/>
      <c r="WO157" s="1255"/>
      <c r="WP157" s="1255"/>
      <c r="WQ157" s="1255"/>
      <c r="WR157" s="1255"/>
      <c r="WS157" s="1255"/>
      <c r="WT157" s="1255"/>
      <c r="WU157" s="1255"/>
      <c r="WV157" s="1255"/>
      <c r="WW157" s="1255"/>
      <c r="WX157" s="1255"/>
      <c r="WY157" s="1255"/>
      <c r="WZ157" s="1255"/>
      <c r="XA157" s="1255"/>
      <c r="XB157" s="1255"/>
      <c r="XC157" s="1255"/>
      <c r="XD157" s="1255"/>
      <c r="XE157" s="1255"/>
      <c r="XF157" s="1255"/>
      <c r="XG157" s="1255"/>
      <c r="XH157" s="1255"/>
      <c r="XI157" s="1255"/>
      <c r="XJ157" s="1255"/>
      <c r="XK157" s="1255"/>
      <c r="XL157" s="1255"/>
      <c r="XM157" s="1255"/>
      <c r="XN157" s="1255"/>
      <c r="XO157" s="1255"/>
      <c r="XP157" s="1255"/>
      <c r="XQ157" s="1255"/>
      <c r="XR157" s="1255"/>
      <c r="XS157" s="1255"/>
      <c r="XT157" s="1255"/>
      <c r="XU157" s="1255"/>
      <c r="XV157" s="1255"/>
      <c r="XW157" s="1255"/>
      <c r="XX157" s="1255"/>
      <c r="XY157" s="1255"/>
      <c r="XZ157" s="1255"/>
      <c r="YA157" s="1255"/>
      <c r="YB157" s="1255"/>
      <c r="YC157" s="1255"/>
      <c r="YD157" s="1255"/>
      <c r="YE157" s="1255"/>
      <c r="YF157" s="1255"/>
      <c r="YG157" s="1255"/>
      <c r="YH157" s="1255"/>
      <c r="YI157" s="1255"/>
      <c r="YJ157" s="1255"/>
      <c r="YK157" s="1255"/>
      <c r="YL157" s="1255"/>
      <c r="YM157" s="1255"/>
      <c r="YN157" s="1255"/>
      <c r="YO157" s="1255"/>
      <c r="YP157" s="1255"/>
      <c r="YQ157" s="1255"/>
      <c r="YR157" s="1255"/>
      <c r="YS157" s="1255"/>
      <c r="YT157" s="1255"/>
      <c r="YU157" s="1255"/>
      <c r="YV157" s="1255"/>
      <c r="YW157" s="1255"/>
      <c r="YX157" s="1255"/>
      <c r="YY157" s="1255"/>
      <c r="YZ157" s="1255"/>
      <c r="ZA157" s="1255"/>
      <c r="ZB157" s="1255"/>
      <c r="ZC157" s="1255"/>
      <c r="ZD157" s="1255"/>
      <c r="ZE157" s="1255"/>
      <c r="ZF157" s="1255"/>
      <c r="ZG157" s="1255"/>
      <c r="ZH157" s="1255"/>
      <c r="ZI157" s="1255"/>
      <c r="ZJ157" s="1255"/>
      <c r="ZK157" s="1255"/>
      <c r="ZL157" s="1255"/>
      <c r="ZM157" s="1255"/>
      <c r="ZN157" s="1255"/>
      <c r="ZO157" s="1255"/>
      <c r="ZP157" s="1255"/>
      <c r="ZQ157" s="1255"/>
      <c r="ZR157" s="1255"/>
      <c r="ZS157" s="1255"/>
      <c r="ZT157" s="1255"/>
      <c r="ZU157" s="1255"/>
      <c r="ZV157" s="1255"/>
      <c r="ZW157" s="1255"/>
      <c r="ZX157" s="1255"/>
      <c r="ZY157" s="1255"/>
      <c r="ZZ157" s="1255"/>
      <c r="AAA157" s="1255"/>
      <c r="AAB157" s="1255"/>
      <c r="AAC157" s="1255"/>
      <c r="AAD157" s="1255"/>
      <c r="AAE157" s="1255"/>
      <c r="AAF157" s="1255"/>
      <c r="AAG157" s="1255"/>
      <c r="AAH157" s="1255"/>
      <c r="AAI157" s="1255"/>
      <c r="AAJ157" s="1255"/>
      <c r="AAK157" s="1255"/>
      <c r="AAL157" s="1255"/>
      <c r="AAM157" s="1255"/>
      <c r="AAN157" s="1255"/>
      <c r="AAO157" s="1255"/>
      <c r="AAP157" s="1255"/>
      <c r="AAQ157" s="1255"/>
      <c r="AAR157" s="1255"/>
      <c r="AAS157" s="1255"/>
      <c r="AAT157" s="1255"/>
      <c r="AAU157" s="1255"/>
      <c r="AAV157" s="1255"/>
      <c r="AAW157" s="1255"/>
      <c r="AAX157" s="1255"/>
      <c r="AAY157" s="1255"/>
      <c r="AAZ157" s="1255"/>
      <c r="ABA157" s="1255"/>
      <c r="ABB157" s="1255"/>
      <c r="ABC157" s="1255"/>
      <c r="ABD157" s="1255"/>
      <c r="ABE157" s="1255"/>
      <c r="ABF157" s="1255"/>
      <c r="ABG157" s="1255"/>
      <c r="ABH157" s="1255"/>
      <c r="ABI157" s="1255"/>
      <c r="ABJ157" s="1255"/>
      <c r="ABK157" s="1255"/>
      <c r="ABL157" s="1255"/>
      <c r="ABM157" s="1255"/>
      <c r="ABN157" s="1255"/>
      <c r="ABO157" s="1255"/>
      <c r="ABP157" s="1255"/>
      <c r="ABQ157" s="1255"/>
      <c r="ABR157" s="1255"/>
      <c r="ABS157" s="1255"/>
      <c r="ABT157" s="1255"/>
      <c r="ABU157" s="1255"/>
      <c r="ABV157" s="1255"/>
      <c r="ABW157" s="1255"/>
      <c r="ABX157" s="1255"/>
      <c r="ABY157" s="1255"/>
      <c r="ABZ157" s="1255"/>
      <c r="ACA157" s="1255"/>
      <c r="ACB157" s="1255"/>
      <c r="ACC157" s="1255"/>
      <c r="ACD157" s="1255"/>
      <c r="ACE157" s="1255"/>
      <c r="ACF157" s="1255"/>
      <c r="ACG157" s="1255"/>
      <c r="ACH157" s="1255"/>
      <c r="ACI157" s="1255"/>
      <c r="ACJ157" s="1255"/>
      <c r="ACK157" s="1255"/>
      <c r="ACL157" s="1255"/>
      <c r="ACM157" s="1255"/>
      <c r="ACN157" s="1255"/>
      <c r="ACO157" s="1255"/>
      <c r="ACP157" s="1255"/>
      <c r="ACQ157" s="1255"/>
      <c r="ACR157" s="1255"/>
      <c r="ACS157" s="1255"/>
      <c r="ACT157" s="1255"/>
      <c r="ACU157" s="1255"/>
      <c r="ACV157" s="1255"/>
      <c r="ACW157" s="1255"/>
      <c r="ACX157" s="1255"/>
      <c r="ACY157" s="1255"/>
      <c r="ACZ157" s="1255"/>
      <c r="ADA157" s="1255"/>
      <c r="ADB157" s="1255"/>
      <c r="ADC157" s="1255"/>
      <c r="ADD157" s="1255"/>
      <c r="ADE157" s="1255"/>
      <c r="ADF157" s="1255"/>
      <c r="ADG157" s="1255"/>
      <c r="ADH157" s="1255"/>
      <c r="ADI157" s="1255"/>
      <c r="ADJ157" s="1255"/>
      <c r="ADK157" s="1255"/>
      <c r="ADL157" s="1255"/>
      <c r="ADM157" s="1255"/>
      <c r="ADN157" s="1255"/>
      <c r="ADO157" s="1255"/>
      <c r="ADP157" s="1255"/>
      <c r="ADQ157" s="1255"/>
      <c r="ADR157" s="1255"/>
      <c r="ADS157" s="1255"/>
      <c r="ADT157" s="1255"/>
      <c r="ADU157" s="1255"/>
      <c r="ADV157" s="1255"/>
      <c r="ADW157" s="1255"/>
      <c r="ADX157" s="1255"/>
      <c r="ADY157" s="1255"/>
      <c r="ADZ157" s="1255"/>
      <c r="AEA157" s="1255"/>
      <c r="AEB157" s="1255"/>
      <c r="AEC157" s="1255"/>
      <c r="AED157" s="1255"/>
      <c r="AEE157" s="1255"/>
      <c r="AEF157" s="1255"/>
      <c r="AEG157" s="1255"/>
      <c r="AEH157" s="1255"/>
      <c r="AEI157" s="1255"/>
      <c r="AEJ157" s="1255"/>
      <c r="AEK157" s="1255"/>
      <c r="AEL157" s="1255"/>
      <c r="AEM157" s="1255"/>
      <c r="AEN157" s="1255"/>
      <c r="AEO157" s="1255"/>
      <c r="AEP157" s="1255"/>
      <c r="AEQ157" s="1255"/>
      <c r="AER157" s="1255"/>
      <c r="AES157" s="1255"/>
      <c r="AET157" s="1255"/>
      <c r="AEU157" s="1255"/>
      <c r="AEV157" s="1255"/>
      <c r="AEW157" s="1255"/>
      <c r="AEX157" s="1255"/>
      <c r="AEY157" s="1255"/>
      <c r="AEZ157" s="1255"/>
      <c r="AFA157" s="1255"/>
      <c r="AFB157" s="1255"/>
      <c r="AFC157" s="1255"/>
      <c r="AFD157" s="1255"/>
      <c r="AFE157" s="1255"/>
      <c r="AFF157" s="1255"/>
      <c r="AFG157" s="1255"/>
      <c r="AFH157" s="1255"/>
      <c r="AFI157" s="1255"/>
      <c r="AFJ157" s="1255"/>
      <c r="AFK157" s="1255"/>
      <c r="AFL157" s="1255"/>
      <c r="AFM157" s="1255"/>
      <c r="AFN157" s="1255"/>
      <c r="AFO157" s="1255"/>
      <c r="AFP157" s="1255"/>
      <c r="AFQ157" s="1255"/>
      <c r="AFR157" s="1255"/>
      <c r="AFS157" s="1255"/>
      <c r="AFT157" s="1255"/>
      <c r="AFU157" s="1255"/>
      <c r="AFV157" s="1255"/>
      <c r="AFW157" s="1255"/>
      <c r="AFX157" s="1255"/>
      <c r="AFY157" s="1255"/>
      <c r="AFZ157" s="1255"/>
      <c r="AGA157" s="1255"/>
      <c r="AGB157" s="1255"/>
      <c r="AGC157" s="1255"/>
      <c r="AGD157" s="1255"/>
      <c r="AGE157" s="1255"/>
      <c r="AGF157" s="1255"/>
      <c r="AGG157" s="1255"/>
      <c r="AGH157" s="1255"/>
      <c r="AGI157" s="1255"/>
      <c r="AGJ157" s="1255"/>
      <c r="AGK157" s="1255"/>
      <c r="AGL157" s="1255"/>
      <c r="AGM157" s="1255"/>
      <c r="AGN157" s="1255"/>
      <c r="AGO157" s="1255"/>
      <c r="AGP157" s="1255"/>
      <c r="AGQ157" s="1255"/>
      <c r="AGR157" s="1255"/>
      <c r="AGS157" s="1255"/>
      <c r="AGT157" s="1255"/>
      <c r="AGU157" s="1255"/>
      <c r="AGV157" s="1255"/>
      <c r="AGW157" s="1255"/>
      <c r="AGX157" s="1255"/>
      <c r="AGY157" s="1255"/>
      <c r="AGZ157" s="1255"/>
      <c r="AHA157" s="1255"/>
      <c r="AHB157" s="1255"/>
      <c r="AHC157" s="1255"/>
      <c r="AHD157" s="1255"/>
      <c r="AHE157" s="1255"/>
      <c r="AHF157" s="1255"/>
      <c r="AHG157" s="1255"/>
      <c r="AHH157" s="1255"/>
      <c r="AHI157" s="1255"/>
      <c r="AHJ157" s="1255"/>
      <c r="AHK157" s="1255"/>
      <c r="AHL157" s="1255"/>
      <c r="AHM157" s="1255"/>
      <c r="AHN157" s="1255"/>
      <c r="AHO157" s="1255"/>
      <c r="AHP157" s="1255"/>
      <c r="AHQ157" s="1255"/>
      <c r="AHR157" s="1255"/>
      <c r="AHS157" s="1255"/>
      <c r="AHT157" s="1255"/>
      <c r="AHU157" s="1255"/>
      <c r="AHV157" s="1255"/>
      <c r="AHW157" s="1255"/>
      <c r="AHX157" s="1255"/>
      <c r="AHY157" s="1255"/>
      <c r="AHZ157" s="1255"/>
      <c r="AIA157" s="1255"/>
      <c r="AIB157" s="1255"/>
      <c r="AIC157" s="1255"/>
      <c r="AID157" s="1255"/>
      <c r="AIE157" s="1255"/>
      <c r="AIF157" s="1255"/>
      <c r="AIG157" s="1255"/>
      <c r="AIH157" s="1255"/>
      <c r="AII157" s="1255"/>
      <c r="AIJ157" s="1255"/>
      <c r="AIK157" s="1255"/>
      <c r="AIL157" s="1255"/>
      <c r="AIM157" s="1255"/>
      <c r="AIN157" s="1255"/>
      <c r="AIO157" s="1255"/>
      <c r="AIP157" s="1255"/>
      <c r="AIQ157" s="1255"/>
      <c r="AIR157" s="1255"/>
      <c r="AIS157" s="1255"/>
      <c r="AIT157" s="1255"/>
      <c r="AIU157" s="1255"/>
      <c r="AIV157" s="1255"/>
      <c r="AIW157" s="1255"/>
      <c r="AIX157" s="1255"/>
      <c r="AIY157" s="1255"/>
      <c r="AIZ157" s="1255"/>
      <c r="AJA157" s="1255"/>
      <c r="AJB157" s="1255"/>
      <c r="AJC157" s="1255"/>
      <c r="AJD157" s="1255"/>
      <c r="AJE157" s="1255"/>
      <c r="AJF157" s="1255"/>
      <c r="AJG157" s="1255"/>
      <c r="AJH157" s="1255"/>
      <c r="AJI157" s="1255"/>
      <c r="AJJ157" s="1255"/>
      <c r="AJK157" s="1255"/>
      <c r="AJL157" s="1255"/>
      <c r="AJM157" s="1255"/>
      <c r="AJN157" s="1255"/>
      <c r="AJO157" s="1255"/>
      <c r="AJP157" s="1255"/>
      <c r="AJQ157" s="1255"/>
      <c r="AJR157" s="1255"/>
      <c r="AJS157" s="1255"/>
      <c r="AJT157" s="1255"/>
      <c r="AJU157" s="1255"/>
      <c r="AJV157" s="1255"/>
      <c r="AJW157" s="1255"/>
      <c r="AJX157" s="1255"/>
      <c r="AJY157" s="1255"/>
      <c r="AJZ157" s="1255"/>
      <c r="AKA157" s="1255"/>
      <c r="AKB157" s="1255"/>
      <c r="AKC157" s="1255"/>
      <c r="AKD157" s="1255"/>
      <c r="AKE157" s="1255"/>
      <c r="AKF157" s="1255"/>
      <c r="AKG157" s="1255"/>
      <c r="AKH157" s="1255"/>
      <c r="AKI157" s="1255"/>
      <c r="AKJ157" s="1255"/>
      <c r="AKK157" s="1255"/>
      <c r="AKL157" s="1255"/>
      <c r="AKM157" s="1255"/>
      <c r="AKN157" s="1255"/>
      <c r="AKO157" s="1255"/>
      <c r="AKP157" s="1255"/>
      <c r="AKQ157" s="1255"/>
      <c r="AKR157" s="1255"/>
      <c r="AKS157" s="1255"/>
      <c r="AKT157" s="1255"/>
      <c r="AKU157" s="1255"/>
      <c r="AKV157" s="1255"/>
      <c r="AKW157" s="1255"/>
      <c r="AKX157" s="1255"/>
      <c r="AKY157" s="1255"/>
      <c r="AKZ157" s="1255"/>
      <c r="ALA157" s="1255"/>
      <c r="ALB157" s="1255"/>
      <c r="ALC157" s="1255"/>
      <c r="ALD157" s="1255"/>
      <c r="ALE157" s="1255"/>
      <c r="ALF157" s="1255"/>
      <c r="ALG157" s="1255"/>
      <c r="ALH157" s="1255"/>
      <c r="ALI157" s="1255"/>
      <c r="ALJ157" s="1255"/>
      <c r="ALK157" s="1255"/>
      <c r="ALL157" s="1255"/>
      <c r="ALM157" s="1255"/>
      <c r="ALN157" s="1255"/>
      <c r="ALO157" s="1255"/>
      <c r="ALP157" s="1255"/>
      <c r="ALQ157" s="1255"/>
      <c r="ALR157" s="1255"/>
      <c r="ALS157" s="1255"/>
      <c r="ALT157" s="1255"/>
      <c r="ALU157" s="1255"/>
      <c r="ALV157" s="1255"/>
      <c r="ALW157" s="1255"/>
      <c r="ALX157" s="1255"/>
      <c r="ALY157" s="1255"/>
      <c r="ALZ157" s="1255"/>
      <c r="AMA157" s="1255"/>
      <c r="AMB157" s="1255"/>
      <c r="AMC157" s="1255"/>
      <c r="AMD157" s="1255"/>
      <c r="AME157" s="1255"/>
      <c r="AMF157" s="1255"/>
      <c r="AMG157" s="1255"/>
      <c r="AMH157" s="1255"/>
      <c r="AMI157" s="1255"/>
      <c r="AMJ157" s="1255"/>
      <c r="AMK157" s="1255"/>
      <c r="AML157" s="1255"/>
      <c r="AMM157" s="1255"/>
      <c r="AMN157" s="1255"/>
      <c r="AMO157" s="1255"/>
      <c r="AMP157" s="1255"/>
      <c r="AMQ157" s="1255"/>
      <c r="AMR157" s="1255"/>
      <c r="AMS157" s="1255"/>
      <c r="AMT157" s="1255"/>
      <c r="AMU157" s="1255"/>
      <c r="AMV157" s="1255"/>
      <c r="AMW157" s="1255"/>
      <c r="AMX157" s="1255"/>
      <c r="AMY157" s="1255"/>
      <c r="AMZ157" s="1255"/>
      <c r="ANA157" s="1255"/>
      <c r="ANB157" s="1255"/>
      <c r="ANC157" s="1255"/>
      <c r="AND157" s="1255"/>
      <c r="ANE157" s="1255"/>
      <c r="ANF157" s="1255"/>
      <c r="ANG157" s="1255"/>
      <c r="ANH157" s="1255"/>
      <c r="ANI157" s="1255"/>
      <c r="ANJ157" s="1255"/>
      <c r="ANK157" s="1255"/>
      <c r="ANL157" s="1255"/>
      <c r="ANM157" s="1255"/>
      <c r="ANN157" s="1255"/>
      <c r="ANO157" s="1255"/>
      <c r="ANP157" s="1255"/>
      <c r="ANQ157" s="1255"/>
      <c r="ANR157" s="1255"/>
      <c r="ANS157" s="1255"/>
      <c r="ANT157" s="1255"/>
      <c r="ANU157" s="1255"/>
      <c r="ANV157" s="1255"/>
      <c r="ANW157" s="1255"/>
      <c r="ANX157" s="1255"/>
      <c r="ANY157" s="1255"/>
      <c r="ANZ157" s="1255"/>
      <c r="AOA157" s="1255"/>
      <c r="AOB157" s="1255"/>
      <c r="AOC157" s="1255"/>
      <c r="AOD157" s="1255"/>
      <c r="AOE157" s="1255"/>
      <c r="AOF157" s="1255"/>
      <c r="AOG157" s="1255"/>
      <c r="AOH157" s="1255"/>
      <c r="AOI157" s="1255"/>
      <c r="AOJ157" s="1255"/>
      <c r="AOK157" s="1255"/>
      <c r="AOL157" s="1255"/>
      <c r="AOM157" s="1255"/>
      <c r="AON157" s="1255"/>
      <c r="AOO157" s="1255"/>
      <c r="AOP157" s="1255"/>
      <c r="AOQ157" s="1255"/>
      <c r="AOR157" s="1255"/>
      <c r="AOS157" s="1255"/>
      <c r="AOT157" s="1255"/>
      <c r="AOU157" s="1255"/>
      <c r="AOV157" s="1255"/>
      <c r="AOW157" s="1255"/>
      <c r="AOX157" s="1255"/>
      <c r="AOY157" s="1255"/>
      <c r="AOZ157" s="1255"/>
      <c r="APA157" s="1255"/>
      <c r="APB157" s="1255"/>
      <c r="APC157" s="1255"/>
      <c r="APD157" s="1255"/>
      <c r="APE157" s="1255"/>
      <c r="APF157" s="1255"/>
      <c r="APG157" s="1255"/>
      <c r="APH157" s="1255"/>
      <c r="API157" s="1255"/>
      <c r="APJ157" s="1255"/>
      <c r="APK157" s="1255"/>
      <c r="APL157" s="1255"/>
      <c r="APM157" s="1255"/>
      <c r="APN157" s="1255"/>
      <c r="APO157" s="1255"/>
      <c r="APP157" s="1255"/>
      <c r="APQ157" s="1255"/>
      <c r="APR157" s="1255"/>
      <c r="APS157" s="1255"/>
      <c r="APT157" s="1255"/>
      <c r="APU157" s="1255"/>
      <c r="APV157" s="1255"/>
      <c r="APW157" s="1255"/>
      <c r="APX157" s="1255"/>
      <c r="APY157" s="1255"/>
      <c r="APZ157" s="1255"/>
      <c r="AQA157" s="1255"/>
      <c r="AQB157" s="1255"/>
      <c r="AQC157" s="1255"/>
      <c r="AQD157" s="1255"/>
      <c r="AQE157" s="1255"/>
      <c r="AQF157" s="1255"/>
      <c r="AQG157" s="1255"/>
      <c r="AQH157" s="1255"/>
      <c r="AQI157" s="1255"/>
      <c r="AQJ157" s="1255"/>
      <c r="AQK157" s="1255"/>
      <c r="AQL157" s="1255"/>
      <c r="AQM157" s="1255"/>
      <c r="AQN157" s="1255"/>
      <c r="AQO157" s="1255"/>
      <c r="AQP157" s="1255"/>
      <c r="AQQ157" s="1255"/>
      <c r="AQR157" s="1255"/>
      <c r="AQS157" s="1255"/>
      <c r="AQT157" s="1255"/>
      <c r="AQU157" s="1255"/>
      <c r="AQV157" s="1255"/>
      <c r="AQW157" s="1255"/>
      <c r="AQX157" s="1255"/>
      <c r="AQY157" s="1255"/>
      <c r="AQZ157" s="1255"/>
      <c r="ARA157" s="1255"/>
      <c r="ARB157" s="1255"/>
      <c r="ARC157" s="1255"/>
      <c r="ARD157" s="1255"/>
      <c r="ARE157" s="1255"/>
      <c r="ARF157" s="1255"/>
      <c r="ARG157" s="1255"/>
      <c r="ARH157" s="1255"/>
      <c r="ARI157" s="1255"/>
      <c r="ARJ157" s="1255"/>
      <c r="ARK157" s="1255"/>
      <c r="ARL157" s="1255"/>
      <c r="ARM157" s="1255"/>
      <c r="ARN157" s="1255"/>
      <c r="ARO157" s="1255"/>
      <c r="ARP157" s="1255"/>
      <c r="ARQ157" s="1255"/>
      <c r="ARR157" s="1255"/>
      <c r="ARS157" s="1255"/>
      <c r="ART157" s="1255"/>
      <c r="ARU157" s="1255"/>
      <c r="ARV157" s="1255"/>
      <c r="ARW157" s="1255"/>
      <c r="ARX157" s="1255"/>
      <c r="ARY157" s="1255"/>
      <c r="ARZ157" s="1255"/>
      <c r="ASA157" s="1255"/>
      <c r="ASB157" s="1255"/>
      <c r="ASC157" s="1255"/>
      <c r="ASD157" s="1255"/>
      <c r="ASE157" s="1255"/>
      <c r="ASF157" s="1255"/>
      <c r="ASG157" s="1255"/>
      <c r="ASH157" s="1255"/>
      <c r="ASI157" s="1255"/>
      <c r="ASJ157" s="1255"/>
      <c r="ASK157" s="1255"/>
      <c r="ASL157" s="1255"/>
      <c r="ASM157" s="1255"/>
      <c r="ASN157" s="1255"/>
      <c r="ASO157" s="1255"/>
      <c r="ASP157" s="1255"/>
      <c r="ASQ157" s="1255"/>
      <c r="ASR157" s="1255"/>
      <c r="ASS157" s="1255"/>
      <c r="AST157" s="1255"/>
      <c r="ASU157" s="1255"/>
      <c r="ASV157" s="1255"/>
      <c r="ASW157" s="1255"/>
      <c r="ASX157" s="1255"/>
      <c r="ASY157" s="1255"/>
      <c r="ASZ157" s="1255"/>
      <c r="ATA157" s="1255"/>
      <c r="ATB157" s="1255"/>
      <c r="ATC157" s="1255"/>
      <c r="ATD157" s="1255"/>
      <c r="ATE157" s="1255"/>
      <c r="ATF157" s="1255"/>
      <c r="ATG157" s="1255"/>
      <c r="ATH157" s="1255"/>
      <c r="ATI157" s="1255"/>
      <c r="ATJ157" s="1255"/>
      <c r="ATK157" s="1255"/>
      <c r="ATL157" s="1255"/>
      <c r="ATM157" s="1255"/>
      <c r="ATN157" s="1255"/>
      <c r="ATO157" s="1255"/>
      <c r="ATP157" s="1255"/>
      <c r="ATQ157" s="1255"/>
      <c r="ATR157" s="1255"/>
      <c r="ATS157" s="1255"/>
      <c r="ATT157" s="1255"/>
      <c r="ATU157" s="1255"/>
      <c r="ATV157" s="1255"/>
      <c r="ATW157" s="1255"/>
      <c r="ATX157" s="1255"/>
      <c r="ATY157" s="1255"/>
      <c r="ATZ157" s="1255"/>
      <c r="AUA157" s="1255"/>
      <c r="AUB157" s="1255"/>
      <c r="AUC157" s="1255"/>
      <c r="AUD157" s="1255"/>
      <c r="AUE157" s="1255"/>
      <c r="AUF157" s="1255"/>
      <c r="AUG157" s="1255"/>
      <c r="AUH157" s="1255"/>
      <c r="AUI157" s="1255"/>
      <c r="AUJ157" s="1255"/>
      <c r="AUK157" s="1255"/>
      <c r="AUL157" s="1255"/>
      <c r="AUM157" s="1255"/>
      <c r="AUN157" s="1255"/>
      <c r="AUO157" s="1255"/>
      <c r="AUP157" s="1255"/>
      <c r="AUQ157" s="1255"/>
      <c r="AUR157" s="1255"/>
      <c r="AUS157" s="1255"/>
      <c r="AUT157" s="1255"/>
      <c r="AUU157" s="1255"/>
      <c r="AUV157" s="1255"/>
      <c r="AUW157" s="1255"/>
      <c r="AUX157" s="1255"/>
      <c r="AUY157" s="1255"/>
      <c r="AUZ157" s="1255"/>
      <c r="AVA157" s="1255"/>
      <c r="AVB157" s="1255"/>
      <c r="AVC157" s="1255"/>
      <c r="AVD157" s="1255"/>
      <c r="AVE157" s="1255"/>
      <c r="AVF157" s="1255"/>
      <c r="AVG157" s="1255"/>
      <c r="AVH157" s="1255"/>
      <c r="AVI157" s="1255"/>
      <c r="AVJ157" s="1255"/>
      <c r="AVK157" s="1255"/>
      <c r="AVL157" s="1255"/>
      <c r="AVM157" s="1255"/>
      <c r="AVN157" s="1255"/>
      <c r="AVO157" s="1255"/>
      <c r="AVP157" s="1255"/>
      <c r="AVQ157" s="1255"/>
      <c r="AVR157" s="1255"/>
      <c r="AVS157" s="1255"/>
      <c r="AVT157" s="1255"/>
      <c r="AVU157" s="1255"/>
      <c r="AVV157" s="1255"/>
      <c r="AVW157" s="1255"/>
      <c r="AVX157" s="1255"/>
      <c r="AVY157" s="1255"/>
      <c r="AVZ157" s="1255"/>
      <c r="AWA157" s="1255"/>
      <c r="AWB157" s="1255"/>
      <c r="AWC157" s="1255"/>
      <c r="AWD157" s="1255"/>
      <c r="AWE157" s="1255"/>
      <c r="AWF157" s="1255"/>
      <c r="AWG157" s="1255"/>
      <c r="AWH157" s="1255"/>
      <c r="AWI157" s="1255"/>
      <c r="AWJ157" s="1255"/>
      <c r="AWK157" s="1255"/>
      <c r="AWL157" s="1255"/>
      <c r="AWM157" s="1255"/>
      <c r="AWN157" s="1255"/>
      <c r="AWO157" s="1255"/>
      <c r="AWP157" s="1255"/>
      <c r="AWQ157" s="1255"/>
      <c r="AWR157" s="1255"/>
      <c r="AWS157" s="1255"/>
      <c r="AWT157" s="1255"/>
      <c r="AWU157" s="1255"/>
      <c r="AWV157" s="1255"/>
      <c r="AWW157" s="1255"/>
      <c r="AWX157" s="1255"/>
      <c r="AWY157" s="1255"/>
      <c r="AWZ157" s="1255"/>
      <c r="AXA157" s="1255"/>
      <c r="AXB157" s="1255"/>
      <c r="AXC157" s="1255"/>
      <c r="AXD157" s="1255"/>
      <c r="AXE157" s="1255"/>
      <c r="AXF157" s="1255"/>
      <c r="AXG157" s="1255"/>
      <c r="AXH157" s="1255"/>
      <c r="AXI157" s="1255"/>
      <c r="AXJ157" s="1255"/>
      <c r="AXK157" s="1255"/>
      <c r="AXL157" s="1255"/>
      <c r="AXM157" s="1255"/>
      <c r="AXN157" s="1255"/>
      <c r="AXO157" s="1255"/>
      <c r="AXP157" s="1255"/>
      <c r="AXQ157" s="1255"/>
      <c r="AXR157" s="1255"/>
      <c r="AXS157" s="1255"/>
      <c r="AXT157" s="1255"/>
      <c r="AXU157" s="1255"/>
      <c r="AXV157" s="1255"/>
      <c r="AXW157" s="1255"/>
      <c r="AXX157" s="1255"/>
      <c r="AXY157" s="1255"/>
      <c r="AXZ157" s="1255"/>
      <c r="AYA157" s="1255"/>
      <c r="AYB157" s="1255"/>
      <c r="AYC157" s="1255"/>
      <c r="AYD157" s="1255"/>
      <c r="AYE157" s="1255"/>
      <c r="AYF157" s="1255"/>
      <c r="AYG157" s="1255"/>
      <c r="AYH157" s="1255"/>
      <c r="AYI157" s="1255"/>
      <c r="AYJ157" s="1255"/>
      <c r="AYK157" s="1255"/>
      <c r="AYL157" s="1255"/>
      <c r="AYM157" s="1255"/>
      <c r="AYN157" s="1255"/>
      <c r="AYO157" s="1255"/>
      <c r="AYP157" s="1255"/>
      <c r="AYQ157" s="1255"/>
      <c r="AYR157" s="1255"/>
      <c r="AYS157" s="1255"/>
      <c r="AYT157" s="1255"/>
      <c r="AYU157" s="1255"/>
      <c r="AYV157" s="1255"/>
      <c r="AYW157" s="1255"/>
      <c r="AYX157" s="1255"/>
      <c r="AYY157" s="1255"/>
      <c r="AYZ157" s="1255"/>
      <c r="AZA157" s="1255"/>
      <c r="AZB157" s="1255"/>
      <c r="AZC157" s="1255"/>
      <c r="AZD157" s="1255"/>
      <c r="AZE157" s="1255"/>
      <c r="AZF157" s="1255"/>
      <c r="AZG157" s="1255"/>
      <c r="AZH157" s="1255"/>
      <c r="AZI157" s="1255"/>
      <c r="AZJ157" s="1255"/>
      <c r="AZK157" s="1255"/>
      <c r="AZL157" s="1255"/>
      <c r="AZM157" s="1255"/>
      <c r="AZN157" s="1255"/>
      <c r="AZO157" s="1255"/>
      <c r="AZP157" s="1255"/>
      <c r="AZQ157" s="1255"/>
      <c r="AZR157" s="1255"/>
      <c r="AZS157" s="1255"/>
      <c r="AZT157" s="1255"/>
      <c r="AZU157" s="1255"/>
      <c r="AZV157" s="1255"/>
      <c r="AZW157" s="1255"/>
      <c r="AZX157" s="1255"/>
      <c r="AZY157" s="1255"/>
      <c r="AZZ157" s="1255"/>
      <c r="BAA157" s="1255"/>
      <c r="BAB157" s="1255"/>
      <c r="BAC157" s="1255"/>
      <c r="BAD157" s="1255"/>
      <c r="BAE157" s="1255"/>
      <c r="BAF157" s="1255"/>
      <c r="BAG157" s="1255"/>
      <c r="BAH157" s="1255"/>
      <c r="BAI157" s="1255"/>
      <c r="BAJ157" s="1255"/>
      <c r="BAK157" s="1255"/>
      <c r="BAL157" s="1255"/>
      <c r="BAM157" s="1255"/>
      <c r="BAN157" s="1255"/>
      <c r="BAO157" s="1255"/>
      <c r="BAP157" s="1255"/>
      <c r="BAQ157" s="1255"/>
      <c r="BAR157" s="1255"/>
      <c r="BAS157" s="1255"/>
      <c r="BAT157" s="1255"/>
      <c r="BAU157" s="1255"/>
      <c r="BAV157" s="1255"/>
      <c r="BAW157" s="1255"/>
      <c r="BAX157" s="1255"/>
      <c r="BAY157" s="1255"/>
      <c r="BAZ157" s="1255"/>
      <c r="BBA157" s="1255"/>
      <c r="BBB157" s="1255"/>
      <c r="BBC157" s="1255"/>
      <c r="BBD157" s="1255"/>
      <c r="BBE157" s="1255"/>
      <c r="BBF157" s="1255"/>
      <c r="BBG157" s="1255"/>
      <c r="BBH157" s="1255"/>
      <c r="BBI157" s="1255"/>
      <c r="BBJ157" s="1255"/>
      <c r="BBK157" s="1255"/>
      <c r="BBL157" s="1255"/>
      <c r="BBM157" s="1255"/>
      <c r="BBN157" s="1255"/>
      <c r="BBO157" s="1255"/>
      <c r="BBP157" s="1255"/>
      <c r="BBQ157" s="1255"/>
      <c r="BBR157" s="1255"/>
      <c r="BBS157" s="1255"/>
      <c r="BBT157" s="1255"/>
      <c r="BBU157" s="1255"/>
      <c r="BBV157" s="1255"/>
      <c r="BBW157" s="1255"/>
      <c r="BBX157" s="1255"/>
      <c r="BBY157" s="1255"/>
      <c r="BBZ157" s="1255"/>
      <c r="BCA157" s="1255"/>
      <c r="BCB157" s="1255"/>
      <c r="BCC157" s="1255"/>
      <c r="BCD157" s="1255"/>
      <c r="BCE157" s="1255"/>
      <c r="BCF157" s="1255"/>
      <c r="BCG157" s="1255"/>
      <c r="BCH157" s="1255"/>
      <c r="BCI157" s="1255"/>
      <c r="BCJ157" s="1255"/>
      <c r="BCK157" s="1255"/>
      <c r="BCL157" s="1255"/>
      <c r="BCM157" s="1255"/>
      <c r="BCN157" s="1255"/>
      <c r="BCO157" s="1255"/>
      <c r="BCP157" s="1255"/>
      <c r="BCQ157" s="1255"/>
      <c r="BCR157" s="1255"/>
      <c r="BCS157" s="1255"/>
      <c r="BCT157" s="1255"/>
      <c r="BCU157" s="1255"/>
      <c r="BCV157" s="1255"/>
      <c r="BCW157" s="1255"/>
      <c r="BCX157" s="1255"/>
      <c r="BCY157" s="1255"/>
      <c r="BCZ157" s="1255"/>
      <c r="BDA157" s="1255"/>
      <c r="BDB157" s="1255"/>
      <c r="BDC157" s="1255"/>
      <c r="BDD157" s="1255"/>
      <c r="BDE157" s="1255"/>
      <c r="BDF157" s="1255"/>
      <c r="BDG157" s="1255"/>
      <c r="BDH157" s="1255"/>
      <c r="BDI157" s="1255"/>
      <c r="BDJ157" s="1255"/>
      <c r="BDK157" s="1255"/>
      <c r="BDL157" s="1255"/>
      <c r="BDM157" s="1255"/>
      <c r="BDN157" s="1255"/>
      <c r="BDO157" s="1255"/>
      <c r="BDP157" s="1255"/>
      <c r="BDQ157" s="1255"/>
      <c r="BDR157" s="1255"/>
      <c r="BDS157" s="1255"/>
      <c r="BDT157" s="1255"/>
      <c r="BDU157" s="1255"/>
      <c r="BDV157" s="1255"/>
      <c r="BDW157" s="1255"/>
      <c r="BDX157" s="1255"/>
      <c r="BDY157" s="1255"/>
      <c r="BDZ157" s="1255"/>
      <c r="BEA157" s="1255"/>
      <c r="BEB157" s="1255"/>
      <c r="BEC157" s="1255"/>
      <c r="BED157" s="1255"/>
      <c r="BEE157" s="1255"/>
      <c r="BEF157" s="1255"/>
      <c r="BEG157" s="1255"/>
      <c r="BEH157" s="1255"/>
      <c r="BEI157" s="1255"/>
      <c r="BEJ157" s="1255"/>
      <c r="BEK157" s="1255"/>
      <c r="BEL157" s="1255"/>
      <c r="BEM157" s="1255"/>
      <c r="BEN157" s="1255"/>
      <c r="BEO157" s="1255"/>
      <c r="BEP157" s="1255"/>
      <c r="BEQ157" s="1255"/>
      <c r="BER157" s="1255"/>
      <c r="BES157" s="1255"/>
      <c r="BET157" s="1255"/>
      <c r="BEU157" s="1255"/>
      <c r="BEV157" s="1255"/>
      <c r="BEW157" s="1255"/>
      <c r="BEX157" s="1255"/>
      <c r="BEY157" s="1255"/>
      <c r="BEZ157" s="1255"/>
      <c r="BFA157" s="1255"/>
      <c r="BFB157" s="1255"/>
      <c r="BFC157" s="1255"/>
      <c r="BFD157" s="1255"/>
      <c r="BFE157" s="1255"/>
      <c r="BFF157" s="1255"/>
      <c r="BFG157" s="1255"/>
      <c r="BFH157" s="1255"/>
      <c r="BFI157" s="1255"/>
      <c r="BFJ157" s="1255"/>
      <c r="BFK157" s="1255"/>
      <c r="BFL157" s="1255"/>
      <c r="BFM157" s="1255"/>
      <c r="BFN157" s="1255"/>
      <c r="BFO157" s="1255"/>
      <c r="BFP157" s="1255"/>
      <c r="BFQ157" s="1255"/>
      <c r="BFR157" s="1255"/>
      <c r="BFS157" s="1255"/>
      <c r="BFT157" s="1255"/>
      <c r="BFU157" s="1255"/>
      <c r="BFV157" s="1255"/>
      <c r="BFW157" s="1255"/>
      <c r="BFX157" s="1255"/>
      <c r="BFY157" s="1255"/>
      <c r="BFZ157" s="1255"/>
      <c r="BGA157" s="1255"/>
      <c r="BGB157" s="1255"/>
      <c r="BGC157" s="1255"/>
      <c r="BGD157" s="1255"/>
      <c r="BGE157" s="1255"/>
      <c r="BGF157" s="1255"/>
      <c r="BGG157" s="1255"/>
      <c r="BGH157" s="1255"/>
      <c r="BGI157" s="1255"/>
      <c r="BGJ157" s="1255"/>
      <c r="BGK157" s="1255"/>
      <c r="BGL157" s="1255"/>
      <c r="BGM157" s="1255"/>
      <c r="BGN157" s="1255"/>
      <c r="BGO157" s="1255"/>
      <c r="BGP157" s="1255"/>
      <c r="BGQ157" s="1255"/>
      <c r="BGR157" s="1255"/>
      <c r="BGS157" s="1255"/>
      <c r="BGT157" s="1255"/>
      <c r="BGU157" s="1255"/>
      <c r="BGV157" s="1255"/>
      <c r="BGW157" s="1255"/>
      <c r="BGX157" s="1255"/>
      <c r="BGY157" s="1255"/>
      <c r="BGZ157" s="1255"/>
      <c r="BHA157" s="1255"/>
      <c r="BHB157" s="1255"/>
      <c r="BHC157" s="1255"/>
      <c r="BHD157" s="1255"/>
      <c r="BHE157" s="1255"/>
      <c r="BHF157" s="1255"/>
      <c r="BHG157" s="1255"/>
      <c r="BHH157" s="1255"/>
      <c r="BHI157" s="1255"/>
      <c r="BHJ157" s="1255"/>
      <c r="BHK157" s="1255"/>
      <c r="BHL157" s="1255"/>
      <c r="BHM157" s="1255"/>
      <c r="BHN157" s="1255"/>
      <c r="BHO157" s="1255"/>
      <c r="BHP157" s="1255"/>
      <c r="BHQ157" s="1255"/>
      <c r="BHR157" s="1255"/>
      <c r="BHS157" s="1255"/>
      <c r="BHT157" s="1255"/>
      <c r="BHU157" s="1255"/>
      <c r="BHV157" s="1255"/>
      <c r="BHW157" s="1255"/>
      <c r="BHX157" s="1255"/>
      <c r="BHY157" s="1255"/>
      <c r="BHZ157" s="1255"/>
      <c r="BIA157" s="1255"/>
      <c r="BIB157" s="1255"/>
      <c r="BIC157" s="1255"/>
      <c r="BID157" s="1255"/>
      <c r="BIE157" s="1255"/>
      <c r="BIF157" s="1255"/>
      <c r="BIG157" s="1255"/>
      <c r="BIH157" s="1255"/>
      <c r="BII157" s="1255"/>
      <c r="BIJ157" s="1255"/>
      <c r="BIK157" s="1255"/>
      <c r="BIL157" s="1255"/>
      <c r="BIM157" s="1255"/>
      <c r="BIN157" s="1255"/>
      <c r="BIO157" s="1255"/>
      <c r="BIP157" s="1255"/>
      <c r="BIQ157" s="1255"/>
      <c r="BIR157" s="1255"/>
      <c r="BIS157" s="1255"/>
      <c r="BIT157" s="1255"/>
      <c r="BIU157" s="1255"/>
      <c r="BIV157" s="1255"/>
      <c r="BIW157" s="1255"/>
      <c r="BIX157" s="1255"/>
      <c r="BIY157" s="1255"/>
      <c r="BIZ157" s="1255"/>
      <c r="BJA157" s="1255"/>
      <c r="BJB157" s="1255"/>
      <c r="BJC157" s="1255"/>
      <c r="BJD157" s="1255"/>
      <c r="BJE157" s="1255"/>
      <c r="BJF157" s="1255"/>
      <c r="BJG157" s="1255"/>
      <c r="BJH157" s="1255"/>
      <c r="BJI157" s="1255"/>
      <c r="BJJ157" s="1255"/>
      <c r="BJK157" s="1255"/>
      <c r="BJL157" s="1255"/>
      <c r="BJM157" s="1255"/>
      <c r="BJN157" s="1255"/>
      <c r="BJO157" s="1255"/>
      <c r="BJP157" s="1255"/>
      <c r="BJQ157" s="1255"/>
      <c r="BJR157" s="1255"/>
      <c r="BJS157" s="1255"/>
      <c r="BJT157" s="1255"/>
      <c r="BJU157" s="1255"/>
      <c r="BJV157" s="1255"/>
      <c r="BJW157" s="1255"/>
      <c r="BJX157" s="1255"/>
      <c r="BJY157" s="1255"/>
      <c r="BJZ157" s="1255"/>
      <c r="BKA157" s="1255"/>
      <c r="BKB157" s="1255"/>
      <c r="BKC157" s="1255"/>
      <c r="BKD157" s="1255"/>
      <c r="BKE157" s="1255"/>
      <c r="BKF157" s="1255"/>
      <c r="BKG157" s="1255"/>
      <c r="BKH157" s="1255"/>
      <c r="BKI157" s="1255"/>
      <c r="BKJ157" s="1255"/>
      <c r="BKK157" s="1255"/>
      <c r="BKL157" s="1255"/>
      <c r="BKM157" s="1255"/>
      <c r="BKN157" s="1255"/>
      <c r="BKO157" s="1255"/>
      <c r="BKP157" s="1255"/>
      <c r="BKQ157" s="1255"/>
      <c r="BKR157" s="1255"/>
      <c r="BKS157" s="1255"/>
      <c r="BKT157" s="1255"/>
      <c r="BKU157" s="1255"/>
      <c r="BKV157" s="1255"/>
      <c r="BKW157" s="1255"/>
      <c r="BKX157" s="1255"/>
      <c r="BKY157" s="1255"/>
      <c r="BKZ157" s="1255"/>
      <c r="BLA157" s="1255"/>
      <c r="BLB157" s="1255"/>
      <c r="BLC157" s="1255"/>
      <c r="BLD157" s="1255"/>
      <c r="BLE157" s="1255"/>
      <c r="BLF157" s="1255"/>
      <c r="BLG157" s="1255"/>
      <c r="BLH157" s="1255"/>
      <c r="BLI157" s="1255"/>
      <c r="BLJ157" s="1255"/>
      <c r="BLK157" s="1255"/>
      <c r="BLL157" s="1255"/>
      <c r="BLM157" s="1255"/>
      <c r="BLN157" s="1255"/>
      <c r="BLO157" s="1255"/>
      <c r="BLP157" s="1255"/>
      <c r="BLQ157" s="1255"/>
      <c r="BLR157" s="1255"/>
      <c r="BLS157" s="1255"/>
      <c r="BLT157" s="1255"/>
      <c r="BLU157" s="1255"/>
      <c r="BLV157" s="1255"/>
      <c r="BLW157" s="1255"/>
      <c r="BLX157" s="1255"/>
      <c r="BLY157" s="1255"/>
      <c r="BLZ157" s="1255"/>
      <c r="BMA157" s="1255"/>
      <c r="BMB157" s="1255"/>
      <c r="BMC157" s="1255"/>
      <c r="BMD157" s="1255"/>
      <c r="BME157" s="1255"/>
      <c r="BMF157" s="1255"/>
      <c r="BMG157" s="1255"/>
      <c r="BMH157" s="1255"/>
      <c r="BMI157" s="1255"/>
      <c r="BMJ157" s="1255"/>
      <c r="BMK157" s="1255"/>
      <c r="BML157" s="1255"/>
      <c r="BMM157" s="1255"/>
      <c r="BMN157" s="1255"/>
      <c r="BMO157" s="1255"/>
      <c r="BMP157" s="1255"/>
      <c r="BMQ157" s="1255"/>
      <c r="BMR157" s="1255"/>
      <c r="BMS157" s="1255"/>
      <c r="BMT157" s="1255"/>
      <c r="BMU157" s="1255"/>
      <c r="BMV157" s="1255"/>
      <c r="BMW157" s="1255"/>
      <c r="BMX157" s="1255"/>
      <c r="BMY157" s="1255"/>
      <c r="BMZ157" s="1255"/>
      <c r="BNA157" s="1255"/>
      <c r="BNB157" s="1255"/>
      <c r="BNC157" s="1255"/>
      <c r="BND157" s="1255"/>
      <c r="BNE157" s="1255"/>
      <c r="BNF157" s="1255"/>
      <c r="BNG157" s="1255"/>
      <c r="BNH157" s="1255"/>
      <c r="BNI157" s="1255"/>
      <c r="BNJ157" s="1255"/>
      <c r="BNK157" s="1255"/>
      <c r="BNL157" s="1255"/>
      <c r="BNM157" s="1255"/>
      <c r="BNN157" s="1255"/>
      <c r="BNO157" s="1255"/>
      <c r="BNP157" s="1255"/>
      <c r="BNQ157" s="1255"/>
      <c r="BNR157" s="1255"/>
      <c r="BNS157" s="1255"/>
      <c r="BNT157" s="1255"/>
      <c r="BNU157" s="1255"/>
      <c r="BNV157" s="1255"/>
      <c r="BNW157" s="1255"/>
      <c r="BNX157" s="1255"/>
      <c r="BNY157" s="1255"/>
      <c r="BNZ157" s="1255"/>
      <c r="BOA157" s="1255"/>
      <c r="BOB157" s="1255"/>
      <c r="BOC157" s="1255"/>
      <c r="BOD157" s="1255"/>
      <c r="BOE157" s="1255"/>
      <c r="BOF157" s="1255"/>
      <c r="BOG157" s="1255"/>
      <c r="BOH157" s="1255"/>
      <c r="BOI157" s="1255"/>
      <c r="BOJ157" s="1255"/>
      <c r="BOK157" s="1255"/>
      <c r="BOL157" s="1255"/>
      <c r="BOM157" s="1255"/>
      <c r="BON157" s="1255"/>
      <c r="BOO157" s="1255"/>
      <c r="BOP157" s="1255"/>
      <c r="BOQ157" s="1255"/>
      <c r="BOR157" s="1255"/>
      <c r="BOS157" s="1255"/>
      <c r="BOT157" s="1255"/>
      <c r="BOU157" s="1255"/>
      <c r="BOV157" s="1255"/>
      <c r="BOW157" s="1255"/>
      <c r="BOX157" s="1255"/>
      <c r="BOY157" s="1255"/>
      <c r="BOZ157" s="1255"/>
      <c r="BPA157" s="1255"/>
      <c r="BPB157" s="1255"/>
      <c r="BPC157" s="1255"/>
      <c r="BPD157" s="1255"/>
      <c r="BPE157" s="1255"/>
      <c r="BPF157" s="1255"/>
      <c r="BPG157" s="1255"/>
      <c r="BPH157" s="1255"/>
      <c r="BPI157" s="1255"/>
      <c r="BPJ157" s="1255"/>
      <c r="BPK157" s="1255"/>
      <c r="BPL157" s="1255"/>
      <c r="BPM157" s="1255"/>
      <c r="BPN157" s="1255"/>
      <c r="BPO157" s="1255"/>
      <c r="BPP157" s="1255"/>
      <c r="BPQ157" s="1255"/>
      <c r="BPR157" s="1255"/>
      <c r="BPS157" s="1255"/>
      <c r="BPT157" s="1255"/>
      <c r="BPU157" s="1255"/>
      <c r="BPV157" s="1255"/>
      <c r="BPW157" s="1255"/>
      <c r="BPX157" s="1255"/>
      <c r="BPY157" s="1255"/>
      <c r="BPZ157" s="1255"/>
      <c r="BQA157" s="1255"/>
      <c r="BQB157" s="1255"/>
      <c r="BQC157" s="1255"/>
      <c r="BQD157" s="1255"/>
      <c r="BQE157" s="1255"/>
      <c r="BQF157" s="1255"/>
      <c r="BQG157" s="1255"/>
      <c r="BQH157" s="1255"/>
      <c r="BQI157" s="1255"/>
      <c r="BQJ157" s="1255"/>
      <c r="BQK157" s="1255"/>
      <c r="BQL157" s="1255"/>
      <c r="BQM157" s="1255"/>
      <c r="BQN157" s="1255"/>
      <c r="BQO157" s="1255"/>
      <c r="BQP157" s="1255"/>
      <c r="BQQ157" s="1255"/>
      <c r="BQR157" s="1255"/>
      <c r="BQS157" s="1255"/>
      <c r="BQT157" s="1255"/>
      <c r="BQU157" s="1255"/>
      <c r="BQV157" s="1255"/>
      <c r="BQW157" s="1255"/>
      <c r="BQX157" s="1255"/>
      <c r="BQY157" s="1255"/>
      <c r="BQZ157" s="1255"/>
      <c r="BRA157" s="1255"/>
      <c r="BRB157" s="1255"/>
      <c r="BRC157" s="1255"/>
      <c r="BRD157" s="1255"/>
      <c r="BRE157" s="1255"/>
      <c r="BRF157" s="1255"/>
      <c r="BRG157" s="1255"/>
      <c r="BRH157" s="1255"/>
      <c r="BRI157" s="1255"/>
      <c r="BRJ157" s="1255"/>
      <c r="BRK157" s="1255"/>
      <c r="BRL157" s="1255"/>
      <c r="BRM157" s="1255"/>
      <c r="BRN157" s="1255"/>
      <c r="BRO157" s="1255"/>
      <c r="BRP157" s="1255"/>
      <c r="BRQ157" s="1255"/>
      <c r="BRR157" s="1255"/>
      <c r="BRS157" s="1255"/>
      <c r="BRT157" s="1255"/>
      <c r="BRU157" s="1255"/>
      <c r="BRV157" s="1255"/>
      <c r="BRW157" s="1255"/>
      <c r="BRX157" s="1255"/>
      <c r="BRY157" s="1255"/>
      <c r="BRZ157" s="1255"/>
      <c r="BSA157" s="1255"/>
      <c r="BSB157" s="1255"/>
      <c r="BSC157" s="1255"/>
      <c r="BSD157" s="1255"/>
      <c r="BSE157" s="1255"/>
      <c r="BSF157" s="1255"/>
      <c r="BSG157" s="1255"/>
      <c r="BSH157" s="1255"/>
      <c r="BSI157" s="1255"/>
      <c r="BSJ157" s="1255"/>
      <c r="BSK157" s="1255"/>
      <c r="BSL157" s="1255"/>
      <c r="BSM157" s="1255"/>
      <c r="BSN157" s="1255"/>
      <c r="BSO157" s="1255"/>
      <c r="BSP157" s="1255"/>
      <c r="BSQ157" s="1255"/>
      <c r="BSR157" s="1255"/>
      <c r="BSS157" s="1255"/>
      <c r="BST157" s="1255"/>
      <c r="BSU157" s="1255"/>
      <c r="BSV157" s="1255"/>
      <c r="BSW157" s="1255"/>
      <c r="BSX157" s="1255"/>
      <c r="BSY157" s="1255"/>
      <c r="BSZ157" s="1255"/>
      <c r="BTA157" s="1255"/>
      <c r="BTB157" s="1255"/>
      <c r="BTC157" s="1255"/>
      <c r="BTD157" s="1255"/>
      <c r="BTE157" s="1255"/>
      <c r="BTF157" s="1255"/>
      <c r="BTG157" s="1255"/>
      <c r="BTH157" s="1255"/>
      <c r="BTI157" s="1255"/>
      <c r="BTJ157" s="1255"/>
      <c r="BTK157" s="1255"/>
      <c r="BTL157" s="1255"/>
      <c r="BTM157" s="1255"/>
      <c r="BTN157" s="1255"/>
      <c r="BTO157" s="1255"/>
      <c r="BTP157" s="1255"/>
      <c r="BTQ157" s="1255"/>
      <c r="BTR157" s="1255"/>
      <c r="BTS157" s="1255"/>
      <c r="BTT157" s="1255"/>
      <c r="BTU157" s="1255"/>
      <c r="BTV157" s="1255"/>
      <c r="BTW157" s="1255"/>
      <c r="BTX157" s="1255"/>
      <c r="BTY157" s="1255"/>
      <c r="BTZ157" s="1255"/>
      <c r="BUA157" s="1255"/>
      <c r="BUB157" s="1255"/>
      <c r="BUC157" s="1255"/>
      <c r="BUD157" s="1255"/>
      <c r="BUE157" s="1255"/>
      <c r="BUF157" s="1255"/>
      <c r="BUG157" s="1255"/>
      <c r="BUH157" s="1255"/>
      <c r="BUI157" s="1255"/>
      <c r="BUJ157" s="1255"/>
      <c r="BUK157" s="1255"/>
      <c r="BUL157" s="1255"/>
      <c r="BUM157" s="1255"/>
      <c r="BUN157" s="1255"/>
      <c r="BUO157" s="1255"/>
      <c r="BUP157" s="1255"/>
      <c r="BUQ157" s="1255"/>
      <c r="BUR157" s="1255"/>
      <c r="BUS157" s="1255"/>
      <c r="BUT157" s="1255"/>
      <c r="BUU157" s="1255"/>
      <c r="BUV157" s="1255"/>
      <c r="BUW157" s="1255"/>
      <c r="BUX157" s="1255"/>
      <c r="BUY157" s="1255"/>
      <c r="BUZ157" s="1255"/>
      <c r="BVA157" s="1255"/>
      <c r="BVB157" s="1255"/>
      <c r="BVC157" s="1255"/>
      <c r="BVD157" s="1255"/>
      <c r="BVE157" s="1255"/>
      <c r="BVF157" s="1255"/>
      <c r="BVG157" s="1255"/>
      <c r="BVH157" s="1255"/>
      <c r="BVI157" s="1255"/>
      <c r="BVJ157" s="1255"/>
      <c r="BVK157" s="1255"/>
      <c r="BVL157" s="1255"/>
      <c r="BVM157" s="1255"/>
      <c r="BVN157" s="1255"/>
      <c r="BVO157" s="1255"/>
      <c r="BVP157" s="1255"/>
      <c r="BVQ157" s="1255"/>
      <c r="BVR157" s="1255"/>
      <c r="BVS157" s="1255"/>
      <c r="BVT157" s="1255"/>
      <c r="BVU157" s="1255"/>
      <c r="BVV157" s="1255"/>
      <c r="BVW157" s="1255"/>
      <c r="BVX157" s="1255"/>
      <c r="BVY157" s="1255"/>
      <c r="BVZ157" s="1255"/>
      <c r="BWA157" s="1255"/>
      <c r="BWB157" s="1255"/>
      <c r="BWC157" s="1255"/>
      <c r="BWD157" s="1255"/>
      <c r="BWE157" s="1255"/>
      <c r="BWF157" s="1255"/>
      <c r="BWG157" s="1255"/>
      <c r="BWH157" s="1255"/>
      <c r="BWI157" s="1255"/>
      <c r="BWJ157" s="1255"/>
      <c r="BWK157" s="1255"/>
      <c r="BWL157" s="1255"/>
      <c r="BWM157" s="1255"/>
      <c r="BWN157" s="1255"/>
      <c r="BWO157" s="1255"/>
      <c r="BWP157" s="1255"/>
      <c r="BWQ157" s="1255"/>
      <c r="BWR157" s="1255"/>
      <c r="BWS157" s="1255"/>
      <c r="BWT157" s="1255"/>
      <c r="BWU157" s="1255"/>
      <c r="BWV157" s="1255"/>
      <c r="BWW157" s="1255"/>
      <c r="BWX157" s="1255"/>
      <c r="BWY157" s="1255"/>
      <c r="BWZ157" s="1255"/>
      <c r="BXA157" s="1255"/>
      <c r="BXB157" s="1255"/>
      <c r="BXC157" s="1255"/>
      <c r="BXD157" s="1255"/>
      <c r="BXE157" s="1255"/>
      <c r="BXF157" s="1255"/>
      <c r="BXG157" s="1255"/>
      <c r="BXH157" s="1255"/>
      <c r="BXI157" s="1255"/>
      <c r="BXJ157" s="1255"/>
      <c r="BXK157" s="1255"/>
      <c r="BXL157" s="1255"/>
      <c r="BXM157" s="1255"/>
      <c r="BXN157" s="1255"/>
      <c r="BXO157" s="1255"/>
      <c r="BXP157" s="1255"/>
      <c r="BXQ157" s="1255"/>
      <c r="BXR157" s="1255"/>
      <c r="BXS157" s="1255"/>
      <c r="BXT157" s="1255"/>
      <c r="BXU157" s="1255"/>
      <c r="BXV157" s="1255"/>
      <c r="BXW157" s="1255"/>
      <c r="BXX157" s="1255"/>
      <c r="BXY157" s="1255"/>
      <c r="BXZ157" s="1255"/>
      <c r="BYA157" s="1255"/>
      <c r="BYB157" s="1255"/>
      <c r="BYC157" s="1255"/>
      <c r="BYD157" s="1255"/>
      <c r="BYE157" s="1255"/>
      <c r="BYF157" s="1255"/>
      <c r="BYG157" s="1255"/>
      <c r="BYH157" s="1255"/>
      <c r="BYI157" s="1255"/>
      <c r="BYJ157" s="1255"/>
      <c r="BYK157" s="1255"/>
      <c r="BYL157" s="1255"/>
      <c r="BYM157" s="1255"/>
      <c r="BYN157" s="1255"/>
      <c r="BYO157" s="1255"/>
      <c r="BYP157" s="1255"/>
      <c r="BYQ157" s="1255"/>
      <c r="BYR157" s="1255"/>
      <c r="BYS157" s="1255"/>
      <c r="BYT157" s="1255"/>
      <c r="BYU157" s="1255"/>
      <c r="BYV157" s="1255"/>
      <c r="BYW157" s="1255"/>
      <c r="BYX157" s="1255"/>
      <c r="BYY157" s="1255"/>
      <c r="BYZ157" s="1255"/>
      <c r="BZA157" s="1255"/>
      <c r="BZB157" s="1255"/>
      <c r="BZC157" s="1255"/>
      <c r="BZD157" s="1255"/>
      <c r="BZE157" s="1255"/>
      <c r="BZF157" s="1255"/>
      <c r="BZG157" s="1255"/>
      <c r="BZH157" s="1255"/>
      <c r="BZI157" s="1255"/>
      <c r="BZJ157" s="1255"/>
      <c r="BZK157" s="1255"/>
      <c r="BZL157" s="1255"/>
      <c r="BZM157" s="1255"/>
      <c r="BZN157" s="1255"/>
      <c r="BZO157" s="1255"/>
      <c r="BZP157" s="1255"/>
      <c r="BZQ157" s="1255"/>
      <c r="BZR157" s="1255"/>
      <c r="BZS157" s="1255"/>
      <c r="BZT157" s="1255"/>
      <c r="BZU157" s="1255"/>
      <c r="BZV157" s="1255"/>
      <c r="BZW157" s="1255"/>
      <c r="BZX157" s="1255"/>
      <c r="BZY157" s="1255"/>
      <c r="BZZ157" s="1255"/>
      <c r="CAA157" s="1255"/>
      <c r="CAB157" s="1255"/>
      <c r="CAC157" s="1255"/>
      <c r="CAD157" s="1255"/>
      <c r="CAE157" s="1255"/>
      <c r="CAF157" s="1255"/>
      <c r="CAG157" s="1255"/>
      <c r="CAH157" s="1255"/>
      <c r="CAI157" s="1255"/>
      <c r="CAJ157" s="1255"/>
      <c r="CAK157" s="1255"/>
      <c r="CAL157" s="1255"/>
      <c r="CAM157" s="1255"/>
      <c r="CAN157" s="1255"/>
      <c r="CAO157" s="1255"/>
      <c r="CAP157" s="1255"/>
      <c r="CAQ157" s="1255"/>
      <c r="CAR157" s="1255"/>
      <c r="CAS157" s="1255"/>
      <c r="CAT157" s="1255"/>
      <c r="CAU157" s="1255"/>
      <c r="CAV157" s="1255"/>
      <c r="CAW157" s="1255"/>
      <c r="CAX157" s="1255"/>
      <c r="CAY157" s="1255"/>
      <c r="CAZ157" s="1255"/>
      <c r="CBA157" s="1255"/>
      <c r="CBB157" s="1255"/>
      <c r="CBC157" s="1255"/>
      <c r="CBD157" s="1255"/>
      <c r="CBE157" s="1255"/>
      <c r="CBF157" s="1255"/>
      <c r="CBG157" s="1255"/>
      <c r="CBH157" s="1255"/>
      <c r="CBI157" s="1255"/>
      <c r="CBJ157" s="1255"/>
      <c r="CBK157" s="1255"/>
      <c r="CBL157" s="1255"/>
      <c r="CBM157" s="1255"/>
      <c r="CBN157" s="1255"/>
      <c r="CBO157" s="1255"/>
      <c r="CBP157" s="1255"/>
      <c r="CBQ157" s="1255"/>
      <c r="CBR157" s="1255"/>
      <c r="CBS157" s="1255"/>
      <c r="CBT157" s="1255"/>
      <c r="CBU157" s="1255"/>
      <c r="CBV157" s="1255"/>
      <c r="CBW157" s="1255"/>
      <c r="CBX157" s="1255"/>
      <c r="CBY157" s="1255"/>
      <c r="CBZ157" s="1255"/>
      <c r="CCA157" s="1255"/>
      <c r="CCB157" s="1255"/>
      <c r="CCC157" s="1255"/>
      <c r="CCD157" s="1255"/>
      <c r="CCE157" s="1255"/>
      <c r="CCF157" s="1255"/>
      <c r="CCG157" s="1255"/>
      <c r="CCH157" s="1255"/>
      <c r="CCI157" s="1255"/>
      <c r="CCJ157" s="1255"/>
      <c r="CCK157" s="1255"/>
      <c r="CCL157" s="1255"/>
      <c r="CCM157" s="1255"/>
      <c r="CCN157" s="1255"/>
      <c r="CCO157" s="1255"/>
      <c r="CCP157" s="1255"/>
      <c r="CCQ157" s="1255"/>
      <c r="CCR157" s="1255"/>
      <c r="CCS157" s="1255"/>
      <c r="CCT157" s="1255"/>
      <c r="CCU157" s="1255"/>
      <c r="CCV157" s="1255"/>
      <c r="CCW157" s="1255"/>
      <c r="CCX157" s="1255"/>
      <c r="CCY157" s="1255"/>
      <c r="CCZ157" s="1255"/>
      <c r="CDA157" s="1255"/>
      <c r="CDB157" s="1255"/>
      <c r="CDC157" s="1255"/>
      <c r="CDD157" s="1255"/>
      <c r="CDE157" s="1255"/>
      <c r="CDF157" s="1255"/>
      <c r="CDG157" s="1255"/>
      <c r="CDH157" s="1255"/>
      <c r="CDI157" s="1255"/>
      <c r="CDJ157" s="1255"/>
      <c r="CDK157" s="1255"/>
      <c r="CDL157" s="1255"/>
      <c r="CDM157" s="1255"/>
      <c r="CDN157" s="1255"/>
      <c r="CDO157" s="1255"/>
      <c r="CDP157" s="1255"/>
      <c r="CDQ157" s="1255"/>
      <c r="CDR157" s="1255"/>
      <c r="CDS157" s="1255"/>
      <c r="CDT157" s="1255"/>
      <c r="CDU157" s="1255"/>
      <c r="CDV157" s="1255"/>
      <c r="CDW157" s="1255"/>
      <c r="CDX157" s="1255"/>
      <c r="CDY157" s="1255"/>
      <c r="CDZ157" s="1255"/>
      <c r="CEA157" s="1255"/>
      <c r="CEB157" s="1255"/>
      <c r="CEC157" s="1255"/>
      <c r="CED157" s="1255"/>
      <c r="CEE157" s="1255"/>
      <c r="CEF157" s="1255"/>
      <c r="CEG157" s="1255"/>
      <c r="CEH157" s="1255"/>
      <c r="CEI157" s="1255"/>
      <c r="CEJ157" s="1255"/>
      <c r="CEK157" s="1255"/>
      <c r="CEL157" s="1255"/>
      <c r="CEM157" s="1255"/>
      <c r="CEN157" s="1255"/>
      <c r="CEO157" s="1255"/>
      <c r="CEP157" s="1255"/>
      <c r="CEQ157" s="1255"/>
      <c r="CER157" s="1255"/>
      <c r="CES157" s="1255"/>
      <c r="CET157" s="1255"/>
      <c r="CEU157" s="1255"/>
      <c r="CEV157" s="1255"/>
      <c r="CEW157" s="1255"/>
      <c r="CEX157" s="1255"/>
      <c r="CEY157" s="1255"/>
      <c r="CEZ157" s="1255"/>
      <c r="CFA157" s="1255"/>
      <c r="CFB157" s="1255"/>
      <c r="CFC157" s="1255"/>
      <c r="CFD157" s="1255"/>
      <c r="CFE157" s="1255"/>
      <c r="CFF157" s="1255"/>
      <c r="CFG157" s="1255"/>
      <c r="CFH157" s="1255"/>
      <c r="CFI157" s="1255"/>
      <c r="CFJ157" s="1255"/>
      <c r="CFK157" s="1255"/>
      <c r="CFL157" s="1255"/>
      <c r="CFM157" s="1255"/>
      <c r="CFN157" s="1255"/>
      <c r="CFO157" s="1255"/>
      <c r="CFP157" s="1255"/>
      <c r="CFQ157" s="1255"/>
      <c r="CFR157" s="1255"/>
      <c r="CFS157" s="1255"/>
      <c r="CFT157" s="1255"/>
      <c r="CFU157" s="1255"/>
      <c r="CFV157" s="1255"/>
      <c r="CFW157" s="1255"/>
      <c r="CFX157" s="1255"/>
      <c r="CFY157" s="1255"/>
      <c r="CFZ157" s="1255"/>
      <c r="CGA157" s="1255"/>
      <c r="CGB157" s="1255"/>
      <c r="CGC157" s="1255"/>
      <c r="CGD157" s="1255"/>
      <c r="CGE157" s="1255"/>
      <c r="CGF157" s="1255"/>
      <c r="CGG157" s="1255"/>
      <c r="CGH157" s="1255"/>
      <c r="CGI157" s="1255"/>
      <c r="CGJ157" s="1255"/>
      <c r="CGK157" s="1255"/>
      <c r="CGL157" s="1255"/>
      <c r="CGM157" s="1255"/>
      <c r="CGN157" s="1255"/>
      <c r="CGO157" s="1255"/>
      <c r="CGP157" s="1255"/>
      <c r="CGQ157" s="1255"/>
      <c r="CGR157" s="1255"/>
      <c r="CGS157" s="1255"/>
      <c r="CGT157" s="1255"/>
      <c r="CGU157" s="1255"/>
      <c r="CGV157" s="1255"/>
      <c r="CGW157" s="1255"/>
      <c r="CGX157" s="1255"/>
      <c r="CGY157" s="1255"/>
      <c r="CGZ157" s="1255"/>
      <c r="CHA157" s="1255"/>
      <c r="CHB157" s="1255"/>
      <c r="CHC157" s="1255"/>
      <c r="CHD157" s="1255"/>
      <c r="CHE157" s="1255"/>
      <c r="CHF157" s="1255"/>
      <c r="CHG157" s="1255"/>
      <c r="CHH157" s="1255"/>
      <c r="CHI157" s="1255"/>
      <c r="CHJ157" s="1255"/>
      <c r="CHK157" s="1255"/>
      <c r="CHL157" s="1255"/>
      <c r="CHM157" s="1255"/>
      <c r="CHN157" s="1255"/>
      <c r="CHO157" s="1255"/>
      <c r="CHP157" s="1255"/>
      <c r="CHQ157" s="1255"/>
      <c r="CHR157" s="1255"/>
      <c r="CHS157" s="1255"/>
      <c r="CHT157" s="1255"/>
      <c r="CHU157" s="1255"/>
      <c r="CHV157" s="1255"/>
      <c r="CHW157" s="1255"/>
      <c r="CHX157" s="1255"/>
      <c r="CHY157" s="1255"/>
      <c r="CHZ157" s="1255"/>
      <c r="CIA157" s="1255"/>
      <c r="CIB157" s="1255"/>
      <c r="CIC157" s="1255"/>
      <c r="CID157" s="1255"/>
      <c r="CIE157" s="1255"/>
      <c r="CIF157" s="1255"/>
      <c r="CIG157" s="1255"/>
      <c r="CIH157" s="1255"/>
      <c r="CII157" s="1255"/>
      <c r="CIJ157" s="1255"/>
      <c r="CIK157" s="1255"/>
      <c r="CIL157" s="1255"/>
      <c r="CIM157" s="1255"/>
      <c r="CIN157" s="1255"/>
      <c r="CIO157" s="1255"/>
      <c r="CIP157" s="1255"/>
      <c r="CIQ157" s="1255"/>
      <c r="CIR157" s="1255"/>
      <c r="CIS157" s="1255"/>
      <c r="CIT157" s="1255"/>
      <c r="CIU157" s="1255"/>
      <c r="CIV157" s="1255"/>
      <c r="CIW157" s="1255"/>
      <c r="CIX157" s="1255"/>
      <c r="CIY157" s="1255"/>
      <c r="CIZ157" s="1255"/>
      <c r="CJA157" s="1255"/>
      <c r="CJB157" s="1255"/>
      <c r="CJC157" s="1255"/>
      <c r="CJD157" s="1255"/>
      <c r="CJE157" s="1255"/>
      <c r="CJF157" s="1255"/>
      <c r="CJG157" s="1255"/>
      <c r="CJH157" s="1255"/>
      <c r="CJI157" s="1255"/>
      <c r="CJJ157" s="1255"/>
      <c r="CJK157" s="1255"/>
      <c r="CJL157" s="1255"/>
      <c r="CJM157" s="1255"/>
      <c r="CJN157" s="1255"/>
      <c r="CJO157" s="1255"/>
      <c r="CJP157" s="1255"/>
      <c r="CJQ157" s="1255"/>
      <c r="CJR157" s="1255"/>
      <c r="CJS157" s="1255"/>
      <c r="CJT157" s="1255"/>
      <c r="CJU157" s="1255"/>
      <c r="CJV157" s="1255"/>
      <c r="CJW157" s="1255"/>
      <c r="CJX157" s="1255"/>
      <c r="CJY157" s="1255"/>
      <c r="CJZ157" s="1255"/>
      <c r="CKA157" s="1255"/>
      <c r="CKB157" s="1255"/>
      <c r="CKC157" s="1255"/>
      <c r="CKD157" s="1255"/>
      <c r="CKE157" s="1255"/>
      <c r="CKF157" s="1255"/>
      <c r="CKG157" s="1255"/>
      <c r="CKH157" s="1255"/>
      <c r="CKI157" s="1255"/>
      <c r="CKJ157" s="1255"/>
      <c r="CKK157" s="1255"/>
      <c r="CKL157" s="1255"/>
      <c r="CKM157" s="1255"/>
      <c r="CKN157" s="1255"/>
      <c r="CKO157" s="1255"/>
      <c r="CKP157" s="1255"/>
      <c r="CKQ157" s="1255"/>
      <c r="CKR157" s="1255"/>
      <c r="CKS157" s="1255"/>
      <c r="CKT157" s="1255"/>
      <c r="CKU157" s="1255"/>
      <c r="CKV157" s="1255"/>
      <c r="CKW157" s="1255"/>
      <c r="CKX157" s="1255"/>
      <c r="CKY157" s="1255"/>
      <c r="CKZ157" s="1255"/>
      <c r="CLA157" s="1255"/>
      <c r="CLB157" s="1255"/>
      <c r="CLC157" s="1255"/>
      <c r="CLD157" s="1255"/>
      <c r="CLE157" s="1255"/>
      <c r="CLF157" s="1255"/>
      <c r="CLG157" s="1255"/>
      <c r="CLH157" s="1255"/>
      <c r="CLI157" s="1255"/>
      <c r="CLJ157" s="1255"/>
      <c r="CLK157" s="1255"/>
      <c r="CLL157" s="1255"/>
      <c r="CLM157" s="1255"/>
      <c r="CLN157" s="1255"/>
      <c r="CLO157" s="1255"/>
      <c r="CLP157" s="1255"/>
      <c r="CLQ157" s="1255"/>
      <c r="CLR157" s="1255"/>
      <c r="CLS157" s="1255"/>
      <c r="CLT157" s="1255"/>
      <c r="CLU157" s="1255"/>
      <c r="CLV157" s="1255"/>
      <c r="CLW157" s="1255"/>
      <c r="CLX157" s="1255"/>
      <c r="CLY157" s="1255"/>
      <c r="CLZ157" s="1255"/>
      <c r="CMA157" s="1255"/>
      <c r="CMB157" s="1255"/>
      <c r="CMC157" s="1255"/>
      <c r="CMD157" s="1255"/>
      <c r="CME157" s="1255"/>
      <c r="CMF157" s="1255"/>
      <c r="CMG157" s="1255"/>
      <c r="CMH157" s="1255"/>
      <c r="CMI157" s="1255"/>
      <c r="CMJ157" s="1255"/>
      <c r="CMK157" s="1255"/>
      <c r="CML157" s="1255"/>
      <c r="CMM157" s="1255"/>
      <c r="CMN157" s="1255"/>
      <c r="CMO157" s="1255"/>
      <c r="CMP157" s="1255"/>
      <c r="CMQ157" s="1255"/>
      <c r="CMR157" s="1255"/>
      <c r="CMS157" s="1255"/>
      <c r="CMT157" s="1255"/>
      <c r="CMU157" s="1255"/>
      <c r="CMV157" s="1255"/>
      <c r="CMW157" s="1255"/>
      <c r="CMX157" s="1255"/>
      <c r="CMY157" s="1255"/>
      <c r="CMZ157" s="1255"/>
      <c r="CNA157" s="1255"/>
      <c r="CNB157" s="1255"/>
      <c r="CNC157" s="1255"/>
      <c r="CND157" s="1255"/>
      <c r="CNE157" s="1255"/>
      <c r="CNF157" s="1255"/>
      <c r="CNG157" s="1255"/>
      <c r="CNH157" s="1255"/>
      <c r="CNI157" s="1255"/>
      <c r="CNJ157" s="1255"/>
      <c r="CNK157" s="1255"/>
      <c r="CNL157" s="1255"/>
      <c r="CNM157" s="1255"/>
      <c r="CNN157" s="1255"/>
      <c r="CNO157" s="1255"/>
      <c r="CNP157" s="1255"/>
      <c r="CNQ157" s="1255"/>
      <c r="CNR157" s="1255"/>
      <c r="CNS157" s="1255"/>
      <c r="CNT157" s="1255"/>
      <c r="CNU157" s="1255"/>
      <c r="CNV157" s="1255"/>
      <c r="CNW157" s="1255"/>
      <c r="CNX157" s="1255"/>
      <c r="CNY157" s="1255"/>
      <c r="CNZ157" s="1255"/>
      <c r="COA157" s="1255"/>
      <c r="COB157" s="1255"/>
      <c r="COC157" s="1255"/>
      <c r="COD157" s="1255"/>
      <c r="COE157" s="1255"/>
      <c r="COF157" s="1255"/>
      <c r="COG157" s="1255"/>
      <c r="COH157" s="1255"/>
      <c r="COI157" s="1255"/>
      <c r="COJ157" s="1255"/>
      <c r="COK157" s="1255"/>
      <c r="COL157" s="1255"/>
      <c r="COM157" s="1255"/>
      <c r="CON157" s="1255"/>
      <c r="COO157" s="1255"/>
      <c r="COP157" s="1255"/>
      <c r="COQ157" s="1255"/>
      <c r="COR157" s="1255"/>
      <c r="COS157" s="1255"/>
      <c r="COT157" s="1255"/>
      <c r="COU157" s="1255"/>
      <c r="COV157" s="1255"/>
      <c r="COW157" s="1255"/>
      <c r="COX157" s="1255"/>
      <c r="COY157" s="1255"/>
      <c r="COZ157" s="1255"/>
      <c r="CPA157" s="1255"/>
      <c r="CPB157" s="1255"/>
      <c r="CPC157" s="1255"/>
      <c r="CPD157" s="1255"/>
      <c r="CPE157" s="1255"/>
      <c r="CPF157" s="1255"/>
      <c r="CPG157" s="1255"/>
      <c r="CPH157" s="1255"/>
      <c r="CPI157" s="1255"/>
      <c r="CPJ157" s="1255"/>
      <c r="CPK157" s="1255"/>
      <c r="CPL157" s="1255"/>
      <c r="CPM157" s="1255"/>
      <c r="CPN157" s="1255"/>
      <c r="CPO157" s="1255"/>
      <c r="CPP157" s="1255"/>
      <c r="CPQ157" s="1255"/>
      <c r="CPR157" s="1255"/>
      <c r="CPS157" s="1255"/>
      <c r="CPT157" s="1255"/>
      <c r="CPU157" s="1255"/>
      <c r="CPV157" s="1255"/>
      <c r="CPW157" s="1255"/>
      <c r="CPX157" s="1255"/>
      <c r="CPY157" s="1255"/>
      <c r="CPZ157" s="1255"/>
      <c r="CQA157" s="1255"/>
      <c r="CQB157" s="1255"/>
      <c r="CQC157" s="1255"/>
      <c r="CQD157" s="1255"/>
      <c r="CQE157" s="1255"/>
      <c r="CQF157" s="1255"/>
      <c r="CQG157" s="1255"/>
      <c r="CQH157" s="1255"/>
      <c r="CQI157" s="1255"/>
      <c r="CQJ157" s="1255"/>
      <c r="CQK157" s="1255"/>
      <c r="CQL157" s="1255"/>
      <c r="CQM157" s="1255"/>
      <c r="CQN157" s="1255"/>
      <c r="CQO157" s="1255"/>
      <c r="CQP157" s="1255"/>
      <c r="CQQ157" s="1255"/>
      <c r="CQR157" s="1255"/>
      <c r="CQS157" s="1255"/>
      <c r="CQT157" s="1255"/>
      <c r="CQU157" s="1255"/>
      <c r="CQV157" s="1255"/>
      <c r="CQW157" s="1255"/>
      <c r="CQX157" s="1255"/>
      <c r="CQY157" s="1255"/>
      <c r="CQZ157" s="1255"/>
      <c r="CRA157" s="1255"/>
      <c r="CRB157" s="1255"/>
      <c r="CRC157" s="1255"/>
      <c r="CRD157" s="1255"/>
      <c r="CRE157" s="1255"/>
      <c r="CRF157" s="1255"/>
      <c r="CRG157" s="1255"/>
      <c r="CRH157" s="1255"/>
      <c r="CRI157" s="1255"/>
      <c r="CRJ157" s="1255"/>
      <c r="CRK157" s="1255"/>
      <c r="CRL157" s="1255"/>
      <c r="CRM157" s="1255"/>
      <c r="CRN157" s="1255"/>
      <c r="CRO157" s="1255"/>
      <c r="CRP157" s="1255"/>
      <c r="CRQ157" s="1255"/>
      <c r="CRR157" s="1255"/>
      <c r="CRS157" s="1255"/>
      <c r="CRT157" s="1255"/>
      <c r="CRU157" s="1255"/>
      <c r="CRV157" s="1255"/>
      <c r="CRW157" s="1255"/>
      <c r="CRX157" s="1255"/>
      <c r="CRY157" s="1255"/>
      <c r="CRZ157" s="1255"/>
      <c r="CSA157" s="1255"/>
      <c r="CSB157" s="1255"/>
      <c r="CSC157" s="1255"/>
      <c r="CSD157" s="1255"/>
      <c r="CSE157" s="1255"/>
      <c r="CSF157" s="1255"/>
      <c r="CSG157" s="1255"/>
      <c r="CSH157" s="1255"/>
      <c r="CSI157" s="1255"/>
      <c r="CSJ157" s="1255"/>
      <c r="CSK157" s="1255"/>
      <c r="CSL157" s="1255"/>
      <c r="CSM157" s="1255"/>
      <c r="CSN157" s="1255"/>
      <c r="CSO157" s="1255"/>
      <c r="CSP157" s="1255"/>
      <c r="CSQ157" s="1255"/>
      <c r="CSR157" s="1255"/>
      <c r="CSS157" s="1255"/>
      <c r="CST157" s="1255"/>
      <c r="CSU157" s="1255"/>
      <c r="CSV157" s="1255"/>
      <c r="CSW157" s="1255"/>
      <c r="CSX157" s="1255"/>
      <c r="CSY157" s="1255"/>
      <c r="CSZ157" s="1255"/>
      <c r="CTA157" s="1255"/>
      <c r="CTB157" s="1255"/>
      <c r="CTC157" s="1255"/>
      <c r="CTD157" s="1255"/>
      <c r="CTE157" s="1255"/>
      <c r="CTF157" s="1255"/>
      <c r="CTG157" s="1255"/>
      <c r="CTH157" s="1255"/>
      <c r="CTI157" s="1255"/>
      <c r="CTJ157" s="1255"/>
      <c r="CTK157" s="1255"/>
      <c r="CTL157" s="1255"/>
      <c r="CTM157" s="1255"/>
      <c r="CTN157" s="1255"/>
      <c r="CTO157" s="1255"/>
      <c r="CTP157" s="1255"/>
      <c r="CTQ157" s="1255"/>
      <c r="CTR157" s="1255"/>
      <c r="CTS157" s="1255"/>
      <c r="CTT157" s="1255"/>
      <c r="CTU157" s="1255"/>
      <c r="CTV157" s="1255"/>
      <c r="CTW157" s="1255"/>
      <c r="CTX157" s="1255"/>
      <c r="CTY157" s="1255"/>
      <c r="CTZ157" s="1255"/>
      <c r="CUA157" s="1255"/>
      <c r="CUB157" s="1255"/>
      <c r="CUC157" s="1255"/>
      <c r="CUD157" s="1255"/>
      <c r="CUE157" s="1255"/>
      <c r="CUF157" s="1255"/>
      <c r="CUG157" s="1255"/>
      <c r="CUH157" s="1255"/>
      <c r="CUI157" s="1255"/>
      <c r="CUJ157" s="1255"/>
      <c r="CUK157" s="1255"/>
      <c r="CUL157" s="1255"/>
      <c r="CUM157" s="1255"/>
      <c r="CUN157" s="1255"/>
      <c r="CUO157" s="1255"/>
      <c r="CUP157" s="1255"/>
      <c r="CUQ157" s="1255"/>
      <c r="CUR157" s="1255"/>
      <c r="CUS157" s="1255"/>
      <c r="CUT157" s="1255"/>
      <c r="CUU157" s="1255"/>
      <c r="CUV157" s="1255"/>
      <c r="CUW157" s="1255"/>
      <c r="CUX157" s="1255"/>
      <c r="CUY157" s="1255"/>
      <c r="CUZ157" s="1255"/>
      <c r="CVA157" s="1255"/>
      <c r="CVB157" s="1255"/>
      <c r="CVC157" s="1255"/>
      <c r="CVD157" s="1255"/>
      <c r="CVE157" s="1255"/>
      <c r="CVF157" s="1255"/>
      <c r="CVG157" s="1255"/>
      <c r="CVH157" s="1255"/>
      <c r="CVI157" s="1255"/>
      <c r="CVJ157" s="1255"/>
      <c r="CVK157" s="1255"/>
      <c r="CVL157" s="1255"/>
      <c r="CVM157" s="1255"/>
      <c r="CVN157" s="1255"/>
      <c r="CVO157" s="1255"/>
      <c r="CVP157" s="1255"/>
      <c r="CVQ157" s="1255"/>
      <c r="CVR157" s="1255"/>
      <c r="CVS157" s="1255"/>
      <c r="CVT157" s="1255"/>
      <c r="CVU157" s="1255"/>
      <c r="CVV157" s="1255"/>
      <c r="CVW157" s="1255"/>
      <c r="CVX157" s="1255"/>
      <c r="CVY157" s="1255"/>
      <c r="CVZ157" s="1255"/>
      <c r="CWA157" s="1255"/>
      <c r="CWB157" s="1255"/>
      <c r="CWC157" s="1255"/>
      <c r="CWD157" s="1255"/>
      <c r="CWE157" s="1255"/>
      <c r="CWF157" s="1255"/>
      <c r="CWG157" s="1255"/>
      <c r="CWH157" s="1255"/>
      <c r="CWI157" s="1255"/>
      <c r="CWJ157" s="1255"/>
      <c r="CWK157" s="1255"/>
      <c r="CWL157" s="1255"/>
      <c r="CWM157" s="1255"/>
      <c r="CWN157" s="1255"/>
      <c r="CWO157" s="1255"/>
      <c r="CWP157" s="1255"/>
      <c r="CWQ157" s="1255"/>
      <c r="CWR157" s="1255"/>
      <c r="CWS157" s="1255"/>
      <c r="CWT157" s="1255"/>
      <c r="CWU157" s="1255"/>
      <c r="CWV157" s="1255"/>
      <c r="CWW157" s="1255"/>
      <c r="CWX157" s="1255"/>
      <c r="CWY157" s="1255"/>
      <c r="CWZ157" s="1255"/>
      <c r="CXA157" s="1255"/>
      <c r="CXB157" s="1255"/>
      <c r="CXC157" s="1255"/>
      <c r="CXD157" s="1255"/>
      <c r="CXE157" s="1255"/>
      <c r="CXF157" s="1255"/>
      <c r="CXG157" s="1255"/>
      <c r="CXH157" s="1255"/>
      <c r="CXI157" s="1255"/>
      <c r="CXJ157" s="1255"/>
      <c r="CXK157" s="1255"/>
      <c r="CXL157" s="1255"/>
      <c r="CXM157" s="1255"/>
      <c r="CXN157" s="1255"/>
      <c r="CXO157" s="1255"/>
      <c r="CXP157" s="1255"/>
      <c r="CXQ157" s="1255"/>
      <c r="CXR157" s="1255"/>
      <c r="CXS157" s="1255"/>
      <c r="CXT157" s="1255"/>
      <c r="CXU157" s="1255"/>
      <c r="CXV157" s="1255"/>
      <c r="CXW157" s="1255"/>
      <c r="CXX157" s="1255"/>
      <c r="CXY157" s="1255"/>
      <c r="CXZ157" s="1255"/>
      <c r="CYA157" s="1255"/>
      <c r="CYB157" s="1255"/>
      <c r="CYC157" s="1255"/>
      <c r="CYD157" s="1255"/>
      <c r="CYE157" s="1255"/>
      <c r="CYF157" s="1255"/>
      <c r="CYG157" s="1255"/>
      <c r="CYH157" s="1255"/>
      <c r="CYI157" s="1255"/>
      <c r="CYJ157" s="1255"/>
      <c r="CYK157" s="1255"/>
      <c r="CYL157" s="1255"/>
      <c r="CYM157" s="1255"/>
      <c r="CYN157" s="1255"/>
      <c r="CYO157" s="1255"/>
      <c r="CYP157" s="1255"/>
      <c r="CYQ157" s="1255"/>
      <c r="CYR157" s="1255"/>
      <c r="CYS157" s="1255"/>
      <c r="CYT157" s="1255"/>
      <c r="CYU157" s="1255"/>
      <c r="CYV157" s="1255"/>
      <c r="CYW157" s="1255"/>
      <c r="CYX157" s="1255"/>
      <c r="CYY157" s="1255"/>
      <c r="CYZ157" s="1255"/>
      <c r="CZA157" s="1255"/>
      <c r="CZB157" s="1255"/>
      <c r="CZC157" s="1255"/>
      <c r="CZD157" s="1255"/>
      <c r="CZE157" s="1255"/>
      <c r="CZF157" s="1255"/>
      <c r="CZG157" s="1255"/>
      <c r="CZH157" s="1255"/>
      <c r="CZI157" s="1255"/>
      <c r="CZJ157" s="1255"/>
      <c r="CZK157" s="1255"/>
      <c r="CZL157" s="1255"/>
      <c r="CZM157" s="1255"/>
      <c r="CZN157" s="1255"/>
      <c r="CZO157" s="1255"/>
      <c r="CZP157" s="1255"/>
      <c r="CZQ157" s="1255"/>
      <c r="CZR157" s="1255"/>
      <c r="CZS157" s="1255"/>
      <c r="CZT157" s="1255"/>
      <c r="CZU157" s="1255"/>
      <c r="CZV157" s="1255"/>
      <c r="CZW157" s="1255"/>
      <c r="CZX157" s="1255"/>
      <c r="CZY157" s="1255"/>
      <c r="CZZ157" s="1255"/>
      <c r="DAA157" s="1255"/>
      <c r="DAB157" s="1255"/>
      <c r="DAC157" s="1255"/>
      <c r="DAD157" s="1255"/>
      <c r="DAE157" s="1255"/>
      <c r="DAF157" s="1255"/>
      <c r="DAG157" s="1255"/>
      <c r="DAH157" s="1255"/>
      <c r="DAI157" s="1255"/>
      <c r="DAJ157" s="1255"/>
      <c r="DAK157" s="1255"/>
      <c r="DAL157" s="1255"/>
      <c r="DAM157" s="1255"/>
      <c r="DAN157" s="1255"/>
      <c r="DAO157" s="1255"/>
      <c r="DAP157" s="1255"/>
      <c r="DAQ157" s="1255"/>
      <c r="DAR157" s="1255"/>
      <c r="DAS157" s="1255"/>
      <c r="DAT157" s="1255"/>
      <c r="DAU157" s="1255"/>
      <c r="DAV157" s="1255"/>
      <c r="DAW157" s="1255"/>
      <c r="DAX157" s="1255"/>
      <c r="DAY157" s="1255"/>
      <c r="DAZ157" s="1255"/>
      <c r="DBA157" s="1255"/>
      <c r="DBB157" s="1255"/>
      <c r="DBC157" s="1255"/>
      <c r="DBD157" s="1255"/>
      <c r="DBE157" s="1255"/>
      <c r="DBF157" s="1255"/>
      <c r="DBG157" s="1255"/>
      <c r="DBH157" s="1255"/>
      <c r="DBI157" s="1255"/>
      <c r="DBJ157" s="1255"/>
      <c r="DBK157" s="1255"/>
      <c r="DBL157" s="1255"/>
      <c r="DBM157" s="1255"/>
      <c r="DBN157" s="1255"/>
      <c r="DBO157" s="1255"/>
      <c r="DBP157" s="1255"/>
      <c r="DBQ157" s="1255"/>
      <c r="DBR157" s="1255"/>
      <c r="DBS157" s="1255"/>
      <c r="DBT157" s="1255"/>
      <c r="DBU157" s="1255"/>
      <c r="DBV157" s="1255"/>
      <c r="DBW157" s="1255"/>
      <c r="DBX157" s="1255"/>
      <c r="DBY157" s="1255"/>
      <c r="DBZ157" s="1255"/>
      <c r="DCA157" s="1255"/>
      <c r="DCB157" s="1255"/>
      <c r="DCC157" s="1255"/>
      <c r="DCD157" s="1255"/>
      <c r="DCE157" s="1255"/>
      <c r="DCF157" s="1255"/>
      <c r="DCG157" s="1255"/>
      <c r="DCH157" s="1255"/>
      <c r="DCI157" s="1255"/>
      <c r="DCJ157" s="1255"/>
      <c r="DCK157" s="1255"/>
      <c r="DCL157" s="1255"/>
      <c r="DCM157" s="1255"/>
      <c r="DCN157" s="1255"/>
      <c r="DCO157" s="1255"/>
      <c r="DCP157" s="1255"/>
      <c r="DCQ157" s="1255"/>
      <c r="DCR157" s="1255"/>
      <c r="DCS157" s="1255"/>
      <c r="DCT157" s="1255"/>
      <c r="DCU157" s="1255"/>
      <c r="DCV157" s="1255"/>
      <c r="DCW157" s="1255"/>
      <c r="DCX157" s="1255"/>
      <c r="DCY157" s="1255"/>
      <c r="DCZ157" s="1255"/>
      <c r="DDA157" s="1255"/>
      <c r="DDB157" s="1255"/>
      <c r="DDC157" s="1255"/>
      <c r="DDD157" s="1255"/>
      <c r="DDE157" s="1255"/>
      <c r="DDF157" s="1255"/>
      <c r="DDG157" s="1255"/>
      <c r="DDH157" s="1255"/>
      <c r="DDI157" s="1255"/>
      <c r="DDJ157" s="1255"/>
      <c r="DDK157" s="1255"/>
      <c r="DDL157" s="1255"/>
      <c r="DDM157" s="1255"/>
      <c r="DDN157" s="1255"/>
      <c r="DDO157" s="1255"/>
      <c r="DDP157" s="1255"/>
      <c r="DDQ157" s="1255"/>
      <c r="DDR157" s="1255"/>
      <c r="DDS157" s="1255"/>
      <c r="DDT157" s="1255"/>
      <c r="DDU157" s="1255"/>
      <c r="DDV157" s="1255"/>
      <c r="DDW157" s="1255"/>
      <c r="DDX157" s="1255"/>
      <c r="DDY157" s="1255"/>
      <c r="DDZ157" s="1255"/>
      <c r="DEA157" s="1255"/>
      <c r="DEB157" s="1255"/>
      <c r="DEC157" s="1255"/>
      <c r="DED157" s="1255"/>
      <c r="DEE157" s="1255"/>
      <c r="DEF157" s="1255"/>
      <c r="DEG157" s="1255"/>
      <c r="DEH157" s="1255"/>
      <c r="DEI157" s="1255"/>
      <c r="DEJ157" s="1255"/>
      <c r="DEK157" s="1255"/>
      <c r="DEL157" s="1255"/>
      <c r="DEM157" s="1255"/>
      <c r="DEN157" s="1255"/>
      <c r="DEO157" s="1255"/>
      <c r="DEP157" s="1255"/>
      <c r="DEQ157" s="1255"/>
      <c r="DER157" s="1255"/>
      <c r="DES157" s="1255"/>
      <c r="DET157" s="1255"/>
      <c r="DEU157" s="1255"/>
      <c r="DEV157" s="1255"/>
      <c r="DEW157" s="1255"/>
      <c r="DEX157" s="1255"/>
      <c r="DEY157" s="1255"/>
      <c r="DEZ157" s="1255"/>
      <c r="DFA157" s="1255"/>
      <c r="DFB157" s="1255"/>
      <c r="DFC157" s="1255"/>
      <c r="DFD157" s="1255"/>
      <c r="DFE157" s="1255"/>
      <c r="DFF157" s="1255"/>
      <c r="DFG157" s="1255"/>
      <c r="DFH157" s="1255"/>
      <c r="DFI157" s="1255"/>
      <c r="DFJ157" s="1255"/>
      <c r="DFK157" s="1255"/>
      <c r="DFL157" s="1255"/>
      <c r="DFM157" s="1255"/>
      <c r="DFN157" s="1255"/>
      <c r="DFO157" s="1255"/>
      <c r="DFP157" s="1255"/>
      <c r="DFQ157" s="1255"/>
      <c r="DFR157" s="1255"/>
      <c r="DFS157" s="1255"/>
      <c r="DFT157" s="1255"/>
      <c r="DFU157" s="1255"/>
      <c r="DFV157" s="1255"/>
      <c r="DFW157" s="1255"/>
      <c r="DFX157" s="1255"/>
      <c r="DFY157" s="1255"/>
      <c r="DFZ157" s="1255"/>
      <c r="DGA157" s="1255"/>
      <c r="DGB157" s="1255"/>
      <c r="DGC157" s="1255"/>
      <c r="DGD157" s="1255"/>
      <c r="DGE157" s="1255"/>
      <c r="DGF157" s="1255"/>
      <c r="DGG157" s="1255"/>
      <c r="DGH157" s="1255"/>
      <c r="DGI157" s="1255"/>
      <c r="DGJ157" s="1255"/>
      <c r="DGK157" s="1255"/>
      <c r="DGL157" s="1255"/>
      <c r="DGM157" s="1255"/>
      <c r="DGN157" s="1255"/>
      <c r="DGO157" s="1255"/>
      <c r="DGP157" s="1255"/>
      <c r="DGQ157" s="1255"/>
      <c r="DGR157" s="1255"/>
      <c r="DGS157" s="1255"/>
      <c r="DGT157" s="1255"/>
      <c r="DGU157" s="1255"/>
      <c r="DGV157" s="1255"/>
      <c r="DGW157" s="1255"/>
      <c r="DGX157" s="1255"/>
      <c r="DGY157" s="1255"/>
      <c r="DGZ157" s="1255"/>
      <c r="DHA157" s="1255"/>
      <c r="DHB157" s="1255"/>
      <c r="DHC157" s="1255"/>
      <c r="DHD157" s="1255"/>
      <c r="DHE157" s="1255"/>
      <c r="DHF157" s="1255"/>
      <c r="DHG157" s="1255"/>
      <c r="DHH157" s="1255"/>
      <c r="DHI157" s="1255"/>
      <c r="DHJ157" s="1255"/>
      <c r="DHK157" s="1255"/>
      <c r="DHL157" s="1255"/>
      <c r="DHM157" s="1255"/>
      <c r="DHN157" s="1255"/>
      <c r="DHO157" s="1255"/>
      <c r="DHP157" s="1255"/>
      <c r="DHQ157" s="1255"/>
      <c r="DHR157" s="1255"/>
      <c r="DHS157" s="1255"/>
      <c r="DHT157" s="1255"/>
      <c r="DHU157" s="1255"/>
      <c r="DHV157" s="1255"/>
      <c r="DHW157" s="1255"/>
      <c r="DHX157" s="1255"/>
      <c r="DHY157" s="1255"/>
      <c r="DHZ157" s="1255"/>
      <c r="DIA157" s="1255"/>
      <c r="DIB157" s="1255"/>
      <c r="DIC157" s="1255"/>
      <c r="DID157" s="1255"/>
      <c r="DIE157" s="1255"/>
      <c r="DIF157" s="1255"/>
      <c r="DIG157" s="1255"/>
      <c r="DIH157" s="1255"/>
      <c r="DII157" s="1255"/>
      <c r="DIJ157" s="1255"/>
      <c r="DIK157" s="1255"/>
      <c r="DIL157" s="1255"/>
      <c r="DIM157" s="1255"/>
      <c r="DIN157" s="1255"/>
      <c r="DIO157" s="1255"/>
      <c r="DIP157" s="1255"/>
      <c r="DIQ157" s="1255"/>
      <c r="DIR157" s="1255"/>
      <c r="DIS157" s="1255"/>
      <c r="DIT157" s="1255"/>
      <c r="DIU157" s="1255"/>
      <c r="DIV157" s="1255"/>
      <c r="DIW157" s="1255"/>
      <c r="DIX157" s="1255"/>
      <c r="DIY157" s="1255"/>
      <c r="DIZ157" s="1255"/>
      <c r="DJA157" s="1255"/>
      <c r="DJB157" s="1255"/>
      <c r="DJC157" s="1255"/>
      <c r="DJD157" s="1255"/>
      <c r="DJE157" s="1255"/>
      <c r="DJF157" s="1255"/>
      <c r="DJG157" s="1255"/>
      <c r="DJH157" s="1255"/>
      <c r="DJI157" s="1255"/>
      <c r="DJJ157" s="1255"/>
      <c r="DJK157" s="1255"/>
      <c r="DJL157" s="1255"/>
      <c r="DJM157" s="1255"/>
      <c r="DJN157" s="1255"/>
      <c r="DJO157" s="1255"/>
      <c r="DJP157" s="1255"/>
      <c r="DJQ157" s="1255"/>
      <c r="DJR157" s="1255"/>
      <c r="DJS157" s="1255"/>
      <c r="DJT157" s="1255"/>
      <c r="DJU157" s="1255"/>
      <c r="DJV157" s="1255"/>
      <c r="DJW157" s="1255"/>
      <c r="DJX157" s="1255"/>
      <c r="DJY157" s="1255"/>
      <c r="DJZ157" s="1255"/>
      <c r="DKA157" s="1255"/>
      <c r="DKB157" s="1255"/>
      <c r="DKC157" s="1255"/>
      <c r="DKD157" s="1255"/>
      <c r="DKE157" s="1255"/>
      <c r="DKF157" s="1255"/>
      <c r="DKG157" s="1255"/>
      <c r="DKH157" s="1255"/>
      <c r="DKI157" s="1255"/>
      <c r="DKJ157" s="1255"/>
      <c r="DKK157" s="1255"/>
      <c r="DKL157" s="1255"/>
      <c r="DKM157" s="1255"/>
      <c r="DKN157" s="1255"/>
      <c r="DKO157" s="1255"/>
      <c r="DKP157" s="1255"/>
      <c r="DKQ157" s="1255"/>
      <c r="DKR157" s="1255"/>
      <c r="DKS157" s="1255"/>
      <c r="DKT157" s="1255"/>
      <c r="DKU157" s="1255"/>
      <c r="DKV157" s="1255"/>
      <c r="DKW157" s="1255"/>
      <c r="DKX157" s="1255"/>
      <c r="DKY157" s="1255"/>
      <c r="DKZ157" s="1255"/>
      <c r="DLA157" s="1255"/>
      <c r="DLB157" s="1255"/>
      <c r="DLC157" s="1255"/>
      <c r="DLD157" s="1255"/>
      <c r="DLE157" s="1255"/>
      <c r="DLF157" s="1255"/>
      <c r="DLG157" s="1255"/>
      <c r="DLH157" s="1255"/>
      <c r="DLI157" s="1255"/>
      <c r="DLJ157" s="1255"/>
      <c r="DLK157" s="1255"/>
      <c r="DLL157" s="1255"/>
      <c r="DLM157" s="1255"/>
      <c r="DLN157" s="1255"/>
      <c r="DLO157" s="1255"/>
      <c r="DLP157" s="1255"/>
      <c r="DLQ157" s="1255"/>
      <c r="DLR157" s="1255"/>
      <c r="DLS157" s="1255"/>
      <c r="DLT157" s="1255"/>
      <c r="DLU157" s="1255"/>
      <c r="DLV157" s="1255"/>
      <c r="DLW157" s="1255"/>
      <c r="DLX157" s="1255"/>
      <c r="DLY157" s="1255"/>
      <c r="DLZ157" s="1255"/>
      <c r="DMA157" s="1255"/>
      <c r="DMB157" s="1255"/>
      <c r="DMC157" s="1255"/>
      <c r="DMD157" s="1255"/>
      <c r="DME157" s="1255"/>
      <c r="DMF157" s="1255"/>
      <c r="DMG157" s="1255"/>
      <c r="DMH157" s="1255"/>
      <c r="DMI157" s="1255"/>
      <c r="DMJ157" s="1255"/>
      <c r="DMK157" s="1255"/>
      <c r="DML157" s="1255"/>
      <c r="DMM157" s="1255"/>
      <c r="DMN157" s="1255"/>
      <c r="DMO157" s="1255"/>
      <c r="DMP157" s="1255"/>
      <c r="DMQ157" s="1255"/>
      <c r="DMR157" s="1255"/>
      <c r="DMS157" s="1255"/>
      <c r="DMT157" s="1255"/>
      <c r="DMU157" s="1255"/>
      <c r="DMV157" s="1255"/>
      <c r="DMW157" s="1255"/>
      <c r="DMX157" s="1255"/>
      <c r="DMY157" s="1255"/>
      <c r="DMZ157" s="1255"/>
      <c r="DNA157" s="1255"/>
      <c r="DNB157" s="1255"/>
      <c r="DNC157" s="1255"/>
      <c r="DND157" s="1255"/>
      <c r="DNE157" s="1255"/>
      <c r="DNF157" s="1255"/>
      <c r="DNG157" s="1255"/>
      <c r="DNH157" s="1255"/>
      <c r="DNI157" s="1255"/>
      <c r="DNJ157" s="1255"/>
      <c r="DNK157" s="1255"/>
      <c r="DNL157" s="1255"/>
      <c r="DNM157" s="1255"/>
      <c r="DNN157" s="1255"/>
      <c r="DNO157" s="1255"/>
      <c r="DNP157" s="1255"/>
      <c r="DNQ157" s="1255"/>
      <c r="DNR157" s="1255"/>
      <c r="DNS157" s="1255"/>
      <c r="DNT157" s="1255"/>
      <c r="DNU157" s="1255"/>
      <c r="DNV157" s="1255"/>
      <c r="DNW157" s="1255"/>
      <c r="DNX157" s="1255"/>
      <c r="DNY157" s="1255"/>
      <c r="DNZ157" s="1255"/>
      <c r="DOA157" s="1255"/>
      <c r="DOB157" s="1255"/>
      <c r="DOC157" s="1255"/>
      <c r="DOD157" s="1255"/>
      <c r="DOE157" s="1255"/>
      <c r="DOF157" s="1255"/>
      <c r="DOG157" s="1255"/>
      <c r="DOH157" s="1255"/>
      <c r="DOI157" s="1255"/>
      <c r="DOJ157" s="1255"/>
      <c r="DOK157" s="1255"/>
      <c r="DOL157" s="1255"/>
      <c r="DOM157" s="1255"/>
      <c r="DON157" s="1255"/>
      <c r="DOO157" s="1255"/>
      <c r="DOP157" s="1255"/>
      <c r="DOQ157" s="1255"/>
      <c r="DOR157" s="1255"/>
      <c r="DOS157" s="1255"/>
      <c r="DOT157" s="1255"/>
      <c r="DOU157" s="1255"/>
      <c r="DOV157" s="1255"/>
      <c r="DOW157" s="1255"/>
      <c r="DOX157" s="1255"/>
      <c r="DOY157" s="1255"/>
      <c r="DOZ157" s="1255"/>
      <c r="DPA157" s="1255"/>
      <c r="DPB157" s="1255"/>
      <c r="DPC157" s="1255"/>
      <c r="DPD157" s="1255"/>
      <c r="DPE157" s="1255"/>
      <c r="DPF157" s="1255"/>
      <c r="DPG157" s="1255"/>
      <c r="DPH157" s="1255"/>
      <c r="DPI157" s="1255"/>
      <c r="DPJ157" s="1255"/>
      <c r="DPK157" s="1255"/>
      <c r="DPL157" s="1255"/>
      <c r="DPM157" s="1255"/>
      <c r="DPN157" s="1255"/>
      <c r="DPO157" s="1255"/>
      <c r="DPP157" s="1255"/>
      <c r="DPQ157" s="1255"/>
      <c r="DPR157" s="1255"/>
      <c r="DPS157" s="1255"/>
      <c r="DPT157" s="1255"/>
      <c r="DPU157" s="1255"/>
      <c r="DPV157" s="1255"/>
      <c r="DPW157" s="1255"/>
      <c r="DPX157" s="1255"/>
      <c r="DPY157" s="1255"/>
      <c r="DPZ157" s="1255"/>
      <c r="DQA157" s="1255"/>
      <c r="DQB157" s="1255"/>
      <c r="DQC157" s="1255"/>
      <c r="DQD157" s="1255"/>
      <c r="DQE157" s="1255"/>
      <c r="DQF157" s="1255"/>
      <c r="DQG157" s="1255"/>
      <c r="DQH157" s="1255"/>
      <c r="DQI157" s="1255"/>
      <c r="DQJ157" s="1255"/>
      <c r="DQK157" s="1255"/>
      <c r="DQL157" s="1255"/>
      <c r="DQM157" s="1255"/>
      <c r="DQN157" s="1255"/>
      <c r="DQO157" s="1255"/>
      <c r="DQP157" s="1255"/>
      <c r="DQQ157" s="1255"/>
      <c r="DQR157" s="1255"/>
      <c r="DQS157" s="1255"/>
      <c r="DQT157" s="1255"/>
      <c r="DQU157" s="1255"/>
      <c r="DQV157" s="1255"/>
      <c r="DQW157" s="1255"/>
      <c r="DQX157" s="1255"/>
      <c r="DQY157" s="1255"/>
      <c r="DQZ157" s="1255"/>
      <c r="DRA157" s="1255"/>
      <c r="DRB157" s="1255"/>
      <c r="DRC157" s="1255"/>
      <c r="DRD157" s="1255"/>
      <c r="DRE157" s="1255"/>
      <c r="DRF157" s="1255"/>
      <c r="DRG157" s="1255"/>
      <c r="DRH157" s="1255"/>
      <c r="DRI157" s="1255"/>
      <c r="DRJ157" s="1255"/>
      <c r="DRK157" s="1255"/>
      <c r="DRL157" s="1255"/>
      <c r="DRM157" s="1255"/>
      <c r="DRN157" s="1255"/>
      <c r="DRO157" s="1255"/>
      <c r="DRP157" s="1255"/>
      <c r="DRQ157" s="1255"/>
      <c r="DRR157" s="1255"/>
      <c r="DRS157" s="1255"/>
      <c r="DRT157" s="1255"/>
      <c r="DRU157" s="1255"/>
      <c r="DRV157" s="1255"/>
      <c r="DRW157" s="1255"/>
      <c r="DRX157" s="1255"/>
      <c r="DRY157" s="1255"/>
      <c r="DRZ157" s="1255"/>
      <c r="DSA157" s="1255"/>
      <c r="DSB157" s="1255"/>
      <c r="DSC157" s="1255"/>
      <c r="DSD157" s="1255"/>
      <c r="DSE157" s="1255"/>
      <c r="DSF157" s="1255"/>
      <c r="DSG157" s="1255"/>
      <c r="DSH157" s="1255"/>
      <c r="DSI157" s="1255"/>
      <c r="DSJ157" s="1255"/>
      <c r="DSK157" s="1255"/>
      <c r="DSL157" s="1255"/>
      <c r="DSM157" s="1255"/>
      <c r="DSN157" s="1255"/>
      <c r="DSO157" s="1255"/>
      <c r="DSP157" s="1255"/>
      <c r="DSQ157" s="1255"/>
      <c r="DSR157" s="1255"/>
      <c r="DSS157" s="1255"/>
      <c r="DST157" s="1255"/>
      <c r="DSU157" s="1255"/>
      <c r="DSV157" s="1255"/>
      <c r="DSW157" s="1255"/>
      <c r="DSX157" s="1255"/>
      <c r="DSY157" s="1255"/>
      <c r="DSZ157" s="1255"/>
      <c r="DTA157" s="1255"/>
      <c r="DTB157" s="1255"/>
      <c r="DTC157" s="1255"/>
      <c r="DTD157" s="1255"/>
      <c r="DTE157" s="1255"/>
      <c r="DTF157" s="1255"/>
      <c r="DTG157" s="1255"/>
      <c r="DTH157" s="1255"/>
      <c r="DTI157" s="1255"/>
      <c r="DTJ157" s="1255"/>
      <c r="DTK157" s="1255"/>
      <c r="DTL157" s="1255"/>
      <c r="DTM157" s="1255"/>
      <c r="DTN157" s="1255"/>
      <c r="DTO157" s="1255"/>
      <c r="DTP157" s="1255"/>
      <c r="DTQ157" s="1255"/>
      <c r="DTR157" s="1255"/>
      <c r="DTS157" s="1255"/>
      <c r="DTT157" s="1255"/>
      <c r="DTU157" s="1255"/>
      <c r="DTV157" s="1255"/>
      <c r="DTW157" s="1255"/>
      <c r="DTX157" s="1255"/>
      <c r="DTY157" s="1255"/>
      <c r="DTZ157" s="1255"/>
      <c r="DUA157" s="1255"/>
      <c r="DUB157" s="1255"/>
      <c r="DUC157" s="1255"/>
      <c r="DUD157" s="1255"/>
      <c r="DUE157" s="1255"/>
      <c r="DUF157" s="1255"/>
      <c r="DUG157" s="1255"/>
      <c r="DUH157" s="1255"/>
      <c r="DUI157" s="1255"/>
      <c r="DUJ157" s="1255"/>
      <c r="DUK157" s="1255"/>
      <c r="DUL157" s="1255"/>
      <c r="DUM157" s="1255"/>
      <c r="DUN157" s="1255"/>
      <c r="DUO157" s="1255"/>
      <c r="DUP157" s="1255"/>
      <c r="DUQ157" s="1255"/>
      <c r="DUR157" s="1255"/>
      <c r="DUS157" s="1255"/>
      <c r="DUT157" s="1255"/>
      <c r="DUU157" s="1255"/>
      <c r="DUV157" s="1255"/>
      <c r="DUW157" s="1255"/>
      <c r="DUX157" s="1255"/>
      <c r="DUY157" s="1255"/>
      <c r="DUZ157" s="1255"/>
      <c r="DVA157" s="1255"/>
      <c r="DVB157" s="1255"/>
      <c r="DVC157" s="1255"/>
      <c r="DVD157" s="1255"/>
      <c r="DVE157" s="1255"/>
      <c r="DVF157" s="1255"/>
      <c r="DVG157" s="1255"/>
      <c r="DVH157" s="1255"/>
      <c r="DVI157" s="1255"/>
      <c r="DVJ157" s="1255"/>
      <c r="DVK157" s="1255"/>
      <c r="DVL157" s="1255"/>
      <c r="DVM157" s="1255"/>
      <c r="DVN157" s="1255"/>
      <c r="DVO157" s="1255"/>
      <c r="DVP157" s="1255"/>
      <c r="DVQ157" s="1255"/>
      <c r="DVR157" s="1255"/>
      <c r="DVS157" s="1255"/>
      <c r="DVT157" s="1255"/>
      <c r="DVU157" s="1255"/>
      <c r="DVV157" s="1255"/>
      <c r="DVW157" s="1255"/>
      <c r="DVX157" s="1255"/>
      <c r="DVY157" s="1255"/>
      <c r="DVZ157" s="1255"/>
      <c r="DWA157" s="1255"/>
      <c r="DWB157" s="1255"/>
      <c r="DWC157" s="1255"/>
      <c r="DWD157" s="1255"/>
      <c r="DWE157" s="1255"/>
      <c r="DWF157" s="1255"/>
      <c r="DWG157" s="1255"/>
      <c r="DWH157" s="1255"/>
      <c r="DWI157" s="1255"/>
      <c r="DWJ157" s="1255"/>
      <c r="DWK157" s="1255"/>
      <c r="DWL157" s="1255"/>
      <c r="DWM157" s="1255"/>
      <c r="DWN157" s="1255"/>
      <c r="DWO157" s="1255"/>
      <c r="DWP157" s="1255"/>
      <c r="DWQ157" s="1255"/>
      <c r="DWR157" s="1255"/>
      <c r="DWS157" s="1255"/>
      <c r="DWT157" s="1255"/>
      <c r="DWU157" s="1255"/>
      <c r="DWV157" s="1255"/>
      <c r="DWW157" s="1255"/>
      <c r="DWX157" s="1255"/>
      <c r="DWY157" s="1255"/>
      <c r="DWZ157" s="1255"/>
      <c r="DXA157" s="1255"/>
      <c r="DXB157" s="1255"/>
      <c r="DXC157" s="1255"/>
      <c r="DXD157" s="1255"/>
      <c r="DXE157" s="1255"/>
      <c r="DXF157" s="1255"/>
      <c r="DXG157" s="1255"/>
      <c r="DXH157" s="1255"/>
      <c r="DXI157" s="1255"/>
      <c r="DXJ157" s="1255"/>
      <c r="DXK157" s="1255"/>
      <c r="DXL157" s="1255"/>
      <c r="DXM157" s="1255"/>
      <c r="DXN157" s="1255"/>
      <c r="DXO157" s="1255"/>
      <c r="DXP157" s="1255"/>
      <c r="DXQ157" s="1255"/>
      <c r="DXR157" s="1255"/>
      <c r="DXS157" s="1255"/>
      <c r="DXT157" s="1255"/>
      <c r="DXU157" s="1255"/>
      <c r="DXV157" s="1255"/>
      <c r="DXW157" s="1255"/>
      <c r="DXX157" s="1255"/>
      <c r="DXY157" s="1255"/>
      <c r="DXZ157" s="1255"/>
      <c r="DYA157" s="1255"/>
      <c r="DYB157" s="1255"/>
      <c r="DYC157" s="1255"/>
      <c r="DYD157" s="1255"/>
      <c r="DYE157" s="1255"/>
      <c r="DYF157" s="1255"/>
      <c r="DYG157" s="1255"/>
      <c r="DYH157" s="1255"/>
      <c r="DYI157" s="1255"/>
      <c r="DYJ157" s="1255"/>
      <c r="DYK157" s="1255"/>
      <c r="DYL157" s="1255"/>
      <c r="DYM157" s="1255"/>
      <c r="DYN157" s="1255"/>
      <c r="DYO157" s="1255"/>
      <c r="DYP157" s="1255"/>
      <c r="DYQ157" s="1255"/>
      <c r="DYR157" s="1255"/>
      <c r="DYS157" s="1255"/>
      <c r="DYT157" s="1255"/>
      <c r="DYU157" s="1255"/>
      <c r="DYV157" s="1255"/>
      <c r="DYW157" s="1255"/>
      <c r="DYX157" s="1255"/>
      <c r="DYY157" s="1255"/>
      <c r="DYZ157" s="1255"/>
      <c r="DZA157" s="1255"/>
      <c r="DZB157" s="1255"/>
      <c r="DZC157" s="1255"/>
      <c r="DZD157" s="1255"/>
      <c r="DZE157" s="1255"/>
      <c r="DZF157" s="1255"/>
      <c r="DZG157" s="1255"/>
      <c r="DZH157" s="1255"/>
      <c r="DZI157" s="1255"/>
      <c r="DZJ157" s="1255"/>
      <c r="DZK157" s="1255"/>
      <c r="DZL157" s="1255"/>
      <c r="DZM157" s="1255"/>
      <c r="DZN157" s="1255"/>
      <c r="DZO157" s="1255"/>
      <c r="DZP157" s="1255"/>
      <c r="DZQ157" s="1255"/>
      <c r="DZR157" s="1255"/>
      <c r="DZS157" s="1255"/>
      <c r="DZT157" s="1255"/>
      <c r="DZU157" s="1255"/>
      <c r="DZV157" s="1255"/>
      <c r="DZW157" s="1255"/>
      <c r="DZX157" s="1255"/>
      <c r="DZY157" s="1255"/>
      <c r="DZZ157" s="1255"/>
      <c r="EAA157" s="1255"/>
      <c r="EAB157" s="1255"/>
      <c r="EAC157" s="1255"/>
      <c r="EAD157" s="1255"/>
      <c r="EAE157" s="1255"/>
      <c r="EAF157" s="1255"/>
      <c r="EAG157" s="1255"/>
      <c r="EAH157" s="1255"/>
      <c r="EAI157" s="1255"/>
      <c r="EAJ157" s="1255"/>
      <c r="EAK157" s="1255"/>
      <c r="EAL157" s="1255"/>
      <c r="EAM157" s="1255"/>
      <c r="EAN157" s="1255"/>
      <c r="EAO157" s="1255"/>
      <c r="EAP157" s="1255"/>
      <c r="EAQ157" s="1255"/>
      <c r="EAR157" s="1255"/>
      <c r="EAS157" s="1255"/>
      <c r="EAT157" s="1255"/>
      <c r="EAU157" s="1255"/>
      <c r="EAV157" s="1255"/>
      <c r="EAW157" s="1255"/>
      <c r="EAX157" s="1255"/>
      <c r="EAY157" s="1255"/>
      <c r="EAZ157" s="1255"/>
      <c r="EBA157" s="1255"/>
      <c r="EBB157" s="1255"/>
      <c r="EBC157" s="1255"/>
      <c r="EBD157" s="1255"/>
      <c r="EBE157" s="1255"/>
      <c r="EBF157" s="1255"/>
      <c r="EBG157" s="1255"/>
      <c r="EBH157" s="1255"/>
      <c r="EBI157" s="1255"/>
      <c r="EBJ157" s="1255"/>
      <c r="EBK157" s="1255"/>
      <c r="EBL157" s="1255"/>
      <c r="EBM157" s="1255"/>
      <c r="EBN157" s="1255"/>
      <c r="EBO157" s="1255"/>
      <c r="EBP157" s="1255"/>
      <c r="EBQ157" s="1255"/>
      <c r="EBR157" s="1255"/>
      <c r="EBS157" s="1255"/>
      <c r="EBT157" s="1255"/>
      <c r="EBU157" s="1255"/>
      <c r="EBV157" s="1255"/>
      <c r="EBW157" s="1255"/>
      <c r="EBX157" s="1255"/>
      <c r="EBY157" s="1255"/>
      <c r="EBZ157" s="1255"/>
      <c r="ECA157" s="1255"/>
      <c r="ECB157" s="1255"/>
      <c r="ECC157" s="1255"/>
      <c r="ECD157" s="1255"/>
      <c r="ECE157" s="1255"/>
      <c r="ECF157" s="1255"/>
      <c r="ECG157" s="1255"/>
      <c r="ECH157" s="1255"/>
      <c r="ECI157" s="1255"/>
      <c r="ECJ157" s="1255"/>
      <c r="ECK157" s="1255"/>
      <c r="ECL157" s="1255"/>
      <c r="ECM157" s="1255"/>
      <c r="ECN157" s="1255"/>
      <c r="ECO157" s="1255"/>
      <c r="ECP157" s="1255"/>
      <c r="ECQ157" s="1255"/>
      <c r="ECR157" s="1255"/>
      <c r="ECS157" s="1255"/>
      <c r="ECT157" s="1255"/>
      <c r="ECU157" s="1255"/>
      <c r="ECV157" s="1255"/>
      <c r="ECW157" s="1255"/>
      <c r="ECX157" s="1255"/>
      <c r="ECY157" s="1255"/>
      <c r="ECZ157" s="1255"/>
      <c r="EDA157" s="1255"/>
      <c r="EDB157" s="1255"/>
      <c r="EDC157" s="1255"/>
      <c r="EDD157" s="1255"/>
      <c r="EDE157" s="1255"/>
      <c r="EDF157" s="1255"/>
      <c r="EDG157" s="1255"/>
      <c r="EDH157" s="1255"/>
      <c r="EDI157" s="1255"/>
      <c r="EDJ157" s="1255"/>
      <c r="EDK157" s="1255"/>
      <c r="EDL157" s="1255"/>
      <c r="EDM157" s="1255"/>
      <c r="EDN157" s="1255"/>
      <c r="EDO157" s="1255"/>
      <c r="EDP157" s="1255"/>
      <c r="EDQ157" s="1255"/>
      <c r="EDR157" s="1255"/>
      <c r="EDS157" s="1255"/>
      <c r="EDT157" s="1255"/>
      <c r="EDU157" s="1255"/>
      <c r="EDV157" s="1255"/>
      <c r="EDW157" s="1255"/>
      <c r="EDX157" s="1255"/>
      <c r="EDY157" s="1255"/>
      <c r="EDZ157" s="1255"/>
      <c r="EEA157" s="1255"/>
      <c r="EEB157" s="1255"/>
      <c r="EEC157" s="1255"/>
      <c r="EED157" s="1255"/>
      <c r="EEE157" s="1255"/>
      <c r="EEF157" s="1255"/>
      <c r="EEG157" s="1255"/>
      <c r="EEH157" s="1255"/>
      <c r="EEI157" s="1255"/>
      <c r="EEJ157" s="1255"/>
      <c r="EEK157" s="1255"/>
      <c r="EEL157" s="1255"/>
      <c r="EEM157" s="1255"/>
      <c r="EEN157" s="1255"/>
      <c r="EEO157" s="1255"/>
      <c r="EEP157" s="1255"/>
      <c r="EEQ157" s="1255"/>
      <c r="EER157" s="1255"/>
      <c r="EES157" s="1255"/>
      <c r="EET157" s="1255"/>
      <c r="EEU157" s="1255"/>
      <c r="EEV157" s="1255"/>
      <c r="EEW157" s="1255"/>
      <c r="EEX157" s="1255"/>
      <c r="EEY157" s="1255"/>
      <c r="EEZ157" s="1255"/>
      <c r="EFA157" s="1255"/>
      <c r="EFB157" s="1255"/>
      <c r="EFC157" s="1255"/>
      <c r="EFD157" s="1255"/>
      <c r="EFE157" s="1255"/>
      <c r="EFF157" s="1255"/>
      <c r="EFG157" s="1255"/>
      <c r="EFH157" s="1255"/>
      <c r="EFI157" s="1255"/>
      <c r="EFJ157" s="1255"/>
      <c r="EFK157" s="1255"/>
      <c r="EFL157" s="1255"/>
      <c r="EFM157" s="1255"/>
      <c r="EFN157" s="1255"/>
      <c r="EFO157" s="1255"/>
      <c r="EFP157" s="1255"/>
      <c r="EFQ157" s="1255"/>
      <c r="EFR157" s="1255"/>
      <c r="EFS157" s="1255"/>
      <c r="EFT157" s="1255"/>
      <c r="EFU157" s="1255"/>
      <c r="EFV157" s="1255"/>
      <c r="EFW157" s="1255"/>
      <c r="EFX157" s="1255"/>
      <c r="EFY157" s="1255"/>
      <c r="EFZ157" s="1255"/>
      <c r="EGA157" s="1255"/>
      <c r="EGB157" s="1255"/>
      <c r="EGC157" s="1255"/>
      <c r="EGD157" s="1255"/>
      <c r="EGE157" s="1255"/>
      <c r="EGF157" s="1255"/>
      <c r="EGG157" s="1255"/>
      <c r="EGH157" s="1255"/>
      <c r="EGI157" s="1255"/>
      <c r="EGJ157" s="1255"/>
      <c r="EGK157" s="1255"/>
      <c r="EGL157" s="1255"/>
      <c r="EGM157" s="1255"/>
      <c r="EGN157" s="1255"/>
      <c r="EGO157" s="1255"/>
      <c r="EGP157" s="1255"/>
      <c r="EGQ157" s="1255"/>
      <c r="EGR157" s="1255"/>
      <c r="EGS157" s="1255"/>
      <c r="EGT157" s="1255"/>
      <c r="EGU157" s="1255"/>
      <c r="EGV157" s="1255"/>
      <c r="EGW157" s="1255"/>
      <c r="EGX157" s="1255"/>
      <c r="EGY157" s="1255"/>
      <c r="EGZ157" s="1255"/>
      <c r="EHA157" s="1255"/>
      <c r="EHB157" s="1255"/>
      <c r="EHC157" s="1255"/>
      <c r="EHD157" s="1255"/>
      <c r="EHE157" s="1255"/>
      <c r="EHF157" s="1255"/>
      <c r="EHG157" s="1255"/>
      <c r="EHH157" s="1255"/>
      <c r="EHI157" s="1255"/>
      <c r="EHJ157" s="1255"/>
      <c r="EHK157" s="1255"/>
      <c r="EHL157" s="1255"/>
      <c r="EHM157" s="1255"/>
      <c r="EHN157" s="1255"/>
      <c r="EHO157" s="1255"/>
      <c r="EHP157" s="1255"/>
      <c r="EHQ157" s="1255"/>
      <c r="EHR157" s="1255"/>
      <c r="EHS157" s="1255"/>
      <c r="EHT157" s="1255"/>
      <c r="EHU157" s="1255"/>
      <c r="EHV157" s="1255"/>
      <c r="EHW157" s="1255"/>
      <c r="EHX157" s="1255"/>
      <c r="EHY157" s="1255"/>
      <c r="EHZ157" s="1255"/>
      <c r="EIA157" s="1255"/>
      <c r="EIB157" s="1255"/>
      <c r="EIC157" s="1255"/>
      <c r="EID157" s="1255"/>
      <c r="EIE157" s="1255"/>
      <c r="EIF157" s="1255"/>
      <c r="EIG157" s="1255"/>
      <c r="EIH157" s="1255"/>
      <c r="EII157" s="1255"/>
      <c r="EIJ157" s="1255"/>
      <c r="EIK157" s="1255"/>
      <c r="EIL157" s="1255"/>
      <c r="EIM157" s="1255"/>
      <c r="EIN157" s="1255"/>
      <c r="EIO157" s="1255"/>
      <c r="EIP157" s="1255"/>
      <c r="EIQ157" s="1255"/>
      <c r="EIR157" s="1255"/>
      <c r="EIS157" s="1255"/>
      <c r="EIT157" s="1255"/>
      <c r="EIU157" s="1255"/>
      <c r="EIV157" s="1255"/>
      <c r="EIW157" s="1255"/>
      <c r="EIX157" s="1255"/>
      <c r="EIY157" s="1255"/>
      <c r="EIZ157" s="1255"/>
      <c r="EJA157" s="1255"/>
      <c r="EJB157" s="1255"/>
      <c r="EJC157" s="1255"/>
      <c r="EJD157" s="1255"/>
      <c r="EJE157" s="1255"/>
      <c r="EJF157" s="1255"/>
      <c r="EJG157" s="1255"/>
      <c r="EJH157" s="1255"/>
      <c r="EJI157" s="1255"/>
      <c r="EJJ157" s="1255"/>
      <c r="EJK157" s="1255"/>
      <c r="EJL157" s="1255"/>
      <c r="EJM157" s="1255"/>
      <c r="EJN157" s="1255"/>
      <c r="EJO157" s="1255"/>
      <c r="EJP157" s="1255"/>
      <c r="EJQ157" s="1255"/>
      <c r="EJR157" s="1255"/>
      <c r="EJS157" s="1255"/>
      <c r="EJT157" s="1255"/>
      <c r="EJU157" s="1255"/>
      <c r="EJV157" s="1255"/>
      <c r="EJW157" s="1255"/>
      <c r="EJX157" s="1255"/>
      <c r="EJY157" s="1255"/>
      <c r="EJZ157" s="1255"/>
      <c r="EKA157" s="1255"/>
      <c r="EKB157" s="1255"/>
      <c r="EKC157" s="1255"/>
      <c r="EKD157" s="1255"/>
      <c r="EKE157" s="1255"/>
      <c r="EKF157" s="1255"/>
      <c r="EKG157" s="1255"/>
      <c r="EKH157" s="1255"/>
      <c r="EKI157" s="1255"/>
      <c r="EKJ157" s="1255"/>
      <c r="EKK157" s="1255"/>
      <c r="EKL157" s="1255"/>
      <c r="EKM157" s="1255"/>
      <c r="EKN157" s="1255"/>
      <c r="EKO157" s="1255"/>
      <c r="EKP157" s="1255"/>
      <c r="EKQ157" s="1255"/>
      <c r="EKR157" s="1255"/>
      <c r="EKS157" s="1255"/>
      <c r="EKT157" s="1255"/>
      <c r="EKU157" s="1255"/>
      <c r="EKV157" s="1255"/>
      <c r="EKW157" s="1255"/>
      <c r="EKX157" s="1255"/>
      <c r="EKY157" s="1255"/>
      <c r="EKZ157" s="1255"/>
      <c r="ELA157" s="1255"/>
      <c r="ELB157" s="1255"/>
      <c r="ELC157" s="1255"/>
      <c r="ELD157" s="1255"/>
      <c r="ELE157" s="1255"/>
      <c r="ELF157" s="1255"/>
      <c r="ELG157" s="1255"/>
      <c r="ELH157" s="1255"/>
      <c r="ELI157" s="1255"/>
      <c r="ELJ157" s="1255"/>
      <c r="ELK157" s="1255"/>
      <c r="ELL157" s="1255"/>
      <c r="ELM157" s="1255"/>
      <c r="ELN157" s="1255"/>
      <c r="ELO157" s="1255"/>
      <c r="ELP157" s="1255"/>
      <c r="ELQ157" s="1255"/>
      <c r="ELR157" s="1255"/>
      <c r="ELS157" s="1255"/>
      <c r="ELT157" s="1255"/>
      <c r="ELU157" s="1255"/>
      <c r="ELV157" s="1255"/>
      <c r="ELW157" s="1255"/>
      <c r="ELX157" s="1255"/>
      <c r="ELY157" s="1255"/>
      <c r="ELZ157" s="1255"/>
      <c r="EMA157" s="1255"/>
      <c r="EMB157" s="1255"/>
      <c r="EMC157" s="1255"/>
      <c r="EMD157" s="1255"/>
      <c r="EME157" s="1255"/>
      <c r="EMF157" s="1255"/>
      <c r="EMG157" s="1255"/>
      <c r="EMH157" s="1255"/>
      <c r="EMI157" s="1255"/>
      <c r="EMJ157" s="1255"/>
      <c r="EMK157" s="1255"/>
      <c r="EML157" s="1255"/>
      <c r="EMM157" s="1255"/>
      <c r="EMN157" s="1255"/>
      <c r="EMO157" s="1255"/>
      <c r="EMP157" s="1255"/>
      <c r="EMQ157" s="1255"/>
      <c r="EMR157" s="1255"/>
      <c r="EMS157" s="1255"/>
      <c r="EMT157" s="1255"/>
      <c r="EMU157" s="1255"/>
      <c r="EMV157" s="1255"/>
      <c r="EMW157" s="1255"/>
      <c r="EMX157" s="1255"/>
      <c r="EMY157" s="1255"/>
      <c r="EMZ157" s="1255"/>
      <c r="ENA157" s="1255"/>
      <c r="ENB157" s="1255"/>
      <c r="ENC157" s="1255"/>
      <c r="END157" s="1255"/>
      <c r="ENE157" s="1255"/>
      <c r="ENF157" s="1255"/>
      <c r="ENG157" s="1255"/>
      <c r="ENH157" s="1255"/>
      <c r="ENI157" s="1255"/>
      <c r="ENJ157" s="1255"/>
      <c r="ENK157" s="1255"/>
      <c r="ENL157" s="1255"/>
      <c r="ENM157" s="1255"/>
      <c r="ENN157" s="1255"/>
      <c r="ENO157" s="1255"/>
      <c r="ENP157" s="1255"/>
      <c r="ENQ157" s="1255"/>
      <c r="ENR157" s="1255"/>
      <c r="ENS157" s="1255"/>
      <c r="ENT157" s="1255"/>
      <c r="ENU157" s="1255"/>
      <c r="ENV157" s="1255"/>
      <c r="ENW157" s="1255"/>
      <c r="ENX157" s="1255"/>
      <c r="ENY157" s="1255"/>
      <c r="ENZ157" s="1255"/>
      <c r="EOA157" s="1255"/>
      <c r="EOB157" s="1255"/>
      <c r="EOC157" s="1255"/>
      <c r="EOD157" s="1255"/>
      <c r="EOE157" s="1255"/>
      <c r="EOF157" s="1255"/>
      <c r="EOG157" s="1255"/>
      <c r="EOH157" s="1255"/>
      <c r="EOI157" s="1255"/>
      <c r="EOJ157" s="1255"/>
      <c r="EOK157" s="1255"/>
      <c r="EOL157" s="1255"/>
      <c r="EOM157" s="1255"/>
      <c r="EON157" s="1255"/>
      <c r="EOO157" s="1255"/>
      <c r="EOP157" s="1255"/>
      <c r="EOQ157" s="1255"/>
      <c r="EOR157" s="1255"/>
      <c r="EOS157" s="1255"/>
      <c r="EOT157" s="1255"/>
      <c r="EOU157" s="1255"/>
      <c r="EOV157" s="1255"/>
      <c r="EOW157" s="1255"/>
      <c r="EOX157" s="1255"/>
      <c r="EOY157" s="1255"/>
      <c r="EOZ157" s="1255"/>
      <c r="EPA157" s="1255"/>
      <c r="EPB157" s="1255"/>
      <c r="EPC157" s="1255"/>
      <c r="EPD157" s="1255"/>
      <c r="EPE157" s="1255"/>
      <c r="EPF157" s="1255"/>
      <c r="EPG157" s="1255"/>
      <c r="EPH157" s="1255"/>
      <c r="EPI157" s="1255"/>
      <c r="EPJ157" s="1255"/>
      <c r="EPK157" s="1255"/>
      <c r="EPL157" s="1255"/>
      <c r="EPM157" s="1255"/>
      <c r="EPN157" s="1255"/>
      <c r="EPO157" s="1255"/>
      <c r="EPP157" s="1255"/>
      <c r="EPQ157" s="1255"/>
      <c r="EPR157" s="1255"/>
      <c r="EPS157" s="1255"/>
      <c r="EPT157" s="1255"/>
      <c r="EPU157" s="1255"/>
      <c r="EPV157" s="1255"/>
      <c r="EPW157" s="1255"/>
      <c r="EPX157" s="1255"/>
      <c r="EPY157" s="1255"/>
      <c r="EPZ157" s="1255"/>
      <c r="EQA157" s="1255"/>
      <c r="EQB157" s="1255"/>
      <c r="EQC157" s="1255"/>
      <c r="EQD157" s="1255"/>
      <c r="EQE157" s="1255"/>
      <c r="EQF157" s="1255"/>
      <c r="EQG157" s="1255"/>
      <c r="EQH157" s="1255"/>
      <c r="EQI157" s="1255"/>
      <c r="EQJ157" s="1255"/>
      <c r="EQK157" s="1255"/>
      <c r="EQL157" s="1255"/>
      <c r="EQM157" s="1255"/>
      <c r="EQN157" s="1255"/>
      <c r="EQO157" s="1255"/>
      <c r="EQP157" s="1255"/>
      <c r="EQQ157" s="1255"/>
      <c r="EQR157" s="1255"/>
      <c r="EQS157" s="1255"/>
      <c r="EQT157" s="1255"/>
      <c r="EQU157" s="1255"/>
      <c r="EQV157" s="1255"/>
      <c r="EQW157" s="1255"/>
      <c r="EQX157" s="1255"/>
      <c r="EQY157" s="1255"/>
      <c r="EQZ157" s="1255"/>
      <c r="ERA157" s="1255"/>
      <c r="ERB157" s="1255"/>
      <c r="ERC157" s="1255"/>
      <c r="ERD157" s="1255"/>
      <c r="ERE157" s="1255"/>
      <c r="ERF157" s="1255"/>
      <c r="ERG157" s="1255"/>
      <c r="ERH157" s="1255"/>
      <c r="ERI157" s="1255"/>
      <c r="ERJ157" s="1255"/>
      <c r="ERK157" s="1255"/>
      <c r="ERL157" s="1255"/>
      <c r="ERM157" s="1255"/>
      <c r="ERN157" s="1255"/>
      <c r="ERO157" s="1255"/>
      <c r="ERP157" s="1255"/>
      <c r="ERQ157" s="1255"/>
      <c r="ERR157" s="1255"/>
      <c r="ERS157" s="1255"/>
      <c r="ERT157" s="1255"/>
      <c r="ERU157" s="1255"/>
      <c r="ERV157" s="1255"/>
      <c r="ERW157" s="1255"/>
      <c r="ERX157" s="1255"/>
      <c r="ERY157" s="1255"/>
      <c r="ERZ157" s="1255"/>
      <c r="ESA157" s="1255"/>
      <c r="ESB157" s="1255"/>
      <c r="ESC157" s="1255"/>
      <c r="ESD157" s="1255"/>
      <c r="ESE157" s="1255"/>
      <c r="ESF157" s="1255"/>
      <c r="ESG157" s="1255"/>
      <c r="ESH157" s="1255"/>
      <c r="ESI157" s="1255"/>
      <c r="ESJ157" s="1255"/>
      <c r="ESK157" s="1255"/>
      <c r="ESL157" s="1255"/>
      <c r="ESM157" s="1255"/>
      <c r="ESN157" s="1255"/>
      <c r="ESO157" s="1255"/>
      <c r="ESP157" s="1255"/>
      <c r="ESQ157" s="1255"/>
      <c r="ESR157" s="1255"/>
      <c r="ESS157" s="1255"/>
      <c r="EST157" s="1255"/>
      <c r="ESU157" s="1255"/>
      <c r="ESV157" s="1255"/>
      <c r="ESW157" s="1255"/>
      <c r="ESX157" s="1255"/>
      <c r="ESY157" s="1255"/>
      <c r="ESZ157" s="1255"/>
      <c r="ETA157" s="1255"/>
      <c r="ETB157" s="1255"/>
      <c r="ETC157" s="1255"/>
      <c r="ETD157" s="1255"/>
      <c r="ETE157" s="1255"/>
      <c r="ETF157" s="1255"/>
      <c r="ETG157" s="1255"/>
      <c r="ETH157" s="1255"/>
      <c r="ETI157" s="1255"/>
      <c r="ETJ157" s="1255"/>
      <c r="ETK157" s="1255"/>
      <c r="ETL157" s="1255"/>
      <c r="ETM157" s="1255"/>
      <c r="ETN157" s="1255"/>
      <c r="ETO157" s="1255"/>
      <c r="ETP157" s="1255"/>
      <c r="ETQ157" s="1255"/>
      <c r="ETR157" s="1255"/>
      <c r="ETS157" s="1255"/>
      <c r="ETT157" s="1255"/>
      <c r="ETU157" s="1255"/>
      <c r="ETV157" s="1255"/>
      <c r="ETW157" s="1255"/>
      <c r="ETX157" s="1255"/>
      <c r="ETY157" s="1255"/>
      <c r="ETZ157" s="1255"/>
      <c r="EUA157" s="1255"/>
      <c r="EUB157" s="1255"/>
      <c r="EUC157" s="1255"/>
      <c r="EUD157" s="1255"/>
      <c r="EUE157" s="1255"/>
      <c r="EUF157" s="1255"/>
      <c r="EUG157" s="1255"/>
      <c r="EUH157" s="1255"/>
      <c r="EUI157" s="1255"/>
      <c r="EUJ157" s="1255"/>
      <c r="EUK157" s="1255"/>
      <c r="EUL157" s="1255"/>
      <c r="EUM157" s="1255"/>
      <c r="EUN157" s="1255"/>
      <c r="EUO157" s="1255"/>
      <c r="EUP157" s="1255"/>
      <c r="EUQ157" s="1255"/>
      <c r="EUR157" s="1255"/>
      <c r="EUS157" s="1255"/>
      <c r="EUT157" s="1255"/>
      <c r="EUU157" s="1255"/>
      <c r="EUV157" s="1255"/>
      <c r="EUW157" s="1255"/>
      <c r="EUX157" s="1255"/>
      <c r="EUY157" s="1255"/>
      <c r="EUZ157" s="1255"/>
      <c r="EVA157" s="1255"/>
      <c r="EVB157" s="1255"/>
      <c r="EVC157" s="1255"/>
      <c r="EVD157" s="1255"/>
      <c r="EVE157" s="1255"/>
      <c r="EVF157" s="1255"/>
      <c r="EVG157" s="1255"/>
      <c r="EVH157" s="1255"/>
      <c r="EVI157" s="1255"/>
      <c r="EVJ157" s="1255"/>
      <c r="EVK157" s="1255"/>
      <c r="EVL157" s="1255"/>
      <c r="EVM157" s="1255"/>
      <c r="EVN157" s="1255"/>
      <c r="EVO157" s="1255"/>
      <c r="EVP157" s="1255"/>
      <c r="EVQ157" s="1255"/>
      <c r="EVR157" s="1255"/>
      <c r="EVS157" s="1255"/>
      <c r="EVT157" s="1255"/>
      <c r="EVU157" s="1255"/>
      <c r="EVV157" s="1255"/>
      <c r="EVW157" s="1255"/>
      <c r="EVX157" s="1255"/>
      <c r="EVY157" s="1255"/>
      <c r="EVZ157" s="1255"/>
      <c r="EWA157" s="1255"/>
      <c r="EWB157" s="1255"/>
      <c r="EWC157" s="1255"/>
      <c r="EWD157" s="1255"/>
      <c r="EWE157" s="1255"/>
      <c r="EWF157" s="1255"/>
      <c r="EWG157" s="1255"/>
      <c r="EWH157" s="1255"/>
      <c r="EWI157" s="1255"/>
      <c r="EWJ157" s="1255"/>
      <c r="EWK157" s="1255"/>
      <c r="EWL157" s="1255"/>
      <c r="EWM157" s="1255"/>
      <c r="EWN157" s="1255"/>
      <c r="EWO157" s="1255"/>
      <c r="EWP157" s="1255"/>
      <c r="EWQ157" s="1255"/>
      <c r="EWR157" s="1255"/>
      <c r="EWS157" s="1255"/>
      <c r="EWT157" s="1255"/>
      <c r="EWU157" s="1255"/>
      <c r="EWV157" s="1255"/>
      <c r="EWW157" s="1255"/>
      <c r="EWX157" s="1255"/>
      <c r="EWY157" s="1255"/>
      <c r="EWZ157" s="1255"/>
      <c r="EXA157" s="1255"/>
      <c r="EXB157" s="1255"/>
      <c r="EXC157" s="1255"/>
      <c r="EXD157" s="1255"/>
      <c r="EXE157" s="1255"/>
      <c r="EXF157" s="1255"/>
      <c r="EXG157" s="1255"/>
      <c r="EXH157" s="1255"/>
      <c r="EXI157" s="1255"/>
      <c r="EXJ157" s="1255"/>
      <c r="EXK157" s="1255"/>
      <c r="EXL157" s="1255"/>
      <c r="EXM157" s="1255"/>
      <c r="EXN157" s="1255"/>
      <c r="EXO157" s="1255"/>
      <c r="EXP157" s="1255"/>
      <c r="EXQ157" s="1255"/>
      <c r="EXR157" s="1255"/>
      <c r="EXS157" s="1255"/>
      <c r="EXT157" s="1255"/>
      <c r="EXU157" s="1255"/>
      <c r="EXV157" s="1255"/>
      <c r="EXW157" s="1255"/>
      <c r="EXX157" s="1255"/>
      <c r="EXY157" s="1255"/>
      <c r="EXZ157" s="1255"/>
      <c r="EYA157" s="1255"/>
      <c r="EYB157" s="1255"/>
      <c r="EYC157" s="1255"/>
      <c r="EYD157" s="1255"/>
      <c r="EYE157" s="1255"/>
      <c r="EYF157" s="1255"/>
      <c r="EYG157" s="1255"/>
      <c r="EYH157" s="1255"/>
      <c r="EYI157" s="1255"/>
      <c r="EYJ157" s="1255"/>
      <c r="EYK157" s="1255"/>
      <c r="EYL157" s="1255"/>
      <c r="EYM157" s="1255"/>
      <c r="EYN157" s="1255"/>
      <c r="EYO157" s="1255"/>
      <c r="EYP157" s="1255"/>
      <c r="EYQ157" s="1255"/>
      <c r="EYR157" s="1255"/>
      <c r="EYS157" s="1255"/>
      <c r="EYT157" s="1255"/>
      <c r="EYU157" s="1255"/>
      <c r="EYV157" s="1255"/>
      <c r="EYW157" s="1255"/>
      <c r="EYX157" s="1255"/>
      <c r="EYY157" s="1255"/>
      <c r="EYZ157" s="1255"/>
      <c r="EZA157" s="1255"/>
      <c r="EZB157" s="1255"/>
      <c r="EZC157" s="1255"/>
      <c r="EZD157" s="1255"/>
      <c r="EZE157" s="1255"/>
      <c r="EZF157" s="1255"/>
      <c r="EZG157" s="1255"/>
      <c r="EZH157" s="1255"/>
      <c r="EZI157" s="1255"/>
      <c r="EZJ157" s="1255"/>
      <c r="EZK157" s="1255"/>
      <c r="EZL157" s="1255"/>
      <c r="EZM157" s="1255"/>
      <c r="EZN157" s="1255"/>
      <c r="EZO157" s="1255"/>
      <c r="EZP157" s="1255"/>
      <c r="EZQ157" s="1255"/>
      <c r="EZR157" s="1255"/>
      <c r="EZS157" s="1255"/>
      <c r="EZT157" s="1255"/>
      <c r="EZU157" s="1255"/>
      <c r="EZV157" s="1255"/>
      <c r="EZW157" s="1255"/>
      <c r="EZX157" s="1255"/>
      <c r="EZY157" s="1255"/>
      <c r="EZZ157" s="1255"/>
      <c r="FAA157" s="1255"/>
      <c r="FAB157" s="1255"/>
      <c r="FAC157" s="1255"/>
      <c r="FAD157" s="1255"/>
      <c r="FAE157" s="1255"/>
      <c r="FAF157" s="1255"/>
      <c r="FAG157" s="1255"/>
      <c r="FAH157" s="1255"/>
      <c r="FAI157" s="1255"/>
      <c r="FAJ157" s="1255"/>
      <c r="FAK157" s="1255"/>
      <c r="FAL157" s="1255"/>
      <c r="FAM157" s="1255"/>
      <c r="FAN157" s="1255"/>
      <c r="FAO157" s="1255"/>
      <c r="FAP157" s="1255"/>
      <c r="FAQ157" s="1255"/>
      <c r="FAR157" s="1255"/>
      <c r="FAS157" s="1255"/>
      <c r="FAT157" s="1255"/>
      <c r="FAU157" s="1255"/>
      <c r="FAV157" s="1255"/>
      <c r="FAW157" s="1255"/>
      <c r="FAX157" s="1255"/>
      <c r="FAY157" s="1255"/>
      <c r="FAZ157" s="1255"/>
      <c r="FBA157" s="1255"/>
      <c r="FBB157" s="1255"/>
      <c r="FBC157" s="1255"/>
      <c r="FBD157" s="1255"/>
      <c r="FBE157" s="1255"/>
      <c r="FBF157" s="1255"/>
      <c r="FBG157" s="1255"/>
      <c r="FBH157" s="1255"/>
      <c r="FBI157" s="1255"/>
      <c r="FBJ157" s="1255"/>
      <c r="FBK157" s="1255"/>
      <c r="FBL157" s="1255"/>
      <c r="FBM157" s="1255"/>
      <c r="FBN157" s="1255"/>
      <c r="FBO157" s="1255"/>
      <c r="FBP157" s="1255"/>
      <c r="FBQ157" s="1255"/>
      <c r="FBR157" s="1255"/>
      <c r="FBS157" s="1255"/>
      <c r="FBT157" s="1255"/>
      <c r="FBU157" s="1255"/>
      <c r="FBV157" s="1255"/>
      <c r="FBW157" s="1255"/>
      <c r="FBX157" s="1255"/>
      <c r="FBY157" s="1255"/>
      <c r="FBZ157" s="1255"/>
      <c r="FCA157" s="1255"/>
      <c r="FCB157" s="1255"/>
      <c r="FCC157" s="1255"/>
      <c r="FCD157" s="1255"/>
      <c r="FCE157" s="1255"/>
      <c r="FCF157" s="1255"/>
      <c r="FCG157" s="1255"/>
      <c r="FCH157" s="1255"/>
      <c r="FCI157" s="1255"/>
      <c r="FCJ157" s="1255"/>
      <c r="FCK157" s="1255"/>
      <c r="FCL157" s="1255"/>
      <c r="FCM157" s="1255"/>
      <c r="FCN157" s="1255"/>
      <c r="FCO157" s="1255"/>
      <c r="FCP157" s="1255"/>
      <c r="FCQ157" s="1255"/>
      <c r="FCR157" s="1255"/>
      <c r="FCS157" s="1255"/>
      <c r="FCT157" s="1255"/>
      <c r="FCU157" s="1255"/>
      <c r="FCV157" s="1255"/>
      <c r="FCW157" s="1255"/>
      <c r="FCX157" s="1255"/>
      <c r="FCY157" s="1255"/>
      <c r="FCZ157" s="1255"/>
      <c r="FDA157" s="1255"/>
      <c r="FDB157" s="1255"/>
      <c r="FDC157" s="1255"/>
      <c r="FDD157" s="1255"/>
      <c r="FDE157" s="1255"/>
      <c r="FDF157" s="1255"/>
      <c r="FDG157" s="1255"/>
      <c r="FDH157" s="1255"/>
      <c r="FDI157" s="1255"/>
      <c r="FDJ157" s="1255"/>
      <c r="FDK157" s="1255"/>
      <c r="FDL157" s="1255"/>
      <c r="FDM157" s="1255"/>
      <c r="FDN157" s="1255"/>
      <c r="FDO157" s="1255"/>
      <c r="FDP157" s="1255"/>
      <c r="FDQ157" s="1255"/>
      <c r="FDR157" s="1255"/>
      <c r="FDS157" s="1255"/>
      <c r="FDT157" s="1255"/>
      <c r="FDU157" s="1255"/>
      <c r="FDV157" s="1255"/>
      <c r="FDW157" s="1255"/>
      <c r="FDX157" s="1255"/>
      <c r="FDY157" s="1255"/>
      <c r="FDZ157" s="1255"/>
      <c r="FEA157" s="1255"/>
      <c r="FEB157" s="1255"/>
      <c r="FEC157" s="1255"/>
      <c r="FED157" s="1255"/>
      <c r="FEE157" s="1255"/>
      <c r="FEF157" s="1255"/>
      <c r="FEG157" s="1255"/>
      <c r="FEH157" s="1255"/>
      <c r="FEI157" s="1255"/>
      <c r="FEJ157" s="1255"/>
      <c r="FEK157" s="1255"/>
      <c r="FEL157" s="1255"/>
      <c r="FEM157" s="1255"/>
      <c r="FEN157" s="1255"/>
      <c r="FEO157" s="1255"/>
      <c r="FEP157" s="1255"/>
      <c r="FEQ157" s="1255"/>
      <c r="FER157" s="1255"/>
      <c r="FES157" s="1255"/>
      <c r="FET157" s="1255"/>
      <c r="FEU157" s="1255"/>
      <c r="FEV157" s="1255"/>
      <c r="FEW157" s="1255"/>
      <c r="FEX157" s="1255"/>
      <c r="FEY157" s="1255"/>
      <c r="FEZ157" s="1255"/>
      <c r="FFA157" s="1255"/>
      <c r="FFB157" s="1255"/>
      <c r="FFC157" s="1255"/>
      <c r="FFD157" s="1255"/>
      <c r="FFE157" s="1255"/>
      <c r="FFF157" s="1255"/>
      <c r="FFG157" s="1255"/>
      <c r="FFH157" s="1255"/>
      <c r="FFI157" s="1255"/>
      <c r="FFJ157" s="1255"/>
      <c r="FFK157" s="1255"/>
      <c r="FFL157" s="1255"/>
      <c r="FFM157" s="1255"/>
      <c r="FFN157" s="1255"/>
      <c r="FFO157" s="1255"/>
      <c r="FFP157" s="1255"/>
      <c r="FFQ157" s="1255"/>
      <c r="FFR157" s="1255"/>
      <c r="FFS157" s="1255"/>
      <c r="FFT157" s="1255"/>
      <c r="FFU157" s="1255"/>
      <c r="FFV157" s="1255"/>
      <c r="FFW157" s="1255"/>
      <c r="FFX157" s="1255"/>
      <c r="FFY157" s="1255"/>
      <c r="FFZ157" s="1255"/>
      <c r="FGA157" s="1255"/>
      <c r="FGB157" s="1255"/>
      <c r="FGC157" s="1255"/>
      <c r="FGD157" s="1255"/>
      <c r="FGE157" s="1255"/>
      <c r="FGF157" s="1255"/>
      <c r="FGG157" s="1255"/>
      <c r="FGH157" s="1255"/>
      <c r="FGI157" s="1255"/>
      <c r="FGJ157" s="1255"/>
      <c r="FGK157" s="1255"/>
      <c r="FGL157" s="1255"/>
      <c r="FGM157" s="1255"/>
      <c r="FGN157" s="1255"/>
      <c r="FGO157" s="1255"/>
      <c r="FGP157" s="1255"/>
      <c r="FGQ157" s="1255"/>
      <c r="FGR157" s="1255"/>
      <c r="FGS157" s="1255"/>
      <c r="FGT157" s="1255"/>
      <c r="FGU157" s="1255"/>
      <c r="FGV157" s="1255"/>
      <c r="FGW157" s="1255"/>
      <c r="FGX157" s="1255"/>
      <c r="FGY157" s="1255"/>
      <c r="FGZ157" s="1255"/>
      <c r="FHA157" s="1255"/>
      <c r="FHB157" s="1255"/>
      <c r="FHC157" s="1255"/>
      <c r="FHD157" s="1255"/>
      <c r="FHE157" s="1255"/>
      <c r="FHF157" s="1255"/>
      <c r="FHG157" s="1255"/>
      <c r="FHH157" s="1255"/>
      <c r="FHI157" s="1255"/>
      <c r="FHJ157" s="1255"/>
      <c r="FHK157" s="1255"/>
      <c r="FHL157" s="1255"/>
      <c r="FHM157" s="1255"/>
      <c r="FHN157" s="1255"/>
      <c r="FHO157" s="1255"/>
      <c r="FHP157" s="1255"/>
      <c r="FHQ157" s="1255"/>
      <c r="FHR157" s="1255"/>
      <c r="FHS157" s="1255"/>
      <c r="FHT157" s="1255"/>
      <c r="FHU157" s="1255"/>
      <c r="FHV157" s="1255"/>
      <c r="FHW157" s="1255"/>
      <c r="FHX157" s="1255"/>
      <c r="FHY157" s="1255"/>
      <c r="FHZ157" s="1255"/>
      <c r="FIA157" s="1255"/>
      <c r="FIB157" s="1255"/>
      <c r="FIC157" s="1255"/>
      <c r="FID157" s="1255"/>
      <c r="FIE157" s="1255"/>
      <c r="FIF157" s="1255"/>
      <c r="FIG157" s="1255"/>
      <c r="FIH157" s="1255"/>
      <c r="FII157" s="1255"/>
      <c r="FIJ157" s="1255"/>
      <c r="FIK157" s="1255"/>
      <c r="FIL157" s="1255"/>
      <c r="FIM157" s="1255"/>
      <c r="FIN157" s="1255"/>
      <c r="FIO157" s="1255"/>
      <c r="FIP157" s="1255"/>
      <c r="FIQ157" s="1255"/>
      <c r="FIR157" s="1255"/>
      <c r="FIS157" s="1255"/>
      <c r="FIT157" s="1255"/>
      <c r="FIU157" s="1255"/>
      <c r="FIV157" s="1255"/>
      <c r="FIW157" s="1255"/>
      <c r="FIX157" s="1255"/>
      <c r="FIY157" s="1255"/>
      <c r="FIZ157" s="1255"/>
      <c r="FJA157" s="1255"/>
      <c r="FJB157" s="1255"/>
      <c r="FJC157" s="1255"/>
      <c r="FJD157" s="1255"/>
      <c r="FJE157" s="1255"/>
      <c r="FJF157" s="1255"/>
      <c r="FJG157" s="1255"/>
      <c r="FJH157" s="1255"/>
      <c r="FJI157" s="1255"/>
      <c r="FJJ157" s="1255"/>
      <c r="FJK157" s="1255"/>
      <c r="FJL157" s="1255"/>
      <c r="FJM157" s="1255"/>
      <c r="FJN157" s="1255"/>
      <c r="FJO157" s="1255"/>
      <c r="FJP157" s="1255"/>
      <c r="FJQ157" s="1255"/>
      <c r="FJR157" s="1255"/>
      <c r="FJS157" s="1255"/>
      <c r="FJT157" s="1255"/>
      <c r="FJU157" s="1255"/>
      <c r="FJV157" s="1255"/>
      <c r="FJW157" s="1255"/>
      <c r="FJX157" s="1255"/>
      <c r="FJY157" s="1255"/>
      <c r="FJZ157" s="1255"/>
      <c r="FKA157" s="1255"/>
      <c r="FKB157" s="1255"/>
      <c r="FKC157" s="1255"/>
      <c r="FKD157" s="1255"/>
      <c r="FKE157" s="1255"/>
      <c r="FKF157" s="1255"/>
      <c r="FKG157" s="1255"/>
      <c r="FKH157" s="1255"/>
      <c r="FKI157" s="1255"/>
      <c r="FKJ157" s="1255"/>
      <c r="FKK157" s="1255"/>
      <c r="FKL157" s="1255"/>
      <c r="FKM157" s="1255"/>
      <c r="FKN157" s="1255"/>
      <c r="FKO157" s="1255"/>
      <c r="FKP157" s="1255"/>
      <c r="FKQ157" s="1255"/>
      <c r="FKR157" s="1255"/>
      <c r="FKS157" s="1255"/>
      <c r="FKT157" s="1255"/>
      <c r="FKU157" s="1255"/>
      <c r="FKV157" s="1255"/>
      <c r="FKW157" s="1255"/>
      <c r="FKX157" s="1255"/>
      <c r="FKY157" s="1255"/>
      <c r="FKZ157" s="1255"/>
      <c r="FLA157" s="1255"/>
      <c r="FLB157" s="1255"/>
      <c r="FLC157" s="1255"/>
      <c r="FLD157" s="1255"/>
      <c r="FLE157" s="1255"/>
      <c r="FLF157" s="1255"/>
      <c r="FLG157" s="1255"/>
      <c r="FLH157" s="1255"/>
      <c r="FLI157" s="1255"/>
      <c r="FLJ157" s="1255"/>
      <c r="FLK157" s="1255"/>
      <c r="FLL157" s="1255"/>
      <c r="FLM157" s="1255"/>
      <c r="FLN157" s="1255"/>
      <c r="FLO157" s="1255"/>
      <c r="FLP157" s="1255"/>
      <c r="FLQ157" s="1255"/>
      <c r="FLR157" s="1255"/>
      <c r="FLS157" s="1255"/>
      <c r="FLT157" s="1255"/>
      <c r="FLU157" s="1255"/>
      <c r="FLV157" s="1255"/>
      <c r="FLW157" s="1255"/>
      <c r="FLX157" s="1255"/>
      <c r="FLY157" s="1255"/>
      <c r="FLZ157" s="1255"/>
      <c r="FMA157" s="1255"/>
      <c r="FMB157" s="1255"/>
      <c r="FMC157" s="1255"/>
      <c r="FMD157" s="1255"/>
      <c r="FME157" s="1255"/>
      <c r="FMF157" s="1255"/>
      <c r="FMG157" s="1255"/>
      <c r="FMH157" s="1255"/>
      <c r="FMI157" s="1255"/>
      <c r="FMJ157" s="1255"/>
      <c r="FMK157" s="1255"/>
      <c r="FML157" s="1255"/>
      <c r="FMM157" s="1255"/>
      <c r="FMN157" s="1255"/>
      <c r="FMO157" s="1255"/>
      <c r="FMP157" s="1255"/>
      <c r="FMQ157" s="1255"/>
      <c r="FMR157" s="1255"/>
      <c r="FMS157" s="1255"/>
      <c r="FMT157" s="1255"/>
      <c r="FMU157" s="1255"/>
      <c r="FMV157" s="1255"/>
      <c r="FMW157" s="1255"/>
      <c r="FMX157" s="1255"/>
      <c r="FMY157" s="1255"/>
      <c r="FMZ157" s="1255"/>
      <c r="FNA157" s="1255"/>
      <c r="FNB157" s="1255"/>
      <c r="FNC157" s="1255"/>
      <c r="FND157" s="1255"/>
      <c r="FNE157" s="1255"/>
      <c r="FNF157" s="1255"/>
      <c r="FNG157" s="1255"/>
      <c r="FNH157" s="1255"/>
      <c r="FNI157" s="1255"/>
      <c r="FNJ157" s="1255"/>
      <c r="FNK157" s="1255"/>
      <c r="FNL157" s="1255"/>
      <c r="FNM157" s="1255"/>
      <c r="FNN157" s="1255"/>
      <c r="FNO157" s="1255"/>
      <c r="FNP157" s="1255"/>
      <c r="FNQ157" s="1255"/>
      <c r="FNR157" s="1255"/>
      <c r="FNS157" s="1255"/>
      <c r="FNT157" s="1255"/>
      <c r="FNU157" s="1255"/>
      <c r="FNV157" s="1255"/>
      <c r="FNW157" s="1255"/>
      <c r="FNX157" s="1255"/>
      <c r="FNY157" s="1255"/>
      <c r="FNZ157" s="1255"/>
      <c r="FOA157" s="1255"/>
      <c r="FOB157" s="1255"/>
      <c r="FOC157" s="1255"/>
      <c r="FOD157" s="1255"/>
      <c r="FOE157" s="1255"/>
      <c r="FOF157" s="1255"/>
      <c r="FOG157" s="1255"/>
      <c r="FOH157" s="1255"/>
      <c r="FOI157" s="1255"/>
      <c r="FOJ157" s="1255"/>
      <c r="FOK157" s="1255"/>
      <c r="FOL157" s="1255"/>
      <c r="FOM157" s="1255"/>
      <c r="FON157" s="1255"/>
      <c r="FOO157" s="1255"/>
      <c r="FOP157" s="1255"/>
      <c r="FOQ157" s="1255"/>
      <c r="FOR157" s="1255"/>
      <c r="FOS157" s="1255"/>
      <c r="FOT157" s="1255"/>
      <c r="FOU157" s="1255"/>
      <c r="FOV157" s="1255"/>
      <c r="FOW157" s="1255"/>
      <c r="FOX157" s="1255"/>
      <c r="FOY157" s="1255"/>
      <c r="FOZ157" s="1255"/>
      <c r="FPA157" s="1255"/>
      <c r="FPB157" s="1255"/>
      <c r="FPC157" s="1255"/>
      <c r="FPD157" s="1255"/>
      <c r="FPE157" s="1255"/>
      <c r="FPF157" s="1255"/>
      <c r="FPG157" s="1255"/>
      <c r="FPH157" s="1255"/>
      <c r="FPI157" s="1255"/>
      <c r="FPJ157" s="1255"/>
      <c r="FPK157" s="1255"/>
      <c r="FPL157" s="1255"/>
      <c r="FPM157" s="1255"/>
      <c r="FPN157" s="1255"/>
      <c r="FPO157" s="1255"/>
      <c r="FPP157" s="1255"/>
      <c r="FPQ157" s="1255"/>
      <c r="FPR157" s="1255"/>
      <c r="FPS157" s="1255"/>
      <c r="FPT157" s="1255"/>
      <c r="FPU157" s="1255"/>
      <c r="FPV157" s="1255"/>
      <c r="FPW157" s="1255"/>
      <c r="FPX157" s="1255"/>
      <c r="FPY157" s="1255"/>
      <c r="FPZ157" s="1255"/>
      <c r="FQA157" s="1255"/>
      <c r="FQB157" s="1255"/>
      <c r="FQC157" s="1255"/>
      <c r="FQD157" s="1255"/>
      <c r="FQE157" s="1255"/>
      <c r="FQF157" s="1255"/>
      <c r="FQG157" s="1255"/>
      <c r="FQH157" s="1255"/>
      <c r="FQI157" s="1255"/>
      <c r="FQJ157" s="1255"/>
      <c r="FQK157" s="1255"/>
      <c r="FQL157" s="1255"/>
      <c r="FQM157" s="1255"/>
      <c r="FQN157" s="1255"/>
      <c r="FQO157" s="1255"/>
      <c r="FQP157" s="1255"/>
      <c r="FQQ157" s="1255"/>
      <c r="FQR157" s="1255"/>
      <c r="FQS157" s="1255"/>
      <c r="FQT157" s="1255"/>
      <c r="FQU157" s="1255"/>
      <c r="FQV157" s="1255"/>
      <c r="FQW157" s="1255"/>
      <c r="FQX157" s="1255"/>
      <c r="FQY157" s="1255"/>
      <c r="FQZ157" s="1255"/>
      <c r="FRA157" s="1255"/>
      <c r="FRB157" s="1255"/>
      <c r="FRC157" s="1255"/>
      <c r="FRD157" s="1255"/>
      <c r="FRE157" s="1255"/>
      <c r="FRF157" s="1255"/>
      <c r="FRG157" s="1255"/>
      <c r="FRH157" s="1255"/>
      <c r="FRI157" s="1255"/>
      <c r="FRJ157" s="1255"/>
      <c r="FRK157" s="1255"/>
      <c r="FRL157" s="1255"/>
      <c r="FRM157" s="1255"/>
      <c r="FRN157" s="1255"/>
      <c r="FRO157" s="1255"/>
      <c r="FRP157" s="1255"/>
      <c r="FRQ157" s="1255"/>
      <c r="FRR157" s="1255"/>
      <c r="FRS157" s="1255"/>
      <c r="FRT157" s="1255"/>
      <c r="FRU157" s="1255"/>
      <c r="FRV157" s="1255"/>
      <c r="FRW157" s="1255"/>
      <c r="FRX157" s="1255"/>
      <c r="FRY157" s="1255"/>
      <c r="FRZ157" s="1255"/>
      <c r="FSA157" s="1255"/>
      <c r="FSB157" s="1255"/>
      <c r="FSC157" s="1255"/>
      <c r="FSD157" s="1255"/>
      <c r="FSE157" s="1255"/>
      <c r="FSF157" s="1255"/>
      <c r="FSG157" s="1255"/>
      <c r="FSH157" s="1255"/>
      <c r="FSI157" s="1255"/>
      <c r="FSJ157" s="1255"/>
      <c r="FSK157" s="1255"/>
      <c r="FSL157" s="1255"/>
      <c r="FSM157" s="1255"/>
      <c r="FSN157" s="1255"/>
      <c r="FSO157" s="1255"/>
      <c r="FSP157" s="1255"/>
      <c r="FSQ157" s="1255"/>
      <c r="FSR157" s="1255"/>
      <c r="FSS157" s="1255"/>
      <c r="FST157" s="1255"/>
      <c r="FSU157" s="1255"/>
      <c r="FSV157" s="1255"/>
      <c r="FSW157" s="1255"/>
      <c r="FSX157" s="1255"/>
      <c r="FSY157" s="1255"/>
      <c r="FSZ157" s="1255"/>
      <c r="FTA157" s="1255"/>
      <c r="FTB157" s="1255"/>
      <c r="FTC157" s="1255"/>
      <c r="FTD157" s="1255"/>
      <c r="FTE157" s="1255"/>
      <c r="FTF157" s="1255"/>
      <c r="FTG157" s="1255"/>
      <c r="FTH157" s="1255"/>
      <c r="FTI157" s="1255"/>
      <c r="FTJ157" s="1255"/>
      <c r="FTK157" s="1255"/>
      <c r="FTL157" s="1255"/>
      <c r="FTM157" s="1255"/>
      <c r="FTN157" s="1255"/>
      <c r="FTO157" s="1255"/>
      <c r="FTP157" s="1255"/>
      <c r="FTQ157" s="1255"/>
      <c r="FTR157" s="1255"/>
      <c r="FTS157" s="1255"/>
      <c r="FTT157" s="1255"/>
      <c r="FTU157" s="1255"/>
      <c r="FTV157" s="1255"/>
      <c r="FTW157" s="1255"/>
      <c r="FTX157" s="1255"/>
      <c r="FTY157" s="1255"/>
      <c r="FTZ157" s="1255"/>
      <c r="FUA157" s="1255"/>
      <c r="FUB157" s="1255"/>
      <c r="FUC157" s="1255"/>
      <c r="FUD157" s="1255"/>
      <c r="FUE157" s="1255"/>
      <c r="FUF157" s="1255"/>
      <c r="FUG157" s="1255"/>
      <c r="FUH157" s="1255"/>
      <c r="FUI157" s="1255"/>
      <c r="FUJ157" s="1255"/>
      <c r="FUK157" s="1255"/>
      <c r="FUL157" s="1255"/>
      <c r="FUM157" s="1255"/>
      <c r="FUN157" s="1255"/>
      <c r="FUO157" s="1255"/>
      <c r="FUP157" s="1255"/>
      <c r="FUQ157" s="1255"/>
      <c r="FUR157" s="1255"/>
      <c r="FUS157" s="1255"/>
      <c r="FUT157" s="1255"/>
      <c r="FUU157" s="1255"/>
      <c r="FUV157" s="1255"/>
      <c r="FUW157" s="1255"/>
      <c r="FUX157" s="1255"/>
      <c r="FUY157" s="1255"/>
      <c r="FUZ157" s="1255"/>
      <c r="FVA157" s="1255"/>
      <c r="FVB157" s="1255"/>
      <c r="FVC157" s="1255"/>
      <c r="FVD157" s="1255"/>
      <c r="FVE157" s="1255"/>
      <c r="FVF157" s="1255"/>
      <c r="FVG157" s="1255"/>
      <c r="FVH157" s="1255"/>
      <c r="FVI157" s="1255"/>
      <c r="FVJ157" s="1255"/>
      <c r="FVK157" s="1255"/>
      <c r="FVL157" s="1255"/>
      <c r="FVM157" s="1255"/>
      <c r="FVN157" s="1255"/>
      <c r="FVO157" s="1255"/>
      <c r="FVP157" s="1255"/>
      <c r="FVQ157" s="1255"/>
      <c r="FVR157" s="1255"/>
      <c r="FVS157" s="1255"/>
      <c r="FVT157" s="1255"/>
      <c r="FVU157" s="1255"/>
      <c r="FVV157" s="1255"/>
      <c r="FVW157" s="1255"/>
      <c r="FVX157" s="1255"/>
      <c r="FVY157" s="1255"/>
      <c r="FVZ157" s="1255"/>
      <c r="FWA157" s="1255"/>
      <c r="FWB157" s="1255"/>
      <c r="FWC157" s="1255"/>
      <c r="FWD157" s="1255"/>
      <c r="FWE157" s="1255"/>
      <c r="FWF157" s="1255"/>
      <c r="FWG157" s="1255"/>
      <c r="FWH157" s="1255"/>
      <c r="FWI157" s="1255"/>
      <c r="FWJ157" s="1255"/>
      <c r="FWK157" s="1255"/>
      <c r="FWL157" s="1255"/>
      <c r="FWM157" s="1255"/>
      <c r="FWN157" s="1255"/>
      <c r="FWO157" s="1255"/>
      <c r="FWP157" s="1255"/>
      <c r="FWQ157" s="1255"/>
      <c r="FWR157" s="1255"/>
      <c r="FWS157" s="1255"/>
      <c r="FWT157" s="1255"/>
      <c r="FWU157" s="1255"/>
      <c r="FWV157" s="1255"/>
      <c r="FWW157" s="1255"/>
      <c r="FWX157" s="1255"/>
      <c r="FWY157" s="1255"/>
      <c r="FWZ157" s="1255"/>
      <c r="FXA157" s="1255"/>
      <c r="FXB157" s="1255"/>
      <c r="FXC157" s="1255"/>
      <c r="FXD157" s="1255"/>
      <c r="FXE157" s="1255"/>
      <c r="FXF157" s="1255"/>
      <c r="FXG157" s="1255"/>
      <c r="FXH157" s="1255"/>
      <c r="FXI157" s="1255"/>
      <c r="FXJ157" s="1255"/>
      <c r="FXK157" s="1255"/>
      <c r="FXL157" s="1255"/>
      <c r="FXM157" s="1255"/>
      <c r="FXN157" s="1255"/>
      <c r="FXO157" s="1255"/>
      <c r="FXP157" s="1255"/>
      <c r="FXQ157" s="1255"/>
      <c r="FXR157" s="1255"/>
      <c r="FXS157" s="1255"/>
      <c r="FXT157" s="1255"/>
      <c r="FXU157" s="1255"/>
      <c r="FXV157" s="1255"/>
      <c r="FXW157" s="1255"/>
      <c r="FXX157" s="1255"/>
      <c r="FXY157" s="1255"/>
      <c r="FXZ157" s="1255"/>
      <c r="FYA157" s="1255"/>
      <c r="FYB157" s="1255"/>
      <c r="FYC157" s="1255"/>
      <c r="FYD157" s="1255"/>
      <c r="FYE157" s="1255"/>
      <c r="FYF157" s="1255"/>
      <c r="FYG157" s="1255"/>
      <c r="FYH157" s="1255"/>
      <c r="FYI157" s="1255"/>
      <c r="FYJ157" s="1255"/>
      <c r="FYK157" s="1255"/>
      <c r="FYL157" s="1255"/>
      <c r="FYM157" s="1255"/>
      <c r="FYN157" s="1255"/>
      <c r="FYO157" s="1255"/>
      <c r="FYP157" s="1255"/>
      <c r="FYQ157" s="1255"/>
      <c r="FYR157" s="1255"/>
      <c r="FYS157" s="1255"/>
      <c r="FYT157" s="1255"/>
      <c r="FYU157" s="1255"/>
      <c r="FYV157" s="1255"/>
      <c r="FYW157" s="1255"/>
      <c r="FYX157" s="1255"/>
      <c r="FYY157" s="1255"/>
      <c r="FYZ157" s="1255"/>
      <c r="FZA157" s="1255"/>
      <c r="FZB157" s="1255"/>
      <c r="FZC157" s="1255"/>
      <c r="FZD157" s="1255"/>
      <c r="FZE157" s="1255"/>
      <c r="FZF157" s="1255"/>
      <c r="FZG157" s="1255"/>
      <c r="FZH157" s="1255"/>
      <c r="FZI157" s="1255"/>
      <c r="FZJ157" s="1255"/>
      <c r="FZK157" s="1255"/>
      <c r="FZL157" s="1255"/>
      <c r="FZM157" s="1255"/>
      <c r="FZN157" s="1255"/>
      <c r="FZO157" s="1255"/>
      <c r="FZP157" s="1255"/>
      <c r="FZQ157" s="1255"/>
      <c r="FZR157" s="1255"/>
      <c r="FZS157" s="1255"/>
      <c r="FZT157" s="1255"/>
      <c r="FZU157" s="1255"/>
      <c r="FZV157" s="1255"/>
      <c r="FZW157" s="1255"/>
      <c r="FZX157" s="1255"/>
      <c r="FZY157" s="1255"/>
      <c r="FZZ157" s="1255"/>
      <c r="GAA157" s="1255"/>
      <c r="GAB157" s="1255"/>
      <c r="GAC157" s="1255"/>
      <c r="GAD157" s="1255"/>
      <c r="GAE157" s="1255"/>
      <c r="GAF157" s="1255"/>
      <c r="GAG157" s="1255"/>
      <c r="GAH157" s="1255"/>
      <c r="GAI157" s="1255"/>
      <c r="GAJ157" s="1255"/>
      <c r="GAK157" s="1255"/>
      <c r="GAL157" s="1255"/>
      <c r="GAM157" s="1255"/>
      <c r="GAN157" s="1255"/>
      <c r="GAO157" s="1255"/>
      <c r="GAP157" s="1255"/>
      <c r="GAQ157" s="1255"/>
      <c r="GAR157" s="1255"/>
      <c r="GAS157" s="1255"/>
      <c r="GAT157" s="1255"/>
      <c r="GAU157" s="1255"/>
      <c r="GAV157" s="1255"/>
      <c r="GAW157" s="1255"/>
      <c r="GAX157" s="1255"/>
      <c r="GAY157" s="1255"/>
      <c r="GAZ157" s="1255"/>
      <c r="GBA157" s="1255"/>
      <c r="GBB157" s="1255"/>
      <c r="GBC157" s="1255"/>
      <c r="GBD157" s="1255"/>
      <c r="GBE157" s="1255"/>
      <c r="GBF157" s="1255"/>
      <c r="GBG157" s="1255"/>
      <c r="GBH157" s="1255"/>
      <c r="GBI157" s="1255"/>
      <c r="GBJ157" s="1255"/>
      <c r="GBK157" s="1255"/>
      <c r="GBL157" s="1255"/>
      <c r="GBM157" s="1255"/>
      <c r="GBN157" s="1255"/>
      <c r="GBO157" s="1255"/>
      <c r="GBP157" s="1255"/>
      <c r="GBQ157" s="1255"/>
      <c r="GBR157" s="1255"/>
      <c r="GBS157" s="1255"/>
      <c r="GBT157" s="1255"/>
      <c r="GBU157" s="1255"/>
      <c r="GBV157" s="1255"/>
      <c r="GBW157" s="1255"/>
      <c r="GBX157" s="1255"/>
      <c r="GBY157" s="1255"/>
      <c r="GBZ157" s="1255"/>
      <c r="GCA157" s="1255"/>
      <c r="GCB157" s="1255"/>
      <c r="GCC157" s="1255"/>
      <c r="GCD157" s="1255"/>
      <c r="GCE157" s="1255"/>
      <c r="GCF157" s="1255"/>
      <c r="GCG157" s="1255"/>
      <c r="GCH157" s="1255"/>
      <c r="GCI157" s="1255"/>
      <c r="GCJ157" s="1255"/>
      <c r="GCK157" s="1255"/>
      <c r="GCL157" s="1255"/>
      <c r="GCM157" s="1255"/>
      <c r="GCN157" s="1255"/>
      <c r="GCO157" s="1255"/>
      <c r="GCP157" s="1255"/>
      <c r="GCQ157" s="1255"/>
      <c r="GCR157" s="1255"/>
      <c r="GCS157" s="1255"/>
      <c r="GCT157" s="1255"/>
      <c r="GCU157" s="1255"/>
      <c r="GCV157" s="1255"/>
      <c r="GCW157" s="1255"/>
      <c r="GCX157" s="1255"/>
      <c r="GCY157" s="1255"/>
      <c r="GCZ157" s="1255"/>
      <c r="GDA157" s="1255"/>
      <c r="GDB157" s="1255"/>
      <c r="GDC157" s="1255"/>
      <c r="GDD157" s="1255"/>
      <c r="GDE157" s="1255"/>
      <c r="GDF157" s="1255"/>
      <c r="GDG157" s="1255"/>
      <c r="GDH157" s="1255"/>
      <c r="GDI157" s="1255"/>
      <c r="GDJ157" s="1255"/>
      <c r="GDK157" s="1255"/>
      <c r="GDL157" s="1255"/>
      <c r="GDM157" s="1255"/>
      <c r="GDN157" s="1255"/>
      <c r="GDO157" s="1255"/>
      <c r="GDP157" s="1255"/>
      <c r="GDQ157" s="1255"/>
      <c r="GDR157" s="1255"/>
      <c r="GDS157" s="1255"/>
      <c r="GDT157" s="1255"/>
      <c r="GDU157" s="1255"/>
      <c r="GDV157" s="1255"/>
      <c r="GDW157" s="1255"/>
      <c r="GDX157" s="1255"/>
      <c r="GDY157" s="1255"/>
      <c r="GDZ157" s="1255"/>
      <c r="GEA157" s="1255"/>
      <c r="GEB157" s="1255"/>
      <c r="GEC157" s="1255"/>
      <c r="GED157" s="1255"/>
      <c r="GEE157" s="1255"/>
      <c r="GEF157" s="1255"/>
      <c r="GEG157" s="1255"/>
      <c r="GEH157" s="1255"/>
      <c r="GEI157" s="1255"/>
      <c r="GEJ157" s="1255"/>
      <c r="GEK157" s="1255"/>
      <c r="GEL157" s="1255"/>
      <c r="GEM157" s="1255"/>
      <c r="GEN157" s="1255"/>
      <c r="GEO157" s="1255"/>
      <c r="GEP157" s="1255"/>
      <c r="GEQ157" s="1255"/>
      <c r="GER157" s="1255"/>
      <c r="GES157" s="1255"/>
      <c r="GET157" s="1255"/>
      <c r="GEU157" s="1255"/>
      <c r="GEV157" s="1255"/>
      <c r="GEW157" s="1255"/>
      <c r="GEX157" s="1255"/>
      <c r="GEY157" s="1255"/>
      <c r="GEZ157" s="1255"/>
      <c r="GFA157" s="1255"/>
      <c r="GFB157" s="1255"/>
      <c r="GFC157" s="1255"/>
      <c r="GFD157" s="1255"/>
      <c r="GFE157" s="1255"/>
      <c r="GFF157" s="1255"/>
      <c r="GFG157" s="1255"/>
      <c r="GFH157" s="1255"/>
      <c r="GFI157" s="1255"/>
      <c r="GFJ157" s="1255"/>
      <c r="GFK157" s="1255"/>
      <c r="GFL157" s="1255"/>
      <c r="GFM157" s="1255"/>
      <c r="GFN157" s="1255"/>
      <c r="GFO157" s="1255"/>
      <c r="GFP157" s="1255"/>
      <c r="GFQ157" s="1255"/>
      <c r="GFR157" s="1255"/>
      <c r="GFS157" s="1255"/>
      <c r="GFT157" s="1255"/>
      <c r="GFU157" s="1255"/>
      <c r="GFV157" s="1255"/>
      <c r="GFW157" s="1255"/>
      <c r="GFX157" s="1255"/>
      <c r="GFY157" s="1255"/>
      <c r="GFZ157" s="1255"/>
      <c r="GGA157" s="1255"/>
      <c r="GGB157" s="1255"/>
      <c r="GGC157" s="1255"/>
      <c r="GGD157" s="1255"/>
      <c r="GGE157" s="1255"/>
      <c r="GGF157" s="1255"/>
      <c r="GGG157" s="1255"/>
      <c r="GGH157" s="1255"/>
      <c r="GGI157" s="1255"/>
      <c r="GGJ157" s="1255"/>
      <c r="GGK157" s="1255"/>
      <c r="GGL157" s="1255"/>
      <c r="GGM157" s="1255"/>
      <c r="GGN157" s="1255"/>
      <c r="GGO157" s="1255"/>
      <c r="GGP157" s="1255"/>
      <c r="GGQ157" s="1255"/>
      <c r="GGR157" s="1255"/>
      <c r="GGS157" s="1255"/>
      <c r="GGT157" s="1255"/>
      <c r="GGU157" s="1255"/>
      <c r="GGV157" s="1255"/>
      <c r="GGW157" s="1255"/>
      <c r="GGX157" s="1255"/>
      <c r="GGY157" s="1255"/>
      <c r="GGZ157" s="1255"/>
      <c r="GHA157" s="1255"/>
      <c r="GHB157" s="1255"/>
      <c r="GHC157" s="1255"/>
      <c r="GHD157" s="1255"/>
      <c r="GHE157" s="1255"/>
      <c r="GHF157" s="1255"/>
      <c r="GHG157" s="1255"/>
      <c r="GHH157" s="1255"/>
      <c r="GHI157" s="1255"/>
      <c r="GHJ157" s="1255"/>
      <c r="GHK157" s="1255"/>
      <c r="GHL157" s="1255"/>
      <c r="GHM157" s="1255"/>
      <c r="GHN157" s="1255"/>
      <c r="GHO157" s="1255"/>
      <c r="GHP157" s="1255"/>
      <c r="GHQ157" s="1255"/>
      <c r="GHR157" s="1255"/>
      <c r="GHS157" s="1255"/>
      <c r="GHT157" s="1255"/>
      <c r="GHU157" s="1255"/>
      <c r="GHV157" s="1255"/>
      <c r="GHW157" s="1255"/>
      <c r="GHX157" s="1255"/>
      <c r="GHY157" s="1255"/>
      <c r="GHZ157" s="1255"/>
      <c r="GIA157" s="1255"/>
      <c r="GIB157" s="1255"/>
      <c r="GIC157" s="1255"/>
      <c r="GID157" s="1255"/>
      <c r="GIE157" s="1255"/>
      <c r="GIF157" s="1255"/>
      <c r="GIG157" s="1255"/>
      <c r="GIH157" s="1255"/>
      <c r="GII157" s="1255"/>
      <c r="GIJ157" s="1255"/>
      <c r="GIK157" s="1255"/>
      <c r="GIL157" s="1255"/>
      <c r="GIM157" s="1255"/>
      <c r="GIN157" s="1255"/>
      <c r="GIO157" s="1255"/>
      <c r="GIP157" s="1255"/>
      <c r="GIQ157" s="1255"/>
      <c r="GIR157" s="1255"/>
      <c r="GIS157" s="1255"/>
      <c r="GIT157" s="1255"/>
      <c r="GIU157" s="1255"/>
      <c r="GIV157" s="1255"/>
      <c r="GIW157" s="1255"/>
      <c r="GIX157" s="1255"/>
      <c r="GIY157" s="1255"/>
      <c r="GIZ157" s="1255"/>
      <c r="GJA157" s="1255"/>
      <c r="GJB157" s="1255"/>
      <c r="GJC157" s="1255"/>
      <c r="GJD157" s="1255"/>
      <c r="GJE157" s="1255"/>
      <c r="GJF157" s="1255"/>
      <c r="GJG157" s="1255"/>
      <c r="GJH157" s="1255"/>
      <c r="GJI157" s="1255"/>
      <c r="GJJ157" s="1255"/>
      <c r="GJK157" s="1255"/>
      <c r="GJL157" s="1255"/>
      <c r="GJM157" s="1255"/>
      <c r="GJN157" s="1255"/>
      <c r="GJO157" s="1255"/>
      <c r="GJP157" s="1255"/>
      <c r="GJQ157" s="1255"/>
      <c r="GJR157" s="1255"/>
      <c r="GJS157" s="1255"/>
      <c r="GJT157" s="1255"/>
      <c r="GJU157" s="1255"/>
      <c r="GJV157" s="1255"/>
      <c r="GJW157" s="1255"/>
      <c r="GJX157" s="1255"/>
      <c r="GJY157" s="1255"/>
      <c r="GJZ157" s="1255"/>
      <c r="GKA157" s="1255"/>
      <c r="GKB157" s="1255"/>
      <c r="GKC157" s="1255"/>
      <c r="GKD157" s="1255"/>
      <c r="GKE157" s="1255"/>
      <c r="GKF157" s="1255"/>
      <c r="GKG157" s="1255"/>
      <c r="GKH157" s="1255"/>
      <c r="GKI157" s="1255"/>
      <c r="GKJ157" s="1255"/>
      <c r="GKK157" s="1255"/>
      <c r="GKL157" s="1255"/>
      <c r="GKM157" s="1255"/>
      <c r="GKN157" s="1255"/>
      <c r="GKO157" s="1255"/>
      <c r="GKP157" s="1255"/>
      <c r="GKQ157" s="1255"/>
      <c r="GKR157" s="1255"/>
      <c r="GKS157" s="1255"/>
      <c r="GKT157" s="1255"/>
      <c r="GKU157" s="1255"/>
      <c r="GKV157" s="1255"/>
      <c r="GKW157" s="1255"/>
      <c r="GKX157" s="1255"/>
      <c r="GKY157" s="1255"/>
      <c r="GKZ157" s="1255"/>
      <c r="GLA157" s="1255"/>
      <c r="GLB157" s="1255"/>
      <c r="GLC157" s="1255"/>
      <c r="GLD157" s="1255"/>
      <c r="GLE157" s="1255"/>
      <c r="GLF157" s="1255"/>
      <c r="GLG157" s="1255"/>
      <c r="GLH157" s="1255"/>
      <c r="GLI157" s="1255"/>
      <c r="GLJ157" s="1255"/>
      <c r="GLK157" s="1255"/>
      <c r="GLL157" s="1255"/>
      <c r="GLM157" s="1255"/>
      <c r="GLN157" s="1255"/>
      <c r="GLO157" s="1255"/>
      <c r="GLP157" s="1255"/>
      <c r="GLQ157" s="1255"/>
      <c r="GLR157" s="1255"/>
      <c r="GLS157" s="1255"/>
      <c r="GLT157" s="1255"/>
      <c r="GLU157" s="1255"/>
      <c r="GLV157" s="1255"/>
      <c r="GLW157" s="1255"/>
      <c r="GLX157" s="1255"/>
      <c r="GLY157" s="1255"/>
      <c r="GLZ157" s="1255"/>
      <c r="GMA157" s="1255"/>
      <c r="GMB157" s="1255"/>
      <c r="GMC157" s="1255"/>
      <c r="GMD157" s="1255"/>
      <c r="GME157" s="1255"/>
      <c r="GMF157" s="1255"/>
      <c r="GMG157" s="1255"/>
      <c r="GMH157" s="1255"/>
      <c r="GMI157" s="1255"/>
      <c r="GMJ157" s="1255"/>
      <c r="GMK157" s="1255"/>
      <c r="GML157" s="1255"/>
      <c r="GMM157" s="1255"/>
      <c r="GMN157" s="1255"/>
      <c r="GMO157" s="1255"/>
      <c r="GMP157" s="1255"/>
      <c r="GMQ157" s="1255"/>
      <c r="GMR157" s="1255"/>
      <c r="GMS157" s="1255"/>
      <c r="GMT157" s="1255"/>
      <c r="GMU157" s="1255"/>
      <c r="GMV157" s="1255"/>
      <c r="GMW157" s="1255"/>
      <c r="GMX157" s="1255"/>
      <c r="GMY157" s="1255"/>
      <c r="GMZ157" s="1255"/>
      <c r="GNA157" s="1255"/>
      <c r="GNB157" s="1255"/>
      <c r="GNC157" s="1255"/>
      <c r="GND157" s="1255"/>
      <c r="GNE157" s="1255"/>
      <c r="GNF157" s="1255"/>
      <c r="GNG157" s="1255"/>
      <c r="GNH157" s="1255"/>
      <c r="GNI157" s="1255"/>
      <c r="GNJ157" s="1255"/>
      <c r="GNK157" s="1255"/>
      <c r="GNL157" s="1255"/>
      <c r="GNM157" s="1255"/>
      <c r="GNN157" s="1255"/>
      <c r="GNO157" s="1255"/>
      <c r="GNP157" s="1255"/>
      <c r="GNQ157" s="1255"/>
      <c r="GNR157" s="1255"/>
      <c r="GNS157" s="1255"/>
      <c r="GNT157" s="1255"/>
      <c r="GNU157" s="1255"/>
      <c r="GNV157" s="1255"/>
      <c r="GNW157" s="1255"/>
      <c r="GNX157" s="1255"/>
      <c r="GNY157" s="1255"/>
      <c r="GNZ157" s="1255"/>
      <c r="GOA157" s="1255"/>
      <c r="GOB157" s="1255"/>
      <c r="GOC157" s="1255"/>
      <c r="GOD157" s="1255"/>
      <c r="GOE157" s="1255"/>
      <c r="GOF157" s="1255"/>
      <c r="GOG157" s="1255"/>
      <c r="GOH157" s="1255"/>
      <c r="GOI157" s="1255"/>
      <c r="GOJ157" s="1255"/>
      <c r="GOK157" s="1255"/>
      <c r="GOL157" s="1255"/>
      <c r="GOM157" s="1255"/>
      <c r="GON157" s="1255"/>
      <c r="GOO157" s="1255"/>
      <c r="GOP157" s="1255"/>
      <c r="GOQ157" s="1255"/>
      <c r="GOR157" s="1255"/>
      <c r="GOS157" s="1255"/>
      <c r="GOT157" s="1255"/>
      <c r="GOU157" s="1255"/>
      <c r="GOV157" s="1255"/>
      <c r="GOW157" s="1255"/>
      <c r="GOX157" s="1255"/>
      <c r="GOY157" s="1255"/>
      <c r="GOZ157" s="1255"/>
      <c r="GPA157" s="1255"/>
      <c r="GPB157" s="1255"/>
      <c r="GPC157" s="1255"/>
      <c r="GPD157" s="1255"/>
      <c r="GPE157" s="1255"/>
      <c r="GPF157" s="1255"/>
      <c r="GPG157" s="1255"/>
      <c r="GPH157" s="1255"/>
      <c r="GPI157" s="1255"/>
      <c r="GPJ157" s="1255"/>
      <c r="GPK157" s="1255"/>
      <c r="GPL157" s="1255"/>
      <c r="GPM157" s="1255"/>
      <c r="GPN157" s="1255"/>
      <c r="GPO157" s="1255"/>
      <c r="GPP157" s="1255"/>
      <c r="GPQ157" s="1255"/>
      <c r="GPR157" s="1255"/>
      <c r="GPS157" s="1255"/>
      <c r="GPT157" s="1255"/>
      <c r="GPU157" s="1255"/>
      <c r="GPV157" s="1255"/>
      <c r="GPW157" s="1255"/>
      <c r="GPX157" s="1255"/>
      <c r="GPY157" s="1255"/>
      <c r="GPZ157" s="1255"/>
      <c r="GQA157" s="1255"/>
      <c r="GQB157" s="1255"/>
      <c r="GQC157" s="1255"/>
      <c r="GQD157" s="1255"/>
      <c r="GQE157" s="1255"/>
      <c r="GQF157" s="1255"/>
      <c r="GQG157" s="1255"/>
      <c r="GQH157" s="1255"/>
      <c r="GQI157" s="1255"/>
      <c r="GQJ157" s="1255"/>
      <c r="GQK157" s="1255"/>
      <c r="GQL157" s="1255"/>
      <c r="GQM157" s="1255"/>
      <c r="GQN157" s="1255"/>
      <c r="GQO157" s="1255"/>
      <c r="GQP157" s="1255"/>
      <c r="GQQ157" s="1255"/>
      <c r="GQR157" s="1255"/>
      <c r="GQS157" s="1255"/>
      <c r="GQT157" s="1255"/>
      <c r="GQU157" s="1255"/>
      <c r="GQV157" s="1255"/>
      <c r="GQW157" s="1255"/>
      <c r="GQX157" s="1255"/>
      <c r="GQY157" s="1255"/>
      <c r="GQZ157" s="1255"/>
      <c r="GRA157" s="1255"/>
      <c r="GRB157" s="1255"/>
      <c r="GRC157" s="1255"/>
      <c r="GRD157" s="1255"/>
      <c r="GRE157" s="1255"/>
      <c r="GRF157" s="1255"/>
      <c r="GRG157" s="1255"/>
      <c r="GRH157" s="1255"/>
      <c r="GRI157" s="1255"/>
      <c r="GRJ157" s="1255"/>
      <c r="GRK157" s="1255"/>
      <c r="GRL157" s="1255"/>
      <c r="GRM157" s="1255"/>
      <c r="GRN157" s="1255"/>
      <c r="GRO157" s="1255"/>
      <c r="GRP157" s="1255"/>
      <c r="GRQ157" s="1255"/>
      <c r="GRR157" s="1255"/>
      <c r="GRS157" s="1255"/>
      <c r="GRT157" s="1255"/>
      <c r="GRU157" s="1255"/>
      <c r="GRV157" s="1255"/>
      <c r="GRW157" s="1255"/>
      <c r="GRX157" s="1255"/>
      <c r="GRY157" s="1255"/>
      <c r="GRZ157" s="1255"/>
      <c r="GSA157" s="1255"/>
      <c r="GSB157" s="1255"/>
      <c r="GSC157" s="1255"/>
      <c r="GSD157" s="1255"/>
      <c r="GSE157" s="1255"/>
      <c r="GSF157" s="1255"/>
      <c r="GSG157" s="1255"/>
      <c r="GSH157" s="1255"/>
      <c r="GSI157" s="1255"/>
      <c r="GSJ157" s="1255"/>
      <c r="GSK157" s="1255"/>
      <c r="GSL157" s="1255"/>
      <c r="GSM157" s="1255"/>
      <c r="GSN157" s="1255"/>
      <c r="GSO157" s="1255"/>
      <c r="GSP157" s="1255"/>
      <c r="GSQ157" s="1255"/>
      <c r="GSR157" s="1255"/>
      <c r="GSS157" s="1255"/>
      <c r="GST157" s="1255"/>
      <c r="GSU157" s="1255"/>
      <c r="GSV157" s="1255"/>
      <c r="GSW157" s="1255"/>
      <c r="GSX157" s="1255"/>
      <c r="GSY157" s="1255"/>
      <c r="GSZ157" s="1255"/>
      <c r="GTA157" s="1255"/>
      <c r="GTB157" s="1255"/>
      <c r="GTC157" s="1255"/>
      <c r="GTD157" s="1255"/>
      <c r="GTE157" s="1255"/>
      <c r="GTF157" s="1255"/>
      <c r="GTG157" s="1255"/>
      <c r="GTH157" s="1255"/>
      <c r="GTI157" s="1255"/>
      <c r="GTJ157" s="1255"/>
      <c r="GTK157" s="1255"/>
      <c r="GTL157" s="1255"/>
      <c r="GTM157" s="1255"/>
      <c r="GTN157" s="1255"/>
      <c r="GTO157" s="1255"/>
      <c r="GTP157" s="1255"/>
      <c r="GTQ157" s="1255"/>
      <c r="GTR157" s="1255"/>
      <c r="GTS157" s="1255"/>
      <c r="GTT157" s="1255"/>
      <c r="GTU157" s="1255"/>
      <c r="GTV157" s="1255"/>
      <c r="GTW157" s="1255"/>
      <c r="GTX157" s="1255"/>
      <c r="GTY157" s="1255"/>
      <c r="GTZ157" s="1255"/>
      <c r="GUA157" s="1255"/>
      <c r="GUB157" s="1255"/>
      <c r="GUC157" s="1255"/>
      <c r="GUD157" s="1255"/>
      <c r="GUE157" s="1255"/>
      <c r="GUF157" s="1255"/>
      <c r="GUG157" s="1255"/>
      <c r="GUH157" s="1255"/>
      <c r="GUI157" s="1255"/>
      <c r="GUJ157" s="1255"/>
      <c r="GUK157" s="1255"/>
      <c r="GUL157" s="1255"/>
      <c r="GUM157" s="1255"/>
      <c r="GUN157" s="1255"/>
      <c r="GUO157" s="1255"/>
      <c r="GUP157" s="1255"/>
      <c r="GUQ157" s="1255"/>
      <c r="GUR157" s="1255"/>
      <c r="GUS157" s="1255"/>
      <c r="GUT157" s="1255"/>
      <c r="GUU157" s="1255"/>
      <c r="GUV157" s="1255"/>
      <c r="GUW157" s="1255"/>
      <c r="GUX157" s="1255"/>
      <c r="GUY157" s="1255"/>
      <c r="GUZ157" s="1255"/>
      <c r="GVA157" s="1255"/>
      <c r="GVB157" s="1255"/>
      <c r="GVC157" s="1255"/>
      <c r="GVD157" s="1255"/>
      <c r="GVE157" s="1255"/>
      <c r="GVF157" s="1255"/>
      <c r="GVG157" s="1255"/>
      <c r="GVH157" s="1255"/>
      <c r="GVI157" s="1255"/>
      <c r="GVJ157" s="1255"/>
      <c r="GVK157" s="1255"/>
      <c r="GVL157" s="1255"/>
      <c r="GVM157" s="1255"/>
      <c r="GVN157" s="1255"/>
      <c r="GVO157" s="1255"/>
      <c r="GVP157" s="1255"/>
      <c r="GVQ157" s="1255"/>
      <c r="GVR157" s="1255"/>
      <c r="GVS157" s="1255"/>
      <c r="GVT157" s="1255"/>
      <c r="GVU157" s="1255"/>
      <c r="GVV157" s="1255"/>
      <c r="GVW157" s="1255"/>
      <c r="GVX157" s="1255"/>
      <c r="GVY157" s="1255"/>
      <c r="GVZ157" s="1255"/>
      <c r="GWA157" s="1255"/>
      <c r="GWB157" s="1255"/>
      <c r="GWC157" s="1255"/>
      <c r="GWD157" s="1255"/>
      <c r="GWE157" s="1255"/>
      <c r="GWF157" s="1255"/>
      <c r="GWG157" s="1255"/>
      <c r="GWH157" s="1255"/>
      <c r="GWI157" s="1255"/>
      <c r="GWJ157" s="1255"/>
      <c r="GWK157" s="1255"/>
      <c r="GWL157" s="1255"/>
      <c r="GWM157" s="1255"/>
      <c r="GWN157" s="1255"/>
      <c r="GWO157" s="1255"/>
      <c r="GWP157" s="1255"/>
      <c r="GWQ157" s="1255"/>
      <c r="GWR157" s="1255"/>
      <c r="GWS157" s="1255"/>
      <c r="GWT157" s="1255"/>
      <c r="GWU157" s="1255"/>
      <c r="GWV157" s="1255"/>
      <c r="GWW157" s="1255"/>
      <c r="GWX157" s="1255"/>
      <c r="GWY157" s="1255"/>
      <c r="GWZ157" s="1255"/>
      <c r="GXA157" s="1255"/>
      <c r="GXB157" s="1255"/>
      <c r="GXC157" s="1255"/>
      <c r="GXD157" s="1255"/>
      <c r="GXE157" s="1255"/>
      <c r="GXF157" s="1255"/>
      <c r="GXG157" s="1255"/>
      <c r="GXH157" s="1255"/>
      <c r="GXI157" s="1255"/>
      <c r="GXJ157" s="1255"/>
      <c r="GXK157" s="1255"/>
      <c r="GXL157" s="1255"/>
      <c r="GXM157" s="1255"/>
      <c r="GXN157" s="1255"/>
      <c r="GXO157" s="1255"/>
      <c r="GXP157" s="1255"/>
      <c r="GXQ157" s="1255"/>
      <c r="GXR157" s="1255"/>
      <c r="GXS157" s="1255"/>
      <c r="GXT157" s="1255"/>
      <c r="GXU157" s="1255"/>
      <c r="GXV157" s="1255"/>
      <c r="GXW157" s="1255"/>
      <c r="GXX157" s="1255"/>
      <c r="GXY157" s="1255"/>
      <c r="GXZ157" s="1255"/>
      <c r="GYA157" s="1255"/>
      <c r="GYB157" s="1255"/>
      <c r="GYC157" s="1255"/>
      <c r="GYD157" s="1255"/>
      <c r="GYE157" s="1255"/>
      <c r="GYF157" s="1255"/>
      <c r="GYG157" s="1255"/>
      <c r="GYH157" s="1255"/>
      <c r="GYI157" s="1255"/>
      <c r="GYJ157" s="1255"/>
      <c r="GYK157" s="1255"/>
      <c r="GYL157" s="1255"/>
      <c r="GYM157" s="1255"/>
      <c r="GYN157" s="1255"/>
      <c r="GYO157" s="1255"/>
      <c r="GYP157" s="1255"/>
      <c r="GYQ157" s="1255"/>
      <c r="GYR157" s="1255"/>
      <c r="GYS157" s="1255"/>
      <c r="GYT157" s="1255"/>
      <c r="GYU157" s="1255"/>
      <c r="GYV157" s="1255"/>
      <c r="GYW157" s="1255"/>
      <c r="GYX157" s="1255"/>
      <c r="GYY157" s="1255"/>
      <c r="GYZ157" s="1255"/>
      <c r="GZA157" s="1255"/>
      <c r="GZB157" s="1255"/>
      <c r="GZC157" s="1255"/>
      <c r="GZD157" s="1255"/>
      <c r="GZE157" s="1255"/>
      <c r="GZF157" s="1255"/>
      <c r="GZG157" s="1255"/>
      <c r="GZH157" s="1255"/>
      <c r="GZI157" s="1255"/>
      <c r="GZJ157" s="1255"/>
      <c r="GZK157" s="1255"/>
      <c r="GZL157" s="1255"/>
      <c r="GZM157" s="1255"/>
      <c r="GZN157" s="1255"/>
      <c r="GZO157" s="1255"/>
      <c r="GZP157" s="1255"/>
      <c r="GZQ157" s="1255"/>
      <c r="GZR157" s="1255"/>
      <c r="GZS157" s="1255"/>
      <c r="GZT157" s="1255"/>
      <c r="GZU157" s="1255"/>
      <c r="GZV157" s="1255"/>
      <c r="GZW157" s="1255"/>
      <c r="GZX157" s="1255"/>
      <c r="GZY157" s="1255"/>
      <c r="GZZ157" s="1255"/>
      <c r="HAA157" s="1255"/>
      <c r="HAB157" s="1255"/>
      <c r="HAC157" s="1255"/>
      <c r="HAD157" s="1255"/>
      <c r="HAE157" s="1255"/>
      <c r="HAF157" s="1255"/>
      <c r="HAG157" s="1255"/>
      <c r="HAH157" s="1255"/>
      <c r="HAI157" s="1255"/>
      <c r="HAJ157" s="1255"/>
      <c r="HAK157" s="1255"/>
      <c r="HAL157" s="1255"/>
      <c r="HAM157" s="1255"/>
      <c r="HAN157" s="1255"/>
      <c r="HAO157" s="1255"/>
      <c r="HAP157" s="1255"/>
      <c r="HAQ157" s="1255"/>
      <c r="HAR157" s="1255"/>
      <c r="HAS157" s="1255"/>
      <c r="HAT157" s="1255"/>
      <c r="HAU157" s="1255"/>
      <c r="HAV157" s="1255"/>
      <c r="HAW157" s="1255"/>
      <c r="HAX157" s="1255"/>
      <c r="HAY157" s="1255"/>
      <c r="HAZ157" s="1255"/>
      <c r="HBA157" s="1255"/>
      <c r="HBB157" s="1255"/>
      <c r="HBC157" s="1255"/>
      <c r="HBD157" s="1255"/>
      <c r="HBE157" s="1255"/>
      <c r="HBF157" s="1255"/>
      <c r="HBG157" s="1255"/>
      <c r="HBH157" s="1255"/>
      <c r="HBI157" s="1255"/>
      <c r="HBJ157" s="1255"/>
      <c r="HBK157" s="1255"/>
      <c r="HBL157" s="1255"/>
      <c r="HBM157" s="1255"/>
      <c r="HBN157" s="1255"/>
      <c r="HBO157" s="1255"/>
      <c r="HBP157" s="1255"/>
      <c r="HBQ157" s="1255"/>
      <c r="HBR157" s="1255"/>
      <c r="HBS157" s="1255"/>
      <c r="HBT157" s="1255"/>
      <c r="HBU157" s="1255"/>
      <c r="HBV157" s="1255"/>
      <c r="HBW157" s="1255"/>
      <c r="HBX157" s="1255"/>
      <c r="HBY157" s="1255"/>
      <c r="HBZ157" s="1255"/>
      <c r="HCA157" s="1255"/>
      <c r="HCB157" s="1255"/>
      <c r="HCC157" s="1255"/>
      <c r="HCD157" s="1255"/>
      <c r="HCE157" s="1255"/>
      <c r="HCF157" s="1255"/>
      <c r="HCG157" s="1255"/>
      <c r="HCH157" s="1255"/>
      <c r="HCI157" s="1255"/>
      <c r="HCJ157" s="1255"/>
      <c r="HCK157" s="1255"/>
      <c r="HCL157" s="1255"/>
      <c r="HCM157" s="1255"/>
      <c r="HCN157" s="1255"/>
      <c r="HCO157" s="1255"/>
      <c r="HCP157" s="1255"/>
      <c r="HCQ157" s="1255"/>
      <c r="HCR157" s="1255"/>
      <c r="HCS157" s="1255"/>
      <c r="HCT157" s="1255"/>
      <c r="HCU157" s="1255"/>
      <c r="HCV157" s="1255"/>
      <c r="HCW157" s="1255"/>
      <c r="HCX157" s="1255"/>
      <c r="HCY157" s="1255"/>
      <c r="HCZ157" s="1255"/>
      <c r="HDA157" s="1255"/>
      <c r="HDB157" s="1255"/>
      <c r="HDC157" s="1255"/>
      <c r="HDD157" s="1255"/>
      <c r="HDE157" s="1255"/>
      <c r="HDF157" s="1255"/>
      <c r="HDG157" s="1255"/>
      <c r="HDH157" s="1255"/>
      <c r="HDI157" s="1255"/>
      <c r="HDJ157" s="1255"/>
      <c r="HDK157" s="1255"/>
      <c r="HDL157" s="1255"/>
      <c r="HDM157" s="1255"/>
      <c r="HDN157" s="1255"/>
      <c r="HDO157" s="1255"/>
      <c r="HDP157" s="1255"/>
      <c r="HDQ157" s="1255"/>
      <c r="HDR157" s="1255"/>
      <c r="HDS157" s="1255"/>
      <c r="HDT157" s="1255"/>
      <c r="HDU157" s="1255"/>
      <c r="HDV157" s="1255"/>
      <c r="HDW157" s="1255"/>
      <c r="HDX157" s="1255"/>
      <c r="HDY157" s="1255"/>
      <c r="HDZ157" s="1255"/>
      <c r="HEA157" s="1255"/>
      <c r="HEB157" s="1255"/>
      <c r="HEC157" s="1255"/>
      <c r="HED157" s="1255"/>
      <c r="HEE157" s="1255"/>
      <c r="HEF157" s="1255"/>
      <c r="HEG157" s="1255"/>
      <c r="HEH157" s="1255"/>
      <c r="HEI157" s="1255"/>
      <c r="HEJ157" s="1255"/>
      <c r="HEK157" s="1255"/>
      <c r="HEL157" s="1255"/>
      <c r="HEM157" s="1255"/>
      <c r="HEN157" s="1255"/>
      <c r="HEO157" s="1255"/>
      <c r="HEP157" s="1255"/>
      <c r="HEQ157" s="1255"/>
      <c r="HER157" s="1255"/>
      <c r="HES157" s="1255"/>
      <c r="HET157" s="1255"/>
      <c r="HEU157" s="1255"/>
      <c r="HEV157" s="1255"/>
      <c r="HEW157" s="1255"/>
      <c r="HEX157" s="1255"/>
      <c r="HEY157" s="1255"/>
      <c r="HEZ157" s="1255"/>
      <c r="HFA157" s="1255"/>
      <c r="HFB157" s="1255"/>
      <c r="HFC157" s="1255"/>
      <c r="HFD157" s="1255"/>
      <c r="HFE157" s="1255"/>
      <c r="HFF157" s="1255"/>
      <c r="HFG157" s="1255"/>
      <c r="HFH157" s="1255"/>
      <c r="HFI157" s="1255"/>
      <c r="HFJ157" s="1255"/>
      <c r="HFK157" s="1255"/>
      <c r="HFL157" s="1255"/>
      <c r="HFM157" s="1255"/>
      <c r="HFN157" s="1255"/>
      <c r="HFO157" s="1255"/>
      <c r="HFP157" s="1255"/>
      <c r="HFQ157" s="1255"/>
      <c r="HFR157" s="1255"/>
      <c r="HFS157" s="1255"/>
      <c r="HFT157" s="1255"/>
      <c r="HFU157" s="1255"/>
      <c r="HFV157" s="1255"/>
      <c r="HFW157" s="1255"/>
      <c r="HFX157" s="1255"/>
      <c r="HFY157" s="1255"/>
      <c r="HFZ157" s="1255"/>
      <c r="HGA157" s="1255"/>
      <c r="HGB157" s="1255"/>
      <c r="HGC157" s="1255"/>
      <c r="HGD157" s="1255"/>
      <c r="HGE157" s="1255"/>
      <c r="HGF157" s="1255"/>
      <c r="HGG157" s="1255"/>
      <c r="HGH157" s="1255"/>
      <c r="HGI157" s="1255"/>
      <c r="HGJ157" s="1255"/>
      <c r="HGK157" s="1255"/>
      <c r="HGL157" s="1255"/>
      <c r="HGM157" s="1255"/>
      <c r="HGN157" s="1255"/>
      <c r="HGO157" s="1255"/>
      <c r="HGP157" s="1255"/>
      <c r="HGQ157" s="1255"/>
      <c r="HGR157" s="1255"/>
      <c r="HGS157" s="1255"/>
      <c r="HGT157" s="1255"/>
      <c r="HGU157" s="1255"/>
      <c r="HGV157" s="1255"/>
      <c r="HGW157" s="1255"/>
      <c r="HGX157" s="1255"/>
      <c r="HGY157" s="1255"/>
      <c r="HGZ157" s="1255"/>
      <c r="HHA157" s="1255"/>
      <c r="HHB157" s="1255"/>
      <c r="HHC157" s="1255"/>
      <c r="HHD157" s="1255"/>
      <c r="HHE157" s="1255"/>
      <c r="HHF157" s="1255"/>
      <c r="HHG157" s="1255"/>
      <c r="HHH157" s="1255"/>
      <c r="HHI157" s="1255"/>
      <c r="HHJ157" s="1255"/>
      <c r="HHK157" s="1255"/>
      <c r="HHL157" s="1255"/>
      <c r="HHM157" s="1255"/>
      <c r="HHN157" s="1255"/>
      <c r="HHO157" s="1255"/>
      <c r="HHP157" s="1255"/>
      <c r="HHQ157" s="1255"/>
      <c r="HHR157" s="1255"/>
      <c r="HHS157" s="1255"/>
      <c r="HHT157" s="1255"/>
      <c r="HHU157" s="1255"/>
      <c r="HHV157" s="1255"/>
      <c r="HHW157" s="1255"/>
      <c r="HHX157" s="1255"/>
      <c r="HHY157" s="1255"/>
      <c r="HHZ157" s="1255"/>
      <c r="HIA157" s="1255"/>
      <c r="HIB157" s="1255"/>
      <c r="HIC157" s="1255"/>
      <c r="HID157" s="1255"/>
      <c r="HIE157" s="1255"/>
      <c r="HIF157" s="1255"/>
      <c r="HIG157" s="1255"/>
      <c r="HIH157" s="1255"/>
      <c r="HII157" s="1255"/>
      <c r="HIJ157" s="1255"/>
      <c r="HIK157" s="1255"/>
      <c r="HIL157" s="1255"/>
      <c r="HIM157" s="1255"/>
      <c r="HIN157" s="1255"/>
      <c r="HIO157" s="1255"/>
      <c r="HIP157" s="1255"/>
      <c r="HIQ157" s="1255"/>
      <c r="HIR157" s="1255"/>
      <c r="HIS157" s="1255"/>
      <c r="HIT157" s="1255"/>
      <c r="HIU157" s="1255"/>
      <c r="HIV157" s="1255"/>
      <c r="HIW157" s="1255"/>
      <c r="HIX157" s="1255"/>
      <c r="HIY157" s="1255"/>
      <c r="HIZ157" s="1255"/>
      <c r="HJA157" s="1255"/>
      <c r="HJB157" s="1255"/>
      <c r="HJC157" s="1255"/>
      <c r="HJD157" s="1255"/>
      <c r="HJE157" s="1255"/>
      <c r="HJF157" s="1255"/>
      <c r="HJG157" s="1255"/>
      <c r="HJH157" s="1255"/>
      <c r="HJI157" s="1255"/>
      <c r="HJJ157" s="1255"/>
      <c r="HJK157" s="1255"/>
      <c r="HJL157" s="1255"/>
      <c r="HJM157" s="1255"/>
      <c r="HJN157" s="1255"/>
      <c r="HJO157" s="1255"/>
      <c r="HJP157" s="1255"/>
      <c r="HJQ157" s="1255"/>
      <c r="HJR157" s="1255"/>
      <c r="HJS157" s="1255"/>
      <c r="HJT157" s="1255"/>
      <c r="HJU157" s="1255"/>
      <c r="HJV157" s="1255"/>
      <c r="HJW157" s="1255"/>
      <c r="HJX157" s="1255"/>
      <c r="HJY157" s="1255"/>
      <c r="HJZ157" s="1255"/>
      <c r="HKA157" s="1255"/>
      <c r="HKB157" s="1255"/>
      <c r="HKC157" s="1255"/>
      <c r="HKD157" s="1255"/>
      <c r="HKE157" s="1255"/>
      <c r="HKF157" s="1255"/>
      <c r="HKG157" s="1255"/>
      <c r="HKH157" s="1255"/>
      <c r="HKI157" s="1255"/>
      <c r="HKJ157" s="1255"/>
      <c r="HKK157" s="1255"/>
      <c r="HKL157" s="1255"/>
      <c r="HKM157" s="1255"/>
      <c r="HKN157" s="1255"/>
      <c r="HKO157" s="1255"/>
      <c r="HKP157" s="1255"/>
      <c r="HKQ157" s="1255"/>
      <c r="HKR157" s="1255"/>
      <c r="HKS157" s="1255"/>
      <c r="HKT157" s="1255"/>
      <c r="HKU157" s="1255"/>
      <c r="HKV157" s="1255"/>
      <c r="HKW157" s="1255"/>
      <c r="HKX157" s="1255"/>
      <c r="HKY157" s="1255"/>
      <c r="HKZ157" s="1255"/>
      <c r="HLA157" s="1255"/>
      <c r="HLB157" s="1255"/>
      <c r="HLC157" s="1255"/>
      <c r="HLD157" s="1255"/>
      <c r="HLE157" s="1255"/>
      <c r="HLF157" s="1255"/>
      <c r="HLG157" s="1255"/>
      <c r="HLH157" s="1255"/>
      <c r="HLI157" s="1255"/>
      <c r="HLJ157" s="1255"/>
      <c r="HLK157" s="1255"/>
      <c r="HLL157" s="1255"/>
      <c r="HLM157" s="1255"/>
      <c r="HLN157" s="1255"/>
      <c r="HLO157" s="1255"/>
      <c r="HLP157" s="1255"/>
      <c r="HLQ157" s="1255"/>
      <c r="HLR157" s="1255"/>
      <c r="HLS157" s="1255"/>
      <c r="HLT157" s="1255"/>
      <c r="HLU157" s="1255"/>
      <c r="HLV157" s="1255"/>
      <c r="HLW157" s="1255"/>
      <c r="HLX157" s="1255"/>
      <c r="HLY157" s="1255"/>
      <c r="HLZ157" s="1255"/>
      <c r="HMA157" s="1255"/>
      <c r="HMB157" s="1255"/>
      <c r="HMC157" s="1255"/>
      <c r="HMD157" s="1255"/>
      <c r="HME157" s="1255"/>
      <c r="HMF157" s="1255"/>
      <c r="HMG157" s="1255"/>
      <c r="HMH157" s="1255"/>
      <c r="HMI157" s="1255"/>
      <c r="HMJ157" s="1255"/>
      <c r="HMK157" s="1255"/>
      <c r="HML157" s="1255"/>
      <c r="HMM157" s="1255"/>
      <c r="HMN157" s="1255"/>
      <c r="HMO157" s="1255"/>
      <c r="HMP157" s="1255"/>
      <c r="HMQ157" s="1255"/>
      <c r="HMR157" s="1255"/>
      <c r="HMS157" s="1255"/>
      <c r="HMT157" s="1255"/>
      <c r="HMU157" s="1255"/>
      <c r="HMV157" s="1255"/>
      <c r="HMW157" s="1255"/>
      <c r="HMX157" s="1255"/>
      <c r="HMY157" s="1255"/>
      <c r="HMZ157" s="1255"/>
      <c r="HNA157" s="1255"/>
      <c r="HNB157" s="1255"/>
      <c r="HNC157" s="1255"/>
      <c r="HND157" s="1255"/>
      <c r="HNE157" s="1255"/>
      <c r="HNF157" s="1255"/>
      <c r="HNG157" s="1255"/>
      <c r="HNH157" s="1255"/>
      <c r="HNI157" s="1255"/>
      <c r="HNJ157" s="1255"/>
      <c r="HNK157" s="1255"/>
      <c r="HNL157" s="1255"/>
      <c r="HNM157" s="1255"/>
      <c r="HNN157" s="1255"/>
      <c r="HNO157" s="1255"/>
      <c r="HNP157" s="1255"/>
      <c r="HNQ157" s="1255"/>
      <c r="HNR157" s="1255"/>
      <c r="HNS157" s="1255"/>
      <c r="HNT157" s="1255"/>
      <c r="HNU157" s="1255"/>
      <c r="HNV157" s="1255"/>
      <c r="HNW157" s="1255"/>
      <c r="HNX157" s="1255"/>
      <c r="HNY157" s="1255"/>
      <c r="HNZ157" s="1255"/>
      <c r="HOA157" s="1255"/>
      <c r="HOB157" s="1255"/>
      <c r="HOC157" s="1255"/>
      <c r="HOD157" s="1255"/>
      <c r="HOE157" s="1255"/>
      <c r="HOF157" s="1255"/>
      <c r="HOG157" s="1255"/>
      <c r="HOH157" s="1255"/>
      <c r="HOI157" s="1255"/>
      <c r="HOJ157" s="1255"/>
      <c r="HOK157" s="1255"/>
      <c r="HOL157" s="1255"/>
      <c r="HOM157" s="1255"/>
      <c r="HON157" s="1255"/>
      <c r="HOO157" s="1255"/>
      <c r="HOP157" s="1255"/>
      <c r="HOQ157" s="1255"/>
      <c r="HOR157" s="1255"/>
      <c r="HOS157" s="1255"/>
      <c r="HOT157" s="1255"/>
      <c r="HOU157" s="1255"/>
      <c r="HOV157" s="1255"/>
      <c r="HOW157" s="1255"/>
      <c r="HOX157" s="1255"/>
      <c r="HOY157" s="1255"/>
      <c r="HOZ157" s="1255"/>
      <c r="HPA157" s="1255"/>
      <c r="HPB157" s="1255"/>
      <c r="HPC157" s="1255"/>
      <c r="HPD157" s="1255"/>
      <c r="HPE157" s="1255"/>
      <c r="HPF157" s="1255"/>
      <c r="HPG157" s="1255"/>
      <c r="HPH157" s="1255"/>
      <c r="HPI157" s="1255"/>
      <c r="HPJ157" s="1255"/>
      <c r="HPK157" s="1255"/>
      <c r="HPL157" s="1255"/>
      <c r="HPM157" s="1255"/>
      <c r="HPN157" s="1255"/>
      <c r="HPO157" s="1255"/>
      <c r="HPP157" s="1255"/>
      <c r="HPQ157" s="1255"/>
      <c r="HPR157" s="1255"/>
      <c r="HPS157" s="1255"/>
      <c r="HPT157" s="1255"/>
      <c r="HPU157" s="1255"/>
      <c r="HPV157" s="1255"/>
      <c r="HPW157" s="1255"/>
      <c r="HPX157" s="1255"/>
      <c r="HPY157" s="1255"/>
      <c r="HPZ157" s="1255"/>
      <c r="HQA157" s="1255"/>
      <c r="HQB157" s="1255"/>
      <c r="HQC157" s="1255"/>
      <c r="HQD157" s="1255"/>
      <c r="HQE157" s="1255"/>
      <c r="HQF157" s="1255"/>
      <c r="HQG157" s="1255"/>
      <c r="HQH157" s="1255"/>
      <c r="HQI157" s="1255"/>
      <c r="HQJ157" s="1255"/>
      <c r="HQK157" s="1255"/>
      <c r="HQL157" s="1255"/>
      <c r="HQM157" s="1255"/>
      <c r="HQN157" s="1255"/>
      <c r="HQO157" s="1255"/>
      <c r="HQP157" s="1255"/>
      <c r="HQQ157" s="1255"/>
      <c r="HQR157" s="1255"/>
      <c r="HQS157" s="1255"/>
      <c r="HQT157" s="1255"/>
      <c r="HQU157" s="1255"/>
      <c r="HQV157" s="1255"/>
      <c r="HQW157" s="1255"/>
      <c r="HQX157" s="1255"/>
      <c r="HQY157" s="1255"/>
      <c r="HQZ157" s="1255"/>
      <c r="HRA157" s="1255"/>
      <c r="HRB157" s="1255"/>
      <c r="HRC157" s="1255"/>
      <c r="HRD157" s="1255"/>
      <c r="HRE157" s="1255"/>
      <c r="HRF157" s="1255"/>
      <c r="HRG157" s="1255"/>
      <c r="HRH157" s="1255"/>
      <c r="HRI157" s="1255"/>
      <c r="HRJ157" s="1255"/>
      <c r="HRK157" s="1255"/>
      <c r="HRL157" s="1255"/>
      <c r="HRM157" s="1255"/>
      <c r="HRN157" s="1255"/>
      <c r="HRO157" s="1255"/>
      <c r="HRP157" s="1255"/>
      <c r="HRQ157" s="1255"/>
      <c r="HRR157" s="1255"/>
      <c r="HRS157" s="1255"/>
      <c r="HRT157" s="1255"/>
      <c r="HRU157" s="1255"/>
      <c r="HRV157" s="1255"/>
      <c r="HRW157" s="1255"/>
      <c r="HRX157" s="1255"/>
      <c r="HRY157" s="1255"/>
      <c r="HRZ157" s="1255"/>
      <c r="HSA157" s="1255"/>
      <c r="HSB157" s="1255"/>
      <c r="HSC157" s="1255"/>
      <c r="HSD157" s="1255"/>
      <c r="HSE157" s="1255"/>
      <c r="HSF157" s="1255"/>
      <c r="HSG157" s="1255"/>
      <c r="HSH157" s="1255"/>
      <c r="HSI157" s="1255"/>
      <c r="HSJ157" s="1255"/>
      <c r="HSK157" s="1255"/>
      <c r="HSL157" s="1255"/>
      <c r="HSM157" s="1255"/>
      <c r="HSN157" s="1255"/>
      <c r="HSO157" s="1255"/>
      <c r="HSP157" s="1255"/>
      <c r="HSQ157" s="1255"/>
      <c r="HSR157" s="1255"/>
      <c r="HSS157" s="1255"/>
      <c r="HST157" s="1255"/>
      <c r="HSU157" s="1255"/>
      <c r="HSV157" s="1255"/>
      <c r="HSW157" s="1255"/>
      <c r="HSX157" s="1255"/>
      <c r="HSY157" s="1255"/>
      <c r="HSZ157" s="1255"/>
      <c r="HTA157" s="1255"/>
      <c r="HTB157" s="1255"/>
      <c r="HTC157" s="1255"/>
      <c r="HTD157" s="1255"/>
      <c r="HTE157" s="1255"/>
      <c r="HTF157" s="1255"/>
      <c r="HTG157" s="1255"/>
      <c r="HTH157" s="1255"/>
      <c r="HTI157" s="1255"/>
      <c r="HTJ157" s="1255"/>
      <c r="HTK157" s="1255"/>
      <c r="HTL157" s="1255"/>
      <c r="HTM157" s="1255"/>
      <c r="HTN157" s="1255"/>
      <c r="HTO157" s="1255"/>
      <c r="HTP157" s="1255"/>
      <c r="HTQ157" s="1255"/>
      <c r="HTR157" s="1255"/>
      <c r="HTS157" s="1255"/>
      <c r="HTT157" s="1255"/>
      <c r="HTU157" s="1255"/>
      <c r="HTV157" s="1255"/>
      <c r="HTW157" s="1255"/>
      <c r="HTX157" s="1255"/>
      <c r="HTY157" s="1255"/>
      <c r="HTZ157" s="1255"/>
      <c r="HUA157" s="1255"/>
      <c r="HUB157" s="1255"/>
      <c r="HUC157" s="1255"/>
      <c r="HUD157" s="1255"/>
      <c r="HUE157" s="1255"/>
      <c r="HUF157" s="1255"/>
      <c r="HUG157" s="1255"/>
      <c r="HUH157" s="1255"/>
      <c r="HUI157" s="1255"/>
      <c r="HUJ157" s="1255"/>
      <c r="HUK157" s="1255"/>
      <c r="HUL157" s="1255"/>
      <c r="HUM157" s="1255"/>
      <c r="HUN157" s="1255"/>
      <c r="HUO157" s="1255"/>
      <c r="HUP157" s="1255"/>
      <c r="HUQ157" s="1255"/>
      <c r="HUR157" s="1255"/>
      <c r="HUS157" s="1255"/>
      <c r="HUT157" s="1255"/>
      <c r="HUU157" s="1255"/>
      <c r="HUV157" s="1255"/>
      <c r="HUW157" s="1255"/>
      <c r="HUX157" s="1255"/>
      <c r="HUY157" s="1255"/>
      <c r="HUZ157" s="1255"/>
      <c r="HVA157" s="1255"/>
      <c r="HVB157" s="1255"/>
      <c r="HVC157" s="1255"/>
      <c r="HVD157" s="1255"/>
      <c r="HVE157" s="1255"/>
      <c r="HVF157" s="1255"/>
      <c r="HVG157" s="1255"/>
      <c r="HVH157" s="1255"/>
      <c r="HVI157" s="1255"/>
      <c r="HVJ157" s="1255"/>
      <c r="HVK157" s="1255"/>
      <c r="HVL157" s="1255"/>
      <c r="HVM157" s="1255"/>
      <c r="HVN157" s="1255"/>
      <c r="HVO157" s="1255"/>
      <c r="HVP157" s="1255"/>
      <c r="HVQ157" s="1255"/>
      <c r="HVR157" s="1255"/>
      <c r="HVS157" s="1255"/>
      <c r="HVT157" s="1255"/>
      <c r="HVU157" s="1255"/>
      <c r="HVV157" s="1255"/>
      <c r="HVW157" s="1255"/>
      <c r="HVX157" s="1255"/>
      <c r="HVY157" s="1255"/>
      <c r="HVZ157" s="1255"/>
      <c r="HWA157" s="1255"/>
      <c r="HWB157" s="1255"/>
      <c r="HWC157" s="1255"/>
      <c r="HWD157" s="1255"/>
      <c r="HWE157" s="1255"/>
      <c r="HWF157" s="1255"/>
      <c r="HWG157" s="1255"/>
      <c r="HWH157" s="1255"/>
      <c r="HWI157" s="1255"/>
      <c r="HWJ157" s="1255"/>
      <c r="HWK157" s="1255"/>
      <c r="HWL157" s="1255"/>
      <c r="HWM157" s="1255"/>
      <c r="HWN157" s="1255"/>
      <c r="HWO157" s="1255"/>
      <c r="HWP157" s="1255"/>
      <c r="HWQ157" s="1255"/>
      <c r="HWR157" s="1255"/>
      <c r="HWS157" s="1255"/>
      <c r="HWT157" s="1255"/>
      <c r="HWU157" s="1255"/>
      <c r="HWV157" s="1255"/>
      <c r="HWW157" s="1255"/>
      <c r="HWX157" s="1255"/>
      <c r="HWY157" s="1255"/>
      <c r="HWZ157" s="1255"/>
      <c r="HXA157" s="1255"/>
      <c r="HXB157" s="1255"/>
      <c r="HXC157" s="1255"/>
      <c r="HXD157" s="1255"/>
      <c r="HXE157" s="1255"/>
      <c r="HXF157" s="1255"/>
      <c r="HXG157" s="1255"/>
      <c r="HXH157" s="1255"/>
      <c r="HXI157" s="1255"/>
      <c r="HXJ157" s="1255"/>
      <c r="HXK157" s="1255"/>
      <c r="HXL157" s="1255"/>
      <c r="HXM157" s="1255"/>
      <c r="HXN157" s="1255"/>
      <c r="HXO157" s="1255"/>
      <c r="HXP157" s="1255"/>
      <c r="HXQ157" s="1255"/>
      <c r="HXR157" s="1255"/>
      <c r="HXS157" s="1255"/>
      <c r="HXT157" s="1255"/>
      <c r="HXU157" s="1255"/>
      <c r="HXV157" s="1255"/>
      <c r="HXW157" s="1255"/>
      <c r="HXX157" s="1255"/>
      <c r="HXY157" s="1255"/>
      <c r="HXZ157" s="1255"/>
      <c r="HYA157" s="1255"/>
      <c r="HYB157" s="1255"/>
      <c r="HYC157" s="1255"/>
      <c r="HYD157" s="1255"/>
      <c r="HYE157" s="1255"/>
      <c r="HYF157" s="1255"/>
      <c r="HYG157" s="1255"/>
      <c r="HYH157" s="1255"/>
      <c r="HYI157" s="1255"/>
      <c r="HYJ157" s="1255"/>
      <c r="HYK157" s="1255"/>
      <c r="HYL157" s="1255"/>
      <c r="HYM157" s="1255"/>
      <c r="HYN157" s="1255"/>
      <c r="HYO157" s="1255"/>
      <c r="HYP157" s="1255"/>
      <c r="HYQ157" s="1255"/>
      <c r="HYR157" s="1255"/>
      <c r="HYS157" s="1255"/>
      <c r="HYT157" s="1255"/>
      <c r="HYU157" s="1255"/>
      <c r="HYV157" s="1255"/>
      <c r="HYW157" s="1255"/>
      <c r="HYX157" s="1255"/>
      <c r="HYY157" s="1255"/>
      <c r="HYZ157" s="1255"/>
      <c r="HZA157" s="1255"/>
      <c r="HZB157" s="1255"/>
      <c r="HZC157" s="1255"/>
      <c r="HZD157" s="1255"/>
      <c r="HZE157" s="1255"/>
      <c r="HZF157" s="1255"/>
      <c r="HZG157" s="1255"/>
      <c r="HZH157" s="1255"/>
      <c r="HZI157" s="1255"/>
      <c r="HZJ157" s="1255"/>
      <c r="HZK157" s="1255"/>
      <c r="HZL157" s="1255"/>
      <c r="HZM157" s="1255"/>
      <c r="HZN157" s="1255"/>
      <c r="HZO157" s="1255"/>
      <c r="HZP157" s="1255"/>
      <c r="HZQ157" s="1255"/>
      <c r="HZR157" s="1255"/>
      <c r="HZS157" s="1255"/>
      <c r="HZT157" s="1255"/>
      <c r="HZU157" s="1255"/>
      <c r="HZV157" s="1255"/>
      <c r="HZW157" s="1255"/>
      <c r="HZX157" s="1255"/>
      <c r="HZY157" s="1255"/>
      <c r="HZZ157" s="1255"/>
      <c r="IAA157" s="1255"/>
      <c r="IAB157" s="1255"/>
      <c r="IAC157" s="1255"/>
      <c r="IAD157" s="1255"/>
      <c r="IAE157" s="1255"/>
      <c r="IAF157" s="1255"/>
      <c r="IAG157" s="1255"/>
      <c r="IAH157" s="1255"/>
      <c r="IAI157" s="1255"/>
      <c r="IAJ157" s="1255"/>
      <c r="IAK157" s="1255"/>
      <c r="IAL157" s="1255"/>
      <c r="IAM157" s="1255"/>
      <c r="IAN157" s="1255"/>
      <c r="IAO157" s="1255"/>
      <c r="IAP157" s="1255"/>
      <c r="IAQ157" s="1255"/>
      <c r="IAR157" s="1255"/>
      <c r="IAS157" s="1255"/>
      <c r="IAT157" s="1255"/>
      <c r="IAU157" s="1255"/>
      <c r="IAV157" s="1255"/>
      <c r="IAW157" s="1255"/>
      <c r="IAX157" s="1255"/>
      <c r="IAY157" s="1255"/>
      <c r="IAZ157" s="1255"/>
      <c r="IBA157" s="1255"/>
      <c r="IBB157" s="1255"/>
      <c r="IBC157" s="1255"/>
      <c r="IBD157" s="1255"/>
      <c r="IBE157" s="1255"/>
      <c r="IBF157" s="1255"/>
      <c r="IBG157" s="1255"/>
      <c r="IBH157" s="1255"/>
      <c r="IBI157" s="1255"/>
      <c r="IBJ157" s="1255"/>
      <c r="IBK157" s="1255"/>
      <c r="IBL157" s="1255"/>
      <c r="IBM157" s="1255"/>
      <c r="IBN157" s="1255"/>
      <c r="IBO157" s="1255"/>
      <c r="IBP157" s="1255"/>
      <c r="IBQ157" s="1255"/>
      <c r="IBR157" s="1255"/>
      <c r="IBS157" s="1255"/>
      <c r="IBT157" s="1255"/>
      <c r="IBU157" s="1255"/>
      <c r="IBV157" s="1255"/>
      <c r="IBW157" s="1255"/>
      <c r="IBX157" s="1255"/>
      <c r="IBY157" s="1255"/>
      <c r="IBZ157" s="1255"/>
      <c r="ICA157" s="1255"/>
      <c r="ICB157" s="1255"/>
      <c r="ICC157" s="1255"/>
      <c r="ICD157" s="1255"/>
      <c r="ICE157" s="1255"/>
      <c r="ICF157" s="1255"/>
      <c r="ICG157" s="1255"/>
      <c r="ICH157" s="1255"/>
      <c r="ICI157" s="1255"/>
      <c r="ICJ157" s="1255"/>
      <c r="ICK157" s="1255"/>
      <c r="ICL157" s="1255"/>
      <c r="ICM157" s="1255"/>
      <c r="ICN157" s="1255"/>
      <c r="ICO157" s="1255"/>
      <c r="ICP157" s="1255"/>
      <c r="ICQ157" s="1255"/>
      <c r="ICR157" s="1255"/>
      <c r="ICS157" s="1255"/>
      <c r="ICT157" s="1255"/>
      <c r="ICU157" s="1255"/>
      <c r="ICV157" s="1255"/>
      <c r="ICW157" s="1255"/>
      <c r="ICX157" s="1255"/>
      <c r="ICY157" s="1255"/>
      <c r="ICZ157" s="1255"/>
      <c r="IDA157" s="1255"/>
      <c r="IDB157" s="1255"/>
      <c r="IDC157" s="1255"/>
      <c r="IDD157" s="1255"/>
      <c r="IDE157" s="1255"/>
      <c r="IDF157" s="1255"/>
      <c r="IDG157" s="1255"/>
      <c r="IDH157" s="1255"/>
      <c r="IDI157" s="1255"/>
      <c r="IDJ157" s="1255"/>
      <c r="IDK157" s="1255"/>
      <c r="IDL157" s="1255"/>
      <c r="IDM157" s="1255"/>
      <c r="IDN157" s="1255"/>
      <c r="IDO157" s="1255"/>
      <c r="IDP157" s="1255"/>
      <c r="IDQ157" s="1255"/>
      <c r="IDR157" s="1255"/>
      <c r="IDS157" s="1255"/>
      <c r="IDT157" s="1255"/>
      <c r="IDU157" s="1255"/>
      <c r="IDV157" s="1255"/>
      <c r="IDW157" s="1255"/>
      <c r="IDX157" s="1255"/>
      <c r="IDY157" s="1255"/>
      <c r="IDZ157" s="1255"/>
      <c r="IEA157" s="1255"/>
      <c r="IEB157" s="1255"/>
      <c r="IEC157" s="1255"/>
      <c r="IED157" s="1255"/>
      <c r="IEE157" s="1255"/>
      <c r="IEF157" s="1255"/>
      <c r="IEG157" s="1255"/>
      <c r="IEH157" s="1255"/>
      <c r="IEI157" s="1255"/>
      <c r="IEJ157" s="1255"/>
      <c r="IEK157" s="1255"/>
      <c r="IEL157" s="1255"/>
      <c r="IEM157" s="1255"/>
      <c r="IEN157" s="1255"/>
      <c r="IEO157" s="1255"/>
      <c r="IEP157" s="1255"/>
      <c r="IEQ157" s="1255"/>
      <c r="IER157" s="1255"/>
      <c r="IES157" s="1255"/>
      <c r="IET157" s="1255"/>
      <c r="IEU157" s="1255"/>
      <c r="IEV157" s="1255"/>
      <c r="IEW157" s="1255"/>
      <c r="IEX157" s="1255"/>
      <c r="IEY157" s="1255"/>
      <c r="IEZ157" s="1255"/>
      <c r="IFA157" s="1255"/>
      <c r="IFB157" s="1255"/>
      <c r="IFC157" s="1255"/>
      <c r="IFD157" s="1255"/>
      <c r="IFE157" s="1255"/>
      <c r="IFF157" s="1255"/>
      <c r="IFG157" s="1255"/>
      <c r="IFH157" s="1255"/>
      <c r="IFI157" s="1255"/>
      <c r="IFJ157" s="1255"/>
      <c r="IFK157" s="1255"/>
      <c r="IFL157" s="1255"/>
      <c r="IFM157" s="1255"/>
      <c r="IFN157" s="1255"/>
      <c r="IFO157" s="1255"/>
      <c r="IFP157" s="1255"/>
      <c r="IFQ157" s="1255"/>
      <c r="IFR157" s="1255"/>
      <c r="IFS157" s="1255"/>
      <c r="IFT157" s="1255"/>
      <c r="IFU157" s="1255"/>
      <c r="IFV157" s="1255"/>
      <c r="IFW157" s="1255"/>
      <c r="IFX157" s="1255"/>
      <c r="IFY157" s="1255"/>
      <c r="IFZ157" s="1255"/>
      <c r="IGA157" s="1255"/>
      <c r="IGB157" s="1255"/>
      <c r="IGC157" s="1255"/>
      <c r="IGD157" s="1255"/>
      <c r="IGE157" s="1255"/>
      <c r="IGF157" s="1255"/>
      <c r="IGG157" s="1255"/>
      <c r="IGH157" s="1255"/>
      <c r="IGI157" s="1255"/>
      <c r="IGJ157" s="1255"/>
      <c r="IGK157" s="1255"/>
      <c r="IGL157" s="1255"/>
      <c r="IGM157" s="1255"/>
      <c r="IGN157" s="1255"/>
      <c r="IGO157" s="1255"/>
      <c r="IGP157" s="1255"/>
      <c r="IGQ157" s="1255"/>
      <c r="IGR157" s="1255"/>
      <c r="IGS157" s="1255"/>
      <c r="IGT157" s="1255"/>
      <c r="IGU157" s="1255"/>
      <c r="IGV157" s="1255"/>
      <c r="IGW157" s="1255"/>
      <c r="IGX157" s="1255"/>
      <c r="IGY157" s="1255"/>
      <c r="IGZ157" s="1255"/>
      <c r="IHA157" s="1255"/>
      <c r="IHB157" s="1255"/>
      <c r="IHC157" s="1255"/>
      <c r="IHD157" s="1255"/>
      <c r="IHE157" s="1255"/>
      <c r="IHF157" s="1255"/>
      <c r="IHG157" s="1255"/>
      <c r="IHH157" s="1255"/>
      <c r="IHI157" s="1255"/>
      <c r="IHJ157" s="1255"/>
      <c r="IHK157" s="1255"/>
      <c r="IHL157" s="1255"/>
      <c r="IHM157" s="1255"/>
      <c r="IHN157" s="1255"/>
      <c r="IHO157" s="1255"/>
      <c r="IHP157" s="1255"/>
      <c r="IHQ157" s="1255"/>
      <c r="IHR157" s="1255"/>
      <c r="IHS157" s="1255"/>
      <c r="IHT157" s="1255"/>
      <c r="IHU157" s="1255"/>
      <c r="IHV157" s="1255"/>
      <c r="IHW157" s="1255"/>
      <c r="IHX157" s="1255"/>
      <c r="IHY157" s="1255"/>
      <c r="IHZ157" s="1255"/>
      <c r="IIA157" s="1255"/>
      <c r="IIB157" s="1255"/>
      <c r="IIC157" s="1255"/>
      <c r="IID157" s="1255"/>
      <c r="IIE157" s="1255"/>
      <c r="IIF157" s="1255"/>
      <c r="IIG157" s="1255"/>
      <c r="IIH157" s="1255"/>
      <c r="III157" s="1255"/>
      <c r="IIJ157" s="1255"/>
      <c r="IIK157" s="1255"/>
      <c r="IIL157" s="1255"/>
      <c r="IIM157" s="1255"/>
      <c r="IIN157" s="1255"/>
      <c r="IIO157" s="1255"/>
      <c r="IIP157" s="1255"/>
      <c r="IIQ157" s="1255"/>
      <c r="IIR157" s="1255"/>
      <c r="IIS157" s="1255"/>
      <c r="IIT157" s="1255"/>
      <c r="IIU157" s="1255"/>
      <c r="IIV157" s="1255"/>
      <c r="IIW157" s="1255"/>
      <c r="IIX157" s="1255"/>
      <c r="IIY157" s="1255"/>
      <c r="IIZ157" s="1255"/>
      <c r="IJA157" s="1255"/>
      <c r="IJB157" s="1255"/>
      <c r="IJC157" s="1255"/>
      <c r="IJD157" s="1255"/>
      <c r="IJE157" s="1255"/>
      <c r="IJF157" s="1255"/>
      <c r="IJG157" s="1255"/>
      <c r="IJH157" s="1255"/>
      <c r="IJI157" s="1255"/>
      <c r="IJJ157" s="1255"/>
      <c r="IJK157" s="1255"/>
      <c r="IJL157" s="1255"/>
      <c r="IJM157" s="1255"/>
      <c r="IJN157" s="1255"/>
      <c r="IJO157" s="1255"/>
      <c r="IJP157" s="1255"/>
      <c r="IJQ157" s="1255"/>
      <c r="IJR157" s="1255"/>
      <c r="IJS157" s="1255"/>
      <c r="IJT157" s="1255"/>
      <c r="IJU157" s="1255"/>
      <c r="IJV157" s="1255"/>
      <c r="IJW157" s="1255"/>
      <c r="IJX157" s="1255"/>
      <c r="IJY157" s="1255"/>
      <c r="IJZ157" s="1255"/>
      <c r="IKA157" s="1255"/>
      <c r="IKB157" s="1255"/>
      <c r="IKC157" s="1255"/>
      <c r="IKD157" s="1255"/>
      <c r="IKE157" s="1255"/>
      <c r="IKF157" s="1255"/>
      <c r="IKG157" s="1255"/>
      <c r="IKH157" s="1255"/>
      <c r="IKI157" s="1255"/>
      <c r="IKJ157" s="1255"/>
      <c r="IKK157" s="1255"/>
      <c r="IKL157" s="1255"/>
      <c r="IKM157" s="1255"/>
      <c r="IKN157" s="1255"/>
      <c r="IKO157" s="1255"/>
      <c r="IKP157" s="1255"/>
      <c r="IKQ157" s="1255"/>
      <c r="IKR157" s="1255"/>
      <c r="IKS157" s="1255"/>
      <c r="IKT157" s="1255"/>
      <c r="IKU157" s="1255"/>
      <c r="IKV157" s="1255"/>
      <c r="IKW157" s="1255"/>
      <c r="IKX157" s="1255"/>
      <c r="IKY157" s="1255"/>
      <c r="IKZ157" s="1255"/>
      <c r="ILA157" s="1255"/>
      <c r="ILB157" s="1255"/>
      <c r="ILC157" s="1255"/>
      <c r="ILD157" s="1255"/>
      <c r="ILE157" s="1255"/>
      <c r="ILF157" s="1255"/>
      <c r="ILG157" s="1255"/>
      <c r="ILH157" s="1255"/>
      <c r="ILI157" s="1255"/>
      <c r="ILJ157" s="1255"/>
      <c r="ILK157" s="1255"/>
      <c r="ILL157" s="1255"/>
      <c r="ILM157" s="1255"/>
      <c r="ILN157" s="1255"/>
      <c r="ILO157" s="1255"/>
      <c r="ILP157" s="1255"/>
      <c r="ILQ157" s="1255"/>
      <c r="ILR157" s="1255"/>
      <c r="ILS157" s="1255"/>
      <c r="ILT157" s="1255"/>
      <c r="ILU157" s="1255"/>
      <c r="ILV157" s="1255"/>
      <c r="ILW157" s="1255"/>
      <c r="ILX157" s="1255"/>
      <c r="ILY157" s="1255"/>
      <c r="ILZ157" s="1255"/>
      <c r="IMA157" s="1255"/>
      <c r="IMB157" s="1255"/>
      <c r="IMC157" s="1255"/>
      <c r="IMD157" s="1255"/>
      <c r="IME157" s="1255"/>
      <c r="IMF157" s="1255"/>
      <c r="IMG157" s="1255"/>
      <c r="IMH157" s="1255"/>
      <c r="IMI157" s="1255"/>
      <c r="IMJ157" s="1255"/>
      <c r="IMK157" s="1255"/>
      <c r="IML157" s="1255"/>
      <c r="IMM157" s="1255"/>
      <c r="IMN157" s="1255"/>
      <c r="IMO157" s="1255"/>
      <c r="IMP157" s="1255"/>
      <c r="IMQ157" s="1255"/>
      <c r="IMR157" s="1255"/>
      <c r="IMS157" s="1255"/>
      <c r="IMT157" s="1255"/>
      <c r="IMU157" s="1255"/>
      <c r="IMV157" s="1255"/>
      <c r="IMW157" s="1255"/>
      <c r="IMX157" s="1255"/>
      <c r="IMY157" s="1255"/>
      <c r="IMZ157" s="1255"/>
      <c r="INA157" s="1255"/>
      <c r="INB157" s="1255"/>
      <c r="INC157" s="1255"/>
      <c r="IND157" s="1255"/>
      <c r="INE157" s="1255"/>
      <c r="INF157" s="1255"/>
      <c r="ING157" s="1255"/>
      <c r="INH157" s="1255"/>
      <c r="INI157" s="1255"/>
      <c r="INJ157" s="1255"/>
      <c r="INK157" s="1255"/>
      <c r="INL157" s="1255"/>
      <c r="INM157" s="1255"/>
      <c r="INN157" s="1255"/>
      <c r="INO157" s="1255"/>
      <c r="INP157" s="1255"/>
      <c r="INQ157" s="1255"/>
      <c r="INR157" s="1255"/>
      <c r="INS157" s="1255"/>
      <c r="INT157" s="1255"/>
      <c r="INU157" s="1255"/>
      <c r="INV157" s="1255"/>
      <c r="INW157" s="1255"/>
      <c r="INX157" s="1255"/>
      <c r="INY157" s="1255"/>
      <c r="INZ157" s="1255"/>
      <c r="IOA157" s="1255"/>
      <c r="IOB157" s="1255"/>
      <c r="IOC157" s="1255"/>
      <c r="IOD157" s="1255"/>
      <c r="IOE157" s="1255"/>
      <c r="IOF157" s="1255"/>
      <c r="IOG157" s="1255"/>
      <c r="IOH157" s="1255"/>
      <c r="IOI157" s="1255"/>
      <c r="IOJ157" s="1255"/>
      <c r="IOK157" s="1255"/>
      <c r="IOL157" s="1255"/>
      <c r="IOM157" s="1255"/>
      <c r="ION157" s="1255"/>
      <c r="IOO157" s="1255"/>
      <c r="IOP157" s="1255"/>
      <c r="IOQ157" s="1255"/>
      <c r="IOR157" s="1255"/>
      <c r="IOS157" s="1255"/>
      <c r="IOT157" s="1255"/>
      <c r="IOU157" s="1255"/>
      <c r="IOV157" s="1255"/>
      <c r="IOW157" s="1255"/>
      <c r="IOX157" s="1255"/>
      <c r="IOY157" s="1255"/>
      <c r="IOZ157" s="1255"/>
      <c r="IPA157" s="1255"/>
      <c r="IPB157" s="1255"/>
      <c r="IPC157" s="1255"/>
      <c r="IPD157" s="1255"/>
      <c r="IPE157" s="1255"/>
      <c r="IPF157" s="1255"/>
      <c r="IPG157" s="1255"/>
      <c r="IPH157" s="1255"/>
      <c r="IPI157" s="1255"/>
      <c r="IPJ157" s="1255"/>
      <c r="IPK157" s="1255"/>
      <c r="IPL157" s="1255"/>
      <c r="IPM157" s="1255"/>
      <c r="IPN157" s="1255"/>
      <c r="IPO157" s="1255"/>
      <c r="IPP157" s="1255"/>
      <c r="IPQ157" s="1255"/>
      <c r="IPR157" s="1255"/>
      <c r="IPS157" s="1255"/>
      <c r="IPT157" s="1255"/>
      <c r="IPU157" s="1255"/>
      <c r="IPV157" s="1255"/>
      <c r="IPW157" s="1255"/>
      <c r="IPX157" s="1255"/>
      <c r="IPY157" s="1255"/>
      <c r="IPZ157" s="1255"/>
      <c r="IQA157" s="1255"/>
      <c r="IQB157" s="1255"/>
      <c r="IQC157" s="1255"/>
      <c r="IQD157" s="1255"/>
      <c r="IQE157" s="1255"/>
      <c r="IQF157" s="1255"/>
      <c r="IQG157" s="1255"/>
      <c r="IQH157" s="1255"/>
      <c r="IQI157" s="1255"/>
      <c r="IQJ157" s="1255"/>
      <c r="IQK157" s="1255"/>
      <c r="IQL157" s="1255"/>
      <c r="IQM157" s="1255"/>
      <c r="IQN157" s="1255"/>
      <c r="IQO157" s="1255"/>
      <c r="IQP157" s="1255"/>
      <c r="IQQ157" s="1255"/>
      <c r="IQR157" s="1255"/>
      <c r="IQS157" s="1255"/>
      <c r="IQT157" s="1255"/>
      <c r="IQU157" s="1255"/>
      <c r="IQV157" s="1255"/>
      <c r="IQW157" s="1255"/>
      <c r="IQX157" s="1255"/>
      <c r="IQY157" s="1255"/>
      <c r="IQZ157" s="1255"/>
      <c r="IRA157" s="1255"/>
      <c r="IRB157" s="1255"/>
      <c r="IRC157" s="1255"/>
      <c r="IRD157" s="1255"/>
      <c r="IRE157" s="1255"/>
      <c r="IRF157" s="1255"/>
      <c r="IRG157" s="1255"/>
      <c r="IRH157" s="1255"/>
      <c r="IRI157" s="1255"/>
      <c r="IRJ157" s="1255"/>
      <c r="IRK157" s="1255"/>
      <c r="IRL157" s="1255"/>
      <c r="IRM157" s="1255"/>
      <c r="IRN157" s="1255"/>
      <c r="IRO157" s="1255"/>
      <c r="IRP157" s="1255"/>
      <c r="IRQ157" s="1255"/>
      <c r="IRR157" s="1255"/>
      <c r="IRS157" s="1255"/>
      <c r="IRT157" s="1255"/>
      <c r="IRU157" s="1255"/>
      <c r="IRV157" s="1255"/>
      <c r="IRW157" s="1255"/>
      <c r="IRX157" s="1255"/>
      <c r="IRY157" s="1255"/>
      <c r="IRZ157" s="1255"/>
      <c r="ISA157" s="1255"/>
      <c r="ISB157" s="1255"/>
      <c r="ISC157" s="1255"/>
      <c r="ISD157" s="1255"/>
      <c r="ISE157" s="1255"/>
      <c r="ISF157" s="1255"/>
      <c r="ISG157" s="1255"/>
      <c r="ISH157" s="1255"/>
      <c r="ISI157" s="1255"/>
      <c r="ISJ157" s="1255"/>
      <c r="ISK157" s="1255"/>
      <c r="ISL157" s="1255"/>
      <c r="ISM157" s="1255"/>
      <c r="ISN157" s="1255"/>
      <c r="ISO157" s="1255"/>
      <c r="ISP157" s="1255"/>
      <c r="ISQ157" s="1255"/>
      <c r="ISR157" s="1255"/>
      <c r="ISS157" s="1255"/>
      <c r="IST157" s="1255"/>
      <c r="ISU157" s="1255"/>
      <c r="ISV157" s="1255"/>
      <c r="ISW157" s="1255"/>
      <c r="ISX157" s="1255"/>
      <c r="ISY157" s="1255"/>
      <c r="ISZ157" s="1255"/>
      <c r="ITA157" s="1255"/>
      <c r="ITB157" s="1255"/>
      <c r="ITC157" s="1255"/>
      <c r="ITD157" s="1255"/>
      <c r="ITE157" s="1255"/>
      <c r="ITF157" s="1255"/>
      <c r="ITG157" s="1255"/>
      <c r="ITH157" s="1255"/>
      <c r="ITI157" s="1255"/>
      <c r="ITJ157" s="1255"/>
      <c r="ITK157" s="1255"/>
      <c r="ITL157" s="1255"/>
      <c r="ITM157" s="1255"/>
      <c r="ITN157" s="1255"/>
      <c r="ITO157" s="1255"/>
      <c r="ITP157" s="1255"/>
      <c r="ITQ157" s="1255"/>
      <c r="ITR157" s="1255"/>
      <c r="ITS157" s="1255"/>
      <c r="ITT157" s="1255"/>
      <c r="ITU157" s="1255"/>
      <c r="ITV157" s="1255"/>
      <c r="ITW157" s="1255"/>
      <c r="ITX157" s="1255"/>
      <c r="ITY157" s="1255"/>
      <c r="ITZ157" s="1255"/>
      <c r="IUA157" s="1255"/>
      <c r="IUB157" s="1255"/>
      <c r="IUC157" s="1255"/>
      <c r="IUD157" s="1255"/>
      <c r="IUE157" s="1255"/>
      <c r="IUF157" s="1255"/>
      <c r="IUG157" s="1255"/>
      <c r="IUH157" s="1255"/>
      <c r="IUI157" s="1255"/>
      <c r="IUJ157" s="1255"/>
      <c r="IUK157" s="1255"/>
      <c r="IUL157" s="1255"/>
      <c r="IUM157" s="1255"/>
      <c r="IUN157" s="1255"/>
      <c r="IUO157" s="1255"/>
      <c r="IUP157" s="1255"/>
      <c r="IUQ157" s="1255"/>
      <c r="IUR157" s="1255"/>
      <c r="IUS157" s="1255"/>
      <c r="IUT157" s="1255"/>
      <c r="IUU157" s="1255"/>
      <c r="IUV157" s="1255"/>
      <c r="IUW157" s="1255"/>
      <c r="IUX157" s="1255"/>
      <c r="IUY157" s="1255"/>
      <c r="IUZ157" s="1255"/>
      <c r="IVA157" s="1255"/>
      <c r="IVB157" s="1255"/>
      <c r="IVC157" s="1255"/>
      <c r="IVD157" s="1255"/>
      <c r="IVE157" s="1255"/>
      <c r="IVF157" s="1255"/>
      <c r="IVG157" s="1255"/>
      <c r="IVH157" s="1255"/>
      <c r="IVI157" s="1255"/>
      <c r="IVJ157" s="1255"/>
      <c r="IVK157" s="1255"/>
      <c r="IVL157" s="1255"/>
      <c r="IVM157" s="1255"/>
      <c r="IVN157" s="1255"/>
      <c r="IVO157" s="1255"/>
      <c r="IVP157" s="1255"/>
      <c r="IVQ157" s="1255"/>
      <c r="IVR157" s="1255"/>
      <c r="IVS157" s="1255"/>
      <c r="IVT157" s="1255"/>
      <c r="IVU157" s="1255"/>
      <c r="IVV157" s="1255"/>
      <c r="IVW157" s="1255"/>
      <c r="IVX157" s="1255"/>
      <c r="IVY157" s="1255"/>
      <c r="IVZ157" s="1255"/>
      <c r="IWA157" s="1255"/>
      <c r="IWB157" s="1255"/>
      <c r="IWC157" s="1255"/>
      <c r="IWD157" s="1255"/>
      <c r="IWE157" s="1255"/>
      <c r="IWF157" s="1255"/>
      <c r="IWG157" s="1255"/>
      <c r="IWH157" s="1255"/>
      <c r="IWI157" s="1255"/>
      <c r="IWJ157" s="1255"/>
      <c r="IWK157" s="1255"/>
      <c r="IWL157" s="1255"/>
      <c r="IWM157" s="1255"/>
      <c r="IWN157" s="1255"/>
      <c r="IWO157" s="1255"/>
      <c r="IWP157" s="1255"/>
      <c r="IWQ157" s="1255"/>
      <c r="IWR157" s="1255"/>
      <c r="IWS157" s="1255"/>
      <c r="IWT157" s="1255"/>
      <c r="IWU157" s="1255"/>
      <c r="IWV157" s="1255"/>
      <c r="IWW157" s="1255"/>
      <c r="IWX157" s="1255"/>
      <c r="IWY157" s="1255"/>
      <c r="IWZ157" s="1255"/>
      <c r="IXA157" s="1255"/>
      <c r="IXB157" s="1255"/>
      <c r="IXC157" s="1255"/>
      <c r="IXD157" s="1255"/>
      <c r="IXE157" s="1255"/>
      <c r="IXF157" s="1255"/>
      <c r="IXG157" s="1255"/>
      <c r="IXH157" s="1255"/>
      <c r="IXI157" s="1255"/>
      <c r="IXJ157" s="1255"/>
      <c r="IXK157" s="1255"/>
      <c r="IXL157" s="1255"/>
      <c r="IXM157" s="1255"/>
      <c r="IXN157" s="1255"/>
      <c r="IXO157" s="1255"/>
      <c r="IXP157" s="1255"/>
      <c r="IXQ157" s="1255"/>
      <c r="IXR157" s="1255"/>
      <c r="IXS157" s="1255"/>
      <c r="IXT157" s="1255"/>
      <c r="IXU157" s="1255"/>
      <c r="IXV157" s="1255"/>
      <c r="IXW157" s="1255"/>
      <c r="IXX157" s="1255"/>
      <c r="IXY157" s="1255"/>
      <c r="IXZ157" s="1255"/>
      <c r="IYA157" s="1255"/>
      <c r="IYB157" s="1255"/>
      <c r="IYC157" s="1255"/>
      <c r="IYD157" s="1255"/>
      <c r="IYE157" s="1255"/>
      <c r="IYF157" s="1255"/>
      <c r="IYG157" s="1255"/>
      <c r="IYH157" s="1255"/>
      <c r="IYI157" s="1255"/>
      <c r="IYJ157" s="1255"/>
      <c r="IYK157" s="1255"/>
      <c r="IYL157" s="1255"/>
      <c r="IYM157" s="1255"/>
      <c r="IYN157" s="1255"/>
      <c r="IYO157" s="1255"/>
      <c r="IYP157" s="1255"/>
      <c r="IYQ157" s="1255"/>
      <c r="IYR157" s="1255"/>
      <c r="IYS157" s="1255"/>
      <c r="IYT157" s="1255"/>
      <c r="IYU157" s="1255"/>
      <c r="IYV157" s="1255"/>
      <c r="IYW157" s="1255"/>
      <c r="IYX157" s="1255"/>
      <c r="IYY157" s="1255"/>
      <c r="IYZ157" s="1255"/>
      <c r="IZA157" s="1255"/>
      <c r="IZB157" s="1255"/>
      <c r="IZC157" s="1255"/>
      <c r="IZD157" s="1255"/>
      <c r="IZE157" s="1255"/>
      <c r="IZF157" s="1255"/>
      <c r="IZG157" s="1255"/>
      <c r="IZH157" s="1255"/>
      <c r="IZI157" s="1255"/>
      <c r="IZJ157" s="1255"/>
      <c r="IZK157" s="1255"/>
      <c r="IZL157" s="1255"/>
      <c r="IZM157" s="1255"/>
      <c r="IZN157" s="1255"/>
      <c r="IZO157" s="1255"/>
      <c r="IZP157" s="1255"/>
      <c r="IZQ157" s="1255"/>
      <c r="IZR157" s="1255"/>
      <c r="IZS157" s="1255"/>
      <c r="IZT157" s="1255"/>
      <c r="IZU157" s="1255"/>
      <c r="IZV157" s="1255"/>
      <c r="IZW157" s="1255"/>
      <c r="IZX157" s="1255"/>
      <c r="IZY157" s="1255"/>
      <c r="IZZ157" s="1255"/>
      <c r="JAA157" s="1255"/>
      <c r="JAB157" s="1255"/>
      <c r="JAC157" s="1255"/>
      <c r="JAD157" s="1255"/>
      <c r="JAE157" s="1255"/>
      <c r="JAF157" s="1255"/>
      <c r="JAG157" s="1255"/>
      <c r="JAH157" s="1255"/>
      <c r="JAI157" s="1255"/>
      <c r="JAJ157" s="1255"/>
      <c r="JAK157" s="1255"/>
      <c r="JAL157" s="1255"/>
      <c r="JAM157" s="1255"/>
      <c r="JAN157" s="1255"/>
      <c r="JAO157" s="1255"/>
      <c r="JAP157" s="1255"/>
      <c r="JAQ157" s="1255"/>
      <c r="JAR157" s="1255"/>
      <c r="JAS157" s="1255"/>
      <c r="JAT157" s="1255"/>
      <c r="JAU157" s="1255"/>
      <c r="JAV157" s="1255"/>
      <c r="JAW157" s="1255"/>
      <c r="JAX157" s="1255"/>
      <c r="JAY157" s="1255"/>
      <c r="JAZ157" s="1255"/>
      <c r="JBA157" s="1255"/>
      <c r="JBB157" s="1255"/>
      <c r="JBC157" s="1255"/>
      <c r="JBD157" s="1255"/>
      <c r="JBE157" s="1255"/>
      <c r="JBF157" s="1255"/>
      <c r="JBG157" s="1255"/>
      <c r="JBH157" s="1255"/>
      <c r="JBI157" s="1255"/>
      <c r="JBJ157" s="1255"/>
      <c r="JBK157" s="1255"/>
      <c r="JBL157" s="1255"/>
      <c r="JBM157" s="1255"/>
      <c r="JBN157" s="1255"/>
      <c r="JBO157" s="1255"/>
      <c r="JBP157" s="1255"/>
      <c r="JBQ157" s="1255"/>
      <c r="JBR157" s="1255"/>
      <c r="JBS157" s="1255"/>
      <c r="JBT157" s="1255"/>
      <c r="JBU157" s="1255"/>
      <c r="JBV157" s="1255"/>
      <c r="JBW157" s="1255"/>
      <c r="JBX157" s="1255"/>
      <c r="JBY157" s="1255"/>
      <c r="JBZ157" s="1255"/>
      <c r="JCA157" s="1255"/>
      <c r="JCB157" s="1255"/>
      <c r="JCC157" s="1255"/>
      <c r="JCD157" s="1255"/>
      <c r="JCE157" s="1255"/>
      <c r="JCF157" s="1255"/>
      <c r="JCG157" s="1255"/>
      <c r="JCH157" s="1255"/>
      <c r="JCI157" s="1255"/>
      <c r="JCJ157" s="1255"/>
      <c r="JCK157" s="1255"/>
      <c r="JCL157" s="1255"/>
      <c r="JCM157" s="1255"/>
      <c r="JCN157" s="1255"/>
      <c r="JCO157" s="1255"/>
      <c r="JCP157" s="1255"/>
      <c r="JCQ157" s="1255"/>
      <c r="JCR157" s="1255"/>
      <c r="JCS157" s="1255"/>
      <c r="JCT157" s="1255"/>
      <c r="JCU157" s="1255"/>
      <c r="JCV157" s="1255"/>
      <c r="JCW157" s="1255"/>
      <c r="JCX157" s="1255"/>
      <c r="JCY157" s="1255"/>
      <c r="JCZ157" s="1255"/>
      <c r="JDA157" s="1255"/>
      <c r="JDB157" s="1255"/>
      <c r="JDC157" s="1255"/>
      <c r="JDD157" s="1255"/>
      <c r="JDE157" s="1255"/>
      <c r="JDF157" s="1255"/>
      <c r="JDG157" s="1255"/>
      <c r="JDH157" s="1255"/>
      <c r="JDI157" s="1255"/>
      <c r="JDJ157" s="1255"/>
      <c r="JDK157" s="1255"/>
      <c r="JDL157" s="1255"/>
      <c r="JDM157" s="1255"/>
      <c r="JDN157" s="1255"/>
      <c r="JDO157" s="1255"/>
      <c r="JDP157" s="1255"/>
      <c r="JDQ157" s="1255"/>
      <c r="JDR157" s="1255"/>
      <c r="JDS157" s="1255"/>
      <c r="JDT157" s="1255"/>
      <c r="JDU157" s="1255"/>
      <c r="JDV157" s="1255"/>
      <c r="JDW157" s="1255"/>
      <c r="JDX157" s="1255"/>
      <c r="JDY157" s="1255"/>
      <c r="JDZ157" s="1255"/>
      <c r="JEA157" s="1255"/>
      <c r="JEB157" s="1255"/>
      <c r="JEC157" s="1255"/>
      <c r="JED157" s="1255"/>
      <c r="JEE157" s="1255"/>
      <c r="JEF157" s="1255"/>
      <c r="JEG157" s="1255"/>
      <c r="JEH157" s="1255"/>
      <c r="JEI157" s="1255"/>
      <c r="JEJ157" s="1255"/>
      <c r="JEK157" s="1255"/>
      <c r="JEL157" s="1255"/>
      <c r="JEM157" s="1255"/>
      <c r="JEN157" s="1255"/>
      <c r="JEO157" s="1255"/>
      <c r="JEP157" s="1255"/>
      <c r="JEQ157" s="1255"/>
      <c r="JER157" s="1255"/>
      <c r="JES157" s="1255"/>
      <c r="JET157" s="1255"/>
      <c r="JEU157" s="1255"/>
      <c r="JEV157" s="1255"/>
      <c r="JEW157" s="1255"/>
      <c r="JEX157" s="1255"/>
      <c r="JEY157" s="1255"/>
      <c r="JEZ157" s="1255"/>
      <c r="JFA157" s="1255"/>
      <c r="JFB157" s="1255"/>
      <c r="JFC157" s="1255"/>
      <c r="JFD157" s="1255"/>
      <c r="JFE157" s="1255"/>
      <c r="JFF157" s="1255"/>
      <c r="JFG157" s="1255"/>
      <c r="JFH157" s="1255"/>
      <c r="JFI157" s="1255"/>
      <c r="JFJ157" s="1255"/>
      <c r="JFK157" s="1255"/>
      <c r="JFL157" s="1255"/>
      <c r="JFM157" s="1255"/>
      <c r="JFN157" s="1255"/>
      <c r="JFO157" s="1255"/>
      <c r="JFP157" s="1255"/>
      <c r="JFQ157" s="1255"/>
      <c r="JFR157" s="1255"/>
      <c r="JFS157" s="1255"/>
      <c r="JFT157" s="1255"/>
      <c r="JFU157" s="1255"/>
      <c r="JFV157" s="1255"/>
      <c r="JFW157" s="1255"/>
      <c r="JFX157" s="1255"/>
      <c r="JFY157" s="1255"/>
      <c r="JFZ157" s="1255"/>
      <c r="JGA157" s="1255"/>
      <c r="JGB157" s="1255"/>
      <c r="JGC157" s="1255"/>
      <c r="JGD157" s="1255"/>
      <c r="JGE157" s="1255"/>
      <c r="JGF157" s="1255"/>
      <c r="JGG157" s="1255"/>
      <c r="JGH157" s="1255"/>
      <c r="JGI157" s="1255"/>
      <c r="JGJ157" s="1255"/>
      <c r="JGK157" s="1255"/>
      <c r="JGL157" s="1255"/>
      <c r="JGM157" s="1255"/>
      <c r="JGN157" s="1255"/>
      <c r="JGO157" s="1255"/>
      <c r="JGP157" s="1255"/>
      <c r="JGQ157" s="1255"/>
      <c r="JGR157" s="1255"/>
      <c r="JGS157" s="1255"/>
      <c r="JGT157" s="1255"/>
      <c r="JGU157" s="1255"/>
      <c r="JGV157" s="1255"/>
      <c r="JGW157" s="1255"/>
      <c r="JGX157" s="1255"/>
      <c r="JGY157" s="1255"/>
      <c r="JGZ157" s="1255"/>
      <c r="JHA157" s="1255"/>
      <c r="JHB157" s="1255"/>
      <c r="JHC157" s="1255"/>
      <c r="JHD157" s="1255"/>
      <c r="JHE157" s="1255"/>
      <c r="JHF157" s="1255"/>
      <c r="JHG157" s="1255"/>
      <c r="JHH157" s="1255"/>
      <c r="JHI157" s="1255"/>
      <c r="JHJ157" s="1255"/>
      <c r="JHK157" s="1255"/>
      <c r="JHL157" s="1255"/>
      <c r="JHM157" s="1255"/>
      <c r="JHN157" s="1255"/>
      <c r="JHO157" s="1255"/>
      <c r="JHP157" s="1255"/>
      <c r="JHQ157" s="1255"/>
      <c r="JHR157" s="1255"/>
      <c r="JHS157" s="1255"/>
      <c r="JHT157" s="1255"/>
      <c r="JHU157" s="1255"/>
      <c r="JHV157" s="1255"/>
      <c r="JHW157" s="1255"/>
      <c r="JHX157" s="1255"/>
      <c r="JHY157" s="1255"/>
      <c r="JHZ157" s="1255"/>
      <c r="JIA157" s="1255"/>
      <c r="JIB157" s="1255"/>
      <c r="JIC157" s="1255"/>
      <c r="JID157" s="1255"/>
      <c r="JIE157" s="1255"/>
      <c r="JIF157" s="1255"/>
      <c r="JIG157" s="1255"/>
      <c r="JIH157" s="1255"/>
      <c r="JII157" s="1255"/>
      <c r="JIJ157" s="1255"/>
      <c r="JIK157" s="1255"/>
      <c r="JIL157" s="1255"/>
      <c r="JIM157" s="1255"/>
      <c r="JIN157" s="1255"/>
      <c r="JIO157" s="1255"/>
      <c r="JIP157" s="1255"/>
      <c r="JIQ157" s="1255"/>
      <c r="JIR157" s="1255"/>
      <c r="JIS157" s="1255"/>
      <c r="JIT157" s="1255"/>
      <c r="JIU157" s="1255"/>
      <c r="JIV157" s="1255"/>
      <c r="JIW157" s="1255"/>
      <c r="JIX157" s="1255"/>
      <c r="JIY157" s="1255"/>
      <c r="JIZ157" s="1255"/>
      <c r="JJA157" s="1255"/>
      <c r="JJB157" s="1255"/>
      <c r="JJC157" s="1255"/>
      <c r="JJD157" s="1255"/>
      <c r="JJE157" s="1255"/>
      <c r="JJF157" s="1255"/>
      <c r="JJG157" s="1255"/>
      <c r="JJH157" s="1255"/>
      <c r="JJI157" s="1255"/>
      <c r="JJJ157" s="1255"/>
      <c r="JJK157" s="1255"/>
      <c r="JJL157" s="1255"/>
      <c r="JJM157" s="1255"/>
      <c r="JJN157" s="1255"/>
      <c r="JJO157" s="1255"/>
      <c r="JJP157" s="1255"/>
      <c r="JJQ157" s="1255"/>
      <c r="JJR157" s="1255"/>
      <c r="JJS157" s="1255"/>
      <c r="JJT157" s="1255"/>
      <c r="JJU157" s="1255"/>
      <c r="JJV157" s="1255"/>
      <c r="JJW157" s="1255"/>
      <c r="JJX157" s="1255"/>
      <c r="JJY157" s="1255"/>
      <c r="JJZ157" s="1255"/>
      <c r="JKA157" s="1255"/>
      <c r="JKB157" s="1255"/>
      <c r="JKC157" s="1255"/>
      <c r="JKD157" s="1255"/>
      <c r="JKE157" s="1255"/>
      <c r="JKF157" s="1255"/>
      <c r="JKG157" s="1255"/>
      <c r="JKH157" s="1255"/>
      <c r="JKI157" s="1255"/>
      <c r="JKJ157" s="1255"/>
      <c r="JKK157" s="1255"/>
      <c r="JKL157" s="1255"/>
      <c r="JKM157" s="1255"/>
      <c r="JKN157" s="1255"/>
      <c r="JKO157" s="1255"/>
      <c r="JKP157" s="1255"/>
      <c r="JKQ157" s="1255"/>
      <c r="JKR157" s="1255"/>
      <c r="JKS157" s="1255"/>
      <c r="JKT157" s="1255"/>
      <c r="JKU157" s="1255"/>
      <c r="JKV157" s="1255"/>
      <c r="JKW157" s="1255"/>
      <c r="JKX157" s="1255"/>
      <c r="JKY157" s="1255"/>
      <c r="JKZ157" s="1255"/>
      <c r="JLA157" s="1255"/>
      <c r="JLB157" s="1255"/>
      <c r="JLC157" s="1255"/>
      <c r="JLD157" s="1255"/>
      <c r="JLE157" s="1255"/>
      <c r="JLF157" s="1255"/>
      <c r="JLG157" s="1255"/>
      <c r="JLH157" s="1255"/>
      <c r="JLI157" s="1255"/>
      <c r="JLJ157" s="1255"/>
      <c r="JLK157" s="1255"/>
      <c r="JLL157" s="1255"/>
      <c r="JLM157" s="1255"/>
      <c r="JLN157" s="1255"/>
      <c r="JLO157" s="1255"/>
      <c r="JLP157" s="1255"/>
      <c r="JLQ157" s="1255"/>
      <c r="JLR157" s="1255"/>
      <c r="JLS157" s="1255"/>
      <c r="JLT157" s="1255"/>
      <c r="JLU157" s="1255"/>
      <c r="JLV157" s="1255"/>
      <c r="JLW157" s="1255"/>
      <c r="JLX157" s="1255"/>
      <c r="JLY157" s="1255"/>
      <c r="JLZ157" s="1255"/>
      <c r="JMA157" s="1255"/>
      <c r="JMB157" s="1255"/>
      <c r="JMC157" s="1255"/>
      <c r="JMD157" s="1255"/>
      <c r="JME157" s="1255"/>
      <c r="JMF157" s="1255"/>
      <c r="JMG157" s="1255"/>
      <c r="JMH157" s="1255"/>
      <c r="JMI157" s="1255"/>
      <c r="JMJ157" s="1255"/>
      <c r="JMK157" s="1255"/>
      <c r="JML157" s="1255"/>
      <c r="JMM157" s="1255"/>
      <c r="JMN157" s="1255"/>
      <c r="JMO157" s="1255"/>
      <c r="JMP157" s="1255"/>
      <c r="JMQ157" s="1255"/>
      <c r="JMR157" s="1255"/>
      <c r="JMS157" s="1255"/>
      <c r="JMT157" s="1255"/>
      <c r="JMU157" s="1255"/>
      <c r="JMV157" s="1255"/>
      <c r="JMW157" s="1255"/>
      <c r="JMX157" s="1255"/>
      <c r="JMY157" s="1255"/>
      <c r="JMZ157" s="1255"/>
      <c r="JNA157" s="1255"/>
      <c r="JNB157" s="1255"/>
      <c r="JNC157" s="1255"/>
      <c r="JND157" s="1255"/>
      <c r="JNE157" s="1255"/>
      <c r="JNF157" s="1255"/>
      <c r="JNG157" s="1255"/>
      <c r="JNH157" s="1255"/>
      <c r="JNI157" s="1255"/>
      <c r="JNJ157" s="1255"/>
      <c r="JNK157" s="1255"/>
      <c r="JNL157" s="1255"/>
      <c r="JNM157" s="1255"/>
      <c r="JNN157" s="1255"/>
      <c r="JNO157" s="1255"/>
      <c r="JNP157" s="1255"/>
      <c r="JNQ157" s="1255"/>
      <c r="JNR157" s="1255"/>
      <c r="JNS157" s="1255"/>
      <c r="JNT157" s="1255"/>
      <c r="JNU157" s="1255"/>
      <c r="JNV157" s="1255"/>
      <c r="JNW157" s="1255"/>
      <c r="JNX157" s="1255"/>
      <c r="JNY157" s="1255"/>
      <c r="JNZ157" s="1255"/>
      <c r="JOA157" s="1255"/>
      <c r="JOB157" s="1255"/>
      <c r="JOC157" s="1255"/>
      <c r="JOD157" s="1255"/>
      <c r="JOE157" s="1255"/>
      <c r="JOF157" s="1255"/>
      <c r="JOG157" s="1255"/>
      <c r="JOH157" s="1255"/>
      <c r="JOI157" s="1255"/>
      <c r="JOJ157" s="1255"/>
      <c r="JOK157" s="1255"/>
      <c r="JOL157" s="1255"/>
      <c r="JOM157" s="1255"/>
      <c r="JON157" s="1255"/>
      <c r="JOO157" s="1255"/>
      <c r="JOP157" s="1255"/>
      <c r="JOQ157" s="1255"/>
      <c r="JOR157" s="1255"/>
      <c r="JOS157" s="1255"/>
      <c r="JOT157" s="1255"/>
      <c r="JOU157" s="1255"/>
      <c r="JOV157" s="1255"/>
      <c r="JOW157" s="1255"/>
      <c r="JOX157" s="1255"/>
      <c r="JOY157" s="1255"/>
      <c r="JOZ157" s="1255"/>
      <c r="JPA157" s="1255"/>
      <c r="JPB157" s="1255"/>
      <c r="JPC157" s="1255"/>
      <c r="JPD157" s="1255"/>
      <c r="JPE157" s="1255"/>
      <c r="JPF157" s="1255"/>
      <c r="JPG157" s="1255"/>
      <c r="JPH157" s="1255"/>
      <c r="JPI157" s="1255"/>
      <c r="JPJ157" s="1255"/>
      <c r="JPK157" s="1255"/>
      <c r="JPL157" s="1255"/>
      <c r="JPM157" s="1255"/>
      <c r="JPN157" s="1255"/>
      <c r="JPO157" s="1255"/>
      <c r="JPP157" s="1255"/>
      <c r="JPQ157" s="1255"/>
      <c r="JPR157" s="1255"/>
      <c r="JPS157" s="1255"/>
      <c r="JPT157" s="1255"/>
      <c r="JPU157" s="1255"/>
      <c r="JPV157" s="1255"/>
      <c r="JPW157" s="1255"/>
      <c r="JPX157" s="1255"/>
      <c r="JPY157" s="1255"/>
      <c r="JPZ157" s="1255"/>
      <c r="JQA157" s="1255"/>
      <c r="JQB157" s="1255"/>
      <c r="JQC157" s="1255"/>
      <c r="JQD157" s="1255"/>
      <c r="JQE157" s="1255"/>
      <c r="JQF157" s="1255"/>
      <c r="JQG157" s="1255"/>
      <c r="JQH157" s="1255"/>
      <c r="JQI157" s="1255"/>
      <c r="JQJ157" s="1255"/>
      <c r="JQK157" s="1255"/>
      <c r="JQL157" s="1255"/>
      <c r="JQM157" s="1255"/>
      <c r="JQN157" s="1255"/>
      <c r="JQO157" s="1255"/>
      <c r="JQP157" s="1255"/>
      <c r="JQQ157" s="1255"/>
      <c r="JQR157" s="1255"/>
      <c r="JQS157" s="1255"/>
      <c r="JQT157" s="1255"/>
      <c r="JQU157" s="1255"/>
      <c r="JQV157" s="1255"/>
      <c r="JQW157" s="1255"/>
      <c r="JQX157" s="1255"/>
      <c r="JQY157" s="1255"/>
      <c r="JQZ157" s="1255"/>
      <c r="JRA157" s="1255"/>
      <c r="JRB157" s="1255"/>
      <c r="JRC157" s="1255"/>
      <c r="JRD157" s="1255"/>
      <c r="JRE157" s="1255"/>
      <c r="JRF157" s="1255"/>
      <c r="JRG157" s="1255"/>
      <c r="JRH157" s="1255"/>
      <c r="JRI157" s="1255"/>
      <c r="JRJ157" s="1255"/>
      <c r="JRK157" s="1255"/>
      <c r="JRL157" s="1255"/>
      <c r="JRM157" s="1255"/>
      <c r="JRN157" s="1255"/>
      <c r="JRO157" s="1255"/>
      <c r="JRP157" s="1255"/>
      <c r="JRQ157" s="1255"/>
      <c r="JRR157" s="1255"/>
      <c r="JRS157" s="1255"/>
      <c r="JRT157" s="1255"/>
      <c r="JRU157" s="1255"/>
      <c r="JRV157" s="1255"/>
      <c r="JRW157" s="1255"/>
      <c r="JRX157" s="1255"/>
      <c r="JRY157" s="1255"/>
      <c r="JRZ157" s="1255"/>
      <c r="JSA157" s="1255"/>
      <c r="JSB157" s="1255"/>
      <c r="JSC157" s="1255"/>
      <c r="JSD157" s="1255"/>
      <c r="JSE157" s="1255"/>
      <c r="JSF157" s="1255"/>
      <c r="JSG157" s="1255"/>
      <c r="JSH157" s="1255"/>
      <c r="JSI157" s="1255"/>
      <c r="JSJ157" s="1255"/>
      <c r="JSK157" s="1255"/>
      <c r="JSL157" s="1255"/>
      <c r="JSM157" s="1255"/>
      <c r="JSN157" s="1255"/>
      <c r="JSO157" s="1255"/>
      <c r="JSP157" s="1255"/>
      <c r="JSQ157" s="1255"/>
      <c r="JSR157" s="1255"/>
      <c r="JSS157" s="1255"/>
      <c r="JST157" s="1255"/>
      <c r="JSU157" s="1255"/>
      <c r="JSV157" s="1255"/>
      <c r="JSW157" s="1255"/>
      <c r="JSX157" s="1255"/>
      <c r="JSY157" s="1255"/>
      <c r="JSZ157" s="1255"/>
      <c r="JTA157" s="1255"/>
      <c r="JTB157" s="1255"/>
      <c r="JTC157" s="1255"/>
      <c r="JTD157" s="1255"/>
      <c r="JTE157" s="1255"/>
      <c r="JTF157" s="1255"/>
      <c r="JTG157" s="1255"/>
      <c r="JTH157" s="1255"/>
      <c r="JTI157" s="1255"/>
      <c r="JTJ157" s="1255"/>
      <c r="JTK157" s="1255"/>
      <c r="JTL157" s="1255"/>
      <c r="JTM157" s="1255"/>
      <c r="JTN157" s="1255"/>
      <c r="JTO157" s="1255"/>
      <c r="JTP157" s="1255"/>
      <c r="JTQ157" s="1255"/>
      <c r="JTR157" s="1255"/>
      <c r="JTS157" s="1255"/>
      <c r="JTT157" s="1255"/>
      <c r="JTU157" s="1255"/>
      <c r="JTV157" s="1255"/>
      <c r="JTW157" s="1255"/>
      <c r="JTX157" s="1255"/>
      <c r="JTY157" s="1255"/>
      <c r="JTZ157" s="1255"/>
      <c r="JUA157" s="1255"/>
      <c r="JUB157" s="1255"/>
      <c r="JUC157" s="1255"/>
      <c r="JUD157" s="1255"/>
      <c r="JUE157" s="1255"/>
      <c r="JUF157" s="1255"/>
      <c r="JUG157" s="1255"/>
      <c r="JUH157" s="1255"/>
      <c r="JUI157" s="1255"/>
      <c r="JUJ157" s="1255"/>
      <c r="JUK157" s="1255"/>
      <c r="JUL157" s="1255"/>
      <c r="JUM157" s="1255"/>
      <c r="JUN157" s="1255"/>
      <c r="JUO157" s="1255"/>
      <c r="JUP157" s="1255"/>
      <c r="JUQ157" s="1255"/>
      <c r="JUR157" s="1255"/>
      <c r="JUS157" s="1255"/>
      <c r="JUT157" s="1255"/>
      <c r="JUU157" s="1255"/>
      <c r="JUV157" s="1255"/>
      <c r="JUW157" s="1255"/>
      <c r="JUX157" s="1255"/>
      <c r="JUY157" s="1255"/>
      <c r="JUZ157" s="1255"/>
      <c r="JVA157" s="1255"/>
      <c r="JVB157" s="1255"/>
      <c r="JVC157" s="1255"/>
      <c r="JVD157" s="1255"/>
      <c r="JVE157" s="1255"/>
      <c r="JVF157" s="1255"/>
      <c r="JVG157" s="1255"/>
      <c r="JVH157" s="1255"/>
      <c r="JVI157" s="1255"/>
      <c r="JVJ157" s="1255"/>
      <c r="JVK157" s="1255"/>
      <c r="JVL157" s="1255"/>
      <c r="JVM157" s="1255"/>
      <c r="JVN157" s="1255"/>
      <c r="JVO157" s="1255"/>
      <c r="JVP157" s="1255"/>
      <c r="JVQ157" s="1255"/>
      <c r="JVR157" s="1255"/>
      <c r="JVS157" s="1255"/>
      <c r="JVT157" s="1255"/>
      <c r="JVU157" s="1255"/>
      <c r="JVV157" s="1255"/>
      <c r="JVW157" s="1255"/>
      <c r="JVX157" s="1255"/>
      <c r="JVY157" s="1255"/>
      <c r="JVZ157" s="1255"/>
      <c r="JWA157" s="1255"/>
      <c r="JWB157" s="1255"/>
      <c r="JWC157" s="1255"/>
      <c r="JWD157" s="1255"/>
      <c r="JWE157" s="1255"/>
      <c r="JWF157" s="1255"/>
      <c r="JWG157" s="1255"/>
      <c r="JWH157" s="1255"/>
      <c r="JWI157" s="1255"/>
      <c r="JWJ157" s="1255"/>
      <c r="JWK157" s="1255"/>
      <c r="JWL157" s="1255"/>
      <c r="JWM157" s="1255"/>
      <c r="JWN157" s="1255"/>
      <c r="JWO157" s="1255"/>
      <c r="JWP157" s="1255"/>
      <c r="JWQ157" s="1255"/>
      <c r="JWR157" s="1255"/>
      <c r="JWS157" s="1255"/>
      <c r="JWT157" s="1255"/>
      <c r="JWU157" s="1255"/>
      <c r="JWV157" s="1255"/>
      <c r="JWW157" s="1255"/>
      <c r="JWX157" s="1255"/>
      <c r="JWY157" s="1255"/>
      <c r="JWZ157" s="1255"/>
      <c r="JXA157" s="1255"/>
      <c r="JXB157" s="1255"/>
      <c r="JXC157" s="1255"/>
      <c r="JXD157" s="1255"/>
      <c r="JXE157" s="1255"/>
      <c r="JXF157" s="1255"/>
      <c r="JXG157" s="1255"/>
      <c r="JXH157" s="1255"/>
      <c r="JXI157" s="1255"/>
      <c r="JXJ157" s="1255"/>
      <c r="JXK157" s="1255"/>
      <c r="JXL157" s="1255"/>
      <c r="JXM157" s="1255"/>
      <c r="JXN157" s="1255"/>
      <c r="JXO157" s="1255"/>
      <c r="JXP157" s="1255"/>
      <c r="JXQ157" s="1255"/>
      <c r="JXR157" s="1255"/>
      <c r="JXS157" s="1255"/>
      <c r="JXT157" s="1255"/>
      <c r="JXU157" s="1255"/>
      <c r="JXV157" s="1255"/>
      <c r="JXW157" s="1255"/>
      <c r="JXX157" s="1255"/>
      <c r="JXY157" s="1255"/>
      <c r="JXZ157" s="1255"/>
      <c r="JYA157" s="1255"/>
      <c r="JYB157" s="1255"/>
      <c r="JYC157" s="1255"/>
      <c r="JYD157" s="1255"/>
      <c r="JYE157" s="1255"/>
      <c r="JYF157" s="1255"/>
      <c r="JYG157" s="1255"/>
      <c r="JYH157" s="1255"/>
      <c r="JYI157" s="1255"/>
      <c r="JYJ157" s="1255"/>
      <c r="JYK157" s="1255"/>
      <c r="JYL157" s="1255"/>
      <c r="JYM157" s="1255"/>
      <c r="JYN157" s="1255"/>
      <c r="JYO157" s="1255"/>
      <c r="JYP157" s="1255"/>
      <c r="JYQ157" s="1255"/>
      <c r="JYR157" s="1255"/>
      <c r="JYS157" s="1255"/>
      <c r="JYT157" s="1255"/>
      <c r="JYU157" s="1255"/>
      <c r="JYV157" s="1255"/>
      <c r="JYW157" s="1255"/>
      <c r="JYX157" s="1255"/>
      <c r="JYY157" s="1255"/>
      <c r="JYZ157" s="1255"/>
      <c r="JZA157" s="1255"/>
      <c r="JZB157" s="1255"/>
      <c r="JZC157" s="1255"/>
      <c r="JZD157" s="1255"/>
      <c r="JZE157" s="1255"/>
      <c r="JZF157" s="1255"/>
      <c r="JZG157" s="1255"/>
      <c r="JZH157" s="1255"/>
      <c r="JZI157" s="1255"/>
      <c r="JZJ157" s="1255"/>
      <c r="JZK157" s="1255"/>
      <c r="JZL157" s="1255"/>
      <c r="JZM157" s="1255"/>
      <c r="JZN157" s="1255"/>
      <c r="JZO157" s="1255"/>
      <c r="JZP157" s="1255"/>
      <c r="JZQ157" s="1255"/>
      <c r="JZR157" s="1255"/>
      <c r="JZS157" s="1255"/>
      <c r="JZT157" s="1255"/>
      <c r="JZU157" s="1255"/>
      <c r="JZV157" s="1255"/>
      <c r="JZW157" s="1255"/>
      <c r="JZX157" s="1255"/>
      <c r="JZY157" s="1255"/>
      <c r="JZZ157" s="1255"/>
      <c r="KAA157" s="1255"/>
      <c r="KAB157" s="1255"/>
      <c r="KAC157" s="1255"/>
      <c r="KAD157" s="1255"/>
      <c r="KAE157" s="1255"/>
      <c r="KAF157" s="1255"/>
      <c r="KAG157" s="1255"/>
      <c r="KAH157" s="1255"/>
      <c r="KAI157" s="1255"/>
      <c r="KAJ157" s="1255"/>
      <c r="KAK157" s="1255"/>
      <c r="KAL157" s="1255"/>
      <c r="KAM157" s="1255"/>
      <c r="KAN157" s="1255"/>
      <c r="KAO157" s="1255"/>
      <c r="KAP157" s="1255"/>
      <c r="KAQ157" s="1255"/>
      <c r="KAR157" s="1255"/>
      <c r="KAS157" s="1255"/>
      <c r="KAT157" s="1255"/>
      <c r="KAU157" s="1255"/>
      <c r="KAV157" s="1255"/>
      <c r="KAW157" s="1255"/>
      <c r="KAX157" s="1255"/>
      <c r="KAY157" s="1255"/>
      <c r="KAZ157" s="1255"/>
      <c r="KBA157" s="1255"/>
      <c r="KBB157" s="1255"/>
      <c r="KBC157" s="1255"/>
      <c r="KBD157" s="1255"/>
      <c r="KBE157" s="1255"/>
      <c r="KBF157" s="1255"/>
      <c r="KBG157" s="1255"/>
      <c r="KBH157" s="1255"/>
      <c r="KBI157" s="1255"/>
      <c r="KBJ157" s="1255"/>
      <c r="KBK157" s="1255"/>
      <c r="KBL157" s="1255"/>
      <c r="KBM157" s="1255"/>
      <c r="KBN157" s="1255"/>
      <c r="KBO157" s="1255"/>
      <c r="KBP157" s="1255"/>
      <c r="KBQ157" s="1255"/>
      <c r="KBR157" s="1255"/>
      <c r="KBS157" s="1255"/>
      <c r="KBT157" s="1255"/>
      <c r="KBU157" s="1255"/>
      <c r="KBV157" s="1255"/>
      <c r="KBW157" s="1255"/>
      <c r="KBX157" s="1255"/>
      <c r="KBY157" s="1255"/>
      <c r="KBZ157" s="1255"/>
      <c r="KCA157" s="1255"/>
      <c r="KCB157" s="1255"/>
      <c r="KCC157" s="1255"/>
      <c r="KCD157" s="1255"/>
      <c r="KCE157" s="1255"/>
      <c r="KCF157" s="1255"/>
      <c r="KCG157" s="1255"/>
      <c r="KCH157" s="1255"/>
      <c r="KCI157" s="1255"/>
      <c r="KCJ157" s="1255"/>
      <c r="KCK157" s="1255"/>
      <c r="KCL157" s="1255"/>
      <c r="KCM157" s="1255"/>
      <c r="KCN157" s="1255"/>
      <c r="KCO157" s="1255"/>
      <c r="KCP157" s="1255"/>
      <c r="KCQ157" s="1255"/>
      <c r="KCR157" s="1255"/>
      <c r="KCS157" s="1255"/>
      <c r="KCT157" s="1255"/>
      <c r="KCU157" s="1255"/>
      <c r="KCV157" s="1255"/>
      <c r="KCW157" s="1255"/>
      <c r="KCX157" s="1255"/>
      <c r="KCY157" s="1255"/>
      <c r="KCZ157" s="1255"/>
      <c r="KDA157" s="1255"/>
      <c r="KDB157" s="1255"/>
      <c r="KDC157" s="1255"/>
      <c r="KDD157" s="1255"/>
      <c r="KDE157" s="1255"/>
      <c r="KDF157" s="1255"/>
      <c r="KDG157" s="1255"/>
      <c r="KDH157" s="1255"/>
      <c r="KDI157" s="1255"/>
      <c r="KDJ157" s="1255"/>
      <c r="KDK157" s="1255"/>
      <c r="KDL157" s="1255"/>
      <c r="KDM157" s="1255"/>
      <c r="KDN157" s="1255"/>
      <c r="KDO157" s="1255"/>
      <c r="KDP157" s="1255"/>
      <c r="KDQ157" s="1255"/>
      <c r="KDR157" s="1255"/>
      <c r="KDS157" s="1255"/>
      <c r="KDT157" s="1255"/>
      <c r="KDU157" s="1255"/>
      <c r="KDV157" s="1255"/>
      <c r="KDW157" s="1255"/>
      <c r="KDX157" s="1255"/>
      <c r="KDY157" s="1255"/>
      <c r="KDZ157" s="1255"/>
      <c r="KEA157" s="1255"/>
      <c r="KEB157" s="1255"/>
      <c r="KEC157" s="1255"/>
      <c r="KED157" s="1255"/>
      <c r="KEE157" s="1255"/>
      <c r="KEF157" s="1255"/>
      <c r="KEG157" s="1255"/>
      <c r="KEH157" s="1255"/>
      <c r="KEI157" s="1255"/>
      <c r="KEJ157" s="1255"/>
      <c r="KEK157" s="1255"/>
      <c r="KEL157" s="1255"/>
      <c r="KEM157" s="1255"/>
      <c r="KEN157" s="1255"/>
      <c r="KEO157" s="1255"/>
      <c r="KEP157" s="1255"/>
      <c r="KEQ157" s="1255"/>
      <c r="KER157" s="1255"/>
      <c r="KES157" s="1255"/>
      <c r="KET157" s="1255"/>
      <c r="KEU157" s="1255"/>
      <c r="KEV157" s="1255"/>
      <c r="KEW157" s="1255"/>
      <c r="KEX157" s="1255"/>
      <c r="KEY157" s="1255"/>
      <c r="KEZ157" s="1255"/>
      <c r="KFA157" s="1255"/>
      <c r="KFB157" s="1255"/>
      <c r="KFC157" s="1255"/>
      <c r="KFD157" s="1255"/>
      <c r="KFE157" s="1255"/>
      <c r="KFF157" s="1255"/>
      <c r="KFG157" s="1255"/>
      <c r="KFH157" s="1255"/>
      <c r="KFI157" s="1255"/>
      <c r="KFJ157" s="1255"/>
      <c r="KFK157" s="1255"/>
      <c r="KFL157" s="1255"/>
      <c r="KFM157" s="1255"/>
      <c r="KFN157" s="1255"/>
      <c r="KFO157" s="1255"/>
      <c r="KFP157" s="1255"/>
      <c r="KFQ157" s="1255"/>
      <c r="KFR157" s="1255"/>
      <c r="KFS157" s="1255"/>
      <c r="KFT157" s="1255"/>
      <c r="KFU157" s="1255"/>
      <c r="KFV157" s="1255"/>
      <c r="KFW157" s="1255"/>
      <c r="KFX157" s="1255"/>
      <c r="KFY157" s="1255"/>
      <c r="KFZ157" s="1255"/>
      <c r="KGA157" s="1255"/>
      <c r="KGB157" s="1255"/>
      <c r="KGC157" s="1255"/>
      <c r="KGD157" s="1255"/>
      <c r="KGE157" s="1255"/>
      <c r="KGF157" s="1255"/>
      <c r="KGG157" s="1255"/>
      <c r="KGH157" s="1255"/>
      <c r="KGI157" s="1255"/>
      <c r="KGJ157" s="1255"/>
      <c r="KGK157" s="1255"/>
      <c r="KGL157" s="1255"/>
      <c r="KGM157" s="1255"/>
      <c r="KGN157" s="1255"/>
      <c r="KGO157" s="1255"/>
      <c r="KGP157" s="1255"/>
      <c r="KGQ157" s="1255"/>
      <c r="KGR157" s="1255"/>
      <c r="KGS157" s="1255"/>
      <c r="KGT157" s="1255"/>
      <c r="KGU157" s="1255"/>
      <c r="KGV157" s="1255"/>
      <c r="KGW157" s="1255"/>
      <c r="KGX157" s="1255"/>
      <c r="KGY157" s="1255"/>
      <c r="KGZ157" s="1255"/>
      <c r="KHA157" s="1255"/>
      <c r="KHB157" s="1255"/>
      <c r="KHC157" s="1255"/>
      <c r="KHD157" s="1255"/>
      <c r="KHE157" s="1255"/>
      <c r="KHF157" s="1255"/>
      <c r="KHG157" s="1255"/>
      <c r="KHH157" s="1255"/>
      <c r="KHI157" s="1255"/>
      <c r="KHJ157" s="1255"/>
      <c r="KHK157" s="1255"/>
      <c r="KHL157" s="1255"/>
      <c r="KHM157" s="1255"/>
      <c r="KHN157" s="1255"/>
      <c r="KHO157" s="1255"/>
      <c r="KHP157" s="1255"/>
      <c r="KHQ157" s="1255"/>
      <c r="KHR157" s="1255"/>
      <c r="KHS157" s="1255"/>
      <c r="KHT157" s="1255"/>
      <c r="KHU157" s="1255"/>
      <c r="KHV157" s="1255"/>
      <c r="KHW157" s="1255"/>
      <c r="KHX157" s="1255"/>
      <c r="KHY157" s="1255"/>
      <c r="KHZ157" s="1255"/>
      <c r="KIA157" s="1255"/>
      <c r="KIB157" s="1255"/>
      <c r="KIC157" s="1255"/>
      <c r="KID157" s="1255"/>
      <c r="KIE157" s="1255"/>
      <c r="KIF157" s="1255"/>
      <c r="KIG157" s="1255"/>
      <c r="KIH157" s="1255"/>
      <c r="KII157" s="1255"/>
      <c r="KIJ157" s="1255"/>
      <c r="KIK157" s="1255"/>
      <c r="KIL157" s="1255"/>
      <c r="KIM157" s="1255"/>
      <c r="KIN157" s="1255"/>
      <c r="KIO157" s="1255"/>
      <c r="KIP157" s="1255"/>
      <c r="KIQ157" s="1255"/>
      <c r="KIR157" s="1255"/>
      <c r="KIS157" s="1255"/>
      <c r="KIT157" s="1255"/>
      <c r="KIU157" s="1255"/>
      <c r="KIV157" s="1255"/>
      <c r="KIW157" s="1255"/>
      <c r="KIX157" s="1255"/>
      <c r="KIY157" s="1255"/>
      <c r="KIZ157" s="1255"/>
      <c r="KJA157" s="1255"/>
      <c r="KJB157" s="1255"/>
      <c r="KJC157" s="1255"/>
      <c r="KJD157" s="1255"/>
      <c r="KJE157" s="1255"/>
      <c r="KJF157" s="1255"/>
      <c r="KJG157" s="1255"/>
      <c r="KJH157" s="1255"/>
      <c r="KJI157" s="1255"/>
      <c r="KJJ157" s="1255"/>
      <c r="KJK157" s="1255"/>
      <c r="KJL157" s="1255"/>
      <c r="KJM157" s="1255"/>
      <c r="KJN157" s="1255"/>
      <c r="KJO157" s="1255"/>
      <c r="KJP157" s="1255"/>
      <c r="KJQ157" s="1255"/>
      <c r="KJR157" s="1255"/>
      <c r="KJS157" s="1255"/>
      <c r="KJT157" s="1255"/>
      <c r="KJU157" s="1255"/>
      <c r="KJV157" s="1255"/>
      <c r="KJW157" s="1255"/>
      <c r="KJX157" s="1255"/>
      <c r="KJY157" s="1255"/>
      <c r="KJZ157" s="1255"/>
      <c r="KKA157" s="1255"/>
      <c r="KKB157" s="1255"/>
      <c r="KKC157" s="1255"/>
      <c r="KKD157" s="1255"/>
      <c r="KKE157" s="1255"/>
      <c r="KKF157" s="1255"/>
      <c r="KKG157" s="1255"/>
      <c r="KKH157" s="1255"/>
      <c r="KKI157" s="1255"/>
      <c r="KKJ157" s="1255"/>
      <c r="KKK157" s="1255"/>
      <c r="KKL157" s="1255"/>
      <c r="KKM157" s="1255"/>
      <c r="KKN157" s="1255"/>
      <c r="KKO157" s="1255"/>
      <c r="KKP157" s="1255"/>
      <c r="KKQ157" s="1255"/>
      <c r="KKR157" s="1255"/>
      <c r="KKS157" s="1255"/>
      <c r="KKT157" s="1255"/>
      <c r="KKU157" s="1255"/>
      <c r="KKV157" s="1255"/>
      <c r="KKW157" s="1255"/>
      <c r="KKX157" s="1255"/>
      <c r="KKY157" s="1255"/>
      <c r="KKZ157" s="1255"/>
      <c r="KLA157" s="1255"/>
      <c r="KLB157" s="1255"/>
      <c r="KLC157" s="1255"/>
      <c r="KLD157" s="1255"/>
      <c r="KLE157" s="1255"/>
      <c r="KLF157" s="1255"/>
      <c r="KLG157" s="1255"/>
      <c r="KLH157" s="1255"/>
      <c r="KLI157" s="1255"/>
      <c r="KLJ157" s="1255"/>
      <c r="KLK157" s="1255"/>
      <c r="KLL157" s="1255"/>
      <c r="KLM157" s="1255"/>
      <c r="KLN157" s="1255"/>
      <c r="KLO157" s="1255"/>
      <c r="KLP157" s="1255"/>
      <c r="KLQ157" s="1255"/>
      <c r="KLR157" s="1255"/>
      <c r="KLS157" s="1255"/>
      <c r="KLT157" s="1255"/>
      <c r="KLU157" s="1255"/>
      <c r="KLV157" s="1255"/>
      <c r="KLW157" s="1255"/>
      <c r="KLX157" s="1255"/>
      <c r="KLY157" s="1255"/>
      <c r="KLZ157" s="1255"/>
      <c r="KMA157" s="1255"/>
      <c r="KMB157" s="1255"/>
      <c r="KMC157" s="1255"/>
      <c r="KMD157" s="1255"/>
      <c r="KME157" s="1255"/>
      <c r="KMF157" s="1255"/>
      <c r="KMG157" s="1255"/>
      <c r="KMH157" s="1255"/>
      <c r="KMI157" s="1255"/>
      <c r="KMJ157" s="1255"/>
      <c r="KMK157" s="1255"/>
      <c r="KML157" s="1255"/>
      <c r="KMM157" s="1255"/>
      <c r="KMN157" s="1255"/>
      <c r="KMO157" s="1255"/>
      <c r="KMP157" s="1255"/>
      <c r="KMQ157" s="1255"/>
      <c r="KMR157" s="1255"/>
      <c r="KMS157" s="1255"/>
      <c r="KMT157" s="1255"/>
      <c r="KMU157" s="1255"/>
      <c r="KMV157" s="1255"/>
      <c r="KMW157" s="1255"/>
      <c r="KMX157" s="1255"/>
      <c r="KMY157" s="1255"/>
      <c r="KMZ157" s="1255"/>
      <c r="KNA157" s="1255"/>
      <c r="KNB157" s="1255"/>
      <c r="KNC157" s="1255"/>
      <c r="KND157" s="1255"/>
      <c r="KNE157" s="1255"/>
      <c r="KNF157" s="1255"/>
      <c r="KNG157" s="1255"/>
      <c r="KNH157" s="1255"/>
      <c r="KNI157" s="1255"/>
      <c r="KNJ157" s="1255"/>
      <c r="KNK157" s="1255"/>
      <c r="KNL157" s="1255"/>
      <c r="KNM157" s="1255"/>
      <c r="KNN157" s="1255"/>
      <c r="KNO157" s="1255"/>
      <c r="KNP157" s="1255"/>
      <c r="KNQ157" s="1255"/>
      <c r="KNR157" s="1255"/>
      <c r="KNS157" s="1255"/>
      <c r="KNT157" s="1255"/>
      <c r="KNU157" s="1255"/>
      <c r="KNV157" s="1255"/>
      <c r="KNW157" s="1255"/>
      <c r="KNX157" s="1255"/>
      <c r="KNY157" s="1255"/>
      <c r="KNZ157" s="1255"/>
      <c r="KOA157" s="1255"/>
      <c r="KOB157" s="1255"/>
      <c r="KOC157" s="1255"/>
      <c r="KOD157" s="1255"/>
      <c r="KOE157" s="1255"/>
      <c r="KOF157" s="1255"/>
      <c r="KOG157" s="1255"/>
      <c r="KOH157" s="1255"/>
      <c r="KOI157" s="1255"/>
      <c r="KOJ157" s="1255"/>
      <c r="KOK157" s="1255"/>
      <c r="KOL157" s="1255"/>
      <c r="KOM157" s="1255"/>
      <c r="KON157" s="1255"/>
      <c r="KOO157" s="1255"/>
      <c r="KOP157" s="1255"/>
      <c r="KOQ157" s="1255"/>
      <c r="KOR157" s="1255"/>
      <c r="KOS157" s="1255"/>
      <c r="KOT157" s="1255"/>
      <c r="KOU157" s="1255"/>
      <c r="KOV157" s="1255"/>
      <c r="KOW157" s="1255"/>
      <c r="KOX157" s="1255"/>
      <c r="KOY157" s="1255"/>
      <c r="KOZ157" s="1255"/>
      <c r="KPA157" s="1255"/>
      <c r="KPB157" s="1255"/>
      <c r="KPC157" s="1255"/>
      <c r="KPD157" s="1255"/>
      <c r="KPE157" s="1255"/>
      <c r="KPF157" s="1255"/>
      <c r="KPG157" s="1255"/>
      <c r="KPH157" s="1255"/>
      <c r="KPI157" s="1255"/>
      <c r="KPJ157" s="1255"/>
      <c r="KPK157" s="1255"/>
      <c r="KPL157" s="1255"/>
      <c r="KPM157" s="1255"/>
      <c r="KPN157" s="1255"/>
      <c r="KPO157" s="1255"/>
      <c r="KPP157" s="1255"/>
      <c r="KPQ157" s="1255"/>
      <c r="KPR157" s="1255"/>
      <c r="KPS157" s="1255"/>
      <c r="KPT157" s="1255"/>
      <c r="KPU157" s="1255"/>
      <c r="KPV157" s="1255"/>
      <c r="KPW157" s="1255"/>
      <c r="KPX157" s="1255"/>
      <c r="KPY157" s="1255"/>
      <c r="KPZ157" s="1255"/>
      <c r="KQA157" s="1255"/>
      <c r="KQB157" s="1255"/>
      <c r="KQC157" s="1255"/>
      <c r="KQD157" s="1255"/>
      <c r="KQE157" s="1255"/>
      <c r="KQF157" s="1255"/>
      <c r="KQG157" s="1255"/>
      <c r="KQH157" s="1255"/>
      <c r="KQI157" s="1255"/>
      <c r="KQJ157" s="1255"/>
      <c r="KQK157" s="1255"/>
      <c r="KQL157" s="1255"/>
      <c r="KQM157" s="1255"/>
      <c r="KQN157" s="1255"/>
      <c r="KQO157" s="1255"/>
      <c r="KQP157" s="1255"/>
      <c r="KQQ157" s="1255"/>
      <c r="KQR157" s="1255"/>
      <c r="KQS157" s="1255"/>
      <c r="KQT157" s="1255"/>
      <c r="KQU157" s="1255"/>
      <c r="KQV157" s="1255"/>
      <c r="KQW157" s="1255"/>
      <c r="KQX157" s="1255"/>
      <c r="KQY157" s="1255"/>
      <c r="KQZ157" s="1255"/>
      <c r="KRA157" s="1255"/>
      <c r="KRB157" s="1255"/>
      <c r="KRC157" s="1255"/>
      <c r="KRD157" s="1255"/>
      <c r="KRE157" s="1255"/>
      <c r="KRF157" s="1255"/>
      <c r="KRG157" s="1255"/>
      <c r="KRH157" s="1255"/>
      <c r="KRI157" s="1255"/>
      <c r="KRJ157" s="1255"/>
      <c r="KRK157" s="1255"/>
      <c r="KRL157" s="1255"/>
      <c r="KRM157" s="1255"/>
      <c r="KRN157" s="1255"/>
      <c r="KRO157" s="1255"/>
      <c r="KRP157" s="1255"/>
      <c r="KRQ157" s="1255"/>
      <c r="KRR157" s="1255"/>
      <c r="KRS157" s="1255"/>
      <c r="KRT157" s="1255"/>
      <c r="KRU157" s="1255"/>
      <c r="KRV157" s="1255"/>
      <c r="KRW157" s="1255"/>
      <c r="KRX157" s="1255"/>
      <c r="KRY157" s="1255"/>
      <c r="KRZ157" s="1255"/>
      <c r="KSA157" s="1255"/>
      <c r="KSB157" s="1255"/>
      <c r="KSC157" s="1255"/>
      <c r="KSD157" s="1255"/>
      <c r="KSE157" s="1255"/>
      <c r="KSF157" s="1255"/>
      <c r="KSG157" s="1255"/>
      <c r="KSH157" s="1255"/>
      <c r="KSI157" s="1255"/>
      <c r="KSJ157" s="1255"/>
      <c r="KSK157" s="1255"/>
      <c r="KSL157" s="1255"/>
      <c r="KSM157" s="1255"/>
      <c r="KSN157" s="1255"/>
      <c r="KSO157" s="1255"/>
      <c r="KSP157" s="1255"/>
      <c r="KSQ157" s="1255"/>
      <c r="KSR157" s="1255"/>
      <c r="KSS157" s="1255"/>
      <c r="KST157" s="1255"/>
      <c r="KSU157" s="1255"/>
      <c r="KSV157" s="1255"/>
      <c r="KSW157" s="1255"/>
      <c r="KSX157" s="1255"/>
      <c r="KSY157" s="1255"/>
      <c r="KSZ157" s="1255"/>
      <c r="KTA157" s="1255"/>
      <c r="KTB157" s="1255"/>
      <c r="KTC157" s="1255"/>
      <c r="KTD157" s="1255"/>
      <c r="KTE157" s="1255"/>
      <c r="KTF157" s="1255"/>
      <c r="KTG157" s="1255"/>
      <c r="KTH157" s="1255"/>
      <c r="KTI157" s="1255"/>
      <c r="KTJ157" s="1255"/>
      <c r="KTK157" s="1255"/>
      <c r="KTL157" s="1255"/>
      <c r="KTM157" s="1255"/>
      <c r="KTN157" s="1255"/>
      <c r="KTO157" s="1255"/>
      <c r="KTP157" s="1255"/>
      <c r="KTQ157" s="1255"/>
      <c r="KTR157" s="1255"/>
      <c r="KTS157" s="1255"/>
      <c r="KTT157" s="1255"/>
      <c r="KTU157" s="1255"/>
      <c r="KTV157" s="1255"/>
      <c r="KTW157" s="1255"/>
      <c r="KTX157" s="1255"/>
      <c r="KTY157" s="1255"/>
      <c r="KTZ157" s="1255"/>
      <c r="KUA157" s="1255"/>
      <c r="KUB157" s="1255"/>
      <c r="KUC157" s="1255"/>
      <c r="KUD157" s="1255"/>
      <c r="KUE157" s="1255"/>
      <c r="KUF157" s="1255"/>
      <c r="KUG157" s="1255"/>
      <c r="KUH157" s="1255"/>
      <c r="KUI157" s="1255"/>
      <c r="KUJ157" s="1255"/>
      <c r="KUK157" s="1255"/>
      <c r="KUL157" s="1255"/>
      <c r="KUM157" s="1255"/>
      <c r="KUN157" s="1255"/>
      <c r="KUO157" s="1255"/>
      <c r="KUP157" s="1255"/>
      <c r="KUQ157" s="1255"/>
      <c r="KUR157" s="1255"/>
      <c r="KUS157" s="1255"/>
      <c r="KUT157" s="1255"/>
      <c r="KUU157" s="1255"/>
      <c r="KUV157" s="1255"/>
      <c r="KUW157" s="1255"/>
      <c r="KUX157" s="1255"/>
      <c r="KUY157" s="1255"/>
      <c r="KUZ157" s="1255"/>
      <c r="KVA157" s="1255"/>
      <c r="KVB157" s="1255"/>
      <c r="KVC157" s="1255"/>
      <c r="KVD157" s="1255"/>
      <c r="KVE157" s="1255"/>
      <c r="KVF157" s="1255"/>
      <c r="KVG157" s="1255"/>
      <c r="KVH157" s="1255"/>
      <c r="KVI157" s="1255"/>
      <c r="KVJ157" s="1255"/>
      <c r="KVK157" s="1255"/>
      <c r="KVL157" s="1255"/>
      <c r="KVM157" s="1255"/>
      <c r="KVN157" s="1255"/>
      <c r="KVO157" s="1255"/>
      <c r="KVP157" s="1255"/>
      <c r="KVQ157" s="1255"/>
      <c r="KVR157" s="1255"/>
      <c r="KVS157" s="1255"/>
      <c r="KVT157" s="1255"/>
      <c r="KVU157" s="1255"/>
      <c r="KVV157" s="1255"/>
      <c r="KVW157" s="1255"/>
      <c r="KVX157" s="1255"/>
      <c r="KVY157" s="1255"/>
      <c r="KVZ157" s="1255"/>
      <c r="KWA157" s="1255"/>
      <c r="KWB157" s="1255"/>
      <c r="KWC157" s="1255"/>
      <c r="KWD157" s="1255"/>
      <c r="KWE157" s="1255"/>
      <c r="KWF157" s="1255"/>
      <c r="KWG157" s="1255"/>
      <c r="KWH157" s="1255"/>
      <c r="KWI157" s="1255"/>
      <c r="KWJ157" s="1255"/>
      <c r="KWK157" s="1255"/>
      <c r="KWL157" s="1255"/>
      <c r="KWM157" s="1255"/>
      <c r="KWN157" s="1255"/>
      <c r="KWO157" s="1255"/>
      <c r="KWP157" s="1255"/>
      <c r="KWQ157" s="1255"/>
      <c r="KWR157" s="1255"/>
      <c r="KWS157" s="1255"/>
      <c r="KWT157" s="1255"/>
      <c r="KWU157" s="1255"/>
      <c r="KWV157" s="1255"/>
      <c r="KWW157" s="1255"/>
      <c r="KWX157" s="1255"/>
      <c r="KWY157" s="1255"/>
      <c r="KWZ157" s="1255"/>
      <c r="KXA157" s="1255"/>
      <c r="KXB157" s="1255"/>
      <c r="KXC157" s="1255"/>
      <c r="KXD157" s="1255"/>
      <c r="KXE157" s="1255"/>
      <c r="KXF157" s="1255"/>
      <c r="KXG157" s="1255"/>
      <c r="KXH157" s="1255"/>
      <c r="KXI157" s="1255"/>
      <c r="KXJ157" s="1255"/>
      <c r="KXK157" s="1255"/>
      <c r="KXL157" s="1255"/>
      <c r="KXM157" s="1255"/>
      <c r="KXN157" s="1255"/>
      <c r="KXO157" s="1255"/>
      <c r="KXP157" s="1255"/>
      <c r="KXQ157" s="1255"/>
      <c r="KXR157" s="1255"/>
      <c r="KXS157" s="1255"/>
      <c r="KXT157" s="1255"/>
      <c r="KXU157" s="1255"/>
      <c r="KXV157" s="1255"/>
      <c r="KXW157" s="1255"/>
      <c r="KXX157" s="1255"/>
      <c r="KXY157" s="1255"/>
      <c r="KXZ157" s="1255"/>
      <c r="KYA157" s="1255"/>
      <c r="KYB157" s="1255"/>
      <c r="KYC157" s="1255"/>
      <c r="KYD157" s="1255"/>
      <c r="KYE157" s="1255"/>
      <c r="KYF157" s="1255"/>
      <c r="KYG157" s="1255"/>
      <c r="KYH157" s="1255"/>
      <c r="KYI157" s="1255"/>
      <c r="KYJ157" s="1255"/>
      <c r="KYK157" s="1255"/>
      <c r="KYL157" s="1255"/>
      <c r="KYM157" s="1255"/>
      <c r="KYN157" s="1255"/>
      <c r="KYO157" s="1255"/>
      <c r="KYP157" s="1255"/>
      <c r="KYQ157" s="1255"/>
      <c r="KYR157" s="1255"/>
      <c r="KYS157" s="1255"/>
      <c r="KYT157" s="1255"/>
      <c r="KYU157" s="1255"/>
      <c r="KYV157" s="1255"/>
      <c r="KYW157" s="1255"/>
      <c r="KYX157" s="1255"/>
      <c r="KYY157" s="1255"/>
      <c r="KYZ157" s="1255"/>
      <c r="KZA157" s="1255"/>
      <c r="KZB157" s="1255"/>
      <c r="KZC157" s="1255"/>
      <c r="KZD157" s="1255"/>
      <c r="KZE157" s="1255"/>
      <c r="KZF157" s="1255"/>
      <c r="KZG157" s="1255"/>
      <c r="KZH157" s="1255"/>
      <c r="KZI157" s="1255"/>
      <c r="KZJ157" s="1255"/>
      <c r="KZK157" s="1255"/>
      <c r="KZL157" s="1255"/>
      <c r="KZM157" s="1255"/>
      <c r="KZN157" s="1255"/>
      <c r="KZO157" s="1255"/>
      <c r="KZP157" s="1255"/>
      <c r="KZQ157" s="1255"/>
      <c r="KZR157" s="1255"/>
      <c r="KZS157" s="1255"/>
      <c r="KZT157" s="1255"/>
      <c r="KZU157" s="1255"/>
      <c r="KZV157" s="1255"/>
      <c r="KZW157" s="1255"/>
      <c r="KZX157" s="1255"/>
      <c r="KZY157" s="1255"/>
      <c r="KZZ157" s="1255"/>
      <c r="LAA157" s="1255"/>
      <c r="LAB157" s="1255"/>
      <c r="LAC157" s="1255"/>
      <c r="LAD157" s="1255"/>
      <c r="LAE157" s="1255"/>
      <c r="LAF157" s="1255"/>
      <c r="LAG157" s="1255"/>
      <c r="LAH157" s="1255"/>
      <c r="LAI157" s="1255"/>
      <c r="LAJ157" s="1255"/>
      <c r="LAK157" s="1255"/>
      <c r="LAL157" s="1255"/>
      <c r="LAM157" s="1255"/>
      <c r="LAN157" s="1255"/>
      <c r="LAO157" s="1255"/>
      <c r="LAP157" s="1255"/>
      <c r="LAQ157" s="1255"/>
      <c r="LAR157" s="1255"/>
      <c r="LAS157" s="1255"/>
      <c r="LAT157" s="1255"/>
      <c r="LAU157" s="1255"/>
      <c r="LAV157" s="1255"/>
      <c r="LAW157" s="1255"/>
      <c r="LAX157" s="1255"/>
      <c r="LAY157" s="1255"/>
      <c r="LAZ157" s="1255"/>
      <c r="LBA157" s="1255"/>
      <c r="LBB157" s="1255"/>
      <c r="LBC157" s="1255"/>
      <c r="LBD157" s="1255"/>
      <c r="LBE157" s="1255"/>
      <c r="LBF157" s="1255"/>
      <c r="LBG157" s="1255"/>
      <c r="LBH157" s="1255"/>
      <c r="LBI157" s="1255"/>
      <c r="LBJ157" s="1255"/>
      <c r="LBK157" s="1255"/>
      <c r="LBL157" s="1255"/>
      <c r="LBM157" s="1255"/>
      <c r="LBN157" s="1255"/>
      <c r="LBO157" s="1255"/>
      <c r="LBP157" s="1255"/>
      <c r="LBQ157" s="1255"/>
      <c r="LBR157" s="1255"/>
      <c r="LBS157" s="1255"/>
      <c r="LBT157" s="1255"/>
      <c r="LBU157" s="1255"/>
      <c r="LBV157" s="1255"/>
      <c r="LBW157" s="1255"/>
      <c r="LBX157" s="1255"/>
      <c r="LBY157" s="1255"/>
      <c r="LBZ157" s="1255"/>
      <c r="LCA157" s="1255"/>
      <c r="LCB157" s="1255"/>
      <c r="LCC157" s="1255"/>
      <c r="LCD157" s="1255"/>
      <c r="LCE157" s="1255"/>
      <c r="LCF157" s="1255"/>
      <c r="LCG157" s="1255"/>
      <c r="LCH157" s="1255"/>
      <c r="LCI157" s="1255"/>
      <c r="LCJ157" s="1255"/>
      <c r="LCK157" s="1255"/>
      <c r="LCL157" s="1255"/>
      <c r="LCM157" s="1255"/>
      <c r="LCN157" s="1255"/>
      <c r="LCO157" s="1255"/>
      <c r="LCP157" s="1255"/>
      <c r="LCQ157" s="1255"/>
      <c r="LCR157" s="1255"/>
      <c r="LCS157" s="1255"/>
      <c r="LCT157" s="1255"/>
      <c r="LCU157" s="1255"/>
      <c r="LCV157" s="1255"/>
      <c r="LCW157" s="1255"/>
      <c r="LCX157" s="1255"/>
      <c r="LCY157" s="1255"/>
      <c r="LCZ157" s="1255"/>
      <c r="LDA157" s="1255"/>
      <c r="LDB157" s="1255"/>
      <c r="LDC157" s="1255"/>
      <c r="LDD157" s="1255"/>
      <c r="LDE157" s="1255"/>
      <c r="LDF157" s="1255"/>
      <c r="LDG157" s="1255"/>
      <c r="LDH157" s="1255"/>
      <c r="LDI157" s="1255"/>
      <c r="LDJ157" s="1255"/>
      <c r="LDK157" s="1255"/>
      <c r="LDL157" s="1255"/>
      <c r="LDM157" s="1255"/>
      <c r="LDN157" s="1255"/>
      <c r="LDO157" s="1255"/>
      <c r="LDP157" s="1255"/>
      <c r="LDQ157" s="1255"/>
      <c r="LDR157" s="1255"/>
      <c r="LDS157" s="1255"/>
      <c r="LDT157" s="1255"/>
      <c r="LDU157" s="1255"/>
      <c r="LDV157" s="1255"/>
      <c r="LDW157" s="1255"/>
      <c r="LDX157" s="1255"/>
      <c r="LDY157" s="1255"/>
      <c r="LDZ157" s="1255"/>
      <c r="LEA157" s="1255"/>
      <c r="LEB157" s="1255"/>
      <c r="LEC157" s="1255"/>
      <c r="LED157" s="1255"/>
      <c r="LEE157" s="1255"/>
      <c r="LEF157" s="1255"/>
      <c r="LEG157" s="1255"/>
      <c r="LEH157" s="1255"/>
      <c r="LEI157" s="1255"/>
      <c r="LEJ157" s="1255"/>
      <c r="LEK157" s="1255"/>
      <c r="LEL157" s="1255"/>
      <c r="LEM157" s="1255"/>
      <c r="LEN157" s="1255"/>
      <c r="LEO157" s="1255"/>
      <c r="LEP157" s="1255"/>
      <c r="LEQ157" s="1255"/>
      <c r="LER157" s="1255"/>
      <c r="LES157" s="1255"/>
      <c r="LET157" s="1255"/>
      <c r="LEU157" s="1255"/>
      <c r="LEV157" s="1255"/>
      <c r="LEW157" s="1255"/>
      <c r="LEX157" s="1255"/>
      <c r="LEY157" s="1255"/>
      <c r="LEZ157" s="1255"/>
      <c r="LFA157" s="1255"/>
      <c r="LFB157" s="1255"/>
      <c r="LFC157" s="1255"/>
      <c r="LFD157" s="1255"/>
      <c r="LFE157" s="1255"/>
      <c r="LFF157" s="1255"/>
      <c r="LFG157" s="1255"/>
      <c r="LFH157" s="1255"/>
      <c r="LFI157" s="1255"/>
      <c r="LFJ157" s="1255"/>
      <c r="LFK157" s="1255"/>
      <c r="LFL157" s="1255"/>
      <c r="LFM157" s="1255"/>
      <c r="LFN157" s="1255"/>
      <c r="LFO157" s="1255"/>
      <c r="LFP157" s="1255"/>
      <c r="LFQ157" s="1255"/>
      <c r="LFR157" s="1255"/>
      <c r="LFS157" s="1255"/>
      <c r="LFT157" s="1255"/>
      <c r="LFU157" s="1255"/>
      <c r="LFV157" s="1255"/>
      <c r="LFW157" s="1255"/>
      <c r="LFX157" s="1255"/>
      <c r="LFY157" s="1255"/>
      <c r="LFZ157" s="1255"/>
      <c r="LGA157" s="1255"/>
      <c r="LGB157" s="1255"/>
      <c r="LGC157" s="1255"/>
      <c r="LGD157" s="1255"/>
      <c r="LGE157" s="1255"/>
      <c r="LGF157" s="1255"/>
      <c r="LGG157" s="1255"/>
      <c r="LGH157" s="1255"/>
      <c r="LGI157" s="1255"/>
      <c r="LGJ157" s="1255"/>
      <c r="LGK157" s="1255"/>
      <c r="LGL157" s="1255"/>
      <c r="LGM157" s="1255"/>
      <c r="LGN157" s="1255"/>
      <c r="LGO157" s="1255"/>
      <c r="LGP157" s="1255"/>
      <c r="LGQ157" s="1255"/>
      <c r="LGR157" s="1255"/>
      <c r="LGS157" s="1255"/>
      <c r="LGT157" s="1255"/>
      <c r="LGU157" s="1255"/>
      <c r="LGV157" s="1255"/>
      <c r="LGW157" s="1255"/>
      <c r="LGX157" s="1255"/>
      <c r="LGY157" s="1255"/>
      <c r="LGZ157" s="1255"/>
      <c r="LHA157" s="1255"/>
      <c r="LHB157" s="1255"/>
      <c r="LHC157" s="1255"/>
      <c r="LHD157" s="1255"/>
      <c r="LHE157" s="1255"/>
      <c r="LHF157" s="1255"/>
      <c r="LHG157" s="1255"/>
      <c r="LHH157" s="1255"/>
      <c r="LHI157" s="1255"/>
      <c r="LHJ157" s="1255"/>
      <c r="LHK157" s="1255"/>
      <c r="LHL157" s="1255"/>
      <c r="LHM157" s="1255"/>
      <c r="LHN157" s="1255"/>
      <c r="LHO157" s="1255"/>
      <c r="LHP157" s="1255"/>
      <c r="LHQ157" s="1255"/>
      <c r="LHR157" s="1255"/>
      <c r="LHS157" s="1255"/>
      <c r="LHT157" s="1255"/>
      <c r="LHU157" s="1255"/>
      <c r="LHV157" s="1255"/>
      <c r="LHW157" s="1255"/>
      <c r="LHX157" s="1255"/>
      <c r="LHY157" s="1255"/>
      <c r="LHZ157" s="1255"/>
      <c r="LIA157" s="1255"/>
      <c r="LIB157" s="1255"/>
      <c r="LIC157" s="1255"/>
      <c r="LID157" s="1255"/>
      <c r="LIE157" s="1255"/>
      <c r="LIF157" s="1255"/>
      <c r="LIG157" s="1255"/>
      <c r="LIH157" s="1255"/>
      <c r="LII157" s="1255"/>
      <c r="LIJ157" s="1255"/>
      <c r="LIK157" s="1255"/>
      <c r="LIL157" s="1255"/>
      <c r="LIM157" s="1255"/>
      <c r="LIN157" s="1255"/>
      <c r="LIO157" s="1255"/>
      <c r="LIP157" s="1255"/>
      <c r="LIQ157" s="1255"/>
      <c r="LIR157" s="1255"/>
      <c r="LIS157" s="1255"/>
      <c r="LIT157" s="1255"/>
      <c r="LIU157" s="1255"/>
      <c r="LIV157" s="1255"/>
      <c r="LIW157" s="1255"/>
      <c r="LIX157" s="1255"/>
      <c r="LIY157" s="1255"/>
      <c r="LIZ157" s="1255"/>
      <c r="LJA157" s="1255"/>
      <c r="LJB157" s="1255"/>
      <c r="LJC157" s="1255"/>
      <c r="LJD157" s="1255"/>
      <c r="LJE157" s="1255"/>
      <c r="LJF157" s="1255"/>
      <c r="LJG157" s="1255"/>
      <c r="LJH157" s="1255"/>
      <c r="LJI157" s="1255"/>
      <c r="LJJ157" s="1255"/>
      <c r="LJK157" s="1255"/>
      <c r="LJL157" s="1255"/>
      <c r="LJM157" s="1255"/>
      <c r="LJN157" s="1255"/>
      <c r="LJO157" s="1255"/>
      <c r="LJP157" s="1255"/>
      <c r="LJQ157" s="1255"/>
      <c r="LJR157" s="1255"/>
      <c r="LJS157" s="1255"/>
      <c r="LJT157" s="1255"/>
      <c r="LJU157" s="1255"/>
      <c r="LJV157" s="1255"/>
      <c r="LJW157" s="1255"/>
      <c r="LJX157" s="1255"/>
      <c r="LJY157" s="1255"/>
      <c r="LJZ157" s="1255"/>
      <c r="LKA157" s="1255"/>
      <c r="LKB157" s="1255"/>
      <c r="LKC157" s="1255"/>
      <c r="LKD157" s="1255"/>
      <c r="LKE157" s="1255"/>
      <c r="LKF157" s="1255"/>
      <c r="LKG157" s="1255"/>
      <c r="LKH157" s="1255"/>
      <c r="LKI157" s="1255"/>
      <c r="LKJ157" s="1255"/>
      <c r="LKK157" s="1255"/>
      <c r="LKL157" s="1255"/>
      <c r="LKM157" s="1255"/>
      <c r="LKN157" s="1255"/>
      <c r="LKO157" s="1255"/>
      <c r="LKP157" s="1255"/>
      <c r="LKQ157" s="1255"/>
      <c r="LKR157" s="1255"/>
      <c r="LKS157" s="1255"/>
      <c r="LKT157" s="1255"/>
      <c r="LKU157" s="1255"/>
      <c r="LKV157" s="1255"/>
      <c r="LKW157" s="1255"/>
      <c r="LKX157" s="1255"/>
      <c r="LKY157" s="1255"/>
      <c r="LKZ157" s="1255"/>
      <c r="LLA157" s="1255"/>
      <c r="LLB157" s="1255"/>
      <c r="LLC157" s="1255"/>
      <c r="LLD157" s="1255"/>
      <c r="LLE157" s="1255"/>
      <c r="LLF157" s="1255"/>
      <c r="LLG157" s="1255"/>
      <c r="LLH157" s="1255"/>
      <c r="LLI157" s="1255"/>
      <c r="LLJ157" s="1255"/>
      <c r="LLK157" s="1255"/>
      <c r="LLL157" s="1255"/>
      <c r="LLM157" s="1255"/>
      <c r="LLN157" s="1255"/>
      <c r="LLO157" s="1255"/>
      <c r="LLP157" s="1255"/>
      <c r="LLQ157" s="1255"/>
      <c r="LLR157" s="1255"/>
      <c r="LLS157" s="1255"/>
      <c r="LLT157" s="1255"/>
      <c r="LLU157" s="1255"/>
      <c r="LLV157" s="1255"/>
      <c r="LLW157" s="1255"/>
      <c r="LLX157" s="1255"/>
      <c r="LLY157" s="1255"/>
      <c r="LLZ157" s="1255"/>
      <c r="LMA157" s="1255"/>
      <c r="LMB157" s="1255"/>
      <c r="LMC157" s="1255"/>
      <c r="LMD157" s="1255"/>
      <c r="LME157" s="1255"/>
      <c r="LMF157" s="1255"/>
      <c r="LMG157" s="1255"/>
      <c r="LMH157" s="1255"/>
      <c r="LMI157" s="1255"/>
      <c r="LMJ157" s="1255"/>
      <c r="LMK157" s="1255"/>
      <c r="LML157" s="1255"/>
      <c r="LMM157" s="1255"/>
      <c r="LMN157" s="1255"/>
      <c r="LMO157" s="1255"/>
      <c r="LMP157" s="1255"/>
      <c r="LMQ157" s="1255"/>
      <c r="LMR157" s="1255"/>
      <c r="LMS157" s="1255"/>
      <c r="LMT157" s="1255"/>
      <c r="LMU157" s="1255"/>
      <c r="LMV157" s="1255"/>
      <c r="LMW157" s="1255"/>
      <c r="LMX157" s="1255"/>
      <c r="LMY157" s="1255"/>
      <c r="LMZ157" s="1255"/>
      <c r="LNA157" s="1255"/>
      <c r="LNB157" s="1255"/>
      <c r="LNC157" s="1255"/>
      <c r="LND157" s="1255"/>
      <c r="LNE157" s="1255"/>
      <c r="LNF157" s="1255"/>
      <c r="LNG157" s="1255"/>
      <c r="LNH157" s="1255"/>
      <c r="LNI157" s="1255"/>
      <c r="LNJ157" s="1255"/>
      <c r="LNK157" s="1255"/>
      <c r="LNL157" s="1255"/>
      <c r="LNM157" s="1255"/>
      <c r="LNN157" s="1255"/>
      <c r="LNO157" s="1255"/>
      <c r="LNP157" s="1255"/>
      <c r="LNQ157" s="1255"/>
      <c r="LNR157" s="1255"/>
      <c r="LNS157" s="1255"/>
      <c r="LNT157" s="1255"/>
      <c r="LNU157" s="1255"/>
      <c r="LNV157" s="1255"/>
      <c r="LNW157" s="1255"/>
      <c r="LNX157" s="1255"/>
      <c r="LNY157" s="1255"/>
      <c r="LNZ157" s="1255"/>
      <c r="LOA157" s="1255"/>
      <c r="LOB157" s="1255"/>
      <c r="LOC157" s="1255"/>
      <c r="LOD157" s="1255"/>
      <c r="LOE157" s="1255"/>
      <c r="LOF157" s="1255"/>
      <c r="LOG157" s="1255"/>
      <c r="LOH157" s="1255"/>
      <c r="LOI157" s="1255"/>
      <c r="LOJ157" s="1255"/>
      <c r="LOK157" s="1255"/>
      <c r="LOL157" s="1255"/>
      <c r="LOM157" s="1255"/>
      <c r="LON157" s="1255"/>
      <c r="LOO157" s="1255"/>
      <c r="LOP157" s="1255"/>
      <c r="LOQ157" s="1255"/>
      <c r="LOR157" s="1255"/>
      <c r="LOS157" s="1255"/>
      <c r="LOT157" s="1255"/>
      <c r="LOU157" s="1255"/>
      <c r="LOV157" s="1255"/>
      <c r="LOW157" s="1255"/>
      <c r="LOX157" s="1255"/>
      <c r="LOY157" s="1255"/>
      <c r="LOZ157" s="1255"/>
      <c r="LPA157" s="1255"/>
      <c r="LPB157" s="1255"/>
      <c r="LPC157" s="1255"/>
      <c r="LPD157" s="1255"/>
      <c r="LPE157" s="1255"/>
      <c r="LPF157" s="1255"/>
      <c r="LPG157" s="1255"/>
      <c r="LPH157" s="1255"/>
      <c r="LPI157" s="1255"/>
      <c r="LPJ157" s="1255"/>
      <c r="LPK157" s="1255"/>
      <c r="LPL157" s="1255"/>
      <c r="LPM157" s="1255"/>
      <c r="LPN157" s="1255"/>
      <c r="LPO157" s="1255"/>
      <c r="LPP157" s="1255"/>
      <c r="LPQ157" s="1255"/>
      <c r="LPR157" s="1255"/>
      <c r="LPS157" s="1255"/>
      <c r="LPT157" s="1255"/>
      <c r="LPU157" s="1255"/>
      <c r="LPV157" s="1255"/>
      <c r="LPW157" s="1255"/>
      <c r="LPX157" s="1255"/>
      <c r="LPY157" s="1255"/>
      <c r="LPZ157" s="1255"/>
      <c r="LQA157" s="1255"/>
      <c r="LQB157" s="1255"/>
      <c r="LQC157" s="1255"/>
      <c r="LQD157" s="1255"/>
      <c r="LQE157" s="1255"/>
      <c r="LQF157" s="1255"/>
      <c r="LQG157" s="1255"/>
      <c r="LQH157" s="1255"/>
      <c r="LQI157" s="1255"/>
      <c r="LQJ157" s="1255"/>
      <c r="LQK157" s="1255"/>
      <c r="LQL157" s="1255"/>
      <c r="LQM157" s="1255"/>
      <c r="LQN157" s="1255"/>
      <c r="LQO157" s="1255"/>
      <c r="LQP157" s="1255"/>
      <c r="LQQ157" s="1255"/>
      <c r="LQR157" s="1255"/>
      <c r="LQS157" s="1255"/>
      <c r="LQT157" s="1255"/>
      <c r="LQU157" s="1255"/>
      <c r="LQV157" s="1255"/>
      <c r="LQW157" s="1255"/>
      <c r="LQX157" s="1255"/>
      <c r="LQY157" s="1255"/>
      <c r="LQZ157" s="1255"/>
      <c r="LRA157" s="1255"/>
      <c r="LRB157" s="1255"/>
      <c r="LRC157" s="1255"/>
      <c r="LRD157" s="1255"/>
      <c r="LRE157" s="1255"/>
      <c r="LRF157" s="1255"/>
      <c r="LRG157" s="1255"/>
      <c r="LRH157" s="1255"/>
      <c r="LRI157" s="1255"/>
      <c r="LRJ157" s="1255"/>
      <c r="LRK157" s="1255"/>
      <c r="LRL157" s="1255"/>
      <c r="LRM157" s="1255"/>
      <c r="LRN157" s="1255"/>
      <c r="LRO157" s="1255"/>
      <c r="LRP157" s="1255"/>
      <c r="LRQ157" s="1255"/>
      <c r="LRR157" s="1255"/>
      <c r="LRS157" s="1255"/>
      <c r="LRT157" s="1255"/>
      <c r="LRU157" s="1255"/>
      <c r="LRV157" s="1255"/>
      <c r="LRW157" s="1255"/>
      <c r="LRX157" s="1255"/>
      <c r="LRY157" s="1255"/>
      <c r="LRZ157" s="1255"/>
      <c r="LSA157" s="1255"/>
      <c r="LSB157" s="1255"/>
      <c r="LSC157" s="1255"/>
      <c r="LSD157" s="1255"/>
      <c r="LSE157" s="1255"/>
      <c r="LSF157" s="1255"/>
      <c r="LSG157" s="1255"/>
      <c r="LSH157" s="1255"/>
      <c r="LSI157" s="1255"/>
      <c r="LSJ157" s="1255"/>
      <c r="LSK157" s="1255"/>
      <c r="LSL157" s="1255"/>
      <c r="LSM157" s="1255"/>
      <c r="LSN157" s="1255"/>
      <c r="LSO157" s="1255"/>
      <c r="LSP157" s="1255"/>
      <c r="LSQ157" s="1255"/>
      <c r="LSR157" s="1255"/>
      <c r="LSS157" s="1255"/>
      <c r="LST157" s="1255"/>
      <c r="LSU157" s="1255"/>
      <c r="LSV157" s="1255"/>
      <c r="LSW157" s="1255"/>
      <c r="LSX157" s="1255"/>
      <c r="LSY157" s="1255"/>
      <c r="LSZ157" s="1255"/>
      <c r="LTA157" s="1255"/>
      <c r="LTB157" s="1255"/>
      <c r="LTC157" s="1255"/>
      <c r="LTD157" s="1255"/>
      <c r="LTE157" s="1255"/>
      <c r="LTF157" s="1255"/>
      <c r="LTG157" s="1255"/>
      <c r="LTH157" s="1255"/>
      <c r="LTI157" s="1255"/>
      <c r="LTJ157" s="1255"/>
      <c r="LTK157" s="1255"/>
      <c r="LTL157" s="1255"/>
      <c r="LTM157" s="1255"/>
      <c r="LTN157" s="1255"/>
      <c r="LTO157" s="1255"/>
      <c r="LTP157" s="1255"/>
      <c r="LTQ157" s="1255"/>
      <c r="LTR157" s="1255"/>
      <c r="LTS157" s="1255"/>
      <c r="LTT157" s="1255"/>
      <c r="LTU157" s="1255"/>
      <c r="LTV157" s="1255"/>
      <c r="LTW157" s="1255"/>
      <c r="LTX157" s="1255"/>
      <c r="LTY157" s="1255"/>
      <c r="LTZ157" s="1255"/>
      <c r="LUA157" s="1255"/>
      <c r="LUB157" s="1255"/>
      <c r="LUC157" s="1255"/>
      <c r="LUD157" s="1255"/>
      <c r="LUE157" s="1255"/>
      <c r="LUF157" s="1255"/>
      <c r="LUG157" s="1255"/>
      <c r="LUH157" s="1255"/>
      <c r="LUI157" s="1255"/>
      <c r="LUJ157" s="1255"/>
      <c r="LUK157" s="1255"/>
      <c r="LUL157" s="1255"/>
      <c r="LUM157" s="1255"/>
      <c r="LUN157" s="1255"/>
      <c r="LUO157" s="1255"/>
      <c r="LUP157" s="1255"/>
      <c r="LUQ157" s="1255"/>
      <c r="LUR157" s="1255"/>
      <c r="LUS157" s="1255"/>
      <c r="LUT157" s="1255"/>
      <c r="LUU157" s="1255"/>
      <c r="LUV157" s="1255"/>
      <c r="LUW157" s="1255"/>
      <c r="LUX157" s="1255"/>
      <c r="LUY157" s="1255"/>
      <c r="LUZ157" s="1255"/>
      <c r="LVA157" s="1255"/>
      <c r="LVB157" s="1255"/>
      <c r="LVC157" s="1255"/>
      <c r="LVD157" s="1255"/>
      <c r="LVE157" s="1255"/>
      <c r="LVF157" s="1255"/>
      <c r="LVG157" s="1255"/>
      <c r="LVH157" s="1255"/>
      <c r="LVI157" s="1255"/>
      <c r="LVJ157" s="1255"/>
      <c r="LVK157" s="1255"/>
      <c r="LVL157" s="1255"/>
      <c r="LVM157" s="1255"/>
      <c r="LVN157" s="1255"/>
      <c r="LVO157" s="1255"/>
      <c r="LVP157" s="1255"/>
      <c r="LVQ157" s="1255"/>
      <c r="LVR157" s="1255"/>
      <c r="LVS157" s="1255"/>
      <c r="LVT157" s="1255"/>
      <c r="LVU157" s="1255"/>
      <c r="LVV157" s="1255"/>
      <c r="LVW157" s="1255"/>
      <c r="LVX157" s="1255"/>
      <c r="LVY157" s="1255"/>
      <c r="LVZ157" s="1255"/>
      <c r="LWA157" s="1255"/>
      <c r="LWB157" s="1255"/>
      <c r="LWC157" s="1255"/>
      <c r="LWD157" s="1255"/>
      <c r="LWE157" s="1255"/>
      <c r="LWF157" s="1255"/>
      <c r="LWG157" s="1255"/>
      <c r="LWH157" s="1255"/>
      <c r="LWI157" s="1255"/>
      <c r="LWJ157" s="1255"/>
      <c r="LWK157" s="1255"/>
      <c r="LWL157" s="1255"/>
      <c r="LWM157" s="1255"/>
      <c r="LWN157" s="1255"/>
      <c r="LWO157" s="1255"/>
      <c r="LWP157" s="1255"/>
      <c r="LWQ157" s="1255"/>
      <c r="LWR157" s="1255"/>
      <c r="LWS157" s="1255"/>
      <c r="LWT157" s="1255"/>
      <c r="LWU157" s="1255"/>
      <c r="LWV157" s="1255"/>
      <c r="LWW157" s="1255"/>
      <c r="LWX157" s="1255"/>
      <c r="LWY157" s="1255"/>
      <c r="LWZ157" s="1255"/>
      <c r="LXA157" s="1255"/>
      <c r="LXB157" s="1255"/>
      <c r="LXC157" s="1255"/>
      <c r="LXD157" s="1255"/>
      <c r="LXE157" s="1255"/>
      <c r="LXF157" s="1255"/>
      <c r="LXG157" s="1255"/>
      <c r="LXH157" s="1255"/>
      <c r="LXI157" s="1255"/>
      <c r="LXJ157" s="1255"/>
      <c r="LXK157" s="1255"/>
      <c r="LXL157" s="1255"/>
      <c r="LXM157" s="1255"/>
      <c r="LXN157" s="1255"/>
      <c r="LXO157" s="1255"/>
      <c r="LXP157" s="1255"/>
      <c r="LXQ157" s="1255"/>
      <c r="LXR157" s="1255"/>
      <c r="LXS157" s="1255"/>
      <c r="LXT157" s="1255"/>
      <c r="LXU157" s="1255"/>
      <c r="LXV157" s="1255"/>
      <c r="LXW157" s="1255"/>
      <c r="LXX157" s="1255"/>
      <c r="LXY157" s="1255"/>
      <c r="LXZ157" s="1255"/>
      <c r="LYA157" s="1255"/>
      <c r="LYB157" s="1255"/>
      <c r="LYC157" s="1255"/>
      <c r="LYD157" s="1255"/>
      <c r="LYE157" s="1255"/>
      <c r="LYF157" s="1255"/>
      <c r="LYG157" s="1255"/>
      <c r="LYH157" s="1255"/>
      <c r="LYI157" s="1255"/>
      <c r="LYJ157" s="1255"/>
      <c r="LYK157" s="1255"/>
      <c r="LYL157" s="1255"/>
      <c r="LYM157" s="1255"/>
      <c r="LYN157" s="1255"/>
      <c r="LYO157" s="1255"/>
      <c r="LYP157" s="1255"/>
      <c r="LYQ157" s="1255"/>
      <c r="LYR157" s="1255"/>
      <c r="LYS157" s="1255"/>
      <c r="LYT157" s="1255"/>
      <c r="LYU157" s="1255"/>
      <c r="LYV157" s="1255"/>
      <c r="LYW157" s="1255"/>
      <c r="LYX157" s="1255"/>
      <c r="LYY157" s="1255"/>
      <c r="LYZ157" s="1255"/>
      <c r="LZA157" s="1255"/>
      <c r="LZB157" s="1255"/>
      <c r="LZC157" s="1255"/>
      <c r="LZD157" s="1255"/>
      <c r="LZE157" s="1255"/>
      <c r="LZF157" s="1255"/>
      <c r="LZG157" s="1255"/>
      <c r="LZH157" s="1255"/>
      <c r="LZI157" s="1255"/>
      <c r="LZJ157" s="1255"/>
      <c r="LZK157" s="1255"/>
      <c r="LZL157" s="1255"/>
      <c r="LZM157" s="1255"/>
      <c r="LZN157" s="1255"/>
      <c r="LZO157" s="1255"/>
      <c r="LZP157" s="1255"/>
      <c r="LZQ157" s="1255"/>
      <c r="LZR157" s="1255"/>
      <c r="LZS157" s="1255"/>
      <c r="LZT157" s="1255"/>
      <c r="LZU157" s="1255"/>
      <c r="LZV157" s="1255"/>
      <c r="LZW157" s="1255"/>
      <c r="LZX157" s="1255"/>
      <c r="LZY157" s="1255"/>
      <c r="LZZ157" s="1255"/>
      <c r="MAA157" s="1255"/>
      <c r="MAB157" s="1255"/>
      <c r="MAC157" s="1255"/>
      <c r="MAD157" s="1255"/>
      <c r="MAE157" s="1255"/>
      <c r="MAF157" s="1255"/>
      <c r="MAG157" s="1255"/>
      <c r="MAH157" s="1255"/>
      <c r="MAI157" s="1255"/>
      <c r="MAJ157" s="1255"/>
      <c r="MAK157" s="1255"/>
      <c r="MAL157" s="1255"/>
      <c r="MAM157" s="1255"/>
      <c r="MAN157" s="1255"/>
      <c r="MAO157" s="1255"/>
      <c r="MAP157" s="1255"/>
      <c r="MAQ157" s="1255"/>
      <c r="MAR157" s="1255"/>
      <c r="MAS157" s="1255"/>
      <c r="MAT157" s="1255"/>
      <c r="MAU157" s="1255"/>
      <c r="MAV157" s="1255"/>
      <c r="MAW157" s="1255"/>
      <c r="MAX157" s="1255"/>
      <c r="MAY157" s="1255"/>
      <c r="MAZ157" s="1255"/>
      <c r="MBA157" s="1255"/>
      <c r="MBB157" s="1255"/>
      <c r="MBC157" s="1255"/>
      <c r="MBD157" s="1255"/>
      <c r="MBE157" s="1255"/>
      <c r="MBF157" s="1255"/>
      <c r="MBG157" s="1255"/>
      <c r="MBH157" s="1255"/>
      <c r="MBI157" s="1255"/>
      <c r="MBJ157" s="1255"/>
      <c r="MBK157" s="1255"/>
      <c r="MBL157" s="1255"/>
      <c r="MBM157" s="1255"/>
      <c r="MBN157" s="1255"/>
      <c r="MBO157" s="1255"/>
      <c r="MBP157" s="1255"/>
      <c r="MBQ157" s="1255"/>
      <c r="MBR157" s="1255"/>
      <c r="MBS157" s="1255"/>
      <c r="MBT157" s="1255"/>
      <c r="MBU157" s="1255"/>
      <c r="MBV157" s="1255"/>
      <c r="MBW157" s="1255"/>
      <c r="MBX157" s="1255"/>
      <c r="MBY157" s="1255"/>
      <c r="MBZ157" s="1255"/>
      <c r="MCA157" s="1255"/>
      <c r="MCB157" s="1255"/>
      <c r="MCC157" s="1255"/>
      <c r="MCD157" s="1255"/>
      <c r="MCE157" s="1255"/>
      <c r="MCF157" s="1255"/>
      <c r="MCG157" s="1255"/>
      <c r="MCH157" s="1255"/>
      <c r="MCI157" s="1255"/>
      <c r="MCJ157" s="1255"/>
      <c r="MCK157" s="1255"/>
      <c r="MCL157" s="1255"/>
      <c r="MCM157" s="1255"/>
      <c r="MCN157" s="1255"/>
      <c r="MCO157" s="1255"/>
      <c r="MCP157" s="1255"/>
      <c r="MCQ157" s="1255"/>
      <c r="MCR157" s="1255"/>
      <c r="MCS157" s="1255"/>
      <c r="MCT157" s="1255"/>
      <c r="MCU157" s="1255"/>
      <c r="MCV157" s="1255"/>
      <c r="MCW157" s="1255"/>
      <c r="MCX157" s="1255"/>
      <c r="MCY157" s="1255"/>
      <c r="MCZ157" s="1255"/>
      <c r="MDA157" s="1255"/>
      <c r="MDB157" s="1255"/>
      <c r="MDC157" s="1255"/>
      <c r="MDD157" s="1255"/>
      <c r="MDE157" s="1255"/>
      <c r="MDF157" s="1255"/>
      <c r="MDG157" s="1255"/>
      <c r="MDH157" s="1255"/>
      <c r="MDI157" s="1255"/>
      <c r="MDJ157" s="1255"/>
      <c r="MDK157" s="1255"/>
      <c r="MDL157" s="1255"/>
      <c r="MDM157" s="1255"/>
      <c r="MDN157" s="1255"/>
      <c r="MDO157" s="1255"/>
      <c r="MDP157" s="1255"/>
      <c r="MDQ157" s="1255"/>
      <c r="MDR157" s="1255"/>
      <c r="MDS157" s="1255"/>
      <c r="MDT157" s="1255"/>
      <c r="MDU157" s="1255"/>
      <c r="MDV157" s="1255"/>
      <c r="MDW157" s="1255"/>
      <c r="MDX157" s="1255"/>
      <c r="MDY157" s="1255"/>
      <c r="MDZ157" s="1255"/>
      <c r="MEA157" s="1255"/>
      <c r="MEB157" s="1255"/>
      <c r="MEC157" s="1255"/>
      <c r="MED157" s="1255"/>
      <c r="MEE157" s="1255"/>
      <c r="MEF157" s="1255"/>
      <c r="MEG157" s="1255"/>
      <c r="MEH157" s="1255"/>
      <c r="MEI157" s="1255"/>
      <c r="MEJ157" s="1255"/>
      <c r="MEK157" s="1255"/>
      <c r="MEL157" s="1255"/>
      <c r="MEM157" s="1255"/>
      <c r="MEN157" s="1255"/>
      <c r="MEO157" s="1255"/>
      <c r="MEP157" s="1255"/>
      <c r="MEQ157" s="1255"/>
      <c r="MER157" s="1255"/>
      <c r="MES157" s="1255"/>
      <c r="MET157" s="1255"/>
      <c r="MEU157" s="1255"/>
      <c r="MEV157" s="1255"/>
      <c r="MEW157" s="1255"/>
      <c r="MEX157" s="1255"/>
      <c r="MEY157" s="1255"/>
      <c r="MEZ157" s="1255"/>
      <c r="MFA157" s="1255"/>
      <c r="MFB157" s="1255"/>
      <c r="MFC157" s="1255"/>
      <c r="MFD157" s="1255"/>
      <c r="MFE157" s="1255"/>
      <c r="MFF157" s="1255"/>
      <c r="MFG157" s="1255"/>
      <c r="MFH157" s="1255"/>
      <c r="MFI157" s="1255"/>
      <c r="MFJ157" s="1255"/>
      <c r="MFK157" s="1255"/>
      <c r="MFL157" s="1255"/>
      <c r="MFM157" s="1255"/>
      <c r="MFN157" s="1255"/>
      <c r="MFO157" s="1255"/>
      <c r="MFP157" s="1255"/>
      <c r="MFQ157" s="1255"/>
      <c r="MFR157" s="1255"/>
      <c r="MFS157" s="1255"/>
      <c r="MFT157" s="1255"/>
      <c r="MFU157" s="1255"/>
      <c r="MFV157" s="1255"/>
      <c r="MFW157" s="1255"/>
      <c r="MFX157" s="1255"/>
      <c r="MFY157" s="1255"/>
      <c r="MFZ157" s="1255"/>
      <c r="MGA157" s="1255"/>
      <c r="MGB157" s="1255"/>
      <c r="MGC157" s="1255"/>
      <c r="MGD157" s="1255"/>
      <c r="MGE157" s="1255"/>
      <c r="MGF157" s="1255"/>
      <c r="MGG157" s="1255"/>
      <c r="MGH157" s="1255"/>
      <c r="MGI157" s="1255"/>
      <c r="MGJ157" s="1255"/>
      <c r="MGK157" s="1255"/>
      <c r="MGL157" s="1255"/>
      <c r="MGM157" s="1255"/>
      <c r="MGN157" s="1255"/>
      <c r="MGO157" s="1255"/>
      <c r="MGP157" s="1255"/>
      <c r="MGQ157" s="1255"/>
      <c r="MGR157" s="1255"/>
      <c r="MGS157" s="1255"/>
      <c r="MGT157" s="1255"/>
      <c r="MGU157" s="1255"/>
      <c r="MGV157" s="1255"/>
      <c r="MGW157" s="1255"/>
      <c r="MGX157" s="1255"/>
      <c r="MGY157" s="1255"/>
      <c r="MGZ157" s="1255"/>
      <c r="MHA157" s="1255"/>
      <c r="MHB157" s="1255"/>
      <c r="MHC157" s="1255"/>
      <c r="MHD157" s="1255"/>
      <c r="MHE157" s="1255"/>
      <c r="MHF157" s="1255"/>
      <c r="MHG157" s="1255"/>
      <c r="MHH157" s="1255"/>
      <c r="MHI157" s="1255"/>
      <c r="MHJ157" s="1255"/>
      <c r="MHK157" s="1255"/>
      <c r="MHL157" s="1255"/>
      <c r="MHM157" s="1255"/>
      <c r="MHN157" s="1255"/>
      <c r="MHO157" s="1255"/>
      <c r="MHP157" s="1255"/>
      <c r="MHQ157" s="1255"/>
      <c r="MHR157" s="1255"/>
      <c r="MHS157" s="1255"/>
      <c r="MHT157" s="1255"/>
      <c r="MHU157" s="1255"/>
      <c r="MHV157" s="1255"/>
      <c r="MHW157" s="1255"/>
      <c r="MHX157" s="1255"/>
      <c r="MHY157" s="1255"/>
      <c r="MHZ157" s="1255"/>
      <c r="MIA157" s="1255"/>
      <c r="MIB157" s="1255"/>
      <c r="MIC157" s="1255"/>
      <c r="MID157" s="1255"/>
      <c r="MIE157" s="1255"/>
      <c r="MIF157" s="1255"/>
      <c r="MIG157" s="1255"/>
      <c r="MIH157" s="1255"/>
      <c r="MII157" s="1255"/>
      <c r="MIJ157" s="1255"/>
      <c r="MIK157" s="1255"/>
      <c r="MIL157" s="1255"/>
      <c r="MIM157" s="1255"/>
      <c r="MIN157" s="1255"/>
      <c r="MIO157" s="1255"/>
      <c r="MIP157" s="1255"/>
      <c r="MIQ157" s="1255"/>
      <c r="MIR157" s="1255"/>
      <c r="MIS157" s="1255"/>
      <c r="MIT157" s="1255"/>
      <c r="MIU157" s="1255"/>
      <c r="MIV157" s="1255"/>
      <c r="MIW157" s="1255"/>
      <c r="MIX157" s="1255"/>
      <c r="MIY157" s="1255"/>
      <c r="MIZ157" s="1255"/>
      <c r="MJA157" s="1255"/>
      <c r="MJB157" s="1255"/>
      <c r="MJC157" s="1255"/>
      <c r="MJD157" s="1255"/>
      <c r="MJE157" s="1255"/>
      <c r="MJF157" s="1255"/>
      <c r="MJG157" s="1255"/>
      <c r="MJH157" s="1255"/>
      <c r="MJI157" s="1255"/>
      <c r="MJJ157" s="1255"/>
      <c r="MJK157" s="1255"/>
      <c r="MJL157" s="1255"/>
      <c r="MJM157" s="1255"/>
      <c r="MJN157" s="1255"/>
      <c r="MJO157" s="1255"/>
      <c r="MJP157" s="1255"/>
      <c r="MJQ157" s="1255"/>
      <c r="MJR157" s="1255"/>
      <c r="MJS157" s="1255"/>
      <c r="MJT157" s="1255"/>
      <c r="MJU157" s="1255"/>
      <c r="MJV157" s="1255"/>
      <c r="MJW157" s="1255"/>
      <c r="MJX157" s="1255"/>
      <c r="MJY157" s="1255"/>
      <c r="MJZ157" s="1255"/>
      <c r="MKA157" s="1255"/>
      <c r="MKB157" s="1255"/>
      <c r="MKC157" s="1255"/>
      <c r="MKD157" s="1255"/>
      <c r="MKE157" s="1255"/>
      <c r="MKF157" s="1255"/>
      <c r="MKG157" s="1255"/>
      <c r="MKH157" s="1255"/>
      <c r="MKI157" s="1255"/>
      <c r="MKJ157" s="1255"/>
      <c r="MKK157" s="1255"/>
      <c r="MKL157" s="1255"/>
      <c r="MKM157" s="1255"/>
      <c r="MKN157" s="1255"/>
      <c r="MKO157" s="1255"/>
      <c r="MKP157" s="1255"/>
      <c r="MKQ157" s="1255"/>
      <c r="MKR157" s="1255"/>
      <c r="MKS157" s="1255"/>
      <c r="MKT157" s="1255"/>
      <c r="MKU157" s="1255"/>
      <c r="MKV157" s="1255"/>
      <c r="MKW157" s="1255"/>
      <c r="MKX157" s="1255"/>
      <c r="MKY157" s="1255"/>
      <c r="MKZ157" s="1255"/>
      <c r="MLA157" s="1255"/>
      <c r="MLB157" s="1255"/>
      <c r="MLC157" s="1255"/>
      <c r="MLD157" s="1255"/>
      <c r="MLE157" s="1255"/>
      <c r="MLF157" s="1255"/>
      <c r="MLG157" s="1255"/>
      <c r="MLH157" s="1255"/>
      <c r="MLI157" s="1255"/>
      <c r="MLJ157" s="1255"/>
      <c r="MLK157" s="1255"/>
      <c r="MLL157" s="1255"/>
      <c r="MLM157" s="1255"/>
      <c r="MLN157" s="1255"/>
      <c r="MLO157" s="1255"/>
      <c r="MLP157" s="1255"/>
      <c r="MLQ157" s="1255"/>
      <c r="MLR157" s="1255"/>
      <c r="MLS157" s="1255"/>
      <c r="MLT157" s="1255"/>
      <c r="MLU157" s="1255"/>
      <c r="MLV157" s="1255"/>
      <c r="MLW157" s="1255"/>
      <c r="MLX157" s="1255"/>
      <c r="MLY157" s="1255"/>
      <c r="MLZ157" s="1255"/>
      <c r="MMA157" s="1255"/>
      <c r="MMB157" s="1255"/>
      <c r="MMC157" s="1255"/>
      <c r="MMD157" s="1255"/>
      <c r="MME157" s="1255"/>
      <c r="MMF157" s="1255"/>
      <c r="MMG157" s="1255"/>
      <c r="MMH157" s="1255"/>
      <c r="MMI157" s="1255"/>
      <c r="MMJ157" s="1255"/>
      <c r="MMK157" s="1255"/>
      <c r="MML157" s="1255"/>
      <c r="MMM157" s="1255"/>
      <c r="MMN157" s="1255"/>
      <c r="MMO157" s="1255"/>
      <c r="MMP157" s="1255"/>
      <c r="MMQ157" s="1255"/>
      <c r="MMR157" s="1255"/>
      <c r="MMS157" s="1255"/>
      <c r="MMT157" s="1255"/>
      <c r="MMU157" s="1255"/>
      <c r="MMV157" s="1255"/>
      <c r="MMW157" s="1255"/>
      <c r="MMX157" s="1255"/>
      <c r="MMY157" s="1255"/>
      <c r="MMZ157" s="1255"/>
      <c r="MNA157" s="1255"/>
      <c r="MNB157" s="1255"/>
      <c r="MNC157" s="1255"/>
      <c r="MND157" s="1255"/>
      <c r="MNE157" s="1255"/>
      <c r="MNF157" s="1255"/>
      <c r="MNG157" s="1255"/>
      <c r="MNH157" s="1255"/>
      <c r="MNI157" s="1255"/>
      <c r="MNJ157" s="1255"/>
      <c r="MNK157" s="1255"/>
      <c r="MNL157" s="1255"/>
      <c r="MNM157" s="1255"/>
      <c r="MNN157" s="1255"/>
      <c r="MNO157" s="1255"/>
      <c r="MNP157" s="1255"/>
      <c r="MNQ157" s="1255"/>
      <c r="MNR157" s="1255"/>
      <c r="MNS157" s="1255"/>
      <c r="MNT157" s="1255"/>
      <c r="MNU157" s="1255"/>
      <c r="MNV157" s="1255"/>
      <c r="MNW157" s="1255"/>
      <c r="MNX157" s="1255"/>
      <c r="MNY157" s="1255"/>
      <c r="MNZ157" s="1255"/>
      <c r="MOA157" s="1255"/>
      <c r="MOB157" s="1255"/>
      <c r="MOC157" s="1255"/>
      <c r="MOD157" s="1255"/>
      <c r="MOE157" s="1255"/>
      <c r="MOF157" s="1255"/>
      <c r="MOG157" s="1255"/>
      <c r="MOH157" s="1255"/>
      <c r="MOI157" s="1255"/>
      <c r="MOJ157" s="1255"/>
      <c r="MOK157" s="1255"/>
      <c r="MOL157" s="1255"/>
      <c r="MOM157" s="1255"/>
      <c r="MON157" s="1255"/>
      <c r="MOO157" s="1255"/>
      <c r="MOP157" s="1255"/>
      <c r="MOQ157" s="1255"/>
      <c r="MOR157" s="1255"/>
      <c r="MOS157" s="1255"/>
      <c r="MOT157" s="1255"/>
      <c r="MOU157" s="1255"/>
      <c r="MOV157" s="1255"/>
      <c r="MOW157" s="1255"/>
      <c r="MOX157" s="1255"/>
      <c r="MOY157" s="1255"/>
      <c r="MOZ157" s="1255"/>
      <c r="MPA157" s="1255"/>
      <c r="MPB157" s="1255"/>
      <c r="MPC157" s="1255"/>
      <c r="MPD157" s="1255"/>
      <c r="MPE157" s="1255"/>
      <c r="MPF157" s="1255"/>
      <c r="MPG157" s="1255"/>
      <c r="MPH157" s="1255"/>
      <c r="MPI157" s="1255"/>
      <c r="MPJ157" s="1255"/>
      <c r="MPK157" s="1255"/>
      <c r="MPL157" s="1255"/>
      <c r="MPM157" s="1255"/>
      <c r="MPN157" s="1255"/>
      <c r="MPO157" s="1255"/>
      <c r="MPP157" s="1255"/>
      <c r="MPQ157" s="1255"/>
      <c r="MPR157" s="1255"/>
      <c r="MPS157" s="1255"/>
      <c r="MPT157" s="1255"/>
      <c r="MPU157" s="1255"/>
      <c r="MPV157" s="1255"/>
      <c r="MPW157" s="1255"/>
      <c r="MPX157" s="1255"/>
      <c r="MPY157" s="1255"/>
      <c r="MPZ157" s="1255"/>
      <c r="MQA157" s="1255"/>
      <c r="MQB157" s="1255"/>
      <c r="MQC157" s="1255"/>
      <c r="MQD157" s="1255"/>
      <c r="MQE157" s="1255"/>
      <c r="MQF157" s="1255"/>
      <c r="MQG157" s="1255"/>
      <c r="MQH157" s="1255"/>
      <c r="MQI157" s="1255"/>
      <c r="MQJ157" s="1255"/>
      <c r="MQK157" s="1255"/>
      <c r="MQL157" s="1255"/>
      <c r="MQM157" s="1255"/>
      <c r="MQN157" s="1255"/>
      <c r="MQO157" s="1255"/>
      <c r="MQP157" s="1255"/>
      <c r="MQQ157" s="1255"/>
      <c r="MQR157" s="1255"/>
      <c r="MQS157" s="1255"/>
      <c r="MQT157" s="1255"/>
      <c r="MQU157" s="1255"/>
      <c r="MQV157" s="1255"/>
      <c r="MQW157" s="1255"/>
      <c r="MQX157" s="1255"/>
      <c r="MQY157" s="1255"/>
      <c r="MQZ157" s="1255"/>
      <c r="MRA157" s="1255"/>
      <c r="MRB157" s="1255"/>
      <c r="MRC157" s="1255"/>
      <c r="MRD157" s="1255"/>
      <c r="MRE157" s="1255"/>
      <c r="MRF157" s="1255"/>
      <c r="MRG157" s="1255"/>
      <c r="MRH157" s="1255"/>
      <c r="MRI157" s="1255"/>
      <c r="MRJ157" s="1255"/>
      <c r="MRK157" s="1255"/>
      <c r="MRL157" s="1255"/>
      <c r="MRM157" s="1255"/>
      <c r="MRN157" s="1255"/>
      <c r="MRO157" s="1255"/>
      <c r="MRP157" s="1255"/>
      <c r="MRQ157" s="1255"/>
      <c r="MRR157" s="1255"/>
      <c r="MRS157" s="1255"/>
      <c r="MRT157" s="1255"/>
      <c r="MRU157" s="1255"/>
      <c r="MRV157" s="1255"/>
      <c r="MRW157" s="1255"/>
      <c r="MRX157" s="1255"/>
      <c r="MRY157" s="1255"/>
      <c r="MRZ157" s="1255"/>
      <c r="MSA157" s="1255"/>
      <c r="MSB157" s="1255"/>
      <c r="MSC157" s="1255"/>
      <c r="MSD157" s="1255"/>
      <c r="MSE157" s="1255"/>
      <c r="MSF157" s="1255"/>
      <c r="MSG157" s="1255"/>
      <c r="MSH157" s="1255"/>
      <c r="MSI157" s="1255"/>
      <c r="MSJ157" s="1255"/>
      <c r="MSK157" s="1255"/>
      <c r="MSL157" s="1255"/>
      <c r="MSM157" s="1255"/>
      <c r="MSN157" s="1255"/>
      <c r="MSO157" s="1255"/>
      <c r="MSP157" s="1255"/>
      <c r="MSQ157" s="1255"/>
      <c r="MSR157" s="1255"/>
      <c r="MSS157" s="1255"/>
      <c r="MST157" s="1255"/>
      <c r="MSU157" s="1255"/>
      <c r="MSV157" s="1255"/>
      <c r="MSW157" s="1255"/>
      <c r="MSX157" s="1255"/>
      <c r="MSY157" s="1255"/>
      <c r="MSZ157" s="1255"/>
      <c r="MTA157" s="1255"/>
      <c r="MTB157" s="1255"/>
      <c r="MTC157" s="1255"/>
      <c r="MTD157" s="1255"/>
      <c r="MTE157" s="1255"/>
      <c r="MTF157" s="1255"/>
      <c r="MTG157" s="1255"/>
      <c r="MTH157" s="1255"/>
      <c r="MTI157" s="1255"/>
      <c r="MTJ157" s="1255"/>
      <c r="MTK157" s="1255"/>
      <c r="MTL157" s="1255"/>
      <c r="MTM157" s="1255"/>
      <c r="MTN157" s="1255"/>
      <c r="MTO157" s="1255"/>
      <c r="MTP157" s="1255"/>
      <c r="MTQ157" s="1255"/>
      <c r="MTR157" s="1255"/>
      <c r="MTS157" s="1255"/>
      <c r="MTT157" s="1255"/>
      <c r="MTU157" s="1255"/>
      <c r="MTV157" s="1255"/>
      <c r="MTW157" s="1255"/>
      <c r="MTX157" s="1255"/>
      <c r="MTY157" s="1255"/>
      <c r="MTZ157" s="1255"/>
      <c r="MUA157" s="1255"/>
      <c r="MUB157" s="1255"/>
      <c r="MUC157" s="1255"/>
      <c r="MUD157" s="1255"/>
      <c r="MUE157" s="1255"/>
      <c r="MUF157" s="1255"/>
      <c r="MUG157" s="1255"/>
      <c r="MUH157" s="1255"/>
      <c r="MUI157" s="1255"/>
      <c r="MUJ157" s="1255"/>
      <c r="MUK157" s="1255"/>
      <c r="MUL157" s="1255"/>
      <c r="MUM157" s="1255"/>
      <c r="MUN157" s="1255"/>
      <c r="MUO157" s="1255"/>
      <c r="MUP157" s="1255"/>
      <c r="MUQ157" s="1255"/>
      <c r="MUR157" s="1255"/>
      <c r="MUS157" s="1255"/>
      <c r="MUT157" s="1255"/>
      <c r="MUU157" s="1255"/>
      <c r="MUV157" s="1255"/>
      <c r="MUW157" s="1255"/>
      <c r="MUX157" s="1255"/>
      <c r="MUY157" s="1255"/>
      <c r="MUZ157" s="1255"/>
      <c r="MVA157" s="1255"/>
      <c r="MVB157" s="1255"/>
      <c r="MVC157" s="1255"/>
      <c r="MVD157" s="1255"/>
      <c r="MVE157" s="1255"/>
      <c r="MVF157" s="1255"/>
      <c r="MVG157" s="1255"/>
      <c r="MVH157" s="1255"/>
      <c r="MVI157" s="1255"/>
      <c r="MVJ157" s="1255"/>
      <c r="MVK157" s="1255"/>
      <c r="MVL157" s="1255"/>
      <c r="MVM157" s="1255"/>
      <c r="MVN157" s="1255"/>
      <c r="MVO157" s="1255"/>
      <c r="MVP157" s="1255"/>
      <c r="MVQ157" s="1255"/>
      <c r="MVR157" s="1255"/>
      <c r="MVS157" s="1255"/>
      <c r="MVT157" s="1255"/>
      <c r="MVU157" s="1255"/>
      <c r="MVV157" s="1255"/>
      <c r="MVW157" s="1255"/>
      <c r="MVX157" s="1255"/>
      <c r="MVY157" s="1255"/>
      <c r="MVZ157" s="1255"/>
      <c r="MWA157" s="1255"/>
      <c r="MWB157" s="1255"/>
      <c r="MWC157" s="1255"/>
      <c r="MWD157" s="1255"/>
      <c r="MWE157" s="1255"/>
      <c r="MWF157" s="1255"/>
      <c r="MWG157" s="1255"/>
      <c r="MWH157" s="1255"/>
      <c r="MWI157" s="1255"/>
      <c r="MWJ157" s="1255"/>
      <c r="MWK157" s="1255"/>
      <c r="MWL157" s="1255"/>
      <c r="MWM157" s="1255"/>
      <c r="MWN157" s="1255"/>
      <c r="MWO157" s="1255"/>
      <c r="MWP157" s="1255"/>
      <c r="MWQ157" s="1255"/>
      <c r="MWR157" s="1255"/>
      <c r="MWS157" s="1255"/>
      <c r="MWT157" s="1255"/>
      <c r="MWU157" s="1255"/>
      <c r="MWV157" s="1255"/>
      <c r="MWW157" s="1255"/>
      <c r="MWX157" s="1255"/>
      <c r="MWY157" s="1255"/>
      <c r="MWZ157" s="1255"/>
      <c r="MXA157" s="1255"/>
      <c r="MXB157" s="1255"/>
      <c r="MXC157" s="1255"/>
      <c r="MXD157" s="1255"/>
      <c r="MXE157" s="1255"/>
      <c r="MXF157" s="1255"/>
      <c r="MXG157" s="1255"/>
      <c r="MXH157" s="1255"/>
      <c r="MXI157" s="1255"/>
      <c r="MXJ157" s="1255"/>
      <c r="MXK157" s="1255"/>
      <c r="MXL157" s="1255"/>
      <c r="MXM157" s="1255"/>
      <c r="MXN157" s="1255"/>
      <c r="MXO157" s="1255"/>
      <c r="MXP157" s="1255"/>
      <c r="MXQ157" s="1255"/>
      <c r="MXR157" s="1255"/>
      <c r="MXS157" s="1255"/>
      <c r="MXT157" s="1255"/>
      <c r="MXU157" s="1255"/>
      <c r="MXV157" s="1255"/>
      <c r="MXW157" s="1255"/>
      <c r="MXX157" s="1255"/>
      <c r="MXY157" s="1255"/>
      <c r="MXZ157" s="1255"/>
      <c r="MYA157" s="1255"/>
      <c r="MYB157" s="1255"/>
      <c r="MYC157" s="1255"/>
      <c r="MYD157" s="1255"/>
      <c r="MYE157" s="1255"/>
      <c r="MYF157" s="1255"/>
      <c r="MYG157" s="1255"/>
      <c r="MYH157" s="1255"/>
      <c r="MYI157" s="1255"/>
      <c r="MYJ157" s="1255"/>
      <c r="MYK157" s="1255"/>
      <c r="MYL157" s="1255"/>
      <c r="MYM157" s="1255"/>
      <c r="MYN157" s="1255"/>
      <c r="MYO157" s="1255"/>
      <c r="MYP157" s="1255"/>
      <c r="MYQ157" s="1255"/>
      <c r="MYR157" s="1255"/>
      <c r="MYS157" s="1255"/>
      <c r="MYT157" s="1255"/>
      <c r="MYU157" s="1255"/>
      <c r="MYV157" s="1255"/>
      <c r="MYW157" s="1255"/>
      <c r="MYX157" s="1255"/>
      <c r="MYY157" s="1255"/>
      <c r="MYZ157" s="1255"/>
      <c r="MZA157" s="1255"/>
      <c r="MZB157" s="1255"/>
      <c r="MZC157" s="1255"/>
      <c r="MZD157" s="1255"/>
      <c r="MZE157" s="1255"/>
      <c r="MZF157" s="1255"/>
      <c r="MZG157" s="1255"/>
      <c r="MZH157" s="1255"/>
      <c r="MZI157" s="1255"/>
      <c r="MZJ157" s="1255"/>
      <c r="MZK157" s="1255"/>
      <c r="MZL157" s="1255"/>
      <c r="MZM157" s="1255"/>
      <c r="MZN157" s="1255"/>
      <c r="MZO157" s="1255"/>
      <c r="MZP157" s="1255"/>
      <c r="MZQ157" s="1255"/>
      <c r="MZR157" s="1255"/>
      <c r="MZS157" s="1255"/>
      <c r="MZT157" s="1255"/>
      <c r="MZU157" s="1255"/>
      <c r="MZV157" s="1255"/>
      <c r="MZW157" s="1255"/>
      <c r="MZX157" s="1255"/>
      <c r="MZY157" s="1255"/>
      <c r="MZZ157" s="1255"/>
      <c r="NAA157" s="1255"/>
      <c r="NAB157" s="1255"/>
      <c r="NAC157" s="1255"/>
      <c r="NAD157" s="1255"/>
      <c r="NAE157" s="1255"/>
      <c r="NAF157" s="1255"/>
      <c r="NAG157" s="1255"/>
      <c r="NAH157" s="1255"/>
      <c r="NAI157" s="1255"/>
      <c r="NAJ157" s="1255"/>
      <c r="NAK157" s="1255"/>
      <c r="NAL157" s="1255"/>
      <c r="NAM157" s="1255"/>
      <c r="NAN157" s="1255"/>
      <c r="NAO157" s="1255"/>
      <c r="NAP157" s="1255"/>
      <c r="NAQ157" s="1255"/>
      <c r="NAR157" s="1255"/>
      <c r="NAS157" s="1255"/>
      <c r="NAT157" s="1255"/>
      <c r="NAU157" s="1255"/>
      <c r="NAV157" s="1255"/>
      <c r="NAW157" s="1255"/>
      <c r="NAX157" s="1255"/>
      <c r="NAY157" s="1255"/>
      <c r="NAZ157" s="1255"/>
      <c r="NBA157" s="1255"/>
      <c r="NBB157" s="1255"/>
      <c r="NBC157" s="1255"/>
      <c r="NBD157" s="1255"/>
      <c r="NBE157" s="1255"/>
      <c r="NBF157" s="1255"/>
      <c r="NBG157" s="1255"/>
      <c r="NBH157" s="1255"/>
      <c r="NBI157" s="1255"/>
      <c r="NBJ157" s="1255"/>
      <c r="NBK157" s="1255"/>
      <c r="NBL157" s="1255"/>
      <c r="NBM157" s="1255"/>
      <c r="NBN157" s="1255"/>
      <c r="NBO157" s="1255"/>
      <c r="NBP157" s="1255"/>
      <c r="NBQ157" s="1255"/>
      <c r="NBR157" s="1255"/>
      <c r="NBS157" s="1255"/>
      <c r="NBT157" s="1255"/>
      <c r="NBU157" s="1255"/>
      <c r="NBV157" s="1255"/>
      <c r="NBW157" s="1255"/>
      <c r="NBX157" s="1255"/>
      <c r="NBY157" s="1255"/>
      <c r="NBZ157" s="1255"/>
      <c r="NCA157" s="1255"/>
      <c r="NCB157" s="1255"/>
      <c r="NCC157" s="1255"/>
      <c r="NCD157" s="1255"/>
      <c r="NCE157" s="1255"/>
      <c r="NCF157" s="1255"/>
      <c r="NCG157" s="1255"/>
      <c r="NCH157" s="1255"/>
      <c r="NCI157" s="1255"/>
      <c r="NCJ157" s="1255"/>
      <c r="NCK157" s="1255"/>
      <c r="NCL157" s="1255"/>
      <c r="NCM157" s="1255"/>
      <c r="NCN157" s="1255"/>
      <c r="NCO157" s="1255"/>
      <c r="NCP157" s="1255"/>
      <c r="NCQ157" s="1255"/>
      <c r="NCR157" s="1255"/>
      <c r="NCS157" s="1255"/>
      <c r="NCT157" s="1255"/>
      <c r="NCU157" s="1255"/>
      <c r="NCV157" s="1255"/>
      <c r="NCW157" s="1255"/>
      <c r="NCX157" s="1255"/>
      <c r="NCY157" s="1255"/>
      <c r="NCZ157" s="1255"/>
      <c r="NDA157" s="1255"/>
      <c r="NDB157" s="1255"/>
      <c r="NDC157" s="1255"/>
      <c r="NDD157" s="1255"/>
      <c r="NDE157" s="1255"/>
      <c r="NDF157" s="1255"/>
      <c r="NDG157" s="1255"/>
      <c r="NDH157" s="1255"/>
      <c r="NDI157" s="1255"/>
      <c r="NDJ157" s="1255"/>
      <c r="NDK157" s="1255"/>
      <c r="NDL157" s="1255"/>
      <c r="NDM157" s="1255"/>
      <c r="NDN157" s="1255"/>
      <c r="NDO157" s="1255"/>
      <c r="NDP157" s="1255"/>
      <c r="NDQ157" s="1255"/>
      <c r="NDR157" s="1255"/>
      <c r="NDS157" s="1255"/>
      <c r="NDT157" s="1255"/>
      <c r="NDU157" s="1255"/>
      <c r="NDV157" s="1255"/>
      <c r="NDW157" s="1255"/>
      <c r="NDX157" s="1255"/>
      <c r="NDY157" s="1255"/>
      <c r="NDZ157" s="1255"/>
      <c r="NEA157" s="1255"/>
      <c r="NEB157" s="1255"/>
      <c r="NEC157" s="1255"/>
      <c r="NED157" s="1255"/>
      <c r="NEE157" s="1255"/>
      <c r="NEF157" s="1255"/>
      <c r="NEG157" s="1255"/>
      <c r="NEH157" s="1255"/>
      <c r="NEI157" s="1255"/>
      <c r="NEJ157" s="1255"/>
      <c r="NEK157" s="1255"/>
      <c r="NEL157" s="1255"/>
      <c r="NEM157" s="1255"/>
      <c r="NEN157" s="1255"/>
      <c r="NEO157" s="1255"/>
      <c r="NEP157" s="1255"/>
      <c r="NEQ157" s="1255"/>
      <c r="NER157" s="1255"/>
      <c r="NES157" s="1255"/>
      <c r="NET157" s="1255"/>
      <c r="NEU157" s="1255"/>
      <c r="NEV157" s="1255"/>
      <c r="NEW157" s="1255"/>
      <c r="NEX157" s="1255"/>
      <c r="NEY157" s="1255"/>
      <c r="NEZ157" s="1255"/>
      <c r="NFA157" s="1255"/>
      <c r="NFB157" s="1255"/>
      <c r="NFC157" s="1255"/>
      <c r="NFD157" s="1255"/>
      <c r="NFE157" s="1255"/>
      <c r="NFF157" s="1255"/>
      <c r="NFG157" s="1255"/>
      <c r="NFH157" s="1255"/>
      <c r="NFI157" s="1255"/>
      <c r="NFJ157" s="1255"/>
      <c r="NFK157" s="1255"/>
      <c r="NFL157" s="1255"/>
      <c r="NFM157" s="1255"/>
      <c r="NFN157" s="1255"/>
      <c r="NFO157" s="1255"/>
      <c r="NFP157" s="1255"/>
      <c r="NFQ157" s="1255"/>
      <c r="NFR157" s="1255"/>
      <c r="NFS157" s="1255"/>
      <c r="NFT157" s="1255"/>
      <c r="NFU157" s="1255"/>
      <c r="NFV157" s="1255"/>
      <c r="NFW157" s="1255"/>
      <c r="NFX157" s="1255"/>
      <c r="NFY157" s="1255"/>
      <c r="NFZ157" s="1255"/>
      <c r="NGA157" s="1255"/>
      <c r="NGB157" s="1255"/>
      <c r="NGC157" s="1255"/>
      <c r="NGD157" s="1255"/>
      <c r="NGE157" s="1255"/>
      <c r="NGF157" s="1255"/>
      <c r="NGG157" s="1255"/>
      <c r="NGH157" s="1255"/>
      <c r="NGI157" s="1255"/>
      <c r="NGJ157" s="1255"/>
      <c r="NGK157" s="1255"/>
      <c r="NGL157" s="1255"/>
      <c r="NGM157" s="1255"/>
      <c r="NGN157" s="1255"/>
      <c r="NGO157" s="1255"/>
      <c r="NGP157" s="1255"/>
      <c r="NGQ157" s="1255"/>
      <c r="NGR157" s="1255"/>
      <c r="NGS157" s="1255"/>
      <c r="NGT157" s="1255"/>
      <c r="NGU157" s="1255"/>
      <c r="NGV157" s="1255"/>
      <c r="NGW157" s="1255"/>
      <c r="NGX157" s="1255"/>
      <c r="NGY157" s="1255"/>
      <c r="NGZ157" s="1255"/>
      <c r="NHA157" s="1255"/>
      <c r="NHB157" s="1255"/>
      <c r="NHC157" s="1255"/>
      <c r="NHD157" s="1255"/>
      <c r="NHE157" s="1255"/>
      <c r="NHF157" s="1255"/>
      <c r="NHG157" s="1255"/>
      <c r="NHH157" s="1255"/>
      <c r="NHI157" s="1255"/>
      <c r="NHJ157" s="1255"/>
      <c r="NHK157" s="1255"/>
      <c r="NHL157" s="1255"/>
      <c r="NHM157" s="1255"/>
      <c r="NHN157" s="1255"/>
      <c r="NHO157" s="1255"/>
      <c r="NHP157" s="1255"/>
      <c r="NHQ157" s="1255"/>
      <c r="NHR157" s="1255"/>
      <c r="NHS157" s="1255"/>
      <c r="NHT157" s="1255"/>
      <c r="NHU157" s="1255"/>
      <c r="NHV157" s="1255"/>
      <c r="NHW157" s="1255"/>
      <c r="NHX157" s="1255"/>
      <c r="NHY157" s="1255"/>
      <c r="NHZ157" s="1255"/>
      <c r="NIA157" s="1255"/>
      <c r="NIB157" s="1255"/>
      <c r="NIC157" s="1255"/>
      <c r="NID157" s="1255"/>
      <c r="NIE157" s="1255"/>
      <c r="NIF157" s="1255"/>
      <c r="NIG157" s="1255"/>
      <c r="NIH157" s="1255"/>
      <c r="NII157" s="1255"/>
      <c r="NIJ157" s="1255"/>
      <c r="NIK157" s="1255"/>
      <c r="NIL157" s="1255"/>
      <c r="NIM157" s="1255"/>
      <c r="NIN157" s="1255"/>
      <c r="NIO157" s="1255"/>
      <c r="NIP157" s="1255"/>
      <c r="NIQ157" s="1255"/>
      <c r="NIR157" s="1255"/>
      <c r="NIS157" s="1255"/>
      <c r="NIT157" s="1255"/>
      <c r="NIU157" s="1255"/>
      <c r="NIV157" s="1255"/>
      <c r="NIW157" s="1255"/>
      <c r="NIX157" s="1255"/>
      <c r="NIY157" s="1255"/>
      <c r="NIZ157" s="1255"/>
      <c r="NJA157" s="1255"/>
      <c r="NJB157" s="1255"/>
      <c r="NJC157" s="1255"/>
      <c r="NJD157" s="1255"/>
      <c r="NJE157" s="1255"/>
      <c r="NJF157" s="1255"/>
      <c r="NJG157" s="1255"/>
      <c r="NJH157" s="1255"/>
      <c r="NJI157" s="1255"/>
      <c r="NJJ157" s="1255"/>
      <c r="NJK157" s="1255"/>
      <c r="NJL157" s="1255"/>
      <c r="NJM157" s="1255"/>
      <c r="NJN157" s="1255"/>
      <c r="NJO157" s="1255"/>
      <c r="NJP157" s="1255"/>
      <c r="NJQ157" s="1255"/>
      <c r="NJR157" s="1255"/>
      <c r="NJS157" s="1255"/>
      <c r="NJT157" s="1255"/>
      <c r="NJU157" s="1255"/>
      <c r="NJV157" s="1255"/>
      <c r="NJW157" s="1255"/>
      <c r="NJX157" s="1255"/>
      <c r="NJY157" s="1255"/>
      <c r="NJZ157" s="1255"/>
      <c r="NKA157" s="1255"/>
      <c r="NKB157" s="1255"/>
      <c r="NKC157" s="1255"/>
      <c r="NKD157" s="1255"/>
      <c r="NKE157" s="1255"/>
      <c r="NKF157" s="1255"/>
      <c r="NKG157" s="1255"/>
      <c r="NKH157" s="1255"/>
      <c r="NKI157" s="1255"/>
      <c r="NKJ157" s="1255"/>
      <c r="NKK157" s="1255"/>
      <c r="NKL157" s="1255"/>
      <c r="NKM157" s="1255"/>
      <c r="NKN157" s="1255"/>
      <c r="NKO157" s="1255"/>
      <c r="NKP157" s="1255"/>
      <c r="NKQ157" s="1255"/>
      <c r="NKR157" s="1255"/>
      <c r="NKS157" s="1255"/>
      <c r="NKT157" s="1255"/>
      <c r="NKU157" s="1255"/>
      <c r="NKV157" s="1255"/>
      <c r="NKW157" s="1255"/>
      <c r="NKX157" s="1255"/>
      <c r="NKY157" s="1255"/>
      <c r="NKZ157" s="1255"/>
      <c r="NLA157" s="1255"/>
      <c r="NLB157" s="1255"/>
      <c r="NLC157" s="1255"/>
      <c r="NLD157" s="1255"/>
      <c r="NLE157" s="1255"/>
      <c r="NLF157" s="1255"/>
      <c r="NLG157" s="1255"/>
      <c r="NLH157" s="1255"/>
      <c r="NLI157" s="1255"/>
      <c r="NLJ157" s="1255"/>
      <c r="NLK157" s="1255"/>
      <c r="NLL157" s="1255"/>
      <c r="NLM157" s="1255"/>
      <c r="NLN157" s="1255"/>
      <c r="NLO157" s="1255"/>
      <c r="NLP157" s="1255"/>
      <c r="NLQ157" s="1255"/>
      <c r="NLR157" s="1255"/>
      <c r="NLS157" s="1255"/>
      <c r="NLT157" s="1255"/>
      <c r="NLU157" s="1255"/>
      <c r="NLV157" s="1255"/>
      <c r="NLW157" s="1255"/>
      <c r="NLX157" s="1255"/>
      <c r="NLY157" s="1255"/>
      <c r="NLZ157" s="1255"/>
      <c r="NMA157" s="1255"/>
      <c r="NMB157" s="1255"/>
      <c r="NMC157" s="1255"/>
      <c r="NMD157" s="1255"/>
      <c r="NME157" s="1255"/>
      <c r="NMF157" s="1255"/>
      <c r="NMG157" s="1255"/>
      <c r="NMH157" s="1255"/>
      <c r="NMI157" s="1255"/>
      <c r="NMJ157" s="1255"/>
      <c r="NMK157" s="1255"/>
      <c r="NML157" s="1255"/>
      <c r="NMM157" s="1255"/>
      <c r="NMN157" s="1255"/>
      <c r="NMO157" s="1255"/>
      <c r="NMP157" s="1255"/>
      <c r="NMQ157" s="1255"/>
      <c r="NMR157" s="1255"/>
      <c r="NMS157" s="1255"/>
      <c r="NMT157" s="1255"/>
      <c r="NMU157" s="1255"/>
      <c r="NMV157" s="1255"/>
      <c r="NMW157" s="1255"/>
      <c r="NMX157" s="1255"/>
      <c r="NMY157" s="1255"/>
      <c r="NMZ157" s="1255"/>
      <c r="NNA157" s="1255"/>
      <c r="NNB157" s="1255"/>
      <c r="NNC157" s="1255"/>
      <c r="NND157" s="1255"/>
      <c r="NNE157" s="1255"/>
      <c r="NNF157" s="1255"/>
      <c r="NNG157" s="1255"/>
      <c r="NNH157" s="1255"/>
      <c r="NNI157" s="1255"/>
      <c r="NNJ157" s="1255"/>
      <c r="NNK157" s="1255"/>
      <c r="NNL157" s="1255"/>
      <c r="NNM157" s="1255"/>
      <c r="NNN157" s="1255"/>
      <c r="NNO157" s="1255"/>
      <c r="NNP157" s="1255"/>
      <c r="NNQ157" s="1255"/>
      <c r="NNR157" s="1255"/>
      <c r="NNS157" s="1255"/>
      <c r="NNT157" s="1255"/>
      <c r="NNU157" s="1255"/>
      <c r="NNV157" s="1255"/>
      <c r="NNW157" s="1255"/>
      <c r="NNX157" s="1255"/>
      <c r="NNY157" s="1255"/>
      <c r="NNZ157" s="1255"/>
      <c r="NOA157" s="1255"/>
      <c r="NOB157" s="1255"/>
      <c r="NOC157" s="1255"/>
      <c r="NOD157" s="1255"/>
      <c r="NOE157" s="1255"/>
      <c r="NOF157" s="1255"/>
      <c r="NOG157" s="1255"/>
      <c r="NOH157" s="1255"/>
      <c r="NOI157" s="1255"/>
      <c r="NOJ157" s="1255"/>
      <c r="NOK157" s="1255"/>
      <c r="NOL157" s="1255"/>
      <c r="NOM157" s="1255"/>
      <c r="NON157" s="1255"/>
      <c r="NOO157" s="1255"/>
      <c r="NOP157" s="1255"/>
      <c r="NOQ157" s="1255"/>
      <c r="NOR157" s="1255"/>
      <c r="NOS157" s="1255"/>
      <c r="NOT157" s="1255"/>
      <c r="NOU157" s="1255"/>
      <c r="NOV157" s="1255"/>
      <c r="NOW157" s="1255"/>
      <c r="NOX157" s="1255"/>
      <c r="NOY157" s="1255"/>
      <c r="NOZ157" s="1255"/>
      <c r="NPA157" s="1255"/>
      <c r="NPB157" s="1255"/>
      <c r="NPC157" s="1255"/>
      <c r="NPD157" s="1255"/>
      <c r="NPE157" s="1255"/>
      <c r="NPF157" s="1255"/>
      <c r="NPG157" s="1255"/>
      <c r="NPH157" s="1255"/>
      <c r="NPI157" s="1255"/>
      <c r="NPJ157" s="1255"/>
      <c r="NPK157" s="1255"/>
      <c r="NPL157" s="1255"/>
      <c r="NPM157" s="1255"/>
      <c r="NPN157" s="1255"/>
      <c r="NPO157" s="1255"/>
      <c r="NPP157" s="1255"/>
      <c r="NPQ157" s="1255"/>
      <c r="NPR157" s="1255"/>
      <c r="NPS157" s="1255"/>
      <c r="NPT157" s="1255"/>
      <c r="NPU157" s="1255"/>
      <c r="NPV157" s="1255"/>
      <c r="NPW157" s="1255"/>
      <c r="NPX157" s="1255"/>
      <c r="NPY157" s="1255"/>
      <c r="NPZ157" s="1255"/>
      <c r="NQA157" s="1255"/>
      <c r="NQB157" s="1255"/>
      <c r="NQC157" s="1255"/>
      <c r="NQD157" s="1255"/>
      <c r="NQE157" s="1255"/>
      <c r="NQF157" s="1255"/>
      <c r="NQG157" s="1255"/>
      <c r="NQH157" s="1255"/>
      <c r="NQI157" s="1255"/>
      <c r="NQJ157" s="1255"/>
      <c r="NQK157" s="1255"/>
      <c r="NQL157" s="1255"/>
      <c r="NQM157" s="1255"/>
      <c r="NQN157" s="1255"/>
      <c r="NQO157" s="1255"/>
      <c r="NQP157" s="1255"/>
      <c r="NQQ157" s="1255"/>
      <c r="NQR157" s="1255"/>
      <c r="NQS157" s="1255"/>
      <c r="NQT157" s="1255"/>
      <c r="NQU157" s="1255"/>
      <c r="NQV157" s="1255"/>
      <c r="NQW157" s="1255"/>
      <c r="NQX157" s="1255"/>
      <c r="NQY157" s="1255"/>
      <c r="NQZ157" s="1255"/>
      <c r="NRA157" s="1255"/>
      <c r="NRB157" s="1255"/>
      <c r="NRC157" s="1255"/>
      <c r="NRD157" s="1255"/>
      <c r="NRE157" s="1255"/>
      <c r="NRF157" s="1255"/>
      <c r="NRG157" s="1255"/>
      <c r="NRH157" s="1255"/>
      <c r="NRI157" s="1255"/>
      <c r="NRJ157" s="1255"/>
      <c r="NRK157" s="1255"/>
      <c r="NRL157" s="1255"/>
      <c r="NRM157" s="1255"/>
      <c r="NRN157" s="1255"/>
      <c r="NRO157" s="1255"/>
      <c r="NRP157" s="1255"/>
      <c r="NRQ157" s="1255"/>
      <c r="NRR157" s="1255"/>
      <c r="NRS157" s="1255"/>
      <c r="NRT157" s="1255"/>
      <c r="NRU157" s="1255"/>
      <c r="NRV157" s="1255"/>
      <c r="NRW157" s="1255"/>
      <c r="NRX157" s="1255"/>
      <c r="NRY157" s="1255"/>
      <c r="NRZ157" s="1255"/>
      <c r="NSA157" s="1255"/>
      <c r="NSB157" s="1255"/>
      <c r="NSC157" s="1255"/>
      <c r="NSD157" s="1255"/>
      <c r="NSE157" s="1255"/>
      <c r="NSF157" s="1255"/>
      <c r="NSG157" s="1255"/>
      <c r="NSH157" s="1255"/>
      <c r="NSI157" s="1255"/>
      <c r="NSJ157" s="1255"/>
      <c r="NSK157" s="1255"/>
      <c r="NSL157" s="1255"/>
      <c r="NSM157" s="1255"/>
      <c r="NSN157" s="1255"/>
      <c r="NSO157" s="1255"/>
      <c r="NSP157" s="1255"/>
      <c r="NSQ157" s="1255"/>
      <c r="NSR157" s="1255"/>
      <c r="NSS157" s="1255"/>
      <c r="NST157" s="1255"/>
      <c r="NSU157" s="1255"/>
      <c r="NSV157" s="1255"/>
      <c r="NSW157" s="1255"/>
      <c r="NSX157" s="1255"/>
      <c r="NSY157" s="1255"/>
      <c r="NSZ157" s="1255"/>
      <c r="NTA157" s="1255"/>
      <c r="NTB157" s="1255"/>
      <c r="NTC157" s="1255"/>
      <c r="NTD157" s="1255"/>
      <c r="NTE157" s="1255"/>
      <c r="NTF157" s="1255"/>
      <c r="NTG157" s="1255"/>
      <c r="NTH157" s="1255"/>
      <c r="NTI157" s="1255"/>
      <c r="NTJ157" s="1255"/>
      <c r="NTK157" s="1255"/>
      <c r="NTL157" s="1255"/>
      <c r="NTM157" s="1255"/>
      <c r="NTN157" s="1255"/>
      <c r="NTO157" s="1255"/>
      <c r="NTP157" s="1255"/>
      <c r="NTQ157" s="1255"/>
      <c r="NTR157" s="1255"/>
      <c r="NTS157" s="1255"/>
      <c r="NTT157" s="1255"/>
      <c r="NTU157" s="1255"/>
      <c r="NTV157" s="1255"/>
      <c r="NTW157" s="1255"/>
      <c r="NTX157" s="1255"/>
      <c r="NTY157" s="1255"/>
      <c r="NTZ157" s="1255"/>
      <c r="NUA157" s="1255"/>
      <c r="NUB157" s="1255"/>
      <c r="NUC157" s="1255"/>
      <c r="NUD157" s="1255"/>
      <c r="NUE157" s="1255"/>
      <c r="NUF157" s="1255"/>
      <c r="NUG157" s="1255"/>
      <c r="NUH157" s="1255"/>
      <c r="NUI157" s="1255"/>
      <c r="NUJ157" s="1255"/>
      <c r="NUK157" s="1255"/>
      <c r="NUL157" s="1255"/>
      <c r="NUM157" s="1255"/>
      <c r="NUN157" s="1255"/>
      <c r="NUO157" s="1255"/>
      <c r="NUP157" s="1255"/>
      <c r="NUQ157" s="1255"/>
      <c r="NUR157" s="1255"/>
      <c r="NUS157" s="1255"/>
      <c r="NUT157" s="1255"/>
      <c r="NUU157" s="1255"/>
      <c r="NUV157" s="1255"/>
      <c r="NUW157" s="1255"/>
      <c r="NUX157" s="1255"/>
      <c r="NUY157" s="1255"/>
      <c r="NUZ157" s="1255"/>
      <c r="NVA157" s="1255"/>
      <c r="NVB157" s="1255"/>
      <c r="NVC157" s="1255"/>
      <c r="NVD157" s="1255"/>
      <c r="NVE157" s="1255"/>
      <c r="NVF157" s="1255"/>
      <c r="NVG157" s="1255"/>
      <c r="NVH157" s="1255"/>
      <c r="NVI157" s="1255"/>
      <c r="NVJ157" s="1255"/>
      <c r="NVK157" s="1255"/>
      <c r="NVL157" s="1255"/>
      <c r="NVM157" s="1255"/>
      <c r="NVN157" s="1255"/>
      <c r="NVO157" s="1255"/>
      <c r="NVP157" s="1255"/>
      <c r="NVQ157" s="1255"/>
      <c r="NVR157" s="1255"/>
      <c r="NVS157" s="1255"/>
      <c r="NVT157" s="1255"/>
      <c r="NVU157" s="1255"/>
      <c r="NVV157" s="1255"/>
      <c r="NVW157" s="1255"/>
      <c r="NVX157" s="1255"/>
      <c r="NVY157" s="1255"/>
      <c r="NVZ157" s="1255"/>
      <c r="NWA157" s="1255"/>
      <c r="NWB157" s="1255"/>
      <c r="NWC157" s="1255"/>
      <c r="NWD157" s="1255"/>
      <c r="NWE157" s="1255"/>
      <c r="NWF157" s="1255"/>
      <c r="NWG157" s="1255"/>
      <c r="NWH157" s="1255"/>
      <c r="NWI157" s="1255"/>
      <c r="NWJ157" s="1255"/>
      <c r="NWK157" s="1255"/>
      <c r="NWL157" s="1255"/>
      <c r="NWM157" s="1255"/>
      <c r="NWN157" s="1255"/>
      <c r="NWO157" s="1255"/>
      <c r="NWP157" s="1255"/>
      <c r="NWQ157" s="1255"/>
      <c r="NWR157" s="1255"/>
      <c r="NWS157" s="1255"/>
      <c r="NWT157" s="1255"/>
      <c r="NWU157" s="1255"/>
      <c r="NWV157" s="1255"/>
      <c r="NWW157" s="1255"/>
      <c r="NWX157" s="1255"/>
      <c r="NWY157" s="1255"/>
      <c r="NWZ157" s="1255"/>
      <c r="NXA157" s="1255"/>
      <c r="NXB157" s="1255"/>
      <c r="NXC157" s="1255"/>
      <c r="NXD157" s="1255"/>
      <c r="NXE157" s="1255"/>
      <c r="NXF157" s="1255"/>
      <c r="NXG157" s="1255"/>
      <c r="NXH157" s="1255"/>
      <c r="NXI157" s="1255"/>
      <c r="NXJ157" s="1255"/>
      <c r="NXK157" s="1255"/>
      <c r="NXL157" s="1255"/>
      <c r="NXM157" s="1255"/>
      <c r="NXN157" s="1255"/>
      <c r="NXO157" s="1255"/>
      <c r="NXP157" s="1255"/>
      <c r="NXQ157" s="1255"/>
      <c r="NXR157" s="1255"/>
      <c r="NXS157" s="1255"/>
      <c r="NXT157" s="1255"/>
      <c r="NXU157" s="1255"/>
      <c r="NXV157" s="1255"/>
      <c r="NXW157" s="1255"/>
      <c r="NXX157" s="1255"/>
      <c r="NXY157" s="1255"/>
      <c r="NXZ157" s="1255"/>
      <c r="NYA157" s="1255"/>
      <c r="NYB157" s="1255"/>
      <c r="NYC157" s="1255"/>
      <c r="NYD157" s="1255"/>
      <c r="NYE157" s="1255"/>
      <c r="NYF157" s="1255"/>
      <c r="NYG157" s="1255"/>
      <c r="NYH157" s="1255"/>
      <c r="NYI157" s="1255"/>
      <c r="NYJ157" s="1255"/>
      <c r="NYK157" s="1255"/>
      <c r="NYL157" s="1255"/>
      <c r="NYM157" s="1255"/>
      <c r="NYN157" s="1255"/>
      <c r="NYO157" s="1255"/>
      <c r="NYP157" s="1255"/>
      <c r="NYQ157" s="1255"/>
      <c r="NYR157" s="1255"/>
      <c r="NYS157" s="1255"/>
      <c r="NYT157" s="1255"/>
      <c r="NYU157" s="1255"/>
      <c r="NYV157" s="1255"/>
      <c r="NYW157" s="1255"/>
      <c r="NYX157" s="1255"/>
      <c r="NYY157" s="1255"/>
      <c r="NYZ157" s="1255"/>
      <c r="NZA157" s="1255"/>
      <c r="NZB157" s="1255"/>
      <c r="NZC157" s="1255"/>
      <c r="NZD157" s="1255"/>
      <c r="NZE157" s="1255"/>
      <c r="NZF157" s="1255"/>
      <c r="NZG157" s="1255"/>
      <c r="NZH157" s="1255"/>
      <c r="NZI157" s="1255"/>
      <c r="NZJ157" s="1255"/>
      <c r="NZK157" s="1255"/>
      <c r="NZL157" s="1255"/>
      <c r="NZM157" s="1255"/>
      <c r="NZN157" s="1255"/>
      <c r="NZO157" s="1255"/>
      <c r="NZP157" s="1255"/>
      <c r="NZQ157" s="1255"/>
      <c r="NZR157" s="1255"/>
      <c r="NZS157" s="1255"/>
      <c r="NZT157" s="1255"/>
      <c r="NZU157" s="1255"/>
      <c r="NZV157" s="1255"/>
      <c r="NZW157" s="1255"/>
      <c r="NZX157" s="1255"/>
      <c r="NZY157" s="1255"/>
      <c r="NZZ157" s="1255"/>
      <c r="OAA157" s="1255"/>
      <c r="OAB157" s="1255"/>
      <c r="OAC157" s="1255"/>
      <c r="OAD157" s="1255"/>
      <c r="OAE157" s="1255"/>
      <c r="OAF157" s="1255"/>
      <c r="OAG157" s="1255"/>
      <c r="OAH157" s="1255"/>
      <c r="OAI157" s="1255"/>
      <c r="OAJ157" s="1255"/>
      <c r="OAK157" s="1255"/>
      <c r="OAL157" s="1255"/>
      <c r="OAM157" s="1255"/>
      <c r="OAN157" s="1255"/>
      <c r="OAO157" s="1255"/>
      <c r="OAP157" s="1255"/>
      <c r="OAQ157" s="1255"/>
      <c r="OAR157" s="1255"/>
      <c r="OAS157" s="1255"/>
      <c r="OAT157" s="1255"/>
      <c r="OAU157" s="1255"/>
      <c r="OAV157" s="1255"/>
      <c r="OAW157" s="1255"/>
      <c r="OAX157" s="1255"/>
      <c r="OAY157" s="1255"/>
      <c r="OAZ157" s="1255"/>
      <c r="OBA157" s="1255"/>
      <c r="OBB157" s="1255"/>
      <c r="OBC157" s="1255"/>
      <c r="OBD157" s="1255"/>
      <c r="OBE157" s="1255"/>
      <c r="OBF157" s="1255"/>
      <c r="OBG157" s="1255"/>
      <c r="OBH157" s="1255"/>
      <c r="OBI157" s="1255"/>
      <c r="OBJ157" s="1255"/>
      <c r="OBK157" s="1255"/>
      <c r="OBL157" s="1255"/>
      <c r="OBM157" s="1255"/>
      <c r="OBN157" s="1255"/>
      <c r="OBO157" s="1255"/>
      <c r="OBP157" s="1255"/>
      <c r="OBQ157" s="1255"/>
      <c r="OBR157" s="1255"/>
      <c r="OBS157" s="1255"/>
      <c r="OBT157" s="1255"/>
      <c r="OBU157" s="1255"/>
      <c r="OBV157" s="1255"/>
      <c r="OBW157" s="1255"/>
      <c r="OBX157" s="1255"/>
      <c r="OBY157" s="1255"/>
      <c r="OBZ157" s="1255"/>
      <c r="OCA157" s="1255"/>
      <c r="OCB157" s="1255"/>
      <c r="OCC157" s="1255"/>
      <c r="OCD157" s="1255"/>
      <c r="OCE157" s="1255"/>
      <c r="OCF157" s="1255"/>
      <c r="OCG157" s="1255"/>
      <c r="OCH157" s="1255"/>
      <c r="OCI157" s="1255"/>
      <c r="OCJ157" s="1255"/>
      <c r="OCK157" s="1255"/>
      <c r="OCL157" s="1255"/>
      <c r="OCM157" s="1255"/>
      <c r="OCN157" s="1255"/>
      <c r="OCO157" s="1255"/>
      <c r="OCP157" s="1255"/>
      <c r="OCQ157" s="1255"/>
      <c r="OCR157" s="1255"/>
      <c r="OCS157" s="1255"/>
      <c r="OCT157" s="1255"/>
      <c r="OCU157" s="1255"/>
      <c r="OCV157" s="1255"/>
      <c r="OCW157" s="1255"/>
      <c r="OCX157" s="1255"/>
      <c r="OCY157" s="1255"/>
      <c r="OCZ157" s="1255"/>
      <c r="ODA157" s="1255"/>
      <c r="ODB157" s="1255"/>
      <c r="ODC157" s="1255"/>
      <c r="ODD157" s="1255"/>
      <c r="ODE157" s="1255"/>
      <c r="ODF157" s="1255"/>
      <c r="ODG157" s="1255"/>
      <c r="ODH157" s="1255"/>
      <c r="ODI157" s="1255"/>
      <c r="ODJ157" s="1255"/>
      <c r="ODK157" s="1255"/>
      <c r="ODL157" s="1255"/>
      <c r="ODM157" s="1255"/>
      <c r="ODN157" s="1255"/>
      <c r="ODO157" s="1255"/>
      <c r="ODP157" s="1255"/>
      <c r="ODQ157" s="1255"/>
      <c r="ODR157" s="1255"/>
      <c r="ODS157" s="1255"/>
      <c r="ODT157" s="1255"/>
      <c r="ODU157" s="1255"/>
      <c r="ODV157" s="1255"/>
      <c r="ODW157" s="1255"/>
      <c r="ODX157" s="1255"/>
      <c r="ODY157" s="1255"/>
      <c r="ODZ157" s="1255"/>
      <c r="OEA157" s="1255"/>
      <c r="OEB157" s="1255"/>
      <c r="OEC157" s="1255"/>
      <c r="OED157" s="1255"/>
      <c r="OEE157" s="1255"/>
      <c r="OEF157" s="1255"/>
      <c r="OEG157" s="1255"/>
      <c r="OEH157" s="1255"/>
      <c r="OEI157" s="1255"/>
      <c r="OEJ157" s="1255"/>
      <c r="OEK157" s="1255"/>
      <c r="OEL157" s="1255"/>
      <c r="OEM157" s="1255"/>
      <c r="OEN157" s="1255"/>
      <c r="OEO157" s="1255"/>
      <c r="OEP157" s="1255"/>
      <c r="OEQ157" s="1255"/>
      <c r="OER157" s="1255"/>
      <c r="OES157" s="1255"/>
      <c r="OET157" s="1255"/>
      <c r="OEU157" s="1255"/>
      <c r="OEV157" s="1255"/>
      <c r="OEW157" s="1255"/>
      <c r="OEX157" s="1255"/>
      <c r="OEY157" s="1255"/>
      <c r="OEZ157" s="1255"/>
      <c r="OFA157" s="1255"/>
      <c r="OFB157" s="1255"/>
      <c r="OFC157" s="1255"/>
      <c r="OFD157" s="1255"/>
      <c r="OFE157" s="1255"/>
      <c r="OFF157" s="1255"/>
      <c r="OFG157" s="1255"/>
      <c r="OFH157" s="1255"/>
      <c r="OFI157" s="1255"/>
      <c r="OFJ157" s="1255"/>
      <c r="OFK157" s="1255"/>
      <c r="OFL157" s="1255"/>
      <c r="OFM157" s="1255"/>
      <c r="OFN157" s="1255"/>
      <c r="OFO157" s="1255"/>
      <c r="OFP157" s="1255"/>
      <c r="OFQ157" s="1255"/>
      <c r="OFR157" s="1255"/>
      <c r="OFS157" s="1255"/>
      <c r="OFT157" s="1255"/>
      <c r="OFU157" s="1255"/>
      <c r="OFV157" s="1255"/>
      <c r="OFW157" s="1255"/>
      <c r="OFX157" s="1255"/>
      <c r="OFY157" s="1255"/>
      <c r="OFZ157" s="1255"/>
      <c r="OGA157" s="1255"/>
      <c r="OGB157" s="1255"/>
      <c r="OGC157" s="1255"/>
      <c r="OGD157" s="1255"/>
      <c r="OGE157" s="1255"/>
      <c r="OGF157" s="1255"/>
      <c r="OGG157" s="1255"/>
      <c r="OGH157" s="1255"/>
      <c r="OGI157" s="1255"/>
      <c r="OGJ157" s="1255"/>
      <c r="OGK157" s="1255"/>
      <c r="OGL157" s="1255"/>
      <c r="OGM157" s="1255"/>
      <c r="OGN157" s="1255"/>
      <c r="OGO157" s="1255"/>
      <c r="OGP157" s="1255"/>
      <c r="OGQ157" s="1255"/>
      <c r="OGR157" s="1255"/>
      <c r="OGS157" s="1255"/>
      <c r="OGT157" s="1255"/>
      <c r="OGU157" s="1255"/>
      <c r="OGV157" s="1255"/>
      <c r="OGW157" s="1255"/>
      <c r="OGX157" s="1255"/>
      <c r="OGY157" s="1255"/>
      <c r="OGZ157" s="1255"/>
      <c r="OHA157" s="1255"/>
      <c r="OHB157" s="1255"/>
      <c r="OHC157" s="1255"/>
      <c r="OHD157" s="1255"/>
      <c r="OHE157" s="1255"/>
      <c r="OHF157" s="1255"/>
      <c r="OHG157" s="1255"/>
      <c r="OHH157" s="1255"/>
      <c r="OHI157" s="1255"/>
      <c r="OHJ157" s="1255"/>
      <c r="OHK157" s="1255"/>
      <c r="OHL157" s="1255"/>
      <c r="OHM157" s="1255"/>
      <c r="OHN157" s="1255"/>
      <c r="OHO157" s="1255"/>
      <c r="OHP157" s="1255"/>
      <c r="OHQ157" s="1255"/>
      <c r="OHR157" s="1255"/>
      <c r="OHS157" s="1255"/>
      <c r="OHT157" s="1255"/>
      <c r="OHU157" s="1255"/>
      <c r="OHV157" s="1255"/>
      <c r="OHW157" s="1255"/>
      <c r="OHX157" s="1255"/>
      <c r="OHY157" s="1255"/>
      <c r="OHZ157" s="1255"/>
      <c r="OIA157" s="1255"/>
      <c r="OIB157" s="1255"/>
      <c r="OIC157" s="1255"/>
      <c r="OID157" s="1255"/>
      <c r="OIE157" s="1255"/>
      <c r="OIF157" s="1255"/>
      <c r="OIG157" s="1255"/>
      <c r="OIH157" s="1255"/>
      <c r="OII157" s="1255"/>
      <c r="OIJ157" s="1255"/>
      <c r="OIK157" s="1255"/>
      <c r="OIL157" s="1255"/>
      <c r="OIM157" s="1255"/>
      <c r="OIN157" s="1255"/>
      <c r="OIO157" s="1255"/>
      <c r="OIP157" s="1255"/>
      <c r="OIQ157" s="1255"/>
      <c r="OIR157" s="1255"/>
      <c r="OIS157" s="1255"/>
      <c r="OIT157" s="1255"/>
      <c r="OIU157" s="1255"/>
      <c r="OIV157" s="1255"/>
      <c r="OIW157" s="1255"/>
      <c r="OIX157" s="1255"/>
      <c r="OIY157" s="1255"/>
      <c r="OIZ157" s="1255"/>
      <c r="OJA157" s="1255"/>
      <c r="OJB157" s="1255"/>
      <c r="OJC157" s="1255"/>
      <c r="OJD157" s="1255"/>
      <c r="OJE157" s="1255"/>
      <c r="OJF157" s="1255"/>
      <c r="OJG157" s="1255"/>
      <c r="OJH157" s="1255"/>
      <c r="OJI157" s="1255"/>
      <c r="OJJ157" s="1255"/>
      <c r="OJK157" s="1255"/>
      <c r="OJL157" s="1255"/>
      <c r="OJM157" s="1255"/>
      <c r="OJN157" s="1255"/>
      <c r="OJO157" s="1255"/>
      <c r="OJP157" s="1255"/>
      <c r="OJQ157" s="1255"/>
      <c r="OJR157" s="1255"/>
      <c r="OJS157" s="1255"/>
      <c r="OJT157" s="1255"/>
      <c r="OJU157" s="1255"/>
      <c r="OJV157" s="1255"/>
      <c r="OJW157" s="1255"/>
      <c r="OJX157" s="1255"/>
      <c r="OJY157" s="1255"/>
      <c r="OJZ157" s="1255"/>
      <c r="OKA157" s="1255"/>
      <c r="OKB157" s="1255"/>
      <c r="OKC157" s="1255"/>
      <c r="OKD157" s="1255"/>
      <c r="OKE157" s="1255"/>
      <c r="OKF157" s="1255"/>
      <c r="OKG157" s="1255"/>
      <c r="OKH157" s="1255"/>
      <c r="OKI157" s="1255"/>
      <c r="OKJ157" s="1255"/>
      <c r="OKK157" s="1255"/>
      <c r="OKL157" s="1255"/>
      <c r="OKM157" s="1255"/>
      <c r="OKN157" s="1255"/>
      <c r="OKO157" s="1255"/>
      <c r="OKP157" s="1255"/>
      <c r="OKQ157" s="1255"/>
      <c r="OKR157" s="1255"/>
      <c r="OKS157" s="1255"/>
      <c r="OKT157" s="1255"/>
      <c r="OKU157" s="1255"/>
      <c r="OKV157" s="1255"/>
      <c r="OKW157" s="1255"/>
      <c r="OKX157" s="1255"/>
      <c r="OKY157" s="1255"/>
      <c r="OKZ157" s="1255"/>
      <c r="OLA157" s="1255"/>
      <c r="OLB157" s="1255"/>
      <c r="OLC157" s="1255"/>
      <c r="OLD157" s="1255"/>
      <c r="OLE157" s="1255"/>
      <c r="OLF157" s="1255"/>
      <c r="OLG157" s="1255"/>
      <c r="OLH157" s="1255"/>
      <c r="OLI157" s="1255"/>
      <c r="OLJ157" s="1255"/>
      <c r="OLK157" s="1255"/>
      <c r="OLL157" s="1255"/>
      <c r="OLM157" s="1255"/>
      <c r="OLN157" s="1255"/>
      <c r="OLO157" s="1255"/>
      <c r="OLP157" s="1255"/>
      <c r="OLQ157" s="1255"/>
      <c r="OLR157" s="1255"/>
      <c r="OLS157" s="1255"/>
      <c r="OLT157" s="1255"/>
      <c r="OLU157" s="1255"/>
      <c r="OLV157" s="1255"/>
      <c r="OLW157" s="1255"/>
      <c r="OLX157" s="1255"/>
      <c r="OLY157" s="1255"/>
      <c r="OLZ157" s="1255"/>
      <c r="OMA157" s="1255"/>
      <c r="OMB157" s="1255"/>
      <c r="OMC157" s="1255"/>
      <c r="OMD157" s="1255"/>
      <c r="OME157" s="1255"/>
      <c r="OMF157" s="1255"/>
      <c r="OMG157" s="1255"/>
      <c r="OMH157" s="1255"/>
      <c r="OMI157" s="1255"/>
      <c r="OMJ157" s="1255"/>
      <c r="OMK157" s="1255"/>
      <c r="OML157" s="1255"/>
      <c r="OMM157" s="1255"/>
      <c r="OMN157" s="1255"/>
      <c r="OMO157" s="1255"/>
      <c r="OMP157" s="1255"/>
      <c r="OMQ157" s="1255"/>
      <c r="OMR157" s="1255"/>
      <c r="OMS157" s="1255"/>
      <c r="OMT157" s="1255"/>
      <c r="OMU157" s="1255"/>
      <c r="OMV157" s="1255"/>
      <c r="OMW157" s="1255"/>
      <c r="OMX157" s="1255"/>
      <c r="OMY157" s="1255"/>
      <c r="OMZ157" s="1255"/>
      <c r="ONA157" s="1255"/>
      <c r="ONB157" s="1255"/>
      <c r="ONC157" s="1255"/>
      <c r="OND157" s="1255"/>
      <c r="ONE157" s="1255"/>
      <c r="ONF157" s="1255"/>
      <c r="ONG157" s="1255"/>
      <c r="ONH157" s="1255"/>
      <c r="ONI157" s="1255"/>
      <c r="ONJ157" s="1255"/>
      <c r="ONK157" s="1255"/>
      <c r="ONL157" s="1255"/>
      <c r="ONM157" s="1255"/>
      <c r="ONN157" s="1255"/>
      <c r="ONO157" s="1255"/>
      <c r="ONP157" s="1255"/>
      <c r="ONQ157" s="1255"/>
      <c r="ONR157" s="1255"/>
      <c r="ONS157" s="1255"/>
      <c r="ONT157" s="1255"/>
      <c r="ONU157" s="1255"/>
      <c r="ONV157" s="1255"/>
      <c r="ONW157" s="1255"/>
      <c r="ONX157" s="1255"/>
      <c r="ONY157" s="1255"/>
      <c r="ONZ157" s="1255"/>
      <c r="OOA157" s="1255"/>
      <c r="OOB157" s="1255"/>
      <c r="OOC157" s="1255"/>
      <c r="OOD157" s="1255"/>
      <c r="OOE157" s="1255"/>
      <c r="OOF157" s="1255"/>
      <c r="OOG157" s="1255"/>
      <c r="OOH157" s="1255"/>
      <c r="OOI157" s="1255"/>
      <c r="OOJ157" s="1255"/>
      <c r="OOK157" s="1255"/>
      <c r="OOL157" s="1255"/>
      <c r="OOM157" s="1255"/>
      <c r="OON157" s="1255"/>
      <c r="OOO157" s="1255"/>
      <c r="OOP157" s="1255"/>
      <c r="OOQ157" s="1255"/>
      <c r="OOR157" s="1255"/>
      <c r="OOS157" s="1255"/>
      <c r="OOT157" s="1255"/>
      <c r="OOU157" s="1255"/>
      <c r="OOV157" s="1255"/>
      <c r="OOW157" s="1255"/>
      <c r="OOX157" s="1255"/>
      <c r="OOY157" s="1255"/>
      <c r="OOZ157" s="1255"/>
      <c r="OPA157" s="1255"/>
      <c r="OPB157" s="1255"/>
      <c r="OPC157" s="1255"/>
      <c r="OPD157" s="1255"/>
      <c r="OPE157" s="1255"/>
      <c r="OPF157" s="1255"/>
      <c r="OPG157" s="1255"/>
      <c r="OPH157" s="1255"/>
      <c r="OPI157" s="1255"/>
      <c r="OPJ157" s="1255"/>
      <c r="OPK157" s="1255"/>
      <c r="OPL157" s="1255"/>
      <c r="OPM157" s="1255"/>
      <c r="OPN157" s="1255"/>
      <c r="OPO157" s="1255"/>
      <c r="OPP157" s="1255"/>
      <c r="OPQ157" s="1255"/>
      <c r="OPR157" s="1255"/>
      <c r="OPS157" s="1255"/>
      <c r="OPT157" s="1255"/>
      <c r="OPU157" s="1255"/>
      <c r="OPV157" s="1255"/>
      <c r="OPW157" s="1255"/>
      <c r="OPX157" s="1255"/>
      <c r="OPY157" s="1255"/>
      <c r="OPZ157" s="1255"/>
      <c r="OQA157" s="1255"/>
      <c r="OQB157" s="1255"/>
      <c r="OQC157" s="1255"/>
      <c r="OQD157" s="1255"/>
      <c r="OQE157" s="1255"/>
      <c r="OQF157" s="1255"/>
      <c r="OQG157" s="1255"/>
      <c r="OQH157" s="1255"/>
      <c r="OQI157" s="1255"/>
      <c r="OQJ157" s="1255"/>
      <c r="OQK157" s="1255"/>
      <c r="OQL157" s="1255"/>
      <c r="OQM157" s="1255"/>
      <c r="OQN157" s="1255"/>
      <c r="OQO157" s="1255"/>
      <c r="OQP157" s="1255"/>
      <c r="OQQ157" s="1255"/>
      <c r="OQR157" s="1255"/>
      <c r="OQS157" s="1255"/>
      <c r="OQT157" s="1255"/>
      <c r="OQU157" s="1255"/>
      <c r="OQV157" s="1255"/>
      <c r="OQW157" s="1255"/>
      <c r="OQX157" s="1255"/>
      <c r="OQY157" s="1255"/>
      <c r="OQZ157" s="1255"/>
      <c r="ORA157" s="1255"/>
      <c r="ORB157" s="1255"/>
      <c r="ORC157" s="1255"/>
      <c r="ORD157" s="1255"/>
      <c r="ORE157" s="1255"/>
      <c r="ORF157" s="1255"/>
      <c r="ORG157" s="1255"/>
      <c r="ORH157" s="1255"/>
      <c r="ORI157" s="1255"/>
      <c r="ORJ157" s="1255"/>
      <c r="ORK157" s="1255"/>
      <c r="ORL157" s="1255"/>
      <c r="ORM157" s="1255"/>
      <c r="ORN157" s="1255"/>
      <c r="ORO157" s="1255"/>
      <c r="ORP157" s="1255"/>
      <c r="ORQ157" s="1255"/>
      <c r="ORR157" s="1255"/>
      <c r="ORS157" s="1255"/>
      <c r="ORT157" s="1255"/>
      <c r="ORU157" s="1255"/>
      <c r="ORV157" s="1255"/>
      <c r="ORW157" s="1255"/>
      <c r="ORX157" s="1255"/>
      <c r="ORY157" s="1255"/>
      <c r="ORZ157" s="1255"/>
      <c r="OSA157" s="1255"/>
      <c r="OSB157" s="1255"/>
      <c r="OSC157" s="1255"/>
      <c r="OSD157" s="1255"/>
      <c r="OSE157" s="1255"/>
      <c r="OSF157" s="1255"/>
      <c r="OSG157" s="1255"/>
      <c r="OSH157" s="1255"/>
      <c r="OSI157" s="1255"/>
      <c r="OSJ157" s="1255"/>
      <c r="OSK157" s="1255"/>
      <c r="OSL157" s="1255"/>
      <c r="OSM157" s="1255"/>
      <c r="OSN157" s="1255"/>
      <c r="OSO157" s="1255"/>
      <c r="OSP157" s="1255"/>
      <c r="OSQ157" s="1255"/>
      <c r="OSR157" s="1255"/>
      <c r="OSS157" s="1255"/>
      <c r="OST157" s="1255"/>
      <c r="OSU157" s="1255"/>
      <c r="OSV157" s="1255"/>
      <c r="OSW157" s="1255"/>
      <c r="OSX157" s="1255"/>
      <c r="OSY157" s="1255"/>
      <c r="OSZ157" s="1255"/>
      <c r="OTA157" s="1255"/>
      <c r="OTB157" s="1255"/>
      <c r="OTC157" s="1255"/>
      <c r="OTD157" s="1255"/>
      <c r="OTE157" s="1255"/>
      <c r="OTF157" s="1255"/>
      <c r="OTG157" s="1255"/>
      <c r="OTH157" s="1255"/>
      <c r="OTI157" s="1255"/>
      <c r="OTJ157" s="1255"/>
      <c r="OTK157" s="1255"/>
      <c r="OTL157" s="1255"/>
      <c r="OTM157" s="1255"/>
      <c r="OTN157" s="1255"/>
      <c r="OTO157" s="1255"/>
      <c r="OTP157" s="1255"/>
      <c r="OTQ157" s="1255"/>
      <c r="OTR157" s="1255"/>
      <c r="OTS157" s="1255"/>
      <c r="OTT157" s="1255"/>
      <c r="OTU157" s="1255"/>
      <c r="OTV157" s="1255"/>
      <c r="OTW157" s="1255"/>
      <c r="OTX157" s="1255"/>
      <c r="OTY157" s="1255"/>
      <c r="OTZ157" s="1255"/>
      <c r="OUA157" s="1255"/>
      <c r="OUB157" s="1255"/>
      <c r="OUC157" s="1255"/>
      <c r="OUD157" s="1255"/>
      <c r="OUE157" s="1255"/>
      <c r="OUF157" s="1255"/>
      <c r="OUG157" s="1255"/>
      <c r="OUH157" s="1255"/>
      <c r="OUI157" s="1255"/>
      <c r="OUJ157" s="1255"/>
      <c r="OUK157" s="1255"/>
      <c r="OUL157" s="1255"/>
      <c r="OUM157" s="1255"/>
      <c r="OUN157" s="1255"/>
      <c r="OUO157" s="1255"/>
      <c r="OUP157" s="1255"/>
      <c r="OUQ157" s="1255"/>
      <c r="OUR157" s="1255"/>
      <c r="OUS157" s="1255"/>
      <c r="OUT157" s="1255"/>
      <c r="OUU157" s="1255"/>
      <c r="OUV157" s="1255"/>
      <c r="OUW157" s="1255"/>
      <c r="OUX157" s="1255"/>
      <c r="OUY157" s="1255"/>
      <c r="OUZ157" s="1255"/>
      <c r="OVA157" s="1255"/>
      <c r="OVB157" s="1255"/>
      <c r="OVC157" s="1255"/>
      <c r="OVD157" s="1255"/>
      <c r="OVE157" s="1255"/>
      <c r="OVF157" s="1255"/>
      <c r="OVG157" s="1255"/>
      <c r="OVH157" s="1255"/>
      <c r="OVI157" s="1255"/>
      <c r="OVJ157" s="1255"/>
      <c r="OVK157" s="1255"/>
      <c r="OVL157" s="1255"/>
      <c r="OVM157" s="1255"/>
      <c r="OVN157" s="1255"/>
      <c r="OVO157" s="1255"/>
      <c r="OVP157" s="1255"/>
      <c r="OVQ157" s="1255"/>
      <c r="OVR157" s="1255"/>
      <c r="OVS157" s="1255"/>
      <c r="OVT157" s="1255"/>
      <c r="OVU157" s="1255"/>
      <c r="OVV157" s="1255"/>
      <c r="OVW157" s="1255"/>
      <c r="OVX157" s="1255"/>
      <c r="OVY157" s="1255"/>
      <c r="OVZ157" s="1255"/>
      <c r="OWA157" s="1255"/>
      <c r="OWB157" s="1255"/>
      <c r="OWC157" s="1255"/>
      <c r="OWD157" s="1255"/>
      <c r="OWE157" s="1255"/>
      <c r="OWF157" s="1255"/>
      <c r="OWG157" s="1255"/>
      <c r="OWH157" s="1255"/>
      <c r="OWI157" s="1255"/>
      <c r="OWJ157" s="1255"/>
      <c r="OWK157" s="1255"/>
      <c r="OWL157" s="1255"/>
      <c r="OWM157" s="1255"/>
      <c r="OWN157" s="1255"/>
      <c r="OWO157" s="1255"/>
      <c r="OWP157" s="1255"/>
      <c r="OWQ157" s="1255"/>
      <c r="OWR157" s="1255"/>
      <c r="OWS157" s="1255"/>
      <c r="OWT157" s="1255"/>
      <c r="OWU157" s="1255"/>
      <c r="OWV157" s="1255"/>
      <c r="OWW157" s="1255"/>
      <c r="OWX157" s="1255"/>
      <c r="OWY157" s="1255"/>
      <c r="OWZ157" s="1255"/>
      <c r="OXA157" s="1255"/>
      <c r="OXB157" s="1255"/>
      <c r="OXC157" s="1255"/>
      <c r="OXD157" s="1255"/>
      <c r="OXE157" s="1255"/>
      <c r="OXF157" s="1255"/>
      <c r="OXG157" s="1255"/>
      <c r="OXH157" s="1255"/>
      <c r="OXI157" s="1255"/>
      <c r="OXJ157" s="1255"/>
      <c r="OXK157" s="1255"/>
      <c r="OXL157" s="1255"/>
      <c r="OXM157" s="1255"/>
      <c r="OXN157" s="1255"/>
      <c r="OXO157" s="1255"/>
      <c r="OXP157" s="1255"/>
      <c r="OXQ157" s="1255"/>
      <c r="OXR157" s="1255"/>
      <c r="OXS157" s="1255"/>
      <c r="OXT157" s="1255"/>
      <c r="OXU157" s="1255"/>
      <c r="OXV157" s="1255"/>
      <c r="OXW157" s="1255"/>
      <c r="OXX157" s="1255"/>
      <c r="OXY157" s="1255"/>
      <c r="OXZ157" s="1255"/>
      <c r="OYA157" s="1255"/>
      <c r="OYB157" s="1255"/>
      <c r="OYC157" s="1255"/>
      <c r="OYD157" s="1255"/>
      <c r="OYE157" s="1255"/>
      <c r="OYF157" s="1255"/>
      <c r="OYG157" s="1255"/>
      <c r="OYH157" s="1255"/>
      <c r="OYI157" s="1255"/>
      <c r="OYJ157" s="1255"/>
      <c r="OYK157" s="1255"/>
      <c r="OYL157" s="1255"/>
      <c r="OYM157" s="1255"/>
      <c r="OYN157" s="1255"/>
      <c r="OYO157" s="1255"/>
      <c r="OYP157" s="1255"/>
      <c r="OYQ157" s="1255"/>
      <c r="OYR157" s="1255"/>
      <c r="OYS157" s="1255"/>
      <c r="OYT157" s="1255"/>
      <c r="OYU157" s="1255"/>
      <c r="OYV157" s="1255"/>
      <c r="OYW157" s="1255"/>
      <c r="OYX157" s="1255"/>
      <c r="OYY157" s="1255"/>
      <c r="OYZ157" s="1255"/>
      <c r="OZA157" s="1255"/>
      <c r="OZB157" s="1255"/>
      <c r="OZC157" s="1255"/>
      <c r="OZD157" s="1255"/>
      <c r="OZE157" s="1255"/>
      <c r="OZF157" s="1255"/>
      <c r="OZG157" s="1255"/>
      <c r="OZH157" s="1255"/>
      <c r="OZI157" s="1255"/>
      <c r="OZJ157" s="1255"/>
      <c r="OZK157" s="1255"/>
      <c r="OZL157" s="1255"/>
      <c r="OZM157" s="1255"/>
      <c r="OZN157" s="1255"/>
      <c r="OZO157" s="1255"/>
      <c r="OZP157" s="1255"/>
      <c r="OZQ157" s="1255"/>
      <c r="OZR157" s="1255"/>
      <c r="OZS157" s="1255"/>
      <c r="OZT157" s="1255"/>
      <c r="OZU157" s="1255"/>
      <c r="OZV157" s="1255"/>
      <c r="OZW157" s="1255"/>
      <c r="OZX157" s="1255"/>
      <c r="OZY157" s="1255"/>
      <c r="OZZ157" s="1255"/>
      <c r="PAA157" s="1255"/>
      <c r="PAB157" s="1255"/>
      <c r="PAC157" s="1255"/>
      <c r="PAD157" s="1255"/>
      <c r="PAE157" s="1255"/>
      <c r="PAF157" s="1255"/>
      <c r="PAG157" s="1255"/>
      <c r="PAH157" s="1255"/>
      <c r="PAI157" s="1255"/>
      <c r="PAJ157" s="1255"/>
      <c r="PAK157" s="1255"/>
      <c r="PAL157" s="1255"/>
      <c r="PAM157" s="1255"/>
      <c r="PAN157" s="1255"/>
      <c r="PAO157" s="1255"/>
      <c r="PAP157" s="1255"/>
      <c r="PAQ157" s="1255"/>
      <c r="PAR157" s="1255"/>
      <c r="PAS157" s="1255"/>
      <c r="PAT157" s="1255"/>
      <c r="PAU157" s="1255"/>
      <c r="PAV157" s="1255"/>
      <c r="PAW157" s="1255"/>
      <c r="PAX157" s="1255"/>
      <c r="PAY157" s="1255"/>
      <c r="PAZ157" s="1255"/>
      <c r="PBA157" s="1255"/>
      <c r="PBB157" s="1255"/>
      <c r="PBC157" s="1255"/>
      <c r="PBD157" s="1255"/>
      <c r="PBE157" s="1255"/>
      <c r="PBF157" s="1255"/>
      <c r="PBG157" s="1255"/>
      <c r="PBH157" s="1255"/>
      <c r="PBI157" s="1255"/>
      <c r="PBJ157" s="1255"/>
      <c r="PBK157" s="1255"/>
      <c r="PBL157" s="1255"/>
      <c r="PBM157" s="1255"/>
      <c r="PBN157" s="1255"/>
      <c r="PBO157" s="1255"/>
      <c r="PBP157" s="1255"/>
      <c r="PBQ157" s="1255"/>
      <c r="PBR157" s="1255"/>
      <c r="PBS157" s="1255"/>
      <c r="PBT157" s="1255"/>
      <c r="PBU157" s="1255"/>
      <c r="PBV157" s="1255"/>
      <c r="PBW157" s="1255"/>
      <c r="PBX157" s="1255"/>
      <c r="PBY157" s="1255"/>
      <c r="PBZ157" s="1255"/>
      <c r="PCA157" s="1255"/>
      <c r="PCB157" s="1255"/>
      <c r="PCC157" s="1255"/>
      <c r="PCD157" s="1255"/>
      <c r="PCE157" s="1255"/>
      <c r="PCF157" s="1255"/>
      <c r="PCG157" s="1255"/>
      <c r="PCH157" s="1255"/>
      <c r="PCI157" s="1255"/>
      <c r="PCJ157" s="1255"/>
      <c r="PCK157" s="1255"/>
      <c r="PCL157" s="1255"/>
      <c r="PCM157" s="1255"/>
      <c r="PCN157" s="1255"/>
      <c r="PCO157" s="1255"/>
      <c r="PCP157" s="1255"/>
      <c r="PCQ157" s="1255"/>
      <c r="PCR157" s="1255"/>
      <c r="PCS157" s="1255"/>
      <c r="PCT157" s="1255"/>
      <c r="PCU157" s="1255"/>
      <c r="PCV157" s="1255"/>
      <c r="PCW157" s="1255"/>
      <c r="PCX157" s="1255"/>
      <c r="PCY157" s="1255"/>
      <c r="PCZ157" s="1255"/>
      <c r="PDA157" s="1255"/>
      <c r="PDB157" s="1255"/>
      <c r="PDC157" s="1255"/>
      <c r="PDD157" s="1255"/>
      <c r="PDE157" s="1255"/>
      <c r="PDF157" s="1255"/>
      <c r="PDG157" s="1255"/>
      <c r="PDH157" s="1255"/>
      <c r="PDI157" s="1255"/>
      <c r="PDJ157" s="1255"/>
      <c r="PDK157" s="1255"/>
      <c r="PDL157" s="1255"/>
      <c r="PDM157" s="1255"/>
      <c r="PDN157" s="1255"/>
      <c r="PDO157" s="1255"/>
      <c r="PDP157" s="1255"/>
      <c r="PDQ157" s="1255"/>
      <c r="PDR157" s="1255"/>
      <c r="PDS157" s="1255"/>
      <c r="PDT157" s="1255"/>
      <c r="PDU157" s="1255"/>
      <c r="PDV157" s="1255"/>
      <c r="PDW157" s="1255"/>
      <c r="PDX157" s="1255"/>
      <c r="PDY157" s="1255"/>
      <c r="PDZ157" s="1255"/>
      <c r="PEA157" s="1255"/>
      <c r="PEB157" s="1255"/>
      <c r="PEC157" s="1255"/>
      <c r="PED157" s="1255"/>
      <c r="PEE157" s="1255"/>
      <c r="PEF157" s="1255"/>
      <c r="PEG157" s="1255"/>
      <c r="PEH157" s="1255"/>
      <c r="PEI157" s="1255"/>
      <c r="PEJ157" s="1255"/>
      <c r="PEK157" s="1255"/>
      <c r="PEL157" s="1255"/>
      <c r="PEM157" s="1255"/>
      <c r="PEN157" s="1255"/>
      <c r="PEO157" s="1255"/>
      <c r="PEP157" s="1255"/>
      <c r="PEQ157" s="1255"/>
      <c r="PER157" s="1255"/>
      <c r="PES157" s="1255"/>
      <c r="PET157" s="1255"/>
      <c r="PEU157" s="1255"/>
      <c r="PEV157" s="1255"/>
      <c r="PEW157" s="1255"/>
      <c r="PEX157" s="1255"/>
      <c r="PEY157" s="1255"/>
      <c r="PEZ157" s="1255"/>
      <c r="PFA157" s="1255"/>
      <c r="PFB157" s="1255"/>
      <c r="PFC157" s="1255"/>
      <c r="PFD157" s="1255"/>
      <c r="PFE157" s="1255"/>
      <c r="PFF157" s="1255"/>
      <c r="PFG157" s="1255"/>
      <c r="PFH157" s="1255"/>
      <c r="PFI157" s="1255"/>
      <c r="PFJ157" s="1255"/>
      <c r="PFK157" s="1255"/>
      <c r="PFL157" s="1255"/>
      <c r="PFM157" s="1255"/>
      <c r="PFN157" s="1255"/>
      <c r="PFO157" s="1255"/>
      <c r="PFP157" s="1255"/>
      <c r="PFQ157" s="1255"/>
      <c r="PFR157" s="1255"/>
      <c r="PFS157" s="1255"/>
      <c r="PFT157" s="1255"/>
      <c r="PFU157" s="1255"/>
      <c r="PFV157" s="1255"/>
      <c r="PFW157" s="1255"/>
      <c r="PFX157" s="1255"/>
      <c r="PFY157" s="1255"/>
      <c r="PFZ157" s="1255"/>
      <c r="PGA157" s="1255"/>
      <c r="PGB157" s="1255"/>
      <c r="PGC157" s="1255"/>
      <c r="PGD157" s="1255"/>
      <c r="PGE157" s="1255"/>
      <c r="PGF157" s="1255"/>
      <c r="PGG157" s="1255"/>
      <c r="PGH157" s="1255"/>
      <c r="PGI157" s="1255"/>
      <c r="PGJ157" s="1255"/>
      <c r="PGK157" s="1255"/>
      <c r="PGL157" s="1255"/>
      <c r="PGM157" s="1255"/>
      <c r="PGN157" s="1255"/>
      <c r="PGO157" s="1255"/>
      <c r="PGP157" s="1255"/>
      <c r="PGQ157" s="1255"/>
      <c r="PGR157" s="1255"/>
      <c r="PGS157" s="1255"/>
      <c r="PGT157" s="1255"/>
      <c r="PGU157" s="1255"/>
      <c r="PGV157" s="1255"/>
      <c r="PGW157" s="1255"/>
      <c r="PGX157" s="1255"/>
      <c r="PGY157" s="1255"/>
      <c r="PGZ157" s="1255"/>
      <c r="PHA157" s="1255"/>
      <c r="PHB157" s="1255"/>
      <c r="PHC157" s="1255"/>
      <c r="PHD157" s="1255"/>
      <c r="PHE157" s="1255"/>
      <c r="PHF157" s="1255"/>
      <c r="PHG157" s="1255"/>
      <c r="PHH157" s="1255"/>
      <c r="PHI157" s="1255"/>
      <c r="PHJ157" s="1255"/>
      <c r="PHK157" s="1255"/>
      <c r="PHL157" s="1255"/>
      <c r="PHM157" s="1255"/>
      <c r="PHN157" s="1255"/>
      <c r="PHO157" s="1255"/>
      <c r="PHP157" s="1255"/>
      <c r="PHQ157" s="1255"/>
      <c r="PHR157" s="1255"/>
      <c r="PHS157" s="1255"/>
      <c r="PHT157" s="1255"/>
      <c r="PHU157" s="1255"/>
      <c r="PHV157" s="1255"/>
      <c r="PHW157" s="1255"/>
      <c r="PHX157" s="1255"/>
      <c r="PHY157" s="1255"/>
      <c r="PHZ157" s="1255"/>
      <c r="PIA157" s="1255"/>
      <c r="PIB157" s="1255"/>
      <c r="PIC157" s="1255"/>
      <c r="PID157" s="1255"/>
      <c r="PIE157" s="1255"/>
      <c r="PIF157" s="1255"/>
      <c r="PIG157" s="1255"/>
      <c r="PIH157" s="1255"/>
      <c r="PII157" s="1255"/>
      <c r="PIJ157" s="1255"/>
      <c r="PIK157" s="1255"/>
      <c r="PIL157" s="1255"/>
      <c r="PIM157" s="1255"/>
      <c r="PIN157" s="1255"/>
      <c r="PIO157" s="1255"/>
      <c r="PIP157" s="1255"/>
      <c r="PIQ157" s="1255"/>
      <c r="PIR157" s="1255"/>
      <c r="PIS157" s="1255"/>
      <c r="PIT157" s="1255"/>
      <c r="PIU157" s="1255"/>
      <c r="PIV157" s="1255"/>
      <c r="PIW157" s="1255"/>
      <c r="PIX157" s="1255"/>
      <c r="PIY157" s="1255"/>
      <c r="PIZ157" s="1255"/>
      <c r="PJA157" s="1255"/>
      <c r="PJB157" s="1255"/>
      <c r="PJC157" s="1255"/>
      <c r="PJD157" s="1255"/>
      <c r="PJE157" s="1255"/>
      <c r="PJF157" s="1255"/>
      <c r="PJG157" s="1255"/>
      <c r="PJH157" s="1255"/>
      <c r="PJI157" s="1255"/>
      <c r="PJJ157" s="1255"/>
      <c r="PJK157" s="1255"/>
      <c r="PJL157" s="1255"/>
      <c r="PJM157" s="1255"/>
      <c r="PJN157" s="1255"/>
      <c r="PJO157" s="1255"/>
      <c r="PJP157" s="1255"/>
      <c r="PJQ157" s="1255"/>
      <c r="PJR157" s="1255"/>
      <c r="PJS157" s="1255"/>
      <c r="PJT157" s="1255"/>
      <c r="PJU157" s="1255"/>
      <c r="PJV157" s="1255"/>
      <c r="PJW157" s="1255"/>
      <c r="PJX157" s="1255"/>
      <c r="PJY157" s="1255"/>
      <c r="PJZ157" s="1255"/>
      <c r="PKA157" s="1255"/>
      <c r="PKB157" s="1255"/>
      <c r="PKC157" s="1255"/>
      <c r="PKD157" s="1255"/>
      <c r="PKE157" s="1255"/>
      <c r="PKF157" s="1255"/>
      <c r="PKG157" s="1255"/>
      <c r="PKH157" s="1255"/>
      <c r="PKI157" s="1255"/>
      <c r="PKJ157" s="1255"/>
      <c r="PKK157" s="1255"/>
      <c r="PKL157" s="1255"/>
      <c r="PKM157" s="1255"/>
      <c r="PKN157" s="1255"/>
      <c r="PKO157" s="1255"/>
      <c r="PKP157" s="1255"/>
      <c r="PKQ157" s="1255"/>
      <c r="PKR157" s="1255"/>
      <c r="PKS157" s="1255"/>
      <c r="PKT157" s="1255"/>
      <c r="PKU157" s="1255"/>
      <c r="PKV157" s="1255"/>
      <c r="PKW157" s="1255"/>
      <c r="PKX157" s="1255"/>
      <c r="PKY157" s="1255"/>
      <c r="PKZ157" s="1255"/>
      <c r="PLA157" s="1255"/>
      <c r="PLB157" s="1255"/>
      <c r="PLC157" s="1255"/>
      <c r="PLD157" s="1255"/>
      <c r="PLE157" s="1255"/>
      <c r="PLF157" s="1255"/>
      <c r="PLG157" s="1255"/>
      <c r="PLH157" s="1255"/>
      <c r="PLI157" s="1255"/>
      <c r="PLJ157" s="1255"/>
      <c r="PLK157" s="1255"/>
      <c r="PLL157" s="1255"/>
      <c r="PLM157" s="1255"/>
      <c r="PLN157" s="1255"/>
      <c r="PLO157" s="1255"/>
      <c r="PLP157" s="1255"/>
      <c r="PLQ157" s="1255"/>
      <c r="PLR157" s="1255"/>
      <c r="PLS157" s="1255"/>
      <c r="PLT157" s="1255"/>
      <c r="PLU157" s="1255"/>
      <c r="PLV157" s="1255"/>
      <c r="PLW157" s="1255"/>
      <c r="PLX157" s="1255"/>
      <c r="PLY157" s="1255"/>
      <c r="PLZ157" s="1255"/>
      <c r="PMA157" s="1255"/>
      <c r="PMB157" s="1255"/>
      <c r="PMC157" s="1255"/>
      <c r="PMD157" s="1255"/>
      <c r="PME157" s="1255"/>
      <c r="PMF157" s="1255"/>
      <c r="PMG157" s="1255"/>
      <c r="PMH157" s="1255"/>
      <c r="PMI157" s="1255"/>
      <c r="PMJ157" s="1255"/>
      <c r="PMK157" s="1255"/>
      <c r="PML157" s="1255"/>
      <c r="PMM157" s="1255"/>
      <c r="PMN157" s="1255"/>
      <c r="PMO157" s="1255"/>
      <c r="PMP157" s="1255"/>
      <c r="PMQ157" s="1255"/>
      <c r="PMR157" s="1255"/>
      <c r="PMS157" s="1255"/>
      <c r="PMT157" s="1255"/>
      <c r="PMU157" s="1255"/>
      <c r="PMV157" s="1255"/>
      <c r="PMW157" s="1255"/>
      <c r="PMX157" s="1255"/>
      <c r="PMY157" s="1255"/>
      <c r="PMZ157" s="1255"/>
      <c r="PNA157" s="1255"/>
      <c r="PNB157" s="1255"/>
      <c r="PNC157" s="1255"/>
      <c r="PND157" s="1255"/>
      <c r="PNE157" s="1255"/>
      <c r="PNF157" s="1255"/>
      <c r="PNG157" s="1255"/>
      <c r="PNH157" s="1255"/>
      <c r="PNI157" s="1255"/>
      <c r="PNJ157" s="1255"/>
      <c r="PNK157" s="1255"/>
      <c r="PNL157" s="1255"/>
      <c r="PNM157" s="1255"/>
      <c r="PNN157" s="1255"/>
      <c r="PNO157" s="1255"/>
      <c r="PNP157" s="1255"/>
      <c r="PNQ157" s="1255"/>
      <c r="PNR157" s="1255"/>
      <c r="PNS157" s="1255"/>
      <c r="PNT157" s="1255"/>
      <c r="PNU157" s="1255"/>
      <c r="PNV157" s="1255"/>
      <c r="PNW157" s="1255"/>
      <c r="PNX157" s="1255"/>
      <c r="PNY157" s="1255"/>
      <c r="PNZ157" s="1255"/>
      <c r="POA157" s="1255"/>
      <c r="POB157" s="1255"/>
      <c r="POC157" s="1255"/>
      <c r="POD157" s="1255"/>
      <c r="POE157" s="1255"/>
      <c r="POF157" s="1255"/>
      <c r="POG157" s="1255"/>
      <c r="POH157" s="1255"/>
      <c r="POI157" s="1255"/>
      <c r="POJ157" s="1255"/>
      <c r="POK157" s="1255"/>
      <c r="POL157" s="1255"/>
      <c r="POM157" s="1255"/>
      <c r="PON157" s="1255"/>
      <c r="POO157" s="1255"/>
      <c r="POP157" s="1255"/>
      <c r="POQ157" s="1255"/>
      <c r="POR157" s="1255"/>
      <c r="POS157" s="1255"/>
      <c r="POT157" s="1255"/>
      <c r="POU157" s="1255"/>
      <c r="POV157" s="1255"/>
      <c r="POW157" s="1255"/>
      <c r="POX157" s="1255"/>
      <c r="POY157" s="1255"/>
      <c r="POZ157" s="1255"/>
      <c r="PPA157" s="1255"/>
      <c r="PPB157" s="1255"/>
      <c r="PPC157" s="1255"/>
      <c r="PPD157" s="1255"/>
      <c r="PPE157" s="1255"/>
      <c r="PPF157" s="1255"/>
      <c r="PPG157" s="1255"/>
      <c r="PPH157" s="1255"/>
      <c r="PPI157" s="1255"/>
      <c r="PPJ157" s="1255"/>
      <c r="PPK157" s="1255"/>
      <c r="PPL157" s="1255"/>
      <c r="PPM157" s="1255"/>
      <c r="PPN157" s="1255"/>
      <c r="PPO157" s="1255"/>
      <c r="PPP157" s="1255"/>
      <c r="PPQ157" s="1255"/>
      <c r="PPR157" s="1255"/>
      <c r="PPS157" s="1255"/>
      <c r="PPT157" s="1255"/>
      <c r="PPU157" s="1255"/>
      <c r="PPV157" s="1255"/>
      <c r="PPW157" s="1255"/>
      <c r="PPX157" s="1255"/>
      <c r="PPY157" s="1255"/>
      <c r="PPZ157" s="1255"/>
      <c r="PQA157" s="1255"/>
      <c r="PQB157" s="1255"/>
      <c r="PQC157" s="1255"/>
      <c r="PQD157" s="1255"/>
      <c r="PQE157" s="1255"/>
      <c r="PQF157" s="1255"/>
      <c r="PQG157" s="1255"/>
      <c r="PQH157" s="1255"/>
      <c r="PQI157" s="1255"/>
      <c r="PQJ157" s="1255"/>
      <c r="PQK157" s="1255"/>
      <c r="PQL157" s="1255"/>
      <c r="PQM157" s="1255"/>
      <c r="PQN157" s="1255"/>
      <c r="PQO157" s="1255"/>
      <c r="PQP157" s="1255"/>
      <c r="PQQ157" s="1255"/>
      <c r="PQR157" s="1255"/>
      <c r="PQS157" s="1255"/>
      <c r="PQT157" s="1255"/>
      <c r="PQU157" s="1255"/>
      <c r="PQV157" s="1255"/>
      <c r="PQW157" s="1255"/>
      <c r="PQX157" s="1255"/>
      <c r="PQY157" s="1255"/>
      <c r="PQZ157" s="1255"/>
      <c r="PRA157" s="1255"/>
      <c r="PRB157" s="1255"/>
      <c r="PRC157" s="1255"/>
      <c r="PRD157" s="1255"/>
      <c r="PRE157" s="1255"/>
      <c r="PRF157" s="1255"/>
      <c r="PRG157" s="1255"/>
      <c r="PRH157" s="1255"/>
      <c r="PRI157" s="1255"/>
      <c r="PRJ157" s="1255"/>
      <c r="PRK157" s="1255"/>
      <c r="PRL157" s="1255"/>
      <c r="PRM157" s="1255"/>
      <c r="PRN157" s="1255"/>
      <c r="PRO157" s="1255"/>
      <c r="PRP157" s="1255"/>
      <c r="PRQ157" s="1255"/>
      <c r="PRR157" s="1255"/>
      <c r="PRS157" s="1255"/>
      <c r="PRT157" s="1255"/>
      <c r="PRU157" s="1255"/>
      <c r="PRV157" s="1255"/>
      <c r="PRW157" s="1255"/>
      <c r="PRX157" s="1255"/>
      <c r="PRY157" s="1255"/>
      <c r="PRZ157" s="1255"/>
      <c r="PSA157" s="1255"/>
      <c r="PSB157" s="1255"/>
      <c r="PSC157" s="1255"/>
      <c r="PSD157" s="1255"/>
      <c r="PSE157" s="1255"/>
      <c r="PSF157" s="1255"/>
      <c r="PSG157" s="1255"/>
      <c r="PSH157" s="1255"/>
      <c r="PSI157" s="1255"/>
      <c r="PSJ157" s="1255"/>
      <c r="PSK157" s="1255"/>
      <c r="PSL157" s="1255"/>
      <c r="PSM157" s="1255"/>
      <c r="PSN157" s="1255"/>
      <c r="PSO157" s="1255"/>
      <c r="PSP157" s="1255"/>
      <c r="PSQ157" s="1255"/>
      <c r="PSR157" s="1255"/>
      <c r="PSS157" s="1255"/>
      <c r="PST157" s="1255"/>
      <c r="PSU157" s="1255"/>
      <c r="PSV157" s="1255"/>
      <c r="PSW157" s="1255"/>
      <c r="PSX157" s="1255"/>
      <c r="PSY157" s="1255"/>
      <c r="PSZ157" s="1255"/>
      <c r="PTA157" s="1255"/>
      <c r="PTB157" s="1255"/>
      <c r="PTC157" s="1255"/>
      <c r="PTD157" s="1255"/>
      <c r="PTE157" s="1255"/>
      <c r="PTF157" s="1255"/>
      <c r="PTG157" s="1255"/>
      <c r="PTH157" s="1255"/>
      <c r="PTI157" s="1255"/>
      <c r="PTJ157" s="1255"/>
      <c r="PTK157" s="1255"/>
      <c r="PTL157" s="1255"/>
      <c r="PTM157" s="1255"/>
      <c r="PTN157" s="1255"/>
      <c r="PTO157" s="1255"/>
      <c r="PTP157" s="1255"/>
      <c r="PTQ157" s="1255"/>
      <c r="PTR157" s="1255"/>
      <c r="PTS157" s="1255"/>
      <c r="PTT157" s="1255"/>
      <c r="PTU157" s="1255"/>
      <c r="PTV157" s="1255"/>
      <c r="PTW157" s="1255"/>
      <c r="PTX157" s="1255"/>
      <c r="PTY157" s="1255"/>
      <c r="PTZ157" s="1255"/>
      <c r="PUA157" s="1255"/>
      <c r="PUB157" s="1255"/>
      <c r="PUC157" s="1255"/>
      <c r="PUD157" s="1255"/>
      <c r="PUE157" s="1255"/>
      <c r="PUF157" s="1255"/>
      <c r="PUG157" s="1255"/>
      <c r="PUH157" s="1255"/>
      <c r="PUI157" s="1255"/>
      <c r="PUJ157" s="1255"/>
      <c r="PUK157" s="1255"/>
      <c r="PUL157" s="1255"/>
      <c r="PUM157" s="1255"/>
      <c r="PUN157" s="1255"/>
      <c r="PUO157" s="1255"/>
      <c r="PUP157" s="1255"/>
      <c r="PUQ157" s="1255"/>
      <c r="PUR157" s="1255"/>
      <c r="PUS157" s="1255"/>
      <c r="PUT157" s="1255"/>
      <c r="PUU157" s="1255"/>
      <c r="PUV157" s="1255"/>
      <c r="PUW157" s="1255"/>
      <c r="PUX157" s="1255"/>
      <c r="PUY157" s="1255"/>
      <c r="PUZ157" s="1255"/>
      <c r="PVA157" s="1255"/>
      <c r="PVB157" s="1255"/>
      <c r="PVC157" s="1255"/>
      <c r="PVD157" s="1255"/>
      <c r="PVE157" s="1255"/>
      <c r="PVF157" s="1255"/>
      <c r="PVG157" s="1255"/>
      <c r="PVH157" s="1255"/>
      <c r="PVI157" s="1255"/>
      <c r="PVJ157" s="1255"/>
      <c r="PVK157" s="1255"/>
      <c r="PVL157" s="1255"/>
      <c r="PVM157" s="1255"/>
      <c r="PVN157" s="1255"/>
      <c r="PVO157" s="1255"/>
      <c r="PVP157" s="1255"/>
      <c r="PVQ157" s="1255"/>
      <c r="PVR157" s="1255"/>
      <c r="PVS157" s="1255"/>
      <c r="PVT157" s="1255"/>
      <c r="PVU157" s="1255"/>
      <c r="PVV157" s="1255"/>
      <c r="PVW157" s="1255"/>
      <c r="PVX157" s="1255"/>
      <c r="PVY157" s="1255"/>
      <c r="PVZ157" s="1255"/>
      <c r="PWA157" s="1255"/>
      <c r="PWB157" s="1255"/>
      <c r="PWC157" s="1255"/>
      <c r="PWD157" s="1255"/>
      <c r="PWE157" s="1255"/>
      <c r="PWF157" s="1255"/>
      <c r="PWG157" s="1255"/>
      <c r="PWH157" s="1255"/>
      <c r="PWI157" s="1255"/>
      <c r="PWJ157" s="1255"/>
      <c r="PWK157" s="1255"/>
      <c r="PWL157" s="1255"/>
      <c r="PWM157" s="1255"/>
      <c r="PWN157" s="1255"/>
      <c r="PWO157" s="1255"/>
      <c r="PWP157" s="1255"/>
      <c r="PWQ157" s="1255"/>
      <c r="PWR157" s="1255"/>
      <c r="PWS157" s="1255"/>
      <c r="PWT157" s="1255"/>
      <c r="PWU157" s="1255"/>
      <c r="PWV157" s="1255"/>
      <c r="PWW157" s="1255"/>
      <c r="PWX157" s="1255"/>
      <c r="PWY157" s="1255"/>
      <c r="PWZ157" s="1255"/>
      <c r="PXA157" s="1255"/>
      <c r="PXB157" s="1255"/>
      <c r="PXC157" s="1255"/>
      <c r="PXD157" s="1255"/>
      <c r="PXE157" s="1255"/>
      <c r="PXF157" s="1255"/>
      <c r="PXG157" s="1255"/>
      <c r="PXH157" s="1255"/>
      <c r="PXI157" s="1255"/>
      <c r="PXJ157" s="1255"/>
      <c r="PXK157" s="1255"/>
      <c r="PXL157" s="1255"/>
      <c r="PXM157" s="1255"/>
      <c r="PXN157" s="1255"/>
      <c r="PXO157" s="1255"/>
      <c r="PXP157" s="1255"/>
      <c r="PXQ157" s="1255"/>
      <c r="PXR157" s="1255"/>
      <c r="PXS157" s="1255"/>
      <c r="PXT157" s="1255"/>
      <c r="PXU157" s="1255"/>
      <c r="PXV157" s="1255"/>
      <c r="PXW157" s="1255"/>
      <c r="PXX157" s="1255"/>
      <c r="PXY157" s="1255"/>
      <c r="PXZ157" s="1255"/>
      <c r="PYA157" s="1255"/>
      <c r="PYB157" s="1255"/>
      <c r="PYC157" s="1255"/>
      <c r="PYD157" s="1255"/>
      <c r="PYE157" s="1255"/>
      <c r="PYF157" s="1255"/>
      <c r="PYG157" s="1255"/>
      <c r="PYH157" s="1255"/>
      <c r="PYI157" s="1255"/>
      <c r="PYJ157" s="1255"/>
      <c r="PYK157" s="1255"/>
      <c r="PYL157" s="1255"/>
      <c r="PYM157" s="1255"/>
      <c r="PYN157" s="1255"/>
      <c r="PYO157" s="1255"/>
      <c r="PYP157" s="1255"/>
      <c r="PYQ157" s="1255"/>
      <c r="PYR157" s="1255"/>
      <c r="PYS157" s="1255"/>
      <c r="PYT157" s="1255"/>
      <c r="PYU157" s="1255"/>
      <c r="PYV157" s="1255"/>
      <c r="PYW157" s="1255"/>
      <c r="PYX157" s="1255"/>
      <c r="PYY157" s="1255"/>
      <c r="PYZ157" s="1255"/>
      <c r="PZA157" s="1255"/>
      <c r="PZB157" s="1255"/>
      <c r="PZC157" s="1255"/>
      <c r="PZD157" s="1255"/>
      <c r="PZE157" s="1255"/>
      <c r="PZF157" s="1255"/>
      <c r="PZG157" s="1255"/>
      <c r="PZH157" s="1255"/>
      <c r="PZI157" s="1255"/>
      <c r="PZJ157" s="1255"/>
      <c r="PZK157" s="1255"/>
      <c r="PZL157" s="1255"/>
      <c r="PZM157" s="1255"/>
      <c r="PZN157" s="1255"/>
      <c r="PZO157" s="1255"/>
      <c r="PZP157" s="1255"/>
      <c r="PZQ157" s="1255"/>
      <c r="PZR157" s="1255"/>
      <c r="PZS157" s="1255"/>
      <c r="PZT157" s="1255"/>
      <c r="PZU157" s="1255"/>
      <c r="PZV157" s="1255"/>
      <c r="PZW157" s="1255"/>
      <c r="PZX157" s="1255"/>
      <c r="PZY157" s="1255"/>
      <c r="PZZ157" s="1255"/>
      <c r="QAA157" s="1255"/>
      <c r="QAB157" s="1255"/>
      <c r="QAC157" s="1255"/>
      <c r="QAD157" s="1255"/>
      <c r="QAE157" s="1255"/>
      <c r="QAF157" s="1255"/>
      <c r="QAG157" s="1255"/>
      <c r="QAH157" s="1255"/>
      <c r="QAI157" s="1255"/>
      <c r="QAJ157" s="1255"/>
      <c r="QAK157" s="1255"/>
      <c r="QAL157" s="1255"/>
      <c r="QAM157" s="1255"/>
      <c r="QAN157" s="1255"/>
      <c r="QAO157" s="1255"/>
      <c r="QAP157" s="1255"/>
      <c r="QAQ157" s="1255"/>
      <c r="QAR157" s="1255"/>
      <c r="QAS157" s="1255"/>
      <c r="QAT157" s="1255"/>
      <c r="QAU157" s="1255"/>
      <c r="QAV157" s="1255"/>
      <c r="QAW157" s="1255"/>
      <c r="QAX157" s="1255"/>
      <c r="QAY157" s="1255"/>
      <c r="QAZ157" s="1255"/>
      <c r="QBA157" s="1255"/>
      <c r="QBB157" s="1255"/>
      <c r="QBC157" s="1255"/>
      <c r="QBD157" s="1255"/>
      <c r="QBE157" s="1255"/>
      <c r="QBF157" s="1255"/>
      <c r="QBG157" s="1255"/>
      <c r="QBH157" s="1255"/>
      <c r="QBI157" s="1255"/>
      <c r="QBJ157" s="1255"/>
      <c r="QBK157" s="1255"/>
      <c r="QBL157" s="1255"/>
      <c r="QBM157" s="1255"/>
      <c r="QBN157" s="1255"/>
      <c r="QBO157" s="1255"/>
      <c r="QBP157" s="1255"/>
      <c r="QBQ157" s="1255"/>
      <c r="QBR157" s="1255"/>
      <c r="QBS157" s="1255"/>
      <c r="QBT157" s="1255"/>
      <c r="QBU157" s="1255"/>
      <c r="QBV157" s="1255"/>
      <c r="QBW157" s="1255"/>
      <c r="QBX157" s="1255"/>
      <c r="QBY157" s="1255"/>
      <c r="QBZ157" s="1255"/>
      <c r="QCA157" s="1255"/>
      <c r="QCB157" s="1255"/>
      <c r="QCC157" s="1255"/>
      <c r="QCD157" s="1255"/>
      <c r="QCE157" s="1255"/>
      <c r="QCF157" s="1255"/>
      <c r="QCG157" s="1255"/>
      <c r="QCH157" s="1255"/>
      <c r="QCI157" s="1255"/>
      <c r="QCJ157" s="1255"/>
      <c r="QCK157" s="1255"/>
      <c r="QCL157" s="1255"/>
      <c r="QCM157" s="1255"/>
      <c r="QCN157" s="1255"/>
      <c r="QCO157" s="1255"/>
      <c r="QCP157" s="1255"/>
      <c r="QCQ157" s="1255"/>
      <c r="QCR157" s="1255"/>
      <c r="QCS157" s="1255"/>
      <c r="QCT157" s="1255"/>
      <c r="QCU157" s="1255"/>
      <c r="QCV157" s="1255"/>
      <c r="QCW157" s="1255"/>
      <c r="QCX157" s="1255"/>
      <c r="QCY157" s="1255"/>
      <c r="QCZ157" s="1255"/>
      <c r="QDA157" s="1255"/>
      <c r="QDB157" s="1255"/>
      <c r="QDC157" s="1255"/>
      <c r="QDD157" s="1255"/>
      <c r="QDE157" s="1255"/>
      <c r="QDF157" s="1255"/>
      <c r="QDG157" s="1255"/>
      <c r="QDH157" s="1255"/>
      <c r="QDI157" s="1255"/>
      <c r="QDJ157" s="1255"/>
      <c r="QDK157" s="1255"/>
      <c r="QDL157" s="1255"/>
      <c r="QDM157" s="1255"/>
      <c r="QDN157" s="1255"/>
      <c r="QDO157" s="1255"/>
      <c r="QDP157" s="1255"/>
      <c r="QDQ157" s="1255"/>
      <c r="QDR157" s="1255"/>
      <c r="QDS157" s="1255"/>
      <c r="QDT157" s="1255"/>
      <c r="QDU157" s="1255"/>
      <c r="QDV157" s="1255"/>
      <c r="QDW157" s="1255"/>
      <c r="QDX157" s="1255"/>
      <c r="QDY157" s="1255"/>
      <c r="QDZ157" s="1255"/>
      <c r="QEA157" s="1255"/>
      <c r="QEB157" s="1255"/>
      <c r="QEC157" s="1255"/>
      <c r="QED157" s="1255"/>
      <c r="QEE157" s="1255"/>
      <c r="QEF157" s="1255"/>
      <c r="QEG157" s="1255"/>
      <c r="QEH157" s="1255"/>
      <c r="QEI157" s="1255"/>
      <c r="QEJ157" s="1255"/>
      <c r="QEK157" s="1255"/>
      <c r="QEL157" s="1255"/>
      <c r="QEM157" s="1255"/>
      <c r="QEN157" s="1255"/>
      <c r="QEO157" s="1255"/>
      <c r="QEP157" s="1255"/>
      <c r="QEQ157" s="1255"/>
      <c r="QER157" s="1255"/>
      <c r="QES157" s="1255"/>
      <c r="QET157" s="1255"/>
      <c r="QEU157" s="1255"/>
      <c r="QEV157" s="1255"/>
      <c r="QEW157" s="1255"/>
      <c r="QEX157" s="1255"/>
      <c r="QEY157" s="1255"/>
      <c r="QEZ157" s="1255"/>
      <c r="QFA157" s="1255"/>
      <c r="QFB157" s="1255"/>
      <c r="QFC157" s="1255"/>
      <c r="QFD157" s="1255"/>
      <c r="QFE157" s="1255"/>
      <c r="QFF157" s="1255"/>
      <c r="QFG157" s="1255"/>
      <c r="QFH157" s="1255"/>
      <c r="QFI157" s="1255"/>
      <c r="QFJ157" s="1255"/>
      <c r="QFK157" s="1255"/>
      <c r="QFL157" s="1255"/>
      <c r="QFM157" s="1255"/>
      <c r="QFN157" s="1255"/>
      <c r="QFO157" s="1255"/>
      <c r="QFP157" s="1255"/>
      <c r="QFQ157" s="1255"/>
      <c r="QFR157" s="1255"/>
      <c r="QFS157" s="1255"/>
      <c r="QFT157" s="1255"/>
      <c r="QFU157" s="1255"/>
      <c r="QFV157" s="1255"/>
      <c r="QFW157" s="1255"/>
      <c r="QFX157" s="1255"/>
      <c r="QFY157" s="1255"/>
      <c r="QFZ157" s="1255"/>
      <c r="QGA157" s="1255"/>
      <c r="QGB157" s="1255"/>
      <c r="QGC157" s="1255"/>
      <c r="QGD157" s="1255"/>
      <c r="QGE157" s="1255"/>
      <c r="QGF157" s="1255"/>
      <c r="QGG157" s="1255"/>
      <c r="QGH157" s="1255"/>
      <c r="QGI157" s="1255"/>
      <c r="QGJ157" s="1255"/>
      <c r="QGK157" s="1255"/>
      <c r="QGL157" s="1255"/>
      <c r="QGM157" s="1255"/>
      <c r="QGN157" s="1255"/>
      <c r="QGO157" s="1255"/>
      <c r="QGP157" s="1255"/>
      <c r="QGQ157" s="1255"/>
      <c r="QGR157" s="1255"/>
      <c r="QGS157" s="1255"/>
      <c r="QGT157" s="1255"/>
      <c r="QGU157" s="1255"/>
      <c r="QGV157" s="1255"/>
      <c r="QGW157" s="1255"/>
      <c r="QGX157" s="1255"/>
      <c r="QGY157" s="1255"/>
      <c r="QGZ157" s="1255"/>
      <c r="QHA157" s="1255"/>
      <c r="QHB157" s="1255"/>
      <c r="QHC157" s="1255"/>
      <c r="QHD157" s="1255"/>
      <c r="QHE157" s="1255"/>
      <c r="QHF157" s="1255"/>
      <c r="QHG157" s="1255"/>
      <c r="QHH157" s="1255"/>
      <c r="QHI157" s="1255"/>
      <c r="QHJ157" s="1255"/>
      <c r="QHK157" s="1255"/>
      <c r="QHL157" s="1255"/>
      <c r="QHM157" s="1255"/>
      <c r="QHN157" s="1255"/>
      <c r="QHO157" s="1255"/>
      <c r="QHP157" s="1255"/>
      <c r="QHQ157" s="1255"/>
      <c r="QHR157" s="1255"/>
      <c r="QHS157" s="1255"/>
      <c r="QHT157" s="1255"/>
      <c r="QHU157" s="1255"/>
      <c r="QHV157" s="1255"/>
      <c r="QHW157" s="1255"/>
      <c r="QHX157" s="1255"/>
      <c r="QHY157" s="1255"/>
      <c r="QHZ157" s="1255"/>
      <c r="QIA157" s="1255"/>
      <c r="QIB157" s="1255"/>
      <c r="QIC157" s="1255"/>
      <c r="QID157" s="1255"/>
      <c r="QIE157" s="1255"/>
      <c r="QIF157" s="1255"/>
      <c r="QIG157" s="1255"/>
      <c r="QIH157" s="1255"/>
      <c r="QII157" s="1255"/>
      <c r="QIJ157" s="1255"/>
      <c r="QIK157" s="1255"/>
      <c r="QIL157" s="1255"/>
      <c r="QIM157" s="1255"/>
      <c r="QIN157" s="1255"/>
      <c r="QIO157" s="1255"/>
      <c r="QIP157" s="1255"/>
      <c r="QIQ157" s="1255"/>
      <c r="QIR157" s="1255"/>
      <c r="QIS157" s="1255"/>
      <c r="QIT157" s="1255"/>
      <c r="QIU157" s="1255"/>
      <c r="QIV157" s="1255"/>
      <c r="QIW157" s="1255"/>
      <c r="QIX157" s="1255"/>
      <c r="QIY157" s="1255"/>
      <c r="QIZ157" s="1255"/>
      <c r="QJA157" s="1255"/>
      <c r="QJB157" s="1255"/>
      <c r="QJC157" s="1255"/>
      <c r="QJD157" s="1255"/>
      <c r="QJE157" s="1255"/>
      <c r="QJF157" s="1255"/>
      <c r="QJG157" s="1255"/>
      <c r="QJH157" s="1255"/>
      <c r="QJI157" s="1255"/>
      <c r="QJJ157" s="1255"/>
      <c r="QJK157" s="1255"/>
      <c r="QJL157" s="1255"/>
      <c r="QJM157" s="1255"/>
      <c r="QJN157" s="1255"/>
      <c r="QJO157" s="1255"/>
      <c r="QJP157" s="1255"/>
      <c r="QJQ157" s="1255"/>
      <c r="QJR157" s="1255"/>
      <c r="QJS157" s="1255"/>
      <c r="QJT157" s="1255"/>
      <c r="QJU157" s="1255"/>
      <c r="QJV157" s="1255"/>
      <c r="QJW157" s="1255"/>
      <c r="QJX157" s="1255"/>
      <c r="QJY157" s="1255"/>
      <c r="QJZ157" s="1255"/>
      <c r="QKA157" s="1255"/>
      <c r="QKB157" s="1255"/>
      <c r="QKC157" s="1255"/>
      <c r="QKD157" s="1255"/>
      <c r="QKE157" s="1255"/>
      <c r="QKF157" s="1255"/>
      <c r="QKG157" s="1255"/>
      <c r="QKH157" s="1255"/>
      <c r="QKI157" s="1255"/>
      <c r="QKJ157" s="1255"/>
      <c r="QKK157" s="1255"/>
      <c r="QKL157" s="1255"/>
      <c r="QKM157" s="1255"/>
      <c r="QKN157" s="1255"/>
      <c r="QKO157" s="1255"/>
      <c r="QKP157" s="1255"/>
      <c r="QKQ157" s="1255"/>
      <c r="QKR157" s="1255"/>
      <c r="QKS157" s="1255"/>
      <c r="QKT157" s="1255"/>
      <c r="QKU157" s="1255"/>
      <c r="QKV157" s="1255"/>
      <c r="QKW157" s="1255"/>
      <c r="QKX157" s="1255"/>
      <c r="QKY157" s="1255"/>
      <c r="QKZ157" s="1255"/>
      <c r="QLA157" s="1255"/>
      <c r="QLB157" s="1255"/>
      <c r="QLC157" s="1255"/>
      <c r="QLD157" s="1255"/>
      <c r="QLE157" s="1255"/>
      <c r="QLF157" s="1255"/>
      <c r="QLG157" s="1255"/>
      <c r="QLH157" s="1255"/>
      <c r="QLI157" s="1255"/>
      <c r="QLJ157" s="1255"/>
      <c r="QLK157" s="1255"/>
      <c r="QLL157" s="1255"/>
      <c r="QLM157" s="1255"/>
      <c r="QLN157" s="1255"/>
      <c r="QLO157" s="1255"/>
      <c r="QLP157" s="1255"/>
      <c r="QLQ157" s="1255"/>
      <c r="QLR157" s="1255"/>
      <c r="QLS157" s="1255"/>
      <c r="QLT157" s="1255"/>
      <c r="QLU157" s="1255"/>
      <c r="QLV157" s="1255"/>
      <c r="QLW157" s="1255"/>
      <c r="QLX157" s="1255"/>
      <c r="QLY157" s="1255"/>
      <c r="QLZ157" s="1255"/>
      <c r="QMA157" s="1255"/>
      <c r="QMB157" s="1255"/>
      <c r="QMC157" s="1255"/>
      <c r="QMD157" s="1255"/>
      <c r="QME157" s="1255"/>
      <c r="QMF157" s="1255"/>
      <c r="QMG157" s="1255"/>
      <c r="QMH157" s="1255"/>
      <c r="QMI157" s="1255"/>
      <c r="QMJ157" s="1255"/>
      <c r="QMK157" s="1255"/>
      <c r="QML157" s="1255"/>
      <c r="QMM157" s="1255"/>
      <c r="QMN157" s="1255"/>
      <c r="QMO157" s="1255"/>
      <c r="QMP157" s="1255"/>
      <c r="QMQ157" s="1255"/>
      <c r="QMR157" s="1255"/>
      <c r="QMS157" s="1255"/>
      <c r="QMT157" s="1255"/>
      <c r="QMU157" s="1255"/>
      <c r="QMV157" s="1255"/>
      <c r="QMW157" s="1255"/>
      <c r="QMX157" s="1255"/>
      <c r="QMY157" s="1255"/>
      <c r="QMZ157" s="1255"/>
      <c r="QNA157" s="1255"/>
      <c r="QNB157" s="1255"/>
      <c r="QNC157" s="1255"/>
      <c r="QND157" s="1255"/>
      <c r="QNE157" s="1255"/>
      <c r="QNF157" s="1255"/>
      <c r="QNG157" s="1255"/>
      <c r="QNH157" s="1255"/>
      <c r="QNI157" s="1255"/>
      <c r="QNJ157" s="1255"/>
      <c r="QNK157" s="1255"/>
      <c r="QNL157" s="1255"/>
      <c r="QNM157" s="1255"/>
      <c r="QNN157" s="1255"/>
      <c r="QNO157" s="1255"/>
      <c r="QNP157" s="1255"/>
      <c r="QNQ157" s="1255"/>
      <c r="QNR157" s="1255"/>
      <c r="QNS157" s="1255"/>
      <c r="QNT157" s="1255"/>
      <c r="QNU157" s="1255"/>
      <c r="QNV157" s="1255"/>
      <c r="QNW157" s="1255"/>
      <c r="QNX157" s="1255"/>
      <c r="QNY157" s="1255"/>
      <c r="QNZ157" s="1255"/>
      <c r="QOA157" s="1255"/>
      <c r="QOB157" s="1255"/>
      <c r="QOC157" s="1255"/>
      <c r="QOD157" s="1255"/>
      <c r="QOE157" s="1255"/>
      <c r="QOF157" s="1255"/>
      <c r="QOG157" s="1255"/>
      <c r="QOH157" s="1255"/>
      <c r="QOI157" s="1255"/>
      <c r="QOJ157" s="1255"/>
      <c r="QOK157" s="1255"/>
      <c r="QOL157" s="1255"/>
      <c r="QOM157" s="1255"/>
      <c r="QON157" s="1255"/>
      <c r="QOO157" s="1255"/>
      <c r="QOP157" s="1255"/>
      <c r="QOQ157" s="1255"/>
      <c r="QOR157" s="1255"/>
      <c r="QOS157" s="1255"/>
      <c r="QOT157" s="1255"/>
      <c r="QOU157" s="1255"/>
      <c r="QOV157" s="1255"/>
      <c r="QOW157" s="1255"/>
      <c r="QOX157" s="1255"/>
      <c r="QOY157" s="1255"/>
      <c r="QOZ157" s="1255"/>
      <c r="QPA157" s="1255"/>
      <c r="QPB157" s="1255"/>
      <c r="QPC157" s="1255"/>
      <c r="QPD157" s="1255"/>
      <c r="QPE157" s="1255"/>
      <c r="QPF157" s="1255"/>
      <c r="QPG157" s="1255"/>
      <c r="QPH157" s="1255"/>
      <c r="QPI157" s="1255"/>
      <c r="QPJ157" s="1255"/>
      <c r="QPK157" s="1255"/>
      <c r="QPL157" s="1255"/>
      <c r="QPM157" s="1255"/>
      <c r="QPN157" s="1255"/>
      <c r="QPO157" s="1255"/>
      <c r="QPP157" s="1255"/>
      <c r="QPQ157" s="1255"/>
      <c r="QPR157" s="1255"/>
      <c r="QPS157" s="1255"/>
      <c r="QPT157" s="1255"/>
      <c r="QPU157" s="1255"/>
      <c r="QPV157" s="1255"/>
      <c r="QPW157" s="1255"/>
      <c r="QPX157" s="1255"/>
      <c r="QPY157" s="1255"/>
      <c r="QPZ157" s="1255"/>
      <c r="QQA157" s="1255"/>
      <c r="QQB157" s="1255"/>
      <c r="QQC157" s="1255"/>
      <c r="QQD157" s="1255"/>
      <c r="QQE157" s="1255"/>
      <c r="QQF157" s="1255"/>
      <c r="QQG157" s="1255"/>
      <c r="QQH157" s="1255"/>
      <c r="QQI157" s="1255"/>
      <c r="QQJ157" s="1255"/>
      <c r="QQK157" s="1255"/>
      <c r="QQL157" s="1255"/>
      <c r="QQM157" s="1255"/>
      <c r="QQN157" s="1255"/>
      <c r="QQO157" s="1255"/>
      <c r="QQP157" s="1255"/>
      <c r="QQQ157" s="1255"/>
      <c r="QQR157" s="1255"/>
      <c r="QQS157" s="1255"/>
      <c r="QQT157" s="1255"/>
      <c r="QQU157" s="1255"/>
      <c r="QQV157" s="1255"/>
      <c r="QQW157" s="1255"/>
      <c r="QQX157" s="1255"/>
      <c r="QQY157" s="1255"/>
      <c r="QQZ157" s="1255"/>
      <c r="QRA157" s="1255"/>
      <c r="QRB157" s="1255"/>
      <c r="QRC157" s="1255"/>
      <c r="QRD157" s="1255"/>
      <c r="QRE157" s="1255"/>
      <c r="QRF157" s="1255"/>
      <c r="QRG157" s="1255"/>
      <c r="QRH157" s="1255"/>
      <c r="QRI157" s="1255"/>
      <c r="QRJ157" s="1255"/>
      <c r="QRK157" s="1255"/>
      <c r="QRL157" s="1255"/>
      <c r="QRM157" s="1255"/>
      <c r="QRN157" s="1255"/>
      <c r="QRO157" s="1255"/>
      <c r="QRP157" s="1255"/>
      <c r="QRQ157" s="1255"/>
      <c r="QRR157" s="1255"/>
      <c r="QRS157" s="1255"/>
      <c r="QRT157" s="1255"/>
      <c r="QRU157" s="1255"/>
      <c r="QRV157" s="1255"/>
      <c r="QRW157" s="1255"/>
      <c r="QRX157" s="1255"/>
      <c r="QRY157" s="1255"/>
      <c r="QRZ157" s="1255"/>
      <c r="QSA157" s="1255"/>
      <c r="QSB157" s="1255"/>
      <c r="QSC157" s="1255"/>
      <c r="QSD157" s="1255"/>
      <c r="QSE157" s="1255"/>
      <c r="QSF157" s="1255"/>
      <c r="QSG157" s="1255"/>
      <c r="QSH157" s="1255"/>
      <c r="QSI157" s="1255"/>
      <c r="QSJ157" s="1255"/>
      <c r="QSK157" s="1255"/>
      <c r="QSL157" s="1255"/>
      <c r="QSM157" s="1255"/>
      <c r="QSN157" s="1255"/>
      <c r="QSO157" s="1255"/>
      <c r="QSP157" s="1255"/>
      <c r="QSQ157" s="1255"/>
      <c r="QSR157" s="1255"/>
      <c r="QSS157" s="1255"/>
      <c r="QST157" s="1255"/>
      <c r="QSU157" s="1255"/>
      <c r="QSV157" s="1255"/>
      <c r="QSW157" s="1255"/>
      <c r="QSX157" s="1255"/>
      <c r="QSY157" s="1255"/>
      <c r="QSZ157" s="1255"/>
      <c r="QTA157" s="1255"/>
      <c r="QTB157" s="1255"/>
      <c r="QTC157" s="1255"/>
      <c r="QTD157" s="1255"/>
      <c r="QTE157" s="1255"/>
      <c r="QTF157" s="1255"/>
      <c r="QTG157" s="1255"/>
      <c r="QTH157" s="1255"/>
      <c r="QTI157" s="1255"/>
      <c r="QTJ157" s="1255"/>
      <c r="QTK157" s="1255"/>
      <c r="QTL157" s="1255"/>
      <c r="QTM157" s="1255"/>
      <c r="QTN157" s="1255"/>
      <c r="QTO157" s="1255"/>
      <c r="QTP157" s="1255"/>
      <c r="QTQ157" s="1255"/>
      <c r="QTR157" s="1255"/>
      <c r="QTS157" s="1255"/>
      <c r="QTT157" s="1255"/>
      <c r="QTU157" s="1255"/>
      <c r="QTV157" s="1255"/>
      <c r="QTW157" s="1255"/>
      <c r="QTX157" s="1255"/>
      <c r="QTY157" s="1255"/>
      <c r="QTZ157" s="1255"/>
      <c r="QUA157" s="1255"/>
      <c r="QUB157" s="1255"/>
      <c r="QUC157" s="1255"/>
      <c r="QUD157" s="1255"/>
      <c r="QUE157" s="1255"/>
      <c r="QUF157" s="1255"/>
      <c r="QUG157" s="1255"/>
      <c r="QUH157" s="1255"/>
      <c r="QUI157" s="1255"/>
      <c r="QUJ157" s="1255"/>
      <c r="QUK157" s="1255"/>
      <c r="QUL157" s="1255"/>
      <c r="QUM157" s="1255"/>
      <c r="QUN157" s="1255"/>
      <c r="QUO157" s="1255"/>
      <c r="QUP157" s="1255"/>
      <c r="QUQ157" s="1255"/>
      <c r="QUR157" s="1255"/>
      <c r="QUS157" s="1255"/>
      <c r="QUT157" s="1255"/>
      <c r="QUU157" s="1255"/>
      <c r="QUV157" s="1255"/>
      <c r="QUW157" s="1255"/>
      <c r="QUX157" s="1255"/>
      <c r="QUY157" s="1255"/>
      <c r="QUZ157" s="1255"/>
      <c r="QVA157" s="1255"/>
      <c r="QVB157" s="1255"/>
      <c r="QVC157" s="1255"/>
      <c r="QVD157" s="1255"/>
      <c r="QVE157" s="1255"/>
      <c r="QVF157" s="1255"/>
      <c r="QVG157" s="1255"/>
      <c r="QVH157" s="1255"/>
      <c r="QVI157" s="1255"/>
      <c r="QVJ157" s="1255"/>
      <c r="QVK157" s="1255"/>
      <c r="QVL157" s="1255"/>
      <c r="QVM157" s="1255"/>
      <c r="QVN157" s="1255"/>
      <c r="QVO157" s="1255"/>
      <c r="QVP157" s="1255"/>
      <c r="QVQ157" s="1255"/>
      <c r="QVR157" s="1255"/>
      <c r="QVS157" s="1255"/>
      <c r="QVT157" s="1255"/>
      <c r="QVU157" s="1255"/>
      <c r="QVV157" s="1255"/>
      <c r="QVW157" s="1255"/>
      <c r="QVX157" s="1255"/>
      <c r="QVY157" s="1255"/>
      <c r="QVZ157" s="1255"/>
      <c r="QWA157" s="1255"/>
      <c r="QWB157" s="1255"/>
      <c r="QWC157" s="1255"/>
      <c r="QWD157" s="1255"/>
      <c r="QWE157" s="1255"/>
      <c r="QWF157" s="1255"/>
      <c r="QWG157" s="1255"/>
      <c r="QWH157" s="1255"/>
      <c r="QWI157" s="1255"/>
      <c r="QWJ157" s="1255"/>
      <c r="QWK157" s="1255"/>
      <c r="QWL157" s="1255"/>
      <c r="QWM157" s="1255"/>
      <c r="QWN157" s="1255"/>
      <c r="QWO157" s="1255"/>
      <c r="QWP157" s="1255"/>
      <c r="QWQ157" s="1255"/>
      <c r="QWR157" s="1255"/>
      <c r="QWS157" s="1255"/>
      <c r="QWT157" s="1255"/>
      <c r="QWU157" s="1255"/>
      <c r="QWV157" s="1255"/>
      <c r="QWW157" s="1255"/>
      <c r="QWX157" s="1255"/>
      <c r="QWY157" s="1255"/>
      <c r="QWZ157" s="1255"/>
      <c r="QXA157" s="1255"/>
      <c r="QXB157" s="1255"/>
      <c r="QXC157" s="1255"/>
      <c r="QXD157" s="1255"/>
      <c r="QXE157" s="1255"/>
      <c r="QXF157" s="1255"/>
      <c r="QXG157" s="1255"/>
      <c r="QXH157" s="1255"/>
      <c r="QXI157" s="1255"/>
      <c r="QXJ157" s="1255"/>
      <c r="QXK157" s="1255"/>
      <c r="QXL157" s="1255"/>
      <c r="QXM157" s="1255"/>
      <c r="QXN157" s="1255"/>
      <c r="QXO157" s="1255"/>
      <c r="QXP157" s="1255"/>
      <c r="QXQ157" s="1255"/>
      <c r="QXR157" s="1255"/>
      <c r="QXS157" s="1255"/>
      <c r="QXT157" s="1255"/>
      <c r="QXU157" s="1255"/>
      <c r="QXV157" s="1255"/>
      <c r="QXW157" s="1255"/>
      <c r="QXX157" s="1255"/>
      <c r="QXY157" s="1255"/>
      <c r="QXZ157" s="1255"/>
      <c r="QYA157" s="1255"/>
      <c r="QYB157" s="1255"/>
      <c r="QYC157" s="1255"/>
      <c r="QYD157" s="1255"/>
      <c r="QYE157" s="1255"/>
      <c r="QYF157" s="1255"/>
      <c r="QYG157" s="1255"/>
      <c r="QYH157" s="1255"/>
      <c r="QYI157" s="1255"/>
      <c r="QYJ157" s="1255"/>
      <c r="QYK157" s="1255"/>
      <c r="QYL157" s="1255"/>
      <c r="QYM157" s="1255"/>
      <c r="QYN157" s="1255"/>
      <c r="QYO157" s="1255"/>
      <c r="QYP157" s="1255"/>
      <c r="QYQ157" s="1255"/>
      <c r="QYR157" s="1255"/>
      <c r="QYS157" s="1255"/>
      <c r="QYT157" s="1255"/>
      <c r="QYU157" s="1255"/>
      <c r="QYV157" s="1255"/>
      <c r="QYW157" s="1255"/>
      <c r="QYX157" s="1255"/>
      <c r="QYY157" s="1255"/>
      <c r="QYZ157" s="1255"/>
      <c r="QZA157" s="1255"/>
      <c r="QZB157" s="1255"/>
      <c r="QZC157" s="1255"/>
      <c r="QZD157" s="1255"/>
      <c r="QZE157" s="1255"/>
      <c r="QZF157" s="1255"/>
      <c r="QZG157" s="1255"/>
      <c r="QZH157" s="1255"/>
      <c r="QZI157" s="1255"/>
      <c r="QZJ157" s="1255"/>
      <c r="QZK157" s="1255"/>
      <c r="QZL157" s="1255"/>
      <c r="QZM157" s="1255"/>
      <c r="QZN157" s="1255"/>
      <c r="QZO157" s="1255"/>
      <c r="QZP157" s="1255"/>
      <c r="QZQ157" s="1255"/>
      <c r="QZR157" s="1255"/>
      <c r="QZS157" s="1255"/>
      <c r="QZT157" s="1255"/>
      <c r="QZU157" s="1255"/>
      <c r="QZV157" s="1255"/>
      <c r="QZW157" s="1255"/>
      <c r="QZX157" s="1255"/>
      <c r="QZY157" s="1255"/>
      <c r="QZZ157" s="1255"/>
      <c r="RAA157" s="1255"/>
      <c r="RAB157" s="1255"/>
      <c r="RAC157" s="1255"/>
      <c r="RAD157" s="1255"/>
      <c r="RAE157" s="1255"/>
      <c r="RAF157" s="1255"/>
      <c r="RAG157" s="1255"/>
      <c r="RAH157" s="1255"/>
      <c r="RAI157" s="1255"/>
      <c r="RAJ157" s="1255"/>
      <c r="RAK157" s="1255"/>
      <c r="RAL157" s="1255"/>
      <c r="RAM157" s="1255"/>
      <c r="RAN157" s="1255"/>
      <c r="RAO157" s="1255"/>
      <c r="RAP157" s="1255"/>
      <c r="RAQ157" s="1255"/>
      <c r="RAR157" s="1255"/>
      <c r="RAS157" s="1255"/>
      <c r="RAT157" s="1255"/>
      <c r="RAU157" s="1255"/>
      <c r="RAV157" s="1255"/>
      <c r="RAW157" s="1255"/>
      <c r="RAX157" s="1255"/>
      <c r="RAY157" s="1255"/>
      <c r="RAZ157" s="1255"/>
      <c r="RBA157" s="1255"/>
      <c r="RBB157" s="1255"/>
      <c r="RBC157" s="1255"/>
      <c r="RBD157" s="1255"/>
      <c r="RBE157" s="1255"/>
      <c r="RBF157" s="1255"/>
      <c r="RBG157" s="1255"/>
      <c r="RBH157" s="1255"/>
      <c r="RBI157" s="1255"/>
      <c r="RBJ157" s="1255"/>
      <c r="RBK157" s="1255"/>
      <c r="RBL157" s="1255"/>
      <c r="RBM157" s="1255"/>
      <c r="RBN157" s="1255"/>
      <c r="RBO157" s="1255"/>
      <c r="RBP157" s="1255"/>
      <c r="RBQ157" s="1255"/>
      <c r="RBR157" s="1255"/>
      <c r="RBS157" s="1255"/>
      <c r="RBT157" s="1255"/>
      <c r="RBU157" s="1255"/>
      <c r="RBV157" s="1255"/>
      <c r="RBW157" s="1255"/>
      <c r="RBX157" s="1255"/>
      <c r="RBY157" s="1255"/>
      <c r="RBZ157" s="1255"/>
      <c r="RCA157" s="1255"/>
      <c r="RCB157" s="1255"/>
      <c r="RCC157" s="1255"/>
      <c r="RCD157" s="1255"/>
      <c r="RCE157" s="1255"/>
      <c r="RCF157" s="1255"/>
      <c r="RCG157" s="1255"/>
      <c r="RCH157" s="1255"/>
      <c r="RCI157" s="1255"/>
      <c r="RCJ157" s="1255"/>
      <c r="RCK157" s="1255"/>
      <c r="RCL157" s="1255"/>
      <c r="RCM157" s="1255"/>
      <c r="RCN157" s="1255"/>
      <c r="RCO157" s="1255"/>
      <c r="RCP157" s="1255"/>
      <c r="RCQ157" s="1255"/>
      <c r="RCR157" s="1255"/>
      <c r="RCS157" s="1255"/>
      <c r="RCT157" s="1255"/>
      <c r="RCU157" s="1255"/>
      <c r="RCV157" s="1255"/>
      <c r="RCW157" s="1255"/>
      <c r="RCX157" s="1255"/>
      <c r="RCY157" s="1255"/>
      <c r="RCZ157" s="1255"/>
      <c r="RDA157" s="1255"/>
      <c r="RDB157" s="1255"/>
      <c r="RDC157" s="1255"/>
      <c r="RDD157" s="1255"/>
      <c r="RDE157" s="1255"/>
      <c r="RDF157" s="1255"/>
      <c r="RDG157" s="1255"/>
      <c r="RDH157" s="1255"/>
      <c r="RDI157" s="1255"/>
      <c r="RDJ157" s="1255"/>
      <c r="RDK157" s="1255"/>
      <c r="RDL157" s="1255"/>
      <c r="RDM157" s="1255"/>
      <c r="RDN157" s="1255"/>
      <c r="RDO157" s="1255"/>
      <c r="RDP157" s="1255"/>
      <c r="RDQ157" s="1255"/>
      <c r="RDR157" s="1255"/>
      <c r="RDS157" s="1255"/>
      <c r="RDT157" s="1255"/>
      <c r="RDU157" s="1255"/>
      <c r="RDV157" s="1255"/>
      <c r="RDW157" s="1255"/>
      <c r="RDX157" s="1255"/>
      <c r="RDY157" s="1255"/>
      <c r="RDZ157" s="1255"/>
      <c r="REA157" s="1255"/>
      <c r="REB157" s="1255"/>
      <c r="REC157" s="1255"/>
      <c r="RED157" s="1255"/>
      <c r="REE157" s="1255"/>
      <c r="REF157" s="1255"/>
      <c r="REG157" s="1255"/>
      <c r="REH157" s="1255"/>
      <c r="REI157" s="1255"/>
      <c r="REJ157" s="1255"/>
      <c r="REK157" s="1255"/>
      <c r="REL157" s="1255"/>
      <c r="REM157" s="1255"/>
      <c r="REN157" s="1255"/>
      <c r="REO157" s="1255"/>
      <c r="REP157" s="1255"/>
      <c r="REQ157" s="1255"/>
      <c r="RER157" s="1255"/>
      <c r="RES157" s="1255"/>
      <c r="RET157" s="1255"/>
      <c r="REU157" s="1255"/>
      <c r="REV157" s="1255"/>
      <c r="REW157" s="1255"/>
      <c r="REX157" s="1255"/>
      <c r="REY157" s="1255"/>
      <c r="REZ157" s="1255"/>
      <c r="RFA157" s="1255"/>
      <c r="RFB157" s="1255"/>
      <c r="RFC157" s="1255"/>
      <c r="RFD157" s="1255"/>
      <c r="RFE157" s="1255"/>
      <c r="RFF157" s="1255"/>
      <c r="RFG157" s="1255"/>
      <c r="RFH157" s="1255"/>
      <c r="RFI157" s="1255"/>
      <c r="RFJ157" s="1255"/>
      <c r="RFK157" s="1255"/>
      <c r="RFL157" s="1255"/>
      <c r="RFM157" s="1255"/>
      <c r="RFN157" s="1255"/>
      <c r="RFO157" s="1255"/>
      <c r="RFP157" s="1255"/>
      <c r="RFQ157" s="1255"/>
      <c r="RFR157" s="1255"/>
      <c r="RFS157" s="1255"/>
      <c r="RFT157" s="1255"/>
      <c r="RFU157" s="1255"/>
      <c r="RFV157" s="1255"/>
      <c r="RFW157" s="1255"/>
      <c r="RFX157" s="1255"/>
      <c r="RFY157" s="1255"/>
      <c r="RFZ157" s="1255"/>
      <c r="RGA157" s="1255"/>
      <c r="RGB157" s="1255"/>
      <c r="RGC157" s="1255"/>
      <c r="RGD157" s="1255"/>
      <c r="RGE157" s="1255"/>
      <c r="RGF157" s="1255"/>
      <c r="RGG157" s="1255"/>
      <c r="RGH157" s="1255"/>
      <c r="RGI157" s="1255"/>
      <c r="RGJ157" s="1255"/>
      <c r="RGK157" s="1255"/>
      <c r="RGL157" s="1255"/>
      <c r="RGM157" s="1255"/>
      <c r="RGN157" s="1255"/>
      <c r="RGO157" s="1255"/>
      <c r="RGP157" s="1255"/>
      <c r="RGQ157" s="1255"/>
      <c r="RGR157" s="1255"/>
      <c r="RGS157" s="1255"/>
      <c r="RGT157" s="1255"/>
      <c r="RGU157" s="1255"/>
      <c r="RGV157" s="1255"/>
      <c r="RGW157" s="1255"/>
      <c r="RGX157" s="1255"/>
      <c r="RGY157" s="1255"/>
      <c r="RGZ157" s="1255"/>
      <c r="RHA157" s="1255"/>
      <c r="RHB157" s="1255"/>
      <c r="RHC157" s="1255"/>
      <c r="RHD157" s="1255"/>
      <c r="RHE157" s="1255"/>
      <c r="RHF157" s="1255"/>
      <c r="RHG157" s="1255"/>
      <c r="RHH157" s="1255"/>
      <c r="RHI157" s="1255"/>
      <c r="RHJ157" s="1255"/>
      <c r="RHK157" s="1255"/>
      <c r="RHL157" s="1255"/>
      <c r="RHM157" s="1255"/>
      <c r="RHN157" s="1255"/>
      <c r="RHO157" s="1255"/>
      <c r="RHP157" s="1255"/>
      <c r="RHQ157" s="1255"/>
      <c r="RHR157" s="1255"/>
      <c r="RHS157" s="1255"/>
      <c r="RHT157" s="1255"/>
      <c r="RHU157" s="1255"/>
      <c r="RHV157" s="1255"/>
      <c r="RHW157" s="1255"/>
      <c r="RHX157" s="1255"/>
      <c r="RHY157" s="1255"/>
      <c r="RHZ157" s="1255"/>
      <c r="RIA157" s="1255"/>
      <c r="RIB157" s="1255"/>
      <c r="RIC157" s="1255"/>
      <c r="RID157" s="1255"/>
      <c r="RIE157" s="1255"/>
      <c r="RIF157" s="1255"/>
      <c r="RIG157" s="1255"/>
      <c r="RIH157" s="1255"/>
      <c r="RII157" s="1255"/>
      <c r="RIJ157" s="1255"/>
      <c r="RIK157" s="1255"/>
      <c r="RIL157" s="1255"/>
      <c r="RIM157" s="1255"/>
      <c r="RIN157" s="1255"/>
      <c r="RIO157" s="1255"/>
      <c r="RIP157" s="1255"/>
      <c r="RIQ157" s="1255"/>
      <c r="RIR157" s="1255"/>
      <c r="RIS157" s="1255"/>
      <c r="RIT157" s="1255"/>
      <c r="RIU157" s="1255"/>
      <c r="RIV157" s="1255"/>
      <c r="RIW157" s="1255"/>
      <c r="RIX157" s="1255"/>
      <c r="RIY157" s="1255"/>
      <c r="RIZ157" s="1255"/>
      <c r="RJA157" s="1255"/>
      <c r="RJB157" s="1255"/>
      <c r="RJC157" s="1255"/>
      <c r="RJD157" s="1255"/>
      <c r="RJE157" s="1255"/>
      <c r="RJF157" s="1255"/>
      <c r="RJG157" s="1255"/>
      <c r="RJH157" s="1255"/>
      <c r="RJI157" s="1255"/>
      <c r="RJJ157" s="1255"/>
      <c r="RJK157" s="1255"/>
      <c r="RJL157" s="1255"/>
      <c r="RJM157" s="1255"/>
      <c r="RJN157" s="1255"/>
      <c r="RJO157" s="1255"/>
      <c r="RJP157" s="1255"/>
      <c r="RJQ157" s="1255"/>
      <c r="RJR157" s="1255"/>
      <c r="RJS157" s="1255"/>
      <c r="RJT157" s="1255"/>
      <c r="RJU157" s="1255"/>
      <c r="RJV157" s="1255"/>
      <c r="RJW157" s="1255"/>
      <c r="RJX157" s="1255"/>
      <c r="RJY157" s="1255"/>
      <c r="RJZ157" s="1255"/>
      <c r="RKA157" s="1255"/>
      <c r="RKB157" s="1255"/>
      <c r="RKC157" s="1255"/>
      <c r="RKD157" s="1255"/>
      <c r="RKE157" s="1255"/>
      <c r="RKF157" s="1255"/>
      <c r="RKG157" s="1255"/>
      <c r="RKH157" s="1255"/>
      <c r="RKI157" s="1255"/>
      <c r="RKJ157" s="1255"/>
      <c r="RKK157" s="1255"/>
      <c r="RKL157" s="1255"/>
      <c r="RKM157" s="1255"/>
      <c r="RKN157" s="1255"/>
      <c r="RKO157" s="1255"/>
      <c r="RKP157" s="1255"/>
      <c r="RKQ157" s="1255"/>
      <c r="RKR157" s="1255"/>
      <c r="RKS157" s="1255"/>
      <c r="RKT157" s="1255"/>
      <c r="RKU157" s="1255"/>
      <c r="RKV157" s="1255"/>
      <c r="RKW157" s="1255"/>
      <c r="RKX157" s="1255"/>
      <c r="RKY157" s="1255"/>
      <c r="RKZ157" s="1255"/>
      <c r="RLA157" s="1255"/>
      <c r="RLB157" s="1255"/>
      <c r="RLC157" s="1255"/>
      <c r="RLD157" s="1255"/>
      <c r="RLE157" s="1255"/>
      <c r="RLF157" s="1255"/>
      <c r="RLG157" s="1255"/>
      <c r="RLH157" s="1255"/>
      <c r="RLI157" s="1255"/>
      <c r="RLJ157" s="1255"/>
      <c r="RLK157" s="1255"/>
      <c r="RLL157" s="1255"/>
      <c r="RLM157" s="1255"/>
      <c r="RLN157" s="1255"/>
      <c r="RLO157" s="1255"/>
      <c r="RLP157" s="1255"/>
      <c r="RLQ157" s="1255"/>
      <c r="RLR157" s="1255"/>
      <c r="RLS157" s="1255"/>
      <c r="RLT157" s="1255"/>
      <c r="RLU157" s="1255"/>
      <c r="RLV157" s="1255"/>
      <c r="RLW157" s="1255"/>
      <c r="RLX157" s="1255"/>
      <c r="RLY157" s="1255"/>
      <c r="RLZ157" s="1255"/>
      <c r="RMA157" s="1255"/>
      <c r="RMB157" s="1255"/>
      <c r="RMC157" s="1255"/>
      <c r="RMD157" s="1255"/>
      <c r="RME157" s="1255"/>
      <c r="RMF157" s="1255"/>
      <c r="RMG157" s="1255"/>
      <c r="RMH157" s="1255"/>
      <c r="RMI157" s="1255"/>
      <c r="RMJ157" s="1255"/>
      <c r="RMK157" s="1255"/>
      <c r="RML157" s="1255"/>
      <c r="RMM157" s="1255"/>
      <c r="RMN157" s="1255"/>
      <c r="RMO157" s="1255"/>
      <c r="RMP157" s="1255"/>
      <c r="RMQ157" s="1255"/>
      <c r="RMR157" s="1255"/>
      <c r="RMS157" s="1255"/>
      <c r="RMT157" s="1255"/>
      <c r="RMU157" s="1255"/>
      <c r="RMV157" s="1255"/>
      <c r="RMW157" s="1255"/>
      <c r="RMX157" s="1255"/>
      <c r="RMY157" s="1255"/>
      <c r="RMZ157" s="1255"/>
      <c r="RNA157" s="1255"/>
      <c r="RNB157" s="1255"/>
      <c r="RNC157" s="1255"/>
      <c r="RND157" s="1255"/>
      <c r="RNE157" s="1255"/>
      <c r="RNF157" s="1255"/>
      <c r="RNG157" s="1255"/>
      <c r="RNH157" s="1255"/>
      <c r="RNI157" s="1255"/>
      <c r="RNJ157" s="1255"/>
      <c r="RNK157" s="1255"/>
      <c r="RNL157" s="1255"/>
      <c r="RNM157" s="1255"/>
      <c r="RNN157" s="1255"/>
      <c r="RNO157" s="1255"/>
      <c r="RNP157" s="1255"/>
      <c r="RNQ157" s="1255"/>
      <c r="RNR157" s="1255"/>
      <c r="RNS157" s="1255"/>
      <c r="RNT157" s="1255"/>
      <c r="RNU157" s="1255"/>
      <c r="RNV157" s="1255"/>
      <c r="RNW157" s="1255"/>
      <c r="RNX157" s="1255"/>
      <c r="RNY157" s="1255"/>
      <c r="RNZ157" s="1255"/>
      <c r="ROA157" s="1255"/>
      <c r="ROB157" s="1255"/>
      <c r="ROC157" s="1255"/>
      <c r="ROD157" s="1255"/>
      <c r="ROE157" s="1255"/>
      <c r="ROF157" s="1255"/>
      <c r="ROG157" s="1255"/>
      <c r="ROH157" s="1255"/>
      <c r="ROI157" s="1255"/>
      <c r="ROJ157" s="1255"/>
      <c r="ROK157" s="1255"/>
      <c r="ROL157" s="1255"/>
      <c r="ROM157" s="1255"/>
      <c r="RON157" s="1255"/>
      <c r="ROO157" s="1255"/>
      <c r="ROP157" s="1255"/>
      <c r="ROQ157" s="1255"/>
      <c r="ROR157" s="1255"/>
      <c r="ROS157" s="1255"/>
      <c r="ROT157" s="1255"/>
      <c r="ROU157" s="1255"/>
      <c r="ROV157" s="1255"/>
      <c r="ROW157" s="1255"/>
      <c r="ROX157" s="1255"/>
      <c r="ROY157" s="1255"/>
      <c r="ROZ157" s="1255"/>
      <c r="RPA157" s="1255"/>
      <c r="RPB157" s="1255"/>
      <c r="RPC157" s="1255"/>
      <c r="RPD157" s="1255"/>
      <c r="RPE157" s="1255"/>
      <c r="RPF157" s="1255"/>
      <c r="RPG157" s="1255"/>
      <c r="RPH157" s="1255"/>
      <c r="RPI157" s="1255"/>
      <c r="RPJ157" s="1255"/>
      <c r="RPK157" s="1255"/>
      <c r="RPL157" s="1255"/>
      <c r="RPM157" s="1255"/>
      <c r="RPN157" s="1255"/>
      <c r="RPO157" s="1255"/>
      <c r="RPP157" s="1255"/>
      <c r="RPQ157" s="1255"/>
      <c r="RPR157" s="1255"/>
      <c r="RPS157" s="1255"/>
      <c r="RPT157" s="1255"/>
      <c r="RPU157" s="1255"/>
      <c r="RPV157" s="1255"/>
      <c r="RPW157" s="1255"/>
      <c r="RPX157" s="1255"/>
      <c r="RPY157" s="1255"/>
      <c r="RPZ157" s="1255"/>
      <c r="RQA157" s="1255"/>
      <c r="RQB157" s="1255"/>
      <c r="RQC157" s="1255"/>
      <c r="RQD157" s="1255"/>
      <c r="RQE157" s="1255"/>
      <c r="RQF157" s="1255"/>
      <c r="RQG157" s="1255"/>
      <c r="RQH157" s="1255"/>
      <c r="RQI157" s="1255"/>
      <c r="RQJ157" s="1255"/>
      <c r="RQK157" s="1255"/>
      <c r="RQL157" s="1255"/>
      <c r="RQM157" s="1255"/>
      <c r="RQN157" s="1255"/>
      <c r="RQO157" s="1255"/>
      <c r="RQP157" s="1255"/>
      <c r="RQQ157" s="1255"/>
      <c r="RQR157" s="1255"/>
      <c r="RQS157" s="1255"/>
      <c r="RQT157" s="1255"/>
      <c r="RQU157" s="1255"/>
      <c r="RQV157" s="1255"/>
      <c r="RQW157" s="1255"/>
      <c r="RQX157" s="1255"/>
      <c r="RQY157" s="1255"/>
      <c r="RQZ157" s="1255"/>
      <c r="RRA157" s="1255"/>
      <c r="RRB157" s="1255"/>
      <c r="RRC157" s="1255"/>
      <c r="RRD157" s="1255"/>
      <c r="RRE157" s="1255"/>
      <c r="RRF157" s="1255"/>
      <c r="RRG157" s="1255"/>
      <c r="RRH157" s="1255"/>
      <c r="RRI157" s="1255"/>
      <c r="RRJ157" s="1255"/>
      <c r="RRK157" s="1255"/>
      <c r="RRL157" s="1255"/>
      <c r="RRM157" s="1255"/>
      <c r="RRN157" s="1255"/>
      <c r="RRO157" s="1255"/>
      <c r="RRP157" s="1255"/>
      <c r="RRQ157" s="1255"/>
      <c r="RRR157" s="1255"/>
      <c r="RRS157" s="1255"/>
      <c r="RRT157" s="1255"/>
      <c r="RRU157" s="1255"/>
      <c r="RRV157" s="1255"/>
      <c r="RRW157" s="1255"/>
      <c r="RRX157" s="1255"/>
      <c r="RRY157" s="1255"/>
      <c r="RRZ157" s="1255"/>
      <c r="RSA157" s="1255"/>
      <c r="RSB157" s="1255"/>
      <c r="RSC157" s="1255"/>
      <c r="RSD157" s="1255"/>
      <c r="RSE157" s="1255"/>
      <c r="RSF157" s="1255"/>
      <c r="RSG157" s="1255"/>
      <c r="RSH157" s="1255"/>
      <c r="RSI157" s="1255"/>
      <c r="RSJ157" s="1255"/>
      <c r="RSK157" s="1255"/>
      <c r="RSL157" s="1255"/>
      <c r="RSM157" s="1255"/>
      <c r="RSN157" s="1255"/>
      <c r="RSO157" s="1255"/>
      <c r="RSP157" s="1255"/>
      <c r="RSQ157" s="1255"/>
      <c r="RSR157" s="1255"/>
      <c r="RSS157" s="1255"/>
      <c r="RST157" s="1255"/>
      <c r="RSU157" s="1255"/>
      <c r="RSV157" s="1255"/>
      <c r="RSW157" s="1255"/>
      <c r="RSX157" s="1255"/>
      <c r="RSY157" s="1255"/>
      <c r="RSZ157" s="1255"/>
      <c r="RTA157" s="1255"/>
      <c r="RTB157" s="1255"/>
      <c r="RTC157" s="1255"/>
      <c r="RTD157" s="1255"/>
      <c r="RTE157" s="1255"/>
      <c r="RTF157" s="1255"/>
      <c r="RTG157" s="1255"/>
      <c r="RTH157" s="1255"/>
      <c r="RTI157" s="1255"/>
      <c r="RTJ157" s="1255"/>
      <c r="RTK157" s="1255"/>
      <c r="RTL157" s="1255"/>
      <c r="RTM157" s="1255"/>
      <c r="RTN157" s="1255"/>
      <c r="RTO157" s="1255"/>
      <c r="RTP157" s="1255"/>
      <c r="RTQ157" s="1255"/>
      <c r="RTR157" s="1255"/>
      <c r="RTS157" s="1255"/>
      <c r="RTT157" s="1255"/>
      <c r="RTU157" s="1255"/>
      <c r="RTV157" s="1255"/>
      <c r="RTW157" s="1255"/>
      <c r="RTX157" s="1255"/>
      <c r="RTY157" s="1255"/>
      <c r="RTZ157" s="1255"/>
      <c r="RUA157" s="1255"/>
      <c r="RUB157" s="1255"/>
      <c r="RUC157" s="1255"/>
      <c r="RUD157" s="1255"/>
      <c r="RUE157" s="1255"/>
      <c r="RUF157" s="1255"/>
      <c r="RUG157" s="1255"/>
      <c r="RUH157" s="1255"/>
      <c r="RUI157" s="1255"/>
      <c r="RUJ157" s="1255"/>
      <c r="RUK157" s="1255"/>
      <c r="RUL157" s="1255"/>
      <c r="RUM157" s="1255"/>
      <c r="RUN157" s="1255"/>
      <c r="RUO157" s="1255"/>
      <c r="RUP157" s="1255"/>
      <c r="RUQ157" s="1255"/>
      <c r="RUR157" s="1255"/>
      <c r="RUS157" s="1255"/>
      <c r="RUT157" s="1255"/>
      <c r="RUU157" s="1255"/>
      <c r="RUV157" s="1255"/>
      <c r="RUW157" s="1255"/>
      <c r="RUX157" s="1255"/>
      <c r="RUY157" s="1255"/>
      <c r="RUZ157" s="1255"/>
      <c r="RVA157" s="1255"/>
      <c r="RVB157" s="1255"/>
      <c r="RVC157" s="1255"/>
      <c r="RVD157" s="1255"/>
      <c r="RVE157" s="1255"/>
      <c r="RVF157" s="1255"/>
      <c r="RVG157" s="1255"/>
      <c r="RVH157" s="1255"/>
      <c r="RVI157" s="1255"/>
      <c r="RVJ157" s="1255"/>
      <c r="RVK157" s="1255"/>
      <c r="RVL157" s="1255"/>
      <c r="RVM157" s="1255"/>
      <c r="RVN157" s="1255"/>
      <c r="RVO157" s="1255"/>
      <c r="RVP157" s="1255"/>
      <c r="RVQ157" s="1255"/>
      <c r="RVR157" s="1255"/>
      <c r="RVS157" s="1255"/>
      <c r="RVT157" s="1255"/>
      <c r="RVU157" s="1255"/>
      <c r="RVV157" s="1255"/>
      <c r="RVW157" s="1255"/>
      <c r="RVX157" s="1255"/>
      <c r="RVY157" s="1255"/>
      <c r="RVZ157" s="1255"/>
      <c r="RWA157" s="1255"/>
      <c r="RWB157" s="1255"/>
      <c r="RWC157" s="1255"/>
      <c r="RWD157" s="1255"/>
      <c r="RWE157" s="1255"/>
      <c r="RWF157" s="1255"/>
      <c r="RWG157" s="1255"/>
      <c r="RWH157" s="1255"/>
      <c r="RWI157" s="1255"/>
      <c r="RWJ157" s="1255"/>
      <c r="RWK157" s="1255"/>
      <c r="RWL157" s="1255"/>
      <c r="RWM157" s="1255"/>
      <c r="RWN157" s="1255"/>
      <c r="RWO157" s="1255"/>
      <c r="RWP157" s="1255"/>
      <c r="RWQ157" s="1255"/>
      <c r="RWR157" s="1255"/>
      <c r="RWS157" s="1255"/>
      <c r="RWT157" s="1255"/>
      <c r="RWU157" s="1255"/>
      <c r="RWV157" s="1255"/>
      <c r="RWW157" s="1255"/>
      <c r="RWX157" s="1255"/>
      <c r="RWY157" s="1255"/>
      <c r="RWZ157" s="1255"/>
      <c r="RXA157" s="1255"/>
      <c r="RXB157" s="1255"/>
      <c r="RXC157" s="1255"/>
      <c r="RXD157" s="1255"/>
      <c r="RXE157" s="1255"/>
      <c r="RXF157" s="1255"/>
      <c r="RXG157" s="1255"/>
      <c r="RXH157" s="1255"/>
      <c r="RXI157" s="1255"/>
      <c r="RXJ157" s="1255"/>
      <c r="RXK157" s="1255"/>
      <c r="RXL157" s="1255"/>
      <c r="RXM157" s="1255"/>
      <c r="RXN157" s="1255"/>
      <c r="RXO157" s="1255"/>
      <c r="RXP157" s="1255"/>
      <c r="RXQ157" s="1255"/>
      <c r="RXR157" s="1255"/>
      <c r="RXS157" s="1255"/>
      <c r="RXT157" s="1255"/>
      <c r="RXU157" s="1255"/>
      <c r="RXV157" s="1255"/>
      <c r="RXW157" s="1255"/>
      <c r="RXX157" s="1255"/>
      <c r="RXY157" s="1255"/>
      <c r="RXZ157" s="1255"/>
      <c r="RYA157" s="1255"/>
      <c r="RYB157" s="1255"/>
      <c r="RYC157" s="1255"/>
      <c r="RYD157" s="1255"/>
      <c r="RYE157" s="1255"/>
      <c r="RYF157" s="1255"/>
      <c r="RYG157" s="1255"/>
      <c r="RYH157" s="1255"/>
      <c r="RYI157" s="1255"/>
      <c r="RYJ157" s="1255"/>
      <c r="RYK157" s="1255"/>
      <c r="RYL157" s="1255"/>
      <c r="RYM157" s="1255"/>
      <c r="RYN157" s="1255"/>
      <c r="RYO157" s="1255"/>
      <c r="RYP157" s="1255"/>
      <c r="RYQ157" s="1255"/>
      <c r="RYR157" s="1255"/>
      <c r="RYS157" s="1255"/>
      <c r="RYT157" s="1255"/>
      <c r="RYU157" s="1255"/>
      <c r="RYV157" s="1255"/>
      <c r="RYW157" s="1255"/>
      <c r="RYX157" s="1255"/>
      <c r="RYY157" s="1255"/>
      <c r="RYZ157" s="1255"/>
      <c r="RZA157" s="1255"/>
      <c r="RZB157" s="1255"/>
      <c r="RZC157" s="1255"/>
      <c r="RZD157" s="1255"/>
      <c r="RZE157" s="1255"/>
      <c r="RZF157" s="1255"/>
      <c r="RZG157" s="1255"/>
      <c r="RZH157" s="1255"/>
      <c r="RZI157" s="1255"/>
      <c r="RZJ157" s="1255"/>
      <c r="RZK157" s="1255"/>
      <c r="RZL157" s="1255"/>
      <c r="RZM157" s="1255"/>
      <c r="RZN157" s="1255"/>
      <c r="RZO157" s="1255"/>
      <c r="RZP157" s="1255"/>
      <c r="RZQ157" s="1255"/>
      <c r="RZR157" s="1255"/>
      <c r="RZS157" s="1255"/>
      <c r="RZT157" s="1255"/>
      <c r="RZU157" s="1255"/>
      <c r="RZV157" s="1255"/>
      <c r="RZW157" s="1255"/>
      <c r="RZX157" s="1255"/>
      <c r="RZY157" s="1255"/>
      <c r="RZZ157" s="1255"/>
      <c r="SAA157" s="1255"/>
      <c r="SAB157" s="1255"/>
      <c r="SAC157" s="1255"/>
      <c r="SAD157" s="1255"/>
      <c r="SAE157" s="1255"/>
      <c r="SAF157" s="1255"/>
      <c r="SAG157" s="1255"/>
      <c r="SAH157" s="1255"/>
      <c r="SAI157" s="1255"/>
      <c r="SAJ157" s="1255"/>
      <c r="SAK157" s="1255"/>
      <c r="SAL157" s="1255"/>
      <c r="SAM157" s="1255"/>
      <c r="SAN157" s="1255"/>
      <c r="SAO157" s="1255"/>
      <c r="SAP157" s="1255"/>
      <c r="SAQ157" s="1255"/>
      <c r="SAR157" s="1255"/>
      <c r="SAS157" s="1255"/>
      <c r="SAT157" s="1255"/>
      <c r="SAU157" s="1255"/>
      <c r="SAV157" s="1255"/>
      <c r="SAW157" s="1255"/>
      <c r="SAX157" s="1255"/>
      <c r="SAY157" s="1255"/>
      <c r="SAZ157" s="1255"/>
      <c r="SBA157" s="1255"/>
      <c r="SBB157" s="1255"/>
      <c r="SBC157" s="1255"/>
      <c r="SBD157" s="1255"/>
      <c r="SBE157" s="1255"/>
      <c r="SBF157" s="1255"/>
      <c r="SBG157" s="1255"/>
      <c r="SBH157" s="1255"/>
      <c r="SBI157" s="1255"/>
      <c r="SBJ157" s="1255"/>
      <c r="SBK157" s="1255"/>
      <c r="SBL157" s="1255"/>
      <c r="SBM157" s="1255"/>
      <c r="SBN157" s="1255"/>
      <c r="SBO157" s="1255"/>
      <c r="SBP157" s="1255"/>
      <c r="SBQ157" s="1255"/>
      <c r="SBR157" s="1255"/>
      <c r="SBS157" s="1255"/>
      <c r="SBT157" s="1255"/>
      <c r="SBU157" s="1255"/>
      <c r="SBV157" s="1255"/>
      <c r="SBW157" s="1255"/>
      <c r="SBX157" s="1255"/>
      <c r="SBY157" s="1255"/>
      <c r="SBZ157" s="1255"/>
      <c r="SCA157" s="1255"/>
      <c r="SCB157" s="1255"/>
      <c r="SCC157" s="1255"/>
      <c r="SCD157" s="1255"/>
      <c r="SCE157" s="1255"/>
      <c r="SCF157" s="1255"/>
      <c r="SCG157" s="1255"/>
      <c r="SCH157" s="1255"/>
      <c r="SCI157" s="1255"/>
      <c r="SCJ157" s="1255"/>
      <c r="SCK157" s="1255"/>
      <c r="SCL157" s="1255"/>
      <c r="SCM157" s="1255"/>
      <c r="SCN157" s="1255"/>
      <c r="SCO157" s="1255"/>
      <c r="SCP157" s="1255"/>
      <c r="SCQ157" s="1255"/>
      <c r="SCR157" s="1255"/>
      <c r="SCS157" s="1255"/>
      <c r="SCT157" s="1255"/>
      <c r="SCU157" s="1255"/>
      <c r="SCV157" s="1255"/>
      <c r="SCW157" s="1255"/>
      <c r="SCX157" s="1255"/>
      <c r="SCY157" s="1255"/>
      <c r="SCZ157" s="1255"/>
      <c r="SDA157" s="1255"/>
      <c r="SDB157" s="1255"/>
      <c r="SDC157" s="1255"/>
      <c r="SDD157" s="1255"/>
      <c r="SDE157" s="1255"/>
      <c r="SDF157" s="1255"/>
      <c r="SDG157" s="1255"/>
      <c r="SDH157" s="1255"/>
      <c r="SDI157" s="1255"/>
      <c r="SDJ157" s="1255"/>
      <c r="SDK157" s="1255"/>
      <c r="SDL157" s="1255"/>
      <c r="SDM157" s="1255"/>
      <c r="SDN157" s="1255"/>
      <c r="SDO157" s="1255"/>
      <c r="SDP157" s="1255"/>
      <c r="SDQ157" s="1255"/>
      <c r="SDR157" s="1255"/>
      <c r="SDS157" s="1255"/>
      <c r="SDT157" s="1255"/>
      <c r="SDU157" s="1255"/>
      <c r="SDV157" s="1255"/>
      <c r="SDW157" s="1255"/>
      <c r="SDX157" s="1255"/>
      <c r="SDY157" s="1255"/>
      <c r="SDZ157" s="1255"/>
      <c r="SEA157" s="1255"/>
      <c r="SEB157" s="1255"/>
      <c r="SEC157" s="1255"/>
      <c r="SED157" s="1255"/>
      <c r="SEE157" s="1255"/>
      <c r="SEF157" s="1255"/>
      <c r="SEG157" s="1255"/>
      <c r="SEH157" s="1255"/>
      <c r="SEI157" s="1255"/>
      <c r="SEJ157" s="1255"/>
      <c r="SEK157" s="1255"/>
      <c r="SEL157" s="1255"/>
      <c r="SEM157" s="1255"/>
      <c r="SEN157" s="1255"/>
      <c r="SEO157" s="1255"/>
      <c r="SEP157" s="1255"/>
      <c r="SEQ157" s="1255"/>
      <c r="SER157" s="1255"/>
      <c r="SES157" s="1255"/>
      <c r="SET157" s="1255"/>
      <c r="SEU157" s="1255"/>
      <c r="SEV157" s="1255"/>
      <c r="SEW157" s="1255"/>
      <c r="SEX157" s="1255"/>
      <c r="SEY157" s="1255"/>
      <c r="SEZ157" s="1255"/>
      <c r="SFA157" s="1255"/>
      <c r="SFB157" s="1255"/>
      <c r="SFC157" s="1255"/>
      <c r="SFD157" s="1255"/>
      <c r="SFE157" s="1255"/>
      <c r="SFF157" s="1255"/>
      <c r="SFG157" s="1255"/>
      <c r="SFH157" s="1255"/>
      <c r="SFI157" s="1255"/>
      <c r="SFJ157" s="1255"/>
      <c r="SFK157" s="1255"/>
      <c r="SFL157" s="1255"/>
      <c r="SFM157" s="1255"/>
      <c r="SFN157" s="1255"/>
      <c r="SFO157" s="1255"/>
      <c r="SFP157" s="1255"/>
      <c r="SFQ157" s="1255"/>
      <c r="SFR157" s="1255"/>
      <c r="SFS157" s="1255"/>
      <c r="SFT157" s="1255"/>
      <c r="SFU157" s="1255"/>
      <c r="SFV157" s="1255"/>
      <c r="SFW157" s="1255"/>
      <c r="SFX157" s="1255"/>
      <c r="SFY157" s="1255"/>
      <c r="SFZ157" s="1255"/>
      <c r="SGA157" s="1255"/>
      <c r="SGB157" s="1255"/>
      <c r="SGC157" s="1255"/>
      <c r="SGD157" s="1255"/>
      <c r="SGE157" s="1255"/>
      <c r="SGF157" s="1255"/>
      <c r="SGG157" s="1255"/>
      <c r="SGH157" s="1255"/>
      <c r="SGI157" s="1255"/>
      <c r="SGJ157" s="1255"/>
      <c r="SGK157" s="1255"/>
      <c r="SGL157" s="1255"/>
      <c r="SGM157" s="1255"/>
      <c r="SGN157" s="1255"/>
      <c r="SGO157" s="1255"/>
      <c r="SGP157" s="1255"/>
      <c r="SGQ157" s="1255"/>
      <c r="SGR157" s="1255"/>
      <c r="SGS157" s="1255"/>
      <c r="SGT157" s="1255"/>
      <c r="SGU157" s="1255"/>
      <c r="SGV157" s="1255"/>
      <c r="SGW157" s="1255"/>
      <c r="SGX157" s="1255"/>
      <c r="SGY157" s="1255"/>
      <c r="SGZ157" s="1255"/>
      <c r="SHA157" s="1255"/>
      <c r="SHB157" s="1255"/>
      <c r="SHC157" s="1255"/>
      <c r="SHD157" s="1255"/>
      <c r="SHE157" s="1255"/>
      <c r="SHF157" s="1255"/>
      <c r="SHG157" s="1255"/>
      <c r="SHH157" s="1255"/>
      <c r="SHI157" s="1255"/>
      <c r="SHJ157" s="1255"/>
      <c r="SHK157" s="1255"/>
      <c r="SHL157" s="1255"/>
      <c r="SHM157" s="1255"/>
      <c r="SHN157" s="1255"/>
      <c r="SHO157" s="1255"/>
      <c r="SHP157" s="1255"/>
      <c r="SHQ157" s="1255"/>
      <c r="SHR157" s="1255"/>
      <c r="SHS157" s="1255"/>
      <c r="SHT157" s="1255"/>
      <c r="SHU157" s="1255"/>
      <c r="SHV157" s="1255"/>
      <c r="SHW157" s="1255"/>
      <c r="SHX157" s="1255"/>
      <c r="SHY157" s="1255"/>
      <c r="SHZ157" s="1255"/>
      <c r="SIA157" s="1255"/>
      <c r="SIB157" s="1255"/>
      <c r="SIC157" s="1255"/>
      <c r="SID157" s="1255"/>
      <c r="SIE157" s="1255"/>
      <c r="SIF157" s="1255"/>
      <c r="SIG157" s="1255"/>
      <c r="SIH157" s="1255"/>
      <c r="SII157" s="1255"/>
      <c r="SIJ157" s="1255"/>
      <c r="SIK157" s="1255"/>
      <c r="SIL157" s="1255"/>
      <c r="SIM157" s="1255"/>
      <c r="SIN157" s="1255"/>
      <c r="SIO157" s="1255"/>
      <c r="SIP157" s="1255"/>
      <c r="SIQ157" s="1255"/>
      <c r="SIR157" s="1255"/>
      <c r="SIS157" s="1255"/>
      <c r="SIT157" s="1255"/>
      <c r="SIU157" s="1255"/>
      <c r="SIV157" s="1255"/>
      <c r="SIW157" s="1255"/>
      <c r="SIX157" s="1255"/>
      <c r="SIY157" s="1255"/>
      <c r="SIZ157" s="1255"/>
      <c r="SJA157" s="1255"/>
      <c r="SJB157" s="1255"/>
      <c r="SJC157" s="1255"/>
      <c r="SJD157" s="1255"/>
      <c r="SJE157" s="1255"/>
      <c r="SJF157" s="1255"/>
      <c r="SJG157" s="1255"/>
      <c r="SJH157" s="1255"/>
      <c r="SJI157" s="1255"/>
      <c r="SJJ157" s="1255"/>
      <c r="SJK157" s="1255"/>
      <c r="SJL157" s="1255"/>
      <c r="SJM157" s="1255"/>
      <c r="SJN157" s="1255"/>
      <c r="SJO157" s="1255"/>
      <c r="SJP157" s="1255"/>
      <c r="SJQ157" s="1255"/>
      <c r="SJR157" s="1255"/>
      <c r="SJS157" s="1255"/>
      <c r="SJT157" s="1255"/>
      <c r="SJU157" s="1255"/>
      <c r="SJV157" s="1255"/>
      <c r="SJW157" s="1255"/>
      <c r="SJX157" s="1255"/>
      <c r="SJY157" s="1255"/>
      <c r="SJZ157" s="1255"/>
      <c r="SKA157" s="1255"/>
      <c r="SKB157" s="1255"/>
      <c r="SKC157" s="1255"/>
      <c r="SKD157" s="1255"/>
      <c r="SKE157" s="1255"/>
      <c r="SKF157" s="1255"/>
      <c r="SKG157" s="1255"/>
      <c r="SKH157" s="1255"/>
      <c r="SKI157" s="1255"/>
      <c r="SKJ157" s="1255"/>
      <c r="SKK157" s="1255"/>
      <c r="SKL157" s="1255"/>
      <c r="SKM157" s="1255"/>
      <c r="SKN157" s="1255"/>
      <c r="SKO157" s="1255"/>
      <c r="SKP157" s="1255"/>
      <c r="SKQ157" s="1255"/>
      <c r="SKR157" s="1255"/>
      <c r="SKS157" s="1255"/>
      <c r="SKT157" s="1255"/>
      <c r="SKU157" s="1255"/>
      <c r="SKV157" s="1255"/>
      <c r="SKW157" s="1255"/>
      <c r="SKX157" s="1255"/>
      <c r="SKY157" s="1255"/>
      <c r="SKZ157" s="1255"/>
      <c r="SLA157" s="1255"/>
      <c r="SLB157" s="1255"/>
      <c r="SLC157" s="1255"/>
      <c r="SLD157" s="1255"/>
      <c r="SLE157" s="1255"/>
      <c r="SLF157" s="1255"/>
      <c r="SLG157" s="1255"/>
      <c r="SLH157" s="1255"/>
      <c r="SLI157" s="1255"/>
      <c r="SLJ157" s="1255"/>
      <c r="SLK157" s="1255"/>
      <c r="SLL157" s="1255"/>
      <c r="SLM157" s="1255"/>
      <c r="SLN157" s="1255"/>
      <c r="SLO157" s="1255"/>
      <c r="SLP157" s="1255"/>
      <c r="SLQ157" s="1255"/>
      <c r="SLR157" s="1255"/>
      <c r="SLS157" s="1255"/>
      <c r="SLT157" s="1255"/>
      <c r="SLU157" s="1255"/>
      <c r="SLV157" s="1255"/>
      <c r="SLW157" s="1255"/>
      <c r="SLX157" s="1255"/>
      <c r="SLY157" s="1255"/>
      <c r="SLZ157" s="1255"/>
      <c r="SMA157" s="1255"/>
      <c r="SMB157" s="1255"/>
      <c r="SMC157" s="1255"/>
      <c r="SMD157" s="1255"/>
      <c r="SME157" s="1255"/>
      <c r="SMF157" s="1255"/>
      <c r="SMG157" s="1255"/>
      <c r="SMH157" s="1255"/>
      <c r="SMI157" s="1255"/>
      <c r="SMJ157" s="1255"/>
      <c r="SMK157" s="1255"/>
      <c r="SML157" s="1255"/>
      <c r="SMM157" s="1255"/>
      <c r="SMN157" s="1255"/>
      <c r="SMO157" s="1255"/>
      <c r="SMP157" s="1255"/>
      <c r="SMQ157" s="1255"/>
      <c r="SMR157" s="1255"/>
      <c r="SMS157" s="1255"/>
      <c r="SMT157" s="1255"/>
      <c r="SMU157" s="1255"/>
      <c r="SMV157" s="1255"/>
      <c r="SMW157" s="1255"/>
      <c r="SMX157" s="1255"/>
      <c r="SMY157" s="1255"/>
      <c r="SMZ157" s="1255"/>
      <c r="SNA157" s="1255"/>
      <c r="SNB157" s="1255"/>
      <c r="SNC157" s="1255"/>
      <c r="SND157" s="1255"/>
      <c r="SNE157" s="1255"/>
      <c r="SNF157" s="1255"/>
      <c r="SNG157" s="1255"/>
      <c r="SNH157" s="1255"/>
      <c r="SNI157" s="1255"/>
      <c r="SNJ157" s="1255"/>
      <c r="SNK157" s="1255"/>
      <c r="SNL157" s="1255"/>
      <c r="SNM157" s="1255"/>
      <c r="SNN157" s="1255"/>
      <c r="SNO157" s="1255"/>
      <c r="SNP157" s="1255"/>
      <c r="SNQ157" s="1255"/>
      <c r="SNR157" s="1255"/>
      <c r="SNS157" s="1255"/>
      <c r="SNT157" s="1255"/>
      <c r="SNU157" s="1255"/>
      <c r="SNV157" s="1255"/>
      <c r="SNW157" s="1255"/>
      <c r="SNX157" s="1255"/>
      <c r="SNY157" s="1255"/>
      <c r="SNZ157" s="1255"/>
      <c r="SOA157" s="1255"/>
      <c r="SOB157" s="1255"/>
      <c r="SOC157" s="1255"/>
      <c r="SOD157" s="1255"/>
      <c r="SOE157" s="1255"/>
      <c r="SOF157" s="1255"/>
      <c r="SOG157" s="1255"/>
      <c r="SOH157" s="1255"/>
      <c r="SOI157" s="1255"/>
      <c r="SOJ157" s="1255"/>
      <c r="SOK157" s="1255"/>
      <c r="SOL157" s="1255"/>
      <c r="SOM157" s="1255"/>
      <c r="SON157" s="1255"/>
      <c r="SOO157" s="1255"/>
      <c r="SOP157" s="1255"/>
      <c r="SOQ157" s="1255"/>
      <c r="SOR157" s="1255"/>
      <c r="SOS157" s="1255"/>
      <c r="SOT157" s="1255"/>
      <c r="SOU157" s="1255"/>
      <c r="SOV157" s="1255"/>
      <c r="SOW157" s="1255"/>
      <c r="SOX157" s="1255"/>
      <c r="SOY157" s="1255"/>
      <c r="SOZ157" s="1255"/>
      <c r="SPA157" s="1255"/>
      <c r="SPB157" s="1255"/>
      <c r="SPC157" s="1255"/>
      <c r="SPD157" s="1255"/>
      <c r="SPE157" s="1255"/>
      <c r="SPF157" s="1255"/>
      <c r="SPG157" s="1255"/>
      <c r="SPH157" s="1255"/>
      <c r="SPI157" s="1255"/>
      <c r="SPJ157" s="1255"/>
      <c r="SPK157" s="1255"/>
      <c r="SPL157" s="1255"/>
      <c r="SPM157" s="1255"/>
      <c r="SPN157" s="1255"/>
      <c r="SPO157" s="1255"/>
      <c r="SPP157" s="1255"/>
      <c r="SPQ157" s="1255"/>
      <c r="SPR157" s="1255"/>
      <c r="SPS157" s="1255"/>
      <c r="SPT157" s="1255"/>
      <c r="SPU157" s="1255"/>
      <c r="SPV157" s="1255"/>
      <c r="SPW157" s="1255"/>
      <c r="SPX157" s="1255"/>
      <c r="SPY157" s="1255"/>
      <c r="SPZ157" s="1255"/>
      <c r="SQA157" s="1255"/>
      <c r="SQB157" s="1255"/>
      <c r="SQC157" s="1255"/>
      <c r="SQD157" s="1255"/>
      <c r="SQE157" s="1255"/>
      <c r="SQF157" s="1255"/>
      <c r="SQG157" s="1255"/>
      <c r="SQH157" s="1255"/>
      <c r="SQI157" s="1255"/>
      <c r="SQJ157" s="1255"/>
      <c r="SQK157" s="1255"/>
      <c r="SQL157" s="1255"/>
      <c r="SQM157" s="1255"/>
      <c r="SQN157" s="1255"/>
      <c r="SQO157" s="1255"/>
      <c r="SQP157" s="1255"/>
      <c r="SQQ157" s="1255"/>
      <c r="SQR157" s="1255"/>
      <c r="SQS157" s="1255"/>
      <c r="SQT157" s="1255"/>
      <c r="SQU157" s="1255"/>
      <c r="SQV157" s="1255"/>
      <c r="SQW157" s="1255"/>
      <c r="SQX157" s="1255"/>
      <c r="SQY157" s="1255"/>
      <c r="SQZ157" s="1255"/>
      <c r="SRA157" s="1255"/>
      <c r="SRB157" s="1255"/>
      <c r="SRC157" s="1255"/>
      <c r="SRD157" s="1255"/>
      <c r="SRE157" s="1255"/>
      <c r="SRF157" s="1255"/>
      <c r="SRG157" s="1255"/>
      <c r="SRH157" s="1255"/>
      <c r="SRI157" s="1255"/>
      <c r="SRJ157" s="1255"/>
      <c r="SRK157" s="1255"/>
      <c r="SRL157" s="1255"/>
      <c r="SRM157" s="1255"/>
      <c r="SRN157" s="1255"/>
      <c r="SRO157" s="1255"/>
      <c r="SRP157" s="1255"/>
      <c r="SRQ157" s="1255"/>
      <c r="SRR157" s="1255"/>
      <c r="SRS157" s="1255"/>
      <c r="SRT157" s="1255"/>
      <c r="SRU157" s="1255"/>
      <c r="SRV157" s="1255"/>
      <c r="SRW157" s="1255"/>
      <c r="SRX157" s="1255"/>
      <c r="SRY157" s="1255"/>
      <c r="SRZ157" s="1255"/>
      <c r="SSA157" s="1255"/>
      <c r="SSB157" s="1255"/>
      <c r="SSC157" s="1255"/>
      <c r="SSD157" s="1255"/>
      <c r="SSE157" s="1255"/>
      <c r="SSF157" s="1255"/>
      <c r="SSG157" s="1255"/>
      <c r="SSH157" s="1255"/>
      <c r="SSI157" s="1255"/>
      <c r="SSJ157" s="1255"/>
      <c r="SSK157" s="1255"/>
      <c r="SSL157" s="1255"/>
      <c r="SSM157" s="1255"/>
      <c r="SSN157" s="1255"/>
      <c r="SSO157" s="1255"/>
      <c r="SSP157" s="1255"/>
      <c r="SSQ157" s="1255"/>
      <c r="SSR157" s="1255"/>
      <c r="SSS157" s="1255"/>
      <c r="SST157" s="1255"/>
      <c r="SSU157" s="1255"/>
      <c r="SSV157" s="1255"/>
      <c r="SSW157" s="1255"/>
      <c r="SSX157" s="1255"/>
      <c r="SSY157" s="1255"/>
      <c r="SSZ157" s="1255"/>
      <c r="STA157" s="1255"/>
      <c r="STB157" s="1255"/>
      <c r="STC157" s="1255"/>
      <c r="STD157" s="1255"/>
      <c r="STE157" s="1255"/>
      <c r="STF157" s="1255"/>
      <c r="STG157" s="1255"/>
      <c r="STH157" s="1255"/>
      <c r="STI157" s="1255"/>
      <c r="STJ157" s="1255"/>
      <c r="STK157" s="1255"/>
      <c r="STL157" s="1255"/>
      <c r="STM157" s="1255"/>
      <c r="STN157" s="1255"/>
      <c r="STO157" s="1255"/>
      <c r="STP157" s="1255"/>
      <c r="STQ157" s="1255"/>
      <c r="STR157" s="1255"/>
      <c r="STS157" s="1255"/>
      <c r="STT157" s="1255"/>
      <c r="STU157" s="1255"/>
      <c r="STV157" s="1255"/>
      <c r="STW157" s="1255"/>
      <c r="STX157" s="1255"/>
      <c r="STY157" s="1255"/>
      <c r="STZ157" s="1255"/>
      <c r="SUA157" s="1255"/>
      <c r="SUB157" s="1255"/>
      <c r="SUC157" s="1255"/>
      <c r="SUD157" s="1255"/>
      <c r="SUE157" s="1255"/>
      <c r="SUF157" s="1255"/>
      <c r="SUG157" s="1255"/>
      <c r="SUH157" s="1255"/>
      <c r="SUI157" s="1255"/>
      <c r="SUJ157" s="1255"/>
      <c r="SUK157" s="1255"/>
      <c r="SUL157" s="1255"/>
      <c r="SUM157" s="1255"/>
      <c r="SUN157" s="1255"/>
      <c r="SUO157" s="1255"/>
      <c r="SUP157" s="1255"/>
      <c r="SUQ157" s="1255"/>
      <c r="SUR157" s="1255"/>
      <c r="SUS157" s="1255"/>
      <c r="SUT157" s="1255"/>
      <c r="SUU157" s="1255"/>
      <c r="SUV157" s="1255"/>
      <c r="SUW157" s="1255"/>
      <c r="SUX157" s="1255"/>
      <c r="SUY157" s="1255"/>
      <c r="SUZ157" s="1255"/>
      <c r="SVA157" s="1255"/>
      <c r="SVB157" s="1255"/>
      <c r="SVC157" s="1255"/>
      <c r="SVD157" s="1255"/>
      <c r="SVE157" s="1255"/>
      <c r="SVF157" s="1255"/>
      <c r="SVG157" s="1255"/>
      <c r="SVH157" s="1255"/>
      <c r="SVI157" s="1255"/>
      <c r="SVJ157" s="1255"/>
      <c r="SVK157" s="1255"/>
      <c r="SVL157" s="1255"/>
      <c r="SVM157" s="1255"/>
      <c r="SVN157" s="1255"/>
      <c r="SVO157" s="1255"/>
      <c r="SVP157" s="1255"/>
      <c r="SVQ157" s="1255"/>
      <c r="SVR157" s="1255"/>
      <c r="SVS157" s="1255"/>
      <c r="SVT157" s="1255"/>
      <c r="SVU157" s="1255"/>
      <c r="SVV157" s="1255"/>
      <c r="SVW157" s="1255"/>
      <c r="SVX157" s="1255"/>
      <c r="SVY157" s="1255"/>
      <c r="SVZ157" s="1255"/>
      <c r="SWA157" s="1255"/>
      <c r="SWB157" s="1255"/>
      <c r="SWC157" s="1255"/>
      <c r="SWD157" s="1255"/>
      <c r="SWE157" s="1255"/>
      <c r="SWF157" s="1255"/>
      <c r="SWG157" s="1255"/>
      <c r="SWH157" s="1255"/>
      <c r="SWI157" s="1255"/>
      <c r="SWJ157" s="1255"/>
      <c r="SWK157" s="1255"/>
      <c r="SWL157" s="1255"/>
      <c r="SWM157" s="1255"/>
      <c r="SWN157" s="1255"/>
      <c r="SWO157" s="1255"/>
      <c r="SWP157" s="1255"/>
      <c r="SWQ157" s="1255"/>
      <c r="SWR157" s="1255"/>
      <c r="SWS157" s="1255"/>
      <c r="SWT157" s="1255"/>
      <c r="SWU157" s="1255"/>
      <c r="SWV157" s="1255"/>
      <c r="SWW157" s="1255"/>
      <c r="SWX157" s="1255"/>
      <c r="SWY157" s="1255"/>
      <c r="SWZ157" s="1255"/>
      <c r="SXA157" s="1255"/>
      <c r="SXB157" s="1255"/>
      <c r="SXC157" s="1255"/>
      <c r="SXD157" s="1255"/>
      <c r="SXE157" s="1255"/>
      <c r="SXF157" s="1255"/>
      <c r="SXG157" s="1255"/>
      <c r="SXH157" s="1255"/>
      <c r="SXI157" s="1255"/>
      <c r="SXJ157" s="1255"/>
      <c r="SXK157" s="1255"/>
      <c r="SXL157" s="1255"/>
      <c r="SXM157" s="1255"/>
      <c r="SXN157" s="1255"/>
      <c r="SXO157" s="1255"/>
      <c r="SXP157" s="1255"/>
      <c r="SXQ157" s="1255"/>
      <c r="SXR157" s="1255"/>
      <c r="SXS157" s="1255"/>
      <c r="SXT157" s="1255"/>
      <c r="SXU157" s="1255"/>
      <c r="SXV157" s="1255"/>
      <c r="SXW157" s="1255"/>
      <c r="SXX157" s="1255"/>
      <c r="SXY157" s="1255"/>
      <c r="SXZ157" s="1255"/>
      <c r="SYA157" s="1255"/>
      <c r="SYB157" s="1255"/>
      <c r="SYC157" s="1255"/>
      <c r="SYD157" s="1255"/>
      <c r="SYE157" s="1255"/>
      <c r="SYF157" s="1255"/>
      <c r="SYG157" s="1255"/>
      <c r="SYH157" s="1255"/>
      <c r="SYI157" s="1255"/>
      <c r="SYJ157" s="1255"/>
      <c r="SYK157" s="1255"/>
      <c r="SYL157" s="1255"/>
      <c r="SYM157" s="1255"/>
      <c r="SYN157" s="1255"/>
      <c r="SYO157" s="1255"/>
      <c r="SYP157" s="1255"/>
      <c r="SYQ157" s="1255"/>
      <c r="SYR157" s="1255"/>
      <c r="SYS157" s="1255"/>
      <c r="SYT157" s="1255"/>
      <c r="SYU157" s="1255"/>
      <c r="SYV157" s="1255"/>
      <c r="SYW157" s="1255"/>
      <c r="SYX157" s="1255"/>
      <c r="SYY157" s="1255"/>
      <c r="SYZ157" s="1255"/>
      <c r="SZA157" s="1255"/>
      <c r="SZB157" s="1255"/>
      <c r="SZC157" s="1255"/>
      <c r="SZD157" s="1255"/>
      <c r="SZE157" s="1255"/>
      <c r="SZF157" s="1255"/>
      <c r="SZG157" s="1255"/>
      <c r="SZH157" s="1255"/>
      <c r="SZI157" s="1255"/>
      <c r="SZJ157" s="1255"/>
      <c r="SZK157" s="1255"/>
      <c r="SZL157" s="1255"/>
      <c r="SZM157" s="1255"/>
      <c r="SZN157" s="1255"/>
      <c r="SZO157" s="1255"/>
      <c r="SZP157" s="1255"/>
      <c r="SZQ157" s="1255"/>
      <c r="SZR157" s="1255"/>
      <c r="SZS157" s="1255"/>
      <c r="SZT157" s="1255"/>
      <c r="SZU157" s="1255"/>
      <c r="SZV157" s="1255"/>
      <c r="SZW157" s="1255"/>
      <c r="SZX157" s="1255"/>
      <c r="SZY157" s="1255"/>
      <c r="SZZ157" s="1255"/>
      <c r="TAA157" s="1255"/>
      <c r="TAB157" s="1255"/>
      <c r="TAC157" s="1255"/>
      <c r="TAD157" s="1255"/>
      <c r="TAE157" s="1255"/>
      <c r="TAF157" s="1255"/>
      <c r="TAG157" s="1255"/>
      <c r="TAH157" s="1255"/>
      <c r="TAI157" s="1255"/>
      <c r="TAJ157" s="1255"/>
      <c r="TAK157" s="1255"/>
      <c r="TAL157" s="1255"/>
      <c r="TAM157" s="1255"/>
      <c r="TAN157" s="1255"/>
      <c r="TAO157" s="1255"/>
      <c r="TAP157" s="1255"/>
      <c r="TAQ157" s="1255"/>
      <c r="TAR157" s="1255"/>
      <c r="TAS157" s="1255"/>
      <c r="TAT157" s="1255"/>
      <c r="TAU157" s="1255"/>
      <c r="TAV157" s="1255"/>
      <c r="TAW157" s="1255"/>
      <c r="TAX157" s="1255"/>
      <c r="TAY157" s="1255"/>
      <c r="TAZ157" s="1255"/>
      <c r="TBA157" s="1255"/>
      <c r="TBB157" s="1255"/>
      <c r="TBC157" s="1255"/>
      <c r="TBD157" s="1255"/>
      <c r="TBE157" s="1255"/>
      <c r="TBF157" s="1255"/>
      <c r="TBG157" s="1255"/>
      <c r="TBH157" s="1255"/>
      <c r="TBI157" s="1255"/>
      <c r="TBJ157" s="1255"/>
      <c r="TBK157" s="1255"/>
      <c r="TBL157" s="1255"/>
      <c r="TBM157" s="1255"/>
      <c r="TBN157" s="1255"/>
      <c r="TBO157" s="1255"/>
      <c r="TBP157" s="1255"/>
      <c r="TBQ157" s="1255"/>
      <c r="TBR157" s="1255"/>
      <c r="TBS157" s="1255"/>
      <c r="TBT157" s="1255"/>
      <c r="TBU157" s="1255"/>
      <c r="TBV157" s="1255"/>
      <c r="TBW157" s="1255"/>
      <c r="TBX157" s="1255"/>
      <c r="TBY157" s="1255"/>
      <c r="TBZ157" s="1255"/>
      <c r="TCA157" s="1255"/>
      <c r="TCB157" s="1255"/>
      <c r="TCC157" s="1255"/>
      <c r="TCD157" s="1255"/>
      <c r="TCE157" s="1255"/>
      <c r="TCF157" s="1255"/>
      <c r="TCG157" s="1255"/>
      <c r="TCH157" s="1255"/>
      <c r="TCI157" s="1255"/>
      <c r="TCJ157" s="1255"/>
      <c r="TCK157" s="1255"/>
      <c r="TCL157" s="1255"/>
      <c r="TCM157" s="1255"/>
      <c r="TCN157" s="1255"/>
      <c r="TCO157" s="1255"/>
      <c r="TCP157" s="1255"/>
      <c r="TCQ157" s="1255"/>
      <c r="TCR157" s="1255"/>
      <c r="TCS157" s="1255"/>
      <c r="TCT157" s="1255"/>
      <c r="TCU157" s="1255"/>
      <c r="TCV157" s="1255"/>
      <c r="TCW157" s="1255"/>
      <c r="TCX157" s="1255"/>
      <c r="TCY157" s="1255"/>
      <c r="TCZ157" s="1255"/>
      <c r="TDA157" s="1255"/>
      <c r="TDB157" s="1255"/>
      <c r="TDC157" s="1255"/>
      <c r="TDD157" s="1255"/>
      <c r="TDE157" s="1255"/>
      <c r="TDF157" s="1255"/>
      <c r="TDG157" s="1255"/>
      <c r="TDH157" s="1255"/>
      <c r="TDI157" s="1255"/>
      <c r="TDJ157" s="1255"/>
      <c r="TDK157" s="1255"/>
      <c r="TDL157" s="1255"/>
      <c r="TDM157" s="1255"/>
      <c r="TDN157" s="1255"/>
      <c r="TDO157" s="1255"/>
      <c r="TDP157" s="1255"/>
      <c r="TDQ157" s="1255"/>
      <c r="TDR157" s="1255"/>
      <c r="TDS157" s="1255"/>
      <c r="TDT157" s="1255"/>
      <c r="TDU157" s="1255"/>
      <c r="TDV157" s="1255"/>
      <c r="TDW157" s="1255"/>
      <c r="TDX157" s="1255"/>
      <c r="TDY157" s="1255"/>
      <c r="TDZ157" s="1255"/>
      <c r="TEA157" s="1255"/>
      <c r="TEB157" s="1255"/>
      <c r="TEC157" s="1255"/>
      <c r="TED157" s="1255"/>
      <c r="TEE157" s="1255"/>
      <c r="TEF157" s="1255"/>
      <c r="TEG157" s="1255"/>
      <c r="TEH157" s="1255"/>
      <c r="TEI157" s="1255"/>
      <c r="TEJ157" s="1255"/>
      <c r="TEK157" s="1255"/>
      <c r="TEL157" s="1255"/>
      <c r="TEM157" s="1255"/>
      <c r="TEN157" s="1255"/>
      <c r="TEO157" s="1255"/>
      <c r="TEP157" s="1255"/>
      <c r="TEQ157" s="1255"/>
      <c r="TER157" s="1255"/>
      <c r="TES157" s="1255"/>
      <c r="TET157" s="1255"/>
      <c r="TEU157" s="1255"/>
      <c r="TEV157" s="1255"/>
      <c r="TEW157" s="1255"/>
      <c r="TEX157" s="1255"/>
      <c r="TEY157" s="1255"/>
      <c r="TEZ157" s="1255"/>
      <c r="TFA157" s="1255"/>
      <c r="TFB157" s="1255"/>
      <c r="TFC157" s="1255"/>
      <c r="TFD157" s="1255"/>
      <c r="TFE157" s="1255"/>
      <c r="TFF157" s="1255"/>
      <c r="TFG157" s="1255"/>
      <c r="TFH157" s="1255"/>
      <c r="TFI157" s="1255"/>
      <c r="TFJ157" s="1255"/>
      <c r="TFK157" s="1255"/>
      <c r="TFL157" s="1255"/>
      <c r="TFM157" s="1255"/>
      <c r="TFN157" s="1255"/>
      <c r="TFO157" s="1255"/>
      <c r="TFP157" s="1255"/>
      <c r="TFQ157" s="1255"/>
      <c r="TFR157" s="1255"/>
      <c r="TFS157" s="1255"/>
      <c r="TFT157" s="1255"/>
      <c r="TFU157" s="1255"/>
      <c r="TFV157" s="1255"/>
      <c r="TFW157" s="1255"/>
      <c r="TFX157" s="1255"/>
      <c r="TFY157" s="1255"/>
      <c r="TFZ157" s="1255"/>
      <c r="TGA157" s="1255"/>
      <c r="TGB157" s="1255"/>
      <c r="TGC157" s="1255"/>
      <c r="TGD157" s="1255"/>
      <c r="TGE157" s="1255"/>
      <c r="TGF157" s="1255"/>
      <c r="TGG157" s="1255"/>
      <c r="TGH157" s="1255"/>
      <c r="TGI157" s="1255"/>
      <c r="TGJ157" s="1255"/>
      <c r="TGK157" s="1255"/>
      <c r="TGL157" s="1255"/>
      <c r="TGM157" s="1255"/>
      <c r="TGN157" s="1255"/>
      <c r="TGO157" s="1255"/>
      <c r="TGP157" s="1255"/>
      <c r="TGQ157" s="1255"/>
      <c r="TGR157" s="1255"/>
      <c r="TGS157" s="1255"/>
      <c r="TGT157" s="1255"/>
      <c r="TGU157" s="1255"/>
      <c r="TGV157" s="1255"/>
      <c r="TGW157" s="1255"/>
      <c r="TGX157" s="1255"/>
      <c r="TGY157" s="1255"/>
      <c r="TGZ157" s="1255"/>
      <c r="THA157" s="1255"/>
      <c r="THB157" s="1255"/>
      <c r="THC157" s="1255"/>
      <c r="THD157" s="1255"/>
      <c r="THE157" s="1255"/>
      <c r="THF157" s="1255"/>
      <c r="THG157" s="1255"/>
      <c r="THH157" s="1255"/>
      <c r="THI157" s="1255"/>
      <c r="THJ157" s="1255"/>
      <c r="THK157" s="1255"/>
      <c r="THL157" s="1255"/>
      <c r="THM157" s="1255"/>
      <c r="THN157" s="1255"/>
      <c r="THO157" s="1255"/>
      <c r="THP157" s="1255"/>
      <c r="THQ157" s="1255"/>
      <c r="THR157" s="1255"/>
      <c r="THS157" s="1255"/>
      <c r="THT157" s="1255"/>
      <c r="THU157" s="1255"/>
      <c r="THV157" s="1255"/>
      <c r="THW157" s="1255"/>
      <c r="THX157" s="1255"/>
      <c r="THY157" s="1255"/>
      <c r="THZ157" s="1255"/>
      <c r="TIA157" s="1255"/>
      <c r="TIB157" s="1255"/>
      <c r="TIC157" s="1255"/>
      <c r="TID157" s="1255"/>
      <c r="TIE157" s="1255"/>
      <c r="TIF157" s="1255"/>
      <c r="TIG157" s="1255"/>
      <c r="TIH157" s="1255"/>
      <c r="TII157" s="1255"/>
      <c r="TIJ157" s="1255"/>
      <c r="TIK157" s="1255"/>
      <c r="TIL157" s="1255"/>
      <c r="TIM157" s="1255"/>
      <c r="TIN157" s="1255"/>
      <c r="TIO157" s="1255"/>
      <c r="TIP157" s="1255"/>
      <c r="TIQ157" s="1255"/>
      <c r="TIR157" s="1255"/>
      <c r="TIS157" s="1255"/>
      <c r="TIT157" s="1255"/>
      <c r="TIU157" s="1255"/>
      <c r="TIV157" s="1255"/>
      <c r="TIW157" s="1255"/>
      <c r="TIX157" s="1255"/>
      <c r="TIY157" s="1255"/>
      <c r="TIZ157" s="1255"/>
      <c r="TJA157" s="1255"/>
      <c r="TJB157" s="1255"/>
      <c r="TJC157" s="1255"/>
      <c r="TJD157" s="1255"/>
      <c r="TJE157" s="1255"/>
      <c r="TJF157" s="1255"/>
      <c r="TJG157" s="1255"/>
      <c r="TJH157" s="1255"/>
      <c r="TJI157" s="1255"/>
      <c r="TJJ157" s="1255"/>
      <c r="TJK157" s="1255"/>
      <c r="TJL157" s="1255"/>
      <c r="TJM157" s="1255"/>
      <c r="TJN157" s="1255"/>
      <c r="TJO157" s="1255"/>
      <c r="TJP157" s="1255"/>
      <c r="TJQ157" s="1255"/>
      <c r="TJR157" s="1255"/>
      <c r="TJS157" s="1255"/>
      <c r="TJT157" s="1255"/>
      <c r="TJU157" s="1255"/>
      <c r="TJV157" s="1255"/>
      <c r="TJW157" s="1255"/>
      <c r="TJX157" s="1255"/>
      <c r="TJY157" s="1255"/>
      <c r="TJZ157" s="1255"/>
      <c r="TKA157" s="1255"/>
      <c r="TKB157" s="1255"/>
      <c r="TKC157" s="1255"/>
      <c r="TKD157" s="1255"/>
      <c r="TKE157" s="1255"/>
      <c r="TKF157" s="1255"/>
      <c r="TKG157" s="1255"/>
      <c r="TKH157" s="1255"/>
      <c r="TKI157" s="1255"/>
      <c r="TKJ157" s="1255"/>
      <c r="TKK157" s="1255"/>
      <c r="TKL157" s="1255"/>
      <c r="TKM157" s="1255"/>
      <c r="TKN157" s="1255"/>
      <c r="TKO157" s="1255"/>
      <c r="TKP157" s="1255"/>
      <c r="TKQ157" s="1255"/>
      <c r="TKR157" s="1255"/>
      <c r="TKS157" s="1255"/>
      <c r="TKT157" s="1255"/>
      <c r="TKU157" s="1255"/>
      <c r="TKV157" s="1255"/>
      <c r="TKW157" s="1255"/>
      <c r="TKX157" s="1255"/>
      <c r="TKY157" s="1255"/>
      <c r="TKZ157" s="1255"/>
      <c r="TLA157" s="1255"/>
      <c r="TLB157" s="1255"/>
      <c r="TLC157" s="1255"/>
      <c r="TLD157" s="1255"/>
      <c r="TLE157" s="1255"/>
      <c r="TLF157" s="1255"/>
      <c r="TLG157" s="1255"/>
      <c r="TLH157" s="1255"/>
      <c r="TLI157" s="1255"/>
      <c r="TLJ157" s="1255"/>
      <c r="TLK157" s="1255"/>
      <c r="TLL157" s="1255"/>
      <c r="TLM157" s="1255"/>
      <c r="TLN157" s="1255"/>
      <c r="TLO157" s="1255"/>
      <c r="TLP157" s="1255"/>
      <c r="TLQ157" s="1255"/>
      <c r="TLR157" s="1255"/>
      <c r="TLS157" s="1255"/>
      <c r="TLT157" s="1255"/>
      <c r="TLU157" s="1255"/>
      <c r="TLV157" s="1255"/>
      <c r="TLW157" s="1255"/>
      <c r="TLX157" s="1255"/>
      <c r="TLY157" s="1255"/>
      <c r="TLZ157" s="1255"/>
      <c r="TMA157" s="1255"/>
      <c r="TMB157" s="1255"/>
      <c r="TMC157" s="1255"/>
      <c r="TMD157" s="1255"/>
      <c r="TME157" s="1255"/>
      <c r="TMF157" s="1255"/>
      <c r="TMG157" s="1255"/>
      <c r="TMH157" s="1255"/>
      <c r="TMI157" s="1255"/>
      <c r="TMJ157" s="1255"/>
      <c r="TMK157" s="1255"/>
      <c r="TML157" s="1255"/>
      <c r="TMM157" s="1255"/>
      <c r="TMN157" s="1255"/>
      <c r="TMO157" s="1255"/>
      <c r="TMP157" s="1255"/>
      <c r="TMQ157" s="1255"/>
      <c r="TMR157" s="1255"/>
      <c r="TMS157" s="1255"/>
      <c r="TMT157" s="1255"/>
      <c r="TMU157" s="1255"/>
      <c r="TMV157" s="1255"/>
      <c r="TMW157" s="1255"/>
      <c r="TMX157" s="1255"/>
      <c r="TMY157" s="1255"/>
      <c r="TMZ157" s="1255"/>
      <c r="TNA157" s="1255"/>
      <c r="TNB157" s="1255"/>
      <c r="TNC157" s="1255"/>
      <c r="TND157" s="1255"/>
      <c r="TNE157" s="1255"/>
      <c r="TNF157" s="1255"/>
      <c r="TNG157" s="1255"/>
      <c r="TNH157" s="1255"/>
      <c r="TNI157" s="1255"/>
      <c r="TNJ157" s="1255"/>
      <c r="TNK157" s="1255"/>
      <c r="TNL157" s="1255"/>
      <c r="TNM157" s="1255"/>
      <c r="TNN157" s="1255"/>
      <c r="TNO157" s="1255"/>
      <c r="TNP157" s="1255"/>
      <c r="TNQ157" s="1255"/>
      <c r="TNR157" s="1255"/>
      <c r="TNS157" s="1255"/>
      <c r="TNT157" s="1255"/>
      <c r="TNU157" s="1255"/>
      <c r="TNV157" s="1255"/>
      <c r="TNW157" s="1255"/>
      <c r="TNX157" s="1255"/>
      <c r="TNY157" s="1255"/>
      <c r="TNZ157" s="1255"/>
      <c r="TOA157" s="1255"/>
      <c r="TOB157" s="1255"/>
      <c r="TOC157" s="1255"/>
      <c r="TOD157" s="1255"/>
      <c r="TOE157" s="1255"/>
      <c r="TOF157" s="1255"/>
      <c r="TOG157" s="1255"/>
      <c r="TOH157" s="1255"/>
      <c r="TOI157" s="1255"/>
      <c r="TOJ157" s="1255"/>
      <c r="TOK157" s="1255"/>
      <c r="TOL157" s="1255"/>
      <c r="TOM157" s="1255"/>
      <c r="TON157" s="1255"/>
      <c r="TOO157" s="1255"/>
      <c r="TOP157" s="1255"/>
      <c r="TOQ157" s="1255"/>
      <c r="TOR157" s="1255"/>
      <c r="TOS157" s="1255"/>
      <c r="TOT157" s="1255"/>
      <c r="TOU157" s="1255"/>
      <c r="TOV157" s="1255"/>
      <c r="TOW157" s="1255"/>
      <c r="TOX157" s="1255"/>
      <c r="TOY157" s="1255"/>
      <c r="TOZ157" s="1255"/>
      <c r="TPA157" s="1255"/>
      <c r="TPB157" s="1255"/>
      <c r="TPC157" s="1255"/>
      <c r="TPD157" s="1255"/>
      <c r="TPE157" s="1255"/>
      <c r="TPF157" s="1255"/>
      <c r="TPG157" s="1255"/>
      <c r="TPH157" s="1255"/>
      <c r="TPI157" s="1255"/>
      <c r="TPJ157" s="1255"/>
      <c r="TPK157" s="1255"/>
      <c r="TPL157" s="1255"/>
      <c r="TPM157" s="1255"/>
      <c r="TPN157" s="1255"/>
      <c r="TPO157" s="1255"/>
      <c r="TPP157" s="1255"/>
      <c r="TPQ157" s="1255"/>
      <c r="TPR157" s="1255"/>
      <c r="TPS157" s="1255"/>
      <c r="TPT157" s="1255"/>
      <c r="TPU157" s="1255"/>
      <c r="TPV157" s="1255"/>
      <c r="TPW157" s="1255"/>
      <c r="TPX157" s="1255"/>
      <c r="TPY157" s="1255"/>
      <c r="TPZ157" s="1255"/>
      <c r="TQA157" s="1255"/>
      <c r="TQB157" s="1255"/>
      <c r="TQC157" s="1255"/>
      <c r="TQD157" s="1255"/>
      <c r="TQE157" s="1255"/>
      <c r="TQF157" s="1255"/>
      <c r="TQG157" s="1255"/>
      <c r="TQH157" s="1255"/>
      <c r="TQI157" s="1255"/>
      <c r="TQJ157" s="1255"/>
      <c r="TQK157" s="1255"/>
      <c r="TQL157" s="1255"/>
      <c r="TQM157" s="1255"/>
      <c r="TQN157" s="1255"/>
      <c r="TQO157" s="1255"/>
      <c r="TQP157" s="1255"/>
      <c r="TQQ157" s="1255"/>
      <c r="TQR157" s="1255"/>
      <c r="TQS157" s="1255"/>
      <c r="TQT157" s="1255"/>
      <c r="TQU157" s="1255"/>
      <c r="TQV157" s="1255"/>
      <c r="TQW157" s="1255"/>
      <c r="TQX157" s="1255"/>
      <c r="TQY157" s="1255"/>
      <c r="TQZ157" s="1255"/>
      <c r="TRA157" s="1255"/>
      <c r="TRB157" s="1255"/>
      <c r="TRC157" s="1255"/>
      <c r="TRD157" s="1255"/>
      <c r="TRE157" s="1255"/>
      <c r="TRF157" s="1255"/>
      <c r="TRG157" s="1255"/>
      <c r="TRH157" s="1255"/>
      <c r="TRI157" s="1255"/>
      <c r="TRJ157" s="1255"/>
      <c r="TRK157" s="1255"/>
      <c r="TRL157" s="1255"/>
      <c r="TRM157" s="1255"/>
      <c r="TRN157" s="1255"/>
      <c r="TRO157" s="1255"/>
      <c r="TRP157" s="1255"/>
      <c r="TRQ157" s="1255"/>
      <c r="TRR157" s="1255"/>
      <c r="TRS157" s="1255"/>
      <c r="TRT157" s="1255"/>
      <c r="TRU157" s="1255"/>
      <c r="TRV157" s="1255"/>
      <c r="TRW157" s="1255"/>
      <c r="TRX157" s="1255"/>
      <c r="TRY157" s="1255"/>
      <c r="TRZ157" s="1255"/>
      <c r="TSA157" s="1255"/>
      <c r="TSB157" s="1255"/>
      <c r="TSC157" s="1255"/>
      <c r="TSD157" s="1255"/>
      <c r="TSE157" s="1255"/>
      <c r="TSF157" s="1255"/>
      <c r="TSG157" s="1255"/>
      <c r="TSH157" s="1255"/>
      <c r="TSI157" s="1255"/>
      <c r="TSJ157" s="1255"/>
      <c r="TSK157" s="1255"/>
      <c r="TSL157" s="1255"/>
      <c r="TSM157" s="1255"/>
      <c r="TSN157" s="1255"/>
      <c r="TSO157" s="1255"/>
      <c r="TSP157" s="1255"/>
      <c r="TSQ157" s="1255"/>
      <c r="TSR157" s="1255"/>
      <c r="TSS157" s="1255"/>
      <c r="TST157" s="1255"/>
      <c r="TSU157" s="1255"/>
      <c r="TSV157" s="1255"/>
      <c r="TSW157" s="1255"/>
      <c r="TSX157" s="1255"/>
      <c r="TSY157" s="1255"/>
      <c r="TSZ157" s="1255"/>
      <c r="TTA157" s="1255"/>
      <c r="TTB157" s="1255"/>
      <c r="TTC157" s="1255"/>
      <c r="TTD157" s="1255"/>
      <c r="TTE157" s="1255"/>
      <c r="TTF157" s="1255"/>
      <c r="TTG157" s="1255"/>
      <c r="TTH157" s="1255"/>
      <c r="TTI157" s="1255"/>
      <c r="TTJ157" s="1255"/>
      <c r="TTK157" s="1255"/>
      <c r="TTL157" s="1255"/>
      <c r="TTM157" s="1255"/>
      <c r="TTN157" s="1255"/>
      <c r="TTO157" s="1255"/>
      <c r="TTP157" s="1255"/>
      <c r="TTQ157" s="1255"/>
      <c r="TTR157" s="1255"/>
      <c r="TTS157" s="1255"/>
      <c r="TTT157" s="1255"/>
      <c r="TTU157" s="1255"/>
      <c r="TTV157" s="1255"/>
      <c r="TTW157" s="1255"/>
      <c r="TTX157" s="1255"/>
      <c r="TTY157" s="1255"/>
      <c r="TTZ157" s="1255"/>
      <c r="TUA157" s="1255"/>
      <c r="TUB157" s="1255"/>
      <c r="TUC157" s="1255"/>
      <c r="TUD157" s="1255"/>
      <c r="TUE157" s="1255"/>
      <c r="TUF157" s="1255"/>
      <c r="TUG157" s="1255"/>
      <c r="TUH157" s="1255"/>
      <c r="TUI157" s="1255"/>
      <c r="TUJ157" s="1255"/>
      <c r="TUK157" s="1255"/>
      <c r="TUL157" s="1255"/>
      <c r="TUM157" s="1255"/>
      <c r="TUN157" s="1255"/>
      <c r="TUO157" s="1255"/>
      <c r="TUP157" s="1255"/>
      <c r="TUQ157" s="1255"/>
      <c r="TUR157" s="1255"/>
      <c r="TUS157" s="1255"/>
      <c r="TUT157" s="1255"/>
      <c r="TUU157" s="1255"/>
      <c r="TUV157" s="1255"/>
      <c r="TUW157" s="1255"/>
      <c r="TUX157" s="1255"/>
      <c r="TUY157" s="1255"/>
      <c r="TUZ157" s="1255"/>
      <c r="TVA157" s="1255"/>
      <c r="TVB157" s="1255"/>
      <c r="TVC157" s="1255"/>
      <c r="TVD157" s="1255"/>
      <c r="TVE157" s="1255"/>
      <c r="TVF157" s="1255"/>
      <c r="TVG157" s="1255"/>
      <c r="TVH157" s="1255"/>
      <c r="TVI157" s="1255"/>
      <c r="TVJ157" s="1255"/>
      <c r="TVK157" s="1255"/>
      <c r="TVL157" s="1255"/>
      <c r="TVM157" s="1255"/>
      <c r="TVN157" s="1255"/>
      <c r="TVO157" s="1255"/>
      <c r="TVP157" s="1255"/>
      <c r="TVQ157" s="1255"/>
      <c r="TVR157" s="1255"/>
      <c r="TVS157" s="1255"/>
      <c r="TVT157" s="1255"/>
      <c r="TVU157" s="1255"/>
      <c r="TVV157" s="1255"/>
      <c r="TVW157" s="1255"/>
      <c r="TVX157" s="1255"/>
      <c r="TVY157" s="1255"/>
      <c r="TVZ157" s="1255"/>
      <c r="TWA157" s="1255"/>
      <c r="TWB157" s="1255"/>
      <c r="TWC157" s="1255"/>
      <c r="TWD157" s="1255"/>
      <c r="TWE157" s="1255"/>
      <c r="TWF157" s="1255"/>
      <c r="TWG157" s="1255"/>
      <c r="TWH157" s="1255"/>
      <c r="TWI157" s="1255"/>
      <c r="TWJ157" s="1255"/>
      <c r="TWK157" s="1255"/>
      <c r="TWL157" s="1255"/>
      <c r="TWM157" s="1255"/>
      <c r="TWN157" s="1255"/>
      <c r="TWO157" s="1255"/>
      <c r="TWP157" s="1255"/>
      <c r="TWQ157" s="1255"/>
      <c r="TWR157" s="1255"/>
      <c r="TWS157" s="1255"/>
      <c r="TWT157" s="1255"/>
      <c r="TWU157" s="1255"/>
      <c r="TWV157" s="1255"/>
      <c r="TWW157" s="1255"/>
      <c r="TWX157" s="1255"/>
      <c r="TWY157" s="1255"/>
      <c r="TWZ157" s="1255"/>
      <c r="TXA157" s="1255"/>
      <c r="TXB157" s="1255"/>
      <c r="TXC157" s="1255"/>
      <c r="TXD157" s="1255"/>
      <c r="TXE157" s="1255"/>
      <c r="TXF157" s="1255"/>
      <c r="TXG157" s="1255"/>
      <c r="TXH157" s="1255"/>
      <c r="TXI157" s="1255"/>
      <c r="TXJ157" s="1255"/>
      <c r="TXK157" s="1255"/>
      <c r="TXL157" s="1255"/>
      <c r="TXM157" s="1255"/>
      <c r="TXN157" s="1255"/>
      <c r="TXO157" s="1255"/>
      <c r="TXP157" s="1255"/>
      <c r="TXQ157" s="1255"/>
      <c r="TXR157" s="1255"/>
      <c r="TXS157" s="1255"/>
      <c r="TXT157" s="1255"/>
      <c r="TXU157" s="1255"/>
      <c r="TXV157" s="1255"/>
      <c r="TXW157" s="1255"/>
      <c r="TXX157" s="1255"/>
      <c r="TXY157" s="1255"/>
      <c r="TXZ157" s="1255"/>
      <c r="TYA157" s="1255"/>
      <c r="TYB157" s="1255"/>
      <c r="TYC157" s="1255"/>
      <c r="TYD157" s="1255"/>
      <c r="TYE157" s="1255"/>
      <c r="TYF157" s="1255"/>
      <c r="TYG157" s="1255"/>
      <c r="TYH157" s="1255"/>
      <c r="TYI157" s="1255"/>
      <c r="TYJ157" s="1255"/>
      <c r="TYK157" s="1255"/>
      <c r="TYL157" s="1255"/>
      <c r="TYM157" s="1255"/>
      <c r="TYN157" s="1255"/>
      <c r="TYO157" s="1255"/>
      <c r="TYP157" s="1255"/>
      <c r="TYQ157" s="1255"/>
      <c r="TYR157" s="1255"/>
      <c r="TYS157" s="1255"/>
      <c r="TYT157" s="1255"/>
      <c r="TYU157" s="1255"/>
      <c r="TYV157" s="1255"/>
      <c r="TYW157" s="1255"/>
      <c r="TYX157" s="1255"/>
      <c r="TYY157" s="1255"/>
      <c r="TYZ157" s="1255"/>
      <c r="TZA157" s="1255"/>
      <c r="TZB157" s="1255"/>
      <c r="TZC157" s="1255"/>
      <c r="TZD157" s="1255"/>
      <c r="TZE157" s="1255"/>
      <c r="TZF157" s="1255"/>
      <c r="TZG157" s="1255"/>
      <c r="TZH157" s="1255"/>
      <c r="TZI157" s="1255"/>
      <c r="TZJ157" s="1255"/>
      <c r="TZK157" s="1255"/>
      <c r="TZL157" s="1255"/>
      <c r="TZM157" s="1255"/>
      <c r="TZN157" s="1255"/>
      <c r="TZO157" s="1255"/>
      <c r="TZP157" s="1255"/>
      <c r="TZQ157" s="1255"/>
      <c r="TZR157" s="1255"/>
      <c r="TZS157" s="1255"/>
      <c r="TZT157" s="1255"/>
      <c r="TZU157" s="1255"/>
      <c r="TZV157" s="1255"/>
      <c r="TZW157" s="1255"/>
      <c r="TZX157" s="1255"/>
      <c r="TZY157" s="1255"/>
      <c r="TZZ157" s="1255"/>
      <c r="UAA157" s="1255"/>
      <c r="UAB157" s="1255"/>
      <c r="UAC157" s="1255"/>
      <c r="UAD157" s="1255"/>
      <c r="UAE157" s="1255"/>
      <c r="UAF157" s="1255"/>
      <c r="UAG157" s="1255"/>
      <c r="UAH157" s="1255"/>
      <c r="UAI157" s="1255"/>
      <c r="UAJ157" s="1255"/>
      <c r="UAK157" s="1255"/>
      <c r="UAL157" s="1255"/>
      <c r="UAM157" s="1255"/>
      <c r="UAN157" s="1255"/>
      <c r="UAO157" s="1255"/>
      <c r="UAP157" s="1255"/>
      <c r="UAQ157" s="1255"/>
      <c r="UAR157" s="1255"/>
      <c r="UAS157" s="1255"/>
      <c r="UAT157" s="1255"/>
      <c r="UAU157" s="1255"/>
      <c r="UAV157" s="1255"/>
      <c r="UAW157" s="1255"/>
      <c r="UAX157" s="1255"/>
      <c r="UAY157" s="1255"/>
      <c r="UAZ157" s="1255"/>
      <c r="UBA157" s="1255"/>
      <c r="UBB157" s="1255"/>
      <c r="UBC157" s="1255"/>
      <c r="UBD157" s="1255"/>
      <c r="UBE157" s="1255"/>
      <c r="UBF157" s="1255"/>
      <c r="UBG157" s="1255"/>
      <c r="UBH157" s="1255"/>
      <c r="UBI157" s="1255"/>
      <c r="UBJ157" s="1255"/>
      <c r="UBK157" s="1255"/>
      <c r="UBL157" s="1255"/>
      <c r="UBM157" s="1255"/>
      <c r="UBN157" s="1255"/>
      <c r="UBO157" s="1255"/>
      <c r="UBP157" s="1255"/>
      <c r="UBQ157" s="1255"/>
      <c r="UBR157" s="1255"/>
      <c r="UBS157" s="1255"/>
      <c r="UBT157" s="1255"/>
      <c r="UBU157" s="1255"/>
      <c r="UBV157" s="1255"/>
      <c r="UBW157" s="1255"/>
      <c r="UBX157" s="1255"/>
      <c r="UBY157" s="1255"/>
      <c r="UBZ157" s="1255"/>
      <c r="UCA157" s="1255"/>
      <c r="UCB157" s="1255"/>
      <c r="UCC157" s="1255"/>
      <c r="UCD157" s="1255"/>
      <c r="UCE157" s="1255"/>
      <c r="UCF157" s="1255"/>
      <c r="UCG157" s="1255"/>
      <c r="UCH157" s="1255"/>
      <c r="UCI157" s="1255"/>
      <c r="UCJ157" s="1255"/>
      <c r="UCK157" s="1255"/>
      <c r="UCL157" s="1255"/>
      <c r="UCM157" s="1255"/>
      <c r="UCN157" s="1255"/>
      <c r="UCO157" s="1255"/>
      <c r="UCP157" s="1255"/>
      <c r="UCQ157" s="1255"/>
      <c r="UCR157" s="1255"/>
      <c r="UCS157" s="1255"/>
      <c r="UCT157" s="1255"/>
      <c r="UCU157" s="1255"/>
      <c r="UCV157" s="1255"/>
      <c r="UCW157" s="1255"/>
      <c r="UCX157" s="1255"/>
      <c r="UCY157" s="1255"/>
      <c r="UCZ157" s="1255"/>
      <c r="UDA157" s="1255"/>
      <c r="UDB157" s="1255"/>
      <c r="UDC157" s="1255"/>
      <c r="UDD157" s="1255"/>
      <c r="UDE157" s="1255"/>
      <c r="UDF157" s="1255"/>
      <c r="UDG157" s="1255"/>
      <c r="UDH157" s="1255"/>
      <c r="UDI157" s="1255"/>
      <c r="UDJ157" s="1255"/>
      <c r="UDK157" s="1255"/>
      <c r="UDL157" s="1255"/>
      <c r="UDM157" s="1255"/>
      <c r="UDN157" s="1255"/>
      <c r="UDO157" s="1255"/>
      <c r="UDP157" s="1255"/>
      <c r="UDQ157" s="1255"/>
      <c r="UDR157" s="1255"/>
      <c r="UDS157" s="1255"/>
      <c r="UDT157" s="1255"/>
      <c r="UDU157" s="1255"/>
      <c r="UDV157" s="1255"/>
      <c r="UDW157" s="1255"/>
      <c r="UDX157" s="1255"/>
      <c r="UDY157" s="1255"/>
      <c r="UDZ157" s="1255"/>
      <c r="UEA157" s="1255"/>
      <c r="UEB157" s="1255"/>
      <c r="UEC157" s="1255"/>
      <c r="UED157" s="1255"/>
      <c r="UEE157" s="1255"/>
      <c r="UEF157" s="1255"/>
      <c r="UEG157" s="1255"/>
      <c r="UEH157" s="1255"/>
      <c r="UEI157" s="1255"/>
      <c r="UEJ157" s="1255"/>
      <c r="UEK157" s="1255"/>
      <c r="UEL157" s="1255"/>
      <c r="UEM157" s="1255"/>
      <c r="UEN157" s="1255"/>
      <c r="UEO157" s="1255"/>
      <c r="UEP157" s="1255"/>
      <c r="UEQ157" s="1255"/>
      <c r="UER157" s="1255"/>
      <c r="UES157" s="1255"/>
      <c r="UET157" s="1255"/>
      <c r="UEU157" s="1255"/>
      <c r="UEV157" s="1255"/>
      <c r="UEW157" s="1255"/>
      <c r="UEX157" s="1255"/>
      <c r="UEY157" s="1255"/>
      <c r="UEZ157" s="1255"/>
      <c r="UFA157" s="1255"/>
      <c r="UFB157" s="1255"/>
      <c r="UFC157" s="1255"/>
      <c r="UFD157" s="1255"/>
      <c r="UFE157" s="1255"/>
      <c r="UFF157" s="1255"/>
      <c r="UFG157" s="1255"/>
      <c r="UFH157" s="1255"/>
      <c r="UFI157" s="1255"/>
      <c r="UFJ157" s="1255"/>
      <c r="UFK157" s="1255"/>
      <c r="UFL157" s="1255"/>
      <c r="UFM157" s="1255"/>
      <c r="UFN157" s="1255"/>
      <c r="UFO157" s="1255"/>
      <c r="UFP157" s="1255"/>
      <c r="UFQ157" s="1255"/>
      <c r="UFR157" s="1255"/>
      <c r="UFS157" s="1255"/>
      <c r="UFT157" s="1255"/>
      <c r="UFU157" s="1255"/>
      <c r="UFV157" s="1255"/>
      <c r="UFW157" s="1255"/>
      <c r="UFX157" s="1255"/>
      <c r="UFY157" s="1255"/>
      <c r="UFZ157" s="1255"/>
      <c r="UGA157" s="1255"/>
      <c r="UGB157" s="1255"/>
      <c r="UGC157" s="1255"/>
      <c r="UGD157" s="1255"/>
      <c r="UGE157" s="1255"/>
      <c r="UGF157" s="1255"/>
      <c r="UGG157" s="1255"/>
      <c r="UGH157" s="1255"/>
      <c r="UGI157" s="1255"/>
      <c r="UGJ157" s="1255"/>
      <c r="UGK157" s="1255"/>
      <c r="UGL157" s="1255"/>
      <c r="UGM157" s="1255"/>
      <c r="UGN157" s="1255"/>
      <c r="UGO157" s="1255"/>
      <c r="UGP157" s="1255"/>
      <c r="UGQ157" s="1255"/>
      <c r="UGR157" s="1255"/>
      <c r="UGS157" s="1255"/>
      <c r="UGT157" s="1255"/>
      <c r="UGU157" s="1255"/>
      <c r="UGV157" s="1255"/>
      <c r="UGW157" s="1255"/>
      <c r="UGX157" s="1255"/>
      <c r="UGY157" s="1255"/>
      <c r="UGZ157" s="1255"/>
      <c r="UHA157" s="1255"/>
      <c r="UHB157" s="1255"/>
      <c r="UHC157" s="1255"/>
      <c r="UHD157" s="1255"/>
      <c r="UHE157" s="1255"/>
      <c r="UHF157" s="1255"/>
      <c r="UHG157" s="1255"/>
      <c r="UHH157" s="1255"/>
      <c r="UHI157" s="1255"/>
      <c r="UHJ157" s="1255"/>
      <c r="UHK157" s="1255"/>
      <c r="UHL157" s="1255"/>
      <c r="UHM157" s="1255"/>
      <c r="UHN157" s="1255"/>
      <c r="UHO157" s="1255"/>
      <c r="UHP157" s="1255"/>
      <c r="UHQ157" s="1255"/>
      <c r="UHR157" s="1255"/>
      <c r="UHS157" s="1255"/>
      <c r="UHT157" s="1255"/>
      <c r="UHU157" s="1255"/>
      <c r="UHV157" s="1255"/>
      <c r="UHW157" s="1255"/>
      <c r="UHX157" s="1255"/>
      <c r="UHY157" s="1255"/>
      <c r="UHZ157" s="1255"/>
      <c r="UIA157" s="1255"/>
      <c r="UIB157" s="1255"/>
      <c r="UIC157" s="1255"/>
      <c r="UID157" s="1255"/>
      <c r="UIE157" s="1255"/>
      <c r="UIF157" s="1255"/>
      <c r="UIG157" s="1255"/>
      <c r="UIH157" s="1255"/>
      <c r="UII157" s="1255"/>
      <c r="UIJ157" s="1255"/>
      <c r="UIK157" s="1255"/>
      <c r="UIL157" s="1255"/>
      <c r="UIM157" s="1255"/>
      <c r="UIN157" s="1255"/>
      <c r="UIO157" s="1255"/>
      <c r="UIP157" s="1255"/>
      <c r="UIQ157" s="1255"/>
      <c r="UIR157" s="1255"/>
      <c r="UIS157" s="1255"/>
      <c r="UIT157" s="1255"/>
      <c r="UIU157" s="1255"/>
      <c r="UIV157" s="1255"/>
      <c r="UIW157" s="1255"/>
      <c r="UIX157" s="1255"/>
      <c r="UIY157" s="1255"/>
      <c r="UIZ157" s="1255"/>
      <c r="UJA157" s="1255"/>
      <c r="UJB157" s="1255"/>
      <c r="UJC157" s="1255"/>
      <c r="UJD157" s="1255"/>
      <c r="UJE157" s="1255"/>
      <c r="UJF157" s="1255"/>
      <c r="UJG157" s="1255"/>
      <c r="UJH157" s="1255"/>
      <c r="UJI157" s="1255"/>
      <c r="UJJ157" s="1255"/>
      <c r="UJK157" s="1255"/>
      <c r="UJL157" s="1255"/>
      <c r="UJM157" s="1255"/>
      <c r="UJN157" s="1255"/>
      <c r="UJO157" s="1255"/>
      <c r="UJP157" s="1255"/>
      <c r="UJQ157" s="1255"/>
      <c r="UJR157" s="1255"/>
      <c r="UJS157" s="1255"/>
      <c r="UJT157" s="1255"/>
      <c r="UJU157" s="1255"/>
      <c r="UJV157" s="1255"/>
      <c r="UJW157" s="1255"/>
      <c r="UJX157" s="1255"/>
      <c r="UJY157" s="1255"/>
      <c r="UJZ157" s="1255"/>
      <c r="UKA157" s="1255"/>
      <c r="UKB157" s="1255"/>
      <c r="UKC157" s="1255"/>
      <c r="UKD157" s="1255"/>
      <c r="UKE157" s="1255"/>
      <c r="UKF157" s="1255"/>
      <c r="UKG157" s="1255"/>
      <c r="UKH157" s="1255"/>
      <c r="UKI157" s="1255"/>
      <c r="UKJ157" s="1255"/>
      <c r="UKK157" s="1255"/>
      <c r="UKL157" s="1255"/>
      <c r="UKM157" s="1255"/>
      <c r="UKN157" s="1255"/>
      <c r="UKO157" s="1255"/>
      <c r="UKP157" s="1255"/>
      <c r="UKQ157" s="1255"/>
      <c r="UKR157" s="1255"/>
      <c r="UKS157" s="1255"/>
      <c r="UKT157" s="1255"/>
      <c r="UKU157" s="1255"/>
      <c r="UKV157" s="1255"/>
      <c r="UKW157" s="1255"/>
      <c r="UKX157" s="1255"/>
      <c r="UKY157" s="1255"/>
      <c r="UKZ157" s="1255"/>
      <c r="ULA157" s="1255"/>
      <c r="ULB157" s="1255"/>
      <c r="ULC157" s="1255"/>
      <c r="ULD157" s="1255"/>
      <c r="ULE157" s="1255"/>
      <c r="ULF157" s="1255"/>
      <c r="ULG157" s="1255"/>
      <c r="ULH157" s="1255"/>
      <c r="ULI157" s="1255"/>
      <c r="ULJ157" s="1255"/>
      <c r="ULK157" s="1255"/>
      <c r="ULL157" s="1255"/>
      <c r="ULM157" s="1255"/>
      <c r="ULN157" s="1255"/>
      <c r="ULO157" s="1255"/>
      <c r="ULP157" s="1255"/>
      <c r="ULQ157" s="1255"/>
      <c r="ULR157" s="1255"/>
      <c r="ULS157" s="1255"/>
      <c r="ULT157" s="1255"/>
      <c r="ULU157" s="1255"/>
      <c r="ULV157" s="1255"/>
      <c r="ULW157" s="1255"/>
      <c r="ULX157" s="1255"/>
      <c r="ULY157" s="1255"/>
      <c r="ULZ157" s="1255"/>
      <c r="UMA157" s="1255"/>
      <c r="UMB157" s="1255"/>
      <c r="UMC157" s="1255"/>
      <c r="UMD157" s="1255"/>
      <c r="UME157" s="1255"/>
      <c r="UMF157" s="1255"/>
      <c r="UMG157" s="1255"/>
      <c r="UMH157" s="1255"/>
      <c r="UMI157" s="1255"/>
      <c r="UMJ157" s="1255"/>
      <c r="UMK157" s="1255"/>
      <c r="UML157" s="1255"/>
      <c r="UMM157" s="1255"/>
      <c r="UMN157" s="1255"/>
      <c r="UMO157" s="1255"/>
      <c r="UMP157" s="1255"/>
      <c r="UMQ157" s="1255"/>
      <c r="UMR157" s="1255"/>
      <c r="UMS157" s="1255"/>
      <c r="UMT157" s="1255"/>
      <c r="UMU157" s="1255"/>
      <c r="UMV157" s="1255"/>
      <c r="UMW157" s="1255"/>
      <c r="UMX157" s="1255"/>
      <c r="UMY157" s="1255"/>
      <c r="UMZ157" s="1255"/>
      <c r="UNA157" s="1255"/>
      <c r="UNB157" s="1255"/>
      <c r="UNC157" s="1255"/>
      <c r="UND157" s="1255"/>
      <c r="UNE157" s="1255"/>
      <c r="UNF157" s="1255"/>
      <c r="UNG157" s="1255"/>
      <c r="UNH157" s="1255"/>
      <c r="UNI157" s="1255"/>
      <c r="UNJ157" s="1255"/>
      <c r="UNK157" s="1255"/>
      <c r="UNL157" s="1255"/>
      <c r="UNM157" s="1255"/>
      <c r="UNN157" s="1255"/>
      <c r="UNO157" s="1255"/>
      <c r="UNP157" s="1255"/>
      <c r="UNQ157" s="1255"/>
      <c r="UNR157" s="1255"/>
      <c r="UNS157" s="1255"/>
      <c r="UNT157" s="1255"/>
      <c r="UNU157" s="1255"/>
      <c r="UNV157" s="1255"/>
      <c r="UNW157" s="1255"/>
      <c r="UNX157" s="1255"/>
      <c r="UNY157" s="1255"/>
      <c r="UNZ157" s="1255"/>
      <c r="UOA157" s="1255"/>
      <c r="UOB157" s="1255"/>
      <c r="UOC157" s="1255"/>
      <c r="UOD157" s="1255"/>
      <c r="UOE157" s="1255"/>
      <c r="UOF157" s="1255"/>
      <c r="UOG157" s="1255"/>
      <c r="UOH157" s="1255"/>
      <c r="UOI157" s="1255"/>
      <c r="UOJ157" s="1255"/>
      <c r="UOK157" s="1255"/>
      <c r="UOL157" s="1255"/>
      <c r="UOM157" s="1255"/>
      <c r="UON157" s="1255"/>
      <c r="UOO157" s="1255"/>
      <c r="UOP157" s="1255"/>
      <c r="UOQ157" s="1255"/>
      <c r="UOR157" s="1255"/>
      <c r="UOS157" s="1255"/>
      <c r="UOT157" s="1255"/>
      <c r="UOU157" s="1255"/>
      <c r="UOV157" s="1255"/>
      <c r="UOW157" s="1255"/>
      <c r="UOX157" s="1255"/>
      <c r="UOY157" s="1255"/>
      <c r="UOZ157" s="1255"/>
      <c r="UPA157" s="1255"/>
      <c r="UPB157" s="1255"/>
      <c r="UPC157" s="1255"/>
      <c r="UPD157" s="1255"/>
      <c r="UPE157" s="1255"/>
      <c r="UPF157" s="1255"/>
      <c r="UPG157" s="1255"/>
      <c r="UPH157" s="1255"/>
      <c r="UPI157" s="1255"/>
      <c r="UPJ157" s="1255"/>
      <c r="UPK157" s="1255"/>
      <c r="UPL157" s="1255"/>
      <c r="UPM157" s="1255"/>
      <c r="UPN157" s="1255"/>
      <c r="UPO157" s="1255"/>
      <c r="UPP157" s="1255"/>
      <c r="UPQ157" s="1255"/>
      <c r="UPR157" s="1255"/>
      <c r="UPS157" s="1255"/>
      <c r="UPT157" s="1255"/>
      <c r="UPU157" s="1255"/>
      <c r="UPV157" s="1255"/>
      <c r="UPW157" s="1255"/>
      <c r="UPX157" s="1255"/>
      <c r="UPY157" s="1255"/>
      <c r="UPZ157" s="1255"/>
      <c r="UQA157" s="1255"/>
      <c r="UQB157" s="1255"/>
      <c r="UQC157" s="1255"/>
      <c r="UQD157" s="1255"/>
      <c r="UQE157" s="1255"/>
      <c r="UQF157" s="1255"/>
      <c r="UQG157" s="1255"/>
      <c r="UQH157" s="1255"/>
      <c r="UQI157" s="1255"/>
      <c r="UQJ157" s="1255"/>
      <c r="UQK157" s="1255"/>
      <c r="UQL157" s="1255"/>
      <c r="UQM157" s="1255"/>
      <c r="UQN157" s="1255"/>
      <c r="UQO157" s="1255"/>
      <c r="UQP157" s="1255"/>
      <c r="UQQ157" s="1255"/>
      <c r="UQR157" s="1255"/>
      <c r="UQS157" s="1255"/>
      <c r="UQT157" s="1255"/>
      <c r="UQU157" s="1255"/>
      <c r="UQV157" s="1255"/>
      <c r="UQW157" s="1255"/>
      <c r="UQX157" s="1255"/>
      <c r="UQY157" s="1255"/>
      <c r="UQZ157" s="1255"/>
      <c r="URA157" s="1255"/>
      <c r="URB157" s="1255"/>
      <c r="URC157" s="1255"/>
      <c r="URD157" s="1255"/>
      <c r="URE157" s="1255"/>
      <c r="URF157" s="1255"/>
      <c r="URG157" s="1255"/>
      <c r="URH157" s="1255"/>
      <c r="URI157" s="1255"/>
      <c r="URJ157" s="1255"/>
      <c r="URK157" s="1255"/>
      <c r="URL157" s="1255"/>
      <c r="URM157" s="1255"/>
      <c r="URN157" s="1255"/>
      <c r="URO157" s="1255"/>
      <c r="URP157" s="1255"/>
      <c r="URQ157" s="1255"/>
      <c r="URR157" s="1255"/>
      <c r="URS157" s="1255"/>
      <c r="URT157" s="1255"/>
      <c r="URU157" s="1255"/>
      <c r="URV157" s="1255"/>
      <c r="URW157" s="1255"/>
      <c r="URX157" s="1255"/>
      <c r="URY157" s="1255"/>
      <c r="URZ157" s="1255"/>
      <c r="USA157" s="1255"/>
      <c r="USB157" s="1255"/>
      <c r="USC157" s="1255"/>
      <c r="USD157" s="1255"/>
      <c r="USE157" s="1255"/>
      <c r="USF157" s="1255"/>
      <c r="USG157" s="1255"/>
      <c r="USH157" s="1255"/>
      <c r="USI157" s="1255"/>
      <c r="USJ157" s="1255"/>
      <c r="USK157" s="1255"/>
      <c r="USL157" s="1255"/>
      <c r="USM157" s="1255"/>
      <c r="USN157" s="1255"/>
      <c r="USO157" s="1255"/>
      <c r="USP157" s="1255"/>
      <c r="USQ157" s="1255"/>
      <c r="USR157" s="1255"/>
      <c r="USS157" s="1255"/>
      <c r="UST157" s="1255"/>
      <c r="USU157" s="1255"/>
      <c r="USV157" s="1255"/>
      <c r="USW157" s="1255"/>
      <c r="USX157" s="1255"/>
      <c r="USY157" s="1255"/>
      <c r="USZ157" s="1255"/>
      <c r="UTA157" s="1255"/>
      <c r="UTB157" s="1255"/>
      <c r="UTC157" s="1255"/>
      <c r="UTD157" s="1255"/>
      <c r="UTE157" s="1255"/>
      <c r="UTF157" s="1255"/>
      <c r="UTG157" s="1255"/>
      <c r="UTH157" s="1255"/>
      <c r="UTI157" s="1255"/>
      <c r="UTJ157" s="1255"/>
      <c r="UTK157" s="1255"/>
      <c r="UTL157" s="1255"/>
      <c r="UTM157" s="1255"/>
      <c r="UTN157" s="1255"/>
      <c r="UTO157" s="1255"/>
      <c r="UTP157" s="1255"/>
      <c r="UTQ157" s="1255"/>
      <c r="UTR157" s="1255"/>
      <c r="UTS157" s="1255"/>
      <c r="UTT157" s="1255"/>
      <c r="UTU157" s="1255"/>
      <c r="UTV157" s="1255"/>
      <c r="UTW157" s="1255"/>
      <c r="UTX157" s="1255"/>
      <c r="UTY157" s="1255"/>
      <c r="UTZ157" s="1255"/>
      <c r="UUA157" s="1255"/>
      <c r="UUB157" s="1255"/>
      <c r="UUC157" s="1255"/>
      <c r="UUD157" s="1255"/>
      <c r="UUE157" s="1255"/>
      <c r="UUF157" s="1255"/>
      <c r="UUG157" s="1255"/>
      <c r="UUH157" s="1255"/>
      <c r="UUI157" s="1255"/>
      <c r="UUJ157" s="1255"/>
      <c r="UUK157" s="1255"/>
      <c r="UUL157" s="1255"/>
      <c r="UUM157" s="1255"/>
      <c r="UUN157" s="1255"/>
      <c r="UUO157" s="1255"/>
      <c r="UUP157" s="1255"/>
      <c r="UUQ157" s="1255"/>
      <c r="UUR157" s="1255"/>
      <c r="UUS157" s="1255"/>
      <c r="UUT157" s="1255"/>
      <c r="UUU157" s="1255"/>
      <c r="UUV157" s="1255"/>
      <c r="UUW157" s="1255"/>
      <c r="UUX157" s="1255"/>
      <c r="UUY157" s="1255"/>
      <c r="UUZ157" s="1255"/>
      <c r="UVA157" s="1255"/>
      <c r="UVB157" s="1255"/>
      <c r="UVC157" s="1255"/>
      <c r="UVD157" s="1255"/>
      <c r="UVE157" s="1255"/>
      <c r="UVF157" s="1255"/>
      <c r="UVG157" s="1255"/>
      <c r="UVH157" s="1255"/>
      <c r="UVI157" s="1255"/>
      <c r="UVJ157" s="1255"/>
      <c r="UVK157" s="1255"/>
      <c r="UVL157" s="1255"/>
      <c r="UVM157" s="1255"/>
      <c r="UVN157" s="1255"/>
      <c r="UVO157" s="1255"/>
      <c r="UVP157" s="1255"/>
      <c r="UVQ157" s="1255"/>
      <c r="UVR157" s="1255"/>
      <c r="UVS157" s="1255"/>
      <c r="UVT157" s="1255"/>
      <c r="UVU157" s="1255"/>
      <c r="UVV157" s="1255"/>
      <c r="UVW157" s="1255"/>
      <c r="UVX157" s="1255"/>
      <c r="UVY157" s="1255"/>
      <c r="UVZ157" s="1255"/>
      <c r="UWA157" s="1255"/>
      <c r="UWB157" s="1255"/>
      <c r="UWC157" s="1255"/>
      <c r="UWD157" s="1255"/>
      <c r="UWE157" s="1255"/>
      <c r="UWF157" s="1255"/>
      <c r="UWG157" s="1255"/>
      <c r="UWH157" s="1255"/>
      <c r="UWI157" s="1255"/>
      <c r="UWJ157" s="1255"/>
      <c r="UWK157" s="1255"/>
      <c r="UWL157" s="1255"/>
      <c r="UWM157" s="1255"/>
      <c r="UWN157" s="1255"/>
      <c r="UWO157" s="1255"/>
      <c r="UWP157" s="1255"/>
      <c r="UWQ157" s="1255"/>
      <c r="UWR157" s="1255"/>
      <c r="UWS157" s="1255"/>
      <c r="UWT157" s="1255"/>
      <c r="UWU157" s="1255"/>
      <c r="UWV157" s="1255"/>
      <c r="UWW157" s="1255"/>
      <c r="UWX157" s="1255"/>
      <c r="UWY157" s="1255"/>
      <c r="UWZ157" s="1255"/>
      <c r="UXA157" s="1255"/>
      <c r="UXB157" s="1255"/>
      <c r="UXC157" s="1255"/>
      <c r="UXD157" s="1255"/>
      <c r="UXE157" s="1255"/>
      <c r="UXF157" s="1255"/>
      <c r="UXG157" s="1255"/>
      <c r="UXH157" s="1255"/>
      <c r="UXI157" s="1255"/>
      <c r="UXJ157" s="1255"/>
      <c r="UXK157" s="1255"/>
      <c r="UXL157" s="1255"/>
      <c r="UXM157" s="1255"/>
      <c r="UXN157" s="1255"/>
      <c r="UXO157" s="1255"/>
      <c r="UXP157" s="1255"/>
      <c r="UXQ157" s="1255"/>
      <c r="UXR157" s="1255"/>
      <c r="UXS157" s="1255"/>
      <c r="UXT157" s="1255"/>
      <c r="UXU157" s="1255"/>
      <c r="UXV157" s="1255"/>
      <c r="UXW157" s="1255"/>
      <c r="UXX157" s="1255"/>
      <c r="UXY157" s="1255"/>
      <c r="UXZ157" s="1255"/>
      <c r="UYA157" s="1255"/>
      <c r="UYB157" s="1255"/>
      <c r="UYC157" s="1255"/>
      <c r="UYD157" s="1255"/>
      <c r="UYE157" s="1255"/>
      <c r="UYF157" s="1255"/>
      <c r="UYG157" s="1255"/>
      <c r="UYH157" s="1255"/>
      <c r="UYI157" s="1255"/>
      <c r="UYJ157" s="1255"/>
      <c r="UYK157" s="1255"/>
      <c r="UYL157" s="1255"/>
      <c r="UYM157" s="1255"/>
      <c r="UYN157" s="1255"/>
      <c r="UYO157" s="1255"/>
      <c r="UYP157" s="1255"/>
      <c r="UYQ157" s="1255"/>
      <c r="UYR157" s="1255"/>
      <c r="UYS157" s="1255"/>
      <c r="UYT157" s="1255"/>
      <c r="UYU157" s="1255"/>
      <c r="UYV157" s="1255"/>
      <c r="UYW157" s="1255"/>
      <c r="UYX157" s="1255"/>
      <c r="UYY157" s="1255"/>
      <c r="UYZ157" s="1255"/>
      <c r="UZA157" s="1255"/>
      <c r="UZB157" s="1255"/>
      <c r="UZC157" s="1255"/>
      <c r="UZD157" s="1255"/>
      <c r="UZE157" s="1255"/>
      <c r="UZF157" s="1255"/>
      <c r="UZG157" s="1255"/>
      <c r="UZH157" s="1255"/>
      <c r="UZI157" s="1255"/>
      <c r="UZJ157" s="1255"/>
      <c r="UZK157" s="1255"/>
      <c r="UZL157" s="1255"/>
      <c r="UZM157" s="1255"/>
      <c r="UZN157" s="1255"/>
      <c r="UZO157" s="1255"/>
      <c r="UZP157" s="1255"/>
      <c r="UZQ157" s="1255"/>
      <c r="UZR157" s="1255"/>
      <c r="UZS157" s="1255"/>
      <c r="UZT157" s="1255"/>
      <c r="UZU157" s="1255"/>
      <c r="UZV157" s="1255"/>
      <c r="UZW157" s="1255"/>
      <c r="UZX157" s="1255"/>
      <c r="UZY157" s="1255"/>
      <c r="UZZ157" s="1255"/>
      <c r="VAA157" s="1255"/>
      <c r="VAB157" s="1255"/>
      <c r="VAC157" s="1255"/>
      <c r="VAD157" s="1255"/>
      <c r="VAE157" s="1255"/>
      <c r="VAF157" s="1255"/>
      <c r="VAG157" s="1255"/>
      <c r="VAH157" s="1255"/>
      <c r="VAI157" s="1255"/>
      <c r="VAJ157" s="1255"/>
      <c r="VAK157" s="1255"/>
      <c r="VAL157" s="1255"/>
      <c r="VAM157" s="1255"/>
      <c r="VAN157" s="1255"/>
      <c r="VAO157" s="1255"/>
      <c r="VAP157" s="1255"/>
      <c r="VAQ157" s="1255"/>
      <c r="VAR157" s="1255"/>
      <c r="VAS157" s="1255"/>
      <c r="VAT157" s="1255"/>
      <c r="VAU157" s="1255"/>
      <c r="VAV157" s="1255"/>
      <c r="VAW157" s="1255"/>
      <c r="VAX157" s="1255"/>
      <c r="VAY157" s="1255"/>
      <c r="VAZ157" s="1255"/>
      <c r="VBA157" s="1255"/>
      <c r="VBB157" s="1255"/>
      <c r="VBC157" s="1255"/>
      <c r="VBD157" s="1255"/>
      <c r="VBE157" s="1255"/>
      <c r="VBF157" s="1255"/>
      <c r="VBG157" s="1255"/>
      <c r="VBH157" s="1255"/>
      <c r="VBI157" s="1255"/>
      <c r="VBJ157" s="1255"/>
      <c r="VBK157" s="1255"/>
      <c r="VBL157" s="1255"/>
      <c r="VBM157" s="1255"/>
      <c r="VBN157" s="1255"/>
      <c r="VBO157" s="1255"/>
      <c r="VBP157" s="1255"/>
      <c r="VBQ157" s="1255"/>
      <c r="VBR157" s="1255"/>
      <c r="VBS157" s="1255"/>
      <c r="VBT157" s="1255"/>
      <c r="VBU157" s="1255"/>
      <c r="VBV157" s="1255"/>
      <c r="VBW157" s="1255"/>
      <c r="VBX157" s="1255"/>
      <c r="VBY157" s="1255"/>
      <c r="VBZ157" s="1255"/>
      <c r="VCA157" s="1255"/>
      <c r="VCB157" s="1255"/>
      <c r="VCC157" s="1255"/>
      <c r="VCD157" s="1255"/>
      <c r="VCE157" s="1255"/>
      <c r="VCF157" s="1255"/>
      <c r="VCG157" s="1255"/>
      <c r="VCH157" s="1255"/>
      <c r="VCI157" s="1255"/>
      <c r="VCJ157" s="1255"/>
      <c r="VCK157" s="1255"/>
      <c r="VCL157" s="1255"/>
      <c r="VCM157" s="1255"/>
      <c r="VCN157" s="1255"/>
      <c r="VCO157" s="1255"/>
      <c r="VCP157" s="1255"/>
      <c r="VCQ157" s="1255"/>
      <c r="VCR157" s="1255"/>
      <c r="VCS157" s="1255"/>
      <c r="VCT157" s="1255"/>
      <c r="VCU157" s="1255"/>
      <c r="VCV157" s="1255"/>
      <c r="VCW157" s="1255"/>
      <c r="VCX157" s="1255"/>
      <c r="VCY157" s="1255"/>
      <c r="VCZ157" s="1255"/>
      <c r="VDA157" s="1255"/>
      <c r="VDB157" s="1255"/>
      <c r="VDC157" s="1255"/>
      <c r="VDD157" s="1255"/>
      <c r="VDE157" s="1255"/>
      <c r="VDF157" s="1255"/>
      <c r="VDG157" s="1255"/>
      <c r="VDH157" s="1255"/>
      <c r="VDI157" s="1255"/>
      <c r="VDJ157" s="1255"/>
      <c r="VDK157" s="1255"/>
      <c r="VDL157" s="1255"/>
      <c r="VDM157" s="1255"/>
      <c r="VDN157" s="1255"/>
      <c r="VDO157" s="1255"/>
      <c r="VDP157" s="1255"/>
      <c r="VDQ157" s="1255"/>
      <c r="VDR157" s="1255"/>
      <c r="VDS157" s="1255"/>
      <c r="VDT157" s="1255"/>
      <c r="VDU157" s="1255"/>
      <c r="VDV157" s="1255"/>
      <c r="VDW157" s="1255"/>
      <c r="VDX157" s="1255"/>
      <c r="VDY157" s="1255"/>
      <c r="VDZ157" s="1255"/>
      <c r="VEA157" s="1255"/>
      <c r="VEB157" s="1255"/>
      <c r="VEC157" s="1255"/>
      <c r="VED157" s="1255"/>
      <c r="VEE157" s="1255"/>
      <c r="VEF157" s="1255"/>
      <c r="VEG157" s="1255"/>
      <c r="VEH157" s="1255"/>
      <c r="VEI157" s="1255"/>
      <c r="VEJ157" s="1255"/>
      <c r="VEK157" s="1255"/>
      <c r="VEL157" s="1255"/>
      <c r="VEM157" s="1255"/>
      <c r="VEN157" s="1255"/>
      <c r="VEO157" s="1255"/>
      <c r="VEP157" s="1255"/>
      <c r="VEQ157" s="1255"/>
      <c r="VER157" s="1255"/>
      <c r="VES157" s="1255"/>
      <c r="VET157" s="1255"/>
      <c r="VEU157" s="1255"/>
      <c r="VEV157" s="1255"/>
      <c r="VEW157" s="1255"/>
      <c r="VEX157" s="1255"/>
      <c r="VEY157" s="1255"/>
      <c r="VEZ157" s="1255"/>
      <c r="VFA157" s="1255"/>
      <c r="VFB157" s="1255"/>
      <c r="VFC157" s="1255"/>
      <c r="VFD157" s="1255"/>
      <c r="VFE157" s="1255"/>
      <c r="VFF157" s="1255"/>
      <c r="VFG157" s="1255"/>
      <c r="VFH157" s="1255"/>
      <c r="VFI157" s="1255"/>
      <c r="VFJ157" s="1255"/>
      <c r="VFK157" s="1255"/>
      <c r="VFL157" s="1255"/>
      <c r="VFM157" s="1255"/>
      <c r="VFN157" s="1255"/>
      <c r="VFO157" s="1255"/>
      <c r="VFP157" s="1255"/>
      <c r="VFQ157" s="1255"/>
      <c r="VFR157" s="1255"/>
      <c r="VFS157" s="1255"/>
      <c r="VFT157" s="1255"/>
      <c r="VFU157" s="1255"/>
      <c r="VFV157" s="1255"/>
      <c r="VFW157" s="1255"/>
      <c r="VFX157" s="1255"/>
      <c r="VFY157" s="1255"/>
      <c r="VFZ157" s="1255"/>
      <c r="VGA157" s="1255"/>
      <c r="VGB157" s="1255"/>
      <c r="VGC157" s="1255"/>
      <c r="VGD157" s="1255"/>
      <c r="VGE157" s="1255"/>
      <c r="VGF157" s="1255"/>
      <c r="VGG157" s="1255"/>
      <c r="VGH157" s="1255"/>
      <c r="VGI157" s="1255"/>
      <c r="VGJ157" s="1255"/>
      <c r="VGK157" s="1255"/>
      <c r="VGL157" s="1255"/>
      <c r="VGM157" s="1255"/>
      <c r="VGN157" s="1255"/>
      <c r="VGO157" s="1255"/>
      <c r="VGP157" s="1255"/>
      <c r="VGQ157" s="1255"/>
      <c r="VGR157" s="1255"/>
      <c r="VGS157" s="1255"/>
      <c r="VGT157" s="1255"/>
      <c r="VGU157" s="1255"/>
      <c r="VGV157" s="1255"/>
      <c r="VGW157" s="1255"/>
      <c r="VGX157" s="1255"/>
      <c r="VGY157" s="1255"/>
      <c r="VGZ157" s="1255"/>
      <c r="VHA157" s="1255"/>
      <c r="VHB157" s="1255"/>
      <c r="VHC157" s="1255"/>
      <c r="VHD157" s="1255"/>
      <c r="VHE157" s="1255"/>
      <c r="VHF157" s="1255"/>
      <c r="VHG157" s="1255"/>
      <c r="VHH157" s="1255"/>
      <c r="VHI157" s="1255"/>
      <c r="VHJ157" s="1255"/>
      <c r="VHK157" s="1255"/>
      <c r="VHL157" s="1255"/>
      <c r="VHM157" s="1255"/>
      <c r="VHN157" s="1255"/>
      <c r="VHO157" s="1255"/>
      <c r="VHP157" s="1255"/>
      <c r="VHQ157" s="1255"/>
      <c r="VHR157" s="1255"/>
      <c r="VHS157" s="1255"/>
      <c r="VHT157" s="1255"/>
      <c r="VHU157" s="1255"/>
      <c r="VHV157" s="1255"/>
      <c r="VHW157" s="1255"/>
      <c r="VHX157" s="1255"/>
      <c r="VHY157" s="1255"/>
      <c r="VHZ157" s="1255"/>
      <c r="VIA157" s="1255"/>
      <c r="VIB157" s="1255"/>
      <c r="VIC157" s="1255"/>
      <c r="VID157" s="1255"/>
      <c r="VIE157" s="1255"/>
      <c r="VIF157" s="1255"/>
      <c r="VIG157" s="1255"/>
      <c r="VIH157" s="1255"/>
      <c r="VII157" s="1255"/>
      <c r="VIJ157" s="1255"/>
      <c r="VIK157" s="1255"/>
      <c r="VIL157" s="1255"/>
      <c r="VIM157" s="1255"/>
      <c r="VIN157" s="1255"/>
      <c r="VIO157" s="1255"/>
      <c r="VIP157" s="1255"/>
      <c r="VIQ157" s="1255"/>
      <c r="VIR157" s="1255"/>
      <c r="VIS157" s="1255"/>
      <c r="VIT157" s="1255"/>
      <c r="VIU157" s="1255"/>
      <c r="VIV157" s="1255"/>
      <c r="VIW157" s="1255"/>
      <c r="VIX157" s="1255"/>
      <c r="VIY157" s="1255"/>
      <c r="VIZ157" s="1255"/>
      <c r="VJA157" s="1255"/>
      <c r="VJB157" s="1255"/>
      <c r="VJC157" s="1255"/>
      <c r="VJD157" s="1255"/>
      <c r="VJE157" s="1255"/>
      <c r="VJF157" s="1255"/>
      <c r="VJG157" s="1255"/>
      <c r="VJH157" s="1255"/>
      <c r="VJI157" s="1255"/>
      <c r="VJJ157" s="1255"/>
      <c r="VJK157" s="1255"/>
      <c r="VJL157" s="1255"/>
      <c r="VJM157" s="1255"/>
      <c r="VJN157" s="1255"/>
      <c r="VJO157" s="1255"/>
      <c r="VJP157" s="1255"/>
      <c r="VJQ157" s="1255"/>
      <c r="VJR157" s="1255"/>
      <c r="VJS157" s="1255"/>
      <c r="VJT157" s="1255"/>
      <c r="VJU157" s="1255"/>
      <c r="VJV157" s="1255"/>
      <c r="VJW157" s="1255"/>
      <c r="VJX157" s="1255"/>
      <c r="VJY157" s="1255"/>
      <c r="VJZ157" s="1255"/>
      <c r="VKA157" s="1255"/>
      <c r="VKB157" s="1255"/>
      <c r="VKC157" s="1255"/>
      <c r="VKD157" s="1255"/>
      <c r="VKE157" s="1255"/>
      <c r="VKF157" s="1255"/>
      <c r="VKG157" s="1255"/>
      <c r="VKH157" s="1255"/>
      <c r="VKI157" s="1255"/>
      <c r="VKJ157" s="1255"/>
      <c r="VKK157" s="1255"/>
      <c r="VKL157" s="1255"/>
      <c r="VKM157" s="1255"/>
      <c r="VKN157" s="1255"/>
      <c r="VKO157" s="1255"/>
      <c r="VKP157" s="1255"/>
      <c r="VKQ157" s="1255"/>
      <c r="VKR157" s="1255"/>
      <c r="VKS157" s="1255"/>
      <c r="VKT157" s="1255"/>
      <c r="VKU157" s="1255"/>
      <c r="VKV157" s="1255"/>
      <c r="VKW157" s="1255"/>
      <c r="VKX157" s="1255"/>
      <c r="VKY157" s="1255"/>
      <c r="VKZ157" s="1255"/>
      <c r="VLA157" s="1255"/>
      <c r="VLB157" s="1255"/>
      <c r="VLC157" s="1255"/>
      <c r="VLD157" s="1255"/>
      <c r="VLE157" s="1255"/>
      <c r="VLF157" s="1255"/>
      <c r="VLG157" s="1255"/>
      <c r="VLH157" s="1255"/>
      <c r="VLI157" s="1255"/>
      <c r="VLJ157" s="1255"/>
      <c r="VLK157" s="1255"/>
      <c r="VLL157" s="1255"/>
      <c r="VLM157" s="1255"/>
      <c r="VLN157" s="1255"/>
      <c r="VLO157" s="1255"/>
      <c r="VLP157" s="1255"/>
      <c r="VLQ157" s="1255"/>
      <c r="VLR157" s="1255"/>
      <c r="VLS157" s="1255"/>
      <c r="VLT157" s="1255"/>
      <c r="VLU157" s="1255"/>
      <c r="VLV157" s="1255"/>
      <c r="VLW157" s="1255"/>
      <c r="VLX157" s="1255"/>
      <c r="VLY157" s="1255"/>
      <c r="VLZ157" s="1255"/>
      <c r="VMA157" s="1255"/>
      <c r="VMB157" s="1255"/>
      <c r="VMC157" s="1255"/>
      <c r="VMD157" s="1255"/>
      <c r="VME157" s="1255"/>
      <c r="VMF157" s="1255"/>
      <c r="VMG157" s="1255"/>
      <c r="VMH157" s="1255"/>
      <c r="VMI157" s="1255"/>
      <c r="VMJ157" s="1255"/>
      <c r="VMK157" s="1255"/>
      <c r="VML157" s="1255"/>
      <c r="VMM157" s="1255"/>
      <c r="VMN157" s="1255"/>
      <c r="VMO157" s="1255"/>
      <c r="VMP157" s="1255"/>
      <c r="VMQ157" s="1255"/>
      <c r="VMR157" s="1255"/>
      <c r="VMS157" s="1255"/>
      <c r="VMT157" s="1255"/>
      <c r="VMU157" s="1255"/>
      <c r="VMV157" s="1255"/>
      <c r="VMW157" s="1255"/>
      <c r="VMX157" s="1255"/>
      <c r="VMY157" s="1255"/>
      <c r="VMZ157" s="1255"/>
      <c r="VNA157" s="1255"/>
      <c r="VNB157" s="1255"/>
      <c r="VNC157" s="1255"/>
      <c r="VND157" s="1255"/>
      <c r="VNE157" s="1255"/>
      <c r="VNF157" s="1255"/>
      <c r="VNG157" s="1255"/>
      <c r="VNH157" s="1255"/>
      <c r="VNI157" s="1255"/>
      <c r="VNJ157" s="1255"/>
      <c r="VNK157" s="1255"/>
      <c r="VNL157" s="1255"/>
      <c r="VNM157" s="1255"/>
      <c r="VNN157" s="1255"/>
      <c r="VNO157" s="1255"/>
      <c r="VNP157" s="1255"/>
      <c r="VNQ157" s="1255"/>
      <c r="VNR157" s="1255"/>
      <c r="VNS157" s="1255"/>
      <c r="VNT157" s="1255"/>
      <c r="VNU157" s="1255"/>
      <c r="VNV157" s="1255"/>
      <c r="VNW157" s="1255"/>
      <c r="VNX157" s="1255"/>
      <c r="VNY157" s="1255"/>
      <c r="VNZ157" s="1255"/>
      <c r="VOA157" s="1255"/>
      <c r="VOB157" s="1255"/>
      <c r="VOC157" s="1255"/>
      <c r="VOD157" s="1255"/>
      <c r="VOE157" s="1255"/>
      <c r="VOF157" s="1255"/>
      <c r="VOG157" s="1255"/>
      <c r="VOH157" s="1255"/>
      <c r="VOI157" s="1255"/>
      <c r="VOJ157" s="1255"/>
      <c r="VOK157" s="1255"/>
      <c r="VOL157" s="1255"/>
      <c r="VOM157" s="1255"/>
      <c r="VON157" s="1255"/>
      <c r="VOO157" s="1255"/>
      <c r="VOP157" s="1255"/>
      <c r="VOQ157" s="1255"/>
      <c r="VOR157" s="1255"/>
      <c r="VOS157" s="1255"/>
      <c r="VOT157" s="1255"/>
      <c r="VOU157" s="1255"/>
      <c r="VOV157" s="1255"/>
      <c r="VOW157" s="1255"/>
      <c r="VOX157" s="1255"/>
      <c r="VOY157" s="1255"/>
      <c r="VOZ157" s="1255"/>
      <c r="VPA157" s="1255"/>
      <c r="VPB157" s="1255"/>
      <c r="VPC157" s="1255"/>
      <c r="VPD157" s="1255"/>
      <c r="VPE157" s="1255"/>
      <c r="VPF157" s="1255"/>
      <c r="VPG157" s="1255"/>
      <c r="VPH157" s="1255"/>
      <c r="VPI157" s="1255"/>
      <c r="VPJ157" s="1255"/>
      <c r="VPK157" s="1255"/>
      <c r="VPL157" s="1255"/>
      <c r="VPM157" s="1255"/>
      <c r="VPN157" s="1255"/>
      <c r="VPO157" s="1255"/>
      <c r="VPP157" s="1255"/>
      <c r="VPQ157" s="1255"/>
      <c r="VPR157" s="1255"/>
      <c r="VPS157" s="1255"/>
      <c r="VPT157" s="1255"/>
      <c r="VPU157" s="1255"/>
      <c r="VPV157" s="1255"/>
      <c r="VPW157" s="1255"/>
      <c r="VPX157" s="1255"/>
      <c r="VPY157" s="1255"/>
      <c r="VPZ157" s="1255"/>
      <c r="VQA157" s="1255"/>
      <c r="VQB157" s="1255"/>
      <c r="VQC157" s="1255"/>
      <c r="VQD157" s="1255"/>
      <c r="VQE157" s="1255"/>
      <c r="VQF157" s="1255"/>
      <c r="VQG157" s="1255"/>
      <c r="VQH157" s="1255"/>
      <c r="VQI157" s="1255"/>
      <c r="VQJ157" s="1255"/>
      <c r="VQK157" s="1255"/>
      <c r="VQL157" s="1255"/>
      <c r="VQM157" s="1255"/>
      <c r="VQN157" s="1255"/>
      <c r="VQO157" s="1255"/>
      <c r="VQP157" s="1255"/>
      <c r="VQQ157" s="1255"/>
      <c r="VQR157" s="1255"/>
      <c r="VQS157" s="1255"/>
      <c r="VQT157" s="1255"/>
      <c r="VQU157" s="1255"/>
      <c r="VQV157" s="1255"/>
      <c r="VQW157" s="1255"/>
      <c r="VQX157" s="1255"/>
      <c r="VQY157" s="1255"/>
      <c r="VQZ157" s="1255"/>
      <c r="VRA157" s="1255"/>
      <c r="VRB157" s="1255"/>
      <c r="VRC157" s="1255"/>
      <c r="VRD157" s="1255"/>
      <c r="VRE157" s="1255"/>
      <c r="VRF157" s="1255"/>
      <c r="VRG157" s="1255"/>
      <c r="VRH157" s="1255"/>
      <c r="VRI157" s="1255"/>
      <c r="VRJ157" s="1255"/>
      <c r="VRK157" s="1255"/>
      <c r="VRL157" s="1255"/>
      <c r="VRM157" s="1255"/>
      <c r="VRN157" s="1255"/>
      <c r="VRO157" s="1255"/>
      <c r="VRP157" s="1255"/>
      <c r="VRQ157" s="1255"/>
      <c r="VRR157" s="1255"/>
      <c r="VRS157" s="1255"/>
      <c r="VRT157" s="1255"/>
      <c r="VRU157" s="1255"/>
      <c r="VRV157" s="1255"/>
      <c r="VRW157" s="1255"/>
      <c r="VRX157" s="1255"/>
      <c r="VRY157" s="1255"/>
      <c r="VRZ157" s="1255"/>
      <c r="VSA157" s="1255"/>
      <c r="VSB157" s="1255"/>
      <c r="VSC157" s="1255"/>
      <c r="VSD157" s="1255"/>
      <c r="VSE157" s="1255"/>
      <c r="VSF157" s="1255"/>
      <c r="VSG157" s="1255"/>
      <c r="VSH157" s="1255"/>
      <c r="VSI157" s="1255"/>
      <c r="VSJ157" s="1255"/>
      <c r="VSK157" s="1255"/>
      <c r="VSL157" s="1255"/>
      <c r="VSM157" s="1255"/>
      <c r="VSN157" s="1255"/>
      <c r="VSO157" s="1255"/>
      <c r="VSP157" s="1255"/>
      <c r="VSQ157" s="1255"/>
      <c r="VSR157" s="1255"/>
      <c r="VSS157" s="1255"/>
      <c r="VST157" s="1255"/>
      <c r="VSU157" s="1255"/>
      <c r="VSV157" s="1255"/>
      <c r="VSW157" s="1255"/>
      <c r="VSX157" s="1255"/>
      <c r="VSY157" s="1255"/>
      <c r="VSZ157" s="1255"/>
      <c r="VTA157" s="1255"/>
      <c r="VTB157" s="1255"/>
      <c r="VTC157" s="1255"/>
      <c r="VTD157" s="1255"/>
      <c r="VTE157" s="1255"/>
      <c r="VTF157" s="1255"/>
      <c r="VTG157" s="1255"/>
      <c r="VTH157" s="1255"/>
      <c r="VTI157" s="1255"/>
      <c r="VTJ157" s="1255"/>
      <c r="VTK157" s="1255"/>
      <c r="VTL157" s="1255"/>
      <c r="VTM157" s="1255"/>
      <c r="VTN157" s="1255"/>
      <c r="VTO157" s="1255"/>
      <c r="VTP157" s="1255"/>
      <c r="VTQ157" s="1255"/>
      <c r="VTR157" s="1255"/>
      <c r="VTS157" s="1255"/>
      <c r="VTT157" s="1255"/>
      <c r="VTU157" s="1255"/>
      <c r="VTV157" s="1255"/>
      <c r="VTW157" s="1255"/>
      <c r="VTX157" s="1255"/>
      <c r="VTY157" s="1255"/>
      <c r="VTZ157" s="1255"/>
      <c r="VUA157" s="1255"/>
      <c r="VUB157" s="1255"/>
      <c r="VUC157" s="1255"/>
      <c r="VUD157" s="1255"/>
      <c r="VUE157" s="1255"/>
      <c r="VUF157" s="1255"/>
      <c r="VUG157" s="1255"/>
      <c r="VUH157" s="1255"/>
      <c r="VUI157" s="1255"/>
      <c r="VUJ157" s="1255"/>
      <c r="VUK157" s="1255"/>
      <c r="VUL157" s="1255"/>
      <c r="VUM157" s="1255"/>
      <c r="VUN157" s="1255"/>
      <c r="VUO157" s="1255"/>
      <c r="VUP157" s="1255"/>
      <c r="VUQ157" s="1255"/>
      <c r="VUR157" s="1255"/>
      <c r="VUS157" s="1255"/>
      <c r="VUT157" s="1255"/>
      <c r="VUU157" s="1255"/>
      <c r="VUV157" s="1255"/>
      <c r="VUW157" s="1255"/>
      <c r="VUX157" s="1255"/>
      <c r="VUY157" s="1255"/>
      <c r="VUZ157" s="1255"/>
      <c r="VVA157" s="1255"/>
      <c r="VVB157" s="1255"/>
      <c r="VVC157" s="1255"/>
      <c r="VVD157" s="1255"/>
      <c r="VVE157" s="1255"/>
      <c r="VVF157" s="1255"/>
      <c r="VVG157" s="1255"/>
      <c r="VVH157" s="1255"/>
      <c r="VVI157" s="1255"/>
      <c r="VVJ157" s="1255"/>
      <c r="VVK157" s="1255"/>
      <c r="VVL157" s="1255"/>
      <c r="VVM157" s="1255"/>
      <c r="VVN157" s="1255"/>
      <c r="VVO157" s="1255"/>
      <c r="VVP157" s="1255"/>
      <c r="VVQ157" s="1255"/>
      <c r="VVR157" s="1255"/>
      <c r="VVS157" s="1255"/>
      <c r="VVT157" s="1255"/>
      <c r="VVU157" s="1255"/>
      <c r="VVV157" s="1255"/>
      <c r="VVW157" s="1255"/>
      <c r="VVX157" s="1255"/>
      <c r="VVY157" s="1255"/>
      <c r="VVZ157" s="1255"/>
      <c r="VWA157" s="1255"/>
      <c r="VWB157" s="1255"/>
      <c r="VWC157" s="1255"/>
      <c r="VWD157" s="1255"/>
      <c r="VWE157" s="1255"/>
      <c r="VWF157" s="1255"/>
      <c r="VWG157" s="1255"/>
      <c r="VWH157" s="1255"/>
      <c r="VWI157" s="1255"/>
      <c r="VWJ157" s="1255"/>
      <c r="VWK157" s="1255"/>
      <c r="VWL157" s="1255"/>
      <c r="VWM157" s="1255"/>
      <c r="VWN157" s="1255"/>
      <c r="VWO157" s="1255"/>
      <c r="VWP157" s="1255"/>
      <c r="VWQ157" s="1255"/>
      <c r="VWR157" s="1255"/>
      <c r="VWS157" s="1255"/>
      <c r="VWT157" s="1255"/>
      <c r="VWU157" s="1255"/>
      <c r="VWV157" s="1255"/>
      <c r="VWW157" s="1255"/>
      <c r="VWX157" s="1255"/>
      <c r="VWY157" s="1255"/>
      <c r="VWZ157" s="1255"/>
      <c r="VXA157" s="1255"/>
      <c r="VXB157" s="1255"/>
      <c r="VXC157" s="1255"/>
      <c r="VXD157" s="1255"/>
      <c r="VXE157" s="1255"/>
      <c r="VXF157" s="1255"/>
      <c r="VXG157" s="1255"/>
      <c r="VXH157" s="1255"/>
      <c r="VXI157" s="1255"/>
      <c r="VXJ157" s="1255"/>
      <c r="VXK157" s="1255"/>
      <c r="VXL157" s="1255"/>
      <c r="VXM157" s="1255"/>
      <c r="VXN157" s="1255"/>
      <c r="VXO157" s="1255"/>
      <c r="VXP157" s="1255"/>
      <c r="VXQ157" s="1255"/>
      <c r="VXR157" s="1255"/>
      <c r="VXS157" s="1255"/>
      <c r="VXT157" s="1255"/>
      <c r="VXU157" s="1255"/>
      <c r="VXV157" s="1255"/>
      <c r="VXW157" s="1255"/>
      <c r="VXX157" s="1255"/>
      <c r="VXY157" s="1255"/>
      <c r="VXZ157" s="1255"/>
      <c r="VYA157" s="1255"/>
      <c r="VYB157" s="1255"/>
      <c r="VYC157" s="1255"/>
      <c r="VYD157" s="1255"/>
      <c r="VYE157" s="1255"/>
      <c r="VYF157" s="1255"/>
      <c r="VYG157" s="1255"/>
      <c r="VYH157" s="1255"/>
      <c r="VYI157" s="1255"/>
      <c r="VYJ157" s="1255"/>
      <c r="VYK157" s="1255"/>
      <c r="VYL157" s="1255"/>
      <c r="VYM157" s="1255"/>
      <c r="VYN157" s="1255"/>
      <c r="VYO157" s="1255"/>
      <c r="VYP157" s="1255"/>
      <c r="VYQ157" s="1255"/>
      <c r="VYR157" s="1255"/>
      <c r="VYS157" s="1255"/>
      <c r="VYT157" s="1255"/>
      <c r="VYU157" s="1255"/>
      <c r="VYV157" s="1255"/>
      <c r="VYW157" s="1255"/>
      <c r="VYX157" s="1255"/>
      <c r="VYY157" s="1255"/>
      <c r="VYZ157" s="1255"/>
      <c r="VZA157" s="1255"/>
      <c r="VZB157" s="1255"/>
      <c r="VZC157" s="1255"/>
      <c r="VZD157" s="1255"/>
      <c r="VZE157" s="1255"/>
      <c r="VZF157" s="1255"/>
      <c r="VZG157" s="1255"/>
      <c r="VZH157" s="1255"/>
      <c r="VZI157" s="1255"/>
      <c r="VZJ157" s="1255"/>
      <c r="VZK157" s="1255"/>
      <c r="VZL157" s="1255"/>
      <c r="VZM157" s="1255"/>
      <c r="VZN157" s="1255"/>
      <c r="VZO157" s="1255"/>
      <c r="VZP157" s="1255"/>
      <c r="VZQ157" s="1255"/>
      <c r="VZR157" s="1255"/>
      <c r="VZS157" s="1255"/>
      <c r="VZT157" s="1255"/>
      <c r="VZU157" s="1255"/>
      <c r="VZV157" s="1255"/>
      <c r="VZW157" s="1255"/>
      <c r="VZX157" s="1255"/>
      <c r="VZY157" s="1255"/>
      <c r="VZZ157" s="1255"/>
      <c r="WAA157" s="1255"/>
      <c r="WAB157" s="1255"/>
      <c r="WAC157" s="1255"/>
      <c r="WAD157" s="1255"/>
      <c r="WAE157" s="1255"/>
      <c r="WAF157" s="1255"/>
      <c r="WAG157" s="1255"/>
      <c r="WAH157" s="1255"/>
      <c r="WAI157" s="1255"/>
      <c r="WAJ157" s="1255"/>
      <c r="WAK157" s="1255"/>
      <c r="WAL157" s="1255"/>
      <c r="WAM157" s="1255"/>
      <c r="WAN157" s="1255"/>
      <c r="WAO157" s="1255"/>
      <c r="WAP157" s="1255"/>
      <c r="WAQ157" s="1255"/>
      <c r="WAR157" s="1255"/>
      <c r="WAS157" s="1255"/>
      <c r="WAT157" s="1255"/>
      <c r="WAU157" s="1255"/>
      <c r="WAV157" s="1255"/>
      <c r="WAW157" s="1255"/>
      <c r="WAX157" s="1255"/>
      <c r="WAY157" s="1255"/>
      <c r="WAZ157" s="1255"/>
      <c r="WBA157" s="1255"/>
      <c r="WBB157" s="1255"/>
      <c r="WBC157" s="1255"/>
      <c r="WBD157" s="1255"/>
      <c r="WBE157" s="1255"/>
      <c r="WBF157" s="1255"/>
      <c r="WBG157" s="1255"/>
      <c r="WBH157" s="1255"/>
      <c r="WBI157" s="1255"/>
      <c r="WBJ157" s="1255"/>
      <c r="WBK157" s="1255"/>
      <c r="WBL157" s="1255"/>
      <c r="WBM157" s="1255"/>
      <c r="WBN157" s="1255"/>
      <c r="WBO157" s="1255"/>
      <c r="WBP157" s="1255"/>
      <c r="WBQ157" s="1255"/>
      <c r="WBR157" s="1255"/>
      <c r="WBS157" s="1255"/>
      <c r="WBT157" s="1255"/>
      <c r="WBU157" s="1255"/>
      <c r="WBV157" s="1255"/>
      <c r="WBW157" s="1255"/>
      <c r="WBX157" s="1255"/>
      <c r="WBY157" s="1255"/>
      <c r="WBZ157" s="1255"/>
      <c r="WCA157" s="1255"/>
      <c r="WCB157" s="1255"/>
      <c r="WCC157" s="1255"/>
      <c r="WCD157" s="1255"/>
      <c r="WCE157" s="1255"/>
      <c r="WCF157" s="1255"/>
      <c r="WCG157" s="1255"/>
      <c r="WCH157" s="1255"/>
      <c r="WCI157" s="1255"/>
      <c r="WCJ157" s="1255"/>
      <c r="WCK157" s="1255"/>
      <c r="WCL157" s="1255"/>
      <c r="WCM157" s="1255"/>
      <c r="WCN157" s="1255"/>
      <c r="WCO157" s="1255"/>
      <c r="WCP157" s="1255"/>
      <c r="WCQ157" s="1255"/>
      <c r="WCR157" s="1255"/>
      <c r="WCS157" s="1255"/>
      <c r="WCT157" s="1255"/>
      <c r="WCU157" s="1255"/>
      <c r="WCV157" s="1255"/>
      <c r="WCW157" s="1255"/>
      <c r="WCX157" s="1255"/>
      <c r="WCY157" s="1255"/>
      <c r="WCZ157" s="1255"/>
      <c r="WDA157" s="1255"/>
      <c r="WDB157" s="1255"/>
      <c r="WDC157" s="1255"/>
      <c r="WDD157" s="1255"/>
      <c r="WDE157" s="1255"/>
      <c r="WDF157" s="1255"/>
      <c r="WDG157" s="1255"/>
      <c r="WDH157" s="1255"/>
      <c r="WDI157" s="1255"/>
      <c r="WDJ157" s="1255"/>
      <c r="WDK157" s="1255"/>
      <c r="WDL157" s="1255"/>
      <c r="WDM157" s="1255"/>
      <c r="WDN157" s="1255"/>
      <c r="WDO157" s="1255"/>
      <c r="WDP157" s="1255"/>
      <c r="WDQ157" s="1255"/>
      <c r="WDR157" s="1255"/>
      <c r="WDS157" s="1255"/>
      <c r="WDT157" s="1255"/>
      <c r="WDU157" s="1255"/>
      <c r="WDV157" s="1255"/>
      <c r="WDW157" s="1255"/>
      <c r="WDX157" s="1255"/>
      <c r="WDY157" s="1255"/>
      <c r="WDZ157" s="1255"/>
      <c r="WEA157" s="1255"/>
      <c r="WEB157" s="1255"/>
      <c r="WEC157" s="1255"/>
      <c r="WED157" s="1255"/>
      <c r="WEE157" s="1255"/>
      <c r="WEF157" s="1255"/>
      <c r="WEG157" s="1255"/>
      <c r="WEH157" s="1255"/>
      <c r="WEI157" s="1255"/>
      <c r="WEJ157" s="1255"/>
      <c r="WEK157" s="1255"/>
      <c r="WEL157" s="1255"/>
      <c r="WEM157" s="1255"/>
      <c r="WEN157" s="1255"/>
      <c r="WEO157" s="1255"/>
      <c r="WEP157" s="1255"/>
      <c r="WEQ157" s="1255"/>
      <c r="WER157" s="1255"/>
      <c r="WES157" s="1255"/>
      <c r="WET157" s="1255"/>
      <c r="WEU157" s="1255"/>
      <c r="WEV157" s="1255"/>
      <c r="WEW157" s="1255"/>
      <c r="WEX157" s="1255"/>
      <c r="WEY157" s="1255"/>
      <c r="WEZ157" s="1255"/>
      <c r="WFA157" s="1255"/>
      <c r="WFB157" s="1255"/>
      <c r="WFC157" s="1255"/>
      <c r="WFD157" s="1255"/>
      <c r="WFE157" s="1255"/>
      <c r="WFF157" s="1255"/>
      <c r="WFG157" s="1255"/>
      <c r="WFH157" s="1255"/>
      <c r="WFI157" s="1255"/>
      <c r="WFJ157" s="1255"/>
      <c r="WFK157" s="1255"/>
      <c r="WFL157" s="1255"/>
      <c r="WFM157" s="1255"/>
      <c r="WFN157" s="1255"/>
      <c r="WFO157" s="1255"/>
      <c r="WFP157" s="1255"/>
      <c r="WFQ157" s="1255"/>
      <c r="WFR157" s="1255"/>
      <c r="WFS157" s="1255"/>
      <c r="WFT157" s="1255"/>
      <c r="WFU157" s="1255"/>
      <c r="WFV157" s="1255"/>
      <c r="WFW157" s="1255"/>
      <c r="WFX157" s="1255"/>
      <c r="WFY157" s="1255"/>
      <c r="WFZ157" s="1255"/>
      <c r="WGA157" s="1255"/>
      <c r="WGB157" s="1255"/>
      <c r="WGC157" s="1255"/>
      <c r="WGD157" s="1255"/>
      <c r="WGE157" s="1255"/>
      <c r="WGF157" s="1255"/>
      <c r="WGG157" s="1255"/>
      <c r="WGH157" s="1255"/>
      <c r="WGI157" s="1255"/>
      <c r="WGJ157" s="1255"/>
      <c r="WGK157" s="1255"/>
      <c r="WGL157" s="1255"/>
      <c r="WGM157" s="1255"/>
      <c r="WGN157" s="1255"/>
      <c r="WGO157" s="1255"/>
      <c r="WGP157" s="1255"/>
      <c r="WGQ157" s="1255"/>
      <c r="WGR157" s="1255"/>
      <c r="WGS157" s="1255"/>
      <c r="WGT157" s="1255"/>
      <c r="WGU157" s="1255"/>
      <c r="WGV157" s="1255"/>
      <c r="WGW157" s="1255"/>
      <c r="WGX157" s="1255"/>
      <c r="WGY157" s="1255"/>
      <c r="WGZ157" s="1255"/>
      <c r="WHA157" s="1255"/>
      <c r="WHB157" s="1255"/>
      <c r="WHC157" s="1255"/>
      <c r="WHD157" s="1255"/>
      <c r="WHE157" s="1255"/>
      <c r="WHF157" s="1255"/>
      <c r="WHG157" s="1255"/>
      <c r="WHH157" s="1255"/>
      <c r="WHI157" s="1255"/>
      <c r="WHJ157" s="1255"/>
      <c r="WHK157" s="1255"/>
      <c r="WHL157" s="1255"/>
      <c r="WHM157" s="1255"/>
      <c r="WHN157" s="1255"/>
      <c r="WHO157" s="1255"/>
      <c r="WHP157" s="1255"/>
      <c r="WHQ157" s="1255"/>
      <c r="WHR157" s="1255"/>
      <c r="WHS157" s="1255"/>
      <c r="WHT157" s="1255"/>
      <c r="WHU157" s="1255"/>
      <c r="WHV157" s="1255"/>
      <c r="WHW157" s="1255"/>
      <c r="WHX157" s="1255"/>
      <c r="WHY157" s="1255"/>
      <c r="WHZ157" s="1255"/>
      <c r="WIA157" s="1255"/>
      <c r="WIB157" s="1255"/>
      <c r="WIC157" s="1255"/>
      <c r="WID157" s="1255"/>
      <c r="WIE157" s="1255"/>
      <c r="WIF157" s="1255"/>
      <c r="WIG157" s="1255"/>
      <c r="WIH157" s="1255"/>
      <c r="WII157" s="1255"/>
      <c r="WIJ157" s="1255"/>
      <c r="WIK157" s="1255"/>
      <c r="WIL157" s="1255"/>
      <c r="WIM157" s="1255"/>
      <c r="WIN157" s="1255"/>
      <c r="WIO157" s="1255"/>
      <c r="WIP157" s="1255"/>
      <c r="WIQ157" s="1255"/>
      <c r="WIR157" s="1255"/>
      <c r="WIS157" s="1255"/>
      <c r="WIT157" s="1255"/>
      <c r="WIU157" s="1255"/>
      <c r="WIV157" s="1255"/>
      <c r="WIW157" s="1255"/>
      <c r="WIX157" s="1255"/>
      <c r="WIY157" s="1255"/>
      <c r="WIZ157" s="1255"/>
      <c r="WJA157" s="1255"/>
      <c r="WJB157" s="1255"/>
      <c r="WJC157" s="1255"/>
      <c r="WJD157" s="1255"/>
      <c r="WJE157" s="1255"/>
      <c r="WJF157" s="1255"/>
      <c r="WJG157" s="1255"/>
      <c r="WJH157" s="1255"/>
      <c r="WJI157" s="1255"/>
      <c r="WJJ157" s="1255"/>
      <c r="WJK157" s="1255"/>
      <c r="WJL157" s="1255"/>
      <c r="WJM157" s="1255"/>
      <c r="WJN157" s="1255"/>
      <c r="WJO157" s="1255"/>
      <c r="WJP157" s="1255"/>
      <c r="WJQ157" s="1255"/>
      <c r="WJR157" s="1255"/>
      <c r="WJS157" s="1255"/>
      <c r="WJT157" s="1255"/>
      <c r="WJU157" s="1255"/>
      <c r="WJV157" s="1255"/>
      <c r="WJW157" s="1255"/>
      <c r="WJX157" s="1255"/>
      <c r="WJY157" s="1255"/>
      <c r="WJZ157" s="1255"/>
      <c r="WKA157" s="1255"/>
      <c r="WKB157" s="1255"/>
      <c r="WKC157" s="1255"/>
      <c r="WKD157" s="1255"/>
      <c r="WKE157" s="1255"/>
      <c r="WKF157" s="1255"/>
      <c r="WKG157" s="1255"/>
      <c r="WKH157" s="1255"/>
      <c r="WKI157" s="1255"/>
      <c r="WKJ157" s="1255"/>
      <c r="WKK157" s="1255"/>
      <c r="WKL157" s="1255"/>
      <c r="WKM157" s="1255"/>
      <c r="WKN157" s="1255"/>
      <c r="WKO157" s="1255"/>
      <c r="WKP157" s="1255"/>
      <c r="WKQ157" s="1255"/>
      <c r="WKR157" s="1255"/>
      <c r="WKS157" s="1255"/>
      <c r="WKT157" s="1255"/>
      <c r="WKU157" s="1255"/>
      <c r="WKV157" s="1255"/>
      <c r="WKW157" s="1255"/>
      <c r="WKX157" s="1255"/>
      <c r="WKY157" s="1255"/>
      <c r="WKZ157" s="1255"/>
      <c r="WLA157" s="1255"/>
      <c r="WLB157" s="1255"/>
      <c r="WLC157" s="1255"/>
      <c r="WLD157" s="1255"/>
      <c r="WLE157" s="1255"/>
      <c r="WLF157" s="1255"/>
      <c r="WLG157" s="1255"/>
      <c r="WLH157" s="1255"/>
      <c r="WLI157" s="1255"/>
      <c r="WLJ157" s="1255"/>
      <c r="WLK157" s="1255"/>
      <c r="WLL157" s="1255"/>
      <c r="WLM157" s="1255"/>
      <c r="WLN157" s="1255"/>
      <c r="WLO157" s="1255"/>
      <c r="WLP157" s="1255"/>
      <c r="WLQ157" s="1255"/>
      <c r="WLR157" s="1255"/>
      <c r="WLS157" s="1255"/>
      <c r="WLT157" s="1255"/>
      <c r="WLU157" s="1255"/>
      <c r="WLV157" s="1255"/>
      <c r="WLW157" s="1255"/>
      <c r="WLX157" s="1255"/>
      <c r="WLY157" s="1255"/>
      <c r="WLZ157" s="1255"/>
      <c r="WMA157" s="1255"/>
      <c r="WMB157" s="1255"/>
      <c r="WMC157" s="1255"/>
      <c r="WMD157" s="1255"/>
      <c r="WME157" s="1255"/>
      <c r="WMF157" s="1255"/>
      <c r="WMG157" s="1255"/>
      <c r="WMH157" s="1255"/>
      <c r="WMI157" s="1255"/>
      <c r="WMJ157" s="1255"/>
      <c r="WMK157" s="1255"/>
      <c r="WML157" s="1255"/>
      <c r="WMM157" s="1255"/>
      <c r="WMN157" s="1255"/>
      <c r="WMO157" s="1255"/>
      <c r="WMP157" s="1255"/>
      <c r="WMQ157" s="1255"/>
      <c r="WMR157" s="1255"/>
      <c r="WMS157" s="1255"/>
      <c r="WMT157" s="1255"/>
      <c r="WMU157" s="1255"/>
      <c r="WMV157" s="1255"/>
      <c r="WMW157" s="1255"/>
      <c r="WMX157" s="1255"/>
      <c r="WMY157" s="1255"/>
      <c r="WMZ157" s="1255"/>
      <c r="WNA157" s="1255"/>
      <c r="WNB157" s="1255"/>
      <c r="WNC157" s="1255"/>
      <c r="WND157" s="1255"/>
      <c r="WNE157" s="1255"/>
      <c r="WNF157" s="1255"/>
      <c r="WNG157" s="1255"/>
      <c r="WNH157" s="1255"/>
      <c r="WNI157" s="1255"/>
      <c r="WNJ157" s="1255"/>
      <c r="WNK157" s="1255"/>
      <c r="WNL157" s="1255"/>
      <c r="WNM157" s="1255"/>
      <c r="WNN157" s="1255"/>
      <c r="WNO157" s="1255"/>
      <c r="WNP157" s="1255"/>
      <c r="WNQ157" s="1255"/>
      <c r="WNR157" s="1255"/>
      <c r="WNS157" s="1255"/>
      <c r="WNT157" s="1255"/>
      <c r="WNU157" s="1255"/>
      <c r="WNV157" s="1255"/>
      <c r="WNW157" s="1255"/>
      <c r="WNX157" s="1255"/>
      <c r="WNY157" s="1255"/>
      <c r="WNZ157" s="1255"/>
      <c r="WOA157" s="1255"/>
      <c r="WOB157" s="1255"/>
      <c r="WOC157" s="1255"/>
      <c r="WOD157" s="1255"/>
      <c r="WOE157" s="1255"/>
      <c r="WOF157" s="1255"/>
      <c r="WOG157" s="1255"/>
      <c r="WOH157" s="1255"/>
      <c r="WOI157" s="1255"/>
      <c r="WOJ157" s="1255"/>
      <c r="WOK157" s="1255"/>
      <c r="WOL157" s="1255"/>
      <c r="WOM157" s="1255"/>
      <c r="WON157" s="1255"/>
      <c r="WOO157" s="1255"/>
      <c r="WOP157" s="1255"/>
      <c r="WOQ157" s="1255"/>
      <c r="WOR157" s="1255"/>
      <c r="WOS157" s="1255"/>
      <c r="WOT157" s="1255"/>
      <c r="WOU157" s="1255"/>
      <c r="WOV157" s="1255"/>
      <c r="WOW157" s="1255"/>
      <c r="WOX157" s="1255"/>
      <c r="WOY157" s="1255"/>
      <c r="WOZ157" s="1255"/>
      <c r="WPA157" s="1255"/>
      <c r="WPB157" s="1255"/>
      <c r="WPC157" s="1255"/>
      <c r="WPD157" s="1255"/>
      <c r="WPE157" s="1255"/>
      <c r="WPF157" s="1255"/>
      <c r="WPG157" s="1255"/>
      <c r="WPH157" s="1255"/>
      <c r="WPI157" s="1255"/>
      <c r="WPJ157" s="1255"/>
      <c r="WPK157" s="1255"/>
      <c r="WPL157" s="1255"/>
      <c r="WPM157" s="1255"/>
      <c r="WPN157" s="1255"/>
      <c r="WPO157" s="1255"/>
      <c r="WPP157" s="1255"/>
      <c r="WPQ157" s="1255"/>
      <c r="WPR157" s="1255"/>
      <c r="WPS157" s="1255"/>
      <c r="WPT157" s="1255"/>
      <c r="WPU157" s="1255"/>
      <c r="WPV157" s="1255"/>
      <c r="WPW157" s="1255"/>
      <c r="WPX157" s="1255"/>
      <c r="WPY157" s="1255"/>
      <c r="WPZ157" s="1255"/>
      <c r="WQA157" s="1255"/>
      <c r="WQB157" s="1255"/>
      <c r="WQC157" s="1255"/>
      <c r="WQD157" s="1255"/>
      <c r="WQE157" s="1255"/>
      <c r="WQF157" s="1255"/>
      <c r="WQG157" s="1255"/>
      <c r="WQH157" s="1255"/>
      <c r="WQI157" s="1255"/>
      <c r="WQJ157" s="1255"/>
      <c r="WQK157" s="1255"/>
      <c r="WQL157" s="1255"/>
      <c r="WQM157" s="1255"/>
      <c r="WQN157" s="1255"/>
      <c r="WQO157" s="1255"/>
      <c r="WQP157" s="1255"/>
      <c r="WQQ157" s="1255"/>
      <c r="WQR157" s="1255"/>
      <c r="WQS157" s="1255"/>
      <c r="WQT157" s="1255"/>
      <c r="WQU157" s="1255"/>
      <c r="WQV157" s="1255"/>
      <c r="WQW157" s="1255"/>
      <c r="WQX157" s="1255"/>
      <c r="WQY157" s="1255"/>
      <c r="WQZ157" s="1255"/>
      <c r="WRA157" s="1255"/>
      <c r="WRB157" s="1255"/>
      <c r="WRC157" s="1255"/>
      <c r="WRD157" s="1255"/>
      <c r="WRE157" s="1255"/>
      <c r="WRF157" s="1255"/>
      <c r="WRG157" s="1255"/>
      <c r="WRH157" s="1255"/>
      <c r="WRI157" s="1255"/>
      <c r="WRJ157" s="1255"/>
      <c r="WRK157" s="1255"/>
      <c r="WRL157" s="1255"/>
      <c r="WRM157" s="1255"/>
      <c r="WRN157" s="1255"/>
      <c r="WRO157" s="1255"/>
      <c r="WRP157" s="1255"/>
      <c r="WRQ157" s="1255"/>
      <c r="WRR157" s="1255"/>
      <c r="WRS157" s="1255"/>
      <c r="WRT157" s="1255"/>
      <c r="WRU157" s="1255"/>
      <c r="WRV157" s="1255"/>
      <c r="WRW157" s="1255"/>
      <c r="WRX157" s="1255"/>
      <c r="WRY157" s="1255"/>
      <c r="WRZ157" s="1255"/>
      <c r="WSA157" s="1255"/>
      <c r="WSB157" s="1255"/>
      <c r="WSC157" s="1255"/>
      <c r="WSD157" s="1255"/>
      <c r="WSE157" s="1255"/>
      <c r="WSF157" s="1255"/>
      <c r="WSG157" s="1255"/>
      <c r="WSH157" s="1255"/>
      <c r="WSI157" s="1255"/>
      <c r="WSJ157" s="1255"/>
      <c r="WSK157" s="1255"/>
      <c r="WSL157" s="1255"/>
      <c r="WSM157" s="1255"/>
      <c r="WSN157" s="1255"/>
      <c r="WSO157" s="1255"/>
      <c r="WSP157" s="1255"/>
      <c r="WSQ157" s="1255"/>
      <c r="WSR157" s="1255"/>
      <c r="WSS157" s="1255"/>
      <c r="WST157" s="1255"/>
      <c r="WSU157" s="1255"/>
      <c r="WSV157" s="1255"/>
      <c r="WSW157" s="1255"/>
      <c r="WSX157" s="1255"/>
      <c r="WSY157" s="1255"/>
      <c r="WSZ157" s="1255"/>
      <c r="WTA157" s="1255"/>
      <c r="WTB157" s="1255"/>
      <c r="WTC157" s="1255"/>
      <c r="WTD157" s="1255"/>
      <c r="WTE157" s="1255"/>
      <c r="WTF157" s="1255"/>
      <c r="WTG157" s="1255"/>
      <c r="WTH157" s="1255"/>
      <c r="WTI157" s="1255"/>
      <c r="WTJ157" s="1255"/>
      <c r="WTK157" s="1255"/>
      <c r="WTL157" s="1255"/>
      <c r="WTM157" s="1255"/>
      <c r="WTN157" s="1255"/>
      <c r="WTO157" s="1255"/>
      <c r="WTP157" s="1255"/>
      <c r="WTQ157" s="1255"/>
      <c r="WTR157" s="1255"/>
      <c r="WTS157" s="1255"/>
      <c r="WTT157" s="1255"/>
      <c r="WTU157" s="1255"/>
      <c r="WTV157" s="1255"/>
      <c r="WTW157" s="1255"/>
      <c r="WTX157" s="1255"/>
      <c r="WTY157" s="1255"/>
      <c r="WTZ157" s="1255"/>
      <c r="WUA157" s="1255"/>
      <c r="WUB157" s="1255"/>
      <c r="WUC157" s="1255"/>
      <c r="WUD157" s="1255"/>
      <c r="WUE157" s="1255"/>
      <c r="WUF157" s="1255"/>
      <c r="WUG157" s="1255"/>
      <c r="WUH157" s="1255"/>
      <c r="WUI157" s="1255"/>
      <c r="WUJ157" s="1255"/>
      <c r="WUK157" s="1255"/>
      <c r="WUL157" s="1255"/>
      <c r="WUM157" s="1255"/>
      <c r="WUN157" s="1255"/>
      <c r="WUO157" s="1255"/>
      <c r="WUP157" s="1255"/>
      <c r="WUQ157" s="1255"/>
      <c r="WUR157" s="1255"/>
      <c r="WUS157" s="1255"/>
      <c r="WUT157" s="1255"/>
      <c r="WUU157" s="1255"/>
      <c r="WUV157" s="1255"/>
      <c r="WUW157" s="1255"/>
      <c r="WUX157" s="1255"/>
      <c r="WUY157" s="1255"/>
      <c r="WUZ157" s="1255"/>
      <c r="WVA157" s="1255"/>
      <c r="WVB157" s="1255"/>
      <c r="WVC157" s="1255"/>
      <c r="WVD157" s="1255"/>
      <c r="WVE157" s="1255"/>
      <c r="WVF157" s="1255"/>
      <c r="WVG157" s="1255"/>
      <c r="WVH157" s="1255"/>
      <c r="WVI157" s="1255"/>
      <c r="WVJ157" s="1255"/>
      <c r="WVK157" s="1255"/>
      <c r="WVL157" s="1255"/>
      <c r="WVM157" s="1255"/>
      <c r="WVN157" s="1255"/>
      <c r="WVO157" s="1255"/>
      <c r="WVP157" s="1255"/>
      <c r="WVQ157" s="1255"/>
      <c r="WVR157" s="1255"/>
      <c r="WVS157" s="1255"/>
      <c r="WVT157" s="1255"/>
      <c r="WVU157" s="1255"/>
      <c r="WVV157" s="1255"/>
      <c r="WVW157" s="1255"/>
      <c r="WVX157" s="1255"/>
      <c r="WVY157" s="1255"/>
      <c r="WVZ157" s="1255"/>
      <c r="WWA157" s="1255"/>
      <c r="WWB157" s="1255"/>
      <c r="WWC157" s="1255"/>
      <c r="WWD157" s="1255"/>
      <c r="WWE157" s="1255"/>
      <c r="WWF157" s="1255"/>
      <c r="WWG157" s="1255"/>
      <c r="WWH157" s="1255"/>
      <c r="WWI157" s="1255"/>
      <c r="WWJ157" s="1255"/>
      <c r="WWK157" s="1255"/>
      <c r="WWL157" s="1255"/>
      <c r="WWM157" s="1255"/>
      <c r="WWN157" s="1255"/>
      <c r="WWO157" s="1255"/>
      <c r="WWP157" s="1255"/>
      <c r="WWQ157" s="1255"/>
      <c r="WWR157" s="1255"/>
      <c r="WWS157" s="1255"/>
      <c r="WWT157" s="1255"/>
      <c r="WWU157" s="1255"/>
      <c r="WWV157" s="1255"/>
    </row>
  </sheetData>
  <mergeCells count="37">
    <mergeCell ref="H15:J15"/>
    <mergeCell ref="K15:M15"/>
    <mergeCell ref="N15:P15"/>
    <mergeCell ref="AA6:AC6"/>
    <mergeCell ref="AD6:AF6"/>
    <mergeCell ref="K6:K7"/>
    <mergeCell ref="AH6:AH7"/>
    <mergeCell ref="U9:U11"/>
    <mergeCell ref="A12:B12"/>
    <mergeCell ref="S6:S7"/>
    <mergeCell ref="T6:T7"/>
    <mergeCell ref="U6:U7"/>
    <mergeCell ref="V6:V7"/>
    <mergeCell ref="W6:W7"/>
    <mergeCell ref="X6:Z6"/>
    <mergeCell ref="L6:L7"/>
    <mergeCell ref="M6:M7"/>
    <mergeCell ref="N6:O6"/>
    <mergeCell ref="P6:P7"/>
    <mergeCell ref="Q6:Q7"/>
    <mergeCell ref="R6:R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s>
  <printOptions horizontalCentered="1"/>
  <pageMargins left="0" right="0" top="0" bottom="0" header="0.31496062992125984" footer="0.31496062992125984"/>
  <pageSetup paperSize="9" scale="38"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tabColor rgb="FF00FFFF"/>
  </sheetPr>
  <dimension ref="A1:F21"/>
  <sheetViews>
    <sheetView view="pageBreakPreview" topLeftCell="A4" zoomScale="80" zoomScaleNormal="100" zoomScaleSheetLayoutView="80" workbookViewId="0">
      <selection activeCell="I23" sqref="I23"/>
    </sheetView>
  </sheetViews>
  <sheetFormatPr defaultRowHeight="39.75" customHeight="1" x14ac:dyDescent="0.25"/>
  <cols>
    <col min="1" max="1" width="81.33203125" style="380" customWidth="1"/>
    <col min="2" max="2" width="10" style="380" customWidth="1"/>
    <col min="3" max="5" width="25.83203125" style="380" customWidth="1"/>
    <col min="6" max="16384" width="9.33203125" style="380"/>
  </cols>
  <sheetData>
    <row r="1" spans="1:6" ht="39.75" customHeight="1" x14ac:dyDescent="0.25">
      <c r="A1" s="3425" t="s">
        <v>975</v>
      </c>
      <c r="B1" s="3425"/>
      <c r="C1" s="3425"/>
      <c r="D1" s="3425"/>
      <c r="E1" s="3425"/>
    </row>
    <row r="2" spans="1:6" ht="39.75" customHeight="1" x14ac:dyDescent="0.25">
      <c r="A2" s="3425" t="s">
        <v>1442</v>
      </c>
      <c r="B2" s="3425"/>
      <c r="C2" s="3425"/>
      <c r="D2" s="3425"/>
      <c r="E2" s="3425"/>
    </row>
    <row r="3" spans="1:6" ht="13.5" customHeight="1" x14ac:dyDescent="0.25">
      <c r="A3" s="391"/>
      <c r="B3" s="391"/>
      <c r="C3" s="391"/>
      <c r="D3" s="391"/>
      <c r="E3" s="382">
        <v>43831</v>
      </c>
    </row>
    <row r="4" spans="1:6" ht="39.75" customHeight="1" x14ac:dyDescent="0.25">
      <c r="A4" s="3426" t="s">
        <v>386</v>
      </c>
      <c r="B4" s="3426" t="s">
        <v>387</v>
      </c>
      <c r="C4" s="3426" t="s">
        <v>388</v>
      </c>
      <c r="D4" s="3426"/>
      <c r="E4" s="3426"/>
    </row>
    <row r="5" spans="1:6" ht="39.75" customHeight="1" x14ac:dyDescent="0.25">
      <c r="A5" s="3426"/>
      <c r="B5" s="3426"/>
      <c r="C5" s="392" t="s">
        <v>397</v>
      </c>
      <c r="D5" s="392" t="s">
        <v>398</v>
      </c>
      <c r="E5" s="392" t="s">
        <v>399</v>
      </c>
    </row>
    <row r="6" spans="1:6" ht="39.75" customHeight="1" x14ac:dyDescent="0.25">
      <c r="A6" s="3426"/>
      <c r="B6" s="3426"/>
      <c r="C6" s="392" t="s">
        <v>389</v>
      </c>
      <c r="D6" s="392" t="s">
        <v>390</v>
      </c>
      <c r="E6" s="392" t="s">
        <v>391</v>
      </c>
    </row>
    <row r="7" spans="1:6" ht="16.5" customHeight="1" x14ac:dyDescent="0.25">
      <c r="A7" s="392">
        <v>1</v>
      </c>
      <c r="B7" s="392">
        <v>2</v>
      </c>
      <c r="C7" s="392">
        <v>3</v>
      </c>
      <c r="D7" s="392">
        <v>4</v>
      </c>
      <c r="E7" s="392">
        <v>5</v>
      </c>
    </row>
    <row r="8" spans="1:6" ht="48.75" customHeight="1" x14ac:dyDescent="0.25">
      <c r="A8" s="384" t="s">
        <v>468</v>
      </c>
      <c r="B8" s="392">
        <v>100</v>
      </c>
      <c r="C8" s="385"/>
      <c r="D8" s="385"/>
      <c r="E8" s="385"/>
    </row>
    <row r="9" spans="1:6" ht="44.25" customHeight="1" x14ac:dyDescent="0.25">
      <c r="A9" s="384" t="s">
        <v>393</v>
      </c>
      <c r="B9" s="392">
        <v>200</v>
      </c>
      <c r="C9" s="385"/>
      <c r="D9" s="385"/>
      <c r="E9" s="385"/>
    </row>
    <row r="10" spans="1:6" ht="33.75" customHeight="1" x14ac:dyDescent="0.25">
      <c r="A10" s="384" t="s">
        <v>459</v>
      </c>
      <c r="B10" s="392">
        <v>300</v>
      </c>
      <c r="C10" s="385">
        <f>SUM(C11:C18)</f>
        <v>220000</v>
      </c>
      <c r="D10" s="385">
        <f>SUM(D11:D18)</f>
        <v>220000</v>
      </c>
      <c r="E10" s="385">
        <f>SUM(E11:E18)</f>
        <v>220000</v>
      </c>
      <c r="F10" s="380" t="s">
        <v>477</v>
      </c>
    </row>
    <row r="11" spans="1:6" ht="43.5" customHeight="1" x14ac:dyDescent="0.25">
      <c r="A11" s="384" t="s">
        <v>460</v>
      </c>
      <c r="B11" s="392">
        <v>301</v>
      </c>
      <c r="C11" s="385">
        <f>'внеб 912,921,952 (01.01.20)'!I10*1000</f>
        <v>7000</v>
      </c>
      <c r="D11" s="385">
        <f>'внеб 912,921,952 (01.01.20)'!J10*1000</f>
        <v>7000</v>
      </c>
      <c r="E11" s="385">
        <f>'внеб 912,921,952 (01.01.20)'!K10*1000</f>
        <v>7000</v>
      </c>
      <c r="F11" s="380">
        <v>912</v>
      </c>
    </row>
    <row r="12" spans="1:6" ht="17.25" customHeight="1" x14ac:dyDescent="0.25">
      <c r="A12" s="384" t="s">
        <v>461</v>
      </c>
      <c r="B12" s="392">
        <v>302</v>
      </c>
      <c r="C12" s="385">
        <f>'внеб 991,992,911 (01.01.20)'!J17*1000</f>
        <v>117000</v>
      </c>
      <c r="D12" s="385">
        <f>'внеб 991,992,911 (01.01.20)'!M17*1000</f>
        <v>117000</v>
      </c>
      <c r="E12" s="385">
        <f>'внеб 991,992,911 (01.01.20)'!P17*1000</f>
        <v>117000</v>
      </c>
      <c r="F12" s="390">
        <v>911</v>
      </c>
    </row>
    <row r="13" spans="1:6" ht="22.5" customHeight="1" x14ac:dyDescent="0.25">
      <c r="A13" s="384" t="s">
        <v>462</v>
      </c>
      <c r="B13" s="392">
        <v>303</v>
      </c>
      <c r="C13" s="385"/>
      <c r="D13" s="385"/>
      <c r="E13" s="385"/>
      <c r="F13" s="390" t="s">
        <v>471</v>
      </c>
    </row>
    <row r="14" spans="1:6" ht="57" customHeight="1" x14ac:dyDescent="0.25">
      <c r="A14" s="384" t="s">
        <v>463</v>
      </c>
      <c r="B14" s="392">
        <v>304</v>
      </c>
      <c r="C14" s="385">
        <f>'внеб 912,921,952 (01.01.20)'!I15*1000</f>
        <v>68000</v>
      </c>
      <c r="D14" s="385">
        <f>'внеб 912,921,952 (01.01.20)'!J15*1000</f>
        <v>68000</v>
      </c>
      <c r="E14" s="385">
        <f>'внеб 912,921,952 (01.01.20)'!K15*1000</f>
        <v>68000</v>
      </c>
      <c r="F14" s="390" t="s">
        <v>472</v>
      </c>
    </row>
    <row r="15" spans="1:6" ht="18.75" customHeight="1" x14ac:dyDescent="0.25">
      <c r="A15" s="384" t="s">
        <v>464</v>
      </c>
      <c r="B15" s="392">
        <v>305</v>
      </c>
      <c r="C15" s="385"/>
      <c r="D15" s="385"/>
      <c r="E15" s="385"/>
      <c r="F15" s="390" t="s">
        <v>473</v>
      </c>
    </row>
    <row r="16" spans="1:6" ht="24" customHeight="1" x14ac:dyDescent="0.25">
      <c r="A16" s="384" t="s">
        <v>465</v>
      </c>
      <c r="B16" s="392">
        <v>306</v>
      </c>
      <c r="C16" s="385"/>
      <c r="D16" s="385"/>
      <c r="E16" s="385"/>
      <c r="F16" s="390" t="s">
        <v>474</v>
      </c>
    </row>
    <row r="17" spans="1:6" ht="31.5" customHeight="1" x14ac:dyDescent="0.25">
      <c r="A17" s="384" t="s">
        <v>466</v>
      </c>
      <c r="B17" s="392">
        <v>308</v>
      </c>
      <c r="C17" s="385">
        <f>'внеб 912,921,952 (01.01.20)'!I18*1000</f>
        <v>28000</v>
      </c>
      <c r="D17" s="385">
        <f>'внеб 912,921,952 (01.01.20)'!J18*1000</f>
        <v>28000</v>
      </c>
      <c r="E17" s="385">
        <f>'внеб 912,921,952 (01.01.20)'!K18*1000</f>
        <v>28000</v>
      </c>
      <c r="F17" s="390" t="s">
        <v>475</v>
      </c>
    </row>
    <row r="18" spans="1:6" ht="21.75" customHeight="1" x14ac:dyDescent="0.25">
      <c r="A18" s="384" t="s">
        <v>467</v>
      </c>
      <c r="B18" s="392">
        <v>309</v>
      </c>
      <c r="C18" s="385"/>
      <c r="D18" s="385"/>
      <c r="E18" s="385"/>
      <c r="F18" s="390" t="s">
        <v>476</v>
      </c>
    </row>
    <row r="19" spans="1:6" ht="28.5" customHeight="1" x14ac:dyDescent="0.25">
      <c r="A19" s="384" t="s">
        <v>469</v>
      </c>
      <c r="B19" s="392">
        <v>400</v>
      </c>
      <c r="C19" s="385"/>
      <c r="D19" s="385"/>
      <c r="E19" s="385"/>
    </row>
    <row r="20" spans="1:6" ht="30.75" customHeight="1" x14ac:dyDescent="0.25">
      <c r="A20" s="384" t="s">
        <v>396</v>
      </c>
      <c r="B20" s="392">
        <v>500</v>
      </c>
      <c r="C20" s="385"/>
      <c r="D20" s="385"/>
      <c r="E20" s="385"/>
    </row>
    <row r="21" spans="1:6" s="389" customFormat="1" ht="39.75" customHeight="1" x14ac:dyDescent="0.2">
      <c r="A21" s="386" t="s">
        <v>470</v>
      </c>
      <c r="B21" s="387">
        <v>600</v>
      </c>
      <c r="C21" s="388">
        <f>C8-C9+C10-C19+C20</f>
        <v>220000</v>
      </c>
      <c r="D21" s="388">
        <f>D8-D9+D10-D19+D20</f>
        <v>220000</v>
      </c>
      <c r="E21" s="388">
        <f>E8-E9+E10-E19+E20</f>
        <v>220000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view="pageBreakPreview" zoomScale="70" zoomScaleNormal="70" zoomScaleSheetLayoutView="70" workbookViewId="0">
      <pane ySplit="8" topLeftCell="A9" activePane="bottomLeft" state="frozen"/>
      <selection activeCell="E33" sqref="E33"/>
      <selection pane="bottomLeft" activeCell="W25" sqref="W25"/>
    </sheetView>
  </sheetViews>
  <sheetFormatPr defaultRowHeight="12.75" x14ac:dyDescent="0.2"/>
  <cols>
    <col min="1" max="1" width="6.83203125" style="1285" bestFit="1" customWidth="1"/>
    <col min="2" max="2" width="30.6640625" style="1285" customWidth="1"/>
    <col min="3" max="3" width="12.6640625" style="1285" customWidth="1"/>
    <col min="4" max="4" width="58.83203125" style="1285" customWidth="1"/>
    <col min="5" max="5" width="17.1640625" style="1285" customWidth="1"/>
    <col min="6" max="6" width="10.83203125" style="1285" customWidth="1"/>
    <col min="7" max="7" width="11.5" style="1285" customWidth="1"/>
    <col min="8" max="8" width="19.5" style="1285" customWidth="1"/>
    <col min="9" max="9" width="31.1640625" style="1285" customWidth="1"/>
    <col min="10" max="10" width="15.6640625" style="1286" customWidth="1"/>
    <col min="11" max="11" width="17.5" style="1286" customWidth="1"/>
    <col min="12" max="12" width="52" style="1286" customWidth="1"/>
    <col min="13" max="243" width="9.33203125" style="1286"/>
    <col min="244" max="244" width="6.83203125" style="1286" bestFit="1" customWidth="1"/>
    <col min="245" max="245" width="30.1640625" style="1286" customWidth="1"/>
    <col min="246" max="246" width="9.5" style="1286" customWidth="1"/>
    <col min="247" max="247" width="35.5" style="1286" customWidth="1"/>
    <col min="248" max="248" width="16.83203125" style="1286" customWidth="1"/>
    <col min="249" max="249" width="16.6640625" style="1286" customWidth="1"/>
    <col min="250" max="250" width="13.5" style="1286" customWidth="1"/>
    <col min="251" max="251" width="18.1640625" style="1286" customWidth="1"/>
    <col min="252" max="252" width="17.1640625" style="1286" customWidth="1"/>
    <col min="253" max="253" width="10.83203125" style="1286" customWidth="1"/>
    <col min="254" max="254" width="11.5" style="1286" customWidth="1"/>
    <col min="255" max="255" width="19.5" style="1286" customWidth="1"/>
    <col min="256" max="256" width="12.6640625" style="1286" customWidth="1"/>
    <col min="257" max="257" width="87.6640625" style="1286" customWidth="1"/>
    <col min="258" max="499" width="9.33203125" style="1286"/>
    <col min="500" max="500" width="6.83203125" style="1286" bestFit="1" customWidth="1"/>
    <col min="501" max="501" width="30.1640625" style="1286" customWidth="1"/>
    <col min="502" max="502" width="9.5" style="1286" customWidth="1"/>
    <col min="503" max="503" width="35.5" style="1286" customWidth="1"/>
    <col min="504" max="504" width="16.83203125" style="1286" customWidth="1"/>
    <col min="505" max="505" width="16.6640625" style="1286" customWidth="1"/>
    <col min="506" max="506" width="13.5" style="1286" customWidth="1"/>
    <col min="507" max="507" width="18.1640625" style="1286" customWidth="1"/>
    <col min="508" max="508" width="17.1640625" style="1286" customWidth="1"/>
    <col min="509" max="509" width="10.83203125" style="1286" customWidth="1"/>
    <col min="510" max="510" width="11.5" style="1286" customWidth="1"/>
    <col min="511" max="511" width="19.5" style="1286" customWidth="1"/>
    <col min="512" max="512" width="12.6640625" style="1286" customWidth="1"/>
    <col min="513" max="513" width="87.6640625" style="1286" customWidth="1"/>
    <col min="514" max="755" width="9.33203125" style="1286"/>
    <col min="756" max="756" width="6.83203125" style="1286" bestFit="1" customWidth="1"/>
    <col min="757" max="757" width="30.1640625" style="1286" customWidth="1"/>
    <col min="758" max="758" width="9.5" style="1286" customWidth="1"/>
    <col min="759" max="759" width="35.5" style="1286" customWidth="1"/>
    <col min="760" max="760" width="16.83203125" style="1286" customWidth="1"/>
    <col min="761" max="761" width="16.6640625" style="1286" customWidth="1"/>
    <col min="762" max="762" width="13.5" style="1286" customWidth="1"/>
    <col min="763" max="763" width="18.1640625" style="1286" customWidth="1"/>
    <col min="764" max="764" width="17.1640625" style="1286" customWidth="1"/>
    <col min="765" max="765" width="10.83203125" style="1286" customWidth="1"/>
    <col min="766" max="766" width="11.5" style="1286" customWidth="1"/>
    <col min="767" max="767" width="19.5" style="1286" customWidth="1"/>
    <col min="768" max="768" width="12.6640625" style="1286" customWidth="1"/>
    <col min="769" max="769" width="87.6640625" style="1286" customWidth="1"/>
    <col min="770" max="1011" width="9.33203125" style="1286"/>
    <col min="1012" max="1012" width="6.83203125" style="1286" bestFit="1" customWidth="1"/>
    <col min="1013" max="1013" width="30.1640625" style="1286" customWidth="1"/>
    <col min="1014" max="1014" width="9.5" style="1286" customWidth="1"/>
    <col min="1015" max="1015" width="35.5" style="1286" customWidth="1"/>
    <col min="1016" max="1016" width="16.83203125" style="1286" customWidth="1"/>
    <col min="1017" max="1017" width="16.6640625" style="1286" customWidth="1"/>
    <col min="1018" max="1018" width="13.5" style="1286" customWidth="1"/>
    <col min="1019" max="1019" width="18.1640625" style="1286" customWidth="1"/>
    <col min="1020" max="1020" width="17.1640625" style="1286" customWidth="1"/>
    <col min="1021" max="1021" width="10.83203125" style="1286" customWidth="1"/>
    <col min="1022" max="1022" width="11.5" style="1286" customWidth="1"/>
    <col min="1023" max="1023" width="19.5" style="1286" customWidth="1"/>
    <col min="1024" max="1024" width="12.6640625" style="1286" customWidth="1"/>
    <col min="1025" max="1025" width="87.6640625" style="1286" customWidth="1"/>
    <col min="1026" max="1267" width="9.33203125" style="1286"/>
    <col min="1268" max="1268" width="6.83203125" style="1286" bestFit="1" customWidth="1"/>
    <col min="1269" max="1269" width="30.1640625" style="1286" customWidth="1"/>
    <col min="1270" max="1270" width="9.5" style="1286" customWidth="1"/>
    <col min="1271" max="1271" width="35.5" style="1286" customWidth="1"/>
    <col min="1272" max="1272" width="16.83203125" style="1286" customWidth="1"/>
    <col min="1273" max="1273" width="16.6640625" style="1286" customWidth="1"/>
    <col min="1274" max="1274" width="13.5" style="1286" customWidth="1"/>
    <col min="1275" max="1275" width="18.1640625" style="1286" customWidth="1"/>
    <col min="1276" max="1276" width="17.1640625" style="1286" customWidth="1"/>
    <col min="1277" max="1277" width="10.83203125" style="1286" customWidth="1"/>
    <col min="1278" max="1278" width="11.5" style="1286" customWidth="1"/>
    <col min="1279" max="1279" width="19.5" style="1286" customWidth="1"/>
    <col min="1280" max="1280" width="12.6640625" style="1286" customWidth="1"/>
    <col min="1281" max="1281" width="87.6640625" style="1286" customWidth="1"/>
    <col min="1282" max="1523" width="9.33203125" style="1286"/>
    <col min="1524" max="1524" width="6.83203125" style="1286" bestFit="1" customWidth="1"/>
    <col min="1525" max="1525" width="30.1640625" style="1286" customWidth="1"/>
    <col min="1526" max="1526" width="9.5" style="1286" customWidth="1"/>
    <col min="1527" max="1527" width="35.5" style="1286" customWidth="1"/>
    <col min="1528" max="1528" width="16.83203125" style="1286" customWidth="1"/>
    <col min="1529" max="1529" width="16.6640625" style="1286" customWidth="1"/>
    <col min="1530" max="1530" width="13.5" style="1286" customWidth="1"/>
    <col min="1531" max="1531" width="18.1640625" style="1286" customWidth="1"/>
    <col min="1532" max="1532" width="17.1640625" style="1286" customWidth="1"/>
    <col min="1533" max="1533" width="10.83203125" style="1286" customWidth="1"/>
    <col min="1534" max="1534" width="11.5" style="1286" customWidth="1"/>
    <col min="1535" max="1535" width="19.5" style="1286" customWidth="1"/>
    <col min="1536" max="1536" width="12.6640625" style="1286" customWidth="1"/>
    <col min="1537" max="1537" width="87.6640625" style="1286" customWidth="1"/>
    <col min="1538" max="1779" width="9.33203125" style="1286"/>
    <col min="1780" max="1780" width="6.83203125" style="1286" bestFit="1" customWidth="1"/>
    <col min="1781" max="1781" width="30.1640625" style="1286" customWidth="1"/>
    <col min="1782" max="1782" width="9.5" style="1286" customWidth="1"/>
    <col min="1783" max="1783" width="35.5" style="1286" customWidth="1"/>
    <col min="1784" max="1784" width="16.83203125" style="1286" customWidth="1"/>
    <col min="1785" max="1785" width="16.6640625" style="1286" customWidth="1"/>
    <col min="1786" max="1786" width="13.5" style="1286" customWidth="1"/>
    <col min="1787" max="1787" width="18.1640625" style="1286" customWidth="1"/>
    <col min="1788" max="1788" width="17.1640625" style="1286" customWidth="1"/>
    <col min="1789" max="1789" width="10.83203125" style="1286" customWidth="1"/>
    <col min="1790" max="1790" width="11.5" style="1286" customWidth="1"/>
    <col min="1791" max="1791" width="19.5" style="1286" customWidth="1"/>
    <col min="1792" max="1792" width="12.6640625" style="1286" customWidth="1"/>
    <col min="1793" max="1793" width="87.6640625" style="1286" customWidth="1"/>
    <col min="1794" max="2035" width="9.33203125" style="1286"/>
    <col min="2036" max="2036" width="6.83203125" style="1286" bestFit="1" customWidth="1"/>
    <col min="2037" max="2037" width="30.1640625" style="1286" customWidth="1"/>
    <col min="2038" max="2038" width="9.5" style="1286" customWidth="1"/>
    <col min="2039" max="2039" width="35.5" style="1286" customWidth="1"/>
    <col min="2040" max="2040" width="16.83203125" style="1286" customWidth="1"/>
    <col min="2041" max="2041" width="16.6640625" style="1286" customWidth="1"/>
    <col min="2042" max="2042" width="13.5" style="1286" customWidth="1"/>
    <col min="2043" max="2043" width="18.1640625" style="1286" customWidth="1"/>
    <col min="2044" max="2044" width="17.1640625" style="1286" customWidth="1"/>
    <col min="2045" max="2045" width="10.83203125" style="1286" customWidth="1"/>
    <col min="2046" max="2046" width="11.5" style="1286" customWidth="1"/>
    <col min="2047" max="2047" width="19.5" style="1286" customWidth="1"/>
    <col min="2048" max="2048" width="12.6640625" style="1286" customWidth="1"/>
    <col min="2049" max="2049" width="87.6640625" style="1286" customWidth="1"/>
    <col min="2050" max="2291" width="9.33203125" style="1286"/>
    <col min="2292" max="2292" width="6.83203125" style="1286" bestFit="1" customWidth="1"/>
    <col min="2293" max="2293" width="30.1640625" style="1286" customWidth="1"/>
    <col min="2294" max="2294" width="9.5" style="1286" customWidth="1"/>
    <col min="2295" max="2295" width="35.5" style="1286" customWidth="1"/>
    <col min="2296" max="2296" width="16.83203125" style="1286" customWidth="1"/>
    <col min="2297" max="2297" width="16.6640625" style="1286" customWidth="1"/>
    <col min="2298" max="2298" width="13.5" style="1286" customWidth="1"/>
    <col min="2299" max="2299" width="18.1640625" style="1286" customWidth="1"/>
    <col min="2300" max="2300" width="17.1640625" style="1286" customWidth="1"/>
    <col min="2301" max="2301" width="10.83203125" style="1286" customWidth="1"/>
    <col min="2302" max="2302" width="11.5" style="1286" customWidth="1"/>
    <col min="2303" max="2303" width="19.5" style="1286" customWidth="1"/>
    <col min="2304" max="2304" width="12.6640625" style="1286" customWidth="1"/>
    <col min="2305" max="2305" width="87.6640625" style="1286" customWidth="1"/>
    <col min="2306" max="2547" width="9.33203125" style="1286"/>
    <col min="2548" max="2548" width="6.83203125" style="1286" bestFit="1" customWidth="1"/>
    <col min="2549" max="2549" width="30.1640625" style="1286" customWidth="1"/>
    <col min="2550" max="2550" width="9.5" style="1286" customWidth="1"/>
    <col min="2551" max="2551" width="35.5" style="1286" customWidth="1"/>
    <col min="2552" max="2552" width="16.83203125" style="1286" customWidth="1"/>
    <col min="2553" max="2553" width="16.6640625" style="1286" customWidth="1"/>
    <col min="2554" max="2554" width="13.5" style="1286" customWidth="1"/>
    <col min="2555" max="2555" width="18.1640625" style="1286" customWidth="1"/>
    <col min="2556" max="2556" width="17.1640625" style="1286" customWidth="1"/>
    <col min="2557" max="2557" width="10.83203125" style="1286" customWidth="1"/>
    <col min="2558" max="2558" width="11.5" style="1286" customWidth="1"/>
    <col min="2559" max="2559" width="19.5" style="1286" customWidth="1"/>
    <col min="2560" max="2560" width="12.6640625" style="1286" customWidth="1"/>
    <col min="2561" max="2561" width="87.6640625" style="1286" customWidth="1"/>
    <col min="2562" max="2803" width="9.33203125" style="1286"/>
    <col min="2804" max="2804" width="6.83203125" style="1286" bestFit="1" customWidth="1"/>
    <col min="2805" max="2805" width="30.1640625" style="1286" customWidth="1"/>
    <col min="2806" max="2806" width="9.5" style="1286" customWidth="1"/>
    <col min="2807" max="2807" width="35.5" style="1286" customWidth="1"/>
    <col min="2808" max="2808" width="16.83203125" style="1286" customWidth="1"/>
    <col min="2809" max="2809" width="16.6640625" style="1286" customWidth="1"/>
    <col min="2810" max="2810" width="13.5" style="1286" customWidth="1"/>
    <col min="2811" max="2811" width="18.1640625" style="1286" customWidth="1"/>
    <col min="2812" max="2812" width="17.1640625" style="1286" customWidth="1"/>
    <col min="2813" max="2813" width="10.83203125" style="1286" customWidth="1"/>
    <col min="2814" max="2814" width="11.5" style="1286" customWidth="1"/>
    <col min="2815" max="2815" width="19.5" style="1286" customWidth="1"/>
    <col min="2816" max="2816" width="12.6640625" style="1286" customWidth="1"/>
    <col min="2817" max="2817" width="87.6640625" style="1286" customWidth="1"/>
    <col min="2818" max="3059" width="9.33203125" style="1286"/>
    <col min="3060" max="3060" width="6.83203125" style="1286" bestFit="1" customWidth="1"/>
    <col min="3061" max="3061" width="30.1640625" style="1286" customWidth="1"/>
    <col min="3062" max="3062" width="9.5" style="1286" customWidth="1"/>
    <col min="3063" max="3063" width="35.5" style="1286" customWidth="1"/>
    <col min="3064" max="3064" width="16.83203125" style="1286" customWidth="1"/>
    <col min="3065" max="3065" width="16.6640625" style="1286" customWidth="1"/>
    <col min="3066" max="3066" width="13.5" style="1286" customWidth="1"/>
    <col min="3067" max="3067" width="18.1640625" style="1286" customWidth="1"/>
    <col min="3068" max="3068" width="17.1640625" style="1286" customWidth="1"/>
    <col min="3069" max="3069" width="10.83203125" style="1286" customWidth="1"/>
    <col min="3070" max="3070" width="11.5" style="1286" customWidth="1"/>
    <col min="3071" max="3071" width="19.5" style="1286" customWidth="1"/>
    <col min="3072" max="3072" width="12.6640625" style="1286" customWidth="1"/>
    <col min="3073" max="3073" width="87.6640625" style="1286" customWidth="1"/>
    <col min="3074" max="3315" width="9.33203125" style="1286"/>
    <col min="3316" max="3316" width="6.83203125" style="1286" bestFit="1" customWidth="1"/>
    <col min="3317" max="3317" width="30.1640625" style="1286" customWidth="1"/>
    <col min="3318" max="3318" width="9.5" style="1286" customWidth="1"/>
    <col min="3319" max="3319" width="35.5" style="1286" customWidth="1"/>
    <col min="3320" max="3320" width="16.83203125" style="1286" customWidth="1"/>
    <col min="3321" max="3321" width="16.6640625" style="1286" customWidth="1"/>
    <col min="3322" max="3322" width="13.5" style="1286" customWidth="1"/>
    <col min="3323" max="3323" width="18.1640625" style="1286" customWidth="1"/>
    <col min="3324" max="3324" width="17.1640625" style="1286" customWidth="1"/>
    <col min="3325" max="3325" width="10.83203125" style="1286" customWidth="1"/>
    <col min="3326" max="3326" width="11.5" style="1286" customWidth="1"/>
    <col min="3327" max="3327" width="19.5" style="1286" customWidth="1"/>
    <col min="3328" max="3328" width="12.6640625" style="1286" customWidth="1"/>
    <col min="3329" max="3329" width="87.6640625" style="1286" customWidth="1"/>
    <col min="3330" max="3571" width="9.33203125" style="1286"/>
    <col min="3572" max="3572" width="6.83203125" style="1286" bestFit="1" customWidth="1"/>
    <col min="3573" max="3573" width="30.1640625" style="1286" customWidth="1"/>
    <col min="3574" max="3574" width="9.5" style="1286" customWidth="1"/>
    <col min="3575" max="3575" width="35.5" style="1286" customWidth="1"/>
    <col min="3576" max="3576" width="16.83203125" style="1286" customWidth="1"/>
    <col min="3577" max="3577" width="16.6640625" style="1286" customWidth="1"/>
    <col min="3578" max="3578" width="13.5" style="1286" customWidth="1"/>
    <col min="3579" max="3579" width="18.1640625" style="1286" customWidth="1"/>
    <col min="3580" max="3580" width="17.1640625" style="1286" customWidth="1"/>
    <col min="3581" max="3581" width="10.83203125" style="1286" customWidth="1"/>
    <col min="3582" max="3582" width="11.5" style="1286" customWidth="1"/>
    <col min="3583" max="3583" width="19.5" style="1286" customWidth="1"/>
    <col min="3584" max="3584" width="12.6640625" style="1286" customWidth="1"/>
    <col min="3585" max="3585" width="87.6640625" style="1286" customWidth="1"/>
    <col min="3586" max="3827" width="9.33203125" style="1286"/>
    <col min="3828" max="3828" width="6.83203125" style="1286" bestFit="1" customWidth="1"/>
    <col min="3829" max="3829" width="30.1640625" style="1286" customWidth="1"/>
    <col min="3830" max="3830" width="9.5" style="1286" customWidth="1"/>
    <col min="3831" max="3831" width="35.5" style="1286" customWidth="1"/>
    <col min="3832" max="3832" width="16.83203125" style="1286" customWidth="1"/>
    <col min="3833" max="3833" width="16.6640625" style="1286" customWidth="1"/>
    <col min="3834" max="3834" width="13.5" style="1286" customWidth="1"/>
    <col min="3835" max="3835" width="18.1640625" style="1286" customWidth="1"/>
    <col min="3836" max="3836" width="17.1640625" style="1286" customWidth="1"/>
    <col min="3837" max="3837" width="10.83203125" style="1286" customWidth="1"/>
    <col min="3838" max="3838" width="11.5" style="1286" customWidth="1"/>
    <col min="3839" max="3839" width="19.5" style="1286" customWidth="1"/>
    <col min="3840" max="3840" width="12.6640625" style="1286" customWidth="1"/>
    <col min="3841" max="3841" width="87.6640625" style="1286" customWidth="1"/>
    <col min="3842" max="4083" width="9.33203125" style="1286"/>
    <col min="4084" max="4084" width="6.83203125" style="1286" bestFit="1" customWidth="1"/>
    <col min="4085" max="4085" width="30.1640625" style="1286" customWidth="1"/>
    <col min="4086" max="4086" width="9.5" style="1286" customWidth="1"/>
    <col min="4087" max="4087" width="35.5" style="1286" customWidth="1"/>
    <col min="4088" max="4088" width="16.83203125" style="1286" customWidth="1"/>
    <col min="4089" max="4089" width="16.6640625" style="1286" customWidth="1"/>
    <col min="4090" max="4090" width="13.5" style="1286" customWidth="1"/>
    <col min="4091" max="4091" width="18.1640625" style="1286" customWidth="1"/>
    <col min="4092" max="4092" width="17.1640625" style="1286" customWidth="1"/>
    <col min="4093" max="4093" width="10.83203125" style="1286" customWidth="1"/>
    <col min="4094" max="4094" width="11.5" style="1286" customWidth="1"/>
    <col min="4095" max="4095" width="19.5" style="1286" customWidth="1"/>
    <col min="4096" max="4096" width="12.6640625" style="1286" customWidth="1"/>
    <col min="4097" max="4097" width="87.6640625" style="1286" customWidth="1"/>
    <col min="4098" max="4339" width="9.33203125" style="1286"/>
    <col min="4340" max="4340" width="6.83203125" style="1286" bestFit="1" customWidth="1"/>
    <col min="4341" max="4341" width="30.1640625" style="1286" customWidth="1"/>
    <col min="4342" max="4342" width="9.5" style="1286" customWidth="1"/>
    <col min="4343" max="4343" width="35.5" style="1286" customWidth="1"/>
    <col min="4344" max="4344" width="16.83203125" style="1286" customWidth="1"/>
    <col min="4345" max="4345" width="16.6640625" style="1286" customWidth="1"/>
    <col min="4346" max="4346" width="13.5" style="1286" customWidth="1"/>
    <col min="4347" max="4347" width="18.1640625" style="1286" customWidth="1"/>
    <col min="4348" max="4348" width="17.1640625" style="1286" customWidth="1"/>
    <col min="4349" max="4349" width="10.83203125" style="1286" customWidth="1"/>
    <col min="4350" max="4350" width="11.5" style="1286" customWidth="1"/>
    <col min="4351" max="4351" width="19.5" style="1286" customWidth="1"/>
    <col min="4352" max="4352" width="12.6640625" style="1286" customWidth="1"/>
    <col min="4353" max="4353" width="87.6640625" style="1286" customWidth="1"/>
    <col min="4354" max="4595" width="9.33203125" style="1286"/>
    <col min="4596" max="4596" width="6.83203125" style="1286" bestFit="1" customWidth="1"/>
    <col min="4597" max="4597" width="30.1640625" style="1286" customWidth="1"/>
    <col min="4598" max="4598" width="9.5" style="1286" customWidth="1"/>
    <col min="4599" max="4599" width="35.5" style="1286" customWidth="1"/>
    <col min="4600" max="4600" width="16.83203125" style="1286" customWidth="1"/>
    <col min="4601" max="4601" width="16.6640625" style="1286" customWidth="1"/>
    <col min="4602" max="4602" width="13.5" style="1286" customWidth="1"/>
    <col min="4603" max="4603" width="18.1640625" style="1286" customWidth="1"/>
    <col min="4604" max="4604" width="17.1640625" style="1286" customWidth="1"/>
    <col min="4605" max="4605" width="10.83203125" style="1286" customWidth="1"/>
    <col min="4606" max="4606" width="11.5" style="1286" customWidth="1"/>
    <col min="4607" max="4607" width="19.5" style="1286" customWidth="1"/>
    <col min="4608" max="4608" width="12.6640625" style="1286" customWidth="1"/>
    <col min="4609" max="4609" width="87.6640625" style="1286" customWidth="1"/>
    <col min="4610" max="4851" width="9.33203125" style="1286"/>
    <col min="4852" max="4852" width="6.83203125" style="1286" bestFit="1" customWidth="1"/>
    <col min="4853" max="4853" width="30.1640625" style="1286" customWidth="1"/>
    <col min="4854" max="4854" width="9.5" style="1286" customWidth="1"/>
    <col min="4855" max="4855" width="35.5" style="1286" customWidth="1"/>
    <col min="4856" max="4856" width="16.83203125" style="1286" customWidth="1"/>
    <col min="4857" max="4857" width="16.6640625" style="1286" customWidth="1"/>
    <col min="4858" max="4858" width="13.5" style="1286" customWidth="1"/>
    <col min="4859" max="4859" width="18.1640625" style="1286" customWidth="1"/>
    <col min="4860" max="4860" width="17.1640625" style="1286" customWidth="1"/>
    <col min="4861" max="4861" width="10.83203125" style="1286" customWidth="1"/>
    <col min="4862" max="4862" width="11.5" style="1286" customWidth="1"/>
    <col min="4863" max="4863" width="19.5" style="1286" customWidth="1"/>
    <col min="4864" max="4864" width="12.6640625" style="1286" customWidth="1"/>
    <col min="4865" max="4865" width="87.6640625" style="1286" customWidth="1"/>
    <col min="4866" max="5107" width="9.33203125" style="1286"/>
    <col min="5108" max="5108" width="6.83203125" style="1286" bestFit="1" customWidth="1"/>
    <col min="5109" max="5109" width="30.1640625" style="1286" customWidth="1"/>
    <col min="5110" max="5110" width="9.5" style="1286" customWidth="1"/>
    <col min="5111" max="5111" width="35.5" style="1286" customWidth="1"/>
    <col min="5112" max="5112" width="16.83203125" style="1286" customWidth="1"/>
    <col min="5113" max="5113" width="16.6640625" style="1286" customWidth="1"/>
    <col min="5114" max="5114" width="13.5" style="1286" customWidth="1"/>
    <col min="5115" max="5115" width="18.1640625" style="1286" customWidth="1"/>
    <col min="5116" max="5116" width="17.1640625" style="1286" customWidth="1"/>
    <col min="5117" max="5117" width="10.83203125" style="1286" customWidth="1"/>
    <col min="5118" max="5118" width="11.5" style="1286" customWidth="1"/>
    <col min="5119" max="5119" width="19.5" style="1286" customWidth="1"/>
    <col min="5120" max="5120" width="12.6640625" style="1286" customWidth="1"/>
    <col min="5121" max="5121" width="87.6640625" style="1286" customWidth="1"/>
    <col min="5122" max="5363" width="9.33203125" style="1286"/>
    <col min="5364" max="5364" width="6.83203125" style="1286" bestFit="1" customWidth="1"/>
    <col min="5365" max="5365" width="30.1640625" style="1286" customWidth="1"/>
    <col min="5366" max="5366" width="9.5" style="1286" customWidth="1"/>
    <col min="5367" max="5367" width="35.5" style="1286" customWidth="1"/>
    <col min="5368" max="5368" width="16.83203125" style="1286" customWidth="1"/>
    <col min="5369" max="5369" width="16.6640625" style="1286" customWidth="1"/>
    <col min="5370" max="5370" width="13.5" style="1286" customWidth="1"/>
    <col min="5371" max="5371" width="18.1640625" style="1286" customWidth="1"/>
    <col min="5372" max="5372" width="17.1640625" style="1286" customWidth="1"/>
    <col min="5373" max="5373" width="10.83203125" style="1286" customWidth="1"/>
    <col min="5374" max="5374" width="11.5" style="1286" customWidth="1"/>
    <col min="5375" max="5375" width="19.5" style="1286" customWidth="1"/>
    <col min="5376" max="5376" width="12.6640625" style="1286" customWidth="1"/>
    <col min="5377" max="5377" width="87.6640625" style="1286" customWidth="1"/>
    <col min="5378" max="5619" width="9.33203125" style="1286"/>
    <col min="5620" max="5620" width="6.83203125" style="1286" bestFit="1" customWidth="1"/>
    <col min="5621" max="5621" width="30.1640625" style="1286" customWidth="1"/>
    <col min="5622" max="5622" width="9.5" style="1286" customWidth="1"/>
    <col min="5623" max="5623" width="35.5" style="1286" customWidth="1"/>
    <col min="5624" max="5624" width="16.83203125" style="1286" customWidth="1"/>
    <col min="5625" max="5625" width="16.6640625" style="1286" customWidth="1"/>
    <col min="5626" max="5626" width="13.5" style="1286" customWidth="1"/>
    <col min="5627" max="5627" width="18.1640625" style="1286" customWidth="1"/>
    <col min="5628" max="5628" width="17.1640625" style="1286" customWidth="1"/>
    <col min="5629" max="5629" width="10.83203125" style="1286" customWidth="1"/>
    <col min="5630" max="5630" width="11.5" style="1286" customWidth="1"/>
    <col min="5631" max="5631" width="19.5" style="1286" customWidth="1"/>
    <col min="5632" max="5632" width="12.6640625" style="1286" customWidth="1"/>
    <col min="5633" max="5633" width="87.6640625" style="1286" customWidth="1"/>
    <col min="5634" max="5875" width="9.33203125" style="1286"/>
    <col min="5876" max="5876" width="6.83203125" style="1286" bestFit="1" customWidth="1"/>
    <col min="5877" max="5877" width="30.1640625" style="1286" customWidth="1"/>
    <col min="5878" max="5878" width="9.5" style="1286" customWidth="1"/>
    <col min="5879" max="5879" width="35.5" style="1286" customWidth="1"/>
    <col min="5880" max="5880" width="16.83203125" style="1286" customWidth="1"/>
    <col min="5881" max="5881" width="16.6640625" style="1286" customWidth="1"/>
    <col min="5882" max="5882" width="13.5" style="1286" customWidth="1"/>
    <col min="5883" max="5883" width="18.1640625" style="1286" customWidth="1"/>
    <col min="5884" max="5884" width="17.1640625" style="1286" customWidth="1"/>
    <col min="5885" max="5885" width="10.83203125" style="1286" customWidth="1"/>
    <col min="5886" max="5886" width="11.5" style="1286" customWidth="1"/>
    <col min="5887" max="5887" width="19.5" style="1286" customWidth="1"/>
    <col min="5888" max="5888" width="12.6640625" style="1286" customWidth="1"/>
    <col min="5889" max="5889" width="87.6640625" style="1286" customWidth="1"/>
    <col min="5890" max="6131" width="9.33203125" style="1286"/>
    <col min="6132" max="6132" width="6.83203125" style="1286" bestFit="1" customWidth="1"/>
    <col min="6133" max="6133" width="30.1640625" style="1286" customWidth="1"/>
    <col min="6134" max="6134" width="9.5" style="1286" customWidth="1"/>
    <col min="6135" max="6135" width="35.5" style="1286" customWidth="1"/>
    <col min="6136" max="6136" width="16.83203125" style="1286" customWidth="1"/>
    <col min="6137" max="6137" width="16.6640625" style="1286" customWidth="1"/>
    <col min="6138" max="6138" width="13.5" style="1286" customWidth="1"/>
    <col min="6139" max="6139" width="18.1640625" style="1286" customWidth="1"/>
    <col min="6140" max="6140" width="17.1640625" style="1286" customWidth="1"/>
    <col min="6141" max="6141" width="10.83203125" style="1286" customWidth="1"/>
    <col min="6142" max="6142" width="11.5" style="1286" customWidth="1"/>
    <col min="6143" max="6143" width="19.5" style="1286" customWidth="1"/>
    <col min="6144" max="6144" width="12.6640625" style="1286" customWidth="1"/>
    <col min="6145" max="6145" width="87.6640625" style="1286" customWidth="1"/>
    <col min="6146" max="6387" width="9.33203125" style="1286"/>
    <col min="6388" max="6388" width="6.83203125" style="1286" bestFit="1" customWidth="1"/>
    <col min="6389" max="6389" width="30.1640625" style="1286" customWidth="1"/>
    <col min="6390" max="6390" width="9.5" style="1286" customWidth="1"/>
    <col min="6391" max="6391" width="35.5" style="1286" customWidth="1"/>
    <col min="6392" max="6392" width="16.83203125" style="1286" customWidth="1"/>
    <col min="6393" max="6393" width="16.6640625" style="1286" customWidth="1"/>
    <col min="6394" max="6394" width="13.5" style="1286" customWidth="1"/>
    <col min="6395" max="6395" width="18.1640625" style="1286" customWidth="1"/>
    <col min="6396" max="6396" width="17.1640625" style="1286" customWidth="1"/>
    <col min="6397" max="6397" width="10.83203125" style="1286" customWidth="1"/>
    <col min="6398" max="6398" width="11.5" style="1286" customWidth="1"/>
    <col min="6399" max="6399" width="19.5" style="1286" customWidth="1"/>
    <col min="6400" max="6400" width="12.6640625" style="1286" customWidth="1"/>
    <col min="6401" max="6401" width="87.6640625" style="1286" customWidth="1"/>
    <col min="6402" max="6643" width="9.33203125" style="1286"/>
    <col min="6644" max="6644" width="6.83203125" style="1286" bestFit="1" customWidth="1"/>
    <col min="6645" max="6645" width="30.1640625" style="1286" customWidth="1"/>
    <col min="6646" max="6646" width="9.5" style="1286" customWidth="1"/>
    <col min="6647" max="6647" width="35.5" style="1286" customWidth="1"/>
    <col min="6648" max="6648" width="16.83203125" style="1286" customWidth="1"/>
    <col min="6649" max="6649" width="16.6640625" style="1286" customWidth="1"/>
    <col min="6650" max="6650" width="13.5" style="1286" customWidth="1"/>
    <col min="6651" max="6651" width="18.1640625" style="1286" customWidth="1"/>
    <col min="6652" max="6652" width="17.1640625" style="1286" customWidth="1"/>
    <col min="6653" max="6653" width="10.83203125" style="1286" customWidth="1"/>
    <col min="6654" max="6654" width="11.5" style="1286" customWidth="1"/>
    <col min="6655" max="6655" width="19.5" style="1286" customWidth="1"/>
    <col min="6656" max="6656" width="12.6640625" style="1286" customWidth="1"/>
    <col min="6657" max="6657" width="87.6640625" style="1286" customWidth="1"/>
    <col min="6658" max="6899" width="9.33203125" style="1286"/>
    <col min="6900" max="6900" width="6.83203125" style="1286" bestFit="1" customWidth="1"/>
    <col min="6901" max="6901" width="30.1640625" style="1286" customWidth="1"/>
    <col min="6902" max="6902" width="9.5" style="1286" customWidth="1"/>
    <col min="6903" max="6903" width="35.5" style="1286" customWidth="1"/>
    <col min="6904" max="6904" width="16.83203125" style="1286" customWidth="1"/>
    <col min="6905" max="6905" width="16.6640625" style="1286" customWidth="1"/>
    <col min="6906" max="6906" width="13.5" style="1286" customWidth="1"/>
    <col min="6907" max="6907" width="18.1640625" style="1286" customWidth="1"/>
    <col min="6908" max="6908" width="17.1640625" style="1286" customWidth="1"/>
    <col min="6909" max="6909" width="10.83203125" style="1286" customWidth="1"/>
    <col min="6910" max="6910" width="11.5" style="1286" customWidth="1"/>
    <col min="6911" max="6911" width="19.5" style="1286" customWidth="1"/>
    <col min="6912" max="6912" width="12.6640625" style="1286" customWidth="1"/>
    <col min="6913" max="6913" width="87.6640625" style="1286" customWidth="1"/>
    <col min="6914" max="7155" width="9.33203125" style="1286"/>
    <col min="7156" max="7156" width="6.83203125" style="1286" bestFit="1" customWidth="1"/>
    <col min="7157" max="7157" width="30.1640625" style="1286" customWidth="1"/>
    <col min="7158" max="7158" width="9.5" style="1286" customWidth="1"/>
    <col min="7159" max="7159" width="35.5" style="1286" customWidth="1"/>
    <col min="7160" max="7160" width="16.83203125" style="1286" customWidth="1"/>
    <col min="7161" max="7161" width="16.6640625" style="1286" customWidth="1"/>
    <col min="7162" max="7162" width="13.5" style="1286" customWidth="1"/>
    <col min="7163" max="7163" width="18.1640625" style="1286" customWidth="1"/>
    <col min="7164" max="7164" width="17.1640625" style="1286" customWidth="1"/>
    <col min="7165" max="7165" width="10.83203125" style="1286" customWidth="1"/>
    <col min="7166" max="7166" width="11.5" style="1286" customWidth="1"/>
    <col min="7167" max="7167" width="19.5" style="1286" customWidth="1"/>
    <col min="7168" max="7168" width="12.6640625" style="1286" customWidth="1"/>
    <col min="7169" max="7169" width="87.6640625" style="1286" customWidth="1"/>
    <col min="7170" max="7411" width="9.33203125" style="1286"/>
    <col min="7412" max="7412" width="6.83203125" style="1286" bestFit="1" customWidth="1"/>
    <col min="7413" max="7413" width="30.1640625" style="1286" customWidth="1"/>
    <col min="7414" max="7414" width="9.5" style="1286" customWidth="1"/>
    <col min="7415" max="7415" width="35.5" style="1286" customWidth="1"/>
    <col min="7416" max="7416" width="16.83203125" style="1286" customWidth="1"/>
    <col min="7417" max="7417" width="16.6640625" style="1286" customWidth="1"/>
    <col min="7418" max="7418" width="13.5" style="1286" customWidth="1"/>
    <col min="7419" max="7419" width="18.1640625" style="1286" customWidth="1"/>
    <col min="7420" max="7420" width="17.1640625" style="1286" customWidth="1"/>
    <col min="7421" max="7421" width="10.83203125" style="1286" customWidth="1"/>
    <col min="7422" max="7422" width="11.5" style="1286" customWidth="1"/>
    <col min="7423" max="7423" width="19.5" style="1286" customWidth="1"/>
    <col min="7424" max="7424" width="12.6640625" style="1286" customWidth="1"/>
    <col min="7425" max="7425" width="87.6640625" style="1286" customWidth="1"/>
    <col min="7426" max="7667" width="9.33203125" style="1286"/>
    <col min="7668" max="7668" width="6.83203125" style="1286" bestFit="1" customWidth="1"/>
    <col min="7669" max="7669" width="30.1640625" style="1286" customWidth="1"/>
    <col min="7670" max="7670" width="9.5" style="1286" customWidth="1"/>
    <col min="7671" max="7671" width="35.5" style="1286" customWidth="1"/>
    <col min="7672" max="7672" width="16.83203125" style="1286" customWidth="1"/>
    <col min="7673" max="7673" width="16.6640625" style="1286" customWidth="1"/>
    <col min="7674" max="7674" width="13.5" style="1286" customWidth="1"/>
    <col min="7675" max="7675" width="18.1640625" style="1286" customWidth="1"/>
    <col min="7676" max="7676" width="17.1640625" style="1286" customWidth="1"/>
    <col min="7677" max="7677" width="10.83203125" style="1286" customWidth="1"/>
    <col min="7678" max="7678" width="11.5" style="1286" customWidth="1"/>
    <col min="7679" max="7679" width="19.5" style="1286" customWidth="1"/>
    <col min="7680" max="7680" width="12.6640625" style="1286" customWidth="1"/>
    <col min="7681" max="7681" width="87.6640625" style="1286" customWidth="1"/>
    <col min="7682" max="7923" width="9.33203125" style="1286"/>
    <col min="7924" max="7924" width="6.83203125" style="1286" bestFit="1" customWidth="1"/>
    <col min="7925" max="7925" width="30.1640625" style="1286" customWidth="1"/>
    <col min="7926" max="7926" width="9.5" style="1286" customWidth="1"/>
    <col min="7927" max="7927" width="35.5" style="1286" customWidth="1"/>
    <col min="7928" max="7928" width="16.83203125" style="1286" customWidth="1"/>
    <col min="7929" max="7929" width="16.6640625" style="1286" customWidth="1"/>
    <col min="7930" max="7930" width="13.5" style="1286" customWidth="1"/>
    <col min="7931" max="7931" width="18.1640625" style="1286" customWidth="1"/>
    <col min="7932" max="7932" width="17.1640625" style="1286" customWidth="1"/>
    <col min="7933" max="7933" width="10.83203125" style="1286" customWidth="1"/>
    <col min="7934" max="7934" width="11.5" style="1286" customWidth="1"/>
    <col min="7935" max="7935" width="19.5" style="1286" customWidth="1"/>
    <col min="7936" max="7936" width="12.6640625" style="1286" customWidth="1"/>
    <col min="7937" max="7937" width="87.6640625" style="1286" customWidth="1"/>
    <col min="7938" max="8179" width="9.33203125" style="1286"/>
    <col min="8180" max="8180" width="6.83203125" style="1286" bestFit="1" customWidth="1"/>
    <col min="8181" max="8181" width="30.1640625" style="1286" customWidth="1"/>
    <col min="8182" max="8182" width="9.5" style="1286" customWidth="1"/>
    <col min="8183" max="8183" width="35.5" style="1286" customWidth="1"/>
    <col min="8184" max="8184" width="16.83203125" style="1286" customWidth="1"/>
    <col min="8185" max="8185" width="16.6640625" style="1286" customWidth="1"/>
    <col min="8186" max="8186" width="13.5" style="1286" customWidth="1"/>
    <col min="8187" max="8187" width="18.1640625" style="1286" customWidth="1"/>
    <col min="8188" max="8188" width="17.1640625" style="1286" customWidth="1"/>
    <col min="8189" max="8189" width="10.83203125" style="1286" customWidth="1"/>
    <col min="8190" max="8190" width="11.5" style="1286" customWidth="1"/>
    <col min="8191" max="8191" width="19.5" style="1286" customWidth="1"/>
    <col min="8192" max="8192" width="12.6640625" style="1286" customWidth="1"/>
    <col min="8193" max="8193" width="87.6640625" style="1286" customWidth="1"/>
    <col min="8194" max="8435" width="9.33203125" style="1286"/>
    <col min="8436" max="8436" width="6.83203125" style="1286" bestFit="1" customWidth="1"/>
    <col min="8437" max="8437" width="30.1640625" style="1286" customWidth="1"/>
    <col min="8438" max="8438" width="9.5" style="1286" customWidth="1"/>
    <col min="8439" max="8439" width="35.5" style="1286" customWidth="1"/>
    <col min="8440" max="8440" width="16.83203125" style="1286" customWidth="1"/>
    <col min="8441" max="8441" width="16.6640625" style="1286" customWidth="1"/>
    <col min="8442" max="8442" width="13.5" style="1286" customWidth="1"/>
    <col min="8443" max="8443" width="18.1640625" style="1286" customWidth="1"/>
    <col min="8444" max="8444" width="17.1640625" style="1286" customWidth="1"/>
    <col min="8445" max="8445" width="10.83203125" style="1286" customWidth="1"/>
    <col min="8446" max="8446" width="11.5" style="1286" customWidth="1"/>
    <col min="8447" max="8447" width="19.5" style="1286" customWidth="1"/>
    <col min="8448" max="8448" width="12.6640625" style="1286" customWidth="1"/>
    <col min="8449" max="8449" width="87.6640625" style="1286" customWidth="1"/>
    <col min="8450" max="8691" width="9.33203125" style="1286"/>
    <col min="8692" max="8692" width="6.83203125" style="1286" bestFit="1" customWidth="1"/>
    <col min="8693" max="8693" width="30.1640625" style="1286" customWidth="1"/>
    <col min="8694" max="8694" width="9.5" style="1286" customWidth="1"/>
    <col min="8695" max="8695" width="35.5" style="1286" customWidth="1"/>
    <col min="8696" max="8696" width="16.83203125" style="1286" customWidth="1"/>
    <col min="8697" max="8697" width="16.6640625" style="1286" customWidth="1"/>
    <col min="8698" max="8698" width="13.5" style="1286" customWidth="1"/>
    <col min="8699" max="8699" width="18.1640625" style="1286" customWidth="1"/>
    <col min="8700" max="8700" width="17.1640625" style="1286" customWidth="1"/>
    <col min="8701" max="8701" width="10.83203125" style="1286" customWidth="1"/>
    <col min="8702" max="8702" width="11.5" style="1286" customWidth="1"/>
    <col min="8703" max="8703" width="19.5" style="1286" customWidth="1"/>
    <col min="8704" max="8704" width="12.6640625" style="1286" customWidth="1"/>
    <col min="8705" max="8705" width="87.6640625" style="1286" customWidth="1"/>
    <col min="8706" max="8947" width="9.33203125" style="1286"/>
    <col min="8948" max="8948" width="6.83203125" style="1286" bestFit="1" customWidth="1"/>
    <col min="8949" max="8949" width="30.1640625" style="1286" customWidth="1"/>
    <col min="8950" max="8950" width="9.5" style="1286" customWidth="1"/>
    <col min="8951" max="8951" width="35.5" style="1286" customWidth="1"/>
    <col min="8952" max="8952" width="16.83203125" style="1286" customWidth="1"/>
    <col min="8953" max="8953" width="16.6640625" style="1286" customWidth="1"/>
    <col min="8954" max="8954" width="13.5" style="1286" customWidth="1"/>
    <col min="8955" max="8955" width="18.1640625" style="1286" customWidth="1"/>
    <col min="8956" max="8956" width="17.1640625" style="1286" customWidth="1"/>
    <col min="8957" max="8957" width="10.83203125" style="1286" customWidth="1"/>
    <col min="8958" max="8958" width="11.5" style="1286" customWidth="1"/>
    <col min="8959" max="8959" width="19.5" style="1286" customWidth="1"/>
    <col min="8960" max="8960" width="12.6640625" style="1286" customWidth="1"/>
    <col min="8961" max="8961" width="87.6640625" style="1286" customWidth="1"/>
    <col min="8962" max="9203" width="9.33203125" style="1286"/>
    <col min="9204" max="9204" width="6.83203125" style="1286" bestFit="1" customWidth="1"/>
    <col min="9205" max="9205" width="30.1640625" style="1286" customWidth="1"/>
    <col min="9206" max="9206" width="9.5" style="1286" customWidth="1"/>
    <col min="9207" max="9207" width="35.5" style="1286" customWidth="1"/>
    <col min="9208" max="9208" width="16.83203125" style="1286" customWidth="1"/>
    <col min="9209" max="9209" width="16.6640625" style="1286" customWidth="1"/>
    <col min="9210" max="9210" width="13.5" style="1286" customWidth="1"/>
    <col min="9211" max="9211" width="18.1640625" style="1286" customWidth="1"/>
    <col min="9212" max="9212" width="17.1640625" style="1286" customWidth="1"/>
    <col min="9213" max="9213" width="10.83203125" style="1286" customWidth="1"/>
    <col min="9214" max="9214" width="11.5" style="1286" customWidth="1"/>
    <col min="9215" max="9215" width="19.5" style="1286" customWidth="1"/>
    <col min="9216" max="9216" width="12.6640625" style="1286" customWidth="1"/>
    <col min="9217" max="9217" width="87.6640625" style="1286" customWidth="1"/>
    <col min="9218" max="9459" width="9.33203125" style="1286"/>
    <col min="9460" max="9460" width="6.83203125" style="1286" bestFit="1" customWidth="1"/>
    <col min="9461" max="9461" width="30.1640625" style="1286" customWidth="1"/>
    <col min="9462" max="9462" width="9.5" style="1286" customWidth="1"/>
    <col min="9463" max="9463" width="35.5" style="1286" customWidth="1"/>
    <col min="9464" max="9464" width="16.83203125" style="1286" customWidth="1"/>
    <col min="9465" max="9465" width="16.6640625" style="1286" customWidth="1"/>
    <col min="9466" max="9466" width="13.5" style="1286" customWidth="1"/>
    <col min="9467" max="9467" width="18.1640625" style="1286" customWidth="1"/>
    <col min="9468" max="9468" width="17.1640625" style="1286" customWidth="1"/>
    <col min="9469" max="9469" width="10.83203125" style="1286" customWidth="1"/>
    <col min="9470" max="9470" width="11.5" style="1286" customWidth="1"/>
    <col min="9471" max="9471" width="19.5" style="1286" customWidth="1"/>
    <col min="9472" max="9472" width="12.6640625" style="1286" customWidth="1"/>
    <col min="9473" max="9473" width="87.6640625" style="1286" customWidth="1"/>
    <col min="9474" max="9715" width="9.33203125" style="1286"/>
    <col min="9716" max="9716" width="6.83203125" style="1286" bestFit="1" customWidth="1"/>
    <col min="9717" max="9717" width="30.1640625" style="1286" customWidth="1"/>
    <col min="9718" max="9718" width="9.5" style="1286" customWidth="1"/>
    <col min="9719" max="9719" width="35.5" style="1286" customWidth="1"/>
    <col min="9720" max="9720" width="16.83203125" style="1286" customWidth="1"/>
    <col min="9721" max="9721" width="16.6640625" style="1286" customWidth="1"/>
    <col min="9722" max="9722" width="13.5" style="1286" customWidth="1"/>
    <col min="9723" max="9723" width="18.1640625" style="1286" customWidth="1"/>
    <col min="9724" max="9724" width="17.1640625" style="1286" customWidth="1"/>
    <col min="9725" max="9725" width="10.83203125" style="1286" customWidth="1"/>
    <col min="9726" max="9726" width="11.5" style="1286" customWidth="1"/>
    <col min="9727" max="9727" width="19.5" style="1286" customWidth="1"/>
    <col min="9728" max="9728" width="12.6640625" style="1286" customWidth="1"/>
    <col min="9729" max="9729" width="87.6640625" style="1286" customWidth="1"/>
    <col min="9730" max="9971" width="9.33203125" style="1286"/>
    <col min="9972" max="9972" width="6.83203125" style="1286" bestFit="1" customWidth="1"/>
    <col min="9973" max="9973" width="30.1640625" style="1286" customWidth="1"/>
    <col min="9974" max="9974" width="9.5" style="1286" customWidth="1"/>
    <col min="9975" max="9975" width="35.5" style="1286" customWidth="1"/>
    <col min="9976" max="9976" width="16.83203125" style="1286" customWidth="1"/>
    <col min="9977" max="9977" width="16.6640625" style="1286" customWidth="1"/>
    <col min="9978" max="9978" width="13.5" style="1286" customWidth="1"/>
    <col min="9979" max="9979" width="18.1640625" style="1286" customWidth="1"/>
    <col min="9980" max="9980" width="17.1640625" style="1286" customWidth="1"/>
    <col min="9981" max="9981" width="10.83203125" style="1286" customWidth="1"/>
    <col min="9982" max="9982" width="11.5" style="1286" customWidth="1"/>
    <col min="9983" max="9983" width="19.5" style="1286" customWidth="1"/>
    <col min="9984" max="9984" width="12.6640625" style="1286" customWidth="1"/>
    <col min="9985" max="9985" width="87.6640625" style="1286" customWidth="1"/>
    <col min="9986" max="10227" width="9.33203125" style="1286"/>
    <col min="10228" max="10228" width="6.83203125" style="1286" bestFit="1" customWidth="1"/>
    <col min="10229" max="10229" width="30.1640625" style="1286" customWidth="1"/>
    <col min="10230" max="10230" width="9.5" style="1286" customWidth="1"/>
    <col min="10231" max="10231" width="35.5" style="1286" customWidth="1"/>
    <col min="10232" max="10232" width="16.83203125" style="1286" customWidth="1"/>
    <col min="10233" max="10233" width="16.6640625" style="1286" customWidth="1"/>
    <col min="10234" max="10234" width="13.5" style="1286" customWidth="1"/>
    <col min="10235" max="10235" width="18.1640625" style="1286" customWidth="1"/>
    <col min="10236" max="10236" width="17.1640625" style="1286" customWidth="1"/>
    <col min="10237" max="10237" width="10.83203125" style="1286" customWidth="1"/>
    <col min="10238" max="10238" width="11.5" style="1286" customWidth="1"/>
    <col min="10239" max="10239" width="19.5" style="1286" customWidth="1"/>
    <col min="10240" max="10240" width="12.6640625" style="1286" customWidth="1"/>
    <col min="10241" max="10241" width="87.6640625" style="1286" customWidth="1"/>
    <col min="10242" max="10483" width="9.33203125" style="1286"/>
    <col min="10484" max="10484" width="6.83203125" style="1286" bestFit="1" customWidth="1"/>
    <col min="10485" max="10485" width="30.1640625" style="1286" customWidth="1"/>
    <col min="10486" max="10486" width="9.5" style="1286" customWidth="1"/>
    <col min="10487" max="10487" width="35.5" style="1286" customWidth="1"/>
    <col min="10488" max="10488" width="16.83203125" style="1286" customWidth="1"/>
    <col min="10489" max="10489" width="16.6640625" style="1286" customWidth="1"/>
    <col min="10490" max="10490" width="13.5" style="1286" customWidth="1"/>
    <col min="10491" max="10491" width="18.1640625" style="1286" customWidth="1"/>
    <col min="10492" max="10492" width="17.1640625" style="1286" customWidth="1"/>
    <col min="10493" max="10493" width="10.83203125" style="1286" customWidth="1"/>
    <col min="10494" max="10494" width="11.5" style="1286" customWidth="1"/>
    <col min="10495" max="10495" width="19.5" style="1286" customWidth="1"/>
    <col min="10496" max="10496" width="12.6640625" style="1286" customWidth="1"/>
    <col min="10497" max="10497" width="87.6640625" style="1286" customWidth="1"/>
    <col min="10498" max="10739" width="9.33203125" style="1286"/>
    <col min="10740" max="10740" width="6.83203125" style="1286" bestFit="1" customWidth="1"/>
    <col min="10741" max="10741" width="30.1640625" style="1286" customWidth="1"/>
    <col min="10742" max="10742" width="9.5" style="1286" customWidth="1"/>
    <col min="10743" max="10743" width="35.5" style="1286" customWidth="1"/>
    <col min="10744" max="10744" width="16.83203125" style="1286" customWidth="1"/>
    <col min="10745" max="10745" width="16.6640625" style="1286" customWidth="1"/>
    <col min="10746" max="10746" width="13.5" style="1286" customWidth="1"/>
    <col min="10747" max="10747" width="18.1640625" style="1286" customWidth="1"/>
    <col min="10748" max="10748" width="17.1640625" style="1286" customWidth="1"/>
    <col min="10749" max="10749" width="10.83203125" style="1286" customWidth="1"/>
    <col min="10750" max="10750" width="11.5" style="1286" customWidth="1"/>
    <col min="10751" max="10751" width="19.5" style="1286" customWidth="1"/>
    <col min="10752" max="10752" width="12.6640625" style="1286" customWidth="1"/>
    <col min="10753" max="10753" width="87.6640625" style="1286" customWidth="1"/>
    <col min="10754" max="10995" width="9.33203125" style="1286"/>
    <col min="10996" max="10996" width="6.83203125" style="1286" bestFit="1" customWidth="1"/>
    <col min="10997" max="10997" width="30.1640625" style="1286" customWidth="1"/>
    <col min="10998" max="10998" width="9.5" style="1286" customWidth="1"/>
    <col min="10999" max="10999" width="35.5" style="1286" customWidth="1"/>
    <col min="11000" max="11000" width="16.83203125" style="1286" customWidth="1"/>
    <col min="11001" max="11001" width="16.6640625" style="1286" customWidth="1"/>
    <col min="11002" max="11002" width="13.5" style="1286" customWidth="1"/>
    <col min="11003" max="11003" width="18.1640625" style="1286" customWidth="1"/>
    <col min="11004" max="11004" width="17.1640625" style="1286" customWidth="1"/>
    <col min="11005" max="11005" width="10.83203125" style="1286" customWidth="1"/>
    <col min="11006" max="11006" width="11.5" style="1286" customWidth="1"/>
    <col min="11007" max="11007" width="19.5" style="1286" customWidth="1"/>
    <col min="11008" max="11008" width="12.6640625" style="1286" customWidth="1"/>
    <col min="11009" max="11009" width="87.6640625" style="1286" customWidth="1"/>
    <col min="11010" max="11251" width="9.33203125" style="1286"/>
    <col min="11252" max="11252" width="6.83203125" style="1286" bestFit="1" customWidth="1"/>
    <col min="11253" max="11253" width="30.1640625" style="1286" customWidth="1"/>
    <col min="11254" max="11254" width="9.5" style="1286" customWidth="1"/>
    <col min="11255" max="11255" width="35.5" style="1286" customWidth="1"/>
    <col min="11256" max="11256" width="16.83203125" style="1286" customWidth="1"/>
    <col min="11257" max="11257" width="16.6640625" style="1286" customWidth="1"/>
    <col min="11258" max="11258" width="13.5" style="1286" customWidth="1"/>
    <col min="11259" max="11259" width="18.1640625" style="1286" customWidth="1"/>
    <col min="11260" max="11260" width="17.1640625" style="1286" customWidth="1"/>
    <col min="11261" max="11261" width="10.83203125" style="1286" customWidth="1"/>
    <col min="11262" max="11262" width="11.5" style="1286" customWidth="1"/>
    <col min="11263" max="11263" width="19.5" style="1286" customWidth="1"/>
    <col min="11264" max="11264" width="12.6640625" style="1286" customWidth="1"/>
    <col min="11265" max="11265" width="87.6640625" style="1286" customWidth="1"/>
    <col min="11266" max="11507" width="9.33203125" style="1286"/>
    <col min="11508" max="11508" width="6.83203125" style="1286" bestFit="1" customWidth="1"/>
    <col min="11509" max="11509" width="30.1640625" style="1286" customWidth="1"/>
    <col min="11510" max="11510" width="9.5" style="1286" customWidth="1"/>
    <col min="11511" max="11511" width="35.5" style="1286" customWidth="1"/>
    <col min="11512" max="11512" width="16.83203125" style="1286" customWidth="1"/>
    <col min="11513" max="11513" width="16.6640625" style="1286" customWidth="1"/>
    <col min="11514" max="11514" width="13.5" style="1286" customWidth="1"/>
    <col min="11515" max="11515" width="18.1640625" style="1286" customWidth="1"/>
    <col min="11516" max="11516" width="17.1640625" style="1286" customWidth="1"/>
    <col min="11517" max="11517" width="10.83203125" style="1286" customWidth="1"/>
    <col min="11518" max="11518" width="11.5" style="1286" customWidth="1"/>
    <col min="11519" max="11519" width="19.5" style="1286" customWidth="1"/>
    <col min="11520" max="11520" width="12.6640625" style="1286" customWidth="1"/>
    <col min="11521" max="11521" width="87.6640625" style="1286" customWidth="1"/>
    <col min="11522" max="11763" width="9.33203125" style="1286"/>
    <col min="11764" max="11764" width="6.83203125" style="1286" bestFit="1" customWidth="1"/>
    <col min="11765" max="11765" width="30.1640625" style="1286" customWidth="1"/>
    <col min="11766" max="11766" width="9.5" style="1286" customWidth="1"/>
    <col min="11767" max="11767" width="35.5" style="1286" customWidth="1"/>
    <col min="11768" max="11768" width="16.83203125" style="1286" customWidth="1"/>
    <col min="11769" max="11769" width="16.6640625" style="1286" customWidth="1"/>
    <col min="11770" max="11770" width="13.5" style="1286" customWidth="1"/>
    <col min="11771" max="11771" width="18.1640625" style="1286" customWidth="1"/>
    <col min="11772" max="11772" width="17.1640625" style="1286" customWidth="1"/>
    <col min="11773" max="11773" width="10.83203125" style="1286" customWidth="1"/>
    <col min="11774" max="11774" width="11.5" style="1286" customWidth="1"/>
    <col min="11775" max="11775" width="19.5" style="1286" customWidth="1"/>
    <col min="11776" max="11776" width="12.6640625" style="1286" customWidth="1"/>
    <col min="11777" max="11777" width="87.6640625" style="1286" customWidth="1"/>
    <col min="11778" max="12019" width="9.33203125" style="1286"/>
    <col min="12020" max="12020" width="6.83203125" style="1286" bestFit="1" customWidth="1"/>
    <col min="12021" max="12021" width="30.1640625" style="1286" customWidth="1"/>
    <col min="12022" max="12022" width="9.5" style="1286" customWidth="1"/>
    <col min="12023" max="12023" width="35.5" style="1286" customWidth="1"/>
    <col min="12024" max="12024" width="16.83203125" style="1286" customWidth="1"/>
    <col min="12025" max="12025" width="16.6640625" style="1286" customWidth="1"/>
    <col min="12026" max="12026" width="13.5" style="1286" customWidth="1"/>
    <col min="12027" max="12027" width="18.1640625" style="1286" customWidth="1"/>
    <col min="12028" max="12028" width="17.1640625" style="1286" customWidth="1"/>
    <col min="12029" max="12029" width="10.83203125" style="1286" customWidth="1"/>
    <col min="12030" max="12030" width="11.5" style="1286" customWidth="1"/>
    <col min="12031" max="12031" width="19.5" style="1286" customWidth="1"/>
    <col min="12032" max="12032" width="12.6640625" style="1286" customWidth="1"/>
    <col min="12033" max="12033" width="87.6640625" style="1286" customWidth="1"/>
    <col min="12034" max="12275" width="9.33203125" style="1286"/>
    <col min="12276" max="12276" width="6.83203125" style="1286" bestFit="1" customWidth="1"/>
    <col min="12277" max="12277" width="30.1640625" style="1286" customWidth="1"/>
    <col min="12278" max="12278" width="9.5" style="1286" customWidth="1"/>
    <col min="12279" max="12279" width="35.5" style="1286" customWidth="1"/>
    <col min="12280" max="12280" width="16.83203125" style="1286" customWidth="1"/>
    <col min="12281" max="12281" width="16.6640625" style="1286" customWidth="1"/>
    <col min="12282" max="12282" width="13.5" style="1286" customWidth="1"/>
    <col min="12283" max="12283" width="18.1640625" style="1286" customWidth="1"/>
    <col min="12284" max="12284" width="17.1640625" style="1286" customWidth="1"/>
    <col min="12285" max="12285" width="10.83203125" style="1286" customWidth="1"/>
    <col min="12286" max="12286" width="11.5" style="1286" customWidth="1"/>
    <col min="12287" max="12287" width="19.5" style="1286" customWidth="1"/>
    <col min="12288" max="12288" width="12.6640625" style="1286" customWidth="1"/>
    <col min="12289" max="12289" width="87.6640625" style="1286" customWidth="1"/>
    <col min="12290" max="12531" width="9.33203125" style="1286"/>
    <col min="12532" max="12532" width="6.83203125" style="1286" bestFit="1" customWidth="1"/>
    <col min="12533" max="12533" width="30.1640625" style="1286" customWidth="1"/>
    <col min="12534" max="12534" width="9.5" style="1286" customWidth="1"/>
    <col min="12535" max="12535" width="35.5" style="1286" customWidth="1"/>
    <col min="12536" max="12536" width="16.83203125" style="1286" customWidth="1"/>
    <col min="12537" max="12537" width="16.6640625" style="1286" customWidth="1"/>
    <col min="12538" max="12538" width="13.5" style="1286" customWidth="1"/>
    <col min="12539" max="12539" width="18.1640625" style="1286" customWidth="1"/>
    <col min="12540" max="12540" width="17.1640625" style="1286" customWidth="1"/>
    <col min="12541" max="12541" width="10.83203125" style="1286" customWidth="1"/>
    <col min="12542" max="12542" width="11.5" style="1286" customWidth="1"/>
    <col min="12543" max="12543" width="19.5" style="1286" customWidth="1"/>
    <col min="12544" max="12544" width="12.6640625" style="1286" customWidth="1"/>
    <col min="12545" max="12545" width="87.6640625" style="1286" customWidth="1"/>
    <col min="12546" max="12787" width="9.33203125" style="1286"/>
    <col min="12788" max="12788" width="6.83203125" style="1286" bestFit="1" customWidth="1"/>
    <col min="12789" max="12789" width="30.1640625" style="1286" customWidth="1"/>
    <col min="12790" max="12790" width="9.5" style="1286" customWidth="1"/>
    <col min="12791" max="12791" width="35.5" style="1286" customWidth="1"/>
    <col min="12792" max="12792" width="16.83203125" style="1286" customWidth="1"/>
    <col min="12793" max="12793" width="16.6640625" style="1286" customWidth="1"/>
    <col min="12794" max="12794" width="13.5" style="1286" customWidth="1"/>
    <col min="12795" max="12795" width="18.1640625" style="1286" customWidth="1"/>
    <col min="12796" max="12796" width="17.1640625" style="1286" customWidth="1"/>
    <col min="12797" max="12797" width="10.83203125" style="1286" customWidth="1"/>
    <col min="12798" max="12798" width="11.5" style="1286" customWidth="1"/>
    <col min="12799" max="12799" width="19.5" style="1286" customWidth="1"/>
    <col min="12800" max="12800" width="12.6640625" style="1286" customWidth="1"/>
    <col min="12801" max="12801" width="87.6640625" style="1286" customWidth="1"/>
    <col min="12802" max="13043" width="9.33203125" style="1286"/>
    <col min="13044" max="13044" width="6.83203125" style="1286" bestFit="1" customWidth="1"/>
    <col min="13045" max="13045" width="30.1640625" style="1286" customWidth="1"/>
    <col min="13046" max="13046" width="9.5" style="1286" customWidth="1"/>
    <col min="13047" max="13047" width="35.5" style="1286" customWidth="1"/>
    <col min="13048" max="13048" width="16.83203125" style="1286" customWidth="1"/>
    <col min="13049" max="13049" width="16.6640625" style="1286" customWidth="1"/>
    <col min="13050" max="13050" width="13.5" style="1286" customWidth="1"/>
    <col min="13051" max="13051" width="18.1640625" style="1286" customWidth="1"/>
    <col min="13052" max="13052" width="17.1640625" style="1286" customWidth="1"/>
    <col min="13053" max="13053" width="10.83203125" style="1286" customWidth="1"/>
    <col min="13054" max="13054" width="11.5" style="1286" customWidth="1"/>
    <col min="13055" max="13055" width="19.5" style="1286" customWidth="1"/>
    <col min="13056" max="13056" width="12.6640625" style="1286" customWidth="1"/>
    <col min="13057" max="13057" width="87.6640625" style="1286" customWidth="1"/>
    <col min="13058" max="13299" width="9.33203125" style="1286"/>
    <col min="13300" max="13300" width="6.83203125" style="1286" bestFit="1" customWidth="1"/>
    <col min="13301" max="13301" width="30.1640625" style="1286" customWidth="1"/>
    <col min="13302" max="13302" width="9.5" style="1286" customWidth="1"/>
    <col min="13303" max="13303" width="35.5" style="1286" customWidth="1"/>
    <col min="13304" max="13304" width="16.83203125" style="1286" customWidth="1"/>
    <col min="13305" max="13305" width="16.6640625" style="1286" customWidth="1"/>
    <col min="13306" max="13306" width="13.5" style="1286" customWidth="1"/>
    <col min="13307" max="13307" width="18.1640625" style="1286" customWidth="1"/>
    <col min="13308" max="13308" width="17.1640625" style="1286" customWidth="1"/>
    <col min="13309" max="13309" width="10.83203125" style="1286" customWidth="1"/>
    <col min="13310" max="13310" width="11.5" style="1286" customWidth="1"/>
    <col min="13311" max="13311" width="19.5" style="1286" customWidth="1"/>
    <col min="13312" max="13312" width="12.6640625" style="1286" customWidth="1"/>
    <col min="13313" max="13313" width="87.6640625" style="1286" customWidth="1"/>
    <col min="13314" max="13555" width="9.33203125" style="1286"/>
    <col min="13556" max="13556" width="6.83203125" style="1286" bestFit="1" customWidth="1"/>
    <col min="13557" max="13557" width="30.1640625" style="1286" customWidth="1"/>
    <col min="13558" max="13558" width="9.5" style="1286" customWidth="1"/>
    <col min="13559" max="13559" width="35.5" style="1286" customWidth="1"/>
    <col min="13560" max="13560" width="16.83203125" style="1286" customWidth="1"/>
    <col min="13561" max="13561" width="16.6640625" style="1286" customWidth="1"/>
    <col min="13562" max="13562" width="13.5" style="1286" customWidth="1"/>
    <col min="13563" max="13563" width="18.1640625" style="1286" customWidth="1"/>
    <col min="13564" max="13564" width="17.1640625" style="1286" customWidth="1"/>
    <col min="13565" max="13565" width="10.83203125" style="1286" customWidth="1"/>
    <col min="13566" max="13566" width="11.5" style="1286" customWidth="1"/>
    <col min="13567" max="13567" width="19.5" style="1286" customWidth="1"/>
    <col min="13568" max="13568" width="12.6640625" style="1286" customWidth="1"/>
    <col min="13569" max="13569" width="87.6640625" style="1286" customWidth="1"/>
    <col min="13570" max="13811" width="9.33203125" style="1286"/>
    <col min="13812" max="13812" width="6.83203125" style="1286" bestFit="1" customWidth="1"/>
    <col min="13813" max="13813" width="30.1640625" style="1286" customWidth="1"/>
    <col min="13814" max="13814" width="9.5" style="1286" customWidth="1"/>
    <col min="13815" max="13815" width="35.5" style="1286" customWidth="1"/>
    <col min="13816" max="13816" width="16.83203125" style="1286" customWidth="1"/>
    <col min="13817" max="13817" width="16.6640625" style="1286" customWidth="1"/>
    <col min="13818" max="13818" width="13.5" style="1286" customWidth="1"/>
    <col min="13819" max="13819" width="18.1640625" style="1286" customWidth="1"/>
    <col min="13820" max="13820" width="17.1640625" style="1286" customWidth="1"/>
    <col min="13821" max="13821" width="10.83203125" style="1286" customWidth="1"/>
    <col min="13822" max="13822" width="11.5" style="1286" customWidth="1"/>
    <col min="13823" max="13823" width="19.5" style="1286" customWidth="1"/>
    <col min="13824" max="13824" width="12.6640625" style="1286" customWidth="1"/>
    <col min="13825" max="13825" width="87.6640625" style="1286" customWidth="1"/>
    <col min="13826" max="14067" width="9.33203125" style="1286"/>
    <col min="14068" max="14068" width="6.83203125" style="1286" bestFit="1" customWidth="1"/>
    <col min="14069" max="14069" width="30.1640625" style="1286" customWidth="1"/>
    <col min="14070" max="14070" width="9.5" style="1286" customWidth="1"/>
    <col min="14071" max="14071" width="35.5" style="1286" customWidth="1"/>
    <col min="14072" max="14072" width="16.83203125" style="1286" customWidth="1"/>
    <col min="14073" max="14073" width="16.6640625" style="1286" customWidth="1"/>
    <col min="14074" max="14074" width="13.5" style="1286" customWidth="1"/>
    <col min="14075" max="14075" width="18.1640625" style="1286" customWidth="1"/>
    <col min="14076" max="14076" width="17.1640625" style="1286" customWidth="1"/>
    <col min="14077" max="14077" width="10.83203125" style="1286" customWidth="1"/>
    <col min="14078" max="14078" width="11.5" style="1286" customWidth="1"/>
    <col min="14079" max="14079" width="19.5" style="1286" customWidth="1"/>
    <col min="14080" max="14080" width="12.6640625" style="1286" customWidth="1"/>
    <col min="14081" max="14081" width="87.6640625" style="1286" customWidth="1"/>
    <col min="14082" max="14323" width="9.33203125" style="1286"/>
    <col min="14324" max="14324" width="6.83203125" style="1286" bestFit="1" customWidth="1"/>
    <col min="14325" max="14325" width="30.1640625" style="1286" customWidth="1"/>
    <col min="14326" max="14326" width="9.5" style="1286" customWidth="1"/>
    <col min="14327" max="14327" width="35.5" style="1286" customWidth="1"/>
    <col min="14328" max="14328" width="16.83203125" style="1286" customWidth="1"/>
    <col min="14329" max="14329" width="16.6640625" style="1286" customWidth="1"/>
    <col min="14330" max="14330" width="13.5" style="1286" customWidth="1"/>
    <col min="14331" max="14331" width="18.1640625" style="1286" customWidth="1"/>
    <col min="14332" max="14332" width="17.1640625" style="1286" customWidth="1"/>
    <col min="14333" max="14333" width="10.83203125" style="1286" customWidth="1"/>
    <col min="14334" max="14334" width="11.5" style="1286" customWidth="1"/>
    <col min="14335" max="14335" width="19.5" style="1286" customWidth="1"/>
    <col min="14336" max="14336" width="12.6640625" style="1286" customWidth="1"/>
    <col min="14337" max="14337" width="87.6640625" style="1286" customWidth="1"/>
    <col min="14338" max="14579" width="9.33203125" style="1286"/>
    <col min="14580" max="14580" width="6.83203125" style="1286" bestFit="1" customWidth="1"/>
    <col min="14581" max="14581" width="30.1640625" style="1286" customWidth="1"/>
    <col min="14582" max="14582" width="9.5" style="1286" customWidth="1"/>
    <col min="14583" max="14583" width="35.5" style="1286" customWidth="1"/>
    <col min="14584" max="14584" width="16.83203125" style="1286" customWidth="1"/>
    <col min="14585" max="14585" width="16.6640625" style="1286" customWidth="1"/>
    <col min="14586" max="14586" width="13.5" style="1286" customWidth="1"/>
    <col min="14587" max="14587" width="18.1640625" style="1286" customWidth="1"/>
    <col min="14588" max="14588" width="17.1640625" style="1286" customWidth="1"/>
    <col min="14589" max="14589" width="10.83203125" style="1286" customWidth="1"/>
    <col min="14590" max="14590" width="11.5" style="1286" customWidth="1"/>
    <col min="14591" max="14591" width="19.5" style="1286" customWidth="1"/>
    <col min="14592" max="14592" width="12.6640625" style="1286" customWidth="1"/>
    <col min="14593" max="14593" width="87.6640625" style="1286" customWidth="1"/>
    <col min="14594" max="14835" width="9.33203125" style="1286"/>
    <col min="14836" max="14836" width="6.83203125" style="1286" bestFit="1" customWidth="1"/>
    <col min="14837" max="14837" width="30.1640625" style="1286" customWidth="1"/>
    <col min="14838" max="14838" width="9.5" style="1286" customWidth="1"/>
    <col min="14839" max="14839" width="35.5" style="1286" customWidth="1"/>
    <col min="14840" max="14840" width="16.83203125" style="1286" customWidth="1"/>
    <col min="14841" max="14841" width="16.6640625" style="1286" customWidth="1"/>
    <col min="14842" max="14842" width="13.5" style="1286" customWidth="1"/>
    <col min="14843" max="14843" width="18.1640625" style="1286" customWidth="1"/>
    <col min="14844" max="14844" width="17.1640625" style="1286" customWidth="1"/>
    <col min="14845" max="14845" width="10.83203125" style="1286" customWidth="1"/>
    <col min="14846" max="14846" width="11.5" style="1286" customWidth="1"/>
    <col min="14847" max="14847" width="19.5" style="1286" customWidth="1"/>
    <col min="14848" max="14848" width="12.6640625" style="1286" customWidth="1"/>
    <col min="14849" max="14849" width="87.6640625" style="1286" customWidth="1"/>
    <col min="14850" max="15091" width="9.33203125" style="1286"/>
    <col min="15092" max="15092" width="6.83203125" style="1286" bestFit="1" customWidth="1"/>
    <col min="15093" max="15093" width="30.1640625" style="1286" customWidth="1"/>
    <col min="15094" max="15094" width="9.5" style="1286" customWidth="1"/>
    <col min="15095" max="15095" width="35.5" style="1286" customWidth="1"/>
    <col min="15096" max="15096" width="16.83203125" style="1286" customWidth="1"/>
    <col min="15097" max="15097" width="16.6640625" style="1286" customWidth="1"/>
    <col min="15098" max="15098" width="13.5" style="1286" customWidth="1"/>
    <col min="15099" max="15099" width="18.1640625" style="1286" customWidth="1"/>
    <col min="15100" max="15100" width="17.1640625" style="1286" customWidth="1"/>
    <col min="15101" max="15101" width="10.83203125" style="1286" customWidth="1"/>
    <col min="15102" max="15102" width="11.5" style="1286" customWidth="1"/>
    <col min="15103" max="15103" width="19.5" style="1286" customWidth="1"/>
    <col min="15104" max="15104" width="12.6640625" style="1286" customWidth="1"/>
    <col min="15105" max="15105" width="87.6640625" style="1286" customWidth="1"/>
    <col min="15106" max="15347" width="9.33203125" style="1286"/>
    <col min="15348" max="15348" width="6.83203125" style="1286" bestFit="1" customWidth="1"/>
    <col min="15349" max="15349" width="30.1640625" style="1286" customWidth="1"/>
    <col min="15350" max="15350" width="9.5" style="1286" customWidth="1"/>
    <col min="15351" max="15351" width="35.5" style="1286" customWidth="1"/>
    <col min="15352" max="15352" width="16.83203125" style="1286" customWidth="1"/>
    <col min="15353" max="15353" width="16.6640625" style="1286" customWidth="1"/>
    <col min="15354" max="15354" width="13.5" style="1286" customWidth="1"/>
    <col min="15355" max="15355" width="18.1640625" style="1286" customWidth="1"/>
    <col min="15356" max="15356" width="17.1640625" style="1286" customWidth="1"/>
    <col min="15357" max="15357" width="10.83203125" style="1286" customWidth="1"/>
    <col min="15358" max="15358" width="11.5" style="1286" customWidth="1"/>
    <col min="15359" max="15359" width="19.5" style="1286" customWidth="1"/>
    <col min="15360" max="15360" width="12.6640625" style="1286" customWidth="1"/>
    <col min="15361" max="15361" width="87.6640625" style="1286" customWidth="1"/>
    <col min="15362" max="15603" width="9.33203125" style="1286"/>
    <col min="15604" max="15604" width="6.83203125" style="1286" bestFit="1" customWidth="1"/>
    <col min="15605" max="15605" width="30.1640625" style="1286" customWidth="1"/>
    <col min="15606" max="15606" width="9.5" style="1286" customWidth="1"/>
    <col min="15607" max="15607" width="35.5" style="1286" customWidth="1"/>
    <col min="15608" max="15608" width="16.83203125" style="1286" customWidth="1"/>
    <col min="15609" max="15609" width="16.6640625" style="1286" customWidth="1"/>
    <col min="15610" max="15610" width="13.5" style="1286" customWidth="1"/>
    <col min="15611" max="15611" width="18.1640625" style="1286" customWidth="1"/>
    <col min="15612" max="15612" width="17.1640625" style="1286" customWidth="1"/>
    <col min="15613" max="15613" width="10.83203125" style="1286" customWidth="1"/>
    <col min="15614" max="15614" width="11.5" style="1286" customWidth="1"/>
    <col min="15615" max="15615" width="19.5" style="1286" customWidth="1"/>
    <col min="15616" max="15616" width="12.6640625" style="1286" customWidth="1"/>
    <col min="15617" max="15617" width="87.6640625" style="1286" customWidth="1"/>
    <col min="15618" max="15859" width="9.33203125" style="1286"/>
    <col min="15860" max="15860" width="6.83203125" style="1286" bestFit="1" customWidth="1"/>
    <col min="15861" max="15861" width="30.1640625" style="1286" customWidth="1"/>
    <col min="15862" max="15862" width="9.5" style="1286" customWidth="1"/>
    <col min="15863" max="15863" width="35.5" style="1286" customWidth="1"/>
    <col min="15864" max="15864" width="16.83203125" style="1286" customWidth="1"/>
    <col min="15865" max="15865" width="16.6640625" style="1286" customWidth="1"/>
    <col min="15866" max="15866" width="13.5" style="1286" customWidth="1"/>
    <col min="15867" max="15867" width="18.1640625" style="1286" customWidth="1"/>
    <col min="15868" max="15868" width="17.1640625" style="1286" customWidth="1"/>
    <col min="15869" max="15869" width="10.83203125" style="1286" customWidth="1"/>
    <col min="15870" max="15870" width="11.5" style="1286" customWidth="1"/>
    <col min="15871" max="15871" width="19.5" style="1286" customWidth="1"/>
    <col min="15872" max="15872" width="12.6640625" style="1286" customWidth="1"/>
    <col min="15873" max="15873" width="87.6640625" style="1286" customWidth="1"/>
    <col min="15874" max="16115" width="9.33203125" style="1286"/>
    <col min="16116" max="16116" width="6.83203125" style="1286" bestFit="1" customWidth="1"/>
    <col min="16117" max="16117" width="30.1640625" style="1286" customWidth="1"/>
    <col min="16118" max="16118" width="9.5" style="1286" customWidth="1"/>
    <col min="16119" max="16119" width="35.5" style="1286" customWidth="1"/>
    <col min="16120" max="16120" width="16.83203125" style="1286" customWidth="1"/>
    <col min="16121" max="16121" width="16.6640625" style="1286" customWidth="1"/>
    <col min="16122" max="16122" width="13.5" style="1286" customWidth="1"/>
    <col min="16123" max="16123" width="18.1640625" style="1286" customWidth="1"/>
    <col min="16124" max="16124" width="17.1640625" style="1286" customWidth="1"/>
    <col min="16125" max="16125" width="10.83203125" style="1286" customWidth="1"/>
    <col min="16126" max="16126" width="11.5" style="1286" customWidth="1"/>
    <col min="16127" max="16127" width="19.5" style="1286" customWidth="1"/>
    <col min="16128" max="16128" width="12.6640625" style="1286" customWidth="1"/>
    <col min="16129" max="16129" width="87.6640625" style="1286" customWidth="1"/>
    <col min="16130" max="16384" width="9.33203125" style="1286"/>
  </cols>
  <sheetData>
    <row r="1" spans="1:12" ht="27" customHeight="1" x14ac:dyDescent="0.2"/>
    <row r="2" spans="1:12" ht="19.5" customHeight="1" x14ac:dyDescent="0.3">
      <c r="A2" s="3878" t="s">
        <v>1443</v>
      </c>
      <c r="B2" s="3878"/>
      <c r="C2" s="3878"/>
      <c r="D2" s="3878"/>
      <c r="E2" s="3878"/>
      <c r="F2" s="3878"/>
      <c r="G2" s="3878"/>
      <c r="H2" s="3878"/>
      <c r="I2" s="3878"/>
      <c r="J2" s="3878"/>
      <c r="K2" s="3878"/>
      <c r="L2" s="3878"/>
    </row>
    <row r="3" spans="1:12" ht="19.5" customHeight="1" x14ac:dyDescent="0.2">
      <c r="C3" s="1287"/>
      <c r="D3" s="1287"/>
      <c r="E3" s="1287"/>
      <c r="F3" s="1287"/>
      <c r="G3" s="1287"/>
      <c r="H3" s="1287"/>
      <c r="I3" s="1287"/>
    </row>
    <row r="4" spans="1:12" ht="14.25" customHeight="1" x14ac:dyDescent="0.2">
      <c r="C4" s="3879" t="s">
        <v>1444</v>
      </c>
      <c r="D4" s="3879"/>
      <c r="E4" s="3879"/>
      <c r="F4" s="3879"/>
      <c r="G4" s="3879"/>
      <c r="H4" s="3879"/>
      <c r="I4" s="3879"/>
    </row>
    <row r="5" spans="1:12" x14ac:dyDescent="0.2">
      <c r="E5" s="3880"/>
      <c r="F5" s="3880"/>
      <c r="G5" s="3880"/>
      <c r="H5" s="3880"/>
      <c r="L5" s="1288" t="s">
        <v>1311</v>
      </c>
    </row>
    <row r="6" spans="1:12" x14ac:dyDescent="0.2">
      <c r="L6" s="1288" t="s">
        <v>177</v>
      </c>
    </row>
    <row r="7" spans="1:12" ht="17.25" customHeight="1" x14ac:dyDescent="0.2">
      <c r="A7" s="3881" t="s">
        <v>78</v>
      </c>
      <c r="B7" s="3881" t="s">
        <v>1445</v>
      </c>
      <c r="C7" s="3883" t="s">
        <v>1446</v>
      </c>
      <c r="D7" s="3884" t="s">
        <v>1447</v>
      </c>
      <c r="E7" s="3885">
        <v>2020</v>
      </c>
      <c r="F7" s="3885"/>
      <c r="G7" s="3885"/>
      <c r="H7" s="3885"/>
      <c r="I7" s="3885"/>
      <c r="J7" s="3886" t="s">
        <v>178</v>
      </c>
      <c r="K7" s="3886" t="s">
        <v>179</v>
      </c>
      <c r="L7" s="3891" t="s">
        <v>180</v>
      </c>
    </row>
    <row r="8" spans="1:12" ht="46.5" customHeight="1" x14ac:dyDescent="0.2">
      <c r="A8" s="3882"/>
      <c r="B8" s="3882"/>
      <c r="C8" s="3883"/>
      <c r="D8" s="3884"/>
      <c r="E8" s="1289" t="s">
        <v>1448</v>
      </c>
      <c r="F8" s="1289" t="s">
        <v>1356</v>
      </c>
      <c r="G8" s="1289" t="s">
        <v>1449</v>
      </c>
      <c r="H8" s="1289" t="s">
        <v>1450</v>
      </c>
      <c r="I8" s="1290" t="s">
        <v>181</v>
      </c>
      <c r="J8" s="3887"/>
      <c r="K8" s="3887"/>
      <c r="L8" s="3892"/>
    </row>
    <row r="9" spans="1:12" s="1297" customFormat="1" ht="13.5" x14ac:dyDescent="0.25">
      <c r="A9" s="1291"/>
      <c r="B9" s="1292" t="s">
        <v>182</v>
      </c>
      <c r="C9" s="1293"/>
      <c r="D9" s="1292"/>
      <c r="E9" s="1294">
        <f>E10+E14+E18</f>
        <v>103</v>
      </c>
      <c r="F9" s="1294">
        <f>F10+F14+F18</f>
        <v>6</v>
      </c>
      <c r="G9" s="1294">
        <f>G10+G14+G18</f>
        <v>14</v>
      </c>
      <c r="H9" s="1295"/>
      <c r="I9" s="1295">
        <f>E9</f>
        <v>103</v>
      </c>
      <c r="J9" s="1295">
        <v>103</v>
      </c>
      <c r="K9" s="1295">
        <v>103</v>
      </c>
      <c r="L9" s="1296"/>
    </row>
    <row r="10" spans="1:12" s="1304" customFormat="1" ht="13.5" x14ac:dyDescent="0.2">
      <c r="A10" s="1298" t="s">
        <v>1087</v>
      </c>
      <c r="B10" s="1299"/>
      <c r="C10" s="1300" t="s">
        <v>1451</v>
      </c>
      <c r="D10" s="1299" t="s">
        <v>1452</v>
      </c>
      <c r="E10" s="1301">
        <f>E13+E11+E12</f>
        <v>7</v>
      </c>
      <c r="F10" s="1301">
        <f>F13+F11+F12</f>
        <v>2</v>
      </c>
      <c r="G10" s="1301">
        <f>G13+G11+G12</f>
        <v>7</v>
      </c>
      <c r="H10" s="1302"/>
      <c r="I10" s="1302">
        <f>I13+I11+I12</f>
        <v>7</v>
      </c>
      <c r="J10" s="1302">
        <v>7</v>
      </c>
      <c r="K10" s="1302">
        <v>7</v>
      </c>
      <c r="L10" s="1303"/>
    </row>
    <row r="11" spans="1:12" s="1313" customFormat="1" ht="66" customHeight="1" x14ac:dyDescent="0.25">
      <c r="A11" s="1305"/>
      <c r="B11" s="1306" t="s">
        <v>1444</v>
      </c>
      <c r="C11" s="1300" t="s">
        <v>1451</v>
      </c>
      <c r="D11" s="1307" t="s">
        <v>1453</v>
      </c>
      <c r="E11" s="1308">
        <f>0.5*G11*F11</f>
        <v>7</v>
      </c>
      <c r="F11" s="1309">
        <v>2</v>
      </c>
      <c r="G11" s="1309">
        <v>7</v>
      </c>
      <c r="H11" s="1310" t="s">
        <v>1454</v>
      </c>
      <c r="I11" s="1311">
        <f>E11</f>
        <v>7</v>
      </c>
      <c r="J11" s="1308">
        <v>7</v>
      </c>
      <c r="K11" s="1308">
        <v>7</v>
      </c>
      <c r="L11" s="1312" t="s">
        <v>1455</v>
      </c>
    </row>
    <row r="12" spans="1:12" s="1313" customFormat="1" ht="27" customHeight="1" x14ac:dyDescent="0.2">
      <c r="A12" s="1305"/>
      <c r="B12" s="1306"/>
      <c r="C12" s="1300" t="s">
        <v>1451</v>
      </c>
      <c r="D12" s="1307"/>
      <c r="E12" s="1314"/>
      <c r="F12" s="1314"/>
      <c r="G12" s="1314"/>
      <c r="H12" s="1315"/>
      <c r="I12" s="1316">
        <f>E12</f>
        <v>0</v>
      </c>
      <c r="J12" s="1317"/>
      <c r="K12" s="1317"/>
      <c r="L12" s="1303"/>
    </row>
    <row r="13" spans="1:12" s="1313" customFormat="1" ht="17.25" customHeight="1" x14ac:dyDescent="0.2">
      <c r="A13" s="1305"/>
      <c r="B13" s="1306"/>
      <c r="C13" s="1300" t="s">
        <v>1451</v>
      </c>
      <c r="D13" s="1307"/>
      <c r="E13" s="1314"/>
      <c r="F13" s="1314"/>
      <c r="G13" s="1314"/>
      <c r="H13" s="1318" t="s">
        <v>1456</v>
      </c>
      <c r="I13" s="1316"/>
      <c r="J13" s="1317"/>
      <c r="K13" s="1317"/>
    </row>
    <row r="14" spans="1:12" s="1304" customFormat="1" ht="27" x14ac:dyDescent="0.2">
      <c r="A14" s="1319" t="s">
        <v>1088</v>
      </c>
      <c r="B14" s="1320"/>
      <c r="C14" s="1300" t="s">
        <v>1457</v>
      </c>
      <c r="D14" s="1321" t="s">
        <v>1458</v>
      </c>
      <c r="E14" s="1301">
        <f>E17+E15+E16</f>
        <v>68</v>
      </c>
      <c r="F14" s="1301">
        <f>F17+F15+F16</f>
        <v>2</v>
      </c>
      <c r="G14" s="1301">
        <f>G17+G15+G16</f>
        <v>0</v>
      </c>
      <c r="H14" s="1302"/>
      <c r="I14" s="1302">
        <f>I17+I15+I16</f>
        <v>68</v>
      </c>
      <c r="J14" s="1322">
        <v>68</v>
      </c>
      <c r="K14" s="1322">
        <v>68</v>
      </c>
      <c r="L14" s="1303"/>
    </row>
    <row r="15" spans="1:12" s="1313" customFormat="1" ht="65.25" customHeight="1" x14ac:dyDescent="0.25">
      <c r="A15" s="1305"/>
      <c r="B15" s="1306" t="s">
        <v>1444</v>
      </c>
      <c r="C15" s="1300" t="s">
        <v>1457</v>
      </c>
      <c r="D15" s="1307" t="s">
        <v>1459</v>
      </c>
      <c r="E15" s="1314">
        <f>34*F15</f>
        <v>68</v>
      </c>
      <c r="F15" s="1314">
        <v>2</v>
      </c>
      <c r="G15" s="1314"/>
      <c r="H15" s="1310" t="s">
        <v>1460</v>
      </c>
      <c r="I15" s="1316">
        <f>E15</f>
        <v>68</v>
      </c>
      <c r="J15" s="1323">
        <v>68</v>
      </c>
      <c r="K15" s="1323">
        <v>68</v>
      </c>
      <c r="L15" s="1312" t="s">
        <v>1455</v>
      </c>
    </row>
    <row r="16" spans="1:12" s="1313" customFormat="1" ht="31.5" customHeight="1" x14ac:dyDescent="0.2">
      <c r="A16" s="1305"/>
      <c r="B16" s="1306"/>
      <c r="C16" s="1300" t="s">
        <v>1457</v>
      </c>
      <c r="D16" s="1307" t="s">
        <v>1459</v>
      </c>
      <c r="E16" s="1314"/>
      <c r="F16" s="1314"/>
      <c r="G16" s="1314"/>
      <c r="H16" s="1315"/>
      <c r="I16" s="1316">
        <f>E16</f>
        <v>0</v>
      </c>
      <c r="J16" s="1323"/>
      <c r="K16" s="1323"/>
      <c r="L16" s="1324"/>
    </row>
    <row r="17" spans="1:12" s="1313" customFormat="1" ht="13.5" x14ac:dyDescent="0.2">
      <c r="A17" s="1305"/>
      <c r="B17" s="1306"/>
      <c r="C17" s="1300" t="s">
        <v>1457</v>
      </c>
      <c r="D17" s="1307" t="s">
        <v>1459</v>
      </c>
      <c r="E17" s="1314"/>
      <c r="F17" s="1314"/>
      <c r="G17" s="1314"/>
      <c r="H17" s="1325"/>
      <c r="I17" s="1316"/>
      <c r="J17" s="1323"/>
      <c r="K17" s="1323"/>
      <c r="L17" s="1324"/>
    </row>
    <row r="18" spans="1:12" s="1313" customFormat="1" ht="13.5" x14ac:dyDescent="0.2">
      <c r="A18" s="1319" t="s">
        <v>1089</v>
      </c>
      <c r="B18" s="1320"/>
      <c r="C18" s="1300" t="s">
        <v>1461</v>
      </c>
      <c r="D18" s="1321" t="s">
        <v>1462</v>
      </c>
      <c r="E18" s="1301">
        <f>E21+E19+E20</f>
        <v>28</v>
      </c>
      <c r="F18" s="1301">
        <f>F21+F19+F20</f>
        <v>2</v>
      </c>
      <c r="G18" s="1301">
        <f>G21+G19+G20</f>
        <v>7</v>
      </c>
      <c r="H18" s="1302"/>
      <c r="I18" s="1302">
        <f>I21+I19+I20</f>
        <v>28</v>
      </c>
      <c r="J18" s="1326">
        <v>28</v>
      </c>
      <c r="K18" s="1326">
        <v>28</v>
      </c>
      <c r="L18" s="1324"/>
    </row>
    <row r="19" spans="1:12" s="1313" customFormat="1" ht="69" customHeight="1" x14ac:dyDescent="0.25">
      <c r="A19" s="1305"/>
      <c r="B19" s="1306" t="s">
        <v>1444</v>
      </c>
      <c r="C19" s="1300" t="s">
        <v>1461</v>
      </c>
      <c r="D19" s="1307" t="s">
        <v>1463</v>
      </c>
      <c r="E19" s="1314">
        <f>2*2*G19</f>
        <v>28</v>
      </c>
      <c r="F19" s="1314">
        <v>2</v>
      </c>
      <c r="G19" s="1314">
        <v>7</v>
      </c>
      <c r="H19" s="1310" t="s">
        <v>1454</v>
      </c>
      <c r="I19" s="1316">
        <f>E19</f>
        <v>28</v>
      </c>
      <c r="J19" s="1323">
        <v>28</v>
      </c>
      <c r="K19" s="1323">
        <v>28</v>
      </c>
      <c r="L19" s="1312" t="s">
        <v>1455</v>
      </c>
    </row>
    <row r="20" spans="1:12" s="1313" customFormat="1" ht="39.75" customHeight="1" x14ac:dyDescent="0.2">
      <c r="A20" s="1305"/>
      <c r="B20" s="1306"/>
      <c r="C20" s="1300" t="s">
        <v>1461</v>
      </c>
      <c r="D20" s="1307" t="s">
        <v>1463</v>
      </c>
      <c r="E20" s="1314"/>
      <c r="F20" s="1314"/>
      <c r="G20" s="1314"/>
      <c r="H20" s="1315"/>
      <c r="I20" s="1316"/>
      <c r="J20" s="1317"/>
      <c r="K20" s="1317"/>
      <c r="L20" s="1303"/>
    </row>
    <row r="21" spans="1:12" s="1313" customFormat="1" ht="30" customHeight="1" x14ac:dyDescent="0.2">
      <c r="A21" s="1305"/>
      <c r="B21" s="1306"/>
      <c r="C21" s="1300" t="s">
        <v>1461</v>
      </c>
      <c r="D21" s="1307" t="s">
        <v>1463</v>
      </c>
      <c r="E21" s="1314"/>
      <c r="F21" s="1314"/>
      <c r="G21" s="1314"/>
      <c r="H21" s="1327"/>
      <c r="I21" s="1316"/>
      <c r="J21" s="1317"/>
      <c r="K21" s="1317"/>
      <c r="L21" s="1303"/>
    </row>
    <row r="22" spans="1:12" s="1335" customFormat="1" ht="13.5" x14ac:dyDescent="0.25">
      <c r="A22" s="1328"/>
      <c r="B22" s="1329" t="s">
        <v>1464</v>
      </c>
      <c r="C22" s="1330"/>
      <c r="D22" s="1331"/>
      <c r="E22" s="1332"/>
      <c r="F22" s="1333"/>
      <c r="G22" s="1333"/>
      <c r="H22" s="1334"/>
      <c r="I22" s="1332"/>
    </row>
    <row r="24" spans="1:12" x14ac:dyDescent="0.2">
      <c r="A24" s="1336" t="s">
        <v>1465</v>
      </c>
      <c r="B24" s="1336"/>
      <c r="C24" s="1337"/>
    </row>
    <row r="25" spans="1:12" ht="51" customHeight="1" x14ac:dyDescent="0.2">
      <c r="A25" s="3893" t="s">
        <v>1432</v>
      </c>
      <c r="B25" s="3894"/>
      <c r="C25" s="1338" t="s">
        <v>1466</v>
      </c>
    </row>
    <row r="26" spans="1:12" ht="12.75" customHeight="1" x14ac:dyDescent="0.2">
      <c r="A26" s="3888" t="s">
        <v>1429</v>
      </c>
      <c r="B26" s="3889"/>
      <c r="C26" s="1339">
        <f>11000*2</f>
        <v>22000</v>
      </c>
    </row>
    <row r="27" spans="1:12" ht="12.75" customHeight="1" x14ac:dyDescent="0.2">
      <c r="A27" s="3888" t="s">
        <v>1431</v>
      </c>
      <c r="B27" s="3889"/>
      <c r="C27" s="1339">
        <f>16600*2</f>
        <v>33200</v>
      </c>
    </row>
    <row r="28" spans="1:12" ht="12.75" customHeight="1" x14ac:dyDescent="0.2">
      <c r="A28" s="3888" t="s">
        <v>1430</v>
      </c>
      <c r="B28" s="3889"/>
      <c r="C28" s="1339">
        <f>19000*2</f>
        <v>38000</v>
      </c>
    </row>
    <row r="29" spans="1:12" ht="12.75" customHeight="1" x14ac:dyDescent="0.2">
      <c r="A29" s="3888" t="s">
        <v>1428</v>
      </c>
      <c r="B29" s="3889"/>
      <c r="C29" s="1339">
        <f>12200*2</f>
        <v>24400</v>
      </c>
    </row>
    <row r="30" spans="1:12" ht="12.75" customHeight="1" x14ac:dyDescent="0.2">
      <c r="A30" s="3888" t="s">
        <v>1433</v>
      </c>
      <c r="B30" s="3889"/>
      <c r="C30" s="1339">
        <f>17000*2</f>
        <v>34000</v>
      </c>
    </row>
    <row r="31" spans="1:12" ht="12.75" customHeight="1" x14ac:dyDescent="0.2">
      <c r="A31" s="3888" t="s">
        <v>1434</v>
      </c>
      <c r="B31" s="3889"/>
      <c r="C31" s="1339">
        <f>15200*2</f>
        <v>30400</v>
      </c>
    </row>
    <row r="33" spans="1:6" x14ac:dyDescent="0.2">
      <c r="A33" s="1340"/>
      <c r="B33" s="1340"/>
      <c r="C33" s="1340"/>
      <c r="D33" s="1340"/>
    </row>
    <row r="34" spans="1:6" x14ac:dyDescent="0.2">
      <c r="A34" s="1341" t="s">
        <v>1467</v>
      </c>
      <c r="B34" s="1340"/>
      <c r="C34" s="1340"/>
      <c r="D34" s="1340"/>
    </row>
    <row r="35" spans="1:6" x14ac:dyDescent="0.2">
      <c r="A35" s="1341"/>
      <c r="B35" s="1340"/>
      <c r="C35" s="1340"/>
      <c r="D35" s="1340"/>
    </row>
    <row r="36" spans="1:6" x14ac:dyDescent="0.2">
      <c r="A36" s="1341" t="s">
        <v>1468</v>
      </c>
      <c r="B36" s="1340"/>
      <c r="C36" s="1340"/>
      <c r="D36" s="1340"/>
    </row>
    <row r="37" spans="1:6" ht="18.75" x14ac:dyDescent="0.3">
      <c r="B37" s="1342"/>
      <c r="C37" s="1343"/>
      <c r="D37" s="1343"/>
      <c r="E37" s="1344"/>
      <c r="F37" s="1344"/>
    </row>
    <row r="38" spans="1:6" x14ac:dyDescent="0.2">
      <c r="B38" s="1345"/>
      <c r="C38" s="1345"/>
      <c r="D38" s="1345"/>
      <c r="E38" s="3890"/>
      <c r="F38" s="3890"/>
    </row>
    <row r="39" spans="1:6" x14ac:dyDescent="0.2">
      <c r="B39" s="1346"/>
      <c r="C39" s="1346"/>
      <c r="D39" s="1346"/>
      <c r="E39" s="1347"/>
      <c r="F39" s="1347"/>
    </row>
    <row r="40" spans="1:6" ht="15.75" x14ac:dyDescent="0.25">
      <c r="B40" s="1348"/>
      <c r="C40" s="1348"/>
      <c r="D40" s="1348"/>
      <c r="E40" s="1349"/>
      <c r="F40" s="1349"/>
    </row>
    <row r="41" spans="1:6" x14ac:dyDescent="0.2">
      <c r="B41" s="1350"/>
    </row>
  </sheetData>
  <mergeCells count="19">
    <mergeCell ref="A30:B30"/>
    <mergeCell ref="A31:B31"/>
    <mergeCell ref="E38:F38"/>
    <mergeCell ref="L7:L8"/>
    <mergeCell ref="A25:B25"/>
    <mergeCell ref="A26:B26"/>
    <mergeCell ref="A27:B27"/>
    <mergeCell ref="A28:B28"/>
    <mergeCell ref="A29:B29"/>
    <mergeCell ref="A2:L2"/>
    <mergeCell ref="C4:I4"/>
    <mergeCell ref="E5:H5"/>
    <mergeCell ref="A7:A8"/>
    <mergeCell ref="B7:B8"/>
    <mergeCell ref="C7:C8"/>
    <mergeCell ref="D7:D8"/>
    <mergeCell ref="E7:I7"/>
    <mergeCell ref="J7:J8"/>
    <mergeCell ref="K7:K8"/>
  </mergeCells>
  <printOptions horizontalCentered="1"/>
  <pageMargins left="0.70866141732283472" right="0.70866141732283472" top="0.74803149606299213" bottom="0.74803149606299213" header="0.31496062992125984" footer="0.31496062992125984"/>
  <pageSetup paperSize="9" scale="49" orientation="landscape" r:id="rId1"/>
  <rowBreaks count="1" manualBreakCount="1">
    <brk id="41"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tabColor rgb="FF00FFFF"/>
  </sheetPr>
  <dimension ref="A1:F14"/>
  <sheetViews>
    <sheetView view="pageBreakPreview" zoomScale="80" zoomScaleNormal="100" zoomScaleSheetLayoutView="80" workbookViewId="0">
      <selection activeCell="M14" sqref="M14"/>
    </sheetView>
  </sheetViews>
  <sheetFormatPr defaultRowHeight="39.75" customHeight="1" x14ac:dyDescent="0.25"/>
  <cols>
    <col min="1" max="1" width="81.33203125" style="380" customWidth="1"/>
    <col min="2" max="2" width="10" style="380" customWidth="1"/>
    <col min="3" max="5" width="25.83203125" style="380" customWidth="1"/>
    <col min="6" max="16384" width="9.33203125" style="380"/>
  </cols>
  <sheetData>
    <row r="1" spans="1:6" ht="55.5" customHeight="1" x14ac:dyDescent="0.25">
      <c r="A1" s="3425" t="s">
        <v>2867</v>
      </c>
      <c r="B1" s="3425"/>
      <c r="C1" s="3425"/>
      <c r="D1" s="3425"/>
      <c r="E1" s="3425"/>
    </row>
    <row r="2" spans="1:6" ht="34.5" customHeight="1" x14ac:dyDescent="0.25">
      <c r="A2" s="3425" t="s">
        <v>1442</v>
      </c>
      <c r="B2" s="3425"/>
      <c r="C2" s="3425"/>
      <c r="D2" s="3425"/>
      <c r="E2" s="3425"/>
    </row>
    <row r="3" spans="1:6" ht="13.5" customHeight="1" x14ac:dyDescent="0.25">
      <c r="A3" s="791"/>
      <c r="B3" s="791"/>
      <c r="C3" s="791"/>
      <c r="D3" s="791"/>
      <c r="E3" s="382">
        <v>43831</v>
      </c>
    </row>
    <row r="4" spans="1:6" ht="39.75" customHeight="1" x14ac:dyDescent="0.25">
      <c r="A4" s="3426" t="s">
        <v>386</v>
      </c>
      <c r="B4" s="3426" t="s">
        <v>387</v>
      </c>
      <c r="C4" s="3426" t="s">
        <v>388</v>
      </c>
      <c r="D4" s="3426"/>
      <c r="E4" s="3426"/>
    </row>
    <row r="5" spans="1:6" ht="39.75" customHeight="1" x14ac:dyDescent="0.25">
      <c r="A5" s="3426"/>
      <c r="B5" s="3426"/>
      <c r="C5" s="792" t="s">
        <v>397</v>
      </c>
      <c r="D5" s="792" t="s">
        <v>398</v>
      </c>
      <c r="E5" s="792" t="s">
        <v>399</v>
      </c>
    </row>
    <row r="6" spans="1:6" ht="39.75" customHeight="1" x14ac:dyDescent="0.25">
      <c r="A6" s="3426"/>
      <c r="B6" s="3426"/>
      <c r="C6" s="792" t="s">
        <v>389</v>
      </c>
      <c r="D6" s="792" t="s">
        <v>390</v>
      </c>
      <c r="E6" s="792" t="s">
        <v>391</v>
      </c>
    </row>
    <row r="7" spans="1:6" ht="16.5" customHeight="1" x14ac:dyDescent="0.25">
      <c r="A7" s="792">
        <v>1</v>
      </c>
      <c r="B7" s="792">
        <v>2</v>
      </c>
      <c r="C7" s="792">
        <v>3</v>
      </c>
      <c r="D7" s="792">
        <v>4</v>
      </c>
      <c r="E7" s="792">
        <v>5</v>
      </c>
    </row>
    <row r="8" spans="1:6" ht="17.25" customHeight="1" x14ac:dyDescent="0.25">
      <c r="A8" s="384" t="s">
        <v>478</v>
      </c>
      <c r="B8" s="792">
        <v>100</v>
      </c>
      <c r="C8" s="385"/>
      <c r="D8" s="385"/>
      <c r="E8" s="385"/>
    </row>
    <row r="9" spans="1:6" ht="17.25" customHeight="1" x14ac:dyDescent="0.25">
      <c r="A9" s="384" t="s">
        <v>479</v>
      </c>
      <c r="B9" s="792">
        <v>200</v>
      </c>
      <c r="C9" s="385"/>
      <c r="D9" s="385"/>
      <c r="E9" s="385"/>
    </row>
    <row r="10" spans="1:6" ht="44.25" customHeight="1" x14ac:dyDescent="0.25">
      <c r="A10" s="384" t="s">
        <v>480</v>
      </c>
      <c r="B10" s="792">
        <v>300</v>
      </c>
      <c r="C10" s="385">
        <f>C11</f>
        <v>168000</v>
      </c>
      <c r="D10" s="385">
        <f t="shared" ref="D10:E10" si="0">D11</f>
        <v>168000</v>
      </c>
      <c r="E10" s="385">
        <f t="shared" si="0"/>
        <v>168000</v>
      </c>
    </row>
    <row r="11" spans="1:6" ht="104.25" customHeight="1" x14ac:dyDescent="0.25">
      <c r="A11" s="384" t="s">
        <v>481</v>
      </c>
      <c r="B11" s="792">
        <v>301</v>
      </c>
      <c r="C11" s="385">
        <f>'внеб 966 (01.01.20)'!Q12*1000</f>
        <v>168000</v>
      </c>
      <c r="D11" s="385">
        <f>'внеб 966 (01.01.20)'!R12*1000</f>
        <v>168000</v>
      </c>
      <c r="E11" s="385">
        <f>'внеб 966 (01.01.20)'!S12*1000</f>
        <v>168000</v>
      </c>
      <c r="F11" s="380">
        <v>966</v>
      </c>
    </row>
    <row r="12" spans="1:6" ht="18" customHeight="1" x14ac:dyDescent="0.25">
      <c r="A12" s="384" t="s">
        <v>482</v>
      </c>
      <c r="B12" s="792">
        <v>400</v>
      </c>
      <c r="C12" s="385"/>
      <c r="D12" s="385"/>
      <c r="E12" s="385"/>
    </row>
    <row r="13" spans="1:6" ht="18" customHeight="1" x14ac:dyDescent="0.25">
      <c r="A13" s="384" t="s">
        <v>483</v>
      </c>
      <c r="B13" s="792">
        <v>500</v>
      </c>
      <c r="C13" s="385"/>
      <c r="D13" s="385"/>
      <c r="E13" s="385"/>
    </row>
    <row r="14" spans="1:6" s="389" customFormat="1" ht="66.75" customHeight="1" x14ac:dyDescent="0.2">
      <c r="A14" s="386" t="s">
        <v>509</v>
      </c>
      <c r="B14" s="387">
        <v>600</v>
      </c>
      <c r="C14" s="388">
        <f>C8-C9+C10-C12+C13</f>
        <v>168000</v>
      </c>
      <c r="D14" s="388">
        <f t="shared" ref="D14:E14" si="1">D8-D9+D10-D12+D13</f>
        <v>168000</v>
      </c>
      <c r="E14" s="388">
        <f t="shared" si="1"/>
        <v>168000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S20"/>
  <sheetViews>
    <sheetView showZeros="0" view="pageBreakPreview" zoomScale="90" zoomScaleNormal="60" zoomScaleSheetLayoutView="90" workbookViewId="0">
      <pane ySplit="11" topLeftCell="A12" activePane="bottomLeft" state="frozen"/>
      <selection pane="bottomLeft" activeCell="A17" sqref="A17:R20"/>
    </sheetView>
  </sheetViews>
  <sheetFormatPr defaultColWidth="10.6640625" defaultRowHeight="15.75" x14ac:dyDescent="0.25"/>
  <cols>
    <col min="1" max="1" width="7.33203125" style="1359" customWidth="1"/>
    <col min="2" max="2" width="42" style="1386" customWidth="1"/>
    <col min="3" max="3" width="18" style="1386" hidden="1" customWidth="1"/>
    <col min="4" max="6" width="18.5" style="1387" hidden="1" customWidth="1"/>
    <col min="7" max="7" width="18.5" style="1351" hidden="1" customWidth="1"/>
    <col min="8" max="8" width="18.33203125" style="1388" hidden="1" customWidth="1"/>
    <col min="9" max="9" width="16.6640625" style="1389" hidden="1" customWidth="1"/>
    <col min="10" max="10" width="19.5" style="1390" hidden="1" customWidth="1"/>
    <col min="11" max="11" width="17" style="1390" hidden="1" customWidth="1"/>
    <col min="12" max="14" width="19.5" style="1390" hidden="1" customWidth="1"/>
    <col min="15" max="17" width="19.5" style="1390" customWidth="1"/>
    <col min="18" max="18" width="15.33203125" style="1390" customWidth="1"/>
    <col min="19" max="19" width="17" style="1390" customWidth="1"/>
    <col min="20" max="20" width="40.83203125" style="1386" customWidth="1"/>
    <col min="21" max="22" width="10.6640625" style="1359"/>
    <col min="23" max="23" width="7.33203125" style="1359" customWidth="1"/>
    <col min="24" max="27" width="10.6640625" style="1359" hidden="1" customWidth="1"/>
    <col min="28" max="245" width="10.6640625" style="1359"/>
    <col min="246" max="246" width="7.33203125" style="1359" customWidth="1"/>
    <col min="247" max="247" width="14.1640625" style="1359" customWidth="1"/>
    <col min="248" max="248" width="40.83203125" style="1359" customWidth="1"/>
    <col min="249" max="249" width="10.1640625" style="1359" customWidth="1"/>
    <col min="250" max="250" width="24.1640625" style="1359" customWidth="1"/>
    <col min="251" max="252" width="13.1640625" style="1359" customWidth="1"/>
    <col min="253" max="253" width="14.5" style="1359" customWidth="1"/>
    <col min="254" max="254" width="10.1640625" style="1359" customWidth="1"/>
    <col min="255" max="255" width="13.1640625" style="1359" customWidth="1"/>
    <col min="256" max="256" width="14.5" style="1359" customWidth="1"/>
    <col min="257" max="257" width="13.1640625" style="1359" customWidth="1"/>
    <col min="258" max="258" width="12.6640625" style="1359" customWidth="1"/>
    <col min="259" max="259" width="10" style="1359" bestFit="1" customWidth="1"/>
    <col min="260" max="260" width="23.1640625" style="1359" bestFit="1" customWidth="1"/>
    <col min="261" max="262" width="11.5" style="1359" bestFit="1" customWidth="1"/>
    <col min="263" max="263" width="12.33203125" style="1359" bestFit="1" customWidth="1"/>
    <col min="264" max="264" width="15.83203125" style="1359" bestFit="1" customWidth="1"/>
    <col min="265" max="265" width="13" style="1359" bestFit="1" customWidth="1"/>
    <col min="266" max="266" width="14.33203125" style="1359" bestFit="1" customWidth="1"/>
    <col min="267" max="268" width="10.6640625" style="1359" hidden="1" customWidth="1"/>
    <col min="269" max="269" width="17.83203125" style="1359" bestFit="1" customWidth="1"/>
    <col min="270" max="272" width="10.6640625" style="1359" hidden="1" customWidth="1"/>
    <col min="273" max="278" width="10.6640625" style="1359"/>
    <col min="279" max="279" width="7.33203125" style="1359" customWidth="1"/>
    <col min="280" max="283" width="10.6640625" style="1359" hidden="1" customWidth="1"/>
    <col min="284" max="501" width="10.6640625" style="1359"/>
    <col min="502" max="502" width="7.33203125" style="1359" customWidth="1"/>
    <col min="503" max="503" width="14.1640625" style="1359" customWidth="1"/>
    <col min="504" max="504" width="40.83203125" style="1359" customWidth="1"/>
    <col min="505" max="505" width="10.1640625" style="1359" customWidth="1"/>
    <col min="506" max="506" width="24.1640625" style="1359" customWidth="1"/>
    <col min="507" max="508" width="13.1640625" style="1359" customWidth="1"/>
    <col min="509" max="509" width="14.5" style="1359" customWidth="1"/>
    <col min="510" max="510" width="10.1640625" style="1359" customWidth="1"/>
    <col min="511" max="511" width="13.1640625" style="1359" customWidth="1"/>
    <col min="512" max="512" width="14.5" style="1359" customWidth="1"/>
    <col min="513" max="513" width="13.1640625" style="1359" customWidth="1"/>
    <col min="514" max="514" width="12.6640625" style="1359" customWidth="1"/>
    <col min="515" max="515" width="10" style="1359" bestFit="1" customWidth="1"/>
    <col min="516" max="516" width="23.1640625" style="1359" bestFit="1" customWidth="1"/>
    <col min="517" max="518" width="11.5" style="1359" bestFit="1" customWidth="1"/>
    <col min="519" max="519" width="12.33203125" style="1359" bestFit="1" customWidth="1"/>
    <col min="520" max="520" width="15.83203125" style="1359" bestFit="1" customWidth="1"/>
    <col min="521" max="521" width="13" style="1359" bestFit="1" customWidth="1"/>
    <col min="522" max="522" width="14.33203125" style="1359" bestFit="1" customWidth="1"/>
    <col min="523" max="524" width="10.6640625" style="1359" hidden="1" customWidth="1"/>
    <col min="525" max="525" width="17.83203125" style="1359" bestFit="1" customWidth="1"/>
    <col min="526" max="528" width="10.6640625" style="1359" hidden="1" customWidth="1"/>
    <col min="529" max="534" width="10.6640625" style="1359"/>
    <col min="535" max="535" width="7.33203125" style="1359" customWidth="1"/>
    <col min="536" max="539" width="10.6640625" style="1359" hidden="1" customWidth="1"/>
    <col min="540" max="16384" width="10.6640625" style="1359"/>
  </cols>
  <sheetData>
    <row r="1" spans="1:22" s="1351" customFormat="1" x14ac:dyDescent="0.25">
      <c r="B1" s="1352"/>
      <c r="C1" s="1352"/>
      <c r="D1" s="1353"/>
      <c r="E1" s="1353"/>
      <c r="F1" s="1353"/>
      <c r="G1" s="1354"/>
      <c r="H1" s="1355"/>
      <c r="I1" s="1356"/>
      <c r="J1" s="1357"/>
      <c r="K1" s="1357"/>
      <c r="L1" s="1357"/>
      <c r="M1" s="1357"/>
      <c r="N1" s="1357"/>
      <c r="O1" s="1357"/>
      <c r="P1" s="1357"/>
      <c r="Q1" s="1357"/>
      <c r="R1" s="1357"/>
      <c r="S1" s="1357"/>
      <c r="T1" s="1352"/>
    </row>
    <row r="2" spans="1:22" s="1351" customFormat="1" x14ac:dyDescent="0.25">
      <c r="B2" s="1352"/>
      <c r="C2" s="1352"/>
      <c r="D2" s="1353"/>
      <c r="E2" s="1353"/>
      <c r="F2" s="1353"/>
      <c r="G2" s="1354"/>
      <c r="H2" s="1355"/>
      <c r="I2" s="1356"/>
      <c r="J2" s="1357"/>
      <c r="K2" s="1357"/>
      <c r="L2" s="1357"/>
      <c r="M2" s="1357"/>
      <c r="N2" s="1357"/>
      <c r="O2" s="1357"/>
      <c r="P2" s="1357"/>
      <c r="Q2" s="1357"/>
      <c r="R2" s="1357"/>
      <c r="S2" s="1357"/>
      <c r="T2" s="1352"/>
    </row>
    <row r="3" spans="1:22" s="1351" customFormat="1" ht="54" customHeight="1" x14ac:dyDescent="0.25">
      <c r="A3" s="3895" t="s">
        <v>1470</v>
      </c>
      <c r="B3" s="3895"/>
      <c r="C3" s="3895"/>
      <c r="D3" s="3895"/>
      <c r="E3" s="3895"/>
      <c r="F3" s="3895"/>
      <c r="G3" s="3895"/>
      <c r="H3" s="3895"/>
      <c r="I3" s="3895"/>
      <c r="J3" s="3895"/>
      <c r="K3" s="3895"/>
      <c r="L3" s="3895"/>
      <c r="M3" s="3895"/>
      <c r="N3" s="3895"/>
      <c r="O3" s="3895"/>
      <c r="P3" s="3895"/>
      <c r="Q3" s="3895"/>
      <c r="R3" s="3895"/>
      <c r="S3" s="3895"/>
      <c r="T3" s="3895"/>
    </row>
    <row r="4" spans="1:22" s="1351" customFormat="1" x14ac:dyDescent="0.25">
      <c r="B4" s="1352"/>
      <c r="C4" s="1352"/>
      <c r="D4" s="1353"/>
      <c r="E4" s="1353"/>
      <c r="F4" s="1353"/>
      <c r="G4" s="1354"/>
      <c r="H4" s="1355"/>
      <c r="I4" s="1356"/>
      <c r="J4" s="1357"/>
      <c r="K4" s="1357"/>
      <c r="L4" s="1357"/>
      <c r="M4" s="1357"/>
      <c r="N4" s="1357"/>
      <c r="O4" s="1357"/>
      <c r="P4" s="1357"/>
      <c r="Q4" s="1357"/>
      <c r="R4" s="1357"/>
      <c r="S4" s="1357"/>
      <c r="T4" s="1352"/>
    </row>
    <row r="5" spans="1:22" s="1351" customFormat="1" x14ac:dyDescent="0.25">
      <c r="A5" s="3896" t="s">
        <v>1444</v>
      </c>
      <c r="B5" s="3896"/>
      <c r="C5" s="3896"/>
      <c r="D5" s="3896"/>
      <c r="E5" s="3896"/>
      <c r="F5" s="3896"/>
      <c r="G5" s="3896"/>
      <c r="H5" s="3896"/>
      <c r="I5" s="3896"/>
      <c r="J5" s="3896"/>
      <c r="K5" s="3896"/>
      <c r="L5" s="3896"/>
      <c r="M5" s="3896"/>
      <c r="N5" s="3896"/>
      <c r="O5" s="3896"/>
      <c r="P5" s="3896"/>
      <c r="Q5" s="3896"/>
      <c r="R5" s="3896"/>
      <c r="S5" s="3896"/>
      <c r="T5" s="3896"/>
    </row>
    <row r="6" spans="1:22" s="1351" customFormat="1" x14ac:dyDescent="0.25">
      <c r="B6" s="1352"/>
      <c r="C6" s="1352"/>
      <c r="D6" s="1353"/>
      <c r="E6" s="1353"/>
      <c r="F6" s="1353"/>
      <c r="G6" s="1354"/>
      <c r="H6" s="1355"/>
      <c r="I6" s="1356"/>
      <c r="J6" s="1357"/>
      <c r="K6" s="1357"/>
      <c r="L6" s="1357"/>
      <c r="M6" s="1357"/>
      <c r="N6" s="1357"/>
      <c r="O6" s="1357"/>
      <c r="P6" s="1357"/>
      <c r="Q6" s="1357"/>
      <c r="R6" s="1357"/>
      <c r="S6" s="1357"/>
      <c r="T6" s="1358" t="s">
        <v>1311</v>
      </c>
    </row>
    <row r="7" spans="1:22" ht="15.75" customHeight="1" x14ac:dyDescent="0.25">
      <c r="A7" s="3897" t="s">
        <v>78</v>
      </c>
      <c r="B7" s="3897" t="s">
        <v>328</v>
      </c>
      <c r="C7" s="3898" t="s">
        <v>922</v>
      </c>
      <c r="D7" s="3898"/>
      <c r="E7" s="3898"/>
      <c r="F7" s="3898"/>
      <c r="G7" s="3899" t="s">
        <v>344</v>
      </c>
      <c r="H7" s="3899"/>
      <c r="I7" s="3899"/>
      <c r="J7" s="3899"/>
      <c r="K7" s="3899"/>
      <c r="L7" s="3899"/>
      <c r="M7" s="3899"/>
      <c r="N7" s="3899"/>
      <c r="O7" s="3899" t="s">
        <v>204</v>
      </c>
      <c r="P7" s="3899"/>
      <c r="Q7" s="3899"/>
      <c r="R7" s="3900" t="s">
        <v>329</v>
      </c>
      <c r="S7" s="3900" t="s">
        <v>330</v>
      </c>
      <c r="T7" s="3903" t="s">
        <v>180</v>
      </c>
    </row>
    <row r="8" spans="1:22" ht="15.75" customHeight="1" x14ac:dyDescent="0.25">
      <c r="A8" s="3897"/>
      <c r="B8" s="3897"/>
      <c r="C8" s="3904" t="s">
        <v>786</v>
      </c>
      <c r="D8" s="3905"/>
      <c r="E8" s="3905"/>
      <c r="F8" s="3905"/>
      <c r="G8" s="3899" t="s">
        <v>1225</v>
      </c>
      <c r="H8" s="3899"/>
      <c r="I8" s="3899"/>
      <c r="J8" s="3899"/>
      <c r="K8" s="3899" t="s">
        <v>449</v>
      </c>
      <c r="L8" s="3899"/>
      <c r="M8" s="3899"/>
      <c r="N8" s="3899"/>
      <c r="O8" s="3899" t="s">
        <v>331</v>
      </c>
      <c r="P8" s="3899"/>
      <c r="Q8" s="3899"/>
      <c r="R8" s="3901"/>
      <c r="S8" s="3901"/>
      <c r="T8" s="3903"/>
    </row>
    <row r="9" spans="1:22" ht="94.5" customHeight="1" x14ac:dyDescent="0.25">
      <c r="A9" s="3897"/>
      <c r="B9" s="3897"/>
      <c r="C9" s="3906" t="s">
        <v>332</v>
      </c>
      <c r="D9" s="3907" t="s">
        <v>830</v>
      </c>
      <c r="E9" s="3500" t="s">
        <v>831</v>
      </c>
      <c r="F9" s="3500"/>
      <c r="G9" s="3897" t="s">
        <v>332</v>
      </c>
      <c r="H9" s="3909" t="s">
        <v>830</v>
      </c>
      <c r="I9" s="3500" t="s">
        <v>831</v>
      </c>
      <c r="J9" s="3500"/>
      <c r="K9" s="3897" t="s">
        <v>332</v>
      </c>
      <c r="L9" s="3909" t="s">
        <v>830</v>
      </c>
      <c r="M9" s="3500" t="s">
        <v>831</v>
      </c>
      <c r="N9" s="3500"/>
      <c r="O9" s="3897" t="s">
        <v>332</v>
      </c>
      <c r="P9" s="3909" t="s">
        <v>333</v>
      </c>
      <c r="Q9" s="3911" t="s">
        <v>334</v>
      </c>
      <c r="R9" s="3901"/>
      <c r="S9" s="3901"/>
      <c r="T9" s="3903"/>
      <c r="V9" s="1360"/>
    </row>
    <row r="10" spans="1:22" ht="30" x14ac:dyDescent="0.25">
      <c r="A10" s="3897"/>
      <c r="B10" s="3897"/>
      <c r="C10" s="3906"/>
      <c r="D10" s="3907"/>
      <c r="E10" s="817" t="s">
        <v>837</v>
      </c>
      <c r="F10" s="818" t="s">
        <v>836</v>
      </c>
      <c r="G10" s="3897"/>
      <c r="H10" s="3909"/>
      <c r="I10" s="1361" t="s">
        <v>837</v>
      </c>
      <c r="J10" s="1362" t="s">
        <v>836</v>
      </c>
      <c r="K10" s="3897"/>
      <c r="L10" s="3909"/>
      <c r="M10" s="1361" t="s">
        <v>837</v>
      </c>
      <c r="N10" s="1362" t="s">
        <v>836</v>
      </c>
      <c r="O10" s="3897"/>
      <c r="P10" s="3909"/>
      <c r="Q10" s="3912"/>
      <c r="R10" s="3902"/>
      <c r="S10" s="3902"/>
      <c r="T10" s="3903"/>
    </row>
    <row r="11" spans="1:22" s="1366" customFormat="1" ht="16.5" x14ac:dyDescent="0.25">
      <c r="A11" s="1363">
        <v>1</v>
      </c>
      <c r="B11" s="1363">
        <v>3</v>
      </c>
      <c r="C11" s="1363">
        <v>4</v>
      </c>
      <c r="D11" s="1363">
        <v>5</v>
      </c>
      <c r="E11" s="1363">
        <v>6</v>
      </c>
      <c r="F11" s="1363">
        <v>7</v>
      </c>
      <c r="G11" s="1363">
        <v>8</v>
      </c>
      <c r="H11" s="1363">
        <v>9</v>
      </c>
      <c r="I11" s="1364">
        <v>10</v>
      </c>
      <c r="J11" s="1363">
        <v>11</v>
      </c>
      <c r="K11" s="1363">
        <v>12</v>
      </c>
      <c r="L11" s="1363">
        <v>13</v>
      </c>
      <c r="M11" s="1363">
        <v>14</v>
      </c>
      <c r="N11" s="1363">
        <v>15</v>
      </c>
      <c r="O11" s="1363">
        <v>4</v>
      </c>
      <c r="P11" s="1363">
        <v>5</v>
      </c>
      <c r="Q11" s="1363">
        <v>6</v>
      </c>
      <c r="R11" s="1363">
        <v>7</v>
      </c>
      <c r="S11" s="1363">
        <v>8</v>
      </c>
      <c r="T11" s="1365">
        <v>9</v>
      </c>
    </row>
    <row r="12" spans="1:22" s="1378" customFormat="1" ht="45.75" customHeight="1" x14ac:dyDescent="0.25">
      <c r="A12" s="1367">
        <v>1</v>
      </c>
      <c r="B12" s="1368" t="s">
        <v>1471</v>
      </c>
      <c r="C12" s="1369"/>
      <c r="D12" s="1370"/>
      <c r="E12" s="1370">
        <v>181.4</v>
      </c>
      <c r="F12" s="1370"/>
      <c r="G12" s="1371"/>
      <c r="H12" s="1372"/>
      <c r="I12" s="1373">
        <v>200</v>
      </c>
      <c r="J12" s="1374"/>
      <c r="K12" s="1371"/>
      <c r="L12" s="1372"/>
      <c r="M12" s="1372">
        <v>200</v>
      </c>
      <c r="N12" s="1374"/>
      <c r="O12" s="1375">
        <v>15</v>
      </c>
      <c r="P12" s="1375">
        <v>11200</v>
      </c>
      <c r="Q12" s="1375">
        <f>O12*P12/1000</f>
        <v>168</v>
      </c>
      <c r="R12" s="1376">
        <v>168</v>
      </c>
      <c r="S12" s="1376">
        <v>168</v>
      </c>
      <c r="T12" s="1377" t="s">
        <v>1472</v>
      </c>
    </row>
    <row r="13" spans="1:22" s="1385" customFormat="1" ht="30" customHeight="1" x14ac:dyDescent="0.25">
      <c r="A13" s="1379"/>
      <c r="B13" s="1380"/>
      <c r="C13" s="1380"/>
      <c r="D13" s="1381"/>
      <c r="E13" s="1381"/>
      <c r="F13" s="1381"/>
      <c r="G13" s="1379"/>
      <c r="H13" s="1382"/>
      <c r="I13" s="1382"/>
      <c r="J13" s="1383"/>
      <c r="K13" s="1379"/>
      <c r="L13" s="1382"/>
      <c r="M13" s="1382"/>
      <c r="N13" s="1383"/>
      <c r="O13" s="1383"/>
      <c r="P13" s="1383"/>
      <c r="Q13" s="1383">
        <f>SUM(Q12)</f>
        <v>168</v>
      </c>
      <c r="R13" s="1383">
        <f t="shared" ref="R13:S13" si="0">SUM(R12)</f>
        <v>168</v>
      </c>
      <c r="S13" s="1383">
        <f t="shared" si="0"/>
        <v>168</v>
      </c>
      <c r="T13" s="1384"/>
    </row>
    <row r="14" spans="1:22" x14ac:dyDescent="0.25">
      <c r="A14" s="3910" t="s">
        <v>188</v>
      </c>
      <c r="B14" s="3910"/>
      <c r="C14" s="3910"/>
      <c r="D14" s="3910"/>
      <c r="E14" s="3910"/>
      <c r="F14" s="3910"/>
      <c r="G14" s="3910"/>
      <c r="H14" s="3910"/>
      <c r="I14" s="3910"/>
      <c r="J14" s="3910"/>
      <c r="K14" s="3910"/>
      <c r="L14" s="3910"/>
      <c r="M14" s="3910"/>
      <c r="N14" s="3910"/>
      <c r="O14" s="3910"/>
      <c r="P14" s="3910"/>
      <c r="Q14" s="3910"/>
      <c r="R14" s="3910"/>
      <c r="S14" s="3910"/>
    </row>
    <row r="15" spans="1:22" ht="14.25" customHeight="1" x14ac:dyDescent="0.25"/>
    <row r="16" spans="1:22" hidden="1" x14ac:dyDescent="0.25"/>
    <row r="17" spans="1:2" ht="19.5" customHeight="1" x14ac:dyDescent="0.25"/>
    <row r="18" spans="1:2" ht="19.5" customHeight="1" x14ac:dyDescent="0.25"/>
    <row r="19" spans="1:2" x14ac:dyDescent="0.25">
      <c r="A19" s="1391"/>
      <c r="B19" s="1392"/>
    </row>
    <row r="20" spans="1:2" x14ac:dyDescent="0.25">
      <c r="A20" s="3908"/>
      <c r="B20" s="3908"/>
    </row>
  </sheetData>
  <mergeCells count="28">
    <mergeCell ref="A20:B20"/>
    <mergeCell ref="K9:K10"/>
    <mergeCell ref="L9:L10"/>
    <mergeCell ref="M9:N9"/>
    <mergeCell ref="O9:O10"/>
    <mergeCell ref="E9:F9"/>
    <mergeCell ref="G9:G10"/>
    <mergeCell ref="H9:H10"/>
    <mergeCell ref="I9:J9"/>
    <mergeCell ref="A14:S14"/>
    <mergeCell ref="P9:P10"/>
    <mergeCell ref="Q9:Q10"/>
    <mergeCell ref="A3:T3"/>
    <mergeCell ref="A5:T5"/>
    <mergeCell ref="A7:A10"/>
    <mergeCell ref="B7:B10"/>
    <mergeCell ref="C7:F7"/>
    <mergeCell ref="G7:N7"/>
    <mergeCell ref="O7:Q7"/>
    <mergeCell ref="R7:R10"/>
    <mergeCell ref="S7:S10"/>
    <mergeCell ref="T7:T10"/>
    <mergeCell ref="C8:F8"/>
    <mergeCell ref="G8:J8"/>
    <mergeCell ref="K8:N8"/>
    <mergeCell ref="O8:Q8"/>
    <mergeCell ref="C9:C10"/>
    <mergeCell ref="D9:D10"/>
  </mergeCells>
  <pageMargins left="0.70866141732283472" right="0.70866141732283472" top="0.74803149606299213" bottom="0.74803149606299213" header="0.31496062992125984" footer="0.31496062992125984"/>
  <pageSetup paperSize="9" scale="80"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tabColor rgb="FF00FFFF"/>
  </sheetPr>
  <dimension ref="A1:G32"/>
  <sheetViews>
    <sheetView view="pageBreakPreview" zoomScale="90" zoomScaleNormal="100" zoomScaleSheetLayoutView="90" workbookViewId="0">
      <pane xSplit="4" ySplit="7" topLeftCell="E19" activePane="bottomRight" state="frozen"/>
      <selection pane="topRight" activeCell="E1" sqref="E1"/>
      <selection pane="bottomLeft" activeCell="A8" sqref="A8"/>
      <selection pane="bottomRight" activeCell="M25" sqref="M25"/>
    </sheetView>
  </sheetViews>
  <sheetFormatPr defaultRowHeight="15" x14ac:dyDescent="0.25"/>
  <cols>
    <col min="1" max="1" width="67.83203125" style="319" customWidth="1"/>
    <col min="2" max="2" width="10.83203125" style="319" customWidth="1"/>
    <col min="3" max="5" width="29" style="319" customWidth="1"/>
    <col min="6" max="6" width="17.6640625" style="319" customWidth="1"/>
    <col min="7" max="7" width="14.6640625" style="319" customWidth="1"/>
    <col min="8" max="16384" width="9.33203125" style="319"/>
  </cols>
  <sheetData>
    <row r="1" spans="1:5" ht="30" customHeight="1" x14ac:dyDescent="0.25">
      <c r="A1" s="3421" t="s">
        <v>2866</v>
      </c>
      <c r="B1" s="3421"/>
      <c r="C1" s="3421"/>
      <c r="D1" s="3421"/>
      <c r="E1" s="3421"/>
    </row>
    <row r="2" spans="1:5" x14ac:dyDescent="0.25">
      <c r="A2" s="3419" t="s">
        <v>1442</v>
      </c>
      <c r="B2" s="3419"/>
      <c r="C2" s="3419"/>
      <c r="D2" s="3419"/>
      <c r="E2" s="3419"/>
    </row>
    <row r="3" spans="1:5" x14ac:dyDescent="0.25">
      <c r="A3" s="3117"/>
      <c r="B3" s="3117"/>
      <c r="C3" s="3117"/>
      <c r="D3" s="3117"/>
      <c r="E3" s="957">
        <v>43831</v>
      </c>
    </row>
    <row r="4" spans="1:5" x14ac:dyDescent="0.25">
      <c r="A4" s="3422" t="s">
        <v>386</v>
      </c>
      <c r="B4" s="3422" t="s">
        <v>387</v>
      </c>
      <c r="C4" s="3422" t="s">
        <v>388</v>
      </c>
      <c r="D4" s="3422"/>
      <c r="E4" s="3422"/>
    </row>
    <row r="5" spans="1:5" ht="20.25" customHeight="1" x14ac:dyDescent="0.25">
      <c r="A5" s="3422"/>
      <c r="B5" s="3422"/>
      <c r="C5" s="3114" t="s">
        <v>397</v>
      </c>
      <c r="D5" s="3114" t="s">
        <v>398</v>
      </c>
      <c r="E5" s="3114" t="s">
        <v>399</v>
      </c>
    </row>
    <row r="6" spans="1:5" ht="47.25" customHeight="1" x14ac:dyDescent="0.25">
      <c r="A6" s="3422"/>
      <c r="B6" s="3422"/>
      <c r="C6" s="3114" t="s">
        <v>389</v>
      </c>
      <c r="D6" s="3114" t="s">
        <v>390</v>
      </c>
      <c r="E6" s="3114" t="s">
        <v>391</v>
      </c>
    </row>
    <row r="7" spans="1:5" x14ac:dyDescent="0.25">
      <c r="A7" s="3114">
        <v>1</v>
      </c>
      <c r="B7" s="3114">
        <v>2</v>
      </c>
      <c r="C7" s="3114">
        <v>3</v>
      </c>
      <c r="D7" s="3114">
        <v>4</v>
      </c>
      <c r="E7" s="3114">
        <v>5</v>
      </c>
    </row>
    <row r="8" spans="1:5" ht="60" customHeight="1" x14ac:dyDescent="0.25">
      <c r="A8" s="644" t="s">
        <v>405</v>
      </c>
      <c r="B8" s="3114">
        <v>100</v>
      </c>
      <c r="C8" s="645"/>
      <c r="D8" s="645"/>
      <c r="E8" s="645"/>
    </row>
    <row r="9" spans="1:5" ht="42" customHeight="1" x14ac:dyDescent="0.25">
      <c r="A9" s="644" t="s">
        <v>406</v>
      </c>
      <c r="B9" s="3114">
        <v>200</v>
      </c>
      <c r="C9" s="645"/>
      <c r="D9" s="645"/>
      <c r="E9" s="645"/>
    </row>
    <row r="10" spans="1:5" ht="19.5" customHeight="1" x14ac:dyDescent="0.25">
      <c r="A10" s="644" t="s">
        <v>407</v>
      </c>
      <c r="B10" s="3114">
        <v>300</v>
      </c>
      <c r="C10" s="645">
        <f>SUM(C12:C27)</f>
        <v>8921200</v>
      </c>
      <c r="D10" s="645">
        <f t="shared" ref="D10:E10" si="0">SUM(D12:D27)</f>
        <v>8921200</v>
      </c>
      <c r="E10" s="645">
        <f t="shared" si="0"/>
        <v>8921200</v>
      </c>
    </row>
    <row r="11" spans="1:5" x14ac:dyDescent="0.25">
      <c r="A11" s="644" t="s">
        <v>408</v>
      </c>
      <c r="B11" s="644"/>
      <c r="C11" s="645"/>
      <c r="D11" s="645"/>
      <c r="E11" s="645"/>
    </row>
    <row r="12" spans="1:5" ht="60" x14ac:dyDescent="0.25">
      <c r="A12" s="644" t="s">
        <v>463</v>
      </c>
      <c r="B12" s="3114">
        <v>301</v>
      </c>
      <c r="C12" s="645"/>
      <c r="D12" s="645"/>
      <c r="E12" s="645"/>
    </row>
    <row r="13" spans="1:5" x14ac:dyDescent="0.25">
      <c r="A13" s="644" t="s">
        <v>410</v>
      </c>
      <c r="B13" s="3114">
        <v>302</v>
      </c>
      <c r="C13" s="645">
        <f>'внеб 922 (01.01.20)'!E12*1000</f>
        <v>10000</v>
      </c>
      <c r="D13" s="645">
        <f>'внеб 922 (01.01.20)'!F12*1000</f>
        <v>10000</v>
      </c>
      <c r="E13" s="645">
        <f>'внеб 922 (01.01.20)'!G12*1000</f>
        <v>10000</v>
      </c>
    </row>
    <row r="14" spans="1:5" x14ac:dyDescent="0.25">
      <c r="A14" s="644" t="s">
        <v>409</v>
      </c>
      <c r="B14" s="3114">
        <v>303</v>
      </c>
      <c r="C14" s="645">
        <f>'внеб 925 (01.01.20)'!F79*1000</f>
        <v>381800</v>
      </c>
      <c r="D14" s="645">
        <f>'внеб 925 (01.01.20)'!G79*1000</f>
        <v>381800</v>
      </c>
      <c r="E14" s="645">
        <f>'внеб 925 (01.01.20)'!H79*1000</f>
        <v>381800</v>
      </c>
    </row>
    <row r="15" spans="1:5" x14ac:dyDescent="0.25">
      <c r="A15" s="644" t="s">
        <v>411</v>
      </c>
      <c r="B15" s="3114">
        <v>304</v>
      </c>
      <c r="C15" s="645">
        <f>'внеб 931,932,933 (01.01.20)'!F18*1000</f>
        <v>298000</v>
      </c>
      <c r="D15" s="645">
        <f>'внеб 931,932,933 (01.01.20)'!J18*1000</f>
        <v>298000</v>
      </c>
      <c r="E15" s="645">
        <f>'внеб 931,932,933 (01.01.20)'!N18*1000</f>
        <v>298000</v>
      </c>
    </row>
    <row r="16" spans="1:5" x14ac:dyDescent="0.25">
      <c r="A16" s="644" t="s">
        <v>412</v>
      </c>
      <c r="B16" s="3114">
        <v>305</v>
      </c>
      <c r="C16" s="645"/>
      <c r="D16" s="645"/>
      <c r="E16" s="645"/>
    </row>
    <row r="17" spans="1:7" x14ac:dyDescent="0.25">
      <c r="A17" s="644" t="s">
        <v>413</v>
      </c>
      <c r="B17" s="3114">
        <v>306</v>
      </c>
      <c r="C17" s="645">
        <f>('внеб 941 (01.01.20)'!G73+'внеб 942 (01.01.20)'!F11+'внеб 947 (01.01.20)'!F20)*1000</f>
        <v>64000</v>
      </c>
      <c r="D17" s="645">
        <f>('внеб 941 (01.01.20)'!I73+'внеб 942 (01.01.20)'!I11+'внеб 947 (01.01.20)'!I20)*1000</f>
        <v>64000</v>
      </c>
      <c r="E17" s="645">
        <f>('внеб 941 (01.01.20)'!J73+'внеб 942 (01.01.20)'!L11+'внеб 947 (01.01.20)'!L20)*1000</f>
        <v>64000</v>
      </c>
    </row>
    <row r="18" spans="1:7" x14ac:dyDescent="0.25">
      <c r="A18" s="644" t="s">
        <v>414</v>
      </c>
      <c r="B18" s="3114">
        <v>307</v>
      </c>
      <c r="C18" s="645"/>
      <c r="D18" s="645"/>
      <c r="E18" s="645"/>
    </row>
    <row r="19" spans="1:7" x14ac:dyDescent="0.25">
      <c r="A19" s="644" t="s">
        <v>422</v>
      </c>
      <c r="B19" s="3114">
        <v>308</v>
      </c>
      <c r="C19" s="2972">
        <f>'внеб 954 (01.01.20)'!F19*1000</f>
        <v>6029400</v>
      </c>
      <c r="D19" s="2972">
        <f>'внеб 954 (01.01.20)'!I19*1000</f>
        <v>6029400</v>
      </c>
      <c r="E19" s="2972">
        <f>'внеб 954 (01.01.20)'!L19*1000</f>
        <v>6029400</v>
      </c>
      <c r="F19" s="324"/>
    </row>
    <row r="20" spans="1:7" ht="18" customHeight="1" x14ac:dyDescent="0.25">
      <c r="A20" s="644" t="s">
        <v>415</v>
      </c>
      <c r="B20" s="3114">
        <v>309</v>
      </c>
      <c r="C20" s="645"/>
      <c r="D20" s="645"/>
      <c r="E20" s="645"/>
    </row>
    <row r="21" spans="1:7" ht="26.25" customHeight="1" x14ac:dyDescent="0.25">
      <c r="A21" s="644" t="s">
        <v>710</v>
      </c>
      <c r="B21" s="3114">
        <v>310</v>
      </c>
      <c r="C21" s="645">
        <f>'внеб 955 (01.01.20)'!G22*1000</f>
        <v>730700</v>
      </c>
      <c r="D21" s="645">
        <f>'внеб 955 (01.01.20)'!I22*1000</f>
        <v>730700</v>
      </c>
      <c r="E21" s="645">
        <f>'внеб 955 (01.01.20)'!J22*1000</f>
        <v>730700</v>
      </c>
    </row>
    <row r="22" spans="1:7" ht="26.25" customHeight="1" x14ac:dyDescent="0.25">
      <c r="A22" s="644" t="s">
        <v>711</v>
      </c>
      <c r="B22" s="3114">
        <v>311</v>
      </c>
      <c r="C22" s="645">
        <f>'внеб 956 (01.01.20)'!H18*1000</f>
        <v>20000</v>
      </c>
      <c r="D22" s="645">
        <f>'внеб 956 (01.01.20)'!I18*1000</f>
        <v>20000</v>
      </c>
      <c r="E22" s="645">
        <f>'внеб 956 (01.01.20)'!J18*1000</f>
        <v>20000</v>
      </c>
    </row>
    <row r="23" spans="1:7" ht="28.5" customHeight="1" x14ac:dyDescent="0.25">
      <c r="A23" s="644" t="s">
        <v>423</v>
      </c>
      <c r="B23" s="3114">
        <v>312</v>
      </c>
      <c r="C23" s="645">
        <f>'внеб 963 (01.01.20)'!Q19*1000</f>
        <v>127400</v>
      </c>
      <c r="D23" s="645">
        <f>'внеб 963 (01.01.20)'!R19*1000</f>
        <v>127400</v>
      </c>
      <c r="E23" s="645">
        <f>'внеб 963 (01.01.20)'!S19*1000</f>
        <v>127400</v>
      </c>
    </row>
    <row r="24" spans="1:7" ht="15" customHeight="1" x14ac:dyDescent="0.25">
      <c r="A24" s="644" t="s">
        <v>424</v>
      </c>
      <c r="B24" s="3114">
        <v>313</v>
      </c>
      <c r="C24" s="645"/>
      <c r="D24" s="645"/>
      <c r="E24" s="645"/>
    </row>
    <row r="25" spans="1:7" ht="63.75" customHeight="1" x14ac:dyDescent="0.25">
      <c r="A25" s="644" t="s">
        <v>416</v>
      </c>
      <c r="B25" s="3114">
        <v>314</v>
      </c>
      <c r="C25" s="645"/>
      <c r="D25" s="645"/>
      <c r="E25" s="645"/>
    </row>
    <row r="26" spans="1:7" ht="20.25" customHeight="1" x14ac:dyDescent="0.25">
      <c r="A26" s="644" t="s">
        <v>417</v>
      </c>
      <c r="B26" s="3114">
        <v>315</v>
      </c>
      <c r="C26" s="645">
        <f>'внеб 971 (01.01.20)'!K73*1000</f>
        <v>155000</v>
      </c>
      <c r="D26" s="645">
        <f>'внеб 971 (01.01.20)'!L73*1000</f>
        <v>155000</v>
      </c>
      <c r="E26" s="645">
        <f>'внеб 971 (01.01.20)'!M73*1000</f>
        <v>155000</v>
      </c>
    </row>
    <row r="27" spans="1:7" ht="20.25" customHeight="1" x14ac:dyDescent="0.25">
      <c r="A27" s="644" t="s">
        <v>418</v>
      </c>
      <c r="B27" s="3114">
        <v>316</v>
      </c>
      <c r="C27" s="645">
        <f>('внеб 981 (01.01.20)'!K82+'внеб 985 (01.01.20)'!E14+'внеб 986 (01.01.20)'!E13)*1000</f>
        <v>1104900</v>
      </c>
      <c r="D27" s="645">
        <f>('внеб 981 (01.01.20)'!L82+'внеб 985 (01.01.20)'!F14+'внеб 986 (01.01.20)'!G13)*1000</f>
        <v>1104900</v>
      </c>
      <c r="E27" s="645">
        <f>('внеб 981 (01.01.20)'!M82+'внеб 985 (01.01.20)'!G14+'внеб 986 (01.01.20)'!G13)*1000</f>
        <v>1104900</v>
      </c>
      <c r="F27" s="324"/>
      <c r="G27" s="324"/>
    </row>
    <row r="28" spans="1:7" ht="59.25" customHeight="1" x14ac:dyDescent="0.25">
      <c r="A28" s="644" t="s">
        <v>419</v>
      </c>
      <c r="B28" s="3114">
        <v>400</v>
      </c>
      <c r="C28" s="645"/>
      <c r="D28" s="645"/>
      <c r="E28" s="645"/>
      <c r="F28" s="324"/>
    </row>
    <row r="29" spans="1:7" ht="49.5" customHeight="1" x14ac:dyDescent="0.25">
      <c r="A29" s="644" t="s">
        <v>420</v>
      </c>
      <c r="B29" s="3114">
        <v>500</v>
      </c>
      <c r="C29" s="645"/>
      <c r="D29" s="645"/>
      <c r="E29" s="645"/>
    </row>
    <row r="30" spans="1:7" s="328" customFormat="1" ht="31.5" customHeight="1" x14ac:dyDescent="0.25">
      <c r="A30" s="646" t="s">
        <v>1293</v>
      </c>
      <c r="B30" s="647">
        <v>600</v>
      </c>
      <c r="C30" s="648">
        <f>C8-C9+C10-C28+C29</f>
        <v>8921200</v>
      </c>
      <c r="D30" s="648">
        <f>D8-D9+D10-D28+D29</f>
        <v>8921200</v>
      </c>
      <c r="E30" s="648">
        <f>E8-E9+E10-E28+E29</f>
        <v>8921200</v>
      </c>
    </row>
    <row r="31" spans="1:7" x14ac:dyDescent="0.25">
      <c r="A31" s="319" t="s">
        <v>183</v>
      </c>
      <c r="C31" s="324">
        <v>8921200</v>
      </c>
      <c r="D31" s="324">
        <v>8921200</v>
      </c>
      <c r="E31" s="324">
        <v>8921200</v>
      </c>
      <c r="F31" s="324"/>
    </row>
    <row r="32" spans="1:7" x14ac:dyDescent="0.25">
      <c r="C32" s="324">
        <f>C10-C31</f>
        <v>0</v>
      </c>
      <c r="D32" s="324">
        <f t="shared" ref="D32:E32" si="1">D10-D31</f>
        <v>0</v>
      </c>
      <c r="E32" s="324">
        <f t="shared" si="1"/>
        <v>0</v>
      </c>
    </row>
  </sheetData>
  <mergeCells count="5">
    <mergeCell ref="A1:E1"/>
    <mergeCell ref="A4:A6"/>
    <mergeCell ref="B4:B6"/>
    <mergeCell ref="C4:E4"/>
    <mergeCell ref="A2:E2"/>
  </mergeCells>
  <pageMargins left="0.70866141732283472" right="0.70866141732283472" top="0.74803149606299213" bottom="0.74803149606299213" header="0.31496062992125984" footer="0.31496062992125984"/>
  <pageSetup paperSize="9" scale="5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I214"/>
  <sheetViews>
    <sheetView view="pageBreakPreview" zoomScale="90" zoomScaleNormal="80" zoomScaleSheetLayoutView="90" workbookViewId="0">
      <pane xSplit="2" ySplit="9" topLeftCell="C10" activePane="bottomRight" state="frozen"/>
      <selection pane="topRight" activeCell="C1" sqref="C1"/>
      <selection pane="bottomLeft" activeCell="A7" sqref="A7"/>
      <selection pane="bottomRight" activeCell="B15" sqref="B15:F20"/>
    </sheetView>
  </sheetViews>
  <sheetFormatPr defaultRowHeight="15.75" x14ac:dyDescent="0.25"/>
  <cols>
    <col min="1" max="1" width="9.33203125" style="1393"/>
    <col min="2" max="2" width="45.33203125" style="1394" customWidth="1"/>
    <col min="3" max="3" width="14.33203125" style="1395" customWidth="1"/>
    <col min="4" max="4" width="15.83203125" style="1396" customWidth="1"/>
    <col min="5" max="5" width="19.83203125" style="1397" customWidth="1"/>
    <col min="6" max="6" width="19.83203125" style="1396" customWidth="1"/>
    <col min="7" max="7" width="18.83203125" style="1396" customWidth="1"/>
    <col min="8" max="8" width="70.6640625" style="1393" customWidth="1"/>
    <col min="9" max="9" width="25.6640625" style="1399" customWidth="1"/>
    <col min="10" max="16384" width="9.33203125" style="1393"/>
  </cols>
  <sheetData>
    <row r="1" spans="1:9" x14ac:dyDescent="0.25">
      <c r="H1" s="1398"/>
    </row>
    <row r="2" spans="1:9" ht="61.5" customHeight="1" x14ac:dyDescent="0.25">
      <c r="A2" s="3916" t="s">
        <v>1303</v>
      </c>
      <c r="B2" s="3916"/>
      <c r="C2" s="3916"/>
      <c r="D2" s="3917"/>
      <c r="E2" s="3917"/>
      <c r="F2" s="3917"/>
      <c r="G2" s="3917"/>
      <c r="H2" s="3916"/>
    </row>
    <row r="3" spans="1:9" x14ac:dyDescent="0.25">
      <c r="A3" s="1400"/>
      <c r="B3" s="1400"/>
      <c r="C3" s="1400"/>
      <c r="D3" s="1401"/>
      <c r="E3" s="1401"/>
      <c r="F3" s="1401"/>
      <c r="G3" s="1401"/>
      <c r="H3" s="1400"/>
    </row>
    <row r="4" spans="1:9" x14ac:dyDescent="0.25">
      <c r="A4" s="1400"/>
      <c r="B4" s="3918" t="s">
        <v>1444</v>
      </c>
      <c r="C4" s="3918"/>
      <c r="D4" s="3918"/>
      <c r="E4" s="3918"/>
      <c r="F4" s="3918"/>
      <c r="G4" s="3918"/>
      <c r="H4" s="3918"/>
    </row>
    <row r="5" spans="1:9" x14ac:dyDescent="0.25">
      <c r="A5" s="1400"/>
      <c r="B5" s="1400"/>
      <c r="C5" s="1400"/>
      <c r="D5" s="1400"/>
      <c r="E5" s="1400"/>
      <c r="F5" s="1400"/>
      <c r="G5" s="1400"/>
      <c r="H5" s="1402" t="s">
        <v>1311</v>
      </c>
    </row>
    <row r="6" spans="1:9" x14ac:dyDescent="0.25">
      <c r="E6" s="1403"/>
      <c r="H6" s="1398" t="s">
        <v>177</v>
      </c>
    </row>
    <row r="7" spans="1:9" ht="15.75" customHeight="1" x14ac:dyDescent="0.25">
      <c r="A7" s="3919" t="s">
        <v>78</v>
      </c>
      <c r="B7" s="3920" t="s">
        <v>185</v>
      </c>
      <c r="C7" s="3923" t="s">
        <v>181</v>
      </c>
      <c r="D7" s="3924"/>
      <c r="E7" s="3925"/>
      <c r="F7" s="3926" t="s">
        <v>178</v>
      </c>
      <c r="G7" s="3926" t="s">
        <v>179</v>
      </c>
      <c r="H7" s="3927" t="s">
        <v>180</v>
      </c>
    </row>
    <row r="8" spans="1:9" ht="15.75" customHeight="1" x14ac:dyDescent="0.25">
      <c r="A8" s="3919"/>
      <c r="B8" s="3921"/>
      <c r="C8" s="3930" t="s">
        <v>186</v>
      </c>
      <c r="D8" s="3913" t="s">
        <v>187</v>
      </c>
      <c r="E8" s="3913" t="s">
        <v>81</v>
      </c>
      <c r="F8" s="3926"/>
      <c r="G8" s="3926"/>
      <c r="H8" s="3928"/>
    </row>
    <row r="9" spans="1:9" s="1404" customFormat="1" ht="45.75" customHeight="1" x14ac:dyDescent="0.25">
      <c r="A9" s="3919"/>
      <c r="B9" s="3922"/>
      <c r="C9" s="3931"/>
      <c r="D9" s="3914"/>
      <c r="E9" s="3914"/>
      <c r="F9" s="3926"/>
      <c r="G9" s="3926"/>
      <c r="H9" s="3929"/>
      <c r="I9" s="1399"/>
    </row>
    <row r="10" spans="1:9" s="1407" customFormat="1" x14ac:dyDescent="0.25">
      <c r="A10" s="1405">
        <v>1</v>
      </c>
      <c r="B10" s="1405">
        <v>2</v>
      </c>
      <c r="C10" s="1405">
        <v>4</v>
      </c>
      <c r="D10" s="1405">
        <v>5</v>
      </c>
      <c r="E10" s="1405">
        <v>6</v>
      </c>
      <c r="F10" s="1405">
        <v>7</v>
      </c>
      <c r="G10" s="1405">
        <v>8</v>
      </c>
      <c r="H10" s="1405">
        <v>9</v>
      </c>
      <c r="I10" s="1406"/>
    </row>
    <row r="11" spans="1:9" s="1399" customFormat="1" ht="33" customHeight="1" x14ac:dyDescent="0.25">
      <c r="A11" s="1408">
        <v>1</v>
      </c>
      <c r="B11" s="296" t="s">
        <v>1473</v>
      </c>
      <c r="C11" s="1409">
        <v>4</v>
      </c>
      <c r="D11" s="1410">
        <v>2.5</v>
      </c>
      <c r="E11" s="1410">
        <v>10</v>
      </c>
      <c r="F11" s="1410">
        <v>10</v>
      </c>
      <c r="G11" s="1410">
        <v>10</v>
      </c>
      <c r="H11" s="1408" t="s">
        <v>1474</v>
      </c>
    </row>
    <row r="12" spans="1:9" s="1413" customFormat="1" x14ac:dyDescent="0.25">
      <c r="A12" s="1411"/>
      <c r="B12" s="1411" t="s">
        <v>97</v>
      </c>
      <c r="C12" s="1411"/>
      <c r="D12" s="1411"/>
      <c r="E12" s="1412">
        <f>E11</f>
        <v>10</v>
      </c>
      <c r="F12" s="1412">
        <f>F11</f>
        <v>10</v>
      </c>
      <c r="G12" s="1412">
        <f>G11</f>
        <v>10</v>
      </c>
      <c r="H12" s="1411"/>
    </row>
    <row r="13" spans="1:9" ht="20.25" customHeight="1" x14ac:dyDescent="0.25">
      <c r="A13" s="3915" t="s">
        <v>188</v>
      </c>
      <c r="B13" s="3915"/>
      <c r="C13" s="3915"/>
      <c r="D13" s="3915"/>
      <c r="E13" s="3915"/>
      <c r="F13" s="3915"/>
      <c r="G13" s="3915"/>
      <c r="H13" s="3915"/>
    </row>
    <row r="14" spans="1:9" x14ac:dyDescent="0.25">
      <c r="A14" s="1414"/>
      <c r="B14" s="1415"/>
      <c r="C14" s="1416"/>
      <c r="D14" s="1417"/>
      <c r="E14" s="1418"/>
      <c r="F14" s="1417"/>
      <c r="G14" s="1417"/>
      <c r="H14" s="1414"/>
    </row>
    <row r="15" spans="1:9" x14ac:dyDescent="0.25">
      <c r="B15" s="1419"/>
      <c r="C15" s="1420"/>
      <c r="D15" s="1421"/>
      <c r="E15" s="1420"/>
      <c r="F15" s="1393"/>
      <c r="G15" s="1393"/>
      <c r="I15" s="1393"/>
    </row>
    <row r="16" spans="1:9" x14ac:dyDescent="0.25">
      <c r="B16" s="1419"/>
      <c r="C16" s="1420"/>
      <c r="D16" s="1421"/>
      <c r="E16" s="1420"/>
      <c r="F16" s="1393"/>
      <c r="G16" s="1393"/>
      <c r="I16" s="1393"/>
    </row>
    <row r="18" spans="2:9" x14ac:dyDescent="0.25">
      <c r="B18" s="1422"/>
    </row>
    <row r="20" spans="2:9" ht="18.75" customHeight="1" x14ac:dyDescent="0.25"/>
    <row r="21" spans="2:9" s="1427" customFormat="1" ht="18.75" x14ac:dyDescent="0.3">
      <c r="B21" s="1423"/>
      <c r="C21" s="1424"/>
      <c r="D21" s="1425"/>
      <c r="E21" s="1426"/>
      <c r="F21" s="1425"/>
      <c r="G21" s="1425"/>
      <c r="I21" s="1428"/>
    </row>
    <row r="22" spans="2:9" s="1427" customFormat="1" ht="18.75" x14ac:dyDescent="0.3">
      <c r="B22" s="1423"/>
      <c r="C22" s="1424"/>
      <c r="D22" s="1425"/>
      <c r="E22" s="1426"/>
      <c r="F22" s="1425"/>
      <c r="G22" s="1425"/>
      <c r="I22" s="1428"/>
    </row>
    <row r="23" spans="2:9" s="1427" customFormat="1" ht="18.75" x14ac:dyDescent="0.3">
      <c r="B23" s="1429"/>
      <c r="C23" s="1424"/>
      <c r="D23" s="1425"/>
      <c r="E23" s="1426"/>
      <c r="F23" s="1425"/>
      <c r="G23" s="1425"/>
      <c r="I23" s="1428"/>
    </row>
    <row r="24" spans="2:9" ht="18.75" x14ac:dyDescent="0.3">
      <c r="B24" s="1429"/>
    </row>
    <row r="91" ht="18.75" customHeight="1" x14ac:dyDescent="0.25"/>
    <row r="98" ht="31.5" customHeight="1" x14ac:dyDescent="0.25"/>
    <row r="136" ht="15.75" customHeight="1" x14ac:dyDescent="0.25"/>
    <row r="214" ht="18.75" customHeight="1" x14ac:dyDescent="0.25"/>
  </sheetData>
  <mergeCells count="12">
    <mergeCell ref="E8:E9"/>
    <mergeCell ref="A13:H13"/>
    <mergeCell ref="A2:H2"/>
    <mergeCell ref="B4:H4"/>
    <mergeCell ref="A7:A9"/>
    <mergeCell ref="B7:B9"/>
    <mergeCell ref="C7:E7"/>
    <mergeCell ref="F7:F9"/>
    <mergeCell ref="G7:G9"/>
    <mergeCell ref="H7:H9"/>
    <mergeCell ref="C8:C9"/>
    <mergeCell ref="D8:D9"/>
  </mergeCells>
  <pageMargins left="0.70866141732283472" right="0.70866141732283472" top="0.74803149606299213" bottom="0.74803149606299213" header="0.31496062992125984" footer="0.31496062992125984"/>
  <pageSetup paperSize="9" scale="68"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86"/>
  <sheetViews>
    <sheetView view="pageBreakPreview" zoomScaleNormal="100" zoomScaleSheetLayoutView="100" workbookViewId="0">
      <pane ySplit="9" topLeftCell="A69" activePane="bottomLeft" state="frozen"/>
      <selection pane="bottomLeft" activeCell="O81" sqref="O81"/>
    </sheetView>
  </sheetViews>
  <sheetFormatPr defaultRowHeight="11.25" x14ac:dyDescent="0.2"/>
  <cols>
    <col min="1" max="1" width="9.1640625" style="1484" bestFit="1" customWidth="1"/>
    <col min="2" max="2" width="42.5" style="1431" customWidth="1"/>
    <col min="3" max="3" width="10.33203125" style="1432" customWidth="1"/>
    <col min="4" max="4" width="20.6640625" style="1433" customWidth="1"/>
    <col min="5" max="5" width="22.33203125" style="1434" customWidth="1"/>
    <col min="6" max="6" width="17.33203125" style="1434" customWidth="1"/>
    <col min="7" max="7" width="11.6640625" style="1434" customWidth="1"/>
    <col min="8" max="8" width="12.83203125" style="1434" customWidth="1"/>
    <col min="9" max="9" width="16.1640625" style="1433" customWidth="1"/>
    <col min="10" max="235" width="9.33203125" style="1433"/>
    <col min="236" max="236" width="9.1640625" style="1433" bestFit="1" customWidth="1"/>
    <col min="237" max="237" width="42.5" style="1433" customWidth="1"/>
    <col min="238" max="238" width="10.33203125" style="1433" customWidth="1"/>
    <col min="239" max="239" width="9.6640625" style="1433" customWidth="1"/>
    <col min="240" max="240" width="12.6640625" style="1433" customWidth="1"/>
    <col min="241" max="242" width="9.6640625" style="1433" customWidth="1"/>
    <col min="243" max="243" width="9.33203125" style="1433"/>
    <col min="244" max="244" width="9.83203125" style="1433" customWidth="1"/>
    <col min="245" max="245" width="12.1640625" style="1433" customWidth="1"/>
    <col min="246" max="249" width="9.83203125" style="1433" customWidth="1"/>
    <col min="250" max="250" width="9" style="1433" customWidth="1"/>
    <col min="251" max="251" width="13.5" style="1433" customWidth="1"/>
    <col min="252" max="252" width="13.1640625" style="1433" customWidth="1"/>
    <col min="253" max="253" width="9.33203125" style="1433"/>
    <col min="254" max="254" width="11.5" style="1433" bestFit="1" customWidth="1"/>
    <col min="255" max="255" width="38.5" style="1433" customWidth="1"/>
    <col min="256" max="256" width="10.6640625" style="1433" customWidth="1"/>
    <col min="257" max="257" width="11.33203125" style="1433" customWidth="1"/>
    <col min="258" max="262" width="9.33203125" style="1433"/>
    <col min="263" max="263" width="9.5" style="1433" bestFit="1" customWidth="1"/>
    <col min="264" max="264" width="18.33203125" style="1433" customWidth="1"/>
    <col min="265" max="491" width="9.33203125" style="1433"/>
    <col min="492" max="492" width="9.1640625" style="1433" bestFit="1" customWidth="1"/>
    <col min="493" max="493" width="42.5" style="1433" customWidth="1"/>
    <col min="494" max="494" width="10.33203125" style="1433" customWidth="1"/>
    <col min="495" max="495" width="9.6640625" style="1433" customWidth="1"/>
    <col min="496" max="496" width="12.6640625" style="1433" customWidth="1"/>
    <col min="497" max="498" width="9.6640625" style="1433" customWidth="1"/>
    <col min="499" max="499" width="9.33203125" style="1433"/>
    <col min="500" max="500" width="9.83203125" style="1433" customWidth="1"/>
    <col min="501" max="501" width="12.1640625" style="1433" customWidth="1"/>
    <col min="502" max="505" width="9.83203125" style="1433" customWidth="1"/>
    <col min="506" max="506" width="9" style="1433" customWidth="1"/>
    <col min="507" max="507" width="13.5" style="1433" customWidth="1"/>
    <col min="508" max="508" width="13.1640625" style="1433" customWidth="1"/>
    <col min="509" max="509" width="9.33203125" style="1433"/>
    <col min="510" max="510" width="11.5" style="1433" bestFit="1" customWidth="1"/>
    <col min="511" max="511" width="38.5" style="1433" customWidth="1"/>
    <col min="512" max="512" width="10.6640625" style="1433" customWidth="1"/>
    <col min="513" max="513" width="11.33203125" style="1433" customWidth="1"/>
    <col min="514" max="518" width="9.33203125" style="1433"/>
    <col min="519" max="519" width="9.5" style="1433" bestFit="1" customWidth="1"/>
    <col min="520" max="520" width="18.33203125" style="1433" customWidth="1"/>
    <col min="521" max="747" width="9.33203125" style="1433"/>
    <col min="748" max="748" width="9.1640625" style="1433" bestFit="1" customWidth="1"/>
    <col min="749" max="749" width="42.5" style="1433" customWidth="1"/>
    <col min="750" max="750" width="10.33203125" style="1433" customWidth="1"/>
    <col min="751" max="751" width="9.6640625" style="1433" customWidth="1"/>
    <col min="752" max="752" width="12.6640625" style="1433" customWidth="1"/>
    <col min="753" max="754" width="9.6640625" style="1433" customWidth="1"/>
    <col min="755" max="755" width="9.33203125" style="1433"/>
    <col min="756" max="756" width="9.83203125" style="1433" customWidth="1"/>
    <col min="757" max="757" width="12.1640625" style="1433" customWidth="1"/>
    <col min="758" max="761" width="9.83203125" style="1433" customWidth="1"/>
    <col min="762" max="762" width="9" style="1433" customWidth="1"/>
    <col min="763" max="763" width="13.5" style="1433" customWidth="1"/>
    <col min="764" max="764" width="13.1640625" style="1433" customWidth="1"/>
    <col min="765" max="765" width="9.33203125" style="1433"/>
    <col min="766" max="766" width="11.5" style="1433" bestFit="1" customWidth="1"/>
    <col min="767" max="767" width="38.5" style="1433" customWidth="1"/>
    <col min="768" max="768" width="10.6640625" style="1433" customWidth="1"/>
    <col min="769" max="769" width="11.33203125" style="1433" customWidth="1"/>
    <col min="770" max="774" width="9.33203125" style="1433"/>
    <col min="775" max="775" width="9.5" style="1433" bestFit="1" customWidth="1"/>
    <col min="776" max="776" width="18.33203125" style="1433" customWidth="1"/>
    <col min="777" max="1003" width="9.33203125" style="1433"/>
    <col min="1004" max="1004" width="9.1640625" style="1433" bestFit="1" customWidth="1"/>
    <col min="1005" max="1005" width="42.5" style="1433" customWidth="1"/>
    <col min="1006" max="1006" width="10.33203125" style="1433" customWidth="1"/>
    <col min="1007" max="1007" width="9.6640625" style="1433" customWidth="1"/>
    <col min="1008" max="1008" width="12.6640625" style="1433" customWidth="1"/>
    <col min="1009" max="1010" width="9.6640625" style="1433" customWidth="1"/>
    <col min="1011" max="1011" width="9.33203125" style="1433"/>
    <col min="1012" max="1012" width="9.83203125" style="1433" customWidth="1"/>
    <col min="1013" max="1013" width="12.1640625" style="1433" customWidth="1"/>
    <col min="1014" max="1017" width="9.83203125" style="1433" customWidth="1"/>
    <col min="1018" max="1018" width="9" style="1433" customWidth="1"/>
    <col min="1019" max="1019" width="13.5" style="1433" customWidth="1"/>
    <col min="1020" max="1020" width="13.1640625" style="1433" customWidth="1"/>
    <col min="1021" max="1021" width="9.33203125" style="1433"/>
    <col min="1022" max="1022" width="11.5" style="1433" bestFit="1" customWidth="1"/>
    <col min="1023" max="1023" width="38.5" style="1433" customWidth="1"/>
    <col min="1024" max="1024" width="10.6640625" style="1433" customWidth="1"/>
    <col min="1025" max="1025" width="11.33203125" style="1433" customWidth="1"/>
    <col min="1026" max="1030" width="9.33203125" style="1433"/>
    <col min="1031" max="1031" width="9.5" style="1433" bestFit="1" customWidth="1"/>
    <col min="1032" max="1032" width="18.33203125" style="1433" customWidth="1"/>
    <col min="1033" max="1259" width="9.33203125" style="1433"/>
    <col min="1260" max="1260" width="9.1640625" style="1433" bestFit="1" customWidth="1"/>
    <col min="1261" max="1261" width="42.5" style="1433" customWidth="1"/>
    <col min="1262" max="1262" width="10.33203125" style="1433" customWidth="1"/>
    <col min="1263" max="1263" width="9.6640625" style="1433" customWidth="1"/>
    <col min="1264" max="1264" width="12.6640625" style="1433" customWidth="1"/>
    <col min="1265" max="1266" width="9.6640625" style="1433" customWidth="1"/>
    <col min="1267" max="1267" width="9.33203125" style="1433"/>
    <col min="1268" max="1268" width="9.83203125" style="1433" customWidth="1"/>
    <col min="1269" max="1269" width="12.1640625" style="1433" customWidth="1"/>
    <col min="1270" max="1273" width="9.83203125" style="1433" customWidth="1"/>
    <col min="1274" max="1274" width="9" style="1433" customWidth="1"/>
    <col min="1275" max="1275" width="13.5" style="1433" customWidth="1"/>
    <col min="1276" max="1276" width="13.1640625" style="1433" customWidth="1"/>
    <col min="1277" max="1277" width="9.33203125" style="1433"/>
    <col min="1278" max="1278" width="11.5" style="1433" bestFit="1" customWidth="1"/>
    <col min="1279" max="1279" width="38.5" style="1433" customWidth="1"/>
    <col min="1280" max="1280" width="10.6640625" style="1433" customWidth="1"/>
    <col min="1281" max="1281" width="11.33203125" style="1433" customWidth="1"/>
    <col min="1282" max="1286" width="9.33203125" style="1433"/>
    <col min="1287" max="1287" width="9.5" style="1433" bestFit="1" customWidth="1"/>
    <col min="1288" max="1288" width="18.33203125" style="1433" customWidth="1"/>
    <col min="1289" max="1515" width="9.33203125" style="1433"/>
    <col min="1516" max="1516" width="9.1640625" style="1433" bestFit="1" customWidth="1"/>
    <col min="1517" max="1517" width="42.5" style="1433" customWidth="1"/>
    <col min="1518" max="1518" width="10.33203125" style="1433" customWidth="1"/>
    <col min="1519" max="1519" width="9.6640625" style="1433" customWidth="1"/>
    <col min="1520" max="1520" width="12.6640625" style="1433" customWidth="1"/>
    <col min="1521" max="1522" width="9.6640625" style="1433" customWidth="1"/>
    <col min="1523" max="1523" width="9.33203125" style="1433"/>
    <col min="1524" max="1524" width="9.83203125" style="1433" customWidth="1"/>
    <col min="1525" max="1525" width="12.1640625" style="1433" customWidth="1"/>
    <col min="1526" max="1529" width="9.83203125" style="1433" customWidth="1"/>
    <col min="1530" max="1530" width="9" style="1433" customWidth="1"/>
    <col min="1531" max="1531" width="13.5" style="1433" customWidth="1"/>
    <col min="1532" max="1532" width="13.1640625" style="1433" customWidth="1"/>
    <col min="1533" max="1533" width="9.33203125" style="1433"/>
    <col min="1534" max="1534" width="11.5" style="1433" bestFit="1" customWidth="1"/>
    <col min="1535" max="1535" width="38.5" style="1433" customWidth="1"/>
    <col min="1536" max="1536" width="10.6640625" style="1433" customWidth="1"/>
    <col min="1537" max="1537" width="11.33203125" style="1433" customWidth="1"/>
    <col min="1538" max="1542" width="9.33203125" style="1433"/>
    <col min="1543" max="1543" width="9.5" style="1433" bestFit="1" customWidth="1"/>
    <col min="1544" max="1544" width="18.33203125" style="1433" customWidth="1"/>
    <col min="1545" max="1771" width="9.33203125" style="1433"/>
    <col min="1772" max="1772" width="9.1640625" style="1433" bestFit="1" customWidth="1"/>
    <col min="1773" max="1773" width="42.5" style="1433" customWidth="1"/>
    <col min="1774" max="1774" width="10.33203125" style="1433" customWidth="1"/>
    <col min="1775" max="1775" width="9.6640625" style="1433" customWidth="1"/>
    <col min="1776" max="1776" width="12.6640625" style="1433" customWidth="1"/>
    <col min="1777" max="1778" width="9.6640625" style="1433" customWidth="1"/>
    <col min="1779" max="1779" width="9.33203125" style="1433"/>
    <col min="1780" max="1780" width="9.83203125" style="1433" customWidth="1"/>
    <col min="1781" max="1781" width="12.1640625" style="1433" customWidth="1"/>
    <col min="1782" max="1785" width="9.83203125" style="1433" customWidth="1"/>
    <col min="1786" max="1786" width="9" style="1433" customWidth="1"/>
    <col min="1787" max="1787" width="13.5" style="1433" customWidth="1"/>
    <col min="1788" max="1788" width="13.1640625" style="1433" customWidth="1"/>
    <col min="1789" max="1789" width="9.33203125" style="1433"/>
    <col min="1790" max="1790" width="11.5" style="1433" bestFit="1" customWidth="1"/>
    <col min="1791" max="1791" width="38.5" style="1433" customWidth="1"/>
    <col min="1792" max="1792" width="10.6640625" style="1433" customWidth="1"/>
    <col min="1793" max="1793" width="11.33203125" style="1433" customWidth="1"/>
    <col min="1794" max="1798" width="9.33203125" style="1433"/>
    <col min="1799" max="1799" width="9.5" style="1433" bestFit="1" customWidth="1"/>
    <col min="1800" max="1800" width="18.33203125" style="1433" customWidth="1"/>
    <col min="1801" max="2027" width="9.33203125" style="1433"/>
    <col min="2028" max="2028" width="9.1640625" style="1433" bestFit="1" customWidth="1"/>
    <col min="2029" max="2029" width="42.5" style="1433" customWidth="1"/>
    <col min="2030" max="2030" width="10.33203125" style="1433" customWidth="1"/>
    <col min="2031" max="2031" width="9.6640625" style="1433" customWidth="1"/>
    <col min="2032" max="2032" width="12.6640625" style="1433" customWidth="1"/>
    <col min="2033" max="2034" width="9.6640625" style="1433" customWidth="1"/>
    <col min="2035" max="2035" width="9.33203125" style="1433"/>
    <col min="2036" max="2036" width="9.83203125" style="1433" customWidth="1"/>
    <col min="2037" max="2037" width="12.1640625" style="1433" customWidth="1"/>
    <col min="2038" max="2041" width="9.83203125" style="1433" customWidth="1"/>
    <col min="2042" max="2042" width="9" style="1433" customWidth="1"/>
    <col min="2043" max="2043" width="13.5" style="1433" customWidth="1"/>
    <col min="2044" max="2044" width="13.1640625" style="1433" customWidth="1"/>
    <col min="2045" max="2045" width="9.33203125" style="1433"/>
    <col min="2046" max="2046" width="11.5" style="1433" bestFit="1" customWidth="1"/>
    <col min="2047" max="2047" width="38.5" style="1433" customWidth="1"/>
    <col min="2048" max="2048" width="10.6640625" style="1433" customWidth="1"/>
    <col min="2049" max="2049" width="11.33203125" style="1433" customWidth="1"/>
    <col min="2050" max="2054" width="9.33203125" style="1433"/>
    <col min="2055" max="2055" width="9.5" style="1433" bestFit="1" customWidth="1"/>
    <col min="2056" max="2056" width="18.33203125" style="1433" customWidth="1"/>
    <col min="2057" max="2283" width="9.33203125" style="1433"/>
    <col min="2284" max="2284" width="9.1640625" style="1433" bestFit="1" customWidth="1"/>
    <col min="2285" max="2285" width="42.5" style="1433" customWidth="1"/>
    <col min="2286" max="2286" width="10.33203125" style="1433" customWidth="1"/>
    <col min="2287" max="2287" width="9.6640625" style="1433" customWidth="1"/>
    <col min="2288" max="2288" width="12.6640625" style="1433" customWidth="1"/>
    <col min="2289" max="2290" width="9.6640625" style="1433" customWidth="1"/>
    <col min="2291" max="2291" width="9.33203125" style="1433"/>
    <col min="2292" max="2292" width="9.83203125" style="1433" customWidth="1"/>
    <col min="2293" max="2293" width="12.1640625" style="1433" customWidth="1"/>
    <col min="2294" max="2297" width="9.83203125" style="1433" customWidth="1"/>
    <col min="2298" max="2298" width="9" style="1433" customWidth="1"/>
    <col min="2299" max="2299" width="13.5" style="1433" customWidth="1"/>
    <col min="2300" max="2300" width="13.1640625" style="1433" customWidth="1"/>
    <col min="2301" max="2301" width="9.33203125" style="1433"/>
    <col min="2302" max="2302" width="11.5" style="1433" bestFit="1" customWidth="1"/>
    <col min="2303" max="2303" width="38.5" style="1433" customWidth="1"/>
    <col min="2304" max="2304" width="10.6640625" style="1433" customWidth="1"/>
    <col min="2305" max="2305" width="11.33203125" style="1433" customWidth="1"/>
    <col min="2306" max="2310" width="9.33203125" style="1433"/>
    <col min="2311" max="2311" width="9.5" style="1433" bestFit="1" customWidth="1"/>
    <col min="2312" max="2312" width="18.33203125" style="1433" customWidth="1"/>
    <col min="2313" max="2539" width="9.33203125" style="1433"/>
    <col min="2540" max="2540" width="9.1640625" style="1433" bestFit="1" customWidth="1"/>
    <col min="2541" max="2541" width="42.5" style="1433" customWidth="1"/>
    <col min="2542" max="2542" width="10.33203125" style="1433" customWidth="1"/>
    <col min="2543" max="2543" width="9.6640625" style="1433" customWidth="1"/>
    <col min="2544" max="2544" width="12.6640625" style="1433" customWidth="1"/>
    <col min="2545" max="2546" width="9.6640625" style="1433" customWidth="1"/>
    <col min="2547" max="2547" width="9.33203125" style="1433"/>
    <col min="2548" max="2548" width="9.83203125" style="1433" customWidth="1"/>
    <col min="2549" max="2549" width="12.1640625" style="1433" customWidth="1"/>
    <col min="2550" max="2553" width="9.83203125" style="1433" customWidth="1"/>
    <col min="2554" max="2554" width="9" style="1433" customWidth="1"/>
    <col min="2555" max="2555" width="13.5" style="1433" customWidth="1"/>
    <col min="2556" max="2556" width="13.1640625" style="1433" customWidth="1"/>
    <col min="2557" max="2557" width="9.33203125" style="1433"/>
    <col min="2558" max="2558" width="11.5" style="1433" bestFit="1" customWidth="1"/>
    <col min="2559" max="2559" width="38.5" style="1433" customWidth="1"/>
    <col min="2560" max="2560" width="10.6640625" style="1433" customWidth="1"/>
    <col min="2561" max="2561" width="11.33203125" style="1433" customWidth="1"/>
    <col min="2562" max="2566" width="9.33203125" style="1433"/>
    <col min="2567" max="2567" width="9.5" style="1433" bestFit="1" customWidth="1"/>
    <col min="2568" max="2568" width="18.33203125" style="1433" customWidth="1"/>
    <col min="2569" max="2795" width="9.33203125" style="1433"/>
    <col min="2796" max="2796" width="9.1640625" style="1433" bestFit="1" customWidth="1"/>
    <col min="2797" max="2797" width="42.5" style="1433" customWidth="1"/>
    <col min="2798" max="2798" width="10.33203125" style="1433" customWidth="1"/>
    <col min="2799" max="2799" width="9.6640625" style="1433" customWidth="1"/>
    <col min="2800" max="2800" width="12.6640625" style="1433" customWidth="1"/>
    <col min="2801" max="2802" width="9.6640625" style="1433" customWidth="1"/>
    <col min="2803" max="2803" width="9.33203125" style="1433"/>
    <col min="2804" max="2804" width="9.83203125" style="1433" customWidth="1"/>
    <col min="2805" max="2805" width="12.1640625" style="1433" customWidth="1"/>
    <col min="2806" max="2809" width="9.83203125" style="1433" customWidth="1"/>
    <col min="2810" max="2810" width="9" style="1433" customWidth="1"/>
    <col min="2811" max="2811" width="13.5" style="1433" customWidth="1"/>
    <col min="2812" max="2812" width="13.1640625" style="1433" customWidth="1"/>
    <col min="2813" max="2813" width="9.33203125" style="1433"/>
    <col min="2814" max="2814" width="11.5" style="1433" bestFit="1" customWidth="1"/>
    <col min="2815" max="2815" width="38.5" style="1433" customWidth="1"/>
    <col min="2816" max="2816" width="10.6640625" style="1433" customWidth="1"/>
    <col min="2817" max="2817" width="11.33203125" style="1433" customWidth="1"/>
    <col min="2818" max="2822" width="9.33203125" style="1433"/>
    <col min="2823" max="2823" width="9.5" style="1433" bestFit="1" customWidth="1"/>
    <col min="2824" max="2824" width="18.33203125" style="1433" customWidth="1"/>
    <col min="2825" max="3051" width="9.33203125" style="1433"/>
    <col min="3052" max="3052" width="9.1640625" style="1433" bestFit="1" customWidth="1"/>
    <col min="3053" max="3053" width="42.5" style="1433" customWidth="1"/>
    <col min="3054" max="3054" width="10.33203125" style="1433" customWidth="1"/>
    <col min="3055" max="3055" width="9.6640625" style="1433" customWidth="1"/>
    <col min="3056" max="3056" width="12.6640625" style="1433" customWidth="1"/>
    <col min="3057" max="3058" width="9.6640625" style="1433" customWidth="1"/>
    <col min="3059" max="3059" width="9.33203125" style="1433"/>
    <col min="3060" max="3060" width="9.83203125" style="1433" customWidth="1"/>
    <col min="3061" max="3061" width="12.1640625" style="1433" customWidth="1"/>
    <col min="3062" max="3065" width="9.83203125" style="1433" customWidth="1"/>
    <col min="3066" max="3066" width="9" style="1433" customWidth="1"/>
    <col min="3067" max="3067" width="13.5" style="1433" customWidth="1"/>
    <col min="3068" max="3068" width="13.1640625" style="1433" customWidth="1"/>
    <col min="3069" max="3069" width="9.33203125" style="1433"/>
    <col min="3070" max="3070" width="11.5" style="1433" bestFit="1" customWidth="1"/>
    <col min="3071" max="3071" width="38.5" style="1433" customWidth="1"/>
    <col min="3072" max="3072" width="10.6640625" style="1433" customWidth="1"/>
    <col min="3073" max="3073" width="11.33203125" style="1433" customWidth="1"/>
    <col min="3074" max="3078" width="9.33203125" style="1433"/>
    <col min="3079" max="3079" width="9.5" style="1433" bestFit="1" customWidth="1"/>
    <col min="3080" max="3080" width="18.33203125" style="1433" customWidth="1"/>
    <col min="3081" max="3307" width="9.33203125" style="1433"/>
    <col min="3308" max="3308" width="9.1640625" style="1433" bestFit="1" customWidth="1"/>
    <col min="3309" max="3309" width="42.5" style="1433" customWidth="1"/>
    <col min="3310" max="3310" width="10.33203125" style="1433" customWidth="1"/>
    <col min="3311" max="3311" width="9.6640625" style="1433" customWidth="1"/>
    <col min="3312" max="3312" width="12.6640625" style="1433" customWidth="1"/>
    <col min="3313" max="3314" width="9.6640625" style="1433" customWidth="1"/>
    <col min="3315" max="3315" width="9.33203125" style="1433"/>
    <col min="3316" max="3316" width="9.83203125" style="1433" customWidth="1"/>
    <col min="3317" max="3317" width="12.1640625" style="1433" customWidth="1"/>
    <col min="3318" max="3321" width="9.83203125" style="1433" customWidth="1"/>
    <col min="3322" max="3322" width="9" style="1433" customWidth="1"/>
    <col min="3323" max="3323" width="13.5" style="1433" customWidth="1"/>
    <col min="3324" max="3324" width="13.1640625" style="1433" customWidth="1"/>
    <col min="3325" max="3325" width="9.33203125" style="1433"/>
    <col min="3326" max="3326" width="11.5" style="1433" bestFit="1" customWidth="1"/>
    <col min="3327" max="3327" width="38.5" style="1433" customWidth="1"/>
    <col min="3328" max="3328" width="10.6640625" style="1433" customWidth="1"/>
    <col min="3329" max="3329" width="11.33203125" style="1433" customWidth="1"/>
    <col min="3330" max="3334" width="9.33203125" style="1433"/>
    <col min="3335" max="3335" width="9.5" style="1433" bestFit="1" customWidth="1"/>
    <col min="3336" max="3336" width="18.33203125" style="1433" customWidth="1"/>
    <col min="3337" max="3563" width="9.33203125" style="1433"/>
    <col min="3564" max="3564" width="9.1640625" style="1433" bestFit="1" customWidth="1"/>
    <col min="3565" max="3565" width="42.5" style="1433" customWidth="1"/>
    <col min="3566" max="3566" width="10.33203125" style="1433" customWidth="1"/>
    <col min="3567" max="3567" width="9.6640625" style="1433" customWidth="1"/>
    <col min="3568" max="3568" width="12.6640625" style="1433" customWidth="1"/>
    <col min="3569" max="3570" width="9.6640625" style="1433" customWidth="1"/>
    <col min="3571" max="3571" width="9.33203125" style="1433"/>
    <col min="3572" max="3572" width="9.83203125" style="1433" customWidth="1"/>
    <col min="3573" max="3573" width="12.1640625" style="1433" customWidth="1"/>
    <col min="3574" max="3577" width="9.83203125" style="1433" customWidth="1"/>
    <col min="3578" max="3578" width="9" style="1433" customWidth="1"/>
    <col min="3579" max="3579" width="13.5" style="1433" customWidth="1"/>
    <col min="3580" max="3580" width="13.1640625" style="1433" customWidth="1"/>
    <col min="3581" max="3581" width="9.33203125" style="1433"/>
    <col min="3582" max="3582" width="11.5" style="1433" bestFit="1" customWidth="1"/>
    <col min="3583" max="3583" width="38.5" style="1433" customWidth="1"/>
    <col min="3584" max="3584" width="10.6640625" style="1433" customWidth="1"/>
    <col min="3585" max="3585" width="11.33203125" style="1433" customWidth="1"/>
    <col min="3586" max="3590" width="9.33203125" style="1433"/>
    <col min="3591" max="3591" width="9.5" style="1433" bestFit="1" customWidth="1"/>
    <col min="3592" max="3592" width="18.33203125" style="1433" customWidth="1"/>
    <col min="3593" max="3819" width="9.33203125" style="1433"/>
    <col min="3820" max="3820" width="9.1640625" style="1433" bestFit="1" customWidth="1"/>
    <col min="3821" max="3821" width="42.5" style="1433" customWidth="1"/>
    <col min="3822" max="3822" width="10.33203125" style="1433" customWidth="1"/>
    <col min="3823" max="3823" width="9.6640625" style="1433" customWidth="1"/>
    <col min="3824" max="3824" width="12.6640625" style="1433" customWidth="1"/>
    <col min="3825" max="3826" width="9.6640625" style="1433" customWidth="1"/>
    <col min="3827" max="3827" width="9.33203125" style="1433"/>
    <col min="3828" max="3828" width="9.83203125" style="1433" customWidth="1"/>
    <col min="3829" max="3829" width="12.1640625" style="1433" customWidth="1"/>
    <col min="3830" max="3833" width="9.83203125" style="1433" customWidth="1"/>
    <col min="3834" max="3834" width="9" style="1433" customWidth="1"/>
    <col min="3835" max="3835" width="13.5" style="1433" customWidth="1"/>
    <col min="3836" max="3836" width="13.1640625" style="1433" customWidth="1"/>
    <col min="3837" max="3837" width="9.33203125" style="1433"/>
    <col min="3838" max="3838" width="11.5" style="1433" bestFit="1" customWidth="1"/>
    <col min="3839" max="3839" width="38.5" style="1433" customWidth="1"/>
    <col min="3840" max="3840" width="10.6640625" style="1433" customWidth="1"/>
    <col min="3841" max="3841" width="11.33203125" style="1433" customWidth="1"/>
    <col min="3842" max="3846" width="9.33203125" style="1433"/>
    <col min="3847" max="3847" width="9.5" style="1433" bestFit="1" customWidth="1"/>
    <col min="3848" max="3848" width="18.33203125" style="1433" customWidth="1"/>
    <col min="3849" max="4075" width="9.33203125" style="1433"/>
    <col min="4076" max="4076" width="9.1640625" style="1433" bestFit="1" customWidth="1"/>
    <col min="4077" max="4077" width="42.5" style="1433" customWidth="1"/>
    <col min="4078" max="4078" width="10.33203125" style="1433" customWidth="1"/>
    <col min="4079" max="4079" width="9.6640625" style="1433" customWidth="1"/>
    <col min="4080" max="4080" width="12.6640625" style="1433" customWidth="1"/>
    <col min="4081" max="4082" width="9.6640625" style="1433" customWidth="1"/>
    <col min="4083" max="4083" width="9.33203125" style="1433"/>
    <col min="4084" max="4084" width="9.83203125" style="1433" customWidth="1"/>
    <col min="4085" max="4085" width="12.1640625" style="1433" customWidth="1"/>
    <col min="4086" max="4089" width="9.83203125" style="1433" customWidth="1"/>
    <col min="4090" max="4090" width="9" style="1433" customWidth="1"/>
    <col min="4091" max="4091" width="13.5" style="1433" customWidth="1"/>
    <col min="4092" max="4092" width="13.1640625" style="1433" customWidth="1"/>
    <col min="4093" max="4093" width="9.33203125" style="1433"/>
    <col min="4094" max="4094" width="11.5" style="1433" bestFit="1" customWidth="1"/>
    <col min="4095" max="4095" width="38.5" style="1433" customWidth="1"/>
    <col min="4096" max="4096" width="10.6640625" style="1433" customWidth="1"/>
    <col min="4097" max="4097" width="11.33203125" style="1433" customWidth="1"/>
    <col min="4098" max="4102" width="9.33203125" style="1433"/>
    <col min="4103" max="4103" width="9.5" style="1433" bestFit="1" customWidth="1"/>
    <col min="4104" max="4104" width="18.33203125" style="1433" customWidth="1"/>
    <col min="4105" max="4331" width="9.33203125" style="1433"/>
    <col min="4332" max="4332" width="9.1640625" style="1433" bestFit="1" customWidth="1"/>
    <col min="4333" max="4333" width="42.5" style="1433" customWidth="1"/>
    <col min="4334" max="4334" width="10.33203125" style="1433" customWidth="1"/>
    <col min="4335" max="4335" width="9.6640625" style="1433" customWidth="1"/>
    <col min="4336" max="4336" width="12.6640625" style="1433" customWidth="1"/>
    <col min="4337" max="4338" width="9.6640625" style="1433" customWidth="1"/>
    <col min="4339" max="4339" width="9.33203125" style="1433"/>
    <col min="4340" max="4340" width="9.83203125" style="1433" customWidth="1"/>
    <col min="4341" max="4341" width="12.1640625" style="1433" customWidth="1"/>
    <col min="4342" max="4345" width="9.83203125" style="1433" customWidth="1"/>
    <col min="4346" max="4346" width="9" style="1433" customWidth="1"/>
    <col min="4347" max="4347" width="13.5" style="1433" customWidth="1"/>
    <col min="4348" max="4348" width="13.1640625" style="1433" customWidth="1"/>
    <col min="4349" max="4349" width="9.33203125" style="1433"/>
    <col min="4350" max="4350" width="11.5" style="1433" bestFit="1" customWidth="1"/>
    <col min="4351" max="4351" width="38.5" style="1433" customWidth="1"/>
    <col min="4352" max="4352" width="10.6640625" style="1433" customWidth="1"/>
    <col min="4353" max="4353" width="11.33203125" style="1433" customWidth="1"/>
    <col min="4354" max="4358" width="9.33203125" style="1433"/>
    <col min="4359" max="4359" width="9.5" style="1433" bestFit="1" customWidth="1"/>
    <col min="4360" max="4360" width="18.33203125" style="1433" customWidth="1"/>
    <col min="4361" max="4587" width="9.33203125" style="1433"/>
    <col min="4588" max="4588" width="9.1640625" style="1433" bestFit="1" customWidth="1"/>
    <col min="4589" max="4589" width="42.5" style="1433" customWidth="1"/>
    <col min="4590" max="4590" width="10.33203125" style="1433" customWidth="1"/>
    <col min="4591" max="4591" width="9.6640625" style="1433" customWidth="1"/>
    <col min="4592" max="4592" width="12.6640625" style="1433" customWidth="1"/>
    <col min="4593" max="4594" width="9.6640625" style="1433" customWidth="1"/>
    <col min="4595" max="4595" width="9.33203125" style="1433"/>
    <col min="4596" max="4596" width="9.83203125" style="1433" customWidth="1"/>
    <col min="4597" max="4597" width="12.1640625" style="1433" customWidth="1"/>
    <col min="4598" max="4601" width="9.83203125" style="1433" customWidth="1"/>
    <col min="4602" max="4602" width="9" style="1433" customWidth="1"/>
    <col min="4603" max="4603" width="13.5" style="1433" customWidth="1"/>
    <col min="4604" max="4604" width="13.1640625" style="1433" customWidth="1"/>
    <col min="4605" max="4605" width="9.33203125" style="1433"/>
    <col min="4606" max="4606" width="11.5" style="1433" bestFit="1" customWidth="1"/>
    <col min="4607" max="4607" width="38.5" style="1433" customWidth="1"/>
    <col min="4608" max="4608" width="10.6640625" style="1433" customWidth="1"/>
    <col min="4609" max="4609" width="11.33203125" style="1433" customWidth="1"/>
    <col min="4610" max="4614" width="9.33203125" style="1433"/>
    <col min="4615" max="4615" width="9.5" style="1433" bestFit="1" customWidth="1"/>
    <col min="4616" max="4616" width="18.33203125" style="1433" customWidth="1"/>
    <col min="4617" max="4843" width="9.33203125" style="1433"/>
    <col min="4844" max="4844" width="9.1640625" style="1433" bestFit="1" customWidth="1"/>
    <col min="4845" max="4845" width="42.5" style="1433" customWidth="1"/>
    <col min="4846" max="4846" width="10.33203125" style="1433" customWidth="1"/>
    <col min="4847" max="4847" width="9.6640625" style="1433" customWidth="1"/>
    <col min="4848" max="4848" width="12.6640625" style="1433" customWidth="1"/>
    <col min="4849" max="4850" width="9.6640625" style="1433" customWidth="1"/>
    <col min="4851" max="4851" width="9.33203125" style="1433"/>
    <col min="4852" max="4852" width="9.83203125" style="1433" customWidth="1"/>
    <col min="4853" max="4853" width="12.1640625" style="1433" customWidth="1"/>
    <col min="4854" max="4857" width="9.83203125" style="1433" customWidth="1"/>
    <col min="4858" max="4858" width="9" style="1433" customWidth="1"/>
    <col min="4859" max="4859" width="13.5" style="1433" customWidth="1"/>
    <col min="4860" max="4860" width="13.1640625" style="1433" customWidth="1"/>
    <col min="4861" max="4861" width="9.33203125" style="1433"/>
    <col min="4862" max="4862" width="11.5" style="1433" bestFit="1" customWidth="1"/>
    <col min="4863" max="4863" width="38.5" style="1433" customWidth="1"/>
    <col min="4864" max="4864" width="10.6640625" style="1433" customWidth="1"/>
    <col min="4865" max="4865" width="11.33203125" style="1433" customWidth="1"/>
    <col min="4866" max="4870" width="9.33203125" style="1433"/>
    <col min="4871" max="4871" width="9.5" style="1433" bestFit="1" customWidth="1"/>
    <col min="4872" max="4872" width="18.33203125" style="1433" customWidth="1"/>
    <col min="4873" max="5099" width="9.33203125" style="1433"/>
    <col min="5100" max="5100" width="9.1640625" style="1433" bestFit="1" customWidth="1"/>
    <col min="5101" max="5101" width="42.5" style="1433" customWidth="1"/>
    <col min="5102" max="5102" width="10.33203125" style="1433" customWidth="1"/>
    <col min="5103" max="5103" width="9.6640625" style="1433" customWidth="1"/>
    <col min="5104" max="5104" width="12.6640625" style="1433" customWidth="1"/>
    <col min="5105" max="5106" width="9.6640625" style="1433" customWidth="1"/>
    <col min="5107" max="5107" width="9.33203125" style="1433"/>
    <col min="5108" max="5108" width="9.83203125" style="1433" customWidth="1"/>
    <col min="5109" max="5109" width="12.1640625" style="1433" customWidth="1"/>
    <col min="5110" max="5113" width="9.83203125" style="1433" customWidth="1"/>
    <col min="5114" max="5114" width="9" style="1433" customWidth="1"/>
    <col min="5115" max="5115" width="13.5" style="1433" customWidth="1"/>
    <col min="5116" max="5116" width="13.1640625" style="1433" customWidth="1"/>
    <col min="5117" max="5117" width="9.33203125" style="1433"/>
    <col min="5118" max="5118" width="11.5" style="1433" bestFit="1" customWidth="1"/>
    <col min="5119" max="5119" width="38.5" style="1433" customWidth="1"/>
    <col min="5120" max="5120" width="10.6640625" style="1433" customWidth="1"/>
    <col min="5121" max="5121" width="11.33203125" style="1433" customWidth="1"/>
    <col min="5122" max="5126" width="9.33203125" style="1433"/>
    <col min="5127" max="5127" width="9.5" style="1433" bestFit="1" customWidth="1"/>
    <col min="5128" max="5128" width="18.33203125" style="1433" customWidth="1"/>
    <col min="5129" max="5355" width="9.33203125" style="1433"/>
    <col min="5356" max="5356" width="9.1640625" style="1433" bestFit="1" customWidth="1"/>
    <col min="5357" max="5357" width="42.5" style="1433" customWidth="1"/>
    <col min="5358" max="5358" width="10.33203125" style="1433" customWidth="1"/>
    <col min="5359" max="5359" width="9.6640625" style="1433" customWidth="1"/>
    <col min="5360" max="5360" width="12.6640625" style="1433" customWidth="1"/>
    <col min="5361" max="5362" width="9.6640625" style="1433" customWidth="1"/>
    <col min="5363" max="5363" width="9.33203125" style="1433"/>
    <col min="5364" max="5364" width="9.83203125" style="1433" customWidth="1"/>
    <col min="5365" max="5365" width="12.1640625" style="1433" customWidth="1"/>
    <col min="5366" max="5369" width="9.83203125" style="1433" customWidth="1"/>
    <col min="5370" max="5370" width="9" style="1433" customWidth="1"/>
    <col min="5371" max="5371" width="13.5" style="1433" customWidth="1"/>
    <col min="5372" max="5372" width="13.1640625" style="1433" customWidth="1"/>
    <col min="5373" max="5373" width="9.33203125" style="1433"/>
    <col min="5374" max="5374" width="11.5" style="1433" bestFit="1" customWidth="1"/>
    <col min="5375" max="5375" width="38.5" style="1433" customWidth="1"/>
    <col min="5376" max="5376" width="10.6640625" style="1433" customWidth="1"/>
    <col min="5377" max="5377" width="11.33203125" style="1433" customWidth="1"/>
    <col min="5378" max="5382" width="9.33203125" style="1433"/>
    <col min="5383" max="5383" width="9.5" style="1433" bestFit="1" customWidth="1"/>
    <col min="5384" max="5384" width="18.33203125" style="1433" customWidth="1"/>
    <col min="5385" max="5611" width="9.33203125" style="1433"/>
    <col min="5612" max="5612" width="9.1640625" style="1433" bestFit="1" customWidth="1"/>
    <col min="5613" max="5613" width="42.5" style="1433" customWidth="1"/>
    <col min="5614" max="5614" width="10.33203125" style="1433" customWidth="1"/>
    <col min="5615" max="5615" width="9.6640625" style="1433" customWidth="1"/>
    <col min="5616" max="5616" width="12.6640625" style="1433" customWidth="1"/>
    <col min="5617" max="5618" width="9.6640625" style="1433" customWidth="1"/>
    <col min="5619" max="5619" width="9.33203125" style="1433"/>
    <col min="5620" max="5620" width="9.83203125" style="1433" customWidth="1"/>
    <col min="5621" max="5621" width="12.1640625" style="1433" customWidth="1"/>
    <col min="5622" max="5625" width="9.83203125" style="1433" customWidth="1"/>
    <col min="5626" max="5626" width="9" style="1433" customWidth="1"/>
    <col min="5627" max="5627" width="13.5" style="1433" customWidth="1"/>
    <col min="5628" max="5628" width="13.1640625" style="1433" customWidth="1"/>
    <col min="5629" max="5629" width="9.33203125" style="1433"/>
    <col min="5630" max="5630" width="11.5" style="1433" bestFit="1" customWidth="1"/>
    <col min="5631" max="5631" width="38.5" style="1433" customWidth="1"/>
    <col min="5632" max="5632" width="10.6640625" style="1433" customWidth="1"/>
    <col min="5633" max="5633" width="11.33203125" style="1433" customWidth="1"/>
    <col min="5634" max="5638" width="9.33203125" style="1433"/>
    <col min="5639" max="5639" width="9.5" style="1433" bestFit="1" customWidth="1"/>
    <col min="5640" max="5640" width="18.33203125" style="1433" customWidth="1"/>
    <col min="5641" max="5867" width="9.33203125" style="1433"/>
    <col min="5868" max="5868" width="9.1640625" style="1433" bestFit="1" customWidth="1"/>
    <col min="5869" max="5869" width="42.5" style="1433" customWidth="1"/>
    <col min="5870" max="5870" width="10.33203125" style="1433" customWidth="1"/>
    <col min="5871" max="5871" width="9.6640625" style="1433" customWidth="1"/>
    <col min="5872" max="5872" width="12.6640625" style="1433" customWidth="1"/>
    <col min="5873" max="5874" width="9.6640625" style="1433" customWidth="1"/>
    <col min="5875" max="5875" width="9.33203125" style="1433"/>
    <col min="5876" max="5876" width="9.83203125" style="1433" customWidth="1"/>
    <col min="5877" max="5877" width="12.1640625" style="1433" customWidth="1"/>
    <col min="5878" max="5881" width="9.83203125" style="1433" customWidth="1"/>
    <col min="5882" max="5882" width="9" style="1433" customWidth="1"/>
    <col min="5883" max="5883" width="13.5" style="1433" customWidth="1"/>
    <col min="5884" max="5884" width="13.1640625" style="1433" customWidth="1"/>
    <col min="5885" max="5885" width="9.33203125" style="1433"/>
    <col min="5886" max="5886" width="11.5" style="1433" bestFit="1" customWidth="1"/>
    <col min="5887" max="5887" width="38.5" style="1433" customWidth="1"/>
    <col min="5888" max="5888" width="10.6640625" style="1433" customWidth="1"/>
    <col min="5889" max="5889" width="11.33203125" style="1433" customWidth="1"/>
    <col min="5890" max="5894" width="9.33203125" style="1433"/>
    <col min="5895" max="5895" width="9.5" style="1433" bestFit="1" customWidth="1"/>
    <col min="5896" max="5896" width="18.33203125" style="1433" customWidth="1"/>
    <col min="5897" max="6123" width="9.33203125" style="1433"/>
    <col min="6124" max="6124" width="9.1640625" style="1433" bestFit="1" customWidth="1"/>
    <col min="6125" max="6125" width="42.5" style="1433" customWidth="1"/>
    <col min="6126" max="6126" width="10.33203125" style="1433" customWidth="1"/>
    <col min="6127" max="6127" width="9.6640625" style="1433" customWidth="1"/>
    <col min="6128" max="6128" width="12.6640625" style="1433" customWidth="1"/>
    <col min="6129" max="6130" width="9.6640625" style="1433" customWidth="1"/>
    <col min="6131" max="6131" width="9.33203125" style="1433"/>
    <col min="6132" max="6132" width="9.83203125" style="1433" customWidth="1"/>
    <col min="6133" max="6133" width="12.1640625" style="1433" customWidth="1"/>
    <col min="6134" max="6137" width="9.83203125" style="1433" customWidth="1"/>
    <col min="6138" max="6138" width="9" style="1433" customWidth="1"/>
    <col min="6139" max="6139" width="13.5" style="1433" customWidth="1"/>
    <col min="6140" max="6140" width="13.1640625" style="1433" customWidth="1"/>
    <col min="6141" max="6141" width="9.33203125" style="1433"/>
    <col min="6142" max="6142" width="11.5" style="1433" bestFit="1" customWidth="1"/>
    <col min="6143" max="6143" width="38.5" style="1433" customWidth="1"/>
    <col min="6144" max="6144" width="10.6640625" style="1433" customWidth="1"/>
    <col min="6145" max="6145" width="11.33203125" style="1433" customWidth="1"/>
    <col min="6146" max="6150" width="9.33203125" style="1433"/>
    <col min="6151" max="6151" width="9.5" style="1433" bestFit="1" customWidth="1"/>
    <col min="6152" max="6152" width="18.33203125" style="1433" customWidth="1"/>
    <col min="6153" max="6379" width="9.33203125" style="1433"/>
    <col min="6380" max="6380" width="9.1640625" style="1433" bestFit="1" customWidth="1"/>
    <col min="6381" max="6381" width="42.5" style="1433" customWidth="1"/>
    <col min="6382" max="6382" width="10.33203125" style="1433" customWidth="1"/>
    <col min="6383" max="6383" width="9.6640625" style="1433" customWidth="1"/>
    <col min="6384" max="6384" width="12.6640625" style="1433" customWidth="1"/>
    <col min="6385" max="6386" width="9.6640625" style="1433" customWidth="1"/>
    <col min="6387" max="6387" width="9.33203125" style="1433"/>
    <col min="6388" max="6388" width="9.83203125" style="1433" customWidth="1"/>
    <col min="6389" max="6389" width="12.1640625" style="1433" customWidth="1"/>
    <col min="6390" max="6393" width="9.83203125" style="1433" customWidth="1"/>
    <col min="6394" max="6394" width="9" style="1433" customWidth="1"/>
    <col min="6395" max="6395" width="13.5" style="1433" customWidth="1"/>
    <col min="6396" max="6396" width="13.1640625" style="1433" customWidth="1"/>
    <col min="6397" max="6397" width="9.33203125" style="1433"/>
    <col min="6398" max="6398" width="11.5" style="1433" bestFit="1" customWidth="1"/>
    <col min="6399" max="6399" width="38.5" style="1433" customWidth="1"/>
    <col min="6400" max="6400" width="10.6640625" style="1433" customWidth="1"/>
    <col min="6401" max="6401" width="11.33203125" style="1433" customWidth="1"/>
    <col min="6402" max="6406" width="9.33203125" style="1433"/>
    <col min="6407" max="6407" width="9.5" style="1433" bestFit="1" customWidth="1"/>
    <col min="6408" max="6408" width="18.33203125" style="1433" customWidth="1"/>
    <col min="6409" max="6635" width="9.33203125" style="1433"/>
    <col min="6636" max="6636" width="9.1640625" style="1433" bestFit="1" customWidth="1"/>
    <col min="6637" max="6637" width="42.5" style="1433" customWidth="1"/>
    <col min="6638" max="6638" width="10.33203125" style="1433" customWidth="1"/>
    <col min="6639" max="6639" width="9.6640625" style="1433" customWidth="1"/>
    <col min="6640" max="6640" width="12.6640625" style="1433" customWidth="1"/>
    <col min="6641" max="6642" width="9.6640625" style="1433" customWidth="1"/>
    <col min="6643" max="6643" width="9.33203125" style="1433"/>
    <col min="6644" max="6644" width="9.83203125" style="1433" customWidth="1"/>
    <col min="6645" max="6645" width="12.1640625" style="1433" customWidth="1"/>
    <col min="6646" max="6649" width="9.83203125" style="1433" customWidth="1"/>
    <col min="6650" max="6650" width="9" style="1433" customWidth="1"/>
    <col min="6651" max="6651" width="13.5" style="1433" customWidth="1"/>
    <col min="6652" max="6652" width="13.1640625" style="1433" customWidth="1"/>
    <col min="6653" max="6653" width="9.33203125" style="1433"/>
    <col min="6654" max="6654" width="11.5" style="1433" bestFit="1" customWidth="1"/>
    <col min="6655" max="6655" width="38.5" style="1433" customWidth="1"/>
    <col min="6656" max="6656" width="10.6640625" style="1433" customWidth="1"/>
    <col min="6657" max="6657" width="11.33203125" style="1433" customWidth="1"/>
    <col min="6658" max="6662" width="9.33203125" style="1433"/>
    <col min="6663" max="6663" width="9.5" style="1433" bestFit="1" customWidth="1"/>
    <col min="6664" max="6664" width="18.33203125" style="1433" customWidth="1"/>
    <col min="6665" max="6891" width="9.33203125" style="1433"/>
    <col min="6892" max="6892" width="9.1640625" style="1433" bestFit="1" customWidth="1"/>
    <col min="6893" max="6893" width="42.5" style="1433" customWidth="1"/>
    <col min="6894" max="6894" width="10.33203125" style="1433" customWidth="1"/>
    <col min="6895" max="6895" width="9.6640625" style="1433" customWidth="1"/>
    <col min="6896" max="6896" width="12.6640625" style="1433" customWidth="1"/>
    <col min="6897" max="6898" width="9.6640625" style="1433" customWidth="1"/>
    <col min="6899" max="6899" width="9.33203125" style="1433"/>
    <col min="6900" max="6900" width="9.83203125" style="1433" customWidth="1"/>
    <col min="6901" max="6901" width="12.1640625" style="1433" customWidth="1"/>
    <col min="6902" max="6905" width="9.83203125" style="1433" customWidth="1"/>
    <col min="6906" max="6906" width="9" style="1433" customWidth="1"/>
    <col min="6907" max="6907" width="13.5" style="1433" customWidth="1"/>
    <col min="6908" max="6908" width="13.1640625" style="1433" customWidth="1"/>
    <col min="6909" max="6909" width="9.33203125" style="1433"/>
    <col min="6910" max="6910" width="11.5" style="1433" bestFit="1" customWidth="1"/>
    <col min="6911" max="6911" width="38.5" style="1433" customWidth="1"/>
    <col min="6912" max="6912" width="10.6640625" style="1433" customWidth="1"/>
    <col min="6913" max="6913" width="11.33203125" style="1433" customWidth="1"/>
    <col min="6914" max="6918" width="9.33203125" style="1433"/>
    <col min="6919" max="6919" width="9.5" style="1433" bestFit="1" customWidth="1"/>
    <col min="6920" max="6920" width="18.33203125" style="1433" customWidth="1"/>
    <col min="6921" max="7147" width="9.33203125" style="1433"/>
    <col min="7148" max="7148" width="9.1640625" style="1433" bestFit="1" customWidth="1"/>
    <col min="7149" max="7149" width="42.5" style="1433" customWidth="1"/>
    <col min="7150" max="7150" width="10.33203125" style="1433" customWidth="1"/>
    <col min="7151" max="7151" width="9.6640625" style="1433" customWidth="1"/>
    <col min="7152" max="7152" width="12.6640625" style="1433" customWidth="1"/>
    <col min="7153" max="7154" width="9.6640625" style="1433" customWidth="1"/>
    <col min="7155" max="7155" width="9.33203125" style="1433"/>
    <col min="7156" max="7156" width="9.83203125" style="1433" customWidth="1"/>
    <col min="7157" max="7157" width="12.1640625" style="1433" customWidth="1"/>
    <col min="7158" max="7161" width="9.83203125" style="1433" customWidth="1"/>
    <col min="7162" max="7162" width="9" style="1433" customWidth="1"/>
    <col min="7163" max="7163" width="13.5" style="1433" customWidth="1"/>
    <col min="7164" max="7164" width="13.1640625" style="1433" customWidth="1"/>
    <col min="7165" max="7165" width="9.33203125" style="1433"/>
    <col min="7166" max="7166" width="11.5" style="1433" bestFit="1" customWidth="1"/>
    <col min="7167" max="7167" width="38.5" style="1433" customWidth="1"/>
    <col min="7168" max="7168" width="10.6640625" style="1433" customWidth="1"/>
    <col min="7169" max="7169" width="11.33203125" style="1433" customWidth="1"/>
    <col min="7170" max="7174" width="9.33203125" style="1433"/>
    <col min="7175" max="7175" width="9.5" style="1433" bestFit="1" customWidth="1"/>
    <col min="7176" max="7176" width="18.33203125" style="1433" customWidth="1"/>
    <col min="7177" max="7403" width="9.33203125" style="1433"/>
    <col min="7404" max="7404" width="9.1640625" style="1433" bestFit="1" customWidth="1"/>
    <col min="7405" max="7405" width="42.5" style="1433" customWidth="1"/>
    <col min="7406" max="7406" width="10.33203125" style="1433" customWidth="1"/>
    <col min="7407" max="7407" width="9.6640625" style="1433" customWidth="1"/>
    <col min="7408" max="7408" width="12.6640625" style="1433" customWidth="1"/>
    <col min="7409" max="7410" width="9.6640625" style="1433" customWidth="1"/>
    <col min="7411" max="7411" width="9.33203125" style="1433"/>
    <col min="7412" max="7412" width="9.83203125" style="1433" customWidth="1"/>
    <col min="7413" max="7413" width="12.1640625" style="1433" customWidth="1"/>
    <col min="7414" max="7417" width="9.83203125" style="1433" customWidth="1"/>
    <col min="7418" max="7418" width="9" style="1433" customWidth="1"/>
    <col min="7419" max="7419" width="13.5" style="1433" customWidth="1"/>
    <col min="7420" max="7420" width="13.1640625" style="1433" customWidth="1"/>
    <col min="7421" max="7421" width="9.33203125" style="1433"/>
    <col min="7422" max="7422" width="11.5" style="1433" bestFit="1" customWidth="1"/>
    <col min="7423" max="7423" width="38.5" style="1433" customWidth="1"/>
    <col min="7424" max="7424" width="10.6640625" style="1433" customWidth="1"/>
    <col min="7425" max="7425" width="11.33203125" style="1433" customWidth="1"/>
    <col min="7426" max="7430" width="9.33203125" style="1433"/>
    <col min="7431" max="7431" width="9.5" style="1433" bestFit="1" customWidth="1"/>
    <col min="7432" max="7432" width="18.33203125" style="1433" customWidth="1"/>
    <col min="7433" max="7659" width="9.33203125" style="1433"/>
    <col min="7660" max="7660" width="9.1640625" style="1433" bestFit="1" customWidth="1"/>
    <col min="7661" max="7661" width="42.5" style="1433" customWidth="1"/>
    <col min="7662" max="7662" width="10.33203125" style="1433" customWidth="1"/>
    <col min="7663" max="7663" width="9.6640625" style="1433" customWidth="1"/>
    <col min="7664" max="7664" width="12.6640625" style="1433" customWidth="1"/>
    <col min="7665" max="7666" width="9.6640625" style="1433" customWidth="1"/>
    <col min="7667" max="7667" width="9.33203125" style="1433"/>
    <col min="7668" max="7668" width="9.83203125" style="1433" customWidth="1"/>
    <col min="7669" max="7669" width="12.1640625" style="1433" customWidth="1"/>
    <col min="7670" max="7673" width="9.83203125" style="1433" customWidth="1"/>
    <col min="7674" max="7674" width="9" style="1433" customWidth="1"/>
    <col min="7675" max="7675" width="13.5" style="1433" customWidth="1"/>
    <col min="7676" max="7676" width="13.1640625" style="1433" customWidth="1"/>
    <col min="7677" max="7677" width="9.33203125" style="1433"/>
    <col min="7678" max="7678" width="11.5" style="1433" bestFit="1" customWidth="1"/>
    <col min="7679" max="7679" width="38.5" style="1433" customWidth="1"/>
    <col min="7680" max="7680" width="10.6640625" style="1433" customWidth="1"/>
    <col min="7681" max="7681" width="11.33203125" style="1433" customWidth="1"/>
    <col min="7682" max="7686" width="9.33203125" style="1433"/>
    <col min="7687" max="7687" width="9.5" style="1433" bestFit="1" customWidth="1"/>
    <col min="7688" max="7688" width="18.33203125" style="1433" customWidth="1"/>
    <col min="7689" max="7915" width="9.33203125" style="1433"/>
    <col min="7916" max="7916" width="9.1640625" style="1433" bestFit="1" customWidth="1"/>
    <col min="7917" max="7917" width="42.5" style="1433" customWidth="1"/>
    <col min="7918" max="7918" width="10.33203125" style="1433" customWidth="1"/>
    <col min="7919" max="7919" width="9.6640625" style="1433" customWidth="1"/>
    <col min="7920" max="7920" width="12.6640625" style="1433" customWidth="1"/>
    <col min="7921" max="7922" width="9.6640625" style="1433" customWidth="1"/>
    <col min="7923" max="7923" width="9.33203125" style="1433"/>
    <col min="7924" max="7924" width="9.83203125" style="1433" customWidth="1"/>
    <col min="7925" max="7925" width="12.1640625" style="1433" customWidth="1"/>
    <col min="7926" max="7929" width="9.83203125" style="1433" customWidth="1"/>
    <col min="7930" max="7930" width="9" style="1433" customWidth="1"/>
    <col min="7931" max="7931" width="13.5" style="1433" customWidth="1"/>
    <col min="7932" max="7932" width="13.1640625" style="1433" customWidth="1"/>
    <col min="7933" max="7933" width="9.33203125" style="1433"/>
    <col min="7934" max="7934" width="11.5" style="1433" bestFit="1" customWidth="1"/>
    <col min="7935" max="7935" width="38.5" style="1433" customWidth="1"/>
    <col min="7936" max="7936" width="10.6640625" style="1433" customWidth="1"/>
    <col min="7937" max="7937" width="11.33203125" style="1433" customWidth="1"/>
    <col min="7938" max="7942" width="9.33203125" style="1433"/>
    <col min="7943" max="7943" width="9.5" style="1433" bestFit="1" customWidth="1"/>
    <col min="7944" max="7944" width="18.33203125" style="1433" customWidth="1"/>
    <col min="7945" max="8171" width="9.33203125" style="1433"/>
    <col min="8172" max="8172" width="9.1640625" style="1433" bestFit="1" customWidth="1"/>
    <col min="8173" max="8173" width="42.5" style="1433" customWidth="1"/>
    <col min="8174" max="8174" width="10.33203125" style="1433" customWidth="1"/>
    <col min="8175" max="8175" width="9.6640625" style="1433" customWidth="1"/>
    <col min="8176" max="8176" width="12.6640625" style="1433" customWidth="1"/>
    <col min="8177" max="8178" width="9.6640625" style="1433" customWidth="1"/>
    <col min="8179" max="8179" width="9.33203125" style="1433"/>
    <col min="8180" max="8180" width="9.83203125" style="1433" customWidth="1"/>
    <col min="8181" max="8181" width="12.1640625" style="1433" customWidth="1"/>
    <col min="8182" max="8185" width="9.83203125" style="1433" customWidth="1"/>
    <col min="8186" max="8186" width="9" style="1433" customWidth="1"/>
    <col min="8187" max="8187" width="13.5" style="1433" customWidth="1"/>
    <col min="8188" max="8188" width="13.1640625" style="1433" customWidth="1"/>
    <col min="8189" max="8189" width="9.33203125" style="1433"/>
    <col min="8190" max="8190" width="11.5" style="1433" bestFit="1" customWidth="1"/>
    <col min="8191" max="8191" width="38.5" style="1433" customWidth="1"/>
    <col min="8192" max="8192" width="10.6640625" style="1433" customWidth="1"/>
    <col min="8193" max="8193" width="11.33203125" style="1433" customWidth="1"/>
    <col min="8194" max="8198" width="9.33203125" style="1433"/>
    <col min="8199" max="8199" width="9.5" style="1433" bestFit="1" customWidth="1"/>
    <col min="8200" max="8200" width="18.33203125" style="1433" customWidth="1"/>
    <col min="8201" max="8427" width="9.33203125" style="1433"/>
    <col min="8428" max="8428" width="9.1640625" style="1433" bestFit="1" customWidth="1"/>
    <col min="8429" max="8429" width="42.5" style="1433" customWidth="1"/>
    <col min="8430" max="8430" width="10.33203125" style="1433" customWidth="1"/>
    <col min="8431" max="8431" width="9.6640625" style="1433" customWidth="1"/>
    <col min="8432" max="8432" width="12.6640625" style="1433" customWidth="1"/>
    <col min="8433" max="8434" width="9.6640625" style="1433" customWidth="1"/>
    <col min="8435" max="8435" width="9.33203125" style="1433"/>
    <col min="8436" max="8436" width="9.83203125" style="1433" customWidth="1"/>
    <col min="8437" max="8437" width="12.1640625" style="1433" customWidth="1"/>
    <col min="8438" max="8441" width="9.83203125" style="1433" customWidth="1"/>
    <col min="8442" max="8442" width="9" style="1433" customWidth="1"/>
    <col min="8443" max="8443" width="13.5" style="1433" customWidth="1"/>
    <col min="8444" max="8444" width="13.1640625" style="1433" customWidth="1"/>
    <col min="8445" max="8445" width="9.33203125" style="1433"/>
    <col min="8446" max="8446" width="11.5" style="1433" bestFit="1" customWidth="1"/>
    <col min="8447" max="8447" width="38.5" style="1433" customWidth="1"/>
    <col min="8448" max="8448" width="10.6640625" style="1433" customWidth="1"/>
    <col min="8449" max="8449" width="11.33203125" style="1433" customWidth="1"/>
    <col min="8450" max="8454" width="9.33203125" style="1433"/>
    <col min="8455" max="8455" width="9.5" style="1433" bestFit="1" customWidth="1"/>
    <col min="8456" max="8456" width="18.33203125" style="1433" customWidth="1"/>
    <col min="8457" max="8683" width="9.33203125" style="1433"/>
    <col min="8684" max="8684" width="9.1640625" style="1433" bestFit="1" customWidth="1"/>
    <col min="8685" max="8685" width="42.5" style="1433" customWidth="1"/>
    <col min="8686" max="8686" width="10.33203125" style="1433" customWidth="1"/>
    <col min="8687" max="8687" width="9.6640625" style="1433" customWidth="1"/>
    <col min="8688" max="8688" width="12.6640625" style="1433" customWidth="1"/>
    <col min="8689" max="8690" width="9.6640625" style="1433" customWidth="1"/>
    <col min="8691" max="8691" width="9.33203125" style="1433"/>
    <col min="8692" max="8692" width="9.83203125" style="1433" customWidth="1"/>
    <col min="8693" max="8693" width="12.1640625" style="1433" customWidth="1"/>
    <col min="8694" max="8697" width="9.83203125" style="1433" customWidth="1"/>
    <col min="8698" max="8698" width="9" style="1433" customWidth="1"/>
    <col min="8699" max="8699" width="13.5" style="1433" customWidth="1"/>
    <col min="8700" max="8700" width="13.1640625" style="1433" customWidth="1"/>
    <col min="8701" max="8701" width="9.33203125" style="1433"/>
    <col min="8702" max="8702" width="11.5" style="1433" bestFit="1" customWidth="1"/>
    <col min="8703" max="8703" width="38.5" style="1433" customWidth="1"/>
    <col min="8704" max="8704" width="10.6640625" style="1433" customWidth="1"/>
    <col min="8705" max="8705" width="11.33203125" style="1433" customWidth="1"/>
    <col min="8706" max="8710" width="9.33203125" style="1433"/>
    <col min="8711" max="8711" width="9.5" style="1433" bestFit="1" customWidth="1"/>
    <col min="8712" max="8712" width="18.33203125" style="1433" customWidth="1"/>
    <col min="8713" max="8939" width="9.33203125" style="1433"/>
    <col min="8940" max="8940" width="9.1640625" style="1433" bestFit="1" customWidth="1"/>
    <col min="8941" max="8941" width="42.5" style="1433" customWidth="1"/>
    <col min="8942" max="8942" width="10.33203125" style="1433" customWidth="1"/>
    <col min="8943" max="8943" width="9.6640625" style="1433" customWidth="1"/>
    <col min="8944" max="8944" width="12.6640625" style="1433" customWidth="1"/>
    <col min="8945" max="8946" width="9.6640625" style="1433" customWidth="1"/>
    <col min="8947" max="8947" width="9.33203125" style="1433"/>
    <col min="8948" max="8948" width="9.83203125" style="1433" customWidth="1"/>
    <col min="8949" max="8949" width="12.1640625" style="1433" customWidth="1"/>
    <col min="8950" max="8953" width="9.83203125" style="1433" customWidth="1"/>
    <col min="8954" max="8954" width="9" style="1433" customWidth="1"/>
    <col min="8955" max="8955" width="13.5" style="1433" customWidth="1"/>
    <col min="8956" max="8956" width="13.1640625" style="1433" customWidth="1"/>
    <col min="8957" max="8957" width="9.33203125" style="1433"/>
    <col min="8958" max="8958" width="11.5" style="1433" bestFit="1" customWidth="1"/>
    <col min="8959" max="8959" width="38.5" style="1433" customWidth="1"/>
    <col min="8960" max="8960" width="10.6640625" style="1433" customWidth="1"/>
    <col min="8961" max="8961" width="11.33203125" style="1433" customWidth="1"/>
    <col min="8962" max="8966" width="9.33203125" style="1433"/>
    <col min="8967" max="8967" width="9.5" style="1433" bestFit="1" customWidth="1"/>
    <col min="8968" max="8968" width="18.33203125" style="1433" customWidth="1"/>
    <col min="8969" max="9195" width="9.33203125" style="1433"/>
    <col min="9196" max="9196" width="9.1640625" style="1433" bestFit="1" customWidth="1"/>
    <col min="9197" max="9197" width="42.5" style="1433" customWidth="1"/>
    <col min="9198" max="9198" width="10.33203125" style="1433" customWidth="1"/>
    <col min="9199" max="9199" width="9.6640625" style="1433" customWidth="1"/>
    <col min="9200" max="9200" width="12.6640625" style="1433" customWidth="1"/>
    <col min="9201" max="9202" width="9.6640625" style="1433" customWidth="1"/>
    <col min="9203" max="9203" width="9.33203125" style="1433"/>
    <col min="9204" max="9204" width="9.83203125" style="1433" customWidth="1"/>
    <col min="9205" max="9205" width="12.1640625" style="1433" customWidth="1"/>
    <col min="9206" max="9209" width="9.83203125" style="1433" customWidth="1"/>
    <col min="9210" max="9210" width="9" style="1433" customWidth="1"/>
    <col min="9211" max="9211" width="13.5" style="1433" customWidth="1"/>
    <col min="9212" max="9212" width="13.1640625" style="1433" customWidth="1"/>
    <col min="9213" max="9213" width="9.33203125" style="1433"/>
    <col min="9214" max="9214" width="11.5" style="1433" bestFit="1" customWidth="1"/>
    <col min="9215" max="9215" width="38.5" style="1433" customWidth="1"/>
    <col min="9216" max="9216" width="10.6640625" style="1433" customWidth="1"/>
    <col min="9217" max="9217" width="11.33203125" style="1433" customWidth="1"/>
    <col min="9218" max="9222" width="9.33203125" style="1433"/>
    <col min="9223" max="9223" width="9.5" style="1433" bestFit="1" customWidth="1"/>
    <col min="9224" max="9224" width="18.33203125" style="1433" customWidth="1"/>
    <col min="9225" max="9451" width="9.33203125" style="1433"/>
    <col min="9452" max="9452" width="9.1640625" style="1433" bestFit="1" customWidth="1"/>
    <col min="9453" max="9453" width="42.5" style="1433" customWidth="1"/>
    <col min="9454" max="9454" width="10.33203125" style="1433" customWidth="1"/>
    <col min="9455" max="9455" width="9.6640625" style="1433" customWidth="1"/>
    <col min="9456" max="9456" width="12.6640625" style="1433" customWidth="1"/>
    <col min="9457" max="9458" width="9.6640625" style="1433" customWidth="1"/>
    <col min="9459" max="9459" width="9.33203125" style="1433"/>
    <col min="9460" max="9460" width="9.83203125" style="1433" customWidth="1"/>
    <col min="9461" max="9461" width="12.1640625" style="1433" customWidth="1"/>
    <col min="9462" max="9465" width="9.83203125" style="1433" customWidth="1"/>
    <col min="9466" max="9466" width="9" style="1433" customWidth="1"/>
    <col min="9467" max="9467" width="13.5" style="1433" customWidth="1"/>
    <col min="9468" max="9468" width="13.1640625" style="1433" customWidth="1"/>
    <col min="9469" max="9469" width="9.33203125" style="1433"/>
    <col min="9470" max="9470" width="11.5" style="1433" bestFit="1" customWidth="1"/>
    <col min="9471" max="9471" width="38.5" style="1433" customWidth="1"/>
    <col min="9472" max="9472" width="10.6640625" style="1433" customWidth="1"/>
    <col min="9473" max="9473" width="11.33203125" style="1433" customWidth="1"/>
    <col min="9474" max="9478" width="9.33203125" style="1433"/>
    <col min="9479" max="9479" width="9.5" style="1433" bestFit="1" customWidth="1"/>
    <col min="9480" max="9480" width="18.33203125" style="1433" customWidth="1"/>
    <col min="9481" max="9707" width="9.33203125" style="1433"/>
    <col min="9708" max="9708" width="9.1640625" style="1433" bestFit="1" customWidth="1"/>
    <col min="9709" max="9709" width="42.5" style="1433" customWidth="1"/>
    <col min="9710" max="9710" width="10.33203125" style="1433" customWidth="1"/>
    <col min="9711" max="9711" width="9.6640625" style="1433" customWidth="1"/>
    <col min="9712" max="9712" width="12.6640625" style="1433" customWidth="1"/>
    <col min="9713" max="9714" width="9.6640625" style="1433" customWidth="1"/>
    <col min="9715" max="9715" width="9.33203125" style="1433"/>
    <col min="9716" max="9716" width="9.83203125" style="1433" customWidth="1"/>
    <col min="9717" max="9717" width="12.1640625" style="1433" customWidth="1"/>
    <col min="9718" max="9721" width="9.83203125" style="1433" customWidth="1"/>
    <col min="9722" max="9722" width="9" style="1433" customWidth="1"/>
    <col min="9723" max="9723" width="13.5" style="1433" customWidth="1"/>
    <col min="9724" max="9724" width="13.1640625" style="1433" customWidth="1"/>
    <col min="9725" max="9725" width="9.33203125" style="1433"/>
    <col min="9726" max="9726" width="11.5" style="1433" bestFit="1" customWidth="1"/>
    <col min="9727" max="9727" width="38.5" style="1433" customWidth="1"/>
    <col min="9728" max="9728" width="10.6640625" style="1433" customWidth="1"/>
    <col min="9729" max="9729" width="11.33203125" style="1433" customWidth="1"/>
    <col min="9730" max="9734" width="9.33203125" style="1433"/>
    <col min="9735" max="9735" width="9.5" style="1433" bestFit="1" customWidth="1"/>
    <col min="9736" max="9736" width="18.33203125" style="1433" customWidth="1"/>
    <col min="9737" max="9963" width="9.33203125" style="1433"/>
    <col min="9964" max="9964" width="9.1640625" style="1433" bestFit="1" customWidth="1"/>
    <col min="9965" max="9965" width="42.5" style="1433" customWidth="1"/>
    <col min="9966" max="9966" width="10.33203125" style="1433" customWidth="1"/>
    <col min="9967" max="9967" width="9.6640625" style="1433" customWidth="1"/>
    <col min="9968" max="9968" width="12.6640625" style="1433" customWidth="1"/>
    <col min="9969" max="9970" width="9.6640625" style="1433" customWidth="1"/>
    <col min="9971" max="9971" width="9.33203125" style="1433"/>
    <col min="9972" max="9972" width="9.83203125" style="1433" customWidth="1"/>
    <col min="9973" max="9973" width="12.1640625" style="1433" customWidth="1"/>
    <col min="9974" max="9977" width="9.83203125" style="1433" customWidth="1"/>
    <col min="9978" max="9978" width="9" style="1433" customWidth="1"/>
    <col min="9979" max="9979" width="13.5" style="1433" customWidth="1"/>
    <col min="9980" max="9980" width="13.1640625" style="1433" customWidth="1"/>
    <col min="9981" max="9981" width="9.33203125" style="1433"/>
    <col min="9982" max="9982" width="11.5" style="1433" bestFit="1" customWidth="1"/>
    <col min="9983" max="9983" width="38.5" style="1433" customWidth="1"/>
    <col min="9984" max="9984" width="10.6640625" style="1433" customWidth="1"/>
    <col min="9985" max="9985" width="11.33203125" style="1433" customWidth="1"/>
    <col min="9986" max="9990" width="9.33203125" style="1433"/>
    <col min="9991" max="9991" width="9.5" style="1433" bestFit="1" customWidth="1"/>
    <col min="9992" max="9992" width="18.33203125" style="1433" customWidth="1"/>
    <col min="9993" max="10219" width="9.33203125" style="1433"/>
    <col min="10220" max="10220" width="9.1640625" style="1433" bestFit="1" customWidth="1"/>
    <col min="10221" max="10221" width="42.5" style="1433" customWidth="1"/>
    <col min="10222" max="10222" width="10.33203125" style="1433" customWidth="1"/>
    <col min="10223" max="10223" width="9.6640625" style="1433" customWidth="1"/>
    <col min="10224" max="10224" width="12.6640625" style="1433" customWidth="1"/>
    <col min="10225" max="10226" width="9.6640625" style="1433" customWidth="1"/>
    <col min="10227" max="10227" width="9.33203125" style="1433"/>
    <col min="10228" max="10228" width="9.83203125" style="1433" customWidth="1"/>
    <col min="10229" max="10229" width="12.1640625" style="1433" customWidth="1"/>
    <col min="10230" max="10233" width="9.83203125" style="1433" customWidth="1"/>
    <col min="10234" max="10234" width="9" style="1433" customWidth="1"/>
    <col min="10235" max="10235" width="13.5" style="1433" customWidth="1"/>
    <col min="10236" max="10236" width="13.1640625" style="1433" customWidth="1"/>
    <col min="10237" max="10237" width="9.33203125" style="1433"/>
    <col min="10238" max="10238" width="11.5" style="1433" bestFit="1" customWidth="1"/>
    <col min="10239" max="10239" width="38.5" style="1433" customWidth="1"/>
    <col min="10240" max="10240" width="10.6640625" style="1433" customWidth="1"/>
    <col min="10241" max="10241" width="11.33203125" style="1433" customWidth="1"/>
    <col min="10242" max="10246" width="9.33203125" style="1433"/>
    <col min="10247" max="10247" width="9.5" style="1433" bestFit="1" customWidth="1"/>
    <col min="10248" max="10248" width="18.33203125" style="1433" customWidth="1"/>
    <col min="10249" max="10475" width="9.33203125" style="1433"/>
    <col min="10476" max="10476" width="9.1640625" style="1433" bestFit="1" customWidth="1"/>
    <col min="10477" max="10477" width="42.5" style="1433" customWidth="1"/>
    <col min="10478" max="10478" width="10.33203125" style="1433" customWidth="1"/>
    <col min="10479" max="10479" width="9.6640625" style="1433" customWidth="1"/>
    <col min="10480" max="10480" width="12.6640625" style="1433" customWidth="1"/>
    <col min="10481" max="10482" width="9.6640625" style="1433" customWidth="1"/>
    <col min="10483" max="10483" width="9.33203125" style="1433"/>
    <col min="10484" max="10484" width="9.83203125" style="1433" customWidth="1"/>
    <col min="10485" max="10485" width="12.1640625" style="1433" customWidth="1"/>
    <col min="10486" max="10489" width="9.83203125" style="1433" customWidth="1"/>
    <col min="10490" max="10490" width="9" style="1433" customWidth="1"/>
    <col min="10491" max="10491" width="13.5" style="1433" customWidth="1"/>
    <col min="10492" max="10492" width="13.1640625" style="1433" customWidth="1"/>
    <col min="10493" max="10493" width="9.33203125" style="1433"/>
    <col min="10494" max="10494" width="11.5" style="1433" bestFit="1" customWidth="1"/>
    <col min="10495" max="10495" width="38.5" style="1433" customWidth="1"/>
    <col min="10496" max="10496" width="10.6640625" style="1433" customWidth="1"/>
    <col min="10497" max="10497" width="11.33203125" style="1433" customWidth="1"/>
    <col min="10498" max="10502" width="9.33203125" style="1433"/>
    <col min="10503" max="10503" width="9.5" style="1433" bestFit="1" customWidth="1"/>
    <col min="10504" max="10504" width="18.33203125" style="1433" customWidth="1"/>
    <col min="10505" max="10731" width="9.33203125" style="1433"/>
    <col min="10732" max="10732" width="9.1640625" style="1433" bestFit="1" customWidth="1"/>
    <col min="10733" max="10733" width="42.5" style="1433" customWidth="1"/>
    <col min="10734" max="10734" width="10.33203125" style="1433" customWidth="1"/>
    <col min="10735" max="10735" width="9.6640625" style="1433" customWidth="1"/>
    <col min="10736" max="10736" width="12.6640625" style="1433" customWidth="1"/>
    <col min="10737" max="10738" width="9.6640625" style="1433" customWidth="1"/>
    <col min="10739" max="10739" width="9.33203125" style="1433"/>
    <col min="10740" max="10740" width="9.83203125" style="1433" customWidth="1"/>
    <col min="10741" max="10741" width="12.1640625" style="1433" customWidth="1"/>
    <col min="10742" max="10745" width="9.83203125" style="1433" customWidth="1"/>
    <col min="10746" max="10746" width="9" style="1433" customWidth="1"/>
    <col min="10747" max="10747" width="13.5" style="1433" customWidth="1"/>
    <col min="10748" max="10748" width="13.1640625" style="1433" customWidth="1"/>
    <col min="10749" max="10749" width="9.33203125" style="1433"/>
    <col min="10750" max="10750" width="11.5" style="1433" bestFit="1" customWidth="1"/>
    <col min="10751" max="10751" width="38.5" style="1433" customWidth="1"/>
    <col min="10752" max="10752" width="10.6640625" style="1433" customWidth="1"/>
    <col min="10753" max="10753" width="11.33203125" style="1433" customWidth="1"/>
    <col min="10754" max="10758" width="9.33203125" style="1433"/>
    <col min="10759" max="10759" width="9.5" style="1433" bestFit="1" customWidth="1"/>
    <col min="10760" max="10760" width="18.33203125" style="1433" customWidth="1"/>
    <col min="10761" max="10987" width="9.33203125" style="1433"/>
    <col min="10988" max="10988" width="9.1640625" style="1433" bestFit="1" customWidth="1"/>
    <col min="10989" max="10989" width="42.5" style="1433" customWidth="1"/>
    <col min="10990" max="10990" width="10.33203125" style="1433" customWidth="1"/>
    <col min="10991" max="10991" width="9.6640625" style="1433" customWidth="1"/>
    <col min="10992" max="10992" width="12.6640625" style="1433" customWidth="1"/>
    <col min="10993" max="10994" width="9.6640625" style="1433" customWidth="1"/>
    <col min="10995" max="10995" width="9.33203125" style="1433"/>
    <col min="10996" max="10996" width="9.83203125" style="1433" customWidth="1"/>
    <col min="10997" max="10997" width="12.1640625" style="1433" customWidth="1"/>
    <col min="10998" max="11001" width="9.83203125" style="1433" customWidth="1"/>
    <col min="11002" max="11002" width="9" style="1433" customWidth="1"/>
    <col min="11003" max="11003" width="13.5" style="1433" customWidth="1"/>
    <col min="11004" max="11004" width="13.1640625" style="1433" customWidth="1"/>
    <col min="11005" max="11005" width="9.33203125" style="1433"/>
    <col min="11006" max="11006" width="11.5" style="1433" bestFit="1" customWidth="1"/>
    <col min="11007" max="11007" width="38.5" style="1433" customWidth="1"/>
    <col min="11008" max="11008" width="10.6640625" style="1433" customWidth="1"/>
    <col min="11009" max="11009" width="11.33203125" style="1433" customWidth="1"/>
    <col min="11010" max="11014" width="9.33203125" style="1433"/>
    <col min="11015" max="11015" width="9.5" style="1433" bestFit="1" customWidth="1"/>
    <col min="11016" max="11016" width="18.33203125" style="1433" customWidth="1"/>
    <col min="11017" max="11243" width="9.33203125" style="1433"/>
    <col min="11244" max="11244" width="9.1640625" style="1433" bestFit="1" customWidth="1"/>
    <col min="11245" max="11245" width="42.5" style="1433" customWidth="1"/>
    <col min="11246" max="11246" width="10.33203125" style="1433" customWidth="1"/>
    <col min="11247" max="11247" width="9.6640625" style="1433" customWidth="1"/>
    <col min="11248" max="11248" width="12.6640625" style="1433" customWidth="1"/>
    <col min="11249" max="11250" width="9.6640625" style="1433" customWidth="1"/>
    <col min="11251" max="11251" width="9.33203125" style="1433"/>
    <col min="11252" max="11252" width="9.83203125" style="1433" customWidth="1"/>
    <col min="11253" max="11253" width="12.1640625" style="1433" customWidth="1"/>
    <col min="11254" max="11257" width="9.83203125" style="1433" customWidth="1"/>
    <col min="11258" max="11258" width="9" style="1433" customWidth="1"/>
    <col min="11259" max="11259" width="13.5" style="1433" customWidth="1"/>
    <col min="11260" max="11260" width="13.1640625" style="1433" customWidth="1"/>
    <col min="11261" max="11261" width="9.33203125" style="1433"/>
    <col min="11262" max="11262" width="11.5" style="1433" bestFit="1" customWidth="1"/>
    <col min="11263" max="11263" width="38.5" style="1433" customWidth="1"/>
    <col min="11264" max="11264" width="10.6640625" style="1433" customWidth="1"/>
    <col min="11265" max="11265" width="11.33203125" style="1433" customWidth="1"/>
    <col min="11266" max="11270" width="9.33203125" style="1433"/>
    <col min="11271" max="11271" width="9.5" style="1433" bestFit="1" customWidth="1"/>
    <col min="11272" max="11272" width="18.33203125" style="1433" customWidth="1"/>
    <col min="11273" max="11499" width="9.33203125" style="1433"/>
    <col min="11500" max="11500" width="9.1640625" style="1433" bestFit="1" customWidth="1"/>
    <col min="11501" max="11501" width="42.5" style="1433" customWidth="1"/>
    <col min="11502" max="11502" width="10.33203125" style="1433" customWidth="1"/>
    <col min="11503" max="11503" width="9.6640625" style="1433" customWidth="1"/>
    <col min="11504" max="11504" width="12.6640625" style="1433" customWidth="1"/>
    <col min="11505" max="11506" width="9.6640625" style="1433" customWidth="1"/>
    <col min="11507" max="11507" width="9.33203125" style="1433"/>
    <col min="11508" max="11508" width="9.83203125" style="1433" customWidth="1"/>
    <col min="11509" max="11509" width="12.1640625" style="1433" customWidth="1"/>
    <col min="11510" max="11513" width="9.83203125" style="1433" customWidth="1"/>
    <col min="11514" max="11514" width="9" style="1433" customWidth="1"/>
    <col min="11515" max="11515" width="13.5" style="1433" customWidth="1"/>
    <col min="11516" max="11516" width="13.1640625" style="1433" customWidth="1"/>
    <col min="11517" max="11517" width="9.33203125" style="1433"/>
    <col min="11518" max="11518" width="11.5" style="1433" bestFit="1" customWidth="1"/>
    <col min="11519" max="11519" width="38.5" style="1433" customWidth="1"/>
    <col min="11520" max="11520" width="10.6640625" style="1433" customWidth="1"/>
    <col min="11521" max="11521" width="11.33203125" style="1433" customWidth="1"/>
    <col min="11522" max="11526" width="9.33203125" style="1433"/>
    <col min="11527" max="11527" width="9.5" style="1433" bestFit="1" customWidth="1"/>
    <col min="11528" max="11528" width="18.33203125" style="1433" customWidth="1"/>
    <col min="11529" max="11755" width="9.33203125" style="1433"/>
    <col min="11756" max="11756" width="9.1640625" style="1433" bestFit="1" customWidth="1"/>
    <col min="11757" max="11757" width="42.5" style="1433" customWidth="1"/>
    <col min="11758" max="11758" width="10.33203125" style="1433" customWidth="1"/>
    <col min="11759" max="11759" width="9.6640625" style="1433" customWidth="1"/>
    <col min="11760" max="11760" width="12.6640625" style="1433" customWidth="1"/>
    <col min="11761" max="11762" width="9.6640625" style="1433" customWidth="1"/>
    <col min="11763" max="11763" width="9.33203125" style="1433"/>
    <col min="11764" max="11764" width="9.83203125" style="1433" customWidth="1"/>
    <col min="11765" max="11765" width="12.1640625" style="1433" customWidth="1"/>
    <col min="11766" max="11769" width="9.83203125" style="1433" customWidth="1"/>
    <col min="11770" max="11770" width="9" style="1433" customWidth="1"/>
    <col min="11771" max="11771" width="13.5" style="1433" customWidth="1"/>
    <col min="11772" max="11772" width="13.1640625" style="1433" customWidth="1"/>
    <col min="11773" max="11773" width="9.33203125" style="1433"/>
    <col min="11774" max="11774" width="11.5" style="1433" bestFit="1" customWidth="1"/>
    <col min="11775" max="11775" width="38.5" style="1433" customWidth="1"/>
    <col min="11776" max="11776" width="10.6640625" style="1433" customWidth="1"/>
    <col min="11777" max="11777" width="11.33203125" style="1433" customWidth="1"/>
    <col min="11778" max="11782" width="9.33203125" style="1433"/>
    <col min="11783" max="11783" width="9.5" style="1433" bestFit="1" customWidth="1"/>
    <col min="11784" max="11784" width="18.33203125" style="1433" customWidth="1"/>
    <col min="11785" max="12011" width="9.33203125" style="1433"/>
    <col min="12012" max="12012" width="9.1640625" style="1433" bestFit="1" customWidth="1"/>
    <col min="12013" max="12013" width="42.5" style="1433" customWidth="1"/>
    <col min="12014" max="12014" width="10.33203125" style="1433" customWidth="1"/>
    <col min="12015" max="12015" width="9.6640625" style="1433" customWidth="1"/>
    <col min="12016" max="12016" width="12.6640625" style="1433" customWidth="1"/>
    <col min="12017" max="12018" width="9.6640625" style="1433" customWidth="1"/>
    <col min="12019" max="12019" width="9.33203125" style="1433"/>
    <col min="12020" max="12020" width="9.83203125" style="1433" customWidth="1"/>
    <col min="12021" max="12021" width="12.1640625" style="1433" customWidth="1"/>
    <col min="12022" max="12025" width="9.83203125" style="1433" customWidth="1"/>
    <col min="12026" max="12026" width="9" style="1433" customWidth="1"/>
    <col min="12027" max="12027" width="13.5" style="1433" customWidth="1"/>
    <col min="12028" max="12028" width="13.1640625" style="1433" customWidth="1"/>
    <col min="12029" max="12029" width="9.33203125" style="1433"/>
    <col min="12030" max="12030" width="11.5" style="1433" bestFit="1" customWidth="1"/>
    <col min="12031" max="12031" width="38.5" style="1433" customWidth="1"/>
    <col min="12032" max="12032" width="10.6640625" style="1433" customWidth="1"/>
    <col min="12033" max="12033" width="11.33203125" style="1433" customWidth="1"/>
    <col min="12034" max="12038" width="9.33203125" style="1433"/>
    <col min="12039" max="12039" width="9.5" style="1433" bestFit="1" customWidth="1"/>
    <col min="12040" max="12040" width="18.33203125" style="1433" customWidth="1"/>
    <col min="12041" max="12267" width="9.33203125" style="1433"/>
    <col min="12268" max="12268" width="9.1640625" style="1433" bestFit="1" customWidth="1"/>
    <col min="12269" max="12269" width="42.5" style="1433" customWidth="1"/>
    <col min="12270" max="12270" width="10.33203125" style="1433" customWidth="1"/>
    <col min="12271" max="12271" width="9.6640625" style="1433" customWidth="1"/>
    <col min="12272" max="12272" width="12.6640625" style="1433" customWidth="1"/>
    <col min="12273" max="12274" width="9.6640625" style="1433" customWidth="1"/>
    <col min="12275" max="12275" width="9.33203125" style="1433"/>
    <col min="12276" max="12276" width="9.83203125" style="1433" customWidth="1"/>
    <col min="12277" max="12277" width="12.1640625" style="1433" customWidth="1"/>
    <col min="12278" max="12281" width="9.83203125" style="1433" customWidth="1"/>
    <col min="12282" max="12282" width="9" style="1433" customWidth="1"/>
    <col min="12283" max="12283" width="13.5" style="1433" customWidth="1"/>
    <col min="12284" max="12284" width="13.1640625" style="1433" customWidth="1"/>
    <col min="12285" max="12285" width="9.33203125" style="1433"/>
    <col min="12286" max="12286" width="11.5" style="1433" bestFit="1" customWidth="1"/>
    <col min="12287" max="12287" width="38.5" style="1433" customWidth="1"/>
    <col min="12288" max="12288" width="10.6640625" style="1433" customWidth="1"/>
    <col min="12289" max="12289" width="11.33203125" style="1433" customWidth="1"/>
    <col min="12290" max="12294" width="9.33203125" style="1433"/>
    <col min="12295" max="12295" width="9.5" style="1433" bestFit="1" customWidth="1"/>
    <col min="12296" max="12296" width="18.33203125" style="1433" customWidth="1"/>
    <col min="12297" max="12523" width="9.33203125" style="1433"/>
    <col min="12524" max="12524" width="9.1640625" style="1433" bestFit="1" customWidth="1"/>
    <col min="12525" max="12525" width="42.5" style="1433" customWidth="1"/>
    <col min="12526" max="12526" width="10.33203125" style="1433" customWidth="1"/>
    <col min="12527" max="12527" width="9.6640625" style="1433" customWidth="1"/>
    <col min="12528" max="12528" width="12.6640625" style="1433" customWidth="1"/>
    <col min="12529" max="12530" width="9.6640625" style="1433" customWidth="1"/>
    <col min="12531" max="12531" width="9.33203125" style="1433"/>
    <col min="12532" max="12532" width="9.83203125" style="1433" customWidth="1"/>
    <col min="12533" max="12533" width="12.1640625" style="1433" customWidth="1"/>
    <col min="12534" max="12537" width="9.83203125" style="1433" customWidth="1"/>
    <col min="12538" max="12538" width="9" style="1433" customWidth="1"/>
    <col min="12539" max="12539" width="13.5" style="1433" customWidth="1"/>
    <col min="12540" max="12540" width="13.1640625" style="1433" customWidth="1"/>
    <col min="12541" max="12541" width="9.33203125" style="1433"/>
    <col min="12542" max="12542" width="11.5" style="1433" bestFit="1" customWidth="1"/>
    <col min="12543" max="12543" width="38.5" style="1433" customWidth="1"/>
    <col min="12544" max="12544" width="10.6640625" style="1433" customWidth="1"/>
    <col min="12545" max="12545" width="11.33203125" style="1433" customWidth="1"/>
    <col min="12546" max="12550" width="9.33203125" style="1433"/>
    <col min="12551" max="12551" width="9.5" style="1433" bestFit="1" customWidth="1"/>
    <col min="12552" max="12552" width="18.33203125" style="1433" customWidth="1"/>
    <col min="12553" max="12779" width="9.33203125" style="1433"/>
    <col min="12780" max="12780" width="9.1640625" style="1433" bestFit="1" customWidth="1"/>
    <col min="12781" max="12781" width="42.5" style="1433" customWidth="1"/>
    <col min="12782" max="12782" width="10.33203125" style="1433" customWidth="1"/>
    <col min="12783" max="12783" width="9.6640625" style="1433" customWidth="1"/>
    <col min="12784" max="12784" width="12.6640625" style="1433" customWidth="1"/>
    <col min="12785" max="12786" width="9.6640625" style="1433" customWidth="1"/>
    <col min="12787" max="12787" width="9.33203125" style="1433"/>
    <col min="12788" max="12788" width="9.83203125" style="1433" customWidth="1"/>
    <col min="12789" max="12789" width="12.1640625" style="1433" customWidth="1"/>
    <col min="12790" max="12793" width="9.83203125" style="1433" customWidth="1"/>
    <col min="12794" max="12794" width="9" style="1433" customWidth="1"/>
    <col min="12795" max="12795" width="13.5" style="1433" customWidth="1"/>
    <col min="12796" max="12796" width="13.1640625" style="1433" customWidth="1"/>
    <col min="12797" max="12797" width="9.33203125" style="1433"/>
    <col min="12798" max="12798" width="11.5" style="1433" bestFit="1" customWidth="1"/>
    <col min="12799" max="12799" width="38.5" style="1433" customWidth="1"/>
    <col min="12800" max="12800" width="10.6640625" style="1433" customWidth="1"/>
    <col min="12801" max="12801" width="11.33203125" style="1433" customWidth="1"/>
    <col min="12802" max="12806" width="9.33203125" style="1433"/>
    <col min="12807" max="12807" width="9.5" style="1433" bestFit="1" customWidth="1"/>
    <col min="12808" max="12808" width="18.33203125" style="1433" customWidth="1"/>
    <col min="12809" max="13035" width="9.33203125" style="1433"/>
    <col min="13036" max="13036" width="9.1640625" style="1433" bestFit="1" customWidth="1"/>
    <col min="13037" max="13037" width="42.5" style="1433" customWidth="1"/>
    <col min="13038" max="13038" width="10.33203125" style="1433" customWidth="1"/>
    <col min="13039" max="13039" width="9.6640625" style="1433" customWidth="1"/>
    <col min="13040" max="13040" width="12.6640625" style="1433" customWidth="1"/>
    <col min="13041" max="13042" width="9.6640625" style="1433" customWidth="1"/>
    <col min="13043" max="13043" width="9.33203125" style="1433"/>
    <col min="13044" max="13044" width="9.83203125" style="1433" customWidth="1"/>
    <col min="13045" max="13045" width="12.1640625" style="1433" customWidth="1"/>
    <col min="13046" max="13049" width="9.83203125" style="1433" customWidth="1"/>
    <col min="13050" max="13050" width="9" style="1433" customWidth="1"/>
    <col min="13051" max="13051" width="13.5" style="1433" customWidth="1"/>
    <col min="13052" max="13052" width="13.1640625" style="1433" customWidth="1"/>
    <col min="13053" max="13053" width="9.33203125" style="1433"/>
    <col min="13054" max="13054" width="11.5" style="1433" bestFit="1" customWidth="1"/>
    <col min="13055" max="13055" width="38.5" style="1433" customWidth="1"/>
    <col min="13056" max="13056" width="10.6640625" style="1433" customWidth="1"/>
    <col min="13057" max="13057" width="11.33203125" style="1433" customWidth="1"/>
    <col min="13058" max="13062" width="9.33203125" style="1433"/>
    <col min="13063" max="13063" width="9.5" style="1433" bestFit="1" customWidth="1"/>
    <col min="13064" max="13064" width="18.33203125" style="1433" customWidth="1"/>
    <col min="13065" max="13291" width="9.33203125" style="1433"/>
    <col min="13292" max="13292" width="9.1640625" style="1433" bestFit="1" customWidth="1"/>
    <col min="13293" max="13293" width="42.5" style="1433" customWidth="1"/>
    <col min="13294" max="13294" width="10.33203125" style="1433" customWidth="1"/>
    <col min="13295" max="13295" width="9.6640625" style="1433" customWidth="1"/>
    <col min="13296" max="13296" width="12.6640625" style="1433" customWidth="1"/>
    <col min="13297" max="13298" width="9.6640625" style="1433" customWidth="1"/>
    <col min="13299" max="13299" width="9.33203125" style="1433"/>
    <col min="13300" max="13300" width="9.83203125" style="1433" customWidth="1"/>
    <col min="13301" max="13301" width="12.1640625" style="1433" customWidth="1"/>
    <col min="13302" max="13305" width="9.83203125" style="1433" customWidth="1"/>
    <col min="13306" max="13306" width="9" style="1433" customWidth="1"/>
    <col min="13307" max="13307" width="13.5" style="1433" customWidth="1"/>
    <col min="13308" max="13308" width="13.1640625" style="1433" customWidth="1"/>
    <col min="13309" max="13309" width="9.33203125" style="1433"/>
    <col min="13310" max="13310" width="11.5" style="1433" bestFit="1" customWidth="1"/>
    <col min="13311" max="13311" width="38.5" style="1433" customWidth="1"/>
    <col min="13312" max="13312" width="10.6640625" style="1433" customWidth="1"/>
    <col min="13313" max="13313" width="11.33203125" style="1433" customWidth="1"/>
    <col min="13314" max="13318" width="9.33203125" style="1433"/>
    <col min="13319" max="13319" width="9.5" style="1433" bestFit="1" customWidth="1"/>
    <col min="13320" max="13320" width="18.33203125" style="1433" customWidth="1"/>
    <col min="13321" max="13547" width="9.33203125" style="1433"/>
    <col min="13548" max="13548" width="9.1640625" style="1433" bestFit="1" customWidth="1"/>
    <col min="13549" max="13549" width="42.5" style="1433" customWidth="1"/>
    <col min="13550" max="13550" width="10.33203125" style="1433" customWidth="1"/>
    <col min="13551" max="13551" width="9.6640625" style="1433" customWidth="1"/>
    <col min="13552" max="13552" width="12.6640625" style="1433" customWidth="1"/>
    <col min="13553" max="13554" width="9.6640625" style="1433" customWidth="1"/>
    <col min="13555" max="13555" width="9.33203125" style="1433"/>
    <col min="13556" max="13556" width="9.83203125" style="1433" customWidth="1"/>
    <col min="13557" max="13557" width="12.1640625" style="1433" customWidth="1"/>
    <col min="13558" max="13561" width="9.83203125" style="1433" customWidth="1"/>
    <col min="13562" max="13562" width="9" style="1433" customWidth="1"/>
    <col min="13563" max="13563" width="13.5" style="1433" customWidth="1"/>
    <col min="13564" max="13564" width="13.1640625" style="1433" customWidth="1"/>
    <col min="13565" max="13565" width="9.33203125" style="1433"/>
    <col min="13566" max="13566" width="11.5" style="1433" bestFit="1" customWidth="1"/>
    <col min="13567" max="13567" width="38.5" style="1433" customWidth="1"/>
    <col min="13568" max="13568" width="10.6640625" style="1433" customWidth="1"/>
    <col min="13569" max="13569" width="11.33203125" style="1433" customWidth="1"/>
    <col min="13570" max="13574" width="9.33203125" style="1433"/>
    <col min="13575" max="13575" width="9.5" style="1433" bestFit="1" customWidth="1"/>
    <col min="13576" max="13576" width="18.33203125" style="1433" customWidth="1"/>
    <col min="13577" max="13803" width="9.33203125" style="1433"/>
    <col min="13804" max="13804" width="9.1640625" style="1433" bestFit="1" customWidth="1"/>
    <col min="13805" max="13805" width="42.5" style="1433" customWidth="1"/>
    <col min="13806" max="13806" width="10.33203125" style="1433" customWidth="1"/>
    <col min="13807" max="13807" width="9.6640625" style="1433" customWidth="1"/>
    <col min="13808" max="13808" width="12.6640625" style="1433" customWidth="1"/>
    <col min="13809" max="13810" width="9.6640625" style="1433" customWidth="1"/>
    <col min="13811" max="13811" width="9.33203125" style="1433"/>
    <col min="13812" max="13812" width="9.83203125" style="1433" customWidth="1"/>
    <col min="13813" max="13813" width="12.1640625" style="1433" customWidth="1"/>
    <col min="13814" max="13817" width="9.83203125" style="1433" customWidth="1"/>
    <col min="13818" max="13818" width="9" style="1433" customWidth="1"/>
    <col min="13819" max="13819" width="13.5" style="1433" customWidth="1"/>
    <col min="13820" max="13820" width="13.1640625" style="1433" customWidth="1"/>
    <col min="13821" max="13821" width="9.33203125" style="1433"/>
    <col min="13822" max="13822" width="11.5" style="1433" bestFit="1" customWidth="1"/>
    <col min="13823" max="13823" width="38.5" style="1433" customWidth="1"/>
    <col min="13824" max="13824" width="10.6640625" style="1433" customWidth="1"/>
    <col min="13825" max="13825" width="11.33203125" style="1433" customWidth="1"/>
    <col min="13826" max="13830" width="9.33203125" style="1433"/>
    <col min="13831" max="13831" width="9.5" style="1433" bestFit="1" customWidth="1"/>
    <col min="13832" max="13832" width="18.33203125" style="1433" customWidth="1"/>
    <col min="13833" max="14059" width="9.33203125" style="1433"/>
    <col min="14060" max="14060" width="9.1640625" style="1433" bestFit="1" customWidth="1"/>
    <col min="14061" max="14061" width="42.5" style="1433" customWidth="1"/>
    <col min="14062" max="14062" width="10.33203125" style="1433" customWidth="1"/>
    <col min="14063" max="14063" width="9.6640625" style="1433" customWidth="1"/>
    <col min="14064" max="14064" width="12.6640625" style="1433" customWidth="1"/>
    <col min="14065" max="14066" width="9.6640625" style="1433" customWidth="1"/>
    <col min="14067" max="14067" width="9.33203125" style="1433"/>
    <col min="14068" max="14068" width="9.83203125" style="1433" customWidth="1"/>
    <col min="14069" max="14069" width="12.1640625" style="1433" customWidth="1"/>
    <col min="14070" max="14073" width="9.83203125" style="1433" customWidth="1"/>
    <col min="14074" max="14074" width="9" style="1433" customWidth="1"/>
    <col min="14075" max="14075" width="13.5" style="1433" customWidth="1"/>
    <col min="14076" max="14076" width="13.1640625" style="1433" customWidth="1"/>
    <col min="14077" max="14077" width="9.33203125" style="1433"/>
    <col min="14078" max="14078" width="11.5" style="1433" bestFit="1" customWidth="1"/>
    <col min="14079" max="14079" width="38.5" style="1433" customWidth="1"/>
    <col min="14080" max="14080" width="10.6640625" style="1433" customWidth="1"/>
    <col min="14081" max="14081" width="11.33203125" style="1433" customWidth="1"/>
    <col min="14082" max="14086" width="9.33203125" style="1433"/>
    <col min="14087" max="14087" width="9.5" style="1433" bestFit="1" customWidth="1"/>
    <col min="14088" max="14088" width="18.33203125" style="1433" customWidth="1"/>
    <col min="14089" max="14315" width="9.33203125" style="1433"/>
    <col min="14316" max="14316" width="9.1640625" style="1433" bestFit="1" customWidth="1"/>
    <col min="14317" max="14317" width="42.5" style="1433" customWidth="1"/>
    <col min="14318" max="14318" width="10.33203125" style="1433" customWidth="1"/>
    <col min="14319" max="14319" width="9.6640625" style="1433" customWidth="1"/>
    <col min="14320" max="14320" width="12.6640625" style="1433" customWidth="1"/>
    <col min="14321" max="14322" width="9.6640625" style="1433" customWidth="1"/>
    <col min="14323" max="14323" width="9.33203125" style="1433"/>
    <col min="14324" max="14324" width="9.83203125" style="1433" customWidth="1"/>
    <col min="14325" max="14325" width="12.1640625" style="1433" customWidth="1"/>
    <col min="14326" max="14329" width="9.83203125" style="1433" customWidth="1"/>
    <col min="14330" max="14330" width="9" style="1433" customWidth="1"/>
    <col min="14331" max="14331" width="13.5" style="1433" customWidth="1"/>
    <col min="14332" max="14332" width="13.1640625" style="1433" customWidth="1"/>
    <col min="14333" max="14333" width="9.33203125" style="1433"/>
    <col min="14334" max="14334" width="11.5" style="1433" bestFit="1" customWidth="1"/>
    <col min="14335" max="14335" width="38.5" style="1433" customWidth="1"/>
    <col min="14336" max="14336" width="10.6640625" style="1433" customWidth="1"/>
    <col min="14337" max="14337" width="11.33203125" style="1433" customWidth="1"/>
    <col min="14338" max="14342" width="9.33203125" style="1433"/>
    <col min="14343" max="14343" width="9.5" style="1433" bestFit="1" customWidth="1"/>
    <col min="14344" max="14344" width="18.33203125" style="1433" customWidth="1"/>
    <col min="14345" max="14571" width="9.33203125" style="1433"/>
    <col min="14572" max="14572" width="9.1640625" style="1433" bestFit="1" customWidth="1"/>
    <col min="14573" max="14573" width="42.5" style="1433" customWidth="1"/>
    <col min="14574" max="14574" width="10.33203125" style="1433" customWidth="1"/>
    <col min="14575" max="14575" width="9.6640625" style="1433" customWidth="1"/>
    <col min="14576" max="14576" width="12.6640625" style="1433" customWidth="1"/>
    <col min="14577" max="14578" width="9.6640625" style="1433" customWidth="1"/>
    <col min="14579" max="14579" width="9.33203125" style="1433"/>
    <col min="14580" max="14580" width="9.83203125" style="1433" customWidth="1"/>
    <col min="14581" max="14581" width="12.1640625" style="1433" customWidth="1"/>
    <col min="14582" max="14585" width="9.83203125" style="1433" customWidth="1"/>
    <col min="14586" max="14586" width="9" style="1433" customWidth="1"/>
    <col min="14587" max="14587" width="13.5" style="1433" customWidth="1"/>
    <col min="14588" max="14588" width="13.1640625" style="1433" customWidth="1"/>
    <col min="14589" max="14589" width="9.33203125" style="1433"/>
    <col min="14590" max="14590" width="11.5" style="1433" bestFit="1" customWidth="1"/>
    <col min="14591" max="14591" width="38.5" style="1433" customWidth="1"/>
    <col min="14592" max="14592" width="10.6640625" style="1433" customWidth="1"/>
    <col min="14593" max="14593" width="11.33203125" style="1433" customWidth="1"/>
    <col min="14594" max="14598" width="9.33203125" style="1433"/>
    <col min="14599" max="14599" width="9.5" style="1433" bestFit="1" customWidth="1"/>
    <col min="14600" max="14600" width="18.33203125" style="1433" customWidth="1"/>
    <col min="14601" max="14827" width="9.33203125" style="1433"/>
    <col min="14828" max="14828" width="9.1640625" style="1433" bestFit="1" customWidth="1"/>
    <col min="14829" max="14829" width="42.5" style="1433" customWidth="1"/>
    <col min="14830" max="14830" width="10.33203125" style="1433" customWidth="1"/>
    <col min="14831" max="14831" width="9.6640625" style="1433" customWidth="1"/>
    <col min="14832" max="14832" width="12.6640625" style="1433" customWidth="1"/>
    <col min="14833" max="14834" width="9.6640625" style="1433" customWidth="1"/>
    <col min="14835" max="14835" width="9.33203125" style="1433"/>
    <col min="14836" max="14836" width="9.83203125" style="1433" customWidth="1"/>
    <col min="14837" max="14837" width="12.1640625" style="1433" customWidth="1"/>
    <col min="14838" max="14841" width="9.83203125" style="1433" customWidth="1"/>
    <col min="14842" max="14842" width="9" style="1433" customWidth="1"/>
    <col min="14843" max="14843" width="13.5" style="1433" customWidth="1"/>
    <col min="14844" max="14844" width="13.1640625" style="1433" customWidth="1"/>
    <col min="14845" max="14845" width="9.33203125" style="1433"/>
    <col min="14846" max="14846" width="11.5" style="1433" bestFit="1" customWidth="1"/>
    <col min="14847" max="14847" width="38.5" style="1433" customWidth="1"/>
    <col min="14848" max="14848" width="10.6640625" style="1433" customWidth="1"/>
    <col min="14849" max="14849" width="11.33203125" style="1433" customWidth="1"/>
    <col min="14850" max="14854" width="9.33203125" style="1433"/>
    <col min="14855" max="14855" width="9.5" style="1433" bestFit="1" customWidth="1"/>
    <col min="14856" max="14856" width="18.33203125" style="1433" customWidth="1"/>
    <col min="14857" max="15083" width="9.33203125" style="1433"/>
    <col min="15084" max="15084" width="9.1640625" style="1433" bestFit="1" customWidth="1"/>
    <col min="15085" max="15085" width="42.5" style="1433" customWidth="1"/>
    <col min="15086" max="15086" width="10.33203125" style="1433" customWidth="1"/>
    <col min="15087" max="15087" width="9.6640625" style="1433" customWidth="1"/>
    <col min="15088" max="15088" width="12.6640625" style="1433" customWidth="1"/>
    <col min="15089" max="15090" width="9.6640625" style="1433" customWidth="1"/>
    <col min="15091" max="15091" width="9.33203125" style="1433"/>
    <col min="15092" max="15092" width="9.83203125" style="1433" customWidth="1"/>
    <col min="15093" max="15093" width="12.1640625" style="1433" customWidth="1"/>
    <col min="15094" max="15097" width="9.83203125" style="1433" customWidth="1"/>
    <col min="15098" max="15098" width="9" style="1433" customWidth="1"/>
    <col min="15099" max="15099" width="13.5" style="1433" customWidth="1"/>
    <col min="15100" max="15100" width="13.1640625" style="1433" customWidth="1"/>
    <col min="15101" max="15101" width="9.33203125" style="1433"/>
    <col min="15102" max="15102" width="11.5" style="1433" bestFit="1" customWidth="1"/>
    <col min="15103" max="15103" width="38.5" style="1433" customWidth="1"/>
    <col min="15104" max="15104" width="10.6640625" style="1433" customWidth="1"/>
    <col min="15105" max="15105" width="11.33203125" style="1433" customWidth="1"/>
    <col min="15106" max="15110" width="9.33203125" style="1433"/>
    <col min="15111" max="15111" width="9.5" style="1433" bestFit="1" customWidth="1"/>
    <col min="15112" max="15112" width="18.33203125" style="1433" customWidth="1"/>
    <col min="15113" max="15339" width="9.33203125" style="1433"/>
    <col min="15340" max="15340" width="9.1640625" style="1433" bestFit="1" customWidth="1"/>
    <col min="15341" max="15341" width="42.5" style="1433" customWidth="1"/>
    <col min="15342" max="15342" width="10.33203125" style="1433" customWidth="1"/>
    <col min="15343" max="15343" width="9.6640625" style="1433" customWidth="1"/>
    <col min="15344" max="15344" width="12.6640625" style="1433" customWidth="1"/>
    <col min="15345" max="15346" width="9.6640625" style="1433" customWidth="1"/>
    <col min="15347" max="15347" width="9.33203125" style="1433"/>
    <col min="15348" max="15348" width="9.83203125" style="1433" customWidth="1"/>
    <col min="15349" max="15349" width="12.1640625" style="1433" customWidth="1"/>
    <col min="15350" max="15353" width="9.83203125" style="1433" customWidth="1"/>
    <col min="15354" max="15354" width="9" style="1433" customWidth="1"/>
    <col min="15355" max="15355" width="13.5" style="1433" customWidth="1"/>
    <col min="15356" max="15356" width="13.1640625" style="1433" customWidth="1"/>
    <col min="15357" max="15357" width="9.33203125" style="1433"/>
    <col min="15358" max="15358" width="11.5" style="1433" bestFit="1" customWidth="1"/>
    <col min="15359" max="15359" width="38.5" style="1433" customWidth="1"/>
    <col min="15360" max="15360" width="10.6640625" style="1433" customWidth="1"/>
    <col min="15361" max="15361" width="11.33203125" style="1433" customWidth="1"/>
    <col min="15362" max="15366" width="9.33203125" style="1433"/>
    <col min="15367" max="15367" width="9.5" style="1433" bestFit="1" customWidth="1"/>
    <col min="15368" max="15368" width="18.33203125" style="1433" customWidth="1"/>
    <col min="15369" max="15595" width="9.33203125" style="1433"/>
    <col min="15596" max="15596" width="9.1640625" style="1433" bestFit="1" customWidth="1"/>
    <col min="15597" max="15597" width="42.5" style="1433" customWidth="1"/>
    <col min="15598" max="15598" width="10.33203125" style="1433" customWidth="1"/>
    <col min="15599" max="15599" width="9.6640625" style="1433" customWidth="1"/>
    <col min="15600" max="15600" width="12.6640625" style="1433" customWidth="1"/>
    <col min="15601" max="15602" width="9.6640625" style="1433" customWidth="1"/>
    <col min="15603" max="15603" width="9.33203125" style="1433"/>
    <col min="15604" max="15604" width="9.83203125" style="1433" customWidth="1"/>
    <col min="15605" max="15605" width="12.1640625" style="1433" customWidth="1"/>
    <col min="15606" max="15609" width="9.83203125" style="1433" customWidth="1"/>
    <col min="15610" max="15610" width="9" style="1433" customWidth="1"/>
    <col min="15611" max="15611" width="13.5" style="1433" customWidth="1"/>
    <col min="15612" max="15612" width="13.1640625" style="1433" customWidth="1"/>
    <col min="15613" max="15613" width="9.33203125" style="1433"/>
    <col min="15614" max="15614" width="11.5" style="1433" bestFit="1" customWidth="1"/>
    <col min="15615" max="15615" width="38.5" style="1433" customWidth="1"/>
    <col min="15616" max="15616" width="10.6640625" style="1433" customWidth="1"/>
    <col min="15617" max="15617" width="11.33203125" style="1433" customWidth="1"/>
    <col min="15618" max="15622" width="9.33203125" style="1433"/>
    <col min="15623" max="15623" width="9.5" style="1433" bestFit="1" customWidth="1"/>
    <col min="15624" max="15624" width="18.33203125" style="1433" customWidth="1"/>
    <col min="15625" max="15851" width="9.33203125" style="1433"/>
    <col min="15852" max="15852" width="9.1640625" style="1433" bestFit="1" customWidth="1"/>
    <col min="15853" max="15853" width="42.5" style="1433" customWidth="1"/>
    <col min="15854" max="15854" width="10.33203125" style="1433" customWidth="1"/>
    <col min="15855" max="15855" width="9.6640625" style="1433" customWidth="1"/>
    <col min="15856" max="15856" width="12.6640625" style="1433" customWidth="1"/>
    <col min="15857" max="15858" width="9.6640625" style="1433" customWidth="1"/>
    <col min="15859" max="15859" width="9.33203125" style="1433"/>
    <col min="15860" max="15860" width="9.83203125" style="1433" customWidth="1"/>
    <col min="15861" max="15861" width="12.1640625" style="1433" customWidth="1"/>
    <col min="15862" max="15865" width="9.83203125" style="1433" customWidth="1"/>
    <col min="15866" max="15866" width="9" style="1433" customWidth="1"/>
    <col min="15867" max="15867" width="13.5" style="1433" customWidth="1"/>
    <col min="15868" max="15868" width="13.1640625" style="1433" customWidth="1"/>
    <col min="15869" max="15869" width="9.33203125" style="1433"/>
    <col min="15870" max="15870" width="11.5" style="1433" bestFit="1" customWidth="1"/>
    <col min="15871" max="15871" width="38.5" style="1433" customWidth="1"/>
    <col min="15872" max="15872" width="10.6640625" style="1433" customWidth="1"/>
    <col min="15873" max="15873" width="11.33203125" style="1433" customWidth="1"/>
    <col min="15874" max="15878" width="9.33203125" style="1433"/>
    <col min="15879" max="15879" width="9.5" style="1433" bestFit="1" customWidth="1"/>
    <col min="15880" max="15880" width="18.33203125" style="1433" customWidth="1"/>
    <col min="15881" max="16107" width="9.33203125" style="1433"/>
    <col min="16108" max="16108" width="9.1640625" style="1433" bestFit="1" customWidth="1"/>
    <col min="16109" max="16109" width="42.5" style="1433" customWidth="1"/>
    <col min="16110" max="16110" width="10.33203125" style="1433" customWidth="1"/>
    <col min="16111" max="16111" width="9.6640625" style="1433" customWidth="1"/>
    <col min="16112" max="16112" width="12.6640625" style="1433" customWidth="1"/>
    <col min="16113" max="16114" width="9.6640625" style="1433" customWidth="1"/>
    <col min="16115" max="16115" width="9.33203125" style="1433"/>
    <col min="16116" max="16116" width="9.83203125" style="1433" customWidth="1"/>
    <col min="16117" max="16117" width="12.1640625" style="1433" customWidth="1"/>
    <col min="16118" max="16121" width="9.83203125" style="1433" customWidth="1"/>
    <col min="16122" max="16122" width="9" style="1433" customWidth="1"/>
    <col min="16123" max="16123" width="13.5" style="1433" customWidth="1"/>
    <col min="16124" max="16124" width="13.1640625" style="1433" customWidth="1"/>
    <col min="16125" max="16125" width="9.33203125" style="1433"/>
    <col min="16126" max="16126" width="11.5" style="1433" bestFit="1" customWidth="1"/>
    <col min="16127" max="16127" width="38.5" style="1433" customWidth="1"/>
    <col min="16128" max="16128" width="10.6640625" style="1433" customWidth="1"/>
    <col min="16129" max="16129" width="11.33203125" style="1433" customWidth="1"/>
    <col min="16130" max="16134" width="9.33203125" style="1433"/>
    <col min="16135" max="16135" width="9.5" style="1433" bestFit="1" customWidth="1"/>
    <col min="16136" max="16136" width="18.33203125" style="1433" customWidth="1"/>
    <col min="16137" max="16384" width="9.33203125" style="1433"/>
  </cols>
  <sheetData>
    <row r="1" spans="1:9" ht="16.5" x14ac:dyDescent="0.25">
      <c r="A1" s="1430"/>
      <c r="F1" s="3559"/>
      <c r="G1" s="3559"/>
      <c r="H1" s="3559"/>
    </row>
    <row r="2" spans="1:9" ht="61.5" customHeight="1" x14ac:dyDescent="0.2">
      <c r="A2" s="3932" t="s">
        <v>190</v>
      </c>
      <c r="B2" s="3932"/>
      <c r="C2" s="3932"/>
      <c r="D2" s="3932"/>
      <c r="E2" s="3932"/>
      <c r="F2" s="3932"/>
      <c r="G2" s="3932"/>
      <c r="H2" s="3932"/>
    </row>
    <row r="3" spans="1:9" ht="26.25" customHeight="1" x14ac:dyDescent="0.2">
      <c r="A3" s="3933" t="s">
        <v>1444</v>
      </c>
      <c r="B3" s="3933"/>
      <c r="C3" s="3933"/>
      <c r="D3" s="3933"/>
      <c r="E3" s="3933"/>
      <c r="F3" s="3933"/>
      <c r="G3" s="3933"/>
      <c r="H3" s="3933"/>
    </row>
    <row r="4" spans="1:9" ht="10.5" customHeight="1" x14ac:dyDescent="0.2">
      <c r="A4" s="1435"/>
      <c r="B4" s="1435"/>
      <c r="C4" s="1435"/>
      <c r="D4" s="1435"/>
      <c r="E4" s="1435"/>
      <c r="F4" s="1435"/>
      <c r="G4" s="1435"/>
      <c r="H4" s="1435"/>
      <c r="I4" s="1436" t="s">
        <v>1311</v>
      </c>
    </row>
    <row r="5" spans="1:9" ht="13.5" customHeight="1" x14ac:dyDescent="0.2">
      <c r="A5" s="3934"/>
      <c r="B5" s="3934"/>
      <c r="C5" s="3934"/>
      <c r="D5" s="3934"/>
      <c r="E5" s="3934"/>
      <c r="F5" s="3934"/>
      <c r="G5" s="3934"/>
      <c r="H5" s="3934"/>
      <c r="I5" s="1437" t="s">
        <v>177</v>
      </c>
    </row>
    <row r="6" spans="1:9" s="1441" customFormat="1" ht="36.75" customHeight="1" x14ac:dyDescent="0.2">
      <c r="A6" s="3935" t="s">
        <v>191</v>
      </c>
      <c r="B6" s="3936" t="s">
        <v>192</v>
      </c>
      <c r="C6" s="3937" t="s">
        <v>193</v>
      </c>
      <c r="D6" s="1438" t="s">
        <v>194</v>
      </c>
      <c r="E6" s="1439" t="s">
        <v>195</v>
      </c>
      <c r="F6" s="1440" t="s">
        <v>196</v>
      </c>
      <c r="G6" s="3940" t="s">
        <v>197</v>
      </c>
      <c r="H6" s="3940" t="s">
        <v>198</v>
      </c>
      <c r="I6" s="3941" t="s">
        <v>199</v>
      </c>
    </row>
    <row r="7" spans="1:9" s="1441" customFormat="1" ht="13.5" customHeight="1" x14ac:dyDescent="0.2">
      <c r="A7" s="3935"/>
      <c r="B7" s="3936"/>
      <c r="C7" s="3938"/>
      <c r="D7" s="3941" t="s">
        <v>200</v>
      </c>
      <c r="E7" s="3941" t="s">
        <v>200</v>
      </c>
      <c r="F7" s="3944" t="s">
        <v>200</v>
      </c>
      <c r="G7" s="3940"/>
      <c r="H7" s="3940"/>
      <c r="I7" s="3942"/>
    </row>
    <row r="8" spans="1:9" s="1441" customFormat="1" ht="23.25" customHeight="1" x14ac:dyDescent="0.2">
      <c r="A8" s="3935"/>
      <c r="B8" s="3936"/>
      <c r="C8" s="3938"/>
      <c r="D8" s="3942"/>
      <c r="E8" s="3942"/>
      <c r="F8" s="3944"/>
      <c r="G8" s="3940"/>
      <c r="H8" s="3940"/>
      <c r="I8" s="3942"/>
    </row>
    <row r="9" spans="1:9" s="1441" customFormat="1" ht="13.5" customHeight="1" x14ac:dyDescent="0.2">
      <c r="A9" s="3935"/>
      <c r="B9" s="3936"/>
      <c r="C9" s="3939"/>
      <c r="D9" s="3943"/>
      <c r="E9" s="3943"/>
      <c r="F9" s="3944"/>
      <c r="G9" s="3940"/>
      <c r="H9" s="3940"/>
      <c r="I9" s="3943"/>
    </row>
    <row r="10" spans="1:9" s="1447" customFormat="1" ht="26.25" customHeight="1" x14ac:dyDescent="0.2">
      <c r="A10" s="1442" t="s">
        <v>560</v>
      </c>
      <c r="B10" s="1443" t="s">
        <v>561</v>
      </c>
      <c r="C10" s="1444"/>
      <c r="D10" s="1445"/>
      <c r="E10" s="1446"/>
      <c r="F10" s="1446"/>
      <c r="G10" s="1446"/>
      <c r="H10" s="1446"/>
      <c r="I10" s="1445"/>
    </row>
    <row r="11" spans="1:9" ht="13.5" customHeight="1" x14ac:dyDescent="0.2">
      <c r="A11" s="1448" t="s">
        <v>562</v>
      </c>
      <c r="B11" s="1449" t="s">
        <v>563</v>
      </c>
      <c r="C11" s="1450" t="s">
        <v>564</v>
      </c>
      <c r="D11" s="1451"/>
      <c r="E11" s="1452"/>
      <c r="F11" s="1452"/>
      <c r="G11" s="1452"/>
      <c r="H11" s="1452"/>
      <c r="I11" s="1451"/>
    </row>
    <row r="12" spans="1:9" ht="13.5" customHeight="1" x14ac:dyDescent="0.2">
      <c r="A12" s="1448" t="s">
        <v>565</v>
      </c>
      <c r="B12" s="1449" t="s">
        <v>566</v>
      </c>
      <c r="C12" s="1450" t="s">
        <v>564</v>
      </c>
      <c r="D12" s="1451"/>
      <c r="E12" s="1452"/>
      <c r="F12" s="1452"/>
      <c r="G12" s="1452"/>
      <c r="H12" s="1452"/>
      <c r="I12" s="1451"/>
    </row>
    <row r="13" spans="1:9" ht="13.5" customHeight="1" x14ac:dyDescent="0.2">
      <c r="A13" s="1448" t="s">
        <v>567</v>
      </c>
      <c r="B13" s="1449" t="s">
        <v>568</v>
      </c>
      <c r="C13" s="1450" t="s">
        <v>564</v>
      </c>
      <c r="D13" s="1451"/>
      <c r="E13" s="1452"/>
      <c r="F13" s="1452"/>
      <c r="G13" s="1452"/>
      <c r="H13" s="1452"/>
      <c r="I13" s="1451"/>
    </row>
    <row r="14" spans="1:9" ht="21.75" customHeight="1" x14ac:dyDescent="0.2">
      <c r="A14" s="1448" t="s">
        <v>569</v>
      </c>
      <c r="B14" s="1449" t="s">
        <v>570</v>
      </c>
      <c r="C14" s="1450" t="s">
        <v>571</v>
      </c>
      <c r="D14" s="1451"/>
      <c r="E14" s="1452"/>
      <c r="F14" s="1452"/>
      <c r="G14" s="1452"/>
      <c r="H14" s="1452"/>
      <c r="I14" s="1451"/>
    </row>
    <row r="15" spans="1:9" ht="22.5" customHeight="1" x14ac:dyDescent="0.2">
      <c r="A15" s="1448" t="s">
        <v>572</v>
      </c>
      <c r="B15" s="1449" t="s">
        <v>573</v>
      </c>
      <c r="C15" s="1450" t="s">
        <v>564</v>
      </c>
      <c r="D15" s="1451"/>
      <c r="E15" s="1452"/>
      <c r="F15" s="1452"/>
      <c r="G15" s="1452"/>
      <c r="H15" s="1452"/>
      <c r="I15" s="1451"/>
    </row>
    <row r="16" spans="1:9" s="1447" customFormat="1" ht="38.85" customHeight="1" x14ac:dyDescent="0.2">
      <c r="A16" s="1442" t="s">
        <v>574</v>
      </c>
      <c r="B16" s="1443" t="s">
        <v>575</v>
      </c>
      <c r="C16" s="1444"/>
      <c r="D16" s="1445"/>
      <c r="E16" s="1446"/>
      <c r="F16" s="1452"/>
      <c r="G16" s="1446"/>
      <c r="H16" s="1446"/>
      <c r="I16" s="1445"/>
    </row>
    <row r="17" spans="1:9" ht="21.75" customHeight="1" x14ac:dyDescent="0.2">
      <c r="A17" s="1448" t="s">
        <v>576</v>
      </c>
      <c r="B17" s="1453" t="s">
        <v>577</v>
      </c>
      <c r="C17" s="1450" t="s">
        <v>564</v>
      </c>
      <c r="D17" s="1452">
        <v>8</v>
      </c>
      <c r="E17" s="1452">
        <v>0.65</v>
      </c>
      <c r="F17" s="3945">
        <v>10.8</v>
      </c>
      <c r="G17" s="3945">
        <v>10.8</v>
      </c>
      <c r="H17" s="3945">
        <v>10.8</v>
      </c>
      <c r="I17" s="1451"/>
    </row>
    <row r="18" spans="1:9" ht="14.25" customHeight="1" x14ac:dyDescent="0.2">
      <c r="A18" s="1448" t="s">
        <v>578</v>
      </c>
      <c r="B18" s="1453" t="s">
        <v>579</v>
      </c>
      <c r="C18" s="1450" t="s">
        <v>564</v>
      </c>
      <c r="D18" s="1452">
        <v>3</v>
      </c>
      <c r="E18" s="1452">
        <v>0.26</v>
      </c>
      <c r="F18" s="3945"/>
      <c r="G18" s="3945"/>
      <c r="H18" s="3945"/>
      <c r="I18" s="1451"/>
    </row>
    <row r="19" spans="1:9" ht="12.75" customHeight="1" x14ac:dyDescent="0.2">
      <c r="A19" s="1448" t="s">
        <v>578</v>
      </c>
      <c r="B19" s="1449" t="s">
        <v>580</v>
      </c>
      <c r="C19" s="1450" t="s">
        <v>564</v>
      </c>
      <c r="D19" s="1452"/>
      <c r="E19" s="1452"/>
      <c r="F19" s="1454"/>
      <c r="G19" s="1454"/>
      <c r="H19" s="1454"/>
      <c r="I19" s="1451"/>
    </row>
    <row r="20" spans="1:9" ht="22.5" customHeight="1" x14ac:dyDescent="0.2">
      <c r="A20" s="1448" t="s">
        <v>581</v>
      </c>
      <c r="B20" s="1449" t="s">
        <v>582</v>
      </c>
      <c r="C20" s="1450" t="s">
        <v>564</v>
      </c>
      <c r="D20" s="1451"/>
      <c r="E20" s="1452"/>
      <c r="F20" s="1454"/>
      <c r="G20" s="1454"/>
      <c r="H20" s="1454"/>
      <c r="I20" s="1451"/>
    </row>
    <row r="21" spans="1:9" ht="22.5" customHeight="1" x14ac:dyDescent="0.2">
      <c r="A21" s="1448" t="s">
        <v>583</v>
      </c>
      <c r="B21" s="1449" t="s">
        <v>584</v>
      </c>
      <c r="C21" s="1450"/>
      <c r="D21" s="1451"/>
      <c r="E21" s="1452"/>
      <c r="F21" s="1454"/>
      <c r="G21" s="1454"/>
      <c r="H21" s="1454"/>
      <c r="I21" s="1451"/>
    </row>
    <row r="22" spans="1:9" x14ac:dyDescent="0.2">
      <c r="A22" s="1455" t="s">
        <v>585</v>
      </c>
      <c r="B22" s="1456" t="s">
        <v>586</v>
      </c>
      <c r="C22" s="1457" t="s">
        <v>564</v>
      </c>
      <c r="D22" s="1458"/>
      <c r="E22" s="1459"/>
      <c r="F22" s="1454"/>
      <c r="G22" s="1460"/>
      <c r="H22" s="1460"/>
      <c r="I22" s="1451"/>
    </row>
    <row r="23" spans="1:9" x14ac:dyDescent="0.2">
      <c r="A23" s="1455" t="s">
        <v>587</v>
      </c>
      <c r="B23" s="1456" t="s">
        <v>588</v>
      </c>
      <c r="C23" s="1457" t="s">
        <v>564</v>
      </c>
      <c r="D23" s="1458"/>
      <c r="E23" s="1459"/>
      <c r="F23" s="1454"/>
      <c r="G23" s="1460"/>
      <c r="H23" s="1460"/>
      <c r="I23" s="1451"/>
    </row>
    <row r="24" spans="1:9" ht="36.75" customHeight="1" x14ac:dyDescent="0.2">
      <c r="A24" s="1448" t="s">
        <v>589</v>
      </c>
      <c r="B24" s="1449" t="s">
        <v>590</v>
      </c>
      <c r="C24" s="1450" t="s">
        <v>564</v>
      </c>
      <c r="D24" s="1451"/>
      <c r="E24" s="1452"/>
      <c r="F24" s="1454"/>
      <c r="G24" s="1454"/>
      <c r="H24" s="1454"/>
      <c r="I24" s="1451"/>
    </row>
    <row r="25" spans="1:9" ht="36.75" customHeight="1" x14ac:dyDescent="0.2">
      <c r="A25" s="1448" t="s">
        <v>591</v>
      </c>
      <c r="B25" s="1449" t="s">
        <v>592</v>
      </c>
      <c r="C25" s="1450" t="s">
        <v>564</v>
      </c>
      <c r="D25" s="1451"/>
      <c r="E25" s="1452"/>
      <c r="F25" s="1454"/>
      <c r="G25" s="1454"/>
      <c r="H25" s="1454"/>
      <c r="I25" s="1451"/>
    </row>
    <row r="26" spans="1:9" ht="13.5" customHeight="1" x14ac:dyDescent="0.2">
      <c r="A26" s="1448" t="s">
        <v>593</v>
      </c>
      <c r="B26" s="1449" t="s">
        <v>594</v>
      </c>
      <c r="C26" s="1450" t="s">
        <v>564</v>
      </c>
      <c r="D26" s="1451"/>
      <c r="E26" s="1452"/>
      <c r="F26" s="1454"/>
      <c r="G26" s="1454"/>
      <c r="H26" s="1454"/>
      <c r="I26" s="1451"/>
    </row>
    <row r="27" spans="1:9" s="1447" customFormat="1" ht="30" customHeight="1" x14ac:dyDescent="0.2">
      <c r="A27" s="1442" t="s">
        <v>595</v>
      </c>
      <c r="B27" s="1443" t="s">
        <v>596</v>
      </c>
      <c r="C27" s="1444"/>
      <c r="D27" s="1445"/>
      <c r="E27" s="1446"/>
      <c r="F27" s="1454"/>
      <c r="G27" s="1461"/>
      <c r="H27" s="1461"/>
      <c r="I27" s="1445"/>
    </row>
    <row r="28" spans="1:9" hidden="1" x14ac:dyDescent="0.2">
      <c r="A28" s="1448" t="s">
        <v>597</v>
      </c>
      <c r="B28" s="1462" t="s">
        <v>598</v>
      </c>
      <c r="C28" s="1450"/>
      <c r="D28" s="1451"/>
      <c r="E28" s="1452"/>
      <c r="F28" s="1454"/>
      <c r="G28" s="1454"/>
      <c r="H28" s="1454"/>
      <c r="I28" s="1451"/>
    </row>
    <row r="29" spans="1:9" ht="45" hidden="1" x14ac:dyDescent="0.2">
      <c r="A29" s="1448" t="s">
        <v>599</v>
      </c>
      <c r="B29" s="1449" t="s">
        <v>1304</v>
      </c>
      <c r="C29" s="1450" t="s">
        <v>564</v>
      </c>
      <c r="D29" s="1451"/>
      <c r="E29" s="1452"/>
      <c r="F29" s="1454"/>
      <c r="G29" s="1454"/>
      <c r="H29" s="1454"/>
      <c r="I29" s="1451"/>
    </row>
    <row r="30" spans="1:9" ht="23.25" hidden="1" customHeight="1" x14ac:dyDescent="0.2">
      <c r="A30" s="1448" t="s">
        <v>600</v>
      </c>
      <c r="B30" s="1449" t="s">
        <v>601</v>
      </c>
      <c r="C30" s="1450" t="s">
        <v>564</v>
      </c>
      <c r="D30" s="1451"/>
      <c r="E30" s="1452"/>
      <c r="F30" s="1454"/>
      <c r="G30" s="1454"/>
      <c r="H30" s="1454"/>
      <c r="I30" s="1451"/>
    </row>
    <row r="31" spans="1:9" ht="33.75" hidden="1" x14ac:dyDescent="0.2">
      <c r="A31" s="1448" t="s">
        <v>602</v>
      </c>
      <c r="B31" s="1463" t="s">
        <v>603</v>
      </c>
      <c r="C31" s="1450" t="s">
        <v>564</v>
      </c>
      <c r="D31" s="1451"/>
      <c r="E31" s="1452"/>
      <c r="F31" s="1454"/>
      <c r="G31" s="1454"/>
      <c r="H31" s="1454"/>
      <c r="I31" s="1451"/>
    </row>
    <row r="32" spans="1:9" ht="28.5" hidden="1" customHeight="1" x14ac:dyDescent="0.2">
      <c r="A32" s="1448" t="s">
        <v>604</v>
      </c>
      <c r="B32" s="1464" t="s">
        <v>605</v>
      </c>
      <c r="C32" s="1450"/>
      <c r="D32" s="1451"/>
      <c r="E32" s="1452"/>
      <c r="F32" s="1454"/>
      <c r="G32" s="1454"/>
      <c r="H32" s="1454"/>
      <c r="I32" s="1451"/>
    </row>
    <row r="33" spans="1:9" ht="21.75" hidden="1" customHeight="1" x14ac:dyDescent="0.2">
      <c r="A33" s="1448" t="s">
        <v>606</v>
      </c>
      <c r="B33" s="1449" t="s">
        <v>607</v>
      </c>
      <c r="C33" s="1450"/>
      <c r="D33" s="1451"/>
      <c r="E33" s="1452"/>
      <c r="F33" s="1454"/>
      <c r="G33" s="1454"/>
      <c r="H33" s="1454"/>
      <c r="I33" s="1451"/>
    </row>
    <row r="34" spans="1:9" hidden="1" x14ac:dyDescent="0.2">
      <c r="A34" s="1448" t="s">
        <v>608</v>
      </c>
      <c r="B34" s="1449" t="s">
        <v>609</v>
      </c>
      <c r="C34" s="1450" t="s">
        <v>564</v>
      </c>
      <c r="D34" s="1451"/>
      <c r="E34" s="1452"/>
      <c r="F34" s="1454"/>
      <c r="G34" s="1454"/>
      <c r="H34" s="1454"/>
      <c r="I34" s="1451"/>
    </row>
    <row r="35" spans="1:9" hidden="1" x14ac:dyDescent="0.2">
      <c r="A35" s="1448" t="s">
        <v>610</v>
      </c>
      <c r="B35" s="1449" t="s">
        <v>611</v>
      </c>
      <c r="C35" s="1450" t="s">
        <v>564</v>
      </c>
      <c r="D35" s="1451"/>
      <c r="E35" s="1452"/>
      <c r="F35" s="1454"/>
      <c r="G35" s="1454"/>
      <c r="H35" s="1454"/>
      <c r="I35" s="1451"/>
    </row>
    <row r="36" spans="1:9" hidden="1" x14ac:dyDescent="0.2">
      <c r="A36" s="1448" t="s">
        <v>612</v>
      </c>
      <c r="B36" s="1449" t="s">
        <v>613</v>
      </c>
      <c r="C36" s="1450" t="s">
        <v>564</v>
      </c>
      <c r="D36" s="1451"/>
      <c r="E36" s="1452"/>
      <c r="F36" s="1454"/>
      <c r="G36" s="1454"/>
      <c r="H36" s="1454"/>
      <c r="I36" s="1451"/>
    </row>
    <row r="37" spans="1:9" ht="13.5" hidden="1" customHeight="1" x14ac:dyDescent="0.2">
      <c r="A37" s="1448" t="s">
        <v>614</v>
      </c>
      <c r="B37" s="1449" t="s">
        <v>615</v>
      </c>
      <c r="C37" s="1450"/>
      <c r="D37" s="1451"/>
      <c r="E37" s="1452"/>
      <c r="F37" s="1454"/>
      <c r="G37" s="1454"/>
      <c r="H37" s="1454"/>
      <c r="I37" s="1451"/>
    </row>
    <row r="38" spans="1:9" hidden="1" x14ac:dyDescent="0.2">
      <c r="A38" s="1448" t="s">
        <v>616</v>
      </c>
      <c r="B38" s="1449" t="s">
        <v>609</v>
      </c>
      <c r="C38" s="1450" t="s">
        <v>564</v>
      </c>
      <c r="D38" s="1451"/>
      <c r="E38" s="1452"/>
      <c r="F38" s="1454"/>
      <c r="G38" s="1454"/>
      <c r="H38" s="1454"/>
      <c r="I38" s="1451"/>
    </row>
    <row r="39" spans="1:9" hidden="1" x14ac:dyDescent="0.2">
      <c r="A39" s="1448" t="s">
        <v>617</v>
      </c>
      <c r="B39" s="1449" t="s">
        <v>611</v>
      </c>
      <c r="C39" s="1450" t="s">
        <v>564</v>
      </c>
      <c r="D39" s="1451"/>
      <c r="E39" s="1452"/>
      <c r="F39" s="1454"/>
      <c r="G39" s="1454"/>
      <c r="H39" s="1454"/>
      <c r="I39" s="1451"/>
    </row>
    <row r="40" spans="1:9" hidden="1" x14ac:dyDescent="0.2">
      <c r="A40" s="1448" t="s">
        <v>618</v>
      </c>
      <c r="B40" s="1449" t="s">
        <v>613</v>
      </c>
      <c r="C40" s="1450" t="s">
        <v>564</v>
      </c>
      <c r="D40" s="1451"/>
      <c r="E40" s="1452"/>
      <c r="F40" s="1454"/>
      <c r="G40" s="1454"/>
      <c r="H40" s="1454"/>
      <c r="I40" s="1451"/>
    </row>
    <row r="41" spans="1:9" ht="21.75" hidden="1" customHeight="1" x14ac:dyDescent="0.2">
      <c r="A41" s="1448" t="s">
        <v>619</v>
      </c>
      <c r="B41" s="1449" t="s">
        <v>620</v>
      </c>
      <c r="C41" s="1450"/>
      <c r="D41" s="1451"/>
      <c r="E41" s="1452"/>
      <c r="F41" s="1454"/>
      <c r="G41" s="1454"/>
      <c r="H41" s="1454"/>
      <c r="I41" s="1451"/>
    </row>
    <row r="42" spans="1:9" hidden="1" x14ac:dyDescent="0.2">
      <c r="A42" s="1448" t="s">
        <v>621</v>
      </c>
      <c r="B42" s="1449" t="s">
        <v>622</v>
      </c>
      <c r="C42" s="1450" t="s">
        <v>564</v>
      </c>
      <c r="D42" s="1451"/>
      <c r="E42" s="1452"/>
      <c r="F42" s="1454"/>
      <c r="G42" s="1454"/>
      <c r="H42" s="1454"/>
      <c r="I42" s="1451"/>
    </row>
    <row r="43" spans="1:9" hidden="1" x14ac:dyDescent="0.2">
      <c r="A43" s="1448" t="s">
        <v>623</v>
      </c>
      <c r="B43" s="1449" t="s">
        <v>611</v>
      </c>
      <c r="C43" s="1450" t="s">
        <v>564</v>
      </c>
      <c r="D43" s="1451"/>
      <c r="E43" s="1452"/>
      <c r="F43" s="1454"/>
      <c r="G43" s="1454"/>
      <c r="H43" s="1454"/>
      <c r="I43" s="1451"/>
    </row>
    <row r="44" spans="1:9" ht="11.25" hidden="1" customHeight="1" x14ac:dyDescent="0.2">
      <c r="A44" s="1448" t="s">
        <v>624</v>
      </c>
      <c r="B44" s="1449" t="s">
        <v>625</v>
      </c>
      <c r="C44" s="1450" t="s">
        <v>564</v>
      </c>
      <c r="D44" s="1451"/>
      <c r="E44" s="1452"/>
      <c r="F44" s="1454"/>
      <c r="G44" s="1454"/>
      <c r="H44" s="1454"/>
      <c r="I44" s="1451"/>
    </row>
    <row r="45" spans="1:9" ht="21.75" hidden="1" customHeight="1" x14ac:dyDescent="0.2">
      <c r="A45" s="1448" t="s">
        <v>626</v>
      </c>
      <c r="B45" s="1449" t="s">
        <v>627</v>
      </c>
      <c r="C45" s="1450" t="s">
        <v>564</v>
      </c>
      <c r="D45" s="1451"/>
      <c r="E45" s="1452"/>
      <c r="F45" s="1454"/>
      <c r="G45" s="1454"/>
      <c r="H45" s="1454"/>
      <c r="I45" s="1451"/>
    </row>
    <row r="46" spans="1:9" ht="12" hidden="1" customHeight="1" x14ac:dyDescent="0.2">
      <c r="A46" s="1448" t="s">
        <v>628</v>
      </c>
      <c r="B46" s="1449" t="s">
        <v>629</v>
      </c>
      <c r="C46" s="1450" t="s">
        <v>564</v>
      </c>
      <c r="D46" s="1451"/>
      <c r="E46" s="1452"/>
      <c r="F46" s="1454"/>
      <c r="G46" s="1454"/>
      <c r="H46" s="1454"/>
      <c r="I46" s="1451"/>
    </row>
    <row r="47" spans="1:9" hidden="1" x14ac:dyDescent="0.2">
      <c r="A47" s="1448" t="s">
        <v>630</v>
      </c>
      <c r="B47" s="1462" t="s">
        <v>631</v>
      </c>
      <c r="C47" s="1450"/>
      <c r="D47" s="1451"/>
      <c r="E47" s="1452"/>
      <c r="F47" s="1454"/>
      <c r="G47" s="1454"/>
      <c r="H47" s="1454"/>
      <c r="I47" s="1451"/>
    </row>
    <row r="48" spans="1:9" hidden="1" x14ac:dyDescent="0.2">
      <c r="A48" s="1448" t="s">
        <v>632</v>
      </c>
      <c r="B48" s="1449" t="s">
        <v>633</v>
      </c>
      <c r="C48" s="1450" t="s">
        <v>564</v>
      </c>
      <c r="D48" s="1451"/>
      <c r="E48" s="1452"/>
      <c r="F48" s="1454"/>
      <c r="G48" s="1454"/>
      <c r="H48" s="1454"/>
      <c r="I48" s="1451"/>
    </row>
    <row r="49" spans="1:9" hidden="1" x14ac:dyDescent="0.2">
      <c r="A49" s="1448" t="s">
        <v>634</v>
      </c>
      <c r="B49" s="1449" t="s">
        <v>635</v>
      </c>
      <c r="C49" s="1450" t="s">
        <v>564</v>
      </c>
      <c r="D49" s="1451"/>
      <c r="E49" s="1452"/>
      <c r="F49" s="1454"/>
      <c r="G49" s="1454"/>
      <c r="H49" s="1454"/>
      <c r="I49" s="1451"/>
    </row>
    <row r="50" spans="1:9" hidden="1" x14ac:dyDescent="0.2">
      <c r="A50" s="1448" t="s">
        <v>636</v>
      </c>
      <c r="B50" s="1462" t="s">
        <v>637</v>
      </c>
      <c r="C50" s="1450"/>
      <c r="D50" s="1451"/>
      <c r="E50" s="1452"/>
      <c r="F50" s="1454"/>
      <c r="G50" s="1454"/>
      <c r="H50" s="1454"/>
      <c r="I50" s="1451"/>
    </row>
    <row r="51" spans="1:9" ht="21.75" hidden="1" customHeight="1" x14ac:dyDescent="0.2">
      <c r="A51" s="1448" t="s">
        <v>638</v>
      </c>
      <c r="B51" s="1463" t="s">
        <v>639</v>
      </c>
      <c r="C51" s="1450" t="s">
        <v>564</v>
      </c>
      <c r="D51" s="1451"/>
      <c r="E51" s="1452"/>
      <c r="F51" s="1454"/>
      <c r="G51" s="1454"/>
      <c r="H51" s="1454"/>
      <c r="I51" s="1451"/>
    </row>
    <row r="52" spans="1:9" ht="12.75" hidden="1" customHeight="1" x14ac:dyDescent="0.2">
      <c r="A52" s="1448" t="s">
        <v>640</v>
      </c>
      <c r="B52" s="1463" t="s">
        <v>641</v>
      </c>
      <c r="C52" s="1450" t="s">
        <v>564</v>
      </c>
      <c r="D52" s="1451"/>
      <c r="E52" s="1452"/>
      <c r="F52" s="1454"/>
      <c r="G52" s="1454"/>
      <c r="H52" s="1454"/>
      <c r="I52" s="1451"/>
    </row>
    <row r="53" spans="1:9" ht="24" hidden="1" customHeight="1" x14ac:dyDescent="0.2">
      <c r="A53" s="1448" t="s">
        <v>642</v>
      </c>
      <c r="B53" s="1465" t="s">
        <v>643</v>
      </c>
      <c r="C53" s="1450"/>
      <c r="D53" s="1451"/>
      <c r="E53" s="1452"/>
      <c r="F53" s="1454"/>
      <c r="G53" s="1454"/>
      <c r="H53" s="1454"/>
      <c r="I53" s="1451"/>
    </row>
    <row r="54" spans="1:9" ht="33.75" hidden="1" x14ac:dyDescent="0.2">
      <c r="A54" s="1448" t="s">
        <v>644</v>
      </c>
      <c r="B54" s="1463" t="s">
        <v>645</v>
      </c>
      <c r="C54" s="1450" t="s">
        <v>564</v>
      </c>
      <c r="D54" s="1451"/>
      <c r="E54" s="1452"/>
      <c r="F54" s="1454"/>
      <c r="G54" s="1454"/>
      <c r="H54" s="1454"/>
      <c r="I54" s="1451"/>
    </row>
    <row r="55" spans="1:9" ht="23.25" hidden="1" customHeight="1" x14ac:dyDescent="0.2">
      <c r="A55" s="1448" t="s">
        <v>646</v>
      </c>
      <c r="B55" s="1463" t="s">
        <v>647</v>
      </c>
      <c r="C55" s="1450" t="s">
        <v>564</v>
      </c>
      <c r="D55" s="1451"/>
      <c r="E55" s="1452"/>
      <c r="F55" s="1454"/>
      <c r="G55" s="1454"/>
      <c r="H55" s="1454"/>
      <c r="I55" s="1451"/>
    </row>
    <row r="56" spans="1:9" ht="22.5" hidden="1" x14ac:dyDescent="0.2">
      <c r="A56" s="1448" t="s">
        <v>648</v>
      </c>
      <c r="B56" s="1465" t="s">
        <v>649</v>
      </c>
      <c r="C56" s="1450" t="s">
        <v>564</v>
      </c>
      <c r="D56" s="1466"/>
      <c r="E56" s="1467"/>
      <c r="F56" s="1454"/>
      <c r="G56" s="1454"/>
      <c r="H56" s="1454"/>
      <c r="I56" s="1451"/>
    </row>
    <row r="57" spans="1:9" s="1447" customFormat="1" ht="13.5" customHeight="1" x14ac:dyDescent="0.2">
      <c r="A57" s="1442" t="s">
        <v>650</v>
      </c>
      <c r="B57" s="1443" t="s">
        <v>651</v>
      </c>
      <c r="C57" s="1444"/>
      <c r="D57" s="1466"/>
      <c r="E57" s="1467"/>
      <c r="F57" s="1461"/>
      <c r="G57" s="1461"/>
      <c r="H57" s="1461"/>
      <c r="I57" s="1445"/>
    </row>
    <row r="58" spans="1:9" x14ac:dyDescent="0.2">
      <c r="A58" s="1448" t="s">
        <v>652</v>
      </c>
      <c r="B58" s="1468" t="s">
        <v>1305</v>
      </c>
      <c r="C58" s="1450"/>
      <c r="D58" s="1466"/>
      <c r="E58" s="1467"/>
      <c r="F58" s="1461"/>
      <c r="G58" s="1461"/>
      <c r="H58" s="1461"/>
      <c r="I58" s="1451"/>
    </row>
    <row r="59" spans="1:9" x14ac:dyDescent="0.2">
      <c r="A59" s="1448" t="s">
        <v>653</v>
      </c>
      <c r="B59" s="1449" t="s">
        <v>654</v>
      </c>
      <c r="C59" s="1450" t="s">
        <v>564</v>
      </c>
      <c r="D59" s="1466"/>
      <c r="E59" s="1467"/>
      <c r="F59" s="1461"/>
      <c r="G59" s="1454"/>
      <c r="H59" s="1454"/>
      <c r="I59" s="1451"/>
    </row>
    <row r="60" spans="1:9" x14ac:dyDescent="0.2">
      <c r="A60" s="1448" t="s">
        <v>655</v>
      </c>
      <c r="B60" s="1468" t="s">
        <v>656</v>
      </c>
      <c r="C60" s="1450"/>
      <c r="D60" s="1466"/>
      <c r="E60" s="1467"/>
      <c r="F60" s="1461"/>
      <c r="G60" s="1454"/>
      <c r="H60" s="1454"/>
      <c r="I60" s="1451"/>
    </row>
    <row r="61" spans="1:9" x14ac:dyDescent="0.2">
      <c r="A61" s="1448" t="s">
        <v>657</v>
      </c>
      <c r="B61" s="1453" t="s">
        <v>654</v>
      </c>
      <c r="C61" s="1450" t="s">
        <v>658</v>
      </c>
      <c r="D61" s="1469"/>
      <c r="E61" s="1467"/>
      <c r="F61" s="1470">
        <v>2</v>
      </c>
      <c r="G61" s="1454">
        <v>2</v>
      </c>
      <c r="H61" s="1454">
        <v>2</v>
      </c>
      <c r="I61" s="1451"/>
    </row>
    <row r="62" spans="1:9" s="1447" customFormat="1" ht="12.75" x14ac:dyDescent="0.2">
      <c r="A62" s="1442" t="s">
        <v>659</v>
      </c>
      <c r="B62" s="1443" t="s">
        <v>660</v>
      </c>
      <c r="C62" s="1444"/>
      <c r="D62" s="1466"/>
      <c r="E62" s="1467"/>
      <c r="F62" s="1461"/>
      <c r="G62" s="1461"/>
      <c r="H62" s="1461"/>
      <c r="I62" s="1445"/>
    </row>
    <row r="63" spans="1:9" ht="11.25" customHeight="1" x14ac:dyDescent="0.2">
      <c r="A63" s="1448" t="s">
        <v>661</v>
      </c>
      <c r="B63" s="1453" t="s">
        <v>1476</v>
      </c>
      <c r="C63" s="1450" t="s">
        <v>227</v>
      </c>
      <c r="D63" s="1466">
        <v>1</v>
      </c>
      <c r="E63" s="1471" t="s">
        <v>1477</v>
      </c>
      <c r="F63" s="1454">
        <v>264</v>
      </c>
      <c r="G63" s="1454">
        <v>264</v>
      </c>
      <c r="H63" s="1454">
        <v>264</v>
      </c>
      <c r="I63" s="1451"/>
    </row>
    <row r="64" spans="1:9" ht="25.5" customHeight="1" x14ac:dyDescent="0.2">
      <c r="A64" s="1448" t="s">
        <v>662</v>
      </c>
      <c r="B64" s="1449" t="s">
        <v>663</v>
      </c>
      <c r="C64" s="1450" t="s">
        <v>664</v>
      </c>
      <c r="D64" s="1469"/>
      <c r="E64" s="1467"/>
      <c r="F64" s="1454"/>
      <c r="G64" s="1454"/>
      <c r="H64" s="1454"/>
      <c r="I64" s="1449"/>
    </row>
    <row r="65" spans="1:9" s="1447" customFormat="1" ht="12.75" x14ac:dyDescent="0.2">
      <c r="A65" s="1442" t="s">
        <v>666</v>
      </c>
      <c r="B65" s="1443" t="s">
        <v>667</v>
      </c>
      <c r="C65" s="1444"/>
      <c r="D65" s="1466"/>
      <c r="E65" s="1467"/>
      <c r="F65" s="1454"/>
      <c r="G65" s="1461"/>
      <c r="H65" s="1461"/>
      <c r="I65" s="1445"/>
    </row>
    <row r="66" spans="1:9" ht="11.25" customHeight="1" x14ac:dyDescent="0.2">
      <c r="A66" s="1448" t="s">
        <v>668</v>
      </c>
      <c r="B66" s="1449" t="s">
        <v>1478</v>
      </c>
      <c r="C66" s="1450" t="s">
        <v>227</v>
      </c>
      <c r="D66" s="1469"/>
      <c r="E66" s="1467"/>
      <c r="F66" s="1454">
        <v>5</v>
      </c>
      <c r="G66" s="1454">
        <v>5</v>
      </c>
      <c r="H66" s="1454">
        <v>5</v>
      </c>
      <c r="I66" s="1451"/>
    </row>
    <row r="67" spans="1:9" ht="11.25" customHeight="1" x14ac:dyDescent="0.2">
      <c r="A67" s="1448" t="s">
        <v>670</v>
      </c>
      <c r="B67" s="1449" t="s">
        <v>671</v>
      </c>
      <c r="C67" s="1450" t="s">
        <v>227</v>
      </c>
      <c r="D67" s="1466"/>
      <c r="E67" s="1467"/>
      <c r="F67" s="1454"/>
      <c r="G67" s="1454"/>
      <c r="H67" s="1454"/>
      <c r="I67" s="1451"/>
    </row>
    <row r="68" spans="1:9" x14ac:dyDescent="0.2">
      <c r="A68" s="1448" t="s">
        <v>672</v>
      </c>
      <c r="B68" s="1449" t="s">
        <v>673</v>
      </c>
      <c r="C68" s="1450" t="s">
        <v>564</v>
      </c>
      <c r="D68" s="1467"/>
      <c r="E68" s="1467"/>
      <c r="F68" s="1454"/>
      <c r="G68" s="1454"/>
      <c r="H68" s="1454"/>
      <c r="I68" s="1451"/>
    </row>
    <row r="69" spans="1:9" x14ac:dyDescent="0.2">
      <c r="A69" s="1472" t="s">
        <v>674</v>
      </c>
      <c r="B69" s="1473" t="s">
        <v>675</v>
      </c>
      <c r="C69" s="1450" t="s">
        <v>227</v>
      </c>
      <c r="D69" s="1466"/>
      <c r="E69" s="1467"/>
      <c r="F69" s="1454"/>
      <c r="G69" s="1454"/>
      <c r="H69" s="1454"/>
      <c r="I69" s="1451"/>
    </row>
    <row r="70" spans="1:9" s="1447" customFormat="1" ht="25.5" x14ac:dyDescent="0.2">
      <c r="A70" s="1442" t="s">
        <v>676</v>
      </c>
      <c r="B70" s="1443" t="s">
        <v>1253</v>
      </c>
      <c r="C70" s="1444"/>
      <c r="D70" s="1466"/>
      <c r="E70" s="1467"/>
      <c r="F70" s="1454"/>
      <c r="G70" s="1454"/>
      <c r="H70" s="1454"/>
      <c r="I70" s="1445"/>
    </row>
    <row r="71" spans="1:9" s="1447" customFormat="1" ht="12.75" x14ac:dyDescent="0.2">
      <c r="A71" s="1442"/>
      <c r="B71" s="1474" t="s">
        <v>1306</v>
      </c>
      <c r="C71" s="1444"/>
      <c r="D71" s="1466"/>
      <c r="E71" s="1467"/>
      <c r="F71" s="1454"/>
      <c r="G71" s="1454"/>
      <c r="H71" s="1454"/>
      <c r="I71" s="1445"/>
    </row>
    <row r="72" spans="1:9" s="1447" customFormat="1" ht="12.75" x14ac:dyDescent="0.2">
      <c r="A72" s="1442"/>
      <c r="B72" s="1474" t="s">
        <v>1307</v>
      </c>
      <c r="C72" s="1444"/>
      <c r="D72" s="1466"/>
      <c r="E72" s="1467"/>
      <c r="F72" s="1454"/>
      <c r="G72" s="1454"/>
      <c r="H72" s="1454"/>
      <c r="I72" s="1445"/>
    </row>
    <row r="73" spans="1:9" ht="22.5" x14ac:dyDescent="0.2">
      <c r="A73" s="1472"/>
      <c r="B73" s="1475" t="s">
        <v>677</v>
      </c>
      <c r="C73" s="1450" t="s">
        <v>201</v>
      </c>
      <c r="D73" s="1466"/>
      <c r="E73" s="1467"/>
      <c r="F73" s="1470"/>
      <c r="G73" s="1470"/>
      <c r="H73" s="1470"/>
      <c r="I73" s="1451"/>
    </row>
    <row r="74" spans="1:9" ht="22.5" x14ac:dyDescent="0.2">
      <c r="A74" s="1472"/>
      <c r="B74" s="1475" t="s">
        <v>678</v>
      </c>
      <c r="C74" s="1450" t="s">
        <v>201</v>
      </c>
      <c r="D74" s="1466"/>
      <c r="E74" s="1467"/>
      <c r="F74" s="1470"/>
      <c r="G74" s="1470"/>
      <c r="H74" s="1470"/>
      <c r="I74" s="1451"/>
    </row>
    <row r="75" spans="1:9" x14ac:dyDescent="0.2">
      <c r="A75" s="1472"/>
      <c r="B75" s="1475" t="s">
        <v>679</v>
      </c>
      <c r="C75" s="1450"/>
      <c r="D75" s="1466"/>
      <c r="E75" s="1467"/>
      <c r="F75" s="1470"/>
      <c r="G75" s="1470"/>
      <c r="H75" s="1470"/>
      <c r="I75" s="1451"/>
    </row>
    <row r="76" spans="1:9" x14ac:dyDescent="0.2">
      <c r="A76" s="1472"/>
      <c r="B76" s="1475" t="s">
        <v>680</v>
      </c>
      <c r="C76" s="1450"/>
      <c r="D76" s="1466"/>
      <c r="E76" s="1467"/>
      <c r="F76" s="1470"/>
      <c r="G76" s="1470"/>
      <c r="H76" s="1470"/>
      <c r="I76" s="1451"/>
    </row>
    <row r="77" spans="1:9" ht="22.5" x14ac:dyDescent="0.2">
      <c r="A77" s="1472"/>
      <c r="B77" s="1475" t="s">
        <v>681</v>
      </c>
      <c r="C77" s="1450" t="s">
        <v>201</v>
      </c>
      <c r="D77" s="1466"/>
      <c r="E77" s="1467"/>
      <c r="F77" s="1470"/>
      <c r="G77" s="1470"/>
      <c r="H77" s="1470"/>
      <c r="I77" s="1451"/>
    </row>
    <row r="78" spans="1:9" s="1447" customFormat="1" ht="19.5" customHeight="1" x14ac:dyDescent="0.2">
      <c r="A78" s="1442"/>
      <c r="B78" s="1443" t="s">
        <v>682</v>
      </c>
      <c r="C78" s="1444"/>
      <c r="D78" s="1466"/>
      <c r="E78" s="1467"/>
      <c r="F78" s="1470">
        <v>100</v>
      </c>
      <c r="G78" s="1470">
        <v>100</v>
      </c>
      <c r="H78" s="1470">
        <v>100</v>
      </c>
      <c r="I78" s="1445"/>
    </row>
    <row r="79" spans="1:9" s="1483" customFormat="1" x14ac:dyDescent="0.2">
      <c r="A79" s="1476"/>
      <c r="B79" s="1477" t="s">
        <v>202</v>
      </c>
      <c r="C79" s="1478"/>
      <c r="D79" s="1479"/>
      <c r="E79" s="1480"/>
      <c r="F79" s="1481">
        <f>SUM(F11:F78)</f>
        <v>381.8</v>
      </c>
      <c r="G79" s="1481">
        <f>SUM(G11:G78)</f>
        <v>381.8</v>
      </c>
      <c r="H79" s="1481">
        <f>SUM(H11:H78)</f>
        <v>381.8</v>
      </c>
      <c r="I79" s="1482"/>
    </row>
    <row r="80" spans="1:9" x14ac:dyDescent="0.2">
      <c r="A80" s="1484" t="s">
        <v>188</v>
      </c>
    </row>
    <row r="82" spans="1:8" ht="13.5" customHeight="1" x14ac:dyDescent="0.2"/>
    <row r="83" spans="1:8" s="1491" customFormat="1" ht="15.75" x14ac:dyDescent="0.25">
      <c r="A83" s="1485"/>
      <c r="B83" s="1486"/>
      <c r="C83" s="1487"/>
      <c r="D83" s="1488"/>
      <c r="E83" s="1489"/>
      <c r="F83" s="1490"/>
      <c r="G83" s="1490"/>
      <c r="H83" s="1490"/>
    </row>
    <row r="84" spans="1:8" s="1491" customFormat="1" ht="15.75" x14ac:dyDescent="0.25">
      <c r="A84" s="1485"/>
      <c r="B84" s="1486"/>
      <c r="C84" s="1487"/>
      <c r="D84" s="1492"/>
      <c r="E84" s="1493"/>
      <c r="F84" s="1490"/>
      <c r="G84" s="1490"/>
      <c r="H84" s="1490"/>
    </row>
    <row r="85" spans="1:8" s="1491" customFormat="1" ht="15.75" x14ac:dyDescent="0.25">
      <c r="A85" s="1485"/>
      <c r="B85" s="1486"/>
      <c r="C85" s="1487"/>
      <c r="D85" s="1494"/>
      <c r="E85" s="1490"/>
      <c r="F85" s="1490"/>
      <c r="G85" s="1490"/>
      <c r="H85" s="1490"/>
    </row>
    <row r="86" spans="1:8" s="1491" customFormat="1" ht="15.75" x14ac:dyDescent="0.2">
      <c r="A86" s="1485"/>
      <c r="B86" s="1495"/>
      <c r="C86" s="1496"/>
      <c r="E86" s="1490"/>
      <c r="F86" s="1490"/>
      <c r="G86" s="1490"/>
      <c r="H86" s="1490"/>
    </row>
  </sheetData>
  <mergeCells count="16">
    <mergeCell ref="I6:I9"/>
    <mergeCell ref="D7:D9"/>
    <mergeCell ref="E7:E9"/>
    <mergeCell ref="F7:F9"/>
    <mergeCell ref="F17:F18"/>
    <mergeCell ref="G17:G18"/>
    <mergeCell ref="H17:H18"/>
    <mergeCell ref="F1:H1"/>
    <mergeCell ref="A2:H2"/>
    <mergeCell ref="A3:H3"/>
    <mergeCell ref="A5:H5"/>
    <mergeCell ref="A6:A9"/>
    <mergeCell ref="B6:B9"/>
    <mergeCell ref="C6:C9"/>
    <mergeCell ref="G6:G9"/>
    <mergeCell ref="H6:H9"/>
  </mergeCells>
  <printOptions horizontalCentered="1"/>
  <pageMargins left="0.70866141732283472" right="0.70866141732283472" top="0.74803149606299213" bottom="0.74803149606299213" header="0.31496062992125984" footer="0.31496062992125984"/>
  <pageSetup paperSize="9" scale="8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N19"/>
  <sheetViews>
    <sheetView view="pageBreakPreview" zoomScaleNormal="90" zoomScaleSheetLayoutView="100" workbookViewId="0">
      <pane xSplit="2" ySplit="7" topLeftCell="C8" activePane="bottomRight" state="frozen"/>
      <selection activeCell="J29" sqref="J29"/>
      <selection pane="topRight" activeCell="J29" sqref="J29"/>
      <selection pane="bottomLeft" activeCell="J29" sqref="J29"/>
      <selection pane="bottomRight" activeCell="J29" sqref="J29"/>
    </sheetView>
  </sheetViews>
  <sheetFormatPr defaultRowHeight="12.75" x14ac:dyDescent="0.2"/>
  <cols>
    <col min="1" max="1" width="36.5" style="303" customWidth="1"/>
    <col min="2" max="5" width="9.33203125" style="303"/>
    <col min="6" max="6" width="13.1640625" style="303" customWidth="1"/>
    <col min="7" max="9" width="9.33203125" style="303"/>
    <col min="10" max="10" width="13.5" style="303" customWidth="1"/>
    <col min="11" max="13" width="9.33203125" style="303"/>
    <col min="14" max="14" width="13.83203125" style="303" customWidth="1"/>
    <col min="15" max="256" width="9.33203125" style="303"/>
    <col min="257" max="257" width="36.5" style="303" customWidth="1"/>
    <col min="258" max="261" width="9.33203125" style="303"/>
    <col min="262" max="262" width="13.1640625" style="303" customWidth="1"/>
    <col min="263" max="265" width="9.33203125" style="303"/>
    <col min="266" max="266" width="13.5" style="303" customWidth="1"/>
    <col min="267" max="269" width="9.33203125" style="303"/>
    <col min="270" max="270" width="13.83203125" style="303" customWidth="1"/>
    <col min="271" max="512" width="9.33203125" style="303"/>
    <col min="513" max="513" width="36.5" style="303" customWidth="1"/>
    <col min="514" max="517" width="9.33203125" style="303"/>
    <col min="518" max="518" width="13.1640625" style="303" customWidth="1"/>
    <col min="519" max="521" width="9.33203125" style="303"/>
    <col min="522" max="522" width="13.5" style="303" customWidth="1"/>
    <col min="523" max="525" width="9.33203125" style="303"/>
    <col min="526" max="526" width="13.83203125" style="303" customWidth="1"/>
    <col min="527" max="768" width="9.33203125" style="303"/>
    <col min="769" max="769" width="36.5" style="303" customWidth="1"/>
    <col min="770" max="773" width="9.33203125" style="303"/>
    <col min="774" max="774" width="13.1640625" style="303" customWidth="1"/>
    <col min="775" max="777" width="9.33203125" style="303"/>
    <col min="778" max="778" width="13.5" style="303" customWidth="1"/>
    <col min="779" max="781" width="9.33203125" style="303"/>
    <col min="782" max="782" width="13.83203125" style="303" customWidth="1"/>
    <col min="783" max="1024" width="9.33203125" style="303"/>
    <col min="1025" max="1025" width="36.5" style="303" customWidth="1"/>
    <col min="1026" max="1029" width="9.33203125" style="303"/>
    <col min="1030" max="1030" width="13.1640625" style="303" customWidth="1"/>
    <col min="1031" max="1033" width="9.33203125" style="303"/>
    <col min="1034" max="1034" width="13.5" style="303" customWidth="1"/>
    <col min="1035" max="1037" width="9.33203125" style="303"/>
    <col min="1038" max="1038" width="13.83203125" style="303" customWidth="1"/>
    <col min="1039" max="1280" width="9.33203125" style="303"/>
    <col min="1281" max="1281" width="36.5" style="303" customWidth="1"/>
    <col min="1282" max="1285" width="9.33203125" style="303"/>
    <col min="1286" max="1286" width="13.1640625" style="303" customWidth="1"/>
    <col min="1287" max="1289" width="9.33203125" style="303"/>
    <col min="1290" max="1290" width="13.5" style="303" customWidth="1"/>
    <col min="1291" max="1293" width="9.33203125" style="303"/>
    <col min="1294" max="1294" width="13.83203125" style="303" customWidth="1"/>
    <col min="1295" max="1536" width="9.33203125" style="303"/>
    <col min="1537" max="1537" width="36.5" style="303" customWidth="1"/>
    <col min="1538" max="1541" width="9.33203125" style="303"/>
    <col min="1542" max="1542" width="13.1640625" style="303" customWidth="1"/>
    <col min="1543" max="1545" width="9.33203125" style="303"/>
    <col min="1546" max="1546" width="13.5" style="303" customWidth="1"/>
    <col min="1547" max="1549" width="9.33203125" style="303"/>
    <col min="1550" max="1550" width="13.83203125" style="303" customWidth="1"/>
    <col min="1551" max="1792" width="9.33203125" style="303"/>
    <col min="1793" max="1793" width="36.5" style="303" customWidth="1"/>
    <col min="1794" max="1797" width="9.33203125" style="303"/>
    <col min="1798" max="1798" width="13.1640625" style="303" customWidth="1"/>
    <col min="1799" max="1801" width="9.33203125" style="303"/>
    <col min="1802" max="1802" width="13.5" style="303" customWidth="1"/>
    <col min="1803" max="1805" width="9.33203125" style="303"/>
    <col min="1806" max="1806" width="13.83203125" style="303" customWidth="1"/>
    <col min="1807" max="2048" width="9.33203125" style="303"/>
    <col min="2049" max="2049" width="36.5" style="303" customWidth="1"/>
    <col min="2050" max="2053" width="9.33203125" style="303"/>
    <col min="2054" max="2054" width="13.1640625" style="303" customWidth="1"/>
    <col min="2055" max="2057" width="9.33203125" style="303"/>
    <col min="2058" max="2058" width="13.5" style="303" customWidth="1"/>
    <col min="2059" max="2061" width="9.33203125" style="303"/>
    <col min="2062" max="2062" width="13.83203125" style="303" customWidth="1"/>
    <col min="2063" max="2304" width="9.33203125" style="303"/>
    <col min="2305" max="2305" width="36.5" style="303" customWidth="1"/>
    <col min="2306" max="2309" width="9.33203125" style="303"/>
    <col min="2310" max="2310" width="13.1640625" style="303" customWidth="1"/>
    <col min="2311" max="2313" width="9.33203125" style="303"/>
    <col min="2314" max="2314" width="13.5" style="303" customWidth="1"/>
    <col min="2315" max="2317" width="9.33203125" style="303"/>
    <col min="2318" max="2318" width="13.83203125" style="303" customWidth="1"/>
    <col min="2319" max="2560" width="9.33203125" style="303"/>
    <col min="2561" max="2561" width="36.5" style="303" customWidth="1"/>
    <col min="2562" max="2565" width="9.33203125" style="303"/>
    <col min="2566" max="2566" width="13.1640625" style="303" customWidth="1"/>
    <col min="2567" max="2569" width="9.33203125" style="303"/>
    <col min="2570" max="2570" width="13.5" style="303" customWidth="1"/>
    <col min="2571" max="2573" width="9.33203125" style="303"/>
    <col min="2574" max="2574" width="13.83203125" style="303" customWidth="1"/>
    <col min="2575" max="2816" width="9.33203125" style="303"/>
    <col min="2817" max="2817" width="36.5" style="303" customWidth="1"/>
    <col min="2818" max="2821" width="9.33203125" style="303"/>
    <col min="2822" max="2822" width="13.1640625" style="303" customWidth="1"/>
    <col min="2823" max="2825" width="9.33203125" style="303"/>
    <col min="2826" max="2826" width="13.5" style="303" customWidth="1"/>
    <col min="2827" max="2829" width="9.33203125" style="303"/>
    <col min="2830" max="2830" width="13.83203125" style="303" customWidth="1"/>
    <col min="2831" max="3072" width="9.33203125" style="303"/>
    <col min="3073" max="3073" width="36.5" style="303" customWidth="1"/>
    <col min="3074" max="3077" width="9.33203125" style="303"/>
    <col min="3078" max="3078" width="13.1640625" style="303" customWidth="1"/>
    <col min="3079" max="3081" width="9.33203125" style="303"/>
    <col min="3082" max="3082" width="13.5" style="303" customWidth="1"/>
    <col min="3083" max="3085" width="9.33203125" style="303"/>
    <col min="3086" max="3086" width="13.83203125" style="303" customWidth="1"/>
    <col min="3087" max="3328" width="9.33203125" style="303"/>
    <col min="3329" max="3329" width="36.5" style="303" customWidth="1"/>
    <col min="3330" max="3333" width="9.33203125" style="303"/>
    <col min="3334" max="3334" width="13.1640625" style="303" customWidth="1"/>
    <col min="3335" max="3337" width="9.33203125" style="303"/>
    <col min="3338" max="3338" width="13.5" style="303" customWidth="1"/>
    <col min="3339" max="3341" width="9.33203125" style="303"/>
    <col min="3342" max="3342" width="13.83203125" style="303" customWidth="1"/>
    <col min="3343" max="3584" width="9.33203125" style="303"/>
    <col min="3585" max="3585" width="36.5" style="303" customWidth="1"/>
    <col min="3586" max="3589" width="9.33203125" style="303"/>
    <col min="3590" max="3590" width="13.1640625" style="303" customWidth="1"/>
    <col min="3591" max="3593" width="9.33203125" style="303"/>
    <col min="3594" max="3594" width="13.5" style="303" customWidth="1"/>
    <col min="3595" max="3597" width="9.33203125" style="303"/>
    <col min="3598" max="3598" width="13.83203125" style="303" customWidth="1"/>
    <col min="3599" max="3840" width="9.33203125" style="303"/>
    <col min="3841" max="3841" width="36.5" style="303" customWidth="1"/>
    <col min="3842" max="3845" width="9.33203125" style="303"/>
    <col min="3846" max="3846" width="13.1640625" style="303" customWidth="1"/>
    <col min="3847" max="3849" width="9.33203125" style="303"/>
    <col min="3850" max="3850" width="13.5" style="303" customWidth="1"/>
    <col min="3851" max="3853" width="9.33203125" style="303"/>
    <col min="3854" max="3854" width="13.83203125" style="303" customWidth="1"/>
    <col min="3855" max="4096" width="9.33203125" style="303"/>
    <col min="4097" max="4097" width="36.5" style="303" customWidth="1"/>
    <col min="4098" max="4101" width="9.33203125" style="303"/>
    <col min="4102" max="4102" width="13.1640625" style="303" customWidth="1"/>
    <col min="4103" max="4105" width="9.33203125" style="303"/>
    <col min="4106" max="4106" width="13.5" style="303" customWidth="1"/>
    <col min="4107" max="4109" width="9.33203125" style="303"/>
    <col min="4110" max="4110" width="13.83203125" style="303" customWidth="1"/>
    <col min="4111" max="4352" width="9.33203125" style="303"/>
    <col min="4353" max="4353" width="36.5" style="303" customWidth="1"/>
    <col min="4354" max="4357" width="9.33203125" style="303"/>
    <col min="4358" max="4358" width="13.1640625" style="303" customWidth="1"/>
    <col min="4359" max="4361" width="9.33203125" style="303"/>
    <col min="4362" max="4362" width="13.5" style="303" customWidth="1"/>
    <col min="4363" max="4365" width="9.33203125" style="303"/>
    <col min="4366" max="4366" width="13.83203125" style="303" customWidth="1"/>
    <col min="4367" max="4608" width="9.33203125" style="303"/>
    <col min="4609" max="4609" width="36.5" style="303" customWidth="1"/>
    <col min="4610" max="4613" width="9.33203125" style="303"/>
    <col min="4614" max="4614" width="13.1640625" style="303" customWidth="1"/>
    <col min="4615" max="4617" width="9.33203125" style="303"/>
    <col min="4618" max="4618" width="13.5" style="303" customWidth="1"/>
    <col min="4619" max="4621" width="9.33203125" style="303"/>
    <col min="4622" max="4622" width="13.83203125" style="303" customWidth="1"/>
    <col min="4623" max="4864" width="9.33203125" style="303"/>
    <col min="4865" max="4865" width="36.5" style="303" customWidth="1"/>
    <col min="4866" max="4869" width="9.33203125" style="303"/>
    <col min="4870" max="4870" width="13.1640625" style="303" customWidth="1"/>
    <col min="4871" max="4873" width="9.33203125" style="303"/>
    <col min="4874" max="4874" width="13.5" style="303" customWidth="1"/>
    <col min="4875" max="4877" width="9.33203125" style="303"/>
    <col min="4878" max="4878" width="13.83203125" style="303" customWidth="1"/>
    <col min="4879" max="5120" width="9.33203125" style="303"/>
    <col min="5121" max="5121" width="36.5" style="303" customWidth="1"/>
    <col min="5122" max="5125" width="9.33203125" style="303"/>
    <col min="5126" max="5126" width="13.1640625" style="303" customWidth="1"/>
    <col min="5127" max="5129" width="9.33203125" style="303"/>
    <col min="5130" max="5130" width="13.5" style="303" customWidth="1"/>
    <col min="5131" max="5133" width="9.33203125" style="303"/>
    <col min="5134" max="5134" width="13.83203125" style="303" customWidth="1"/>
    <col min="5135" max="5376" width="9.33203125" style="303"/>
    <col min="5377" max="5377" width="36.5" style="303" customWidth="1"/>
    <col min="5378" max="5381" width="9.33203125" style="303"/>
    <col min="5382" max="5382" width="13.1640625" style="303" customWidth="1"/>
    <col min="5383" max="5385" width="9.33203125" style="303"/>
    <col min="5386" max="5386" width="13.5" style="303" customWidth="1"/>
    <col min="5387" max="5389" width="9.33203125" style="303"/>
    <col min="5390" max="5390" width="13.83203125" style="303" customWidth="1"/>
    <col min="5391" max="5632" width="9.33203125" style="303"/>
    <col min="5633" max="5633" width="36.5" style="303" customWidth="1"/>
    <col min="5634" max="5637" width="9.33203125" style="303"/>
    <col min="5638" max="5638" width="13.1640625" style="303" customWidth="1"/>
    <col min="5639" max="5641" width="9.33203125" style="303"/>
    <col min="5642" max="5642" width="13.5" style="303" customWidth="1"/>
    <col min="5643" max="5645" width="9.33203125" style="303"/>
    <col min="5646" max="5646" width="13.83203125" style="303" customWidth="1"/>
    <col min="5647" max="5888" width="9.33203125" style="303"/>
    <col min="5889" max="5889" width="36.5" style="303" customWidth="1"/>
    <col min="5890" max="5893" width="9.33203125" style="303"/>
    <col min="5894" max="5894" width="13.1640625" style="303" customWidth="1"/>
    <col min="5895" max="5897" width="9.33203125" style="303"/>
    <col min="5898" max="5898" width="13.5" style="303" customWidth="1"/>
    <col min="5899" max="5901" width="9.33203125" style="303"/>
    <col min="5902" max="5902" width="13.83203125" style="303" customWidth="1"/>
    <col min="5903" max="6144" width="9.33203125" style="303"/>
    <col min="6145" max="6145" width="36.5" style="303" customWidth="1"/>
    <col min="6146" max="6149" width="9.33203125" style="303"/>
    <col min="6150" max="6150" width="13.1640625" style="303" customWidth="1"/>
    <col min="6151" max="6153" width="9.33203125" style="303"/>
    <col min="6154" max="6154" width="13.5" style="303" customWidth="1"/>
    <col min="6155" max="6157" width="9.33203125" style="303"/>
    <col min="6158" max="6158" width="13.83203125" style="303" customWidth="1"/>
    <col min="6159" max="6400" width="9.33203125" style="303"/>
    <col min="6401" max="6401" width="36.5" style="303" customWidth="1"/>
    <col min="6402" max="6405" width="9.33203125" style="303"/>
    <col min="6406" max="6406" width="13.1640625" style="303" customWidth="1"/>
    <col min="6407" max="6409" width="9.33203125" style="303"/>
    <col min="6410" max="6410" width="13.5" style="303" customWidth="1"/>
    <col min="6411" max="6413" width="9.33203125" style="303"/>
    <col min="6414" max="6414" width="13.83203125" style="303" customWidth="1"/>
    <col min="6415" max="6656" width="9.33203125" style="303"/>
    <col min="6657" max="6657" width="36.5" style="303" customWidth="1"/>
    <col min="6658" max="6661" width="9.33203125" style="303"/>
    <col min="6662" max="6662" width="13.1640625" style="303" customWidth="1"/>
    <col min="6663" max="6665" width="9.33203125" style="303"/>
    <col min="6666" max="6666" width="13.5" style="303" customWidth="1"/>
    <col min="6667" max="6669" width="9.33203125" style="303"/>
    <col min="6670" max="6670" width="13.83203125" style="303" customWidth="1"/>
    <col min="6671" max="6912" width="9.33203125" style="303"/>
    <col min="6913" max="6913" width="36.5" style="303" customWidth="1"/>
    <col min="6914" max="6917" width="9.33203125" style="303"/>
    <col min="6918" max="6918" width="13.1640625" style="303" customWidth="1"/>
    <col min="6919" max="6921" width="9.33203125" style="303"/>
    <col min="6922" max="6922" width="13.5" style="303" customWidth="1"/>
    <col min="6923" max="6925" width="9.33203125" style="303"/>
    <col min="6926" max="6926" width="13.83203125" style="303" customWidth="1"/>
    <col min="6927" max="7168" width="9.33203125" style="303"/>
    <col min="7169" max="7169" width="36.5" style="303" customWidth="1"/>
    <col min="7170" max="7173" width="9.33203125" style="303"/>
    <col min="7174" max="7174" width="13.1640625" style="303" customWidth="1"/>
    <col min="7175" max="7177" width="9.33203125" style="303"/>
    <col min="7178" max="7178" width="13.5" style="303" customWidth="1"/>
    <col min="7179" max="7181" width="9.33203125" style="303"/>
    <col min="7182" max="7182" width="13.83203125" style="303" customWidth="1"/>
    <col min="7183" max="7424" width="9.33203125" style="303"/>
    <col min="7425" max="7425" width="36.5" style="303" customWidth="1"/>
    <col min="7426" max="7429" width="9.33203125" style="303"/>
    <col min="7430" max="7430" width="13.1640625" style="303" customWidth="1"/>
    <col min="7431" max="7433" width="9.33203125" style="303"/>
    <col min="7434" max="7434" width="13.5" style="303" customWidth="1"/>
    <col min="7435" max="7437" width="9.33203125" style="303"/>
    <col min="7438" max="7438" width="13.83203125" style="303" customWidth="1"/>
    <col min="7439" max="7680" width="9.33203125" style="303"/>
    <col min="7681" max="7681" width="36.5" style="303" customWidth="1"/>
    <col min="7682" max="7685" width="9.33203125" style="303"/>
    <col min="7686" max="7686" width="13.1640625" style="303" customWidth="1"/>
    <col min="7687" max="7689" width="9.33203125" style="303"/>
    <col min="7690" max="7690" width="13.5" style="303" customWidth="1"/>
    <col min="7691" max="7693" width="9.33203125" style="303"/>
    <col min="7694" max="7694" width="13.83203125" style="303" customWidth="1"/>
    <col min="7695" max="7936" width="9.33203125" style="303"/>
    <col min="7937" max="7937" width="36.5" style="303" customWidth="1"/>
    <col min="7938" max="7941" width="9.33203125" style="303"/>
    <col min="7942" max="7942" width="13.1640625" style="303" customWidth="1"/>
    <col min="7943" max="7945" width="9.33203125" style="303"/>
    <col min="7946" max="7946" width="13.5" style="303" customWidth="1"/>
    <col min="7947" max="7949" width="9.33203125" style="303"/>
    <col min="7950" max="7950" width="13.83203125" style="303" customWidth="1"/>
    <col min="7951" max="8192" width="9.33203125" style="303"/>
    <col min="8193" max="8193" width="36.5" style="303" customWidth="1"/>
    <col min="8194" max="8197" width="9.33203125" style="303"/>
    <col min="8198" max="8198" width="13.1640625" style="303" customWidth="1"/>
    <col min="8199" max="8201" width="9.33203125" style="303"/>
    <col min="8202" max="8202" width="13.5" style="303" customWidth="1"/>
    <col min="8203" max="8205" width="9.33203125" style="303"/>
    <col min="8206" max="8206" width="13.83203125" style="303" customWidth="1"/>
    <col min="8207" max="8448" width="9.33203125" style="303"/>
    <col min="8449" max="8449" width="36.5" style="303" customWidth="1"/>
    <col min="8450" max="8453" width="9.33203125" style="303"/>
    <col min="8454" max="8454" width="13.1640625" style="303" customWidth="1"/>
    <col min="8455" max="8457" width="9.33203125" style="303"/>
    <col min="8458" max="8458" width="13.5" style="303" customWidth="1"/>
    <col min="8459" max="8461" width="9.33203125" style="303"/>
    <col min="8462" max="8462" width="13.83203125" style="303" customWidth="1"/>
    <col min="8463" max="8704" width="9.33203125" style="303"/>
    <col min="8705" max="8705" width="36.5" style="303" customWidth="1"/>
    <col min="8706" max="8709" width="9.33203125" style="303"/>
    <col min="8710" max="8710" width="13.1640625" style="303" customWidth="1"/>
    <col min="8711" max="8713" width="9.33203125" style="303"/>
    <col min="8714" max="8714" width="13.5" style="303" customWidth="1"/>
    <col min="8715" max="8717" width="9.33203125" style="303"/>
    <col min="8718" max="8718" width="13.83203125" style="303" customWidth="1"/>
    <col min="8719" max="8960" width="9.33203125" style="303"/>
    <col min="8961" max="8961" width="36.5" style="303" customWidth="1"/>
    <col min="8962" max="8965" width="9.33203125" style="303"/>
    <col min="8966" max="8966" width="13.1640625" style="303" customWidth="1"/>
    <col min="8967" max="8969" width="9.33203125" style="303"/>
    <col min="8970" max="8970" width="13.5" style="303" customWidth="1"/>
    <col min="8971" max="8973" width="9.33203125" style="303"/>
    <col min="8974" max="8974" width="13.83203125" style="303" customWidth="1"/>
    <col min="8975" max="9216" width="9.33203125" style="303"/>
    <col min="9217" max="9217" width="36.5" style="303" customWidth="1"/>
    <col min="9218" max="9221" width="9.33203125" style="303"/>
    <col min="9222" max="9222" width="13.1640625" style="303" customWidth="1"/>
    <col min="9223" max="9225" width="9.33203125" style="303"/>
    <col min="9226" max="9226" width="13.5" style="303" customWidth="1"/>
    <col min="9227" max="9229" width="9.33203125" style="303"/>
    <col min="9230" max="9230" width="13.83203125" style="303" customWidth="1"/>
    <col min="9231" max="9472" width="9.33203125" style="303"/>
    <col min="9473" max="9473" width="36.5" style="303" customWidth="1"/>
    <col min="9474" max="9477" width="9.33203125" style="303"/>
    <col min="9478" max="9478" width="13.1640625" style="303" customWidth="1"/>
    <col min="9479" max="9481" width="9.33203125" style="303"/>
    <col min="9482" max="9482" width="13.5" style="303" customWidth="1"/>
    <col min="9483" max="9485" width="9.33203125" style="303"/>
    <col min="9486" max="9486" width="13.83203125" style="303" customWidth="1"/>
    <col min="9487" max="9728" width="9.33203125" style="303"/>
    <col min="9729" max="9729" width="36.5" style="303" customWidth="1"/>
    <col min="9730" max="9733" width="9.33203125" style="303"/>
    <col min="9734" max="9734" width="13.1640625" style="303" customWidth="1"/>
    <col min="9735" max="9737" width="9.33203125" style="303"/>
    <col min="9738" max="9738" width="13.5" style="303" customWidth="1"/>
    <col min="9739" max="9741" width="9.33203125" style="303"/>
    <col min="9742" max="9742" width="13.83203125" style="303" customWidth="1"/>
    <col min="9743" max="9984" width="9.33203125" style="303"/>
    <col min="9985" max="9985" width="36.5" style="303" customWidth="1"/>
    <col min="9986" max="9989" width="9.33203125" style="303"/>
    <col min="9990" max="9990" width="13.1640625" style="303" customWidth="1"/>
    <col min="9991" max="9993" width="9.33203125" style="303"/>
    <col min="9994" max="9994" width="13.5" style="303" customWidth="1"/>
    <col min="9995" max="9997" width="9.33203125" style="303"/>
    <col min="9998" max="9998" width="13.83203125" style="303" customWidth="1"/>
    <col min="9999" max="10240" width="9.33203125" style="303"/>
    <col min="10241" max="10241" width="36.5" style="303" customWidth="1"/>
    <col min="10242" max="10245" width="9.33203125" style="303"/>
    <col min="10246" max="10246" width="13.1640625" style="303" customWidth="1"/>
    <col min="10247" max="10249" width="9.33203125" style="303"/>
    <col min="10250" max="10250" width="13.5" style="303" customWidth="1"/>
    <col min="10251" max="10253" width="9.33203125" style="303"/>
    <col min="10254" max="10254" width="13.83203125" style="303" customWidth="1"/>
    <col min="10255" max="10496" width="9.33203125" style="303"/>
    <col min="10497" max="10497" width="36.5" style="303" customWidth="1"/>
    <col min="10498" max="10501" width="9.33203125" style="303"/>
    <col min="10502" max="10502" width="13.1640625" style="303" customWidth="1"/>
    <col min="10503" max="10505" width="9.33203125" style="303"/>
    <col min="10506" max="10506" width="13.5" style="303" customWidth="1"/>
    <col min="10507" max="10509" width="9.33203125" style="303"/>
    <col min="10510" max="10510" width="13.83203125" style="303" customWidth="1"/>
    <col min="10511" max="10752" width="9.33203125" style="303"/>
    <col min="10753" max="10753" width="36.5" style="303" customWidth="1"/>
    <col min="10754" max="10757" width="9.33203125" style="303"/>
    <col min="10758" max="10758" width="13.1640625" style="303" customWidth="1"/>
    <col min="10759" max="10761" width="9.33203125" style="303"/>
    <col min="10762" max="10762" width="13.5" style="303" customWidth="1"/>
    <col min="10763" max="10765" width="9.33203125" style="303"/>
    <col min="10766" max="10766" width="13.83203125" style="303" customWidth="1"/>
    <col min="10767" max="11008" width="9.33203125" style="303"/>
    <col min="11009" max="11009" width="36.5" style="303" customWidth="1"/>
    <col min="11010" max="11013" width="9.33203125" style="303"/>
    <col min="11014" max="11014" width="13.1640625" style="303" customWidth="1"/>
    <col min="11015" max="11017" width="9.33203125" style="303"/>
    <col min="11018" max="11018" width="13.5" style="303" customWidth="1"/>
    <col min="11019" max="11021" width="9.33203125" style="303"/>
    <col min="11022" max="11022" width="13.83203125" style="303" customWidth="1"/>
    <col min="11023" max="11264" width="9.33203125" style="303"/>
    <col min="11265" max="11265" width="36.5" style="303" customWidth="1"/>
    <col min="11266" max="11269" width="9.33203125" style="303"/>
    <col min="11270" max="11270" width="13.1640625" style="303" customWidth="1"/>
    <col min="11271" max="11273" width="9.33203125" style="303"/>
    <col min="11274" max="11274" width="13.5" style="303" customWidth="1"/>
    <col min="11275" max="11277" width="9.33203125" style="303"/>
    <col min="11278" max="11278" width="13.83203125" style="303" customWidth="1"/>
    <col min="11279" max="11520" width="9.33203125" style="303"/>
    <col min="11521" max="11521" width="36.5" style="303" customWidth="1"/>
    <col min="11522" max="11525" width="9.33203125" style="303"/>
    <col min="11526" max="11526" width="13.1640625" style="303" customWidth="1"/>
    <col min="11527" max="11529" width="9.33203125" style="303"/>
    <col min="11530" max="11530" width="13.5" style="303" customWidth="1"/>
    <col min="11531" max="11533" width="9.33203125" style="303"/>
    <col min="11534" max="11534" width="13.83203125" style="303" customWidth="1"/>
    <col min="11535" max="11776" width="9.33203125" style="303"/>
    <col min="11777" max="11777" width="36.5" style="303" customWidth="1"/>
    <col min="11778" max="11781" width="9.33203125" style="303"/>
    <col min="11782" max="11782" width="13.1640625" style="303" customWidth="1"/>
    <col min="11783" max="11785" width="9.33203125" style="303"/>
    <col min="11786" max="11786" width="13.5" style="303" customWidth="1"/>
    <col min="11787" max="11789" width="9.33203125" style="303"/>
    <col min="11790" max="11790" width="13.83203125" style="303" customWidth="1"/>
    <col min="11791" max="12032" width="9.33203125" style="303"/>
    <col min="12033" max="12033" width="36.5" style="303" customWidth="1"/>
    <col min="12034" max="12037" width="9.33203125" style="303"/>
    <col min="12038" max="12038" width="13.1640625" style="303" customWidth="1"/>
    <col min="12039" max="12041" width="9.33203125" style="303"/>
    <col min="12042" max="12042" width="13.5" style="303" customWidth="1"/>
    <col min="12043" max="12045" width="9.33203125" style="303"/>
    <col min="12046" max="12046" width="13.83203125" style="303" customWidth="1"/>
    <col min="12047" max="12288" width="9.33203125" style="303"/>
    <col min="12289" max="12289" width="36.5" style="303" customWidth="1"/>
    <col min="12290" max="12293" width="9.33203125" style="303"/>
    <col min="12294" max="12294" width="13.1640625" style="303" customWidth="1"/>
    <col min="12295" max="12297" width="9.33203125" style="303"/>
    <col min="12298" max="12298" width="13.5" style="303" customWidth="1"/>
    <col min="12299" max="12301" width="9.33203125" style="303"/>
    <col min="12302" max="12302" width="13.83203125" style="303" customWidth="1"/>
    <col min="12303" max="12544" width="9.33203125" style="303"/>
    <col min="12545" max="12545" width="36.5" style="303" customWidth="1"/>
    <col min="12546" max="12549" width="9.33203125" style="303"/>
    <col min="12550" max="12550" width="13.1640625" style="303" customWidth="1"/>
    <col min="12551" max="12553" width="9.33203125" style="303"/>
    <col min="12554" max="12554" width="13.5" style="303" customWidth="1"/>
    <col min="12555" max="12557" width="9.33203125" style="303"/>
    <col min="12558" max="12558" width="13.83203125" style="303" customWidth="1"/>
    <col min="12559" max="12800" width="9.33203125" style="303"/>
    <col min="12801" max="12801" width="36.5" style="303" customWidth="1"/>
    <col min="12802" max="12805" width="9.33203125" style="303"/>
    <col min="12806" max="12806" width="13.1640625" style="303" customWidth="1"/>
    <col min="12807" max="12809" width="9.33203125" style="303"/>
    <col min="12810" max="12810" width="13.5" style="303" customWidth="1"/>
    <col min="12811" max="12813" width="9.33203125" style="303"/>
    <col min="12814" max="12814" width="13.83203125" style="303" customWidth="1"/>
    <col min="12815" max="13056" width="9.33203125" style="303"/>
    <col min="13057" max="13057" width="36.5" style="303" customWidth="1"/>
    <col min="13058" max="13061" width="9.33203125" style="303"/>
    <col min="13062" max="13062" width="13.1640625" style="303" customWidth="1"/>
    <col min="13063" max="13065" width="9.33203125" style="303"/>
    <col min="13066" max="13066" width="13.5" style="303" customWidth="1"/>
    <col min="13067" max="13069" width="9.33203125" style="303"/>
    <col min="13070" max="13070" width="13.83203125" style="303" customWidth="1"/>
    <col min="13071" max="13312" width="9.33203125" style="303"/>
    <col min="13313" max="13313" width="36.5" style="303" customWidth="1"/>
    <col min="13314" max="13317" width="9.33203125" style="303"/>
    <col min="13318" max="13318" width="13.1640625" style="303" customWidth="1"/>
    <col min="13319" max="13321" width="9.33203125" style="303"/>
    <col min="13322" max="13322" width="13.5" style="303" customWidth="1"/>
    <col min="13323" max="13325" width="9.33203125" style="303"/>
    <col min="13326" max="13326" width="13.83203125" style="303" customWidth="1"/>
    <col min="13327" max="13568" width="9.33203125" style="303"/>
    <col min="13569" max="13569" width="36.5" style="303" customWidth="1"/>
    <col min="13570" max="13573" width="9.33203125" style="303"/>
    <col min="13574" max="13574" width="13.1640625" style="303" customWidth="1"/>
    <col min="13575" max="13577" width="9.33203125" style="303"/>
    <col min="13578" max="13578" width="13.5" style="303" customWidth="1"/>
    <col min="13579" max="13581" width="9.33203125" style="303"/>
    <col min="13582" max="13582" width="13.83203125" style="303" customWidth="1"/>
    <col min="13583" max="13824" width="9.33203125" style="303"/>
    <col min="13825" max="13825" width="36.5" style="303" customWidth="1"/>
    <col min="13826" max="13829" width="9.33203125" style="303"/>
    <col min="13830" max="13830" width="13.1640625" style="303" customWidth="1"/>
    <col min="13831" max="13833" width="9.33203125" style="303"/>
    <col min="13834" max="13834" width="13.5" style="303" customWidth="1"/>
    <col min="13835" max="13837" width="9.33203125" style="303"/>
    <col min="13838" max="13838" width="13.83203125" style="303" customWidth="1"/>
    <col min="13839" max="14080" width="9.33203125" style="303"/>
    <col min="14081" max="14081" width="36.5" style="303" customWidth="1"/>
    <col min="14082" max="14085" width="9.33203125" style="303"/>
    <col min="14086" max="14086" width="13.1640625" style="303" customWidth="1"/>
    <col min="14087" max="14089" width="9.33203125" style="303"/>
    <col min="14090" max="14090" width="13.5" style="303" customWidth="1"/>
    <col min="14091" max="14093" width="9.33203125" style="303"/>
    <col min="14094" max="14094" width="13.83203125" style="303" customWidth="1"/>
    <col min="14095" max="14336" width="9.33203125" style="303"/>
    <col min="14337" max="14337" width="36.5" style="303" customWidth="1"/>
    <col min="14338" max="14341" width="9.33203125" style="303"/>
    <col min="14342" max="14342" width="13.1640625" style="303" customWidth="1"/>
    <col min="14343" max="14345" width="9.33203125" style="303"/>
    <col min="14346" max="14346" width="13.5" style="303" customWidth="1"/>
    <col min="14347" max="14349" width="9.33203125" style="303"/>
    <col min="14350" max="14350" width="13.83203125" style="303" customWidth="1"/>
    <col min="14351" max="14592" width="9.33203125" style="303"/>
    <col min="14593" max="14593" width="36.5" style="303" customWidth="1"/>
    <col min="14594" max="14597" width="9.33203125" style="303"/>
    <col min="14598" max="14598" width="13.1640625" style="303" customWidth="1"/>
    <col min="14599" max="14601" width="9.33203125" style="303"/>
    <col min="14602" max="14602" width="13.5" style="303" customWidth="1"/>
    <col min="14603" max="14605" width="9.33203125" style="303"/>
    <col min="14606" max="14606" width="13.83203125" style="303" customWidth="1"/>
    <col min="14607" max="14848" width="9.33203125" style="303"/>
    <col min="14849" max="14849" width="36.5" style="303" customWidth="1"/>
    <col min="14850" max="14853" width="9.33203125" style="303"/>
    <col min="14854" max="14854" width="13.1640625" style="303" customWidth="1"/>
    <col min="14855" max="14857" width="9.33203125" style="303"/>
    <col min="14858" max="14858" width="13.5" style="303" customWidth="1"/>
    <col min="14859" max="14861" width="9.33203125" style="303"/>
    <col min="14862" max="14862" width="13.83203125" style="303" customWidth="1"/>
    <col min="14863" max="15104" width="9.33203125" style="303"/>
    <col min="15105" max="15105" width="36.5" style="303" customWidth="1"/>
    <col min="15106" max="15109" width="9.33203125" style="303"/>
    <col min="15110" max="15110" width="13.1640625" style="303" customWidth="1"/>
    <col min="15111" max="15113" width="9.33203125" style="303"/>
    <col min="15114" max="15114" width="13.5" style="303" customWidth="1"/>
    <col min="15115" max="15117" width="9.33203125" style="303"/>
    <col min="15118" max="15118" width="13.83203125" style="303" customWidth="1"/>
    <col min="15119" max="15360" width="9.33203125" style="303"/>
    <col min="15361" max="15361" width="36.5" style="303" customWidth="1"/>
    <col min="15362" max="15365" width="9.33203125" style="303"/>
    <col min="15366" max="15366" width="13.1640625" style="303" customWidth="1"/>
    <col min="15367" max="15369" width="9.33203125" style="303"/>
    <col min="15370" max="15370" width="13.5" style="303" customWidth="1"/>
    <col min="15371" max="15373" width="9.33203125" style="303"/>
    <col min="15374" max="15374" width="13.83203125" style="303" customWidth="1"/>
    <col min="15375" max="15616" width="9.33203125" style="303"/>
    <col min="15617" max="15617" width="36.5" style="303" customWidth="1"/>
    <col min="15618" max="15621" width="9.33203125" style="303"/>
    <col min="15622" max="15622" width="13.1640625" style="303" customWidth="1"/>
    <col min="15623" max="15625" width="9.33203125" style="303"/>
    <col min="15626" max="15626" width="13.5" style="303" customWidth="1"/>
    <col min="15627" max="15629" width="9.33203125" style="303"/>
    <col min="15630" max="15630" width="13.83203125" style="303" customWidth="1"/>
    <col min="15631" max="15872" width="9.33203125" style="303"/>
    <col min="15873" max="15873" width="36.5" style="303" customWidth="1"/>
    <col min="15874" max="15877" width="9.33203125" style="303"/>
    <col min="15878" max="15878" width="13.1640625" style="303" customWidth="1"/>
    <col min="15879" max="15881" width="9.33203125" style="303"/>
    <col min="15882" max="15882" width="13.5" style="303" customWidth="1"/>
    <col min="15883" max="15885" width="9.33203125" style="303"/>
    <col min="15886" max="15886" width="13.83203125" style="303" customWidth="1"/>
    <col min="15887" max="16128" width="9.33203125" style="303"/>
    <col min="16129" max="16129" width="36.5" style="303" customWidth="1"/>
    <col min="16130" max="16133" width="9.33203125" style="303"/>
    <col min="16134" max="16134" width="13.1640625" style="303" customWidth="1"/>
    <col min="16135" max="16137" width="9.33203125" style="303"/>
    <col min="16138" max="16138" width="13.5" style="303" customWidth="1"/>
    <col min="16139" max="16141" width="9.33203125" style="303"/>
    <col min="16142" max="16142" width="13.83203125" style="303" customWidth="1"/>
    <col min="16143" max="16384" width="9.33203125" style="303"/>
  </cols>
  <sheetData>
    <row r="2" spans="1:14" ht="30" customHeight="1" x14ac:dyDescent="0.2">
      <c r="A2" s="3947" t="s">
        <v>378</v>
      </c>
      <c r="B2" s="3947"/>
      <c r="C2" s="3947"/>
      <c r="D2" s="3947"/>
      <c r="E2" s="3947"/>
      <c r="F2" s="3947"/>
      <c r="G2" s="3947"/>
      <c r="H2" s="3947"/>
      <c r="I2" s="3947"/>
      <c r="J2" s="3947"/>
      <c r="K2" s="3947"/>
      <c r="L2" s="3947"/>
      <c r="M2" s="3947"/>
      <c r="N2" s="3947"/>
    </row>
    <row r="4" spans="1:14" x14ac:dyDescent="0.2">
      <c r="A4" s="3948" t="s">
        <v>1444</v>
      </c>
      <c r="B4" s="3948"/>
      <c r="C4" s="3948"/>
      <c r="D4" s="3948"/>
      <c r="E4" s="3948"/>
      <c r="F4" s="3948"/>
      <c r="G4" s="3948"/>
      <c r="H4" s="3948"/>
      <c r="I4" s="3948"/>
      <c r="J4" s="3948"/>
      <c r="K4" s="3948"/>
      <c r="L4" s="3948"/>
      <c r="M4" s="3948"/>
      <c r="N4" s="3948"/>
    </row>
    <row r="5" spans="1:14" x14ac:dyDescent="0.2">
      <c r="N5" s="988" t="s">
        <v>1311</v>
      </c>
    </row>
    <row r="6" spans="1:14" s="297" customFormat="1" x14ac:dyDescent="0.2">
      <c r="A6" s="3949"/>
      <c r="B6" s="3949"/>
      <c r="C6" s="3946" t="s">
        <v>204</v>
      </c>
      <c r="D6" s="3946"/>
      <c r="E6" s="3946"/>
      <c r="F6" s="3946"/>
      <c r="G6" s="3946" t="s">
        <v>205</v>
      </c>
      <c r="H6" s="3946"/>
      <c r="I6" s="3946"/>
      <c r="J6" s="3946"/>
      <c r="K6" s="3946" t="s">
        <v>206</v>
      </c>
      <c r="L6" s="3946"/>
      <c r="M6" s="3946"/>
      <c r="N6" s="3946"/>
    </row>
    <row r="7" spans="1:14" s="297" customFormat="1" ht="38.25" x14ac:dyDescent="0.2">
      <c r="A7" s="3949"/>
      <c r="B7" s="3949"/>
      <c r="C7" s="298" t="s">
        <v>8</v>
      </c>
      <c r="D7" s="298" t="s">
        <v>207</v>
      </c>
      <c r="E7" s="298" t="s">
        <v>208</v>
      </c>
      <c r="F7" s="298" t="s">
        <v>209</v>
      </c>
      <c r="G7" s="298" t="s">
        <v>8</v>
      </c>
      <c r="H7" s="298" t="s">
        <v>207</v>
      </c>
      <c r="I7" s="298" t="s">
        <v>208</v>
      </c>
      <c r="J7" s="298" t="s">
        <v>209</v>
      </c>
      <c r="K7" s="298" t="s">
        <v>8</v>
      </c>
      <c r="L7" s="298" t="s">
        <v>207</v>
      </c>
      <c r="M7" s="298" t="s">
        <v>208</v>
      </c>
      <c r="N7" s="298" t="s">
        <v>209</v>
      </c>
    </row>
    <row r="8" spans="1:14" x14ac:dyDescent="0.2">
      <c r="A8" s="299" t="s">
        <v>210</v>
      </c>
      <c r="B8" s="300">
        <v>931</v>
      </c>
      <c r="C8" s="989">
        <v>982.9</v>
      </c>
      <c r="D8" s="1497">
        <v>15.15</v>
      </c>
      <c r="E8" s="990">
        <v>834</v>
      </c>
      <c r="F8" s="991">
        <v>148.9</v>
      </c>
      <c r="G8" s="301">
        <v>982.9</v>
      </c>
      <c r="H8" s="302">
        <v>15.15</v>
      </c>
      <c r="I8" s="301">
        <v>834</v>
      </c>
      <c r="J8" s="301">
        <v>148.9</v>
      </c>
      <c r="K8" s="301">
        <v>982.9</v>
      </c>
      <c r="L8" s="302">
        <v>15.15</v>
      </c>
      <c r="M8" s="301">
        <v>834</v>
      </c>
      <c r="N8" s="301">
        <v>148.9</v>
      </c>
    </row>
    <row r="9" spans="1:14" x14ac:dyDescent="0.2">
      <c r="A9" s="299" t="s">
        <v>211</v>
      </c>
      <c r="B9" s="300">
        <v>932</v>
      </c>
      <c r="C9" s="989">
        <v>878</v>
      </c>
      <c r="D9" s="1497">
        <v>15.15</v>
      </c>
      <c r="E9" s="990">
        <v>745</v>
      </c>
      <c r="F9" s="991">
        <v>133</v>
      </c>
      <c r="G9" s="301">
        <v>878</v>
      </c>
      <c r="H9" s="302">
        <v>15.15</v>
      </c>
      <c r="I9" s="301">
        <v>745</v>
      </c>
      <c r="J9" s="301">
        <v>133</v>
      </c>
      <c r="K9" s="301">
        <v>878</v>
      </c>
      <c r="L9" s="302">
        <v>15.15</v>
      </c>
      <c r="M9" s="301">
        <v>745</v>
      </c>
      <c r="N9" s="301">
        <v>133</v>
      </c>
    </row>
    <row r="10" spans="1:14" ht="15.75" x14ac:dyDescent="0.2">
      <c r="A10" s="299" t="s">
        <v>212</v>
      </c>
      <c r="B10" s="300">
        <v>933</v>
      </c>
      <c r="C10" s="989">
        <v>50.6</v>
      </c>
      <c r="D10" s="1497">
        <v>15.15</v>
      </c>
      <c r="E10" s="990">
        <v>42.9</v>
      </c>
      <c r="F10" s="991">
        <v>7.7</v>
      </c>
      <c r="G10" s="301">
        <v>50.6</v>
      </c>
      <c r="H10" s="302">
        <v>15.15</v>
      </c>
      <c r="I10" s="301">
        <v>42.9</v>
      </c>
      <c r="J10" s="301">
        <v>7.7</v>
      </c>
      <c r="K10" s="301">
        <v>50.6</v>
      </c>
      <c r="L10" s="302">
        <v>15.15</v>
      </c>
      <c r="M10" s="301">
        <v>42.9</v>
      </c>
      <c r="N10" s="301">
        <v>7.7</v>
      </c>
    </row>
    <row r="11" spans="1:14" ht="25.5" x14ac:dyDescent="0.2">
      <c r="A11" s="299" t="s">
        <v>213</v>
      </c>
      <c r="B11" s="300">
        <v>931</v>
      </c>
      <c r="C11" s="989">
        <v>13.3</v>
      </c>
      <c r="D11" s="1497">
        <v>15.15</v>
      </c>
      <c r="E11" s="990">
        <v>11.3</v>
      </c>
      <c r="F11" s="991">
        <v>2</v>
      </c>
      <c r="G11" s="301">
        <v>13.3</v>
      </c>
      <c r="H11" s="302">
        <v>15.15</v>
      </c>
      <c r="I11" s="301">
        <v>11.3</v>
      </c>
      <c r="J11" s="301">
        <v>2</v>
      </c>
      <c r="K11" s="301">
        <v>13.3</v>
      </c>
      <c r="L11" s="302">
        <v>15.15</v>
      </c>
      <c r="M11" s="301">
        <v>11.3</v>
      </c>
      <c r="N11" s="301">
        <v>2</v>
      </c>
    </row>
    <row r="12" spans="1:14" ht="25.5" x14ac:dyDescent="0.2">
      <c r="A12" s="299" t="s">
        <v>214</v>
      </c>
      <c r="B12" s="300">
        <v>931</v>
      </c>
      <c r="C12" s="989">
        <v>1.8</v>
      </c>
      <c r="D12" s="1497">
        <v>15.15</v>
      </c>
      <c r="E12" s="990">
        <v>1.5</v>
      </c>
      <c r="F12" s="991">
        <v>0.3</v>
      </c>
      <c r="G12" s="301">
        <v>1.8</v>
      </c>
      <c r="H12" s="302">
        <v>15.15</v>
      </c>
      <c r="I12" s="301">
        <v>1.5</v>
      </c>
      <c r="J12" s="301">
        <v>0.3</v>
      </c>
      <c r="K12" s="301">
        <v>1.8</v>
      </c>
      <c r="L12" s="302">
        <v>15.15</v>
      </c>
      <c r="M12" s="301">
        <v>1.5</v>
      </c>
      <c r="N12" s="301">
        <v>0.3</v>
      </c>
    </row>
    <row r="13" spans="1:14" ht="15.75" x14ac:dyDescent="0.2">
      <c r="A13" s="299" t="s">
        <v>215</v>
      </c>
      <c r="B13" s="300">
        <v>933</v>
      </c>
      <c r="C13" s="989">
        <v>40.299999999999997</v>
      </c>
      <c r="D13" s="1497">
        <v>15.15</v>
      </c>
      <c r="E13" s="990">
        <v>34.200000000000003</v>
      </c>
      <c r="F13" s="991">
        <v>6.1</v>
      </c>
      <c r="G13" s="301">
        <v>40.299999999999997</v>
      </c>
      <c r="H13" s="302">
        <v>15.15</v>
      </c>
      <c r="I13" s="301">
        <v>34.200000000000003</v>
      </c>
      <c r="J13" s="301">
        <v>6.1</v>
      </c>
      <c r="K13" s="301">
        <v>40.299999999999997</v>
      </c>
      <c r="L13" s="302">
        <v>15.15</v>
      </c>
      <c r="M13" s="301">
        <v>34.200000000000003</v>
      </c>
      <c r="N13" s="301">
        <v>6.1</v>
      </c>
    </row>
    <row r="14" spans="1:14" s="297" customFormat="1" ht="13.5" thickBot="1" x14ac:dyDescent="0.25">
      <c r="A14" s="3946" t="s">
        <v>72</v>
      </c>
      <c r="B14" s="3946"/>
      <c r="C14" s="992">
        <v>1966.9</v>
      </c>
      <c r="D14" s="1498">
        <v>15.15</v>
      </c>
      <c r="E14" s="993">
        <v>1668.9</v>
      </c>
      <c r="F14" s="994">
        <v>298</v>
      </c>
      <c r="G14" s="304">
        <v>1966.9</v>
      </c>
      <c r="H14" s="305">
        <v>15.15</v>
      </c>
      <c r="I14" s="304">
        <v>1668.9</v>
      </c>
      <c r="J14" s="304">
        <v>298</v>
      </c>
      <c r="K14" s="304">
        <v>1966.9</v>
      </c>
      <c r="L14" s="305">
        <v>15.15</v>
      </c>
      <c r="M14" s="304">
        <v>1668.9</v>
      </c>
      <c r="N14" s="304">
        <v>298</v>
      </c>
    </row>
    <row r="15" spans="1:14" x14ac:dyDescent="0.2">
      <c r="A15" s="301"/>
      <c r="B15" s="306">
        <v>931</v>
      </c>
      <c r="C15" s="995">
        <v>998</v>
      </c>
      <c r="D15" s="1499">
        <v>15.15</v>
      </c>
      <c r="E15" s="996">
        <v>846.8</v>
      </c>
      <c r="F15" s="997">
        <v>151.19999999999999</v>
      </c>
      <c r="G15" s="301">
        <v>998</v>
      </c>
      <c r="H15" s="302">
        <v>15.15</v>
      </c>
      <c r="I15" s="301">
        <v>846.8</v>
      </c>
      <c r="J15" s="301">
        <v>151.19999999999999</v>
      </c>
      <c r="K15" s="301">
        <v>998</v>
      </c>
      <c r="L15" s="302">
        <v>15.15</v>
      </c>
      <c r="M15" s="301">
        <v>846.8</v>
      </c>
      <c r="N15" s="301">
        <v>151.19999999999999</v>
      </c>
    </row>
    <row r="16" spans="1:14" x14ac:dyDescent="0.2">
      <c r="A16" s="301"/>
      <c r="B16" s="306">
        <v>932</v>
      </c>
      <c r="C16" s="989">
        <v>878</v>
      </c>
      <c r="D16" s="1497">
        <v>15.15</v>
      </c>
      <c r="E16" s="990">
        <v>745</v>
      </c>
      <c r="F16" s="991">
        <v>133</v>
      </c>
      <c r="G16" s="301">
        <v>878</v>
      </c>
      <c r="H16" s="302">
        <v>15.15</v>
      </c>
      <c r="I16" s="301">
        <v>745</v>
      </c>
      <c r="J16" s="301">
        <v>133</v>
      </c>
      <c r="K16" s="301">
        <v>878</v>
      </c>
      <c r="L16" s="302">
        <v>15.15</v>
      </c>
      <c r="M16" s="301">
        <v>745</v>
      </c>
      <c r="N16" s="301">
        <v>133</v>
      </c>
    </row>
    <row r="17" spans="1:14" x14ac:dyDescent="0.2">
      <c r="A17" s="301"/>
      <c r="B17" s="306">
        <v>933</v>
      </c>
      <c r="C17" s="989">
        <v>90.9</v>
      </c>
      <c r="D17" s="1497">
        <v>15.15</v>
      </c>
      <c r="E17" s="990">
        <v>77.099999999999994</v>
      </c>
      <c r="F17" s="991">
        <v>13.8</v>
      </c>
      <c r="G17" s="301">
        <v>90.9</v>
      </c>
      <c r="H17" s="302">
        <v>15.15</v>
      </c>
      <c r="I17" s="301">
        <v>77.099999999999994</v>
      </c>
      <c r="J17" s="301">
        <v>13.8</v>
      </c>
      <c r="K17" s="301">
        <v>90.9</v>
      </c>
      <c r="L17" s="302">
        <v>15.15</v>
      </c>
      <c r="M17" s="301">
        <v>77.099999999999994</v>
      </c>
      <c r="N17" s="301">
        <v>13.8</v>
      </c>
    </row>
    <row r="18" spans="1:14" s="297" customFormat="1" x14ac:dyDescent="0.2">
      <c r="A18" s="304"/>
      <c r="B18" s="1199" t="s">
        <v>216</v>
      </c>
      <c r="C18" s="998">
        <v>1966.9</v>
      </c>
      <c r="D18" s="1500">
        <v>15.15</v>
      </c>
      <c r="E18" s="999">
        <v>1668.9</v>
      </c>
      <c r="F18" s="999">
        <v>298</v>
      </c>
      <c r="G18" s="304">
        <v>1966.9</v>
      </c>
      <c r="H18" s="305">
        <v>15.15</v>
      </c>
      <c r="I18" s="304">
        <v>1668.9</v>
      </c>
      <c r="J18" s="304">
        <v>298</v>
      </c>
      <c r="K18" s="304">
        <v>1966.9</v>
      </c>
      <c r="L18" s="305">
        <v>15.15</v>
      </c>
      <c r="M18" s="304">
        <v>1668.9</v>
      </c>
      <c r="N18" s="304">
        <v>298</v>
      </c>
    </row>
    <row r="19" spans="1:14" ht="13.5" thickBot="1" x14ac:dyDescent="0.25">
      <c r="A19" s="301"/>
      <c r="B19" s="307" t="s">
        <v>217</v>
      </c>
      <c r="C19" s="1000">
        <v>0</v>
      </c>
      <c r="D19" s="1001">
        <v>0</v>
      </c>
      <c r="E19" s="1001">
        <v>0</v>
      </c>
      <c r="F19" s="1002">
        <v>0</v>
      </c>
      <c r="G19" s="301">
        <v>0</v>
      </c>
      <c r="H19" s="301">
        <v>0</v>
      </c>
      <c r="I19" s="301">
        <v>0</v>
      </c>
      <c r="J19" s="301">
        <v>0</v>
      </c>
      <c r="K19" s="301">
        <v>0</v>
      </c>
      <c r="L19" s="301">
        <v>0</v>
      </c>
      <c r="M19" s="301">
        <v>0</v>
      </c>
      <c r="N19" s="301">
        <v>0</v>
      </c>
    </row>
  </sheetData>
  <mergeCells count="8">
    <mergeCell ref="A14:B14"/>
    <mergeCell ref="A2:N2"/>
    <mergeCell ref="A4:N4"/>
    <mergeCell ref="A6:A7"/>
    <mergeCell ref="B6:B7"/>
    <mergeCell ref="C6:F6"/>
    <mergeCell ref="G6:J6"/>
    <mergeCell ref="K6:N6"/>
  </mergeCells>
  <pageMargins left="0.70866141732283472" right="0.70866141732283472" top="0.74803149606299213" bottom="0.74803149606299213" header="0.31496062992125984" footer="0.31496062992125984"/>
  <pageSetup paperSize="9"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7" tint="0.59999389629810485"/>
  </sheetPr>
  <dimension ref="A2:I24"/>
  <sheetViews>
    <sheetView view="pageBreakPreview" zoomScaleNormal="90" zoomScaleSheetLayoutView="100" workbookViewId="0">
      <pane xSplit="2" ySplit="7" topLeftCell="C17" activePane="bottomRight" state="frozen"/>
      <selection activeCell="E71" sqref="E71"/>
      <selection pane="topRight" activeCell="E71" sqref="E71"/>
      <selection pane="bottomLeft" activeCell="E71" sqref="E71"/>
      <selection pane="bottomRight" activeCell="D19" sqref="D19"/>
    </sheetView>
  </sheetViews>
  <sheetFormatPr defaultRowHeight="14.25" customHeight="1" x14ac:dyDescent="0.2"/>
  <cols>
    <col min="1" max="1" width="53.6640625" style="621" customWidth="1"/>
    <col min="2" max="2" width="7.83203125" style="621" customWidth="1"/>
    <col min="3" max="3" width="22.1640625" style="621" customWidth="1"/>
    <col min="4" max="4" width="24.83203125" style="621" customWidth="1"/>
    <col min="5" max="5" width="22.83203125" style="621" customWidth="1"/>
    <col min="6" max="6" width="19.33203125" style="621" customWidth="1"/>
    <col min="7" max="7" width="12.6640625" style="621" bestFit="1" customWidth="1"/>
    <col min="8" max="9" width="12.6640625" style="621" customWidth="1"/>
    <col min="10" max="16384" width="9.33203125" style="621"/>
  </cols>
  <sheetData>
    <row r="2" spans="1:9" ht="14.25" customHeight="1" x14ac:dyDescent="0.2">
      <c r="A2" s="3361" t="s">
        <v>873</v>
      </c>
      <c r="B2" s="3361"/>
      <c r="C2" s="3361"/>
      <c r="D2" s="3361"/>
      <c r="E2" s="3361"/>
      <c r="F2" s="3361"/>
    </row>
    <row r="3" spans="1:9" ht="14.25" customHeight="1" x14ac:dyDescent="0.2">
      <c r="A3" s="3362" t="s">
        <v>1442</v>
      </c>
      <c r="B3" s="3362"/>
      <c r="C3" s="3362"/>
      <c r="D3" s="3362"/>
      <c r="E3" s="3362"/>
      <c r="F3" s="3362"/>
    </row>
    <row r="4" spans="1:9" ht="14.25" customHeight="1" x14ac:dyDescent="0.2">
      <c r="A4" s="1764"/>
      <c r="B4" s="1764"/>
      <c r="C4" s="1764"/>
      <c r="D4" s="1764"/>
      <c r="E4" s="1764"/>
      <c r="F4" s="3087">
        <v>43831</v>
      </c>
    </row>
    <row r="5" spans="1:9" ht="14.25" customHeight="1" x14ac:dyDescent="0.2">
      <c r="A5" s="3360" t="s">
        <v>386</v>
      </c>
      <c r="B5" s="3360" t="s">
        <v>387</v>
      </c>
      <c r="C5" s="3360" t="s">
        <v>388</v>
      </c>
      <c r="D5" s="3360"/>
      <c r="E5" s="3360"/>
      <c r="F5" s="3363" t="s">
        <v>874</v>
      </c>
    </row>
    <row r="6" spans="1:9" ht="14.25" customHeight="1" x14ac:dyDescent="0.2">
      <c r="A6" s="3360"/>
      <c r="B6" s="3360"/>
      <c r="C6" s="622" t="s">
        <v>397</v>
      </c>
      <c r="D6" s="622" t="s">
        <v>398</v>
      </c>
      <c r="E6" s="622" t="s">
        <v>399</v>
      </c>
      <c r="F6" s="3364"/>
    </row>
    <row r="7" spans="1:9" ht="26.25" customHeight="1" x14ac:dyDescent="0.2">
      <c r="A7" s="3360"/>
      <c r="B7" s="3360"/>
      <c r="C7" s="622" t="s">
        <v>389</v>
      </c>
      <c r="D7" s="622" t="s">
        <v>390</v>
      </c>
      <c r="E7" s="622" t="s">
        <v>391</v>
      </c>
      <c r="F7" s="3365"/>
    </row>
    <row r="8" spans="1:9" ht="14.25" customHeight="1" x14ac:dyDescent="0.2">
      <c r="A8" s="622">
        <v>1</v>
      </c>
      <c r="B8" s="622">
        <v>2</v>
      </c>
      <c r="C8" s="622">
        <v>3</v>
      </c>
      <c r="D8" s="622">
        <v>4</v>
      </c>
      <c r="E8" s="622">
        <v>5</v>
      </c>
      <c r="F8" s="622">
        <v>6</v>
      </c>
    </row>
    <row r="9" spans="1:9" ht="33.75" customHeight="1" x14ac:dyDescent="0.2">
      <c r="A9" s="623" t="s">
        <v>875</v>
      </c>
      <c r="B9" s="622">
        <v>100</v>
      </c>
      <c r="C9" s="622"/>
      <c r="D9" s="622"/>
      <c r="E9" s="622"/>
      <c r="F9" s="624"/>
    </row>
    <row r="10" spans="1:9" ht="39.75" customHeight="1" x14ac:dyDescent="0.2">
      <c r="A10" s="623" t="s">
        <v>876</v>
      </c>
      <c r="B10" s="622">
        <v>200</v>
      </c>
      <c r="C10" s="622"/>
      <c r="D10" s="622"/>
      <c r="E10" s="622"/>
      <c r="F10" s="624"/>
    </row>
    <row r="11" spans="1:9" s="670" customFormat="1" ht="11.25" customHeight="1" x14ac:dyDescent="0.2">
      <c r="A11" s="667" t="s">
        <v>877</v>
      </c>
      <c r="B11" s="668">
        <v>300</v>
      </c>
      <c r="C11" s="669">
        <f>C12+C14+C15+C16+C17+C18+C19+C20+C21+C13</f>
        <v>112200</v>
      </c>
      <c r="D11" s="669">
        <f t="shared" ref="D11:E11" si="0">D12+D14+D15+D16+D17+D18+D19+D20+D21+D13</f>
        <v>112200</v>
      </c>
      <c r="E11" s="669">
        <f t="shared" si="0"/>
        <v>112200</v>
      </c>
      <c r="F11" s="669">
        <f t="shared" ref="F11" si="1">F12+F14+F15+F16+F17+F18+F19+F20+F21</f>
        <v>0</v>
      </c>
    </row>
    <row r="12" spans="1:9" ht="14.25" customHeight="1" x14ac:dyDescent="0.2">
      <c r="A12" s="623" t="s">
        <v>408</v>
      </c>
      <c r="B12" s="3360">
        <v>310</v>
      </c>
      <c r="C12" s="621">
        <f>'[14]строка 1110 (121) аренда'!L20</f>
        <v>0</v>
      </c>
      <c r="D12" s="783">
        <f>'[14]строка 1110 (121) аренда'!M20</f>
        <v>0</v>
      </c>
      <c r="E12" s="783">
        <f>'[14]строка 1110 (121) аренда'!N20</f>
        <v>0</v>
      </c>
      <c r="F12" s="783">
        <f>'[14]строка 1110 (121) аренда'!O20</f>
        <v>0</v>
      </c>
    </row>
    <row r="13" spans="1:9" s="1232" customFormat="1" ht="36.75" customHeight="1" x14ac:dyDescent="0.2">
      <c r="A13" s="1231" t="s">
        <v>878</v>
      </c>
      <c r="B13" s="3360"/>
      <c r="C13" s="3086">
        <f>'строка 1110 (121) аренда+'!L20</f>
        <v>112200</v>
      </c>
      <c r="D13" s="3086">
        <f>'строка 1110 (121) аренда+'!M20</f>
        <v>112200</v>
      </c>
      <c r="E13" s="3086">
        <f>'строка 1110 (121) аренда+'!N20</f>
        <v>112200</v>
      </c>
      <c r="F13" s="3091">
        <f>'строка 1110 (121) аренда+'!O20</f>
        <v>0</v>
      </c>
      <c r="G13" s="3090">
        <f>C13+'строка 1200(130)'!C10+'прочие строка 1500 (150)'!C10</f>
        <v>52147900</v>
      </c>
      <c r="H13" s="3090">
        <f>D13+'строка 1200(130)'!D10+'прочие строка 1500 (150)'!D10</f>
        <v>51731400</v>
      </c>
      <c r="I13" s="3090">
        <f>E13+'строка 1200(130)'!E10+'прочие строка 1500 (150)'!E10</f>
        <v>51791800</v>
      </c>
    </row>
    <row r="14" spans="1:9" ht="13.5" customHeight="1" x14ac:dyDescent="0.2">
      <c r="A14" s="623" t="s">
        <v>879</v>
      </c>
      <c r="B14" s="622">
        <v>320</v>
      </c>
      <c r="C14" s="782"/>
      <c r="D14" s="625"/>
      <c r="E14" s="625"/>
      <c r="F14" s="626"/>
    </row>
    <row r="15" spans="1:9" ht="24.75" customHeight="1" x14ac:dyDescent="0.2">
      <c r="A15" s="623" t="s">
        <v>880</v>
      </c>
      <c r="B15" s="622">
        <v>330</v>
      </c>
      <c r="C15" s="625"/>
      <c r="D15" s="625"/>
      <c r="E15" s="625"/>
      <c r="F15" s="626"/>
    </row>
    <row r="16" spans="1:9" ht="24" customHeight="1" x14ac:dyDescent="0.2">
      <c r="A16" s="623" t="s">
        <v>881</v>
      </c>
      <c r="B16" s="622">
        <v>340</v>
      </c>
      <c r="C16" s="625"/>
      <c r="D16" s="625"/>
      <c r="E16" s="625"/>
      <c r="F16" s="626"/>
    </row>
    <row r="17" spans="1:6" ht="12" customHeight="1" x14ac:dyDescent="0.2">
      <c r="A17" s="623" t="s">
        <v>882</v>
      </c>
      <c r="B17" s="622">
        <v>350</v>
      </c>
      <c r="C17" s="625"/>
      <c r="D17" s="625"/>
      <c r="E17" s="625"/>
      <c r="F17" s="626"/>
    </row>
    <row r="18" spans="1:6" ht="14.25" customHeight="1" x14ac:dyDescent="0.2">
      <c r="A18" s="623" t="s">
        <v>883</v>
      </c>
      <c r="B18" s="622">
        <v>360</v>
      </c>
      <c r="C18" s="625"/>
      <c r="D18" s="625"/>
      <c r="E18" s="625"/>
      <c r="F18" s="626"/>
    </row>
    <row r="19" spans="1:6" ht="51" customHeight="1" x14ac:dyDescent="0.2">
      <c r="A19" s="623" t="s">
        <v>884</v>
      </c>
      <c r="B19" s="622">
        <v>370</v>
      </c>
      <c r="C19" s="625"/>
      <c r="D19" s="625"/>
      <c r="E19" s="625"/>
      <c r="F19" s="626"/>
    </row>
    <row r="20" spans="1:6" ht="36.75" customHeight="1" x14ac:dyDescent="0.2">
      <c r="A20" s="623" t="s">
        <v>885</v>
      </c>
      <c r="B20" s="622">
        <v>380</v>
      </c>
      <c r="C20" s="625"/>
      <c r="D20" s="625"/>
      <c r="E20" s="625"/>
      <c r="F20" s="626"/>
    </row>
    <row r="21" spans="1:6" ht="24" customHeight="1" x14ac:dyDescent="0.2">
      <c r="A21" s="623" t="s">
        <v>886</v>
      </c>
      <c r="B21" s="622">
        <v>390</v>
      </c>
      <c r="C21" s="625"/>
      <c r="D21" s="625"/>
      <c r="E21" s="625"/>
      <c r="F21" s="626"/>
    </row>
    <row r="22" spans="1:6" ht="24" customHeight="1" x14ac:dyDescent="0.2">
      <c r="A22" s="623" t="s">
        <v>887</v>
      </c>
      <c r="B22" s="622">
        <v>400</v>
      </c>
      <c r="C22" s="625"/>
      <c r="D22" s="625"/>
      <c r="E22" s="625"/>
      <c r="F22" s="626"/>
    </row>
    <row r="23" spans="1:6" ht="37.5" customHeight="1" x14ac:dyDescent="0.2">
      <c r="A23" s="623" t="s">
        <v>888</v>
      </c>
      <c r="B23" s="622">
        <v>500</v>
      </c>
      <c r="C23" s="625"/>
      <c r="D23" s="625"/>
      <c r="E23" s="625"/>
      <c r="F23" s="626"/>
    </row>
    <row r="24" spans="1:6" s="630" customFormat="1" ht="23.25" customHeight="1" x14ac:dyDescent="0.2">
      <c r="A24" s="627" t="s">
        <v>889</v>
      </c>
      <c r="B24" s="628">
        <v>600</v>
      </c>
      <c r="C24" s="629">
        <f>C9-C10+C11-C22+C23</f>
        <v>112200</v>
      </c>
      <c r="D24" s="629">
        <f t="shared" ref="D24:F24" si="2">D9-D10+D11-D22+D23</f>
        <v>112200</v>
      </c>
      <c r="E24" s="629">
        <f t="shared" si="2"/>
        <v>112200</v>
      </c>
      <c r="F24" s="629">
        <f t="shared" si="2"/>
        <v>0</v>
      </c>
    </row>
  </sheetData>
  <mergeCells count="7">
    <mergeCell ref="B12:B13"/>
    <mergeCell ref="A2:F2"/>
    <mergeCell ref="A3:F3"/>
    <mergeCell ref="A5:A7"/>
    <mergeCell ref="B5:B7"/>
    <mergeCell ref="C5:E5"/>
    <mergeCell ref="F5:F7"/>
  </mergeCells>
  <pageMargins left="0.70866141732283472" right="0.70866141732283472" top="0.74803149606299213" bottom="0.74803149606299213" header="0.31496062992125984" footer="0.31496062992125984"/>
  <pageSetup paperSize="9" scale="88" orientation="landscape"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B1:K80"/>
  <sheetViews>
    <sheetView view="pageBreakPreview" topLeftCell="A2" zoomScale="90" zoomScaleNormal="90" zoomScaleSheetLayoutView="90" workbookViewId="0">
      <pane xSplit="4" ySplit="8" topLeftCell="E51" activePane="bottomRight" state="frozen"/>
      <selection activeCell="J29" sqref="J29"/>
      <selection pane="topRight" activeCell="J29" sqref="J29"/>
      <selection pane="bottomLeft" activeCell="J29" sqref="J29"/>
      <selection pane="bottomRight" activeCell="Q51" sqref="Q51"/>
    </sheetView>
  </sheetViews>
  <sheetFormatPr defaultRowHeight="12.75" outlineLevelRow="1" x14ac:dyDescent="0.2"/>
  <cols>
    <col min="1" max="1" width="2.6640625" style="1501" customWidth="1"/>
    <col min="2" max="2" width="7.6640625" style="1501" bestFit="1" customWidth="1"/>
    <col min="3" max="3" width="34.6640625" style="1501" customWidth="1"/>
    <col min="4" max="4" width="13.33203125" style="1501" bestFit="1" customWidth="1"/>
    <col min="5" max="5" width="10.1640625" style="1501" bestFit="1" customWidth="1"/>
    <col min="6" max="6" width="12.6640625" style="1501" bestFit="1" customWidth="1"/>
    <col min="7" max="7" width="10.1640625" style="1501" bestFit="1" customWidth="1"/>
    <col min="8" max="8" width="19.83203125" style="1501" customWidth="1"/>
    <col min="9" max="9" width="15.33203125" style="1501" customWidth="1"/>
    <col min="10" max="10" width="14.33203125" style="1501" customWidth="1"/>
    <col min="11" max="256" width="9.33203125" style="1501"/>
    <col min="257" max="257" width="2.6640625" style="1501" customWidth="1"/>
    <col min="258" max="258" width="7.6640625" style="1501" bestFit="1" customWidth="1"/>
    <col min="259" max="259" width="34.6640625" style="1501" customWidth="1"/>
    <col min="260" max="260" width="13.33203125" style="1501" bestFit="1" customWidth="1"/>
    <col min="261" max="261" width="10.1640625" style="1501" bestFit="1" customWidth="1"/>
    <col min="262" max="262" width="12.6640625" style="1501" bestFit="1" customWidth="1"/>
    <col min="263" max="263" width="10.1640625" style="1501" bestFit="1" customWidth="1"/>
    <col min="264" max="264" width="19.83203125" style="1501" customWidth="1"/>
    <col min="265" max="265" width="15.33203125" style="1501" customWidth="1"/>
    <col min="266" max="266" width="14.33203125" style="1501" customWidth="1"/>
    <col min="267" max="512" width="9.33203125" style="1501"/>
    <col min="513" max="513" width="2.6640625" style="1501" customWidth="1"/>
    <col min="514" max="514" width="7.6640625" style="1501" bestFit="1" customWidth="1"/>
    <col min="515" max="515" width="34.6640625" style="1501" customWidth="1"/>
    <col min="516" max="516" width="13.33203125" style="1501" bestFit="1" customWidth="1"/>
    <col min="517" max="517" width="10.1640625" style="1501" bestFit="1" customWidth="1"/>
    <col min="518" max="518" width="12.6640625" style="1501" bestFit="1" customWidth="1"/>
    <col min="519" max="519" width="10.1640625" style="1501" bestFit="1" customWidth="1"/>
    <col min="520" max="520" width="19.83203125" style="1501" customWidth="1"/>
    <col min="521" max="521" width="15.33203125" style="1501" customWidth="1"/>
    <col min="522" max="522" width="14.33203125" style="1501" customWidth="1"/>
    <col min="523" max="768" width="9.33203125" style="1501"/>
    <col min="769" max="769" width="2.6640625" style="1501" customWidth="1"/>
    <col min="770" max="770" width="7.6640625" style="1501" bestFit="1" customWidth="1"/>
    <col min="771" max="771" width="34.6640625" style="1501" customWidth="1"/>
    <col min="772" max="772" width="13.33203125" style="1501" bestFit="1" customWidth="1"/>
    <col min="773" max="773" width="10.1640625" style="1501" bestFit="1" customWidth="1"/>
    <col min="774" max="774" width="12.6640625" style="1501" bestFit="1" customWidth="1"/>
    <col min="775" max="775" width="10.1640625" style="1501" bestFit="1" customWidth="1"/>
    <col min="776" max="776" width="19.83203125" style="1501" customWidth="1"/>
    <col min="777" max="777" width="15.33203125" style="1501" customWidth="1"/>
    <col min="778" max="778" width="14.33203125" style="1501" customWidth="1"/>
    <col min="779" max="1024" width="9.33203125" style="1501"/>
    <col min="1025" max="1025" width="2.6640625" style="1501" customWidth="1"/>
    <col min="1026" max="1026" width="7.6640625" style="1501" bestFit="1" customWidth="1"/>
    <col min="1027" max="1027" width="34.6640625" style="1501" customWidth="1"/>
    <col min="1028" max="1028" width="13.33203125" style="1501" bestFit="1" customWidth="1"/>
    <col min="1029" max="1029" width="10.1640625" style="1501" bestFit="1" customWidth="1"/>
    <col min="1030" max="1030" width="12.6640625" style="1501" bestFit="1" customWidth="1"/>
    <col min="1031" max="1031" width="10.1640625" style="1501" bestFit="1" customWidth="1"/>
    <col min="1032" max="1032" width="19.83203125" style="1501" customWidth="1"/>
    <col min="1033" max="1033" width="15.33203125" style="1501" customWidth="1"/>
    <col min="1034" max="1034" width="14.33203125" style="1501" customWidth="1"/>
    <col min="1035" max="1280" width="9.33203125" style="1501"/>
    <col min="1281" max="1281" width="2.6640625" style="1501" customWidth="1"/>
    <col min="1282" max="1282" width="7.6640625" style="1501" bestFit="1" customWidth="1"/>
    <col min="1283" max="1283" width="34.6640625" style="1501" customWidth="1"/>
    <col min="1284" max="1284" width="13.33203125" style="1501" bestFit="1" customWidth="1"/>
    <col min="1285" max="1285" width="10.1640625" style="1501" bestFit="1" customWidth="1"/>
    <col min="1286" max="1286" width="12.6640625" style="1501" bestFit="1" customWidth="1"/>
    <col min="1287" max="1287" width="10.1640625" style="1501" bestFit="1" customWidth="1"/>
    <col min="1288" max="1288" width="19.83203125" style="1501" customWidth="1"/>
    <col min="1289" max="1289" width="15.33203125" style="1501" customWidth="1"/>
    <col min="1290" max="1290" width="14.33203125" style="1501" customWidth="1"/>
    <col min="1291" max="1536" width="9.33203125" style="1501"/>
    <col min="1537" max="1537" width="2.6640625" style="1501" customWidth="1"/>
    <col min="1538" max="1538" width="7.6640625" style="1501" bestFit="1" customWidth="1"/>
    <col min="1539" max="1539" width="34.6640625" style="1501" customWidth="1"/>
    <col min="1540" max="1540" width="13.33203125" style="1501" bestFit="1" customWidth="1"/>
    <col min="1541" max="1541" width="10.1640625" style="1501" bestFit="1" customWidth="1"/>
    <col min="1542" max="1542" width="12.6640625" style="1501" bestFit="1" customWidth="1"/>
    <col min="1543" max="1543" width="10.1640625" style="1501" bestFit="1" customWidth="1"/>
    <col min="1544" max="1544" width="19.83203125" style="1501" customWidth="1"/>
    <col min="1545" max="1545" width="15.33203125" style="1501" customWidth="1"/>
    <col min="1546" max="1546" width="14.33203125" style="1501" customWidth="1"/>
    <col min="1547" max="1792" width="9.33203125" style="1501"/>
    <col min="1793" max="1793" width="2.6640625" style="1501" customWidth="1"/>
    <col min="1794" max="1794" width="7.6640625" style="1501" bestFit="1" customWidth="1"/>
    <col min="1795" max="1795" width="34.6640625" style="1501" customWidth="1"/>
    <col min="1796" max="1796" width="13.33203125" style="1501" bestFit="1" customWidth="1"/>
    <col min="1797" max="1797" width="10.1640625" style="1501" bestFit="1" customWidth="1"/>
    <col min="1798" max="1798" width="12.6640625" style="1501" bestFit="1" customWidth="1"/>
    <col min="1799" max="1799" width="10.1640625" style="1501" bestFit="1" customWidth="1"/>
    <col min="1800" max="1800" width="19.83203125" style="1501" customWidth="1"/>
    <col min="1801" max="1801" width="15.33203125" style="1501" customWidth="1"/>
    <col min="1802" max="1802" width="14.33203125" style="1501" customWidth="1"/>
    <col min="1803" max="2048" width="9.33203125" style="1501"/>
    <col min="2049" max="2049" width="2.6640625" style="1501" customWidth="1"/>
    <col min="2050" max="2050" width="7.6640625" style="1501" bestFit="1" customWidth="1"/>
    <col min="2051" max="2051" width="34.6640625" style="1501" customWidth="1"/>
    <col min="2052" max="2052" width="13.33203125" style="1501" bestFit="1" customWidth="1"/>
    <col min="2053" max="2053" width="10.1640625" style="1501" bestFit="1" customWidth="1"/>
    <col min="2054" max="2054" width="12.6640625" style="1501" bestFit="1" customWidth="1"/>
    <col min="2055" max="2055" width="10.1640625" style="1501" bestFit="1" customWidth="1"/>
    <col min="2056" max="2056" width="19.83203125" style="1501" customWidth="1"/>
    <col min="2057" max="2057" width="15.33203125" style="1501" customWidth="1"/>
    <col min="2058" max="2058" width="14.33203125" style="1501" customWidth="1"/>
    <col min="2059" max="2304" width="9.33203125" style="1501"/>
    <col min="2305" max="2305" width="2.6640625" style="1501" customWidth="1"/>
    <col min="2306" max="2306" width="7.6640625" style="1501" bestFit="1" customWidth="1"/>
    <col min="2307" max="2307" width="34.6640625" style="1501" customWidth="1"/>
    <col min="2308" max="2308" width="13.33203125" style="1501" bestFit="1" customWidth="1"/>
    <col min="2309" max="2309" width="10.1640625" style="1501" bestFit="1" customWidth="1"/>
    <col min="2310" max="2310" width="12.6640625" style="1501" bestFit="1" customWidth="1"/>
    <col min="2311" max="2311" width="10.1640625" style="1501" bestFit="1" customWidth="1"/>
    <col min="2312" max="2312" width="19.83203125" style="1501" customWidth="1"/>
    <col min="2313" max="2313" width="15.33203125" style="1501" customWidth="1"/>
    <col min="2314" max="2314" width="14.33203125" style="1501" customWidth="1"/>
    <col min="2315" max="2560" width="9.33203125" style="1501"/>
    <col min="2561" max="2561" width="2.6640625" style="1501" customWidth="1"/>
    <col min="2562" max="2562" width="7.6640625" style="1501" bestFit="1" customWidth="1"/>
    <col min="2563" max="2563" width="34.6640625" style="1501" customWidth="1"/>
    <col min="2564" max="2564" width="13.33203125" style="1501" bestFit="1" customWidth="1"/>
    <col min="2565" max="2565" width="10.1640625" style="1501" bestFit="1" customWidth="1"/>
    <col min="2566" max="2566" width="12.6640625" style="1501" bestFit="1" customWidth="1"/>
    <col min="2567" max="2567" width="10.1640625" style="1501" bestFit="1" customWidth="1"/>
    <col min="2568" max="2568" width="19.83203125" style="1501" customWidth="1"/>
    <col min="2569" max="2569" width="15.33203125" style="1501" customWidth="1"/>
    <col min="2570" max="2570" width="14.33203125" style="1501" customWidth="1"/>
    <col min="2571" max="2816" width="9.33203125" style="1501"/>
    <col min="2817" max="2817" width="2.6640625" style="1501" customWidth="1"/>
    <col min="2818" max="2818" width="7.6640625" style="1501" bestFit="1" customWidth="1"/>
    <col min="2819" max="2819" width="34.6640625" style="1501" customWidth="1"/>
    <col min="2820" max="2820" width="13.33203125" style="1501" bestFit="1" customWidth="1"/>
    <col min="2821" max="2821" width="10.1640625" style="1501" bestFit="1" customWidth="1"/>
    <col min="2822" max="2822" width="12.6640625" style="1501" bestFit="1" customWidth="1"/>
    <col min="2823" max="2823" width="10.1640625" style="1501" bestFit="1" customWidth="1"/>
    <col min="2824" max="2824" width="19.83203125" style="1501" customWidth="1"/>
    <col min="2825" max="2825" width="15.33203125" style="1501" customWidth="1"/>
    <col min="2826" max="2826" width="14.33203125" style="1501" customWidth="1"/>
    <col min="2827" max="3072" width="9.33203125" style="1501"/>
    <col min="3073" max="3073" width="2.6640625" style="1501" customWidth="1"/>
    <col min="3074" max="3074" width="7.6640625" style="1501" bestFit="1" customWidth="1"/>
    <col min="3075" max="3075" width="34.6640625" style="1501" customWidth="1"/>
    <col min="3076" max="3076" width="13.33203125" style="1501" bestFit="1" customWidth="1"/>
    <col min="3077" max="3077" width="10.1640625" style="1501" bestFit="1" customWidth="1"/>
    <col min="3078" max="3078" width="12.6640625" style="1501" bestFit="1" customWidth="1"/>
    <col min="3079" max="3079" width="10.1640625" style="1501" bestFit="1" customWidth="1"/>
    <col min="3080" max="3080" width="19.83203125" style="1501" customWidth="1"/>
    <col min="3081" max="3081" width="15.33203125" style="1501" customWidth="1"/>
    <col min="3082" max="3082" width="14.33203125" style="1501" customWidth="1"/>
    <col min="3083" max="3328" width="9.33203125" style="1501"/>
    <col min="3329" max="3329" width="2.6640625" style="1501" customWidth="1"/>
    <col min="3330" max="3330" width="7.6640625" style="1501" bestFit="1" customWidth="1"/>
    <col min="3331" max="3331" width="34.6640625" style="1501" customWidth="1"/>
    <col min="3332" max="3332" width="13.33203125" style="1501" bestFit="1" customWidth="1"/>
    <col min="3333" max="3333" width="10.1640625" style="1501" bestFit="1" customWidth="1"/>
    <col min="3334" max="3334" width="12.6640625" style="1501" bestFit="1" customWidth="1"/>
    <col min="3335" max="3335" width="10.1640625" style="1501" bestFit="1" customWidth="1"/>
    <col min="3336" max="3336" width="19.83203125" style="1501" customWidth="1"/>
    <col min="3337" max="3337" width="15.33203125" style="1501" customWidth="1"/>
    <col min="3338" max="3338" width="14.33203125" style="1501" customWidth="1"/>
    <col min="3339" max="3584" width="9.33203125" style="1501"/>
    <col min="3585" max="3585" width="2.6640625" style="1501" customWidth="1"/>
    <col min="3586" max="3586" width="7.6640625" style="1501" bestFit="1" customWidth="1"/>
    <col min="3587" max="3587" width="34.6640625" style="1501" customWidth="1"/>
    <col min="3588" max="3588" width="13.33203125" style="1501" bestFit="1" customWidth="1"/>
    <col min="3589" max="3589" width="10.1640625" style="1501" bestFit="1" customWidth="1"/>
    <col min="3590" max="3590" width="12.6640625" style="1501" bestFit="1" customWidth="1"/>
    <col min="3591" max="3591" width="10.1640625" style="1501" bestFit="1" customWidth="1"/>
    <col min="3592" max="3592" width="19.83203125" style="1501" customWidth="1"/>
    <col min="3593" max="3593" width="15.33203125" style="1501" customWidth="1"/>
    <col min="3594" max="3594" width="14.33203125" style="1501" customWidth="1"/>
    <col min="3595" max="3840" width="9.33203125" style="1501"/>
    <col min="3841" max="3841" width="2.6640625" style="1501" customWidth="1"/>
    <col min="3842" max="3842" width="7.6640625" style="1501" bestFit="1" customWidth="1"/>
    <col min="3843" max="3843" width="34.6640625" style="1501" customWidth="1"/>
    <col min="3844" max="3844" width="13.33203125" style="1501" bestFit="1" customWidth="1"/>
    <col min="3845" max="3845" width="10.1640625" style="1501" bestFit="1" customWidth="1"/>
    <col min="3846" max="3846" width="12.6640625" style="1501" bestFit="1" customWidth="1"/>
    <col min="3847" max="3847" width="10.1640625" style="1501" bestFit="1" customWidth="1"/>
    <col min="3848" max="3848" width="19.83203125" style="1501" customWidth="1"/>
    <col min="3849" max="3849" width="15.33203125" style="1501" customWidth="1"/>
    <col min="3850" max="3850" width="14.33203125" style="1501" customWidth="1"/>
    <col min="3851" max="4096" width="9.33203125" style="1501"/>
    <col min="4097" max="4097" width="2.6640625" style="1501" customWidth="1"/>
    <col min="4098" max="4098" width="7.6640625" style="1501" bestFit="1" customWidth="1"/>
    <col min="4099" max="4099" width="34.6640625" style="1501" customWidth="1"/>
    <col min="4100" max="4100" width="13.33203125" style="1501" bestFit="1" customWidth="1"/>
    <col min="4101" max="4101" width="10.1640625" style="1501" bestFit="1" customWidth="1"/>
    <col min="4102" max="4102" width="12.6640625" style="1501" bestFit="1" customWidth="1"/>
    <col min="4103" max="4103" width="10.1640625" style="1501" bestFit="1" customWidth="1"/>
    <col min="4104" max="4104" width="19.83203125" style="1501" customWidth="1"/>
    <col min="4105" max="4105" width="15.33203125" style="1501" customWidth="1"/>
    <col min="4106" max="4106" width="14.33203125" style="1501" customWidth="1"/>
    <col min="4107" max="4352" width="9.33203125" style="1501"/>
    <col min="4353" max="4353" width="2.6640625" style="1501" customWidth="1"/>
    <col min="4354" max="4354" width="7.6640625" style="1501" bestFit="1" customWidth="1"/>
    <col min="4355" max="4355" width="34.6640625" style="1501" customWidth="1"/>
    <col min="4356" max="4356" width="13.33203125" style="1501" bestFit="1" customWidth="1"/>
    <col min="4357" max="4357" width="10.1640625" style="1501" bestFit="1" customWidth="1"/>
    <col min="4358" max="4358" width="12.6640625" style="1501" bestFit="1" customWidth="1"/>
    <col min="4359" max="4359" width="10.1640625" style="1501" bestFit="1" customWidth="1"/>
    <col min="4360" max="4360" width="19.83203125" style="1501" customWidth="1"/>
    <col min="4361" max="4361" width="15.33203125" style="1501" customWidth="1"/>
    <col min="4362" max="4362" width="14.33203125" style="1501" customWidth="1"/>
    <col min="4363" max="4608" width="9.33203125" style="1501"/>
    <col min="4609" max="4609" width="2.6640625" style="1501" customWidth="1"/>
    <col min="4610" max="4610" width="7.6640625" style="1501" bestFit="1" customWidth="1"/>
    <col min="4611" max="4611" width="34.6640625" style="1501" customWidth="1"/>
    <col min="4612" max="4612" width="13.33203125" style="1501" bestFit="1" customWidth="1"/>
    <col min="4613" max="4613" width="10.1640625" style="1501" bestFit="1" customWidth="1"/>
    <col min="4614" max="4614" width="12.6640625" style="1501" bestFit="1" customWidth="1"/>
    <col min="4615" max="4615" width="10.1640625" style="1501" bestFit="1" customWidth="1"/>
    <col min="4616" max="4616" width="19.83203125" style="1501" customWidth="1"/>
    <col min="4617" max="4617" width="15.33203125" style="1501" customWidth="1"/>
    <col min="4618" max="4618" width="14.33203125" style="1501" customWidth="1"/>
    <col min="4619" max="4864" width="9.33203125" style="1501"/>
    <col min="4865" max="4865" width="2.6640625" style="1501" customWidth="1"/>
    <col min="4866" max="4866" width="7.6640625" style="1501" bestFit="1" customWidth="1"/>
    <col min="4867" max="4867" width="34.6640625" style="1501" customWidth="1"/>
    <col min="4868" max="4868" width="13.33203125" style="1501" bestFit="1" customWidth="1"/>
    <col min="4869" max="4869" width="10.1640625" style="1501" bestFit="1" customWidth="1"/>
    <col min="4870" max="4870" width="12.6640625" style="1501" bestFit="1" customWidth="1"/>
    <col min="4871" max="4871" width="10.1640625" style="1501" bestFit="1" customWidth="1"/>
    <col min="4872" max="4872" width="19.83203125" style="1501" customWidth="1"/>
    <col min="4873" max="4873" width="15.33203125" style="1501" customWidth="1"/>
    <col min="4874" max="4874" width="14.33203125" style="1501" customWidth="1"/>
    <col min="4875" max="5120" width="9.33203125" style="1501"/>
    <col min="5121" max="5121" width="2.6640625" style="1501" customWidth="1"/>
    <col min="5122" max="5122" width="7.6640625" style="1501" bestFit="1" customWidth="1"/>
    <col min="5123" max="5123" width="34.6640625" style="1501" customWidth="1"/>
    <col min="5124" max="5124" width="13.33203125" style="1501" bestFit="1" customWidth="1"/>
    <col min="5125" max="5125" width="10.1640625" style="1501" bestFit="1" customWidth="1"/>
    <col min="5126" max="5126" width="12.6640625" style="1501" bestFit="1" customWidth="1"/>
    <col min="5127" max="5127" width="10.1640625" style="1501" bestFit="1" customWidth="1"/>
    <col min="5128" max="5128" width="19.83203125" style="1501" customWidth="1"/>
    <col min="5129" max="5129" width="15.33203125" style="1501" customWidth="1"/>
    <col min="5130" max="5130" width="14.33203125" style="1501" customWidth="1"/>
    <col min="5131" max="5376" width="9.33203125" style="1501"/>
    <col min="5377" max="5377" width="2.6640625" style="1501" customWidth="1"/>
    <col min="5378" max="5378" width="7.6640625" style="1501" bestFit="1" customWidth="1"/>
    <col min="5379" max="5379" width="34.6640625" style="1501" customWidth="1"/>
    <col min="5380" max="5380" width="13.33203125" style="1501" bestFit="1" customWidth="1"/>
    <col min="5381" max="5381" width="10.1640625" style="1501" bestFit="1" customWidth="1"/>
    <col min="5382" max="5382" width="12.6640625" style="1501" bestFit="1" customWidth="1"/>
    <col min="5383" max="5383" width="10.1640625" style="1501" bestFit="1" customWidth="1"/>
    <col min="5384" max="5384" width="19.83203125" style="1501" customWidth="1"/>
    <col min="5385" max="5385" width="15.33203125" style="1501" customWidth="1"/>
    <col min="5386" max="5386" width="14.33203125" style="1501" customWidth="1"/>
    <col min="5387" max="5632" width="9.33203125" style="1501"/>
    <col min="5633" max="5633" width="2.6640625" style="1501" customWidth="1"/>
    <col min="5634" max="5634" width="7.6640625" style="1501" bestFit="1" customWidth="1"/>
    <col min="5635" max="5635" width="34.6640625" style="1501" customWidth="1"/>
    <col min="5636" max="5636" width="13.33203125" style="1501" bestFit="1" customWidth="1"/>
    <col min="5637" max="5637" width="10.1640625" style="1501" bestFit="1" customWidth="1"/>
    <col min="5638" max="5638" width="12.6640625" style="1501" bestFit="1" customWidth="1"/>
    <col min="5639" max="5639" width="10.1640625" style="1501" bestFit="1" customWidth="1"/>
    <col min="5640" max="5640" width="19.83203125" style="1501" customWidth="1"/>
    <col min="5641" max="5641" width="15.33203125" style="1501" customWidth="1"/>
    <col min="5642" max="5642" width="14.33203125" style="1501" customWidth="1"/>
    <col min="5643" max="5888" width="9.33203125" style="1501"/>
    <col min="5889" max="5889" width="2.6640625" style="1501" customWidth="1"/>
    <col min="5890" max="5890" width="7.6640625" style="1501" bestFit="1" customWidth="1"/>
    <col min="5891" max="5891" width="34.6640625" style="1501" customWidth="1"/>
    <col min="5892" max="5892" width="13.33203125" style="1501" bestFit="1" customWidth="1"/>
    <col min="5893" max="5893" width="10.1640625" style="1501" bestFit="1" customWidth="1"/>
    <col min="5894" max="5894" width="12.6640625" style="1501" bestFit="1" customWidth="1"/>
    <col min="5895" max="5895" width="10.1640625" style="1501" bestFit="1" customWidth="1"/>
    <col min="5896" max="5896" width="19.83203125" style="1501" customWidth="1"/>
    <col min="5897" max="5897" width="15.33203125" style="1501" customWidth="1"/>
    <col min="5898" max="5898" width="14.33203125" style="1501" customWidth="1"/>
    <col min="5899" max="6144" width="9.33203125" style="1501"/>
    <col min="6145" max="6145" width="2.6640625" style="1501" customWidth="1"/>
    <col min="6146" max="6146" width="7.6640625" style="1501" bestFit="1" customWidth="1"/>
    <col min="6147" max="6147" width="34.6640625" style="1501" customWidth="1"/>
    <col min="6148" max="6148" width="13.33203125" style="1501" bestFit="1" customWidth="1"/>
    <col min="6149" max="6149" width="10.1640625" style="1501" bestFit="1" customWidth="1"/>
    <col min="6150" max="6150" width="12.6640625" style="1501" bestFit="1" customWidth="1"/>
    <col min="6151" max="6151" width="10.1640625" style="1501" bestFit="1" customWidth="1"/>
    <col min="6152" max="6152" width="19.83203125" style="1501" customWidth="1"/>
    <col min="6153" max="6153" width="15.33203125" style="1501" customWidth="1"/>
    <col min="6154" max="6154" width="14.33203125" style="1501" customWidth="1"/>
    <col min="6155" max="6400" width="9.33203125" style="1501"/>
    <col min="6401" max="6401" width="2.6640625" style="1501" customWidth="1"/>
    <col min="6402" max="6402" width="7.6640625" style="1501" bestFit="1" customWidth="1"/>
    <col min="6403" max="6403" width="34.6640625" style="1501" customWidth="1"/>
    <col min="6404" max="6404" width="13.33203125" style="1501" bestFit="1" customWidth="1"/>
    <col min="6405" max="6405" width="10.1640625" style="1501" bestFit="1" customWidth="1"/>
    <col min="6406" max="6406" width="12.6640625" style="1501" bestFit="1" customWidth="1"/>
    <col min="6407" max="6407" width="10.1640625" style="1501" bestFit="1" customWidth="1"/>
    <col min="6408" max="6408" width="19.83203125" style="1501" customWidth="1"/>
    <col min="6409" max="6409" width="15.33203125" style="1501" customWidth="1"/>
    <col min="6410" max="6410" width="14.33203125" style="1501" customWidth="1"/>
    <col min="6411" max="6656" width="9.33203125" style="1501"/>
    <col min="6657" max="6657" width="2.6640625" style="1501" customWidth="1"/>
    <col min="6658" max="6658" width="7.6640625" style="1501" bestFit="1" customWidth="1"/>
    <col min="6659" max="6659" width="34.6640625" style="1501" customWidth="1"/>
    <col min="6660" max="6660" width="13.33203125" style="1501" bestFit="1" customWidth="1"/>
    <col min="6661" max="6661" width="10.1640625" style="1501" bestFit="1" customWidth="1"/>
    <col min="6662" max="6662" width="12.6640625" style="1501" bestFit="1" customWidth="1"/>
    <col min="6663" max="6663" width="10.1640625" style="1501" bestFit="1" customWidth="1"/>
    <col min="6664" max="6664" width="19.83203125" style="1501" customWidth="1"/>
    <col min="6665" max="6665" width="15.33203125" style="1501" customWidth="1"/>
    <col min="6666" max="6666" width="14.33203125" style="1501" customWidth="1"/>
    <col min="6667" max="6912" width="9.33203125" style="1501"/>
    <col min="6913" max="6913" width="2.6640625" style="1501" customWidth="1"/>
    <col min="6914" max="6914" width="7.6640625" style="1501" bestFit="1" customWidth="1"/>
    <col min="6915" max="6915" width="34.6640625" style="1501" customWidth="1"/>
    <col min="6916" max="6916" width="13.33203125" style="1501" bestFit="1" customWidth="1"/>
    <col min="6917" max="6917" width="10.1640625" style="1501" bestFit="1" customWidth="1"/>
    <col min="6918" max="6918" width="12.6640625" style="1501" bestFit="1" customWidth="1"/>
    <col min="6919" max="6919" width="10.1640625" style="1501" bestFit="1" customWidth="1"/>
    <col min="6920" max="6920" width="19.83203125" style="1501" customWidth="1"/>
    <col min="6921" max="6921" width="15.33203125" style="1501" customWidth="1"/>
    <col min="6922" max="6922" width="14.33203125" style="1501" customWidth="1"/>
    <col min="6923" max="7168" width="9.33203125" style="1501"/>
    <col min="7169" max="7169" width="2.6640625" style="1501" customWidth="1"/>
    <col min="7170" max="7170" width="7.6640625" style="1501" bestFit="1" customWidth="1"/>
    <col min="7171" max="7171" width="34.6640625" style="1501" customWidth="1"/>
    <col min="7172" max="7172" width="13.33203125" style="1501" bestFit="1" customWidth="1"/>
    <col min="7173" max="7173" width="10.1640625" style="1501" bestFit="1" customWidth="1"/>
    <col min="7174" max="7174" width="12.6640625" style="1501" bestFit="1" customWidth="1"/>
    <col min="7175" max="7175" width="10.1640625" style="1501" bestFit="1" customWidth="1"/>
    <col min="7176" max="7176" width="19.83203125" style="1501" customWidth="1"/>
    <col min="7177" max="7177" width="15.33203125" style="1501" customWidth="1"/>
    <col min="7178" max="7178" width="14.33203125" style="1501" customWidth="1"/>
    <col min="7179" max="7424" width="9.33203125" style="1501"/>
    <col min="7425" max="7425" width="2.6640625" style="1501" customWidth="1"/>
    <col min="7426" max="7426" width="7.6640625" style="1501" bestFit="1" customWidth="1"/>
    <col min="7427" max="7427" width="34.6640625" style="1501" customWidth="1"/>
    <col min="7428" max="7428" width="13.33203125" style="1501" bestFit="1" customWidth="1"/>
    <col min="7429" max="7429" width="10.1640625" style="1501" bestFit="1" customWidth="1"/>
    <col min="7430" max="7430" width="12.6640625" style="1501" bestFit="1" customWidth="1"/>
    <col min="7431" max="7431" width="10.1640625" style="1501" bestFit="1" customWidth="1"/>
    <col min="7432" max="7432" width="19.83203125" style="1501" customWidth="1"/>
    <col min="7433" max="7433" width="15.33203125" style="1501" customWidth="1"/>
    <col min="7434" max="7434" width="14.33203125" style="1501" customWidth="1"/>
    <col min="7435" max="7680" width="9.33203125" style="1501"/>
    <col min="7681" max="7681" width="2.6640625" style="1501" customWidth="1"/>
    <col min="7682" max="7682" width="7.6640625" style="1501" bestFit="1" customWidth="1"/>
    <col min="7683" max="7683" width="34.6640625" style="1501" customWidth="1"/>
    <col min="7684" max="7684" width="13.33203125" style="1501" bestFit="1" customWidth="1"/>
    <col min="7685" max="7685" width="10.1640625" style="1501" bestFit="1" customWidth="1"/>
    <col min="7686" max="7686" width="12.6640625" style="1501" bestFit="1" customWidth="1"/>
    <col min="7687" max="7687" width="10.1640625" style="1501" bestFit="1" customWidth="1"/>
    <col min="7688" max="7688" width="19.83203125" style="1501" customWidth="1"/>
    <col min="7689" max="7689" width="15.33203125" style="1501" customWidth="1"/>
    <col min="7690" max="7690" width="14.33203125" style="1501" customWidth="1"/>
    <col min="7691" max="7936" width="9.33203125" style="1501"/>
    <col min="7937" max="7937" width="2.6640625" style="1501" customWidth="1"/>
    <col min="7938" max="7938" width="7.6640625" style="1501" bestFit="1" customWidth="1"/>
    <col min="7939" max="7939" width="34.6640625" style="1501" customWidth="1"/>
    <col min="7940" max="7940" width="13.33203125" style="1501" bestFit="1" customWidth="1"/>
    <col min="7941" max="7941" width="10.1640625" style="1501" bestFit="1" customWidth="1"/>
    <col min="7942" max="7942" width="12.6640625" style="1501" bestFit="1" customWidth="1"/>
    <col min="7943" max="7943" width="10.1640625" style="1501" bestFit="1" customWidth="1"/>
    <col min="7944" max="7944" width="19.83203125" style="1501" customWidth="1"/>
    <col min="7945" max="7945" width="15.33203125" style="1501" customWidth="1"/>
    <col min="7946" max="7946" width="14.33203125" style="1501" customWidth="1"/>
    <col min="7947" max="8192" width="9.33203125" style="1501"/>
    <col min="8193" max="8193" width="2.6640625" style="1501" customWidth="1"/>
    <col min="8194" max="8194" width="7.6640625" style="1501" bestFit="1" customWidth="1"/>
    <col min="8195" max="8195" width="34.6640625" style="1501" customWidth="1"/>
    <col min="8196" max="8196" width="13.33203125" style="1501" bestFit="1" customWidth="1"/>
    <col min="8197" max="8197" width="10.1640625" style="1501" bestFit="1" customWidth="1"/>
    <col min="8198" max="8198" width="12.6640625" style="1501" bestFit="1" customWidth="1"/>
    <col min="8199" max="8199" width="10.1640625" style="1501" bestFit="1" customWidth="1"/>
    <col min="8200" max="8200" width="19.83203125" style="1501" customWidth="1"/>
    <col min="8201" max="8201" width="15.33203125" style="1501" customWidth="1"/>
    <col min="8202" max="8202" width="14.33203125" style="1501" customWidth="1"/>
    <col min="8203" max="8448" width="9.33203125" style="1501"/>
    <col min="8449" max="8449" width="2.6640625" style="1501" customWidth="1"/>
    <col min="8450" max="8450" width="7.6640625" style="1501" bestFit="1" customWidth="1"/>
    <col min="8451" max="8451" width="34.6640625" style="1501" customWidth="1"/>
    <col min="8452" max="8452" width="13.33203125" style="1501" bestFit="1" customWidth="1"/>
    <col min="8453" max="8453" width="10.1640625" style="1501" bestFit="1" customWidth="1"/>
    <col min="8454" max="8454" width="12.6640625" style="1501" bestFit="1" customWidth="1"/>
    <col min="8455" max="8455" width="10.1640625" style="1501" bestFit="1" customWidth="1"/>
    <col min="8456" max="8456" width="19.83203125" style="1501" customWidth="1"/>
    <col min="8457" max="8457" width="15.33203125" style="1501" customWidth="1"/>
    <col min="8458" max="8458" width="14.33203125" style="1501" customWidth="1"/>
    <col min="8459" max="8704" width="9.33203125" style="1501"/>
    <col min="8705" max="8705" width="2.6640625" style="1501" customWidth="1"/>
    <col min="8706" max="8706" width="7.6640625" style="1501" bestFit="1" customWidth="1"/>
    <col min="8707" max="8707" width="34.6640625" style="1501" customWidth="1"/>
    <col min="8708" max="8708" width="13.33203125" style="1501" bestFit="1" customWidth="1"/>
    <col min="8709" max="8709" width="10.1640625" style="1501" bestFit="1" customWidth="1"/>
    <col min="8710" max="8710" width="12.6640625" style="1501" bestFit="1" customWidth="1"/>
    <col min="8711" max="8711" width="10.1640625" style="1501" bestFit="1" customWidth="1"/>
    <col min="8712" max="8712" width="19.83203125" style="1501" customWidth="1"/>
    <col min="8713" max="8713" width="15.33203125" style="1501" customWidth="1"/>
    <col min="8714" max="8714" width="14.33203125" style="1501" customWidth="1"/>
    <col min="8715" max="8960" width="9.33203125" style="1501"/>
    <col min="8961" max="8961" width="2.6640625" style="1501" customWidth="1"/>
    <col min="8962" max="8962" width="7.6640625" style="1501" bestFit="1" customWidth="1"/>
    <col min="8963" max="8963" width="34.6640625" style="1501" customWidth="1"/>
    <col min="8964" max="8964" width="13.33203125" style="1501" bestFit="1" customWidth="1"/>
    <col min="8965" max="8965" width="10.1640625" style="1501" bestFit="1" customWidth="1"/>
    <col min="8966" max="8966" width="12.6640625" style="1501" bestFit="1" customWidth="1"/>
    <col min="8967" max="8967" width="10.1640625" style="1501" bestFit="1" customWidth="1"/>
    <col min="8968" max="8968" width="19.83203125" style="1501" customWidth="1"/>
    <col min="8969" max="8969" width="15.33203125" style="1501" customWidth="1"/>
    <col min="8970" max="8970" width="14.33203125" style="1501" customWidth="1"/>
    <col min="8971" max="9216" width="9.33203125" style="1501"/>
    <col min="9217" max="9217" width="2.6640625" style="1501" customWidth="1"/>
    <col min="9218" max="9218" width="7.6640625" style="1501" bestFit="1" customWidth="1"/>
    <col min="9219" max="9219" width="34.6640625" style="1501" customWidth="1"/>
    <col min="9220" max="9220" width="13.33203125" style="1501" bestFit="1" customWidth="1"/>
    <col min="9221" max="9221" width="10.1640625" style="1501" bestFit="1" customWidth="1"/>
    <col min="9222" max="9222" width="12.6640625" style="1501" bestFit="1" customWidth="1"/>
    <col min="9223" max="9223" width="10.1640625" style="1501" bestFit="1" customWidth="1"/>
    <col min="9224" max="9224" width="19.83203125" style="1501" customWidth="1"/>
    <col min="9225" max="9225" width="15.33203125" style="1501" customWidth="1"/>
    <col min="9226" max="9226" width="14.33203125" style="1501" customWidth="1"/>
    <col min="9227" max="9472" width="9.33203125" style="1501"/>
    <col min="9473" max="9473" width="2.6640625" style="1501" customWidth="1"/>
    <col min="9474" max="9474" width="7.6640625" style="1501" bestFit="1" customWidth="1"/>
    <col min="9475" max="9475" width="34.6640625" style="1501" customWidth="1"/>
    <col min="9476" max="9476" width="13.33203125" style="1501" bestFit="1" customWidth="1"/>
    <col min="9477" max="9477" width="10.1640625" style="1501" bestFit="1" customWidth="1"/>
    <col min="9478" max="9478" width="12.6640625" style="1501" bestFit="1" customWidth="1"/>
    <col min="9479" max="9479" width="10.1640625" style="1501" bestFit="1" customWidth="1"/>
    <col min="9480" max="9480" width="19.83203125" style="1501" customWidth="1"/>
    <col min="9481" max="9481" width="15.33203125" style="1501" customWidth="1"/>
    <col min="9482" max="9482" width="14.33203125" style="1501" customWidth="1"/>
    <col min="9483" max="9728" width="9.33203125" style="1501"/>
    <col min="9729" max="9729" width="2.6640625" style="1501" customWidth="1"/>
    <col min="9730" max="9730" width="7.6640625" style="1501" bestFit="1" customWidth="1"/>
    <col min="9731" max="9731" width="34.6640625" style="1501" customWidth="1"/>
    <col min="9732" max="9732" width="13.33203125" style="1501" bestFit="1" customWidth="1"/>
    <col min="9733" max="9733" width="10.1640625" style="1501" bestFit="1" customWidth="1"/>
    <col min="9734" max="9734" width="12.6640625" style="1501" bestFit="1" customWidth="1"/>
    <col min="9735" max="9735" width="10.1640625" style="1501" bestFit="1" customWidth="1"/>
    <col min="9736" max="9736" width="19.83203125" style="1501" customWidth="1"/>
    <col min="9737" max="9737" width="15.33203125" style="1501" customWidth="1"/>
    <col min="9738" max="9738" width="14.33203125" style="1501" customWidth="1"/>
    <col min="9739" max="9984" width="9.33203125" style="1501"/>
    <col min="9985" max="9985" width="2.6640625" style="1501" customWidth="1"/>
    <col min="9986" max="9986" width="7.6640625" style="1501" bestFit="1" customWidth="1"/>
    <col min="9987" max="9987" width="34.6640625" style="1501" customWidth="1"/>
    <col min="9988" max="9988" width="13.33203125" style="1501" bestFit="1" customWidth="1"/>
    <col min="9989" max="9989" width="10.1640625" style="1501" bestFit="1" customWidth="1"/>
    <col min="9990" max="9990" width="12.6640625" style="1501" bestFit="1" customWidth="1"/>
    <col min="9991" max="9991" width="10.1640625" style="1501" bestFit="1" customWidth="1"/>
    <col min="9992" max="9992" width="19.83203125" style="1501" customWidth="1"/>
    <col min="9993" max="9993" width="15.33203125" style="1501" customWidth="1"/>
    <col min="9994" max="9994" width="14.33203125" style="1501" customWidth="1"/>
    <col min="9995" max="10240" width="9.33203125" style="1501"/>
    <col min="10241" max="10241" width="2.6640625" style="1501" customWidth="1"/>
    <col min="10242" max="10242" width="7.6640625" style="1501" bestFit="1" customWidth="1"/>
    <col min="10243" max="10243" width="34.6640625" style="1501" customWidth="1"/>
    <col min="10244" max="10244" width="13.33203125" style="1501" bestFit="1" customWidth="1"/>
    <col min="10245" max="10245" width="10.1640625" style="1501" bestFit="1" customWidth="1"/>
    <col min="10246" max="10246" width="12.6640625" style="1501" bestFit="1" customWidth="1"/>
    <col min="10247" max="10247" width="10.1640625" style="1501" bestFit="1" customWidth="1"/>
    <col min="10248" max="10248" width="19.83203125" style="1501" customWidth="1"/>
    <col min="10249" max="10249" width="15.33203125" style="1501" customWidth="1"/>
    <col min="10250" max="10250" width="14.33203125" style="1501" customWidth="1"/>
    <col min="10251" max="10496" width="9.33203125" style="1501"/>
    <col min="10497" max="10497" width="2.6640625" style="1501" customWidth="1"/>
    <col min="10498" max="10498" width="7.6640625" style="1501" bestFit="1" customWidth="1"/>
    <col min="10499" max="10499" width="34.6640625" style="1501" customWidth="1"/>
    <col min="10500" max="10500" width="13.33203125" style="1501" bestFit="1" customWidth="1"/>
    <col min="10501" max="10501" width="10.1640625" style="1501" bestFit="1" customWidth="1"/>
    <col min="10502" max="10502" width="12.6640625" style="1501" bestFit="1" customWidth="1"/>
    <col min="10503" max="10503" width="10.1640625" style="1501" bestFit="1" customWidth="1"/>
    <col min="10504" max="10504" width="19.83203125" style="1501" customWidth="1"/>
    <col min="10505" max="10505" width="15.33203125" style="1501" customWidth="1"/>
    <col min="10506" max="10506" width="14.33203125" style="1501" customWidth="1"/>
    <col min="10507" max="10752" width="9.33203125" style="1501"/>
    <col min="10753" max="10753" width="2.6640625" style="1501" customWidth="1"/>
    <col min="10754" max="10754" width="7.6640625" style="1501" bestFit="1" customWidth="1"/>
    <col min="10755" max="10755" width="34.6640625" style="1501" customWidth="1"/>
    <col min="10756" max="10756" width="13.33203125" style="1501" bestFit="1" customWidth="1"/>
    <col min="10757" max="10757" width="10.1640625" style="1501" bestFit="1" customWidth="1"/>
    <col min="10758" max="10758" width="12.6640625" style="1501" bestFit="1" customWidth="1"/>
    <col min="10759" max="10759" width="10.1640625" style="1501" bestFit="1" customWidth="1"/>
    <col min="10760" max="10760" width="19.83203125" style="1501" customWidth="1"/>
    <col min="10761" max="10761" width="15.33203125" style="1501" customWidth="1"/>
    <col min="10762" max="10762" width="14.33203125" style="1501" customWidth="1"/>
    <col min="10763" max="11008" width="9.33203125" style="1501"/>
    <col min="11009" max="11009" width="2.6640625" style="1501" customWidth="1"/>
    <col min="11010" max="11010" width="7.6640625" style="1501" bestFit="1" customWidth="1"/>
    <col min="11011" max="11011" width="34.6640625" style="1501" customWidth="1"/>
    <col min="11012" max="11012" width="13.33203125" style="1501" bestFit="1" customWidth="1"/>
    <col min="11013" max="11013" width="10.1640625" style="1501" bestFit="1" customWidth="1"/>
    <col min="11014" max="11014" width="12.6640625" style="1501" bestFit="1" customWidth="1"/>
    <col min="11015" max="11015" width="10.1640625" style="1501" bestFit="1" customWidth="1"/>
    <col min="11016" max="11016" width="19.83203125" style="1501" customWidth="1"/>
    <col min="11017" max="11017" width="15.33203125" style="1501" customWidth="1"/>
    <col min="11018" max="11018" width="14.33203125" style="1501" customWidth="1"/>
    <col min="11019" max="11264" width="9.33203125" style="1501"/>
    <col min="11265" max="11265" width="2.6640625" style="1501" customWidth="1"/>
    <col min="11266" max="11266" width="7.6640625" style="1501" bestFit="1" customWidth="1"/>
    <col min="11267" max="11267" width="34.6640625" style="1501" customWidth="1"/>
    <col min="11268" max="11268" width="13.33203125" style="1501" bestFit="1" customWidth="1"/>
    <col min="11269" max="11269" width="10.1640625" style="1501" bestFit="1" customWidth="1"/>
    <col min="11270" max="11270" width="12.6640625" style="1501" bestFit="1" customWidth="1"/>
    <col min="11271" max="11271" width="10.1640625" style="1501" bestFit="1" customWidth="1"/>
    <col min="11272" max="11272" width="19.83203125" style="1501" customWidth="1"/>
    <col min="11273" max="11273" width="15.33203125" style="1501" customWidth="1"/>
    <col min="11274" max="11274" width="14.33203125" style="1501" customWidth="1"/>
    <col min="11275" max="11520" width="9.33203125" style="1501"/>
    <col min="11521" max="11521" width="2.6640625" style="1501" customWidth="1"/>
    <col min="11522" max="11522" width="7.6640625" style="1501" bestFit="1" customWidth="1"/>
    <col min="11523" max="11523" width="34.6640625" style="1501" customWidth="1"/>
    <col min="11524" max="11524" width="13.33203125" style="1501" bestFit="1" customWidth="1"/>
    <col min="11525" max="11525" width="10.1640625" style="1501" bestFit="1" customWidth="1"/>
    <col min="11526" max="11526" width="12.6640625" style="1501" bestFit="1" customWidth="1"/>
    <col min="11527" max="11527" width="10.1640625" style="1501" bestFit="1" customWidth="1"/>
    <col min="11528" max="11528" width="19.83203125" style="1501" customWidth="1"/>
    <col min="11529" max="11529" width="15.33203125" style="1501" customWidth="1"/>
    <col min="11530" max="11530" width="14.33203125" style="1501" customWidth="1"/>
    <col min="11531" max="11776" width="9.33203125" style="1501"/>
    <col min="11777" max="11777" width="2.6640625" style="1501" customWidth="1"/>
    <col min="11778" max="11778" width="7.6640625" style="1501" bestFit="1" customWidth="1"/>
    <col min="11779" max="11779" width="34.6640625" style="1501" customWidth="1"/>
    <col min="11780" max="11780" width="13.33203125" style="1501" bestFit="1" customWidth="1"/>
    <col min="11781" max="11781" width="10.1640625" style="1501" bestFit="1" customWidth="1"/>
    <col min="11782" max="11782" width="12.6640625" style="1501" bestFit="1" customWidth="1"/>
    <col min="11783" max="11783" width="10.1640625" style="1501" bestFit="1" customWidth="1"/>
    <col min="11784" max="11784" width="19.83203125" style="1501" customWidth="1"/>
    <col min="11785" max="11785" width="15.33203125" style="1501" customWidth="1"/>
    <col min="11786" max="11786" width="14.33203125" style="1501" customWidth="1"/>
    <col min="11787" max="12032" width="9.33203125" style="1501"/>
    <col min="12033" max="12033" width="2.6640625" style="1501" customWidth="1"/>
    <col min="12034" max="12034" width="7.6640625" style="1501" bestFit="1" customWidth="1"/>
    <col min="12035" max="12035" width="34.6640625" style="1501" customWidth="1"/>
    <col min="12036" max="12036" width="13.33203125" style="1501" bestFit="1" customWidth="1"/>
    <col min="12037" max="12037" width="10.1640625" style="1501" bestFit="1" customWidth="1"/>
    <col min="12038" max="12038" width="12.6640625" style="1501" bestFit="1" customWidth="1"/>
    <col min="12039" max="12039" width="10.1640625" style="1501" bestFit="1" customWidth="1"/>
    <col min="12040" max="12040" width="19.83203125" style="1501" customWidth="1"/>
    <col min="12041" max="12041" width="15.33203125" style="1501" customWidth="1"/>
    <col min="12042" max="12042" width="14.33203125" style="1501" customWidth="1"/>
    <col min="12043" max="12288" width="9.33203125" style="1501"/>
    <col min="12289" max="12289" width="2.6640625" style="1501" customWidth="1"/>
    <col min="12290" max="12290" width="7.6640625" style="1501" bestFit="1" customWidth="1"/>
    <col min="12291" max="12291" width="34.6640625" style="1501" customWidth="1"/>
    <col min="12292" max="12292" width="13.33203125" style="1501" bestFit="1" customWidth="1"/>
    <col min="12293" max="12293" width="10.1640625" style="1501" bestFit="1" customWidth="1"/>
    <col min="12294" max="12294" width="12.6640625" style="1501" bestFit="1" customWidth="1"/>
    <col min="12295" max="12295" width="10.1640625" style="1501" bestFit="1" customWidth="1"/>
    <col min="12296" max="12296" width="19.83203125" style="1501" customWidth="1"/>
    <col min="12297" max="12297" width="15.33203125" style="1501" customWidth="1"/>
    <col min="12298" max="12298" width="14.33203125" style="1501" customWidth="1"/>
    <col min="12299" max="12544" width="9.33203125" style="1501"/>
    <col min="12545" max="12545" width="2.6640625" style="1501" customWidth="1"/>
    <col min="12546" max="12546" width="7.6640625" style="1501" bestFit="1" customWidth="1"/>
    <col min="12547" max="12547" width="34.6640625" style="1501" customWidth="1"/>
    <col min="12548" max="12548" width="13.33203125" style="1501" bestFit="1" customWidth="1"/>
    <col min="12549" max="12549" width="10.1640625" style="1501" bestFit="1" customWidth="1"/>
    <col min="12550" max="12550" width="12.6640625" style="1501" bestFit="1" customWidth="1"/>
    <col min="12551" max="12551" width="10.1640625" style="1501" bestFit="1" customWidth="1"/>
    <col min="12552" max="12552" width="19.83203125" style="1501" customWidth="1"/>
    <col min="12553" max="12553" width="15.33203125" style="1501" customWidth="1"/>
    <col min="12554" max="12554" width="14.33203125" style="1501" customWidth="1"/>
    <col min="12555" max="12800" width="9.33203125" style="1501"/>
    <col min="12801" max="12801" width="2.6640625" style="1501" customWidth="1"/>
    <col min="12802" max="12802" width="7.6640625" style="1501" bestFit="1" customWidth="1"/>
    <col min="12803" max="12803" width="34.6640625" style="1501" customWidth="1"/>
    <col min="12804" max="12804" width="13.33203125" style="1501" bestFit="1" customWidth="1"/>
    <col min="12805" max="12805" width="10.1640625" style="1501" bestFit="1" customWidth="1"/>
    <col min="12806" max="12806" width="12.6640625" style="1501" bestFit="1" customWidth="1"/>
    <col min="12807" max="12807" width="10.1640625" style="1501" bestFit="1" customWidth="1"/>
    <col min="12808" max="12808" width="19.83203125" style="1501" customWidth="1"/>
    <col min="12809" max="12809" width="15.33203125" style="1501" customWidth="1"/>
    <col min="12810" max="12810" width="14.33203125" style="1501" customWidth="1"/>
    <col min="12811" max="13056" width="9.33203125" style="1501"/>
    <col min="13057" max="13057" width="2.6640625" style="1501" customWidth="1"/>
    <col min="13058" max="13058" width="7.6640625" style="1501" bestFit="1" customWidth="1"/>
    <col min="13059" max="13059" width="34.6640625" style="1501" customWidth="1"/>
    <col min="13060" max="13060" width="13.33203125" style="1501" bestFit="1" customWidth="1"/>
    <col min="13061" max="13061" width="10.1640625" style="1501" bestFit="1" customWidth="1"/>
    <col min="13062" max="13062" width="12.6640625" style="1501" bestFit="1" customWidth="1"/>
    <col min="13063" max="13063" width="10.1640625" style="1501" bestFit="1" customWidth="1"/>
    <col min="13064" max="13064" width="19.83203125" style="1501" customWidth="1"/>
    <col min="13065" max="13065" width="15.33203125" style="1501" customWidth="1"/>
    <col min="13066" max="13066" width="14.33203125" style="1501" customWidth="1"/>
    <col min="13067" max="13312" width="9.33203125" style="1501"/>
    <col min="13313" max="13313" width="2.6640625" style="1501" customWidth="1"/>
    <col min="13314" max="13314" width="7.6640625" style="1501" bestFit="1" customWidth="1"/>
    <col min="13315" max="13315" width="34.6640625" style="1501" customWidth="1"/>
    <col min="13316" max="13316" width="13.33203125" style="1501" bestFit="1" customWidth="1"/>
    <col min="13317" max="13317" width="10.1640625" style="1501" bestFit="1" customWidth="1"/>
    <col min="13318" max="13318" width="12.6640625" style="1501" bestFit="1" customWidth="1"/>
    <col min="13319" max="13319" width="10.1640625" style="1501" bestFit="1" customWidth="1"/>
    <col min="13320" max="13320" width="19.83203125" style="1501" customWidth="1"/>
    <col min="13321" max="13321" width="15.33203125" style="1501" customWidth="1"/>
    <col min="13322" max="13322" width="14.33203125" style="1501" customWidth="1"/>
    <col min="13323" max="13568" width="9.33203125" style="1501"/>
    <col min="13569" max="13569" width="2.6640625" style="1501" customWidth="1"/>
    <col min="13570" max="13570" width="7.6640625" style="1501" bestFit="1" customWidth="1"/>
    <col min="13571" max="13571" width="34.6640625" style="1501" customWidth="1"/>
    <col min="13572" max="13572" width="13.33203125" style="1501" bestFit="1" customWidth="1"/>
    <col min="13573" max="13573" width="10.1640625" style="1501" bestFit="1" customWidth="1"/>
    <col min="13574" max="13574" width="12.6640625" style="1501" bestFit="1" customWidth="1"/>
    <col min="13575" max="13575" width="10.1640625" style="1501" bestFit="1" customWidth="1"/>
    <col min="13576" max="13576" width="19.83203125" style="1501" customWidth="1"/>
    <col min="13577" max="13577" width="15.33203125" style="1501" customWidth="1"/>
    <col min="13578" max="13578" width="14.33203125" style="1501" customWidth="1"/>
    <col min="13579" max="13824" width="9.33203125" style="1501"/>
    <col min="13825" max="13825" width="2.6640625" style="1501" customWidth="1"/>
    <col min="13826" max="13826" width="7.6640625" style="1501" bestFit="1" customWidth="1"/>
    <col min="13827" max="13827" width="34.6640625" style="1501" customWidth="1"/>
    <col min="13828" max="13828" width="13.33203125" style="1501" bestFit="1" customWidth="1"/>
    <col min="13829" max="13829" width="10.1640625" style="1501" bestFit="1" customWidth="1"/>
    <col min="13830" max="13830" width="12.6640625" style="1501" bestFit="1" customWidth="1"/>
    <col min="13831" max="13831" width="10.1640625" style="1501" bestFit="1" customWidth="1"/>
    <col min="13832" max="13832" width="19.83203125" style="1501" customWidth="1"/>
    <col min="13833" max="13833" width="15.33203125" style="1501" customWidth="1"/>
    <col min="13834" max="13834" width="14.33203125" style="1501" customWidth="1"/>
    <col min="13835" max="14080" width="9.33203125" style="1501"/>
    <col min="14081" max="14081" width="2.6640625" style="1501" customWidth="1"/>
    <col min="14082" max="14082" width="7.6640625" style="1501" bestFit="1" customWidth="1"/>
    <col min="14083" max="14083" width="34.6640625" style="1501" customWidth="1"/>
    <col min="14084" max="14084" width="13.33203125" style="1501" bestFit="1" customWidth="1"/>
    <col min="14085" max="14085" width="10.1640625" style="1501" bestFit="1" customWidth="1"/>
    <col min="14086" max="14086" width="12.6640625" style="1501" bestFit="1" customWidth="1"/>
    <col min="14087" max="14087" width="10.1640625" style="1501" bestFit="1" customWidth="1"/>
    <col min="14088" max="14088" width="19.83203125" style="1501" customWidth="1"/>
    <col min="14089" max="14089" width="15.33203125" style="1501" customWidth="1"/>
    <col min="14090" max="14090" width="14.33203125" style="1501" customWidth="1"/>
    <col min="14091" max="14336" width="9.33203125" style="1501"/>
    <col min="14337" max="14337" width="2.6640625" style="1501" customWidth="1"/>
    <col min="14338" max="14338" width="7.6640625" style="1501" bestFit="1" customWidth="1"/>
    <col min="14339" max="14339" width="34.6640625" style="1501" customWidth="1"/>
    <col min="14340" max="14340" width="13.33203125" style="1501" bestFit="1" customWidth="1"/>
    <col min="14341" max="14341" width="10.1640625" style="1501" bestFit="1" customWidth="1"/>
    <col min="14342" max="14342" width="12.6640625" style="1501" bestFit="1" customWidth="1"/>
    <col min="14343" max="14343" width="10.1640625" style="1501" bestFit="1" customWidth="1"/>
    <col min="14344" max="14344" width="19.83203125" style="1501" customWidth="1"/>
    <col min="14345" max="14345" width="15.33203125" style="1501" customWidth="1"/>
    <col min="14346" max="14346" width="14.33203125" style="1501" customWidth="1"/>
    <col min="14347" max="14592" width="9.33203125" style="1501"/>
    <col min="14593" max="14593" width="2.6640625" style="1501" customWidth="1"/>
    <col min="14594" max="14594" width="7.6640625" style="1501" bestFit="1" customWidth="1"/>
    <col min="14595" max="14595" width="34.6640625" style="1501" customWidth="1"/>
    <col min="14596" max="14596" width="13.33203125" style="1501" bestFit="1" customWidth="1"/>
    <col min="14597" max="14597" width="10.1640625" style="1501" bestFit="1" customWidth="1"/>
    <col min="14598" max="14598" width="12.6640625" style="1501" bestFit="1" customWidth="1"/>
    <col min="14599" max="14599" width="10.1640625" style="1501" bestFit="1" customWidth="1"/>
    <col min="14600" max="14600" width="19.83203125" style="1501" customWidth="1"/>
    <col min="14601" max="14601" width="15.33203125" style="1501" customWidth="1"/>
    <col min="14602" max="14602" width="14.33203125" style="1501" customWidth="1"/>
    <col min="14603" max="14848" width="9.33203125" style="1501"/>
    <col min="14849" max="14849" width="2.6640625" style="1501" customWidth="1"/>
    <col min="14850" max="14850" width="7.6640625" style="1501" bestFit="1" customWidth="1"/>
    <col min="14851" max="14851" width="34.6640625" style="1501" customWidth="1"/>
    <col min="14852" max="14852" width="13.33203125" style="1501" bestFit="1" customWidth="1"/>
    <col min="14853" max="14853" width="10.1640625" style="1501" bestFit="1" customWidth="1"/>
    <col min="14854" max="14854" width="12.6640625" style="1501" bestFit="1" customWidth="1"/>
    <col min="14855" max="14855" width="10.1640625" style="1501" bestFit="1" customWidth="1"/>
    <col min="14856" max="14856" width="19.83203125" style="1501" customWidth="1"/>
    <col min="14857" max="14857" width="15.33203125" style="1501" customWidth="1"/>
    <col min="14858" max="14858" width="14.33203125" style="1501" customWidth="1"/>
    <col min="14859" max="15104" width="9.33203125" style="1501"/>
    <col min="15105" max="15105" width="2.6640625" style="1501" customWidth="1"/>
    <col min="15106" max="15106" width="7.6640625" style="1501" bestFit="1" customWidth="1"/>
    <col min="15107" max="15107" width="34.6640625" style="1501" customWidth="1"/>
    <col min="15108" max="15108" width="13.33203125" style="1501" bestFit="1" customWidth="1"/>
    <col min="15109" max="15109" width="10.1640625" style="1501" bestFit="1" customWidth="1"/>
    <col min="15110" max="15110" width="12.6640625" style="1501" bestFit="1" customWidth="1"/>
    <col min="15111" max="15111" width="10.1640625" style="1501" bestFit="1" customWidth="1"/>
    <col min="15112" max="15112" width="19.83203125" style="1501" customWidth="1"/>
    <col min="15113" max="15113" width="15.33203125" style="1501" customWidth="1"/>
    <col min="15114" max="15114" width="14.33203125" style="1501" customWidth="1"/>
    <col min="15115" max="15360" width="9.33203125" style="1501"/>
    <col min="15361" max="15361" width="2.6640625" style="1501" customWidth="1"/>
    <col min="15362" max="15362" width="7.6640625" style="1501" bestFit="1" customWidth="1"/>
    <col min="15363" max="15363" width="34.6640625" style="1501" customWidth="1"/>
    <col min="15364" max="15364" width="13.33203125" style="1501" bestFit="1" customWidth="1"/>
    <col min="15365" max="15365" width="10.1640625" style="1501" bestFit="1" customWidth="1"/>
    <col min="15366" max="15366" width="12.6640625" style="1501" bestFit="1" customWidth="1"/>
    <col min="15367" max="15367" width="10.1640625" style="1501" bestFit="1" customWidth="1"/>
    <col min="15368" max="15368" width="19.83203125" style="1501" customWidth="1"/>
    <col min="15369" max="15369" width="15.33203125" style="1501" customWidth="1"/>
    <col min="15370" max="15370" width="14.33203125" style="1501" customWidth="1"/>
    <col min="15371" max="15616" width="9.33203125" style="1501"/>
    <col min="15617" max="15617" width="2.6640625" style="1501" customWidth="1"/>
    <col min="15618" max="15618" width="7.6640625" style="1501" bestFit="1" customWidth="1"/>
    <col min="15619" max="15619" width="34.6640625" style="1501" customWidth="1"/>
    <col min="15620" max="15620" width="13.33203125" style="1501" bestFit="1" customWidth="1"/>
    <col min="15621" max="15621" width="10.1640625" style="1501" bestFit="1" customWidth="1"/>
    <col min="15622" max="15622" width="12.6640625" style="1501" bestFit="1" customWidth="1"/>
    <col min="15623" max="15623" width="10.1640625" style="1501" bestFit="1" customWidth="1"/>
    <col min="15624" max="15624" width="19.83203125" style="1501" customWidth="1"/>
    <col min="15625" max="15625" width="15.33203125" style="1501" customWidth="1"/>
    <col min="15626" max="15626" width="14.33203125" style="1501" customWidth="1"/>
    <col min="15627" max="15872" width="9.33203125" style="1501"/>
    <col min="15873" max="15873" width="2.6640625" style="1501" customWidth="1"/>
    <col min="15874" max="15874" width="7.6640625" style="1501" bestFit="1" customWidth="1"/>
    <col min="15875" max="15875" width="34.6640625" style="1501" customWidth="1"/>
    <col min="15876" max="15876" width="13.33203125" style="1501" bestFit="1" customWidth="1"/>
    <col min="15877" max="15877" width="10.1640625" style="1501" bestFit="1" customWidth="1"/>
    <col min="15878" max="15878" width="12.6640625" style="1501" bestFit="1" customWidth="1"/>
    <col min="15879" max="15879" width="10.1640625" style="1501" bestFit="1" customWidth="1"/>
    <col min="15880" max="15880" width="19.83203125" style="1501" customWidth="1"/>
    <col min="15881" max="15881" width="15.33203125" style="1501" customWidth="1"/>
    <col min="15882" max="15882" width="14.33203125" style="1501" customWidth="1"/>
    <col min="15883" max="16128" width="9.33203125" style="1501"/>
    <col min="16129" max="16129" width="2.6640625" style="1501" customWidth="1"/>
    <col min="16130" max="16130" width="7.6640625" style="1501" bestFit="1" customWidth="1"/>
    <col min="16131" max="16131" width="34.6640625" style="1501" customWidth="1"/>
    <col min="16132" max="16132" width="13.33203125" style="1501" bestFit="1" customWidth="1"/>
    <col min="16133" max="16133" width="10.1640625" style="1501" bestFit="1" customWidth="1"/>
    <col min="16134" max="16134" width="12.6640625" style="1501" bestFit="1" customWidth="1"/>
    <col min="16135" max="16135" width="10.1640625" style="1501" bestFit="1" customWidth="1"/>
    <col min="16136" max="16136" width="19.83203125" style="1501" customWidth="1"/>
    <col min="16137" max="16137" width="15.33203125" style="1501" customWidth="1"/>
    <col min="16138" max="16138" width="14.33203125" style="1501" customWidth="1"/>
    <col min="16139" max="16384" width="9.33203125" style="1501"/>
  </cols>
  <sheetData>
    <row r="1" spans="2:11" ht="28.5" hidden="1" customHeight="1" outlineLevel="1" x14ac:dyDescent="0.2">
      <c r="F1" s="3953" t="s">
        <v>1479</v>
      </c>
      <c r="G1" s="3954"/>
      <c r="H1" s="3954"/>
      <c r="I1" s="3954"/>
      <c r="J1" s="1502"/>
    </row>
    <row r="2" spans="2:11" s="1503" customFormat="1" collapsed="1" x14ac:dyDescent="0.2">
      <c r="B2" s="3149"/>
      <c r="C2" s="3149"/>
      <c r="D2" s="3149"/>
      <c r="E2" s="3149"/>
      <c r="F2" s="3149"/>
      <c r="G2" s="3149"/>
      <c r="H2" s="3149"/>
      <c r="I2" s="3150"/>
      <c r="J2" s="3150"/>
    </row>
    <row r="3" spans="2:11" outlineLevel="1" x14ac:dyDescent="0.2">
      <c r="B3" s="3955" t="s">
        <v>1480</v>
      </c>
      <c r="C3" s="3955"/>
      <c r="D3" s="3955"/>
      <c r="E3" s="3955"/>
      <c r="F3" s="3955"/>
      <c r="G3" s="3955"/>
      <c r="H3" s="3955"/>
      <c r="I3" s="3955"/>
      <c r="J3" s="3955"/>
    </row>
    <row r="4" spans="2:11" outlineLevel="1" x14ac:dyDescent="0.2">
      <c r="B4" s="3955" t="s">
        <v>1481</v>
      </c>
      <c r="C4" s="3955"/>
      <c r="D4" s="3955"/>
      <c r="E4" s="3955"/>
      <c r="F4" s="3955"/>
      <c r="G4" s="3955"/>
      <c r="H4" s="3955"/>
      <c r="I4" s="3955"/>
      <c r="J4" s="3955"/>
    </row>
    <row r="5" spans="2:11" outlineLevel="1" x14ac:dyDescent="0.2">
      <c r="B5" s="3955" t="s">
        <v>182</v>
      </c>
      <c r="C5" s="3955"/>
      <c r="D5" s="3955"/>
      <c r="E5" s="3955"/>
      <c r="F5" s="3955"/>
      <c r="G5" s="3955"/>
      <c r="H5" s="3955"/>
      <c r="I5" s="3955"/>
      <c r="J5" s="3955"/>
    </row>
    <row r="6" spans="2:11" s="1503" customFormat="1" x14ac:dyDescent="0.2">
      <c r="B6" s="3149"/>
      <c r="C6" s="3149"/>
      <c r="D6" s="3149"/>
      <c r="E6" s="3149"/>
      <c r="F6" s="3149"/>
      <c r="G6" s="3149"/>
      <c r="H6" s="3149"/>
      <c r="I6" s="3150"/>
      <c r="J6" s="3151" t="s">
        <v>1311</v>
      </c>
    </row>
    <row r="7" spans="2:11" ht="33.75" customHeight="1" x14ac:dyDescent="0.2">
      <c r="B7" s="3956" t="s">
        <v>78</v>
      </c>
      <c r="C7" s="3956" t="s">
        <v>218</v>
      </c>
      <c r="D7" s="3956" t="s">
        <v>219</v>
      </c>
      <c r="E7" s="3956" t="s">
        <v>204</v>
      </c>
      <c r="F7" s="3956"/>
      <c r="G7" s="3956"/>
      <c r="H7" s="3956"/>
      <c r="I7" s="3957" t="s">
        <v>205</v>
      </c>
      <c r="J7" s="3957" t="s">
        <v>206</v>
      </c>
    </row>
    <row r="8" spans="2:11" ht="57.75" x14ac:dyDescent="0.2">
      <c r="B8" s="3956"/>
      <c r="C8" s="3956"/>
      <c r="D8" s="3956"/>
      <c r="E8" s="3152" t="s">
        <v>220</v>
      </c>
      <c r="F8" s="3152" t="s">
        <v>292</v>
      </c>
      <c r="G8" s="3152" t="s">
        <v>221</v>
      </c>
      <c r="H8" s="3152" t="s">
        <v>180</v>
      </c>
      <c r="I8" s="3958"/>
      <c r="J8" s="3958"/>
    </row>
    <row r="9" spans="2:11" x14ac:dyDescent="0.2">
      <c r="B9" s="3153">
        <v>1</v>
      </c>
      <c r="C9" s="3153">
        <v>2</v>
      </c>
      <c r="D9" s="3153">
        <v>3</v>
      </c>
      <c r="E9" s="3153">
        <v>4</v>
      </c>
      <c r="F9" s="3153">
        <v>5</v>
      </c>
      <c r="G9" s="3153">
        <v>6</v>
      </c>
      <c r="H9" s="3153">
        <v>7</v>
      </c>
      <c r="I9" s="3153">
        <v>8</v>
      </c>
      <c r="J9" s="3153">
        <v>9</v>
      </c>
    </row>
    <row r="10" spans="2:11" x14ac:dyDescent="0.2">
      <c r="B10" s="3153">
        <v>1</v>
      </c>
      <c r="C10" s="3154" t="s">
        <v>222</v>
      </c>
      <c r="D10" s="3153" t="s">
        <v>223</v>
      </c>
      <c r="E10" s="3155"/>
      <c r="F10" s="3155"/>
      <c r="G10" s="3155"/>
      <c r="H10" s="3156"/>
      <c r="I10" s="3155"/>
      <c r="J10" s="3155"/>
      <c r="K10" s="1504"/>
    </row>
    <row r="11" spans="2:11" x14ac:dyDescent="0.2">
      <c r="B11" s="3153">
        <v>2</v>
      </c>
      <c r="C11" s="3154" t="s">
        <v>224</v>
      </c>
      <c r="D11" s="3153" t="s">
        <v>225</v>
      </c>
      <c r="E11" s="3155"/>
      <c r="F11" s="3155"/>
      <c r="G11" s="3155"/>
      <c r="H11" s="3155"/>
      <c r="I11" s="3155"/>
      <c r="J11" s="3155"/>
    </row>
    <row r="12" spans="2:11" ht="25.5" x14ac:dyDescent="0.2">
      <c r="B12" s="3153">
        <v>3</v>
      </c>
      <c r="C12" s="3154" t="s">
        <v>226</v>
      </c>
      <c r="D12" s="3153" t="s">
        <v>227</v>
      </c>
      <c r="E12" s="3155"/>
      <c r="F12" s="3155"/>
      <c r="G12" s="3155"/>
      <c r="H12" s="3155"/>
      <c r="I12" s="3155"/>
      <c r="J12" s="3155"/>
    </row>
    <row r="13" spans="2:11" ht="25.5" x14ac:dyDescent="0.2">
      <c r="B13" s="3153">
        <v>4</v>
      </c>
      <c r="C13" s="3154" t="s">
        <v>228</v>
      </c>
      <c r="D13" s="3153" t="s">
        <v>229</v>
      </c>
      <c r="E13" s="3155"/>
      <c r="F13" s="3155"/>
      <c r="G13" s="3155"/>
      <c r="H13" s="3155"/>
      <c r="I13" s="3155"/>
      <c r="J13" s="3155"/>
    </row>
    <row r="14" spans="2:11" x14ac:dyDescent="0.2">
      <c r="B14" s="3153">
        <v>5</v>
      </c>
      <c r="C14" s="3154" t="s">
        <v>230</v>
      </c>
      <c r="D14" s="3153" t="s">
        <v>231</v>
      </c>
      <c r="E14" s="3155"/>
      <c r="F14" s="3155"/>
      <c r="G14" s="3155"/>
      <c r="H14" s="3155"/>
      <c r="I14" s="3155"/>
      <c r="J14" s="3155"/>
    </row>
    <row r="15" spans="2:11" x14ac:dyDescent="0.2">
      <c r="B15" s="3153">
        <v>6</v>
      </c>
      <c r="C15" s="3154" t="s">
        <v>232</v>
      </c>
      <c r="D15" s="3153" t="s">
        <v>231</v>
      </c>
      <c r="E15" s="3155"/>
      <c r="F15" s="3155"/>
      <c r="G15" s="3155"/>
      <c r="H15" s="3155"/>
      <c r="I15" s="3155"/>
      <c r="J15" s="3155"/>
    </row>
    <row r="16" spans="2:11" x14ac:dyDescent="0.2">
      <c r="B16" s="3153">
        <v>7</v>
      </c>
      <c r="C16" s="3154" t="s">
        <v>233</v>
      </c>
      <c r="D16" s="3153" t="s">
        <v>231</v>
      </c>
      <c r="E16" s="3155"/>
      <c r="F16" s="3155"/>
      <c r="G16" s="3155"/>
      <c r="H16" s="3155"/>
      <c r="I16" s="3155"/>
      <c r="J16" s="3155"/>
    </row>
    <row r="17" spans="2:10" ht="25.5" x14ac:dyDescent="0.2">
      <c r="B17" s="3153">
        <v>8</v>
      </c>
      <c r="C17" s="3154" t="s">
        <v>234</v>
      </c>
      <c r="D17" s="3153" t="s">
        <v>235</v>
      </c>
      <c r="E17" s="3155"/>
      <c r="F17" s="3155"/>
      <c r="G17" s="3155"/>
      <c r="H17" s="3155"/>
      <c r="I17" s="3155"/>
      <c r="J17" s="3155"/>
    </row>
    <row r="18" spans="2:10" x14ac:dyDescent="0.2">
      <c r="B18" s="3153">
        <v>9</v>
      </c>
      <c r="C18" s="3154" t="s">
        <v>236</v>
      </c>
      <c r="D18" s="3153" t="s">
        <v>227</v>
      </c>
      <c r="E18" s="3155"/>
      <c r="F18" s="3155"/>
      <c r="G18" s="3155"/>
      <c r="H18" s="3155"/>
      <c r="I18" s="3155"/>
      <c r="J18" s="3155"/>
    </row>
    <row r="19" spans="2:10" x14ac:dyDescent="0.2">
      <c r="B19" s="3157" t="s">
        <v>237</v>
      </c>
      <c r="C19" s="1231" t="s">
        <v>238</v>
      </c>
      <c r="D19" s="3157" t="s">
        <v>239</v>
      </c>
      <c r="E19" s="3155"/>
      <c r="F19" s="659"/>
      <c r="G19" s="3155"/>
      <c r="H19" s="3155"/>
      <c r="I19" s="3155"/>
      <c r="J19" s="3155"/>
    </row>
    <row r="20" spans="2:10" x14ac:dyDescent="0.2">
      <c r="B20" s="3157" t="s">
        <v>240</v>
      </c>
      <c r="C20" s="1231" t="s">
        <v>241</v>
      </c>
      <c r="D20" s="3157" t="s">
        <v>242</v>
      </c>
      <c r="E20" s="3155"/>
      <c r="F20" s="659"/>
      <c r="G20" s="3155"/>
      <c r="H20" s="3155"/>
      <c r="I20" s="3155"/>
      <c r="J20" s="3155"/>
    </row>
    <row r="21" spans="2:10" x14ac:dyDescent="0.2">
      <c r="B21" s="3157" t="s">
        <v>243</v>
      </c>
      <c r="C21" s="1231" t="s">
        <v>244</v>
      </c>
      <c r="D21" s="3157"/>
      <c r="E21" s="3155"/>
      <c r="F21" s="659"/>
      <c r="G21" s="3155"/>
      <c r="H21" s="3155"/>
      <c r="I21" s="3155"/>
      <c r="J21" s="3155"/>
    </row>
    <row r="22" spans="2:10" ht="60" x14ac:dyDescent="0.2">
      <c r="B22" s="3157" t="s">
        <v>245</v>
      </c>
      <c r="C22" s="1231" t="s">
        <v>246</v>
      </c>
      <c r="D22" s="3157" t="s">
        <v>227</v>
      </c>
      <c r="E22" s="3155"/>
      <c r="F22" s="659"/>
      <c r="G22" s="3155"/>
      <c r="H22" s="3155"/>
      <c r="I22" s="3155"/>
      <c r="J22" s="3155"/>
    </row>
    <row r="23" spans="2:10" ht="36" x14ac:dyDescent="0.2">
      <c r="B23" s="3157" t="s">
        <v>247</v>
      </c>
      <c r="C23" s="1231" t="s">
        <v>248</v>
      </c>
      <c r="D23" s="3157" t="s">
        <v>227</v>
      </c>
      <c r="E23" s="3155"/>
      <c r="F23" s="659"/>
      <c r="G23" s="3155"/>
      <c r="H23" s="3155"/>
      <c r="I23" s="3155"/>
      <c r="J23" s="3155"/>
    </row>
    <row r="24" spans="2:10" x14ac:dyDescent="0.2">
      <c r="B24" s="3157" t="s">
        <v>249</v>
      </c>
      <c r="C24" s="1231" t="s">
        <v>250</v>
      </c>
      <c r="D24" s="3157" t="s">
        <v>227</v>
      </c>
      <c r="E24" s="3155"/>
      <c r="F24" s="659"/>
      <c r="G24" s="3155"/>
      <c r="H24" s="3155"/>
      <c r="I24" s="3155"/>
      <c r="J24" s="3155"/>
    </row>
    <row r="25" spans="2:10" ht="12" customHeight="1" x14ac:dyDescent="0.2">
      <c r="B25" s="3157" t="s">
        <v>251</v>
      </c>
      <c r="C25" s="1231" t="s">
        <v>252</v>
      </c>
      <c r="D25" s="3157" t="s">
        <v>227</v>
      </c>
      <c r="E25" s="3155"/>
      <c r="F25" s="659"/>
      <c r="G25" s="3155"/>
      <c r="H25" s="3155"/>
      <c r="I25" s="3155"/>
      <c r="J25" s="3155"/>
    </row>
    <row r="26" spans="2:10" x14ac:dyDescent="0.2">
      <c r="B26" s="3157" t="s">
        <v>253</v>
      </c>
      <c r="C26" s="1231" t="s">
        <v>1386</v>
      </c>
      <c r="D26" s="3157" t="s">
        <v>254</v>
      </c>
      <c r="E26" s="3155"/>
      <c r="F26" s="659"/>
      <c r="G26" s="3155"/>
      <c r="H26" s="3155"/>
      <c r="I26" s="3155"/>
      <c r="J26" s="3155"/>
    </row>
    <row r="27" spans="2:10" x14ac:dyDescent="0.2">
      <c r="B27" s="3157" t="s">
        <v>255</v>
      </c>
      <c r="C27" s="3154" t="s">
        <v>256</v>
      </c>
      <c r="D27" s="3157" t="s">
        <v>254</v>
      </c>
      <c r="E27" s="3155"/>
      <c r="F27" s="659"/>
      <c r="G27" s="3155"/>
      <c r="H27" s="3155"/>
      <c r="I27" s="3155"/>
      <c r="J27" s="3155"/>
    </row>
    <row r="28" spans="2:10" x14ac:dyDescent="0.2">
      <c r="B28" s="3157">
        <v>10</v>
      </c>
      <c r="C28" s="1231" t="s">
        <v>257</v>
      </c>
      <c r="D28" s="3153"/>
      <c r="E28" s="3155"/>
      <c r="F28" s="3155"/>
      <c r="G28" s="3155"/>
      <c r="H28" s="3155"/>
      <c r="I28" s="3155"/>
      <c r="J28" s="3155"/>
    </row>
    <row r="29" spans="2:10" x14ac:dyDescent="0.2">
      <c r="B29" s="3158" t="s">
        <v>258</v>
      </c>
      <c r="C29" s="1231" t="s">
        <v>259</v>
      </c>
      <c r="D29" s="3153" t="s">
        <v>227</v>
      </c>
      <c r="E29" s="3155"/>
      <c r="F29" s="3155"/>
      <c r="G29" s="3155"/>
      <c r="H29" s="3155"/>
      <c r="I29" s="3155"/>
      <c r="J29" s="3155"/>
    </row>
    <row r="30" spans="2:10" x14ac:dyDescent="0.2">
      <c r="B30" s="3158" t="s">
        <v>260</v>
      </c>
      <c r="C30" s="1231" t="s">
        <v>261</v>
      </c>
      <c r="D30" s="3153" t="s">
        <v>227</v>
      </c>
      <c r="E30" s="3155"/>
      <c r="F30" s="3155"/>
      <c r="G30" s="3155"/>
      <c r="H30" s="3155"/>
      <c r="I30" s="3155"/>
      <c r="J30" s="3155"/>
    </row>
    <row r="31" spans="2:10" x14ac:dyDescent="0.2">
      <c r="B31" s="3157" t="s">
        <v>262</v>
      </c>
      <c r="C31" s="1231" t="s">
        <v>263</v>
      </c>
      <c r="D31" s="3153" t="s">
        <v>227</v>
      </c>
      <c r="E31" s="3155"/>
      <c r="F31" s="3155"/>
      <c r="G31" s="3155"/>
      <c r="H31" s="3155"/>
      <c r="I31" s="3155"/>
      <c r="J31" s="3155"/>
    </row>
    <row r="32" spans="2:10" x14ac:dyDescent="0.2">
      <c r="B32" s="3157" t="s">
        <v>264</v>
      </c>
      <c r="C32" s="1231" t="s">
        <v>265</v>
      </c>
      <c r="D32" s="3153" t="s">
        <v>227</v>
      </c>
      <c r="E32" s="3155"/>
      <c r="F32" s="3155"/>
      <c r="G32" s="3155"/>
      <c r="H32" s="3155"/>
      <c r="I32" s="3155"/>
      <c r="J32" s="3155"/>
    </row>
    <row r="33" spans="2:10" x14ac:dyDescent="0.2">
      <c r="B33" s="3157" t="s">
        <v>266</v>
      </c>
      <c r="C33" s="1231" t="s">
        <v>267</v>
      </c>
      <c r="D33" s="3153" t="s">
        <v>227</v>
      </c>
      <c r="E33" s="3155"/>
      <c r="F33" s="3155"/>
      <c r="G33" s="3155"/>
      <c r="H33" s="3155"/>
      <c r="I33" s="3155"/>
      <c r="J33" s="3155"/>
    </row>
    <row r="34" spans="2:10" x14ac:dyDescent="0.2">
      <c r="B34" s="3157">
        <v>11</v>
      </c>
      <c r="C34" s="1231" t="s">
        <v>268</v>
      </c>
      <c r="D34" s="3153"/>
      <c r="E34" s="3155"/>
      <c r="F34" s="3155"/>
      <c r="G34" s="3155"/>
      <c r="H34" s="3155"/>
      <c r="I34" s="3155"/>
      <c r="J34" s="3155"/>
    </row>
    <row r="35" spans="2:10" x14ac:dyDescent="0.2">
      <c r="B35" s="3157" t="s">
        <v>269</v>
      </c>
      <c r="C35" s="1231" t="s">
        <v>259</v>
      </c>
      <c r="D35" s="3153" t="s">
        <v>227</v>
      </c>
      <c r="E35" s="3155"/>
      <c r="F35" s="3155"/>
      <c r="G35" s="3155"/>
      <c r="H35" s="3155"/>
      <c r="I35" s="3155"/>
      <c r="J35" s="3155"/>
    </row>
    <row r="36" spans="2:10" x14ac:dyDescent="0.2">
      <c r="B36" s="3157" t="s">
        <v>270</v>
      </c>
      <c r="C36" s="1231" t="s">
        <v>261</v>
      </c>
      <c r="D36" s="3153" t="s">
        <v>227</v>
      </c>
      <c r="E36" s="3155"/>
      <c r="F36" s="3155"/>
      <c r="G36" s="3155"/>
      <c r="H36" s="3155"/>
      <c r="I36" s="3155"/>
      <c r="J36" s="3155"/>
    </row>
    <row r="37" spans="2:10" x14ac:dyDescent="0.2">
      <c r="B37" s="3157" t="s">
        <v>271</v>
      </c>
      <c r="C37" s="1231" t="s">
        <v>263</v>
      </c>
      <c r="D37" s="3153" t="s">
        <v>227</v>
      </c>
      <c r="E37" s="3155"/>
      <c r="F37" s="3155"/>
      <c r="G37" s="3155"/>
      <c r="H37" s="3155"/>
      <c r="I37" s="3155"/>
      <c r="J37" s="3155"/>
    </row>
    <row r="38" spans="2:10" x14ac:dyDescent="0.2">
      <c r="B38" s="3157" t="s">
        <v>272</v>
      </c>
      <c r="C38" s="1231" t="s">
        <v>265</v>
      </c>
      <c r="D38" s="3153" t="s">
        <v>227</v>
      </c>
      <c r="E38" s="3155"/>
      <c r="F38" s="3155"/>
      <c r="G38" s="3155"/>
      <c r="H38" s="3155"/>
      <c r="I38" s="3155"/>
      <c r="J38" s="3155"/>
    </row>
    <row r="39" spans="2:10" x14ac:dyDescent="0.2">
      <c r="B39" s="3157" t="s">
        <v>273</v>
      </c>
      <c r="C39" s="1231" t="s">
        <v>267</v>
      </c>
      <c r="D39" s="3153" t="s">
        <v>227</v>
      </c>
      <c r="E39" s="3155"/>
      <c r="F39" s="3155"/>
      <c r="G39" s="3155"/>
      <c r="H39" s="3155"/>
      <c r="I39" s="3155"/>
      <c r="J39" s="3155"/>
    </row>
    <row r="40" spans="2:10" x14ac:dyDescent="0.2">
      <c r="B40" s="3157">
        <v>12</v>
      </c>
      <c r="C40" s="1231" t="s">
        <v>274</v>
      </c>
      <c r="D40" s="3153"/>
      <c r="E40" s="3155"/>
      <c r="F40" s="3155"/>
      <c r="G40" s="3155"/>
      <c r="H40" s="3155"/>
      <c r="I40" s="3155"/>
      <c r="J40" s="3155"/>
    </row>
    <row r="41" spans="2:10" x14ac:dyDescent="0.2">
      <c r="B41" s="3157" t="s">
        <v>275</v>
      </c>
      <c r="C41" s="1231" t="s">
        <v>259</v>
      </c>
      <c r="D41" s="3153" t="s">
        <v>227</v>
      </c>
      <c r="E41" s="3155"/>
      <c r="F41" s="3155"/>
      <c r="G41" s="3155"/>
      <c r="H41" s="3155"/>
      <c r="I41" s="3155"/>
      <c r="J41" s="3155"/>
    </row>
    <row r="42" spans="2:10" x14ac:dyDescent="0.2">
      <c r="B42" s="3157" t="s">
        <v>276</v>
      </c>
      <c r="C42" s="1231" t="s">
        <v>261</v>
      </c>
      <c r="D42" s="3153" t="s">
        <v>227</v>
      </c>
      <c r="E42" s="3155"/>
      <c r="F42" s="3155"/>
      <c r="G42" s="3155"/>
      <c r="H42" s="3155"/>
      <c r="I42" s="3155"/>
      <c r="J42" s="3155"/>
    </row>
    <row r="43" spans="2:10" x14ac:dyDescent="0.2">
      <c r="B43" s="3157" t="s">
        <v>277</v>
      </c>
      <c r="C43" s="1231" t="s">
        <v>263</v>
      </c>
      <c r="D43" s="3153" t="s">
        <v>227</v>
      </c>
      <c r="E43" s="3155"/>
      <c r="F43" s="3155"/>
      <c r="G43" s="3155"/>
      <c r="H43" s="3155"/>
      <c r="I43" s="3155"/>
      <c r="J43" s="3155"/>
    </row>
    <row r="44" spans="2:10" x14ac:dyDescent="0.2">
      <c r="B44" s="3157" t="s">
        <v>278</v>
      </c>
      <c r="C44" s="1231" t="s">
        <v>265</v>
      </c>
      <c r="D44" s="3153" t="s">
        <v>227</v>
      </c>
      <c r="E44" s="3155"/>
      <c r="F44" s="3155"/>
      <c r="G44" s="3155"/>
      <c r="H44" s="3155"/>
      <c r="I44" s="3155"/>
      <c r="J44" s="3155"/>
    </row>
    <row r="45" spans="2:10" ht="24" x14ac:dyDescent="0.2">
      <c r="B45" s="3157">
        <v>13</v>
      </c>
      <c r="C45" s="1231" t="s">
        <v>1482</v>
      </c>
      <c r="D45" s="3153" t="s">
        <v>279</v>
      </c>
      <c r="E45" s="3155"/>
      <c r="F45" s="3155"/>
      <c r="G45" s="3155"/>
      <c r="H45" s="3155"/>
      <c r="I45" s="3155"/>
      <c r="J45" s="3155"/>
    </row>
    <row r="46" spans="2:10" x14ac:dyDescent="0.2">
      <c r="B46" s="3157">
        <v>14</v>
      </c>
      <c r="C46" s="1231" t="s">
        <v>1483</v>
      </c>
      <c r="D46" s="3153"/>
      <c r="E46" s="3155"/>
      <c r="F46" s="3155"/>
      <c r="G46" s="3155"/>
      <c r="H46" s="3155"/>
      <c r="I46" s="3155"/>
      <c r="J46" s="3155"/>
    </row>
    <row r="47" spans="2:10" ht="24" x14ac:dyDescent="0.2">
      <c r="B47" s="3157" t="s">
        <v>1484</v>
      </c>
      <c r="C47" s="1231" t="s">
        <v>1485</v>
      </c>
      <c r="D47" s="3153" t="s">
        <v>279</v>
      </c>
      <c r="E47" s="3155"/>
      <c r="F47" s="3155"/>
      <c r="G47" s="3155"/>
      <c r="H47" s="3155"/>
      <c r="I47" s="3155"/>
      <c r="J47" s="3155"/>
    </row>
    <row r="48" spans="2:10" x14ac:dyDescent="0.2">
      <c r="B48" s="3157"/>
      <c r="C48" s="1231" t="s">
        <v>1486</v>
      </c>
      <c r="D48" s="3153" t="s">
        <v>279</v>
      </c>
      <c r="E48" s="3155"/>
      <c r="F48" s="3155"/>
      <c r="G48" s="3155"/>
      <c r="H48" s="3155"/>
      <c r="I48" s="3155"/>
      <c r="J48" s="3155"/>
    </row>
    <row r="49" spans="2:10" x14ac:dyDescent="0.2">
      <c r="B49" s="3157"/>
      <c r="C49" s="1231" t="s">
        <v>1487</v>
      </c>
      <c r="D49" s="3153" t="s">
        <v>279</v>
      </c>
      <c r="E49" s="3155"/>
      <c r="F49" s="3155"/>
      <c r="G49" s="3155"/>
      <c r="H49" s="3155"/>
      <c r="I49" s="3155"/>
      <c r="J49" s="3155"/>
    </row>
    <row r="50" spans="2:10" x14ac:dyDescent="0.2">
      <c r="B50" s="3158" t="s">
        <v>1488</v>
      </c>
      <c r="C50" s="1231" t="s">
        <v>1489</v>
      </c>
      <c r="D50" s="3153" t="s">
        <v>279</v>
      </c>
      <c r="E50" s="3155"/>
      <c r="F50" s="3155"/>
      <c r="G50" s="3155"/>
      <c r="H50" s="3155"/>
      <c r="I50" s="3155"/>
      <c r="J50" s="3155"/>
    </row>
    <row r="51" spans="2:10" x14ac:dyDescent="0.2">
      <c r="B51" s="3157"/>
      <c r="C51" s="1231" t="s">
        <v>1486</v>
      </c>
      <c r="D51" s="3153" t="s">
        <v>279</v>
      </c>
      <c r="E51" s="3155"/>
      <c r="F51" s="3155"/>
      <c r="G51" s="3155"/>
      <c r="H51" s="3155"/>
      <c r="I51" s="3155"/>
      <c r="J51" s="3155"/>
    </row>
    <row r="52" spans="2:10" x14ac:dyDescent="0.2">
      <c r="B52" s="3158"/>
      <c r="C52" s="1231" t="s">
        <v>1487</v>
      </c>
      <c r="D52" s="3153" t="s">
        <v>279</v>
      </c>
      <c r="E52" s="3155"/>
      <c r="F52" s="3155"/>
      <c r="G52" s="3155"/>
      <c r="H52" s="3155"/>
      <c r="I52" s="3155"/>
      <c r="J52" s="3155"/>
    </row>
    <row r="53" spans="2:10" x14ac:dyDescent="0.2">
      <c r="B53" s="3157">
        <v>16</v>
      </c>
      <c r="C53" s="1231" t="s">
        <v>280</v>
      </c>
      <c r="D53" s="3153"/>
      <c r="E53" s="3155"/>
      <c r="F53" s="3155"/>
      <c r="G53" s="3155"/>
      <c r="H53" s="3155"/>
      <c r="I53" s="3155"/>
      <c r="J53" s="3155"/>
    </row>
    <row r="54" spans="2:10" x14ac:dyDescent="0.2">
      <c r="B54" s="3157" t="s">
        <v>281</v>
      </c>
      <c r="C54" s="1231" t="s">
        <v>282</v>
      </c>
      <c r="D54" s="3153" t="s">
        <v>223</v>
      </c>
      <c r="E54" s="3155"/>
      <c r="F54" s="3155"/>
      <c r="G54" s="3155"/>
      <c r="H54" s="3155"/>
      <c r="I54" s="3155"/>
      <c r="J54" s="3155"/>
    </row>
    <row r="55" spans="2:10" x14ac:dyDescent="0.2">
      <c r="B55" s="3157" t="s">
        <v>283</v>
      </c>
      <c r="C55" s="1231" t="s">
        <v>284</v>
      </c>
      <c r="D55" s="3153" t="s">
        <v>223</v>
      </c>
      <c r="E55" s="3155"/>
      <c r="F55" s="3155"/>
      <c r="G55" s="3155"/>
      <c r="H55" s="3155"/>
      <c r="I55" s="3155"/>
      <c r="J55" s="3155"/>
    </row>
    <row r="56" spans="2:10" ht="24" x14ac:dyDescent="0.2">
      <c r="B56" s="3157">
        <v>17</v>
      </c>
      <c r="C56" s="1231" t="s">
        <v>285</v>
      </c>
      <c r="D56" s="3153" t="s">
        <v>223</v>
      </c>
      <c r="E56" s="3155"/>
      <c r="F56" s="3155"/>
      <c r="G56" s="3155">
        <v>50</v>
      </c>
      <c r="H56" s="3155"/>
      <c r="I56" s="3155">
        <v>50</v>
      </c>
      <c r="J56" s="3155">
        <v>50</v>
      </c>
    </row>
    <row r="57" spans="2:10" ht="36" x14ac:dyDescent="0.2">
      <c r="B57" s="3157">
        <v>18</v>
      </c>
      <c r="C57" s="1231" t="s">
        <v>286</v>
      </c>
      <c r="D57" s="3153" t="s">
        <v>287</v>
      </c>
      <c r="E57" s="3155"/>
      <c r="F57" s="3155"/>
      <c r="G57" s="3155"/>
      <c r="H57" s="3155"/>
      <c r="I57" s="3155"/>
      <c r="J57" s="3155"/>
    </row>
    <row r="58" spans="2:10" ht="24" x14ac:dyDescent="0.2">
      <c r="B58" s="3157">
        <v>19</v>
      </c>
      <c r="C58" s="1231" t="s">
        <v>1490</v>
      </c>
      <c r="D58" s="3157"/>
      <c r="E58" s="3155"/>
      <c r="F58" s="3155"/>
      <c r="G58" s="3155"/>
      <c r="H58" s="3155"/>
      <c r="I58" s="3155"/>
      <c r="J58" s="3155"/>
    </row>
    <row r="59" spans="2:10" x14ac:dyDescent="0.2">
      <c r="B59" s="3157"/>
      <c r="C59" s="1231" t="s">
        <v>1491</v>
      </c>
      <c r="D59" s="3157"/>
      <c r="E59" s="3155"/>
      <c r="F59" s="3155"/>
      <c r="G59" s="3155"/>
      <c r="H59" s="3155"/>
      <c r="I59" s="3155"/>
      <c r="J59" s="3155"/>
    </row>
    <row r="60" spans="2:10" x14ac:dyDescent="0.2">
      <c r="B60" s="3157"/>
      <c r="C60" s="1231" t="s">
        <v>1492</v>
      </c>
      <c r="D60" s="3157"/>
      <c r="E60" s="3155"/>
      <c r="F60" s="3155"/>
      <c r="G60" s="3155"/>
      <c r="H60" s="3155"/>
      <c r="I60" s="3155"/>
      <c r="J60" s="3155"/>
    </row>
    <row r="61" spans="2:10" x14ac:dyDescent="0.2">
      <c r="B61" s="3157"/>
      <c r="C61" s="1231" t="s">
        <v>1493</v>
      </c>
      <c r="D61" s="3157"/>
      <c r="E61" s="3155"/>
      <c r="F61" s="3155"/>
      <c r="G61" s="3155"/>
      <c r="H61" s="3155"/>
      <c r="I61" s="3155"/>
      <c r="J61" s="3155"/>
    </row>
    <row r="62" spans="2:10" x14ac:dyDescent="0.2">
      <c r="B62" s="3157"/>
      <c r="C62" s="1231" t="s">
        <v>1494</v>
      </c>
      <c r="D62" s="3157"/>
      <c r="E62" s="3155"/>
      <c r="F62" s="3155"/>
      <c r="G62" s="3155"/>
      <c r="H62" s="3155"/>
      <c r="I62" s="3155"/>
      <c r="J62" s="3155"/>
    </row>
    <row r="63" spans="2:10" x14ac:dyDescent="0.2">
      <c r="B63" s="3157"/>
      <c r="C63" s="1231" t="s">
        <v>1495</v>
      </c>
      <c r="D63" s="3157"/>
      <c r="E63" s="3155"/>
      <c r="F63" s="3155"/>
      <c r="G63" s="3155"/>
      <c r="H63" s="3155"/>
      <c r="I63" s="3155"/>
      <c r="J63" s="3155"/>
    </row>
    <row r="64" spans="2:10" x14ac:dyDescent="0.2">
      <c r="B64" s="3157"/>
      <c r="C64" s="1231" t="s">
        <v>1496</v>
      </c>
      <c r="D64" s="3157"/>
      <c r="E64" s="3155"/>
      <c r="F64" s="3155"/>
      <c r="G64" s="3155"/>
      <c r="H64" s="3155"/>
      <c r="I64" s="3155"/>
      <c r="J64" s="3155"/>
    </row>
    <row r="65" spans="2:10" x14ac:dyDescent="0.2">
      <c r="B65" s="3157"/>
      <c r="C65" s="1231" t="s">
        <v>1497</v>
      </c>
      <c r="D65" s="3157"/>
      <c r="E65" s="3155"/>
      <c r="F65" s="3155"/>
      <c r="G65" s="3155"/>
      <c r="H65" s="3155"/>
      <c r="I65" s="3155"/>
      <c r="J65" s="3155"/>
    </row>
    <row r="66" spans="2:10" x14ac:dyDescent="0.2">
      <c r="B66" s="3157"/>
      <c r="C66" s="1231" t="s">
        <v>1498</v>
      </c>
      <c r="D66" s="3157"/>
      <c r="E66" s="3155"/>
      <c r="F66" s="3155"/>
      <c r="G66" s="3155"/>
      <c r="H66" s="3155"/>
      <c r="I66" s="3155"/>
      <c r="J66" s="3155"/>
    </row>
    <row r="67" spans="2:10" x14ac:dyDescent="0.2">
      <c r="B67" s="3157"/>
      <c r="C67" s="1231" t="s">
        <v>1499</v>
      </c>
      <c r="D67" s="3157"/>
      <c r="E67" s="3155"/>
      <c r="F67" s="3155"/>
      <c r="G67" s="3155"/>
      <c r="H67" s="3155"/>
      <c r="I67" s="3155"/>
      <c r="J67" s="3155"/>
    </row>
    <row r="68" spans="2:10" x14ac:dyDescent="0.2">
      <c r="B68" s="3157"/>
      <c r="C68" s="1231" t="s">
        <v>1500</v>
      </c>
      <c r="D68" s="3157"/>
      <c r="E68" s="3155"/>
      <c r="F68" s="3155"/>
      <c r="G68" s="3155"/>
      <c r="H68" s="3155"/>
      <c r="I68" s="3155"/>
      <c r="J68" s="3155"/>
    </row>
    <row r="69" spans="2:10" x14ac:dyDescent="0.2">
      <c r="B69" s="3157"/>
      <c r="C69" s="1231" t="s">
        <v>1501</v>
      </c>
      <c r="D69" s="3157"/>
      <c r="E69" s="3155"/>
      <c r="F69" s="3155"/>
      <c r="G69" s="3155"/>
      <c r="H69" s="3155"/>
      <c r="I69" s="3155"/>
      <c r="J69" s="3155"/>
    </row>
    <row r="70" spans="2:10" x14ac:dyDescent="0.2">
      <c r="B70" s="3157">
        <v>20</v>
      </c>
      <c r="C70" s="1231" t="s">
        <v>1502</v>
      </c>
      <c r="D70" s="3157"/>
      <c r="E70" s="3155"/>
      <c r="F70" s="3155"/>
      <c r="G70" s="3155"/>
      <c r="H70" s="3155"/>
      <c r="I70" s="3155"/>
      <c r="J70" s="3155"/>
    </row>
    <row r="71" spans="2:10" x14ac:dyDescent="0.2">
      <c r="B71" s="3157" t="s">
        <v>1503</v>
      </c>
      <c r="C71" s="1231" t="s">
        <v>1504</v>
      </c>
      <c r="D71" s="3157" t="s">
        <v>225</v>
      </c>
      <c r="E71" s="3155"/>
      <c r="F71" s="3155"/>
      <c r="G71" s="3155"/>
      <c r="H71" s="3155"/>
      <c r="I71" s="3155"/>
      <c r="J71" s="3155"/>
    </row>
    <row r="72" spans="2:10" x14ac:dyDescent="0.2">
      <c r="B72" s="3157" t="s">
        <v>1505</v>
      </c>
      <c r="C72" s="1231" t="s">
        <v>1506</v>
      </c>
      <c r="D72" s="3157" t="s">
        <v>225</v>
      </c>
      <c r="E72" s="3155"/>
      <c r="F72" s="3155"/>
      <c r="G72" s="3155"/>
      <c r="H72" s="3155"/>
      <c r="I72" s="3155"/>
      <c r="J72" s="3155"/>
    </row>
    <row r="73" spans="2:10" s="1505" customFormat="1" ht="24" x14ac:dyDescent="0.2">
      <c r="B73" s="3159">
        <v>21</v>
      </c>
      <c r="C73" s="3160" t="s">
        <v>288</v>
      </c>
      <c r="D73" s="3159"/>
      <c r="E73" s="3161"/>
      <c r="F73" s="3161"/>
      <c r="G73" s="3161">
        <f>SUM(G10:G72)</f>
        <v>50</v>
      </c>
      <c r="H73" s="3161"/>
      <c r="I73" s="3161">
        <f>SUM(I10:I72)</f>
        <v>50</v>
      </c>
      <c r="J73" s="3161">
        <f>SUM(J10:J72)</f>
        <v>50</v>
      </c>
    </row>
    <row r="74" spans="2:10" x14ac:dyDescent="0.2">
      <c r="B74" s="3149"/>
      <c r="C74" s="3149"/>
      <c r="D74" s="3149"/>
      <c r="E74" s="3162"/>
      <c r="F74" s="3162"/>
      <c r="G74" s="3162"/>
      <c r="H74" s="3162"/>
      <c r="I74" s="3162"/>
      <c r="J74" s="3162"/>
    </row>
    <row r="75" spans="2:10" x14ac:dyDescent="0.2">
      <c r="E75" s="1506"/>
      <c r="F75" s="1506"/>
      <c r="G75" s="1506"/>
      <c r="H75" s="1506"/>
      <c r="I75" s="1506"/>
      <c r="J75" s="1506"/>
    </row>
    <row r="76" spans="2:10" ht="15" customHeight="1" x14ac:dyDescent="0.2">
      <c r="B76" s="3950"/>
      <c r="C76" s="3950"/>
      <c r="E76" s="1506"/>
      <c r="F76" s="3951"/>
      <c r="G76" s="3951"/>
      <c r="H76" s="1506"/>
      <c r="I76" s="1506"/>
      <c r="J76" s="1506"/>
    </row>
    <row r="77" spans="2:10" x14ac:dyDescent="0.2">
      <c r="E77" s="1506"/>
      <c r="F77" s="1506"/>
      <c r="G77" s="1506"/>
      <c r="H77" s="1506"/>
      <c r="I77" s="1506"/>
      <c r="J77" s="1506"/>
    </row>
    <row r="78" spans="2:10" x14ac:dyDescent="0.2">
      <c r="E78" s="1506"/>
      <c r="F78" s="1506"/>
      <c r="G78" s="1506"/>
      <c r="H78" s="1506"/>
      <c r="I78" s="1506"/>
      <c r="J78" s="1506"/>
    </row>
    <row r="80" spans="2:10" ht="25.5" customHeight="1" x14ac:dyDescent="0.2">
      <c r="B80" s="3952"/>
      <c r="C80" s="3950"/>
    </row>
  </sheetData>
  <mergeCells count="13">
    <mergeCell ref="B76:C76"/>
    <mergeCell ref="F76:G76"/>
    <mergeCell ref="B80:C80"/>
    <mergeCell ref="F1:I1"/>
    <mergeCell ref="B3:J3"/>
    <mergeCell ref="B4:J4"/>
    <mergeCell ref="B5:J5"/>
    <mergeCell ref="B7:B8"/>
    <mergeCell ref="C7:C8"/>
    <mergeCell ref="D7:D8"/>
    <mergeCell ref="E7:H7"/>
    <mergeCell ref="I7:I8"/>
    <mergeCell ref="J7:J8"/>
  </mergeCells>
  <pageMargins left="1.1023622047244095" right="0.70866141732283472" top="0.74803149606299213" bottom="0.74803149606299213" header="0.31496062992125984" footer="0.31496062992125984"/>
  <pageSetup paperSize="9" scale="54" orientation="portrait" r:id="rId1"/>
  <rowBreaks count="1" manualBreakCount="1">
    <brk id="80" max="9" man="1"/>
  </rowBreaks>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2:O16"/>
  <sheetViews>
    <sheetView view="pageBreakPreview" zoomScaleNormal="70" zoomScaleSheetLayoutView="100" workbookViewId="0">
      <selection activeCell="D19" sqref="D19"/>
    </sheetView>
  </sheetViews>
  <sheetFormatPr defaultRowHeight="15" x14ac:dyDescent="0.25"/>
  <cols>
    <col min="1" max="1" width="9.33203125" style="1507"/>
    <col min="2" max="2" width="52.5" style="1507" customWidth="1"/>
    <col min="3" max="11" width="9.33203125" style="1507"/>
    <col min="12" max="12" width="14" style="1507" customWidth="1"/>
    <col min="13" max="16384" width="9.33203125" style="1507"/>
  </cols>
  <sheetData>
    <row r="2" spans="1:15" ht="53.25" customHeight="1" x14ac:dyDescent="0.25">
      <c r="A2" s="3960" t="s">
        <v>289</v>
      </c>
      <c r="B2" s="3960"/>
      <c r="C2" s="3960"/>
      <c r="D2" s="3960"/>
      <c r="E2" s="3960"/>
      <c r="F2" s="3960"/>
      <c r="G2" s="3960"/>
      <c r="H2" s="3960"/>
      <c r="I2" s="3960"/>
      <c r="J2" s="3960"/>
      <c r="K2" s="3960"/>
      <c r="L2" s="3960"/>
    </row>
    <row r="3" spans="1:15" x14ac:dyDescent="0.25">
      <c r="A3" s="1508"/>
      <c r="B3" s="1508"/>
      <c r="C3" s="1508"/>
      <c r="D3" s="1508"/>
      <c r="E3" s="1508"/>
      <c r="F3" s="1508"/>
      <c r="G3" s="1508"/>
      <c r="H3" s="1508"/>
      <c r="I3" s="1508"/>
      <c r="J3" s="1508"/>
      <c r="K3" s="1508"/>
      <c r="L3" s="1508"/>
    </row>
    <row r="4" spans="1:15" x14ac:dyDescent="0.25">
      <c r="A4" s="1508"/>
      <c r="B4" s="3961" t="s">
        <v>1507</v>
      </c>
      <c r="C4" s="3961"/>
      <c r="D4" s="3961"/>
      <c r="E4" s="3961"/>
      <c r="F4" s="3961"/>
      <c r="G4" s="3961"/>
      <c r="H4" s="3961"/>
      <c r="I4" s="3961"/>
      <c r="J4" s="3961"/>
      <c r="K4" s="3961"/>
      <c r="L4" s="1508"/>
    </row>
    <row r="5" spans="1:15" x14ac:dyDescent="0.25">
      <c r="A5" s="1508"/>
      <c r="B5" s="1508"/>
      <c r="C5" s="1508"/>
      <c r="D5" s="1508"/>
      <c r="E5" s="1508"/>
      <c r="F5" s="1508"/>
      <c r="G5" s="1508"/>
      <c r="H5" s="1508"/>
      <c r="I5" s="1508"/>
      <c r="J5" s="1508"/>
      <c r="K5" s="1508"/>
      <c r="L5" s="1508" t="s">
        <v>1311</v>
      </c>
    </row>
    <row r="6" spans="1:15" s="1512" customFormat="1" x14ac:dyDescent="0.25">
      <c r="A6" s="1509"/>
      <c r="B6" s="1510"/>
      <c r="C6" s="1510"/>
      <c r="D6" s="1510"/>
      <c r="E6" s="1510"/>
      <c r="F6" s="1510"/>
      <c r="G6" s="1510"/>
      <c r="H6" s="1510"/>
      <c r="I6" s="1510"/>
      <c r="J6" s="1510"/>
      <c r="K6" s="1510"/>
      <c r="L6" s="1511" t="s">
        <v>177</v>
      </c>
    </row>
    <row r="7" spans="1:15" s="1512" customFormat="1" ht="30" customHeight="1" x14ac:dyDescent="0.25">
      <c r="A7" s="3962" t="s">
        <v>290</v>
      </c>
      <c r="B7" s="3962" t="s">
        <v>218</v>
      </c>
      <c r="C7" s="3962" t="s">
        <v>219</v>
      </c>
      <c r="D7" s="3963" t="s">
        <v>204</v>
      </c>
      <c r="E7" s="3963"/>
      <c r="F7" s="3963"/>
      <c r="G7" s="3963" t="s">
        <v>205</v>
      </c>
      <c r="H7" s="3963"/>
      <c r="I7" s="3963"/>
      <c r="J7" s="3963" t="s">
        <v>206</v>
      </c>
      <c r="K7" s="3963"/>
      <c r="L7" s="3963"/>
    </row>
    <row r="8" spans="1:15" ht="120" x14ac:dyDescent="0.25">
      <c r="A8" s="3962"/>
      <c r="B8" s="3962"/>
      <c r="C8" s="3962"/>
      <c r="D8" s="1513" t="s">
        <v>291</v>
      </c>
      <c r="E8" s="1513" t="s">
        <v>292</v>
      </c>
      <c r="F8" s="1513" t="s">
        <v>221</v>
      </c>
      <c r="G8" s="1513" t="s">
        <v>291</v>
      </c>
      <c r="H8" s="1513" t="s">
        <v>292</v>
      </c>
      <c r="I8" s="1513" t="s">
        <v>221</v>
      </c>
      <c r="J8" s="1513" t="s">
        <v>291</v>
      </c>
      <c r="K8" s="1513" t="s">
        <v>292</v>
      </c>
      <c r="L8" s="1513" t="s">
        <v>221</v>
      </c>
    </row>
    <row r="9" spans="1:15" x14ac:dyDescent="0.25">
      <c r="A9" s="1513">
        <v>1</v>
      </c>
      <c r="B9" s="1513">
        <v>2</v>
      </c>
      <c r="C9" s="1513">
        <v>3</v>
      </c>
      <c r="D9" s="1513">
        <v>4</v>
      </c>
      <c r="E9" s="1513">
        <v>5</v>
      </c>
      <c r="F9" s="1513">
        <v>6</v>
      </c>
      <c r="G9" s="1513">
        <v>8</v>
      </c>
      <c r="H9" s="1513">
        <v>9</v>
      </c>
      <c r="I9" s="1513">
        <v>10</v>
      </c>
      <c r="J9" s="1513">
        <v>11</v>
      </c>
      <c r="K9" s="1513">
        <v>12</v>
      </c>
      <c r="L9" s="1513">
        <v>13</v>
      </c>
    </row>
    <row r="10" spans="1:15" ht="48.75" customHeight="1" x14ac:dyDescent="0.25">
      <c r="A10" s="1513">
        <v>1</v>
      </c>
      <c r="B10" s="1514" t="s">
        <v>1508</v>
      </c>
      <c r="C10" s="1513" t="s">
        <v>227</v>
      </c>
      <c r="D10" s="1515">
        <v>5</v>
      </c>
      <c r="E10" s="1515">
        <f>F10/D10/1.2*1000</f>
        <v>666.7</v>
      </c>
      <c r="F10" s="1515">
        <v>4</v>
      </c>
      <c r="G10" s="1515">
        <v>5</v>
      </c>
      <c r="H10" s="1515">
        <f>I10/G10/1.2*1000</f>
        <v>666.7</v>
      </c>
      <c r="I10" s="1515">
        <v>4</v>
      </c>
      <c r="J10" s="1515">
        <v>5</v>
      </c>
      <c r="K10" s="1515">
        <f>L10/J10/1.2*1000</f>
        <v>666.7</v>
      </c>
      <c r="L10" s="1515">
        <v>4</v>
      </c>
    </row>
    <row r="11" spans="1:15" s="1519" customFormat="1" ht="14.25" x14ac:dyDescent="0.2">
      <c r="A11" s="1516"/>
      <c r="B11" s="1517" t="s">
        <v>293</v>
      </c>
      <c r="C11" s="1516"/>
      <c r="D11" s="1518"/>
      <c r="E11" s="1518"/>
      <c r="F11" s="1518">
        <f>SUM(F10:F10)</f>
        <v>4</v>
      </c>
      <c r="G11" s="1518">
        <f t="shared" ref="G11:L11" si="0">SUM(G10:G10)</f>
        <v>5</v>
      </c>
      <c r="H11" s="1518">
        <f t="shared" si="0"/>
        <v>666.7</v>
      </c>
      <c r="I11" s="1518">
        <f t="shared" si="0"/>
        <v>4</v>
      </c>
      <c r="J11" s="1518">
        <f t="shared" si="0"/>
        <v>5</v>
      </c>
      <c r="K11" s="1518">
        <f t="shared" si="0"/>
        <v>666.7</v>
      </c>
      <c r="L11" s="1518">
        <f t="shared" si="0"/>
        <v>4</v>
      </c>
    </row>
    <row r="13" spans="1:15" s="1522" customFormat="1" ht="19.5" customHeight="1" x14ac:dyDescent="0.3">
      <c r="A13" s="1393"/>
      <c r="B13" s="1393"/>
      <c r="C13" s="1520"/>
      <c r="D13" s="1521"/>
      <c r="E13" s="1393"/>
      <c r="F13" s="1393"/>
      <c r="G13" s="3959"/>
      <c r="H13" s="3959"/>
      <c r="I13" s="3959"/>
      <c r="J13" s="3959"/>
      <c r="K13" s="3959"/>
      <c r="L13" s="3959"/>
      <c r="M13" s="3959"/>
      <c r="N13" s="3959"/>
      <c r="O13" s="3959"/>
    </row>
    <row r="14" spans="1:15" s="1522" customFormat="1" ht="19.5" x14ac:dyDescent="0.3"/>
    <row r="15" spans="1:15" s="1522" customFormat="1" ht="19.5" x14ac:dyDescent="0.3"/>
    <row r="16" spans="1:15" s="1522" customFormat="1" ht="19.5" x14ac:dyDescent="0.3">
      <c r="A16" s="1523"/>
    </row>
  </sheetData>
  <mergeCells count="9">
    <mergeCell ref="G13:O13"/>
    <mergeCell ref="A2:L2"/>
    <mergeCell ref="B4:K4"/>
    <mergeCell ref="A7:A8"/>
    <mergeCell ref="B7:B8"/>
    <mergeCell ref="C7:C8"/>
    <mergeCell ref="D7:F7"/>
    <mergeCell ref="G7:I7"/>
    <mergeCell ref="J7:L7"/>
  </mergeCells>
  <pageMargins left="0.70866141732283472" right="0.70866141732283472" top="0.74803149606299213" bottom="0.74803149606299213" header="0.31496062992125984" footer="0.31496062992125984"/>
  <pageSetup paperSize="9" scale="91"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28"/>
  <sheetViews>
    <sheetView view="pageBreakPreview" zoomScale="110" zoomScaleNormal="80" zoomScaleSheetLayoutView="110" workbookViewId="0">
      <pane xSplit="3" ySplit="15" topLeftCell="D16" activePane="bottomRight" state="frozen"/>
      <selection activeCell="J29" sqref="J29"/>
      <selection pane="topRight" activeCell="J29" sqref="J29"/>
      <selection pane="bottomLeft" activeCell="J29" sqref="J29"/>
      <selection pane="bottomRight" activeCell="B24" sqref="B24:E26"/>
    </sheetView>
  </sheetViews>
  <sheetFormatPr defaultRowHeight="12.75" x14ac:dyDescent="0.2"/>
  <cols>
    <col min="1" max="1" width="5.33203125" style="1346" customWidth="1"/>
    <col min="2" max="2" width="55.5" style="1346" customWidth="1"/>
    <col min="3" max="3" width="9" style="1346" customWidth="1"/>
    <col min="4" max="4" width="13.1640625" style="1524" customWidth="1"/>
    <col min="5" max="5" width="14.83203125" style="1524" customWidth="1"/>
    <col min="6" max="6" width="14.33203125" style="1525" customWidth="1"/>
    <col min="7" max="7" width="12.83203125" style="1526" customWidth="1"/>
    <col min="8" max="8" width="13.5" style="1524" customWidth="1"/>
    <col min="9" max="9" width="11.33203125" style="1524" customWidth="1"/>
    <col min="10" max="10" width="13.6640625" style="1524" customWidth="1"/>
    <col min="11" max="11" width="12.83203125" style="1524" customWidth="1"/>
    <col min="12" max="12" width="14.83203125" style="1524" customWidth="1"/>
    <col min="13" max="16384" width="9.33203125" style="1346"/>
  </cols>
  <sheetData>
    <row r="1" spans="1:12" ht="15" x14ac:dyDescent="0.25">
      <c r="H1" s="3633"/>
      <c r="I1" s="3633"/>
      <c r="J1" s="3633"/>
      <c r="K1" s="3633"/>
      <c r="L1" s="3633"/>
    </row>
    <row r="2" spans="1:12" ht="15" hidden="1" x14ac:dyDescent="0.25">
      <c r="H2" s="3633" t="s">
        <v>294</v>
      </c>
      <c r="I2" s="3633"/>
      <c r="J2" s="3633"/>
      <c r="K2" s="3633"/>
      <c r="L2" s="3633"/>
    </row>
    <row r="3" spans="1:12" ht="15" hidden="1" x14ac:dyDescent="0.25">
      <c r="H3" s="3633" t="s">
        <v>295</v>
      </c>
      <c r="I3" s="3633"/>
      <c r="J3" s="3633"/>
      <c r="K3" s="3633"/>
      <c r="L3" s="3633"/>
    </row>
    <row r="4" spans="1:12" ht="15" hidden="1" x14ac:dyDescent="0.25">
      <c r="H4" s="3633" t="s">
        <v>296</v>
      </c>
      <c r="I4" s="3633"/>
      <c r="J4" s="3633"/>
      <c r="K4" s="3633"/>
      <c r="L4" s="3633"/>
    </row>
    <row r="5" spans="1:12" ht="15" hidden="1" x14ac:dyDescent="0.25">
      <c r="H5" s="3633" t="s">
        <v>427</v>
      </c>
      <c r="I5" s="3633"/>
      <c r="J5" s="3633"/>
      <c r="K5" s="3633"/>
      <c r="L5" s="3633"/>
    </row>
    <row r="6" spans="1:12" ht="15" hidden="1" x14ac:dyDescent="0.25">
      <c r="H6" s="3633" t="s">
        <v>428</v>
      </c>
      <c r="I6" s="3633"/>
      <c r="J6" s="3633"/>
      <c r="K6" s="3633"/>
      <c r="L6" s="3633"/>
    </row>
    <row r="7" spans="1:12" ht="15" hidden="1" x14ac:dyDescent="0.25">
      <c r="H7" s="3633" t="s">
        <v>805</v>
      </c>
      <c r="I7" s="3633"/>
      <c r="J7" s="3633"/>
      <c r="K7" s="3633"/>
      <c r="L7" s="3633"/>
    </row>
    <row r="8" spans="1:12" x14ac:dyDescent="0.2">
      <c r="F8" s="1527"/>
    </row>
    <row r="9" spans="1:12" ht="40.5" customHeight="1" x14ac:dyDescent="0.2">
      <c r="A9" s="3964" t="s">
        <v>297</v>
      </c>
      <c r="B9" s="3964"/>
      <c r="C9" s="3964"/>
      <c r="D9" s="3964"/>
      <c r="E9" s="3964"/>
      <c r="F9" s="3964"/>
      <c r="G9" s="3964"/>
      <c r="H9" s="3964"/>
      <c r="I9" s="3964"/>
      <c r="J9" s="3964"/>
      <c r="K9" s="3964"/>
      <c r="L9" s="3964"/>
    </row>
    <row r="10" spans="1:12" ht="15.75" x14ac:dyDescent="0.2">
      <c r="A10" s="3965" t="s">
        <v>1444</v>
      </c>
      <c r="B10" s="3965"/>
      <c r="C10" s="3965"/>
      <c r="D10" s="3965"/>
      <c r="E10" s="3965"/>
      <c r="F10" s="3965"/>
      <c r="G10" s="3965"/>
      <c r="H10" s="3965"/>
      <c r="I10" s="3965"/>
      <c r="J10" s="3965"/>
      <c r="K10" s="3965"/>
      <c r="L10" s="3965"/>
    </row>
    <row r="11" spans="1:12" x14ac:dyDescent="0.2">
      <c r="L11" s="1528" t="s">
        <v>1309</v>
      </c>
    </row>
    <row r="12" spans="1:12" ht="27" customHeight="1" x14ac:dyDescent="0.2">
      <c r="A12" s="3966" t="s">
        <v>78</v>
      </c>
      <c r="B12" s="3966" t="s">
        <v>218</v>
      </c>
      <c r="C12" s="3966" t="s">
        <v>193</v>
      </c>
      <c r="D12" s="3967" t="s">
        <v>298</v>
      </c>
      <c r="E12" s="3967"/>
      <c r="F12" s="3967"/>
      <c r="G12" s="3968" t="s">
        <v>299</v>
      </c>
      <c r="H12" s="3968"/>
      <c r="I12" s="3968"/>
      <c r="J12" s="3968" t="s">
        <v>300</v>
      </c>
      <c r="K12" s="3968"/>
      <c r="L12" s="3968"/>
    </row>
    <row r="13" spans="1:12" ht="12.75" customHeight="1" x14ac:dyDescent="0.2">
      <c r="A13" s="3966"/>
      <c r="B13" s="3966"/>
      <c r="C13" s="3966"/>
      <c r="D13" s="3969" t="s">
        <v>301</v>
      </c>
      <c r="E13" s="3969" t="s">
        <v>302</v>
      </c>
      <c r="F13" s="3971" t="s">
        <v>303</v>
      </c>
      <c r="G13" s="3969" t="s">
        <v>301</v>
      </c>
      <c r="H13" s="3969" t="s">
        <v>302</v>
      </c>
      <c r="I13" s="3962" t="s">
        <v>303</v>
      </c>
      <c r="J13" s="3969" t="s">
        <v>301</v>
      </c>
      <c r="K13" s="3969" t="s">
        <v>302</v>
      </c>
      <c r="L13" s="3962" t="s">
        <v>303</v>
      </c>
    </row>
    <row r="14" spans="1:12" ht="34.5" customHeight="1" x14ac:dyDescent="0.2">
      <c r="A14" s="3966"/>
      <c r="B14" s="3966"/>
      <c r="C14" s="3966"/>
      <c r="D14" s="3969"/>
      <c r="E14" s="3969"/>
      <c r="F14" s="3971"/>
      <c r="G14" s="3969"/>
      <c r="H14" s="3969"/>
      <c r="I14" s="3962"/>
      <c r="J14" s="3969"/>
      <c r="K14" s="3969"/>
      <c r="L14" s="3962"/>
    </row>
    <row r="15" spans="1:12" x14ac:dyDescent="0.2">
      <c r="A15" s="1529">
        <v>1</v>
      </c>
      <c r="B15" s="1529">
        <v>2</v>
      </c>
      <c r="C15" s="1529">
        <v>3</v>
      </c>
      <c r="D15" s="1530">
        <v>4</v>
      </c>
      <c r="E15" s="1530">
        <v>5</v>
      </c>
      <c r="F15" s="1531">
        <v>6</v>
      </c>
      <c r="G15" s="1531">
        <v>8</v>
      </c>
      <c r="H15" s="1530">
        <v>9</v>
      </c>
      <c r="I15" s="1531">
        <v>10</v>
      </c>
      <c r="J15" s="1530">
        <v>11</v>
      </c>
      <c r="K15" s="1531">
        <v>12</v>
      </c>
      <c r="L15" s="1530">
        <v>13</v>
      </c>
    </row>
    <row r="16" spans="1:12" s="1537" customFormat="1" x14ac:dyDescent="0.2">
      <c r="A16" s="1532"/>
      <c r="B16" s="1533"/>
      <c r="C16" s="1532"/>
      <c r="D16" s="1534"/>
      <c r="E16" s="1535"/>
      <c r="F16" s="1536"/>
      <c r="G16" s="1534"/>
      <c r="H16" s="1535"/>
      <c r="I16" s="1535"/>
      <c r="J16" s="1534"/>
      <c r="K16" s="1535"/>
      <c r="L16" s="1535"/>
    </row>
    <row r="17" spans="1:12" s="1543" customFormat="1" x14ac:dyDescent="0.2">
      <c r="A17" s="1538">
        <v>6</v>
      </c>
      <c r="B17" s="1538" t="s">
        <v>1308</v>
      </c>
      <c r="C17" s="1539" t="s">
        <v>227</v>
      </c>
      <c r="D17" s="1540">
        <f>SUM(D18:D19)</f>
        <v>20</v>
      </c>
      <c r="E17" s="1540"/>
      <c r="F17" s="1541">
        <f>F18</f>
        <v>10</v>
      </c>
      <c r="G17" s="1540">
        <f>SUM(G18:G19)</f>
        <v>20</v>
      </c>
      <c r="H17" s="1540"/>
      <c r="I17" s="1542">
        <f>I18</f>
        <v>10</v>
      </c>
      <c r="J17" s="1540">
        <v>20</v>
      </c>
      <c r="K17" s="1540"/>
      <c r="L17" s="1542">
        <f>L18</f>
        <v>10</v>
      </c>
    </row>
    <row r="18" spans="1:12" s="1537" customFormat="1" x14ac:dyDescent="0.2">
      <c r="A18" s="1532"/>
      <c r="B18" s="1533" t="s">
        <v>1509</v>
      </c>
      <c r="C18" s="1544"/>
      <c r="D18" s="1534">
        <v>20</v>
      </c>
      <c r="E18" s="1535">
        <v>500</v>
      </c>
      <c r="F18" s="1536">
        <v>10</v>
      </c>
      <c r="G18" s="1534">
        <v>20</v>
      </c>
      <c r="H18" s="1535">
        <v>500</v>
      </c>
      <c r="I18" s="1535">
        <v>10</v>
      </c>
      <c r="J18" s="1534">
        <v>20</v>
      </c>
      <c r="K18" s="1535">
        <v>500</v>
      </c>
      <c r="L18" s="1535">
        <v>10</v>
      </c>
    </row>
    <row r="19" spans="1:12" s="1537" customFormat="1" x14ac:dyDescent="0.2">
      <c r="A19" s="1532"/>
      <c r="B19" s="1533"/>
      <c r="C19" s="1544"/>
      <c r="D19" s="1545"/>
      <c r="E19" s="1546"/>
      <c r="F19" s="1547"/>
      <c r="G19" s="1545"/>
      <c r="H19" s="1546"/>
      <c r="I19" s="1546"/>
      <c r="J19" s="1545"/>
      <c r="K19" s="1546"/>
      <c r="L19" s="1546"/>
    </row>
    <row r="20" spans="1:12" s="1554" customFormat="1" x14ac:dyDescent="0.2">
      <c r="A20" s="1548"/>
      <c r="B20" s="1549" t="s">
        <v>312</v>
      </c>
      <c r="C20" s="1548"/>
      <c r="D20" s="1550"/>
      <c r="E20" s="1550"/>
      <c r="F20" s="1551">
        <f>F17</f>
        <v>10</v>
      </c>
      <c r="G20" s="1552"/>
      <c r="H20" s="1550"/>
      <c r="I20" s="1553">
        <f>I17</f>
        <v>10</v>
      </c>
      <c r="J20" s="1550"/>
      <c r="K20" s="1550"/>
      <c r="L20" s="1553">
        <f>L17</f>
        <v>10</v>
      </c>
    </row>
    <row r="21" spans="1:12" s="1554" customFormat="1" x14ac:dyDescent="0.2">
      <c r="A21" s="1555"/>
      <c r="B21" s="1556"/>
      <c r="C21" s="1557"/>
      <c r="D21" s="1558"/>
      <c r="E21" s="1558"/>
      <c r="F21" s="1559"/>
      <c r="G21" s="1558"/>
      <c r="H21" s="1558"/>
      <c r="I21" s="1560"/>
      <c r="J21" s="1558"/>
      <c r="K21" s="1558"/>
      <c r="L21" s="1560"/>
    </row>
    <row r="22" spans="1:12" s="1554" customFormat="1" x14ac:dyDescent="0.2">
      <c r="A22" s="1555"/>
      <c r="B22" s="1561"/>
      <c r="C22" s="1557"/>
      <c r="D22" s="1558"/>
      <c r="E22" s="1558"/>
      <c r="F22" s="1562"/>
      <c r="G22" s="1558"/>
      <c r="H22" s="1558"/>
      <c r="I22" s="1563"/>
      <c r="J22" s="1558"/>
      <c r="K22" s="1558"/>
      <c r="L22" s="1563"/>
    </row>
    <row r="23" spans="1:12" s="1554" customFormat="1" x14ac:dyDescent="0.2">
      <c r="A23" s="1555"/>
      <c r="B23" s="1561"/>
      <c r="C23" s="1557"/>
      <c r="D23" s="1558"/>
      <c r="E23" s="1558"/>
      <c r="F23" s="1564"/>
      <c r="G23" s="1558"/>
      <c r="H23" s="1558"/>
      <c r="I23" s="1563"/>
      <c r="J23" s="1558"/>
      <c r="K23" s="1558"/>
      <c r="L23" s="1563"/>
    </row>
    <row r="24" spans="1:12" ht="33" customHeight="1" x14ac:dyDescent="0.2">
      <c r="B24" s="3970"/>
      <c r="C24" s="3970"/>
      <c r="F24" s="1564"/>
    </row>
    <row r="25" spans="1:12" x14ac:dyDescent="0.2">
      <c r="B25" s="1565"/>
      <c r="E25" s="1526"/>
      <c r="F25" s="1527"/>
      <c r="H25" s="1526"/>
      <c r="I25" s="1526"/>
      <c r="J25" s="1526"/>
      <c r="K25" s="1526"/>
      <c r="L25" s="1526"/>
    </row>
    <row r="26" spans="1:12" x14ac:dyDescent="0.2">
      <c r="B26" s="1566"/>
      <c r="E26" s="1526"/>
      <c r="H26" s="1526"/>
      <c r="I26" s="1526"/>
      <c r="J26" s="1526"/>
      <c r="K26" s="1526"/>
      <c r="L26" s="1526"/>
    </row>
    <row r="27" spans="1:12" x14ac:dyDescent="0.2">
      <c r="B27" s="1348"/>
      <c r="C27" s="1348"/>
      <c r="E27" s="1526"/>
      <c r="H27" s="1526"/>
      <c r="I27" s="1526"/>
      <c r="J27" s="1526"/>
      <c r="K27" s="1526"/>
      <c r="L27" s="1526"/>
    </row>
    <row r="28" spans="1:12" x14ac:dyDescent="0.2">
      <c r="B28" s="1348"/>
      <c r="C28" s="1348"/>
      <c r="E28" s="1526"/>
      <c r="H28" s="1526"/>
      <c r="I28" s="1526"/>
      <c r="J28" s="1526"/>
      <c r="K28" s="1526"/>
      <c r="L28" s="1526"/>
    </row>
  </sheetData>
  <mergeCells count="25">
    <mergeCell ref="B24:C24"/>
    <mergeCell ref="E13:E14"/>
    <mergeCell ref="F13:F14"/>
    <mergeCell ref="G13:G14"/>
    <mergeCell ref="H13:H14"/>
    <mergeCell ref="H7:L7"/>
    <mergeCell ref="A9:L9"/>
    <mergeCell ref="A10:L10"/>
    <mergeCell ref="A12:A14"/>
    <mergeCell ref="B12:B14"/>
    <mergeCell ref="C12:C14"/>
    <mergeCell ref="D12:F12"/>
    <mergeCell ref="G12:I12"/>
    <mergeCell ref="J12:L12"/>
    <mergeCell ref="D13:D14"/>
    <mergeCell ref="K13:K14"/>
    <mergeCell ref="L13:L14"/>
    <mergeCell ref="I13:I14"/>
    <mergeCell ref="J13:J14"/>
    <mergeCell ref="H6:L6"/>
    <mergeCell ref="H1:L1"/>
    <mergeCell ref="H2:L2"/>
    <mergeCell ref="H3:L3"/>
    <mergeCell ref="H4:L4"/>
    <mergeCell ref="H5:L5"/>
  </mergeCells>
  <pageMargins left="0.25" right="0.25" top="0.75" bottom="0.75" header="0.3" footer="0.3"/>
  <pageSetup paperSize="9" scale="8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M27"/>
  <sheetViews>
    <sheetView view="pageBreakPreview" zoomScale="110" zoomScaleNormal="70" zoomScaleSheetLayoutView="110" workbookViewId="0">
      <selection activeCell="A23" sqref="A23:J28"/>
    </sheetView>
  </sheetViews>
  <sheetFormatPr defaultRowHeight="15" x14ac:dyDescent="0.25"/>
  <cols>
    <col min="1" max="1" width="6.33203125" style="1507" customWidth="1"/>
    <col min="2" max="2" width="35.1640625" style="1507" customWidth="1"/>
    <col min="3" max="3" width="9.33203125" style="1507"/>
    <col min="4" max="4" width="14.6640625" style="1507" customWidth="1"/>
    <col min="5" max="5" width="16.1640625" style="1507" customWidth="1"/>
    <col min="6" max="6" width="18.1640625" style="1507" customWidth="1"/>
    <col min="7" max="7" width="17.83203125" style="1507" customWidth="1"/>
    <col min="8" max="8" width="14" style="1507" bestFit="1" customWidth="1"/>
    <col min="9" max="9" width="14.6640625" style="1507" bestFit="1" customWidth="1"/>
    <col min="10" max="10" width="17" style="1507" customWidth="1"/>
    <col min="11" max="11" width="14.5" style="1507" bestFit="1" customWidth="1"/>
    <col min="12" max="12" width="17.83203125" style="1507" customWidth="1"/>
    <col min="13" max="13" width="28.83203125" style="1507" customWidth="1"/>
    <col min="14" max="16384" width="9.33203125" style="1507"/>
  </cols>
  <sheetData>
    <row r="1" spans="1:13" s="1567" customFormat="1" x14ac:dyDescent="0.25"/>
    <row r="2" spans="1:13" s="1567" customFormat="1" ht="15.75" x14ac:dyDescent="0.25">
      <c r="A2" s="3974" t="s">
        <v>313</v>
      </c>
      <c r="B2" s="3974"/>
      <c r="C2" s="3974"/>
      <c r="D2" s="3974"/>
      <c r="E2" s="3974"/>
      <c r="F2" s="3974"/>
      <c r="G2" s="3974"/>
      <c r="H2" s="3974"/>
      <c r="I2" s="3974"/>
      <c r="J2" s="3974"/>
      <c r="K2" s="3974"/>
      <c r="L2" s="3974"/>
    </row>
    <row r="3" spans="1:13" s="1567" customFormat="1" ht="15.75" x14ac:dyDescent="0.25">
      <c r="A3" s="3975"/>
      <c r="B3" s="3975"/>
      <c r="C3" s="3975"/>
      <c r="D3" s="3975"/>
      <c r="E3" s="3975"/>
      <c r="F3" s="3975"/>
      <c r="G3" s="3975"/>
      <c r="H3" s="3975"/>
      <c r="I3" s="3975"/>
      <c r="J3" s="3975"/>
      <c r="K3" s="3975"/>
      <c r="L3" s="3975"/>
    </row>
    <row r="4" spans="1:13" s="1567" customFormat="1" x14ac:dyDescent="0.25">
      <c r="A4" s="3976" t="s">
        <v>1444</v>
      </c>
      <c r="B4" s="3976"/>
      <c r="C4" s="3976"/>
      <c r="D4" s="3976"/>
      <c r="E4" s="3976"/>
      <c r="F4" s="3976"/>
      <c r="G4" s="3976"/>
      <c r="H4" s="3976"/>
      <c r="I4" s="3976"/>
      <c r="J4" s="3976"/>
      <c r="K4" s="3976"/>
      <c r="L4" s="3976"/>
    </row>
    <row r="5" spans="1:13" s="1567" customFormat="1" x14ac:dyDescent="0.25">
      <c r="M5" s="1568" t="s">
        <v>1311</v>
      </c>
    </row>
    <row r="6" spans="1:13" ht="30" customHeight="1" x14ac:dyDescent="0.25">
      <c r="A6" s="3962" t="s">
        <v>290</v>
      </c>
      <c r="B6" s="3962" t="s">
        <v>218</v>
      </c>
      <c r="C6" s="3977" t="s">
        <v>219</v>
      </c>
      <c r="D6" s="3962" t="s">
        <v>204</v>
      </c>
      <c r="E6" s="3962"/>
      <c r="F6" s="3977"/>
      <c r="G6" s="3962" t="s">
        <v>205</v>
      </c>
      <c r="H6" s="3962"/>
      <c r="I6" s="3962"/>
      <c r="J6" s="3978" t="s">
        <v>206</v>
      </c>
      <c r="K6" s="3962"/>
      <c r="L6" s="3962"/>
      <c r="M6" s="3972" t="s">
        <v>180</v>
      </c>
    </row>
    <row r="7" spans="1:13" ht="60" x14ac:dyDescent="0.25">
      <c r="A7" s="3962"/>
      <c r="B7" s="3962"/>
      <c r="C7" s="3977"/>
      <c r="D7" s="1513" t="s">
        <v>314</v>
      </c>
      <c r="E7" s="1513" t="s">
        <v>292</v>
      </c>
      <c r="F7" s="1569" t="s">
        <v>315</v>
      </c>
      <c r="G7" s="1513" t="s">
        <v>314</v>
      </c>
      <c r="H7" s="1513" t="s">
        <v>292</v>
      </c>
      <c r="I7" s="1513" t="s">
        <v>316</v>
      </c>
      <c r="J7" s="1570" t="s">
        <v>314</v>
      </c>
      <c r="K7" s="1513" t="s">
        <v>292</v>
      </c>
      <c r="L7" s="1513" t="s">
        <v>317</v>
      </c>
      <c r="M7" s="3973"/>
    </row>
    <row r="8" spans="1:13" x14ac:dyDescent="0.25">
      <c r="A8" s="1513">
        <v>1</v>
      </c>
      <c r="B8" s="1513">
        <v>2</v>
      </c>
      <c r="C8" s="1569">
        <v>3</v>
      </c>
      <c r="D8" s="1513">
        <v>4</v>
      </c>
      <c r="E8" s="1569">
        <v>5</v>
      </c>
      <c r="F8" s="1513">
        <v>6</v>
      </c>
      <c r="G8" s="1569">
        <v>7</v>
      </c>
      <c r="H8" s="1513">
        <v>8</v>
      </c>
      <c r="I8" s="1569">
        <v>9</v>
      </c>
      <c r="J8" s="1513">
        <v>10</v>
      </c>
      <c r="K8" s="1569">
        <v>11</v>
      </c>
      <c r="L8" s="1513">
        <v>12</v>
      </c>
      <c r="M8" s="1569">
        <v>13</v>
      </c>
    </row>
    <row r="9" spans="1:13" ht="20.25" customHeight="1" x14ac:dyDescent="0.25">
      <c r="A9" s="1571">
        <v>1</v>
      </c>
      <c r="B9" s="1572" t="s">
        <v>1510</v>
      </c>
      <c r="C9" s="1573" t="s">
        <v>571</v>
      </c>
      <c r="D9" s="1571">
        <v>15</v>
      </c>
      <c r="E9" s="1574">
        <v>2000</v>
      </c>
      <c r="F9" s="1575">
        <v>30</v>
      </c>
      <c r="G9" s="1571">
        <v>15</v>
      </c>
      <c r="H9" s="1574">
        <v>2000</v>
      </c>
      <c r="I9" s="1575">
        <v>30</v>
      </c>
      <c r="J9" s="1571">
        <v>15</v>
      </c>
      <c r="K9" s="1574">
        <v>2000</v>
      </c>
      <c r="L9" s="1575">
        <v>30</v>
      </c>
      <c r="M9" s="1576"/>
    </row>
    <row r="10" spans="1:13" x14ac:dyDescent="0.25">
      <c r="A10" s="1513">
        <v>2</v>
      </c>
      <c r="B10" s="1514" t="s">
        <v>1511</v>
      </c>
      <c r="C10" s="1569" t="s">
        <v>564</v>
      </c>
      <c r="D10" s="1513">
        <v>1</v>
      </c>
      <c r="E10" s="1574">
        <v>4700</v>
      </c>
      <c r="F10" s="1575">
        <v>4.7</v>
      </c>
      <c r="G10" s="1513">
        <v>1</v>
      </c>
      <c r="H10" s="1574">
        <v>4700</v>
      </c>
      <c r="I10" s="1575">
        <v>4.7</v>
      </c>
      <c r="J10" s="1513">
        <v>1</v>
      </c>
      <c r="K10" s="1574">
        <v>4700</v>
      </c>
      <c r="L10" s="1575">
        <v>4.7</v>
      </c>
      <c r="M10" s="1577"/>
    </row>
    <row r="11" spans="1:13" x14ac:dyDescent="0.25">
      <c r="A11" s="1513">
        <v>3</v>
      </c>
      <c r="B11" s="1514" t="s">
        <v>1512</v>
      </c>
      <c r="C11" s="1569" t="s">
        <v>564</v>
      </c>
      <c r="D11" s="1513">
        <v>1</v>
      </c>
      <c r="E11" s="1574">
        <v>80000</v>
      </c>
      <c r="F11" s="1575">
        <v>80</v>
      </c>
      <c r="G11" s="1513">
        <v>1</v>
      </c>
      <c r="H11" s="1574">
        <v>80000</v>
      </c>
      <c r="I11" s="1575">
        <v>80</v>
      </c>
      <c r="J11" s="1513">
        <v>1</v>
      </c>
      <c r="K11" s="1574">
        <v>80000</v>
      </c>
      <c r="L11" s="1575">
        <v>80</v>
      </c>
      <c r="M11" s="1577"/>
    </row>
    <row r="12" spans="1:13" x14ac:dyDescent="0.25">
      <c r="A12" s="1513">
        <v>4</v>
      </c>
      <c r="B12" s="1514" t="s">
        <v>1513</v>
      </c>
      <c r="C12" s="1569" t="s">
        <v>564</v>
      </c>
      <c r="D12" s="1513">
        <v>1</v>
      </c>
      <c r="E12" s="1574">
        <v>24000</v>
      </c>
      <c r="F12" s="1575">
        <v>24</v>
      </c>
      <c r="G12" s="1513">
        <v>1</v>
      </c>
      <c r="H12" s="1574">
        <v>24000</v>
      </c>
      <c r="I12" s="1575">
        <v>24</v>
      </c>
      <c r="J12" s="1513">
        <v>1</v>
      </c>
      <c r="K12" s="1574">
        <v>24000</v>
      </c>
      <c r="L12" s="1575">
        <v>24</v>
      </c>
      <c r="M12" s="1577"/>
    </row>
    <row r="13" spans="1:13" ht="30" x14ac:dyDescent="0.25">
      <c r="A13" s="1513">
        <v>5</v>
      </c>
      <c r="B13" s="1514" t="s">
        <v>1514</v>
      </c>
      <c r="C13" s="1569" t="s">
        <v>564</v>
      </c>
      <c r="D13" s="1571">
        <v>1</v>
      </c>
      <c r="E13" s="1574">
        <v>12000</v>
      </c>
      <c r="F13" s="1575">
        <v>12</v>
      </c>
      <c r="G13" s="1571">
        <v>1</v>
      </c>
      <c r="H13" s="1574">
        <v>12000</v>
      </c>
      <c r="I13" s="1575">
        <v>12</v>
      </c>
      <c r="J13" s="1571">
        <v>1</v>
      </c>
      <c r="K13" s="1574">
        <v>12000</v>
      </c>
      <c r="L13" s="1575">
        <v>12</v>
      </c>
      <c r="M13" s="1577"/>
    </row>
    <row r="14" spans="1:13" x14ac:dyDescent="0.25">
      <c r="A14" s="1513">
        <v>6</v>
      </c>
      <c r="B14" s="1514" t="s">
        <v>1515</v>
      </c>
      <c r="C14" s="1569" t="s">
        <v>564</v>
      </c>
      <c r="D14" s="1513">
        <v>1</v>
      </c>
      <c r="E14" s="1515">
        <v>83000</v>
      </c>
      <c r="F14" s="1578">
        <v>80</v>
      </c>
      <c r="G14" s="1513">
        <v>1</v>
      </c>
      <c r="H14" s="1515">
        <v>83000</v>
      </c>
      <c r="I14" s="1578">
        <v>80</v>
      </c>
      <c r="J14" s="1513">
        <v>1</v>
      </c>
      <c r="K14" s="1515">
        <v>83000</v>
      </c>
      <c r="L14" s="1578">
        <v>80</v>
      </c>
      <c r="M14" s="1577"/>
    </row>
    <row r="15" spans="1:13" x14ac:dyDescent="0.25">
      <c r="A15" s="1513">
        <v>7</v>
      </c>
      <c r="B15" s="1514" t="s">
        <v>1516</v>
      </c>
      <c r="C15" s="1569" t="s">
        <v>564</v>
      </c>
      <c r="D15" s="1513">
        <v>1</v>
      </c>
      <c r="E15" s="1515">
        <v>83000</v>
      </c>
      <c r="F15" s="1578">
        <v>83</v>
      </c>
      <c r="G15" s="1513">
        <v>1</v>
      </c>
      <c r="H15" s="1515">
        <v>83000</v>
      </c>
      <c r="I15" s="1578">
        <v>83</v>
      </c>
      <c r="J15" s="1513">
        <v>1</v>
      </c>
      <c r="K15" s="1515">
        <v>83000</v>
      </c>
      <c r="L15" s="1578">
        <v>83</v>
      </c>
      <c r="M15" s="1577"/>
    </row>
    <row r="16" spans="1:13" ht="30" x14ac:dyDescent="0.25">
      <c r="A16" s="1513">
        <v>8</v>
      </c>
      <c r="B16" s="1514" t="s">
        <v>1517</v>
      </c>
      <c r="C16" s="1569" t="s">
        <v>201</v>
      </c>
      <c r="D16" s="1513">
        <v>6</v>
      </c>
      <c r="E16" s="1515">
        <v>18000</v>
      </c>
      <c r="F16" s="1578">
        <v>108.2</v>
      </c>
      <c r="G16" s="1513">
        <v>6</v>
      </c>
      <c r="H16" s="1515">
        <v>18000</v>
      </c>
      <c r="I16" s="1578">
        <v>108.2</v>
      </c>
      <c r="J16" s="1513">
        <v>6</v>
      </c>
      <c r="K16" s="1515">
        <v>18000</v>
      </c>
      <c r="L16" s="1578">
        <v>108.2</v>
      </c>
      <c r="M16" s="1577"/>
    </row>
    <row r="17" spans="1:13" ht="30" x14ac:dyDescent="0.25">
      <c r="A17" s="1513">
        <v>9</v>
      </c>
      <c r="B17" s="1514" t="s">
        <v>1518</v>
      </c>
      <c r="C17" s="1569" t="s">
        <v>564</v>
      </c>
      <c r="D17" s="1513">
        <v>1</v>
      </c>
      <c r="E17" s="1515">
        <v>7500</v>
      </c>
      <c r="F17" s="1578">
        <v>7.5</v>
      </c>
      <c r="G17" s="1513">
        <v>1</v>
      </c>
      <c r="H17" s="1515">
        <v>7500</v>
      </c>
      <c r="I17" s="1578">
        <v>7.5</v>
      </c>
      <c r="J17" s="1513">
        <v>1</v>
      </c>
      <c r="K17" s="1515">
        <v>7500</v>
      </c>
      <c r="L17" s="1578">
        <v>7.5</v>
      </c>
      <c r="M17" s="1577"/>
    </row>
    <row r="18" spans="1:13" x14ac:dyDescent="0.25">
      <c r="A18" s="1513">
        <v>10</v>
      </c>
      <c r="B18" s="1514" t="s">
        <v>1310</v>
      </c>
      <c r="C18" s="1569"/>
      <c r="D18" s="1513"/>
      <c r="E18" s="1515"/>
      <c r="F18" s="1578">
        <v>5600</v>
      </c>
      <c r="G18" s="1513"/>
      <c r="H18" s="1515"/>
      <c r="I18" s="1578">
        <v>5600</v>
      </c>
      <c r="J18" s="1570"/>
      <c r="K18" s="1515"/>
      <c r="L18" s="1578">
        <v>5600</v>
      </c>
      <c r="M18" s="1577"/>
    </row>
    <row r="19" spans="1:13" s="1585" customFormat="1" ht="28.5" x14ac:dyDescent="0.25">
      <c r="A19" s="1579"/>
      <c r="B19" s="1580" t="s">
        <v>319</v>
      </c>
      <c r="C19" s="1581"/>
      <c r="D19" s="1579"/>
      <c r="E19" s="1582"/>
      <c r="F19" s="1583">
        <f>SUM(F9:F18)</f>
        <v>6029.4</v>
      </c>
      <c r="G19" s="1583"/>
      <c r="H19" s="1583"/>
      <c r="I19" s="1583">
        <f t="shared" ref="I19" si="0">SUM(I9:I18)</f>
        <v>6029.4</v>
      </c>
      <c r="J19" s="1583"/>
      <c r="K19" s="1583"/>
      <c r="L19" s="1583">
        <f t="shared" ref="L19" si="1">SUM(L9:L18)</f>
        <v>6029.4</v>
      </c>
      <c r="M19" s="1584"/>
    </row>
    <row r="20" spans="1:13" x14ac:dyDescent="0.25">
      <c r="B20" s="1507" t="s">
        <v>188</v>
      </c>
    </row>
    <row r="24" spans="1:13" x14ac:dyDescent="0.25">
      <c r="B24" s="1342"/>
      <c r="C24" s="1524"/>
    </row>
    <row r="25" spans="1:13" x14ac:dyDescent="0.25">
      <c r="B25" s="1345"/>
      <c r="C25" s="1524"/>
    </row>
    <row r="26" spans="1:13" x14ac:dyDescent="0.25">
      <c r="B26" s="1346"/>
      <c r="C26" s="1346"/>
    </row>
    <row r="27" spans="1:13" x14ac:dyDescent="0.25">
      <c r="B27" s="1586"/>
      <c r="C27" s="1348"/>
    </row>
  </sheetData>
  <mergeCells count="10">
    <mergeCell ref="M6:M7"/>
    <mergeCell ref="A2:L2"/>
    <mergeCell ref="A3:L3"/>
    <mergeCell ref="A4:L4"/>
    <mergeCell ref="A6:A7"/>
    <mergeCell ref="B6:B7"/>
    <mergeCell ref="C6:C7"/>
    <mergeCell ref="D6:F6"/>
    <mergeCell ref="G6:I6"/>
    <mergeCell ref="J6:L6"/>
  </mergeCells>
  <pageMargins left="0.70866141732283472" right="0.70866141732283472" top="0.74803149606299213" bottom="0.74803149606299213" header="0.31496062992125984" footer="0.31496062992125984"/>
  <pageSetup paperSize="9" scale="65"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29"/>
  <sheetViews>
    <sheetView view="pageBreakPreview" zoomScale="90" zoomScaleNormal="100" zoomScaleSheetLayoutView="90" workbookViewId="0">
      <selection activeCell="A29" sqref="A29:B29"/>
    </sheetView>
  </sheetViews>
  <sheetFormatPr defaultRowHeight="12.75" x14ac:dyDescent="0.2"/>
  <cols>
    <col min="1" max="1" width="4" style="311" customWidth="1"/>
    <col min="2" max="2" width="31.83203125" style="308" customWidth="1"/>
    <col min="3" max="3" width="28" style="308" customWidth="1"/>
    <col min="4" max="4" width="10.83203125" style="309" customWidth="1"/>
    <col min="5" max="5" width="11.6640625" style="309" customWidth="1"/>
    <col min="6" max="6" width="11.83203125" style="309" customWidth="1"/>
    <col min="7" max="7" width="15.6640625" style="309" customWidth="1"/>
    <col min="8" max="8" width="36.33203125" style="308" customWidth="1"/>
    <col min="9" max="9" width="9.33203125" style="308"/>
    <col min="10" max="10" width="12.83203125" style="308" customWidth="1"/>
    <col min="11" max="247" width="9.33203125" style="308"/>
    <col min="248" max="248" width="1.1640625" style="308" customWidth="1"/>
    <col min="249" max="249" width="4" style="308" customWidth="1"/>
    <col min="250" max="250" width="31.83203125" style="308" customWidth="1"/>
    <col min="251" max="251" width="42.1640625" style="308" customWidth="1"/>
    <col min="252" max="252" width="8.1640625" style="308" bestFit="1" customWidth="1"/>
    <col min="253" max="253" width="7.5" style="308" customWidth="1"/>
    <col min="254" max="254" width="7.6640625" style="308" customWidth="1"/>
    <col min="255" max="255" width="15.5" style="308" customWidth="1"/>
    <col min="256" max="257" width="16" style="308" customWidth="1"/>
    <col min="258" max="258" width="19.33203125" style="308" customWidth="1"/>
    <col min="259" max="259" width="13.5" style="308" customWidth="1"/>
    <col min="260" max="260" width="13.6640625" style="308" customWidth="1"/>
    <col min="261" max="263" width="0" style="308" hidden="1" customWidth="1"/>
    <col min="264" max="503" width="9.33203125" style="308"/>
    <col min="504" max="504" width="1.1640625" style="308" customWidth="1"/>
    <col min="505" max="505" width="4" style="308" customWidth="1"/>
    <col min="506" max="506" width="31.83203125" style="308" customWidth="1"/>
    <col min="507" max="507" width="42.1640625" style="308" customWidth="1"/>
    <col min="508" max="508" width="8.1640625" style="308" bestFit="1" customWidth="1"/>
    <col min="509" max="509" width="7.5" style="308" customWidth="1"/>
    <col min="510" max="510" width="7.6640625" style="308" customWidth="1"/>
    <col min="511" max="511" width="15.5" style="308" customWidth="1"/>
    <col min="512" max="513" width="16" style="308" customWidth="1"/>
    <col min="514" max="514" width="19.33203125" style="308" customWidth="1"/>
    <col min="515" max="515" width="13.5" style="308" customWidth="1"/>
    <col min="516" max="516" width="13.6640625" style="308" customWidth="1"/>
    <col min="517" max="519" width="0" style="308" hidden="1" customWidth="1"/>
    <col min="520" max="759" width="9.33203125" style="308"/>
    <col min="760" max="760" width="1.1640625" style="308" customWidth="1"/>
    <col min="761" max="761" width="4" style="308" customWidth="1"/>
    <col min="762" max="762" width="31.83203125" style="308" customWidth="1"/>
    <col min="763" max="763" width="42.1640625" style="308" customWidth="1"/>
    <col min="764" max="764" width="8.1640625" style="308" bestFit="1" customWidth="1"/>
    <col min="765" max="765" width="7.5" style="308" customWidth="1"/>
    <col min="766" max="766" width="7.6640625" style="308" customWidth="1"/>
    <col min="767" max="767" width="15.5" style="308" customWidth="1"/>
    <col min="768" max="769" width="16" style="308" customWidth="1"/>
    <col min="770" max="770" width="19.33203125" style="308" customWidth="1"/>
    <col min="771" max="771" width="13.5" style="308" customWidth="1"/>
    <col min="772" max="772" width="13.6640625" style="308" customWidth="1"/>
    <col min="773" max="775" width="0" style="308" hidden="1" customWidth="1"/>
    <col min="776" max="1015" width="9.33203125" style="308"/>
    <col min="1016" max="1016" width="1.1640625" style="308" customWidth="1"/>
    <col min="1017" max="1017" width="4" style="308" customWidth="1"/>
    <col min="1018" max="1018" width="31.83203125" style="308" customWidth="1"/>
    <col min="1019" max="1019" width="42.1640625" style="308" customWidth="1"/>
    <col min="1020" max="1020" width="8.1640625" style="308" bestFit="1" customWidth="1"/>
    <col min="1021" max="1021" width="7.5" style="308" customWidth="1"/>
    <col min="1022" max="1022" width="7.6640625" style="308" customWidth="1"/>
    <col min="1023" max="1023" width="15.5" style="308" customWidth="1"/>
    <col min="1024" max="1025" width="16" style="308" customWidth="1"/>
    <col min="1026" max="1026" width="19.33203125" style="308" customWidth="1"/>
    <col min="1027" max="1027" width="13.5" style="308" customWidth="1"/>
    <col min="1028" max="1028" width="13.6640625" style="308" customWidth="1"/>
    <col min="1029" max="1031" width="0" style="308" hidden="1" customWidth="1"/>
    <col min="1032" max="1271" width="9.33203125" style="308"/>
    <col min="1272" max="1272" width="1.1640625" style="308" customWidth="1"/>
    <col min="1273" max="1273" width="4" style="308" customWidth="1"/>
    <col min="1274" max="1274" width="31.83203125" style="308" customWidth="1"/>
    <col min="1275" max="1275" width="42.1640625" style="308" customWidth="1"/>
    <col min="1276" max="1276" width="8.1640625" style="308" bestFit="1" customWidth="1"/>
    <col min="1277" max="1277" width="7.5" style="308" customWidth="1"/>
    <col min="1278" max="1278" width="7.6640625" style="308" customWidth="1"/>
    <col min="1279" max="1279" width="15.5" style="308" customWidth="1"/>
    <col min="1280" max="1281" width="16" style="308" customWidth="1"/>
    <col min="1282" max="1282" width="19.33203125" style="308" customWidth="1"/>
    <col min="1283" max="1283" width="13.5" style="308" customWidth="1"/>
    <col min="1284" max="1284" width="13.6640625" style="308" customWidth="1"/>
    <col min="1285" max="1287" width="0" style="308" hidden="1" customWidth="1"/>
    <col min="1288" max="1527" width="9.33203125" style="308"/>
    <col min="1528" max="1528" width="1.1640625" style="308" customWidth="1"/>
    <col min="1529" max="1529" width="4" style="308" customWidth="1"/>
    <col min="1530" max="1530" width="31.83203125" style="308" customWidth="1"/>
    <col min="1531" max="1531" width="42.1640625" style="308" customWidth="1"/>
    <col min="1532" max="1532" width="8.1640625" style="308" bestFit="1" customWidth="1"/>
    <col min="1533" max="1533" width="7.5" style="308" customWidth="1"/>
    <col min="1534" max="1534" width="7.6640625" style="308" customWidth="1"/>
    <col min="1535" max="1535" width="15.5" style="308" customWidth="1"/>
    <col min="1536" max="1537" width="16" style="308" customWidth="1"/>
    <col min="1538" max="1538" width="19.33203125" style="308" customWidth="1"/>
    <col min="1539" max="1539" width="13.5" style="308" customWidth="1"/>
    <col min="1540" max="1540" width="13.6640625" style="308" customWidth="1"/>
    <col min="1541" max="1543" width="0" style="308" hidden="1" customWidth="1"/>
    <col min="1544" max="1783" width="9.33203125" style="308"/>
    <col min="1784" max="1784" width="1.1640625" style="308" customWidth="1"/>
    <col min="1785" max="1785" width="4" style="308" customWidth="1"/>
    <col min="1786" max="1786" width="31.83203125" style="308" customWidth="1"/>
    <col min="1787" max="1787" width="42.1640625" style="308" customWidth="1"/>
    <col min="1788" max="1788" width="8.1640625" style="308" bestFit="1" customWidth="1"/>
    <col min="1789" max="1789" width="7.5" style="308" customWidth="1"/>
    <col min="1790" max="1790" width="7.6640625" style="308" customWidth="1"/>
    <col min="1791" max="1791" width="15.5" style="308" customWidth="1"/>
    <col min="1792" max="1793" width="16" style="308" customWidth="1"/>
    <col min="1794" max="1794" width="19.33203125" style="308" customWidth="1"/>
    <col min="1795" max="1795" width="13.5" style="308" customWidth="1"/>
    <col min="1796" max="1796" width="13.6640625" style="308" customWidth="1"/>
    <col min="1797" max="1799" width="0" style="308" hidden="1" customWidth="1"/>
    <col min="1800" max="2039" width="9.33203125" style="308"/>
    <col min="2040" max="2040" width="1.1640625" style="308" customWidth="1"/>
    <col min="2041" max="2041" width="4" style="308" customWidth="1"/>
    <col min="2042" max="2042" width="31.83203125" style="308" customWidth="1"/>
    <col min="2043" max="2043" width="42.1640625" style="308" customWidth="1"/>
    <col min="2044" max="2044" width="8.1640625" style="308" bestFit="1" customWidth="1"/>
    <col min="2045" max="2045" width="7.5" style="308" customWidth="1"/>
    <col min="2046" max="2046" width="7.6640625" style="308" customWidth="1"/>
    <col min="2047" max="2047" width="15.5" style="308" customWidth="1"/>
    <col min="2048" max="2049" width="16" style="308" customWidth="1"/>
    <col min="2050" max="2050" width="19.33203125" style="308" customWidth="1"/>
    <col min="2051" max="2051" width="13.5" style="308" customWidth="1"/>
    <col min="2052" max="2052" width="13.6640625" style="308" customWidth="1"/>
    <col min="2053" max="2055" width="0" style="308" hidden="1" customWidth="1"/>
    <col min="2056" max="2295" width="9.33203125" style="308"/>
    <col min="2296" max="2296" width="1.1640625" style="308" customWidth="1"/>
    <col min="2297" max="2297" width="4" style="308" customWidth="1"/>
    <col min="2298" max="2298" width="31.83203125" style="308" customWidth="1"/>
    <col min="2299" max="2299" width="42.1640625" style="308" customWidth="1"/>
    <col min="2300" max="2300" width="8.1640625" style="308" bestFit="1" customWidth="1"/>
    <col min="2301" max="2301" width="7.5" style="308" customWidth="1"/>
    <col min="2302" max="2302" width="7.6640625" style="308" customWidth="1"/>
    <col min="2303" max="2303" width="15.5" style="308" customWidth="1"/>
    <col min="2304" max="2305" width="16" style="308" customWidth="1"/>
    <col min="2306" max="2306" width="19.33203125" style="308" customWidth="1"/>
    <col min="2307" max="2307" width="13.5" style="308" customWidth="1"/>
    <col min="2308" max="2308" width="13.6640625" style="308" customWidth="1"/>
    <col min="2309" max="2311" width="0" style="308" hidden="1" customWidth="1"/>
    <col min="2312" max="2551" width="9.33203125" style="308"/>
    <col min="2552" max="2552" width="1.1640625" style="308" customWidth="1"/>
    <col min="2553" max="2553" width="4" style="308" customWidth="1"/>
    <col min="2554" max="2554" width="31.83203125" style="308" customWidth="1"/>
    <col min="2555" max="2555" width="42.1640625" style="308" customWidth="1"/>
    <col min="2556" max="2556" width="8.1640625" style="308" bestFit="1" customWidth="1"/>
    <col min="2557" max="2557" width="7.5" style="308" customWidth="1"/>
    <col min="2558" max="2558" width="7.6640625" style="308" customWidth="1"/>
    <col min="2559" max="2559" width="15.5" style="308" customWidth="1"/>
    <col min="2560" max="2561" width="16" style="308" customWidth="1"/>
    <col min="2562" max="2562" width="19.33203125" style="308" customWidth="1"/>
    <col min="2563" max="2563" width="13.5" style="308" customWidth="1"/>
    <col min="2564" max="2564" width="13.6640625" style="308" customWidth="1"/>
    <col min="2565" max="2567" width="0" style="308" hidden="1" customWidth="1"/>
    <col min="2568" max="2807" width="9.33203125" style="308"/>
    <col min="2808" max="2808" width="1.1640625" style="308" customWidth="1"/>
    <col min="2809" max="2809" width="4" style="308" customWidth="1"/>
    <col min="2810" max="2810" width="31.83203125" style="308" customWidth="1"/>
    <col min="2811" max="2811" width="42.1640625" style="308" customWidth="1"/>
    <col min="2812" max="2812" width="8.1640625" style="308" bestFit="1" customWidth="1"/>
    <col min="2813" max="2813" width="7.5" style="308" customWidth="1"/>
    <col min="2814" max="2814" width="7.6640625" style="308" customWidth="1"/>
    <col min="2815" max="2815" width="15.5" style="308" customWidth="1"/>
    <col min="2816" max="2817" width="16" style="308" customWidth="1"/>
    <col min="2818" max="2818" width="19.33203125" style="308" customWidth="1"/>
    <col min="2819" max="2819" width="13.5" style="308" customWidth="1"/>
    <col min="2820" max="2820" width="13.6640625" style="308" customWidth="1"/>
    <col min="2821" max="2823" width="0" style="308" hidden="1" customWidth="1"/>
    <col min="2824" max="3063" width="9.33203125" style="308"/>
    <col min="3064" max="3064" width="1.1640625" style="308" customWidth="1"/>
    <col min="3065" max="3065" width="4" style="308" customWidth="1"/>
    <col min="3066" max="3066" width="31.83203125" style="308" customWidth="1"/>
    <col min="3067" max="3067" width="42.1640625" style="308" customWidth="1"/>
    <col min="3068" max="3068" width="8.1640625" style="308" bestFit="1" customWidth="1"/>
    <col min="3069" max="3069" width="7.5" style="308" customWidth="1"/>
    <col min="3070" max="3070" width="7.6640625" style="308" customWidth="1"/>
    <col min="3071" max="3071" width="15.5" style="308" customWidth="1"/>
    <col min="3072" max="3073" width="16" style="308" customWidth="1"/>
    <col min="3074" max="3074" width="19.33203125" style="308" customWidth="1"/>
    <col min="3075" max="3075" width="13.5" style="308" customWidth="1"/>
    <col min="3076" max="3076" width="13.6640625" style="308" customWidth="1"/>
    <col min="3077" max="3079" width="0" style="308" hidden="1" customWidth="1"/>
    <col min="3080" max="3319" width="9.33203125" style="308"/>
    <col min="3320" max="3320" width="1.1640625" style="308" customWidth="1"/>
    <col min="3321" max="3321" width="4" style="308" customWidth="1"/>
    <col min="3322" max="3322" width="31.83203125" style="308" customWidth="1"/>
    <col min="3323" max="3323" width="42.1640625" style="308" customWidth="1"/>
    <col min="3324" max="3324" width="8.1640625" style="308" bestFit="1" customWidth="1"/>
    <col min="3325" max="3325" width="7.5" style="308" customWidth="1"/>
    <col min="3326" max="3326" width="7.6640625" style="308" customWidth="1"/>
    <col min="3327" max="3327" width="15.5" style="308" customWidth="1"/>
    <col min="3328" max="3329" width="16" style="308" customWidth="1"/>
    <col min="3330" max="3330" width="19.33203125" style="308" customWidth="1"/>
    <col min="3331" max="3331" width="13.5" style="308" customWidth="1"/>
    <col min="3332" max="3332" width="13.6640625" style="308" customWidth="1"/>
    <col min="3333" max="3335" width="0" style="308" hidden="1" customWidth="1"/>
    <col min="3336" max="3575" width="9.33203125" style="308"/>
    <col min="3576" max="3576" width="1.1640625" style="308" customWidth="1"/>
    <col min="3577" max="3577" width="4" style="308" customWidth="1"/>
    <col min="3578" max="3578" width="31.83203125" style="308" customWidth="1"/>
    <col min="3579" max="3579" width="42.1640625" style="308" customWidth="1"/>
    <col min="3580" max="3580" width="8.1640625" style="308" bestFit="1" customWidth="1"/>
    <col min="3581" max="3581" width="7.5" style="308" customWidth="1"/>
    <col min="3582" max="3582" width="7.6640625" style="308" customWidth="1"/>
    <col min="3583" max="3583" width="15.5" style="308" customWidth="1"/>
    <col min="3584" max="3585" width="16" style="308" customWidth="1"/>
    <col min="3586" max="3586" width="19.33203125" style="308" customWidth="1"/>
    <col min="3587" max="3587" width="13.5" style="308" customWidth="1"/>
    <col min="3588" max="3588" width="13.6640625" style="308" customWidth="1"/>
    <col min="3589" max="3591" width="0" style="308" hidden="1" customWidth="1"/>
    <col min="3592" max="3831" width="9.33203125" style="308"/>
    <col min="3832" max="3832" width="1.1640625" style="308" customWidth="1"/>
    <col min="3833" max="3833" width="4" style="308" customWidth="1"/>
    <col min="3834" max="3834" width="31.83203125" style="308" customWidth="1"/>
    <col min="3835" max="3835" width="42.1640625" style="308" customWidth="1"/>
    <col min="3836" max="3836" width="8.1640625" style="308" bestFit="1" customWidth="1"/>
    <col min="3837" max="3837" width="7.5" style="308" customWidth="1"/>
    <col min="3838" max="3838" width="7.6640625" style="308" customWidth="1"/>
    <col min="3839" max="3839" width="15.5" style="308" customWidth="1"/>
    <col min="3840" max="3841" width="16" style="308" customWidth="1"/>
    <col min="3842" max="3842" width="19.33203125" style="308" customWidth="1"/>
    <col min="3843" max="3843" width="13.5" style="308" customWidth="1"/>
    <col min="3844" max="3844" width="13.6640625" style="308" customWidth="1"/>
    <col min="3845" max="3847" width="0" style="308" hidden="1" customWidth="1"/>
    <col min="3848" max="4087" width="9.33203125" style="308"/>
    <col min="4088" max="4088" width="1.1640625" style="308" customWidth="1"/>
    <col min="4089" max="4089" width="4" style="308" customWidth="1"/>
    <col min="4090" max="4090" width="31.83203125" style="308" customWidth="1"/>
    <col min="4091" max="4091" width="42.1640625" style="308" customWidth="1"/>
    <col min="4092" max="4092" width="8.1640625" style="308" bestFit="1" customWidth="1"/>
    <col min="4093" max="4093" width="7.5" style="308" customWidth="1"/>
    <col min="4094" max="4094" width="7.6640625" style="308" customWidth="1"/>
    <col min="4095" max="4095" width="15.5" style="308" customWidth="1"/>
    <col min="4096" max="4097" width="16" style="308" customWidth="1"/>
    <col min="4098" max="4098" width="19.33203125" style="308" customWidth="1"/>
    <col min="4099" max="4099" width="13.5" style="308" customWidth="1"/>
    <col min="4100" max="4100" width="13.6640625" style="308" customWidth="1"/>
    <col min="4101" max="4103" width="0" style="308" hidden="1" customWidth="1"/>
    <col min="4104" max="4343" width="9.33203125" style="308"/>
    <col min="4344" max="4344" width="1.1640625" style="308" customWidth="1"/>
    <col min="4345" max="4345" width="4" style="308" customWidth="1"/>
    <col min="4346" max="4346" width="31.83203125" style="308" customWidth="1"/>
    <col min="4347" max="4347" width="42.1640625" style="308" customWidth="1"/>
    <col min="4348" max="4348" width="8.1640625" style="308" bestFit="1" customWidth="1"/>
    <col min="4349" max="4349" width="7.5" style="308" customWidth="1"/>
    <col min="4350" max="4350" width="7.6640625" style="308" customWidth="1"/>
    <col min="4351" max="4351" width="15.5" style="308" customWidth="1"/>
    <col min="4352" max="4353" width="16" style="308" customWidth="1"/>
    <col min="4354" max="4354" width="19.33203125" style="308" customWidth="1"/>
    <col min="4355" max="4355" width="13.5" style="308" customWidth="1"/>
    <col min="4356" max="4356" width="13.6640625" style="308" customWidth="1"/>
    <col min="4357" max="4359" width="0" style="308" hidden="1" customWidth="1"/>
    <col min="4360" max="4599" width="9.33203125" style="308"/>
    <col min="4600" max="4600" width="1.1640625" style="308" customWidth="1"/>
    <col min="4601" max="4601" width="4" style="308" customWidth="1"/>
    <col min="4602" max="4602" width="31.83203125" style="308" customWidth="1"/>
    <col min="4603" max="4603" width="42.1640625" style="308" customWidth="1"/>
    <col min="4604" max="4604" width="8.1640625" style="308" bestFit="1" customWidth="1"/>
    <col min="4605" max="4605" width="7.5" style="308" customWidth="1"/>
    <col min="4606" max="4606" width="7.6640625" style="308" customWidth="1"/>
    <col min="4607" max="4607" width="15.5" style="308" customWidth="1"/>
    <col min="4608" max="4609" width="16" style="308" customWidth="1"/>
    <col min="4610" max="4610" width="19.33203125" style="308" customWidth="1"/>
    <col min="4611" max="4611" width="13.5" style="308" customWidth="1"/>
    <col min="4612" max="4612" width="13.6640625" style="308" customWidth="1"/>
    <col min="4613" max="4615" width="0" style="308" hidden="1" customWidth="1"/>
    <col min="4616" max="4855" width="9.33203125" style="308"/>
    <col min="4856" max="4856" width="1.1640625" style="308" customWidth="1"/>
    <col min="4857" max="4857" width="4" style="308" customWidth="1"/>
    <col min="4858" max="4858" width="31.83203125" style="308" customWidth="1"/>
    <col min="4859" max="4859" width="42.1640625" style="308" customWidth="1"/>
    <col min="4860" max="4860" width="8.1640625" style="308" bestFit="1" customWidth="1"/>
    <col min="4861" max="4861" width="7.5" style="308" customWidth="1"/>
    <col min="4862" max="4862" width="7.6640625" style="308" customWidth="1"/>
    <col min="4863" max="4863" width="15.5" style="308" customWidth="1"/>
    <col min="4864" max="4865" width="16" style="308" customWidth="1"/>
    <col min="4866" max="4866" width="19.33203125" style="308" customWidth="1"/>
    <col min="4867" max="4867" width="13.5" style="308" customWidth="1"/>
    <col min="4868" max="4868" width="13.6640625" style="308" customWidth="1"/>
    <col min="4869" max="4871" width="0" style="308" hidden="1" customWidth="1"/>
    <col min="4872" max="5111" width="9.33203125" style="308"/>
    <col min="5112" max="5112" width="1.1640625" style="308" customWidth="1"/>
    <col min="5113" max="5113" width="4" style="308" customWidth="1"/>
    <col min="5114" max="5114" width="31.83203125" style="308" customWidth="1"/>
    <col min="5115" max="5115" width="42.1640625" style="308" customWidth="1"/>
    <col min="5116" max="5116" width="8.1640625" style="308" bestFit="1" customWidth="1"/>
    <col min="5117" max="5117" width="7.5" style="308" customWidth="1"/>
    <col min="5118" max="5118" width="7.6640625" style="308" customWidth="1"/>
    <col min="5119" max="5119" width="15.5" style="308" customWidth="1"/>
    <col min="5120" max="5121" width="16" style="308" customWidth="1"/>
    <col min="5122" max="5122" width="19.33203125" style="308" customWidth="1"/>
    <col min="5123" max="5123" width="13.5" style="308" customWidth="1"/>
    <col min="5124" max="5124" width="13.6640625" style="308" customWidth="1"/>
    <col min="5125" max="5127" width="0" style="308" hidden="1" customWidth="1"/>
    <col min="5128" max="5367" width="9.33203125" style="308"/>
    <col min="5368" max="5368" width="1.1640625" style="308" customWidth="1"/>
    <col min="5369" max="5369" width="4" style="308" customWidth="1"/>
    <col min="5370" max="5370" width="31.83203125" style="308" customWidth="1"/>
    <col min="5371" max="5371" width="42.1640625" style="308" customWidth="1"/>
    <col min="5372" max="5372" width="8.1640625" style="308" bestFit="1" customWidth="1"/>
    <col min="5373" max="5373" width="7.5" style="308" customWidth="1"/>
    <col min="5374" max="5374" width="7.6640625" style="308" customWidth="1"/>
    <col min="5375" max="5375" width="15.5" style="308" customWidth="1"/>
    <col min="5376" max="5377" width="16" style="308" customWidth="1"/>
    <col min="5378" max="5378" width="19.33203125" style="308" customWidth="1"/>
    <col min="5379" max="5379" width="13.5" style="308" customWidth="1"/>
    <col min="5380" max="5380" width="13.6640625" style="308" customWidth="1"/>
    <col min="5381" max="5383" width="0" style="308" hidden="1" customWidth="1"/>
    <col min="5384" max="5623" width="9.33203125" style="308"/>
    <col min="5624" max="5624" width="1.1640625" style="308" customWidth="1"/>
    <col min="5625" max="5625" width="4" style="308" customWidth="1"/>
    <col min="5626" max="5626" width="31.83203125" style="308" customWidth="1"/>
    <col min="5627" max="5627" width="42.1640625" style="308" customWidth="1"/>
    <col min="5628" max="5628" width="8.1640625" style="308" bestFit="1" customWidth="1"/>
    <col min="5629" max="5629" width="7.5" style="308" customWidth="1"/>
    <col min="5630" max="5630" width="7.6640625" style="308" customWidth="1"/>
    <col min="5631" max="5631" width="15.5" style="308" customWidth="1"/>
    <col min="5632" max="5633" width="16" style="308" customWidth="1"/>
    <col min="5634" max="5634" width="19.33203125" style="308" customWidth="1"/>
    <col min="5635" max="5635" width="13.5" style="308" customWidth="1"/>
    <col min="5636" max="5636" width="13.6640625" style="308" customWidth="1"/>
    <col min="5637" max="5639" width="0" style="308" hidden="1" customWidth="1"/>
    <col min="5640" max="5879" width="9.33203125" style="308"/>
    <col min="5880" max="5880" width="1.1640625" style="308" customWidth="1"/>
    <col min="5881" max="5881" width="4" style="308" customWidth="1"/>
    <col min="5882" max="5882" width="31.83203125" style="308" customWidth="1"/>
    <col min="5883" max="5883" width="42.1640625" style="308" customWidth="1"/>
    <col min="5884" max="5884" width="8.1640625" style="308" bestFit="1" customWidth="1"/>
    <col min="5885" max="5885" width="7.5" style="308" customWidth="1"/>
    <col min="5886" max="5886" width="7.6640625" style="308" customWidth="1"/>
    <col min="5887" max="5887" width="15.5" style="308" customWidth="1"/>
    <col min="5888" max="5889" width="16" style="308" customWidth="1"/>
    <col min="5890" max="5890" width="19.33203125" style="308" customWidth="1"/>
    <col min="5891" max="5891" width="13.5" style="308" customWidth="1"/>
    <col min="5892" max="5892" width="13.6640625" style="308" customWidth="1"/>
    <col min="5893" max="5895" width="0" style="308" hidden="1" customWidth="1"/>
    <col min="5896" max="6135" width="9.33203125" style="308"/>
    <col min="6136" max="6136" width="1.1640625" style="308" customWidth="1"/>
    <col min="6137" max="6137" width="4" style="308" customWidth="1"/>
    <col min="6138" max="6138" width="31.83203125" style="308" customWidth="1"/>
    <col min="6139" max="6139" width="42.1640625" style="308" customWidth="1"/>
    <col min="6140" max="6140" width="8.1640625" style="308" bestFit="1" customWidth="1"/>
    <col min="6141" max="6141" width="7.5" style="308" customWidth="1"/>
    <col min="6142" max="6142" width="7.6640625" style="308" customWidth="1"/>
    <col min="6143" max="6143" width="15.5" style="308" customWidth="1"/>
    <col min="6144" max="6145" width="16" style="308" customWidth="1"/>
    <col min="6146" max="6146" width="19.33203125" style="308" customWidth="1"/>
    <col min="6147" max="6147" width="13.5" style="308" customWidth="1"/>
    <col min="6148" max="6148" width="13.6640625" style="308" customWidth="1"/>
    <col min="6149" max="6151" width="0" style="308" hidden="1" customWidth="1"/>
    <col min="6152" max="6391" width="9.33203125" style="308"/>
    <col min="6392" max="6392" width="1.1640625" style="308" customWidth="1"/>
    <col min="6393" max="6393" width="4" style="308" customWidth="1"/>
    <col min="6394" max="6394" width="31.83203125" style="308" customWidth="1"/>
    <col min="6395" max="6395" width="42.1640625" style="308" customWidth="1"/>
    <col min="6396" max="6396" width="8.1640625" style="308" bestFit="1" customWidth="1"/>
    <col min="6397" max="6397" width="7.5" style="308" customWidth="1"/>
    <col min="6398" max="6398" width="7.6640625" style="308" customWidth="1"/>
    <col min="6399" max="6399" width="15.5" style="308" customWidth="1"/>
    <col min="6400" max="6401" width="16" style="308" customWidth="1"/>
    <col min="6402" max="6402" width="19.33203125" style="308" customWidth="1"/>
    <col min="6403" max="6403" width="13.5" style="308" customWidth="1"/>
    <col min="6404" max="6404" width="13.6640625" style="308" customWidth="1"/>
    <col min="6405" max="6407" width="0" style="308" hidden="1" customWidth="1"/>
    <col min="6408" max="6647" width="9.33203125" style="308"/>
    <col min="6648" max="6648" width="1.1640625" style="308" customWidth="1"/>
    <col min="6649" max="6649" width="4" style="308" customWidth="1"/>
    <col min="6650" max="6650" width="31.83203125" style="308" customWidth="1"/>
    <col min="6651" max="6651" width="42.1640625" style="308" customWidth="1"/>
    <col min="6652" max="6652" width="8.1640625" style="308" bestFit="1" customWidth="1"/>
    <col min="6653" max="6653" width="7.5" style="308" customWidth="1"/>
    <col min="6654" max="6654" width="7.6640625" style="308" customWidth="1"/>
    <col min="6655" max="6655" width="15.5" style="308" customWidth="1"/>
    <col min="6656" max="6657" width="16" style="308" customWidth="1"/>
    <col min="6658" max="6658" width="19.33203125" style="308" customWidth="1"/>
    <col min="6659" max="6659" width="13.5" style="308" customWidth="1"/>
    <col min="6660" max="6660" width="13.6640625" style="308" customWidth="1"/>
    <col min="6661" max="6663" width="0" style="308" hidden="1" customWidth="1"/>
    <col min="6664" max="6903" width="9.33203125" style="308"/>
    <col min="6904" max="6904" width="1.1640625" style="308" customWidth="1"/>
    <col min="6905" max="6905" width="4" style="308" customWidth="1"/>
    <col min="6906" max="6906" width="31.83203125" style="308" customWidth="1"/>
    <col min="6907" max="6907" width="42.1640625" style="308" customWidth="1"/>
    <col min="6908" max="6908" width="8.1640625" style="308" bestFit="1" customWidth="1"/>
    <col min="6909" max="6909" width="7.5" style="308" customWidth="1"/>
    <col min="6910" max="6910" width="7.6640625" style="308" customWidth="1"/>
    <col min="6911" max="6911" width="15.5" style="308" customWidth="1"/>
    <col min="6912" max="6913" width="16" style="308" customWidth="1"/>
    <col min="6914" max="6914" width="19.33203125" style="308" customWidth="1"/>
    <col min="6915" max="6915" width="13.5" style="308" customWidth="1"/>
    <col min="6916" max="6916" width="13.6640625" style="308" customWidth="1"/>
    <col min="6917" max="6919" width="0" style="308" hidden="1" customWidth="1"/>
    <col min="6920" max="7159" width="9.33203125" style="308"/>
    <col min="7160" max="7160" width="1.1640625" style="308" customWidth="1"/>
    <col min="7161" max="7161" width="4" style="308" customWidth="1"/>
    <col min="7162" max="7162" width="31.83203125" style="308" customWidth="1"/>
    <col min="7163" max="7163" width="42.1640625" style="308" customWidth="1"/>
    <col min="7164" max="7164" width="8.1640625" style="308" bestFit="1" customWidth="1"/>
    <col min="7165" max="7165" width="7.5" style="308" customWidth="1"/>
    <col min="7166" max="7166" width="7.6640625" style="308" customWidth="1"/>
    <col min="7167" max="7167" width="15.5" style="308" customWidth="1"/>
    <col min="7168" max="7169" width="16" style="308" customWidth="1"/>
    <col min="7170" max="7170" width="19.33203125" style="308" customWidth="1"/>
    <col min="7171" max="7171" width="13.5" style="308" customWidth="1"/>
    <col min="7172" max="7172" width="13.6640625" style="308" customWidth="1"/>
    <col min="7173" max="7175" width="0" style="308" hidden="1" customWidth="1"/>
    <col min="7176" max="7415" width="9.33203125" style="308"/>
    <col min="7416" max="7416" width="1.1640625" style="308" customWidth="1"/>
    <col min="7417" max="7417" width="4" style="308" customWidth="1"/>
    <col min="7418" max="7418" width="31.83203125" style="308" customWidth="1"/>
    <col min="7419" max="7419" width="42.1640625" style="308" customWidth="1"/>
    <col min="7420" max="7420" width="8.1640625" style="308" bestFit="1" customWidth="1"/>
    <col min="7421" max="7421" width="7.5" style="308" customWidth="1"/>
    <col min="7422" max="7422" width="7.6640625" style="308" customWidth="1"/>
    <col min="7423" max="7423" width="15.5" style="308" customWidth="1"/>
    <col min="7424" max="7425" width="16" style="308" customWidth="1"/>
    <col min="7426" max="7426" width="19.33203125" style="308" customWidth="1"/>
    <col min="7427" max="7427" width="13.5" style="308" customWidth="1"/>
    <col min="7428" max="7428" width="13.6640625" style="308" customWidth="1"/>
    <col min="7429" max="7431" width="0" style="308" hidden="1" customWidth="1"/>
    <col min="7432" max="7671" width="9.33203125" style="308"/>
    <col min="7672" max="7672" width="1.1640625" style="308" customWidth="1"/>
    <col min="7673" max="7673" width="4" style="308" customWidth="1"/>
    <col min="7674" max="7674" width="31.83203125" style="308" customWidth="1"/>
    <col min="7675" max="7675" width="42.1640625" style="308" customWidth="1"/>
    <col min="7676" max="7676" width="8.1640625" style="308" bestFit="1" customWidth="1"/>
    <col min="7677" max="7677" width="7.5" style="308" customWidth="1"/>
    <col min="7678" max="7678" width="7.6640625" style="308" customWidth="1"/>
    <col min="7679" max="7679" width="15.5" style="308" customWidth="1"/>
    <col min="7680" max="7681" width="16" style="308" customWidth="1"/>
    <col min="7682" max="7682" width="19.33203125" style="308" customWidth="1"/>
    <col min="7683" max="7683" width="13.5" style="308" customWidth="1"/>
    <col min="7684" max="7684" width="13.6640625" style="308" customWidth="1"/>
    <col min="7685" max="7687" width="0" style="308" hidden="1" customWidth="1"/>
    <col min="7688" max="7927" width="9.33203125" style="308"/>
    <col min="7928" max="7928" width="1.1640625" style="308" customWidth="1"/>
    <col min="7929" max="7929" width="4" style="308" customWidth="1"/>
    <col min="7930" max="7930" width="31.83203125" style="308" customWidth="1"/>
    <col min="7931" max="7931" width="42.1640625" style="308" customWidth="1"/>
    <col min="7932" max="7932" width="8.1640625" style="308" bestFit="1" customWidth="1"/>
    <col min="7933" max="7933" width="7.5" style="308" customWidth="1"/>
    <col min="7934" max="7934" width="7.6640625" style="308" customWidth="1"/>
    <col min="7935" max="7935" width="15.5" style="308" customWidth="1"/>
    <col min="7936" max="7937" width="16" style="308" customWidth="1"/>
    <col min="7938" max="7938" width="19.33203125" style="308" customWidth="1"/>
    <col min="7939" max="7939" width="13.5" style="308" customWidth="1"/>
    <col min="7940" max="7940" width="13.6640625" style="308" customWidth="1"/>
    <col min="7941" max="7943" width="0" style="308" hidden="1" customWidth="1"/>
    <col min="7944" max="8183" width="9.33203125" style="308"/>
    <col min="8184" max="8184" width="1.1640625" style="308" customWidth="1"/>
    <col min="8185" max="8185" width="4" style="308" customWidth="1"/>
    <col min="8186" max="8186" width="31.83203125" style="308" customWidth="1"/>
    <col min="8187" max="8187" width="42.1640625" style="308" customWidth="1"/>
    <col min="8188" max="8188" width="8.1640625" style="308" bestFit="1" customWidth="1"/>
    <col min="8189" max="8189" width="7.5" style="308" customWidth="1"/>
    <col min="8190" max="8190" width="7.6640625" style="308" customWidth="1"/>
    <col min="8191" max="8191" width="15.5" style="308" customWidth="1"/>
    <col min="8192" max="8193" width="16" style="308" customWidth="1"/>
    <col min="8194" max="8194" width="19.33203125" style="308" customWidth="1"/>
    <col min="8195" max="8195" width="13.5" style="308" customWidth="1"/>
    <col min="8196" max="8196" width="13.6640625" style="308" customWidth="1"/>
    <col min="8197" max="8199" width="0" style="308" hidden="1" customWidth="1"/>
    <col min="8200" max="8439" width="9.33203125" style="308"/>
    <col min="8440" max="8440" width="1.1640625" style="308" customWidth="1"/>
    <col min="8441" max="8441" width="4" style="308" customWidth="1"/>
    <col min="8442" max="8442" width="31.83203125" style="308" customWidth="1"/>
    <col min="8443" max="8443" width="42.1640625" style="308" customWidth="1"/>
    <col min="8444" max="8444" width="8.1640625" style="308" bestFit="1" customWidth="1"/>
    <col min="8445" max="8445" width="7.5" style="308" customWidth="1"/>
    <col min="8446" max="8446" width="7.6640625" style="308" customWidth="1"/>
    <col min="8447" max="8447" width="15.5" style="308" customWidth="1"/>
    <col min="8448" max="8449" width="16" style="308" customWidth="1"/>
    <col min="8450" max="8450" width="19.33203125" style="308" customWidth="1"/>
    <col min="8451" max="8451" width="13.5" style="308" customWidth="1"/>
    <col min="8452" max="8452" width="13.6640625" style="308" customWidth="1"/>
    <col min="8453" max="8455" width="0" style="308" hidden="1" customWidth="1"/>
    <col min="8456" max="8695" width="9.33203125" style="308"/>
    <col min="8696" max="8696" width="1.1640625" style="308" customWidth="1"/>
    <col min="8697" max="8697" width="4" style="308" customWidth="1"/>
    <col min="8698" max="8698" width="31.83203125" style="308" customWidth="1"/>
    <col min="8699" max="8699" width="42.1640625" style="308" customWidth="1"/>
    <col min="8700" max="8700" width="8.1640625" style="308" bestFit="1" customWidth="1"/>
    <col min="8701" max="8701" width="7.5" style="308" customWidth="1"/>
    <col min="8702" max="8702" width="7.6640625" style="308" customWidth="1"/>
    <col min="8703" max="8703" width="15.5" style="308" customWidth="1"/>
    <col min="8704" max="8705" width="16" style="308" customWidth="1"/>
    <col min="8706" max="8706" width="19.33203125" style="308" customWidth="1"/>
    <col min="8707" max="8707" width="13.5" style="308" customWidth="1"/>
    <col min="8708" max="8708" width="13.6640625" style="308" customWidth="1"/>
    <col min="8709" max="8711" width="0" style="308" hidden="1" customWidth="1"/>
    <col min="8712" max="8951" width="9.33203125" style="308"/>
    <col min="8952" max="8952" width="1.1640625" style="308" customWidth="1"/>
    <col min="8953" max="8953" width="4" style="308" customWidth="1"/>
    <col min="8954" max="8954" width="31.83203125" style="308" customWidth="1"/>
    <col min="8955" max="8955" width="42.1640625" style="308" customWidth="1"/>
    <col min="8956" max="8956" width="8.1640625" style="308" bestFit="1" customWidth="1"/>
    <col min="8957" max="8957" width="7.5" style="308" customWidth="1"/>
    <col min="8958" max="8958" width="7.6640625" style="308" customWidth="1"/>
    <col min="8959" max="8959" width="15.5" style="308" customWidth="1"/>
    <col min="8960" max="8961" width="16" style="308" customWidth="1"/>
    <col min="8962" max="8962" width="19.33203125" style="308" customWidth="1"/>
    <col min="8963" max="8963" width="13.5" style="308" customWidth="1"/>
    <col min="8964" max="8964" width="13.6640625" style="308" customWidth="1"/>
    <col min="8965" max="8967" width="0" style="308" hidden="1" customWidth="1"/>
    <col min="8968" max="9207" width="9.33203125" style="308"/>
    <col min="9208" max="9208" width="1.1640625" style="308" customWidth="1"/>
    <col min="9209" max="9209" width="4" style="308" customWidth="1"/>
    <col min="9210" max="9210" width="31.83203125" style="308" customWidth="1"/>
    <col min="9211" max="9211" width="42.1640625" style="308" customWidth="1"/>
    <col min="9212" max="9212" width="8.1640625" style="308" bestFit="1" customWidth="1"/>
    <col min="9213" max="9213" width="7.5" style="308" customWidth="1"/>
    <col min="9214" max="9214" width="7.6640625" style="308" customWidth="1"/>
    <col min="9215" max="9215" width="15.5" style="308" customWidth="1"/>
    <col min="9216" max="9217" width="16" style="308" customWidth="1"/>
    <col min="9218" max="9218" width="19.33203125" style="308" customWidth="1"/>
    <col min="9219" max="9219" width="13.5" style="308" customWidth="1"/>
    <col min="9220" max="9220" width="13.6640625" style="308" customWidth="1"/>
    <col min="9221" max="9223" width="0" style="308" hidden="1" customWidth="1"/>
    <col min="9224" max="9463" width="9.33203125" style="308"/>
    <col min="9464" max="9464" width="1.1640625" style="308" customWidth="1"/>
    <col min="9465" max="9465" width="4" style="308" customWidth="1"/>
    <col min="9466" max="9466" width="31.83203125" style="308" customWidth="1"/>
    <col min="9467" max="9467" width="42.1640625" style="308" customWidth="1"/>
    <col min="9468" max="9468" width="8.1640625" style="308" bestFit="1" customWidth="1"/>
    <col min="9469" max="9469" width="7.5" style="308" customWidth="1"/>
    <col min="9470" max="9470" width="7.6640625" style="308" customWidth="1"/>
    <col min="9471" max="9471" width="15.5" style="308" customWidth="1"/>
    <col min="9472" max="9473" width="16" style="308" customWidth="1"/>
    <col min="9474" max="9474" width="19.33203125" style="308" customWidth="1"/>
    <col min="9475" max="9475" width="13.5" style="308" customWidth="1"/>
    <col min="9476" max="9476" width="13.6640625" style="308" customWidth="1"/>
    <col min="9477" max="9479" width="0" style="308" hidden="1" customWidth="1"/>
    <col min="9480" max="9719" width="9.33203125" style="308"/>
    <col min="9720" max="9720" width="1.1640625" style="308" customWidth="1"/>
    <col min="9721" max="9721" width="4" style="308" customWidth="1"/>
    <col min="9722" max="9722" width="31.83203125" style="308" customWidth="1"/>
    <col min="9723" max="9723" width="42.1640625" style="308" customWidth="1"/>
    <col min="9724" max="9724" width="8.1640625" style="308" bestFit="1" customWidth="1"/>
    <col min="9725" max="9725" width="7.5" style="308" customWidth="1"/>
    <col min="9726" max="9726" width="7.6640625" style="308" customWidth="1"/>
    <col min="9727" max="9727" width="15.5" style="308" customWidth="1"/>
    <col min="9728" max="9729" width="16" style="308" customWidth="1"/>
    <col min="9730" max="9730" width="19.33203125" style="308" customWidth="1"/>
    <col min="9731" max="9731" width="13.5" style="308" customWidth="1"/>
    <col min="9732" max="9732" width="13.6640625" style="308" customWidth="1"/>
    <col min="9733" max="9735" width="0" style="308" hidden="1" customWidth="1"/>
    <col min="9736" max="9975" width="9.33203125" style="308"/>
    <col min="9976" max="9976" width="1.1640625" style="308" customWidth="1"/>
    <col min="9977" max="9977" width="4" style="308" customWidth="1"/>
    <col min="9978" max="9978" width="31.83203125" style="308" customWidth="1"/>
    <col min="9979" max="9979" width="42.1640625" style="308" customWidth="1"/>
    <col min="9980" max="9980" width="8.1640625" style="308" bestFit="1" customWidth="1"/>
    <col min="9981" max="9981" width="7.5" style="308" customWidth="1"/>
    <col min="9982" max="9982" width="7.6640625" style="308" customWidth="1"/>
    <col min="9983" max="9983" width="15.5" style="308" customWidth="1"/>
    <col min="9984" max="9985" width="16" style="308" customWidth="1"/>
    <col min="9986" max="9986" width="19.33203125" style="308" customWidth="1"/>
    <col min="9987" max="9987" width="13.5" style="308" customWidth="1"/>
    <col min="9988" max="9988" width="13.6640625" style="308" customWidth="1"/>
    <col min="9989" max="9991" width="0" style="308" hidden="1" customWidth="1"/>
    <col min="9992" max="10231" width="9.33203125" style="308"/>
    <col min="10232" max="10232" width="1.1640625" style="308" customWidth="1"/>
    <col min="10233" max="10233" width="4" style="308" customWidth="1"/>
    <col min="10234" max="10234" width="31.83203125" style="308" customWidth="1"/>
    <col min="10235" max="10235" width="42.1640625" style="308" customWidth="1"/>
    <col min="10236" max="10236" width="8.1640625" style="308" bestFit="1" customWidth="1"/>
    <col min="10237" max="10237" width="7.5" style="308" customWidth="1"/>
    <col min="10238" max="10238" width="7.6640625" style="308" customWidth="1"/>
    <col min="10239" max="10239" width="15.5" style="308" customWidth="1"/>
    <col min="10240" max="10241" width="16" style="308" customWidth="1"/>
    <col min="10242" max="10242" width="19.33203125" style="308" customWidth="1"/>
    <col min="10243" max="10243" width="13.5" style="308" customWidth="1"/>
    <col min="10244" max="10244" width="13.6640625" style="308" customWidth="1"/>
    <col min="10245" max="10247" width="0" style="308" hidden="1" customWidth="1"/>
    <col min="10248" max="10487" width="9.33203125" style="308"/>
    <col min="10488" max="10488" width="1.1640625" style="308" customWidth="1"/>
    <col min="10489" max="10489" width="4" style="308" customWidth="1"/>
    <col min="10490" max="10490" width="31.83203125" style="308" customWidth="1"/>
    <col min="10491" max="10491" width="42.1640625" style="308" customWidth="1"/>
    <col min="10492" max="10492" width="8.1640625" style="308" bestFit="1" customWidth="1"/>
    <col min="10493" max="10493" width="7.5" style="308" customWidth="1"/>
    <col min="10494" max="10494" width="7.6640625" style="308" customWidth="1"/>
    <col min="10495" max="10495" width="15.5" style="308" customWidth="1"/>
    <col min="10496" max="10497" width="16" style="308" customWidth="1"/>
    <col min="10498" max="10498" width="19.33203125" style="308" customWidth="1"/>
    <col min="10499" max="10499" width="13.5" style="308" customWidth="1"/>
    <col min="10500" max="10500" width="13.6640625" style="308" customWidth="1"/>
    <col min="10501" max="10503" width="0" style="308" hidden="1" customWidth="1"/>
    <col min="10504" max="10743" width="9.33203125" style="308"/>
    <col min="10744" max="10744" width="1.1640625" style="308" customWidth="1"/>
    <col min="10745" max="10745" width="4" style="308" customWidth="1"/>
    <col min="10746" max="10746" width="31.83203125" style="308" customWidth="1"/>
    <col min="10747" max="10747" width="42.1640625" style="308" customWidth="1"/>
    <col min="10748" max="10748" width="8.1640625" style="308" bestFit="1" customWidth="1"/>
    <col min="10749" max="10749" width="7.5" style="308" customWidth="1"/>
    <col min="10750" max="10750" width="7.6640625" style="308" customWidth="1"/>
    <col min="10751" max="10751" width="15.5" style="308" customWidth="1"/>
    <col min="10752" max="10753" width="16" style="308" customWidth="1"/>
    <col min="10754" max="10754" width="19.33203125" style="308" customWidth="1"/>
    <col min="10755" max="10755" width="13.5" style="308" customWidth="1"/>
    <col min="10756" max="10756" width="13.6640625" style="308" customWidth="1"/>
    <col min="10757" max="10759" width="0" style="308" hidden="1" customWidth="1"/>
    <col min="10760" max="10999" width="9.33203125" style="308"/>
    <col min="11000" max="11000" width="1.1640625" style="308" customWidth="1"/>
    <col min="11001" max="11001" width="4" style="308" customWidth="1"/>
    <col min="11002" max="11002" width="31.83203125" style="308" customWidth="1"/>
    <col min="11003" max="11003" width="42.1640625" style="308" customWidth="1"/>
    <col min="11004" max="11004" width="8.1640625" style="308" bestFit="1" customWidth="1"/>
    <col min="11005" max="11005" width="7.5" style="308" customWidth="1"/>
    <col min="11006" max="11006" width="7.6640625" style="308" customWidth="1"/>
    <col min="11007" max="11007" width="15.5" style="308" customWidth="1"/>
    <col min="11008" max="11009" width="16" style="308" customWidth="1"/>
    <col min="11010" max="11010" width="19.33203125" style="308" customWidth="1"/>
    <col min="11011" max="11011" width="13.5" style="308" customWidth="1"/>
    <col min="11012" max="11012" width="13.6640625" style="308" customWidth="1"/>
    <col min="11013" max="11015" width="0" style="308" hidden="1" customWidth="1"/>
    <col min="11016" max="11255" width="9.33203125" style="308"/>
    <col min="11256" max="11256" width="1.1640625" style="308" customWidth="1"/>
    <col min="11257" max="11257" width="4" style="308" customWidth="1"/>
    <col min="11258" max="11258" width="31.83203125" style="308" customWidth="1"/>
    <col min="11259" max="11259" width="42.1640625" style="308" customWidth="1"/>
    <col min="11260" max="11260" width="8.1640625" style="308" bestFit="1" customWidth="1"/>
    <col min="11261" max="11261" width="7.5" style="308" customWidth="1"/>
    <col min="11262" max="11262" width="7.6640625" style="308" customWidth="1"/>
    <col min="11263" max="11263" width="15.5" style="308" customWidth="1"/>
    <col min="11264" max="11265" width="16" style="308" customWidth="1"/>
    <col min="11266" max="11266" width="19.33203125" style="308" customWidth="1"/>
    <col min="11267" max="11267" width="13.5" style="308" customWidth="1"/>
    <col min="11268" max="11268" width="13.6640625" style="308" customWidth="1"/>
    <col min="11269" max="11271" width="0" style="308" hidden="1" customWidth="1"/>
    <col min="11272" max="11511" width="9.33203125" style="308"/>
    <col min="11512" max="11512" width="1.1640625" style="308" customWidth="1"/>
    <col min="11513" max="11513" width="4" style="308" customWidth="1"/>
    <col min="11514" max="11514" width="31.83203125" style="308" customWidth="1"/>
    <col min="11515" max="11515" width="42.1640625" style="308" customWidth="1"/>
    <col min="11516" max="11516" width="8.1640625" style="308" bestFit="1" customWidth="1"/>
    <col min="11517" max="11517" width="7.5" style="308" customWidth="1"/>
    <col min="11518" max="11518" width="7.6640625" style="308" customWidth="1"/>
    <col min="11519" max="11519" width="15.5" style="308" customWidth="1"/>
    <col min="11520" max="11521" width="16" style="308" customWidth="1"/>
    <col min="11522" max="11522" width="19.33203125" style="308" customWidth="1"/>
    <col min="11523" max="11523" width="13.5" style="308" customWidth="1"/>
    <col min="11524" max="11524" width="13.6640625" style="308" customWidth="1"/>
    <col min="11525" max="11527" width="0" style="308" hidden="1" customWidth="1"/>
    <col min="11528" max="11767" width="9.33203125" style="308"/>
    <col min="11768" max="11768" width="1.1640625" style="308" customWidth="1"/>
    <col min="11769" max="11769" width="4" style="308" customWidth="1"/>
    <col min="11770" max="11770" width="31.83203125" style="308" customWidth="1"/>
    <col min="11771" max="11771" width="42.1640625" style="308" customWidth="1"/>
    <col min="11772" max="11772" width="8.1640625" style="308" bestFit="1" customWidth="1"/>
    <col min="11773" max="11773" width="7.5" style="308" customWidth="1"/>
    <col min="11774" max="11774" width="7.6640625" style="308" customWidth="1"/>
    <col min="11775" max="11775" width="15.5" style="308" customWidth="1"/>
    <col min="11776" max="11777" width="16" style="308" customWidth="1"/>
    <col min="11778" max="11778" width="19.33203125" style="308" customWidth="1"/>
    <col min="11779" max="11779" width="13.5" style="308" customWidth="1"/>
    <col min="11780" max="11780" width="13.6640625" style="308" customWidth="1"/>
    <col min="11781" max="11783" width="0" style="308" hidden="1" customWidth="1"/>
    <col min="11784" max="12023" width="9.33203125" style="308"/>
    <col min="12024" max="12024" width="1.1640625" style="308" customWidth="1"/>
    <col min="12025" max="12025" width="4" style="308" customWidth="1"/>
    <col min="12026" max="12026" width="31.83203125" style="308" customWidth="1"/>
    <col min="12027" max="12027" width="42.1640625" style="308" customWidth="1"/>
    <col min="12028" max="12028" width="8.1640625" style="308" bestFit="1" customWidth="1"/>
    <col min="12029" max="12029" width="7.5" style="308" customWidth="1"/>
    <col min="12030" max="12030" width="7.6640625" style="308" customWidth="1"/>
    <col min="12031" max="12031" width="15.5" style="308" customWidth="1"/>
    <col min="12032" max="12033" width="16" style="308" customWidth="1"/>
    <col min="12034" max="12034" width="19.33203125" style="308" customWidth="1"/>
    <col min="12035" max="12035" width="13.5" style="308" customWidth="1"/>
    <col min="12036" max="12036" width="13.6640625" style="308" customWidth="1"/>
    <col min="12037" max="12039" width="0" style="308" hidden="1" customWidth="1"/>
    <col min="12040" max="12279" width="9.33203125" style="308"/>
    <col min="12280" max="12280" width="1.1640625" style="308" customWidth="1"/>
    <col min="12281" max="12281" width="4" style="308" customWidth="1"/>
    <col min="12282" max="12282" width="31.83203125" style="308" customWidth="1"/>
    <col min="12283" max="12283" width="42.1640625" style="308" customWidth="1"/>
    <col min="12284" max="12284" width="8.1640625" style="308" bestFit="1" customWidth="1"/>
    <col min="12285" max="12285" width="7.5" style="308" customWidth="1"/>
    <col min="12286" max="12286" width="7.6640625" style="308" customWidth="1"/>
    <col min="12287" max="12287" width="15.5" style="308" customWidth="1"/>
    <col min="12288" max="12289" width="16" style="308" customWidth="1"/>
    <col min="12290" max="12290" width="19.33203125" style="308" customWidth="1"/>
    <col min="12291" max="12291" width="13.5" style="308" customWidth="1"/>
    <col min="12292" max="12292" width="13.6640625" style="308" customWidth="1"/>
    <col min="12293" max="12295" width="0" style="308" hidden="1" customWidth="1"/>
    <col min="12296" max="12535" width="9.33203125" style="308"/>
    <col min="12536" max="12536" width="1.1640625" style="308" customWidth="1"/>
    <col min="12537" max="12537" width="4" style="308" customWidth="1"/>
    <col min="12538" max="12538" width="31.83203125" style="308" customWidth="1"/>
    <col min="12539" max="12539" width="42.1640625" style="308" customWidth="1"/>
    <col min="12540" max="12540" width="8.1640625" style="308" bestFit="1" customWidth="1"/>
    <col min="12541" max="12541" width="7.5" style="308" customWidth="1"/>
    <col min="12542" max="12542" width="7.6640625" style="308" customWidth="1"/>
    <col min="12543" max="12543" width="15.5" style="308" customWidth="1"/>
    <col min="12544" max="12545" width="16" style="308" customWidth="1"/>
    <col min="12546" max="12546" width="19.33203125" style="308" customWidth="1"/>
    <col min="12547" max="12547" width="13.5" style="308" customWidth="1"/>
    <col min="12548" max="12548" width="13.6640625" style="308" customWidth="1"/>
    <col min="12549" max="12551" width="0" style="308" hidden="1" customWidth="1"/>
    <col min="12552" max="12791" width="9.33203125" style="308"/>
    <col min="12792" max="12792" width="1.1640625" style="308" customWidth="1"/>
    <col min="12793" max="12793" width="4" style="308" customWidth="1"/>
    <col min="12794" max="12794" width="31.83203125" style="308" customWidth="1"/>
    <col min="12795" max="12795" width="42.1640625" style="308" customWidth="1"/>
    <col min="12796" max="12796" width="8.1640625" style="308" bestFit="1" customWidth="1"/>
    <col min="12797" max="12797" width="7.5" style="308" customWidth="1"/>
    <col min="12798" max="12798" width="7.6640625" style="308" customWidth="1"/>
    <col min="12799" max="12799" width="15.5" style="308" customWidth="1"/>
    <col min="12800" max="12801" width="16" style="308" customWidth="1"/>
    <col min="12802" max="12802" width="19.33203125" style="308" customWidth="1"/>
    <col min="12803" max="12803" width="13.5" style="308" customWidth="1"/>
    <col min="12804" max="12804" width="13.6640625" style="308" customWidth="1"/>
    <col min="12805" max="12807" width="0" style="308" hidden="1" customWidth="1"/>
    <col min="12808" max="13047" width="9.33203125" style="308"/>
    <col min="13048" max="13048" width="1.1640625" style="308" customWidth="1"/>
    <col min="13049" max="13049" width="4" style="308" customWidth="1"/>
    <col min="13050" max="13050" width="31.83203125" style="308" customWidth="1"/>
    <col min="13051" max="13051" width="42.1640625" style="308" customWidth="1"/>
    <col min="13052" max="13052" width="8.1640625" style="308" bestFit="1" customWidth="1"/>
    <col min="13053" max="13053" width="7.5" style="308" customWidth="1"/>
    <col min="13054" max="13054" width="7.6640625" style="308" customWidth="1"/>
    <col min="13055" max="13055" width="15.5" style="308" customWidth="1"/>
    <col min="13056" max="13057" width="16" style="308" customWidth="1"/>
    <col min="13058" max="13058" width="19.33203125" style="308" customWidth="1"/>
    <col min="13059" max="13059" width="13.5" style="308" customWidth="1"/>
    <col min="13060" max="13060" width="13.6640625" style="308" customWidth="1"/>
    <col min="13061" max="13063" width="0" style="308" hidden="1" customWidth="1"/>
    <col min="13064" max="13303" width="9.33203125" style="308"/>
    <col min="13304" max="13304" width="1.1640625" style="308" customWidth="1"/>
    <col min="13305" max="13305" width="4" style="308" customWidth="1"/>
    <col min="13306" max="13306" width="31.83203125" style="308" customWidth="1"/>
    <col min="13307" max="13307" width="42.1640625" style="308" customWidth="1"/>
    <col min="13308" max="13308" width="8.1640625" style="308" bestFit="1" customWidth="1"/>
    <col min="13309" max="13309" width="7.5" style="308" customWidth="1"/>
    <col min="13310" max="13310" width="7.6640625" style="308" customWidth="1"/>
    <col min="13311" max="13311" width="15.5" style="308" customWidth="1"/>
    <col min="13312" max="13313" width="16" style="308" customWidth="1"/>
    <col min="13314" max="13314" width="19.33203125" style="308" customWidth="1"/>
    <col min="13315" max="13315" width="13.5" style="308" customWidth="1"/>
    <col min="13316" max="13316" width="13.6640625" style="308" customWidth="1"/>
    <col min="13317" max="13319" width="0" style="308" hidden="1" customWidth="1"/>
    <col min="13320" max="13559" width="9.33203125" style="308"/>
    <col min="13560" max="13560" width="1.1640625" style="308" customWidth="1"/>
    <col min="13561" max="13561" width="4" style="308" customWidth="1"/>
    <col min="13562" max="13562" width="31.83203125" style="308" customWidth="1"/>
    <col min="13563" max="13563" width="42.1640625" style="308" customWidth="1"/>
    <col min="13564" max="13564" width="8.1640625" style="308" bestFit="1" customWidth="1"/>
    <col min="13565" max="13565" width="7.5" style="308" customWidth="1"/>
    <col min="13566" max="13566" width="7.6640625" style="308" customWidth="1"/>
    <col min="13567" max="13567" width="15.5" style="308" customWidth="1"/>
    <col min="13568" max="13569" width="16" style="308" customWidth="1"/>
    <col min="13570" max="13570" width="19.33203125" style="308" customWidth="1"/>
    <col min="13571" max="13571" width="13.5" style="308" customWidth="1"/>
    <col min="13572" max="13572" width="13.6640625" style="308" customWidth="1"/>
    <col min="13573" max="13575" width="0" style="308" hidden="1" customWidth="1"/>
    <col min="13576" max="13815" width="9.33203125" style="308"/>
    <col min="13816" max="13816" width="1.1640625" style="308" customWidth="1"/>
    <col min="13817" max="13817" width="4" style="308" customWidth="1"/>
    <col min="13818" max="13818" width="31.83203125" style="308" customWidth="1"/>
    <col min="13819" max="13819" width="42.1640625" style="308" customWidth="1"/>
    <col min="13820" max="13820" width="8.1640625" style="308" bestFit="1" customWidth="1"/>
    <col min="13821" max="13821" width="7.5" style="308" customWidth="1"/>
    <col min="13822" max="13822" width="7.6640625" style="308" customWidth="1"/>
    <col min="13823" max="13823" width="15.5" style="308" customWidth="1"/>
    <col min="13824" max="13825" width="16" style="308" customWidth="1"/>
    <col min="13826" max="13826" width="19.33203125" style="308" customWidth="1"/>
    <col min="13827" max="13827" width="13.5" style="308" customWidth="1"/>
    <col min="13828" max="13828" width="13.6640625" style="308" customWidth="1"/>
    <col min="13829" max="13831" width="0" style="308" hidden="1" customWidth="1"/>
    <col min="13832" max="14071" width="9.33203125" style="308"/>
    <col min="14072" max="14072" width="1.1640625" style="308" customWidth="1"/>
    <col min="14073" max="14073" width="4" style="308" customWidth="1"/>
    <col min="14074" max="14074" width="31.83203125" style="308" customWidth="1"/>
    <col min="14075" max="14075" width="42.1640625" style="308" customWidth="1"/>
    <col min="14076" max="14076" width="8.1640625" style="308" bestFit="1" customWidth="1"/>
    <col min="14077" max="14077" width="7.5" style="308" customWidth="1"/>
    <col min="14078" max="14078" width="7.6640625" style="308" customWidth="1"/>
    <col min="14079" max="14079" width="15.5" style="308" customWidth="1"/>
    <col min="14080" max="14081" width="16" style="308" customWidth="1"/>
    <col min="14082" max="14082" width="19.33203125" style="308" customWidth="1"/>
    <col min="14083" max="14083" width="13.5" style="308" customWidth="1"/>
    <col min="14084" max="14084" width="13.6640625" style="308" customWidth="1"/>
    <col min="14085" max="14087" width="0" style="308" hidden="1" customWidth="1"/>
    <col min="14088" max="14327" width="9.33203125" style="308"/>
    <col min="14328" max="14328" width="1.1640625" style="308" customWidth="1"/>
    <col min="14329" max="14329" width="4" style="308" customWidth="1"/>
    <col min="14330" max="14330" width="31.83203125" style="308" customWidth="1"/>
    <col min="14331" max="14331" width="42.1640625" style="308" customWidth="1"/>
    <col min="14332" max="14332" width="8.1640625" style="308" bestFit="1" customWidth="1"/>
    <col min="14333" max="14333" width="7.5" style="308" customWidth="1"/>
    <col min="14334" max="14334" width="7.6640625" style="308" customWidth="1"/>
    <col min="14335" max="14335" width="15.5" style="308" customWidth="1"/>
    <col min="14336" max="14337" width="16" style="308" customWidth="1"/>
    <col min="14338" max="14338" width="19.33203125" style="308" customWidth="1"/>
    <col min="14339" max="14339" width="13.5" style="308" customWidth="1"/>
    <col min="14340" max="14340" width="13.6640625" style="308" customWidth="1"/>
    <col min="14341" max="14343" width="0" style="308" hidden="1" customWidth="1"/>
    <col min="14344" max="14583" width="9.33203125" style="308"/>
    <col min="14584" max="14584" width="1.1640625" style="308" customWidth="1"/>
    <col min="14585" max="14585" width="4" style="308" customWidth="1"/>
    <col min="14586" max="14586" width="31.83203125" style="308" customWidth="1"/>
    <col min="14587" max="14587" width="42.1640625" style="308" customWidth="1"/>
    <col min="14588" max="14588" width="8.1640625" style="308" bestFit="1" customWidth="1"/>
    <col min="14589" max="14589" width="7.5" style="308" customWidth="1"/>
    <col min="14590" max="14590" width="7.6640625" style="308" customWidth="1"/>
    <col min="14591" max="14591" width="15.5" style="308" customWidth="1"/>
    <col min="14592" max="14593" width="16" style="308" customWidth="1"/>
    <col min="14594" max="14594" width="19.33203125" style="308" customWidth="1"/>
    <col min="14595" max="14595" width="13.5" style="308" customWidth="1"/>
    <col min="14596" max="14596" width="13.6640625" style="308" customWidth="1"/>
    <col min="14597" max="14599" width="0" style="308" hidden="1" customWidth="1"/>
    <col min="14600" max="14839" width="9.33203125" style="308"/>
    <col min="14840" max="14840" width="1.1640625" style="308" customWidth="1"/>
    <col min="14841" max="14841" width="4" style="308" customWidth="1"/>
    <col min="14842" max="14842" width="31.83203125" style="308" customWidth="1"/>
    <col min="14843" max="14843" width="42.1640625" style="308" customWidth="1"/>
    <col min="14844" max="14844" width="8.1640625" style="308" bestFit="1" customWidth="1"/>
    <col min="14845" max="14845" width="7.5" style="308" customWidth="1"/>
    <col min="14846" max="14846" width="7.6640625" style="308" customWidth="1"/>
    <col min="14847" max="14847" width="15.5" style="308" customWidth="1"/>
    <col min="14848" max="14849" width="16" style="308" customWidth="1"/>
    <col min="14850" max="14850" width="19.33203125" style="308" customWidth="1"/>
    <col min="14851" max="14851" width="13.5" style="308" customWidth="1"/>
    <col min="14852" max="14852" width="13.6640625" style="308" customWidth="1"/>
    <col min="14853" max="14855" width="0" style="308" hidden="1" customWidth="1"/>
    <col min="14856" max="15095" width="9.33203125" style="308"/>
    <col min="15096" max="15096" width="1.1640625" style="308" customWidth="1"/>
    <col min="15097" max="15097" width="4" style="308" customWidth="1"/>
    <col min="15098" max="15098" width="31.83203125" style="308" customWidth="1"/>
    <col min="15099" max="15099" width="42.1640625" style="308" customWidth="1"/>
    <col min="15100" max="15100" width="8.1640625" style="308" bestFit="1" customWidth="1"/>
    <col min="15101" max="15101" width="7.5" style="308" customWidth="1"/>
    <col min="15102" max="15102" width="7.6640625" style="308" customWidth="1"/>
    <col min="15103" max="15103" width="15.5" style="308" customWidth="1"/>
    <col min="15104" max="15105" width="16" style="308" customWidth="1"/>
    <col min="15106" max="15106" width="19.33203125" style="308" customWidth="1"/>
    <col min="15107" max="15107" width="13.5" style="308" customWidth="1"/>
    <col min="15108" max="15108" width="13.6640625" style="308" customWidth="1"/>
    <col min="15109" max="15111" width="0" style="308" hidden="1" customWidth="1"/>
    <col min="15112" max="15351" width="9.33203125" style="308"/>
    <col min="15352" max="15352" width="1.1640625" style="308" customWidth="1"/>
    <col min="15353" max="15353" width="4" style="308" customWidth="1"/>
    <col min="15354" max="15354" width="31.83203125" style="308" customWidth="1"/>
    <col min="15355" max="15355" width="42.1640625" style="308" customWidth="1"/>
    <col min="15356" max="15356" width="8.1640625" style="308" bestFit="1" customWidth="1"/>
    <col min="15357" max="15357" width="7.5" style="308" customWidth="1"/>
    <col min="15358" max="15358" width="7.6640625" style="308" customWidth="1"/>
    <col min="15359" max="15359" width="15.5" style="308" customWidth="1"/>
    <col min="15360" max="15361" width="16" style="308" customWidth="1"/>
    <col min="15362" max="15362" width="19.33203125" style="308" customWidth="1"/>
    <col min="15363" max="15363" width="13.5" style="308" customWidth="1"/>
    <col min="15364" max="15364" width="13.6640625" style="308" customWidth="1"/>
    <col min="15365" max="15367" width="0" style="308" hidden="1" customWidth="1"/>
    <col min="15368" max="15607" width="9.33203125" style="308"/>
    <col min="15608" max="15608" width="1.1640625" style="308" customWidth="1"/>
    <col min="15609" max="15609" width="4" style="308" customWidth="1"/>
    <col min="15610" max="15610" width="31.83203125" style="308" customWidth="1"/>
    <col min="15611" max="15611" width="42.1640625" style="308" customWidth="1"/>
    <col min="15612" max="15612" width="8.1640625" style="308" bestFit="1" customWidth="1"/>
    <col min="15613" max="15613" width="7.5" style="308" customWidth="1"/>
    <col min="15614" max="15614" width="7.6640625" style="308" customWidth="1"/>
    <col min="15615" max="15615" width="15.5" style="308" customWidth="1"/>
    <col min="15616" max="15617" width="16" style="308" customWidth="1"/>
    <col min="15618" max="15618" width="19.33203125" style="308" customWidth="1"/>
    <col min="15619" max="15619" width="13.5" style="308" customWidth="1"/>
    <col min="15620" max="15620" width="13.6640625" style="308" customWidth="1"/>
    <col min="15621" max="15623" width="0" style="308" hidden="1" customWidth="1"/>
    <col min="15624" max="15863" width="9.33203125" style="308"/>
    <col min="15864" max="15864" width="1.1640625" style="308" customWidth="1"/>
    <col min="15865" max="15865" width="4" style="308" customWidth="1"/>
    <col min="15866" max="15866" width="31.83203125" style="308" customWidth="1"/>
    <col min="15867" max="15867" width="42.1640625" style="308" customWidth="1"/>
    <col min="15868" max="15868" width="8.1640625" style="308" bestFit="1" customWidth="1"/>
    <col min="15869" max="15869" width="7.5" style="308" customWidth="1"/>
    <col min="15870" max="15870" width="7.6640625" style="308" customWidth="1"/>
    <col min="15871" max="15871" width="15.5" style="308" customWidth="1"/>
    <col min="15872" max="15873" width="16" style="308" customWidth="1"/>
    <col min="15874" max="15874" width="19.33203125" style="308" customWidth="1"/>
    <col min="15875" max="15875" width="13.5" style="308" customWidth="1"/>
    <col min="15876" max="15876" width="13.6640625" style="308" customWidth="1"/>
    <col min="15877" max="15879" width="0" style="308" hidden="1" customWidth="1"/>
    <col min="15880" max="16119" width="9.33203125" style="308"/>
    <col min="16120" max="16120" width="1.1640625" style="308" customWidth="1"/>
    <col min="16121" max="16121" width="4" style="308" customWidth="1"/>
    <col min="16122" max="16122" width="31.83203125" style="308" customWidth="1"/>
    <col min="16123" max="16123" width="42.1640625" style="308" customWidth="1"/>
    <col min="16124" max="16124" width="8.1640625" style="308" bestFit="1" customWidth="1"/>
    <col min="16125" max="16125" width="7.5" style="308" customWidth="1"/>
    <col min="16126" max="16126" width="7.6640625" style="308" customWidth="1"/>
    <col min="16127" max="16127" width="15.5" style="308" customWidth="1"/>
    <col min="16128" max="16129" width="16" style="308" customWidth="1"/>
    <col min="16130" max="16130" width="19.33203125" style="308" customWidth="1"/>
    <col min="16131" max="16131" width="13.5" style="308" customWidth="1"/>
    <col min="16132" max="16132" width="13.6640625" style="308" customWidth="1"/>
    <col min="16133" max="16135" width="0" style="308" hidden="1" customWidth="1"/>
    <col min="16136" max="16384" width="9.33203125" style="308"/>
  </cols>
  <sheetData>
    <row r="1" spans="1:10" ht="15" x14ac:dyDescent="0.25">
      <c r="H1" s="1587"/>
    </row>
    <row r="2" spans="1:10" x14ac:dyDescent="0.2">
      <c r="A2" s="808" t="s">
        <v>320</v>
      </c>
      <c r="C2" s="809"/>
      <c r="D2" s="810"/>
      <c r="E2" s="810"/>
      <c r="F2" s="810"/>
      <c r="G2" s="810"/>
    </row>
    <row r="3" spans="1:10" ht="15" customHeight="1" x14ac:dyDescent="0.2">
      <c r="A3" s="3979" t="s">
        <v>1220</v>
      </c>
      <c r="B3" s="3979"/>
      <c r="C3" s="3979"/>
      <c r="D3" s="3979"/>
      <c r="E3" s="3979"/>
      <c r="F3" s="3979"/>
      <c r="G3" s="3979"/>
      <c r="H3" s="3979"/>
    </row>
    <row r="4" spans="1:10" ht="15" customHeight="1" x14ac:dyDescent="0.2">
      <c r="A4" s="3979" t="s">
        <v>1221</v>
      </c>
      <c r="B4" s="3979"/>
      <c r="C4" s="3979"/>
      <c r="D4" s="3979"/>
      <c r="E4" s="3979"/>
      <c r="F4" s="3979"/>
      <c r="G4" s="3979"/>
      <c r="H4" s="3979"/>
    </row>
    <row r="5" spans="1:10" ht="15" customHeight="1" x14ac:dyDescent="0.2">
      <c r="A5" s="3979"/>
      <c r="B5" s="3979"/>
      <c r="C5" s="3979"/>
      <c r="D5" s="3979"/>
      <c r="E5" s="3979"/>
      <c r="F5" s="3979"/>
      <c r="G5" s="3979"/>
      <c r="H5" s="3979"/>
      <c r="J5" s="1003" t="s">
        <v>1311</v>
      </c>
    </row>
    <row r="6" spans="1:10" x14ac:dyDescent="0.2">
      <c r="J6" s="1003" t="s">
        <v>446</v>
      </c>
    </row>
    <row r="7" spans="1:10" ht="36.75" customHeight="1" x14ac:dyDescent="0.2">
      <c r="A7" s="3980" t="s">
        <v>321</v>
      </c>
      <c r="B7" s="3980" t="s">
        <v>322</v>
      </c>
      <c r="C7" s="3982" t="s">
        <v>218</v>
      </c>
      <c r="D7" s="3983" t="s">
        <v>323</v>
      </c>
      <c r="E7" s="3983" t="s">
        <v>324</v>
      </c>
      <c r="F7" s="3983" t="s">
        <v>325</v>
      </c>
      <c r="G7" s="3983" t="s">
        <v>1312</v>
      </c>
      <c r="H7" s="3984" t="s">
        <v>180</v>
      </c>
      <c r="I7" s="3984" t="s">
        <v>1313</v>
      </c>
      <c r="J7" s="3984" t="s">
        <v>1314</v>
      </c>
    </row>
    <row r="8" spans="1:10" ht="30" customHeight="1" x14ac:dyDescent="0.2">
      <c r="A8" s="3981"/>
      <c r="B8" s="3981"/>
      <c r="C8" s="3982"/>
      <c r="D8" s="3983"/>
      <c r="E8" s="3983"/>
      <c r="F8" s="3983"/>
      <c r="G8" s="3983"/>
      <c r="H8" s="3985"/>
      <c r="I8" s="3985"/>
      <c r="J8" s="3985"/>
    </row>
    <row r="9" spans="1:10" x14ac:dyDescent="0.2">
      <c r="A9" s="1200">
        <v>1</v>
      </c>
      <c r="B9" s="1200">
        <v>2</v>
      </c>
      <c r="C9" s="1200">
        <v>3</v>
      </c>
      <c r="D9" s="1201">
        <v>4</v>
      </c>
      <c r="E9" s="1201">
        <v>5</v>
      </c>
      <c r="F9" s="793">
        <v>6</v>
      </c>
      <c r="G9" s="1201">
        <v>7</v>
      </c>
      <c r="H9" s="811">
        <v>8</v>
      </c>
      <c r="I9" s="1004"/>
      <c r="J9" s="1004"/>
    </row>
    <row r="10" spans="1:10" s="309" customFormat="1" ht="24.75" customHeight="1" x14ac:dyDescent="0.2">
      <c r="A10" s="1005">
        <v>1</v>
      </c>
      <c r="B10" s="1006" t="s">
        <v>1444</v>
      </c>
      <c r="C10" s="1588" t="s">
        <v>1519</v>
      </c>
      <c r="D10" s="1008">
        <v>1</v>
      </c>
      <c r="E10" s="1008">
        <v>3.5</v>
      </c>
      <c r="F10" s="1589">
        <f t="shared" ref="F10:F15" si="0">E10*27.1%</f>
        <v>0.9</v>
      </c>
      <c r="G10" s="1589">
        <f t="shared" ref="G10:J21" si="1">E10+F10</f>
        <v>4.4000000000000004</v>
      </c>
      <c r="H10" s="553" t="s">
        <v>1520</v>
      </c>
      <c r="I10" s="1008">
        <v>4.4000000000000004</v>
      </c>
      <c r="J10" s="1008">
        <v>4.4000000000000004</v>
      </c>
    </row>
    <row r="11" spans="1:10" s="309" customFormat="1" ht="24" customHeight="1" x14ac:dyDescent="0.2">
      <c r="A11" s="1005">
        <v>2</v>
      </c>
      <c r="B11" s="1006" t="s">
        <v>1444</v>
      </c>
      <c r="C11" s="1588" t="s">
        <v>1521</v>
      </c>
      <c r="D11" s="1008">
        <v>1</v>
      </c>
      <c r="E11" s="1008">
        <v>6.9</v>
      </c>
      <c r="F11" s="1589">
        <f t="shared" si="0"/>
        <v>1.9</v>
      </c>
      <c r="G11" s="1589">
        <f t="shared" si="1"/>
        <v>8.8000000000000007</v>
      </c>
      <c r="H11" s="553" t="s">
        <v>1520</v>
      </c>
      <c r="I11" s="1008">
        <v>8.8000000000000007</v>
      </c>
      <c r="J11" s="1008">
        <v>8.8000000000000007</v>
      </c>
    </row>
    <row r="12" spans="1:10" s="309" customFormat="1" ht="25.5" customHeight="1" x14ac:dyDescent="0.2">
      <c r="A12" s="1005">
        <v>3</v>
      </c>
      <c r="B12" s="1006" t="s">
        <v>1444</v>
      </c>
      <c r="C12" s="1007" t="s">
        <v>1522</v>
      </c>
      <c r="D12" s="1008">
        <v>1</v>
      </c>
      <c r="E12" s="1008">
        <v>128</v>
      </c>
      <c r="F12" s="1589">
        <f t="shared" si="0"/>
        <v>34.700000000000003</v>
      </c>
      <c r="G12" s="1589">
        <f t="shared" si="1"/>
        <v>162.69999999999999</v>
      </c>
      <c r="H12" s="553"/>
      <c r="I12" s="1008">
        <f t="shared" si="1"/>
        <v>162.69999999999999</v>
      </c>
      <c r="J12" s="1008">
        <f t="shared" si="1"/>
        <v>162.69999999999999</v>
      </c>
    </row>
    <row r="13" spans="1:10" s="309" customFormat="1" ht="25.5" customHeight="1" x14ac:dyDescent="0.2">
      <c r="A13" s="1005">
        <v>4</v>
      </c>
      <c r="B13" s="1006" t="s">
        <v>1444</v>
      </c>
      <c r="C13" s="1007" t="s">
        <v>1523</v>
      </c>
      <c r="D13" s="1008">
        <v>1</v>
      </c>
      <c r="E13" s="1008">
        <v>84</v>
      </c>
      <c r="F13" s="1589">
        <f t="shared" si="0"/>
        <v>22.8</v>
      </c>
      <c r="G13" s="1589">
        <f t="shared" si="1"/>
        <v>106.8</v>
      </c>
      <c r="H13" s="553"/>
      <c r="I13" s="1008">
        <f t="shared" si="1"/>
        <v>106.8</v>
      </c>
      <c r="J13" s="1008">
        <f t="shared" si="1"/>
        <v>106.8</v>
      </c>
    </row>
    <row r="14" spans="1:10" s="309" customFormat="1" ht="40.5" customHeight="1" x14ac:dyDescent="0.2">
      <c r="A14" s="1005">
        <v>5</v>
      </c>
      <c r="B14" s="1006" t="s">
        <v>1444</v>
      </c>
      <c r="C14" s="1007" t="s">
        <v>1524</v>
      </c>
      <c r="D14" s="1008">
        <v>1</v>
      </c>
      <c r="E14" s="1008">
        <v>72</v>
      </c>
      <c r="F14" s="1589">
        <f t="shared" si="0"/>
        <v>19.5</v>
      </c>
      <c r="G14" s="1589">
        <f t="shared" si="1"/>
        <v>91.5</v>
      </c>
      <c r="H14" s="553"/>
      <c r="I14" s="1008">
        <f t="shared" si="1"/>
        <v>91.5</v>
      </c>
      <c r="J14" s="1008">
        <f t="shared" si="1"/>
        <v>91.5</v>
      </c>
    </row>
    <row r="15" spans="1:10" s="309" customFormat="1" ht="27.75" customHeight="1" x14ac:dyDescent="0.2">
      <c r="A15" s="1005">
        <v>6</v>
      </c>
      <c r="B15" s="1006" t="s">
        <v>1444</v>
      </c>
      <c r="C15" s="1007" t="s">
        <v>1525</v>
      </c>
      <c r="D15" s="1008">
        <v>1</v>
      </c>
      <c r="E15" s="1008">
        <v>72</v>
      </c>
      <c r="F15" s="1589">
        <f t="shared" si="0"/>
        <v>19.5</v>
      </c>
      <c r="G15" s="1589">
        <f t="shared" si="1"/>
        <v>91.5</v>
      </c>
      <c r="H15" s="553"/>
      <c r="I15" s="1008">
        <f t="shared" si="1"/>
        <v>91.5</v>
      </c>
      <c r="J15" s="1008">
        <f t="shared" si="1"/>
        <v>91.5</v>
      </c>
    </row>
    <row r="16" spans="1:10" s="309" customFormat="1" ht="27.75" customHeight="1" x14ac:dyDescent="0.2">
      <c r="A16" s="1005">
        <v>7</v>
      </c>
      <c r="B16" s="1006" t="s">
        <v>1444</v>
      </c>
      <c r="C16" s="1007" t="s">
        <v>1526</v>
      </c>
      <c r="D16" s="1008">
        <v>1</v>
      </c>
      <c r="E16" s="1008">
        <v>4.7</v>
      </c>
      <c r="F16" s="1009">
        <v>1.28</v>
      </c>
      <c r="G16" s="1008">
        <f t="shared" si="1"/>
        <v>6</v>
      </c>
      <c r="H16" s="553"/>
      <c r="I16" s="1008">
        <f t="shared" si="1"/>
        <v>6</v>
      </c>
      <c r="J16" s="1008">
        <f t="shared" si="1"/>
        <v>6</v>
      </c>
    </row>
    <row r="17" spans="1:14" s="309" customFormat="1" ht="24" customHeight="1" x14ac:dyDescent="0.2">
      <c r="A17" s="1005">
        <v>8</v>
      </c>
      <c r="B17" s="1006" t="s">
        <v>1444</v>
      </c>
      <c r="C17" s="1007" t="s">
        <v>1527</v>
      </c>
      <c r="D17" s="1008">
        <v>1</v>
      </c>
      <c r="E17" s="1008">
        <v>181</v>
      </c>
      <c r="F17" s="1589">
        <v>49</v>
      </c>
      <c r="G17" s="1008">
        <f t="shared" si="1"/>
        <v>230</v>
      </c>
      <c r="H17" s="553"/>
      <c r="I17" s="1008">
        <f t="shared" si="1"/>
        <v>230</v>
      </c>
      <c r="J17" s="1008">
        <f t="shared" si="1"/>
        <v>230</v>
      </c>
    </row>
    <row r="18" spans="1:14" s="309" customFormat="1" ht="27" customHeight="1" x14ac:dyDescent="0.2">
      <c r="A18" s="1005">
        <v>9</v>
      </c>
      <c r="B18" s="1006" t="s">
        <v>1444</v>
      </c>
      <c r="C18" s="1007" t="s">
        <v>1528</v>
      </c>
      <c r="D18" s="1008">
        <v>1</v>
      </c>
      <c r="E18" s="1008">
        <v>7.9</v>
      </c>
      <c r="F18" s="1589">
        <v>2.1</v>
      </c>
      <c r="G18" s="1008">
        <f t="shared" si="1"/>
        <v>10</v>
      </c>
      <c r="H18" s="553"/>
      <c r="I18" s="1008">
        <f t="shared" si="1"/>
        <v>10</v>
      </c>
      <c r="J18" s="1008">
        <f t="shared" si="1"/>
        <v>10</v>
      </c>
    </row>
    <row r="19" spans="1:14" s="309" customFormat="1" ht="27" customHeight="1" x14ac:dyDescent="0.2">
      <c r="A19" s="1005">
        <v>10</v>
      </c>
      <c r="B19" s="1006" t="s">
        <v>1444</v>
      </c>
      <c r="C19" s="1007" t="s">
        <v>1529</v>
      </c>
      <c r="D19" s="1008">
        <v>1</v>
      </c>
      <c r="E19" s="1008">
        <v>4.7</v>
      </c>
      <c r="F19" s="1009">
        <v>1.28</v>
      </c>
      <c r="G19" s="1008">
        <f t="shared" si="1"/>
        <v>6</v>
      </c>
      <c r="H19" s="553"/>
      <c r="I19" s="1008">
        <f t="shared" si="1"/>
        <v>6</v>
      </c>
      <c r="J19" s="1008">
        <f t="shared" si="1"/>
        <v>6</v>
      </c>
    </row>
    <row r="20" spans="1:14" s="309" customFormat="1" ht="27" customHeight="1" x14ac:dyDescent="0.2">
      <c r="A20" s="1005">
        <v>11</v>
      </c>
      <c r="B20" s="1006" t="s">
        <v>1444</v>
      </c>
      <c r="C20" s="1007" t="s">
        <v>1530</v>
      </c>
      <c r="D20" s="1008">
        <v>1</v>
      </c>
      <c r="E20" s="1008">
        <v>7.9</v>
      </c>
      <c r="F20" s="1589">
        <v>2.1</v>
      </c>
      <c r="G20" s="1008">
        <f t="shared" si="1"/>
        <v>10</v>
      </c>
      <c r="H20" s="553"/>
      <c r="I20" s="1008">
        <f t="shared" si="1"/>
        <v>10</v>
      </c>
      <c r="J20" s="1008">
        <f t="shared" si="1"/>
        <v>10</v>
      </c>
    </row>
    <row r="21" spans="1:14" s="309" customFormat="1" ht="27" customHeight="1" x14ac:dyDescent="0.2">
      <c r="A21" s="1005">
        <v>12</v>
      </c>
      <c r="B21" s="1006" t="s">
        <v>1444</v>
      </c>
      <c r="C21" s="1007" t="s">
        <v>1531</v>
      </c>
      <c r="D21" s="1008">
        <v>1</v>
      </c>
      <c r="E21" s="1008">
        <v>2.4</v>
      </c>
      <c r="F21" s="1589">
        <v>0.6</v>
      </c>
      <c r="G21" s="1008">
        <f t="shared" si="1"/>
        <v>3</v>
      </c>
      <c r="H21" s="553"/>
      <c r="I21" s="1008">
        <f t="shared" si="1"/>
        <v>3</v>
      </c>
      <c r="J21" s="1008">
        <f t="shared" si="1"/>
        <v>3</v>
      </c>
    </row>
    <row r="22" spans="1:14" s="310" customFormat="1" x14ac:dyDescent="0.2">
      <c r="A22" s="813"/>
      <c r="B22" s="814" t="s">
        <v>216</v>
      </c>
      <c r="C22" s="814"/>
      <c r="D22" s="815"/>
      <c r="E22" s="815"/>
      <c r="F22" s="816"/>
      <c r="G22" s="816">
        <f>SUM(G10:G21)</f>
        <v>730.7</v>
      </c>
      <c r="H22" s="1010"/>
      <c r="I22" s="816">
        <f>SUM(I10:I21)</f>
        <v>730.7</v>
      </c>
      <c r="J22" s="816">
        <f>SUM(J10:J21)</f>
        <v>730.7</v>
      </c>
    </row>
    <row r="23" spans="1:14" x14ac:dyDescent="0.2">
      <c r="B23" s="308" t="s">
        <v>326</v>
      </c>
      <c r="D23" s="312"/>
      <c r="E23" s="312"/>
      <c r="F23" s="312"/>
      <c r="G23" s="312"/>
    </row>
    <row r="24" spans="1:14" x14ac:dyDescent="0.2">
      <c r="F24" s="308"/>
    </row>
    <row r="25" spans="1:14" s="1507" customFormat="1" ht="18.75" x14ac:dyDescent="0.3">
      <c r="A25" s="1590"/>
      <c r="B25" s="1342"/>
      <c r="C25" s="1344"/>
      <c r="D25" s="1591"/>
      <c r="E25" s="1591"/>
      <c r="F25" s="3986"/>
      <c r="G25" s="3986"/>
      <c r="H25" s="1591"/>
      <c r="I25" s="1591"/>
    </row>
    <row r="26" spans="1:14" s="1507" customFormat="1" ht="15" x14ac:dyDescent="0.25">
      <c r="A26" s="1345"/>
      <c r="B26" s="1345"/>
      <c r="C26" s="1592"/>
      <c r="D26" s="1593"/>
      <c r="E26" s="1592"/>
      <c r="F26" s="3987"/>
      <c r="G26" s="3987"/>
      <c r="H26" s="1593"/>
      <c r="I26" s="1593"/>
    </row>
    <row r="27" spans="1:14" s="1507" customFormat="1" ht="15" x14ac:dyDescent="0.25">
      <c r="A27" s="1346"/>
      <c r="B27" s="1346"/>
      <c r="C27" s="1346"/>
      <c r="D27" s="1346"/>
      <c r="E27" s="1346"/>
      <c r="F27" s="1346"/>
      <c r="G27" s="1347"/>
      <c r="H27" s="1347"/>
      <c r="I27" s="1347"/>
      <c r="L27" s="1594"/>
      <c r="M27" s="1347"/>
      <c r="N27" s="1347"/>
    </row>
    <row r="28" spans="1:14" s="1507" customFormat="1" ht="15.75" x14ac:dyDescent="0.25">
      <c r="A28" s="1565"/>
      <c r="B28" s="1348"/>
      <c r="C28" s="1348"/>
      <c r="D28" s="1348"/>
      <c r="E28" s="1346"/>
      <c r="F28" s="1346"/>
      <c r="G28" s="1346"/>
      <c r="H28" s="1346"/>
      <c r="I28" s="1595"/>
      <c r="L28" s="1349"/>
      <c r="M28" s="1349"/>
      <c r="N28" s="1349"/>
    </row>
    <row r="29" spans="1:14" x14ac:dyDescent="0.2">
      <c r="A29" s="3988"/>
      <c r="B29" s="3988"/>
    </row>
  </sheetData>
  <mergeCells count="16">
    <mergeCell ref="I7:I8"/>
    <mergeCell ref="J7:J8"/>
    <mergeCell ref="F25:G25"/>
    <mergeCell ref="F26:G26"/>
    <mergeCell ref="A29:B29"/>
    <mergeCell ref="A3:H3"/>
    <mergeCell ref="A4:H4"/>
    <mergeCell ref="A5:H5"/>
    <mergeCell ref="A7:A8"/>
    <mergeCell ref="B7:B8"/>
    <mergeCell ref="C7:C8"/>
    <mergeCell ref="D7:D8"/>
    <mergeCell ref="E7:E8"/>
    <mergeCell ref="F7:F8"/>
    <mergeCell ref="G7:G8"/>
    <mergeCell ref="H7:H8"/>
  </mergeCells>
  <pageMargins left="0.35433070866141736" right="0.15748031496062992" top="0.47244094488188981" bottom="0.15748031496062992" header="0.43307086614173229" footer="0.15748031496062992"/>
  <pageSetup paperSize="9" scale="92"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26"/>
  <sheetViews>
    <sheetView view="pageBreakPreview" zoomScale="80" zoomScaleNormal="80" zoomScaleSheetLayoutView="80" workbookViewId="0">
      <pane ySplit="12" topLeftCell="A13" activePane="bottomLeft" state="frozen"/>
      <selection activeCell="J29" sqref="J29"/>
      <selection pane="bottomLeft" activeCell="Q12" sqref="Q12"/>
    </sheetView>
  </sheetViews>
  <sheetFormatPr defaultRowHeight="15.75" x14ac:dyDescent="0.25"/>
  <cols>
    <col min="1" max="1" width="9.33203125" style="1349"/>
    <col min="2" max="2" width="45.33203125" style="1349" customWidth="1"/>
    <col min="3" max="3" width="14.33203125" style="1349" customWidth="1"/>
    <col min="4" max="5" width="15.83203125" style="1349" customWidth="1"/>
    <col min="6" max="7" width="18.5" style="1349" customWidth="1"/>
    <col min="8" max="8" width="19.33203125" style="1349" customWidth="1"/>
    <col min="9" max="10" width="15.83203125" style="1349" customWidth="1"/>
    <col min="11" max="16384" width="9.33203125" style="1349"/>
  </cols>
  <sheetData>
    <row r="1" spans="1:10" ht="15.75" customHeight="1" x14ac:dyDescent="0.25">
      <c r="I1" s="3990"/>
      <c r="J1" s="3990"/>
    </row>
    <row r="2" spans="1:10" ht="15.75" customHeight="1" x14ac:dyDescent="0.25">
      <c r="I2" s="1198"/>
      <c r="J2" s="1198"/>
    </row>
    <row r="3" spans="1:10" x14ac:dyDescent="0.25">
      <c r="A3" s="3991" t="s">
        <v>1222</v>
      </c>
      <c r="B3" s="3991"/>
      <c r="C3" s="3991"/>
      <c r="D3" s="3991"/>
      <c r="E3" s="3991"/>
      <c r="F3" s="3991"/>
      <c r="G3" s="3991"/>
      <c r="H3" s="3991"/>
      <c r="I3" s="3991"/>
      <c r="J3" s="3991"/>
    </row>
    <row r="4" spans="1:10" x14ac:dyDescent="0.25">
      <c r="A4" s="1596"/>
      <c r="B4" s="1596"/>
      <c r="C4" s="1596"/>
      <c r="D4" s="1596"/>
      <c r="E4" s="1596"/>
      <c r="F4" s="1596"/>
      <c r="G4" s="1596"/>
      <c r="H4" s="1596"/>
      <c r="I4" s="1596"/>
      <c r="J4" s="1596"/>
    </row>
    <row r="5" spans="1:10" x14ac:dyDescent="0.25">
      <c r="A5" s="3991"/>
      <c r="B5" s="3991"/>
      <c r="C5" s="3991"/>
      <c r="D5" s="3991"/>
      <c r="E5" s="3991"/>
      <c r="F5" s="3991"/>
      <c r="G5" s="3991"/>
      <c r="H5" s="3991"/>
      <c r="I5" s="3991"/>
      <c r="J5" s="3991"/>
    </row>
    <row r="6" spans="1:10" x14ac:dyDescent="0.25">
      <c r="A6" s="3992" t="s">
        <v>1444</v>
      </c>
      <c r="B6" s="3992"/>
      <c r="C6" s="3992"/>
      <c r="D6" s="3992"/>
      <c r="E6" s="3992"/>
      <c r="F6" s="3992"/>
      <c r="G6" s="3992"/>
      <c r="H6" s="3992"/>
      <c r="I6" s="3992"/>
      <c r="J6" s="3992"/>
    </row>
    <row r="7" spans="1:10" x14ac:dyDescent="0.25">
      <c r="A7" s="1597"/>
      <c r="B7" s="1597"/>
      <c r="C7" s="1597"/>
      <c r="D7" s="1597"/>
      <c r="E7" s="1597"/>
      <c r="F7" s="1597"/>
      <c r="G7" s="1597"/>
      <c r="H7" s="1597"/>
      <c r="I7" s="1597"/>
      <c r="J7" s="1598" t="s">
        <v>1311</v>
      </c>
    </row>
    <row r="8" spans="1:10" x14ac:dyDescent="0.25">
      <c r="J8" s="1599" t="s">
        <v>177</v>
      </c>
    </row>
    <row r="9" spans="1:10" ht="72" customHeight="1" x14ac:dyDescent="0.25">
      <c r="A9" s="3919" t="s">
        <v>78</v>
      </c>
      <c r="B9" s="3919" t="s">
        <v>185</v>
      </c>
      <c r="C9" s="3993" t="s">
        <v>701</v>
      </c>
      <c r="D9" s="3993"/>
      <c r="E9" s="3993"/>
      <c r="F9" s="3993"/>
      <c r="G9" s="3993"/>
      <c r="H9" s="3993"/>
      <c r="I9" s="3993" t="s">
        <v>702</v>
      </c>
      <c r="J9" s="3993" t="s">
        <v>1223</v>
      </c>
    </row>
    <row r="10" spans="1:10" ht="30" customHeight="1" x14ac:dyDescent="0.25">
      <c r="A10" s="3919"/>
      <c r="B10" s="3919"/>
      <c r="C10" s="3919" t="s">
        <v>703</v>
      </c>
      <c r="D10" s="3919" t="s">
        <v>704</v>
      </c>
      <c r="E10" s="3919" t="s">
        <v>705</v>
      </c>
      <c r="F10" s="3919" t="s">
        <v>706</v>
      </c>
      <c r="G10" s="3919" t="s">
        <v>707</v>
      </c>
      <c r="H10" s="3919" t="s">
        <v>448</v>
      </c>
      <c r="I10" s="3994"/>
      <c r="J10" s="3994"/>
    </row>
    <row r="11" spans="1:10" x14ac:dyDescent="0.25">
      <c r="A11" s="3919"/>
      <c r="B11" s="3919"/>
      <c r="C11" s="3919"/>
      <c r="D11" s="3919"/>
      <c r="E11" s="3919"/>
      <c r="F11" s="3919"/>
      <c r="G11" s="3919"/>
      <c r="H11" s="3919"/>
      <c r="I11" s="3994"/>
      <c r="J11" s="3994"/>
    </row>
    <row r="12" spans="1:10" x14ac:dyDescent="0.25">
      <c r="A12" s="1600">
        <v>1</v>
      </c>
      <c r="B12" s="1600">
        <v>2</v>
      </c>
      <c r="C12" s="1600">
        <v>3</v>
      </c>
      <c r="D12" s="1600">
        <v>4</v>
      </c>
      <c r="E12" s="1600">
        <v>5</v>
      </c>
      <c r="F12" s="1600">
        <v>6</v>
      </c>
      <c r="G12" s="1600">
        <v>7</v>
      </c>
      <c r="H12" s="1600">
        <v>8</v>
      </c>
      <c r="I12" s="1600">
        <v>9</v>
      </c>
      <c r="J12" s="1600">
        <v>10</v>
      </c>
    </row>
    <row r="13" spans="1:10" s="1606" customFormat="1" ht="31.5" x14ac:dyDescent="0.25">
      <c r="A13" s="1601">
        <v>1</v>
      </c>
      <c r="B13" s="1602" t="s">
        <v>1532</v>
      </c>
      <c r="C13" s="1603" t="s">
        <v>1315</v>
      </c>
      <c r="D13" s="1604">
        <v>6</v>
      </c>
      <c r="E13" s="1605">
        <v>1.7</v>
      </c>
      <c r="F13" s="1605"/>
      <c r="G13" s="1605">
        <f>D13*E13</f>
        <v>10.199999999999999</v>
      </c>
      <c r="H13" s="1605">
        <v>10.4</v>
      </c>
      <c r="I13" s="1605">
        <v>10.4</v>
      </c>
      <c r="J13" s="1605">
        <v>10.4</v>
      </c>
    </row>
    <row r="14" spans="1:10" s="1606" customFormat="1" x14ac:dyDescent="0.25">
      <c r="A14" s="1601">
        <v>3</v>
      </c>
      <c r="B14" s="1602" t="s">
        <v>1533</v>
      </c>
      <c r="C14" s="1603" t="s">
        <v>1534</v>
      </c>
      <c r="D14" s="1604">
        <v>6</v>
      </c>
      <c r="E14" s="1605">
        <v>0.5</v>
      </c>
      <c r="F14" s="1605"/>
      <c r="G14" s="1605">
        <f t="shared" ref="G14:G16" si="0">D14*E14</f>
        <v>3</v>
      </c>
      <c r="H14" s="1605">
        <v>2.7</v>
      </c>
      <c r="I14" s="1605">
        <v>2.7</v>
      </c>
      <c r="J14" s="1605">
        <v>2.7</v>
      </c>
    </row>
    <row r="15" spans="1:10" s="1606" customFormat="1" x14ac:dyDescent="0.25">
      <c r="A15" s="1601">
        <v>4</v>
      </c>
      <c r="B15" s="1602" t="s">
        <v>1535</v>
      </c>
      <c r="C15" s="1603" t="s">
        <v>1536</v>
      </c>
      <c r="D15" s="1604">
        <v>10</v>
      </c>
      <c r="E15" s="1605">
        <v>0.3</v>
      </c>
      <c r="F15" s="1605"/>
      <c r="G15" s="1605">
        <f t="shared" si="0"/>
        <v>3</v>
      </c>
      <c r="H15" s="1605">
        <v>2.5</v>
      </c>
      <c r="I15" s="1605">
        <v>2.5</v>
      </c>
      <c r="J15" s="1605">
        <v>2.5</v>
      </c>
    </row>
    <row r="16" spans="1:10" s="1606" customFormat="1" x14ac:dyDescent="0.25">
      <c r="A16" s="1601">
        <v>5</v>
      </c>
      <c r="B16" s="1602" t="s">
        <v>1537</v>
      </c>
      <c r="C16" s="1603" t="s">
        <v>1538</v>
      </c>
      <c r="D16" s="1604">
        <v>10</v>
      </c>
      <c r="E16" s="1605">
        <v>0.4</v>
      </c>
      <c r="F16" s="1605"/>
      <c r="G16" s="1605">
        <f t="shared" si="0"/>
        <v>4</v>
      </c>
      <c r="H16" s="1605">
        <v>3.9</v>
      </c>
      <c r="I16" s="1605">
        <v>3.9</v>
      </c>
      <c r="J16" s="1605">
        <v>3.9</v>
      </c>
    </row>
    <row r="17" spans="1:10" s="1606" customFormat="1" x14ac:dyDescent="0.25">
      <c r="A17" s="1601">
        <v>6</v>
      </c>
      <c r="B17" s="1602" t="s">
        <v>1539</v>
      </c>
      <c r="C17" s="1603"/>
      <c r="D17" s="1604"/>
      <c r="E17" s="1605"/>
      <c r="F17" s="1605">
        <v>0.5</v>
      </c>
      <c r="G17" s="1605"/>
      <c r="H17" s="1605">
        <v>0.5</v>
      </c>
      <c r="I17" s="1605">
        <v>0.5</v>
      </c>
      <c r="J17" s="1605">
        <v>0.5</v>
      </c>
    </row>
    <row r="18" spans="1:10" s="1609" customFormat="1" x14ac:dyDescent="0.25">
      <c r="A18" s="1607"/>
      <c r="B18" s="1607" t="s">
        <v>1224</v>
      </c>
      <c r="C18" s="1608"/>
      <c r="D18" s="1608"/>
      <c r="E18" s="1608"/>
      <c r="F18" s="1608"/>
      <c r="G18" s="1608"/>
      <c r="H18" s="1608">
        <f>SUM(H13:H17)</f>
        <v>20</v>
      </c>
      <c r="I18" s="1608">
        <f>SUM(I13:I17)</f>
        <v>20</v>
      </c>
      <c r="J18" s="1608">
        <f>SUM(J13:J17)</f>
        <v>20</v>
      </c>
    </row>
    <row r="19" spans="1:10" x14ac:dyDescent="0.25">
      <c r="A19" s="1595"/>
      <c r="B19" s="1595"/>
      <c r="C19" s="1595"/>
      <c r="D19" s="1595"/>
      <c r="E19" s="1595"/>
      <c r="F19" s="1595"/>
      <c r="G19" s="1595"/>
      <c r="H19" s="1595"/>
      <c r="I19" s="1595"/>
      <c r="J19" s="1595"/>
    </row>
    <row r="20" spans="1:10" ht="18.75" x14ac:dyDescent="0.3">
      <c r="A20" s="1610" t="s">
        <v>188</v>
      </c>
      <c r="B20" s="1595"/>
      <c r="C20" s="1595"/>
      <c r="D20" s="1595"/>
      <c r="E20" s="1595"/>
      <c r="F20" s="1595"/>
      <c r="G20" s="1595"/>
      <c r="H20" s="1595"/>
      <c r="I20" s="1595"/>
      <c r="J20" s="1595"/>
    </row>
    <row r="23" spans="1:10" x14ac:dyDescent="0.25">
      <c r="C23" s="3989"/>
      <c r="D23" s="3989"/>
    </row>
    <row r="24" spans="1:10" x14ac:dyDescent="0.25">
      <c r="C24" s="3995"/>
      <c r="D24" s="3995"/>
    </row>
    <row r="26" spans="1:10" x14ac:dyDescent="0.25">
      <c r="B26" s="1611"/>
    </row>
  </sheetData>
  <mergeCells count="17">
    <mergeCell ref="C24:D24"/>
    <mergeCell ref="D10:D11"/>
    <mergeCell ref="E10:E11"/>
    <mergeCell ref="F10:F11"/>
    <mergeCell ref="G10:G11"/>
    <mergeCell ref="H10:H11"/>
    <mergeCell ref="C23:D23"/>
    <mergeCell ref="I1:J1"/>
    <mergeCell ref="A3:J3"/>
    <mergeCell ref="A5:J5"/>
    <mergeCell ref="A6:J6"/>
    <mergeCell ref="A9:A11"/>
    <mergeCell ref="B9:B11"/>
    <mergeCell ref="C9:H9"/>
    <mergeCell ref="I9:I11"/>
    <mergeCell ref="J9:J11"/>
    <mergeCell ref="C10:C11"/>
  </mergeCells>
  <pageMargins left="0.70866141732283472" right="0.70866141732283472" top="0.74803149606299213" bottom="0.74803149606299213" header="0.31496062992125984" footer="0.31496062992125984"/>
  <pageSetup paperSize="9" scale="77"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S26"/>
  <sheetViews>
    <sheetView showZeros="0" view="pageBreakPreview" zoomScale="80" zoomScaleNormal="60" zoomScaleSheetLayoutView="80" workbookViewId="0">
      <pane ySplit="9" topLeftCell="A16" activePane="bottomLeft" state="frozen"/>
      <selection pane="bottomLeft" activeCell="AD19" sqref="AD19"/>
    </sheetView>
  </sheetViews>
  <sheetFormatPr defaultColWidth="10.6640625" defaultRowHeight="15.75" x14ac:dyDescent="0.25"/>
  <cols>
    <col min="1" max="1" width="7.33203125" style="1620" customWidth="1"/>
    <col min="2" max="2" width="42" style="1646" customWidth="1"/>
    <col min="3" max="3" width="18" style="1646" hidden="1" customWidth="1"/>
    <col min="4" max="6" width="18.5" style="1647" hidden="1" customWidth="1"/>
    <col min="7" max="7" width="18.5" style="1612" hidden="1" customWidth="1"/>
    <col min="8" max="8" width="18.33203125" style="1648" hidden="1" customWidth="1"/>
    <col min="9" max="9" width="16.6640625" style="1649" hidden="1" customWidth="1"/>
    <col min="10" max="10" width="19.5" style="1650" hidden="1" customWidth="1"/>
    <col min="11" max="11" width="17" style="1650" hidden="1" customWidth="1"/>
    <col min="12" max="14" width="19.5" style="1650" hidden="1" customWidth="1"/>
    <col min="15" max="17" width="19.5" style="1650" customWidth="1"/>
    <col min="18" max="18" width="15.33203125" style="1650" customWidth="1"/>
    <col min="19" max="19" width="17" style="1650" customWidth="1"/>
    <col min="20" max="20" width="40.83203125" style="1646" customWidth="1"/>
    <col min="21" max="22" width="10.6640625" style="1620"/>
    <col min="23" max="23" width="7.33203125" style="1620" customWidth="1"/>
    <col min="24" max="27" width="10.6640625" style="1620" hidden="1" customWidth="1"/>
    <col min="28" max="245" width="10.6640625" style="1620"/>
    <col min="246" max="246" width="7.33203125" style="1620" customWidth="1"/>
    <col min="247" max="247" width="14.1640625" style="1620" customWidth="1"/>
    <col min="248" max="248" width="40.83203125" style="1620" customWidth="1"/>
    <col min="249" max="249" width="10.1640625" style="1620" customWidth="1"/>
    <col min="250" max="250" width="24.1640625" style="1620" customWidth="1"/>
    <col min="251" max="252" width="13.1640625" style="1620" customWidth="1"/>
    <col min="253" max="253" width="14.5" style="1620" customWidth="1"/>
    <col min="254" max="254" width="10.1640625" style="1620" customWidth="1"/>
    <col min="255" max="255" width="13.1640625" style="1620" customWidth="1"/>
    <col min="256" max="256" width="14.5" style="1620" customWidth="1"/>
    <col min="257" max="257" width="13.1640625" style="1620" customWidth="1"/>
    <col min="258" max="258" width="12.6640625" style="1620" customWidth="1"/>
    <col min="259" max="259" width="10" style="1620" bestFit="1" customWidth="1"/>
    <col min="260" max="260" width="23.1640625" style="1620" bestFit="1" customWidth="1"/>
    <col min="261" max="262" width="11.5" style="1620" bestFit="1" customWidth="1"/>
    <col min="263" max="263" width="12.33203125" style="1620" bestFit="1" customWidth="1"/>
    <col min="264" max="264" width="15.83203125" style="1620" bestFit="1" customWidth="1"/>
    <col min="265" max="265" width="13" style="1620" bestFit="1" customWidth="1"/>
    <col min="266" max="266" width="14.33203125" style="1620" bestFit="1" customWidth="1"/>
    <col min="267" max="268" width="10.6640625" style="1620" hidden="1" customWidth="1"/>
    <col min="269" max="269" width="17.83203125" style="1620" bestFit="1" customWidth="1"/>
    <col min="270" max="272" width="10.6640625" style="1620" hidden="1" customWidth="1"/>
    <col min="273" max="278" width="10.6640625" style="1620"/>
    <col min="279" max="279" width="7.33203125" style="1620" customWidth="1"/>
    <col min="280" max="283" width="10.6640625" style="1620" hidden="1" customWidth="1"/>
    <col min="284" max="501" width="10.6640625" style="1620"/>
    <col min="502" max="502" width="7.33203125" style="1620" customWidth="1"/>
    <col min="503" max="503" width="14.1640625" style="1620" customWidth="1"/>
    <col min="504" max="504" width="40.83203125" style="1620" customWidth="1"/>
    <col min="505" max="505" width="10.1640625" style="1620" customWidth="1"/>
    <col min="506" max="506" width="24.1640625" style="1620" customWidth="1"/>
    <col min="507" max="508" width="13.1640625" style="1620" customWidth="1"/>
    <col min="509" max="509" width="14.5" style="1620" customWidth="1"/>
    <col min="510" max="510" width="10.1640625" style="1620" customWidth="1"/>
    <col min="511" max="511" width="13.1640625" style="1620" customWidth="1"/>
    <col min="512" max="512" width="14.5" style="1620" customWidth="1"/>
    <col min="513" max="513" width="13.1640625" style="1620" customWidth="1"/>
    <col min="514" max="514" width="12.6640625" style="1620" customWidth="1"/>
    <col min="515" max="515" width="10" style="1620" bestFit="1" customWidth="1"/>
    <col min="516" max="516" width="23.1640625" style="1620" bestFit="1" customWidth="1"/>
    <col min="517" max="518" width="11.5" style="1620" bestFit="1" customWidth="1"/>
    <col min="519" max="519" width="12.33203125" style="1620" bestFit="1" customWidth="1"/>
    <col min="520" max="520" width="15.83203125" style="1620" bestFit="1" customWidth="1"/>
    <col min="521" max="521" width="13" style="1620" bestFit="1" customWidth="1"/>
    <col min="522" max="522" width="14.33203125" style="1620" bestFit="1" customWidth="1"/>
    <col min="523" max="524" width="10.6640625" style="1620" hidden="1" customWidth="1"/>
    <col min="525" max="525" width="17.83203125" style="1620" bestFit="1" customWidth="1"/>
    <col min="526" max="528" width="10.6640625" style="1620" hidden="1" customWidth="1"/>
    <col min="529" max="534" width="10.6640625" style="1620"/>
    <col min="535" max="535" width="7.33203125" style="1620" customWidth="1"/>
    <col min="536" max="539" width="10.6640625" style="1620" hidden="1" customWidth="1"/>
    <col min="540" max="16384" width="10.6640625" style="1620"/>
  </cols>
  <sheetData>
    <row r="1" spans="1:22" s="1612" customFormat="1" ht="41.25" customHeight="1" x14ac:dyDescent="0.25">
      <c r="A1" s="3996" t="s">
        <v>327</v>
      </c>
      <c r="B1" s="3996"/>
      <c r="C1" s="3996"/>
      <c r="D1" s="3996"/>
      <c r="E1" s="3996"/>
      <c r="F1" s="3996"/>
      <c r="G1" s="3996"/>
      <c r="H1" s="3996"/>
      <c r="I1" s="3996"/>
      <c r="J1" s="3996"/>
      <c r="K1" s="3996"/>
      <c r="L1" s="3996"/>
      <c r="M1" s="3996"/>
      <c r="N1" s="3996"/>
      <c r="O1" s="3996"/>
      <c r="P1" s="3996"/>
      <c r="Q1" s="3996"/>
      <c r="R1" s="3996"/>
      <c r="S1" s="3996"/>
      <c r="T1" s="3996"/>
    </row>
    <row r="2" spans="1:22" s="1612" customFormat="1" x14ac:dyDescent="0.25">
      <c r="B2" s="1613"/>
      <c r="C2" s="1613"/>
      <c r="D2" s="1614"/>
      <c r="E2" s="1614"/>
      <c r="F2" s="1614"/>
      <c r="G2" s="1615"/>
      <c r="H2" s="1616"/>
      <c r="I2" s="1617"/>
      <c r="J2" s="1618"/>
      <c r="K2" s="1618"/>
      <c r="L2" s="1618"/>
      <c r="M2" s="1618"/>
      <c r="N2" s="1618"/>
      <c r="O2" s="1618"/>
      <c r="P2" s="1618"/>
      <c r="Q2" s="1618"/>
      <c r="R2" s="1618"/>
      <c r="S2" s="1618"/>
      <c r="T2" s="1613"/>
    </row>
    <row r="3" spans="1:22" s="1612" customFormat="1" x14ac:dyDescent="0.25">
      <c r="A3" s="3997" t="s">
        <v>1444</v>
      </c>
      <c r="B3" s="3997"/>
      <c r="C3" s="3997"/>
      <c r="D3" s="3997"/>
      <c r="E3" s="3997"/>
      <c r="F3" s="3997"/>
      <c r="G3" s="3997"/>
      <c r="H3" s="3997"/>
      <c r="I3" s="3997"/>
      <c r="J3" s="3997"/>
      <c r="K3" s="3997"/>
      <c r="L3" s="3997"/>
      <c r="M3" s="3997"/>
      <c r="N3" s="3997"/>
      <c r="O3" s="3997"/>
      <c r="P3" s="3997"/>
      <c r="Q3" s="3997"/>
      <c r="R3" s="3997"/>
      <c r="S3" s="3997"/>
      <c r="T3" s="3997"/>
    </row>
    <row r="4" spans="1:22" s="1612" customFormat="1" x14ac:dyDescent="0.25">
      <c r="B4" s="1613"/>
      <c r="C4" s="1613"/>
      <c r="D4" s="1614"/>
      <c r="E4" s="1614"/>
      <c r="F4" s="1614"/>
      <c r="G4" s="1615"/>
      <c r="H4" s="1616"/>
      <c r="I4" s="1617"/>
      <c r="J4" s="1618"/>
      <c r="K4" s="1618"/>
      <c r="L4" s="1618"/>
      <c r="M4" s="1618"/>
      <c r="N4" s="1618"/>
      <c r="O4" s="1618"/>
      <c r="P4" s="1618"/>
      <c r="Q4" s="1618"/>
      <c r="R4" s="1618"/>
      <c r="S4" s="1618"/>
      <c r="T4" s="1619" t="s">
        <v>1311</v>
      </c>
    </row>
    <row r="5" spans="1:22" ht="15.75" customHeight="1" x14ac:dyDescent="0.25">
      <c r="A5" s="3998" t="s">
        <v>78</v>
      </c>
      <c r="B5" s="3998" t="s">
        <v>328</v>
      </c>
      <c r="C5" s="3898" t="s">
        <v>922</v>
      </c>
      <c r="D5" s="3898"/>
      <c r="E5" s="3898"/>
      <c r="F5" s="3898"/>
      <c r="G5" s="3999" t="s">
        <v>344</v>
      </c>
      <c r="H5" s="3999"/>
      <c r="I5" s="3999"/>
      <c r="J5" s="3999"/>
      <c r="K5" s="3999"/>
      <c r="L5" s="3999"/>
      <c r="M5" s="3999"/>
      <c r="N5" s="3999"/>
      <c r="O5" s="3999" t="s">
        <v>204</v>
      </c>
      <c r="P5" s="3999"/>
      <c r="Q5" s="3999"/>
      <c r="R5" s="4000" t="s">
        <v>330</v>
      </c>
      <c r="S5" s="4000" t="s">
        <v>336</v>
      </c>
      <c r="T5" s="4003" t="s">
        <v>180</v>
      </c>
    </row>
    <row r="6" spans="1:22" ht="15.75" customHeight="1" x14ac:dyDescent="0.25">
      <c r="A6" s="3998"/>
      <c r="B6" s="3998"/>
      <c r="C6" s="3904" t="s">
        <v>786</v>
      </c>
      <c r="D6" s="3905"/>
      <c r="E6" s="3905"/>
      <c r="F6" s="3905"/>
      <c r="G6" s="3999" t="s">
        <v>1225</v>
      </c>
      <c r="H6" s="3999"/>
      <c r="I6" s="3999"/>
      <c r="J6" s="3999"/>
      <c r="K6" s="3999" t="s">
        <v>449</v>
      </c>
      <c r="L6" s="3999"/>
      <c r="M6" s="3999"/>
      <c r="N6" s="3999"/>
      <c r="O6" s="3999" t="s">
        <v>331</v>
      </c>
      <c r="P6" s="3999"/>
      <c r="Q6" s="3999"/>
      <c r="R6" s="4001"/>
      <c r="S6" s="4001"/>
      <c r="T6" s="4003"/>
    </row>
    <row r="7" spans="1:22" ht="94.5" customHeight="1" x14ac:dyDescent="0.25">
      <c r="A7" s="3998"/>
      <c r="B7" s="3998"/>
      <c r="C7" s="3906" t="s">
        <v>332</v>
      </c>
      <c r="D7" s="3907" t="s">
        <v>830</v>
      </c>
      <c r="E7" s="3500" t="s">
        <v>831</v>
      </c>
      <c r="F7" s="3500"/>
      <c r="G7" s="3998" t="s">
        <v>332</v>
      </c>
      <c r="H7" s="4005" t="s">
        <v>830</v>
      </c>
      <c r="I7" s="3500" t="s">
        <v>831</v>
      </c>
      <c r="J7" s="3500"/>
      <c r="K7" s="3998" t="s">
        <v>332</v>
      </c>
      <c r="L7" s="4005" t="s">
        <v>830</v>
      </c>
      <c r="M7" s="3500" t="s">
        <v>831</v>
      </c>
      <c r="N7" s="3500"/>
      <c r="O7" s="3998" t="s">
        <v>332</v>
      </c>
      <c r="P7" s="4005" t="s">
        <v>333</v>
      </c>
      <c r="Q7" s="3911" t="s">
        <v>334</v>
      </c>
      <c r="R7" s="4001"/>
      <c r="S7" s="4001"/>
      <c r="T7" s="4003"/>
      <c r="V7" s="1621"/>
    </row>
    <row r="8" spans="1:22" ht="30" x14ac:dyDescent="0.25">
      <c r="A8" s="3998"/>
      <c r="B8" s="3998"/>
      <c r="C8" s="3906"/>
      <c r="D8" s="3907"/>
      <c r="E8" s="817" t="s">
        <v>837</v>
      </c>
      <c r="F8" s="818" t="s">
        <v>836</v>
      </c>
      <c r="G8" s="3998"/>
      <c r="H8" s="4005"/>
      <c r="I8" s="1622" t="s">
        <v>837</v>
      </c>
      <c r="J8" s="1623" t="s">
        <v>836</v>
      </c>
      <c r="K8" s="3998"/>
      <c r="L8" s="4005"/>
      <c r="M8" s="1622" t="s">
        <v>837</v>
      </c>
      <c r="N8" s="1623" t="s">
        <v>836</v>
      </c>
      <c r="O8" s="3998"/>
      <c r="P8" s="4005"/>
      <c r="Q8" s="3912"/>
      <c r="R8" s="4002"/>
      <c r="S8" s="4002"/>
      <c r="T8" s="4003"/>
    </row>
    <row r="9" spans="1:22" s="1627" customFormat="1" ht="16.5" x14ac:dyDescent="0.25">
      <c r="A9" s="1624">
        <v>1</v>
      </c>
      <c r="B9" s="1624">
        <v>3</v>
      </c>
      <c r="C9" s="1624">
        <v>4</v>
      </c>
      <c r="D9" s="1624">
        <v>5</v>
      </c>
      <c r="E9" s="1624">
        <v>6</v>
      </c>
      <c r="F9" s="1624">
        <v>7</v>
      </c>
      <c r="G9" s="1624">
        <v>8</v>
      </c>
      <c r="H9" s="1624">
        <v>9</v>
      </c>
      <c r="I9" s="1625">
        <v>10</v>
      </c>
      <c r="J9" s="1624">
        <v>11</v>
      </c>
      <c r="K9" s="1624">
        <v>12</v>
      </c>
      <c r="L9" s="1624">
        <v>13</v>
      </c>
      <c r="M9" s="1624">
        <v>14</v>
      </c>
      <c r="N9" s="1624">
        <v>15</v>
      </c>
      <c r="O9" s="1624">
        <v>4</v>
      </c>
      <c r="P9" s="1624">
        <v>5</v>
      </c>
      <c r="Q9" s="1624">
        <v>6</v>
      </c>
      <c r="R9" s="1624">
        <v>7</v>
      </c>
      <c r="S9" s="1624">
        <v>8</v>
      </c>
      <c r="T9" s="1626">
        <v>9</v>
      </c>
    </row>
    <row r="10" spans="1:22" s="1637" customFormat="1" ht="33.75" customHeight="1" x14ac:dyDescent="0.25">
      <c r="A10" s="1628">
        <v>1</v>
      </c>
      <c r="B10" s="1629" t="s">
        <v>1540</v>
      </c>
      <c r="C10" s="1629"/>
      <c r="D10" s="1630"/>
      <c r="E10" s="1630">
        <v>181.4</v>
      </c>
      <c r="F10" s="1630"/>
      <c r="G10" s="1631"/>
      <c r="H10" s="1632"/>
      <c r="I10" s="1633">
        <v>200</v>
      </c>
      <c r="J10" s="1634"/>
      <c r="K10" s="1631"/>
      <c r="L10" s="1632"/>
      <c r="M10" s="1632">
        <v>200</v>
      </c>
      <c r="N10" s="1634"/>
      <c r="O10" s="1634">
        <v>10</v>
      </c>
      <c r="P10" s="1634">
        <v>180</v>
      </c>
      <c r="Q10" s="1634">
        <f>O10*P10/1000</f>
        <v>1.8</v>
      </c>
      <c r="R10" s="1635">
        <v>1.8</v>
      </c>
      <c r="S10" s="1635">
        <v>1.8</v>
      </c>
      <c r="T10" s="1636" t="s">
        <v>1541</v>
      </c>
    </row>
    <row r="11" spans="1:22" s="1637" customFormat="1" ht="33.75" customHeight="1" x14ac:dyDescent="0.25">
      <c r="A11" s="1628">
        <v>2</v>
      </c>
      <c r="B11" s="1629" t="s">
        <v>1542</v>
      </c>
      <c r="C11" s="1629"/>
      <c r="D11" s="1630"/>
      <c r="E11" s="1630"/>
      <c r="F11" s="1630"/>
      <c r="G11" s="1631"/>
      <c r="H11" s="1632"/>
      <c r="I11" s="1633"/>
      <c r="J11" s="1634"/>
      <c r="K11" s="1631"/>
      <c r="L11" s="1632"/>
      <c r="M11" s="1632"/>
      <c r="N11" s="1634"/>
      <c r="O11" s="1634">
        <v>10</v>
      </c>
      <c r="P11" s="1634">
        <v>500</v>
      </c>
      <c r="Q11" s="1634">
        <f>O11*P11/1000</f>
        <v>5</v>
      </c>
      <c r="R11" s="1635">
        <v>5</v>
      </c>
      <c r="S11" s="1635">
        <v>5</v>
      </c>
      <c r="T11" s="1636" t="s">
        <v>1541</v>
      </c>
    </row>
    <row r="12" spans="1:22" s="1637" customFormat="1" ht="33.75" customHeight="1" x14ac:dyDescent="0.25">
      <c r="A12" s="1628">
        <v>3</v>
      </c>
      <c r="B12" s="1629" t="s">
        <v>1543</v>
      </c>
      <c r="C12" s="1629"/>
      <c r="D12" s="1630"/>
      <c r="E12" s="1630"/>
      <c r="F12" s="1630"/>
      <c r="G12" s="1631"/>
      <c r="H12" s="1632"/>
      <c r="I12" s="1633"/>
      <c r="J12" s="1634"/>
      <c r="K12" s="1631"/>
      <c r="L12" s="1632"/>
      <c r="M12" s="1632"/>
      <c r="N12" s="1634"/>
      <c r="O12" s="1634">
        <v>20</v>
      </c>
      <c r="P12" s="1634">
        <v>80</v>
      </c>
      <c r="Q12" s="1634">
        <f>O12*P12/1000</f>
        <v>1.6</v>
      </c>
      <c r="R12" s="1635">
        <v>1.6</v>
      </c>
      <c r="S12" s="1635">
        <v>1.6</v>
      </c>
      <c r="T12" s="1636" t="s">
        <v>1544</v>
      </c>
    </row>
    <row r="13" spans="1:22" s="1637" customFormat="1" ht="33.75" customHeight="1" x14ac:dyDescent="0.25">
      <c r="A13" s="1628">
        <v>4</v>
      </c>
      <c r="B13" s="1638" t="s">
        <v>1545</v>
      </c>
      <c r="C13" s="1629"/>
      <c r="D13" s="1630"/>
      <c r="E13" s="1630"/>
      <c r="F13" s="1630"/>
      <c r="G13" s="1631"/>
      <c r="H13" s="1632"/>
      <c r="I13" s="1633"/>
      <c r="J13" s="1634"/>
      <c r="K13" s="1631"/>
      <c r="L13" s="1632"/>
      <c r="M13" s="1632"/>
      <c r="N13" s="1634"/>
      <c r="O13" s="1634">
        <v>5</v>
      </c>
      <c r="P13" s="1634">
        <v>3000</v>
      </c>
      <c r="Q13" s="1634">
        <f>O13*P13/1000</f>
        <v>15</v>
      </c>
      <c r="R13" s="1635">
        <v>15</v>
      </c>
      <c r="S13" s="1635">
        <v>15</v>
      </c>
      <c r="T13" s="1636" t="s">
        <v>1546</v>
      </c>
    </row>
    <row r="14" spans="1:22" s="1637" customFormat="1" ht="33.75" customHeight="1" x14ac:dyDescent="0.25">
      <c r="A14" s="1628">
        <v>5</v>
      </c>
      <c r="B14" s="1638" t="s">
        <v>1547</v>
      </c>
      <c r="C14" s="1629"/>
      <c r="D14" s="1630"/>
      <c r="E14" s="1630"/>
      <c r="F14" s="1630"/>
      <c r="G14" s="1631"/>
      <c r="H14" s="1632"/>
      <c r="I14" s="1633"/>
      <c r="J14" s="1634"/>
      <c r="K14" s="1631"/>
      <c r="L14" s="1632"/>
      <c r="M14" s="1632"/>
      <c r="N14" s="1634"/>
      <c r="O14" s="1634">
        <v>20</v>
      </c>
      <c r="P14" s="1634">
        <v>250</v>
      </c>
      <c r="Q14" s="1634">
        <f>O14*P14/1000</f>
        <v>5</v>
      </c>
      <c r="R14" s="1635">
        <v>5</v>
      </c>
      <c r="S14" s="1635">
        <v>5</v>
      </c>
      <c r="T14" s="1636"/>
    </row>
    <row r="15" spans="1:22" s="1637" customFormat="1" ht="33.75" customHeight="1" x14ac:dyDescent="0.25">
      <c r="A15" s="1628">
        <v>6</v>
      </c>
      <c r="B15" s="1638" t="s">
        <v>1548</v>
      </c>
      <c r="C15" s="1629"/>
      <c r="D15" s="1630"/>
      <c r="E15" s="1630"/>
      <c r="F15" s="1630"/>
      <c r="G15" s="1631"/>
      <c r="H15" s="1632"/>
      <c r="I15" s="1633"/>
      <c r="J15" s="1634"/>
      <c r="K15" s="1631"/>
      <c r="L15" s="1632"/>
      <c r="M15" s="1632"/>
      <c r="N15" s="1634"/>
      <c r="O15" s="1634"/>
      <c r="P15" s="1634"/>
      <c r="Q15" s="1634">
        <v>80</v>
      </c>
      <c r="R15" s="1634">
        <v>80</v>
      </c>
      <c r="S15" s="1634">
        <v>80</v>
      </c>
      <c r="T15" s="1636"/>
    </row>
    <row r="16" spans="1:22" s="1637" customFormat="1" ht="33.75" customHeight="1" x14ac:dyDescent="0.25">
      <c r="A16" s="1628">
        <v>7</v>
      </c>
      <c r="B16" s="1638" t="s">
        <v>1549</v>
      </c>
      <c r="C16" s="1629"/>
      <c r="D16" s="1630"/>
      <c r="E16" s="1630"/>
      <c r="F16" s="1630"/>
      <c r="G16" s="1631"/>
      <c r="H16" s="1632"/>
      <c r="I16" s="1633"/>
      <c r="J16" s="1634"/>
      <c r="K16" s="1631"/>
      <c r="L16" s="1632"/>
      <c r="M16" s="1632"/>
      <c r="N16" s="1634"/>
      <c r="O16" s="1634"/>
      <c r="P16" s="1634"/>
      <c r="Q16" s="1634">
        <v>8</v>
      </c>
      <c r="R16" s="1634">
        <v>8</v>
      </c>
      <c r="S16" s="1634">
        <v>8</v>
      </c>
      <c r="T16" s="1636"/>
    </row>
    <row r="17" spans="1:20" s="1637" customFormat="1" ht="33.75" customHeight="1" x14ac:dyDescent="0.25">
      <c r="A17" s="1628">
        <v>8</v>
      </c>
      <c r="B17" s="1638" t="s">
        <v>1550</v>
      </c>
      <c r="C17" s="1629"/>
      <c r="D17" s="1630"/>
      <c r="E17" s="1630"/>
      <c r="F17" s="1630"/>
      <c r="G17" s="1631"/>
      <c r="H17" s="1632"/>
      <c r="I17" s="1633"/>
      <c r="J17" s="1634"/>
      <c r="K17" s="1631"/>
      <c r="L17" s="1632"/>
      <c r="M17" s="1632"/>
      <c r="N17" s="1634"/>
      <c r="O17" s="1634"/>
      <c r="P17" s="1634"/>
      <c r="Q17" s="1634">
        <v>6</v>
      </c>
      <c r="R17" s="1634">
        <v>6</v>
      </c>
      <c r="S17" s="1634">
        <v>6</v>
      </c>
      <c r="T17" s="1636"/>
    </row>
    <row r="18" spans="1:20" s="1637" customFormat="1" ht="33.75" customHeight="1" x14ac:dyDescent="0.25">
      <c r="A18" s="1628">
        <v>9</v>
      </c>
      <c r="B18" s="1638" t="s">
        <v>1551</v>
      </c>
      <c r="C18" s="1629"/>
      <c r="D18" s="1630"/>
      <c r="E18" s="1630"/>
      <c r="F18" s="1630"/>
      <c r="G18" s="1631"/>
      <c r="H18" s="1632"/>
      <c r="I18" s="1633"/>
      <c r="J18" s="1634"/>
      <c r="K18" s="1631"/>
      <c r="L18" s="1632"/>
      <c r="M18" s="1632"/>
      <c r="N18" s="1634"/>
      <c r="O18" s="1634"/>
      <c r="P18" s="1634"/>
      <c r="Q18" s="1634">
        <v>5</v>
      </c>
      <c r="R18" s="1634">
        <v>5</v>
      </c>
      <c r="S18" s="1634">
        <v>5</v>
      </c>
      <c r="T18" s="1636"/>
    </row>
    <row r="19" spans="1:20" s="1645" customFormat="1" ht="30" customHeight="1" x14ac:dyDescent="0.25">
      <c r="A19" s="1639"/>
      <c r="B19" s="1640"/>
      <c r="C19" s="1640"/>
      <c r="D19" s="1641"/>
      <c r="E19" s="1641"/>
      <c r="F19" s="1641"/>
      <c r="G19" s="1639"/>
      <c r="H19" s="1642"/>
      <c r="I19" s="1642"/>
      <c r="J19" s="1643"/>
      <c r="K19" s="1639"/>
      <c r="L19" s="1642"/>
      <c r="M19" s="1642"/>
      <c r="N19" s="1643"/>
      <c r="O19" s="1643"/>
      <c r="P19" s="1643"/>
      <c r="Q19" s="1643">
        <f>SUM(Q10:Q18)</f>
        <v>127.4</v>
      </c>
      <c r="R19" s="1643">
        <f>SUM(R10:R18)</f>
        <v>127.4</v>
      </c>
      <c r="S19" s="1643">
        <f>SUM(S10:S18)</f>
        <v>127.4</v>
      </c>
      <c r="T19" s="1644"/>
    </row>
    <row r="20" spans="1:20" x14ac:dyDescent="0.25">
      <c r="A20" s="4006" t="s">
        <v>188</v>
      </c>
      <c r="B20" s="4006"/>
      <c r="C20" s="4006"/>
      <c r="D20" s="4006"/>
      <c r="E20" s="4006"/>
      <c r="F20" s="4006"/>
      <c r="G20" s="4006"/>
      <c r="H20" s="4006"/>
      <c r="I20" s="4006"/>
      <c r="J20" s="4006"/>
      <c r="K20" s="4006"/>
      <c r="L20" s="4006"/>
      <c r="M20" s="4006"/>
      <c r="N20" s="4006"/>
      <c r="O20" s="4006"/>
      <c r="P20" s="4006"/>
      <c r="Q20" s="4006"/>
      <c r="R20" s="4006"/>
      <c r="S20" s="4006"/>
    </row>
    <row r="25" spans="1:20" x14ac:dyDescent="0.25">
      <c r="A25" s="1651"/>
      <c r="B25" s="1652"/>
    </row>
    <row r="26" spans="1:20" x14ac:dyDescent="0.25">
      <c r="A26" s="4004"/>
      <c r="B26" s="4004"/>
    </row>
  </sheetData>
  <mergeCells count="28">
    <mergeCell ref="A26:B26"/>
    <mergeCell ref="K7:K8"/>
    <mergeCell ref="L7:L8"/>
    <mergeCell ref="M7:N7"/>
    <mergeCell ref="O7:O8"/>
    <mergeCell ref="E7:F7"/>
    <mergeCell ref="G7:G8"/>
    <mergeCell ref="H7:H8"/>
    <mergeCell ref="I7:J7"/>
    <mergeCell ref="A20:S20"/>
    <mergeCell ref="P7:P8"/>
    <mergeCell ref="Q7:Q8"/>
    <mergeCell ref="A1:T1"/>
    <mergeCell ref="A3:T3"/>
    <mergeCell ref="A5:A8"/>
    <mergeCell ref="B5:B8"/>
    <mergeCell ref="C5:F5"/>
    <mergeCell ref="G5:N5"/>
    <mergeCell ref="O5:Q5"/>
    <mergeCell ref="R5:R8"/>
    <mergeCell ref="S5:S8"/>
    <mergeCell ref="T5:T8"/>
    <mergeCell ref="C6:F6"/>
    <mergeCell ref="G6:J6"/>
    <mergeCell ref="K6:N6"/>
    <mergeCell ref="O6:Q6"/>
    <mergeCell ref="C7:C8"/>
    <mergeCell ref="D7:D8"/>
  </mergeCells>
  <pageMargins left="0.70866141732283472" right="0.70866141732283472" top="0.74803149606299213" bottom="0.74803149606299213" header="0.31496062992125984" footer="0.31496062992125984"/>
  <pageSetup paperSize="9" scale="70"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83"/>
  <sheetViews>
    <sheetView view="pageBreakPreview" zoomScaleNormal="80" zoomScaleSheetLayoutView="100" workbookViewId="0">
      <pane ySplit="11" topLeftCell="A12" activePane="bottomLeft" state="frozen"/>
      <selection pane="bottomLeft" activeCell="Q81" sqref="Q81"/>
    </sheetView>
  </sheetViews>
  <sheetFormatPr defaultRowHeight="15.75" x14ac:dyDescent="0.25"/>
  <cols>
    <col min="1" max="1" width="74.6640625" style="1349" customWidth="1"/>
    <col min="2" max="2" width="9" style="1349" hidden="1" customWidth="1"/>
    <col min="3" max="3" width="12.6640625" style="1349" hidden="1" customWidth="1"/>
    <col min="4" max="4" width="15.33203125" style="1349" hidden="1" customWidth="1"/>
    <col min="5" max="5" width="9" style="1349" hidden="1" customWidth="1"/>
    <col min="6" max="6" width="14.33203125" style="1349" hidden="1" customWidth="1"/>
    <col min="7" max="7" width="9" style="1349" hidden="1" customWidth="1"/>
    <col min="8" max="8" width="14.83203125" style="1349" hidden="1" customWidth="1"/>
    <col min="9" max="9" width="9.83203125" style="1349" bestFit="1" customWidth="1"/>
    <col min="10" max="10" width="15.5" style="1349" customWidth="1"/>
    <col min="11" max="11" width="16.6640625" style="1349" customWidth="1"/>
    <col min="12" max="12" width="15.6640625" style="1349" customWidth="1"/>
    <col min="13" max="13" width="16.5" style="1349" customWidth="1"/>
    <col min="14" max="14" width="44" style="1349" customWidth="1"/>
    <col min="15" max="237" width="9.33203125" style="1349"/>
    <col min="238" max="238" width="74.6640625" style="1349" customWidth="1"/>
    <col min="239" max="239" width="9" style="1349" bestFit="1" customWidth="1"/>
    <col min="240" max="240" width="12.6640625" style="1349" customWidth="1"/>
    <col min="241" max="241" width="15.33203125" style="1349" customWidth="1"/>
    <col min="242" max="242" width="9" style="1349" bestFit="1" customWidth="1"/>
    <col min="243" max="243" width="14.33203125" style="1349" customWidth="1"/>
    <col min="244" max="244" width="9" style="1349" bestFit="1" customWidth="1"/>
    <col min="245" max="245" width="14.83203125" style="1349" customWidth="1"/>
    <col min="246" max="246" width="9" style="1349" bestFit="1" customWidth="1"/>
    <col min="247" max="248" width="15.33203125" style="1349" customWidth="1"/>
    <col min="249" max="249" width="9" style="1349" bestFit="1" customWidth="1"/>
    <col min="250" max="250" width="14.83203125" style="1349" customWidth="1"/>
    <col min="251" max="251" width="9" style="1349" bestFit="1" customWidth="1"/>
    <col min="252" max="252" width="14.83203125" style="1349" customWidth="1"/>
    <col min="253" max="254" width="16.5" style="1349" customWidth="1"/>
    <col min="255" max="256" width="16.33203125" style="1349" customWidth="1"/>
    <col min="257" max="257" width="8" style="1349" customWidth="1"/>
    <col min="258" max="258" width="19.1640625" style="1349" customWidth="1"/>
    <col min="259" max="259" width="9" style="1349" bestFit="1" customWidth="1"/>
    <col min="260" max="260" width="14.83203125" style="1349" customWidth="1"/>
    <col min="261" max="261" width="16.6640625" style="1349" customWidth="1"/>
    <col min="262" max="262" width="14.83203125" style="1349" customWidth="1"/>
    <col min="263" max="263" width="9" style="1349" bestFit="1" customWidth="1"/>
    <col min="264" max="265" width="14.83203125" style="1349" customWidth="1"/>
    <col min="266" max="266" width="18.1640625" style="1349" customWidth="1"/>
    <col min="267" max="267" width="15.6640625" style="1349" customWidth="1"/>
    <col min="268" max="268" width="16.5" style="1349" customWidth="1"/>
    <col min="269" max="269" width="16.1640625" style="1349" bestFit="1" customWidth="1"/>
    <col min="270" max="493" width="9.33203125" style="1349"/>
    <col min="494" max="494" width="74.6640625" style="1349" customWidth="1"/>
    <col min="495" max="495" width="9" style="1349" bestFit="1" customWidth="1"/>
    <col min="496" max="496" width="12.6640625" style="1349" customWidth="1"/>
    <col min="497" max="497" width="15.33203125" style="1349" customWidth="1"/>
    <col min="498" max="498" width="9" style="1349" bestFit="1" customWidth="1"/>
    <col min="499" max="499" width="14.33203125" style="1349" customWidth="1"/>
    <col min="500" max="500" width="9" style="1349" bestFit="1" customWidth="1"/>
    <col min="501" max="501" width="14.83203125" style="1349" customWidth="1"/>
    <col min="502" max="502" width="9" style="1349" bestFit="1" customWidth="1"/>
    <col min="503" max="504" width="15.33203125" style="1349" customWidth="1"/>
    <col min="505" max="505" width="9" style="1349" bestFit="1" customWidth="1"/>
    <col min="506" max="506" width="14.83203125" style="1349" customWidth="1"/>
    <col min="507" max="507" width="9" style="1349" bestFit="1" customWidth="1"/>
    <col min="508" max="508" width="14.83203125" style="1349" customWidth="1"/>
    <col min="509" max="510" width="16.5" style="1349" customWidth="1"/>
    <col min="511" max="512" width="16.33203125" style="1349" customWidth="1"/>
    <col min="513" max="513" width="8" style="1349" customWidth="1"/>
    <col min="514" max="514" width="19.1640625" style="1349" customWidth="1"/>
    <col min="515" max="515" width="9" style="1349" bestFit="1" customWidth="1"/>
    <col min="516" max="516" width="14.83203125" style="1349" customWidth="1"/>
    <col min="517" max="517" width="16.6640625" style="1349" customWidth="1"/>
    <col min="518" max="518" width="14.83203125" style="1349" customWidth="1"/>
    <col min="519" max="519" width="9" style="1349" bestFit="1" customWidth="1"/>
    <col min="520" max="521" width="14.83203125" style="1349" customWidth="1"/>
    <col min="522" max="522" width="18.1640625" style="1349" customWidth="1"/>
    <col min="523" max="523" width="15.6640625" style="1349" customWidth="1"/>
    <col min="524" max="524" width="16.5" style="1349" customWidth="1"/>
    <col min="525" max="525" width="16.1640625" style="1349" bestFit="1" customWidth="1"/>
    <col min="526" max="749" width="9.33203125" style="1349"/>
    <col min="750" max="750" width="74.6640625" style="1349" customWidth="1"/>
    <col min="751" max="751" width="9" style="1349" bestFit="1" customWidth="1"/>
    <col min="752" max="752" width="12.6640625" style="1349" customWidth="1"/>
    <col min="753" max="753" width="15.33203125" style="1349" customWidth="1"/>
    <col min="754" max="754" width="9" style="1349" bestFit="1" customWidth="1"/>
    <col min="755" max="755" width="14.33203125" style="1349" customWidth="1"/>
    <col min="756" max="756" width="9" style="1349" bestFit="1" customWidth="1"/>
    <col min="757" max="757" width="14.83203125" style="1349" customWidth="1"/>
    <col min="758" max="758" width="9" style="1349" bestFit="1" customWidth="1"/>
    <col min="759" max="760" width="15.33203125" style="1349" customWidth="1"/>
    <col min="761" max="761" width="9" style="1349" bestFit="1" customWidth="1"/>
    <col min="762" max="762" width="14.83203125" style="1349" customWidth="1"/>
    <col min="763" max="763" width="9" style="1349" bestFit="1" customWidth="1"/>
    <col min="764" max="764" width="14.83203125" style="1349" customWidth="1"/>
    <col min="765" max="766" width="16.5" style="1349" customWidth="1"/>
    <col min="767" max="768" width="16.33203125" style="1349" customWidth="1"/>
    <col min="769" max="769" width="8" style="1349" customWidth="1"/>
    <col min="770" max="770" width="19.1640625" style="1349" customWidth="1"/>
    <col min="771" max="771" width="9" style="1349" bestFit="1" customWidth="1"/>
    <col min="772" max="772" width="14.83203125" style="1349" customWidth="1"/>
    <col min="773" max="773" width="16.6640625" style="1349" customWidth="1"/>
    <col min="774" max="774" width="14.83203125" style="1349" customWidth="1"/>
    <col min="775" max="775" width="9" style="1349" bestFit="1" customWidth="1"/>
    <col min="776" max="777" width="14.83203125" style="1349" customWidth="1"/>
    <col min="778" max="778" width="18.1640625" style="1349" customWidth="1"/>
    <col min="779" max="779" width="15.6640625" style="1349" customWidth="1"/>
    <col min="780" max="780" width="16.5" style="1349" customWidth="1"/>
    <col min="781" max="781" width="16.1640625" style="1349" bestFit="1" customWidth="1"/>
    <col min="782" max="1005" width="9.33203125" style="1349"/>
    <col min="1006" max="1006" width="74.6640625" style="1349" customWidth="1"/>
    <col min="1007" max="1007" width="9" style="1349" bestFit="1" customWidth="1"/>
    <col min="1008" max="1008" width="12.6640625" style="1349" customWidth="1"/>
    <col min="1009" max="1009" width="15.33203125" style="1349" customWidth="1"/>
    <col min="1010" max="1010" width="9" style="1349" bestFit="1" customWidth="1"/>
    <col min="1011" max="1011" width="14.33203125" style="1349" customWidth="1"/>
    <col min="1012" max="1012" width="9" style="1349" bestFit="1" customWidth="1"/>
    <col min="1013" max="1013" width="14.83203125" style="1349" customWidth="1"/>
    <col min="1014" max="1014" width="9" style="1349" bestFit="1" customWidth="1"/>
    <col min="1015" max="1016" width="15.33203125" style="1349" customWidth="1"/>
    <col min="1017" max="1017" width="9" style="1349" bestFit="1" customWidth="1"/>
    <col min="1018" max="1018" width="14.83203125" style="1349" customWidth="1"/>
    <col min="1019" max="1019" width="9" style="1349" bestFit="1" customWidth="1"/>
    <col min="1020" max="1020" width="14.83203125" style="1349" customWidth="1"/>
    <col min="1021" max="1022" width="16.5" style="1349" customWidth="1"/>
    <col min="1023" max="1024" width="16.33203125" style="1349" customWidth="1"/>
    <col min="1025" max="1025" width="8" style="1349" customWidth="1"/>
    <col min="1026" max="1026" width="19.1640625" style="1349" customWidth="1"/>
    <col min="1027" max="1027" width="9" style="1349" bestFit="1" customWidth="1"/>
    <col min="1028" max="1028" width="14.83203125" style="1349" customWidth="1"/>
    <col min="1029" max="1029" width="16.6640625" style="1349" customWidth="1"/>
    <col min="1030" max="1030" width="14.83203125" style="1349" customWidth="1"/>
    <col min="1031" max="1031" width="9" style="1349" bestFit="1" customWidth="1"/>
    <col min="1032" max="1033" width="14.83203125" style="1349" customWidth="1"/>
    <col min="1034" max="1034" width="18.1640625" style="1349" customWidth="1"/>
    <col min="1035" max="1035" width="15.6640625" style="1349" customWidth="1"/>
    <col min="1036" max="1036" width="16.5" style="1349" customWidth="1"/>
    <col min="1037" max="1037" width="16.1640625" style="1349" bestFit="1" customWidth="1"/>
    <col min="1038" max="1261" width="9.33203125" style="1349"/>
    <col min="1262" max="1262" width="74.6640625" style="1349" customWidth="1"/>
    <col min="1263" max="1263" width="9" style="1349" bestFit="1" customWidth="1"/>
    <col min="1264" max="1264" width="12.6640625" style="1349" customWidth="1"/>
    <col min="1265" max="1265" width="15.33203125" style="1349" customWidth="1"/>
    <col min="1266" max="1266" width="9" style="1349" bestFit="1" customWidth="1"/>
    <col min="1267" max="1267" width="14.33203125" style="1349" customWidth="1"/>
    <col min="1268" max="1268" width="9" style="1349" bestFit="1" customWidth="1"/>
    <col min="1269" max="1269" width="14.83203125" style="1349" customWidth="1"/>
    <col min="1270" max="1270" width="9" style="1349" bestFit="1" customWidth="1"/>
    <col min="1271" max="1272" width="15.33203125" style="1349" customWidth="1"/>
    <col min="1273" max="1273" width="9" style="1349" bestFit="1" customWidth="1"/>
    <col min="1274" max="1274" width="14.83203125" style="1349" customWidth="1"/>
    <col min="1275" max="1275" width="9" style="1349" bestFit="1" customWidth="1"/>
    <col min="1276" max="1276" width="14.83203125" style="1349" customWidth="1"/>
    <col min="1277" max="1278" width="16.5" style="1349" customWidth="1"/>
    <col min="1279" max="1280" width="16.33203125" style="1349" customWidth="1"/>
    <col min="1281" max="1281" width="8" style="1349" customWidth="1"/>
    <col min="1282" max="1282" width="19.1640625" style="1349" customWidth="1"/>
    <col min="1283" max="1283" width="9" style="1349" bestFit="1" customWidth="1"/>
    <col min="1284" max="1284" width="14.83203125" style="1349" customWidth="1"/>
    <col min="1285" max="1285" width="16.6640625" style="1349" customWidth="1"/>
    <col min="1286" max="1286" width="14.83203125" style="1349" customWidth="1"/>
    <col min="1287" max="1287" width="9" style="1349" bestFit="1" customWidth="1"/>
    <col min="1288" max="1289" width="14.83203125" style="1349" customWidth="1"/>
    <col min="1290" max="1290" width="18.1640625" style="1349" customWidth="1"/>
    <col min="1291" max="1291" width="15.6640625" style="1349" customWidth="1"/>
    <col min="1292" max="1292" width="16.5" style="1349" customWidth="1"/>
    <col min="1293" max="1293" width="16.1640625" style="1349" bestFit="1" customWidth="1"/>
    <col min="1294" max="1517" width="9.33203125" style="1349"/>
    <col min="1518" max="1518" width="74.6640625" style="1349" customWidth="1"/>
    <col min="1519" max="1519" width="9" style="1349" bestFit="1" customWidth="1"/>
    <col min="1520" max="1520" width="12.6640625" style="1349" customWidth="1"/>
    <col min="1521" max="1521" width="15.33203125" style="1349" customWidth="1"/>
    <col min="1522" max="1522" width="9" style="1349" bestFit="1" customWidth="1"/>
    <col min="1523" max="1523" width="14.33203125" style="1349" customWidth="1"/>
    <col min="1524" max="1524" width="9" style="1349" bestFit="1" customWidth="1"/>
    <col min="1525" max="1525" width="14.83203125" style="1349" customWidth="1"/>
    <col min="1526" max="1526" width="9" style="1349" bestFit="1" customWidth="1"/>
    <col min="1527" max="1528" width="15.33203125" style="1349" customWidth="1"/>
    <col min="1529" max="1529" width="9" style="1349" bestFit="1" customWidth="1"/>
    <col min="1530" max="1530" width="14.83203125" style="1349" customWidth="1"/>
    <col min="1531" max="1531" width="9" style="1349" bestFit="1" customWidth="1"/>
    <col min="1532" max="1532" width="14.83203125" style="1349" customWidth="1"/>
    <col min="1533" max="1534" width="16.5" style="1349" customWidth="1"/>
    <col min="1535" max="1536" width="16.33203125" style="1349" customWidth="1"/>
    <col min="1537" max="1537" width="8" style="1349" customWidth="1"/>
    <col min="1538" max="1538" width="19.1640625" style="1349" customWidth="1"/>
    <col min="1539" max="1539" width="9" style="1349" bestFit="1" customWidth="1"/>
    <col min="1540" max="1540" width="14.83203125" style="1349" customWidth="1"/>
    <col min="1541" max="1541" width="16.6640625" style="1349" customWidth="1"/>
    <col min="1542" max="1542" width="14.83203125" style="1349" customWidth="1"/>
    <col min="1543" max="1543" width="9" style="1349" bestFit="1" customWidth="1"/>
    <col min="1544" max="1545" width="14.83203125" style="1349" customWidth="1"/>
    <col min="1546" max="1546" width="18.1640625" style="1349" customWidth="1"/>
    <col min="1547" max="1547" width="15.6640625" style="1349" customWidth="1"/>
    <col min="1548" max="1548" width="16.5" style="1349" customWidth="1"/>
    <col min="1549" max="1549" width="16.1640625" style="1349" bestFit="1" customWidth="1"/>
    <col min="1550" max="1773" width="9.33203125" style="1349"/>
    <col min="1774" max="1774" width="74.6640625" style="1349" customWidth="1"/>
    <col min="1775" max="1775" width="9" style="1349" bestFit="1" customWidth="1"/>
    <col min="1776" max="1776" width="12.6640625" style="1349" customWidth="1"/>
    <col min="1777" max="1777" width="15.33203125" style="1349" customWidth="1"/>
    <col min="1778" max="1778" width="9" style="1349" bestFit="1" customWidth="1"/>
    <col min="1779" max="1779" width="14.33203125" style="1349" customWidth="1"/>
    <col min="1780" max="1780" width="9" style="1349" bestFit="1" customWidth="1"/>
    <col min="1781" max="1781" width="14.83203125" style="1349" customWidth="1"/>
    <col min="1782" max="1782" width="9" style="1349" bestFit="1" customWidth="1"/>
    <col min="1783" max="1784" width="15.33203125" style="1349" customWidth="1"/>
    <col min="1785" max="1785" width="9" style="1349" bestFit="1" customWidth="1"/>
    <col min="1786" max="1786" width="14.83203125" style="1349" customWidth="1"/>
    <col min="1787" max="1787" width="9" style="1349" bestFit="1" customWidth="1"/>
    <col min="1788" max="1788" width="14.83203125" style="1349" customWidth="1"/>
    <col min="1789" max="1790" width="16.5" style="1349" customWidth="1"/>
    <col min="1791" max="1792" width="16.33203125" style="1349" customWidth="1"/>
    <col min="1793" max="1793" width="8" style="1349" customWidth="1"/>
    <col min="1794" max="1794" width="19.1640625" style="1349" customWidth="1"/>
    <col min="1795" max="1795" width="9" style="1349" bestFit="1" customWidth="1"/>
    <col min="1796" max="1796" width="14.83203125" style="1349" customWidth="1"/>
    <col min="1797" max="1797" width="16.6640625" style="1349" customWidth="1"/>
    <col min="1798" max="1798" width="14.83203125" style="1349" customWidth="1"/>
    <col min="1799" max="1799" width="9" style="1349" bestFit="1" customWidth="1"/>
    <col min="1800" max="1801" width="14.83203125" style="1349" customWidth="1"/>
    <col min="1802" max="1802" width="18.1640625" style="1349" customWidth="1"/>
    <col min="1803" max="1803" width="15.6640625" style="1349" customWidth="1"/>
    <col min="1804" max="1804" width="16.5" style="1349" customWidth="1"/>
    <col min="1805" max="1805" width="16.1640625" style="1349" bestFit="1" customWidth="1"/>
    <col min="1806" max="2029" width="9.33203125" style="1349"/>
    <col min="2030" max="2030" width="74.6640625" style="1349" customWidth="1"/>
    <col min="2031" max="2031" width="9" style="1349" bestFit="1" customWidth="1"/>
    <col min="2032" max="2032" width="12.6640625" style="1349" customWidth="1"/>
    <col min="2033" max="2033" width="15.33203125" style="1349" customWidth="1"/>
    <col min="2034" max="2034" width="9" style="1349" bestFit="1" customWidth="1"/>
    <col min="2035" max="2035" width="14.33203125" style="1349" customWidth="1"/>
    <col min="2036" max="2036" width="9" style="1349" bestFit="1" customWidth="1"/>
    <col min="2037" max="2037" width="14.83203125" style="1349" customWidth="1"/>
    <col min="2038" max="2038" width="9" style="1349" bestFit="1" customWidth="1"/>
    <col min="2039" max="2040" width="15.33203125" style="1349" customWidth="1"/>
    <col min="2041" max="2041" width="9" style="1349" bestFit="1" customWidth="1"/>
    <col min="2042" max="2042" width="14.83203125" style="1349" customWidth="1"/>
    <col min="2043" max="2043" width="9" style="1349" bestFit="1" customWidth="1"/>
    <col min="2044" max="2044" width="14.83203125" style="1349" customWidth="1"/>
    <col min="2045" max="2046" width="16.5" style="1349" customWidth="1"/>
    <col min="2047" max="2048" width="16.33203125" style="1349" customWidth="1"/>
    <col min="2049" max="2049" width="8" style="1349" customWidth="1"/>
    <col min="2050" max="2050" width="19.1640625" style="1349" customWidth="1"/>
    <col min="2051" max="2051" width="9" style="1349" bestFit="1" customWidth="1"/>
    <col min="2052" max="2052" width="14.83203125" style="1349" customWidth="1"/>
    <col min="2053" max="2053" width="16.6640625" style="1349" customWidth="1"/>
    <col min="2054" max="2054" width="14.83203125" style="1349" customWidth="1"/>
    <col min="2055" max="2055" width="9" style="1349" bestFit="1" customWidth="1"/>
    <col min="2056" max="2057" width="14.83203125" style="1349" customWidth="1"/>
    <col min="2058" max="2058" width="18.1640625" style="1349" customWidth="1"/>
    <col min="2059" max="2059" width="15.6640625" style="1349" customWidth="1"/>
    <col min="2060" max="2060" width="16.5" style="1349" customWidth="1"/>
    <col min="2061" max="2061" width="16.1640625" style="1349" bestFit="1" customWidth="1"/>
    <col min="2062" max="2285" width="9.33203125" style="1349"/>
    <col min="2286" max="2286" width="74.6640625" style="1349" customWidth="1"/>
    <col min="2287" max="2287" width="9" style="1349" bestFit="1" customWidth="1"/>
    <col min="2288" max="2288" width="12.6640625" style="1349" customWidth="1"/>
    <col min="2289" max="2289" width="15.33203125" style="1349" customWidth="1"/>
    <col min="2290" max="2290" width="9" style="1349" bestFit="1" customWidth="1"/>
    <col min="2291" max="2291" width="14.33203125" style="1349" customWidth="1"/>
    <col min="2292" max="2292" width="9" style="1349" bestFit="1" customWidth="1"/>
    <col min="2293" max="2293" width="14.83203125" style="1349" customWidth="1"/>
    <col min="2294" max="2294" width="9" style="1349" bestFit="1" customWidth="1"/>
    <col min="2295" max="2296" width="15.33203125" style="1349" customWidth="1"/>
    <col min="2297" max="2297" width="9" style="1349" bestFit="1" customWidth="1"/>
    <col min="2298" max="2298" width="14.83203125" style="1349" customWidth="1"/>
    <col min="2299" max="2299" width="9" style="1349" bestFit="1" customWidth="1"/>
    <col min="2300" max="2300" width="14.83203125" style="1349" customWidth="1"/>
    <col min="2301" max="2302" width="16.5" style="1349" customWidth="1"/>
    <col min="2303" max="2304" width="16.33203125" style="1349" customWidth="1"/>
    <col min="2305" max="2305" width="8" style="1349" customWidth="1"/>
    <col min="2306" max="2306" width="19.1640625" style="1349" customWidth="1"/>
    <col min="2307" max="2307" width="9" style="1349" bestFit="1" customWidth="1"/>
    <col min="2308" max="2308" width="14.83203125" style="1349" customWidth="1"/>
    <col min="2309" max="2309" width="16.6640625" style="1349" customWidth="1"/>
    <col min="2310" max="2310" width="14.83203125" style="1349" customWidth="1"/>
    <col min="2311" max="2311" width="9" style="1349" bestFit="1" customWidth="1"/>
    <col min="2312" max="2313" width="14.83203125" style="1349" customWidth="1"/>
    <col min="2314" max="2314" width="18.1640625" style="1349" customWidth="1"/>
    <col min="2315" max="2315" width="15.6640625" style="1349" customWidth="1"/>
    <col min="2316" max="2316" width="16.5" style="1349" customWidth="1"/>
    <col min="2317" max="2317" width="16.1640625" style="1349" bestFit="1" customWidth="1"/>
    <col min="2318" max="2541" width="9.33203125" style="1349"/>
    <col min="2542" max="2542" width="74.6640625" style="1349" customWidth="1"/>
    <col min="2543" max="2543" width="9" style="1349" bestFit="1" customWidth="1"/>
    <col min="2544" max="2544" width="12.6640625" style="1349" customWidth="1"/>
    <col min="2545" max="2545" width="15.33203125" style="1349" customWidth="1"/>
    <col min="2546" max="2546" width="9" style="1349" bestFit="1" customWidth="1"/>
    <col min="2547" max="2547" width="14.33203125" style="1349" customWidth="1"/>
    <col min="2548" max="2548" width="9" style="1349" bestFit="1" customWidth="1"/>
    <col min="2549" max="2549" width="14.83203125" style="1349" customWidth="1"/>
    <col min="2550" max="2550" width="9" style="1349" bestFit="1" customWidth="1"/>
    <col min="2551" max="2552" width="15.33203125" style="1349" customWidth="1"/>
    <col min="2553" max="2553" width="9" style="1349" bestFit="1" customWidth="1"/>
    <col min="2554" max="2554" width="14.83203125" style="1349" customWidth="1"/>
    <col min="2555" max="2555" width="9" style="1349" bestFit="1" customWidth="1"/>
    <col min="2556" max="2556" width="14.83203125" style="1349" customWidth="1"/>
    <col min="2557" max="2558" width="16.5" style="1349" customWidth="1"/>
    <col min="2559" max="2560" width="16.33203125" style="1349" customWidth="1"/>
    <col min="2561" max="2561" width="8" style="1349" customWidth="1"/>
    <col min="2562" max="2562" width="19.1640625" style="1349" customWidth="1"/>
    <col min="2563" max="2563" width="9" style="1349" bestFit="1" customWidth="1"/>
    <col min="2564" max="2564" width="14.83203125" style="1349" customWidth="1"/>
    <col min="2565" max="2565" width="16.6640625" style="1349" customWidth="1"/>
    <col min="2566" max="2566" width="14.83203125" style="1349" customWidth="1"/>
    <col min="2567" max="2567" width="9" style="1349" bestFit="1" customWidth="1"/>
    <col min="2568" max="2569" width="14.83203125" style="1349" customWidth="1"/>
    <col min="2570" max="2570" width="18.1640625" style="1349" customWidth="1"/>
    <col min="2571" max="2571" width="15.6640625" style="1349" customWidth="1"/>
    <col min="2572" max="2572" width="16.5" style="1349" customWidth="1"/>
    <col min="2573" max="2573" width="16.1640625" style="1349" bestFit="1" customWidth="1"/>
    <col min="2574" max="2797" width="9.33203125" style="1349"/>
    <col min="2798" max="2798" width="74.6640625" style="1349" customWidth="1"/>
    <col min="2799" max="2799" width="9" style="1349" bestFit="1" customWidth="1"/>
    <col min="2800" max="2800" width="12.6640625" style="1349" customWidth="1"/>
    <col min="2801" max="2801" width="15.33203125" style="1349" customWidth="1"/>
    <col min="2802" max="2802" width="9" style="1349" bestFit="1" customWidth="1"/>
    <col min="2803" max="2803" width="14.33203125" style="1349" customWidth="1"/>
    <col min="2804" max="2804" width="9" style="1349" bestFit="1" customWidth="1"/>
    <col min="2805" max="2805" width="14.83203125" style="1349" customWidth="1"/>
    <col min="2806" max="2806" width="9" style="1349" bestFit="1" customWidth="1"/>
    <col min="2807" max="2808" width="15.33203125" style="1349" customWidth="1"/>
    <col min="2809" max="2809" width="9" style="1349" bestFit="1" customWidth="1"/>
    <col min="2810" max="2810" width="14.83203125" style="1349" customWidth="1"/>
    <col min="2811" max="2811" width="9" style="1349" bestFit="1" customWidth="1"/>
    <col min="2812" max="2812" width="14.83203125" style="1349" customWidth="1"/>
    <col min="2813" max="2814" width="16.5" style="1349" customWidth="1"/>
    <col min="2815" max="2816" width="16.33203125" style="1349" customWidth="1"/>
    <col min="2817" max="2817" width="8" style="1349" customWidth="1"/>
    <col min="2818" max="2818" width="19.1640625" style="1349" customWidth="1"/>
    <col min="2819" max="2819" width="9" style="1349" bestFit="1" customWidth="1"/>
    <col min="2820" max="2820" width="14.83203125" style="1349" customWidth="1"/>
    <col min="2821" max="2821" width="16.6640625" style="1349" customWidth="1"/>
    <col min="2822" max="2822" width="14.83203125" style="1349" customWidth="1"/>
    <col min="2823" max="2823" width="9" style="1349" bestFit="1" customWidth="1"/>
    <col min="2824" max="2825" width="14.83203125" style="1349" customWidth="1"/>
    <col min="2826" max="2826" width="18.1640625" style="1349" customWidth="1"/>
    <col min="2827" max="2827" width="15.6640625" style="1349" customWidth="1"/>
    <col min="2828" max="2828" width="16.5" style="1349" customWidth="1"/>
    <col min="2829" max="2829" width="16.1640625" style="1349" bestFit="1" customWidth="1"/>
    <col min="2830" max="3053" width="9.33203125" style="1349"/>
    <col min="3054" max="3054" width="74.6640625" style="1349" customWidth="1"/>
    <col min="3055" max="3055" width="9" style="1349" bestFit="1" customWidth="1"/>
    <col min="3056" max="3056" width="12.6640625" style="1349" customWidth="1"/>
    <col min="3057" max="3057" width="15.33203125" style="1349" customWidth="1"/>
    <col min="3058" max="3058" width="9" style="1349" bestFit="1" customWidth="1"/>
    <col min="3059" max="3059" width="14.33203125" style="1349" customWidth="1"/>
    <col min="3060" max="3060" width="9" style="1349" bestFit="1" customWidth="1"/>
    <col min="3061" max="3061" width="14.83203125" style="1349" customWidth="1"/>
    <col min="3062" max="3062" width="9" style="1349" bestFit="1" customWidth="1"/>
    <col min="3063" max="3064" width="15.33203125" style="1349" customWidth="1"/>
    <col min="3065" max="3065" width="9" style="1349" bestFit="1" customWidth="1"/>
    <col min="3066" max="3066" width="14.83203125" style="1349" customWidth="1"/>
    <col min="3067" max="3067" width="9" style="1349" bestFit="1" customWidth="1"/>
    <col min="3068" max="3068" width="14.83203125" style="1349" customWidth="1"/>
    <col min="3069" max="3070" width="16.5" style="1349" customWidth="1"/>
    <col min="3071" max="3072" width="16.33203125" style="1349" customWidth="1"/>
    <col min="3073" max="3073" width="8" style="1349" customWidth="1"/>
    <col min="3074" max="3074" width="19.1640625" style="1349" customWidth="1"/>
    <col min="3075" max="3075" width="9" style="1349" bestFit="1" customWidth="1"/>
    <col min="3076" max="3076" width="14.83203125" style="1349" customWidth="1"/>
    <col min="3077" max="3077" width="16.6640625" style="1349" customWidth="1"/>
    <col min="3078" max="3078" width="14.83203125" style="1349" customWidth="1"/>
    <col min="3079" max="3079" width="9" style="1349" bestFit="1" customWidth="1"/>
    <col min="3080" max="3081" width="14.83203125" style="1349" customWidth="1"/>
    <col min="3082" max="3082" width="18.1640625" style="1349" customWidth="1"/>
    <col min="3083" max="3083" width="15.6640625" style="1349" customWidth="1"/>
    <col min="3084" max="3084" width="16.5" style="1349" customWidth="1"/>
    <col min="3085" max="3085" width="16.1640625" style="1349" bestFit="1" customWidth="1"/>
    <col min="3086" max="3309" width="9.33203125" style="1349"/>
    <col min="3310" max="3310" width="74.6640625" style="1349" customWidth="1"/>
    <col min="3311" max="3311" width="9" style="1349" bestFit="1" customWidth="1"/>
    <col min="3312" max="3312" width="12.6640625" style="1349" customWidth="1"/>
    <col min="3313" max="3313" width="15.33203125" style="1349" customWidth="1"/>
    <col min="3314" max="3314" width="9" style="1349" bestFit="1" customWidth="1"/>
    <col min="3315" max="3315" width="14.33203125" style="1349" customWidth="1"/>
    <col min="3316" max="3316" width="9" style="1349" bestFit="1" customWidth="1"/>
    <col min="3317" max="3317" width="14.83203125" style="1349" customWidth="1"/>
    <col min="3318" max="3318" width="9" style="1349" bestFit="1" customWidth="1"/>
    <col min="3319" max="3320" width="15.33203125" style="1349" customWidth="1"/>
    <col min="3321" max="3321" width="9" style="1349" bestFit="1" customWidth="1"/>
    <col min="3322" max="3322" width="14.83203125" style="1349" customWidth="1"/>
    <col min="3323" max="3323" width="9" style="1349" bestFit="1" customWidth="1"/>
    <col min="3324" max="3324" width="14.83203125" style="1349" customWidth="1"/>
    <col min="3325" max="3326" width="16.5" style="1349" customWidth="1"/>
    <col min="3327" max="3328" width="16.33203125" style="1349" customWidth="1"/>
    <col min="3329" max="3329" width="8" style="1349" customWidth="1"/>
    <col min="3330" max="3330" width="19.1640625" style="1349" customWidth="1"/>
    <col min="3331" max="3331" width="9" style="1349" bestFit="1" customWidth="1"/>
    <col min="3332" max="3332" width="14.83203125" style="1349" customWidth="1"/>
    <col min="3333" max="3333" width="16.6640625" style="1349" customWidth="1"/>
    <col min="3334" max="3334" width="14.83203125" style="1349" customWidth="1"/>
    <col min="3335" max="3335" width="9" style="1349" bestFit="1" customWidth="1"/>
    <col min="3336" max="3337" width="14.83203125" style="1349" customWidth="1"/>
    <col min="3338" max="3338" width="18.1640625" style="1349" customWidth="1"/>
    <col min="3339" max="3339" width="15.6640625" style="1349" customWidth="1"/>
    <col min="3340" max="3340" width="16.5" style="1349" customWidth="1"/>
    <col min="3341" max="3341" width="16.1640625" style="1349" bestFit="1" customWidth="1"/>
    <col min="3342" max="3565" width="9.33203125" style="1349"/>
    <col min="3566" max="3566" width="74.6640625" style="1349" customWidth="1"/>
    <col min="3567" max="3567" width="9" style="1349" bestFit="1" customWidth="1"/>
    <col min="3568" max="3568" width="12.6640625" style="1349" customWidth="1"/>
    <col min="3569" max="3569" width="15.33203125" style="1349" customWidth="1"/>
    <col min="3570" max="3570" width="9" style="1349" bestFit="1" customWidth="1"/>
    <col min="3571" max="3571" width="14.33203125" style="1349" customWidth="1"/>
    <col min="3572" max="3572" width="9" style="1349" bestFit="1" customWidth="1"/>
    <col min="3573" max="3573" width="14.83203125" style="1349" customWidth="1"/>
    <col min="3574" max="3574" width="9" style="1349" bestFit="1" customWidth="1"/>
    <col min="3575" max="3576" width="15.33203125" style="1349" customWidth="1"/>
    <col min="3577" max="3577" width="9" style="1349" bestFit="1" customWidth="1"/>
    <col min="3578" max="3578" width="14.83203125" style="1349" customWidth="1"/>
    <col min="3579" max="3579" width="9" style="1349" bestFit="1" customWidth="1"/>
    <col min="3580" max="3580" width="14.83203125" style="1349" customWidth="1"/>
    <col min="3581" max="3582" width="16.5" style="1349" customWidth="1"/>
    <col min="3583" max="3584" width="16.33203125" style="1349" customWidth="1"/>
    <col min="3585" max="3585" width="8" style="1349" customWidth="1"/>
    <col min="3586" max="3586" width="19.1640625" style="1349" customWidth="1"/>
    <col min="3587" max="3587" width="9" style="1349" bestFit="1" customWidth="1"/>
    <col min="3588" max="3588" width="14.83203125" style="1349" customWidth="1"/>
    <col min="3589" max="3589" width="16.6640625" style="1349" customWidth="1"/>
    <col min="3590" max="3590" width="14.83203125" style="1349" customWidth="1"/>
    <col min="3591" max="3591" width="9" style="1349" bestFit="1" customWidth="1"/>
    <col min="3592" max="3593" width="14.83203125" style="1349" customWidth="1"/>
    <col min="3594" max="3594" width="18.1640625" style="1349" customWidth="1"/>
    <col min="3595" max="3595" width="15.6640625" style="1349" customWidth="1"/>
    <col min="3596" max="3596" width="16.5" style="1349" customWidth="1"/>
    <col min="3597" max="3597" width="16.1640625" style="1349" bestFit="1" customWidth="1"/>
    <col min="3598" max="3821" width="9.33203125" style="1349"/>
    <col min="3822" max="3822" width="74.6640625" style="1349" customWidth="1"/>
    <col min="3823" max="3823" width="9" style="1349" bestFit="1" customWidth="1"/>
    <col min="3824" max="3824" width="12.6640625" style="1349" customWidth="1"/>
    <col min="3825" max="3825" width="15.33203125" style="1349" customWidth="1"/>
    <col min="3826" max="3826" width="9" style="1349" bestFit="1" customWidth="1"/>
    <col min="3827" max="3827" width="14.33203125" style="1349" customWidth="1"/>
    <col min="3828" max="3828" width="9" style="1349" bestFit="1" customWidth="1"/>
    <col min="3829" max="3829" width="14.83203125" style="1349" customWidth="1"/>
    <col min="3830" max="3830" width="9" style="1349" bestFit="1" customWidth="1"/>
    <col min="3831" max="3832" width="15.33203125" style="1349" customWidth="1"/>
    <col min="3833" max="3833" width="9" style="1349" bestFit="1" customWidth="1"/>
    <col min="3834" max="3834" width="14.83203125" style="1349" customWidth="1"/>
    <col min="3835" max="3835" width="9" style="1349" bestFit="1" customWidth="1"/>
    <col min="3836" max="3836" width="14.83203125" style="1349" customWidth="1"/>
    <col min="3837" max="3838" width="16.5" style="1349" customWidth="1"/>
    <col min="3839" max="3840" width="16.33203125" style="1349" customWidth="1"/>
    <col min="3841" max="3841" width="8" style="1349" customWidth="1"/>
    <col min="3842" max="3842" width="19.1640625" style="1349" customWidth="1"/>
    <col min="3843" max="3843" width="9" style="1349" bestFit="1" customWidth="1"/>
    <col min="3844" max="3844" width="14.83203125" style="1349" customWidth="1"/>
    <col min="3845" max="3845" width="16.6640625" style="1349" customWidth="1"/>
    <col min="3846" max="3846" width="14.83203125" style="1349" customWidth="1"/>
    <col min="3847" max="3847" width="9" style="1349" bestFit="1" customWidth="1"/>
    <col min="3848" max="3849" width="14.83203125" style="1349" customWidth="1"/>
    <col min="3850" max="3850" width="18.1640625" style="1349" customWidth="1"/>
    <col min="3851" max="3851" width="15.6640625" style="1349" customWidth="1"/>
    <col min="3852" max="3852" width="16.5" style="1349" customWidth="1"/>
    <col min="3853" max="3853" width="16.1640625" style="1349" bestFit="1" customWidth="1"/>
    <col min="3854" max="4077" width="9.33203125" style="1349"/>
    <col min="4078" max="4078" width="74.6640625" style="1349" customWidth="1"/>
    <col min="4079" max="4079" width="9" style="1349" bestFit="1" customWidth="1"/>
    <col min="4080" max="4080" width="12.6640625" style="1349" customWidth="1"/>
    <col min="4081" max="4081" width="15.33203125" style="1349" customWidth="1"/>
    <col min="4082" max="4082" width="9" style="1349" bestFit="1" customWidth="1"/>
    <col min="4083" max="4083" width="14.33203125" style="1349" customWidth="1"/>
    <col min="4084" max="4084" width="9" style="1349" bestFit="1" customWidth="1"/>
    <col min="4085" max="4085" width="14.83203125" style="1349" customWidth="1"/>
    <col min="4086" max="4086" width="9" style="1349" bestFit="1" customWidth="1"/>
    <col min="4087" max="4088" width="15.33203125" style="1349" customWidth="1"/>
    <col min="4089" max="4089" width="9" style="1349" bestFit="1" customWidth="1"/>
    <col min="4090" max="4090" width="14.83203125" style="1349" customWidth="1"/>
    <col min="4091" max="4091" width="9" style="1349" bestFit="1" customWidth="1"/>
    <col min="4092" max="4092" width="14.83203125" style="1349" customWidth="1"/>
    <col min="4093" max="4094" width="16.5" style="1349" customWidth="1"/>
    <col min="4095" max="4096" width="16.33203125" style="1349" customWidth="1"/>
    <col min="4097" max="4097" width="8" style="1349" customWidth="1"/>
    <col min="4098" max="4098" width="19.1640625" style="1349" customWidth="1"/>
    <col min="4099" max="4099" width="9" style="1349" bestFit="1" customWidth="1"/>
    <col min="4100" max="4100" width="14.83203125" style="1349" customWidth="1"/>
    <col min="4101" max="4101" width="16.6640625" style="1349" customWidth="1"/>
    <col min="4102" max="4102" width="14.83203125" style="1349" customWidth="1"/>
    <col min="4103" max="4103" width="9" style="1349" bestFit="1" customWidth="1"/>
    <col min="4104" max="4105" width="14.83203125" style="1349" customWidth="1"/>
    <col min="4106" max="4106" width="18.1640625" style="1349" customWidth="1"/>
    <col min="4107" max="4107" width="15.6640625" style="1349" customWidth="1"/>
    <col min="4108" max="4108" width="16.5" style="1349" customWidth="1"/>
    <col min="4109" max="4109" width="16.1640625" style="1349" bestFit="1" customWidth="1"/>
    <col min="4110" max="4333" width="9.33203125" style="1349"/>
    <col min="4334" max="4334" width="74.6640625" style="1349" customWidth="1"/>
    <col min="4335" max="4335" width="9" style="1349" bestFit="1" customWidth="1"/>
    <col min="4336" max="4336" width="12.6640625" style="1349" customWidth="1"/>
    <col min="4337" max="4337" width="15.33203125" style="1349" customWidth="1"/>
    <col min="4338" max="4338" width="9" style="1349" bestFit="1" customWidth="1"/>
    <col min="4339" max="4339" width="14.33203125" style="1349" customWidth="1"/>
    <col min="4340" max="4340" width="9" style="1349" bestFit="1" customWidth="1"/>
    <col min="4341" max="4341" width="14.83203125" style="1349" customWidth="1"/>
    <col min="4342" max="4342" width="9" style="1349" bestFit="1" customWidth="1"/>
    <col min="4343" max="4344" width="15.33203125" style="1349" customWidth="1"/>
    <col min="4345" max="4345" width="9" style="1349" bestFit="1" customWidth="1"/>
    <col min="4346" max="4346" width="14.83203125" style="1349" customWidth="1"/>
    <col min="4347" max="4347" width="9" style="1349" bestFit="1" customWidth="1"/>
    <col min="4348" max="4348" width="14.83203125" style="1349" customWidth="1"/>
    <col min="4349" max="4350" width="16.5" style="1349" customWidth="1"/>
    <col min="4351" max="4352" width="16.33203125" style="1349" customWidth="1"/>
    <col min="4353" max="4353" width="8" style="1349" customWidth="1"/>
    <col min="4354" max="4354" width="19.1640625" style="1349" customWidth="1"/>
    <col min="4355" max="4355" width="9" style="1349" bestFit="1" customWidth="1"/>
    <col min="4356" max="4356" width="14.83203125" style="1349" customWidth="1"/>
    <col min="4357" max="4357" width="16.6640625" style="1349" customWidth="1"/>
    <col min="4358" max="4358" width="14.83203125" style="1349" customWidth="1"/>
    <col min="4359" max="4359" width="9" style="1349" bestFit="1" customWidth="1"/>
    <col min="4360" max="4361" width="14.83203125" style="1349" customWidth="1"/>
    <col min="4362" max="4362" width="18.1640625" style="1349" customWidth="1"/>
    <col min="4363" max="4363" width="15.6640625" style="1349" customWidth="1"/>
    <col min="4364" max="4364" width="16.5" style="1349" customWidth="1"/>
    <col min="4365" max="4365" width="16.1640625" style="1349" bestFit="1" customWidth="1"/>
    <col min="4366" max="4589" width="9.33203125" style="1349"/>
    <col min="4590" max="4590" width="74.6640625" style="1349" customWidth="1"/>
    <col min="4591" max="4591" width="9" style="1349" bestFit="1" customWidth="1"/>
    <col min="4592" max="4592" width="12.6640625" style="1349" customWidth="1"/>
    <col min="4593" max="4593" width="15.33203125" style="1349" customWidth="1"/>
    <col min="4594" max="4594" width="9" style="1349" bestFit="1" customWidth="1"/>
    <col min="4595" max="4595" width="14.33203125" style="1349" customWidth="1"/>
    <col min="4596" max="4596" width="9" style="1349" bestFit="1" customWidth="1"/>
    <col min="4597" max="4597" width="14.83203125" style="1349" customWidth="1"/>
    <col min="4598" max="4598" width="9" style="1349" bestFit="1" customWidth="1"/>
    <col min="4599" max="4600" width="15.33203125" style="1349" customWidth="1"/>
    <col min="4601" max="4601" width="9" style="1349" bestFit="1" customWidth="1"/>
    <col min="4602" max="4602" width="14.83203125" style="1349" customWidth="1"/>
    <col min="4603" max="4603" width="9" style="1349" bestFit="1" customWidth="1"/>
    <col min="4604" max="4604" width="14.83203125" style="1349" customWidth="1"/>
    <col min="4605" max="4606" width="16.5" style="1349" customWidth="1"/>
    <col min="4607" max="4608" width="16.33203125" style="1349" customWidth="1"/>
    <col min="4609" max="4609" width="8" style="1349" customWidth="1"/>
    <col min="4610" max="4610" width="19.1640625" style="1349" customWidth="1"/>
    <col min="4611" max="4611" width="9" style="1349" bestFit="1" customWidth="1"/>
    <col min="4612" max="4612" width="14.83203125" style="1349" customWidth="1"/>
    <col min="4613" max="4613" width="16.6640625" style="1349" customWidth="1"/>
    <col min="4614" max="4614" width="14.83203125" style="1349" customWidth="1"/>
    <col min="4615" max="4615" width="9" style="1349" bestFit="1" customWidth="1"/>
    <col min="4616" max="4617" width="14.83203125" style="1349" customWidth="1"/>
    <col min="4618" max="4618" width="18.1640625" style="1349" customWidth="1"/>
    <col min="4619" max="4619" width="15.6640625" style="1349" customWidth="1"/>
    <col min="4620" max="4620" width="16.5" style="1349" customWidth="1"/>
    <col min="4621" max="4621" width="16.1640625" style="1349" bestFit="1" customWidth="1"/>
    <col min="4622" max="4845" width="9.33203125" style="1349"/>
    <col min="4846" max="4846" width="74.6640625" style="1349" customWidth="1"/>
    <col min="4847" max="4847" width="9" style="1349" bestFit="1" customWidth="1"/>
    <col min="4848" max="4848" width="12.6640625" style="1349" customWidth="1"/>
    <col min="4849" max="4849" width="15.33203125" style="1349" customWidth="1"/>
    <col min="4850" max="4850" width="9" style="1349" bestFit="1" customWidth="1"/>
    <col min="4851" max="4851" width="14.33203125" style="1349" customWidth="1"/>
    <col min="4852" max="4852" width="9" style="1349" bestFit="1" customWidth="1"/>
    <col min="4853" max="4853" width="14.83203125" style="1349" customWidth="1"/>
    <col min="4854" max="4854" width="9" style="1349" bestFit="1" customWidth="1"/>
    <col min="4855" max="4856" width="15.33203125" style="1349" customWidth="1"/>
    <col min="4857" max="4857" width="9" style="1349" bestFit="1" customWidth="1"/>
    <col min="4858" max="4858" width="14.83203125" style="1349" customWidth="1"/>
    <col min="4859" max="4859" width="9" style="1349" bestFit="1" customWidth="1"/>
    <col min="4860" max="4860" width="14.83203125" style="1349" customWidth="1"/>
    <col min="4861" max="4862" width="16.5" style="1349" customWidth="1"/>
    <col min="4863" max="4864" width="16.33203125" style="1349" customWidth="1"/>
    <col min="4865" max="4865" width="8" style="1349" customWidth="1"/>
    <col min="4866" max="4866" width="19.1640625" style="1349" customWidth="1"/>
    <col min="4867" max="4867" width="9" style="1349" bestFit="1" customWidth="1"/>
    <col min="4868" max="4868" width="14.83203125" style="1349" customWidth="1"/>
    <col min="4869" max="4869" width="16.6640625" style="1349" customWidth="1"/>
    <col min="4870" max="4870" width="14.83203125" style="1349" customWidth="1"/>
    <col min="4871" max="4871" width="9" style="1349" bestFit="1" customWidth="1"/>
    <col min="4872" max="4873" width="14.83203125" style="1349" customWidth="1"/>
    <col min="4874" max="4874" width="18.1640625" style="1349" customWidth="1"/>
    <col min="4875" max="4875" width="15.6640625" style="1349" customWidth="1"/>
    <col min="4876" max="4876" width="16.5" style="1349" customWidth="1"/>
    <col min="4877" max="4877" width="16.1640625" style="1349" bestFit="1" customWidth="1"/>
    <col min="4878" max="5101" width="9.33203125" style="1349"/>
    <col min="5102" max="5102" width="74.6640625" style="1349" customWidth="1"/>
    <col min="5103" max="5103" width="9" style="1349" bestFit="1" customWidth="1"/>
    <col min="5104" max="5104" width="12.6640625" style="1349" customWidth="1"/>
    <col min="5105" max="5105" width="15.33203125" style="1349" customWidth="1"/>
    <col min="5106" max="5106" width="9" style="1349" bestFit="1" customWidth="1"/>
    <col min="5107" max="5107" width="14.33203125" style="1349" customWidth="1"/>
    <col min="5108" max="5108" width="9" style="1349" bestFit="1" customWidth="1"/>
    <col min="5109" max="5109" width="14.83203125" style="1349" customWidth="1"/>
    <col min="5110" max="5110" width="9" style="1349" bestFit="1" customWidth="1"/>
    <col min="5111" max="5112" width="15.33203125" style="1349" customWidth="1"/>
    <col min="5113" max="5113" width="9" style="1349" bestFit="1" customWidth="1"/>
    <col min="5114" max="5114" width="14.83203125" style="1349" customWidth="1"/>
    <col min="5115" max="5115" width="9" style="1349" bestFit="1" customWidth="1"/>
    <col min="5116" max="5116" width="14.83203125" style="1349" customWidth="1"/>
    <col min="5117" max="5118" width="16.5" style="1349" customWidth="1"/>
    <col min="5119" max="5120" width="16.33203125" style="1349" customWidth="1"/>
    <col min="5121" max="5121" width="8" style="1349" customWidth="1"/>
    <col min="5122" max="5122" width="19.1640625" style="1349" customWidth="1"/>
    <col min="5123" max="5123" width="9" style="1349" bestFit="1" customWidth="1"/>
    <col min="5124" max="5124" width="14.83203125" style="1349" customWidth="1"/>
    <col min="5125" max="5125" width="16.6640625" style="1349" customWidth="1"/>
    <col min="5126" max="5126" width="14.83203125" style="1349" customWidth="1"/>
    <col min="5127" max="5127" width="9" style="1349" bestFit="1" customWidth="1"/>
    <col min="5128" max="5129" width="14.83203125" style="1349" customWidth="1"/>
    <col min="5130" max="5130" width="18.1640625" style="1349" customWidth="1"/>
    <col min="5131" max="5131" width="15.6640625" style="1349" customWidth="1"/>
    <col min="5132" max="5132" width="16.5" style="1349" customWidth="1"/>
    <col min="5133" max="5133" width="16.1640625" style="1349" bestFit="1" customWidth="1"/>
    <col min="5134" max="5357" width="9.33203125" style="1349"/>
    <col min="5358" max="5358" width="74.6640625" style="1349" customWidth="1"/>
    <col min="5359" max="5359" width="9" style="1349" bestFit="1" customWidth="1"/>
    <col min="5360" max="5360" width="12.6640625" style="1349" customWidth="1"/>
    <col min="5361" max="5361" width="15.33203125" style="1349" customWidth="1"/>
    <col min="5362" max="5362" width="9" style="1349" bestFit="1" customWidth="1"/>
    <col min="5363" max="5363" width="14.33203125" style="1349" customWidth="1"/>
    <col min="5364" max="5364" width="9" style="1349" bestFit="1" customWidth="1"/>
    <col min="5365" max="5365" width="14.83203125" style="1349" customWidth="1"/>
    <col min="5366" max="5366" width="9" style="1349" bestFit="1" customWidth="1"/>
    <col min="5367" max="5368" width="15.33203125" style="1349" customWidth="1"/>
    <col min="5369" max="5369" width="9" style="1349" bestFit="1" customWidth="1"/>
    <col min="5370" max="5370" width="14.83203125" style="1349" customWidth="1"/>
    <col min="5371" max="5371" width="9" style="1349" bestFit="1" customWidth="1"/>
    <col min="5372" max="5372" width="14.83203125" style="1349" customWidth="1"/>
    <col min="5373" max="5374" width="16.5" style="1349" customWidth="1"/>
    <col min="5375" max="5376" width="16.33203125" style="1349" customWidth="1"/>
    <col min="5377" max="5377" width="8" style="1349" customWidth="1"/>
    <col min="5378" max="5378" width="19.1640625" style="1349" customWidth="1"/>
    <col min="5379" max="5379" width="9" style="1349" bestFit="1" customWidth="1"/>
    <col min="5380" max="5380" width="14.83203125" style="1349" customWidth="1"/>
    <col min="5381" max="5381" width="16.6640625" style="1349" customWidth="1"/>
    <col min="5382" max="5382" width="14.83203125" style="1349" customWidth="1"/>
    <col min="5383" max="5383" width="9" style="1349" bestFit="1" customWidth="1"/>
    <col min="5384" max="5385" width="14.83203125" style="1349" customWidth="1"/>
    <col min="5386" max="5386" width="18.1640625" style="1349" customWidth="1"/>
    <col min="5387" max="5387" width="15.6640625" style="1349" customWidth="1"/>
    <col min="5388" max="5388" width="16.5" style="1349" customWidth="1"/>
    <col min="5389" max="5389" width="16.1640625" style="1349" bestFit="1" customWidth="1"/>
    <col min="5390" max="5613" width="9.33203125" style="1349"/>
    <col min="5614" max="5614" width="74.6640625" style="1349" customWidth="1"/>
    <col min="5615" max="5615" width="9" style="1349" bestFit="1" customWidth="1"/>
    <col min="5616" max="5616" width="12.6640625" style="1349" customWidth="1"/>
    <col min="5617" max="5617" width="15.33203125" style="1349" customWidth="1"/>
    <col min="5618" max="5618" width="9" style="1349" bestFit="1" customWidth="1"/>
    <col min="5619" max="5619" width="14.33203125" style="1349" customWidth="1"/>
    <col min="5620" max="5620" width="9" style="1349" bestFit="1" customWidth="1"/>
    <col min="5621" max="5621" width="14.83203125" style="1349" customWidth="1"/>
    <col min="5622" max="5622" width="9" style="1349" bestFit="1" customWidth="1"/>
    <col min="5623" max="5624" width="15.33203125" style="1349" customWidth="1"/>
    <col min="5625" max="5625" width="9" style="1349" bestFit="1" customWidth="1"/>
    <col min="5626" max="5626" width="14.83203125" style="1349" customWidth="1"/>
    <col min="5627" max="5627" width="9" style="1349" bestFit="1" customWidth="1"/>
    <col min="5628" max="5628" width="14.83203125" style="1349" customWidth="1"/>
    <col min="5629" max="5630" width="16.5" style="1349" customWidth="1"/>
    <col min="5631" max="5632" width="16.33203125" style="1349" customWidth="1"/>
    <col min="5633" max="5633" width="8" style="1349" customWidth="1"/>
    <col min="5634" max="5634" width="19.1640625" style="1349" customWidth="1"/>
    <col min="5635" max="5635" width="9" style="1349" bestFit="1" customWidth="1"/>
    <col min="5636" max="5636" width="14.83203125" style="1349" customWidth="1"/>
    <col min="5637" max="5637" width="16.6640625" style="1349" customWidth="1"/>
    <col min="5638" max="5638" width="14.83203125" style="1349" customWidth="1"/>
    <col min="5639" max="5639" width="9" style="1349" bestFit="1" customWidth="1"/>
    <col min="5640" max="5641" width="14.83203125" style="1349" customWidth="1"/>
    <col min="5642" max="5642" width="18.1640625" style="1349" customWidth="1"/>
    <col min="5643" max="5643" width="15.6640625" style="1349" customWidth="1"/>
    <col min="5644" max="5644" width="16.5" style="1349" customWidth="1"/>
    <col min="5645" max="5645" width="16.1640625" style="1349" bestFit="1" customWidth="1"/>
    <col min="5646" max="5869" width="9.33203125" style="1349"/>
    <col min="5870" max="5870" width="74.6640625" style="1349" customWidth="1"/>
    <col min="5871" max="5871" width="9" style="1349" bestFit="1" customWidth="1"/>
    <col min="5872" max="5872" width="12.6640625" style="1349" customWidth="1"/>
    <col min="5873" max="5873" width="15.33203125" style="1349" customWidth="1"/>
    <col min="5874" max="5874" width="9" style="1349" bestFit="1" customWidth="1"/>
    <col min="5875" max="5875" width="14.33203125" style="1349" customWidth="1"/>
    <col min="5876" max="5876" width="9" style="1349" bestFit="1" customWidth="1"/>
    <col min="5877" max="5877" width="14.83203125" style="1349" customWidth="1"/>
    <col min="5878" max="5878" width="9" style="1349" bestFit="1" customWidth="1"/>
    <col min="5879" max="5880" width="15.33203125" style="1349" customWidth="1"/>
    <col min="5881" max="5881" width="9" style="1349" bestFit="1" customWidth="1"/>
    <col min="5882" max="5882" width="14.83203125" style="1349" customWidth="1"/>
    <col min="5883" max="5883" width="9" style="1349" bestFit="1" customWidth="1"/>
    <col min="5884" max="5884" width="14.83203125" style="1349" customWidth="1"/>
    <col min="5885" max="5886" width="16.5" style="1349" customWidth="1"/>
    <col min="5887" max="5888" width="16.33203125" style="1349" customWidth="1"/>
    <col min="5889" max="5889" width="8" style="1349" customWidth="1"/>
    <col min="5890" max="5890" width="19.1640625" style="1349" customWidth="1"/>
    <col min="5891" max="5891" width="9" style="1349" bestFit="1" customWidth="1"/>
    <col min="5892" max="5892" width="14.83203125" style="1349" customWidth="1"/>
    <col min="5893" max="5893" width="16.6640625" style="1349" customWidth="1"/>
    <col min="5894" max="5894" width="14.83203125" style="1349" customWidth="1"/>
    <col min="5895" max="5895" width="9" style="1349" bestFit="1" customWidth="1"/>
    <col min="5896" max="5897" width="14.83203125" style="1349" customWidth="1"/>
    <col min="5898" max="5898" width="18.1640625" style="1349" customWidth="1"/>
    <col min="5899" max="5899" width="15.6640625" style="1349" customWidth="1"/>
    <col min="5900" max="5900" width="16.5" style="1349" customWidth="1"/>
    <col min="5901" max="5901" width="16.1640625" style="1349" bestFit="1" customWidth="1"/>
    <col min="5902" max="6125" width="9.33203125" style="1349"/>
    <col min="6126" max="6126" width="74.6640625" style="1349" customWidth="1"/>
    <col min="6127" max="6127" width="9" style="1349" bestFit="1" customWidth="1"/>
    <col min="6128" max="6128" width="12.6640625" style="1349" customWidth="1"/>
    <col min="6129" max="6129" width="15.33203125" style="1349" customWidth="1"/>
    <col min="6130" max="6130" width="9" style="1349" bestFit="1" customWidth="1"/>
    <col min="6131" max="6131" width="14.33203125" style="1349" customWidth="1"/>
    <col min="6132" max="6132" width="9" style="1349" bestFit="1" customWidth="1"/>
    <col min="6133" max="6133" width="14.83203125" style="1349" customWidth="1"/>
    <col min="6134" max="6134" width="9" style="1349" bestFit="1" customWidth="1"/>
    <col min="6135" max="6136" width="15.33203125" style="1349" customWidth="1"/>
    <col min="6137" max="6137" width="9" style="1349" bestFit="1" customWidth="1"/>
    <col min="6138" max="6138" width="14.83203125" style="1349" customWidth="1"/>
    <col min="6139" max="6139" width="9" style="1349" bestFit="1" customWidth="1"/>
    <col min="6140" max="6140" width="14.83203125" style="1349" customWidth="1"/>
    <col min="6141" max="6142" width="16.5" style="1349" customWidth="1"/>
    <col min="6143" max="6144" width="16.33203125" style="1349" customWidth="1"/>
    <col min="6145" max="6145" width="8" style="1349" customWidth="1"/>
    <col min="6146" max="6146" width="19.1640625" style="1349" customWidth="1"/>
    <col min="6147" max="6147" width="9" style="1349" bestFit="1" customWidth="1"/>
    <col min="6148" max="6148" width="14.83203125" style="1349" customWidth="1"/>
    <col min="6149" max="6149" width="16.6640625" style="1349" customWidth="1"/>
    <col min="6150" max="6150" width="14.83203125" style="1349" customWidth="1"/>
    <col min="6151" max="6151" width="9" style="1349" bestFit="1" customWidth="1"/>
    <col min="6152" max="6153" width="14.83203125" style="1349" customWidth="1"/>
    <col min="6154" max="6154" width="18.1640625" style="1349" customWidth="1"/>
    <col min="6155" max="6155" width="15.6640625" style="1349" customWidth="1"/>
    <col min="6156" max="6156" width="16.5" style="1349" customWidth="1"/>
    <col min="6157" max="6157" width="16.1640625" style="1349" bestFit="1" customWidth="1"/>
    <col min="6158" max="6381" width="9.33203125" style="1349"/>
    <col min="6382" max="6382" width="74.6640625" style="1349" customWidth="1"/>
    <col min="6383" max="6383" width="9" style="1349" bestFit="1" customWidth="1"/>
    <col min="6384" max="6384" width="12.6640625" style="1349" customWidth="1"/>
    <col min="6385" max="6385" width="15.33203125" style="1349" customWidth="1"/>
    <col min="6386" max="6386" width="9" style="1349" bestFit="1" customWidth="1"/>
    <col min="6387" max="6387" width="14.33203125" style="1349" customWidth="1"/>
    <col min="6388" max="6388" width="9" style="1349" bestFit="1" customWidth="1"/>
    <col min="6389" max="6389" width="14.83203125" style="1349" customWidth="1"/>
    <col min="6390" max="6390" width="9" style="1349" bestFit="1" customWidth="1"/>
    <col min="6391" max="6392" width="15.33203125" style="1349" customWidth="1"/>
    <col min="6393" max="6393" width="9" style="1349" bestFit="1" customWidth="1"/>
    <col min="6394" max="6394" width="14.83203125" style="1349" customWidth="1"/>
    <col min="6395" max="6395" width="9" style="1349" bestFit="1" customWidth="1"/>
    <col min="6396" max="6396" width="14.83203125" style="1349" customWidth="1"/>
    <col min="6397" max="6398" width="16.5" style="1349" customWidth="1"/>
    <col min="6399" max="6400" width="16.33203125" style="1349" customWidth="1"/>
    <col min="6401" max="6401" width="8" style="1349" customWidth="1"/>
    <col min="6402" max="6402" width="19.1640625" style="1349" customWidth="1"/>
    <col min="6403" max="6403" width="9" style="1349" bestFit="1" customWidth="1"/>
    <col min="6404" max="6404" width="14.83203125" style="1349" customWidth="1"/>
    <col min="6405" max="6405" width="16.6640625" style="1349" customWidth="1"/>
    <col min="6406" max="6406" width="14.83203125" style="1349" customWidth="1"/>
    <col min="6407" max="6407" width="9" style="1349" bestFit="1" customWidth="1"/>
    <col min="6408" max="6409" width="14.83203125" style="1349" customWidth="1"/>
    <col min="6410" max="6410" width="18.1640625" style="1349" customWidth="1"/>
    <col min="6411" max="6411" width="15.6640625" style="1349" customWidth="1"/>
    <col min="6412" max="6412" width="16.5" style="1349" customWidth="1"/>
    <col min="6413" max="6413" width="16.1640625" style="1349" bestFit="1" customWidth="1"/>
    <col min="6414" max="6637" width="9.33203125" style="1349"/>
    <col min="6638" max="6638" width="74.6640625" style="1349" customWidth="1"/>
    <col min="6639" max="6639" width="9" style="1349" bestFit="1" customWidth="1"/>
    <col min="6640" max="6640" width="12.6640625" style="1349" customWidth="1"/>
    <col min="6641" max="6641" width="15.33203125" style="1349" customWidth="1"/>
    <col min="6642" max="6642" width="9" style="1349" bestFit="1" customWidth="1"/>
    <col min="6643" max="6643" width="14.33203125" style="1349" customWidth="1"/>
    <col min="6644" max="6644" width="9" style="1349" bestFit="1" customWidth="1"/>
    <col min="6645" max="6645" width="14.83203125" style="1349" customWidth="1"/>
    <col min="6646" max="6646" width="9" style="1349" bestFit="1" customWidth="1"/>
    <col min="6647" max="6648" width="15.33203125" style="1349" customWidth="1"/>
    <col min="6649" max="6649" width="9" style="1349" bestFit="1" customWidth="1"/>
    <col min="6650" max="6650" width="14.83203125" style="1349" customWidth="1"/>
    <col min="6651" max="6651" width="9" style="1349" bestFit="1" customWidth="1"/>
    <col min="6652" max="6652" width="14.83203125" style="1349" customWidth="1"/>
    <col min="6653" max="6654" width="16.5" style="1349" customWidth="1"/>
    <col min="6655" max="6656" width="16.33203125" style="1349" customWidth="1"/>
    <col min="6657" max="6657" width="8" style="1349" customWidth="1"/>
    <col min="6658" max="6658" width="19.1640625" style="1349" customWidth="1"/>
    <col min="6659" max="6659" width="9" style="1349" bestFit="1" customWidth="1"/>
    <col min="6660" max="6660" width="14.83203125" style="1349" customWidth="1"/>
    <col min="6661" max="6661" width="16.6640625" style="1349" customWidth="1"/>
    <col min="6662" max="6662" width="14.83203125" style="1349" customWidth="1"/>
    <col min="6663" max="6663" width="9" style="1349" bestFit="1" customWidth="1"/>
    <col min="6664" max="6665" width="14.83203125" style="1349" customWidth="1"/>
    <col min="6666" max="6666" width="18.1640625" style="1349" customWidth="1"/>
    <col min="6667" max="6667" width="15.6640625" style="1349" customWidth="1"/>
    <col min="6668" max="6668" width="16.5" style="1349" customWidth="1"/>
    <col min="6669" max="6669" width="16.1640625" style="1349" bestFit="1" customWidth="1"/>
    <col min="6670" max="6893" width="9.33203125" style="1349"/>
    <col min="6894" max="6894" width="74.6640625" style="1349" customWidth="1"/>
    <col min="6895" max="6895" width="9" style="1349" bestFit="1" customWidth="1"/>
    <col min="6896" max="6896" width="12.6640625" style="1349" customWidth="1"/>
    <col min="6897" max="6897" width="15.33203125" style="1349" customWidth="1"/>
    <col min="6898" max="6898" width="9" style="1349" bestFit="1" customWidth="1"/>
    <col min="6899" max="6899" width="14.33203125" style="1349" customWidth="1"/>
    <col min="6900" max="6900" width="9" style="1349" bestFit="1" customWidth="1"/>
    <col min="6901" max="6901" width="14.83203125" style="1349" customWidth="1"/>
    <col min="6902" max="6902" width="9" style="1349" bestFit="1" customWidth="1"/>
    <col min="6903" max="6904" width="15.33203125" style="1349" customWidth="1"/>
    <col min="6905" max="6905" width="9" style="1349" bestFit="1" customWidth="1"/>
    <col min="6906" max="6906" width="14.83203125" style="1349" customWidth="1"/>
    <col min="6907" max="6907" width="9" style="1349" bestFit="1" customWidth="1"/>
    <col min="6908" max="6908" width="14.83203125" style="1349" customWidth="1"/>
    <col min="6909" max="6910" width="16.5" style="1349" customWidth="1"/>
    <col min="6911" max="6912" width="16.33203125" style="1349" customWidth="1"/>
    <col min="6913" max="6913" width="8" style="1349" customWidth="1"/>
    <col min="6914" max="6914" width="19.1640625" style="1349" customWidth="1"/>
    <col min="6915" max="6915" width="9" style="1349" bestFit="1" customWidth="1"/>
    <col min="6916" max="6916" width="14.83203125" style="1349" customWidth="1"/>
    <col min="6917" max="6917" width="16.6640625" style="1349" customWidth="1"/>
    <col min="6918" max="6918" width="14.83203125" style="1349" customWidth="1"/>
    <col min="6919" max="6919" width="9" style="1349" bestFit="1" customWidth="1"/>
    <col min="6920" max="6921" width="14.83203125" style="1349" customWidth="1"/>
    <col min="6922" max="6922" width="18.1640625" style="1349" customWidth="1"/>
    <col min="6923" max="6923" width="15.6640625" style="1349" customWidth="1"/>
    <col min="6924" max="6924" width="16.5" style="1349" customWidth="1"/>
    <col min="6925" max="6925" width="16.1640625" style="1349" bestFit="1" customWidth="1"/>
    <col min="6926" max="7149" width="9.33203125" style="1349"/>
    <col min="7150" max="7150" width="74.6640625" style="1349" customWidth="1"/>
    <col min="7151" max="7151" width="9" style="1349" bestFit="1" customWidth="1"/>
    <col min="7152" max="7152" width="12.6640625" style="1349" customWidth="1"/>
    <col min="7153" max="7153" width="15.33203125" style="1349" customWidth="1"/>
    <col min="7154" max="7154" width="9" style="1349" bestFit="1" customWidth="1"/>
    <col min="7155" max="7155" width="14.33203125" style="1349" customWidth="1"/>
    <col min="7156" max="7156" width="9" style="1349" bestFit="1" customWidth="1"/>
    <col min="7157" max="7157" width="14.83203125" style="1349" customWidth="1"/>
    <col min="7158" max="7158" width="9" style="1349" bestFit="1" customWidth="1"/>
    <col min="7159" max="7160" width="15.33203125" style="1349" customWidth="1"/>
    <col min="7161" max="7161" width="9" style="1349" bestFit="1" customWidth="1"/>
    <col min="7162" max="7162" width="14.83203125" style="1349" customWidth="1"/>
    <col min="7163" max="7163" width="9" style="1349" bestFit="1" customWidth="1"/>
    <col min="7164" max="7164" width="14.83203125" style="1349" customWidth="1"/>
    <col min="7165" max="7166" width="16.5" style="1349" customWidth="1"/>
    <col min="7167" max="7168" width="16.33203125" style="1349" customWidth="1"/>
    <col min="7169" max="7169" width="8" style="1349" customWidth="1"/>
    <col min="7170" max="7170" width="19.1640625" style="1349" customWidth="1"/>
    <col min="7171" max="7171" width="9" style="1349" bestFit="1" customWidth="1"/>
    <col min="7172" max="7172" width="14.83203125" style="1349" customWidth="1"/>
    <col min="7173" max="7173" width="16.6640625" style="1349" customWidth="1"/>
    <col min="7174" max="7174" width="14.83203125" style="1349" customWidth="1"/>
    <col min="7175" max="7175" width="9" style="1349" bestFit="1" customWidth="1"/>
    <col min="7176" max="7177" width="14.83203125" style="1349" customWidth="1"/>
    <col min="7178" max="7178" width="18.1640625" style="1349" customWidth="1"/>
    <col min="7179" max="7179" width="15.6640625" style="1349" customWidth="1"/>
    <col min="7180" max="7180" width="16.5" style="1349" customWidth="1"/>
    <col min="7181" max="7181" width="16.1640625" style="1349" bestFit="1" customWidth="1"/>
    <col min="7182" max="7405" width="9.33203125" style="1349"/>
    <col min="7406" max="7406" width="74.6640625" style="1349" customWidth="1"/>
    <col min="7407" max="7407" width="9" style="1349" bestFit="1" customWidth="1"/>
    <col min="7408" max="7408" width="12.6640625" style="1349" customWidth="1"/>
    <col min="7409" max="7409" width="15.33203125" style="1349" customWidth="1"/>
    <col min="7410" max="7410" width="9" style="1349" bestFit="1" customWidth="1"/>
    <col min="7411" max="7411" width="14.33203125" style="1349" customWidth="1"/>
    <col min="7412" max="7412" width="9" style="1349" bestFit="1" customWidth="1"/>
    <col min="7413" max="7413" width="14.83203125" style="1349" customWidth="1"/>
    <col min="7414" max="7414" width="9" style="1349" bestFit="1" customWidth="1"/>
    <col min="7415" max="7416" width="15.33203125" style="1349" customWidth="1"/>
    <col min="7417" max="7417" width="9" style="1349" bestFit="1" customWidth="1"/>
    <col min="7418" max="7418" width="14.83203125" style="1349" customWidth="1"/>
    <col min="7419" max="7419" width="9" style="1349" bestFit="1" customWidth="1"/>
    <col min="7420" max="7420" width="14.83203125" style="1349" customWidth="1"/>
    <col min="7421" max="7422" width="16.5" style="1349" customWidth="1"/>
    <col min="7423" max="7424" width="16.33203125" style="1349" customWidth="1"/>
    <col min="7425" max="7425" width="8" style="1349" customWidth="1"/>
    <col min="7426" max="7426" width="19.1640625" style="1349" customWidth="1"/>
    <col min="7427" max="7427" width="9" style="1349" bestFit="1" customWidth="1"/>
    <col min="7428" max="7428" width="14.83203125" style="1349" customWidth="1"/>
    <col min="7429" max="7429" width="16.6640625" style="1349" customWidth="1"/>
    <col min="7430" max="7430" width="14.83203125" style="1349" customWidth="1"/>
    <col min="7431" max="7431" width="9" style="1349" bestFit="1" customWidth="1"/>
    <col min="7432" max="7433" width="14.83203125" style="1349" customWidth="1"/>
    <col min="7434" max="7434" width="18.1640625" style="1349" customWidth="1"/>
    <col min="7435" max="7435" width="15.6640625" style="1349" customWidth="1"/>
    <col min="7436" max="7436" width="16.5" style="1349" customWidth="1"/>
    <col min="7437" max="7437" width="16.1640625" style="1349" bestFit="1" customWidth="1"/>
    <col min="7438" max="7661" width="9.33203125" style="1349"/>
    <col min="7662" max="7662" width="74.6640625" style="1349" customWidth="1"/>
    <col min="7663" max="7663" width="9" style="1349" bestFit="1" customWidth="1"/>
    <col min="7664" max="7664" width="12.6640625" style="1349" customWidth="1"/>
    <col min="7665" max="7665" width="15.33203125" style="1349" customWidth="1"/>
    <col min="7666" max="7666" width="9" style="1349" bestFit="1" customWidth="1"/>
    <col min="7667" max="7667" width="14.33203125" style="1349" customWidth="1"/>
    <col min="7668" max="7668" width="9" style="1349" bestFit="1" customWidth="1"/>
    <col min="7669" max="7669" width="14.83203125" style="1349" customWidth="1"/>
    <col min="7670" max="7670" width="9" style="1349" bestFit="1" customWidth="1"/>
    <col min="7671" max="7672" width="15.33203125" style="1349" customWidth="1"/>
    <col min="7673" max="7673" width="9" style="1349" bestFit="1" customWidth="1"/>
    <col min="7674" max="7674" width="14.83203125" style="1349" customWidth="1"/>
    <col min="7675" max="7675" width="9" style="1349" bestFit="1" customWidth="1"/>
    <col min="7676" max="7676" width="14.83203125" style="1349" customWidth="1"/>
    <col min="7677" max="7678" width="16.5" style="1349" customWidth="1"/>
    <col min="7679" max="7680" width="16.33203125" style="1349" customWidth="1"/>
    <col min="7681" max="7681" width="8" style="1349" customWidth="1"/>
    <col min="7682" max="7682" width="19.1640625" style="1349" customWidth="1"/>
    <col min="7683" max="7683" width="9" style="1349" bestFit="1" customWidth="1"/>
    <col min="7684" max="7684" width="14.83203125" style="1349" customWidth="1"/>
    <col min="7685" max="7685" width="16.6640625" style="1349" customWidth="1"/>
    <col min="7686" max="7686" width="14.83203125" style="1349" customWidth="1"/>
    <col min="7687" max="7687" width="9" style="1349" bestFit="1" customWidth="1"/>
    <col min="7688" max="7689" width="14.83203125" style="1349" customWidth="1"/>
    <col min="7690" max="7690" width="18.1640625" style="1349" customWidth="1"/>
    <col min="7691" max="7691" width="15.6640625" style="1349" customWidth="1"/>
    <col min="7692" max="7692" width="16.5" style="1349" customWidth="1"/>
    <col min="7693" max="7693" width="16.1640625" style="1349" bestFit="1" customWidth="1"/>
    <col min="7694" max="7917" width="9.33203125" style="1349"/>
    <col min="7918" max="7918" width="74.6640625" style="1349" customWidth="1"/>
    <col min="7919" max="7919" width="9" style="1349" bestFit="1" customWidth="1"/>
    <col min="7920" max="7920" width="12.6640625" style="1349" customWidth="1"/>
    <col min="7921" max="7921" width="15.33203125" style="1349" customWidth="1"/>
    <col min="7922" max="7922" width="9" style="1349" bestFit="1" customWidth="1"/>
    <col min="7923" max="7923" width="14.33203125" style="1349" customWidth="1"/>
    <col min="7924" max="7924" width="9" style="1349" bestFit="1" customWidth="1"/>
    <col min="7925" max="7925" width="14.83203125" style="1349" customWidth="1"/>
    <col min="7926" max="7926" width="9" style="1349" bestFit="1" customWidth="1"/>
    <col min="7927" max="7928" width="15.33203125" style="1349" customWidth="1"/>
    <col min="7929" max="7929" width="9" style="1349" bestFit="1" customWidth="1"/>
    <col min="7930" max="7930" width="14.83203125" style="1349" customWidth="1"/>
    <col min="7931" max="7931" width="9" style="1349" bestFit="1" customWidth="1"/>
    <col min="7932" max="7932" width="14.83203125" style="1349" customWidth="1"/>
    <col min="7933" max="7934" width="16.5" style="1349" customWidth="1"/>
    <col min="7935" max="7936" width="16.33203125" style="1349" customWidth="1"/>
    <col min="7937" max="7937" width="8" style="1349" customWidth="1"/>
    <col min="7938" max="7938" width="19.1640625" style="1349" customWidth="1"/>
    <col min="7939" max="7939" width="9" style="1349" bestFit="1" customWidth="1"/>
    <col min="7940" max="7940" width="14.83203125" style="1349" customWidth="1"/>
    <col min="7941" max="7941" width="16.6640625" style="1349" customWidth="1"/>
    <col min="7942" max="7942" width="14.83203125" style="1349" customWidth="1"/>
    <col min="7943" max="7943" width="9" style="1349" bestFit="1" customWidth="1"/>
    <col min="7944" max="7945" width="14.83203125" style="1349" customWidth="1"/>
    <col min="7946" max="7946" width="18.1640625" style="1349" customWidth="1"/>
    <col min="7947" max="7947" width="15.6640625" style="1349" customWidth="1"/>
    <col min="7948" max="7948" width="16.5" style="1349" customWidth="1"/>
    <col min="7949" max="7949" width="16.1640625" style="1349" bestFit="1" customWidth="1"/>
    <col min="7950" max="8173" width="9.33203125" style="1349"/>
    <col min="8174" max="8174" width="74.6640625" style="1349" customWidth="1"/>
    <col min="8175" max="8175" width="9" style="1349" bestFit="1" customWidth="1"/>
    <col min="8176" max="8176" width="12.6640625" style="1349" customWidth="1"/>
    <col min="8177" max="8177" width="15.33203125" style="1349" customWidth="1"/>
    <col min="8178" max="8178" width="9" style="1349" bestFit="1" customWidth="1"/>
    <col min="8179" max="8179" width="14.33203125" style="1349" customWidth="1"/>
    <col min="8180" max="8180" width="9" style="1349" bestFit="1" customWidth="1"/>
    <col min="8181" max="8181" width="14.83203125" style="1349" customWidth="1"/>
    <col min="8182" max="8182" width="9" style="1349" bestFit="1" customWidth="1"/>
    <col min="8183" max="8184" width="15.33203125" style="1349" customWidth="1"/>
    <col min="8185" max="8185" width="9" style="1349" bestFit="1" customWidth="1"/>
    <col min="8186" max="8186" width="14.83203125" style="1349" customWidth="1"/>
    <col min="8187" max="8187" width="9" style="1349" bestFit="1" customWidth="1"/>
    <col min="8188" max="8188" width="14.83203125" style="1349" customWidth="1"/>
    <col min="8189" max="8190" width="16.5" style="1349" customWidth="1"/>
    <col min="8191" max="8192" width="16.33203125" style="1349" customWidth="1"/>
    <col min="8193" max="8193" width="8" style="1349" customWidth="1"/>
    <col min="8194" max="8194" width="19.1640625" style="1349" customWidth="1"/>
    <col min="8195" max="8195" width="9" style="1349" bestFit="1" customWidth="1"/>
    <col min="8196" max="8196" width="14.83203125" style="1349" customWidth="1"/>
    <col min="8197" max="8197" width="16.6640625" style="1349" customWidth="1"/>
    <col min="8198" max="8198" width="14.83203125" style="1349" customWidth="1"/>
    <col min="8199" max="8199" width="9" style="1349" bestFit="1" customWidth="1"/>
    <col min="8200" max="8201" width="14.83203125" style="1349" customWidth="1"/>
    <col min="8202" max="8202" width="18.1640625" style="1349" customWidth="1"/>
    <col min="8203" max="8203" width="15.6640625" style="1349" customWidth="1"/>
    <col min="8204" max="8204" width="16.5" style="1349" customWidth="1"/>
    <col min="8205" max="8205" width="16.1640625" style="1349" bestFit="1" customWidth="1"/>
    <col min="8206" max="8429" width="9.33203125" style="1349"/>
    <col min="8430" max="8430" width="74.6640625" style="1349" customWidth="1"/>
    <col min="8431" max="8431" width="9" style="1349" bestFit="1" customWidth="1"/>
    <col min="8432" max="8432" width="12.6640625" style="1349" customWidth="1"/>
    <col min="8433" max="8433" width="15.33203125" style="1349" customWidth="1"/>
    <col min="8434" max="8434" width="9" style="1349" bestFit="1" customWidth="1"/>
    <col min="8435" max="8435" width="14.33203125" style="1349" customWidth="1"/>
    <col min="8436" max="8436" width="9" style="1349" bestFit="1" customWidth="1"/>
    <col min="8437" max="8437" width="14.83203125" style="1349" customWidth="1"/>
    <col min="8438" max="8438" width="9" style="1349" bestFit="1" customWidth="1"/>
    <col min="8439" max="8440" width="15.33203125" style="1349" customWidth="1"/>
    <col min="8441" max="8441" width="9" style="1349" bestFit="1" customWidth="1"/>
    <col min="8442" max="8442" width="14.83203125" style="1349" customWidth="1"/>
    <col min="8443" max="8443" width="9" style="1349" bestFit="1" customWidth="1"/>
    <col min="8444" max="8444" width="14.83203125" style="1349" customWidth="1"/>
    <col min="8445" max="8446" width="16.5" style="1349" customWidth="1"/>
    <col min="8447" max="8448" width="16.33203125" style="1349" customWidth="1"/>
    <col min="8449" max="8449" width="8" style="1349" customWidth="1"/>
    <col min="8450" max="8450" width="19.1640625" style="1349" customWidth="1"/>
    <col min="8451" max="8451" width="9" style="1349" bestFit="1" customWidth="1"/>
    <col min="8452" max="8452" width="14.83203125" style="1349" customWidth="1"/>
    <col min="8453" max="8453" width="16.6640625" style="1349" customWidth="1"/>
    <col min="8454" max="8454" width="14.83203125" style="1349" customWidth="1"/>
    <col min="8455" max="8455" width="9" style="1349" bestFit="1" customWidth="1"/>
    <col min="8456" max="8457" width="14.83203125" style="1349" customWidth="1"/>
    <col min="8458" max="8458" width="18.1640625" style="1349" customWidth="1"/>
    <col min="8459" max="8459" width="15.6640625" style="1349" customWidth="1"/>
    <col min="8460" max="8460" width="16.5" style="1349" customWidth="1"/>
    <col min="8461" max="8461" width="16.1640625" style="1349" bestFit="1" customWidth="1"/>
    <col min="8462" max="8685" width="9.33203125" style="1349"/>
    <col min="8686" max="8686" width="74.6640625" style="1349" customWidth="1"/>
    <col min="8687" max="8687" width="9" style="1349" bestFit="1" customWidth="1"/>
    <col min="8688" max="8688" width="12.6640625" style="1349" customWidth="1"/>
    <col min="8689" max="8689" width="15.33203125" style="1349" customWidth="1"/>
    <col min="8690" max="8690" width="9" style="1349" bestFit="1" customWidth="1"/>
    <col min="8691" max="8691" width="14.33203125" style="1349" customWidth="1"/>
    <col min="8692" max="8692" width="9" style="1349" bestFit="1" customWidth="1"/>
    <col min="8693" max="8693" width="14.83203125" style="1349" customWidth="1"/>
    <col min="8694" max="8694" width="9" style="1349" bestFit="1" customWidth="1"/>
    <col min="8695" max="8696" width="15.33203125" style="1349" customWidth="1"/>
    <col min="8697" max="8697" width="9" style="1349" bestFit="1" customWidth="1"/>
    <col min="8698" max="8698" width="14.83203125" style="1349" customWidth="1"/>
    <col min="8699" max="8699" width="9" style="1349" bestFit="1" customWidth="1"/>
    <col min="8700" max="8700" width="14.83203125" style="1349" customWidth="1"/>
    <col min="8701" max="8702" width="16.5" style="1349" customWidth="1"/>
    <col min="8703" max="8704" width="16.33203125" style="1349" customWidth="1"/>
    <col min="8705" max="8705" width="8" style="1349" customWidth="1"/>
    <col min="8706" max="8706" width="19.1640625" style="1349" customWidth="1"/>
    <col min="8707" max="8707" width="9" style="1349" bestFit="1" customWidth="1"/>
    <col min="8708" max="8708" width="14.83203125" style="1349" customWidth="1"/>
    <col min="8709" max="8709" width="16.6640625" style="1349" customWidth="1"/>
    <col min="8710" max="8710" width="14.83203125" style="1349" customWidth="1"/>
    <col min="8711" max="8711" width="9" style="1349" bestFit="1" customWidth="1"/>
    <col min="8712" max="8713" width="14.83203125" style="1349" customWidth="1"/>
    <col min="8714" max="8714" width="18.1640625" style="1349" customWidth="1"/>
    <col min="8715" max="8715" width="15.6640625" style="1349" customWidth="1"/>
    <col min="8716" max="8716" width="16.5" style="1349" customWidth="1"/>
    <col min="8717" max="8717" width="16.1640625" style="1349" bestFit="1" customWidth="1"/>
    <col min="8718" max="8941" width="9.33203125" style="1349"/>
    <col min="8942" max="8942" width="74.6640625" style="1349" customWidth="1"/>
    <col min="8943" max="8943" width="9" style="1349" bestFit="1" customWidth="1"/>
    <col min="8944" max="8944" width="12.6640625" style="1349" customWidth="1"/>
    <col min="8945" max="8945" width="15.33203125" style="1349" customWidth="1"/>
    <col min="8946" max="8946" width="9" style="1349" bestFit="1" customWidth="1"/>
    <col min="8947" max="8947" width="14.33203125" style="1349" customWidth="1"/>
    <col min="8948" max="8948" width="9" style="1349" bestFit="1" customWidth="1"/>
    <col min="8949" max="8949" width="14.83203125" style="1349" customWidth="1"/>
    <col min="8950" max="8950" width="9" style="1349" bestFit="1" customWidth="1"/>
    <col min="8951" max="8952" width="15.33203125" style="1349" customWidth="1"/>
    <col min="8953" max="8953" width="9" style="1349" bestFit="1" customWidth="1"/>
    <col min="8954" max="8954" width="14.83203125" style="1349" customWidth="1"/>
    <col min="8955" max="8955" width="9" style="1349" bestFit="1" customWidth="1"/>
    <col min="8956" max="8956" width="14.83203125" style="1349" customWidth="1"/>
    <col min="8957" max="8958" width="16.5" style="1349" customWidth="1"/>
    <col min="8959" max="8960" width="16.33203125" style="1349" customWidth="1"/>
    <col min="8961" max="8961" width="8" style="1349" customWidth="1"/>
    <col min="8962" max="8962" width="19.1640625" style="1349" customWidth="1"/>
    <col min="8963" max="8963" width="9" style="1349" bestFit="1" customWidth="1"/>
    <col min="8964" max="8964" width="14.83203125" style="1349" customWidth="1"/>
    <col min="8965" max="8965" width="16.6640625" style="1349" customWidth="1"/>
    <col min="8966" max="8966" width="14.83203125" style="1349" customWidth="1"/>
    <col min="8967" max="8967" width="9" style="1349" bestFit="1" customWidth="1"/>
    <col min="8968" max="8969" width="14.83203125" style="1349" customWidth="1"/>
    <col min="8970" max="8970" width="18.1640625" style="1349" customWidth="1"/>
    <col min="8971" max="8971" width="15.6640625" style="1349" customWidth="1"/>
    <col min="8972" max="8972" width="16.5" style="1349" customWidth="1"/>
    <col min="8973" max="8973" width="16.1640625" style="1349" bestFit="1" customWidth="1"/>
    <col min="8974" max="9197" width="9.33203125" style="1349"/>
    <col min="9198" max="9198" width="74.6640625" style="1349" customWidth="1"/>
    <col min="9199" max="9199" width="9" style="1349" bestFit="1" customWidth="1"/>
    <col min="9200" max="9200" width="12.6640625" style="1349" customWidth="1"/>
    <col min="9201" max="9201" width="15.33203125" style="1349" customWidth="1"/>
    <col min="9202" max="9202" width="9" style="1349" bestFit="1" customWidth="1"/>
    <col min="9203" max="9203" width="14.33203125" style="1349" customWidth="1"/>
    <col min="9204" max="9204" width="9" style="1349" bestFit="1" customWidth="1"/>
    <col min="9205" max="9205" width="14.83203125" style="1349" customWidth="1"/>
    <col min="9206" max="9206" width="9" style="1349" bestFit="1" customWidth="1"/>
    <col min="9207" max="9208" width="15.33203125" style="1349" customWidth="1"/>
    <col min="9209" max="9209" width="9" style="1349" bestFit="1" customWidth="1"/>
    <col min="9210" max="9210" width="14.83203125" style="1349" customWidth="1"/>
    <col min="9211" max="9211" width="9" style="1349" bestFit="1" customWidth="1"/>
    <col min="9212" max="9212" width="14.83203125" style="1349" customWidth="1"/>
    <col min="9213" max="9214" width="16.5" style="1349" customWidth="1"/>
    <col min="9215" max="9216" width="16.33203125" style="1349" customWidth="1"/>
    <col min="9217" max="9217" width="8" style="1349" customWidth="1"/>
    <col min="9218" max="9218" width="19.1640625" style="1349" customWidth="1"/>
    <col min="9219" max="9219" width="9" style="1349" bestFit="1" customWidth="1"/>
    <col min="9220" max="9220" width="14.83203125" style="1349" customWidth="1"/>
    <col min="9221" max="9221" width="16.6640625" style="1349" customWidth="1"/>
    <col min="9222" max="9222" width="14.83203125" style="1349" customWidth="1"/>
    <col min="9223" max="9223" width="9" style="1349" bestFit="1" customWidth="1"/>
    <col min="9224" max="9225" width="14.83203125" style="1349" customWidth="1"/>
    <col min="9226" max="9226" width="18.1640625" style="1349" customWidth="1"/>
    <col min="9227" max="9227" width="15.6640625" style="1349" customWidth="1"/>
    <col min="9228" max="9228" width="16.5" style="1349" customWidth="1"/>
    <col min="9229" max="9229" width="16.1640625" style="1349" bestFit="1" customWidth="1"/>
    <col min="9230" max="9453" width="9.33203125" style="1349"/>
    <col min="9454" max="9454" width="74.6640625" style="1349" customWidth="1"/>
    <col min="9455" max="9455" width="9" style="1349" bestFit="1" customWidth="1"/>
    <col min="9456" max="9456" width="12.6640625" style="1349" customWidth="1"/>
    <col min="9457" max="9457" width="15.33203125" style="1349" customWidth="1"/>
    <col min="9458" max="9458" width="9" style="1349" bestFit="1" customWidth="1"/>
    <col min="9459" max="9459" width="14.33203125" style="1349" customWidth="1"/>
    <col min="9460" max="9460" width="9" style="1349" bestFit="1" customWidth="1"/>
    <col min="9461" max="9461" width="14.83203125" style="1349" customWidth="1"/>
    <col min="9462" max="9462" width="9" style="1349" bestFit="1" customWidth="1"/>
    <col min="9463" max="9464" width="15.33203125" style="1349" customWidth="1"/>
    <col min="9465" max="9465" width="9" style="1349" bestFit="1" customWidth="1"/>
    <col min="9466" max="9466" width="14.83203125" style="1349" customWidth="1"/>
    <col min="9467" max="9467" width="9" style="1349" bestFit="1" customWidth="1"/>
    <col min="9468" max="9468" width="14.83203125" style="1349" customWidth="1"/>
    <col min="9469" max="9470" width="16.5" style="1349" customWidth="1"/>
    <col min="9471" max="9472" width="16.33203125" style="1349" customWidth="1"/>
    <col min="9473" max="9473" width="8" style="1349" customWidth="1"/>
    <col min="9474" max="9474" width="19.1640625" style="1349" customWidth="1"/>
    <col min="9475" max="9475" width="9" style="1349" bestFit="1" customWidth="1"/>
    <col min="9476" max="9476" width="14.83203125" style="1349" customWidth="1"/>
    <col min="9477" max="9477" width="16.6640625" style="1349" customWidth="1"/>
    <col min="9478" max="9478" width="14.83203125" style="1349" customWidth="1"/>
    <col min="9479" max="9479" width="9" style="1349" bestFit="1" customWidth="1"/>
    <col min="9480" max="9481" width="14.83203125" style="1349" customWidth="1"/>
    <col min="9482" max="9482" width="18.1640625" style="1349" customWidth="1"/>
    <col min="9483" max="9483" width="15.6640625" style="1349" customWidth="1"/>
    <col min="9484" max="9484" width="16.5" style="1349" customWidth="1"/>
    <col min="9485" max="9485" width="16.1640625" style="1349" bestFit="1" customWidth="1"/>
    <col min="9486" max="9709" width="9.33203125" style="1349"/>
    <col min="9710" max="9710" width="74.6640625" style="1349" customWidth="1"/>
    <col min="9711" max="9711" width="9" style="1349" bestFit="1" customWidth="1"/>
    <col min="9712" max="9712" width="12.6640625" style="1349" customWidth="1"/>
    <col min="9713" max="9713" width="15.33203125" style="1349" customWidth="1"/>
    <col min="9714" max="9714" width="9" style="1349" bestFit="1" customWidth="1"/>
    <col min="9715" max="9715" width="14.33203125" style="1349" customWidth="1"/>
    <col min="9716" max="9716" width="9" style="1349" bestFit="1" customWidth="1"/>
    <col min="9717" max="9717" width="14.83203125" style="1349" customWidth="1"/>
    <col min="9718" max="9718" width="9" style="1349" bestFit="1" customWidth="1"/>
    <col min="9719" max="9720" width="15.33203125" style="1349" customWidth="1"/>
    <col min="9721" max="9721" width="9" style="1349" bestFit="1" customWidth="1"/>
    <col min="9722" max="9722" width="14.83203125" style="1349" customWidth="1"/>
    <col min="9723" max="9723" width="9" style="1349" bestFit="1" customWidth="1"/>
    <col min="9724" max="9724" width="14.83203125" style="1349" customWidth="1"/>
    <col min="9725" max="9726" width="16.5" style="1349" customWidth="1"/>
    <col min="9727" max="9728" width="16.33203125" style="1349" customWidth="1"/>
    <col min="9729" max="9729" width="8" style="1349" customWidth="1"/>
    <col min="9730" max="9730" width="19.1640625" style="1349" customWidth="1"/>
    <col min="9731" max="9731" width="9" style="1349" bestFit="1" customWidth="1"/>
    <col min="9732" max="9732" width="14.83203125" style="1349" customWidth="1"/>
    <col min="9733" max="9733" width="16.6640625" style="1349" customWidth="1"/>
    <col min="9734" max="9734" width="14.83203125" style="1349" customWidth="1"/>
    <col min="9735" max="9735" width="9" style="1349" bestFit="1" customWidth="1"/>
    <col min="9736" max="9737" width="14.83203125" style="1349" customWidth="1"/>
    <col min="9738" max="9738" width="18.1640625" style="1349" customWidth="1"/>
    <col min="9739" max="9739" width="15.6640625" style="1349" customWidth="1"/>
    <col min="9740" max="9740" width="16.5" style="1349" customWidth="1"/>
    <col min="9741" max="9741" width="16.1640625" style="1349" bestFit="1" customWidth="1"/>
    <col min="9742" max="9965" width="9.33203125" style="1349"/>
    <col min="9966" max="9966" width="74.6640625" style="1349" customWidth="1"/>
    <col min="9967" max="9967" width="9" style="1349" bestFit="1" customWidth="1"/>
    <col min="9968" max="9968" width="12.6640625" style="1349" customWidth="1"/>
    <col min="9969" max="9969" width="15.33203125" style="1349" customWidth="1"/>
    <col min="9970" max="9970" width="9" style="1349" bestFit="1" customWidth="1"/>
    <col min="9971" max="9971" width="14.33203125" style="1349" customWidth="1"/>
    <col min="9972" max="9972" width="9" style="1349" bestFit="1" customWidth="1"/>
    <col min="9973" max="9973" width="14.83203125" style="1349" customWidth="1"/>
    <col min="9974" max="9974" width="9" style="1349" bestFit="1" customWidth="1"/>
    <col min="9975" max="9976" width="15.33203125" style="1349" customWidth="1"/>
    <col min="9977" max="9977" width="9" style="1349" bestFit="1" customWidth="1"/>
    <col min="9978" max="9978" width="14.83203125" style="1349" customWidth="1"/>
    <col min="9979" max="9979" width="9" style="1349" bestFit="1" customWidth="1"/>
    <col min="9980" max="9980" width="14.83203125" style="1349" customWidth="1"/>
    <col min="9981" max="9982" width="16.5" style="1349" customWidth="1"/>
    <col min="9983" max="9984" width="16.33203125" style="1349" customWidth="1"/>
    <col min="9985" max="9985" width="8" style="1349" customWidth="1"/>
    <col min="9986" max="9986" width="19.1640625" style="1349" customWidth="1"/>
    <col min="9987" max="9987" width="9" style="1349" bestFit="1" customWidth="1"/>
    <col min="9988" max="9988" width="14.83203125" style="1349" customWidth="1"/>
    <col min="9989" max="9989" width="16.6640625" style="1349" customWidth="1"/>
    <col min="9990" max="9990" width="14.83203125" style="1349" customWidth="1"/>
    <col min="9991" max="9991" width="9" style="1349" bestFit="1" customWidth="1"/>
    <col min="9992" max="9993" width="14.83203125" style="1349" customWidth="1"/>
    <col min="9994" max="9994" width="18.1640625" style="1349" customWidth="1"/>
    <col min="9995" max="9995" width="15.6640625" style="1349" customWidth="1"/>
    <col min="9996" max="9996" width="16.5" style="1349" customWidth="1"/>
    <col min="9997" max="9997" width="16.1640625" style="1349" bestFit="1" customWidth="1"/>
    <col min="9998" max="10221" width="9.33203125" style="1349"/>
    <col min="10222" max="10222" width="74.6640625" style="1349" customWidth="1"/>
    <col min="10223" max="10223" width="9" style="1349" bestFit="1" customWidth="1"/>
    <col min="10224" max="10224" width="12.6640625" style="1349" customWidth="1"/>
    <col min="10225" max="10225" width="15.33203125" style="1349" customWidth="1"/>
    <col min="10226" max="10226" width="9" style="1349" bestFit="1" customWidth="1"/>
    <col min="10227" max="10227" width="14.33203125" style="1349" customWidth="1"/>
    <col min="10228" max="10228" width="9" style="1349" bestFit="1" customWidth="1"/>
    <col min="10229" max="10229" width="14.83203125" style="1349" customWidth="1"/>
    <col min="10230" max="10230" width="9" style="1349" bestFit="1" customWidth="1"/>
    <col min="10231" max="10232" width="15.33203125" style="1349" customWidth="1"/>
    <col min="10233" max="10233" width="9" style="1349" bestFit="1" customWidth="1"/>
    <col min="10234" max="10234" width="14.83203125" style="1349" customWidth="1"/>
    <col min="10235" max="10235" width="9" style="1349" bestFit="1" customWidth="1"/>
    <col min="10236" max="10236" width="14.83203125" style="1349" customWidth="1"/>
    <col min="10237" max="10238" width="16.5" style="1349" customWidth="1"/>
    <col min="10239" max="10240" width="16.33203125" style="1349" customWidth="1"/>
    <col min="10241" max="10241" width="8" style="1349" customWidth="1"/>
    <col min="10242" max="10242" width="19.1640625" style="1349" customWidth="1"/>
    <col min="10243" max="10243" width="9" style="1349" bestFit="1" customWidth="1"/>
    <col min="10244" max="10244" width="14.83203125" style="1349" customWidth="1"/>
    <col min="10245" max="10245" width="16.6640625" style="1349" customWidth="1"/>
    <col min="10246" max="10246" width="14.83203125" style="1349" customWidth="1"/>
    <col min="10247" max="10247" width="9" style="1349" bestFit="1" customWidth="1"/>
    <col min="10248" max="10249" width="14.83203125" style="1349" customWidth="1"/>
    <col min="10250" max="10250" width="18.1640625" style="1349" customWidth="1"/>
    <col min="10251" max="10251" width="15.6640625" style="1349" customWidth="1"/>
    <col min="10252" max="10252" width="16.5" style="1349" customWidth="1"/>
    <col min="10253" max="10253" width="16.1640625" style="1349" bestFit="1" customWidth="1"/>
    <col min="10254" max="10477" width="9.33203125" style="1349"/>
    <col min="10478" max="10478" width="74.6640625" style="1349" customWidth="1"/>
    <col min="10479" max="10479" width="9" style="1349" bestFit="1" customWidth="1"/>
    <col min="10480" max="10480" width="12.6640625" style="1349" customWidth="1"/>
    <col min="10481" max="10481" width="15.33203125" style="1349" customWidth="1"/>
    <col min="10482" max="10482" width="9" style="1349" bestFit="1" customWidth="1"/>
    <col min="10483" max="10483" width="14.33203125" style="1349" customWidth="1"/>
    <col min="10484" max="10484" width="9" style="1349" bestFit="1" customWidth="1"/>
    <col min="10485" max="10485" width="14.83203125" style="1349" customWidth="1"/>
    <col min="10486" max="10486" width="9" style="1349" bestFit="1" customWidth="1"/>
    <col min="10487" max="10488" width="15.33203125" style="1349" customWidth="1"/>
    <col min="10489" max="10489" width="9" style="1349" bestFit="1" customWidth="1"/>
    <col min="10490" max="10490" width="14.83203125" style="1349" customWidth="1"/>
    <col min="10491" max="10491" width="9" style="1349" bestFit="1" customWidth="1"/>
    <col min="10492" max="10492" width="14.83203125" style="1349" customWidth="1"/>
    <col min="10493" max="10494" width="16.5" style="1349" customWidth="1"/>
    <col min="10495" max="10496" width="16.33203125" style="1349" customWidth="1"/>
    <col min="10497" max="10497" width="8" style="1349" customWidth="1"/>
    <col min="10498" max="10498" width="19.1640625" style="1349" customWidth="1"/>
    <col min="10499" max="10499" width="9" style="1349" bestFit="1" customWidth="1"/>
    <col min="10500" max="10500" width="14.83203125" style="1349" customWidth="1"/>
    <col min="10501" max="10501" width="16.6640625" style="1349" customWidth="1"/>
    <col min="10502" max="10502" width="14.83203125" style="1349" customWidth="1"/>
    <col min="10503" max="10503" width="9" style="1349" bestFit="1" customWidth="1"/>
    <col min="10504" max="10505" width="14.83203125" style="1349" customWidth="1"/>
    <col min="10506" max="10506" width="18.1640625" style="1349" customWidth="1"/>
    <col min="10507" max="10507" width="15.6640625" style="1349" customWidth="1"/>
    <col min="10508" max="10508" width="16.5" style="1349" customWidth="1"/>
    <col min="10509" max="10509" width="16.1640625" style="1349" bestFit="1" customWidth="1"/>
    <col min="10510" max="10733" width="9.33203125" style="1349"/>
    <col min="10734" max="10734" width="74.6640625" style="1349" customWidth="1"/>
    <col min="10735" max="10735" width="9" style="1349" bestFit="1" customWidth="1"/>
    <col min="10736" max="10736" width="12.6640625" style="1349" customWidth="1"/>
    <col min="10737" max="10737" width="15.33203125" style="1349" customWidth="1"/>
    <col min="10738" max="10738" width="9" style="1349" bestFit="1" customWidth="1"/>
    <col min="10739" max="10739" width="14.33203125" style="1349" customWidth="1"/>
    <col min="10740" max="10740" width="9" style="1349" bestFit="1" customWidth="1"/>
    <col min="10741" max="10741" width="14.83203125" style="1349" customWidth="1"/>
    <col min="10742" max="10742" width="9" style="1349" bestFit="1" customWidth="1"/>
    <col min="10743" max="10744" width="15.33203125" style="1349" customWidth="1"/>
    <col min="10745" max="10745" width="9" style="1349" bestFit="1" customWidth="1"/>
    <col min="10746" max="10746" width="14.83203125" style="1349" customWidth="1"/>
    <col min="10747" max="10747" width="9" style="1349" bestFit="1" customWidth="1"/>
    <col min="10748" max="10748" width="14.83203125" style="1349" customWidth="1"/>
    <col min="10749" max="10750" width="16.5" style="1349" customWidth="1"/>
    <col min="10751" max="10752" width="16.33203125" style="1349" customWidth="1"/>
    <col min="10753" max="10753" width="8" style="1349" customWidth="1"/>
    <col min="10754" max="10754" width="19.1640625" style="1349" customWidth="1"/>
    <col min="10755" max="10755" width="9" style="1349" bestFit="1" customWidth="1"/>
    <col min="10756" max="10756" width="14.83203125" style="1349" customWidth="1"/>
    <col min="10757" max="10757" width="16.6640625" style="1349" customWidth="1"/>
    <col min="10758" max="10758" width="14.83203125" style="1349" customWidth="1"/>
    <col min="10759" max="10759" width="9" style="1349" bestFit="1" customWidth="1"/>
    <col min="10760" max="10761" width="14.83203125" style="1349" customWidth="1"/>
    <col min="10762" max="10762" width="18.1640625" style="1349" customWidth="1"/>
    <col min="10763" max="10763" width="15.6640625" style="1349" customWidth="1"/>
    <col min="10764" max="10764" width="16.5" style="1349" customWidth="1"/>
    <col min="10765" max="10765" width="16.1640625" style="1349" bestFit="1" customWidth="1"/>
    <col min="10766" max="10989" width="9.33203125" style="1349"/>
    <col min="10990" max="10990" width="74.6640625" style="1349" customWidth="1"/>
    <col min="10991" max="10991" width="9" style="1349" bestFit="1" customWidth="1"/>
    <col min="10992" max="10992" width="12.6640625" style="1349" customWidth="1"/>
    <col min="10993" max="10993" width="15.33203125" style="1349" customWidth="1"/>
    <col min="10994" max="10994" width="9" style="1349" bestFit="1" customWidth="1"/>
    <col min="10995" max="10995" width="14.33203125" style="1349" customWidth="1"/>
    <col min="10996" max="10996" width="9" style="1349" bestFit="1" customWidth="1"/>
    <col min="10997" max="10997" width="14.83203125" style="1349" customWidth="1"/>
    <col min="10998" max="10998" width="9" style="1349" bestFit="1" customWidth="1"/>
    <col min="10999" max="11000" width="15.33203125" style="1349" customWidth="1"/>
    <col min="11001" max="11001" width="9" style="1349" bestFit="1" customWidth="1"/>
    <col min="11002" max="11002" width="14.83203125" style="1349" customWidth="1"/>
    <col min="11003" max="11003" width="9" style="1349" bestFit="1" customWidth="1"/>
    <col min="11004" max="11004" width="14.83203125" style="1349" customWidth="1"/>
    <col min="11005" max="11006" width="16.5" style="1349" customWidth="1"/>
    <col min="11007" max="11008" width="16.33203125" style="1349" customWidth="1"/>
    <col min="11009" max="11009" width="8" style="1349" customWidth="1"/>
    <col min="11010" max="11010" width="19.1640625" style="1349" customWidth="1"/>
    <col min="11011" max="11011" width="9" style="1349" bestFit="1" customWidth="1"/>
    <col min="11012" max="11012" width="14.83203125" style="1349" customWidth="1"/>
    <col min="11013" max="11013" width="16.6640625" style="1349" customWidth="1"/>
    <col min="11014" max="11014" width="14.83203125" style="1349" customWidth="1"/>
    <col min="11015" max="11015" width="9" style="1349" bestFit="1" customWidth="1"/>
    <col min="11016" max="11017" width="14.83203125" style="1349" customWidth="1"/>
    <col min="11018" max="11018" width="18.1640625" style="1349" customWidth="1"/>
    <col min="11019" max="11019" width="15.6640625" style="1349" customWidth="1"/>
    <col min="11020" max="11020" width="16.5" style="1349" customWidth="1"/>
    <col min="11021" max="11021" width="16.1640625" style="1349" bestFit="1" customWidth="1"/>
    <col min="11022" max="11245" width="9.33203125" style="1349"/>
    <col min="11246" max="11246" width="74.6640625" style="1349" customWidth="1"/>
    <col min="11247" max="11247" width="9" style="1349" bestFit="1" customWidth="1"/>
    <col min="11248" max="11248" width="12.6640625" style="1349" customWidth="1"/>
    <col min="11249" max="11249" width="15.33203125" style="1349" customWidth="1"/>
    <col min="11250" max="11250" width="9" style="1349" bestFit="1" customWidth="1"/>
    <col min="11251" max="11251" width="14.33203125" style="1349" customWidth="1"/>
    <col min="11252" max="11252" width="9" style="1349" bestFit="1" customWidth="1"/>
    <col min="11253" max="11253" width="14.83203125" style="1349" customWidth="1"/>
    <col min="11254" max="11254" width="9" style="1349" bestFit="1" customWidth="1"/>
    <col min="11255" max="11256" width="15.33203125" style="1349" customWidth="1"/>
    <col min="11257" max="11257" width="9" style="1349" bestFit="1" customWidth="1"/>
    <col min="11258" max="11258" width="14.83203125" style="1349" customWidth="1"/>
    <col min="11259" max="11259" width="9" style="1349" bestFit="1" customWidth="1"/>
    <col min="11260" max="11260" width="14.83203125" style="1349" customWidth="1"/>
    <col min="11261" max="11262" width="16.5" style="1349" customWidth="1"/>
    <col min="11263" max="11264" width="16.33203125" style="1349" customWidth="1"/>
    <col min="11265" max="11265" width="8" style="1349" customWidth="1"/>
    <col min="11266" max="11266" width="19.1640625" style="1349" customWidth="1"/>
    <col min="11267" max="11267" width="9" style="1349" bestFit="1" customWidth="1"/>
    <col min="11268" max="11268" width="14.83203125" style="1349" customWidth="1"/>
    <col min="11269" max="11269" width="16.6640625" style="1349" customWidth="1"/>
    <col min="11270" max="11270" width="14.83203125" style="1349" customWidth="1"/>
    <col min="11271" max="11271" width="9" style="1349" bestFit="1" customWidth="1"/>
    <col min="11272" max="11273" width="14.83203125" style="1349" customWidth="1"/>
    <col min="11274" max="11274" width="18.1640625" style="1349" customWidth="1"/>
    <col min="11275" max="11275" width="15.6640625" style="1349" customWidth="1"/>
    <col min="11276" max="11276" width="16.5" style="1349" customWidth="1"/>
    <col min="11277" max="11277" width="16.1640625" style="1349" bestFit="1" customWidth="1"/>
    <col min="11278" max="11501" width="9.33203125" style="1349"/>
    <col min="11502" max="11502" width="74.6640625" style="1349" customWidth="1"/>
    <col min="11503" max="11503" width="9" style="1349" bestFit="1" customWidth="1"/>
    <col min="11504" max="11504" width="12.6640625" style="1349" customWidth="1"/>
    <col min="11505" max="11505" width="15.33203125" style="1349" customWidth="1"/>
    <col min="11506" max="11506" width="9" style="1349" bestFit="1" customWidth="1"/>
    <col min="11507" max="11507" width="14.33203125" style="1349" customWidth="1"/>
    <col min="11508" max="11508" width="9" style="1349" bestFit="1" customWidth="1"/>
    <col min="11509" max="11509" width="14.83203125" style="1349" customWidth="1"/>
    <col min="11510" max="11510" width="9" style="1349" bestFit="1" customWidth="1"/>
    <col min="11511" max="11512" width="15.33203125" style="1349" customWidth="1"/>
    <col min="11513" max="11513" width="9" style="1349" bestFit="1" customWidth="1"/>
    <col min="11514" max="11514" width="14.83203125" style="1349" customWidth="1"/>
    <col min="11515" max="11515" width="9" style="1349" bestFit="1" customWidth="1"/>
    <col min="11516" max="11516" width="14.83203125" style="1349" customWidth="1"/>
    <col min="11517" max="11518" width="16.5" style="1349" customWidth="1"/>
    <col min="11519" max="11520" width="16.33203125" style="1349" customWidth="1"/>
    <col min="11521" max="11521" width="8" style="1349" customWidth="1"/>
    <col min="11522" max="11522" width="19.1640625" style="1349" customWidth="1"/>
    <col min="11523" max="11523" width="9" style="1349" bestFit="1" customWidth="1"/>
    <col min="11524" max="11524" width="14.83203125" style="1349" customWidth="1"/>
    <col min="11525" max="11525" width="16.6640625" style="1349" customWidth="1"/>
    <col min="11526" max="11526" width="14.83203125" style="1349" customWidth="1"/>
    <col min="11527" max="11527" width="9" style="1349" bestFit="1" customWidth="1"/>
    <col min="11528" max="11529" width="14.83203125" style="1349" customWidth="1"/>
    <col min="11530" max="11530" width="18.1640625" style="1349" customWidth="1"/>
    <col min="11531" max="11531" width="15.6640625" style="1349" customWidth="1"/>
    <col min="11532" max="11532" width="16.5" style="1349" customWidth="1"/>
    <col min="11533" max="11533" width="16.1640625" style="1349" bestFit="1" customWidth="1"/>
    <col min="11534" max="11757" width="9.33203125" style="1349"/>
    <col min="11758" max="11758" width="74.6640625" style="1349" customWidth="1"/>
    <col min="11759" max="11759" width="9" style="1349" bestFit="1" customWidth="1"/>
    <col min="11760" max="11760" width="12.6640625" style="1349" customWidth="1"/>
    <col min="11761" max="11761" width="15.33203125" style="1349" customWidth="1"/>
    <col min="11762" max="11762" width="9" style="1349" bestFit="1" customWidth="1"/>
    <col min="11763" max="11763" width="14.33203125" style="1349" customWidth="1"/>
    <col min="11764" max="11764" width="9" style="1349" bestFit="1" customWidth="1"/>
    <col min="11765" max="11765" width="14.83203125" style="1349" customWidth="1"/>
    <col min="11766" max="11766" width="9" style="1349" bestFit="1" customWidth="1"/>
    <col min="11767" max="11768" width="15.33203125" style="1349" customWidth="1"/>
    <col min="11769" max="11769" width="9" style="1349" bestFit="1" customWidth="1"/>
    <col min="11770" max="11770" width="14.83203125" style="1349" customWidth="1"/>
    <col min="11771" max="11771" width="9" style="1349" bestFit="1" customWidth="1"/>
    <col min="11772" max="11772" width="14.83203125" style="1349" customWidth="1"/>
    <col min="11773" max="11774" width="16.5" style="1349" customWidth="1"/>
    <col min="11775" max="11776" width="16.33203125" style="1349" customWidth="1"/>
    <col min="11777" max="11777" width="8" style="1349" customWidth="1"/>
    <col min="11778" max="11778" width="19.1640625" style="1349" customWidth="1"/>
    <col min="11779" max="11779" width="9" style="1349" bestFit="1" customWidth="1"/>
    <col min="11780" max="11780" width="14.83203125" style="1349" customWidth="1"/>
    <col min="11781" max="11781" width="16.6640625" style="1349" customWidth="1"/>
    <col min="11782" max="11782" width="14.83203125" style="1349" customWidth="1"/>
    <col min="11783" max="11783" width="9" style="1349" bestFit="1" customWidth="1"/>
    <col min="11784" max="11785" width="14.83203125" style="1349" customWidth="1"/>
    <col min="11786" max="11786" width="18.1640625" style="1349" customWidth="1"/>
    <col min="11787" max="11787" width="15.6640625" style="1349" customWidth="1"/>
    <col min="11788" max="11788" width="16.5" style="1349" customWidth="1"/>
    <col min="11789" max="11789" width="16.1640625" style="1349" bestFit="1" customWidth="1"/>
    <col min="11790" max="12013" width="9.33203125" style="1349"/>
    <col min="12014" max="12014" width="74.6640625" style="1349" customWidth="1"/>
    <col min="12015" max="12015" width="9" style="1349" bestFit="1" customWidth="1"/>
    <col min="12016" max="12016" width="12.6640625" style="1349" customWidth="1"/>
    <col min="12017" max="12017" width="15.33203125" style="1349" customWidth="1"/>
    <col min="12018" max="12018" width="9" style="1349" bestFit="1" customWidth="1"/>
    <col min="12019" max="12019" width="14.33203125" style="1349" customWidth="1"/>
    <col min="12020" max="12020" width="9" style="1349" bestFit="1" customWidth="1"/>
    <col min="12021" max="12021" width="14.83203125" style="1349" customWidth="1"/>
    <col min="12022" max="12022" width="9" style="1349" bestFit="1" customWidth="1"/>
    <col min="12023" max="12024" width="15.33203125" style="1349" customWidth="1"/>
    <col min="12025" max="12025" width="9" style="1349" bestFit="1" customWidth="1"/>
    <col min="12026" max="12026" width="14.83203125" style="1349" customWidth="1"/>
    <col min="12027" max="12027" width="9" style="1349" bestFit="1" customWidth="1"/>
    <col min="12028" max="12028" width="14.83203125" style="1349" customWidth="1"/>
    <col min="12029" max="12030" width="16.5" style="1349" customWidth="1"/>
    <col min="12031" max="12032" width="16.33203125" style="1349" customWidth="1"/>
    <col min="12033" max="12033" width="8" style="1349" customWidth="1"/>
    <col min="12034" max="12034" width="19.1640625" style="1349" customWidth="1"/>
    <col min="12035" max="12035" width="9" style="1349" bestFit="1" customWidth="1"/>
    <col min="12036" max="12036" width="14.83203125" style="1349" customWidth="1"/>
    <col min="12037" max="12037" width="16.6640625" style="1349" customWidth="1"/>
    <col min="12038" max="12038" width="14.83203125" style="1349" customWidth="1"/>
    <col min="12039" max="12039" width="9" style="1349" bestFit="1" customWidth="1"/>
    <col min="12040" max="12041" width="14.83203125" style="1349" customWidth="1"/>
    <col min="12042" max="12042" width="18.1640625" style="1349" customWidth="1"/>
    <col min="12043" max="12043" width="15.6640625" style="1349" customWidth="1"/>
    <col min="12044" max="12044" width="16.5" style="1349" customWidth="1"/>
    <col min="12045" max="12045" width="16.1640625" style="1349" bestFit="1" customWidth="1"/>
    <col min="12046" max="12269" width="9.33203125" style="1349"/>
    <col min="12270" max="12270" width="74.6640625" style="1349" customWidth="1"/>
    <col min="12271" max="12271" width="9" style="1349" bestFit="1" customWidth="1"/>
    <col min="12272" max="12272" width="12.6640625" style="1349" customWidth="1"/>
    <col min="12273" max="12273" width="15.33203125" style="1349" customWidth="1"/>
    <col min="12274" max="12274" width="9" style="1349" bestFit="1" customWidth="1"/>
    <col min="12275" max="12275" width="14.33203125" style="1349" customWidth="1"/>
    <col min="12276" max="12276" width="9" style="1349" bestFit="1" customWidth="1"/>
    <col min="12277" max="12277" width="14.83203125" style="1349" customWidth="1"/>
    <col min="12278" max="12278" width="9" style="1349" bestFit="1" customWidth="1"/>
    <col min="12279" max="12280" width="15.33203125" style="1349" customWidth="1"/>
    <col min="12281" max="12281" width="9" style="1349" bestFit="1" customWidth="1"/>
    <col min="12282" max="12282" width="14.83203125" style="1349" customWidth="1"/>
    <col min="12283" max="12283" width="9" style="1349" bestFit="1" customWidth="1"/>
    <col min="12284" max="12284" width="14.83203125" style="1349" customWidth="1"/>
    <col min="12285" max="12286" width="16.5" style="1349" customWidth="1"/>
    <col min="12287" max="12288" width="16.33203125" style="1349" customWidth="1"/>
    <col min="12289" max="12289" width="8" style="1349" customWidth="1"/>
    <col min="12290" max="12290" width="19.1640625" style="1349" customWidth="1"/>
    <col min="12291" max="12291" width="9" style="1349" bestFit="1" customWidth="1"/>
    <col min="12292" max="12292" width="14.83203125" style="1349" customWidth="1"/>
    <col min="12293" max="12293" width="16.6640625" style="1349" customWidth="1"/>
    <col min="12294" max="12294" width="14.83203125" style="1349" customWidth="1"/>
    <col min="12295" max="12295" width="9" style="1349" bestFit="1" customWidth="1"/>
    <col min="12296" max="12297" width="14.83203125" style="1349" customWidth="1"/>
    <col min="12298" max="12298" width="18.1640625" style="1349" customWidth="1"/>
    <col min="12299" max="12299" width="15.6640625" style="1349" customWidth="1"/>
    <col min="12300" max="12300" width="16.5" style="1349" customWidth="1"/>
    <col min="12301" max="12301" width="16.1640625" style="1349" bestFit="1" customWidth="1"/>
    <col min="12302" max="12525" width="9.33203125" style="1349"/>
    <col min="12526" max="12526" width="74.6640625" style="1349" customWidth="1"/>
    <col min="12527" max="12527" width="9" style="1349" bestFit="1" customWidth="1"/>
    <col min="12528" max="12528" width="12.6640625" style="1349" customWidth="1"/>
    <col min="12529" max="12529" width="15.33203125" style="1349" customWidth="1"/>
    <col min="12530" max="12530" width="9" style="1349" bestFit="1" customWidth="1"/>
    <col min="12531" max="12531" width="14.33203125" style="1349" customWidth="1"/>
    <col min="12532" max="12532" width="9" style="1349" bestFit="1" customWidth="1"/>
    <col min="12533" max="12533" width="14.83203125" style="1349" customWidth="1"/>
    <col min="12534" max="12534" width="9" style="1349" bestFit="1" customWidth="1"/>
    <col min="12535" max="12536" width="15.33203125" style="1349" customWidth="1"/>
    <col min="12537" max="12537" width="9" style="1349" bestFit="1" customWidth="1"/>
    <col min="12538" max="12538" width="14.83203125" style="1349" customWidth="1"/>
    <col min="12539" max="12539" width="9" style="1349" bestFit="1" customWidth="1"/>
    <col min="12540" max="12540" width="14.83203125" style="1349" customWidth="1"/>
    <col min="12541" max="12542" width="16.5" style="1349" customWidth="1"/>
    <col min="12543" max="12544" width="16.33203125" style="1349" customWidth="1"/>
    <col min="12545" max="12545" width="8" style="1349" customWidth="1"/>
    <col min="12546" max="12546" width="19.1640625" style="1349" customWidth="1"/>
    <col min="12547" max="12547" width="9" style="1349" bestFit="1" customWidth="1"/>
    <col min="12548" max="12548" width="14.83203125" style="1349" customWidth="1"/>
    <col min="12549" max="12549" width="16.6640625" style="1349" customWidth="1"/>
    <col min="12550" max="12550" width="14.83203125" style="1349" customWidth="1"/>
    <col min="12551" max="12551" width="9" style="1349" bestFit="1" customWidth="1"/>
    <col min="12552" max="12553" width="14.83203125" style="1349" customWidth="1"/>
    <col min="12554" max="12554" width="18.1640625" style="1349" customWidth="1"/>
    <col min="12555" max="12555" width="15.6640625" style="1349" customWidth="1"/>
    <col min="12556" max="12556" width="16.5" style="1349" customWidth="1"/>
    <col min="12557" max="12557" width="16.1640625" style="1349" bestFit="1" customWidth="1"/>
    <col min="12558" max="12781" width="9.33203125" style="1349"/>
    <col min="12782" max="12782" width="74.6640625" style="1349" customWidth="1"/>
    <col min="12783" max="12783" width="9" style="1349" bestFit="1" customWidth="1"/>
    <col min="12784" max="12784" width="12.6640625" style="1349" customWidth="1"/>
    <col min="12785" max="12785" width="15.33203125" style="1349" customWidth="1"/>
    <col min="12786" max="12786" width="9" style="1349" bestFit="1" customWidth="1"/>
    <col min="12787" max="12787" width="14.33203125" style="1349" customWidth="1"/>
    <col min="12788" max="12788" width="9" style="1349" bestFit="1" customWidth="1"/>
    <col min="12789" max="12789" width="14.83203125" style="1349" customWidth="1"/>
    <col min="12790" max="12790" width="9" style="1349" bestFit="1" customWidth="1"/>
    <col min="12791" max="12792" width="15.33203125" style="1349" customWidth="1"/>
    <col min="12793" max="12793" width="9" style="1349" bestFit="1" customWidth="1"/>
    <col min="12794" max="12794" width="14.83203125" style="1349" customWidth="1"/>
    <col min="12795" max="12795" width="9" style="1349" bestFit="1" customWidth="1"/>
    <col min="12796" max="12796" width="14.83203125" style="1349" customWidth="1"/>
    <col min="12797" max="12798" width="16.5" style="1349" customWidth="1"/>
    <col min="12799" max="12800" width="16.33203125" style="1349" customWidth="1"/>
    <col min="12801" max="12801" width="8" style="1349" customWidth="1"/>
    <col min="12802" max="12802" width="19.1640625" style="1349" customWidth="1"/>
    <col min="12803" max="12803" width="9" style="1349" bestFit="1" customWidth="1"/>
    <col min="12804" max="12804" width="14.83203125" style="1349" customWidth="1"/>
    <col min="12805" max="12805" width="16.6640625" style="1349" customWidth="1"/>
    <col min="12806" max="12806" width="14.83203125" style="1349" customWidth="1"/>
    <col min="12807" max="12807" width="9" style="1349" bestFit="1" customWidth="1"/>
    <col min="12808" max="12809" width="14.83203125" style="1349" customWidth="1"/>
    <col min="12810" max="12810" width="18.1640625" style="1349" customWidth="1"/>
    <col min="12811" max="12811" width="15.6640625" style="1349" customWidth="1"/>
    <col min="12812" max="12812" width="16.5" style="1349" customWidth="1"/>
    <col min="12813" max="12813" width="16.1640625" style="1349" bestFit="1" customWidth="1"/>
    <col min="12814" max="13037" width="9.33203125" style="1349"/>
    <col min="13038" max="13038" width="74.6640625" style="1349" customWidth="1"/>
    <col min="13039" max="13039" width="9" style="1349" bestFit="1" customWidth="1"/>
    <col min="13040" max="13040" width="12.6640625" style="1349" customWidth="1"/>
    <col min="13041" max="13041" width="15.33203125" style="1349" customWidth="1"/>
    <col min="13042" max="13042" width="9" style="1349" bestFit="1" customWidth="1"/>
    <col min="13043" max="13043" width="14.33203125" style="1349" customWidth="1"/>
    <col min="13044" max="13044" width="9" style="1349" bestFit="1" customWidth="1"/>
    <col min="13045" max="13045" width="14.83203125" style="1349" customWidth="1"/>
    <col min="13046" max="13046" width="9" style="1349" bestFit="1" customWidth="1"/>
    <col min="13047" max="13048" width="15.33203125" style="1349" customWidth="1"/>
    <col min="13049" max="13049" width="9" style="1349" bestFit="1" customWidth="1"/>
    <col min="13050" max="13050" width="14.83203125" style="1349" customWidth="1"/>
    <col min="13051" max="13051" width="9" style="1349" bestFit="1" customWidth="1"/>
    <col min="13052" max="13052" width="14.83203125" style="1349" customWidth="1"/>
    <col min="13053" max="13054" width="16.5" style="1349" customWidth="1"/>
    <col min="13055" max="13056" width="16.33203125" style="1349" customWidth="1"/>
    <col min="13057" max="13057" width="8" style="1349" customWidth="1"/>
    <col min="13058" max="13058" width="19.1640625" style="1349" customWidth="1"/>
    <col min="13059" max="13059" width="9" style="1349" bestFit="1" customWidth="1"/>
    <col min="13060" max="13060" width="14.83203125" style="1349" customWidth="1"/>
    <col min="13061" max="13061" width="16.6640625" style="1349" customWidth="1"/>
    <col min="13062" max="13062" width="14.83203125" style="1349" customWidth="1"/>
    <col min="13063" max="13063" width="9" style="1349" bestFit="1" customWidth="1"/>
    <col min="13064" max="13065" width="14.83203125" style="1349" customWidth="1"/>
    <col min="13066" max="13066" width="18.1640625" style="1349" customWidth="1"/>
    <col min="13067" max="13067" width="15.6640625" style="1349" customWidth="1"/>
    <col min="13068" max="13068" width="16.5" style="1349" customWidth="1"/>
    <col min="13069" max="13069" width="16.1640625" style="1349" bestFit="1" customWidth="1"/>
    <col min="13070" max="13293" width="9.33203125" style="1349"/>
    <col min="13294" max="13294" width="74.6640625" style="1349" customWidth="1"/>
    <col min="13295" max="13295" width="9" style="1349" bestFit="1" customWidth="1"/>
    <col min="13296" max="13296" width="12.6640625" style="1349" customWidth="1"/>
    <col min="13297" max="13297" width="15.33203125" style="1349" customWidth="1"/>
    <col min="13298" max="13298" width="9" style="1349" bestFit="1" customWidth="1"/>
    <col min="13299" max="13299" width="14.33203125" style="1349" customWidth="1"/>
    <col min="13300" max="13300" width="9" style="1349" bestFit="1" customWidth="1"/>
    <col min="13301" max="13301" width="14.83203125" style="1349" customWidth="1"/>
    <col min="13302" max="13302" width="9" style="1349" bestFit="1" customWidth="1"/>
    <col min="13303" max="13304" width="15.33203125" style="1349" customWidth="1"/>
    <col min="13305" max="13305" width="9" style="1349" bestFit="1" customWidth="1"/>
    <col min="13306" max="13306" width="14.83203125" style="1349" customWidth="1"/>
    <col min="13307" max="13307" width="9" style="1349" bestFit="1" customWidth="1"/>
    <col min="13308" max="13308" width="14.83203125" style="1349" customWidth="1"/>
    <col min="13309" max="13310" width="16.5" style="1349" customWidth="1"/>
    <col min="13311" max="13312" width="16.33203125" style="1349" customWidth="1"/>
    <col min="13313" max="13313" width="8" style="1349" customWidth="1"/>
    <col min="13314" max="13314" width="19.1640625" style="1349" customWidth="1"/>
    <col min="13315" max="13315" width="9" style="1349" bestFit="1" customWidth="1"/>
    <col min="13316" max="13316" width="14.83203125" style="1349" customWidth="1"/>
    <col min="13317" max="13317" width="16.6640625" style="1349" customWidth="1"/>
    <col min="13318" max="13318" width="14.83203125" style="1349" customWidth="1"/>
    <col min="13319" max="13319" width="9" style="1349" bestFit="1" customWidth="1"/>
    <col min="13320" max="13321" width="14.83203125" style="1349" customWidth="1"/>
    <col min="13322" max="13322" width="18.1640625" style="1349" customWidth="1"/>
    <col min="13323" max="13323" width="15.6640625" style="1349" customWidth="1"/>
    <col min="13324" max="13324" width="16.5" style="1349" customWidth="1"/>
    <col min="13325" max="13325" width="16.1640625" style="1349" bestFit="1" customWidth="1"/>
    <col min="13326" max="13549" width="9.33203125" style="1349"/>
    <col min="13550" max="13550" width="74.6640625" style="1349" customWidth="1"/>
    <col min="13551" max="13551" width="9" style="1349" bestFit="1" customWidth="1"/>
    <col min="13552" max="13552" width="12.6640625" style="1349" customWidth="1"/>
    <col min="13553" max="13553" width="15.33203125" style="1349" customWidth="1"/>
    <col min="13554" max="13554" width="9" style="1349" bestFit="1" customWidth="1"/>
    <col min="13555" max="13555" width="14.33203125" style="1349" customWidth="1"/>
    <col min="13556" max="13556" width="9" style="1349" bestFit="1" customWidth="1"/>
    <col min="13557" max="13557" width="14.83203125" style="1349" customWidth="1"/>
    <col min="13558" max="13558" width="9" style="1349" bestFit="1" customWidth="1"/>
    <col min="13559" max="13560" width="15.33203125" style="1349" customWidth="1"/>
    <col min="13561" max="13561" width="9" style="1349" bestFit="1" customWidth="1"/>
    <col min="13562" max="13562" width="14.83203125" style="1349" customWidth="1"/>
    <col min="13563" max="13563" width="9" style="1349" bestFit="1" customWidth="1"/>
    <col min="13564" max="13564" width="14.83203125" style="1349" customWidth="1"/>
    <col min="13565" max="13566" width="16.5" style="1349" customWidth="1"/>
    <col min="13567" max="13568" width="16.33203125" style="1349" customWidth="1"/>
    <col min="13569" max="13569" width="8" style="1349" customWidth="1"/>
    <col min="13570" max="13570" width="19.1640625" style="1349" customWidth="1"/>
    <col min="13571" max="13571" width="9" style="1349" bestFit="1" customWidth="1"/>
    <col min="13572" max="13572" width="14.83203125" style="1349" customWidth="1"/>
    <col min="13573" max="13573" width="16.6640625" style="1349" customWidth="1"/>
    <col min="13574" max="13574" width="14.83203125" style="1349" customWidth="1"/>
    <col min="13575" max="13575" width="9" style="1349" bestFit="1" customWidth="1"/>
    <col min="13576" max="13577" width="14.83203125" style="1349" customWidth="1"/>
    <col min="13578" max="13578" width="18.1640625" style="1349" customWidth="1"/>
    <col min="13579" max="13579" width="15.6640625" style="1349" customWidth="1"/>
    <col min="13580" max="13580" width="16.5" style="1349" customWidth="1"/>
    <col min="13581" max="13581" width="16.1640625" style="1349" bestFit="1" customWidth="1"/>
    <col min="13582" max="13805" width="9.33203125" style="1349"/>
    <col min="13806" max="13806" width="74.6640625" style="1349" customWidth="1"/>
    <col min="13807" max="13807" width="9" style="1349" bestFit="1" customWidth="1"/>
    <col min="13808" max="13808" width="12.6640625" style="1349" customWidth="1"/>
    <col min="13809" max="13809" width="15.33203125" style="1349" customWidth="1"/>
    <col min="13810" max="13810" width="9" style="1349" bestFit="1" customWidth="1"/>
    <col min="13811" max="13811" width="14.33203125" style="1349" customWidth="1"/>
    <col min="13812" max="13812" width="9" style="1349" bestFit="1" customWidth="1"/>
    <col min="13813" max="13813" width="14.83203125" style="1349" customWidth="1"/>
    <col min="13814" max="13814" width="9" style="1349" bestFit="1" customWidth="1"/>
    <col min="13815" max="13816" width="15.33203125" style="1349" customWidth="1"/>
    <col min="13817" max="13817" width="9" style="1349" bestFit="1" customWidth="1"/>
    <col min="13818" max="13818" width="14.83203125" style="1349" customWidth="1"/>
    <col min="13819" max="13819" width="9" style="1349" bestFit="1" customWidth="1"/>
    <col min="13820" max="13820" width="14.83203125" style="1349" customWidth="1"/>
    <col min="13821" max="13822" width="16.5" style="1349" customWidth="1"/>
    <col min="13823" max="13824" width="16.33203125" style="1349" customWidth="1"/>
    <col min="13825" max="13825" width="8" style="1349" customWidth="1"/>
    <col min="13826" max="13826" width="19.1640625" style="1349" customWidth="1"/>
    <col min="13827" max="13827" width="9" style="1349" bestFit="1" customWidth="1"/>
    <col min="13828" max="13828" width="14.83203125" style="1349" customWidth="1"/>
    <col min="13829" max="13829" width="16.6640625" style="1349" customWidth="1"/>
    <col min="13830" max="13830" width="14.83203125" style="1349" customWidth="1"/>
    <col min="13831" max="13831" width="9" style="1349" bestFit="1" customWidth="1"/>
    <col min="13832" max="13833" width="14.83203125" style="1349" customWidth="1"/>
    <col min="13834" max="13834" width="18.1640625" style="1349" customWidth="1"/>
    <col min="13835" max="13835" width="15.6640625" style="1349" customWidth="1"/>
    <col min="13836" max="13836" width="16.5" style="1349" customWidth="1"/>
    <col min="13837" max="13837" width="16.1640625" style="1349" bestFit="1" customWidth="1"/>
    <col min="13838" max="14061" width="9.33203125" style="1349"/>
    <col min="14062" max="14062" width="74.6640625" style="1349" customWidth="1"/>
    <col min="14063" max="14063" width="9" style="1349" bestFit="1" customWidth="1"/>
    <col min="14064" max="14064" width="12.6640625" style="1349" customWidth="1"/>
    <col min="14065" max="14065" width="15.33203125" style="1349" customWidth="1"/>
    <col min="14066" max="14066" width="9" style="1349" bestFit="1" customWidth="1"/>
    <col min="14067" max="14067" width="14.33203125" style="1349" customWidth="1"/>
    <col min="14068" max="14068" width="9" style="1349" bestFit="1" customWidth="1"/>
    <col min="14069" max="14069" width="14.83203125" style="1349" customWidth="1"/>
    <col min="14070" max="14070" width="9" style="1349" bestFit="1" customWidth="1"/>
    <col min="14071" max="14072" width="15.33203125" style="1349" customWidth="1"/>
    <col min="14073" max="14073" width="9" style="1349" bestFit="1" customWidth="1"/>
    <col min="14074" max="14074" width="14.83203125" style="1349" customWidth="1"/>
    <col min="14075" max="14075" width="9" style="1349" bestFit="1" customWidth="1"/>
    <col min="14076" max="14076" width="14.83203125" style="1349" customWidth="1"/>
    <col min="14077" max="14078" width="16.5" style="1349" customWidth="1"/>
    <col min="14079" max="14080" width="16.33203125" style="1349" customWidth="1"/>
    <col min="14081" max="14081" width="8" style="1349" customWidth="1"/>
    <col min="14082" max="14082" width="19.1640625" style="1349" customWidth="1"/>
    <col min="14083" max="14083" width="9" style="1349" bestFit="1" customWidth="1"/>
    <col min="14084" max="14084" width="14.83203125" style="1349" customWidth="1"/>
    <col min="14085" max="14085" width="16.6640625" style="1349" customWidth="1"/>
    <col min="14086" max="14086" width="14.83203125" style="1349" customWidth="1"/>
    <col min="14087" max="14087" width="9" style="1349" bestFit="1" customWidth="1"/>
    <col min="14088" max="14089" width="14.83203125" style="1349" customWidth="1"/>
    <col min="14090" max="14090" width="18.1640625" style="1349" customWidth="1"/>
    <col min="14091" max="14091" width="15.6640625" style="1349" customWidth="1"/>
    <col min="14092" max="14092" width="16.5" style="1349" customWidth="1"/>
    <col min="14093" max="14093" width="16.1640625" style="1349" bestFit="1" customWidth="1"/>
    <col min="14094" max="14317" width="9.33203125" style="1349"/>
    <col min="14318" max="14318" width="74.6640625" style="1349" customWidth="1"/>
    <col min="14319" max="14319" width="9" style="1349" bestFit="1" customWidth="1"/>
    <col min="14320" max="14320" width="12.6640625" style="1349" customWidth="1"/>
    <col min="14321" max="14321" width="15.33203125" style="1349" customWidth="1"/>
    <col min="14322" max="14322" width="9" style="1349" bestFit="1" customWidth="1"/>
    <col min="14323" max="14323" width="14.33203125" style="1349" customWidth="1"/>
    <col min="14324" max="14324" width="9" style="1349" bestFit="1" customWidth="1"/>
    <col min="14325" max="14325" width="14.83203125" style="1349" customWidth="1"/>
    <col min="14326" max="14326" width="9" style="1349" bestFit="1" customWidth="1"/>
    <col min="14327" max="14328" width="15.33203125" style="1349" customWidth="1"/>
    <col min="14329" max="14329" width="9" style="1349" bestFit="1" customWidth="1"/>
    <col min="14330" max="14330" width="14.83203125" style="1349" customWidth="1"/>
    <col min="14331" max="14331" width="9" style="1349" bestFit="1" customWidth="1"/>
    <col min="14332" max="14332" width="14.83203125" style="1349" customWidth="1"/>
    <col min="14333" max="14334" width="16.5" style="1349" customWidth="1"/>
    <col min="14335" max="14336" width="16.33203125" style="1349" customWidth="1"/>
    <col min="14337" max="14337" width="8" style="1349" customWidth="1"/>
    <col min="14338" max="14338" width="19.1640625" style="1349" customWidth="1"/>
    <col min="14339" max="14339" width="9" style="1349" bestFit="1" customWidth="1"/>
    <col min="14340" max="14340" width="14.83203125" style="1349" customWidth="1"/>
    <col min="14341" max="14341" width="16.6640625" style="1349" customWidth="1"/>
    <col min="14342" max="14342" width="14.83203125" style="1349" customWidth="1"/>
    <col min="14343" max="14343" width="9" style="1349" bestFit="1" customWidth="1"/>
    <col min="14344" max="14345" width="14.83203125" style="1349" customWidth="1"/>
    <col min="14346" max="14346" width="18.1640625" style="1349" customWidth="1"/>
    <col min="14347" max="14347" width="15.6640625" style="1349" customWidth="1"/>
    <col min="14348" max="14348" width="16.5" style="1349" customWidth="1"/>
    <col min="14349" max="14349" width="16.1640625" style="1349" bestFit="1" customWidth="1"/>
    <col min="14350" max="14573" width="9.33203125" style="1349"/>
    <col min="14574" max="14574" width="74.6640625" style="1349" customWidth="1"/>
    <col min="14575" max="14575" width="9" style="1349" bestFit="1" customWidth="1"/>
    <col min="14576" max="14576" width="12.6640625" style="1349" customWidth="1"/>
    <col min="14577" max="14577" width="15.33203125" style="1349" customWidth="1"/>
    <col min="14578" max="14578" width="9" style="1349" bestFit="1" customWidth="1"/>
    <col min="14579" max="14579" width="14.33203125" style="1349" customWidth="1"/>
    <col min="14580" max="14580" width="9" style="1349" bestFit="1" customWidth="1"/>
    <col min="14581" max="14581" width="14.83203125" style="1349" customWidth="1"/>
    <col min="14582" max="14582" width="9" style="1349" bestFit="1" customWidth="1"/>
    <col min="14583" max="14584" width="15.33203125" style="1349" customWidth="1"/>
    <col min="14585" max="14585" width="9" style="1349" bestFit="1" customWidth="1"/>
    <col min="14586" max="14586" width="14.83203125" style="1349" customWidth="1"/>
    <col min="14587" max="14587" width="9" style="1349" bestFit="1" customWidth="1"/>
    <col min="14588" max="14588" width="14.83203125" style="1349" customWidth="1"/>
    <col min="14589" max="14590" width="16.5" style="1349" customWidth="1"/>
    <col min="14591" max="14592" width="16.33203125" style="1349" customWidth="1"/>
    <col min="14593" max="14593" width="8" style="1349" customWidth="1"/>
    <col min="14594" max="14594" width="19.1640625" style="1349" customWidth="1"/>
    <col min="14595" max="14595" width="9" style="1349" bestFit="1" customWidth="1"/>
    <col min="14596" max="14596" width="14.83203125" style="1349" customWidth="1"/>
    <col min="14597" max="14597" width="16.6640625" style="1349" customWidth="1"/>
    <col min="14598" max="14598" width="14.83203125" style="1349" customWidth="1"/>
    <col min="14599" max="14599" width="9" style="1349" bestFit="1" customWidth="1"/>
    <col min="14600" max="14601" width="14.83203125" style="1349" customWidth="1"/>
    <col min="14602" max="14602" width="18.1640625" style="1349" customWidth="1"/>
    <col min="14603" max="14603" width="15.6640625" style="1349" customWidth="1"/>
    <col min="14604" max="14604" width="16.5" style="1349" customWidth="1"/>
    <col min="14605" max="14605" width="16.1640625" style="1349" bestFit="1" customWidth="1"/>
    <col min="14606" max="14829" width="9.33203125" style="1349"/>
    <col min="14830" max="14830" width="74.6640625" style="1349" customWidth="1"/>
    <col min="14831" max="14831" width="9" style="1349" bestFit="1" customWidth="1"/>
    <col min="14832" max="14832" width="12.6640625" style="1349" customWidth="1"/>
    <col min="14833" max="14833" width="15.33203125" style="1349" customWidth="1"/>
    <col min="14834" max="14834" width="9" style="1349" bestFit="1" customWidth="1"/>
    <col min="14835" max="14835" width="14.33203125" style="1349" customWidth="1"/>
    <col min="14836" max="14836" width="9" style="1349" bestFit="1" customWidth="1"/>
    <col min="14837" max="14837" width="14.83203125" style="1349" customWidth="1"/>
    <col min="14838" max="14838" width="9" style="1349" bestFit="1" customWidth="1"/>
    <col min="14839" max="14840" width="15.33203125" style="1349" customWidth="1"/>
    <col min="14841" max="14841" width="9" style="1349" bestFit="1" customWidth="1"/>
    <col min="14842" max="14842" width="14.83203125" style="1349" customWidth="1"/>
    <col min="14843" max="14843" width="9" style="1349" bestFit="1" customWidth="1"/>
    <col min="14844" max="14844" width="14.83203125" style="1349" customWidth="1"/>
    <col min="14845" max="14846" width="16.5" style="1349" customWidth="1"/>
    <col min="14847" max="14848" width="16.33203125" style="1349" customWidth="1"/>
    <col min="14849" max="14849" width="8" style="1349" customWidth="1"/>
    <col min="14850" max="14850" width="19.1640625" style="1349" customWidth="1"/>
    <col min="14851" max="14851" width="9" style="1349" bestFit="1" customWidth="1"/>
    <col min="14852" max="14852" width="14.83203125" style="1349" customWidth="1"/>
    <col min="14853" max="14853" width="16.6640625" style="1349" customWidth="1"/>
    <col min="14854" max="14854" width="14.83203125" style="1349" customWidth="1"/>
    <col min="14855" max="14855" width="9" style="1349" bestFit="1" customWidth="1"/>
    <col min="14856" max="14857" width="14.83203125" style="1349" customWidth="1"/>
    <col min="14858" max="14858" width="18.1640625" style="1349" customWidth="1"/>
    <col min="14859" max="14859" width="15.6640625" style="1349" customWidth="1"/>
    <col min="14860" max="14860" width="16.5" style="1349" customWidth="1"/>
    <col min="14861" max="14861" width="16.1640625" style="1349" bestFit="1" customWidth="1"/>
    <col min="14862" max="15085" width="9.33203125" style="1349"/>
    <col min="15086" max="15086" width="74.6640625" style="1349" customWidth="1"/>
    <col min="15087" max="15087" width="9" style="1349" bestFit="1" customWidth="1"/>
    <col min="15088" max="15088" width="12.6640625" style="1349" customWidth="1"/>
    <col min="15089" max="15089" width="15.33203125" style="1349" customWidth="1"/>
    <col min="15090" max="15090" width="9" style="1349" bestFit="1" customWidth="1"/>
    <col min="15091" max="15091" width="14.33203125" style="1349" customWidth="1"/>
    <col min="15092" max="15092" width="9" style="1349" bestFit="1" customWidth="1"/>
    <col min="15093" max="15093" width="14.83203125" style="1349" customWidth="1"/>
    <col min="15094" max="15094" width="9" style="1349" bestFit="1" customWidth="1"/>
    <col min="15095" max="15096" width="15.33203125" style="1349" customWidth="1"/>
    <col min="15097" max="15097" width="9" style="1349" bestFit="1" customWidth="1"/>
    <col min="15098" max="15098" width="14.83203125" style="1349" customWidth="1"/>
    <col min="15099" max="15099" width="9" style="1349" bestFit="1" customWidth="1"/>
    <col min="15100" max="15100" width="14.83203125" style="1349" customWidth="1"/>
    <col min="15101" max="15102" width="16.5" style="1349" customWidth="1"/>
    <col min="15103" max="15104" width="16.33203125" style="1349" customWidth="1"/>
    <col min="15105" max="15105" width="8" style="1349" customWidth="1"/>
    <col min="15106" max="15106" width="19.1640625" style="1349" customWidth="1"/>
    <col min="15107" max="15107" width="9" style="1349" bestFit="1" customWidth="1"/>
    <col min="15108" max="15108" width="14.83203125" style="1349" customWidth="1"/>
    <col min="15109" max="15109" width="16.6640625" style="1349" customWidth="1"/>
    <col min="15110" max="15110" width="14.83203125" style="1349" customWidth="1"/>
    <col min="15111" max="15111" width="9" style="1349" bestFit="1" customWidth="1"/>
    <col min="15112" max="15113" width="14.83203125" style="1349" customWidth="1"/>
    <col min="15114" max="15114" width="18.1640625" style="1349" customWidth="1"/>
    <col min="15115" max="15115" width="15.6640625" style="1349" customWidth="1"/>
    <col min="15116" max="15116" width="16.5" style="1349" customWidth="1"/>
    <col min="15117" max="15117" width="16.1640625" style="1349" bestFit="1" customWidth="1"/>
    <col min="15118" max="15341" width="9.33203125" style="1349"/>
    <col min="15342" max="15342" width="74.6640625" style="1349" customWidth="1"/>
    <col min="15343" max="15343" width="9" style="1349" bestFit="1" customWidth="1"/>
    <col min="15344" max="15344" width="12.6640625" style="1349" customWidth="1"/>
    <col min="15345" max="15345" width="15.33203125" style="1349" customWidth="1"/>
    <col min="15346" max="15346" width="9" style="1349" bestFit="1" customWidth="1"/>
    <col min="15347" max="15347" width="14.33203125" style="1349" customWidth="1"/>
    <col min="15348" max="15348" width="9" style="1349" bestFit="1" customWidth="1"/>
    <col min="15349" max="15349" width="14.83203125" style="1349" customWidth="1"/>
    <col min="15350" max="15350" width="9" style="1349" bestFit="1" customWidth="1"/>
    <col min="15351" max="15352" width="15.33203125" style="1349" customWidth="1"/>
    <col min="15353" max="15353" width="9" style="1349" bestFit="1" customWidth="1"/>
    <col min="15354" max="15354" width="14.83203125" style="1349" customWidth="1"/>
    <col min="15355" max="15355" width="9" style="1349" bestFit="1" customWidth="1"/>
    <col min="15356" max="15356" width="14.83203125" style="1349" customWidth="1"/>
    <col min="15357" max="15358" width="16.5" style="1349" customWidth="1"/>
    <col min="15359" max="15360" width="16.33203125" style="1349" customWidth="1"/>
    <col min="15361" max="15361" width="8" style="1349" customWidth="1"/>
    <col min="15362" max="15362" width="19.1640625" style="1349" customWidth="1"/>
    <col min="15363" max="15363" width="9" style="1349" bestFit="1" customWidth="1"/>
    <col min="15364" max="15364" width="14.83203125" style="1349" customWidth="1"/>
    <col min="15365" max="15365" width="16.6640625" style="1349" customWidth="1"/>
    <col min="15366" max="15366" width="14.83203125" style="1349" customWidth="1"/>
    <col min="15367" max="15367" width="9" style="1349" bestFit="1" customWidth="1"/>
    <col min="15368" max="15369" width="14.83203125" style="1349" customWidth="1"/>
    <col min="15370" max="15370" width="18.1640625" style="1349" customWidth="1"/>
    <col min="15371" max="15371" width="15.6640625" style="1349" customWidth="1"/>
    <col min="15372" max="15372" width="16.5" style="1349" customWidth="1"/>
    <col min="15373" max="15373" width="16.1640625" style="1349" bestFit="1" customWidth="1"/>
    <col min="15374" max="15597" width="9.33203125" style="1349"/>
    <col min="15598" max="15598" width="74.6640625" style="1349" customWidth="1"/>
    <col min="15599" max="15599" width="9" style="1349" bestFit="1" customWidth="1"/>
    <col min="15600" max="15600" width="12.6640625" style="1349" customWidth="1"/>
    <col min="15601" max="15601" width="15.33203125" style="1349" customWidth="1"/>
    <col min="15602" max="15602" width="9" style="1349" bestFit="1" customWidth="1"/>
    <col min="15603" max="15603" width="14.33203125" style="1349" customWidth="1"/>
    <col min="15604" max="15604" width="9" style="1349" bestFit="1" customWidth="1"/>
    <col min="15605" max="15605" width="14.83203125" style="1349" customWidth="1"/>
    <col min="15606" max="15606" width="9" style="1349" bestFit="1" customWidth="1"/>
    <col min="15607" max="15608" width="15.33203125" style="1349" customWidth="1"/>
    <col min="15609" max="15609" width="9" style="1349" bestFit="1" customWidth="1"/>
    <col min="15610" max="15610" width="14.83203125" style="1349" customWidth="1"/>
    <col min="15611" max="15611" width="9" style="1349" bestFit="1" customWidth="1"/>
    <col min="15612" max="15612" width="14.83203125" style="1349" customWidth="1"/>
    <col min="15613" max="15614" width="16.5" style="1349" customWidth="1"/>
    <col min="15615" max="15616" width="16.33203125" style="1349" customWidth="1"/>
    <col min="15617" max="15617" width="8" style="1349" customWidth="1"/>
    <col min="15618" max="15618" width="19.1640625" style="1349" customWidth="1"/>
    <col min="15619" max="15619" width="9" style="1349" bestFit="1" customWidth="1"/>
    <col min="15620" max="15620" width="14.83203125" style="1349" customWidth="1"/>
    <col min="15621" max="15621" width="16.6640625" style="1349" customWidth="1"/>
    <col min="15622" max="15622" width="14.83203125" style="1349" customWidth="1"/>
    <col min="15623" max="15623" width="9" style="1349" bestFit="1" customWidth="1"/>
    <col min="15624" max="15625" width="14.83203125" style="1349" customWidth="1"/>
    <col min="15626" max="15626" width="18.1640625" style="1349" customWidth="1"/>
    <col min="15627" max="15627" width="15.6640625" style="1349" customWidth="1"/>
    <col min="15628" max="15628" width="16.5" style="1349" customWidth="1"/>
    <col min="15629" max="15629" width="16.1640625" style="1349" bestFit="1" customWidth="1"/>
    <col min="15630" max="15853" width="9.33203125" style="1349"/>
    <col min="15854" max="15854" width="74.6640625" style="1349" customWidth="1"/>
    <col min="15855" max="15855" width="9" style="1349" bestFit="1" customWidth="1"/>
    <col min="15856" max="15856" width="12.6640625" style="1349" customWidth="1"/>
    <col min="15857" max="15857" width="15.33203125" style="1349" customWidth="1"/>
    <col min="15858" max="15858" width="9" style="1349" bestFit="1" customWidth="1"/>
    <col min="15859" max="15859" width="14.33203125" style="1349" customWidth="1"/>
    <col min="15860" max="15860" width="9" style="1349" bestFit="1" customWidth="1"/>
    <col min="15861" max="15861" width="14.83203125" style="1349" customWidth="1"/>
    <col min="15862" max="15862" width="9" style="1349" bestFit="1" customWidth="1"/>
    <col min="15863" max="15864" width="15.33203125" style="1349" customWidth="1"/>
    <col min="15865" max="15865" width="9" style="1349" bestFit="1" customWidth="1"/>
    <col min="15866" max="15866" width="14.83203125" style="1349" customWidth="1"/>
    <col min="15867" max="15867" width="9" style="1349" bestFit="1" customWidth="1"/>
    <col min="15868" max="15868" width="14.83203125" style="1349" customWidth="1"/>
    <col min="15869" max="15870" width="16.5" style="1349" customWidth="1"/>
    <col min="15871" max="15872" width="16.33203125" style="1349" customWidth="1"/>
    <col min="15873" max="15873" width="8" style="1349" customWidth="1"/>
    <col min="15874" max="15874" width="19.1640625" style="1349" customWidth="1"/>
    <col min="15875" max="15875" width="9" style="1349" bestFit="1" customWidth="1"/>
    <col min="15876" max="15876" width="14.83203125" style="1349" customWidth="1"/>
    <col min="15877" max="15877" width="16.6640625" style="1349" customWidth="1"/>
    <col min="15878" max="15878" width="14.83203125" style="1349" customWidth="1"/>
    <col min="15879" max="15879" width="9" style="1349" bestFit="1" customWidth="1"/>
    <col min="15880" max="15881" width="14.83203125" style="1349" customWidth="1"/>
    <col min="15882" max="15882" width="18.1640625" style="1349" customWidth="1"/>
    <col min="15883" max="15883" width="15.6640625" style="1349" customWidth="1"/>
    <col min="15884" max="15884" width="16.5" style="1349" customWidth="1"/>
    <col min="15885" max="15885" width="16.1640625" style="1349" bestFit="1" customWidth="1"/>
    <col min="15886" max="16109" width="9.33203125" style="1349"/>
    <col min="16110" max="16110" width="74.6640625" style="1349" customWidth="1"/>
    <col min="16111" max="16111" width="9" style="1349" bestFit="1" customWidth="1"/>
    <col min="16112" max="16112" width="12.6640625" style="1349" customWidth="1"/>
    <col min="16113" max="16113" width="15.33203125" style="1349" customWidth="1"/>
    <col min="16114" max="16114" width="9" style="1349" bestFit="1" customWidth="1"/>
    <col min="16115" max="16115" width="14.33203125" style="1349" customWidth="1"/>
    <col min="16116" max="16116" width="9" style="1349" bestFit="1" customWidth="1"/>
    <col min="16117" max="16117" width="14.83203125" style="1349" customWidth="1"/>
    <col min="16118" max="16118" width="9" style="1349" bestFit="1" customWidth="1"/>
    <col min="16119" max="16120" width="15.33203125" style="1349" customWidth="1"/>
    <col min="16121" max="16121" width="9" style="1349" bestFit="1" customWidth="1"/>
    <col min="16122" max="16122" width="14.83203125" style="1349" customWidth="1"/>
    <col min="16123" max="16123" width="9" style="1349" bestFit="1" customWidth="1"/>
    <col min="16124" max="16124" width="14.83203125" style="1349" customWidth="1"/>
    <col min="16125" max="16126" width="16.5" style="1349" customWidth="1"/>
    <col min="16127" max="16128" width="16.33203125" style="1349" customWidth="1"/>
    <col min="16129" max="16129" width="8" style="1349" customWidth="1"/>
    <col min="16130" max="16130" width="19.1640625" style="1349" customWidth="1"/>
    <col min="16131" max="16131" width="9" style="1349" bestFit="1" customWidth="1"/>
    <col min="16132" max="16132" width="14.83203125" style="1349" customWidth="1"/>
    <col min="16133" max="16133" width="16.6640625" style="1349" customWidth="1"/>
    <col min="16134" max="16134" width="14.83203125" style="1349" customWidth="1"/>
    <col min="16135" max="16135" width="9" style="1349" bestFit="1" customWidth="1"/>
    <col min="16136" max="16137" width="14.83203125" style="1349" customWidth="1"/>
    <col min="16138" max="16138" width="18.1640625" style="1349" customWidth="1"/>
    <col min="16139" max="16139" width="15.6640625" style="1349" customWidth="1"/>
    <col min="16140" max="16140" width="16.5" style="1349" customWidth="1"/>
    <col min="16141" max="16141" width="16.1640625" style="1349" bestFit="1" customWidth="1"/>
    <col min="16142" max="16384" width="9.33203125" style="1349"/>
  </cols>
  <sheetData>
    <row r="1" spans="1:14" x14ac:dyDescent="0.25">
      <c r="M1" s="1599"/>
    </row>
    <row r="2" spans="1:14" ht="72.75" customHeight="1" x14ac:dyDescent="0.3">
      <c r="A2" s="4007" t="s">
        <v>338</v>
      </c>
      <c r="B2" s="4007"/>
      <c r="C2" s="4007"/>
      <c r="D2" s="4007"/>
      <c r="E2" s="4007"/>
      <c r="F2" s="4007"/>
      <c r="G2" s="4007"/>
      <c r="H2" s="4007"/>
      <c r="I2" s="4007"/>
      <c r="J2" s="4007"/>
      <c r="K2" s="4007"/>
      <c r="L2" s="4007"/>
      <c r="M2" s="4007"/>
      <c r="N2" s="4007"/>
    </row>
    <row r="3" spans="1:14" ht="23.25" customHeight="1" x14ac:dyDescent="0.3">
      <c r="A3" s="1653"/>
      <c r="B3" s="1653"/>
      <c r="C3" s="1653"/>
      <c r="D3" s="1653"/>
      <c r="E3" s="1653"/>
      <c r="F3" s="1653"/>
      <c r="G3" s="1653"/>
      <c r="H3" s="1653"/>
      <c r="I3" s="1653"/>
      <c r="J3" s="1653"/>
      <c r="K3" s="1653"/>
      <c r="L3" s="1653"/>
      <c r="M3" s="1653"/>
      <c r="N3" s="1653"/>
    </row>
    <row r="4" spans="1:14" ht="21" customHeight="1" x14ac:dyDescent="0.3">
      <c r="A4" s="4007" t="s">
        <v>1444</v>
      </c>
      <c r="B4" s="4007"/>
      <c r="C4" s="4007"/>
      <c r="D4" s="4007"/>
      <c r="E4" s="4007"/>
      <c r="F4" s="4007"/>
      <c r="G4" s="4007"/>
      <c r="H4" s="4007"/>
      <c r="I4" s="4007"/>
      <c r="J4" s="4007"/>
      <c r="K4" s="4007"/>
      <c r="L4" s="4007"/>
      <c r="M4" s="4007"/>
      <c r="N4" s="4007"/>
    </row>
    <row r="5" spans="1:14" x14ac:dyDescent="0.25">
      <c r="N5" s="1599" t="s">
        <v>1311</v>
      </c>
    </row>
    <row r="6" spans="1:14" ht="15.75" customHeight="1" x14ac:dyDescent="0.25">
      <c r="A6" s="3993" t="s">
        <v>339</v>
      </c>
      <c r="B6" s="4008" t="s">
        <v>340</v>
      </c>
      <c r="C6" s="4009"/>
      <c r="D6" s="4009"/>
      <c r="E6" s="4009"/>
      <c r="F6" s="4009"/>
      <c r="G6" s="4009"/>
      <c r="H6" s="4010"/>
      <c r="I6" s="3993" t="s">
        <v>341</v>
      </c>
      <c r="J6" s="3993"/>
      <c r="K6" s="3993"/>
      <c r="L6" s="3993" t="s">
        <v>342</v>
      </c>
      <c r="M6" s="4008" t="s">
        <v>343</v>
      </c>
      <c r="N6" s="4011" t="s">
        <v>1316</v>
      </c>
    </row>
    <row r="7" spans="1:14" ht="15.75" customHeight="1" x14ac:dyDescent="0.25">
      <c r="A7" s="3993"/>
      <c r="B7" s="4008" t="s">
        <v>344</v>
      </c>
      <c r="C7" s="4009"/>
      <c r="D7" s="4009"/>
      <c r="E7" s="4009"/>
      <c r="F7" s="4009"/>
      <c r="G7" s="4009"/>
      <c r="H7" s="4010"/>
      <c r="I7" s="3993"/>
      <c r="J7" s="3993"/>
      <c r="K7" s="3993"/>
      <c r="L7" s="3993"/>
      <c r="M7" s="4008"/>
      <c r="N7" s="4012"/>
    </row>
    <row r="8" spans="1:14" ht="15.75" customHeight="1" x14ac:dyDescent="0.25">
      <c r="A8" s="3993"/>
      <c r="B8" s="4008" t="s">
        <v>345</v>
      </c>
      <c r="C8" s="4009"/>
      <c r="D8" s="4010"/>
      <c r="E8" s="4008" t="s">
        <v>346</v>
      </c>
      <c r="F8" s="4010"/>
      <c r="G8" s="4008" t="s">
        <v>347</v>
      </c>
      <c r="H8" s="4010"/>
      <c r="I8" s="3993" t="s">
        <v>348</v>
      </c>
      <c r="J8" s="3993"/>
      <c r="K8" s="3993"/>
      <c r="L8" s="3993"/>
      <c r="M8" s="4008"/>
      <c r="N8" s="4012"/>
    </row>
    <row r="9" spans="1:14" ht="15.75" customHeight="1" x14ac:dyDescent="0.25">
      <c r="A9" s="3993"/>
      <c r="B9" s="4014" t="s">
        <v>349</v>
      </c>
      <c r="C9" s="4014" t="s">
        <v>350</v>
      </c>
      <c r="D9" s="4014" t="s">
        <v>351</v>
      </c>
      <c r="E9" s="4014" t="s">
        <v>349</v>
      </c>
      <c r="F9" s="4014" t="s">
        <v>351</v>
      </c>
      <c r="G9" s="4014" t="s">
        <v>349</v>
      </c>
      <c r="H9" s="4014" t="s">
        <v>351</v>
      </c>
      <c r="I9" s="3993" t="s">
        <v>349</v>
      </c>
      <c r="J9" s="3993" t="s">
        <v>350</v>
      </c>
      <c r="K9" s="4014" t="s">
        <v>334</v>
      </c>
      <c r="L9" s="3993"/>
      <c r="M9" s="4008"/>
      <c r="N9" s="4012"/>
    </row>
    <row r="10" spans="1:14" x14ac:dyDescent="0.25">
      <c r="A10" s="3993"/>
      <c r="B10" s="4015"/>
      <c r="C10" s="4015"/>
      <c r="D10" s="4015"/>
      <c r="E10" s="4015"/>
      <c r="F10" s="4015"/>
      <c r="G10" s="4015"/>
      <c r="H10" s="4015"/>
      <c r="I10" s="3993"/>
      <c r="J10" s="3993"/>
      <c r="K10" s="4015"/>
      <c r="L10" s="3993"/>
      <c r="M10" s="4008"/>
      <c r="N10" s="4013"/>
    </row>
    <row r="11" spans="1:14" x14ac:dyDescent="0.25">
      <c r="A11" s="1654">
        <v>1</v>
      </c>
      <c r="B11" s="1654">
        <v>2</v>
      </c>
      <c r="C11" s="1654">
        <v>3</v>
      </c>
      <c r="D11" s="1654">
        <v>4</v>
      </c>
      <c r="E11" s="1654">
        <v>5</v>
      </c>
      <c r="F11" s="1654">
        <v>6</v>
      </c>
      <c r="G11" s="1654">
        <v>7</v>
      </c>
      <c r="H11" s="1654">
        <v>8</v>
      </c>
      <c r="I11" s="1654">
        <v>2</v>
      </c>
      <c r="J11" s="1654">
        <v>3</v>
      </c>
      <c r="K11" s="1654">
        <v>4</v>
      </c>
      <c r="L11" s="1654">
        <v>5</v>
      </c>
      <c r="M11" s="1655">
        <v>6</v>
      </c>
      <c r="N11" s="1654">
        <v>7</v>
      </c>
    </row>
    <row r="12" spans="1:14" s="1659" customFormat="1" x14ac:dyDescent="0.25">
      <c r="A12" s="1656" t="s">
        <v>352</v>
      </c>
      <c r="B12" s="1656"/>
      <c r="C12" s="1656"/>
      <c r="D12" s="1657"/>
      <c r="E12" s="1657"/>
      <c r="F12" s="1657"/>
      <c r="G12" s="1657"/>
      <c r="H12" s="1657"/>
      <c r="I12" s="1657"/>
      <c r="J12" s="1657"/>
      <c r="K12" s="1657"/>
      <c r="L12" s="1657"/>
      <c r="M12" s="1658"/>
      <c r="N12" s="1657"/>
    </row>
    <row r="13" spans="1:14" x14ac:dyDescent="0.25">
      <c r="A13" s="1660" t="s">
        <v>1552</v>
      </c>
      <c r="B13" s="1660"/>
      <c r="C13" s="1660"/>
      <c r="D13" s="1661"/>
      <c r="E13" s="1661"/>
      <c r="F13" s="1661"/>
      <c r="G13" s="1661"/>
      <c r="H13" s="1661"/>
      <c r="I13" s="1661"/>
      <c r="J13" s="1661"/>
      <c r="K13" s="1661"/>
      <c r="L13" s="1661"/>
      <c r="M13" s="1662"/>
      <c r="N13" s="1660"/>
    </row>
    <row r="14" spans="1:14" x14ac:dyDescent="0.25">
      <c r="A14" s="1660" t="s">
        <v>1553</v>
      </c>
      <c r="B14" s="1660"/>
      <c r="C14" s="1660"/>
      <c r="D14" s="1661"/>
      <c r="E14" s="1661"/>
      <c r="F14" s="1661"/>
      <c r="G14" s="1661"/>
      <c r="H14" s="1661"/>
      <c r="I14" s="1661"/>
      <c r="J14" s="1661"/>
      <c r="K14" s="1661"/>
      <c r="L14" s="1661"/>
      <c r="M14" s="1662"/>
      <c r="N14" s="1661"/>
    </row>
    <row r="15" spans="1:14" x14ac:dyDescent="0.25">
      <c r="A15" s="1660" t="s">
        <v>1320</v>
      </c>
      <c r="B15" s="1660"/>
      <c r="C15" s="1660"/>
      <c r="D15" s="1661"/>
      <c r="E15" s="1661"/>
      <c r="F15" s="1661"/>
      <c r="G15" s="1661"/>
      <c r="H15" s="1661"/>
      <c r="I15" s="1661"/>
      <c r="J15" s="1661"/>
      <c r="K15" s="1661"/>
      <c r="L15" s="1661"/>
      <c r="M15" s="1662"/>
      <c r="N15" s="1661"/>
    </row>
    <row r="16" spans="1:14" s="1659" customFormat="1" ht="47.25" x14ac:dyDescent="0.25">
      <c r="A16" s="1656" t="s">
        <v>1317</v>
      </c>
      <c r="B16" s="1656"/>
      <c r="C16" s="1656"/>
      <c r="D16" s="1657"/>
      <c r="E16" s="1657"/>
      <c r="F16" s="1657"/>
      <c r="G16" s="1657"/>
      <c r="H16" s="1657"/>
      <c r="I16" s="1657"/>
      <c r="J16" s="1657"/>
      <c r="K16" s="1657"/>
      <c r="L16" s="1657"/>
      <c r="M16" s="1658"/>
      <c r="N16" s="1657"/>
    </row>
    <row r="17" spans="1:14" s="1668" customFormat="1" x14ac:dyDescent="0.25">
      <c r="A17" s="1663" t="s">
        <v>1554</v>
      </c>
      <c r="B17" s="1663"/>
      <c r="C17" s="1663"/>
      <c r="D17" s="1664"/>
      <c r="E17" s="1664"/>
      <c r="F17" s="1664"/>
      <c r="G17" s="1664"/>
      <c r="H17" s="1664"/>
      <c r="I17" s="1664">
        <v>1</v>
      </c>
      <c r="J17" s="1665">
        <v>87000</v>
      </c>
      <c r="K17" s="1666">
        <v>87</v>
      </c>
      <c r="L17" s="1666">
        <v>87</v>
      </c>
      <c r="M17" s="1667">
        <v>87</v>
      </c>
      <c r="N17" s="1664"/>
    </row>
    <row r="18" spans="1:14" x14ac:dyDescent="0.25">
      <c r="A18" s="1660"/>
      <c r="B18" s="1660"/>
      <c r="C18" s="1660"/>
      <c r="D18" s="1661"/>
      <c r="E18" s="1661"/>
      <c r="F18" s="1661"/>
      <c r="G18" s="1661"/>
      <c r="H18" s="1661"/>
      <c r="I18" s="1661"/>
      <c r="J18" s="1661"/>
      <c r="K18" s="1661"/>
      <c r="L18" s="1661"/>
      <c r="M18" s="1662"/>
      <c r="N18" s="1661"/>
    </row>
    <row r="19" spans="1:14" s="1659" customFormat="1" ht="31.5" x14ac:dyDescent="0.25">
      <c r="A19" s="1656" t="s">
        <v>1318</v>
      </c>
      <c r="B19" s="1656"/>
      <c r="C19" s="1656"/>
      <c r="D19" s="1657"/>
      <c r="E19" s="1657"/>
      <c r="F19" s="1657"/>
      <c r="G19" s="1657"/>
      <c r="H19" s="1657"/>
      <c r="I19" s="1657"/>
      <c r="J19" s="1657"/>
      <c r="K19" s="1657"/>
      <c r="L19" s="1657"/>
      <c r="M19" s="1658"/>
      <c r="N19" s="1657"/>
    </row>
    <row r="20" spans="1:14" x14ac:dyDescent="0.25">
      <c r="A20" s="1660" t="s">
        <v>1319</v>
      </c>
      <c r="B20" s="1660"/>
      <c r="C20" s="1660"/>
      <c r="D20" s="1661"/>
      <c r="E20" s="1661"/>
      <c r="F20" s="1661"/>
      <c r="G20" s="1661"/>
      <c r="H20" s="1661"/>
      <c r="I20" s="1661"/>
      <c r="J20" s="1661"/>
      <c r="K20" s="1661"/>
      <c r="L20" s="1661"/>
      <c r="M20" s="1662"/>
      <c r="N20" s="1661"/>
    </row>
    <row r="21" spans="1:14" x14ac:dyDescent="0.25">
      <c r="A21" s="1660" t="s">
        <v>1320</v>
      </c>
      <c r="B21" s="1660"/>
      <c r="C21" s="1660"/>
      <c r="D21" s="1661"/>
      <c r="E21" s="1661"/>
      <c r="F21" s="1661"/>
      <c r="G21" s="1661"/>
      <c r="H21" s="1661"/>
      <c r="I21" s="1661"/>
      <c r="J21" s="1661"/>
      <c r="K21" s="1661"/>
      <c r="L21" s="1661"/>
      <c r="M21" s="1662"/>
      <c r="N21" s="1661"/>
    </row>
    <row r="22" spans="1:14" s="1659" customFormat="1" ht="31.5" x14ac:dyDescent="0.25">
      <c r="A22" s="1656" t="s">
        <v>1321</v>
      </c>
      <c r="B22" s="1656"/>
      <c r="C22" s="1656"/>
      <c r="D22" s="1657"/>
      <c r="E22" s="1657"/>
      <c r="F22" s="1657"/>
      <c r="G22" s="1657"/>
      <c r="H22" s="1657"/>
      <c r="I22" s="1657"/>
      <c r="J22" s="1657"/>
      <c r="K22" s="1657"/>
      <c r="L22" s="1657"/>
      <c r="M22" s="1658"/>
      <c r="N22" s="1657"/>
    </row>
    <row r="23" spans="1:14" x14ac:dyDescent="0.25">
      <c r="A23" s="1660" t="s">
        <v>1555</v>
      </c>
      <c r="B23" s="1660"/>
      <c r="C23" s="1660"/>
      <c r="D23" s="1661"/>
      <c r="E23" s="1661"/>
      <c r="F23" s="1661"/>
      <c r="G23" s="1661"/>
      <c r="H23" s="1661"/>
      <c r="I23" s="1661"/>
      <c r="J23" s="1661"/>
      <c r="K23" s="1661"/>
      <c r="L23" s="1661"/>
      <c r="M23" s="1662"/>
      <c r="N23" s="1661"/>
    </row>
    <row r="24" spans="1:14" x14ac:dyDescent="0.25">
      <c r="A24" s="1660" t="s">
        <v>1320</v>
      </c>
      <c r="B24" s="1660"/>
      <c r="C24" s="1660"/>
      <c r="D24" s="1661"/>
      <c r="E24" s="1661"/>
      <c r="F24" s="1661"/>
      <c r="G24" s="1661"/>
      <c r="H24" s="1661"/>
      <c r="I24" s="1661"/>
      <c r="J24" s="1661"/>
      <c r="K24" s="1661"/>
      <c r="L24" s="1661"/>
      <c r="M24" s="1662"/>
      <c r="N24" s="1661"/>
    </row>
    <row r="25" spans="1:14" s="1659" customFormat="1" x14ac:dyDescent="0.25">
      <c r="A25" s="1656" t="s">
        <v>353</v>
      </c>
      <c r="B25" s="1656"/>
      <c r="C25" s="1656"/>
      <c r="D25" s="1657"/>
      <c r="E25" s="1657"/>
      <c r="F25" s="1657"/>
      <c r="G25" s="1657"/>
      <c r="H25" s="1657"/>
      <c r="I25" s="1657"/>
      <c r="J25" s="1657"/>
      <c r="K25" s="1657"/>
      <c r="L25" s="1657"/>
      <c r="M25" s="1658"/>
      <c r="N25" s="1657"/>
    </row>
    <row r="26" spans="1:14" x14ac:dyDescent="0.25">
      <c r="A26" s="1660" t="s">
        <v>1322</v>
      </c>
      <c r="B26" s="1660"/>
      <c r="C26" s="1660"/>
      <c r="D26" s="1661"/>
      <c r="E26" s="1661"/>
      <c r="F26" s="1661"/>
      <c r="G26" s="1661"/>
      <c r="H26" s="1661"/>
      <c r="I26" s="1661"/>
      <c r="J26" s="1661"/>
      <c r="K26" s="1661"/>
      <c r="L26" s="1661"/>
      <c r="M26" s="1662"/>
      <c r="N26" s="1661"/>
    </row>
    <row r="27" spans="1:14" x14ac:dyDescent="0.25">
      <c r="A27" s="1660" t="s">
        <v>1320</v>
      </c>
      <c r="B27" s="1660"/>
      <c r="C27" s="1660"/>
      <c r="D27" s="1661"/>
      <c r="E27" s="1661"/>
      <c r="F27" s="1661"/>
      <c r="G27" s="1661"/>
      <c r="H27" s="1661"/>
      <c r="I27" s="1661"/>
      <c r="J27" s="1661"/>
      <c r="K27" s="1661"/>
      <c r="L27" s="1661"/>
      <c r="M27" s="1662"/>
      <c r="N27" s="1661"/>
    </row>
    <row r="28" spans="1:14" s="1659" customFormat="1" x14ac:dyDescent="0.25">
      <c r="A28" s="1656" t="s">
        <v>354</v>
      </c>
      <c r="B28" s="1656"/>
      <c r="C28" s="1656"/>
      <c r="D28" s="1657"/>
      <c r="E28" s="1657"/>
      <c r="F28" s="1657"/>
      <c r="G28" s="1657"/>
      <c r="H28" s="1657"/>
      <c r="I28" s="1657"/>
      <c r="J28" s="1657"/>
      <c r="K28" s="1657"/>
      <c r="L28" s="1657"/>
      <c r="M28" s="1658"/>
      <c r="N28" s="1657"/>
    </row>
    <row r="29" spans="1:14" x14ac:dyDescent="0.25">
      <c r="A29" s="1660" t="s">
        <v>1323</v>
      </c>
      <c r="B29" s="1660"/>
      <c r="C29" s="1660"/>
      <c r="D29" s="1661"/>
      <c r="E29" s="1661"/>
      <c r="F29" s="1661"/>
      <c r="G29" s="1661"/>
      <c r="H29" s="1661"/>
      <c r="I29" s="1661"/>
      <c r="J29" s="1661"/>
      <c r="K29" s="1661"/>
      <c r="L29" s="1661"/>
      <c r="M29" s="1662"/>
      <c r="N29" s="1661"/>
    </row>
    <row r="30" spans="1:14" x14ac:dyDescent="0.25">
      <c r="A30" s="1660" t="s">
        <v>1320</v>
      </c>
      <c r="B30" s="1660"/>
      <c r="C30" s="1660"/>
      <c r="D30" s="1661"/>
      <c r="E30" s="1661"/>
      <c r="F30" s="1661"/>
      <c r="G30" s="1661"/>
      <c r="H30" s="1661"/>
      <c r="I30" s="1661"/>
      <c r="J30" s="1661"/>
      <c r="K30" s="1661"/>
      <c r="L30" s="1661"/>
      <c r="M30" s="1662"/>
      <c r="N30" s="1661"/>
    </row>
    <row r="31" spans="1:14" s="1659" customFormat="1" x14ac:dyDescent="0.25">
      <c r="A31" s="1656" t="s">
        <v>355</v>
      </c>
      <c r="B31" s="1656"/>
      <c r="C31" s="1656"/>
      <c r="D31" s="1657"/>
      <c r="E31" s="1657"/>
      <c r="F31" s="1657"/>
      <c r="G31" s="1657"/>
      <c r="H31" s="1657"/>
      <c r="I31" s="1657"/>
      <c r="J31" s="1657"/>
      <c r="K31" s="1657"/>
      <c r="L31" s="1657"/>
      <c r="M31" s="1658"/>
      <c r="N31" s="1657"/>
    </row>
    <row r="32" spans="1:14" x14ac:dyDescent="0.25">
      <c r="A32" s="1660" t="s">
        <v>1324</v>
      </c>
      <c r="B32" s="1660"/>
      <c r="C32" s="1660"/>
      <c r="D32" s="1661"/>
      <c r="E32" s="1661"/>
      <c r="F32" s="1661"/>
      <c r="G32" s="1661"/>
      <c r="H32" s="1661"/>
      <c r="I32" s="1661"/>
      <c r="J32" s="1661"/>
      <c r="K32" s="1661"/>
      <c r="L32" s="1661"/>
      <c r="M32" s="1662"/>
      <c r="N32" s="1661"/>
    </row>
    <row r="33" spans="1:14" x14ac:dyDescent="0.25">
      <c r="A33" s="1660" t="s">
        <v>1320</v>
      </c>
      <c r="B33" s="1660"/>
      <c r="C33" s="1660"/>
      <c r="D33" s="1661"/>
      <c r="E33" s="1661"/>
      <c r="F33" s="1661"/>
      <c r="G33" s="1661"/>
      <c r="H33" s="1661"/>
      <c r="I33" s="1661"/>
      <c r="J33" s="1661"/>
      <c r="K33" s="1661"/>
      <c r="L33" s="1661"/>
      <c r="M33" s="1662"/>
      <c r="N33" s="1661"/>
    </row>
    <row r="34" spans="1:14" s="1659" customFormat="1" x14ac:dyDescent="0.25">
      <c r="A34" s="1656" t="s">
        <v>356</v>
      </c>
      <c r="B34" s="1656"/>
      <c r="C34" s="1656"/>
      <c r="D34" s="1657"/>
      <c r="E34" s="1657"/>
      <c r="F34" s="1657"/>
      <c r="G34" s="1657"/>
      <c r="H34" s="1657"/>
      <c r="I34" s="1657"/>
      <c r="J34" s="1657"/>
      <c r="K34" s="1657"/>
      <c r="L34" s="1657"/>
      <c r="M34" s="1658"/>
      <c r="N34" s="1657"/>
    </row>
    <row r="35" spans="1:14" x14ac:dyDescent="0.25">
      <c r="A35" s="1660" t="s">
        <v>1556</v>
      </c>
      <c r="B35" s="1660"/>
      <c r="C35" s="1660"/>
      <c r="D35" s="1661"/>
      <c r="E35" s="1661"/>
      <c r="F35" s="1661"/>
      <c r="G35" s="1661"/>
      <c r="H35" s="1661"/>
      <c r="I35" s="1661">
        <v>2</v>
      </c>
      <c r="J35" s="1669">
        <v>34000</v>
      </c>
      <c r="K35" s="1670">
        <v>68</v>
      </c>
      <c r="L35" s="1670">
        <v>68</v>
      </c>
      <c r="M35" s="1671">
        <v>68</v>
      </c>
      <c r="N35" s="1661"/>
    </row>
    <row r="36" spans="1:14" x14ac:dyDescent="0.25">
      <c r="A36" s="1660" t="s">
        <v>1320</v>
      </c>
      <c r="B36" s="1660"/>
      <c r="C36" s="1660"/>
      <c r="D36" s="1661"/>
      <c r="E36" s="1661"/>
      <c r="F36" s="1661"/>
      <c r="G36" s="1661"/>
      <c r="H36" s="1661"/>
      <c r="I36" s="1661"/>
      <c r="J36" s="1661"/>
      <c r="K36" s="1661"/>
      <c r="L36" s="1669"/>
      <c r="M36" s="1672"/>
      <c r="N36" s="1661"/>
    </row>
    <row r="37" spans="1:14" s="1659" customFormat="1" x14ac:dyDescent="0.25">
      <c r="A37" s="1656" t="s">
        <v>357</v>
      </c>
      <c r="B37" s="1656"/>
      <c r="C37" s="1656"/>
      <c r="D37" s="1657"/>
      <c r="E37" s="1657"/>
      <c r="F37" s="1657"/>
      <c r="G37" s="1657"/>
      <c r="H37" s="1657"/>
      <c r="I37" s="1657"/>
      <c r="J37" s="1657"/>
      <c r="K37" s="1657"/>
      <c r="L37" s="1673"/>
      <c r="M37" s="1674"/>
      <c r="N37" s="1657"/>
    </row>
    <row r="38" spans="1:14" x14ac:dyDescent="0.25">
      <c r="A38" s="1660" t="s">
        <v>1325</v>
      </c>
      <c r="B38" s="1660"/>
      <c r="C38" s="1660"/>
      <c r="D38" s="1661"/>
      <c r="E38" s="1661"/>
      <c r="F38" s="1661"/>
      <c r="G38" s="1661"/>
      <c r="H38" s="1661"/>
      <c r="I38" s="1661"/>
      <c r="J38" s="1661"/>
      <c r="K38" s="1661"/>
      <c r="L38" s="1669"/>
      <c r="M38" s="1672"/>
      <c r="N38" s="1661"/>
    </row>
    <row r="39" spans="1:14" x14ac:dyDescent="0.25">
      <c r="A39" s="1660" t="s">
        <v>1320</v>
      </c>
      <c r="B39" s="1660"/>
      <c r="C39" s="1660"/>
      <c r="D39" s="1661"/>
      <c r="E39" s="1661"/>
      <c r="F39" s="1661"/>
      <c r="G39" s="1661"/>
      <c r="H39" s="1661"/>
      <c r="I39" s="1661"/>
      <c r="J39" s="1661"/>
      <c r="K39" s="1661"/>
      <c r="L39" s="1669"/>
      <c r="M39" s="1672"/>
      <c r="N39" s="1661"/>
    </row>
    <row r="40" spans="1:14" s="1659" customFormat="1" x14ac:dyDescent="0.25">
      <c r="A40" s="1656" t="s">
        <v>358</v>
      </c>
      <c r="B40" s="1656"/>
      <c r="C40" s="1656"/>
      <c r="D40" s="1657"/>
      <c r="E40" s="1657"/>
      <c r="F40" s="1657"/>
      <c r="G40" s="1657"/>
      <c r="H40" s="1657"/>
      <c r="I40" s="1657"/>
      <c r="J40" s="1657"/>
      <c r="K40" s="1657"/>
      <c r="L40" s="1673"/>
      <c r="M40" s="1674"/>
      <c r="N40" s="1657"/>
    </row>
    <row r="41" spans="1:14" x14ac:dyDescent="0.25">
      <c r="A41" s="1660" t="s">
        <v>1326</v>
      </c>
      <c r="B41" s="1660"/>
      <c r="C41" s="1660"/>
      <c r="D41" s="1661"/>
      <c r="E41" s="1661"/>
      <c r="F41" s="1661"/>
      <c r="G41" s="1661"/>
      <c r="H41" s="1661"/>
      <c r="I41" s="1661"/>
      <c r="J41" s="1661"/>
      <c r="K41" s="1661"/>
      <c r="L41" s="1669"/>
      <c r="M41" s="1672"/>
      <c r="N41" s="1661"/>
    </row>
    <row r="42" spans="1:14" x14ac:dyDescent="0.25">
      <c r="A42" s="1660" t="s">
        <v>1320</v>
      </c>
      <c r="B42" s="1660"/>
      <c r="C42" s="1660"/>
      <c r="D42" s="1661"/>
      <c r="E42" s="1661"/>
      <c r="F42" s="1661"/>
      <c r="G42" s="1661"/>
      <c r="H42" s="1661"/>
      <c r="I42" s="1661"/>
      <c r="J42" s="1661"/>
      <c r="K42" s="1661"/>
      <c r="L42" s="1669"/>
      <c r="M42" s="1672"/>
      <c r="N42" s="1661"/>
    </row>
    <row r="43" spans="1:14" s="1659" customFormat="1" x14ac:dyDescent="0.25">
      <c r="A43" s="1656" t="s">
        <v>359</v>
      </c>
      <c r="B43" s="1656"/>
      <c r="C43" s="1656"/>
      <c r="D43" s="1657"/>
      <c r="E43" s="1657"/>
      <c r="F43" s="1657"/>
      <c r="G43" s="1657"/>
      <c r="H43" s="1657"/>
      <c r="I43" s="1657"/>
      <c r="J43" s="1657"/>
      <c r="K43" s="1657"/>
      <c r="L43" s="1673"/>
      <c r="M43" s="1674"/>
      <c r="N43" s="1657"/>
    </row>
    <row r="44" spans="1:14" x14ac:dyDescent="0.25">
      <c r="A44" s="1660" t="s">
        <v>1557</v>
      </c>
      <c r="B44" s="1660"/>
      <c r="C44" s="1660"/>
      <c r="D44" s="1661"/>
      <c r="E44" s="1661"/>
      <c r="F44" s="1661"/>
      <c r="G44" s="1661"/>
      <c r="H44" s="1661"/>
      <c r="I44" s="1661"/>
      <c r="J44" s="1669"/>
      <c r="K44" s="1669"/>
      <c r="L44" s="1669"/>
      <c r="M44" s="1672"/>
      <c r="N44" s="1661"/>
    </row>
    <row r="45" spans="1:14" x14ac:dyDescent="0.25">
      <c r="A45" s="1660"/>
      <c r="B45" s="1660"/>
      <c r="C45" s="1660"/>
      <c r="D45" s="1661"/>
      <c r="E45" s="1661"/>
      <c r="F45" s="1661"/>
      <c r="G45" s="1661"/>
      <c r="H45" s="1661"/>
      <c r="I45" s="1661"/>
      <c r="J45" s="1661"/>
      <c r="K45" s="1661"/>
      <c r="L45" s="1661"/>
      <c r="M45" s="1662"/>
      <c r="N45" s="1661"/>
    </row>
    <row r="46" spans="1:14" s="1659" customFormat="1" x14ac:dyDescent="0.25">
      <c r="A46" s="1656" t="s">
        <v>360</v>
      </c>
      <c r="B46" s="1656"/>
      <c r="C46" s="1656"/>
      <c r="D46" s="1657"/>
      <c r="E46" s="1657"/>
      <c r="F46" s="1657"/>
      <c r="G46" s="1657"/>
      <c r="H46" s="1657"/>
      <c r="I46" s="1657"/>
      <c r="J46" s="1657"/>
      <c r="K46" s="1657"/>
      <c r="L46" s="1657"/>
      <c r="M46" s="1658"/>
      <c r="N46" s="1657"/>
    </row>
    <row r="47" spans="1:14" x14ac:dyDescent="0.25">
      <c r="A47" s="1660" t="s">
        <v>1320</v>
      </c>
      <c r="B47" s="1660"/>
      <c r="C47" s="1660"/>
      <c r="D47" s="1661"/>
      <c r="E47" s="1661"/>
      <c r="F47" s="1661"/>
      <c r="G47" s="1661"/>
      <c r="H47" s="1661"/>
      <c r="I47" s="1661"/>
      <c r="J47" s="1661"/>
      <c r="K47" s="1661"/>
      <c r="L47" s="1661"/>
      <c r="M47" s="1662"/>
      <c r="N47" s="1661"/>
    </row>
    <row r="48" spans="1:14" x14ac:dyDescent="0.25">
      <c r="A48" s="1660"/>
      <c r="B48" s="1660"/>
      <c r="C48" s="1660"/>
      <c r="D48" s="1661"/>
      <c r="E48" s="1661"/>
      <c r="F48" s="1661"/>
      <c r="G48" s="1661"/>
      <c r="H48" s="1661"/>
      <c r="I48" s="1661"/>
      <c r="J48" s="1661"/>
      <c r="K48" s="1661"/>
      <c r="L48" s="1661"/>
      <c r="M48" s="1662"/>
      <c r="N48" s="1661"/>
    </row>
    <row r="49" spans="1:14" s="1659" customFormat="1" x14ac:dyDescent="0.25">
      <c r="A49" s="1656" t="s">
        <v>1327</v>
      </c>
      <c r="B49" s="1656"/>
      <c r="C49" s="1656"/>
      <c r="D49" s="1657"/>
      <c r="E49" s="1657"/>
      <c r="F49" s="1657"/>
      <c r="G49" s="1657"/>
      <c r="H49" s="1657"/>
      <c r="I49" s="1657"/>
      <c r="J49" s="1657"/>
      <c r="K49" s="1657"/>
      <c r="L49" s="1657"/>
      <c r="M49" s="1658"/>
      <c r="N49" s="1657"/>
    </row>
    <row r="50" spans="1:14" x14ac:dyDescent="0.25">
      <c r="A50" s="1660" t="s">
        <v>1328</v>
      </c>
      <c r="B50" s="1660"/>
      <c r="C50" s="1660"/>
      <c r="D50" s="1661"/>
      <c r="E50" s="1661"/>
      <c r="F50" s="1661"/>
      <c r="G50" s="1661"/>
      <c r="H50" s="1661"/>
      <c r="I50" s="1661"/>
      <c r="J50" s="1661"/>
      <c r="K50" s="1661"/>
      <c r="L50" s="1661"/>
      <c r="M50" s="1662"/>
      <c r="N50" s="1661"/>
    </row>
    <row r="51" spans="1:14" x14ac:dyDescent="0.25">
      <c r="A51" s="1660" t="s">
        <v>1320</v>
      </c>
      <c r="B51" s="1660"/>
      <c r="C51" s="1660"/>
      <c r="D51" s="1661"/>
      <c r="E51" s="1661"/>
      <c r="F51" s="1661"/>
      <c r="G51" s="1661"/>
      <c r="H51" s="1661"/>
      <c r="I51" s="1661"/>
      <c r="J51" s="1661"/>
      <c r="K51" s="1661"/>
      <c r="L51" s="1661"/>
      <c r="M51" s="1662"/>
      <c r="N51" s="1661"/>
    </row>
    <row r="52" spans="1:14" s="1659" customFormat="1" x14ac:dyDescent="0.25">
      <c r="A52" s="1656" t="s">
        <v>1329</v>
      </c>
      <c r="B52" s="1656"/>
      <c r="C52" s="1656"/>
      <c r="D52" s="1657"/>
      <c r="E52" s="1657"/>
      <c r="F52" s="1657"/>
      <c r="G52" s="1657"/>
      <c r="H52" s="1657"/>
      <c r="I52" s="1657"/>
      <c r="J52" s="1657"/>
      <c r="K52" s="1657"/>
      <c r="L52" s="1657"/>
      <c r="M52" s="1658"/>
      <c r="N52" s="1657"/>
    </row>
    <row r="53" spans="1:14" x14ac:dyDescent="0.25">
      <c r="A53" s="1660" t="s">
        <v>1330</v>
      </c>
      <c r="B53" s="1660"/>
      <c r="C53" s="1660"/>
      <c r="D53" s="1661"/>
      <c r="E53" s="1661"/>
      <c r="F53" s="1661"/>
      <c r="G53" s="1661"/>
      <c r="H53" s="1661"/>
      <c r="I53" s="1661"/>
      <c r="J53" s="1661"/>
      <c r="K53" s="1661"/>
      <c r="L53" s="1661"/>
      <c r="M53" s="1662"/>
      <c r="N53" s="1661"/>
    </row>
    <row r="54" spans="1:14" x14ac:dyDescent="0.25">
      <c r="A54" s="1660" t="s">
        <v>1320</v>
      </c>
      <c r="B54" s="1660"/>
      <c r="C54" s="1660"/>
      <c r="D54" s="1661"/>
      <c r="E54" s="1661"/>
      <c r="F54" s="1661"/>
      <c r="G54" s="1661"/>
      <c r="H54" s="1661"/>
      <c r="I54" s="1661"/>
      <c r="J54" s="1661"/>
      <c r="K54" s="1661"/>
      <c r="L54" s="1661"/>
      <c r="M54" s="1662"/>
      <c r="N54" s="1661"/>
    </row>
    <row r="55" spans="1:14" s="1659" customFormat="1" x14ac:dyDescent="0.25">
      <c r="A55" s="1656" t="s">
        <v>1331</v>
      </c>
      <c r="B55" s="1656"/>
      <c r="C55" s="1656"/>
      <c r="D55" s="1657"/>
      <c r="E55" s="1657"/>
      <c r="F55" s="1657"/>
      <c r="G55" s="1657"/>
      <c r="H55" s="1657"/>
      <c r="I55" s="1657"/>
      <c r="J55" s="1657"/>
      <c r="K55" s="1657"/>
      <c r="L55" s="1657"/>
      <c r="M55" s="1658"/>
      <c r="N55" s="1657"/>
    </row>
    <row r="56" spans="1:14" x14ac:dyDescent="0.25">
      <c r="A56" s="1660" t="s">
        <v>1332</v>
      </c>
      <c r="B56" s="1660"/>
      <c r="C56" s="1660"/>
      <c r="D56" s="1661"/>
      <c r="E56" s="1661"/>
      <c r="F56" s="1661"/>
      <c r="G56" s="1661"/>
      <c r="H56" s="1661"/>
      <c r="I56" s="1661"/>
      <c r="J56" s="1661"/>
      <c r="K56" s="1661"/>
      <c r="L56" s="1661"/>
      <c r="M56" s="1662"/>
      <c r="N56" s="1661"/>
    </row>
    <row r="57" spans="1:14" x14ac:dyDescent="0.25">
      <c r="A57" s="1660" t="s">
        <v>1320</v>
      </c>
      <c r="B57" s="1660"/>
      <c r="C57" s="1660"/>
      <c r="D57" s="1661"/>
      <c r="E57" s="1661"/>
      <c r="F57" s="1661"/>
      <c r="G57" s="1661"/>
      <c r="H57" s="1661"/>
      <c r="I57" s="1661"/>
      <c r="J57" s="1661"/>
      <c r="K57" s="1661"/>
      <c r="L57" s="1661"/>
      <c r="M57" s="1662"/>
      <c r="N57" s="1661"/>
    </row>
    <row r="58" spans="1:14" s="1659" customFormat="1" ht="31.5" x14ac:dyDescent="0.25">
      <c r="A58" s="1656" t="s">
        <v>1333</v>
      </c>
      <c r="B58" s="1656"/>
      <c r="C58" s="1656"/>
      <c r="D58" s="1657"/>
      <c r="E58" s="1657"/>
      <c r="F58" s="1657"/>
      <c r="G58" s="1657"/>
      <c r="H58" s="1657"/>
      <c r="I58" s="1657"/>
      <c r="J58" s="1657"/>
      <c r="K58" s="1657"/>
      <c r="L58" s="1657"/>
      <c r="M58" s="1658"/>
      <c r="N58" s="1657"/>
    </row>
    <row r="59" spans="1:14" x14ac:dyDescent="0.25">
      <c r="A59" s="1660" t="s">
        <v>1334</v>
      </c>
      <c r="B59" s="1660"/>
      <c r="C59" s="1660"/>
      <c r="D59" s="1661"/>
      <c r="E59" s="1661"/>
      <c r="F59" s="1661"/>
      <c r="G59" s="1661"/>
      <c r="H59" s="1661"/>
      <c r="I59" s="1661"/>
      <c r="J59" s="1661"/>
      <c r="K59" s="1661"/>
      <c r="L59" s="1661"/>
      <c r="M59" s="1662"/>
      <c r="N59" s="1661"/>
    </row>
    <row r="60" spans="1:14" x14ac:dyDescent="0.25">
      <c r="A60" s="1660" t="s">
        <v>1335</v>
      </c>
      <c r="B60" s="1660"/>
      <c r="C60" s="1660"/>
      <c r="D60" s="1661"/>
      <c r="E60" s="1661"/>
      <c r="F60" s="1661"/>
      <c r="G60" s="1661"/>
      <c r="H60" s="1661"/>
      <c r="I60" s="1661"/>
      <c r="J60" s="1661"/>
      <c r="K60" s="1661"/>
      <c r="L60" s="1661"/>
      <c r="M60" s="1662"/>
      <c r="N60" s="1661"/>
    </row>
    <row r="61" spans="1:14" s="1659" customFormat="1" x14ac:dyDescent="0.25">
      <c r="A61" s="1656" t="s">
        <v>1336</v>
      </c>
      <c r="B61" s="1656"/>
      <c r="C61" s="1656"/>
      <c r="D61" s="1657"/>
      <c r="E61" s="1657"/>
      <c r="F61" s="1657"/>
      <c r="G61" s="1657"/>
      <c r="H61" s="1657"/>
      <c r="I61" s="1657"/>
      <c r="J61" s="1657"/>
      <c r="K61" s="1657"/>
      <c r="L61" s="1657"/>
      <c r="M61" s="1658"/>
      <c r="N61" s="1657"/>
    </row>
    <row r="62" spans="1:14" x14ac:dyDescent="0.25">
      <c r="A62" s="1660" t="s">
        <v>1337</v>
      </c>
      <c r="B62" s="1660"/>
      <c r="C62" s="1660"/>
      <c r="D62" s="1661"/>
      <c r="E62" s="1661"/>
      <c r="F62" s="1661"/>
      <c r="G62" s="1661"/>
      <c r="H62" s="1661"/>
      <c r="I62" s="1661"/>
      <c r="J62" s="1661"/>
      <c r="K62" s="1661"/>
      <c r="L62" s="1661"/>
      <c r="M62" s="1662"/>
      <c r="N62" s="1661"/>
    </row>
    <row r="63" spans="1:14" x14ac:dyDescent="0.25">
      <c r="A63" s="1660" t="s">
        <v>1320</v>
      </c>
      <c r="B63" s="1660"/>
      <c r="C63" s="1660"/>
      <c r="D63" s="1661"/>
      <c r="E63" s="1661"/>
      <c r="F63" s="1661"/>
      <c r="G63" s="1661"/>
      <c r="H63" s="1661"/>
      <c r="I63" s="1661"/>
      <c r="J63" s="1661"/>
      <c r="K63" s="1661"/>
      <c r="L63" s="1661"/>
      <c r="M63" s="1662"/>
      <c r="N63" s="1661"/>
    </row>
    <row r="64" spans="1:14" s="1659" customFormat="1" ht="31.5" x14ac:dyDescent="0.25">
      <c r="A64" s="1656" t="s">
        <v>1338</v>
      </c>
      <c r="B64" s="1656"/>
      <c r="C64" s="1656"/>
      <c r="D64" s="1657"/>
      <c r="E64" s="1657"/>
      <c r="F64" s="1657"/>
      <c r="G64" s="1657"/>
      <c r="H64" s="1657"/>
      <c r="I64" s="1657"/>
      <c r="J64" s="1657"/>
      <c r="K64" s="1657"/>
      <c r="L64" s="1657"/>
      <c r="M64" s="1658"/>
      <c r="N64" s="1657"/>
    </row>
    <row r="65" spans="1:14" x14ac:dyDescent="0.25">
      <c r="A65" s="1660" t="s">
        <v>1339</v>
      </c>
      <c r="B65" s="1660"/>
      <c r="C65" s="1660"/>
      <c r="D65" s="1661"/>
      <c r="E65" s="1661"/>
      <c r="F65" s="1661"/>
      <c r="G65" s="1661"/>
      <c r="H65" s="1661"/>
      <c r="I65" s="1661"/>
      <c r="J65" s="1661"/>
      <c r="K65" s="1661"/>
      <c r="L65" s="1661"/>
      <c r="M65" s="1662"/>
      <c r="N65" s="1661"/>
    </row>
    <row r="66" spans="1:14" x14ac:dyDescent="0.25">
      <c r="A66" s="1660" t="s">
        <v>1320</v>
      </c>
      <c r="B66" s="1660"/>
      <c r="C66" s="1660"/>
      <c r="D66" s="1661"/>
      <c r="E66" s="1661"/>
      <c r="F66" s="1661"/>
      <c r="G66" s="1661"/>
      <c r="H66" s="1661"/>
      <c r="I66" s="1661"/>
      <c r="J66" s="1661"/>
      <c r="K66" s="1661"/>
      <c r="L66" s="1661"/>
      <c r="M66" s="1662"/>
      <c r="N66" s="1661"/>
    </row>
    <row r="67" spans="1:14" s="1659" customFormat="1" x14ac:dyDescent="0.25">
      <c r="A67" s="1656" t="s">
        <v>1340</v>
      </c>
      <c r="B67" s="1656"/>
      <c r="C67" s="1656"/>
      <c r="D67" s="1657"/>
      <c r="E67" s="1657"/>
      <c r="F67" s="1657"/>
      <c r="G67" s="1657"/>
      <c r="H67" s="1657"/>
      <c r="I67" s="1657"/>
      <c r="J67" s="1657"/>
      <c r="K67" s="1657"/>
      <c r="L67" s="1657"/>
      <c r="M67" s="1658"/>
      <c r="N67" s="1657"/>
    </row>
    <row r="68" spans="1:14" x14ac:dyDescent="0.25">
      <c r="A68" s="1660" t="s">
        <v>1341</v>
      </c>
      <c r="B68" s="1660"/>
      <c r="C68" s="1660"/>
      <c r="D68" s="1661"/>
      <c r="E68" s="1661"/>
      <c r="F68" s="1661"/>
      <c r="G68" s="1661"/>
      <c r="H68" s="1661"/>
      <c r="I68" s="1661"/>
      <c r="J68" s="1661"/>
      <c r="K68" s="1661"/>
      <c r="L68" s="1661"/>
      <c r="M68" s="1662"/>
      <c r="N68" s="1661"/>
    </row>
    <row r="69" spans="1:14" x14ac:dyDescent="0.25">
      <c r="A69" s="1660" t="s">
        <v>1320</v>
      </c>
      <c r="B69" s="1660"/>
      <c r="C69" s="1660"/>
      <c r="D69" s="1661"/>
      <c r="E69" s="1661"/>
      <c r="F69" s="1661"/>
      <c r="G69" s="1661"/>
      <c r="H69" s="1661"/>
      <c r="I69" s="1661"/>
      <c r="J69" s="1661"/>
      <c r="K69" s="1661"/>
      <c r="L69" s="1661"/>
      <c r="M69" s="1662"/>
      <c r="N69" s="1661"/>
    </row>
    <row r="70" spans="1:14" s="1659" customFormat="1" x14ac:dyDescent="0.25">
      <c r="A70" s="1656" t="s">
        <v>1342</v>
      </c>
      <c r="B70" s="1656"/>
      <c r="C70" s="1656"/>
      <c r="D70" s="1657"/>
      <c r="E70" s="1657"/>
      <c r="F70" s="1657"/>
      <c r="G70" s="1657"/>
      <c r="H70" s="1657"/>
      <c r="I70" s="1657"/>
      <c r="J70" s="1657"/>
      <c r="K70" s="1657"/>
      <c r="L70" s="1657"/>
      <c r="M70" s="1658"/>
      <c r="N70" s="1657"/>
    </row>
    <row r="71" spans="1:14" x14ac:dyDescent="0.25">
      <c r="A71" s="1660" t="s">
        <v>1343</v>
      </c>
      <c r="B71" s="1660"/>
      <c r="C71" s="1660"/>
      <c r="D71" s="1661"/>
      <c r="E71" s="1661"/>
      <c r="F71" s="1661"/>
      <c r="G71" s="1661"/>
      <c r="H71" s="1661"/>
      <c r="I71" s="1661"/>
      <c r="J71" s="1661"/>
      <c r="K71" s="1661"/>
      <c r="L71" s="1661"/>
      <c r="M71" s="1662"/>
      <c r="N71" s="1661"/>
    </row>
    <row r="72" spans="1:14" x14ac:dyDescent="0.25">
      <c r="A72" s="1660" t="s">
        <v>1344</v>
      </c>
      <c r="B72" s="1660"/>
      <c r="C72" s="1660"/>
      <c r="D72" s="1661"/>
      <c r="E72" s="1661"/>
      <c r="F72" s="1661"/>
      <c r="G72" s="1661"/>
      <c r="H72" s="1661"/>
      <c r="I72" s="1661"/>
      <c r="J72" s="1661"/>
      <c r="K72" s="1661"/>
      <c r="L72" s="1661"/>
      <c r="M72" s="1662"/>
      <c r="N72" s="1661"/>
    </row>
    <row r="73" spans="1:14" x14ac:dyDescent="0.25">
      <c r="A73" s="1675" t="s">
        <v>202</v>
      </c>
      <c r="B73" s="1676"/>
      <c r="C73" s="1676"/>
      <c r="D73" s="1676"/>
      <c r="E73" s="1676"/>
      <c r="F73" s="1676"/>
      <c r="G73" s="1676"/>
      <c r="H73" s="1676"/>
      <c r="I73" s="1676"/>
      <c r="J73" s="1676"/>
      <c r="K73" s="1670">
        <f>SUM(K12:K72)</f>
        <v>155</v>
      </c>
      <c r="L73" s="1670">
        <f>SUM(L12:L72)</f>
        <v>155</v>
      </c>
      <c r="M73" s="1670">
        <f>SUM(M12:M72)</f>
        <v>155</v>
      </c>
      <c r="N73" s="1661"/>
    </row>
    <row r="74" spans="1:14" ht="12" customHeight="1" x14ac:dyDescent="0.25">
      <c r="A74" s="1677"/>
      <c r="B74" s="1677"/>
      <c r="C74" s="1677"/>
      <c r="D74" s="1677"/>
      <c r="E74" s="1677"/>
      <c r="F74" s="1677"/>
      <c r="G74" s="1677"/>
      <c r="H74" s="1677"/>
      <c r="I74" s="1677"/>
      <c r="J74" s="1677"/>
      <c r="K74" s="1677"/>
      <c r="L74" s="1677"/>
      <c r="M74" s="1677"/>
    </row>
    <row r="75" spans="1:14" ht="25.5" customHeight="1" x14ac:dyDescent="0.3">
      <c r="A75" s="4016" t="s">
        <v>188</v>
      </c>
      <c r="B75" s="4016"/>
      <c r="C75" s="4016"/>
      <c r="D75" s="4016"/>
      <c r="E75" s="4016"/>
      <c r="F75" s="4016"/>
      <c r="G75" s="4016"/>
      <c r="H75" s="4016"/>
      <c r="I75" s="4016"/>
      <c r="J75" s="4016"/>
      <c r="K75" s="4016"/>
      <c r="L75" s="4016"/>
      <c r="M75" s="4016"/>
    </row>
    <row r="76" spans="1:14" ht="18.75" x14ac:dyDescent="0.3">
      <c r="A76" s="1678"/>
    </row>
    <row r="79" spans="1:14" x14ac:dyDescent="0.25">
      <c r="B79" s="3989"/>
      <c r="C79" s="3989"/>
      <c r="D79" s="3989"/>
      <c r="L79" s="4017"/>
      <c r="M79" s="4017"/>
    </row>
    <row r="80" spans="1:14" x14ac:dyDescent="0.25">
      <c r="B80" s="3890"/>
      <c r="C80" s="3890"/>
      <c r="D80" s="3890"/>
    </row>
    <row r="82" spans="1:1" x14ac:dyDescent="0.25">
      <c r="A82" s="1611"/>
    </row>
    <row r="83" spans="1:1" x14ac:dyDescent="0.25">
      <c r="A83" s="1679"/>
    </row>
  </sheetData>
  <mergeCells count="27">
    <mergeCell ref="I9:I10"/>
    <mergeCell ref="J9:J10"/>
    <mergeCell ref="K9:K10"/>
    <mergeCell ref="A75:M75"/>
    <mergeCell ref="B79:D79"/>
    <mergeCell ref="L79:M79"/>
    <mergeCell ref="E9:E10"/>
    <mergeCell ref="F9:F10"/>
    <mergeCell ref="G9:G10"/>
    <mergeCell ref="H9:H10"/>
    <mergeCell ref="D9:D10"/>
    <mergeCell ref="B80:D80"/>
    <mergeCell ref="A2:N2"/>
    <mergeCell ref="A4:N4"/>
    <mergeCell ref="A6:A10"/>
    <mergeCell ref="B6:H6"/>
    <mergeCell ref="I6:K7"/>
    <mergeCell ref="L6:L10"/>
    <mergeCell ref="M6:M10"/>
    <mergeCell ref="N6:N10"/>
    <mergeCell ref="B7:H7"/>
    <mergeCell ref="B8:D8"/>
    <mergeCell ref="E8:F8"/>
    <mergeCell ref="G8:H8"/>
    <mergeCell ref="I8:K8"/>
    <mergeCell ref="B9:B10"/>
    <mergeCell ref="C9:C10"/>
  </mergeCells>
  <pageMargins left="0.70866141732283472" right="0.70866141732283472" top="0.74803149606299213" bottom="0.74803149606299213" header="0.31496062992125984" footer="0.31496062992125984"/>
  <pageSetup paperSize="9" scale="48" orientation="portrait" r:id="rId1"/>
  <rowBreaks count="1" manualBreakCount="1">
    <brk id="35" max="1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S89"/>
  <sheetViews>
    <sheetView view="pageBreakPreview" zoomScale="90" zoomScaleNormal="80" zoomScaleSheetLayoutView="90" workbookViewId="0">
      <pane ySplit="8" topLeftCell="A9" activePane="bottomLeft" state="frozen"/>
      <selection activeCell="U81" sqref="U81"/>
      <selection pane="bottomLeft" activeCell="Y21" sqref="Y21"/>
    </sheetView>
  </sheetViews>
  <sheetFormatPr defaultRowHeight="15.75" x14ac:dyDescent="0.25"/>
  <cols>
    <col min="1" max="1" width="9.33203125" style="1393"/>
    <col min="2" max="2" width="45.33203125" style="1393" customWidth="1"/>
    <col min="3" max="3" width="15.6640625" style="1393" hidden="1" customWidth="1"/>
    <col min="4" max="8" width="16.5" style="1393" hidden="1" customWidth="1"/>
    <col min="9" max="9" width="14.33203125" style="1393" customWidth="1"/>
    <col min="10" max="10" width="15.83203125" style="1393" customWidth="1"/>
    <col min="11" max="11" width="14.6640625" style="1393" customWidth="1"/>
    <col min="12" max="12" width="15.83203125" style="1680" customWidth="1"/>
    <col min="13" max="13" width="15.83203125" style="1393" customWidth="1"/>
    <col min="14" max="14" width="30.5" style="1393" customWidth="1"/>
    <col min="15" max="16384" width="9.33203125" style="1393"/>
  </cols>
  <sheetData>
    <row r="1" spans="1:14" ht="9" customHeight="1" x14ac:dyDescent="0.25"/>
    <row r="2" spans="1:14" ht="35.25" customHeight="1" x14ac:dyDescent="0.25">
      <c r="A2" s="3916" t="s">
        <v>1357</v>
      </c>
      <c r="B2" s="3916"/>
      <c r="C2" s="3916"/>
      <c r="D2" s="3916"/>
      <c r="E2" s="3916"/>
      <c r="F2" s="3916"/>
      <c r="G2" s="3916"/>
      <c r="H2" s="3916"/>
      <c r="I2" s="3916"/>
      <c r="J2" s="3916"/>
      <c r="K2" s="3916"/>
      <c r="L2" s="3916"/>
      <c r="M2" s="3916"/>
      <c r="N2" s="3916"/>
    </row>
    <row r="3" spans="1:14" ht="18" customHeight="1" x14ac:dyDescent="0.25">
      <c r="A3" s="1681"/>
      <c r="B3" s="3916" t="s">
        <v>1444</v>
      </c>
      <c r="C3" s="3916"/>
      <c r="D3" s="3916"/>
      <c r="E3" s="3916"/>
      <c r="F3" s="3916"/>
      <c r="G3" s="3916"/>
      <c r="H3" s="3916"/>
      <c r="I3" s="3916"/>
      <c r="J3" s="3916"/>
      <c r="K3" s="3916"/>
      <c r="L3" s="3916"/>
      <c r="M3" s="3916"/>
    </row>
    <row r="4" spans="1:14" ht="12.75" customHeight="1" x14ac:dyDescent="0.25">
      <c r="N4" s="1398" t="s">
        <v>1311</v>
      </c>
    </row>
    <row r="5" spans="1:14" ht="15.75" customHeight="1" x14ac:dyDescent="0.25">
      <c r="A5" s="3919" t="s">
        <v>78</v>
      </c>
      <c r="B5" s="3920" t="s">
        <v>185</v>
      </c>
      <c r="C5" s="4019" t="s">
        <v>1358</v>
      </c>
      <c r="D5" s="4020"/>
      <c r="E5" s="4020"/>
      <c r="F5" s="4020"/>
      <c r="G5" s="4020"/>
      <c r="H5" s="4021"/>
      <c r="I5" s="4019" t="s">
        <v>1355</v>
      </c>
      <c r="J5" s="4020"/>
      <c r="K5" s="4020"/>
      <c r="L5" s="4022" t="s">
        <v>1359</v>
      </c>
      <c r="M5" s="4022" t="s">
        <v>1360</v>
      </c>
      <c r="N5" s="3927" t="s">
        <v>180</v>
      </c>
    </row>
    <row r="6" spans="1:14" ht="15.75" customHeight="1" x14ac:dyDescent="0.25">
      <c r="A6" s="3919"/>
      <c r="B6" s="3921"/>
      <c r="C6" s="3920" t="s">
        <v>186</v>
      </c>
      <c r="D6" s="3920" t="s">
        <v>187</v>
      </c>
      <c r="E6" s="3919" t="s">
        <v>747</v>
      </c>
      <c r="F6" s="3919"/>
      <c r="G6" s="3919"/>
      <c r="H6" s="3919"/>
      <c r="I6" s="3920" t="s">
        <v>186</v>
      </c>
      <c r="J6" s="3920" t="s">
        <v>333</v>
      </c>
      <c r="K6" s="3920" t="s">
        <v>1361</v>
      </c>
      <c r="L6" s="4022"/>
      <c r="M6" s="4022"/>
      <c r="N6" s="3928"/>
    </row>
    <row r="7" spans="1:14" ht="18.75" customHeight="1" x14ac:dyDescent="0.25">
      <c r="A7" s="3919"/>
      <c r="B7" s="3922"/>
      <c r="C7" s="3922"/>
      <c r="D7" s="3922"/>
      <c r="E7" s="1682" t="s">
        <v>748</v>
      </c>
      <c r="F7" s="1682" t="s">
        <v>753</v>
      </c>
      <c r="G7" s="1682" t="s">
        <v>1362</v>
      </c>
      <c r="H7" s="1683" t="s">
        <v>750</v>
      </c>
      <c r="I7" s="3922"/>
      <c r="J7" s="3922"/>
      <c r="K7" s="3922"/>
      <c r="L7" s="4022"/>
      <c r="M7" s="4022"/>
      <c r="N7" s="3929"/>
    </row>
    <row r="8" spans="1:14" x14ac:dyDescent="0.25">
      <c r="A8" s="1600">
        <v>1</v>
      </c>
      <c r="B8" s="1682">
        <v>2</v>
      </c>
      <c r="C8" s="1600">
        <v>3</v>
      </c>
      <c r="D8" s="1682">
        <v>4</v>
      </c>
      <c r="E8" s="1600">
        <v>5</v>
      </c>
      <c r="F8" s="1682">
        <v>6</v>
      </c>
      <c r="G8" s="1600">
        <v>7</v>
      </c>
      <c r="H8" s="1682">
        <v>8</v>
      </c>
      <c r="I8" s="1600">
        <v>3</v>
      </c>
      <c r="J8" s="1682">
        <v>4</v>
      </c>
      <c r="K8" s="1682">
        <v>5</v>
      </c>
      <c r="L8" s="1682">
        <v>6</v>
      </c>
      <c r="M8" s="1600">
        <v>7</v>
      </c>
      <c r="N8" s="1684">
        <v>8</v>
      </c>
    </row>
    <row r="9" spans="1:14" ht="18.75" customHeight="1" x14ac:dyDescent="0.25">
      <c r="A9" s="1685" t="s">
        <v>361</v>
      </c>
      <c r="B9" s="1686" t="s">
        <v>362</v>
      </c>
      <c r="C9" s="1600"/>
      <c r="D9" s="1600"/>
      <c r="E9" s="1687"/>
      <c r="F9" s="1687"/>
      <c r="G9" s="1687"/>
      <c r="H9" s="1687"/>
      <c r="I9" s="1600"/>
      <c r="J9" s="1600"/>
      <c r="K9" s="1688">
        <f>SUM(K10:K14)</f>
        <v>100</v>
      </c>
      <c r="L9" s="1689">
        <v>100</v>
      </c>
      <c r="M9" s="1689">
        <v>100</v>
      </c>
      <c r="N9" s="1690"/>
    </row>
    <row r="10" spans="1:14" ht="18.75" customHeight="1" x14ac:dyDescent="0.25">
      <c r="A10" s="1600">
        <v>1</v>
      </c>
      <c r="B10" s="1691" t="s">
        <v>1558</v>
      </c>
      <c r="C10" s="1600"/>
      <c r="D10" s="1600"/>
      <c r="E10" s="1687"/>
      <c r="F10" s="1687"/>
      <c r="G10" s="1687"/>
      <c r="H10" s="1687"/>
      <c r="I10" s="1600">
        <v>1</v>
      </c>
      <c r="J10" s="1600">
        <v>8200</v>
      </c>
      <c r="K10" s="1692">
        <f>I10*J10/1000</f>
        <v>8.1999999999999993</v>
      </c>
      <c r="L10" s="1693"/>
      <c r="M10" s="1693"/>
      <c r="N10" s="1690"/>
    </row>
    <row r="11" spans="1:14" ht="18.75" customHeight="1" x14ac:dyDescent="0.25">
      <c r="A11" s="1600">
        <v>2</v>
      </c>
      <c r="B11" s="1691" t="s">
        <v>1559</v>
      </c>
      <c r="C11" s="1600"/>
      <c r="D11" s="1600"/>
      <c r="E11" s="1687"/>
      <c r="F11" s="1687"/>
      <c r="G11" s="1687"/>
      <c r="H11" s="1687"/>
      <c r="I11" s="1600">
        <v>5</v>
      </c>
      <c r="J11" s="1600">
        <v>8400</v>
      </c>
      <c r="K11" s="1692">
        <f>I11*J11/1000</f>
        <v>42</v>
      </c>
      <c r="L11" s="1693"/>
      <c r="M11" s="1693"/>
      <c r="N11" s="1690"/>
    </row>
    <row r="12" spans="1:14" ht="18.75" customHeight="1" x14ac:dyDescent="0.25">
      <c r="A12" s="1600">
        <v>3</v>
      </c>
      <c r="B12" s="1691" t="s">
        <v>1560</v>
      </c>
      <c r="C12" s="1600"/>
      <c r="D12" s="1600"/>
      <c r="E12" s="1687"/>
      <c r="F12" s="1687"/>
      <c r="G12" s="1687"/>
      <c r="H12" s="1687"/>
      <c r="I12" s="1600">
        <v>2</v>
      </c>
      <c r="J12" s="1600">
        <v>8500</v>
      </c>
      <c r="K12" s="1692">
        <f t="shared" ref="K12:K14" si="0">I12*J12/1000</f>
        <v>17</v>
      </c>
      <c r="L12" s="1693"/>
      <c r="M12" s="1693"/>
      <c r="N12" s="1690"/>
    </row>
    <row r="13" spans="1:14" ht="18.75" customHeight="1" x14ac:dyDescent="0.25">
      <c r="A13" s="1600">
        <v>4</v>
      </c>
      <c r="B13" s="1691" t="s">
        <v>1561</v>
      </c>
      <c r="C13" s="1600"/>
      <c r="D13" s="1600"/>
      <c r="E13" s="1687"/>
      <c r="F13" s="1687"/>
      <c r="G13" s="1687"/>
      <c r="H13" s="1687"/>
      <c r="I13" s="1600">
        <v>3</v>
      </c>
      <c r="J13" s="1600">
        <v>9200</v>
      </c>
      <c r="K13" s="1692">
        <f t="shared" si="0"/>
        <v>27.6</v>
      </c>
      <c r="L13" s="1693"/>
      <c r="M13" s="1693"/>
      <c r="N13" s="1690"/>
    </row>
    <row r="14" spans="1:14" x14ac:dyDescent="0.25">
      <c r="A14" s="1600">
        <v>5</v>
      </c>
      <c r="B14" s="1691" t="s">
        <v>1562</v>
      </c>
      <c r="C14" s="1600"/>
      <c r="D14" s="1600"/>
      <c r="E14" s="1687"/>
      <c r="F14" s="1687"/>
      <c r="G14" s="1687"/>
      <c r="H14" s="1687"/>
      <c r="I14" s="1600">
        <v>1</v>
      </c>
      <c r="J14" s="1600">
        <v>5200</v>
      </c>
      <c r="K14" s="1692">
        <f t="shared" si="0"/>
        <v>5.2</v>
      </c>
      <c r="L14" s="1693"/>
      <c r="M14" s="1693"/>
      <c r="N14" s="1694"/>
    </row>
    <row r="15" spans="1:14" x14ac:dyDescent="0.25">
      <c r="A15" s="1685" t="s">
        <v>363</v>
      </c>
      <c r="B15" s="1686" t="s">
        <v>364</v>
      </c>
      <c r="C15" s="1600"/>
      <c r="D15" s="1600"/>
      <c r="E15" s="1687"/>
      <c r="F15" s="1687"/>
      <c r="G15" s="1687"/>
      <c r="H15" s="1687"/>
      <c r="I15" s="1600"/>
      <c r="J15" s="1600"/>
      <c r="K15" s="1688">
        <f>SUM(K16:K17)</f>
        <v>50</v>
      </c>
      <c r="L15" s="1695">
        <v>50</v>
      </c>
      <c r="M15" s="1695">
        <v>50</v>
      </c>
      <c r="N15" s="1694"/>
    </row>
    <row r="16" spans="1:14" x14ac:dyDescent="0.25">
      <c r="A16" s="1600">
        <v>1</v>
      </c>
      <c r="B16" s="1696" t="s">
        <v>1563</v>
      </c>
      <c r="C16" s="1600"/>
      <c r="D16" s="1600"/>
      <c r="E16" s="1687"/>
      <c r="F16" s="1687"/>
      <c r="G16" s="1687"/>
      <c r="H16" s="1687"/>
      <c r="I16" s="1600">
        <v>120</v>
      </c>
      <c r="J16" s="1600">
        <v>250</v>
      </c>
      <c r="K16" s="1692">
        <f t="shared" ref="K16:K20" si="1">I16*J16/1000</f>
        <v>30</v>
      </c>
      <c r="L16" s="1693"/>
      <c r="M16" s="1693"/>
      <c r="N16" s="1694"/>
    </row>
    <row r="17" spans="1:14" x14ac:dyDescent="0.25">
      <c r="A17" s="1600">
        <v>2</v>
      </c>
      <c r="B17" s="1696" t="s">
        <v>1408</v>
      </c>
      <c r="C17" s="1600"/>
      <c r="D17" s="1600"/>
      <c r="E17" s="1687"/>
      <c r="F17" s="1687"/>
      <c r="G17" s="1687"/>
      <c r="H17" s="1687"/>
      <c r="I17" s="1600">
        <v>40</v>
      </c>
      <c r="J17" s="1600">
        <v>500</v>
      </c>
      <c r="K17" s="1692">
        <f t="shared" si="1"/>
        <v>20</v>
      </c>
      <c r="L17" s="1693"/>
      <c r="M17" s="1693"/>
      <c r="N17" s="1694"/>
    </row>
    <row r="18" spans="1:14" x14ac:dyDescent="0.25">
      <c r="A18" s="1685" t="s">
        <v>365</v>
      </c>
      <c r="B18" s="1697" t="s">
        <v>366</v>
      </c>
      <c r="C18" s="1600"/>
      <c r="D18" s="1600"/>
      <c r="E18" s="1687"/>
      <c r="F18" s="1687"/>
      <c r="G18" s="1687"/>
      <c r="H18" s="1687"/>
      <c r="I18" s="1600"/>
      <c r="J18" s="1600"/>
      <c r="K18" s="1688">
        <f>SUM(K19:K20)</f>
        <v>80</v>
      </c>
      <c r="L18" s="1695">
        <v>80</v>
      </c>
      <c r="M18" s="1695">
        <v>80</v>
      </c>
      <c r="N18" s="1694"/>
    </row>
    <row r="19" spans="1:14" x14ac:dyDescent="0.25">
      <c r="A19" s="1600">
        <v>1</v>
      </c>
      <c r="B19" s="1691" t="s">
        <v>1564</v>
      </c>
      <c r="C19" s="1600"/>
      <c r="D19" s="1600"/>
      <c r="E19" s="1687"/>
      <c r="F19" s="1687"/>
      <c r="G19" s="1687"/>
      <c r="H19" s="1687"/>
      <c r="I19" s="1600">
        <v>1</v>
      </c>
      <c r="J19" s="1600">
        <v>40000</v>
      </c>
      <c r="K19" s="1692">
        <f t="shared" si="1"/>
        <v>40</v>
      </c>
      <c r="L19" s="1693"/>
      <c r="M19" s="1693"/>
      <c r="N19" s="1694"/>
    </row>
    <row r="20" spans="1:14" x14ac:dyDescent="0.25">
      <c r="A20" s="1600">
        <v>2</v>
      </c>
      <c r="B20" s="1691" t="s">
        <v>1565</v>
      </c>
      <c r="C20" s="1600"/>
      <c r="D20" s="1600"/>
      <c r="E20" s="1687"/>
      <c r="F20" s="1687"/>
      <c r="G20" s="1687"/>
      <c r="H20" s="1687"/>
      <c r="I20" s="1600">
        <v>2</v>
      </c>
      <c r="J20" s="1600">
        <v>20000</v>
      </c>
      <c r="K20" s="1692">
        <f t="shared" si="1"/>
        <v>40</v>
      </c>
      <c r="L20" s="1693"/>
      <c r="M20" s="1693"/>
      <c r="N20" s="1694"/>
    </row>
    <row r="21" spans="1:14" ht="31.5" x14ac:dyDescent="0.25">
      <c r="A21" s="1698" t="s">
        <v>367</v>
      </c>
      <c r="B21" s="1699" t="s">
        <v>368</v>
      </c>
      <c r="C21" s="1600"/>
      <c r="D21" s="1600"/>
      <c r="E21" s="1687"/>
      <c r="F21" s="1687"/>
      <c r="G21" s="1687"/>
      <c r="H21" s="1687"/>
      <c r="I21" s="1600"/>
      <c r="J21" s="1600"/>
      <c r="K21" s="1692"/>
      <c r="L21" s="1693"/>
      <c r="M21" s="1693"/>
      <c r="N21" s="1694"/>
    </row>
    <row r="22" spans="1:14" x14ac:dyDescent="0.25">
      <c r="A22" s="1600">
        <v>1</v>
      </c>
      <c r="B22" s="1696" t="s">
        <v>1345</v>
      </c>
      <c r="C22" s="1600"/>
      <c r="D22" s="1600"/>
      <c r="E22" s="1687"/>
      <c r="F22" s="1687"/>
      <c r="G22" s="1687"/>
      <c r="H22" s="1687"/>
      <c r="I22" s="1600"/>
      <c r="J22" s="1600"/>
      <c r="K22" s="1692"/>
      <c r="L22" s="1693"/>
      <c r="M22" s="1693"/>
      <c r="N22" s="1694"/>
    </row>
    <row r="23" spans="1:14" x14ac:dyDescent="0.25">
      <c r="A23" s="1698" t="s">
        <v>369</v>
      </c>
      <c r="B23" s="1699" t="s">
        <v>370</v>
      </c>
      <c r="C23" s="1600"/>
      <c r="D23" s="1600"/>
      <c r="E23" s="1687"/>
      <c r="F23" s="1687"/>
      <c r="G23" s="1687"/>
      <c r="H23" s="1687"/>
      <c r="I23" s="1600"/>
      <c r="J23" s="1600"/>
      <c r="K23" s="1688">
        <f>K24</f>
        <v>46.8</v>
      </c>
      <c r="L23" s="1693">
        <v>46.8</v>
      </c>
      <c r="M23" s="1693">
        <v>46.8</v>
      </c>
      <c r="N23" s="1694"/>
    </row>
    <row r="24" spans="1:14" x14ac:dyDescent="0.25">
      <c r="A24" s="1600">
        <v>1</v>
      </c>
      <c r="B24" s="1696" t="s">
        <v>1566</v>
      </c>
      <c r="C24" s="1600"/>
      <c r="D24" s="1600"/>
      <c r="E24" s="1687"/>
      <c r="F24" s="1687"/>
      <c r="G24" s="1687"/>
      <c r="H24" s="1687"/>
      <c r="I24" s="1600">
        <v>1</v>
      </c>
      <c r="J24" s="1600">
        <v>46800</v>
      </c>
      <c r="K24" s="1700">
        <f>I24*J24/1000</f>
        <v>46.8</v>
      </c>
      <c r="L24" s="1693"/>
      <c r="M24" s="1693"/>
      <c r="N24" s="1694"/>
    </row>
    <row r="25" spans="1:14" x14ac:dyDescent="0.25">
      <c r="A25" s="1685" t="s">
        <v>371</v>
      </c>
      <c r="B25" s="1686" t="s">
        <v>759</v>
      </c>
      <c r="C25" s="1600"/>
      <c r="D25" s="1600"/>
      <c r="E25" s="1687"/>
      <c r="F25" s="1687"/>
      <c r="G25" s="1687"/>
      <c r="H25" s="1687"/>
      <c r="I25" s="1600"/>
      <c r="J25" s="1600"/>
      <c r="K25" s="1701">
        <f>SUM(K26:K48)</f>
        <v>43.4</v>
      </c>
      <c r="L25" s="1693">
        <v>43.4</v>
      </c>
      <c r="M25" s="1693">
        <v>43.4</v>
      </c>
      <c r="N25" s="1694"/>
    </row>
    <row r="26" spans="1:14" x14ac:dyDescent="0.25">
      <c r="A26" s="1702">
        <v>1</v>
      </c>
      <c r="B26" s="1703" t="s">
        <v>1567</v>
      </c>
      <c r="C26" s="1704"/>
      <c r="D26" s="1600"/>
      <c r="E26" s="1687"/>
      <c r="F26" s="1687"/>
      <c r="G26" s="1687"/>
      <c r="H26" s="1705"/>
      <c r="I26" s="1706">
        <v>5</v>
      </c>
      <c r="J26" s="1547">
        <v>100</v>
      </c>
      <c r="K26" s="1700">
        <f t="shared" ref="K26:K67" si="2">I26*J26/1000</f>
        <v>0.5</v>
      </c>
      <c r="L26" s="1693"/>
      <c r="M26" s="1693"/>
      <c r="N26" s="1694"/>
    </row>
    <row r="27" spans="1:14" x14ac:dyDescent="0.25">
      <c r="A27" s="1702">
        <v>2</v>
      </c>
      <c r="B27" s="1703" t="s">
        <v>1568</v>
      </c>
      <c r="C27" s="1704"/>
      <c r="D27" s="1600"/>
      <c r="E27" s="1687"/>
      <c r="F27" s="1687"/>
      <c r="G27" s="1687"/>
      <c r="H27" s="1705"/>
      <c r="I27" s="1706">
        <v>15</v>
      </c>
      <c r="J27" s="1547">
        <v>120</v>
      </c>
      <c r="K27" s="1700">
        <f t="shared" si="2"/>
        <v>1.8</v>
      </c>
      <c r="L27" s="1693"/>
      <c r="M27" s="1693"/>
      <c r="N27" s="1694"/>
    </row>
    <row r="28" spans="1:14" x14ac:dyDescent="0.25">
      <c r="A28" s="1702">
        <v>3</v>
      </c>
      <c r="B28" s="1703" t="s">
        <v>1569</v>
      </c>
      <c r="C28" s="1704"/>
      <c r="D28" s="1600"/>
      <c r="E28" s="1687"/>
      <c r="F28" s="1687"/>
      <c r="G28" s="1687"/>
      <c r="H28" s="1705"/>
      <c r="I28" s="1706">
        <v>4</v>
      </c>
      <c r="J28" s="1547">
        <v>150</v>
      </c>
      <c r="K28" s="1700">
        <f t="shared" si="2"/>
        <v>0.6</v>
      </c>
      <c r="L28" s="1693"/>
      <c r="M28" s="1693"/>
      <c r="N28" s="1694"/>
    </row>
    <row r="29" spans="1:14" x14ac:dyDescent="0.25">
      <c r="A29" s="1702">
        <v>4</v>
      </c>
      <c r="B29" s="1703" t="s">
        <v>1570</v>
      </c>
      <c r="C29" s="1704"/>
      <c r="D29" s="1600"/>
      <c r="E29" s="1687"/>
      <c r="F29" s="1687"/>
      <c r="G29" s="1687"/>
      <c r="H29" s="1705"/>
      <c r="I29" s="1706">
        <v>5</v>
      </c>
      <c r="J29" s="1547">
        <v>140</v>
      </c>
      <c r="K29" s="1700">
        <f t="shared" si="2"/>
        <v>0.7</v>
      </c>
      <c r="L29" s="1693"/>
      <c r="M29" s="1693"/>
      <c r="N29" s="1694"/>
    </row>
    <row r="30" spans="1:14" x14ac:dyDescent="0.25">
      <c r="A30" s="1702">
        <v>5</v>
      </c>
      <c r="B30" s="1703" t="s">
        <v>1571</v>
      </c>
      <c r="C30" s="1704"/>
      <c r="D30" s="1600"/>
      <c r="E30" s="1687"/>
      <c r="F30" s="1687"/>
      <c r="G30" s="1687"/>
      <c r="H30" s="1705"/>
      <c r="I30" s="1706">
        <v>3</v>
      </c>
      <c r="J30" s="1547">
        <v>180</v>
      </c>
      <c r="K30" s="1700">
        <f t="shared" si="2"/>
        <v>0.54</v>
      </c>
      <c r="L30" s="1693"/>
      <c r="M30" s="1693"/>
      <c r="N30" s="1694"/>
    </row>
    <row r="31" spans="1:14" x14ac:dyDescent="0.25">
      <c r="A31" s="1702">
        <v>6</v>
      </c>
      <c r="B31" s="1703" t="s">
        <v>1572</v>
      </c>
      <c r="C31" s="1704"/>
      <c r="D31" s="1600"/>
      <c r="E31" s="1687"/>
      <c r="F31" s="1687"/>
      <c r="G31" s="1687"/>
      <c r="H31" s="1705"/>
      <c r="I31" s="1706">
        <v>3</v>
      </c>
      <c r="J31" s="1547">
        <v>220</v>
      </c>
      <c r="K31" s="1700">
        <f t="shared" si="2"/>
        <v>0.66</v>
      </c>
      <c r="L31" s="1693"/>
      <c r="M31" s="1693"/>
      <c r="N31" s="1694"/>
    </row>
    <row r="32" spans="1:14" x14ac:dyDescent="0.25">
      <c r="A32" s="1702">
        <v>7</v>
      </c>
      <c r="B32" s="1703" t="s">
        <v>1573</v>
      </c>
      <c r="C32" s="1704"/>
      <c r="D32" s="1600"/>
      <c r="E32" s="1687"/>
      <c r="F32" s="1687"/>
      <c r="G32" s="1687"/>
      <c r="H32" s="1705"/>
      <c r="I32" s="1706">
        <v>51</v>
      </c>
      <c r="J32" s="1547">
        <v>30</v>
      </c>
      <c r="K32" s="1700">
        <f t="shared" si="2"/>
        <v>1.53</v>
      </c>
      <c r="L32" s="1693"/>
      <c r="M32" s="1693"/>
      <c r="N32" s="1694"/>
    </row>
    <row r="33" spans="1:14" x14ac:dyDescent="0.25">
      <c r="A33" s="1702">
        <v>8</v>
      </c>
      <c r="B33" s="1703" t="s">
        <v>1574</v>
      </c>
      <c r="C33" s="1704"/>
      <c r="D33" s="1600"/>
      <c r="E33" s="1687"/>
      <c r="F33" s="1687"/>
      <c r="G33" s="1687"/>
      <c r="H33" s="1705"/>
      <c r="I33" s="1706">
        <v>11</v>
      </c>
      <c r="J33" s="1547">
        <v>1300</v>
      </c>
      <c r="K33" s="1700">
        <f t="shared" si="2"/>
        <v>14.3</v>
      </c>
      <c r="L33" s="1693"/>
      <c r="M33" s="1693"/>
      <c r="N33" s="1694"/>
    </row>
    <row r="34" spans="1:14" x14ac:dyDescent="0.25">
      <c r="A34" s="1702">
        <v>9</v>
      </c>
      <c r="B34" s="1703" t="s">
        <v>1575</v>
      </c>
      <c r="C34" s="1704"/>
      <c r="D34" s="1600"/>
      <c r="E34" s="1687"/>
      <c r="F34" s="1687"/>
      <c r="G34" s="1687"/>
      <c r="H34" s="1705"/>
      <c r="I34" s="1706">
        <v>46</v>
      </c>
      <c r="J34" s="1547">
        <v>60</v>
      </c>
      <c r="K34" s="1700">
        <f t="shared" si="2"/>
        <v>2.76</v>
      </c>
      <c r="L34" s="1693"/>
      <c r="M34" s="1693"/>
      <c r="N34" s="1694"/>
    </row>
    <row r="35" spans="1:14" x14ac:dyDescent="0.25">
      <c r="A35" s="1702">
        <v>10</v>
      </c>
      <c r="B35" s="1703" t="s">
        <v>1576</v>
      </c>
      <c r="C35" s="1704"/>
      <c r="D35" s="1600"/>
      <c r="E35" s="1687"/>
      <c r="F35" s="1687"/>
      <c r="G35" s="1687"/>
      <c r="H35" s="1705"/>
      <c r="I35" s="1706">
        <v>12</v>
      </c>
      <c r="J35" s="1547">
        <v>55</v>
      </c>
      <c r="K35" s="1700">
        <f t="shared" si="2"/>
        <v>0.66</v>
      </c>
      <c r="L35" s="1693"/>
      <c r="M35" s="1693"/>
      <c r="N35" s="1694"/>
    </row>
    <row r="36" spans="1:14" x14ac:dyDescent="0.25">
      <c r="A36" s="1702">
        <v>11</v>
      </c>
      <c r="B36" s="1703" t="s">
        <v>1577</v>
      </c>
      <c r="C36" s="1704"/>
      <c r="D36" s="1600"/>
      <c r="E36" s="1687"/>
      <c r="F36" s="1687"/>
      <c r="G36" s="1687"/>
      <c r="H36" s="1705"/>
      <c r="I36" s="1706">
        <v>2</v>
      </c>
      <c r="J36" s="1547">
        <v>440</v>
      </c>
      <c r="K36" s="1700">
        <f t="shared" si="2"/>
        <v>0.88</v>
      </c>
      <c r="L36" s="1693"/>
      <c r="M36" s="1693"/>
      <c r="N36" s="1694"/>
    </row>
    <row r="37" spans="1:14" x14ac:dyDescent="0.25">
      <c r="A37" s="1702">
        <v>12</v>
      </c>
      <c r="B37" s="1707" t="s">
        <v>1578</v>
      </c>
      <c r="C37" s="1704"/>
      <c r="D37" s="1600"/>
      <c r="E37" s="1687"/>
      <c r="F37" s="1687"/>
      <c r="G37" s="1687"/>
      <c r="H37" s="1705"/>
      <c r="I37" s="1706">
        <v>4</v>
      </c>
      <c r="J37" s="1547">
        <v>270</v>
      </c>
      <c r="K37" s="1700">
        <f t="shared" si="2"/>
        <v>1.08</v>
      </c>
      <c r="L37" s="1693"/>
      <c r="M37" s="1693"/>
      <c r="N37" s="1694"/>
    </row>
    <row r="38" spans="1:14" x14ac:dyDescent="0.25">
      <c r="A38" s="1702">
        <v>13</v>
      </c>
      <c r="B38" s="1707" t="s">
        <v>1579</v>
      </c>
      <c r="C38" s="1704"/>
      <c r="D38" s="1600"/>
      <c r="E38" s="1687"/>
      <c r="F38" s="1687"/>
      <c r="G38" s="1687"/>
      <c r="H38" s="1705"/>
      <c r="I38" s="1706">
        <v>4</v>
      </c>
      <c r="J38" s="1547">
        <v>200</v>
      </c>
      <c r="K38" s="1700">
        <f t="shared" si="2"/>
        <v>0.8</v>
      </c>
      <c r="L38" s="1693"/>
      <c r="M38" s="1693"/>
      <c r="N38" s="1694"/>
    </row>
    <row r="39" spans="1:14" x14ac:dyDescent="0.25">
      <c r="A39" s="1702">
        <v>14</v>
      </c>
      <c r="B39" s="1707" t="s">
        <v>1580</v>
      </c>
      <c r="C39" s="1704"/>
      <c r="D39" s="1600"/>
      <c r="E39" s="1687"/>
      <c r="F39" s="1687"/>
      <c r="G39" s="1687"/>
      <c r="H39" s="1705"/>
      <c r="I39" s="1706">
        <v>6</v>
      </c>
      <c r="J39" s="1547">
        <v>150</v>
      </c>
      <c r="K39" s="1700">
        <f t="shared" si="2"/>
        <v>0.9</v>
      </c>
      <c r="L39" s="1693"/>
      <c r="M39" s="1693"/>
      <c r="N39" s="1694"/>
    </row>
    <row r="40" spans="1:14" x14ac:dyDescent="0.25">
      <c r="A40" s="1702">
        <v>15</v>
      </c>
      <c r="B40" s="1707" t="s">
        <v>1581</v>
      </c>
      <c r="C40" s="1704"/>
      <c r="D40" s="1600"/>
      <c r="E40" s="1687"/>
      <c r="F40" s="1687"/>
      <c r="G40" s="1687"/>
      <c r="H40" s="1705"/>
      <c r="I40" s="1706">
        <v>1</v>
      </c>
      <c r="J40" s="1547">
        <v>650</v>
      </c>
      <c r="K40" s="1700">
        <f t="shared" si="2"/>
        <v>0.65</v>
      </c>
      <c r="L40" s="1693"/>
      <c r="M40" s="1693"/>
      <c r="N40" s="1694"/>
    </row>
    <row r="41" spans="1:14" x14ac:dyDescent="0.25">
      <c r="A41" s="1702">
        <v>16</v>
      </c>
      <c r="B41" s="1707" t="s">
        <v>1582</v>
      </c>
      <c r="C41" s="1704"/>
      <c r="D41" s="1600"/>
      <c r="E41" s="1687"/>
      <c r="F41" s="1687"/>
      <c r="G41" s="1687"/>
      <c r="H41" s="1705"/>
      <c r="I41" s="1706">
        <v>2</v>
      </c>
      <c r="J41" s="1547">
        <v>950</v>
      </c>
      <c r="K41" s="1700">
        <f t="shared" si="2"/>
        <v>1.9</v>
      </c>
      <c r="L41" s="1693"/>
      <c r="M41" s="1693"/>
      <c r="N41" s="1694"/>
    </row>
    <row r="42" spans="1:14" x14ac:dyDescent="0.25">
      <c r="A42" s="1702">
        <v>17</v>
      </c>
      <c r="B42" s="1707" t="s">
        <v>1583</v>
      </c>
      <c r="C42" s="1704"/>
      <c r="D42" s="1600"/>
      <c r="E42" s="1687"/>
      <c r="F42" s="1687"/>
      <c r="G42" s="1687"/>
      <c r="H42" s="1705"/>
      <c r="I42" s="1706">
        <v>4</v>
      </c>
      <c r="J42" s="1547">
        <v>860</v>
      </c>
      <c r="K42" s="1700">
        <f t="shared" si="2"/>
        <v>3.44</v>
      </c>
      <c r="L42" s="1693"/>
      <c r="M42" s="1693"/>
      <c r="N42" s="1694"/>
    </row>
    <row r="43" spans="1:14" x14ac:dyDescent="0.25">
      <c r="A43" s="1702">
        <v>18</v>
      </c>
      <c r="B43" s="1707" t="s">
        <v>1584</v>
      </c>
      <c r="C43" s="1704"/>
      <c r="D43" s="1600"/>
      <c r="E43" s="1687"/>
      <c r="F43" s="1687"/>
      <c r="G43" s="1687"/>
      <c r="H43" s="1705"/>
      <c r="I43" s="1706">
        <v>4</v>
      </c>
      <c r="J43" s="1547">
        <v>300</v>
      </c>
      <c r="K43" s="1700">
        <f t="shared" si="2"/>
        <v>1.2</v>
      </c>
      <c r="L43" s="1693"/>
      <c r="M43" s="1693"/>
      <c r="N43" s="1694"/>
    </row>
    <row r="44" spans="1:14" x14ac:dyDescent="0.25">
      <c r="A44" s="1702">
        <v>19</v>
      </c>
      <c r="B44" s="1707" t="s">
        <v>1585</v>
      </c>
      <c r="C44" s="1704"/>
      <c r="D44" s="1600"/>
      <c r="E44" s="1687"/>
      <c r="F44" s="1687"/>
      <c r="G44" s="1687"/>
      <c r="H44" s="1705"/>
      <c r="I44" s="1706">
        <v>40</v>
      </c>
      <c r="J44" s="1547">
        <v>50</v>
      </c>
      <c r="K44" s="1700">
        <f t="shared" si="2"/>
        <v>2</v>
      </c>
      <c r="L44" s="1693"/>
      <c r="M44" s="1693"/>
      <c r="N44" s="1694"/>
    </row>
    <row r="45" spans="1:14" x14ac:dyDescent="0.25">
      <c r="A45" s="1702">
        <v>20</v>
      </c>
      <c r="B45" s="1707" t="s">
        <v>1586</v>
      </c>
      <c r="C45" s="1704"/>
      <c r="D45" s="1600"/>
      <c r="E45" s="1687"/>
      <c r="F45" s="1687"/>
      <c r="G45" s="1687"/>
      <c r="H45" s="1705"/>
      <c r="I45" s="1706">
        <v>40</v>
      </c>
      <c r="J45" s="1547">
        <v>50</v>
      </c>
      <c r="K45" s="1700">
        <f t="shared" si="2"/>
        <v>2</v>
      </c>
      <c r="L45" s="1693"/>
      <c r="M45" s="1693"/>
      <c r="N45" s="1694"/>
    </row>
    <row r="46" spans="1:14" x14ac:dyDescent="0.25">
      <c r="A46" s="1702">
        <v>21</v>
      </c>
      <c r="B46" s="1707" t="s">
        <v>1587</v>
      </c>
      <c r="C46" s="1704"/>
      <c r="D46" s="1600"/>
      <c r="E46" s="1687"/>
      <c r="F46" s="1687"/>
      <c r="G46" s="1687"/>
      <c r="H46" s="1705"/>
      <c r="I46" s="1706">
        <v>30</v>
      </c>
      <c r="J46" s="1547">
        <v>50</v>
      </c>
      <c r="K46" s="1700">
        <f t="shared" si="2"/>
        <v>1.5</v>
      </c>
      <c r="L46" s="1693"/>
      <c r="M46" s="1693"/>
      <c r="N46" s="1694"/>
    </row>
    <row r="47" spans="1:14" x14ac:dyDescent="0.25">
      <c r="A47" s="1702">
        <v>22</v>
      </c>
      <c r="B47" s="1707" t="s">
        <v>1588</v>
      </c>
      <c r="C47" s="1704"/>
      <c r="D47" s="1600"/>
      <c r="E47" s="1687"/>
      <c r="F47" s="1687"/>
      <c r="G47" s="1687"/>
      <c r="H47" s="1705"/>
      <c r="I47" s="1706">
        <v>30</v>
      </c>
      <c r="J47" s="1547">
        <v>50</v>
      </c>
      <c r="K47" s="1700">
        <f t="shared" si="2"/>
        <v>1.5</v>
      </c>
      <c r="L47" s="1693"/>
      <c r="M47" s="1693"/>
      <c r="N47" s="1694"/>
    </row>
    <row r="48" spans="1:14" ht="25.5" x14ac:dyDescent="0.25">
      <c r="A48" s="1702">
        <v>23</v>
      </c>
      <c r="B48" s="1707" t="s">
        <v>1589</v>
      </c>
      <c r="C48" s="1704"/>
      <c r="D48" s="1600"/>
      <c r="E48" s="1687"/>
      <c r="F48" s="1687"/>
      <c r="G48" s="1687"/>
      <c r="H48" s="1705"/>
      <c r="I48" s="1706">
        <v>2</v>
      </c>
      <c r="J48" s="1547">
        <v>750</v>
      </c>
      <c r="K48" s="1700">
        <f t="shared" si="2"/>
        <v>1.5</v>
      </c>
      <c r="L48" s="1693"/>
      <c r="M48" s="1693"/>
      <c r="N48" s="1694"/>
    </row>
    <row r="49" spans="1:14" x14ac:dyDescent="0.25">
      <c r="A49" s="1685" t="s">
        <v>372</v>
      </c>
      <c r="B49" s="1686" t="s">
        <v>373</v>
      </c>
      <c r="C49" s="1600"/>
      <c r="D49" s="1600"/>
      <c r="E49" s="1687"/>
      <c r="F49" s="1687"/>
      <c r="G49" s="1687"/>
      <c r="H49" s="1687"/>
      <c r="I49" s="1600"/>
      <c r="J49" s="1600"/>
      <c r="K49" s="1701">
        <f>SUM(K50:K64)</f>
        <v>46.6</v>
      </c>
      <c r="L49" s="1693">
        <v>46.6</v>
      </c>
      <c r="M49" s="1693">
        <v>46.6</v>
      </c>
      <c r="N49" s="1694"/>
    </row>
    <row r="50" spans="1:14" x14ac:dyDescent="0.25">
      <c r="A50" s="1702">
        <v>1</v>
      </c>
      <c r="B50" s="1703" t="s">
        <v>1590</v>
      </c>
      <c r="C50" s="1704"/>
      <c r="D50" s="1600"/>
      <c r="E50" s="1687"/>
      <c r="F50" s="1687"/>
      <c r="G50" s="1687"/>
      <c r="H50" s="1705"/>
      <c r="I50" s="1706">
        <v>30</v>
      </c>
      <c r="J50" s="1547">
        <v>200</v>
      </c>
      <c r="K50" s="1700">
        <f t="shared" si="2"/>
        <v>6</v>
      </c>
      <c r="L50" s="1693"/>
      <c r="M50" s="1693"/>
      <c r="N50" s="1694"/>
    </row>
    <row r="51" spans="1:14" x14ac:dyDescent="0.25">
      <c r="A51" s="1702">
        <v>2</v>
      </c>
      <c r="B51" s="1703" t="s">
        <v>1591</v>
      </c>
      <c r="C51" s="1704"/>
      <c r="D51" s="1600"/>
      <c r="E51" s="1687"/>
      <c r="F51" s="1687"/>
      <c r="G51" s="1687"/>
      <c r="H51" s="1705"/>
      <c r="I51" s="1706">
        <v>10</v>
      </c>
      <c r="J51" s="1547">
        <v>182</v>
      </c>
      <c r="K51" s="1700">
        <f t="shared" si="2"/>
        <v>1.82</v>
      </c>
      <c r="L51" s="1693"/>
      <c r="M51" s="1693"/>
      <c r="N51" s="1694"/>
    </row>
    <row r="52" spans="1:14" x14ac:dyDescent="0.25">
      <c r="A52" s="1702">
        <v>3</v>
      </c>
      <c r="B52" s="1703" t="s">
        <v>1592</v>
      </c>
      <c r="C52" s="1704"/>
      <c r="D52" s="1600"/>
      <c r="E52" s="1687"/>
      <c r="F52" s="1687"/>
      <c r="G52" s="1687"/>
      <c r="H52" s="1705"/>
      <c r="I52" s="1706">
        <v>20</v>
      </c>
      <c r="J52" s="1547">
        <v>105</v>
      </c>
      <c r="K52" s="1700">
        <f t="shared" si="2"/>
        <v>2.1</v>
      </c>
      <c r="L52" s="1693"/>
      <c r="M52" s="1693"/>
      <c r="N52" s="1694"/>
    </row>
    <row r="53" spans="1:14" x14ac:dyDescent="0.25">
      <c r="A53" s="1702">
        <v>4</v>
      </c>
      <c r="B53" s="1703" t="s">
        <v>1593</v>
      </c>
      <c r="C53" s="1704"/>
      <c r="D53" s="1600"/>
      <c r="E53" s="1687"/>
      <c r="F53" s="1687"/>
      <c r="G53" s="1687"/>
      <c r="H53" s="1705"/>
      <c r="I53" s="1706">
        <v>18</v>
      </c>
      <c r="J53" s="1547">
        <v>500</v>
      </c>
      <c r="K53" s="1700">
        <f t="shared" si="2"/>
        <v>9</v>
      </c>
      <c r="L53" s="1693"/>
      <c r="M53" s="1693"/>
      <c r="N53" s="1694"/>
    </row>
    <row r="54" spans="1:14" x14ac:dyDescent="0.25">
      <c r="A54" s="1702">
        <v>5</v>
      </c>
      <c r="B54" s="1703" t="s">
        <v>1594</v>
      </c>
      <c r="C54" s="1704"/>
      <c r="D54" s="1600"/>
      <c r="E54" s="1687"/>
      <c r="F54" s="1687"/>
      <c r="G54" s="1687"/>
      <c r="H54" s="1705"/>
      <c r="I54" s="1706">
        <v>26</v>
      </c>
      <c r="J54" s="1547">
        <v>70</v>
      </c>
      <c r="K54" s="1700">
        <f t="shared" si="2"/>
        <v>1.82</v>
      </c>
      <c r="L54" s="1693"/>
      <c r="M54" s="1693"/>
      <c r="N54" s="1694"/>
    </row>
    <row r="55" spans="1:14" x14ac:dyDescent="0.25">
      <c r="A55" s="1702">
        <v>6</v>
      </c>
      <c r="B55" s="1703" t="s">
        <v>1423</v>
      </c>
      <c r="C55" s="1704"/>
      <c r="D55" s="1600"/>
      <c r="E55" s="1687"/>
      <c r="F55" s="1687"/>
      <c r="G55" s="1687"/>
      <c r="H55" s="1705"/>
      <c r="I55" s="1706">
        <v>30</v>
      </c>
      <c r="J55" s="1547">
        <v>130</v>
      </c>
      <c r="K55" s="1700">
        <f t="shared" si="2"/>
        <v>3.9</v>
      </c>
      <c r="L55" s="1693"/>
      <c r="M55" s="1693"/>
      <c r="N55" s="1694"/>
    </row>
    <row r="56" spans="1:14" x14ac:dyDescent="0.25">
      <c r="A56" s="1702">
        <v>7</v>
      </c>
      <c r="B56" s="1703" t="s">
        <v>1595</v>
      </c>
      <c r="C56" s="1704"/>
      <c r="D56" s="1600"/>
      <c r="E56" s="1687"/>
      <c r="F56" s="1687"/>
      <c r="G56" s="1687"/>
      <c r="H56" s="1705"/>
      <c r="I56" s="1706">
        <v>10</v>
      </c>
      <c r="J56" s="1547">
        <v>460</v>
      </c>
      <c r="K56" s="1700">
        <f t="shared" si="2"/>
        <v>4.5999999999999996</v>
      </c>
      <c r="L56" s="1693"/>
      <c r="M56" s="1693"/>
      <c r="N56" s="1694"/>
    </row>
    <row r="57" spans="1:14" x14ac:dyDescent="0.25">
      <c r="A57" s="1702">
        <v>8</v>
      </c>
      <c r="B57" s="1703" t="s">
        <v>1596</v>
      </c>
      <c r="C57" s="1704"/>
      <c r="D57" s="1600"/>
      <c r="E57" s="1687"/>
      <c r="F57" s="1687"/>
      <c r="G57" s="1687"/>
      <c r="H57" s="1705"/>
      <c r="I57" s="1706">
        <v>12</v>
      </c>
      <c r="J57" s="1547">
        <v>375</v>
      </c>
      <c r="K57" s="1700">
        <f t="shared" si="2"/>
        <v>4.5</v>
      </c>
      <c r="L57" s="1693"/>
      <c r="M57" s="1693"/>
      <c r="N57" s="1694"/>
    </row>
    <row r="58" spans="1:14" x14ac:dyDescent="0.25">
      <c r="A58" s="1702">
        <v>9</v>
      </c>
      <c r="B58" s="1703" t="s">
        <v>1597</v>
      </c>
      <c r="C58" s="1704"/>
      <c r="D58" s="1600"/>
      <c r="E58" s="1687"/>
      <c r="F58" s="1687"/>
      <c r="G58" s="1687"/>
      <c r="H58" s="1705"/>
      <c r="I58" s="1706">
        <v>18</v>
      </c>
      <c r="J58" s="1547">
        <v>215</v>
      </c>
      <c r="K58" s="1700">
        <f t="shared" si="2"/>
        <v>3.87</v>
      </c>
      <c r="L58" s="1693"/>
      <c r="M58" s="1693"/>
      <c r="N58" s="1694"/>
    </row>
    <row r="59" spans="1:14" x14ac:dyDescent="0.25">
      <c r="A59" s="1702">
        <v>10</v>
      </c>
      <c r="B59" s="1703" t="s">
        <v>1598</v>
      </c>
      <c r="C59" s="1704"/>
      <c r="D59" s="1600"/>
      <c r="E59" s="1687"/>
      <c r="F59" s="1687"/>
      <c r="G59" s="1687"/>
      <c r="H59" s="1705"/>
      <c r="I59" s="1706">
        <v>10</v>
      </c>
      <c r="J59" s="1547">
        <v>100</v>
      </c>
      <c r="K59" s="1700">
        <f t="shared" si="2"/>
        <v>1</v>
      </c>
      <c r="L59" s="1693"/>
      <c r="M59" s="1693"/>
      <c r="N59" s="1694"/>
    </row>
    <row r="60" spans="1:14" x14ac:dyDescent="0.25">
      <c r="A60" s="1702">
        <v>11</v>
      </c>
      <c r="B60" s="1703" t="s">
        <v>1599</v>
      </c>
      <c r="C60" s="1704"/>
      <c r="D60" s="1600"/>
      <c r="E60" s="1687"/>
      <c r="F60" s="1687"/>
      <c r="G60" s="1687"/>
      <c r="H60" s="1705"/>
      <c r="I60" s="1706">
        <v>10</v>
      </c>
      <c r="J60" s="1547">
        <v>115</v>
      </c>
      <c r="K60" s="1700">
        <f t="shared" si="2"/>
        <v>1.1499999999999999</v>
      </c>
      <c r="L60" s="1693"/>
      <c r="M60" s="1693"/>
      <c r="N60" s="1694"/>
    </row>
    <row r="61" spans="1:14" x14ac:dyDescent="0.25">
      <c r="A61" s="1702">
        <v>12</v>
      </c>
      <c r="B61" s="1691" t="s">
        <v>1600</v>
      </c>
      <c r="C61" s="1704"/>
      <c r="D61" s="1600"/>
      <c r="E61" s="1687"/>
      <c r="F61" s="1687"/>
      <c r="G61" s="1687"/>
      <c r="H61" s="1705"/>
      <c r="I61" s="1706">
        <v>12</v>
      </c>
      <c r="J61" s="1547">
        <v>20</v>
      </c>
      <c r="K61" s="1700">
        <f t="shared" si="2"/>
        <v>0.24</v>
      </c>
      <c r="L61" s="1693"/>
      <c r="M61" s="1693"/>
      <c r="N61" s="1694"/>
    </row>
    <row r="62" spans="1:14" x14ac:dyDescent="0.25">
      <c r="A62" s="1702">
        <v>13</v>
      </c>
      <c r="B62" s="1691" t="s">
        <v>1410</v>
      </c>
      <c r="C62" s="1704"/>
      <c r="D62" s="1600"/>
      <c r="E62" s="1687"/>
      <c r="F62" s="1687"/>
      <c r="G62" s="1687"/>
      <c r="H62" s="1705"/>
      <c r="I62" s="1706">
        <v>48</v>
      </c>
      <c r="J62" s="1547">
        <v>100</v>
      </c>
      <c r="K62" s="1700">
        <f t="shared" si="2"/>
        <v>4.8</v>
      </c>
      <c r="L62" s="1693"/>
      <c r="M62" s="1693"/>
      <c r="N62" s="1694"/>
    </row>
    <row r="63" spans="1:14" x14ac:dyDescent="0.25">
      <c r="A63" s="1702">
        <v>14</v>
      </c>
      <c r="B63" s="1691" t="s">
        <v>1601</v>
      </c>
      <c r="C63" s="1704"/>
      <c r="D63" s="1600"/>
      <c r="E63" s="1687"/>
      <c r="F63" s="1687"/>
      <c r="G63" s="1687"/>
      <c r="H63" s="1705"/>
      <c r="I63" s="1706">
        <v>3</v>
      </c>
      <c r="J63" s="1547">
        <v>400</v>
      </c>
      <c r="K63" s="1700">
        <f t="shared" si="2"/>
        <v>1.2</v>
      </c>
      <c r="L63" s="1693"/>
      <c r="M63" s="1693"/>
      <c r="N63" s="1694"/>
    </row>
    <row r="64" spans="1:14" x14ac:dyDescent="0.25">
      <c r="A64" s="1702">
        <v>15</v>
      </c>
      <c r="B64" s="1691" t="s">
        <v>1602</v>
      </c>
      <c r="C64" s="1704"/>
      <c r="D64" s="1600"/>
      <c r="E64" s="1687"/>
      <c r="F64" s="1687"/>
      <c r="G64" s="1687"/>
      <c r="H64" s="1705"/>
      <c r="I64" s="1706">
        <v>5</v>
      </c>
      <c r="J64" s="1547">
        <v>120</v>
      </c>
      <c r="K64" s="1700">
        <f t="shared" si="2"/>
        <v>0.6</v>
      </c>
      <c r="L64" s="1693"/>
      <c r="M64" s="1693"/>
      <c r="N64" s="1694"/>
    </row>
    <row r="65" spans="1:19" x14ac:dyDescent="0.25">
      <c r="A65" s="1685" t="s">
        <v>374</v>
      </c>
      <c r="B65" s="1699" t="s">
        <v>375</v>
      </c>
      <c r="C65" s="1600"/>
      <c r="D65" s="1600"/>
      <c r="E65" s="1687"/>
      <c r="F65" s="1687"/>
      <c r="G65" s="1687"/>
      <c r="H65" s="1687"/>
      <c r="I65" s="1600"/>
      <c r="J65" s="1600"/>
      <c r="K65" s="1701">
        <f>SUM(K66:K67)</f>
        <v>40</v>
      </c>
      <c r="L65" s="1695">
        <v>40</v>
      </c>
      <c r="M65" s="1695">
        <v>40</v>
      </c>
      <c r="N65" s="1694"/>
      <c r="S65" s="1708"/>
    </row>
    <row r="66" spans="1:19" ht="25.5" x14ac:dyDescent="0.25">
      <c r="A66" s="1702">
        <v>1</v>
      </c>
      <c r="B66" s="1707" t="s">
        <v>1603</v>
      </c>
      <c r="C66" s="1704"/>
      <c r="D66" s="1600"/>
      <c r="E66" s="1687"/>
      <c r="F66" s="1687"/>
      <c r="G66" s="1687"/>
      <c r="H66" s="1705"/>
      <c r="I66" s="1706">
        <v>24</v>
      </c>
      <c r="J66" s="1547">
        <v>500</v>
      </c>
      <c r="K66" s="1700">
        <f t="shared" si="2"/>
        <v>12</v>
      </c>
      <c r="L66" s="1693"/>
      <c r="M66" s="1695"/>
      <c r="N66" s="1694"/>
      <c r="S66" s="1708"/>
    </row>
    <row r="67" spans="1:19" x14ac:dyDescent="0.25">
      <c r="A67" s="1709">
        <v>2</v>
      </c>
      <c r="B67" s="1707" t="s">
        <v>1604</v>
      </c>
      <c r="C67" s="1704"/>
      <c r="D67" s="1600"/>
      <c r="E67" s="1687"/>
      <c r="F67" s="1687"/>
      <c r="G67" s="1687"/>
      <c r="H67" s="1705"/>
      <c r="I67" s="1706">
        <v>2</v>
      </c>
      <c r="J67" s="1547">
        <v>14000</v>
      </c>
      <c r="K67" s="1700">
        <f t="shared" si="2"/>
        <v>28</v>
      </c>
      <c r="L67" s="1693"/>
      <c r="M67" s="1693"/>
      <c r="N67" s="1694"/>
      <c r="S67" s="1708"/>
    </row>
    <row r="68" spans="1:19" ht="31.5" x14ac:dyDescent="0.25">
      <c r="A68" s="1698" t="s">
        <v>376</v>
      </c>
      <c r="B68" s="1699" t="s">
        <v>1605</v>
      </c>
      <c r="C68" s="1600"/>
      <c r="D68" s="1600"/>
      <c r="E68" s="1687"/>
      <c r="F68" s="1687"/>
      <c r="G68" s="1687"/>
      <c r="H68" s="1687"/>
      <c r="I68" s="1600"/>
      <c r="J68" s="1600"/>
      <c r="K68" s="1710">
        <f>SUM(K69:K71)</f>
        <v>492</v>
      </c>
      <c r="L68" s="1695">
        <v>492</v>
      </c>
      <c r="M68" s="1695">
        <v>492</v>
      </c>
      <c r="N68" s="1694"/>
    </row>
    <row r="69" spans="1:19" x14ac:dyDescent="0.25">
      <c r="A69" s="1600">
        <v>1</v>
      </c>
      <c r="B69" s="1696" t="s">
        <v>1606</v>
      </c>
      <c r="C69" s="1600"/>
      <c r="D69" s="1600"/>
      <c r="E69" s="1687"/>
      <c r="F69" s="1687"/>
      <c r="G69" s="1687"/>
      <c r="H69" s="1687"/>
      <c r="I69" s="1600">
        <v>5</v>
      </c>
      <c r="J69" s="1600">
        <v>78000</v>
      </c>
      <c r="K69" s="1711">
        <f t="shared" ref="K69:K71" si="3">I69*J69/1000</f>
        <v>390</v>
      </c>
      <c r="L69" s="1693"/>
      <c r="M69" s="1693"/>
      <c r="N69" s="1694"/>
    </row>
    <row r="70" spans="1:19" x14ac:dyDescent="0.25">
      <c r="A70" s="1600">
        <v>2</v>
      </c>
      <c r="B70" s="1696" t="s">
        <v>1607</v>
      </c>
      <c r="C70" s="1600"/>
      <c r="D70" s="1600"/>
      <c r="E70" s="1687"/>
      <c r="F70" s="1687"/>
      <c r="G70" s="1687"/>
      <c r="H70" s="1687"/>
      <c r="I70" s="1600">
        <v>20000</v>
      </c>
      <c r="J70" s="1600">
        <v>4.55</v>
      </c>
      <c r="K70" s="1711">
        <f t="shared" si="3"/>
        <v>91</v>
      </c>
      <c r="L70" s="1693"/>
      <c r="M70" s="1693"/>
      <c r="N70" s="1694"/>
    </row>
    <row r="71" spans="1:19" x14ac:dyDescent="0.25">
      <c r="A71" s="1600">
        <v>3</v>
      </c>
      <c r="B71" s="1696" t="s">
        <v>1608</v>
      </c>
      <c r="C71" s="1600"/>
      <c r="D71" s="1600"/>
      <c r="E71" s="1687"/>
      <c r="F71" s="1687"/>
      <c r="G71" s="1687"/>
      <c r="H71" s="1687"/>
      <c r="I71" s="1600">
        <v>1</v>
      </c>
      <c r="J71" s="1600">
        <v>11000</v>
      </c>
      <c r="K71" s="1711">
        <f t="shared" si="3"/>
        <v>11</v>
      </c>
      <c r="L71" s="1693"/>
      <c r="M71" s="1693"/>
      <c r="N71" s="1694"/>
    </row>
    <row r="72" spans="1:19" x14ac:dyDescent="0.25">
      <c r="A72" s="1698" t="s">
        <v>1609</v>
      </c>
      <c r="B72" s="1699" t="s">
        <v>377</v>
      </c>
      <c r="C72" s="1600"/>
      <c r="D72" s="1600"/>
      <c r="E72" s="1687"/>
      <c r="F72" s="1687"/>
      <c r="G72" s="1687"/>
      <c r="H72" s="1687"/>
      <c r="I72" s="1600"/>
      <c r="J72" s="1600"/>
      <c r="K72" s="1695">
        <f>SUM(K73:K81)</f>
        <v>190.9</v>
      </c>
      <c r="L72" s="1693">
        <v>190.9</v>
      </c>
      <c r="M72" s="1693">
        <v>190.9</v>
      </c>
      <c r="N72" s="1694"/>
    </row>
    <row r="73" spans="1:19" ht="35.25" customHeight="1" x14ac:dyDescent="0.25">
      <c r="A73" s="1600">
        <v>1</v>
      </c>
      <c r="B73" s="1696" t="s">
        <v>1610</v>
      </c>
      <c r="C73" s="1600"/>
      <c r="D73" s="1600"/>
      <c r="E73" s="1687"/>
      <c r="F73" s="1687"/>
      <c r="G73" s="1687"/>
      <c r="H73" s="1687"/>
      <c r="I73" s="1600">
        <v>50</v>
      </c>
      <c r="J73" s="1600">
        <v>50</v>
      </c>
      <c r="K73" s="1687">
        <f>I73*J73/1000</f>
        <v>2.5</v>
      </c>
      <c r="L73" s="1693"/>
      <c r="M73" s="1695"/>
      <c r="N73" s="1712" t="s">
        <v>1520</v>
      </c>
    </row>
    <row r="74" spans="1:19" ht="43.5" customHeight="1" x14ac:dyDescent="0.25">
      <c r="A74" s="1600">
        <v>2</v>
      </c>
      <c r="B74" s="1696" t="s">
        <v>1611</v>
      </c>
      <c r="C74" s="1600"/>
      <c r="D74" s="1600"/>
      <c r="E74" s="1687"/>
      <c r="F74" s="1687"/>
      <c r="G74" s="1687"/>
      <c r="H74" s="1687"/>
      <c r="I74" s="1600">
        <v>12</v>
      </c>
      <c r="J74" s="1600">
        <v>100</v>
      </c>
      <c r="K74" s="1687">
        <f>I74*J74/1000</f>
        <v>1.2</v>
      </c>
      <c r="L74" s="1693"/>
      <c r="M74" s="1693"/>
      <c r="N74" s="1712" t="s">
        <v>1520</v>
      </c>
    </row>
    <row r="75" spans="1:19" ht="36.75" customHeight="1" x14ac:dyDescent="0.25">
      <c r="A75" s="1600">
        <v>3</v>
      </c>
      <c r="B75" s="1713" t="s">
        <v>1612</v>
      </c>
      <c r="C75" s="1600"/>
      <c r="D75" s="1600"/>
      <c r="E75" s="1687"/>
      <c r="F75" s="1687"/>
      <c r="G75" s="1687"/>
      <c r="H75" s="1687"/>
      <c r="I75" s="1600">
        <v>14</v>
      </c>
      <c r="J75" s="1600">
        <v>100</v>
      </c>
      <c r="K75" s="1687">
        <f t="shared" ref="K75:K80" si="4">I75*J75/1000</f>
        <v>1.4</v>
      </c>
      <c r="L75" s="1693"/>
      <c r="M75" s="1693"/>
      <c r="N75" s="1712" t="s">
        <v>1613</v>
      </c>
    </row>
    <row r="76" spans="1:19" ht="36" customHeight="1" x14ac:dyDescent="0.25">
      <c r="A76" s="1600">
        <v>4</v>
      </c>
      <c r="B76" s="1714" t="s">
        <v>1614</v>
      </c>
      <c r="C76" s="1600"/>
      <c r="D76" s="1600"/>
      <c r="E76" s="1687"/>
      <c r="F76" s="1687"/>
      <c r="G76" s="1687"/>
      <c r="H76" s="1687"/>
      <c r="I76" s="1600">
        <v>4</v>
      </c>
      <c r="J76" s="1600">
        <v>380</v>
      </c>
      <c r="K76" s="1687">
        <v>1.5</v>
      </c>
      <c r="L76" s="1693"/>
      <c r="M76" s="1693"/>
      <c r="N76" s="1712" t="s">
        <v>1613</v>
      </c>
    </row>
    <row r="77" spans="1:19" ht="36.75" customHeight="1" x14ac:dyDescent="0.25">
      <c r="A77" s="1600">
        <v>5</v>
      </c>
      <c r="B77" s="1714" t="s">
        <v>1615</v>
      </c>
      <c r="C77" s="1600"/>
      <c r="D77" s="1600"/>
      <c r="E77" s="1687"/>
      <c r="F77" s="1687"/>
      <c r="G77" s="1687"/>
      <c r="H77" s="1687"/>
      <c r="I77" s="1600">
        <v>4</v>
      </c>
      <c r="J77" s="1600">
        <v>380</v>
      </c>
      <c r="K77" s="1687">
        <v>1.5</v>
      </c>
      <c r="L77" s="1693"/>
      <c r="M77" s="1693"/>
      <c r="N77" s="1712" t="s">
        <v>1613</v>
      </c>
    </row>
    <row r="78" spans="1:19" ht="27.75" customHeight="1" x14ac:dyDescent="0.25">
      <c r="A78" s="1600">
        <v>6</v>
      </c>
      <c r="B78" s="1714" t="s">
        <v>1616</v>
      </c>
      <c r="C78" s="1600"/>
      <c r="D78" s="1600"/>
      <c r="E78" s="1687"/>
      <c r="F78" s="1687"/>
      <c r="G78" s="1687"/>
      <c r="H78" s="1687"/>
      <c r="I78" s="1600">
        <v>1</v>
      </c>
      <c r="J78" s="1600">
        <v>9600</v>
      </c>
      <c r="K78" s="1687">
        <f t="shared" si="4"/>
        <v>9.6</v>
      </c>
      <c r="L78" s="1693"/>
      <c r="M78" s="1693"/>
      <c r="N78" s="1712" t="s">
        <v>1546</v>
      </c>
    </row>
    <row r="79" spans="1:19" ht="22.5" customHeight="1" x14ac:dyDescent="0.25">
      <c r="A79" s="1600">
        <v>7</v>
      </c>
      <c r="B79" s="1714" t="s">
        <v>1403</v>
      </c>
      <c r="C79" s="1600"/>
      <c r="D79" s="1600"/>
      <c r="E79" s="1687"/>
      <c r="F79" s="1687"/>
      <c r="G79" s="1687"/>
      <c r="H79" s="1687"/>
      <c r="I79" s="1600">
        <v>200</v>
      </c>
      <c r="J79" s="1600">
        <v>50</v>
      </c>
      <c r="K79" s="1715">
        <f t="shared" si="4"/>
        <v>10</v>
      </c>
      <c r="L79" s="1693"/>
      <c r="M79" s="1693"/>
      <c r="N79" s="1712"/>
    </row>
    <row r="80" spans="1:19" ht="20.25" customHeight="1" x14ac:dyDescent="0.25">
      <c r="A80" s="1600">
        <v>8</v>
      </c>
      <c r="B80" s="1714" t="s">
        <v>1617</v>
      </c>
      <c r="C80" s="1600"/>
      <c r="D80" s="1600"/>
      <c r="E80" s="1687"/>
      <c r="F80" s="1687"/>
      <c r="G80" s="1687"/>
      <c r="H80" s="1687"/>
      <c r="I80" s="1600">
        <v>60</v>
      </c>
      <c r="J80" s="1600">
        <v>2000</v>
      </c>
      <c r="K80" s="1715">
        <f t="shared" si="4"/>
        <v>120</v>
      </c>
      <c r="L80" s="1693"/>
      <c r="M80" s="1693"/>
      <c r="N80" s="1712"/>
    </row>
    <row r="81" spans="1:14" ht="80.25" customHeight="1" x14ac:dyDescent="0.25">
      <c r="A81" s="1600">
        <v>9</v>
      </c>
      <c r="B81" s="1714" t="s">
        <v>1618</v>
      </c>
      <c r="C81" s="1600"/>
      <c r="D81" s="1600"/>
      <c r="E81" s="1687"/>
      <c r="F81" s="1687"/>
      <c r="G81" s="1687"/>
      <c r="H81" s="1687"/>
      <c r="I81" s="1600"/>
      <c r="J81" s="1600"/>
      <c r="K81" s="1711">
        <v>43.2</v>
      </c>
      <c r="L81" s="1693"/>
      <c r="M81" s="1693"/>
      <c r="N81" s="1712"/>
    </row>
    <row r="82" spans="1:14" x14ac:dyDescent="0.25">
      <c r="A82" s="1600"/>
      <c r="B82" s="1716" t="s">
        <v>202</v>
      </c>
      <c r="C82" s="1600"/>
      <c r="D82" s="1600"/>
      <c r="E82" s="1600"/>
      <c r="F82" s="1600"/>
      <c r="G82" s="1600"/>
      <c r="H82" s="1600"/>
      <c r="I82" s="1600"/>
      <c r="J82" s="1600"/>
      <c r="K82" s="1717">
        <f>K9+K15+K18+K23+K25+K49+K65+K72+K68</f>
        <v>1089.7</v>
      </c>
      <c r="L82" s="1717">
        <f>SUM(L9:L81)</f>
        <v>1089.7</v>
      </c>
      <c r="M82" s="1717">
        <f>SUM(M9:M81)</f>
        <v>1089.7</v>
      </c>
      <c r="N82" s="1694"/>
    </row>
    <row r="83" spans="1:14" s="1413" customFormat="1" ht="18.75" customHeight="1" x14ac:dyDescent="0.25">
      <c r="A83" s="4018" t="s">
        <v>188</v>
      </c>
      <c r="B83" s="4018"/>
      <c r="C83" s="4018"/>
      <c r="D83" s="4018"/>
      <c r="E83" s="4018"/>
      <c r="F83" s="4018"/>
      <c r="G83" s="4018"/>
      <c r="H83" s="4018"/>
      <c r="I83" s="4018"/>
      <c r="J83" s="4018"/>
      <c r="K83" s="4018"/>
      <c r="L83" s="4018"/>
      <c r="M83" s="4018"/>
    </row>
    <row r="84" spans="1:14" ht="18.75" x14ac:dyDescent="0.3">
      <c r="A84" s="1718"/>
    </row>
    <row r="85" spans="1:14" x14ac:dyDescent="0.25">
      <c r="B85" s="1349"/>
      <c r="C85" s="3989"/>
      <c r="D85" s="3989"/>
      <c r="E85" s="3989"/>
      <c r="F85" s="1349"/>
      <c r="G85" s="1349"/>
      <c r="H85" s="1349"/>
      <c r="L85" s="1393"/>
    </row>
    <row r="86" spans="1:14" x14ac:dyDescent="0.25">
      <c r="B86" s="1349"/>
      <c r="C86" s="3995"/>
      <c r="D86" s="3995"/>
      <c r="E86" s="3995"/>
      <c r="F86" s="1349"/>
      <c r="G86" s="1349"/>
      <c r="H86" s="1349"/>
    </row>
    <row r="87" spans="1:14" x14ac:dyDescent="0.25">
      <c r="B87" s="1611"/>
      <c r="C87" s="1349"/>
      <c r="D87" s="1349"/>
      <c r="E87" s="1349"/>
      <c r="F87" s="1349"/>
      <c r="G87" s="1349"/>
      <c r="H87" s="1349"/>
    </row>
    <row r="88" spans="1:14" x14ac:dyDescent="0.25">
      <c r="B88" s="1679"/>
      <c r="C88" s="1349"/>
      <c r="D88" s="1349"/>
      <c r="E88" s="1349"/>
      <c r="F88" s="1349"/>
      <c r="G88" s="1349"/>
      <c r="H88" s="1349"/>
    </row>
    <row r="89" spans="1:14" x14ac:dyDescent="0.25">
      <c r="B89" s="1349"/>
      <c r="C89" s="1349"/>
      <c r="D89" s="1349"/>
      <c r="E89" s="1349"/>
      <c r="F89" s="1349"/>
      <c r="G89" s="1349"/>
      <c r="H89" s="1349"/>
    </row>
  </sheetData>
  <mergeCells count="18">
    <mergeCell ref="C85:E85"/>
    <mergeCell ref="C86:E86"/>
    <mergeCell ref="D6:D7"/>
    <mergeCell ref="E6:H6"/>
    <mergeCell ref="I6:I7"/>
    <mergeCell ref="J6:J7"/>
    <mergeCell ref="K6:K7"/>
    <mergeCell ref="A83:M83"/>
    <mergeCell ref="A2:N2"/>
    <mergeCell ref="B3:M3"/>
    <mergeCell ref="A5:A7"/>
    <mergeCell ref="B5:B7"/>
    <mergeCell ref="C5:H5"/>
    <mergeCell ref="I5:K5"/>
    <mergeCell ref="L5:L7"/>
    <mergeCell ref="M5:M7"/>
    <mergeCell ref="N5:N7"/>
    <mergeCell ref="C6:C7"/>
  </mergeCells>
  <pageMargins left="1.299212598425197" right="0.70866141732283472" top="0.74803149606299213" bottom="0.74803149606299213" header="0.31496062992125984" footer="0.31496062992125984"/>
  <pageSetup paperSize="9" scale="42" orientation="portrait" r:id="rId1"/>
  <rowBreaks count="1" manualBreakCount="1">
    <brk id="47"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20"/>
  <sheetViews>
    <sheetView view="pageBreakPreview" zoomScaleNormal="100" zoomScaleSheetLayoutView="100" workbookViewId="0">
      <selection activeCell="P18" sqref="P18"/>
    </sheetView>
  </sheetViews>
  <sheetFormatPr defaultRowHeight="15.75" x14ac:dyDescent="0.25"/>
  <cols>
    <col min="1" max="1" width="9.33203125" style="1393"/>
    <col min="2" max="2" width="45.33203125" style="1393" customWidth="1"/>
    <col min="3" max="3" width="14.33203125" style="1393" customWidth="1"/>
    <col min="4" max="4" width="15.83203125" style="1393" customWidth="1"/>
    <col min="5" max="5" width="20" style="1393" customWidth="1"/>
    <col min="6" max="7" width="15.83203125" style="1393" customWidth="1"/>
    <col min="8" max="8" width="27.83203125" style="1393" customWidth="1"/>
    <col min="9" max="16384" width="9.33203125" style="1393"/>
  </cols>
  <sheetData>
    <row r="1" spans="1:8" ht="31.5" customHeight="1" x14ac:dyDescent="0.25">
      <c r="A1" s="3916" t="s">
        <v>381</v>
      </c>
      <c r="B1" s="3916"/>
      <c r="C1" s="3916"/>
      <c r="D1" s="3916"/>
      <c r="E1" s="3916"/>
      <c r="F1" s="3916"/>
      <c r="G1" s="3916"/>
      <c r="H1" s="3916"/>
    </row>
    <row r="2" spans="1:8" ht="31.5" customHeight="1" x14ac:dyDescent="0.25">
      <c r="A2" s="3916" t="s">
        <v>1444</v>
      </c>
      <c r="B2" s="3916"/>
      <c r="C2" s="3916"/>
      <c r="D2" s="3916"/>
      <c r="E2" s="3916"/>
      <c r="F2" s="3916"/>
      <c r="G2" s="3916"/>
      <c r="H2" s="3916"/>
    </row>
    <row r="3" spans="1:8" x14ac:dyDescent="0.25">
      <c r="H3" s="1398" t="s">
        <v>1311</v>
      </c>
    </row>
    <row r="4" spans="1:8" ht="15.75" customHeight="1" x14ac:dyDescent="0.25">
      <c r="A4" s="3919" t="s">
        <v>78</v>
      </c>
      <c r="B4" s="3920" t="s">
        <v>185</v>
      </c>
      <c r="C4" s="4019" t="s">
        <v>181</v>
      </c>
      <c r="D4" s="4020"/>
      <c r="E4" s="4021"/>
      <c r="F4" s="4023" t="s">
        <v>330</v>
      </c>
      <c r="G4" s="4023" t="s">
        <v>336</v>
      </c>
      <c r="H4" s="3927" t="s">
        <v>180</v>
      </c>
    </row>
    <row r="5" spans="1:8" ht="34.5" customHeight="1" x14ac:dyDescent="0.25">
      <c r="A5" s="3919"/>
      <c r="B5" s="3921"/>
      <c r="C5" s="3920" t="s">
        <v>186</v>
      </c>
      <c r="D5" s="3920" t="s">
        <v>333</v>
      </c>
      <c r="E5" s="3920" t="s">
        <v>334</v>
      </c>
      <c r="F5" s="4024"/>
      <c r="G5" s="4024"/>
      <c r="H5" s="3928"/>
    </row>
    <row r="6" spans="1:8" ht="33" customHeight="1" x14ac:dyDescent="0.25">
      <c r="A6" s="3919"/>
      <c r="B6" s="3922"/>
      <c r="C6" s="3922"/>
      <c r="D6" s="3922"/>
      <c r="E6" s="3922"/>
      <c r="F6" s="4025"/>
      <c r="G6" s="4025"/>
      <c r="H6" s="3929"/>
    </row>
    <row r="7" spans="1:8" x14ac:dyDescent="0.25">
      <c r="A7" s="1600">
        <v>1</v>
      </c>
      <c r="B7" s="1682">
        <v>2</v>
      </c>
      <c r="C7" s="1600">
        <v>3</v>
      </c>
      <c r="D7" s="1682">
        <v>4</v>
      </c>
      <c r="E7" s="1600">
        <v>5</v>
      </c>
      <c r="F7" s="1682">
        <v>6</v>
      </c>
      <c r="G7" s="1600">
        <v>7</v>
      </c>
      <c r="H7" s="1682">
        <v>8</v>
      </c>
    </row>
    <row r="8" spans="1:8" x14ac:dyDescent="0.25">
      <c r="A8" s="1685" t="s">
        <v>361</v>
      </c>
      <c r="B8" s="1686" t="s">
        <v>382</v>
      </c>
      <c r="C8" s="1600"/>
      <c r="D8" s="1600"/>
      <c r="E8" s="1687"/>
      <c r="F8" s="1687"/>
      <c r="G8" s="1687"/>
      <c r="H8" s="1719"/>
    </row>
    <row r="9" spans="1:8" x14ac:dyDescent="0.25">
      <c r="A9" s="1600">
        <v>1</v>
      </c>
      <c r="B9" s="1696" t="s">
        <v>1344</v>
      </c>
      <c r="C9" s="1600"/>
      <c r="D9" s="1600"/>
      <c r="E9" s="1687"/>
      <c r="F9" s="1687"/>
      <c r="G9" s="1687"/>
      <c r="H9" s="1720"/>
    </row>
    <row r="10" spans="1:8" x14ac:dyDescent="0.25">
      <c r="A10" s="1685" t="s">
        <v>363</v>
      </c>
      <c r="B10" s="1686" t="s">
        <v>383</v>
      </c>
      <c r="C10" s="1600"/>
      <c r="D10" s="1600"/>
      <c r="E10" s="1687"/>
      <c r="F10" s="1687"/>
      <c r="G10" s="1687"/>
      <c r="H10" s="1720"/>
    </row>
    <row r="11" spans="1:8" x14ac:dyDescent="0.25">
      <c r="A11" s="1600">
        <v>1</v>
      </c>
      <c r="B11" s="1696" t="s">
        <v>1345</v>
      </c>
      <c r="C11" s="1600"/>
      <c r="D11" s="1600"/>
      <c r="E11" s="1687"/>
      <c r="F11" s="1687"/>
      <c r="G11" s="1687"/>
      <c r="H11" s="1720"/>
    </row>
    <row r="12" spans="1:8" x14ac:dyDescent="0.25">
      <c r="A12" s="1698" t="s">
        <v>369</v>
      </c>
      <c r="B12" s="1699" t="s">
        <v>377</v>
      </c>
      <c r="C12" s="1600"/>
      <c r="D12" s="1600"/>
      <c r="E12" s="1687"/>
      <c r="F12" s="1687"/>
      <c r="G12" s="1687"/>
      <c r="H12" s="1720"/>
    </row>
    <row r="13" spans="1:8" x14ac:dyDescent="0.25">
      <c r="A13" s="1600">
        <v>1</v>
      </c>
      <c r="B13" s="1696" t="s">
        <v>1619</v>
      </c>
      <c r="C13" s="1600">
        <v>30</v>
      </c>
      <c r="D13" s="1600">
        <v>200</v>
      </c>
      <c r="E13" s="1711">
        <v>6</v>
      </c>
      <c r="F13" s="1711">
        <v>6</v>
      </c>
      <c r="G13" s="1711">
        <v>6</v>
      </c>
      <c r="H13" s="1720"/>
    </row>
    <row r="14" spans="1:8" x14ac:dyDescent="0.25">
      <c r="A14" s="1694"/>
      <c r="B14" s="1716" t="s">
        <v>202</v>
      </c>
      <c r="C14" s="1694"/>
      <c r="D14" s="1694"/>
      <c r="E14" s="1721">
        <f>SUM(E8:E13)</f>
        <v>6</v>
      </c>
      <c r="F14" s="1721">
        <f>SUM(F8:F13)</f>
        <v>6</v>
      </c>
      <c r="G14" s="1721">
        <v>6</v>
      </c>
      <c r="H14" s="1694"/>
    </row>
    <row r="15" spans="1:8" x14ac:dyDescent="0.25">
      <c r="A15" s="1414" t="s">
        <v>384</v>
      </c>
      <c r="B15" s="1722"/>
      <c r="C15" s="1414"/>
      <c r="D15" s="1414"/>
      <c r="E15" s="1414"/>
      <c r="F15" s="1414"/>
      <c r="G15" s="1414"/>
      <c r="H15" s="1414"/>
    </row>
    <row r="16" spans="1:8" s="1399" customFormat="1" ht="18.75" x14ac:dyDescent="0.3">
      <c r="A16" s="1723"/>
      <c r="B16" s="1724"/>
      <c r="C16" s="1725"/>
      <c r="D16" s="1725"/>
      <c r="E16" s="1725"/>
      <c r="F16" s="1725"/>
      <c r="G16" s="1725"/>
      <c r="H16" s="1725"/>
    </row>
    <row r="17" spans="1:2" s="1404" customFormat="1" x14ac:dyDescent="0.25">
      <c r="A17" s="1726"/>
    </row>
    <row r="18" spans="1:2" s="1567" customFormat="1" x14ac:dyDescent="0.25">
      <c r="A18" s="1726"/>
      <c r="B18" s="1727"/>
    </row>
    <row r="19" spans="1:2" s="1567" customFormat="1" ht="15.75" customHeight="1" x14ac:dyDescent="0.25">
      <c r="A19" s="1728"/>
      <c r="B19" s="1726"/>
    </row>
    <row r="20" spans="1:2" ht="12.75" customHeight="1" x14ac:dyDescent="0.25">
      <c r="A20" s="1729"/>
    </row>
  </sheetData>
  <mergeCells count="11">
    <mergeCell ref="E5:E6"/>
    <mergeCell ref="A1:H1"/>
    <mergeCell ref="A2:H2"/>
    <mergeCell ref="A4:A6"/>
    <mergeCell ref="B4:B6"/>
    <mergeCell ref="C4:E4"/>
    <mergeCell ref="F4:F6"/>
    <mergeCell ref="G4:G6"/>
    <mergeCell ref="H4:H6"/>
    <mergeCell ref="C5:C6"/>
    <mergeCell ref="D5:D6"/>
  </mergeCells>
  <pageMargins left="0.70866141732283472" right="0.70866141732283472" top="0.35433070866141736" bottom="0.35433070866141736" header="0.31496062992125984" footer="0.31496062992125984"/>
  <pageSetup paperSize="9" scale="8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92D050"/>
    <pageSetUpPr fitToPage="1"/>
  </sheetPr>
  <dimension ref="A1:O25"/>
  <sheetViews>
    <sheetView view="pageBreakPreview" zoomScale="70" zoomScaleNormal="80" zoomScaleSheetLayoutView="70" workbookViewId="0">
      <selection activeCell="I37" sqref="I37"/>
    </sheetView>
  </sheetViews>
  <sheetFormatPr defaultRowHeight="15.75" x14ac:dyDescent="0.25"/>
  <cols>
    <col min="1" max="1" width="59.1640625" style="796" customWidth="1"/>
    <col min="2" max="2" width="9.33203125" style="796"/>
    <col min="3" max="14" width="18.1640625" style="796" customWidth="1"/>
    <col min="15" max="15" width="32.83203125" style="796" customWidth="1"/>
    <col min="16" max="16384" width="9.33203125" style="796"/>
  </cols>
  <sheetData>
    <row r="1" spans="1:15" ht="16.5" x14ac:dyDescent="0.25">
      <c r="A1" s="3369" t="s">
        <v>890</v>
      </c>
      <c r="B1" s="3369"/>
      <c r="C1" s="3369"/>
      <c r="D1" s="3369"/>
      <c r="E1" s="3369"/>
      <c r="F1" s="3369"/>
      <c r="G1" s="3369"/>
      <c r="H1" s="3369"/>
      <c r="I1" s="3369"/>
      <c r="J1" s="3369"/>
      <c r="K1" s="3369"/>
      <c r="L1" s="3369"/>
      <c r="M1" s="3369"/>
      <c r="N1" s="3369"/>
    </row>
    <row r="2" spans="1:15" x14ac:dyDescent="0.25">
      <c r="A2" s="3370" t="s">
        <v>1442</v>
      </c>
      <c r="B2" s="3370"/>
      <c r="C2" s="3370"/>
      <c r="D2" s="3370"/>
      <c r="E2" s="3370"/>
      <c r="F2" s="3370"/>
      <c r="G2" s="3370"/>
      <c r="H2" s="3370"/>
      <c r="I2" s="3370"/>
      <c r="J2" s="3370"/>
      <c r="K2" s="3370"/>
      <c r="L2" s="3370"/>
      <c r="M2" s="3370"/>
      <c r="N2" s="3370"/>
    </row>
    <row r="3" spans="1:15" x14ac:dyDescent="0.25">
      <c r="A3" s="3371" t="s">
        <v>891</v>
      </c>
      <c r="B3" s="3371"/>
      <c r="C3" s="3371"/>
      <c r="D3" s="3371"/>
      <c r="E3" s="3371"/>
      <c r="F3" s="3371"/>
      <c r="G3" s="3371"/>
      <c r="H3" s="3371"/>
      <c r="I3" s="3371"/>
      <c r="J3" s="3371"/>
      <c r="K3" s="3371"/>
      <c r="L3" s="3371"/>
      <c r="M3" s="3371"/>
      <c r="N3" s="3371"/>
    </row>
    <row r="4" spans="1:15" x14ac:dyDescent="0.25">
      <c r="O4" s="3088">
        <v>43831</v>
      </c>
    </row>
    <row r="5" spans="1:15" ht="60" customHeight="1" x14ac:dyDescent="0.25">
      <c r="A5" s="3372" t="s">
        <v>892</v>
      </c>
      <c r="B5" s="3372" t="s">
        <v>387</v>
      </c>
      <c r="C5" s="3373" t="s">
        <v>893</v>
      </c>
      <c r="D5" s="3373"/>
      <c r="E5" s="3373"/>
      <c r="F5" s="3373" t="s">
        <v>894</v>
      </c>
      <c r="G5" s="3373"/>
      <c r="H5" s="3373"/>
      <c r="I5" s="3372" t="s">
        <v>895</v>
      </c>
      <c r="J5" s="3372"/>
      <c r="K5" s="3372"/>
      <c r="L5" s="3372" t="s">
        <v>896</v>
      </c>
      <c r="M5" s="3372"/>
      <c r="N5" s="3372"/>
      <c r="O5" s="3366" t="s">
        <v>874</v>
      </c>
    </row>
    <row r="6" spans="1:15" x14ac:dyDescent="0.25">
      <c r="A6" s="3372"/>
      <c r="B6" s="3372"/>
      <c r="C6" s="797" t="s">
        <v>397</v>
      </c>
      <c r="D6" s="797" t="s">
        <v>398</v>
      </c>
      <c r="E6" s="797" t="s">
        <v>399</v>
      </c>
      <c r="F6" s="797" t="s">
        <v>397</v>
      </c>
      <c r="G6" s="797" t="s">
        <v>398</v>
      </c>
      <c r="H6" s="797" t="s">
        <v>399</v>
      </c>
      <c r="I6" s="798" t="s">
        <v>397</v>
      </c>
      <c r="J6" s="798" t="s">
        <v>398</v>
      </c>
      <c r="K6" s="798" t="s">
        <v>399</v>
      </c>
      <c r="L6" s="798" t="s">
        <v>397</v>
      </c>
      <c r="M6" s="798" t="s">
        <v>398</v>
      </c>
      <c r="N6" s="798" t="s">
        <v>399</v>
      </c>
      <c r="O6" s="3367"/>
    </row>
    <row r="7" spans="1:15" ht="47.25" x14ac:dyDescent="0.25">
      <c r="A7" s="3372"/>
      <c r="B7" s="3372"/>
      <c r="C7" s="797" t="s">
        <v>389</v>
      </c>
      <c r="D7" s="797" t="s">
        <v>390</v>
      </c>
      <c r="E7" s="797" t="s">
        <v>391</v>
      </c>
      <c r="F7" s="797" t="s">
        <v>389</v>
      </c>
      <c r="G7" s="797" t="s">
        <v>390</v>
      </c>
      <c r="H7" s="797" t="s">
        <v>391</v>
      </c>
      <c r="I7" s="798" t="s">
        <v>389</v>
      </c>
      <c r="J7" s="798" t="s">
        <v>390</v>
      </c>
      <c r="K7" s="798" t="s">
        <v>391</v>
      </c>
      <c r="L7" s="798" t="s">
        <v>389</v>
      </c>
      <c r="M7" s="798" t="s">
        <v>390</v>
      </c>
      <c r="N7" s="798" t="s">
        <v>391</v>
      </c>
      <c r="O7" s="3368"/>
    </row>
    <row r="8" spans="1:15" x14ac:dyDescent="0.25">
      <c r="A8" s="798">
        <v>1</v>
      </c>
      <c r="B8" s="798">
        <v>2</v>
      </c>
      <c r="C8" s="798">
        <v>3</v>
      </c>
      <c r="D8" s="798">
        <v>4</v>
      </c>
      <c r="E8" s="798">
        <v>5</v>
      </c>
      <c r="F8" s="798">
        <v>6</v>
      </c>
      <c r="G8" s="798">
        <v>7</v>
      </c>
      <c r="H8" s="798">
        <v>8</v>
      </c>
      <c r="I8" s="798">
        <v>9</v>
      </c>
      <c r="J8" s="798">
        <v>10</v>
      </c>
      <c r="K8" s="798">
        <v>11</v>
      </c>
      <c r="L8" s="798">
        <v>12</v>
      </c>
      <c r="M8" s="798">
        <v>13</v>
      </c>
      <c r="N8" s="798">
        <v>14</v>
      </c>
      <c r="O8" s="798">
        <v>15</v>
      </c>
    </row>
    <row r="9" spans="1:15" s="1015" customFormat="1" x14ac:dyDescent="0.25">
      <c r="A9" s="1012" t="s">
        <v>897</v>
      </c>
      <c r="B9" s="1013">
        <v>100</v>
      </c>
      <c r="C9" s="1013" t="s">
        <v>898</v>
      </c>
      <c r="D9" s="1013" t="s">
        <v>898</v>
      </c>
      <c r="E9" s="1013" t="s">
        <v>898</v>
      </c>
      <c r="F9" s="1013" t="s">
        <v>898</v>
      </c>
      <c r="G9" s="1013" t="s">
        <v>898</v>
      </c>
      <c r="H9" s="1013" t="s">
        <v>898</v>
      </c>
      <c r="I9" s="1013" t="s">
        <v>898</v>
      </c>
      <c r="J9" s="1013" t="s">
        <v>898</v>
      </c>
      <c r="K9" s="1013" t="s">
        <v>898</v>
      </c>
      <c r="L9" s="1012"/>
      <c r="M9" s="1012"/>
      <c r="N9" s="1012"/>
      <c r="O9" s="1014"/>
    </row>
    <row r="10" spans="1:15" s="1015" customFormat="1" x14ac:dyDescent="0.25">
      <c r="A10" s="1012" t="s">
        <v>490</v>
      </c>
      <c r="B10" s="1012"/>
      <c r="C10" s="1012"/>
      <c r="D10" s="1012"/>
      <c r="E10" s="1012"/>
      <c r="F10" s="1012"/>
      <c r="G10" s="1012"/>
      <c r="H10" s="1012"/>
      <c r="I10" s="1012"/>
      <c r="J10" s="1012"/>
      <c r="K10" s="1012"/>
      <c r="L10" s="1012"/>
      <c r="M10" s="1012"/>
      <c r="N10" s="1012"/>
      <c r="O10" s="1014"/>
    </row>
    <row r="11" spans="1:15" s="1738" customFormat="1" ht="184.5" customHeight="1" x14ac:dyDescent="0.25">
      <c r="A11" s="1733" t="s">
        <v>1623</v>
      </c>
      <c r="B11" s="1734">
        <v>101</v>
      </c>
      <c r="C11" s="1016">
        <v>467.5</v>
      </c>
      <c r="D11" s="1016">
        <v>467.5</v>
      </c>
      <c r="E11" s="1016">
        <v>467.5</v>
      </c>
      <c r="F11" s="1016">
        <v>20</v>
      </c>
      <c r="G11" s="1016">
        <v>20</v>
      </c>
      <c r="H11" s="1016">
        <v>20</v>
      </c>
      <c r="I11" s="1016">
        <v>12</v>
      </c>
      <c r="J11" s="1016">
        <v>12</v>
      </c>
      <c r="K11" s="1016">
        <v>12</v>
      </c>
      <c r="L11" s="1735">
        <f>C11*F11*I11</f>
        <v>112200</v>
      </c>
      <c r="M11" s="1735">
        <f>D11*G11*J11</f>
        <v>112200</v>
      </c>
      <c r="N11" s="1736">
        <f>E11*H11*K11</f>
        <v>112200</v>
      </c>
      <c r="O11" s="1737">
        <v>0</v>
      </c>
    </row>
    <row r="12" spans="1:15" s="1015" customFormat="1" hidden="1" x14ac:dyDescent="0.25">
      <c r="A12" s="1012"/>
      <c r="B12" s="1013">
        <v>101</v>
      </c>
      <c r="C12" s="1013"/>
      <c r="D12" s="1013"/>
      <c r="E12" s="1013"/>
      <c r="F12" s="1013"/>
      <c r="G12" s="1013"/>
      <c r="H12" s="1013"/>
      <c r="I12" s="1013"/>
      <c r="J12" s="1013"/>
      <c r="K12" s="1013"/>
      <c r="L12" s="1018">
        <f t="shared" ref="L12:L13" si="0">C12*F12*I12</f>
        <v>0</v>
      </c>
      <c r="M12" s="1018">
        <f t="shared" ref="M12:N13" si="1">D12*G12*J12</f>
        <v>0</v>
      </c>
      <c r="N12" s="1018">
        <f t="shared" si="1"/>
        <v>0</v>
      </c>
      <c r="O12" s="1019"/>
    </row>
    <row r="13" spans="1:15" s="1015" customFormat="1" hidden="1" x14ac:dyDescent="0.25">
      <c r="A13" s="1012"/>
      <c r="B13" s="1013">
        <v>101</v>
      </c>
      <c r="C13" s="1013"/>
      <c r="D13" s="1013"/>
      <c r="E13" s="1013"/>
      <c r="F13" s="1013"/>
      <c r="G13" s="1013"/>
      <c r="H13" s="1013"/>
      <c r="I13" s="1013"/>
      <c r="J13" s="1013"/>
      <c r="K13" s="1013"/>
      <c r="L13" s="1018">
        <f t="shared" si="0"/>
        <v>0</v>
      </c>
      <c r="M13" s="1018">
        <f t="shared" si="1"/>
        <v>0</v>
      </c>
      <c r="N13" s="1018">
        <f t="shared" si="1"/>
        <v>0</v>
      </c>
      <c r="O13" s="1019"/>
    </row>
    <row r="14" spans="1:15" s="1015" customFormat="1" hidden="1" x14ac:dyDescent="0.25">
      <c r="A14" s="1012" t="s">
        <v>923</v>
      </c>
      <c r="B14" s="1013">
        <v>200</v>
      </c>
      <c r="C14" s="1013" t="s">
        <v>898</v>
      </c>
      <c r="D14" s="1013" t="s">
        <v>898</v>
      </c>
      <c r="E14" s="1013" t="s">
        <v>898</v>
      </c>
      <c r="F14" s="1013" t="s">
        <v>898</v>
      </c>
      <c r="G14" s="1013" t="s">
        <v>898</v>
      </c>
      <c r="H14" s="1013" t="s">
        <v>898</v>
      </c>
      <c r="I14" s="1013" t="s">
        <v>898</v>
      </c>
      <c r="J14" s="1013" t="s">
        <v>898</v>
      </c>
      <c r="K14" s="1013" t="s">
        <v>898</v>
      </c>
      <c r="L14" s="1013"/>
      <c r="M14" s="1013"/>
      <c r="N14" s="1013"/>
      <c r="O14" s="1019"/>
    </row>
    <row r="15" spans="1:15" s="1015" customFormat="1" hidden="1" x14ac:dyDescent="0.25">
      <c r="A15" s="1012" t="s">
        <v>490</v>
      </c>
      <c r="B15" s="1012"/>
      <c r="C15" s="1013"/>
      <c r="D15" s="1013"/>
      <c r="E15" s="1013"/>
      <c r="F15" s="1013"/>
      <c r="G15" s="1013"/>
      <c r="H15" s="1013"/>
      <c r="I15" s="1013"/>
      <c r="J15" s="1013"/>
      <c r="K15" s="1013"/>
      <c r="L15" s="1013"/>
      <c r="M15" s="1013"/>
      <c r="N15" s="1013"/>
      <c r="O15" s="1019"/>
    </row>
    <row r="16" spans="1:15" s="1015" customFormat="1" hidden="1" x14ac:dyDescent="0.25">
      <c r="A16" s="1012"/>
      <c r="B16" s="1013">
        <v>201</v>
      </c>
      <c r="C16" s="1013"/>
      <c r="D16" s="1013"/>
      <c r="E16" s="1013"/>
      <c r="F16" s="1013"/>
      <c r="G16" s="1013"/>
      <c r="H16" s="1013"/>
      <c r="I16" s="1013"/>
      <c r="J16" s="1013"/>
      <c r="K16" s="1013"/>
      <c r="L16" s="1018">
        <f>C16*F16*I16</f>
        <v>0</v>
      </c>
      <c r="M16" s="1018">
        <f>D16*G16*J16</f>
        <v>0</v>
      </c>
      <c r="N16" s="1018">
        <f>E16*H16*K16</f>
        <v>0</v>
      </c>
      <c r="O16" s="1019"/>
    </row>
    <row r="17" spans="1:15" s="1015" customFormat="1" hidden="1" x14ac:dyDescent="0.25">
      <c r="A17" s="1012"/>
      <c r="B17" s="1013">
        <v>201</v>
      </c>
      <c r="C17" s="1013"/>
      <c r="D17" s="1013"/>
      <c r="E17" s="1013"/>
      <c r="F17" s="1013"/>
      <c r="G17" s="1013"/>
      <c r="H17" s="1013"/>
      <c r="I17" s="1013"/>
      <c r="J17" s="1013"/>
      <c r="K17" s="1013"/>
      <c r="L17" s="1018">
        <f t="shared" ref="L17:N19" si="2">C17*F17*I17</f>
        <v>0</v>
      </c>
      <c r="M17" s="1018">
        <f t="shared" si="2"/>
        <v>0</v>
      </c>
      <c r="N17" s="1018">
        <f t="shared" si="2"/>
        <v>0</v>
      </c>
      <c r="O17" s="1019"/>
    </row>
    <row r="18" spans="1:15" s="1015" customFormat="1" hidden="1" x14ac:dyDescent="0.25">
      <c r="A18" s="1012"/>
      <c r="B18" s="1013">
        <v>201</v>
      </c>
      <c r="C18" s="1013"/>
      <c r="D18" s="1013"/>
      <c r="E18" s="1013"/>
      <c r="F18" s="1013"/>
      <c r="G18" s="1013"/>
      <c r="H18" s="1013"/>
      <c r="I18" s="1013"/>
      <c r="J18" s="1013"/>
      <c r="K18" s="1013"/>
      <c r="L18" s="1018">
        <f t="shared" si="2"/>
        <v>0</v>
      </c>
      <c r="M18" s="1018">
        <f t="shared" si="2"/>
        <v>0</v>
      </c>
      <c r="N18" s="1018">
        <f t="shared" si="2"/>
        <v>0</v>
      </c>
      <c r="O18" s="1019"/>
    </row>
    <row r="19" spans="1:15" s="1015" customFormat="1" hidden="1" x14ac:dyDescent="0.25">
      <c r="A19" s="1012"/>
      <c r="B19" s="1013">
        <v>201</v>
      </c>
      <c r="C19" s="1013"/>
      <c r="D19" s="1013"/>
      <c r="E19" s="1013"/>
      <c r="F19" s="1013"/>
      <c r="G19" s="1013"/>
      <c r="H19" s="1013"/>
      <c r="I19" s="1013"/>
      <c r="J19" s="1013"/>
      <c r="K19" s="1013"/>
      <c r="L19" s="1018">
        <f t="shared" si="2"/>
        <v>0</v>
      </c>
      <c r="M19" s="1018">
        <f t="shared" si="2"/>
        <v>0</v>
      </c>
      <c r="N19" s="1018">
        <f t="shared" si="2"/>
        <v>0</v>
      </c>
      <c r="O19" s="1019"/>
    </row>
    <row r="20" spans="1:15" s="1023" customFormat="1" x14ac:dyDescent="0.25">
      <c r="A20" s="1020" t="s">
        <v>72</v>
      </c>
      <c r="B20" s="1021"/>
      <c r="C20" s="1021"/>
      <c r="D20" s="1021"/>
      <c r="E20" s="1021"/>
      <c r="F20" s="1021">
        <f>F11</f>
        <v>20</v>
      </c>
      <c r="G20" s="1021">
        <f t="shared" ref="G20:H20" si="3">G11</f>
        <v>20</v>
      </c>
      <c r="H20" s="1021">
        <f t="shared" si="3"/>
        <v>20</v>
      </c>
      <c r="I20" s="1021"/>
      <c r="J20" s="1021"/>
      <c r="K20" s="1021"/>
      <c r="L20" s="1022">
        <f>SUM(L11)</f>
        <v>112200</v>
      </c>
      <c r="M20" s="1022">
        <f t="shared" ref="M20:O20" si="4">SUM(M11)</f>
        <v>112200</v>
      </c>
      <c r="N20" s="1022">
        <f t="shared" si="4"/>
        <v>112200</v>
      </c>
      <c r="O20" s="1022">
        <f t="shared" si="4"/>
        <v>0</v>
      </c>
    </row>
    <row r="21" spans="1:15" x14ac:dyDescent="0.25">
      <c r="A21" s="800"/>
    </row>
    <row r="23" spans="1:15" x14ac:dyDescent="0.25">
      <c r="A23" s="796" t="s">
        <v>14</v>
      </c>
    </row>
    <row r="25" spans="1:15" x14ac:dyDescent="0.25">
      <c r="A25" s="796" t="s">
        <v>379</v>
      </c>
    </row>
  </sheetData>
  <mergeCells count="10">
    <mergeCell ref="O5:O7"/>
    <mergeCell ref="A1:N1"/>
    <mergeCell ref="A2:N2"/>
    <mergeCell ref="A3:N3"/>
    <mergeCell ref="A5:A7"/>
    <mergeCell ref="B5:B7"/>
    <mergeCell ref="C5:E5"/>
    <mergeCell ref="F5:H5"/>
    <mergeCell ref="I5:K5"/>
    <mergeCell ref="L5:N5"/>
  </mergeCells>
  <pageMargins left="0.70866141732283472" right="0.70866141732283472" top="0.74803149606299213" bottom="0.74803149606299213" header="0.31496062992125984" footer="0.31496062992125984"/>
  <pageSetup paperSize="9"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20"/>
  <sheetViews>
    <sheetView view="pageBreakPreview" zoomScale="110" zoomScaleNormal="80" zoomScaleSheetLayoutView="110" workbookViewId="0">
      <pane ySplit="9" topLeftCell="A10" activePane="bottomLeft" state="frozen"/>
      <selection activeCell="U81" sqref="U81"/>
      <selection pane="bottomLeft" activeCell="E21" sqref="E21"/>
    </sheetView>
  </sheetViews>
  <sheetFormatPr defaultRowHeight="15.75" x14ac:dyDescent="0.25"/>
  <cols>
    <col min="1" max="1" width="8.1640625" style="1393" customWidth="1"/>
    <col min="2" max="2" width="45.33203125" style="1393" customWidth="1"/>
    <col min="3" max="3" width="14.33203125" style="1393" customWidth="1"/>
    <col min="4" max="4" width="15.83203125" style="1393" customWidth="1"/>
    <col min="5" max="5" width="19.83203125" style="1393" customWidth="1"/>
    <col min="6" max="7" width="15.83203125" style="1393" customWidth="1"/>
    <col min="8" max="8" width="23.1640625" style="1393" customWidth="1"/>
    <col min="9" max="16384" width="9.33203125" style="1393"/>
  </cols>
  <sheetData>
    <row r="1" spans="1:8" x14ac:dyDescent="0.25">
      <c r="H1" s="1398"/>
    </row>
    <row r="2" spans="1:8" ht="35.25" customHeight="1" x14ac:dyDescent="0.25">
      <c r="A2" s="3916" t="s">
        <v>385</v>
      </c>
      <c r="B2" s="3916"/>
      <c r="C2" s="3916"/>
      <c r="D2" s="3916"/>
      <c r="E2" s="3916"/>
      <c r="F2" s="3916"/>
      <c r="G2" s="3916"/>
      <c r="H2" s="3916"/>
    </row>
    <row r="3" spans="1:8" ht="19.5" customHeight="1" x14ac:dyDescent="0.25">
      <c r="A3" s="1681"/>
      <c r="B3" s="1681"/>
      <c r="C3" s="1681"/>
      <c r="D3" s="1681"/>
      <c r="E3" s="1681"/>
      <c r="F3" s="1681"/>
      <c r="G3" s="1681"/>
      <c r="H3" s="1681"/>
    </row>
    <row r="4" spans="1:8" ht="19.5" customHeight="1" x14ac:dyDescent="0.25">
      <c r="A4" s="3916" t="s">
        <v>182</v>
      </c>
      <c r="B4" s="3916"/>
      <c r="C4" s="3916"/>
      <c r="D4" s="3916"/>
      <c r="E4" s="3916"/>
      <c r="F4" s="3916"/>
      <c r="G4" s="3916"/>
      <c r="H4" s="3916"/>
    </row>
    <row r="5" spans="1:8" x14ac:dyDescent="0.25">
      <c r="H5" s="1398" t="s">
        <v>1311</v>
      </c>
    </row>
    <row r="6" spans="1:8" ht="15.75" customHeight="1" x14ac:dyDescent="0.25">
      <c r="A6" s="3919" t="s">
        <v>78</v>
      </c>
      <c r="B6" s="3920" t="s">
        <v>185</v>
      </c>
      <c r="C6" s="4019" t="s">
        <v>181</v>
      </c>
      <c r="D6" s="4020"/>
      <c r="E6" s="4021"/>
      <c r="F6" s="4023" t="s">
        <v>330</v>
      </c>
      <c r="G6" s="4023" t="s">
        <v>336</v>
      </c>
      <c r="H6" s="3927" t="s">
        <v>180</v>
      </c>
    </row>
    <row r="7" spans="1:8" ht="15.75" customHeight="1" x14ac:dyDescent="0.25">
      <c r="A7" s="3919"/>
      <c r="B7" s="3921"/>
      <c r="C7" s="3920" t="s">
        <v>186</v>
      </c>
      <c r="D7" s="3920" t="s">
        <v>333</v>
      </c>
      <c r="E7" s="3920" t="s">
        <v>334</v>
      </c>
      <c r="F7" s="4024"/>
      <c r="G7" s="4024"/>
      <c r="H7" s="3928"/>
    </row>
    <row r="8" spans="1:8" x14ac:dyDescent="0.25">
      <c r="A8" s="3919"/>
      <c r="B8" s="3922"/>
      <c r="C8" s="3922"/>
      <c r="D8" s="3922"/>
      <c r="E8" s="3922"/>
      <c r="F8" s="4025"/>
      <c r="G8" s="4025"/>
      <c r="H8" s="3929"/>
    </row>
    <row r="9" spans="1:8" x14ac:dyDescent="0.25">
      <c r="A9" s="1600">
        <v>1</v>
      </c>
      <c r="B9" s="1600">
        <v>2</v>
      </c>
      <c r="C9" s="1600">
        <v>3</v>
      </c>
      <c r="D9" s="1600">
        <v>4</v>
      </c>
      <c r="E9" s="1600">
        <v>5</v>
      </c>
      <c r="F9" s="1600">
        <v>6</v>
      </c>
      <c r="G9" s="1600">
        <v>7</v>
      </c>
      <c r="H9" s="1600">
        <v>8</v>
      </c>
    </row>
    <row r="10" spans="1:8" x14ac:dyDescent="0.25">
      <c r="A10" s="1720">
        <v>1</v>
      </c>
      <c r="B10" s="1730" t="s">
        <v>1620</v>
      </c>
      <c r="C10" s="1600">
        <v>5</v>
      </c>
      <c r="D10" s="1600">
        <v>260</v>
      </c>
      <c r="E10" s="1600">
        <f>C10*D10/1000</f>
        <v>1.3</v>
      </c>
      <c r="F10" s="1600">
        <v>1.3</v>
      </c>
      <c r="G10" s="1600">
        <v>1.3</v>
      </c>
      <c r="H10" s="1719"/>
    </row>
    <row r="11" spans="1:8" x14ac:dyDescent="0.25">
      <c r="A11" s="1600">
        <v>2</v>
      </c>
      <c r="B11" s="1696" t="s">
        <v>1621</v>
      </c>
      <c r="C11" s="1600">
        <v>4</v>
      </c>
      <c r="D11" s="1600">
        <v>550</v>
      </c>
      <c r="E11" s="1600">
        <f>C11*D11/1000</f>
        <v>2.2000000000000002</v>
      </c>
      <c r="F11" s="1600">
        <v>2.2000000000000002</v>
      </c>
      <c r="G11" s="1600">
        <v>2.2000000000000002</v>
      </c>
      <c r="H11" s="1720"/>
    </row>
    <row r="12" spans="1:8" x14ac:dyDescent="0.25">
      <c r="A12" s="1720">
        <v>3</v>
      </c>
      <c r="B12" s="1730" t="s">
        <v>1622</v>
      </c>
      <c r="C12" s="1600">
        <v>1</v>
      </c>
      <c r="D12" s="1600">
        <v>5700</v>
      </c>
      <c r="E12" s="1600">
        <f>C12*D12/1000</f>
        <v>5.7</v>
      </c>
      <c r="F12" s="1731">
        <v>5.7</v>
      </c>
      <c r="G12" s="1731">
        <v>5.7</v>
      </c>
      <c r="H12" s="1720"/>
    </row>
    <row r="13" spans="1:8" x14ac:dyDescent="0.25">
      <c r="A13" s="1600"/>
      <c r="B13" s="1716" t="s">
        <v>202</v>
      </c>
      <c r="C13" s="1600"/>
      <c r="D13" s="1600"/>
      <c r="E13" s="1698">
        <f>SUM(E10:E12)</f>
        <v>9.1999999999999993</v>
      </c>
      <c r="F13" s="1732">
        <f>SUM(F10:F12)</f>
        <v>9.1999999999999993</v>
      </c>
      <c r="G13" s="1732">
        <f>SUM(G10:G12)</f>
        <v>9.1999999999999993</v>
      </c>
      <c r="H13" s="1720"/>
    </row>
    <row r="14" spans="1:8" ht="33.75" customHeight="1" x14ac:dyDescent="0.25">
      <c r="A14" s="4026" t="s">
        <v>337</v>
      </c>
      <c r="B14" s="4026"/>
      <c r="C14" s="4026"/>
      <c r="D14" s="4026"/>
      <c r="E14" s="4026"/>
      <c r="F14" s="4026"/>
      <c r="G14" s="4026"/>
      <c r="H14" s="4026"/>
    </row>
    <row r="15" spans="1:8" ht="18.75" x14ac:dyDescent="0.3">
      <c r="A15" s="4027"/>
      <c r="B15" s="4027"/>
      <c r="C15" s="4027"/>
      <c r="D15" s="4027"/>
      <c r="E15" s="4027"/>
      <c r="F15" s="4027"/>
      <c r="G15" s="4027"/>
      <c r="H15" s="4027"/>
    </row>
    <row r="16" spans="1:8" x14ac:dyDescent="0.25">
      <c r="B16" s="1349"/>
      <c r="F16" s="4028"/>
      <c r="G16" s="4028"/>
    </row>
    <row r="17" spans="2:2" x14ac:dyDescent="0.25">
      <c r="B17" s="1349"/>
    </row>
    <row r="18" spans="2:2" x14ac:dyDescent="0.25">
      <c r="B18" s="1611"/>
    </row>
    <row r="19" spans="2:2" x14ac:dyDescent="0.25">
      <c r="B19" s="1679"/>
    </row>
    <row r="20" spans="2:2" x14ac:dyDescent="0.25">
      <c r="B20" s="1349"/>
    </row>
  </sheetData>
  <mergeCells count="14">
    <mergeCell ref="E7:E8"/>
    <mergeCell ref="A14:H14"/>
    <mergeCell ref="A15:H15"/>
    <mergeCell ref="F16:G16"/>
    <mergeCell ref="A2:H2"/>
    <mergeCell ref="A4:H4"/>
    <mergeCell ref="A6:A8"/>
    <mergeCell ref="B6:B8"/>
    <mergeCell ref="C6:E6"/>
    <mergeCell ref="F6:F8"/>
    <mergeCell ref="G6:G8"/>
    <mergeCell ref="H6:H8"/>
    <mergeCell ref="C7:C8"/>
    <mergeCell ref="D7:D8"/>
  </mergeCells>
  <pageMargins left="0.70866141732283472" right="0.70866141732283472" top="0.74803149606299213" bottom="0.74803149606299213" header="0.31496062992125984" footer="0.31496062992125984"/>
  <pageSetup paperSize="9" scale="92"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7">
    <tabColor rgb="FF00FFFF"/>
  </sheetPr>
  <dimension ref="A1:E18"/>
  <sheetViews>
    <sheetView view="pageBreakPreview" zoomScale="80" zoomScaleNormal="100" zoomScaleSheetLayoutView="80" workbookViewId="0">
      <selection activeCell="R3" sqref="R3"/>
    </sheetView>
  </sheetViews>
  <sheetFormatPr defaultRowHeight="39.75" customHeight="1" x14ac:dyDescent="0.25"/>
  <cols>
    <col min="1" max="1" width="81.33203125" style="313" customWidth="1"/>
    <col min="2" max="2" width="10" style="313" customWidth="1"/>
    <col min="3" max="5" width="25.83203125" style="313" customWidth="1"/>
    <col min="6" max="16384" width="9.33203125" style="313"/>
  </cols>
  <sheetData>
    <row r="1" spans="1:5" ht="39.75" customHeight="1" x14ac:dyDescent="0.25">
      <c r="A1" s="3425" t="s">
        <v>976</v>
      </c>
      <c r="B1" s="3425"/>
      <c r="C1" s="3425"/>
      <c r="D1" s="3425"/>
      <c r="E1" s="3425"/>
    </row>
    <row r="2" spans="1:5" ht="39.75" customHeight="1" x14ac:dyDescent="0.25">
      <c r="A2" s="3425" t="s">
        <v>1442</v>
      </c>
      <c r="B2" s="3425"/>
      <c r="C2" s="3425"/>
      <c r="D2" s="3425"/>
      <c r="E2" s="3425"/>
    </row>
    <row r="3" spans="1:5" ht="13.5" customHeight="1" x14ac:dyDescent="0.25">
      <c r="A3" s="3115"/>
      <c r="B3" s="3115"/>
      <c r="C3" s="3115"/>
      <c r="D3" s="3115"/>
      <c r="E3" s="382">
        <v>43831</v>
      </c>
    </row>
    <row r="4" spans="1:5" ht="39.75" customHeight="1" x14ac:dyDescent="0.25">
      <c r="A4" s="3426" t="s">
        <v>386</v>
      </c>
      <c r="B4" s="3426" t="s">
        <v>387</v>
      </c>
      <c r="C4" s="3426" t="s">
        <v>388</v>
      </c>
      <c r="D4" s="3426"/>
      <c r="E4" s="3426"/>
    </row>
    <row r="5" spans="1:5" ht="24.75" customHeight="1" x14ac:dyDescent="0.25">
      <c r="A5" s="3426"/>
      <c r="B5" s="3426"/>
      <c r="C5" s="3116" t="s">
        <v>397</v>
      </c>
      <c r="D5" s="3116" t="s">
        <v>398</v>
      </c>
      <c r="E5" s="3116" t="s">
        <v>399</v>
      </c>
    </row>
    <row r="6" spans="1:5" ht="39.75" customHeight="1" x14ac:dyDescent="0.25">
      <c r="A6" s="3426"/>
      <c r="B6" s="3426"/>
      <c r="C6" s="3116" t="s">
        <v>389</v>
      </c>
      <c r="D6" s="3116" t="s">
        <v>390</v>
      </c>
      <c r="E6" s="3116" t="s">
        <v>391</v>
      </c>
    </row>
    <row r="7" spans="1:5" ht="16.5" customHeight="1" x14ac:dyDescent="0.25">
      <c r="A7" s="3116">
        <v>1</v>
      </c>
      <c r="B7" s="3116">
        <v>2</v>
      </c>
      <c r="C7" s="3116">
        <v>3</v>
      </c>
      <c r="D7" s="3116">
        <v>4</v>
      </c>
      <c r="E7" s="3116">
        <v>5</v>
      </c>
    </row>
    <row r="8" spans="1:5" ht="20.25" customHeight="1" x14ac:dyDescent="0.25">
      <c r="A8" s="384" t="s">
        <v>478</v>
      </c>
      <c r="B8" s="3116">
        <v>100</v>
      </c>
      <c r="C8" s="385"/>
      <c r="D8" s="385"/>
      <c r="E8" s="385"/>
    </row>
    <row r="9" spans="1:5" ht="20.25" customHeight="1" x14ac:dyDescent="0.25">
      <c r="A9" s="384" t="s">
        <v>977</v>
      </c>
      <c r="B9" s="3116">
        <v>200</v>
      </c>
      <c r="C9" s="385"/>
      <c r="D9" s="385"/>
      <c r="E9" s="385"/>
    </row>
    <row r="10" spans="1:5" ht="23.25" customHeight="1" x14ac:dyDescent="0.25">
      <c r="A10" s="384" t="s">
        <v>978</v>
      </c>
      <c r="B10" s="3116">
        <v>300</v>
      </c>
      <c r="C10" s="385">
        <f>C11+C12+C13+C14+C15</f>
        <v>50000</v>
      </c>
      <c r="D10" s="385">
        <f t="shared" ref="D10:E10" si="0">D11+D12+D13+D14+D15</f>
        <v>50000</v>
      </c>
      <c r="E10" s="385">
        <f t="shared" si="0"/>
        <v>50000</v>
      </c>
    </row>
    <row r="11" spans="1:5" ht="21.75" customHeight="1" x14ac:dyDescent="0.25">
      <c r="A11" s="384" t="s">
        <v>979</v>
      </c>
      <c r="B11" s="3116">
        <v>301</v>
      </c>
      <c r="C11" s="385">
        <v>50000</v>
      </c>
      <c r="D11" s="385">
        <v>50000</v>
      </c>
      <c r="E11" s="385">
        <v>50000</v>
      </c>
    </row>
    <row r="12" spans="1:5" ht="35.25" customHeight="1" x14ac:dyDescent="0.25">
      <c r="A12" s="384" t="s">
        <v>980</v>
      </c>
      <c r="B12" s="3116">
        <v>302</v>
      </c>
      <c r="C12" s="385"/>
      <c r="D12" s="385"/>
      <c r="E12" s="385"/>
    </row>
    <row r="13" spans="1:5" ht="18.75" customHeight="1" x14ac:dyDescent="0.25">
      <c r="A13" s="384" t="s">
        <v>981</v>
      </c>
      <c r="B13" s="3116">
        <v>303</v>
      </c>
      <c r="C13" s="385"/>
      <c r="D13" s="385"/>
      <c r="E13" s="385"/>
    </row>
    <row r="14" spans="1:5" ht="18.75" customHeight="1" x14ac:dyDescent="0.25">
      <c r="A14" s="384" t="s">
        <v>982</v>
      </c>
      <c r="B14" s="3116">
        <v>304</v>
      </c>
      <c r="C14" s="385"/>
      <c r="D14" s="385"/>
      <c r="E14" s="385"/>
    </row>
    <row r="15" spans="1:5" ht="18.75" customHeight="1" x14ac:dyDescent="0.25">
      <c r="A15" s="384" t="s">
        <v>983</v>
      </c>
      <c r="B15" s="3116">
        <v>305</v>
      </c>
      <c r="C15" s="385"/>
      <c r="D15" s="385"/>
      <c r="E15" s="385"/>
    </row>
    <row r="16" spans="1:5" ht="22.5" customHeight="1" x14ac:dyDescent="0.25">
      <c r="A16" s="384" t="s">
        <v>482</v>
      </c>
      <c r="B16" s="3116">
        <v>400</v>
      </c>
      <c r="C16" s="385"/>
      <c r="D16" s="385"/>
      <c r="E16" s="385"/>
    </row>
    <row r="17" spans="1:5" ht="22.5" customHeight="1" x14ac:dyDescent="0.25">
      <c r="A17" s="384" t="s">
        <v>483</v>
      </c>
      <c r="B17" s="3116">
        <v>500</v>
      </c>
      <c r="C17" s="385"/>
      <c r="D17" s="385"/>
      <c r="E17" s="385"/>
    </row>
    <row r="18" spans="1:5" s="316" customFormat="1" ht="39.75" customHeight="1" x14ac:dyDescent="0.25">
      <c r="A18" s="386" t="s">
        <v>2868</v>
      </c>
      <c r="B18" s="387">
        <v>600</v>
      </c>
      <c r="C18" s="388">
        <f>C8-C9+C10-C16+C17</f>
        <v>50000</v>
      </c>
      <c r="D18" s="388">
        <f t="shared" ref="D18:E18" si="1">D8-D9+D10-D16+D17</f>
        <v>50000</v>
      </c>
      <c r="E18" s="388">
        <f t="shared" si="1"/>
        <v>50000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8">
    <tabColor rgb="FF00B0F0"/>
    <pageSetUpPr fitToPage="1"/>
  </sheetPr>
  <dimension ref="A1:AS105"/>
  <sheetViews>
    <sheetView view="pageBreakPreview" zoomScale="80" zoomScaleNormal="80" zoomScaleSheetLayoutView="80" workbookViewId="0">
      <pane xSplit="3" ySplit="8" topLeftCell="P45"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7.83203125" style="33" customWidth="1"/>
    <col min="2" max="2" width="30.83203125" style="22" customWidth="1"/>
    <col min="3" max="3" width="13.83203125" style="22" customWidth="1"/>
    <col min="4" max="4" width="14" style="22" customWidth="1"/>
    <col min="5" max="5" width="13" style="22" customWidth="1"/>
    <col min="6" max="6" width="14.6640625" style="22" customWidth="1"/>
    <col min="7" max="7" width="12.83203125" style="22" customWidth="1"/>
    <col min="8" max="8" width="15.83203125" style="22" customWidth="1"/>
    <col min="9" max="9" width="13.5" style="22" customWidth="1"/>
    <col min="10" max="10" width="16.83203125" style="22" customWidth="1"/>
    <col min="11" max="11" width="13.5" style="22" customWidth="1"/>
    <col min="12" max="12" width="13.33203125" style="22" customWidth="1"/>
    <col min="13" max="13" width="14" style="22" customWidth="1"/>
    <col min="14" max="14" width="11.5" style="22" customWidth="1"/>
    <col min="15" max="15" width="11.6640625" style="22" customWidth="1"/>
    <col min="16" max="16" width="13.33203125" style="22" customWidth="1"/>
    <col min="17" max="17" width="11.5" style="22" customWidth="1"/>
    <col min="18" max="18" width="13" style="22" customWidth="1"/>
    <col min="19" max="19" width="15.5" style="22" customWidth="1"/>
    <col min="20" max="20" width="12.33203125" style="22" customWidth="1"/>
    <col min="21" max="21" width="11.6640625" style="22" customWidth="1"/>
    <col min="22" max="22" width="14.5" style="22" customWidth="1"/>
    <col min="23" max="23" width="16" style="22" customWidth="1"/>
    <col min="24" max="24" width="14.1640625" style="22" customWidth="1"/>
    <col min="25" max="25" width="11.1640625" style="22" customWidth="1"/>
    <col min="26" max="26" width="9.83203125" style="22" customWidth="1"/>
    <col min="27" max="30" width="8.5" style="22" customWidth="1"/>
    <col min="31" max="31" width="15.1640625" style="22" bestFit="1" customWidth="1"/>
    <col min="32" max="32" width="9.6640625" style="22" customWidth="1"/>
    <col min="33" max="33" width="9.33203125" style="22" customWidth="1"/>
    <col min="34" max="34" width="13.5" style="22" customWidth="1"/>
    <col min="35" max="35" width="14.5" style="34" customWidth="1"/>
    <col min="36" max="36" width="9.33203125" style="22"/>
    <col min="37" max="37" width="12.6640625" style="211" customWidth="1"/>
    <col min="38" max="38" width="11.6640625" style="211" hidden="1" customWidth="1"/>
    <col min="39" max="39" width="13" style="211" hidden="1" customWidth="1"/>
    <col min="40" max="40" width="14.1640625" style="211" bestFit="1" customWidth="1"/>
    <col min="41" max="41" width="9.5" style="211" bestFit="1" customWidth="1"/>
    <col min="42" max="43" width="14.1640625" style="211" bestFit="1" customWidth="1"/>
    <col min="44" max="45" width="9.5" style="22" bestFit="1" customWidth="1"/>
    <col min="46" max="16384" width="9.33203125" style="22"/>
  </cols>
  <sheetData>
    <row r="1" spans="1:45" ht="18" customHeight="1" x14ac:dyDescent="0.2">
      <c r="AE1" s="3180"/>
      <c r="AF1" s="3180"/>
      <c r="AG1" s="3180"/>
      <c r="AH1" s="3180"/>
    </row>
    <row r="2" spans="1:45" ht="24" customHeight="1" x14ac:dyDescent="0.2">
      <c r="A2" s="3181" t="s">
        <v>146</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5"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37"/>
    </row>
    <row r="4" spans="1:45" x14ac:dyDescent="0.2">
      <c r="L4" s="38">
        <v>0.33837499999999998</v>
      </c>
      <c r="V4" s="39"/>
      <c r="W4" s="39"/>
    </row>
    <row r="5" spans="1:45" ht="38.25" customHeight="1" x14ac:dyDescent="0.2">
      <c r="A5" s="3183" t="s">
        <v>78</v>
      </c>
      <c r="B5" s="3183"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5" ht="60" customHeight="1" x14ac:dyDescent="0.2">
      <c r="A6" s="3183"/>
      <c r="B6" s="3183"/>
      <c r="C6" s="3184"/>
      <c r="D6" s="3185" t="s">
        <v>68</v>
      </c>
      <c r="E6" s="3185" t="s">
        <v>69</v>
      </c>
      <c r="F6" s="3185" t="s">
        <v>89</v>
      </c>
      <c r="G6" s="3185" t="s">
        <v>1</v>
      </c>
      <c r="H6" s="3185" t="s">
        <v>2</v>
      </c>
      <c r="I6" s="3185" t="s">
        <v>70</v>
      </c>
      <c r="J6" s="3185" t="s">
        <v>61</v>
      </c>
      <c r="K6" s="3185" t="s">
        <v>27</v>
      </c>
      <c r="L6" s="3186" t="s">
        <v>65</v>
      </c>
      <c r="M6" s="3186" t="s">
        <v>93</v>
      </c>
      <c r="N6" s="3187" t="s">
        <v>91</v>
      </c>
      <c r="O6" s="3187"/>
      <c r="P6" s="3187" t="s">
        <v>88</v>
      </c>
      <c r="Q6" s="3186" t="s">
        <v>82</v>
      </c>
      <c r="R6" s="3185" t="s">
        <v>83</v>
      </c>
      <c r="S6" s="3186"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5" ht="97.5" customHeight="1" x14ac:dyDescent="0.2">
      <c r="A7" s="3183"/>
      <c r="B7" s="3183"/>
      <c r="C7" s="3184"/>
      <c r="D7" s="3185"/>
      <c r="E7" s="3185"/>
      <c r="F7" s="3185"/>
      <c r="G7" s="3185"/>
      <c r="H7" s="3185"/>
      <c r="I7" s="3185"/>
      <c r="J7" s="3185"/>
      <c r="K7" s="3185"/>
      <c r="L7" s="3186" t="s">
        <v>66</v>
      </c>
      <c r="M7" s="3186"/>
      <c r="N7" s="41" t="s">
        <v>80</v>
      </c>
      <c r="O7" s="41" t="s">
        <v>81</v>
      </c>
      <c r="P7" s="3187"/>
      <c r="Q7" s="3186"/>
      <c r="R7" s="3185"/>
      <c r="S7" s="3186" t="s">
        <v>67</v>
      </c>
      <c r="T7" s="3185"/>
      <c r="U7" s="3185"/>
      <c r="V7" s="3185"/>
      <c r="W7" s="3185"/>
      <c r="X7" s="42" t="s">
        <v>5</v>
      </c>
      <c r="Y7" s="42" t="s">
        <v>6</v>
      </c>
      <c r="Z7" s="42" t="s">
        <v>74</v>
      </c>
      <c r="AA7" s="42" t="s">
        <v>5</v>
      </c>
      <c r="AB7" s="42" t="s">
        <v>6</v>
      </c>
      <c r="AC7" s="42" t="s">
        <v>75</v>
      </c>
      <c r="AD7" s="42" t="s">
        <v>5</v>
      </c>
      <c r="AE7" s="42" t="s">
        <v>6</v>
      </c>
      <c r="AF7" s="42" t="s">
        <v>76</v>
      </c>
      <c r="AG7" s="3184"/>
      <c r="AH7" s="3184"/>
      <c r="AK7" s="211" t="s">
        <v>64</v>
      </c>
      <c r="AL7" s="211" t="s">
        <v>62</v>
      </c>
      <c r="AM7" s="70" t="s">
        <v>71</v>
      </c>
    </row>
    <row r="8" spans="1:45" x14ac:dyDescent="0.2">
      <c r="A8" s="23">
        <v>1</v>
      </c>
      <c r="B8" s="23">
        <v>2</v>
      </c>
      <c r="C8" s="23">
        <v>3</v>
      </c>
      <c r="D8" s="23">
        <v>4</v>
      </c>
      <c r="E8" s="23">
        <v>5</v>
      </c>
      <c r="F8" s="23">
        <v>6</v>
      </c>
      <c r="G8" s="23">
        <v>7</v>
      </c>
      <c r="H8" s="23">
        <v>8</v>
      </c>
      <c r="I8" s="23">
        <v>9</v>
      </c>
      <c r="J8" s="23">
        <v>10</v>
      </c>
      <c r="K8" s="23">
        <v>11</v>
      </c>
      <c r="L8" s="23">
        <v>12</v>
      </c>
      <c r="M8" s="23">
        <v>13</v>
      </c>
      <c r="N8" s="23">
        <v>14</v>
      </c>
      <c r="O8" s="23">
        <v>15</v>
      </c>
      <c r="P8" s="23">
        <v>16</v>
      </c>
      <c r="Q8" s="23">
        <v>17</v>
      </c>
      <c r="R8" s="23">
        <v>18</v>
      </c>
      <c r="S8" s="23">
        <v>19</v>
      </c>
      <c r="T8" s="23">
        <v>20</v>
      </c>
      <c r="U8" s="23">
        <v>21</v>
      </c>
      <c r="V8" s="23">
        <v>22</v>
      </c>
      <c r="W8" s="277">
        <v>23</v>
      </c>
      <c r="X8" s="23">
        <v>24</v>
      </c>
      <c r="Y8" s="23">
        <v>25</v>
      </c>
      <c r="Z8" s="23">
        <v>26</v>
      </c>
      <c r="AA8" s="23">
        <v>27</v>
      </c>
      <c r="AB8" s="23">
        <v>28</v>
      </c>
      <c r="AC8" s="23">
        <v>29</v>
      </c>
      <c r="AD8" s="23">
        <v>30</v>
      </c>
      <c r="AE8" s="23">
        <v>31</v>
      </c>
      <c r="AF8" s="23">
        <v>32</v>
      </c>
      <c r="AG8" s="23">
        <v>33</v>
      </c>
      <c r="AH8" s="23">
        <v>34</v>
      </c>
      <c r="AN8" s="212" t="s">
        <v>116</v>
      </c>
      <c r="AO8" s="212" t="s">
        <v>117</v>
      </c>
      <c r="AP8" s="212" t="s">
        <v>118</v>
      </c>
      <c r="AQ8" s="212" t="s">
        <v>119</v>
      </c>
    </row>
    <row r="9" spans="1:45" ht="16.5" customHeight="1" x14ac:dyDescent="0.2">
      <c r="A9" s="276">
        <v>1</v>
      </c>
      <c r="B9" s="44" t="s">
        <v>14</v>
      </c>
      <c r="C9" s="276">
        <v>1</v>
      </c>
      <c r="D9" s="213">
        <v>25.596</v>
      </c>
      <c r="E9" s="214">
        <f>C9*D9</f>
        <v>25.6</v>
      </c>
      <c r="F9" s="215">
        <f>E9*12</f>
        <v>307.2</v>
      </c>
      <c r="G9" s="154"/>
      <c r="H9" s="154"/>
      <c r="I9" s="154"/>
      <c r="J9" s="154"/>
      <c r="K9" s="154">
        <f>F9*0.4</f>
        <v>122.9</v>
      </c>
      <c r="L9" s="154">
        <f>F9*$L$4</f>
        <v>103.9</v>
      </c>
      <c r="M9" s="154">
        <f>F9+G9+H9+I9+J9+K9+L9</f>
        <v>534</v>
      </c>
      <c r="N9" s="171">
        <v>0.98</v>
      </c>
      <c r="O9" s="154">
        <f>M9*N9</f>
        <v>523.29999999999995</v>
      </c>
      <c r="P9" s="154">
        <f>M9+O9</f>
        <v>1057.3</v>
      </c>
      <c r="Q9" s="154">
        <f>P9*0.8</f>
        <v>845.8</v>
      </c>
      <c r="R9" s="154">
        <f>P9*0.8</f>
        <v>845.8</v>
      </c>
      <c r="S9" s="154">
        <f>(P9+Q9+R9)*0.032</f>
        <v>88</v>
      </c>
      <c r="T9" s="154">
        <f>P9+Q9+R9+S9</f>
        <v>2836.9</v>
      </c>
      <c r="U9" s="3192">
        <v>1</v>
      </c>
      <c r="V9" s="154">
        <f>T9*$U$9</f>
        <v>2836.9</v>
      </c>
      <c r="W9" s="154">
        <f>AQ9</f>
        <v>597.20000000000005</v>
      </c>
      <c r="X9" s="276">
        <v>1</v>
      </c>
      <c r="Y9" s="24">
        <v>30</v>
      </c>
      <c r="Z9" s="48">
        <f>X9*Y9</f>
        <v>30</v>
      </c>
      <c r="AA9" s="276"/>
      <c r="AB9" s="24">
        <v>15</v>
      </c>
      <c r="AC9" s="48">
        <f>AA9*AB9</f>
        <v>0</v>
      </c>
      <c r="AD9" s="276"/>
      <c r="AE9" s="24">
        <v>30</v>
      </c>
      <c r="AF9" s="48">
        <f>AD9*AE9</f>
        <v>0</v>
      </c>
      <c r="AG9" s="276">
        <f t="shared" ref="AG9:AG51" si="0">(Z9+AC9+AF9)*1%*30</f>
        <v>9</v>
      </c>
      <c r="AH9" s="48">
        <f t="shared" ref="AH9:AH27" si="1">Z9+AC9+AF9+AG9</f>
        <v>39</v>
      </c>
      <c r="AI9" s="34">
        <f t="shared" ref="AI9:AI36" si="2">V9/12/C9*1000</f>
        <v>236408.3</v>
      </c>
      <c r="AJ9" s="34"/>
      <c r="AK9" s="216">
        <f t="shared" ref="AK9:AK41" si="3">V9/C9</f>
        <v>2836.9</v>
      </c>
      <c r="AL9" s="216">
        <f>((979*0.302)+((AK9-979)*0.182))</f>
        <v>633.79999999999995</v>
      </c>
      <c r="AM9" s="217">
        <f>AL9/AK9</f>
        <v>0.223</v>
      </c>
      <c r="AN9" s="50">
        <f>1150*0.22*C9+(V9-1150*C9)*0.1</f>
        <v>421.7</v>
      </c>
      <c r="AO9" s="50">
        <f>865*0.029</f>
        <v>25.1</v>
      </c>
      <c r="AP9" s="50">
        <f>V9*0.053</f>
        <v>150.4</v>
      </c>
      <c r="AQ9" s="50">
        <f>SUM(AN9:AP9)</f>
        <v>597.20000000000005</v>
      </c>
      <c r="AS9" s="66"/>
    </row>
    <row r="10" spans="1:45" x14ac:dyDescent="0.2">
      <c r="A10" s="276">
        <v>2</v>
      </c>
      <c r="B10" s="44" t="s">
        <v>125</v>
      </c>
      <c r="C10" s="276">
        <v>1</v>
      </c>
      <c r="D10" s="177">
        <v>17.917000000000002</v>
      </c>
      <c r="E10" s="214">
        <f>C10*D10</f>
        <v>17.920000000000002</v>
      </c>
      <c r="F10" s="215">
        <f>E10*12</f>
        <v>215</v>
      </c>
      <c r="G10" s="154"/>
      <c r="H10" s="154">
        <v>8.6999999999999993</v>
      </c>
      <c r="I10" s="154"/>
      <c r="J10" s="154"/>
      <c r="K10" s="154">
        <f>F10*0.4</f>
        <v>86</v>
      </c>
      <c r="L10" s="154">
        <f t="shared" ref="L10:L51" si="4">F10*$L$4</f>
        <v>72.8</v>
      </c>
      <c r="M10" s="154">
        <f>F10+G10+H10+I10+J10+K10+L10</f>
        <v>382.5</v>
      </c>
      <c r="N10" s="171">
        <v>0.47</v>
      </c>
      <c r="O10" s="154">
        <f>M10*N10</f>
        <v>179.8</v>
      </c>
      <c r="P10" s="154">
        <f>M10+O10</f>
        <v>562.29999999999995</v>
      </c>
      <c r="Q10" s="154">
        <f>P10*0.8</f>
        <v>449.8</v>
      </c>
      <c r="R10" s="154">
        <f>P10*0.8</f>
        <v>449.8</v>
      </c>
      <c r="S10" s="154">
        <f>(P10+Q10+R10)*0.032</f>
        <v>46.8</v>
      </c>
      <c r="T10" s="154">
        <f>P10+Q10+R10+S10</f>
        <v>1508.7</v>
      </c>
      <c r="U10" s="3193"/>
      <c r="V10" s="154">
        <f t="shared" ref="V10:V50" si="5">T10*$U$9</f>
        <v>1508.7</v>
      </c>
      <c r="W10" s="154">
        <f t="shared" ref="W10:W11" si="6">AQ10</f>
        <v>394</v>
      </c>
      <c r="X10" s="276"/>
      <c r="Y10" s="24">
        <v>30</v>
      </c>
      <c r="Z10" s="48">
        <f>X10*Y10</f>
        <v>0</v>
      </c>
      <c r="AA10" s="276"/>
      <c r="AB10" s="24">
        <v>15</v>
      </c>
      <c r="AC10" s="48">
        <f>AA10*AB10</f>
        <v>0</v>
      </c>
      <c r="AD10" s="276"/>
      <c r="AE10" s="24">
        <v>30</v>
      </c>
      <c r="AF10" s="48">
        <f>AD10*AE10</f>
        <v>0</v>
      </c>
      <c r="AG10" s="276">
        <f t="shared" si="0"/>
        <v>0</v>
      </c>
      <c r="AH10" s="48">
        <f t="shared" si="1"/>
        <v>0</v>
      </c>
      <c r="AI10" s="34">
        <f t="shared" si="2"/>
        <v>125725</v>
      </c>
      <c r="AJ10" s="34"/>
      <c r="AK10" s="216">
        <f t="shared" si="3"/>
        <v>1508.7</v>
      </c>
      <c r="AL10" s="216">
        <f t="shared" ref="AL10:AL41" si="7">((979*0.302)+((AK10-979)*0.182))</f>
        <v>392.1</v>
      </c>
      <c r="AM10" s="217">
        <f>AL10/AK10</f>
        <v>0.26</v>
      </c>
      <c r="AN10" s="50">
        <f t="shared" ref="AN10:AN12" si="8">1150*0.22*C10+(V10-1150*C10)*0.1</f>
        <v>288.89999999999998</v>
      </c>
      <c r="AO10" s="50">
        <f t="shared" ref="AO10:AO11" si="9">865*0.029</f>
        <v>25.1</v>
      </c>
      <c r="AP10" s="50">
        <f t="shared" ref="AP10:AP11" si="10">V10*0.053</f>
        <v>80</v>
      </c>
      <c r="AQ10" s="50">
        <f t="shared" ref="AQ10:AQ52" si="11">SUM(AN10:AP10)</f>
        <v>394</v>
      </c>
      <c r="AS10" s="66"/>
    </row>
    <row r="11" spans="1:45" x14ac:dyDescent="0.2">
      <c r="A11" s="276">
        <v>3</v>
      </c>
      <c r="B11" s="44" t="s">
        <v>125</v>
      </c>
      <c r="C11" s="276">
        <v>1</v>
      </c>
      <c r="D11" s="177">
        <v>17.917000000000002</v>
      </c>
      <c r="E11" s="214">
        <f>C11*D11</f>
        <v>17.920000000000002</v>
      </c>
      <c r="F11" s="215">
        <f>E11*12</f>
        <v>215</v>
      </c>
      <c r="G11" s="154"/>
      <c r="H11" s="154">
        <v>7.9</v>
      </c>
      <c r="I11" s="154"/>
      <c r="J11" s="154"/>
      <c r="K11" s="154">
        <f>F11*0.25</f>
        <v>53.8</v>
      </c>
      <c r="L11" s="154">
        <f t="shared" si="4"/>
        <v>72.8</v>
      </c>
      <c r="M11" s="154">
        <f>F11+G11+H11+I11+J11+K11+L11</f>
        <v>349.5</v>
      </c>
      <c r="N11" s="171">
        <v>0.47</v>
      </c>
      <c r="O11" s="154">
        <f>M11*N11</f>
        <v>164.3</v>
      </c>
      <c r="P11" s="154">
        <f>M11+O11</f>
        <v>513.79999999999995</v>
      </c>
      <c r="Q11" s="154">
        <f>P11*0.8</f>
        <v>411</v>
      </c>
      <c r="R11" s="154">
        <f>P11*0.8</f>
        <v>411</v>
      </c>
      <c r="S11" s="154">
        <f>(P11+Q11+R11)*0.032</f>
        <v>42.7</v>
      </c>
      <c r="T11" s="154">
        <f>P11+Q11+R11+S11</f>
        <v>1378.5</v>
      </c>
      <c r="U11" s="3193"/>
      <c r="V11" s="154">
        <f t="shared" si="5"/>
        <v>1378.5</v>
      </c>
      <c r="W11" s="154">
        <f t="shared" si="6"/>
        <v>374.1</v>
      </c>
      <c r="X11" s="276">
        <v>1</v>
      </c>
      <c r="Y11" s="24">
        <v>30</v>
      </c>
      <c r="Z11" s="48">
        <f>X11*Y11</f>
        <v>30</v>
      </c>
      <c r="AA11" s="276"/>
      <c r="AB11" s="24">
        <v>15</v>
      </c>
      <c r="AC11" s="48">
        <f>AA11*AB11</f>
        <v>0</v>
      </c>
      <c r="AD11" s="276"/>
      <c r="AE11" s="24">
        <v>30</v>
      </c>
      <c r="AF11" s="48">
        <f>AD11*AE11</f>
        <v>0</v>
      </c>
      <c r="AG11" s="276">
        <f t="shared" si="0"/>
        <v>9</v>
      </c>
      <c r="AH11" s="48">
        <f t="shared" si="1"/>
        <v>39</v>
      </c>
      <c r="AI11" s="34">
        <f t="shared" si="2"/>
        <v>114875</v>
      </c>
      <c r="AJ11" s="34"/>
      <c r="AK11" s="216">
        <f t="shared" si="3"/>
        <v>1378.5</v>
      </c>
      <c r="AL11" s="216">
        <f t="shared" si="7"/>
        <v>368.4</v>
      </c>
      <c r="AM11" s="217">
        <f>AL11/AK11</f>
        <v>0.26700000000000002</v>
      </c>
      <c r="AN11" s="50">
        <f t="shared" si="8"/>
        <v>275.89999999999998</v>
      </c>
      <c r="AO11" s="50">
        <f t="shared" si="9"/>
        <v>25.1</v>
      </c>
      <c r="AP11" s="50">
        <f t="shared" si="10"/>
        <v>73.099999999999994</v>
      </c>
      <c r="AQ11" s="50">
        <f t="shared" si="11"/>
        <v>374.1</v>
      </c>
      <c r="AS11" s="66"/>
    </row>
    <row r="12" spans="1:45" x14ac:dyDescent="0.2">
      <c r="A12" s="277">
        <v>4</v>
      </c>
      <c r="B12" s="44" t="s">
        <v>125</v>
      </c>
      <c r="C12" s="277">
        <v>1</v>
      </c>
      <c r="D12" s="177">
        <v>17.917000000000002</v>
      </c>
      <c r="E12" s="214">
        <f>C12*D12</f>
        <v>17.920000000000002</v>
      </c>
      <c r="F12" s="215">
        <f>E12*12</f>
        <v>215</v>
      </c>
      <c r="G12" s="154"/>
      <c r="H12" s="154"/>
      <c r="I12" s="154"/>
      <c r="J12" s="154"/>
      <c r="K12" s="154"/>
      <c r="L12" s="154">
        <f t="shared" si="4"/>
        <v>72.8</v>
      </c>
      <c r="M12" s="154">
        <f>F12+G12+H12+I12+J12+K12+L12</f>
        <v>287.8</v>
      </c>
      <c r="N12" s="171">
        <v>0.47</v>
      </c>
      <c r="O12" s="154">
        <f>M12*N12</f>
        <v>135.30000000000001</v>
      </c>
      <c r="P12" s="154">
        <f>M12+O12</f>
        <v>423.1</v>
      </c>
      <c r="Q12" s="154">
        <f>P12*0.8</f>
        <v>338.5</v>
      </c>
      <c r="R12" s="154">
        <f>P12*0.8</f>
        <v>338.5</v>
      </c>
      <c r="S12" s="154">
        <f>(P12+Q12+R12)*0.032</f>
        <v>35.200000000000003</v>
      </c>
      <c r="T12" s="154">
        <f>P12+Q12+R12+S12</f>
        <v>1135.3</v>
      </c>
      <c r="U12" s="3193"/>
      <c r="V12" s="154">
        <f t="shared" si="5"/>
        <v>1135.3</v>
      </c>
      <c r="W12" s="154">
        <f>AQ12</f>
        <v>336.8</v>
      </c>
      <c r="X12" s="277">
        <v>1</v>
      </c>
      <c r="Y12" s="24">
        <v>30</v>
      </c>
      <c r="Z12" s="48">
        <f>X12*Y12</f>
        <v>30</v>
      </c>
      <c r="AA12" s="277">
        <v>2</v>
      </c>
      <c r="AB12" s="24">
        <v>15</v>
      </c>
      <c r="AC12" s="48">
        <f>AA12*AB12</f>
        <v>30</v>
      </c>
      <c r="AD12" s="277">
        <v>1</v>
      </c>
      <c r="AE12" s="24">
        <v>30</v>
      </c>
      <c r="AF12" s="48">
        <f>AD12*AE12</f>
        <v>30</v>
      </c>
      <c r="AG12" s="277">
        <f t="shared" si="0"/>
        <v>27</v>
      </c>
      <c r="AH12" s="48">
        <f t="shared" si="1"/>
        <v>117</v>
      </c>
      <c r="AI12" s="34">
        <f t="shared" si="2"/>
        <v>94608.3</v>
      </c>
      <c r="AJ12" s="34"/>
      <c r="AK12" s="216">
        <f t="shared" si="3"/>
        <v>1135.3</v>
      </c>
      <c r="AL12" s="216">
        <f t="shared" si="7"/>
        <v>324.10000000000002</v>
      </c>
      <c r="AM12" s="217">
        <f>AL12/AK12</f>
        <v>0.28499999999999998</v>
      </c>
      <c r="AN12" s="50">
        <f t="shared" si="8"/>
        <v>251.5</v>
      </c>
      <c r="AO12" s="50">
        <f>865*0.029</f>
        <v>25.1</v>
      </c>
      <c r="AP12" s="50">
        <f>AK12*0.053</f>
        <v>60.2</v>
      </c>
      <c r="AQ12" s="50">
        <f t="shared" ref="AQ12" si="12">SUM(AN12:AP12)*C12</f>
        <v>336.8</v>
      </c>
      <c r="AS12" s="66"/>
    </row>
    <row r="13" spans="1:45" ht="14.25" customHeight="1" x14ac:dyDescent="0.2">
      <c r="A13" s="276">
        <v>5</v>
      </c>
      <c r="B13" s="218" t="s">
        <v>16</v>
      </c>
      <c r="C13" s="276">
        <v>7</v>
      </c>
      <c r="D13" s="177">
        <v>11.061999999999999</v>
      </c>
      <c r="E13" s="171">
        <f t="shared" ref="E13:E19" si="13">C13*D13</f>
        <v>77.430000000000007</v>
      </c>
      <c r="F13" s="154">
        <f t="shared" ref="F13:F19" si="14">E13*12</f>
        <v>929.2</v>
      </c>
      <c r="G13" s="154"/>
      <c r="H13" s="154">
        <f>0.539+1.617+0.539+2.696+1.078</f>
        <v>6.5</v>
      </c>
      <c r="I13" s="154"/>
      <c r="J13" s="154"/>
      <c r="K13" s="154">
        <f>D13*0.2*12+D13*0.25*4*12+D13*0.4*2</f>
        <v>168.1</v>
      </c>
      <c r="L13" s="154">
        <f t="shared" si="4"/>
        <v>314.39999999999998</v>
      </c>
      <c r="M13" s="154">
        <f t="shared" ref="M13:M19" si="15">F13+G13+H13+I13+J13+K13+L13</f>
        <v>1418.2</v>
      </c>
      <c r="N13" s="171">
        <v>0.43</v>
      </c>
      <c r="O13" s="154">
        <f t="shared" ref="O13:O19" si="16">M13*N13</f>
        <v>609.79999999999995</v>
      </c>
      <c r="P13" s="154">
        <f t="shared" ref="P13:P19" si="17">M13+O13</f>
        <v>2028</v>
      </c>
      <c r="Q13" s="154">
        <f t="shared" ref="Q13:Q19" si="18">P13*0.8</f>
        <v>1622.4</v>
      </c>
      <c r="R13" s="154">
        <f t="shared" ref="R13:R19" si="19">P13*0.8</f>
        <v>1622.4</v>
      </c>
      <c r="S13" s="154">
        <f t="shared" ref="S13:S19" si="20">(P13+Q13+R13)*0.032</f>
        <v>168.7</v>
      </c>
      <c r="T13" s="154">
        <f t="shared" ref="T13:T19" si="21">P13+Q13+R13+S13</f>
        <v>5441.5</v>
      </c>
      <c r="U13" s="3193"/>
      <c r="V13" s="154">
        <f t="shared" si="5"/>
        <v>5441.5</v>
      </c>
      <c r="W13" s="154">
        <f>V13*0.302</f>
        <v>1643.3</v>
      </c>
      <c r="X13" s="54">
        <v>4</v>
      </c>
      <c r="Y13" s="24">
        <v>30</v>
      </c>
      <c r="Z13" s="48">
        <f t="shared" ref="Z13:Z19" si="22">X13*Y13</f>
        <v>120</v>
      </c>
      <c r="AA13" s="54">
        <v>1</v>
      </c>
      <c r="AB13" s="24">
        <v>15</v>
      </c>
      <c r="AC13" s="48">
        <f t="shared" ref="AC13:AC19" si="23">AA13*AB13</f>
        <v>15</v>
      </c>
      <c r="AD13" s="54"/>
      <c r="AE13" s="24">
        <v>30</v>
      </c>
      <c r="AF13" s="48">
        <f t="shared" ref="AF13:AF19" si="24">AD13*AE13</f>
        <v>0</v>
      </c>
      <c r="AG13" s="276">
        <f t="shared" si="0"/>
        <v>40.5</v>
      </c>
      <c r="AH13" s="48">
        <f t="shared" si="1"/>
        <v>175.5</v>
      </c>
      <c r="AI13" s="34">
        <f t="shared" si="2"/>
        <v>64779.8</v>
      </c>
      <c r="AJ13" s="34"/>
      <c r="AK13" s="216">
        <f t="shared" si="3"/>
        <v>777.4</v>
      </c>
      <c r="AL13" s="216">
        <f t="shared" si="7"/>
        <v>259</v>
      </c>
      <c r="AM13" s="217">
        <v>0.30199999999999999</v>
      </c>
      <c r="AN13" s="50"/>
      <c r="AQ13" s="50">
        <f t="shared" si="11"/>
        <v>0</v>
      </c>
      <c r="AS13" s="66"/>
    </row>
    <row r="14" spans="1:45" x14ac:dyDescent="0.2">
      <c r="A14" s="276">
        <v>6</v>
      </c>
      <c r="B14" s="218" t="s">
        <v>16</v>
      </c>
      <c r="C14" s="276">
        <v>1</v>
      </c>
      <c r="D14" s="177">
        <v>11.061999999999999</v>
      </c>
      <c r="E14" s="171">
        <f>C14*D14</f>
        <v>11.06</v>
      </c>
      <c r="F14" s="154">
        <f t="shared" si="14"/>
        <v>132.69999999999999</v>
      </c>
      <c r="G14" s="154"/>
      <c r="H14" s="34">
        <f>5.4+1.617</f>
        <v>7</v>
      </c>
      <c r="I14" s="154"/>
      <c r="J14" s="154"/>
      <c r="K14" s="154">
        <f>F14*0.4</f>
        <v>53.1</v>
      </c>
      <c r="L14" s="154">
        <f t="shared" si="4"/>
        <v>44.9</v>
      </c>
      <c r="M14" s="154">
        <f t="shared" si="15"/>
        <v>237.7</v>
      </c>
      <c r="N14" s="171">
        <v>0.43</v>
      </c>
      <c r="O14" s="154">
        <f t="shared" si="16"/>
        <v>102.2</v>
      </c>
      <c r="P14" s="154">
        <f t="shared" si="17"/>
        <v>339.9</v>
      </c>
      <c r="Q14" s="154">
        <f t="shared" si="18"/>
        <v>271.89999999999998</v>
      </c>
      <c r="R14" s="154">
        <f t="shared" si="19"/>
        <v>271.89999999999998</v>
      </c>
      <c r="S14" s="154">
        <f t="shared" si="20"/>
        <v>28.3</v>
      </c>
      <c r="T14" s="154">
        <f t="shared" si="21"/>
        <v>912</v>
      </c>
      <c r="U14" s="3193"/>
      <c r="V14" s="154">
        <f t="shared" si="5"/>
        <v>912</v>
      </c>
      <c r="W14" s="154">
        <f>AQ14</f>
        <v>274</v>
      </c>
      <c r="X14" s="54">
        <v>1</v>
      </c>
      <c r="Y14" s="24">
        <v>30</v>
      </c>
      <c r="Z14" s="48">
        <f t="shared" si="22"/>
        <v>30</v>
      </c>
      <c r="AA14" s="54"/>
      <c r="AB14" s="24">
        <v>15</v>
      </c>
      <c r="AC14" s="48">
        <f t="shared" si="23"/>
        <v>0</v>
      </c>
      <c r="AD14" s="54"/>
      <c r="AE14" s="24">
        <v>30</v>
      </c>
      <c r="AF14" s="48">
        <f>AD14*AE14</f>
        <v>0</v>
      </c>
      <c r="AG14" s="276">
        <f t="shared" si="0"/>
        <v>9</v>
      </c>
      <c r="AH14" s="48">
        <f t="shared" si="1"/>
        <v>39</v>
      </c>
      <c r="AI14" s="34">
        <f t="shared" si="2"/>
        <v>76000</v>
      </c>
      <c r="AJ14" s="34"/>
      <c r="AK14" s="216">
        <f t="shared" si="3"/>
        <v>912</v>
      </c>
      <c r="AL14" s="216">
        <f t="shared" si="7"/>
        <v>283.5</v>
      </c>
      <c r="AM14" s="217">
        <f>AL14/AK14</f>
        <v>0.311</v>
      </c>
      <c r="AN14" s="50">
        <f t="shared" ref="AN14" si="25">AK14*0.22</f>
        <v>200.6</v>
      </c>
      <c r="AO14" s="50">
        <f>865*0.029</f>
        <v>25.1</v>
      </c>
      <c r="AP14" s="50">
        <f>AK14*0.053</f>
        <v>48.3</v>
      </c>
      <c r="AQ14" s="50">
        <f t="shared" ref="AQ14" si="26">SUM(AN14:AP14)*C14</f>
        <v>274</v>
      </c>
      <c r="AS14" s="66"/>
    </row>
    <row r="15" spans="1:45" ht="25.5" x14ac:dyDescent="0.2">
      <c r="A15" s="276">
        <v>8</v>
      </c>
      <c r="B15" s="218" t="s">
        <v>45</v>
      </c>
      <c r="C15" s="276">
        <v>1</v>
      </c>
      <c r="D15" s="177">
        <v>11.061999999999999</v>
      </c>
      <c r="E15" s="171">
        <f t="shared" si="13"/>
        <v>11.06</v>
      </c>
      <c r="F15" s="154">
        <f t="shared" si="14"/>
        <v>132.69999999999999</v>
      </c>
      <c r="G15" s="154"/>
      <c r="H15" s="154">
        <v>2.4</v>
      </c>
      <c r="I15" s="154"/>
      <c r="J15" s="154"/>
      <c r="K15" s="154">
        <f>F15*0.4</f>
        <v>53.1</v>
      </c>
      <c r="L15" s="154">
        <f t="shared" si="4"/>
        <v>44.9</v>
      </c>
      <c r="M15" s="154">
        <f t="shared" si="15"/>
        <v>233.1</v>
      </c>
      <c r="N15" s="171">
        <v>0.43</v>
      </c>
      <c r="O15" s="154">
        <f t="shared" si="16"/>
        <v>100.2</v>
      </c>
      <c r="P15" s="154">
        <f t="shared" si="17"/>
        <v>333.3</v>
      </c>
      <c r="Q15" s="154">
        <f t="shared" si="18"/>
        <v>266.60000000000002</v>
      </c>
      <c r="R15" s="154">
        <f t="shared" si="19"/>
        <v>266.60000000000002</v>
      </c>
      <c r="S15" s="154">
        <f t="shared" si="20"/>
        <v>27.7</v>
      </c>
      <c r="T15" s="154">
        <f t="shared" si="21"/>
        <v>894.2</v>
      </c>
      <c r="U15" s="3193"/>
      <c r="V15" s="154">
        <f t="shared" si="5"/>
        <v>894.2</v>
      </c>
      <c r="W15" s="154">
        <f>AQ15</f>
        <v>269.2</v>
      </c>
      <c r="X15" s="54"/>
      <c r="Y15" s="24">
        <v>30</v>
      </c>
      <c r="Z15" s="48">
        <f t="shared" si="22"/>
        <v>0</v>
      </c>
      <c r="AA15" s="54"/>
      <c r="AB15" s="24">
        <v>15</v>
      </c>
      <c r="AC15" s="48">
        <f t="shared" si="23"/>
        <v>0</v>
      </c>
      <c r="AD15" s="54"/>
      <c r="AE15" s="24">
        <v>30</v>
      </c>
      <c r="AF15" s="48">
        <f t="shared" si="24"/>
        <v>0</v>
      </c>
      <c r="AG15" s="276">
        <f t="shared" si="0"/>
        <v>0</v>
      </c>
      <c r="AH15" s="48">
        <f t="shared" si="1"/>
        <v>0</v>
      </c>
      <c r="AI15" s="34">
        <f t="shared" si="2"/>
        <v>74516.7</v>
      </c>
      <c r="AJ15" s="34"/>
      <c r="AK15" s="216">
        <f t="shared" si="3"/>
        <v>894.2</v>
      </c>
      <c r="AL15" s="216">
        <f t="shared" si="7"/>
        <v>280.2</v>
      </c>
      <c r="AM15" s="217">
        <v>0.30199999999999999</v>
      </c>
      <c r="AN15" s="50">
        <f t="shared" ref="AN15" si="27">AK15*0.22</f>
        <v>196.7</v>
      </c>
      <c r="AO15" s="50">
        <f>865*0.029</f>
        <v>25.1</v>
      </c>
      <c r="AP15" s="50">
        <f>AK15*0.053</f>
        <v>47.4</v>
      </c>
      <c r="AQ15" s="50">
        <f t="shared" si="11"/>
        <v>269.2</v>
      </c>
      <c r="AS15" s="66"/>
    </row>
    <row r="16" spans="1:45" ht="25.5" x14ac:dyDescent="0.2">
      <c r="A16" s="276">
        <v>9</v>
      </c>
      <c r="B16" s="218" t="s">
        <v>46</v>
      </c>
      <c r="C16" s="276">
        <v>1</v>
      </c>
      <c r="D16" s="177">
        <v>11.061999999999999</v>
      </c>
      <c r="E16" s="171">
        <f t="shared" si="13"/>
        <v>11.06</v>
      </c>
      <c r="F16" s="154">
        <f t="shared" si="14"/>
        <v>132.69999999999999</v>
      </c>
      <c r="G16" s="154"/>
      <c r="H16" s="154">
        <v>2.4</v>
      </c>
      <c r="I16" s="154"/>
      <c r="J16" s="154"/>
      <c r="K16" s="154">
        <f>F16*0.4</f>
        <v>53.1</v>
      </c>
      <c r="L16" s="154">
        <f t="shared" si="4"/>
        <v>44.9</v>
      </c>
      <c r="M16" s="154">
        <f t="shared" si="15"/>
        <v>233.1</v>
      </c>
      <c r="N16" s="171">
        <v>0.43</v>
      </c>
      <c r="O16" s="154">
        <f t="shared" si="16"/>
        <v>100.2</v>
      </c>
      <c r="P16" s="154">
        <f t="shared" si="17"/>
        <v>333.3</v>
      </c>
      <c r="Q16" s="154">
        <f t="shared" si="18"/>
        <v>266.60000000000002</v>
      </c>
      <c r="R16" s="154">
        <f t="shared" si="19"/>
        <v>266.60000000000002</v>
      </c>
      <c r="S16" s="154">
        <f t="shared" si="20"/>
        <v>27.7</v>
      </c>
      <c r="T16" s="154">
        <f t="shared" si="21"/>
        <v>894.2</v>
      </c>
      <c r="U16" s="3193"/>
      <c r="V16" s="154">
        <f t="shared" si="5"/>
        <v>894.2</v>
      </c>
      <c r="W16" s="154">
        <f>AQ16</f>
        <v>269.2</v>
      </c>
      <c r="X16" s="54">
        <v>1</v>
      </c>
      <c r="Y16" s="24">
        <v>30</v>
      </c>
      <c r="Z16" s="48">
        <f t="shared" si="22"/>
        <v>30</v>
      </c>
      <c r="AA16" s="54">
        <v>1</v>
      </c>
      <c r="AB16" s="24">
        <v>15</v>
      </c>
      <c r="AC16" s="48">
        <f t="shared" si="23"/>
        <v>15</v>
      </c>
      <c r="AD16" s="54">
        <v>1</v>
      </c>
      <c r="AE16" s="24">
        <v>30</v>
      </c>
      <c r="AF16" s="48">
        <f t="shared" si="24"/>
        <v>30</v>
      </c>
      <c r="AG16" s="276">
        <f t="shared" si="0"/>
        <v>22.5</v>
      </c>
      <c r="AH16" s="48">
        <f t="shared" si="1"/>
        <v>97.5</v>
      </c>
      <c r="AI16" s="34">
        <f t="shared" si="2"/>
        <v>74516.7</v>
      </c>
      <c r="AJ16" s="34"/>
      <c r="AK16" s="216">
        <f t="shared" si="3"/>
        <v>894.2</v>
      </c>
      <c r="AL16" s="216">
        <f t="shared" si="7"/>
        <v>280.2</v>
      </c>
      <c r="AM16" s="217">
        <f>AL16/AK16</f>
        <v>0.313</v>
      </c>
      <c r="AN16" s="50">
        <f t="shared" ref="AN16" si="28">AK16*0.22</f>
        <v>196.7</v>
      </c>
      <c r="AO16" s="50">
        <f>865*0.029</f>
        <v>25.1</v>
      </c>
      <c r="AP16" s="50">
        <f>AK16*0.053</f>
        <v>47.4</v>
      </c>
      <c r="AQ16" s="50">
        <f t="shared" si="11"/>
        <v>269.2</v>
      </c>
      <c r="AS16" s="66"/>
    </row>
    <row r="17" spans="1:45" ht="25.5" x14ac:dyDescent="0.2">
      <c r="A17" s="276">
        <v>10</v>
      </c>
      <c r="B17" s="218" t="s">
        <v>100</v>
      </c>
      <c r="C17" s="276">
        <v>1</v>
      </c>
      <c r="D17" s="177">
        <v>11.061999999999999</v>
      </c>
      <c r="E17" s="171">
        <f>C17*D17</f>
        <v>11.06</v>
      </c>
      <c r="F17" s="154">
        <f>E17*12</f>
        <v>132.69999999999999</v>
      </c>
      <c r="G17" s="154"/>
      <c r="H17" s="154">
        <v>5.4</v>
      </c>
      <c r="I17" s="154"/>
      <c r="J17" s="154"/>
      <c r="K17" s="154"/>
      <c r="L17" s="154">
        <f t="shared" si="4"/>
        <v>44.9</v>
      </c>
      <c r="M17" s="154">
        <f>F17+G17+H17+I17+J17+K17+L17</f>
        <v>183</v>
      </c>
      <c r="N17" s="171">
        <v>0.43</v>
      </c>
      <c r="O17" s="154">
        <f>M17*N17</f>
        <v>78.7</v>
      </c>
      <c r="P17" s="154">
        <f>M17+O17</f>
        <v>261.7</v>
      </c>
      <c r="Q17" s="154">
        <f>P17*0.8</f>
        <v>209.4</v>
      </c>
      <c r="R17" s="154">
        <f>P17*0.8</f>
        <v>209.4</v>
      </c>
      <c r="S17" s="154">
        <f>(P17+Q17+R17)*0.032</f>
        <v>21.8</v>
      </c>
      <c r="T17" s="154">
        <f>P17+Q17+R17+S17</f>
        <v>702.3</v>
      </c>
      <c r="U17" s="3193"/>
      <c r="V17" s="154">
        <f t="shared" si="5"/>
        <v>702.3</v>
      </c>
      <c r="W17" s="154">
        <f t="shared" ref="W17:W19" si="29">V17*0.302</f>
        <v>212.1</v>
      </c>
      <c r="X17" s="54">
        <v>1</v>
      </c>
      <c r="Y17" s="24">
        <v>30</v>
      </c>
      <c r="Z17" s="48">
        <f>X17*Y17</f>
        <v>30</v>
      </c>
      <c r="AA17" s="54"/>
      <c r="AB17" s="24">
        <v>15</v>
      </c>
      <c r="AC17" s="48">
        <f>AA17*AB17</f>
        <v>0</v>
      </c>
      <c r="AD17" s="54"/>
      <c r="AE17" s="24">
        <v>30</v>
      </c>
      <c r="AF17" s="48">
        <f>AD17*AE17</f>
        <v>0</v>
      </c>
      <c r="AG17" s="276">
        <f t="shared" si="0"/>
        <v>9</v>
      </c>
      <c r="AH17" s="48">
        <f t="shared" si="1"/>
        <v>39</v>
      </c>
      <c r="AI17" s="34">
        <f t="shared" si="2"/>
        <v>58525</v>
      </c>
      <c r="AJ17" s="34"/>
      <c r="AK17" s="216">
        <f t="shared" si="3"/>
        <v>702.3</v>
      </c>
      <c r="AL17" s="216">
        <f t="shared" si="7"/>
        <v>245.3</v>
      </c>
      <c r="AM17" s="217">
        <f>AL17/AK17</f>
        <v>0.34899999999999998</v>
      </c>
      <c r="AN17" s="50"/>
      <c r="AO17" s="50"/>
      <c r="AP17" s="50"/>
      <c r="AQ17" s="50">
        <f t="shared" si="11"/>
        <v>0</v>
      </c>
      <c r="AS17" s="66"/>
    </row>
    <row r="18" spans="1:45" x14ac:dyDescent="0.2">
      <c r="A18" s="276">
        <v>11</v>
      </c>
      <c r="B18" s="218" t="s">
        <v>105</v>
      </c>
      <c r="C18" s="276">
        <v>2</v>
      </c>
      <c r="D18" s="177">
        <v>8.4730000000000008</v>
      </c>
      <c r="E18" s="171">
        <f t="shared" si="13"/>
        <v>16.95</v>
      </c>
      <c r="F18" s="154">
        <f t="shared" si="14"/>
        <v>203.4</v>
      </c>
      <c r="G18" s="154"/>
      <c r="H18" s="154">
        <v>2.1</v>
      </c>
      <c r="I18" s="154"/>
      <c r="J18" s="154"/>
      <c r="K18" s="154">
        <f>D18*0.35*12+D18*0.3*12+D18*9.5*0.05</f>
        <v>70.099999999999994</v>
      </c>
      <c r="L18" s="154">
        <f t="shared" si="4"/>
        <v>68.8</v>
      </c>
      <c r="M18" s="154">
        <f t="shared" si="15"/>
        <v>344.4</v>
      </c>
      <c r="N18" s="171">
        <v>0.41</v>
      </c>
      <c r="O18" s="154">
        <f t="shared" si="16"/>
        <v>141.19999999999999</v>
      </c>
      <c r="P18" s="154">
        <f t="shared" si="17"/>
        <v>485.6</v>
      </c>
      <c r="Q18" s="154">
        <f t="shared" si="18"/>
        <v>388.5</v>
      </c>
      <c r="R18" s="154">
        <f t="shared" si="19"/>
        <v>388.5</v>
      </c>
      <c r="S18" s="154">
        <f t="shared" si="20"/>
        <v>40.4</v>
      </c>
      <c r="T18" s="154">
        <f t="shared" si="21"/>
        <v>1303</v>
      </c>
      <c r="U18" s="3193"/>
      <c r="V18" s="154">
        <f t="shared" si="5"/>
        <v>1303</v>
      </c>
      <c r="W18" s="154">
        <f t="shared" si="29"/>
        <v>393.5</v>
      </c>
      <c r="X18" s="54"/>
      <c r="Y18" s="24">
        <v>30</v>
      </c>
      <c r="Z18" s="48">
        <f t="shared" si="22"/>
        <v>0</v>
      </c>
      <c r="AA18" s="54"/>
      <c r="AB18" s="24">
        <v>15</v>
      </c>
      <c r="AC18" s="48">
        <f t="shared" si="23"/>
        <v>0</v>
      </c>
      <c r="AD18" s="54"/>
      <c r="AE18" s="24">
        <v>30</v>
      </c>
      <c r="AF18" s="48">
        <f t="shared" si="24"/>
        <v>0</v>
      </c>
      <c r="AG18" s="276">
        <f t="shared" si="0"/>
        <v>0</v>
      </c>
      <c r="AH18" s="48">
        <f t="shared" si="1"/>
        <v>0</v>
      </c>
      <c r="AI18" s="34">
        <f t="shared" si="2"/>
        <v>54291.7</v>
      </c>
      <c r="AJ18" s="34"/>
      <c r="AK18" s="216">
        <f t="shared" si="3"/>
        <v>651.5</v>
      </c>
      <c r="AL18" s="216">
        <f t="shared" si="7"/>
        <v>236.1</v>
      </c>
      <c r="AM18" s="217">
        <v>0.30199999999999999</v>
      </c>
      <c r="AQ18" s="50">
        <f t="shared" si="11"/>
        <v>0</v>
      </c>
      <c r="AS18" s="66"/>
    </row>
    <row r="19" spans="1:45" x14ac:dyDescent="0.2">
      <c r="A19" s="276">
        <v>12</v>
      </c>
      <c r="B19" s="218" t="s">
        <v>47</v>
      </c>
      <c r="C19" s="219">
        <v>1</v>
      </c>
      <c r="D19" s="177">
        <v>6.2859999999999996</v>
      </c>
      <c r="E19" s="171">
        <f t="shared" si="13"/>
        <v>6.29</v>
      </c>
      <c r="F19" s="154">
        <f t="shared" si="14"/>
        <v>75.5</v>
      </c>
      <c r="G19" s="154"/>
      <c r="H19" s="154">
        <v>2.8</v>
      </c>
      <c r="I19" s="154"/>
      <c r="J19" s="154"/>
      <c r="K19" s="154">
        <f>F19*0.2+D19*0.05*9.5</f>
        <v>18.100000000000001</v>
      </c>
      <c r="L19" s="154">
        <f t="shared" si="4"/>
        <v>25.5</v>
      </c>
      <c r="M19" s="154">
        <f t="shared" si="15"/>
        <v>121.9</v>
      </c>
      <c r="N19" s="171">
        <v>0.45</v>
      </c>
      <c r="O19" s="154">
        <f t="shared" si="16"/>
        <v>54.9</v>
      </c>
      <c r="P19" s="154">
        <f t="shared" si="17"/>
        <v>176.8</v>
      </c>
      <c r="Q19" s="154">
        <f t="shared" si="18"/>
        <v>141.4</v>
      </c>
      <c r="R19" s="154">
        <f t="shared" si="19"/>
        <v>141.4</v>
      </c>
      <c r="S19" s="154">
        <f t="shared" si="20"/>
        <v>14.7</v>
      </c>
      <c r="T19" s="154">
        <f t="shared" si="21"/>
        <v>474.3</v>
      </c>
      <c r="U19" s="3193"/>
      <c r="V19" s="154">
        <f t="shared" si="5"/>
        <v>474.3</v>
      </c>
      <c r="W19" s="154">
        <f t="shared" si="29"/>
        <v>143.19999999999999</v>
      </c>
      <c r="X19" s="54">
        <v>1</v>
      </c>
      <c r="Y19" s="24">
        <v>30</v>
      </c>
      <c r="Z19" s="48">
        <f t="shared" si="22"/>
        <v>30</v>
      </c>
      <c r="AA19" s="54"/>
      <c r="AB19" s="24">
        <v>15</v>
      </c>
      <c r="AC19" s="48">
        <f t="shared" si="23"/>
        <v>0</v>
      </c>
      <c r="AD19" s="54">
        <v>1</v>
      </c>
      <c r="AE19" s="24">
        <v>30</v>
      </c>
      <c r="AF19" s="48">
        <f t="shared" si="24"/>
        <v>30</v>
      </c>
      <c r="AG19" s="276">
        <f t="shared" si="0"/>
        <v>18</v>
      </c>
      <c r="AH19" s="48">
        <f t="shared" si="1"/>
        <v>78</v>
      </c>
      <c r="AI19" s="34">
        <f t="shared" si="2"/>
        <v>39525</v>
      </c>
      <c r="AJ19" s="34"/>
      <c r="AK19" s="216">
        <f t="shared" si="3"/>
        <v>474.3</v>
      </c>
      <c r="AL19" s="216">
        <f t="shared" si="7"/>
        <v>203.8</v>
      </c>
      <c r="AM19" s="217">
        <v>0.30199999999999999</v>
      </c>
      <c r="AQ19" s="50">
        <f t="shared" si="11"/>
        <v>0</v>
      </c>
      <c r="AS19" s="66"/>
    </row>
    <row r="20" spans="1:45" s="33" customFormat="1" x14ac:dyDescent="0.2">
      <c r="A20" s="276">
        <v>13</v>
      </c>
      <c r="B20" s="218" t="s">
        <v>48</v>
      </c>
      <c r="C20" s="276">
        <v>1</v>
      </c>
      <c r="D20" s="177">
        <v>11.061999999999999</v>
      </c>
      <c r="E20" s="171">
        <f>C20*D20</f>
        <v>11.06</v>
      </c>
      <c r="F20" s="154">
        <f>E20*12</f>
        <v>132.69999999999999</v>
      </c>
      <c r="G20" s="154"/>
      <c r="H20" s="154">
        <v>1.8</v>
      </c>
      <c r="I20" s="154"/>
      <c r="J20" s="154"/>
      <c r="K20" s="154">
        <f>F20*0.35</f>
        <v>46.4</v>
      </c>
      <c r="L20" s="154">
        <f t="shared" si="4"/>
        <v>44.9</v>
      </c>
      <c r="M20" s="154">
        <f>F20+G20+H20+I20+J20+K20+L20</f>
        <v>225.8</v>
      </c>
      <c r="N20" s="171">
        <v>0.47</v>
      </c>
      <c r="O20" s="154">
        <f>M20*N20</f>
        <v>106.1</v>
      </c>
      <c r="P20" s="154">
        <f>M20+O20</f>
        <v>331.9</v>
      </c>
      <c r="Q20" s="154">
        <f>P20*0.8</f>
        <v>265.5</v>
      </c>
      <c r="R20" s="154">
        <f>P20*0.8</f>
        <v>265.5</v>
      </c>
      <c r="S20" s="154">
        <f>(P20+Q20+R20)*0.032</f>
        <v>27.6</v>
      </c>
      <c r="T20" s="154">
        <f>P20+Q20+R20+S20</f>
        <v>890.5</v>
      </c>
      <c r="U20" s="3193"/>
      <c r="V20" s="154">
        <f t="shared" si="5"/>
        <v>890.5</v>
      </c>
      <c r="W20" s="154">
        <f>AQ20</f>
        <v>268.2</v>
      </c>
      <c r="X20" s="54">
        <v>1</v>
      </c>
      <c r="Y20" s="24">
        <v>30</v>
      </c>
      <c r="Z20" s="48">
        <f>X20*Y20</f>
        <v>30</v>
      </c>
      <c r="AA20" s="54"/>
      <c r="AB20" s="24">
        <v>15</v>
      </c>
      <c r="AC20" s="48">
        <f>AA20*AB20</f>
        <v>0</v>
      </c>
      <c r="AD20" s="54"/>
      <c r="AE20" s="24">
        <v>30</v>
      </c>
      <c r="AF20" s="48">
        <f>AD20*AE20</f>
        <v>0</v>
      </c>
      <c r="AG20" s="276">
        <f t="shared" si="0"/>
        <v>9</v>
      </c>
      <c r="AH20" s="48">
        <f t="shared" si="1"/>
        <v>39</v>
      </c>
      <c r="AI20" s="34">
        <f t="shared" si="2"/>
        <v>74208.3</v>
      </c>
      <c r="AJ20" s="220"/>
      <c r="AK20" s="216">
        <f t="shared" si="3"/>
        <v>890.5</v>
      </c>
      <c r="AL20" s="216">
        <f t="shared" si="7"/>
        <v>279.60000000000002</v>
      </c>
      <c r="AM20" s="217">
        <f>AL20/AK20</f>
        <v>0.314</v>
      </c>
      <c r="AN20" s="50">
        <f t="shared" ref="AN20:AN21" si="30">AK20*0.22</f>
        <v>195.9</v>
      </c>
      <c r="AO20" s="50">
        <f t="shared" ref="AO20:AO21" si="31">865*0.029</f>
        <v>25.1</v>
      </c>
      <c r="AP20" s="50">
        <f t="shared" ref="AP20:AP21" si="32">AK20*0.053</f>
        <v>47.2</v>
      </c>
      <c r="AQ20" s="50">
        <f t="shared" si="11"/>
        <v>268.2</v>
      </c>
      <c r="AS20" s="66"/>
    </row>
    <row r="21" spans="1:45" s="33" customFormat="1" ht="25.5" x14ac:dyDescent="0.2">
      <c r="A21" s="276">
        <v>14</v>
      </c>
      <c r="B21" s="218" t="s">
        <v>31</v>
      </c>
      <c r="C21" s="276">
        <v>5</v>
      </c>
      <c r="D21" s="177">
        <v>11.061999999999999</v>
      </c>
      <c r="E21" s="171">
        <f>C21*D21</f>
        <v>55.31</v>
      </c>
      <c r="F21" s="154">
        <f>E21*12</f>
        <v>663.7</v>
      </c>
      <c r="G21" s="154"/>
      <c r="H21" s="154">
        <f>40.443+1.617+1.078</f>
        <v>43.1</v>
      </c>
      <c r="I21" s="154"/>
      <c r="J21" s="154"/>
      <c r="K21" s="154">
        <f>D21*0.4*4*12+D21*0.35*12+D21*0.05*3</f>
        <v>260.5</v>
      </c>
      <c r="L21" s="154">
        <f t="shared" si="4"/>
        <v>224.6</v>
      </c>
      <c r="M21" s="154">
        <f>F21+G21+H21+I21+J21+K21+L21</f>
        <v>1191.9000000000001</v>
      </c>
      <c r="N21" s="171">
        <v>0.47</v>
      </c>
      <c r="O21" s="154">
        <f>M21*N21</f>
        <v>560.20000000000005</v>
      </c>
      <c r="P21" s="154">
        <f>M21+O21</f>
        <v>1752.1</v>
      </c>
      <c r="Q21" s="154">
        <f>P21*0.8</f>
        <v>1401.7</v>
      </c>
      <c r="R21" s="154">
        <f>P21*0.8</f>
        <v>1401.7</v>
      </c>
      <c r="S21" s="154">
        <f>(P21+Q21+R21)*0.032</f>
        <v>145.80000000000001</v>
      </c>
      <c r="T21" s="154">
        <f>P21+Q21+R21+S21</f>
        <v>4701.3</v>
      </c>
      <c r="U21" s="3193"/>
      <c r="V21" s="154">
        <f t="shared" si="5"/>
        <v>4701.3</v>
      </c>
      <c r="W21" s="154">
        <f>AQ21*C21</f>
        <v>1409</v>
      </c>
      <c r="X21" s="54">
        <v>4</v>
      </c>
      <c r="Y21" s="24">
        <v>30</v>
      </c>
      <c r="Z21" s="48">
        <f>X21*Y21</f>
        <v>120</v>
      </c>
      <c r="AA21" s="54">
        <v>2</v>
      </c>
      <c r="AB21" s="24">
        <v>15</v>
      </c>
      <c r="AC21" s="48">
        <f>AA21*AB21</f>
        <v>30</v>
      </c>
      <c r="AD21" s="54">
        <v>1</v>
      </c>
      <c r="AE21" s="24">
        <v>30</v>
      </c>
      <c r="AF21" s="48">
        <f>AD21*AE21</f>
        <v>30</v>
      </c>
      <c r="AG21" s="276">
        <f t="shared" si="0"/>
        <v>54</v>
      </c>
      <c r="AH21" s="48">
        <f t="shared" si="1"/>
        <v>234</v>
      </c>
      <c r="AI21" s="34">
        <f t="shared" si="2"/>
        <v>78355</v>
      </c>
      <c r="AJ21" s="220"/>
      <c r="AK21" s="216">
        <f t="shared" si="3"/>
        <v>940.3</v>
      </c>
      <c r="AL21" s="216">
        <f t="shared" si="7"/>
        <v>288.60000000000002</v>
      </c>
      <c r="AM21" s="217">
        <v>0.30199999999999999</v>
      </c>
      <c r="AN21" s="211">
        <f t="shared" si="30"/>
        <v>206.86600000000001</v>
      </c>
      <c r="AO21" s="50">
        <f t="shared" si="31"/>
        <v>25.1</v>
      </c>
      <c r="AP21" s="50">
        <f t="shared" si="32"/>
        <v>49.8</v>
      </c>
      <c r="AQ21" s="50">
        <f>SUM(AN21:AP21)</f>
        <v>281.8</v>
      </c>
      <c r="AS21" s="66"/>
    </row>
    <row r="22" spans="1:45" s="33" customFormat="1" ht="25.5" x14ac:dyDescent="0.2">
      <c r="A22" s="276">
        <v>15</v>
      </c>
      <c r="B22" s="218" t="s">
        <v>110</v>
      </c>
      <c r="C22" s="276">
        <v>1</v>
      </c>
      <c r="D22" s="177">
        <v>6.2859999999999996</v>
      </c>
      <c r="E22" s="171">
        <f>C22*D22</f>
        <v>6.29</v>
      </c>
      <c r="F22" s="154">
        <f>E22*12</f>
        <v>75.5</v>
      </c>
      <c r="G22" s="154"/>
      <c r="H22" s="154"/>
      <c r="I22" s="154"/>
      <c r="J22" s="154"/>
      <c r="K22" s="154">
        <f>F22*0.2</f>
        <v>15.1</v>
      </c>
      <c r="L22" s="154">
        <f t="shared" si="4"/>
        <v>25.5</v>
      </c>
      <c r="M22" s="154">
        <f>F22+G22+H22+I22+J22+K22+L22</f>
        <v>116.1</v>
      </c>
      <c r="N22" s="171">
        <v>0.45</v>
      </c>
      <c r="O22" s="154">
        <f>M22*N22</f>
        <v>52.2</v>
      </c>
      <c r="P22" s="154">
        <f>M22+O22</f>
        <v>168.3</v>
      </c>
      <c r="Q22" s="154">
        <f>P22*0.8</f>
        <v>134.6</v>
      </c>
      <c r="R22" s="154">
        <f>P22*0.8</f>
        <v>134.6</v>
      </c>
      <c r="S22" s="154">
        <f>(P22+Q22+R22)*0.032</f>
        <v>14</v>
      </c>
      <c r="T22" s="154">
        <f>P22+Q22+R22+S22</f>
        <v>451.5</v>
      </c>
      <c r="U22" s="3193"/>
      <c r="V22" s="154">
        <f t="shared" si="5"/>
        <v>451.5</v>
      </c>
      <c r="W22" s="154">
        <f t="shared" ref="W22:W51" si="33">V22*0.302</f>
        <v>136.4</v>
      </c>
      <c r="X22" s="54">
        <v>1</v>
      </c>
      <c r="Y22" s="24">
        <v>30</v>
      </c>
      <c r="Z22" s="48">
        <f>X22*Y22</f>
        <v>30</v>
      </c>
      <c r="AA22" s="54"/>
      <c r="AB22" s="24">
        <v>15</v>
      </c>
      <c r="AC22" s="48">
        <f>AA22*AB22</f>
        <v>0</v>
      </c>
      <c r="AD22" s="54"/>
      <c r="AE22" s="24">
        <v>30</v>
      </c>
      <c r="AF22" s="48">
        <f>AD22*AE22</f>
        <v>0</v>
      </c>
      <c r="AG22" s="276">
        <f t="shared" si="0"/>
        <v>9</v>
      </c>
      <c r="AH22" s="48">
        <f t="shared" si="1"/>
        <v>39</v>
      </c>
      <c r="AI22" s="34">
        <f t="shared" si="2"/>
        <v>37625</v>
      </c>
      <c r="AJ22" s="220"/>
      <c r="AK22" s="216">
        <f t="shared" si="3"/>
        <v>451.5</v>
      </c>
      <c r="AL22" s="216">
        <f t="shared" si="7"/>
        <v>199.7</v>
      </c>
      <c r="AM22" s="217">
        <v>0.30199999999999999</v>
      </c>
      <c r="AN22" s="211"/>
      <c r="AO22" s="211"/>
      <c r="AP22" s="211"/>
      <c r="AQ22" s="50">
        <f t="shared" si="11"/>
        <v>0</v>
      </c>
      <c r="AS22" s="66"/>
    </row>
    <row r="23" spans="1:45" x14ac:dyDescent="0.2">
      <c r="A23" s="276">
        <v>16</v>
      </c>
      <c r="B23" s="218" t="s">
        <v>49</v>
      </c>
      <c r="C23" s="54">
        <v>1</v>
      </c>
      <c r="D23" s="177">
        <v>8.4730000000000008</v>
      </c>
      <c r="E23" s="171">
        <f>C23*D23</f>
        <v>8.4700000000000006</v>
      </c>
      <c r="F23" s="154">
        <f t="shared" ref="F23:F41" si="34">E23*12</f>
        <v>101.6</v>
      </c>
      <c r="G23" s="154"/>
      <c r="H23" s="154">
        <v>3.7</v>
      </c>
      <c r="I23" s="154"/>
      <c r="J23" s="154">
        <f>F23*0.1</f>
        <v>10.199999999999999</v>
      </c>
      <c r="K23" s="154">
        <f>F23*0.3</f>
        <v>30.5</v>
      </c>
      <c r="L23" s="154">
        <f t="shared" si="4"/>
        <v>34.4</v>
      </c>
      <c r="M23" s="154">
        <f t="shared" ref="M23:M41" si="35">F23+G23+H23+I23+J23+K23+L23</f>
        <v>180.4</v>
      </c>
      <c r="N23" s="171">
        <v>0.41</v>
      </c>
      <c r="O23" s="154">
        <f t="shared" ref="O23:O41" si="36">M23*N23</f>
        <v>74</v>
      </c>
      <c r="P23" s="154">
        <f t="shared" ref="P23:P41" si="37">M23+O23</f>
        <v>254.4</v>
      </c>
      <c r="Q23" s="154">
        <f t="shared" ref="Q23:Q41" si="38">P23*0.8</f>
        <v>203.5</v>
      </c>
      <c r="R23" s="154">
        <f t="shared" ref="R23:R41" si="39">P23*0.8</f>
        <v>203.5</v>
      </c>
      <c r="S23" s="154">
        <f t="shared" ref="S23:S41" si="40">(P23+Q23+R23)*0.032</f>
        <v>21.2</v>
      </c>
      <c r="T23" s="154">
        <f t="shared" ref="T23:T41" si="41">P23+Q23+R23+S23</f>
        <v>682.6</v>
      </c>
      <c r="U23" s="3193"/>
      <c r="V23" s="154">
        <f t="shared" si="5"/>
        <v>682.6</v>
      </c>
      <c r="W23" s="154">
        <f t="shared" si="33"/>
        <v>206.1</v>
      </c>
      <c r="X23" s="276">
        <v>1</v>
      </c>
      <c r="Y23" s="24">
        <v>30</v>
      </c>
      <c r="Z23" s="48">
        <f>X23*Y23</f>
        <v>30</v>
      </c>
      <c r="AA23" s="54">
        <v>1</v>
      </c>
      <c r="AB23" s="24">
        <v>15</v>
      </c>
      <c r="AC23" s="48">
        <f>AA23*AB23</f>
        <v>15</v>
      </c>
      <c r="AD23" s="54"/>
      <c r="AE23" s="24">
        <v>30</v>
      </c>
      <c r="AF23" s="48">
        <f>AD23*AE23</f>
        <v>0</v>
      </c>
      <c r="AG23" s="276">
        <f t="shared" si="0"/>
        <v>13.5</v>
      </c>
      <c r="AH23" s="48">
        <f t="shared" si="1"/>
        <v>58.5</v>
      </c>
      <c r="AI23" s="34">
        <f t="shared" si="2"/>
        <v>56883.3</v>
      </c>
      <c r="AJ23" s="34"/>
      <c r="AK23" s="216">
        <f t="shared" si="3"/>
        <v>682.6</v>
      </c>
      <c r="AL23" s="216">
        <f t="shared" si="7"/>
        <v>241.7</v>
      </c>
      <c r="AM23" s="217">
        <v>0.30199999999999999</v>
      </c>
      <c r="AQ23" s="50">
        <f t="shared" si="11"/>
        <v>0</v>
      </c>
      <c r="AS23" s="66"/>
    </row>
    <row r="24" spans="1:45" x14ac:dyDescent="0.2">
      <c r="A24" s="276">
        <v>17</v>
      </c>
      <c r="B24" s="218" t="s">
        <v>50</v>
      </c>
      <c r="C24" s="54">
        <v>1</v>
      </c>
      <c r="D24" s="177">
        <v>8.4730000000000008</v>
      </c>
      <c r="E24" s="171">
        <f>C24*D24</f>
        <v>8.4700000000000006</v>
      </c>
      <c r="F24" s="154">
        <f t="shared" si="34"/>
        <v>101.6</v>
      </c>
      <c r="G24" s="154"/>
      <c r="H24" s="154">
        <v>0.4</v>
      </c>
      <c r="I24" s="154"/>
      <c r="J24" s="154">
        <f>F24*0.1</f>
        <v>10.199999999999999</v>
      </c>
      <c r="K24" s="154">
        <f>F24*0.4</f>
        <v>40.6</v>
      </c>
      <c r="L24" s="154">
        <f t="shared" si="4"/>
        <v>34.4</v>
      </c>
      <c r="M24" s="154">
        <f t="shared" si="35"/>
        <v>187.2</v>
      </c>
      <c r="N24" s="171">
        <v>0.41</v>
      </c>
      <c r="O24" s="154">
        <f t="shared" si="36"/>
        <v>76.8</v>
      </c>
      <c r="P24" s="154">
        <f t="shared" si="37"/>
        <v>264</v>
      </c>
      <c r="Q24" s="154">
        <f t="shared" si="38"/>
        <v>211.2</v>
      </c>
      <c r="R24" s="154">
        <f t="shared" si="39"/>
        <v>211.2</v>
      </c>
      <c r="S24" s="154">
        <f t="shared" si="40"/>
        <v>22</v>
      </c>
      <c r="T24" s="154">
        <f t="shared" si="41"/>
        <v>708.4</v>
      </c>
      <c r="U24" s="3193"/>
      <c r="V24" s="154">
        <f t="shared" si="5"/>
        <v>708.4</v>
      </c>
      <c r="W24" s="154">
        <f t="shared" si="33"/>
        <v>213.9</v>
      </c>
      <c r="X24" s="276"/>
      <c r="Y24" s="24">
        <v>30</v>
      </c>
      <c r="Z24" s="48">
        <f>X24*Y24</f>
        <v>0</v>
      </c>
      <c r="AA24" s="54"/>
      <c r="AB24" s="24">
        <v>15</v>
      </c>
      <c r="AC24" s="48">
        <f>AA24*AB24</f>
        <v>0</v>
      </c>
      <c r="AD24" s="54"/>
      <c r="AE24" s="24">
        <v>30</v>
      </c>
      <c r="AF24" s="48">
        <f>AD24*AE24</f>
        <v>0</v>
      </c>
      <c r="AG24" s="276">
        <f t="shared" si="0"/>
        <v>0</v>
      </c>
      <c r="AH24" s="48">
        <f t="shared" si="1"/>
        <v>0</v>
      </c>
      <c r="AI24" s="34">
        <f t="shared" si="2"/>
        <v>59033.3</v>
      </c>
      <c r="AJ24" s="34"/>
      <c r="AK24" s="216">
        <f t="shared" si="3"/>
        <v>708.4</v>
      </c>
      <c r="AL24" s="216">
        <f t="shared" si="7"/>
        <v>246.4</v>
      </c>
      <c r="AM24" s="217">
        <v>0.30199999999999999</v>
      </c>
      <c r="AQ24" s="50">
        <f t="shared" si="11"/>
        <v>0</v>
      </c>
      <c r="AS24" s="66"/>
    </row>
    <row r="25" spans="1:45" ht="25.5" x14ac:dyDescent="0.2">
      <c r="A25" s="276">
        <v>18</v>
      </c>
      <c r="B25" s="218" t="s">
        <v>51</v>
      </c>
      <c r="C25" s="54">
        <v>1</v>
      </c>
      <c r="D25" s="177">
        <v>8.4730000000000008</v>
      </c>
      <c r="E25" s="171">
        <f t="shared" ref="E25:E40" si="42">C25*D25</f>
        <v>8.4700000000000006</v>
      </c>
      <c r="F25" s="154">
        <f t="shared" si="34"/>
        <v>101.6</v>
      </c>
      <c r="G25" s="154"/>
      <c r="H25" s="154">
        <v>2.1</v>
      </c>
      <c r="I25" s="154"/>
      <c r="J25" s="154">
        <f>F25*0.1</f>
        <v>10.199999999999999</v>
      </c>
      <c r="K25" s="154">
        <f>F25*0.4</f>
        <v>40.6</v>
      </c>
      <c r="L25" s="154">
        <f t="shared" si="4"/>
        <v>34.4</v>
      </c>
      <c r="M25" s="154">
        <f t="shared" si="35"/>
        <v>188.9</v>
      </c>
      <c r="N25" s="171">
        <v>0.41</v>
      </c>
      <c r="O25" s="154">
        <f t="shared" si="36"/>
        <v>77.400000000000006</v>
      </c>
      <c r="P25" s="154">
        <f t="shared" si="37"/>
        <v>266.3</v>
      </c>
      <c r="Q25" s="154">
        <f t="shared" si="38"/>
        <v>213</v>
      </c>
      <c r="R25" s="154">
        <f t="shared" si="39"/>
        <v>213</v>
      </c>
      <c r="S25" s="154">
        <f t="shared" si="40"/>
        <v>22.2</v>
      </c>
      <c r="T25" s="154">
        <f t="shared" si="41"/>
        <v>714.5</v>
      </c>
      <c r="U25" s="3193"/>
      <c r="V25" s="154">
        <f t="shared" si="5"/>
        <v>714.5</v>
      </c>
      <c r="W25" s="154">
        <f t="shared" si="33"/>
        <v>215.8</v>
      </c>
      <c r="X25" s="276">
        <v>1</v>
      </c>
      <c r="Y25" s="24">
        <v>30</v>
      </c>
      <c r="Z25" s="48">
        <f t="shared" ref="Z25:Z38" si="43">X25*Y25</f>
        <v>30</v>
      </c>
      <c r="AA25" s="54"/>
      <c r="AB25" s="24">
        <v>15</v>
      </c>
      <c r="AC25" s="48">
        <f t="shared" ref="AC25:AC38" si="44">AA25*AB25</f>
        <v>0</v>
      </c>
      <c r="AD25" s="54"/>
      <c r="AE25" s="24">
        <v>30</v>
      </c>
      <c r="AF25" s="48">
        <f t="shared" ref="AF25:AF41" si="45">AD25*AE25</f>
        <v>0</v>
      </c>
      <c r="AG25" s="276">
        <f t="shared" si="0"/>
        <v>9</v>
      </c>
      <c r="AH25" s="48">
        <f t="shared" si="1"/>
        <v>39</v>
      </c>
      <c r="AI25" s="34">
        <f t="shared" si="2"/>
        <v>59541.7</v>
      </c>
      <c r="AJ25" s="34"/>
      <c r="AK25" s="216">
        <f t="shared" si="3"/>
        <v>714.5</v>
      </c>
      <c r="AL25" s="216">
        <f t="shared" si="7"/>
        <v>247.5</v>
      </c>
      <c r="AM25" s="217">
        <v>0.30199999999999999</v>
      </c>
      <c r="AQ25" s="50">
        <f t="shared" si="11"/>
        <v>0</v>
      </c>
      <c r="AS25" s="66"/>
    </row>
    <row r="26" spans="1:45" x14ac:dyDescent="0.2">
      <c r="A26" s="276">
        <v>19</v>
      </c>
      <c r="B26" s="218" t="s">
        <v>52</v>
      </c>
      <c r="C26" s="54">
        <v>1</v>
      </c>
      <c r="D26" s="177">
        <v>8.4730000000000008</v>
      </c>
      <c r="E26" s="171">
        <f t="shared" si="42"/>
        <v>8.4700000000000006</v>
      </c>
      <c r="F26" s="154">
        <f t="shared" si="34"/>
        <v>101.6</v>
      </c>
      <c r="G26" s="154"/>
      <c r="H26" s="154">
        <v>1.4</v>
      </c>
      <c r="I26" s="154"/>
      <c r="J26" s="154"/>
      <c r="K26" s="154">
        <f>D26*0.25*7.7+D26*0.3*4.3</f>
        <v>27.2</v>
      </c>
      <c r="L26" s="154">
        <f t="shared" si="4"/>
        <v>34.4</v>
      </c>
      <c r="M26" s="154">
        <f t="shared" si="35"/>
        <v>164.6</v>
      </c>
      <c r="N26" s="171">
        <v>0.41</v>
      </c>
      <c r="O26" s="154">
        <f t="shared" si="36"/>
        <v>67.5</v>
      </c>
      <c r="P26" s="154">
        <f t="shared" si="37"/>
        <v>232.1</v>
      </c>
      <c r="Q26" s="154">
        <f t="shared" si="38"/>
        <v>185.7</v>
      </c>
      <c r="R26" s="154">
        <f t="shared" si="39"/>
        <v>185.7</v>
      </c>
      <c r="S26" s="154">
        <f t="shared" si="40"/>
        <v>19.3</v>
      </c>
      <c r="T26" s="154">
        <f t="shared" si="41"/>
        <v>622.79999999999995</v>
      </c>
      <c r="U26" s="3193"/>
      <c r="V26" s="154">
        <f t="shared" si="5"/>
        <v>622.79999999999995</v>
      </c>
      <c r="W26" s="154">
        <f t="shared" si="33"/>
        <v>188.1</v>
      </c>
      <c r="X26" s="276">
        <v>1</v>
      </c>
      <c r="Y26" s="24">
        <v>30</v>
      </c>
      <c r="Z26" s="48">
        <f t="shared" si="43"/>
        <v>30</v>
      </c>
      <c r="AA26" s="54"/>
      <c r="AB26" s="24">
        <v>15</v>
      </c>
      <c r="AC26" s="48">
        <f t="shared" si="44"/>
        <v>0</v>
      </c>
      <c r="AD26" s="54"/>
      <c r="AE26" s="24">
        <v>30</v>
      </c>
      <c r="AF26" s="48">
        <f t="shared" si="45"/>
        <v>0</v>
      </c>
      <c r="AG26" s="276">
        <f t="shared" si="0"/>
        <v>9</v>
      </c>
      <c r="AH26" s="48">
        <f t="shared" si="1"/>
        <v>39</v>
      </c>
      <c r="AI26" s="34">
        <f t="shared" si="2"/>
        <v>51900</v>
      </c>
      <c r="AJ26" s="34"/>
      <c r="AK26" s="216">
        <f t="shared" si="3"/>
        <v>622.79999999999995</v>
      </c>
      <c r="AL26" s="216">
        <f t="shared" si="7"/>
        <v>230.8</v>
      </c>
      <c r="AM26" s="217">
        <v>0.30199999999999999</v>
      </c>
      <c r="AQ26" s="50">
        <f t="shared" si="11"/>
        <v>0</v>
      </c>
      <c r="AS26" s="66"/>
    </row>
    <row r="27" spans="1:45" ht="26.25" customHeight="1" x14ac:dyDescent="0.2">
      <c r="A27" s="276">
        <v>20</v>
      </c>
      <c r="B27" s="218" t="s">
        <v>53</v>
      </c>
      <c r="C27" s="49">
        <f>1-0.5</f>
        <v>0.5</v>
      </c>
      <c r="D27" s="177">
        <v>8.4730000000000008</v>
      </c>
      <c r="E27" s="171">
        <f t="shared" si="42"/>
        <v>4.24</v>
      </c>
      <c r="F27" s="154">
        <f t="shared" si="34"/>
        <v>50.9</v>
      </c>
      <c r="G27" s="154"/>
      <c r="H27" s="154"/>
      <c r="I27" s="154"/>
      <c r="J27" s="154"/>
      <c r="K27" s="154"/>
      <c r="L27" s="154">
        <f t="shared" si="4"/>
        <v>17.2</v>
      </c>
      <c r="M27" s="154">
        <f t="shared" si="35"/>
        <v>68.099999999999994</v>
      </c>
      <c r="N27" s="171">
        <v>0.41</v>
      </c>
      <c r="O27" s="154">
        <f t="shared" si="36"/>
        <v>27.9</v>
      </c>
      <c r="P27" s="154">
        <f t="shared" si="37"/>
        <v>96</v>
      </c>
      <c r="Q27" s="154">
        <f t="shared" si="38"/>
        <v>76.8</v>
      </c>
      <c r="R27" s="154">
        <f t="shared" si="39"/>
        <v>76.8</v>
      </c>
      <c r="S27" s="154">
        <f t="shared" si="40"/>
        <v>8</v>
      </c>
      <c r="T27" s="154">
        <f t="shared" si="41"/>
        <v>257.60000000000002</v>
      </c>
      <c r="U27" s="3193"/>
      <c r="V27" s="154">
        <f t="shared" si="5"/>
        <v>257.60000000000002</v>
      </c>
      <c r="W27" s="154">
        <f t="shared" si="33"/>
        <v>77.8</v>
      </c>
      <c r="X27" s="276"/>
      <c r="Y27" s="24">
        <v>30</v>
      </c>
      <c r="Z27" s="48">
        <f t="shared" si="43"/>
        <v>0</v>
      </c>
      <c r="AA27" s="54"/>
      <c r="AB27" s="24">
        <v>15</v>
      </c>
      <c r="AC27" s="48">
        <f t="shared" si="44"/>
        <v>0</v>
      </c>
      <c r="AD27" s="54"/>
      <c r="AE27" s="24">
        <v>30</v>
      </c>
      <c r="AF27" s="48">
        <f t="shared" si="45"/>
        <v>0</v>
      </c>
      <c r="AG27" s="276">
        <f t="shared" si="0"/>
        <v>0</v>
      </c>
      <c r="AH27" s="48">
        <f t="shared" si="1"/>
        <v>0</v>
      </c>
      <c r="AI27" s="34">
        <f t="shared" si="2"/>
        <v>42933.3</v>
      </c>
      <c r="AJ27" s="34"/>
      <c r="AK27" s="216">
        <f t="shared" si="3"/>
        <v>515.20000000000005</v>
      </c>
      <c r="AL27" s="216">
        <f t="shared" si="7"/>
        <v>211.2</v>
      </c>
      <c r="AM27" s="217">
        <v>0.30199999999999999</v>
      </c>
      <c r="AQ27" s="50">
        <f t="shared" si="11"/>
        <v>0</v>
      </c>
      <c r="AS27" s="66"/>
    </row>
    <row r="28" spans="1:45" x14ac:dyDescent="0.2">
      <c r="A28" s="276">
        <v>21</v>
      </c>
      <c r="B28" s="218" t="s">
        <v>54</v>
      </c>
      <c r="C28" s="54">
        <v>1</v>
      </c>
      <c r="D28" s="177">
        <v>11.061999999999999</v>
      </c>
      <c r="E28" s="171">
        <f t="shared" si="42"/>
        <v>11.06</v>
      </c>
      <c r="F28" s="154">
        <f t="shared" si="34"/>
        <v>132.69999999999999</v>
      </c>
      <c r="G28" s="154"/>
      <c r="H28" s="154">
        <v>3.2</v>
      </c>
      <c r="I28" s="154"/>
      <c r="J28" s="154">
        <f>F28*0.1</f>
        <v>13.3</v>
      </c>
      <c r="K28" s="154">
        <f>F28*0.3</f>
        <v>39.799999999999997</v>
      </c>
      <c r="L28" s="154">
        <f t="shared" si="4"/>
        <v>44.9</v>
      </c>
      <c r="M28" s="154">
        <f t="shared" si="35"/>
        <v>233.9</v>
      </c>
      <c r="N28" s="171">
        <v>0.43</v>
      </c>
      <c r="O28" s="154">
        <f t="shared" si="36"/>
        <v>100.6</v>
      </c>
      <c r="P28" s="154">
        <f t="shared" si="37"/>
        <v>334.5</v>
      </c>
      <c r="Q28" s="154">
        <f t="shared" si="38"/>
        <v>267.60000000000002</v>
      </c>
      <c r="R28" s="154">
        <f t="shared" si="39"/>
        <v>267.60000000000002</v>
      </c>
      <c r="S28" s="154">
        <f t="shared" si="40"/>
        <v>27.8</v>
      </c>
      <c r="T28" s="154">
        <f t="shared" si="41"/>
        <v>897.5</v>
      </c>
      <c r="U28" s="3193"/>
      <c r="V28" s="154">
        <f t="shared" si="5"/>
        <v>897.5</v>
      </c>
      <c r="W28" s="154">
        <f>AQ28</f>
        <v>270.2</v>
      </c>
      <c r="X28" s="276"/>
      <c r="Y28" s="24">
        <v>30</v>
      </c>
      <c r="Z28" s="48">
        <f t="shared" si="43"/>
        <v>0</v>
      </c>
      <c r="AA28" s="54"/>
      <c r="AB28" s="24">
        <v>15</v>
      </c>
      <c r="AC28" s="48">
        <f t="shared" si="44"/>
        <v>0</v>
      </c>
      <c r="AD28" s="54"/>
      <c r="AE28" s="24">
        <v>30</v>
      </c>
      <c r="AF28" s="48">
        <f t="shared" si="45"/>
        <v>0</v>
      </c>
      <c r="AG28" s="276">
        <f t="shared" si="0"/>
        <v>0</v>
      </c>
      <c r="AH28" s="48">
        <f>Z28+AC28+AF28+AG28</f>
        <v>0</v>
      </c>
      <c r="AI28" s="34">
        <f t="shared" si="2"/>
        <v>74791.7</v>
      </c>
      <c r="AJ28" s="34"/>
      <c r="AK28" s="216">
        <f t="shared" si="3"/>
        <v>897.5</v>
      </c>
      <c r="AL28" s="216">
        <f t="shared" si="7"/>
        <v>280.8</v>
      </c>
      <c r="AM28" s="217">
        <v>0.30199999999999999</v>
      </c>
      <c r="AN28" s="221">
        <f t="shared" ref="AN28" si="46">AK28*0.22</f>
        <v>197.5</v>
      </c>
      <c r="AO28" s="50">
        <f t="shared" ref="AO28:AO29" si="47">865*0.029</f>
        <v>25.1</v>
      </c>
      <c r="AP28" s="50">
        <f t="shared" ref="AP28" si="48">AK28*0.053</f>
        <v>47.6</v>
      </c>
      <c r="AQ28" s="50">
        <f t="shared" si="11"/>
        <v>270.2</v>
      </c>
      <c r="AS28" s="66"/>
    </row>
    <row r="29" spans="1:45" x14ac:dyDescent="0.2">
      <c r="A29" s="276">
        <v>22</v>
      </c>
      <c r="B29" s="218" t="s">
        <v>40</v>
      </c>
      <c r="C29" s="54">
        <v>2</v>
      </c>
      <c r="D29" s="177">
        <v>11.061999999999999</v>
      </c>
      <c r="E29" s="171">
        <f t="shared" si="42"/>
        <v>22.12</v>
      </c>
      <c r="F29" s="154">
        <f t="shared" si="34"/>
        <v>265.39999999999998</v>
      </c>
      <c r="G29" s="154"/>
      <c r="H29" s="154">
        <v>3.2</v>
      </c>
      <c r="I29" s="154"/>
      <c r="J29" s="154"/>
      <c r="K29" s="154">
        <f>D29*0.4*12+D29*0.35*12</f>
        <v>99.6</v>
      </c>
      <c r="L29" s="154">
        <f t="shared" si="4"/>
        <v>89.8</v>
      </c>
      <c r="M29" s="154">
        <f t="shared" si="35"/>
        <v>458</v>
      </c>
      <c r="N29" s="171">
        <v>0.43</v>
      </c>
      <c r="O29" s="154">
        <f t="shared" si="36"/>
        <v>196.9</v>
      </c>
      <c r="P29" s="154">
        <f t="shared" si="37"/>
        <v>654.9</v>
      </c>
      <c r="Q29" s="154">
        <f t="shared" si="38"/>
        <v>523.9</v>
      </c>
      <c r="R29" s="154">
        <f t="shared" si="39"/>
        <v>523.9</v>
      </c>
      <c r="S29" s="154">
        <f t="shared" si="40"/>
        <v>54.5</v>
      </c>
      <c r="T29" s="154">
        <f t="shared" si="41"/>
        <v>1757.2</v>
      </c>
      <c r="U29" s="3193"/>
      <c r="V29" s="154">
        <f t="shared" si="5"/>
        <v>1757.2</v>
      </c>
      <c r="W29" s="154">
        <f>AQ29*C29</f>
        <v>530</v>
      </c>
      <c r="X29" s="276">
        <v>1</v>
      </c>
      <c r="Y29" s="24">
        <v>30</v>
      </c>
      <c r="Z29" s="48">
        <f t="shared" si="43"/>
        <v>30</v>
      </c>
      <c r="AA29" s="54">
        <v>2</v>
      </c>
      <c r="AB29" s="24">
        <v>15</v>
      </c>
      <c r="AC29" s="48">
        <f t="shared" si="44"/>
        <v>30</v>
      </c>
      <c r="AD29" s="54"/>
      <c r="AE29" s="24">
        <v>30</v>
      </c>
      <c r="AF29" s="48">
        <f t="shared" si="45"/>
        <v>0</v>
      </c>
      <c r="AG29" s="276">
        <f t="shared" si="0"/>
        <v>18</v>
      </c>
      <c r="AH29" s="48">
        <f t="shared" ref="AH29:AH41" si="49">Z29+AC29+AF29+AG29</f>
        <v>78</v>
      </c>
      <c r="AI29" s="34">
        <f t="shared" si="2"/>
        <v>73216.7</v>
      </c>
      <c r="AJ29" s="34"/>
      <c r="AK29" s="216">
        <f t="shared" si="3"/>
        <v>878.6</v>
      </c>
      <c r="AL29" s="216">
        <f t="shared" si="7"/>
        <v>277.39999999999998</v>
      </c>
      <c r="AM29" s="217">
        <v>0.30199999999999999</v>
      </c>
      <c r="AN29" s="221">
        <f t="shared" ref="AN29" si="50">AK29*0.22</f>
        <v>193.3</v>
      </c>
      <c r="AO29" s="50">
        <f t="shared" si="47"/>
        <v>25.1</v>
      </c>
      <c r="AP29" s="50">
        <f t="shared" ref="AP29" si="51">AK29*0.053</f>
        <v>46.6</v>
      </c>
      <c r="AQ29" s="50">
        <f t="shared" si="11"/>
        <v>265</v>
      </c>
      <c r="AS29" s="66"/>
    </row>
    <row r="30" spans="1:45" x14ac:dyDescent="0.2">
      <c r="A30" s="276">
        <v>23</v>
      </c>
      <c r="B30" s="218" t="s">
        <v>55</v>
      </c>
      <c r="C30" s="54">
        <v>1</v>
      </c>
      <c r="D30" s="213">
        <v>8.4730000000000008</v>
      </c>
      <c r="E30" s="171">
        <f t="shared" si="42"/>
        <v>8.4700000000000006</v>
      </c>
      <c r="F30" s="154">
        <f t="shared" si="34"/>
        <v>101.6</v>
      </c>
      <c r="G30" s="154"/>
      <c r="H30" s="154">
        <v>2.1</v>
      </c>
      <c r="I30" s="154"/>
      <c r="J30" s="154">
        <f>F30*0.1</f>
        <v>10.199999999999999</v>
      </c>
      <c r="K30" s="154">
        <f>D30*0.3*12</f>
        <v>30.5</v>
      </c>
      <c r="L30" s="154">
        <f t="shared" si="4"/>
        <v>34.4</v>
      </c>
      <c r="M30" s="154">
        <f t="shared" si="35"/>
        <v>178.8</v>
      </c>
      <c r="N30" s="171">
        <v>0.41</v>
      </c>
      <c r="O30" s="154">
        <f t="shared" si="36"/>
        <v>73.3</v>
      </c>
      <c r="P30" s="154">
        <f t="shared" si="37"/>
        <v>252.1</v>
      </c>
      <c r="Q30" s="154">
        <f t="shared" si="38"/>
        <v>201.7</v>
      </c>
      <c r="R30" s="154">
        <f t="shared" si="39"/>
        <v>201.7</v>
      </c>
      <c r="S30" s="154">
        <f t="shared" si="40"/>
        <v>21</v>
      </c>
      <c r="T30" s="154">
        <f t="shared" si="41"/>
        <v>676.5</v>
      </c>
      <c r="U30" s="3193"/>
      <c r="V30" s="154">
        <f t="shared" si="5"/>
        <v>676.5</v>
      </c>
      <c r="W30" s="154">
        <f t="shared" si="33"/>
        <v>204.3</v>
      </c>
      <c r="X30" s="276">
        <v>1</v>
      </c>
      <c r="Y30" s="24">
        <v>30</v>
      </c>
      <c r="Z30" s="48">
        <f t="shared" si="43"/>
        <v>30</v>
      </c>
      <c r="AA30" s="54">
        <v>1</v>
      </c>
      <c r="AB30" s="24">
        <v>15</v>
      </c>
      <c r="AC30" s="48">
        <f t="shared" si="44"/>
        <v>15</v>
      </c>
      <c r="AD30" s="54">
        <v>1</v>
      </c>
      <c r="AE30" s="24">
        <v>30</v>
      </c>
      <c r="AF30" s="48">
        <f t="shared" si="45"/>
        <v>30</v>
      </c>
      <c r="AG30" s="276">
        <f t="shared" si="0"/>
        <v>22.5</v>
      </c>
      <c r="AH30" s="48">
        <f t="shared" si="49"/>
        <v>97.5</v>
      </c>
      <c r="AI30" s="34">
        <f t="shared" si="2"/>
        <v>56375</v>
      </c>
      <c r="AJ30" s="34"/>
      <c r="AK30" s="216">
        <f t="shared" si="3"/>
        <v>676.5</v>
      </c>
      <c r="AL30" s="216">
        <f t="shared" si="7"/>
        <v>240.6</v>
      </c>
      <c r="AM30" s="217">
        <f>AL30/AK30</f>
        <v>0.35599999999999998</v>
      </c>
      <c r="AN30" s="222"/>
      <c r="AO30" s="50"/>
      <c r="AP30" s="50"/>
      <c r="AQ30" s="50">
        <f t="shared" si="11"/>
        <v>0</v>
      </c>
      <c r="AS30" s="66"/>
    </row>
    <row r="31" spans="1:45" x14ac:dyDescent="0.2">
      <c r="A31" s="276">
        <v>24</v>
      </c>
      <c r="B31" s="218" t="s">
        <v>29</v>
      </c>
      <c r="C31" s="54">
        <v>3</v>
      </c>
      <c r="D31" s="213">
        <v>8.4730000000000008</v>
      </c>
      <c r="E31" s="171">
        <f t="shared" si="42"/>
        <v>25.42</v>
      </c>
      <c r="F31" s="154">
        <f t="shared" si="34"/>
        <v>305</v>
      </c>
      <c r="G31" s="154"/>
      <c r="H31" s="154">
        <v>61.7</v>
      </c>
      <c r="I31" s="154"/>
      <c r="J31" s="154"/>
      <c r="K31" s="154">
        <f>D31*0.3*12+D31*0.05*2</f>
        <v>31.4</v>
      </c>
      <c r="L31" s="154">
        <f t="shared" si="4"/>
        <v>103.2</v>
      </c>
      <c r="M31" s="154">
        <f t="shared" si="35"/>
        <v>501.3</v>
      </c>
      <c r="N31" s="171">
        <v>0.41</v>
      </c>
      <c r="O31" s="154">
        <f t="shared" si="36"/>
        <v>205.5</v>
      </c>
      <c r="P31" s="154">
        <f t="shared" si="37"/>
        <v>706.8</v>
      </c>
      <c r="Q31" s="154">
        <f t="shared" si="38"/>
        <v>565.4</v>
      </c>
      <c r="R31" s="154">
        <f t="shared" si="39"/>
        <v>565.4</v>
      </c>
      <c r="S31" s="154">
        <f t="shared" si="40"/>
        <v>58.8</v>
      </c>
      <c r="T31" s="154">
        <f t="shared" si="41"/>
        <v>1896.4</v>
      </c>
      <c r="U31" s="3193"/>
      <c r="V31" s="154">
        <f t="shared" si="5"/>
        <v>1896.4</v>
      </c>
      <c r="W31" s="154">
        <f t="shared" si="33"/>
        <v>572.70000000000005</v>
      </c>
      <c r="X31" s="276">
        <v>1</v>
      </c>
      <c r="Y31" s="24">
        <v>30</v>
      </c>
      <c r="Z31" s="48">
        <f t="shared" si="43"/>
        <v>30</v>
      </c>
      <c r="AA31" s="54">
        <v>3</v>
      </c>
      <c r="AB31" s="24">
        <v>15</v>
      </c>
      <c r="AC31" s="48">
        <f t="shared" si="44"/>
        <v>45</v>
      </c>
      <c r="AD31" s="54"/>
      <c r="AE31" s="24">
        <v>30</v>
      </c>
      <c r="AF31" s="48">
        <f t="shared" si="45"/>
        <v>0</v>
      </c>
      <c r="AG31" s="276">
        <f t="shared" si="0"/>
        <v>22.5</v>
      </c>
      <c r="AH31" s="48">
        <f t="shared" si="49"/>
        <v>97.5</v>
      </c>
      <c r="AI31" s="34">
        <f t="shared" si="2"/>
        <v>52677.8</v>
      </c>
      <c r="AJ31" s="34"/>
      <c r="AK31" s="216">
        <f t="shared" si="3"/>
        <v>632.1</v>
      </c>
      <c r="AL31" s="216">
        <f t="shared" si="7"/>
        <v>232.5</v>
      </c>
      <c r="AM31" s="217">
        <v>0.30199999999999999</v>
      </c>
      <c r="AN31" s="223"/>
      <c r="AO31" s="62"/>
      <c r="AP31" s="62"/>
      <c r="AQ31" s="50">
        <f t="shared" si="11"/>
        <v>0</v>
      </c>
      <c r="AS31" s="66"/>
    </row>
    <row r="32" spans="1:45" ht="13.5" customHeight="1" x14ac:dyDescent="0.2">
      <c r="A32" s="276">
        <v>25</v>
      </c>
      <c r="B32" s="218" t="s">
        <v>42</v>
      </c>
      <c r="C32" s="54">
        <v>1</v>
      </c>
      <c r="D32" s="177">
        <v>11.061999999999999</v>
      </c>
      <c r="E32" s="171">
        <f t="shared" si="42"/>
        <v>11.06</v>
      </c>
      <c r="F32" s="154">
        <f t="shared" si="34"/>
        <v>132.69999999999999</v>
      </c>
      <c r="G32" s="154"/>
      <c r="H32" s="154">
        <v>4.8</v>
      </c>
      <c r="I32" s="154"/>
      <c r="J32" s="154">
        <f>F32*0.1</f>
        <v>13.3</v>
      </c>
      <c r="K32" s="154">
        <f>D32*0.25*12</f>
        <v>33.200000000000003</v>
      </c>
      <c r="L32" s="154">
        <f t="shared" si="4"/>
        <v>44.9</v>
      </c>
      <c r="M32" s="154">
        <f t="shared" si="35"/>
        <v>228.9</v>
      </c>
      <c r="N32" s="171">
        <v>0.43</v>
      </c>
      <c r="O32" s="154">
        <f t="shared" si="36"/>
        <v>98.4</v>
      </c>
      <c r="P32" s="154">
        <f t="shared" si="37"/>
        <v>327.3</v>
      </c>
      <c r="Q32" s="154">
        <f t="shared" si="38"/>
        <v>261.8</v>
      </c>
      <c r="R32" s="154">
        <f t="shared" si="39"/>
        <v>261.8</v>
      </c>
      <c r="S32" s="154">
        <f t="shared" si="40"/>
        <v>27.2</v>
      </c>
      <c r="T32" s="154">
        <f t="shared" si="41"/>
        <v>878.1</v>
      </c>
      <c r="U32" s="3193"/>
      <c r="V32" s="154">
        <f t="shared" si="5"/>
        <v>878.1</v>
      </c>
      <c r="W32" s="154">
        <f>AQ32</f>
        <v>264.8</v>
      </c>
      <c r="X32" s="276"/>
      <c r="Y32" s="24">
        <v>30</v>
      </c>
      <c r="Z32" s="48">
        <f t="shared" si="43"/>
        <v>0</v>
      </c>
      <c r="AA32" s="54"/>
      <c r="AB32" s="24">
        <v>15</v>
      </c>
      <c r="AC32" s="48">
        <f t="shared" si="44"/>
        <v>0</v>
      </c>
      <c r="AD32" s="54"/>
      <c r="AE32" s="24">
        <v>30</v>
      </c>
      <c r="AF32" s="48">
        <f t="shared" si="45"/>
        <v>0</v>
      </c>
      <c r="AG32" s="276">
        <f t="shared" si="0"/>
        <v>0</v>
      </c>
      <c r="AH32" s="48">
        <f t="shared" si="49"/>
        <v>0</v>
      </c>
      <c r="AI32" s="34">
        <f t="shared" si="2"/>
        <v>73175</v>
      </c>
      <c r="AJ32" s="34"/>
      <c r="AK32" s="216">
        <f t="shared" si="3"/>
        <v>878.1</v>
      </c>
      <c r="AL32" s="216">
        <f t="shared" si="7"/>
        <v>277.3</v>
      </c>
      <c r="AM32" s="217">
        <v>0.30199999999999999</v>
      </c>
      <c r="AN32" s="221">
        <f t="shared" ref="AN32" si="52">AK32*0.22</f>
        <v>193.2</v>
      </c>
      <c r="AO32" s="50">
        <f t="shared" ref="AO32" si="53">865*0.029</f>
        <v>25.1</v>
      </c>
      <c r="AP32" s="50">
        <f t="shared" ref="AP32" si="54">AK32*0.053</f>
        <v>46.5</v>
      </c>
      <c r="AQ32" s="50">
        <f t="shared" ref="AQ32" si="55">SUM(AN32:AP32)</f>
        <v>264.8</v>
      </c>
      <c r="AS32" s="66"/>
    </row>
    <row r="33" spans="1:45" ht="25.5" x14ac:dyDescent="0.2">
      <c r="A33" s="276">
        <v>26</v>
      </c>
      <c r="B33" s="218" t="s">
        <v>108</v>
      </c>
      <c r="C33" s="54">
        <v>4</v>
      </c>
      <c r="D33" s="177">
        <v>8.4730000000000008</v>
      </c>
      <c r="E33" s="171">
        <f t="shared" si="42"/>
        <v>33.89</v>
      </c>
      <c r="F33" s="154">
        <f t="shared" si="34"/>
        <v>406.7</v>
      </c>
      <c r="G33" s="154"/>
      <c r="H33" s="154">
        <v>1.2</v>
      </c>
      <c r="I33" s="154"/>
      <c r="J33" s="154"/>
      <c r="K33" s="154">
        <f>D33*0.4*12+D33*0.35*12</f>
        <v>76.3</v>
      </c>
      <c r="L33" s="154">
        <f t="shared" si="4"/>
        <v>137.6</v>
      </c>
      <c r="M33" s="154">
        <f t="shared" si="35"/>
        <v>621.79999999999995</v>
      </c>
      <c r="N33" s="171">
        <v>0.47</v>
      </c>
      <c r="O33" s="154">
        <f t="shared" si="36"/>
        <v>292.2</v>
      </c>
      <c r="P33" s="154">
        <f t="shared" si="37"/>
        <v>914</v>
      </c>
      <c r="Q33" s="154">
        <f t="shared" si="38"/>
        <v>731.2</v>
      </c>
      <c r="R33" s="154">
        <f t="shared" si="39"/>
        <v>731.2</v>
      </c>
      <c r="S33" s="154">
        <f t="shared" si="40"/>
        <v>76</v>
      </c>
      <c r="T33" s="154">
        <f t="shared" si="41"/>
        <v>2452.4</v>
      </c>
      <c r="U33" s="3193"/>
      <c r="V33" s="154">
        <f t="shared" si="5"/>
        <v>2452.4</v>
      </c>
      <c r="W33" s="154">
        <f t="shared" si="33"/>
        <v>740.6</v>
      </c>
      <c r="X33" s="276">
        <v>1</v>
      </c>
      <c r="Y33" s="24">
        <v>30</v>
      </c>
      <c r="Z33" s="48">
        <f t="shared" si="43"/>
        <v>30</v>
      </c>
      <c r="AA33" s="54">
        <v>1</v>
      </c>
      <c r="AB33" s="24">
        <v>15</v>
      </c>
      <c r="AC33" s="48">
        <f t="shared" si="44"/>
        <v>15</v>
      </c>
      <c r="AD33" s="54"/>
      <c r="AE33" s="24">
        <v>30</v>
      </c>
      <c r="AF33" s="48">
        <f t="shared" si="45"/>
        <v>0</v>
      </c>
      <c r="AG33" s="276">
        <f t="shared" si="0"/>
        <v>13.5</v>
      </c>
      <c r="AH33" s="48">
        <f t="shared" si="49"/>
        <v>58.5</v>
      </c>
      <c r="AI33" s="34">
        <f t="shared" si="2"/>
        <v>51091.7</v>
      </c>
      <c r="AJ33" s="34"/>
      <c r="AK33" s="216">
        <f t="shared" si="3"/>
        <v>613.1</v>
      </c>
      <c r="AL33" s="216">
        <f t="shared" si="7"/>
        <v>229.1</v>
      </c>
      <c r="AM33" s="217">
        <v>0.30199999999999999</v>
      </c>
      <c r="AN33" s="223"/>
      <c r="AO33" s="62"/>
      <c r="AP33" s="62"/>
      <c r="AQ33" s="50">
        <f t="shared" si="11"/>
        <v>0</v>
      </c>
      <c r="AS33" s="66"/>
    </row>
    <row r="34" spans="1:45" ht="13.5" customHeight="1" x14ac:dyDescent="0.2">
      <c r="A34" s="276">
        <v>27</v>
      </c>
      <c r="B34" s="218" t="s">
        <v>56</v>
      </c>
      <c r="C34" s="57">
        <v>2</v>
      </c>
      <c r="D34" s="177">
        <v>11.061999999999999</v>
      </c>
      <c r="E34" s="171">
        <f t="shared" si="42"/>
        <v>22.12</v>
      </c>
      <c r="F34" s="154">
        <f t="shared" si="34"/>
        <v>265.39999999999998</v>
      </c>
      <c r="G34" s="154"/>
      <c r="H34" s="154">
        <v>1.1000000000000001</v>
      </c>
      <c r="I34" s="154"/>
      <c r="J34" s="154">
        <f>D34*0.1*2*12</f>
        <v>26.5</v>
      </c>
      <c r="K34" s="154">
        <f>D34*0.4*12+D34*0.25*12</f>
        <v>86.3</v>
      </c>
      <c r="L34" s="154">
        <f t="shared" si="4"/>
        <v>89.8</v>
      </c>
      <c r="M34" s="154">
        <f t="shared" si="35"/>
        <v>469.1</v>
      </c>
      <c r="N34" s="171">
        <v>0.43</v>
      </c>
      <c r="O34" s="154">
        <f t="shared" si="36"/>
        <v>201.7</v>
      </c>
      <c r="P34" s="154">
        <f t="shared" si="37"/>
        <v>670.8</v>
      </c>
      <c r="Q34" s="154">
        <f t="shared" si="38"/>
        <v>536.6</v>
      </c>
      <c r="R34" s="154">
        <f t="shared" si="39"/>
        <v>536.6</v>
      </c>
      <c r="S34" s="154">
        <f t="shared" si="40"/>
        <v>55.8</v>
      </c>
      <c r="T34" s="154">
        <f t="shared" si="41"/>
        <v>1799.8</v>
      </c>
      <c r="U34" s="3193"/>
      <c r="V34" s="154">
        <f t="shared" si="5"/>
        <v>1799.8</v>
      </c>
      <c r="W34" s="154">
        <f>AQ34*C34</f>
        <v>541.6</v>
      </c>
      <c r="X34" s="276">
        <v>2</v>
      </c>
      <c r="Y34" s="24">
        <v>30</v>
      </c>
      <c r="Z34" s="48">
        <f t="shared" si="43"/>
        <v>60</v>
      </c>
      <c r="AA34" s="54">
        <v>2</v>
      </c>
      <c r="AB34" s="24">
        <v>15</v>
      </c>
      <c r="AC34" s="48">
        <f t="shared" si="44"/>
        <v>30</v>
      </c>
      <c r="AD34" s="54"/>
      <c r="AE34" s="24">
        <v>30</v>
      </c>
      <c r="AF34" s="48">
        <f t="shared" si="45"/>
        <v>0</v>
      </c>
      <c r="AG34" s="276">
        <f t="shared" si="0"/>
        <v>27</v>
      </c>
      <c r="AH34" s="48">
        <f t="shared" si="49"/>
        <v>117</v>
      </c>
      <c r="AI34" s="34">
        <f t="shared" si="2"/>
        <v>74991.7</v>
      </c>
      <c r="AJ34" s="34"/>
      <c r="AK34" s="216">
        <f t="shared" si="3"/>
        <v>899.9</v>
      </c>
      <c r="AL34" s="216">
        <f t="shared" si="7"/>
        <v>281.3</v>
      </c>
      <c r="AM34" s="217">
        <v>0.30199999999999999</v>
      </c>
      <c r="AN34" s="221">
        <f t="shared" ref="AN34" si="56">AK34*0.22</f>
        <v>198</v>
      </c>
      <c r="AO34" s="50">
        <f t="shared" ref="AO34" si="57">865*0.029</f>
        <v>25.1</v>
      </c>
      <c r="AP34" s="50">
        <f t="shared" ref="AP34" si="58">AK34*0.053</f>
        <v>47.7</v>
      </c>
      <c r="AQ34" s="50">
        <f t="shared" ref="AQ34" si="59">SUM(AN34:AP34)</f>
        <v>270.8</v>
      </c>
      <c r="AS34" s="66"/>
    </row>
    <row r="35" spans="1:45" ht="25.5" x14ac:dyDescent="0.2">
      <c r="A35" s="276">
        <v>28</v>
      </c>
      <c r="B35" s="218" t="s">
        <v>101</v>
      </c>
      <c r="C35" s="57">
        <v>1</v>
      </c>
      <c r="D35" s="177">
        <v>11.061999999999999</v>
      </c>
      <c r="E35" s="171">
        <f>C35*D35</f>
        <v>11.06</v>
      </c>
      <c r="F35" s="154">
        <f t="shared" si="34"/>
        <v>132.69999999999999</v>
      </c>
      <c r="G35" s="154"/>
      <c r="H35" s="154">
        <v>4.8</v>
      </c>
      <c r="I35" s="154"/>
      <c r="J35" s="154"/>
      <c r="K35" s="154">
        <f>D35*0.25*12</f>
        <v>33.200000000000003</v>
      </c>
      <c r="L35" s="154">
        <f t="shared" si="4"/>
        <v>44.9</v>
      </c>
      <c r="M35" s="154">
        <f t="shared" si="35"/>
        <v>215.6</v>
      </c>
      <c r="N35" s="171">
        <v>0.43</v>
      </c>
      <c r="O35" s="154">
        <f t="shared" si="36"/>
        <v>92.7</v>
      </c>
      <c r="P35" s="154">
        <f t="shared" si="37"/>
        <v>308.3</v>
      </c>
      <c r="Q35" s="154">
        <f t="shared" si="38"/>
        <v>246.6</v>
      </c>
      <c r="R35" s="154">
        <f t="shared" si="39"/>
        <v>246.6</v>
      </c>
      <c r="S35" s="154">
        <f t="shared" si="40"/>
        <v>25.6</v>
      </c>
      <c r="T35" s="154">
        <f t="shared" si="41"/>
        <v>827.1</v>
      </c>
      <c r="U35" s="3193"/>
      <c r="V35" s="154">
        <f t="shared" si="5"/>
        <v>827.1</v>
      </c>
      <c r="W35" s="154">
        <f t="shared" si="33"/>
        <v>249.8</v>
      </c>
      <c r="X35" s="276">
        <v>1</v>
      </c>
      <c r="Y35" s="24">
        <v>30</v>
      </c>
      <c r="Z35" s="48">
        <f t="shared" si="43"/>
        <v>30</v>
      </c>
      <c r="AA35" s="54"/>
      <c r="AB35" s="24">
        <v>15</v>
      </c>
      <c r="AC35" s="48">
        <f t="shared" si="44"/>
        <v>0</v>
      </c>
      <c r="AD35" s="54"/>
      <c r="AE35" s="24">
        <v>30</v>
      </c>
      <c r="AF35" s="48">
        <f t="shared" si="45"/>
        <v>0</v>
      </c>
      <c r="AG35" s="276">
        <f t="shared" si="0"/>
        <v>9</v>
      </c>
      <c r="AH35" s="48">
        <f t="shared" si="49"/>
        <v>39</v>
      </c>
      <c r="AI35" s="34">
        <f t="shared" si="2"/>
        <v>68925</v>
      </c>
      <c r="AJ35" s="34"/>
      <c r="AK35" s="216">
        <f t="shared" si="3"/>
        <v>827.1</v>
      </c>
      <c r="AL35" s="216">
        <f t="shared" si="7"/>
        <v>268</v>
      </c>
      <c r="AM35" s="217">
        <v>0.30199999999999999</v>
      </c>
      <c r="AN35" s="62"/>
      <c r="AO35" s="62"/>
      <c r="AP35" s="62"/>
      <c r="AQ35" s="50">
        <f t="shared" si="11"/>
        <v>0</v>
      </c>
      <c r="AS35" s="66"/>
    </row>
    <row r="36" spans="1:45" x14ac:dyDescent="0.2">
      <c r="A36" s="276">
        <v>29</v>
      </c>
      <c r="B36" s="218" t="s">
        <v>33</v>
      </c>
      <c r="C36" s="57">
        <v>1</v>
      </c>
      <c r="D36" s="177">
        <v>8.4730000000000008</v>
      </c>
      <c r="E36" s="171">
        <f>C36*D36</f>
        <v>8.4700000000000006</v>
      </c>
      <c r="F36" s="154">
        <f t="shared" si="34"/>
        <v>101.6</v>
      </c>
      <c r="G36" s="154"/>
      <c r="H36" s="154">
        <v>2.9</v>
      </c>
      <c r="I36" s="154"/>
      <c r="J36" s="154"/>
      <c r="K36" s="154"/>
      <c r="L36" s="154">
        <f t="shared" si="4"/>
        <v>34.4</v>
      </c>
      <c r="M36" s="154">
        <f t="shared" si="35"/>
        <v>138.9</v>
      </c>
      <c r="N36" s="171">
        <v>0.41</v>
      </c>
      <c r="O36" s="154">
        <f t="shared" si="36"/>
        <v>56.9</v>
      </c>
      <c r="P36" s="154">
        <f t="shared" si="37"/>
        <v>195.8</v>
      </c>
      <c r="Q36" s="154">
        <f t="shared" si="38"/>
        <v>156.6</v>
      </c>
      <c r="R36" s="154">
        <f t="shared" si="39"/>
        <v>156.6</v>
      </c>
      <c r="S36" s="154">
        <f t="shared" si="40"/>
        <v>16.3</v>
      </c>
      <c r="T36" s="154">
        <f t="shared" si="41"/>
        <v>525.29999999999995</v>
      </c>
      <c r="U36" s="3193"/>
      <c r="V36" s="154">
        <f t="shared" si="5"/>
        <v>525.29999999999995</v>
      </c>
      <c r="W36" s="154">
        <f t="shared" si="33"/>
        <v>158.6</v>
      </c>
      <c r="X36" s="276"/>
      <c r="Y36" s="24">
        <v>30</v>
      </c>
      <c r="Z36" s="48">
        <f t="shared" si="43"/>
        <v>0</v>
      </c>
      <c r="AA36" s="54"/>
      <c r="AB36" s="24">
        <v>15</v>
      </c>
      <c r="AC36" s="48">
        <f t="shared" si="44"/>
        <v>0</v>
      </c>
      <c r="AD36" s="54"/>
      <c r="AE36" s="24">
        <v>30</v>
      </c>
      <c r="AF36" s="48">
        <f t="shared" si="45"/>
        <v>0</v>
      </c>
      <c r="AG36" s="276">
        <f t="shared" si="0"/>
        <v>0</v>
      </c>
      <c r="AH36" s="48">
        <f t="shared" si="49"/>
        <v>0</v>
      </c>
      <c r="AI36" s="34">
        <f t="shared" si="2"/>
        <v>43775</v>
      </c>
      <c r="AJ36" s="34"/>
      <c r="AK36" s="216">
        <f t="shared" si="3"/>
        <v>525.29999999999995</v>
      </c>
      <c r="AL36" s="216">
        <f t="shared" si="7"/>
        <v>213.1</v>
      </c>
      <c r="AM36" s="217">
        <v>0.30199999999999999</v>
      </c>
      <c r="AN36" s="76"/>
      <c r="AO36" s="76"/>
      <c r="AP36" s="76"/>
      <c r="AQ36" s="50">
        <f t="shared" si="11"/>
        <v>0</v>
      </c>
      <c r="AS36" s="66"/>
    </row>
    <row r="37" spans="1:45" ht="25.5" x14ac:dyDescent="0.2">
      <c r="A37" s="276">
        <v>30</v>
      </c>
      <c r="B37" s="218" t="s">
        <v>130</v>
      </c>
      <c r="C37" s="57">
        <v>1</v>
      </c>
      <c r="D37" s="177">
        <v>8.4730000000000008</v>
      </c>
      <c r="E37" s="171">
        <f t="shared" ref="E37" si="60">C37*D37</f>
        <v>8.4700000000000006</v>
      </c>
      <c r="F37" s="154">
        <f>E37*12</f>
        <v>101.6</v>
      </c>
      <c r="G37" s="154"/>
      <c r="H37" s="154"/>
      <c r="I37" s="154"/>
      <c r="J37" s="154"/>
      <c r="K37" s="154"/>
      <c r="L37" s="154">
        <f t="shared" si="4"/>
        <v>34.4</v>
      </c>
      <c r="M37" s="154">
        <f t="shared" ref="M37" si="61">F37+G37+H37+I37+J37+K37+L37</f>
        <v>136</v>
      </c>
      <c r="N37" s="171">
        <v>0.47</v>
      </c>
      <c r="O37" s="154">
        <f t="shared" ref="O37" si="62">M37*N37</f>
        <v>63.9</v>
      </c>
      <c r="P37" s="154">
        <f t="shared" ref="P37" si="63">M37+O37</f>
        <v>199.9</v>
      </c>
      <c r="Q37" s="154">
        <f t="shared" ref="Q37" si="64">P37*0.8</f>
        <v>159.9</v>
      </c>
      <c r="R37" s="154">
        <f t="shared" ref="R37" si="65">P37*0.8</f>
        <v>159.9</v>
      </c>
      <c r="S37" s="154">
        <f t="shared" ref="S37" si="66">(P37+Q37+R37)*0.032</f>
        <v>16.600000000000001</v>
      </c>
      <c r="T37" s="154">
        <f t="shared" ref="T37" si="67">P37+Q37+R37+S37</f>
        <v>536.29999999999995</v>
      </c>
      <c r="U37" s="3193"/>
      <c r="V37" s="154">
        <f t="shared" si="5"/>
        <v>536.29999999999995</v>
      </c>
      <c r="W37" s="154">
        <f t="shared" si="33"/>
        <v>162</v>
      </c>
      <c r="X37" s="276"/>
      <c r="Y37" s="24">
        <v>30</v>
      </c>
      <c r="Z37" s="48">
        <f t="shared" ref="Z37" si="68">X37*Y37</f>
        <v>0</v>
      </c>
      <c r="AA37" s="54"/>
      <c r="AB37" s="24">
        <v>15</v>
      </c>
      <c r="AC37" s="48">
        <f t="shared" ref="AC37" si="69">AA37*AB37</f>
        <v>0</v>
      </c>
      <c r="AD37" s="54"/>
      <c r="AE37" s="24">
        <v>30</v>
      </c>
      <c r="AF37" s="48">
        <f t="shared" ref="AF37" si="70">AD37*AE37</f>
        <v>0</v>
      </c>
      <c r="AG37" s="276">
        <f t="shared" si="0"/>
        <v>0</v>
      </c>
      <c r="AH37" s="48">
        <f t="shared" ref="AH37" si="71">Z37+AC37+AF37+AG37</f>
        <v>0</v>
      </c>
      <c r="AI37" s="34">
        <f>V37/11/C37*1000</f>
        <v>48754.5</v>
      </c>
      <c r="AJ37" s="34"/>
      <c r="AK37" s="216">
        <f t="shared" si="3"/>
        <v>536.29999999999995</v>
      </c>
      <c r="AL37" s="216">
        <f t="shared" ref="AL37" si="72">((979*0.302)+((AK37-979)*0.182))</f>
        <v>215.1</v>
      </c>
      <c r="AM37" s="217">
        <v>0.30199999999999999</v>
      </c>
      <c r="AN37" s="62"/>
      <c r="AO37" s="62"/>
      <c r="AP37" s="62"/>
      <c r="AQ37" s="50">
        <f t="shared" si="11"/>
        <v>0</v>
      </c>
      <c r="AS37" s="66"/>
    </row>
    <row r="38" spans="1:45" ht="25.5" x14ac:dyDescent="0.2">
      <c r="A38" s="276">
        <v>31</v>
      </c>
      <c r="B38" s="218" t="s">
        <v>109</v>
      </c>
      <c r="C38" s="57">
        <v>1</v>
      </c>
      <c r="D38" s="177">
        <v>4.4569999999999999</v>
      </c>
      <c r="E38" s="171">
        <f t="shared" si="42"/>
        <v>4.46</v>
      </c>
      <c r="F38" s="154">
        <f t="shared" si="34"/>
        <v>53.5</v>
      </c>
      <c r="G38" s="154"/>
      <c r="H38" s="154">
        <v>1.7</v>
      </c>
      <c r="I38" s="154"/>
      <c r="J38" s="154"/>
      <c r="K38" s="154"/>
      <c r="L38" s="154">
        <v>26</v>
      </c>
      <c r="M38" s="154">
        <f t="shared" si="35"/>
        <v>81.2</v>
      </c>
      <c r="N38" s="171">
        <v>0.61</v>
      </c>
      <c r="O38" s="154">
        <f t="shared" si="36"/>
        <v>49.5</v>
      </c>
      <c r="P38" s="154">
        <f t="shared" si="37"/>
        <v>130.69999999999999</v>
      </c>
      <c r="Q38" s="154">
        <f t="shared" si="38"/>
        <v>104.6</v>
      </c>
      <c r="R38" s="154">
        <f t="shared" si="39"/>
        <v>104.6</v>
      </c>
      <c r="S38" s="154">
        <f t="shared" si="40"/>
        <v>10.9</v>
      </c>
      <c r="T38" s="154">
        <f t="shared" si="41"/>
        <v>350.8</v>
      </c>
      <c r="U38" s="3193"/>
      <c r="V38" s="154">
        <f t="shared" si="5"/>
        <v>350.8</v>
      </c>
      <c r="W38" s="154">
        <f t="shared" si="33"/>
        <v>105.9</v>
      </c>
      <c r="X38" s="276">
        <v>1</v>
      </c>
      <c r="Y38" s="24">
        <v>30</v>
      </c>
      <c r="Z38" s="48">
        <f t="shared" si="43"/>
        <v>30</v>
      </c>
      <c r="AA38" s="276">
        <v>1</v>
      </c>
      <c r="AB38" s="24">
        <v>15</v>
      </c>
      <c r="AC38" s="48">
        <f t="shared" si="44"/>
        <v>15</v>
      </c>
      <c r="AD38" s="276"/>
      <c r="AE38" s="24">
        <v>30</v>
      </c>
      <c r="AF38" s="48">
        <f t="shared" si="45"/>
        <v>0</v>
      </c>
      <c r="AG38" s="276">
        <f t="shared" si="0"/>
        <v>13.5</v>
      </c>
      <c r="AH38" s="48">
        <f t="shared" si="49"/>
        <v>58.5</v>
      </c>
      <c r="AI38" s="34">
        <f>V38/12/C38*1000</f>
        <v>29233.3</v>
      </c>
      <c r="AJ38" s="34"/>
      <c r="AK38" s="216">
        <f t="shared" si="3"/>
        <v>350.8</v>
      </c>
      <c r="AL38" s="216">
        <f t="shared" si="7"/>
        <v>181.3</v>
      </c>
      <c r="AM38" s="217">
        <v>0.30199999999999999</v>
      </c>
      <c r="AN38" s="76"/>
      <c r="AO38" s="76"/>
      <c r="AP38" s="76"/>
      <c r="AQ38" s="50">
        <f t="shared" si="11"/>
        <v>0</v>
      </c>
      <c r="AS38" s="66"/>
    </row>
    <row r="39" spans="1:45" ht="15.75" customHeight="1" x14ac:dyDescent="0.2">
      <c r="A39" s="276">
        <v>32</v>
      </c>
      <c r="B39" s="218" t="s">
        <v>57</v>
      </c>
      <c r="C39" s="49">
        <f>2-0.5</f>
        <v>1.5</v>
      </c>
      <c r="D39" s="177">
        <v>4.3769999999999998</v>
      </c>
      <c r="E39" s="171">
        <f t="shared" si="42"/>
        <v>6.57</v>
      </c>
      <c r="F39" s="215">
        <f t="shared" si="34"/>
        <v>78.8</v>
      </c>
      <c r="G39" s="154"/>
      <c r="H39" s="154">
        <v>1.4</v>
      </c>
      <c r="I39" s="154"/>
      <c r="J39" s="154"/>
      <c r="K39" s="154"/>
      <c r="L39" s="154">
        <v>70</v>
      </c>
      <c r="M39" s="154">
        <f t="shared" si="35"/>
        <v>150.19999999999999</v>
      </c>
      <c r="N39" s="171">
        <v>0.49</v>
      </c>
      <c r="O39" s="154">
        <f t="shared" si="36"/>
        <v>73.599999999999994</v>
      </c>
      <c r="P39" s="154">
        <f t="shared" si="37"/>
        <v>223.8</v>
      </c>
      <c r="Q39" s="154">
        <f t="shared" si="38"/>
        <v>179</v>
      </c>
      <c r="R39" s="154">
        <f t="shared" si="39"/>
        <v>179</v>
      </c>
      <c r="S39" s="154">
        <f t="shared" si="40"/>
        <v>18.600000000000001</v>
      </c>
      <c r="T39" s="154">
        <f t="shared" si="41"/>
        <v>600.4</v>
      </c>
      <c r="U39" s="3193"/>
      <c r="V39" s="154">
        <f t="shared" si="5"/>
        <v>600.4</v>
      </c>
      <c r="W39" s="154">
        <f t="shared" si="33"/>
        <v>181.3</v>
      </c>
      <c r="X39" s="276"/>
      <c r="Y39" s="24">
        <v>30</v>
      </c>
      <c r="Z39" s="48">
        <f>X39*Y39</f>
        <v>0</v>
      </c>
      <c r="AA39" s="276"/>
      <c r="AB39" s="24">
        <v>15</v>
      </c>
      <c r="AC39" s="48">
        <f>AA39*AB39</f>
        <v>0</v>
      </c>
      <c r="AD39" s="276"/>
      <c r="AE39" s="24">
        <v>30</v>
      </c>
      <c r="AF39" s="48">
        <f t="shared" si="45"/>
        <v>0</v>
      </c>
      <c r="AG39" s="276">
        <f t="shared" si="0"/>
        <v>0</v>
      </c>
      <c r="AH39" s="48">
        <f t="shared" si="49"/>
        <v>0</v>
      </c>
      <c r="AI39" s="34">
        <f>V39/12/C39*1000</f>
        <v>33355.599999999999</v>
      </c>
      <c r="AJ39" s="34"/>
      <c r="AK39" s="216">
        <f t="shared" si="3"/>
        <v>400.3</v>
      </c>
      <c r="AL39" s="216">
        <f t="shared" si="7"/>
        <v>190.3</v>
      </c>
      <c r="AM39" s="217">
        <v>0.30199999999999999</v>
      </c>
      <c r="AN39" s="76"/>
      <c r="AO39" s="76"/>
      <c r="AP39" s="76"/>
      <c r="AQ39" s="50">
        <f t="shared" si="11"/>
        <v>0</v>
      </c>
      <c r="AS39" s="66"/>
    </row>
    <row r="40" spans="1:45" x14ac:dyDescent="0.2">
      <c r="A40" s="276">
        <v>33</v>
      </c>
      <c r="B40" s="218" t="s">
        <v>92</v>
      </c>
      <c r="C40" s="224">
        <v>1</v>
      </c>
      <c r="D40" s="177">
        <v>4.3769999999999998</v>
      </c>
      <c r="E40" s="171">
        <f t="shared" si="42"/>
        <v>4.38</v>
      </c>
      <c r="F40" s="154">
        <f t="shared" si="34"/>
        <v>52.6</v>
      </c>
      <c r="G40" s="154"/>
      <c r="H40" s="154">
        <f>2773.8/1000</f>
        <v>2.8</v>
      </c>
      <c r="I40" s="154"/>
      <c r="J40" s="154"/>
      <c r="K40" s="154"/>
      <c r="L40" s="154">
        <v>38.1</v>
      </c>
      <c r="M40" s="154">
        <f t="shared" si="35"/>
        <v>93.5</v>
      </c>
      <c r="N40" s="171">
        <v>0.47</v>
      </c>
      <c r="O40" s="154">
        <f t="shared" si="36"/>
        <v>43.9</v>
      </c>
      <c r="P40" s="154">
        <f t="shared" si="37"/>
        <v>137.4</v>
      </c>
      <c r="Q40" s="154">
        <f t="shared" si="38"/>
        <v>109.9</v>
      </c>
      <c r="R40" s="154">
        <f t="shared" si="39"/>
        <v>109.9</v>
      </c>
      <c r="S40" s="154">
        <f t="shared" si="40"/>
        <v>11.4</v>
      </c>
      <c r="T40" s="154">
        <f t="shared" si="41"/>
        <v>368.6</v>
      </c>
      <c r="U40" s="3193"/>
      <c r="V40" s="154">
        <f t="shared" si="5"/>
        <v>368.6</v>
      </c>
      <c r="W40" s="154">
        <f t="shared" si="33"/>
        <v>111.3</v>
      </c>
      <c r="X40" s="276">
        <v>1</v>
      </c>
      <c r="Y40" s="24">
        <v>30</v>
      </c>
      <c r="Z40" s="48">
        <f>X40*Y40</f>
        <v>30</v>
      </c>
      <c r="AA40" s="276"/>
      <c r="AB40" s="24">
        <v>15</v>
      </c>
      <c r="AC40" s="48">
        <f>AA40*AB40</f>
        <v>0</v>
      </c>
      <c r="AD40" s="276"/>
      <c r="AE40" s="24">
        <v>30</v>
      </c>
      <c r="AF40" s="48">
        <f t="shared" si="45"/>
        <v>0</v>
      </c>
      <c r="AG40" s="276">
        <f t="shared" si="0"/>
        <v>9</v>
      </c>
      <c r="AH40" s="48">
        <f t="shared" si="49"/>
        <v>39</v>
      </c>
      <c r="AI40" s="34">
        <f>V40/12/C40*1000</f>
        <v>30716.7</v>
      </c>
      <c r="AJ40" s="34"/>
      <c r="AK40" s="216">
        <f t="shared" si="3"/>
        <v>368.6</v>
      </c>
      <c r="AL40" s="216">
        <f t="shared" si="7"/>
        <v>184.6</v>
      </c>
      <c r="AM40" s="217">
        <v>0.30199999999999999</v>
      </c>
      <c r="AN40" s="76"/>
      <c r="AO40" s="76"/>
      <c r="AP40" s="76"/>
      <c r="AQ40" s="50">
        <f t="shared" si="11"/>
        <v>0</v>
      </c>
      <c r="AS40" s="66"/>
    </row>
    <row r="41" spans="1:45" ht="25.5" x14ac:dyDescent="0.2">
      <c r="A41" s="276">
        <v>34</v>
      </c>
      <c r="B41" s="218" t="s">
        <v>102</v>
      </c>
      <c r="C41" s="58">
        <v>2</v>
      </c>
      <c r="D41" s="177">
        <v>4.3769999999999998</v>
      </c>
      <c r="E41" s="171">
        <f>C41*D41</f>
        <v>8.75</v>
      </c>
      <c r="F41" s="215">
        <f t="shared" si="34"/>
        <v>105</v>
      </c>
      <c r="G41" s="154"/>
      <c r="H41" s="154">
        <v>3.3</v>
      </c>
      <c r="I41" s="154"/>
      <c r="J41" s="154"/>
      <c r="K41" s="154"/>
      <c r="L41" s="154">
        <v>70</v>
      </c>
      <c r="M41" s="154">
        <f t="shared" si="35"/>
        <v>178.3</v>
      </c>
      <c r="N41" s="171">
        <v>0.49</v>
      </c>
      <c r="O41" s="154">
        <f t="shared" si="36"/>
        <v>87.4</v>
      </c>
      <c r="P41" s="154">
        <f t="shared" si="37"/>
        <v>265.7</v>
      </c>
      <c r="Q41" s="154">
        <f t="shared" si="38"/>
        <v>212.6</v>
      </c>
      <c r="R41" s="154">
        <f t="shared" si="39"/>
        <v>212.6</v>
      </c>
      <c r="S41" s="154">
        <f t="shared" si="40"/>
        <v>22.1</v>
      </c>
      <c r="T41" s="154">
        <f t="shared" si="41"/>
        <v>713</v>
      </c>
      <c r="U41" s="3193"/>
      <c r="V41" s="154">
        <f t="shared" si="5"/>
        <v>713</v>
      </c>
      <c r="W41" s="154">
        <f t="shared" si="33"/>
        <v>215.3</v>
      </c>
      <c r="X41" s="276">
        <v>1</v>
      </c>
      <c r="Y41" s="24">
        <v>30</v>
      </c>
      <c r="Z41" s="48">
        <f>X41*Y41</f>
        <v>30</v>
      </c>
      <c r="AA41" s="276"/>
      <c r="AB41" s="24">
        <v>15</v>
      </c>
      <c r="AC41" s="48">
        <f>AA41*AB41</f>
        <v>0</v>
      </c>
      <c r="AD41" s="276"/>
      <c r="AE41" s="24">
        <v>30</v>
      </c>
      <c r="AF41" s="48">
        <f t="shared" si="45"/>
        <v>0</v>
      </c>
      <c r="AG41" s="276">
        <f t="shared" si="0"/>
        <v>9</v>
      </c>
      <c r="AH41" s="48">
        <f t="shared" si="49"/>
        <v>39</v>
      </c>
      <c r="AI41" s="34">
        <f>V41/12/C41*1000</f>
        <v>29708.3</v>
      </c>
      <c r="AJ41" s="34"/>
      <c r="AK41" s="216">
        <f t="shared" si="3"/>
        <v>356.5</v>
      </c>
      <c r="AL41" s="216">
        <f t="shared" si="7"/>
        <v>182.4</v>
      </c>
      <c r="AM41" s="217">
        <v>0.30199999999999999</v>
      </c>
      <c r="AN41" s="76"/>
      <c r="AO41" s="76"/>
      <c r="AP41" s="76"/>
      <c r="AQ41" s="50">
        <f t="shared" si="11"/>
        <v>0</v>
      </c>
      <c r="AS41" s="66"/>
    </row>
    <row r="42" spans="1:45" x14ac:dyDescent="0.2">
      <c r="A42" s="225" t="s">
        <v>126</v>
      </c>
      <c r="B42" s="218"/>
      <c r="C42" s="58"/>
      <c r="D42" s="177"/>
      <c r="E42" s="171"/>
      <c r="F42" s="215"/>
      <c r="G42" s="154"/>
      <c r="H42" s="154"/>
      <c r="I42" s="154"/>
      <c r="J42" s="154"/>
      <c r="K42" s="154"/>
      <c r="L42" s="154"/>
      <c r="M42" s="154"/>
      <c r="N42" s="171"/>
      <c r="O42" s="154"/>
      <c r="P42" s="154"/>
      <c r="Q42" s="154"/>
      <c r="R42" s="154"/>
      <c r="S42" s="154"/>
      <c r="T42" s="154"/>
      <c r="U42" s="3193"/>
      <c r="V42" s="154"/>
      <c r="W42" s="154">
        <f t="shared" si="33"/>
        <v>0</v>
      </c>
      <c r="X42" s="276"/>
      <c r="Y42" s="24"/>
      <c r="Z42" s="48"/>
      <c r="AA42" s="276"/>
      <c r="AB42" s="24"/>
      <c r="AC42" s="48"/>
      <c r="AD42" s="276"/>
      <c r="AE42" s="24"/>
      <c r="AF42" s="48"/>
      <c r="AG42" s="276">
        <f t="shared" si="0"/>
        <v>0</v>
      </c>
      <c r="AH42" s="48"/>
      <c r="AJ42" s="34"/>
      <c r="AK42" s="216"/>
      <c r="AL42" s="216"/>
      <c r="AM42" s="217"/>
      <c r="AN42" s="76"/>
      <c r="AO42" s="76"/>
      <c r="AP42" s="76"/>
      <c r="AQ42" s="50">
        <f t="shared" si="11"/>
        <v>0</v>
      </c>
      <c r="AS42" s="66"/>
    </row>
    <row r="43" spans="1:45" x14ac:dyDescent="0.2">
      <c r="A43" s="276">
        <v>35</v>
      </c>
      <c r="B43" s="52" t="s">
        <v>17</v>
      </c>
      <c r="C43" s="276">
        <v>1</v>
      </c>
      <c r="D43" s="177">
        <v>12.335000000000001</v>
      </c>
      <c r="E43" s="226">
        <f>C43*D43</f>
        <v>12.34</v>
      </c>
      <c r="F43" s="227">
        <f>E43*12</f>
        <v>148.1</v>
      </c>
      <c r="G43" s="154"/>
      <c r="H43" s="154">
        <v>1.3</v>
      </c>
      <c r="I43" s="154"/>
      <c r="J43" s="154"/>
      <c r="K43" s="154">
        <f>F43*0.4</f>
        <v>59.2</v>
      </c>
      <c r="L43" s="154">
        <f t="shared" si="4"/>
        <v>50.1</v>
      </c>
      <c r="M43" s="154">
        <f>F43+G43+H43+I43+J43+K43+L43</f>
        <v>258.7</v>
      </c>
      <c r="N43" s="171">
        <v>0.47</v>
      </c>
      <c r="O43" s="154">
        <f>M43*N43</f>
        <v>121.6</v>
      </c>
      <c r="P43" s="154">
        <f>M43+O43</f>
        <v>380.3</v>
      </c>
      <c r="Q43" s="154">
        <f>P43*0.8</f>
        <v>304.2</v>
      </c>
      <c r="R43" s="154">
        <f>P43*0.8</f>
        <v>304.2</v>
      </c>
      <c r="S43" s="154">
        <f>(P43+Q43+R43)*0.032</f>
        <v>31.6</v>
      </c>
      <c r="T43" s="154">
        <f>P43+Q43+R43+S43</f>
        <v>1020.3</v>
      </c>
      <c r="U43" s="3193"/>
      <c r="V43" s="154">
        <f t="shared" si="5"/>
        <v>1020.3</v>
      </c>
      <c r="W43" s="154">
        <f>AQ43</f>
        <v>303.7</v>
      </c>
      <c r="X43" s="276">
        <v>1</v>
      </c>
      <c r="Y43" s="24">
        <v>35</v>
      </c>
      <c r="Z43" s="48">
        <f>X43*Y43</f>
        <v>35</v>
      </c>
      <c r="AA43" s="276"/>
      <c r="AB43" s="24">
        <v>17.5</v>
      </c>
      <c r="AC43" s="48">
        <f>AA43*AB43</f>
        <v>0</v>
      </c>
      <c r="AD43" s="276"/>
      <c r="AE43" s="24">
        <v>35</v>
      </c>
      <c r="AF43" s="48">
        <f>AD43*AE43</f>
        <v>0</v>
      </c>
      <c r="AG43" s="276">
        <f t="shared" si="0"/>
        <v>10.5</v>
      </c>
      <c r="AH43" s="48">
        <f>Z43+AC43+AF43+AG43</f>
        <v>45.5</v>
      </c>
      <c r="AI43" s="39">
        <f t="shared" ref="AI43:AI51" si="73">V43/12/C43*1000</f>
        <v>85025</v>
      </c>
      <c r="AJ43" s="34"/>
      <c r="AK43" s="34">
        <f t="shared" ref="AK43:AK51" si="74">V43/C43</f>
        <v>1020.3</v>
      </c>
      <c r="AL43" s="34">
        <f>((979*0.302)+((AK43-979)*0.182))</f>
        <v>303.2</v>
      </c>
      <c r="AM43" s="51">
        <f>AL43/AK43</f>
        <v>0.29699999999999999</v>
      </c>
      <c r="AN43" s="50">
        <f t="shared" ref="AN43" si="75">AK43*0.22</f>
        <v>224.5</v>
      </c>
      <c r="AO43" s="50">
        <f t="shared" ref="AO43" si="76">865*0.029</f>
        <v>25.1</v>
      </c>
      <c r="AP43" s="50">
        <f t="shared" ref="AP43" si="77">AK43*0.053</f>
        <v>54.1</v>
      </c>
      <c r="AQ43" s="50">
        <f t="shared" si="11"/>
        <v>303.7</v>
      </c>
      <c r="AR43" s="51"/>
    </row>
    <row r="44" spans="1:45" x14ac:dyDescent="0.2">
      <c r="A44" s="276">
        <v>36</v>
      </c>
      <c r="B44" s="52" t="s">
        <v>38</v>
      </c>
      <c r="C44" s="167">
        <f>2-0.25</f>
        <v>1.75</v>
      </c>
      <c r="D44" s="177">
        <v>6.2859999999999996</v>
      </c>
      <c r="E44" s="171">
        <f t="shared" ref="E44:E51" si="78">C44*D44</f>
        <v>11</v>
      </c>
      <c r="F44" s="154">
        <f t="shared" ref="F44:F51" si="79">E44*12</f>
        <v>132</v>
      </c>
      <c r="G44" s="154">
        <f>74.5/1000</f>
        <v>0.1</v>
      </c>
      <c r="H44" s="154">
        <v>2</v>
      </c>
      <c r="I44" s="154"/>
      <c r="J44" s="154"/>
      <c r="K44" s="154"/>
      <c r="L44" s="154">
        <f t="shared" si="4"/>
        <v>44.7</v>
      </c>
      <c r="M44" s="154">
        <f t="shared" ref="M44:M51" si="80">F44+G44+H44+I44+J44+K44+L44</f>
        <v>178.8</v>
      </c>
      <c r="N44" s="171">
        <v>0.45</v>
      </c>
      <c r="O44" s="154">
        <f t="shared" ref="O44:O51" si="81">M44*N44</f>
        <v>80.5</v>
      </c>
      <c r="P44" s="154">
        <f t="shared" ref="P44:P51" si="82">M44+O44</f>
        <v>259.3</v>
      </c>
      <c r="Q44" s="154">
        <f t="shared" ref="Q44:Q51" si="83">P44*0.8</f>
        <v>207.4</v>
      </c>
      <c r="R44" s="154">
        <f t="shared" ref="R44:R51" si="84">P44*0.8</f>
        <v>207.4</v>
      </c>
      <c r="S44" s="154">
        <f t="shared" ref="S44:S51" si="85">(P44+Q44+R44)*0.032</f>
        <v>21.6</v>
      </c>
      <c r="T44" s="154">
        <f t="shared" ref="T44:T51" si="86">P44+Q44+R44+S44</f>
        <v>695.7</v>
      </c>
      <c r="U44" s="3193"/>
      <c r="V44" s="154">
        <f t="shared" si="5"/>
        <v>695.7</v>
      </c>
      <c r="W44" s="154">
        <f t="shared" si="33"/>
        <v>210.1</v>
      </c>
      <c r="X44" s="276">
        <v>1</v>
      </c>
      <c r="Y44" s="24">
        <v>35</v>
      </c>
      <c r="Z44" s="48">
        <f t="shared" ref="Z44:Z51" si="87">X44*Y44</f>
        <v>35</v>
      </c>
      <c r="AA44" s="54"/>
      <c r="AB44" s="24">
        <v>17.5</v>
      </c>
      <c r="AC44" s="48">
        <f t="shared" ref="AC44:AC51" si="88">AA44*AB44</f>
        <v>0</v>
      </c>
      <c r="AD44" s="54"/>
      <c r="AE44" s="24">
        <v>35</v>
      </c>
      <c r="AF44" s="48">
        <f t="shared" ref="AF44:AF51" si="89">AD44*AE44</f>
        <v>0</v>
      </c>
      <c r="AG44" s="276">
        <f t="shared" si="0"/>
        <v>10.5</v>
      </c>
      <c r="AH44" s="48">
        <f t="shared" ref="AH44:AH51" si="90">Z44+AC44+AF44+AG44</f>
        <v>45.5</v>
      </c>
      <c r="AI44" s="39">
        <f t="shared" si="73"/>
        <v>33128.57</v>
      </c>
      <c r="AJ44" s="34"/>
      <c r="AK44" s="34">
        <f t="shared" si="74"/>
        <v>397.5</v>
      </c>
      <c r="AL44" s="34">
        <f t="shared" ref="AL44:AL51" si="91">((979*0.302)+((AK44-979)*0.182))</f>
        <v>189.8</v>
      </c>
      <c r="AM44" s="51">
        <v>0.30199999999999999</v>
      </c>
      <c r="AN44" s="50"/>
      <c r="AO44" s="50"/>
      <c r="AP44" s="50"/>
      <c r="AQ44" s="50">
        <f t="shared" si="11"/>
        <v>0</v>
      </c>
      <c r="AR44" s="51"/>
    </row>
    <row r="45" spans="1:45" ht="12" customHeight="1" x14ac:dyDescent="0.2">
      <c r="A45" s="276">
        <v>37</v>
      </c>
      <c r="B45" s="44" t="s">
        <v>104</v>
      </c>
      <c r="C45" s="54">
        <v>1</v>
      </c>
      <c r="D45" s="177">
        <v>8.4730000000000008</v>
      </c>
      <c r="E45" s="171">
        <f t="shared" si="78"/>
        <v>8.4700000000000006</v>
      </c>
      <c r="F45" s="154">
        <f t="shared" si="79"/>
        <v>101.6</v>
      </c>
      <c r="G45" s="154"/>
      <c r="H45" s="154"/>
      <c r="I45" s="154"/>
      <c r="J45" s="154"/>
      <c r="K45" s="154"/>
      <c r="L45" s="154">
        <f t="shared" si="4"/>
        <v>34.4</v>
      </c>
      <c r="M45" s="154">
        <f t="shared" si="80"/>
        <v>136</v>
      </c>
      <c r="N45" s="171">
        <v>0.41</v>
      </c>
      <c r="O45" s="154">
        <f t="shared" si="81"/>
        <v>55.8</v>
      </c>
      <c r="P45" s="154">
        <f t="shared" si="82"/>
        <v>191.8</v>
      </c>
      <c r="Q45" s="154">
        <f t="shared" si="83"/>
        <v>153.4</v>
      </c>
      <c r="R45" s="154">
        <f t="shared" si="84"/>
        <v>153.4</v>
      </c>
      <c r="S45" s="154">
        <f t="shared" si="85"/>
        <v>16</v>
      </c>
      <c r="T45" s="154">
        <f t="shared" si="86"/>
        <v>514.6</v>
      </c>
      <c r="U45" s="3193"/>
      <c r="V45" s="154">
        <f t="shared" si="5"/>
        <v>514.6</v>
      </c>
      <c r="W45" s="154">
        <f t="shared" si="33"/>
        <v>155.4</v>
      </c>
      <c r="X45" s="276">
        <v>1</v>
      </c>
      <c r="Y45" s="24">
        <v>35</v>
      </c>
      <c r="Z45" s="48">
        <f t="shared" si="87"/>
        <v>35</v>
      </c>
      <c r="AA45" s="54"/>
      <c r="AB45" s="24">
        <v>17.5</v>
      </c>
      <c r="AC45" s="48">
        <f t="shared" si="88"/>
        <v>0</v>
      </c>
      <c r="AD45" s="54">
        <v>1</v>
      </c>
      <c r="AE45" s="24">
        <v>35</v>
      </c>
      <c r="AF45" s="48">
        <f t="shared" si="89"/>
        <v>35</v>
      </c>
      <c r="AG45" s="276">
        <f t="shared" si="0"/>
        <v>21</v>
      </c>
      <c r="AH45" s="48">
        <f t="shared" si="90"/>
        <v>91</v>
      </c>
      <c r="AI45" s="39">
        <f t="shared" si="73"/>
        <v>42883.33</v>
      </c>
      <c r="AJ45" s="34"/>
      <c r="AK45" s="34">
        <f t="shared" si="74"/>
        <v>514.6</v>
      </c>
      <c r="AL45" s="34">
        <f t="shared" si="91"/>
        <v>211.1</v>
      </c>
      <c r="AM45" s="51">
        <v>0.30199999999999999</v>
      </c>
      <c r="AN45" s="50"/>
      <c r="AO45" s="50"/>
      <c r="AP45" s="50"/>
      <c r="AQ45" s="50">
        <f t="shared" si="11"/>
        <v>0</v>
      </c>
      <c r="AR45" s="51"/>
    </row>
    <row r="46" spans="1:45" x14ac:dyDescent="0.2">
      <c r="A46" s="276">
        <v>38</v>
      </c>
      <c r="B46" s="52" t="s">
        <v>39</v>
      </c>
      <c r="C46" s="24">
        <v>0.5</v>
      </c>
      <c r="D46" s="177">
        <v>6.2859999999999996</v>
      </c>
      <c r="E46" s="171">
        <f t="shared" si="78"/>
        <v>3.14</v>
      </c>
      <c r="F46" s="154">
        <f t="shared" si="79"/>
        <v>37.700000000000003</v>
      </c>
      <c r="G46" s="154"/>
      <c r="H46" s="154">
        <f>1106.5/1000</f>
        <v>1.1000000000000001</v>
      </c>
      <c r="I46" s="154"/>
      <c r="J46" s="154"/>
      <c r="K46" s="154"/>
      <c r="L46" s="154">
        <f>F46*$L$4</f>
        <v>12.8</v>
      </c>
      <c r="M46" s="154">
        <f t="shared" si="80"/>
        <v>51.6</v>
      </c>
      <c r="N46" s="171">
        <v>0.45</v>
      </c>
      <c r="O46" s="154">
        <f t="shared" si="81"/>
        <v>23.2</v>
      </c>
      <c r="P46" s="154">
        <f t="shared" si="82"/>
        <v>74.8</v>
      </c>
      <c r="Q46" s="154">
        <f t="shared" si="83"/>
        <v>59.8</v>
      </c>
      <c r="R46" s="154">
        <f t="shared" si="84"/>
        <v>59.8</v>
      </c>
      <c r="S46" s="154">
        <f t="shared" si="85"/>
        <v>6.2</v>
      </c>
      <c r="T46" s="154">
        <f t="shared" si="86"/>
        <v>200.6</v>
      </c>
      <c r="U46" s="3193"/>
      <c r="V46" s="154">
        <f t="shared" si="5"/>
        <v>200.6</v>
      </c>
      <c r="W46" s="154">
        <f t="shared" si="33"/>
        <v>60.6</v>
      </c>
      <c r="X46" s="276"/>
      <c r="Y46" s="24">
        <v>35</v>
      </c>
      <c r="Z46" s="48">
        <f t="shared" si="87"/>
        <v>0</v>
      </c>
      <c r="AA46" s="54"/>
      <c r="AB46" s="24">
        <v>17.5</v>
      </c>
      <c r="AC46" s="48">
        <f t="shared" si="88"/>
        <v>0</v>
      </c>
      <c r="AD46" s="54"/>
      <c r="AE46" s="24">
        <v>35</v>
      </c>
      <c r="AF46" s="48">
        <f t="shared" si="89"/>
        <v>0</v>
      </c>
      <c r="AG46" s="276">
        <f t="shared" si="0"/>
        <v>0</v>
      </c>
      <c r="AH46" s="48">
        <f t="shared" si="90"/>
        <v>0</v>
      </c>
      <c r="AI46" s="39">
        <f t="shared" si="73"/>
        <v>33433.33</v>
      </c>
      <c r="AJ46" s="34"/>
      <c r="AK46" s="34">
        <f t="shared" si="74"/>
        <v>401.2</v>
      </c>
      <c r="AL46" s="34">
        <f t="shared" si="91"/>
        <v>190.5</v>
      </c>
      <c r="AM46" s="51">
        <v>0.30199999999999999</v>
      </c>
      <c r="AQ46" s="50">
        <f t="shared" si="11"/>
        <v>0</v>
      </c>
      <c r="AR46" s="51"/>
    </row>
    <row r="47" spans="1:45" x14ac:dyDescent="0.2">
      <c r="A47" s="276">
        <v>39</v>
      </c>
      <c r="B47" s="218" t="s">
        <v>40</v>
      </c>
      <c r="C47" s="54">
        <v>1</v>
      </c>
      <c r="D47" s="177">
        <v>11.061999999999999</v>
      </c>
      <c r="E47" s="171">
        <f t="shared" si="78"/>
        <v>11.06</v>
      </c>
      <c r="F47" s="154">
        <f t="shared" si="79"/>
        <v>132.69999999999999</v>
      </c>
      <c r="G47" s="228">
        <f>131.07/1000</f>
        <v>0.13</v>
      </c>
      <c r="H47" s="154">
        <v>2.1</v>
      </c>
      <c r="I47" s="154"/>
      <c r="J47" s="154"/>
      <c r="K47" s="154">
        <f>D47*2*0.2</f>
        <v>4.4000000000000004</v>
      </c>
      <c r="L47" s="154">
        <f t="shared" si="4"/>
        <v>44.9</v>
      </c>
      <c r="M47" s="154">
        <f t="shared" si="80"/>
        <v>184.2</v>
      </c>
      <c r="N47" s="171">
        <v>0.43</v>
      </c>
      <c r="O47" s="154">
        <f t="shared" si="81"/>
        <v>79.2</v>
      </c>
      <c r="P47" s="154">
        <f t="shared" si="82"/>
        <v>263.39999999999998</v>
      </c>
      <c r="Q47" s="154">
        <f t="shared" si="83"/>
        <v>210.7</v>
      </c>
      <c r="R47" s="154">
        <f t="shared" si="84"/>
        <v>210.7</v>
      </c>
      <c r="S47" s="154">
        <f t="shared" si="85"/>
        <v>21.9</v>
      </c>
      <c r="T47" s="154">
        <f t="shared" si="86"/>
        <v>706.7</v>
      </c>
      <c r="U47" s="3193"/>
      <c r="V47" s="154">
        <f t="shared" si="5"/>
        <v>706.7</v>
      </c>
      <c r="W47" s="154">
        <f t="shared" si="33"/>
        <v>213.4</v>
      </c>
      <c r="X47" s="276"/>
      <c r="Y47" s="24">
        <v>35</v>
      </c>
      <c r="Z47" s="48">
        <f t="shared" si="87"/>
        <v>0</v>
      </c>
      <c r="AA47" s="54"/>
      <c r="AB47" s="24">
        <v>17.5</v>
      </c>
      <c r="AC47" s="48">
        <f t="shared" si="88"/>
        <v>0</v>
      </c>
      <c r="AD47" s="54"/>
      <c r="AE47" s="24">
        <v>35</v>
      </c>
      <c r="AF47" s="48">
        <f t="shared" si="89"/>
        <v>0</v>
      </c>
      <c r="AG47" s="276">
        <f t="shared" si="0"/>
        <v>0</v>
      </c>
      <c r="AH47" s="48">
        <f t="shared" si="90"/>
        <v>0</v>
      </c>
      <c r="AI47" s="39">
        <f t="shared" si="73"/>
        <v>58891.67</v>
      </c>
      <c r="AJ47" s="34"/>
      <c r="AK47" s="34">
        <f t="shared" si="74"/>
        <v>706.7</v>
      </c>
      <c r="AL47" s="34">
        <f t="shared" si="91"/>
        <v>246.1</v>
      </c>
      <c r="AM47" s="51">
        <v>0.30199999999999999</v>
      </c>
      <c r="AN47" s="50"/>
      <c r="AO47" s="50"/>
      <c r="AP47" s="50"/>
      <c r="AQ47" s="50">
        <f t="shared" si="11"/>
        <v>0</v>
      </c>
      <c r="AR47" s="51"/>
    </row>
    <row r="48" spans="1:45" x14ac:dyDescent="0.2">
      <c r="A48" s="276">
        <v>40</v>
      </c>
      <c r="B48" s="218" t="s">
        <v>41</v>
      </c>
      <c r="C48" s="54">
        <v>1</v>
      </c>
      <c r="D48" s="177">
        <v>8.4730000000000008</v>
      </c>
      <c r="E48" s="171">
        <f t="shared" si="78"/>
        <v>8.4700000000000006</v>
      </c>
      <c r="F48" s="154">
        <f t="shared" si="79"/>
        <v>101.6</v>
      </c>
      <c r="G48" s="154">
        <f>100.4/1000</f>
        <v>0.1</v>
      </c>
      <c r="H48" s="154">
        <v>0.5</v>
      </c>
      <c r="I48" s="154"/>
      <c r="J48" s="154"/>
      <c r="K48" s="154">
        <f>D48*8.5*0.2</f>
        <v>14.4</v>
      </c>
      <c r="L48" s="154">
        <f t="shared" si="4"/>
        <v>34.4</v>
      </c>
      <c r="M48" s="154">
        <f t="shared" si="80"/>
        <v>151</v>
      </c>
      <c r="N48" s="171">
        <v>0.41</v>
      </c>
      <c r="O48" s="154">
        <f t="shared" si="81"/>
        <v>61.9</v>
      </c>
      <c r="P48" s="154">
        <f t="shared" si="82"/>
        <v>212.9</v>
      </c>
      <c r="Q48" s="154">
        <f t="shared" si="83"/>
        <v>170.3</v>
      </c>
      <c r="R48" s="154">
        <f t="shared" si="84"/>
        <v>170.3</v>
      </c>
      <c r="S48" s="154">
        <f t="shared" si="85"/>
        <v>17.7</v>
      </c>
      <c r="T48" s="154">
        <f t="shared" si="86"/>
        <v>571.20000000000005</v>
      </c>
      <c r="U48" s="3193"/>
      <c r="V48" s="154">
        <f t="shared" si="5"/>
        <v>571.20000000000005</v>
      </c>
      <c r="W48" s="154">
        <f t="shared" si="33"/>
        <v>172.5</v>
      </c>
      <c r="X48" s="276">
        <v>1</v>
      </c>
      <c r="Y48" s="24">
        <v>35</v>
      </c>
      <c r="Z48" s="48">
        <f t="shared" si="87"/>
        <v>35</v>
      </c>
      <c r="AA48" s="54"/>
      <c r="AB48" s="24">
        <v>17.5</v>
      </c>
      <c r="AC48" s="48">
        <f>AA48*AB48</f>
        <v>0</v>
      </c>
      <c r="AD48" s="54"/>
      <c r="AE48" s="24">
        <v>35</v>
      </c>
      <c r="AF48" s="48">
        <f t="shared" si="89"/>
        <v>0</v>
      </c>
      <c r="AG48" s="276">
        <f t="shared" si="0"/>
        <v>10.5</v>
      </c>
      <c r="AH48" s="48">
        <f t="shared" si="90"/>
        <v>45.5</v>
      </c>
      <c r="AI48" s="39">
        <f t="shared" si="73"/>
        <v>47600</v>
      </c>
      <c r="AJ48" s="34"/>
      <c r="AK48" s="34">
        <f t="shared" si="74"/>
        <v>571.20000000000005</v>
      </c>
      <c r="AL48" s="34">
        <f t="shared" si="91"/>
        <v>221.4</v>
      </c>
      <c r="AM48" s="51">
        <v>0.30199999999999999</v>
      </c>
      <c r="AN48" s="50"/>
      <c r="AO48" s="50"/>
      <c r="AP48" s="50"/>
      <c r="AQ48" s="50">
        <f t="shared" si="11"/>
        <v>0</v>
      </c>
      <c r="AR48" s="51"/>
    </row>
    <row r="49" spans="1:44" x14ac:dyDescent="0.2">
      <c r="A49" s="276">
        <v>41</v>
      </c>
      <c r="B49" s="218" t="s">
        <v>42</v>
      </c>
      <c r="C49" s="24">
        <v>0.5</v>
      </c>
      <c r="D49" s="213">
        <v>11.061999999999999</v>
      </c>
      <c r="E49" s="171">
        <f t="shared" si="78"/>
        <v>5.53</v>
      </c>
      <c r="F49" s="154">
        <f t="shared" si="79"/>
        <v>66.400000000000006</v>
      </c>
      <c r="G49" s="154">
        <f>65.5/1000</f>
        <v>0.1</v>
      </c>
      <c r="H49" s="154">
        <v>3</v>
      </c>
      <c r="I49" s="154"/>
      <c r="J49" s="154"/>
      <c r="K49" s="154"/>
      <c r="L49" s="154">
        <f t="shared" si="4"/>
        <v>22.5</v>
      </c>
      <c r="M49" s="154">
        <f t="shared" si="80"/>
        <v>92</v>
      </c>
      <c r="N49" s="171">
        <v>0.43</v>
      </c>
      <c r="O49" s="154">
        <f t="shared" si="81"/>
        <v>39.6</v>
      </c>
      <c r="P49" s="154">
        <f t="shared" si="82"/>
        <v>131.6</v>
      </c>
      <c r="Q49" s="154">
        <f t="shared" si="83"/>
        <v>105.3</v>
      </c>
      <c r="R49" s="154">
        <f t="shared" si="84"/>
        <v>105.3</v>
      </c>
      <c r="S49" s="154">
        <f t="shared" si="85"/>
        <v>11</v>
      </c>
      <c r="T49" s="154">
        <f t="shared" si="86"/>
        <v>353.2</v>
      </c>
      <c r="U49" s="3193"/>
      <c r="V49" s="154">
        <f t="shared" si="5"/>
        <v>353.2</v>
      </c>
      <c r="W49" s="154">
        <f t="shared" si="33"/>
        <v>106.7</v>
      </c>
      <c r="X49" s="276"/>
      <c r="Y49" s="24">
        <v>35</v>
      </c>
      <c r="Z49" s="48">
        <f t="shared" si="87"/>
        <v>0</v>
      </c>
      <c r="AA49" s="54"/>
      <c r="AB49" s="24">
        <v>17.5</v>
      </c>
      <c r="AC49" s="48">
        <f t="shared" si="88"/>
        <v>0</v>
      </c>
      <c r="AD49" s="54"/>
      <c r="AE49" s="24">
        <v>35</v>
      </c>
      <c r="AF49" s="48">
        <f t="shared" si="89"/>
        <v>0</v>
      </c>
      <c r="AG49" s="276">
        <f t="shared" si="0"/>
        <v>0</v>
      </c>
      <c r="AH49" s="48">
        <f t="shared" si="90"/>
        <v>0</v>
      </c>
      <c r="AI49" s="39">
        <f t="shared" si="73"/>
        <v>58866.67</v>
      </c>
      <c r="AJ49" s="34"/>
      <c r="AK49" s="34">
        <f t="shared" si="74"/>
        <v>706.4</v>
      </c>
      <c r="AL49" s="34">
        <f t="shared" si="91"/>
        <v>246</v>
      </c>
      <c r="AM49" s="51">
        <v>0.30199999999999999</v>
      </c>
      <c r="AO49" s="50"/>
      <c r="AP49" s="50"/>
      <c r="AQ49" s="50">
        <f t="shared" si="11"/>
        <v>0</v>
      </c>
      <c r="AR49" s="51"/>
    </row>
    <row r="50" spans="1:44" x14ac:dyDescent="0.2">
      <c r="A50" s="276">
        <v>42</v>
      </c>
      <c r="B50" s="52" t="s">
        <v>43</v>
      </c>
      <c r="C50" s="167">
        <v>0.25</v>
      </c>
      <c r="D50" s="177">
        <v>8.4730000000000008</v>
      </c>
      <c r="E50" s="171">
        <f t="shared" si="78"/>
        <v>2.12</v>
      </c>
      <c r="F50" s="154">
        <f t="shared" si="79"/>
        <v>25.4</v>
      </c>
      <c r="G50" s="154"/>
      <c r="H50" s="154"/>
      <c r="I50" s="154"/>
      <c r="J50" s="154"/>
      <c r="K50" s="154"/>
      <c r="L50" s="154">
        <f t="shared" si="4"/>
        <v>8.6</v>
      </c>
      <c r="M50" s="154">
        <f t="shared" si="80"/>
        <v>34</v>
      </c>
      <c r="N50" s="171">
        <v>0.41</v>
      </c>
      <c r="O50" s="154">
        <f t="shared" si="81"/>
        <v>13.9</v>
      </c>
      <c r="P50" s="154">
        <f t="shared" si="82"/>
        <v>47.9</v>
      </c>
      <c r="Q50" s="154">
        <f t="shared" si="83"/>
        <v>38.299999999999997</v>
      </c>
      <c r="R50" s="154">
        <f t="shared" si="84"/>
        <v>38.299999999999997</v>
      </c>
      <c r="S50" s="154">
        <f t="shared" si="85"/>
        <v>4</v>
      </c>
      <c r="T50" s="154">
        <f t="shared" si="86"/>
        <v>128.5</v>
      </c>
      <c r="U50" s="3193"/>
      <c r="V50" s="154">
        <f t="shared" si="5"/>
        <v>128.5</v>
      </c>
      <c r="W50" s="154">
        <f t="shared" si="33"/>
        <v>38.799999999999997</v>
      </c>
      <c r="X50" s="276"/>
      <c r="Y50" s="24">
        <v>35</v>
      </c>
      <c r="Z50" s="48">
        <f t="shared" si="87"/>
        <v>0</v>
      </c>
      <c r="AA50" s="54"/>
      <c r="AB50" s="24">
        <v>17.5</v>
      </c>
      <c r="AC50" s="48">
        <f t="shared" si="88"/>
        <v>0</v>
      </c>
      <c r="AD50" s="54"/>
      <c r="AE50" s="24">
        <v>35</v>
      </c>
      <c r="AF50" s="48">
        <f t="shared" si="89"/>
        <v>0</v>
      </c>
      <c r="AG50" s="276">
        <f t="shared" si="0"/>
        <v>0</v>
      </c>
      <c r="AH50" s="48">
        <f t="shared" si="90"/>
        <v>0</v>
      </c>
      <c r="AI50" s="39">
        <f t="shared" si="73"/>
        <v>42833.33</v>
      </c>
      <c r="AJ50" s="34"/>
      <c r="AK50" s="34">
        <f t="shared" si="74"/>
        <v>514</v>
      </c>
      <c r="AL50" s="34">
        <f t="shared" si="91"/>
        <v>211</v>
      </c>
      <c r="AM50" s="51">
        <v>0.30199999999999999</v>
      </c>
      <c r="AN50" s="50"/>
      <c r="AO50" s="50"/>
      <c r="AP50" s="50"/>
      <c r="AQ50" s="50">
        <f t="shared" si="11"/>
        <v>0</v>
      </c>
      <c r="AR50" s="51"/>
    </row>
    <row r="51" spans="1:44" x14ac:dyDescent="0.2">
      <c r="A51" s="276">
        <v>43</v>
      </c>
      <c r="B51" s="229" t="s">
        <v>44</v>
      </c>
      <c r="C51" s="179">
        <f>1-0.25</f>
        <v>0.75</v>
      </c>
      <c r="D51" s="213">
        <v>11.061999999999999</v>
      </c>
      <c r="E51" s="171">
        <f t="shared" si="78"/>
        <v>8.3000000000000007</v>
      </c>
      <c r="F51" s="154">
        <f t="shared" si="79"/>
        <v>99.6</v>
      </c>
      <c r="G51" s="154"/>
      <c r="H51" s="154">
        <v>2.4</v>
      </c>
      <c r="I51" s="154"/>
      <c r="J51" s="154"/>
      <c r="K51" s="154"/>
      <c r="L51" s="154">
        <f t="shared" si="4"/>
        <v>33.700000000000003</v>
      </c>
      <c r="M51" s="154">
        <f t="shared" si="80"/>
        <v>135.69999999999999</v>
      </c>
      <c r="N51" s="171">
        <v>0.43</v>
      </c>
      <c r="O51" s="154">
        <f t="shared" si="81"/>
        <v>58.4</v>
      </c>
      <c r="P51" s="154">
        <f t="shared" si="82"/>
        <v>194.1</v>
      </c>
      <c r="Q51" s="154">
        <f t="shared" si="83"/>
        <v>155.30000000000001</v>
      </c>
      <c r="R51" s="154">
        <f t="shared" si="84"/>
        <v>155.30000000000001</v>
      </c>
      <c r="S51" s="154">
        <f t="shared" si="85"/>
        <v>16.2</v>
      </c>
      <c r="T51" s="154">
        <f t="shared" si="86"/>
        <v>520.9</v>
      </c>
      <c r="U51" s="3193"/>
      <c r="V51" s="154">
        <f>T51*$U$9-0.3</f>
        <v>520.6</v>
      </c>
      <c r="W51" s="154">
        <f t="shared" si="33"/>
        <v>157.19999999999999</v>
      </c>
      <c r="X51" s="276"/>
      <c r="Y51" s="24">
        <v>35</v>
      </c>
      <c r="Z51" s="48">
        <f t="shared" si="87"/>
        <v>0</v>
      </c>
      <c r="AA51" s="54"/>
      <c r="AB51" s="24">
        <v>17.5</v>
      </c>
      <c r="AC51" s="48">
        <f t="shared" si="88"/>
        <v>0</v>
      </c>
      <c r="AD51" s="54"/>
      <c r="AE51" s="24">
        <v>35</v>
      </c>
      <c r="AF51" s="48">
        <f t="shared" si="89"/>
        <v>0</v>
      </c>
      <c r="AG51" s="276">
        <f t="shared" si="0"/>
        <v>0</v>
      </c>
      <c r="AH51" s="48">
        <f t="shared" si="90"/>
        <v>0</v>
      </c>
      <c r="AI51" s="39">
        <f t="shared" si="73"/>
        <v>57844.44</v>
      </c>
      <c r="AJ51" s="34"/>
      <c r="AK51" s="34">
        <f t="shared" si="74"/>
        <v>694.1</v>
      </c>
      <c r="AL51" s="34">
        <f t="shared" si="91"/>
        <v>243.8</v>
      </c>
      <c r="AM51" s="51">
        <v>0.30199999999999999</v>
      </c>
      <c r="AN51" s="50"/>
      <c r="AO51" s="50"/>
      <c r="AP51" s="50"/>
      <c r="AQ51" s="50">
        <f t="shared" si="11"/>
        <v>0</v>
      </c>
      <c r="AR51" s="51"/>
    </row>
    <row r="52" spans="1:44" s="33" customFormat="1" ht="20.25" customHeight="1" x14ac:dyDescent="0.2">
      <c r="A52" s="3191" t="s">
        <v>72</v>
      </c>
      <c r="B52" s="3191"/>
      <c r="C52" s="230">
        <f t="shared" ref="C52:AG52" si="92">SUM(C9:C51)</f>
        <v>59.75</v>
      </c>
      <c r="D52" s="231">
        <f t="shared" si="92"/>
        <v>419</v>
      </c>
      <c r="E52" s="231">
        <f t="shared" si="92"/>
        <v>591.79999999999995</v>
      </c>
      <c r="F52" s="231">
        <f t="shared" si="92"/>
        <v>7100.7</v>
      </c>
      <c r="G52" s="231">
        <f t="shared" si="92"/>
        <v>0.4</v>
      </c>
      <c r="H52" s="231">
        <f t="shared" si="92"/>
        <v>204.3</v>
      </c>
      <c r="I52" s="231">
        <f t="shared" si="92"/>
        <v>0</v>
      </c>
      <c r="J52" s="231">
        <f t="shared" si="92"/>
        <v>93.9</v>
      </c>
      <c r="K52" s="231">
        <f t="shared" si="92"/>
        <v>1647.5</v>
      </c>
      <c r="L52" s="231">
        <f t="shared" si="92"/>
        <v>2508.9</v>
      </c>
      <c r="M52" s="231">
        <f t="shared" si="92"/>
        <v>11555.7</v>
      </c>
      <c r="N52" s="231">
        <f t="shared" si="92"/>
        <v>19.100000000000001</v>
      </c>
      <c r="O52" s="231">
        <f t="shared" si="92"/>
        <v>5402.6</v>
      </c>
      <c r="P52" s="231">
        <f t="shared" si="92"/>
        <v>16958.3</v>
      </c>
      <c r="Q52" s="231">
        <f t="shared" si="92"/>
        <v>13566</v>
      </c>
      <c r="R52" s="231">
        <f t="shared" si="92"/>
        <v>13566</v>
      </c>
      <c r="S52" s="231">
        <f t="shared" si="92"/>
        <v>1410.9</v>
      </c>
      <c r="T52" s="231">
        <f t="shared" si="92"/>
        <v>45501.2</v>
      </c>
      <c r="U52" s="231">
        <f t="shared" si="92"/>
        <v>1</v>
      </c>
      <c r="V52" s="231">
        <f t="shared" si="92"/>
        <v>45500.9</v>
      </c>
      <c r="W52" s="231">
        <f t="shared" si="92"/>
        <v>13348.7</v>
      </c>
      <c r="X52" s="231">
        <f t="shared" si="92"/>
        <v>34</v>
      </c>
      <c r="Y52" s="231">
        <f t="shared" si="92"/>
        <v>1305</v>
      </c>
      <c r="Z52" s="231">
        <f t="shared" si="92"/>
        <v>1040</v>
      </c>
      <c r="AA52" s="231">
        <f t="shared" si="92"/>
        <v>17</v>
      </c>
      <c r="AB52" s="231">
        <f t="shared" si="92"/>
        <v>652.5</v>
      </c>
      <c r="AC52" s="231">
        <f t="shared" si="92"/>
        <v>255</v>
      </c>
      <c r="AD52" s="231">
        <f t="shared" si="92"/>
        <v>6</v>
      </c>
      <c r="AE52" s="231">
        <f t="shared" si="92"/>
        <v>1305</v>
      </c>
      <c r="AF52" s="231">
        <f t="shared" si="92"/>
        <v>185</v>
      </c>
      <c r="AG52" s="231">
        <f t="shared" si="92"/>
        <v>444</v>
      </c>
      <c r="AH52" s="231">
        <f>SUM(AH9:AH51)</f>
        <v>1924</v>
      </c>
      <c r="AN52" s="211"/>
      <c r="AO52" s="211"/>
      <c r="AP52" s="211"/>
      <c r="AQ52" s="50">
        <f t="shared" si="11"/>
        <v>0</v>
      </c>
    </row>
    <row r="53" spans="1:44" ht="17.25" customHeight="1" x14ac:dyDescent="0.2">
      <c r="G53" s="39"/>
      <c r="H53" s="39"/>
      <c r="I53" s="39"/>
      <c r="J53" s="39"/>
      <c r="K53" s="39"/>
      <c r="L53" s="232"/>
      <c r="M53" s="232"/>
      <c r="N53" s="232"/>
      <c r="O53" s="232"/>
      <c r="P53" s="232"/>
      <c r="Q53" s="39"/>
      <c r="R53" s="39"/>
      <c r="S53" s="39"/>
      <c r="T53" s="39"/>
      <c r="V53" s="34"/>
      <c r="W53" s="66"/>
      <c r="X53" s="39"/>
      <c r="AA53" s="39"/>
      <c r="AD53" s="39"/>
      <c r="AG53" s="39"/>
      <c r="AH53" s="39"/>
    </row>
    <row r="54" spans="1:44" s="75" customFormat="1" x14ac:dyDescent="0.2">
      <c r="A54" s="70"/>
      <c r="B54" s="70"/>
      <c r="C54" s="71"/>
      <c r="D54" s="72"/>
      <c r="E54" s="72"/>
      <c r="F54" s="72"/>
      <c r="G54" s="72"/>
      <c r="H54" s="73"/>
      <c r="I54" s="73"/>
      <c r="J54" s="27"/>
      <c r="K54" s="27"/>
      <c r="L54" s="27"/>
      <c r="M54" s="27"/>
      <c r="N54" s="74"/>
      <c r="O54" s="27"/>
      <c r="P54" s="27"/>
      <c r="Q54" s="27"/>
      <c r="R54" s="27"/>
      <c r="S54" s="27"/>
      <c r="T54" s="27"/>
      <c r="U54" s="27"/>
      <c r="V54" s="27"/>
      <c r="W54" s="27"/>
      <c r="X54" s="27"/>
      <c r="Y54" s="27"/>
      <c r="Z54" s="27"/>
      <c r="AA54" s="27"/>
      <c r="AB54" s="27"/>
      <c r="AC54" s="27"/>
      <c r="AD54" s="27"/>
      <c r="AE54" s="27"/>
      <c r="AF54" s="27"/>
      <c r="AG54" s="27"/>
      <c r="AH54" s="27"/>
      <c r="AI54" s="27"/>
      <c r="AJ54" s="76"/>
      <c r="AN54" s="76"/>
      <c r="AO54" s="76"/>
      <c r="AP54" s="76"/>
      <c r="AQ54" s="76"/>
      <c r="AR54" s="76"/>
    </row>
    <row r="55" spans="1:44" s="75" customFormat="1" ht="104.25" customHeight="1" x14ac:dyDescent="0.2">
      <c r="A55" s="70"/>
      <c r="B55" s="70"/>
      <c r="C55" s="71"/>
      <c r="D55" s="77"/>
      <c r="E55" s="77"/>
      <c r="F55" s="27"/>
      <c r="G55" s="3191" t="s">
        <v>140</v>
      </c>
      <c r="H55" s="3191"/>
      <c r="I55" s="3191" t="s">
        <v>144</v>
      </c>
      <c r="J55" s="3191"/>
      <c r="K55" s="3188" t="s">
        <v>145</v>
      </c>
      <c r="L55" s="3189"/>
      <c r="M55" s="3191" t="s">
        <v>128</v>
      </c>
      <c r="N55" s="3191"/>
      <c r="O55" s="70"/>
      <c r="P55" s="70"/>
      <c r="Q55" s="27"/>
      <c r="R55" s="27"/>
      <c r="S55" s="27"/>
      <c r="T55" s="27"/>
      <c r="U55" s="27"/>
      <c r="V55" s="27"/>
      <c r="W55" s="27"/>
      <c r="X55" s="27"/>
      <c r="Y55" s="27"/>
      <c r="Z55" s="27"/>
      <c r="AA55" s="27"/>
      <c r="AB55" s="27"/>
      <c r="AC55" s="27"/>
      <c r="AD55" s="27"/>
      <c r="AE55" s="27"/>
      <c r="AF55" s="27"/>
      <c r="AG55" s="27"/>
      <c r="AH55" s="27"/>
      <c r="AI55" s="27"/>
      <c r="AJ55" s="76"/>
      <c r="AN55" s="76"/>
      <c r="AO55" s="76"/>
      <c r="AP55" s="76"/>
      <c r="AQ55" s="76"/>
      <c r="AR55" s="76"/>
    </row>
    <row r="56" spans="1:44" s="75" customFormat="1" x14ac:dyDescent="0.2">
      <c r="A56" s="70"/>
      <c r="B56" s="70"/>
      <c r="C56" s="71"/>
      <c r="D56" s="77"/>
      <c r="E56" s="77"/>
      <c r="F56" s="27"/>
      <c r="G56" s="28">
        <v>991</v>
      </c>
      <c r="H56" s="28">
        <v>992</v>
      </c>
      <c r="I56" s="28">
        <v>991</v>
      </c>
      <c r="J56" s="28">
        <v>992</v>
      </c>
      <c r="K56" s="28">
        <v>991</v>
      </c>
      <c r="L56" s="28">
        <v>992</v>
      </c>
      <c r="M56" s="28">
        <v>991</v>
      </c>
      <c r="N56" s="28">
        <v>992</v>
      </c>
      <c r="O56" s="79"/>
      <c r="P56" s="79"/>
      <c r="Q56" s="27"/>
      <c r="R56" s="27"/>
      <c r="S56" s="27"/>
      <c r="T56" s="27"/>
      <c r="U56" s="27"/>
      <c r="V56" s="27"/>
      <c r="W56" s="27"/>
      <c r="X56" s="27"/>
      <c r="Y56" s="27"/>
      <c r="Z56" s="27"/>
      <c r="AA56" s="27"/>
      <c r="AB56" s="27"/>
      <c r="AC56" s="27"/>
      <c r="AD56" s="27"/>
      <c r="AE56" s="27"/>
      <c r="AF56" s="27"/>
      <c r="AG56" s="27"/>
      <c r="AH56" s="27"/>
      <c r="AI56" s="27"/>
      <c r="AJ56" s="76"/>
      <c r="AN56" s="76"/>
      <c r="AO56" s="76"/>
      <c r="AP56" s="76"/>
      <c r="AQ56" s="76"/>
      <c r="AR56" s="76"/>
    </row>
    <row r="57" spans="1:44" s="75" customFormat="1" x14ac:dyDescent="0.2">
      <c r="A57" s="70"/>
      <c r="B57" s="70"/>
      <c r="C57" s="71"/>
      <c r="D57" s="77"/>
      <c r="E57" s="77"/>
      <c r="F57" s="27"/>
      <c r="G57" s="29">
        <v>46179.199999999997</v>
      </c>
      <c r="H57" s="29">
        <v>13446.9</v>
      </c>
      <c r="I57" s="29">
        <f>245.4+176.6+93.6+162.7</f>
        <v>678.3</v>
      </c>
      <c r="J57" s="29">
        <f>74.1+53.3+28.3+49.1</f>
        <v>204.8</v>
      </c>
      <c r="K57" s="29">
        <f>V52</f>
        <v>45500.9</v>
      </c>
      <c r="L57" s="29">
        <f>W52</f>
        <v>13348.7</v>
      </c>
      <c r="M57" s="29">
        <f>G57-I57-K57</f>
        <v>0</v>
      </c>
      <c r="N57" s="29">
        <f>H57-J57-L57</f>
        <v>-106.6</v>
      </c>
      <c r="O57" s="80"/>
      <c r="P57" s="80"/>
      <c r="Q57" s="27"/>
      <c r="R57" s="27"/>
      <c r="S57" s="27"/>
      <c r="T57" s="27"/>
      <c r="U57" s="27"/>
      <c r="V57" s="27"/>
      <c r="W57" s="27"/>
      <c r="X57" s="27"/>
      <c r="Y57" s="27"/>
      <c r="Z57" s="27"/>
      <c r="AA57" s="27"/>
      <c r="AB57" s="27"/>
      <c r="AC57" s="27"/>
      <c r="AD57" s="27"/>
      <c r="AE57" s="27"/>
      <c r="AF57" s="27"/>
      <c r="AG57" s="27"/>
      <c r="AH57" s="27"/>
      <c r="AI57" s="27"/>
      <c r="AJ57" s="76"/>
      <c r="AN57" s="76"/>
      <c r="AO57" s="76"/>
      <c r="AP57" s="76"/>
      <c r="AQ57" s="76"/>
      <c r="AR57" s="76"/>
    </row>
    <row r="58" spans="1:44" s="75" customFormat="1" x14ac:dyDescent="0.2">
      <c r="A58" s="70"/>
      <c r="B58" s="70"/>
      <c r="C58" s="71"/>
      <c r="D58" s="77"/>
      <c r="E58" s="77"/>
      <c r="F58" s="27"/>
      <c r="G58" s="27"/>
      <c r="H58" s="73"/>
      <c r="I58" s="73"/>
      <c r="J58" s="27"/>
      <c r="K58" s="27"/>
      <c r="L58" s="27"/>
      <c r="M58" s="27"/>
      <c r="N58" s="74"/>
      <c r="O58" s="27"/>
      <c r="P58" s="27"/>
      <c r="Q58" s="27"/>
      <c r="R58" s="27"/>
      <c r="S58" s="27"/>
      <c r="T58" s="27"/>
      <c r="U58" s="27"/>
      <c r="V58" s="27"/>
      <c r="W58" s="27"/>
      <c r="X58" s="27"/>
      <c r="Y58" s="27"/>
      <c r="Z58" s="27"/>
      <c r="AA58" s="27"/>
      <c r="AB58" s="27"/>
      <c r="AC58" s="27"/>
      <c r="AD58" s="27"/>
      <c r="AE58" s="27"/>
      <c r="AF58" s="27"/>
      <c r="AG58" s="27"/>
      <c r="AH58" s="76"/>
      <c r="AM58" s="76"/>
      <c r="AN58" s="211"/>
      <c r="AO58" s="211"/>
      <c r="AP58" s="211"/>
      <c r="AQ58" s="211"/>
    </row>
    <row r="59" spans="1:44" s="35" customFormat="1" ht="20.25" x14ac:dyDescent="0.2">
      <c r="A59" s="81"/>
      <c r="B59" s="82" t="s">
        <v>138</v>
      </c>
      <c r="C59" s="83"/>
      <c r="D59" s="84"/>
      <c r="E59" s="84"/>
      <c r="F59" s="85"/>
      <c r="G59" s="85"/>
      <c r="H59" s="86"/>
      <c r="I59" s="86"/>
      <c r="J59" s="85"/>
      <c r="K59" s="30" t="s">
        <v>167</v>
      </c>
      <c r="L59" s="85"/>
      <c r="M59" s="85"/>
      <c r="N59" s="87"/>
      <c r="O59" s="85"/>
      <c r="P59" s="85"/>
      <c r="Q59" s="85"/>
      <c r="R59" s="85"/>
      <c r="S59" s="85"/>
      <c r="T59" s="85"/>
      <c r="U59" s="85"/>
      <c r="V59" s="85"/>
      <c r="W59" s="85"/>
      <c r="X59" s="85"/>
      <c r="Y59" s="85"/>
      <c r="Z59" s="85"/>
      <c r="AA59" s="85"/>
      <c r="AB59" s="85"/>
      <c r="AC59" s="85"/>
      <c r="AD59" s="85"/>
      <c r="AE59" s="85"/>
      <c r="AF59" s="85"/>
      <c r="AG59" s="85"/>
      <c r="AH59" s="85"/>
      <c r="AI59" s="85"/>
      <c r="AK59" s="88"/>
      <c r="AL59" s="88"/>
      <c r="AM59" s="88"/>
      <c r="AN59" s="88"/>
      <c r="AO59" s="88"/>
    </row>
    <row r="60" spans="1:44" s="75" customFormat="1" x14ac:dyDescent="0.2">
      <c r="A60" s="70"/>
      <c r="B60" s="70"/>
      <c r="C60" s="71"/>
      <c r="D60" s="77"/>
      <c r="E60" s="77"/>
      <c r="F60" s="27"/>
      <c r="G60" s="27"/>
      <c r="H60" s="73"/>
      <c r="I60" s="73"/>
      <c r="J60" s="27"/>
      <c r="K60" s="27"/>
      <c r="L60" s="27"/>
      <c r="M60" s="27"/>
      <c r="N60" s="74"/>
      <c r="O60" s="27"/>
      <c r="P60" s="27"/>
      <c r="Q60" s="27"/>
      <c r="R60" s="27"/>
      <c r="S60" s="27"/>
      <c r="T60" s="27"/>
      <c r="U60" s="27"/>
      <c r="V60" s="27"/>
      <c r="W60" s="27"/>
      <c r="X60" s="27"/>
      <c r="Y60" s="27"/>
      <c r="Z60" s="27"/>
      <c r="AA60" s="27"/>
      <c r="AB60" s="27"/>
      <c r="AC60" s="27"/>
      <c r="AD60" s="27"/>
      <c r="AE60" s="27"/>
      <c r="AF60" s="27"/>
      <c r="AG60" s="27"/>
      <c r="AH60" s="76"/>
      <c r="AM60" s="76"/>
      <c r="AN60" s="211"/>
      <c r="AO60" s="211"/>
      <c r="AP60" s="211"/>
      <c r="AQ60" s="211"/>
    </row>
    <row r="61" spans="1:44" s="75" customFormat="1" ht="20.25" customHeight="1" x14ac:dyDescent="0.2">
      <c r="A61" s="89" t="s">
        <v>96</v>
      </c>
      <c r="B61" s="89"/>
      <c r="C61" s="31"/>
      <c r="D61" s="31"/>
      <c r="E61" s="31"/>
      <c r="F61" s="31"/>
      <c r="G61" s="31"/>
      <c r="H61" s="31"/>
      <c r="I61" s="31"/>
      <c r="J61" s="31"/>
      <c r="K61" s="31"/>
      <c r="L61" s="90"/>
      <c r="M61" s="90"/>
      <c r="N61" s="91"/>
      <c r="O61" s="90"/>
      <c r="P61" s="90"/>
      <c r="Q61" s="90"/>
      <c r="R61" s="90"/>
      <c r="S61" s="90"/>
      <c r="T61" s="90"/>
      <c r="U61" s="90"/>
      <c r="V61" s="90"/>
      <c r="W61" s="90"/>
      <c r="X61" s="90"/>
      <c r="Y61" s="90"/>
      <c r="Z61" s="90"/>
      <c r="AA61" s="90"/>
      <c r="AB61" s="90"/>
      <c r="AC61" s="90"/>
      <c r="AD61" s="90"/>
      <c r="AE61" s="90"/>
      <c r="AF61" s="90"/>
      <c r="AG61" s="90"/>
      <c r="AH61" s="76"/>
      <c r="AM61" s="76"/>
      <c r="AN61" s="211"/>
      <c r="AO61" s="211"/>
      <c r="AP61" s="211"/>
      <c r="AQ61" s="211"/>
    </row>
    <row r="62" spans="1:44" s="75" customFormat="1" ht="20.25" customHeight="1" x14ac:dyDescent="0.2">
      <c r="A62" s="89" t="s">
        <v>139</v>
      </c>
      <c r="B62" s="92"/>
      <c r="C62" s="93"/>
      <c r="D62" s="93"/>
      <c r="E62" s="32"/>
      <c r="F62" s="32"/>
      <c r="G62" s="32"/>
      <c r="H62" s="32"/>
      <c r="I62" s="32"/>
      <c r="J62" s="32"/>
      <c r="K62" s="32"/>
      <c r="L62" s="90"/>
      <c r="M62" s="90"/>
      <c r="N62" s="90"/>
      <c r="O62" s="90"/>
      <c r="P62" s="90"/>
      <c r="Q62" s="90"/>
      <c r="R62" s="90"/>
      <c r="S62" s="90"/>
      <c r="T62" s="90"/>
      <c r="U62" s="90"/>
      <c r="V62" s="90"/>
      <c r="W62" s="90"/>
      <c r="X62" s="90"/>
      <c r="Y62" s="90"/>
      <c r="Z62" s="90"/>
      <c r="AA62" s="90"/>
      <c r="AB62" s="90"/>
      <c r="AC62" s="90"/>
      <c r="AD62" s="90"/>
      <c r="AE62" s="90"/>
      <c r="AF62" s="90"/>
      <c r="AG62" s="90"/>
      <c r="AH62" s="76"/>
      <c r="AM62" s="76"/>
      <c r="AN62" s="211"/>
      <c r="AO62" s="211"/>
      <c r="AP62" s="211"/>
      <c r="AQ62" s="211"/>
    </row>
    <row r="64" spans="1:44" hidden="1" x14ac:dyDescent="0.2">
      <c r="A64" s="23"/>
      <c r="B64" s="233" t="s">
        <v>121</v>
      </c>
      <c r="C64" s="233">
        <f t="shared" ref="C64:W64" si="93">C9+C10+C12</f>
        <v>3</v>
      </c>
      <c r="D64" s="233">
        <f t="shared" si="93"/>
        <v>61.43</v>
      </c>
      <c r="E64" s="183">
        <f t="shared" si="93"/>
        <v>61.44</v>
      </c>
      <c r="F64" s="233">
        <f t="shared" si="93"/>
        <v>737.2</v>
      </c>
      <c r="G64" s="233">
        <f t="shared" si="93"/>
        <v>0</v>
      </c>
      <c r="H64" s="233">
        <f t="shared" si="93"/>
        <v>8.6999999999999993</v>
      </c>
      <c r="I64" s="233">
        <f t="shared" si="93"/>
        <v>0</v>
      </c>
      <c r="J64" s="233">
        <f t="shared" si="93"/>
        <v>0</v>
      </c>
      <c r="K64" s="233">
        <f t="shared" si="93"/>
        <v>208.9</v>
      </c>
      <c r="L64" s="233">
        <f t="shared" si="93"/>
        <v>249.5</v>
      </c>
      <c r="M64" s="233">
        <f t="shared" si="93"/>
        <v>1204.3</v>
      </c>
      <c r="N64" s="233">
        <f t="shared" si="93"/>
        <v>1.92</v>
      </c>
      <c r="O64" s="233">
        <f t="shared" si="93"/>
        <v>838.4</v>
      </c>
      <c r="P64" s="233">
        <f t="shared" si="93"/>
        <v>2042.7</v>
      </c>
      <c r="Q64" s="233">
        <f t="shared" si="93"/>
        <v>1634.1</v>
      </c>
      <c r="R64" s="233">
        <f t="shared" si="93"/>
        <v>1634.1</v>
      </c>
      <c r="S64" s="233">
        <f t="shared" si="93"/>
        <v>170</v>
      </c>
      <c r="T64" s="233">
        <f t="shared" si="93"/>
        <v>5480.9</v>
      </c>
      <c r="U64" s="233">
        <f t="shared" si="93"/>
        <v>1</v>
      </c>
      <c r="V64" s="233">
        <f t="shared" si="93"/>
        <v>5480.9</v>
      </c>
      <c r="W64" s="233">
        <f t="shared" si="93"/>
        <v>1328</v>
      </c>
      <c r="X64" s="234">
        <f>V64+W64</f>
        <v>6808.9</v>
      </c>
    </row>
    <row r="65" spans="1:26" hidden="1" x14ac:dyDescent="0.2">
      <c r="A65" s="23"/>
      <c r="B65" s="233" t="s">
        <v>122</v>
      </c>
      <c r="C65" s="233" t="e">
        <f>C13+C14+#REF!+C15+C16+C17+C19+C20+C21+C22+C23+C24+C25+C26+C27+C28+C29+C30+C31+C32+C33+C34+C35+C36+C38+#REF!+C39+C40+C41</f>
        <v>#REF!</v>
      </c>
      <c r="D65" s="233" t="e">
        <f>D13+D14+#REF!+D15+D16+D17+D19+D20+D21+D22+D23+D24+D25+D26+D27+D28+D29+D30+D31+D32+D33+D34+D35+D36+D38+#REF!+D39+D40+D41</f>
        <v>#REF!</v>
      </c>
      <c r="E65" s="183" t="e">
        <f>E13+E14+#REF!+E15+E16+E17+E19+E20+E21+E22+E23+E24+E25+E26+E27+E28+E29+E30+E31+E32+E33+E34+E35+E36+E38+#REF!+E39+E40+E41</f>
        <v>#REF!</v>
      </c>
      <c r="F65" s="233" t="e">
        <f>F13+F14+#REF!+F15+F16+F17+F19+F20+F21+F22+F23+F24+F25+F26+F27+F28+F29+F30+F31+F32+F33+F34+F35+F36+F38+#REF!+F39+F40+F41</f>
        <v>#REF!</v>
      </c>
      <c r="G65" s="233" t="e">
        <f>G13+G14+#REF!+G15+G16+G17+G19+G20+G21+G22+G23+G24+G25+G26+G27+G28+G29+G30+G31+G32+G33+G34+G35+G36+G38+#REF!+G39+G40+G41</f>
        <v>#REF!</v>
      </c>
      <c r="H65" s="233" t="e">
        <f>H13+H14+#REF!+H15+H16+H17+H19+H20+H21+H22+H23+H24+H25+H26+H27+H28+H29+H30+H31+H32+H33+H34+H35+H36+H38+#REF!+H39+H40+H41</f>
        <v>#REF!</v>
      </c>
      <c r="I65" s="233" t="e">
        <f>I13+I14+#REF!+I15+I16+I17+I19+I20+I21+I22+I23+I24+I25+I26+I27+I28+I29+I30+I31+I32+I33+I34+I35+I36+I38+#REF!+I39+I40+I41</f>
        <v>#REF!</v>
      </c>
      <c r="J65" s="233" t="e">
        <f>J13+J14+#REF!+J15+J16+J17+J19+J20+J21+J22+J23+J24+J25+J26+J27+J28+J29+J30+J31+J32+J33+J34+J35+J36+J38+#REF!+J39+J40+J41</f>
        <v>#REF!</v>
      </c>
      <c r="K65" s="233" t="e">
        <f>K13+K14+#REF!+K15+K16+K17+K19+K20+K21+K22+K23+K24+K25+K26+K27+K28+K29+K30+K31+K32+K33+K34+K35+K36+K38+#REF!+K39+K40+K41</f>
        <v>#REF!</v>
      </c>
      <c r="L65" s="233" t="e">
        <f>L13+L14+#REF!+L15+L16+L17+L19+L20+L21+L22+L23+L24+L25+L26+L27+L28+L29+L30+L31+L32+L33+L34+L35+L36+L38+#REF!+L39+L40+L41</f>
        <v>#REF!</v>
      </c>
      <c r="M65" s="233" t="e">
        <f>M13+M14+#REF!+M15+M16+M17+M19+M20+M21+M22+M23+M24+M25+M26+M27+M28+M29+M30+M31+M32+M33+M34+M35+M36+M38+#REF!+M39+M40+M41</f>
        <v>#REF!</v>
      </c>
      <c r="N65" s="233" t="e">
        <f>N13+N14+#REF!+N15+N16+N17+N19+N20+N21+N22+N23+N24+N25+N26+N27+N28+N29+N30+N31+N32+N33+N34+N35+N36+N38+#REF!+N39+N40+N41</f>
        <v>#REF!</v>
      </c>
      <c r="O65" s="233" t="e">
        <f>O13+O14+#REF!+O15+O16+O17+O19+O20+O21+O22+O23+O24+O25+O26+O27+O28+O29+O30+O31+O32+O33+O34+O35+O36+O38+#REF!+O39+O40+O41</f>
        <v>#REF!</v>
      </c>
      <c r="P65" s="233" t="e">
        <f>P13+P14+#REF!+P15+P16+P17+P19+P20+P21+P22+P23+P24+P25+P26+P27+P28+P29+P30+P31+P32+P33+P34+P35+P36+P38+#REF!+P39+P40+P41</f>
        <v>#REF!</v>
      </c>
      <c r="Q65" s="233" t="e">
        <f>Q13+Q14+#REF!+Q15+Q16+Q17+Q19+Q20+Q21+Q22+Q23+Q24+Q25+Q26+Q27+Q28+Q29+Q30+Q31+Q32+Q33+Q34+Q35+Q36+Q38+#REF!+Q39+Q40+Q41</f>
        <v>#REF!</v>
      </c>
      <c r="R65" s="233" t="e">
        <f>R13+R14+#REF!+R15+R16+R17+R19+R20+R21+R22+R23+R24+R25+R26+R27+R28+R29+R30+R31+R32+R33+R34+R35+R36+R38+#REF!+R39+R40+R41</f>
        <v>#REF!</v>
      </c>
      <c r="S65" s="233" t="e">
        <f>S13+S14+#REF!+S15+S16+S17+S19+S20+S21+S22+S23+S24+S25+S26+S27+S28+S29+S30+S31+S32+S33+S34+S35+S36+S38+#REF!+S39+S40+S41</f>
        <v>#REF!</v>
      </c>
      <c r="T65" s="233" t="e">
        <f>T13+T14+#REF!+T15+T16+T17+T19+T20+T21+T22+T23+T24+T25+T26+T27+T28+T29+T30+T31+T32+T33+T34+T35+T36+T38+#REF!+T39+T40+T41</f>
        <v>#REF!</v>
      </c>
      <c r="U65" s="233" t="e">
        <f>U13+U14+#REF!+U15+U16+U17+U19+U20+U21+U22+U23+U24+U25+U26+U27+U28+U29+U30+U31+U32+U33+U34+U35+U36+U38+#REF!+U39+U40+U41</f>
        <v>#REF!</v>
      </c>
      <c r="V65" s="233" t="e">
        <f>V13+V14+#REF!+V15+V16+V17+V19+V20+V21+V22+V23+V24+V25+V26+V27+V28+V29+V30+V31+V32+V33+V34+V35+V36+V38+#REF!+V39+V40+V41</f>
        <v>#REF!</v>
      </c>
      <c r="W65" s="233" t="e">
        <f>W13+W14+#REF!+W15+W16+W17+W19+W20+W21+W22+W23+W24+W25+W26+W27+W28+W29+W30+W31+W32+W33+W34+W35+W36+W38+#REF!+W39+W40+W41</f>
        <v>#REF!</v>
      </c>
      <c r="X65" s="234" t="e">
        <f t="shared" ref="X65:X67" si="94">V65+W65</f>
        <v>#REF!</v>
      </c>
    </row>
    <row r="66" spans="1:26" hidden="1" x14ac:dyDescent="0.2">
      <c r="A66" s="23"/>
      <c r="B66" s="233" t="s">
        <v>123</v>
      </c>
      <c r="C66" s="233" t="e">
        <f>C11+C18+#REF!</f>
        <v>#REF!</v>
      </c>
      <c r="D66" s="233" t="e">
        <f>D11+D18+#REF!</f>
        <v>#REF!</v>
      </c>
      <c r="E66" s="183" t="e">
        <f>E11+E18+#REF!</f>
        <v>#REF!</v>
      </c>
      <c r="F66" s="233" t="e">
        <f>F11+F18+#REF!</f>
        <v>#REF!</v>
      </c>
      <c r="G66" s="233" t="e">
        <f>G11+G18+#REF!</f>
        <v>#REF!</v>
      </c>
      <c r="H66" s="233" t="e">
        <f>H11+H18+#REF!</f>
        <v>#REF!</v>
      </c>
      <c r="I66" s="233" t="e">
        <f>I11+I18+#REF!</f>
        <v>#REF!</v>
      </c>
      <c r="J66" s="233" t="e">
        <f>J11+J18+#REF!</f>
        <v>#REF!</v>
      </c>
      <c r="K66" s="233" t="e">
        <f>K11+K18+#REF!</f>
        <v>#REF!</v>
      </c>
      <c r="L66" s="233" t="e">
        <f>L11+L18+#REF!</f>
        <v>#REF!</v>
      </c>
      <c r="M66" s="233" t="e">
        <f>M11+M18+#REF!</f>
        <v>#REF!</v>
      </c>
      <c r="N66" s="233" t="e">
        <f>N11+N18+#REF!</f>
        <v>#REF!</v>
      </c>
      <c r="O66" s="233" t="e">
        <f>O11+O18+#REF!</f>
        <v>#REF!</v>
      </c>
      <c r="P66" s="233" t="e">
        <f>P11+P18+#REF!</f>
        <v>#REF!</v>
      </c>
      <c r="Q66" s="233" t="e">
        <f>Q11+Q18+#REF!</f>
        <v>#REF!</v>
      </c>
      <c r="R66" s="233" t="e">
        <f>R11+R18+#REF!</f>
        <v>#REF!</v>
      </c>
      <c r="S66" s="233" t="e">
        <f>S11+S18+#REF!</f>
        <v>#REF!</v>
      </c>
      <c r="T66" s="233" t="e">
        <f>T11+T18+#REF!</f>
        <v>#REF!</v>
      </c>
      <c r="U66" s="233" t="e">
        <f>U11+U18+#REF!</f>
        <v>#REF!</v>
      </c>
      <c r="V66" s="233" t="e">
        <f>V11+V18+#REF!</f>
        <v>#REF!</v>
      </c>
      <c r="W66" s="233" t="e">
        <f>W11+W18+#REF!</f>
        <v>#REF!</v>
      </c>
      <c r="X66" s="234" t="e">
        <f t="shared" si="94"/>
        <v>#REF!</v>
      </c>
    </row>
    <row r="67" spans="1:26" hidden="1" x14ac:dyDescent="0.2">
      <c r="A67" s="23"/>
      <c r="B67" s="233"/>
      <c r="C67" s="233" t="e">
        <f>C64+C65+C66</f>
        <v>#REF!</v>
      </c>
      <c r="D67" s="233" t="e">
        <f t="shared" ref="D67:W67" si="95">D64+D65+D66</f>
        <v>#REF!</v>
      </c>
      <c r="E67" s="183" t="e">
        <f t="shared" si="95"/>
        <v>#REF!</v>
      </c>
      <c r="F67" s="233" t="e">
        <f t="shared" si="95"/>
        <v>#REF!</v>
      </c>
      <c r="G67" s="233" t="e">
        <f t="shared" si="95"/>
        <v>#REF!</v>
      </c>
      <c r="H67" s="233" t="e">
        <f t="shared" si="95"/>
        <v>#REF!</v>
      </c>
      <c r="I67" s="233" t="e">
        <f t="shared" si="95"/>
        <v>#REF!</v>
      </c>
      <c r="J67" s="233" t="e">
        <f t="shared" si="95"/>
        <v>#REF!</v>
      </c>
      <c r="K67" s="233" t="e">
        <f t="shared" si="95"/>
        <v>#REF!</v>
      </c>
      <c r="L67" s="233" t="e">
        <f t="shared" si="95"/>
        <v>#REF!</v>
      </c>
      <c r="M67" s="233" t="e">
        <f t="shared" si="95"/>
        <v>#REF!</v>
      </c>
      <c r="N67" s="233" t="e">
        <f t="shared" si="95"/>
        <v>#REF!</v>
      </c>
      <c r="O67" s="233" t="e">
        <f t="shared" si="95"/>
        <v>#REF!</v>
      </c>
      <c r="P67" s="233" t="e">
        <f t="shared" si="95"/>
        <v>#REF!</v>
      </c>
      <c r="Q67" s="233" t="e">
        <f t="shared" si="95"/>
        <v>#REF!</v>
      </c>
      <c r="R67" s="233" t="e">
        <f t="shared" si="95"/>
        <v>#REF!</v>
      </c>
      <c r="S67" s="233" t="e">
        <f t="shared" si="95"/>
        <v>#REF!</v>
      </c>
      <c r="T67" s="233" t="e">
        <f t="shared" si="95"/>
        <v>#REF!</v>
      </c>
      <c r="U67" s="233" t="e">
        <f t="shared" si="95"/>
        <v>#REF!</v>
      </c>
      <c r="V67" s="233" t="e">
        <f t="shared" si="95"/>
        <v>#REF!</v>
      </c>
      <c r="W67" s="233" t="e">
        <f t="shared" si="95"/>
        <v>#REF!</v>
      </c>
      <c r="X67" s="234" t="e">
        <f t="shared" si="94"/>
        <v>#REF!</v>
      </c>
      <c r="Y67" s="22" t="e">
        <f>V67+#REF!</f>
        <v>#REF!</v>
      </c>
      <c r="Z67" s="22" t="e">
        <f>W67+#REF!</f>
        <v>#REF!</v>
      </c>
    </row>
    <row r="68" spans="1:26" hidden="1" x14ac:dyDescent="0.2">
      <c r="A68" s="23"/>
      <c r="B68" s="233"/>
      <c r="C68" s="233"/>
      <c r="D68" s="233"/>
      <c r="E68" s="183"/>
      <c r="F68" s="233"/>
      <c r="G68" s="233"/>
      <c r="H68" s="233"/>
      <c r="I68" s="233"/>
      <c r="J68" s="233"/>
      <c r="K68" s="233"/>
      <c r="L68" s="233"/>
      <c r="M68" s="233"/>
      <c r="N68" s="233"/>
      <c r="O68" s="233"/>
      <c r="P68" s="233"/>
      <c r="Q68" s="233"/>
      <c r="R68" s="233"/>
      <c r="S68" s="233"/>
      <c r="T68" s="233"/>
      <c r="U68" s="233"/>
      <c r="V68" s="233"/>
      <c r="W68" s="233"/>
      <c r="X68" s="233"/>
    </row>
    <row r="69" spans="1:26" hidden="1" x14ac:dyDescent="0.2">
      <c r="E69" s="51"/>
    </row>
    <row r="70" spans="1:26" hidden="1" x14ac:dyDescent="0.2">
      <c r="E70" s="51"/>
    </row>
    <row r="71" spans="1:26" hidden="1" x14ac:dyDescent="0.2">
      <c r="E71" s="51"/>
    </row>
    <row r="72" spans="1:26" hidden="1" x14ac:dyDescent="0.2">
      <c r="E72" s="51"/>
    </row>
    <row r="73" spans="1:26" hidden="1" x14ac:dyDescent="0.2">
      <c r="E73" s="51"/>
    </row>
    <row r="74" spans="1:26" hidden="1" x14ac:dyDescent="0.2">
      <c r="E74" s="51"/>
    </row>
    <row r="75" spans="1:26" hidden="1" x14ac:dyDescent="0.2">
      <c r="E75" s="51"/>
    </row>
    <row r="76" spans="1:26" x14ac:dyDescent="0.2">
      <c r="E76" s="51"/>
    </row>
    <row r="77" spans="1:26" x14ac:dyDescent="0.2">
      <c r="E77" s="51"/>
    </row>
    <row r="78" spans="1:26" x14ac:dyDescent="0.2">
      <c r="E78" s="51"/>
    </row>
    <row r="79" spans="1:26" x14ac:dyDescent="0.2">
      <c r="E79" s="51"/>
    </row>
    <row r="80" spans="1:26" x14ac:dyDescent="0.2">
      <c r="E80" s="51"/>
    </row>
    <row r="81" spans="5:5" x14ac:dyDescent="0.2">
      <c r="E81" s="51"/>
    </row>
    <row r="82" spans="5:5" x14ac:dyDescent="0.2">
      <c r="E82" s="51"/>
    </row>
    <row r="83" spans="5:5" x14ac:dyDescent="0.2">
      <c r="E83" s="51"/>
    </row>
    <row r="84" spans="5:5" x14ac:dyDescent="0.2">
      <c r="E84" s="51"/>
    </row>
    <row r="85" spans="5:5" x14ac:dyDescent="0.2">
      <c r="E85" s="51"/>
    </row>
    <row r="86" spans="5:5" x14ac:dyDescent="0.2">
      <c r="E86" s="51"/>
    </row>
    <row r="87" spans="5:5" x14ac:dyDescent="0.2">
      <c r="E87" s="51"/>
    </row>
    <row r="88" spans="5:5" x14ac:dyDescent="0.2">
      <c r="E88" s="51"/>
    </row>
    <row r="89" spans="5:5" x14ac:dyDescent="0.2">
      <c r="E89" s="51"/>
    </row>
    <row r="90" spans="5:5" x14ac:dyDescent="0.2">
      <c r="E90" s="51"/>
    </row>
    <row r="91" spans="5:5" x14ac:dyDescent="0.2">
      <c r="E91" s="51"/>
    </row>
    <row r="92" spans="5:5" x14ac:dyDescent="0.2">
      <c r="E92" s="51"/>
    </row>
    <row r="93" spans="5:5" x14ac:dyDescent="0.2">
      <c r="E93" s="51"/>
    </row>
    <row r="94" spans="5:5" x14ac:dyDescent="0.2">
      <c r="E94" s="51"/>
    </row>
    <row r="95" spans="5:5" x14ac:dyDescent="0.2">
      <c r="E95" s="51"/>
    </row>
    <row r="96" spans="5:5" x14ac:dyDescent="0.2">
      <c r="E96" s="51"/>
    </row>
    <row r="97" spans="5:5" x14ac:dyDescent="0.2">
      <c r="E97" s="51"/>
    </row>
    <row r="98" spans="5:5" x14ac:dyDescent="0.2">
      <c r="E98" s="51"/>
    </row>
    <row r="99" spans="5:5" x14ac:dyDescent="0.2">
      <c r="E99" s="51"/>
    </row>
    <row r="100" spans="5:5" x14ac:dyDescent="0.2">
      <c r="E100" s="51"/>
    </row>
    <row r="101" spans="5:5" x14ac:dyDescent="0.2">
      <c r="E101" s="51"/>
    </row>
    <row r="102" spans="5:5" x14ac:dyDescent="0.2">
      <c r="E102" s="51"/>
    </row>
    <row r="103" spans="5:5" x14ac:dyDescent="0.2">
      <c r="E103" s="51"/>
    </row>
    <row r="104" spans="5:5" x14ac:dyDescent="0.2">
      <c r="E104" s="51"/>
    </row>
    <row r="105" spans="5:5" x14ac:dyDescent="0.2">
      <c r="E105" s="51"/>
    </row>
  </sheetData>
  <autoFilter ref="A8:AS57"/>
  <mergeCells count="38">
    <mergeCell ref="I55:J55"/>
    <mergeCell ref="K55:L55"/>
    <mergeCell ref="X5:AH5"/>
    <mergeCell ref="G55:H55"/>
    <mergeCell ref="M55:N55"/>
    <mergeCell ref="L6:L7"/>
    <mergeCell ref="M6:M7"/>
    <mergeCell ref="AH6:AH7"/>
    <mergeCell ref="W6:W7"/>
    <mergeCell ref="X6:Z6"/>
    <mergeCell ref="H6:H7"/>
    <mergeCell ref="I6:I7"/>
    <mergeCell ref="J6:J7"/>
    <mergeCell ref="T6:T7"/>
    <mergeCell ref="U6:U7"/>
    <mergeCell ref="V6:V7"/>
    <mergeCell ref="A52:B52"/>
    <mergeCell ref="U9:U51"/>
    <mergeCell ref="AA6:AC6"/>
    <mergeCell ref="AD6:AF6"/>
    <mergeCell ref="AG6:AG7"/>
    <mergeCell ref="G6:G7"/>
    <mergeCell ref="AE1:AH1"/>
    <mergeCell ref="A2:AH2"/>
    <mergeCell ref="A3:AH3"/>
    <mergeCell ref="A5:A7"/>
    <mergeCell ref="B5:B7"/>
    <mergeCell ref="C5:C7"/>
    <mergeCell ref="D5:W5"/>
    <mergeCell ref="D6:D7"/>
    <mergeCell ref="E6:E7"/>
    <mergeCell ref="N6:O6"/>
    <mergeCell ref="P6:P7"/>
    <mergeCell ref="Q6:Q7"/>
    <mergeCell ref="R6:R7"/>
    <mergeCell ref="F6:F7"/>
    <mergeCell ref="S6:S7"/>
    <mergeCell ref="K6:K7"/>
  </mergeCells>
  <printOptions horizontalCentered="1"/>
  <pageMargins left="0" right="0" top="0" bottom="0" header="0.31496062992125984" footer="0.31496062992125984"/>
  <pageSetup paperSize="9" scale="36" orientation="landscape"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9">
    <tabColor rgb="FF00B0F0"/>
    <pageSetUpPr fitToPage="1"/>
  </sheetPr>
  <dimension ref="A1:AS66"/>
  <sheetViews>
    <sheetView view="pageBreakPreview" zoomScale="80" zoomScaleNormal="70" zoomScaleSheetLayoutView="80" workbookViewId="0">
      <pane xSplit="3" ySplit="8" topLeftCell="M18"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9.6640625" style="98" customWidth="1"/>
    <col min="2" max="2" width="30.83203125" style="99" customWidth="1"/>
    <col min="3" max="3" width="13.83203125" style="99" customWidth="1"/>
    <col min="4" max="4" width="13.5" style="99" customWidth="1"/>
    <col min="5" max="5" width="13" style="99" customWidth="1"/>
    <col min="6" max="6" width="14.6640625" style="99" customWidth="1"/>
    <col min="7" max="7" width="11.5" style="99" customWidth="1"/>
    <col min="8" max="8" width="11.6640625" style="99" customWidth="1"/>
    <col min="9" max="9" width="11.33203125" style="99" customWidth="1"/>
    <col min="10" max="10" width="16" style="99" customWidth="1"/>
    <col min="11" max="11" width="13.1640625" style="99" customWidth="1"/>
    <col min="12" max="17" width="11.5" style="99" customWidth="1"/>
    <col min="18" max="18" width="11.6640625" style="99" customWidth="1"/>
    <col min="19" max="19" width="14.6640625" style="99" customWidth="1"/>
    <col min="20" max="20" width="12.33203125" style="99" customWidth="1"/>
    <col min="21" max="21" width="11.6640625" style="99" customWidth="1"/>
    <col min="22" max="22" width="13.83203125" style="99" customWidth="1"/>
    <col min="23" max="23" width="13" style="99" customWidth="1"/>
    <col min="24" max="24" width="11" style="99" customWidth="1"/>
    <col min="25" max="25" width="12.1640625" style="99" customWidth="1"/>
    <col min="26" max="26" width="9.6640625" style="99" customWidth="1"/>
    <col min="27" max="27" width="8.5" style="99" customWidth="1"/>
    <col min="28" max="28" width="9.1640625" style="99" customWidth="1"/>
    <col min="29" max="29" width="9" style="99" customWidth="1"/>
    <col min="30" max="30" width="8.5" style="99" customWidth="1"/>
    <col min="31" max="31" width="9.1640625" style="99" customWidth="1"/>
    <col min="32" max="32" width="10" style="99" customWidth="1"/>
    <col min="33" max="33" width="9.33203125" style="99" customWidth="1"/>
    <col min="34" max="34" width="10.6640625" style="99" customWidth="1"/>
    <col min="35" max="35" width="11.1640625" style="99" customWidth="1"/>
    <col min="36" max="36" width="9.33203125" style="99"/>
    <col min="37" max="37" width="10.6640625" style="99" bestFit="1" customWidth="1"/>
    <col min="38" max="38" width="9.33203125" style="99" hidden="1" customWidth="1"/>
    <col min="39" max="39" width="13" style="99" hidden="1" customWidth="1"/>
    <col min="40" max="40" width="14.1640625" style="211" bestFit="1" customWidth="1"/>
    <col min="41" max="42" width="9.33203125" style="211"/>
    <col min="43" max="43" width="11.33203125" style="211" bestFit="1" customWidth="1"/>
    <col min="44" max="16384" width="9.33203125" style="99"/>
  </cols>
  <sheetData>
    <row r="1" spans="1:45" ht="23.25" customHeight="1" x14ac:dyDescent="0.2">
      <c r="AE1" s="3196"/>
      <c r="AF1" s="3196"/>
      <c r="AG1" s="3196"/>
      <c r="AH1" s="3196"/>
    </row>
    <row r="2" spans="1:45" ht="24" customHeight="1" x14ac:dyDescent="0.2">
      <c r="A2" s="3197" t="s">
        <v>147</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101"/>
    </row>
    <row r="4" spans="1:45" x14ac:dyDescent="0.2">
      <c r="L4" s="38">
        <v>0.15451000000000001</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104" t="s">
        <v>80</v>
      </c>
      <c r="O7" s="104" t="s">
        <v>81</v>
      </c>
      <c r="P7" s="3204"/>
      <c r="Q7" s="3203"/>
      <c r="R7" s="3201"/>
      <c r="S7" s="3203" t="s">
        <v>67</v>
      </c>
      <c r="T7" s="3201"/>
      <c r="U7" s="3201"/>
      <c r="V7" s="3201"/>
      <c r="W7" s="3201"/>
      <c r="X7" s="105" t="s">
        <v>5</v>
      </c>
      <c r="Y7" s="105" t="s">
        <v>6</v>
      </c>
      <c r="Z7" s="105" t="s">
        <v>74</v>
      </c>
      <c r="AA7" s="105" t="s">
        <v>5</v>
      </c>
      <c r="AB7" s="105" t="s">
        <v>6</v>
      </c>
      <c r="AC7" s="105" t="s">
        <v>75</v>
      </c>
      <c r="AD7" s="105" t="s">
        <v>5</v>
      </c>
      <c r="AE7" s="105" t="s">
        <v>6</v>
      </c>
      <c r="AF7" s="105" t="s">
        <v>76</v>
      </c>
      <c r="AG7" s="3200"/>
      <c r="AH7" s="3200"/>
      <c r="AK7" s="98" t="s">
        <v>64</v>
      </c>
      <c r="AL7" s="98" t="s">
        <v>62</v>
      </c>
      <c r="AM7" s="98" t="s">
        <v>63</v>
      </c>
    </row>
    <row r="8" spans="1:45" ht="15.75" customHeight="1" x14ac:dyDescent="0.2">
      <c r="A8" s="103">
        <v>1</v>
      </c>
      <c r="B8" s="103">
        <v>2</v>
      </c>
      <c r="C8" s="103">
        <v>3</v>
      </c>
      <c r="D8" s="103">
        <v>4</v>
      </c>
      <c r="E8" s="103">
        <v>5</v>
      </c>
      <c r="F8" s="103">
        <v>6</v>
      </c>
      <c r="G8" s="103">
        <v>7</v>
      </c>
      <c r="H8" s="103">
        <v>8</v>
      </c>
      <c r="I8" s="103">
        <v>9</v>
      </c>
      <c r="J8" s="103">
        <v>10</v>
      </c>
      <c r="K8" s="103">
        <v>11</v>
      </c>
      <c r="L8" s="103">
        <v>12</v>
      </c>
      <c r="M8" s="103">
        <v>13</v>
      </c>
      <c r="N8" s="103">
        <v>14</v>
      </c>
      <c r="O8" s="103">
        <v>15</v>
      </c>
      <c r="P8" s="103">
        <v>16</v>
      </c>
      <c r="Q8" s="103">
        <v>17</v>
      </c>
      <c r="R8" s="103">
        <v>18</v>
      </c>
      <c r="S8" s="103">
        <v>19</v>
      </c>
      <c r="T8" s="103">
        <v>20</v>
      </c>
      <c r="U8" s="103">
        <v>21</v>
      </c>
      <c r="V8" s="103">
        <v>22</v>
      </c>
      <c r="W8" s="103">
        <v>23</v>
      </c>
      <c r="X8" s="103">
        <v>25</v>
      </c>
      <c r="Y8" s="103">
        <v>26</v>
      </c>
      <c r="Z8" s="103">
        <v>27</v>
      </c>
      <c r="AA8" s="103">
        <v>28</v>
      </c>
      <c r="AB8" s="103">
        <v>29</v>
      </c>
      <c r="AC8" s="103">
        <v>30</v>
      </c>
      <c r="AD8" s="103">
        <v>31</v>
      </c>
      <c r="AE8" s="103">
        <v>32</v>
      </c>
      <c r="AF8" s="103">
        <v>33</v>
      </c>
      <c r="AG8" s="103">
        <v>34</v>
      </c>
      <c r="AH8" s="103">
        <v>35</v>
      </c>
      <c r="AN8" s="212" t="s">
        <v>116</v>
      </c>
      <c r="AO8" s="212" t="s">
        <v>117</v>
      </c>
      <c r="AP8" s="212" t="s">
        <v>118</v>
      </c>
      <c r="AQ8" s="212" t="s">
        <v>119</v>
      </c>
    </row>
    <row r="9" spans="1:45" ht="16.5" customHeight="1" x14ac:dyDescent="0.2">
      <c r="A9" s="103">
        <v>1</v>
      </c>
      <c r="B9" s="236" t="s">
        <v>14</v>
      </c>
      <c r="C9" s="103">
        <v>1</v>
      </c>
      <c r="D9" s="237">
        <v>25.672999999999998</v>
      </c>
      <c r="E9" s="169">
        <f t="shared" ref="E9:E24" si="0">C9*D9</f>
        <v>25.67</v>
      </c>
      <c r="F9" s="170">
        <f t="shared" ref="F9:F24" si="1">E9*12</f>
        <v>308</v>
      </c>
      <c r="G9" s="95"/>
      <c r="H9" s="95"/>
      <c r="I9" s="95"/>
      <c r="J9" s="95"/>
      <c r="K9" s="95">
        <f>F9*0.3</f>
        <v>92.4</v>
      </c>
      <c r="L9" s="95">
        <f>F9*$L$4</f>
        <v>47.6</v>
      </c>
      <c r="M9" s="95">
        <f t="shared" ref="M9:M24" si="2">F9+G9+H9+I9+J9+K9+L9</f>
        <v>448</v>
      </c>
      <c r="N9" s="111">
        <v>0.42</v>
      </c>
      <c r="O9" s="95">
        <f t="shared" ref="O9:O24" si="3">M9*N9</f>
        <v>188.2</v>
      </c>
      <c r="P9" s="95">
        <f t="shared" ref="P9:P24" si="4">M9+O9</f>
        <v>636.20000000000005</v>
      </c>
      <c r="Q9" s="95">
        <f t="shared" ref="Q9:Q24" si="5">P9*0.8</f>
        <v>509</v>
      </c>
      <c r="R9" s="95">
        <f t="shared" ref="R9:R24" si="6">P9*0.8</f>
        <v>509</v>
      </c>
      <c r="S9" s="95">
        <f t="shared" ref="S9:S24" si="7">(P9+Q9+R9)*0.032</f>
        <v>52.9</v>
      </c>
      <c r="T9" s="95">
        <f t="shared" ref="T9:T24" si="8">P9+Q9+R9+S9</f>
        <v>1707.1</v>
      </c>
      <c r="U9" s="3429">
        <v>1</v>
      </c>
      <c r="V9" s="95">
        <f>T9*$U$9</f>
        <v>1707.1</v>
      </c>
      <c r="W9" s="95">
        <f>AQ9</f>
        <v>424.3</v>
      </c>
      <c r="X9" s="103">
        <v>1</v>
      </c>
      <c r="Y9" s="112">
        <v>30</v>
      </c>
      <c r="Z9" s="113">
        <f t="shared" ref="Z9:Z24" si="9">X9*Y9</f>
        <v>30</v>
      </c>
      <c r="AA9" s="103"/>
      <c r="AB9" s="112">
        <v>15</v>
      </c>
      <c r="AC9" s="113">
        <f t="shared" ref="AC9:AC24" si="10">AA9*AB9</f>
        <v>0</v>
      </c>
      <c r="AD9" s="103">
        <v>1</v>
      </c>
      <c r="AE9" s="112">
        <v>30</v>
      </c>
      <c r="AF9" s="113">
        <f t="shared" ref="AF9:AF24" si="11">AD9*AE9</f>
        <v>30</v>
      </c>
      <c r="AG9" s="113">
        <f t="shared" ref="AG9:AG24" si="12">(Z9+AC9+AF9)*1%*30</f>
        <v>18</v>
      </c>
      <c r="AH9" s="113">
        <f t="shared" ref="AH9:AH24" si="13">Z9+AC9+AF9+AG9</f>
        <v>78</v>
      </c>
      <c r="AI9" s="114">
        <f t="shared" ref="AI9:AI17" si="14">V9/12/C9*1000</f>
        <v>142258.29999999999</v>
      </c>
      <c r="AK9" s="114">
        <f t="shared" ref="AK9:AK24" si="15">V9/C9</f>
        <v>1707.1</v>
      </c>
      <c r="AL9" s="114">
        <f>((979*0.302)+((AK9-979)*0.182))</f>
        <v>428.2</v>
      </c>
      <c r="AM9" s="115">
        <f>AL9/AK9</f>
        <v>0.251</v>
      </c>
      <c r="AN9" s="50">
        <f>1150*0.22+(AK9-1150)*0.1</f>
        <v>308.7</v>
      </c>
      <c r="AO9" s="50">
        <f>865*0.029</f>
        <v>25.1</v>
      </c>
      <c r="AP9" s="50">
        <f>AK9*0.053</f>
        <v>90.5</v>
      </c>
      <c r="AQ9" s="50">
        <f t="shared" ref="AQ9:AQ24" si="16">SUM(AN9:AP9)*C9</f>
        <v>424.3</v>
      </c>
      <c r="AS9" s="99">
        <f t="shared" ref="AS9:AS17" si="17">D9*1.5</f>
        <v>38.509500000000003</v>
      </c>
    </row>
    <row r="10" spans="1:45" x14ac:dyDescent="0.2">
      <c r="A10" s="103">
        <v>2</v>
      </c>
      <c r="B10" s="236" t="s">
        <v>127</v>
      </c>
      <c r="C10" s="103">
        <v>1</v>
      </c>
      <c r="D10" s="237">
        <v>17.971</v>
      </c>
      <c r="E10" s="169">
        <f>C10*D10</f>
        <v>17.97</v>
      </c>
      <c r="F10" s="170">
        <f t="shared" si="1"/>
        <v>215.6</v>
      </c>
      <c r="G10" s="95"/>
      <c r="H10" s="95">
        <v>11.2</v>
      </c>
      <c r="I10" s="95"/>
      <c r="J10" s="95"/>
      <c r="K10" s="95">
        <f>F10*0.3+D10*0.05*6.5</f>
        <v>70.5</v>
      </c>
      <c r="L10" s="95">
        <f t="shared" ref="L10:L22" si="18">F10*$L$4</f>
        <v>33.299999999999997</v>
      </c>
      <c r="M10" s="95">
        <f t="shared" si="2"/>
        <v>330.6</v>
      </c>
      <c r="N10" s="111">
        <v>0.47</v>
      </c>
      <c r="O10" s="95">
        <f t="shared" si="3"/>
        <v>155.4</v>
      </c>
      <c r="P10" s="95">
        <f t="shared" si="4"/>
        <v>486</v>
      </c>
      <c r="Q10" s="95">
        <f t="shared" si="5"/>
        <v>388.8</v>
      </c>
      <c r="R10" s="95">
        <f t="shared" si="6"/>
        <v>388.8</v>
      </c>
      <c r="S10" s="95">
        <f t="shared" si="7"/>
        <v>40.4</v>
      </c>
      <c r="T10" s="95">
        <f t="shared" si="8"/>
        <v>1304</v>
      </c>
      <c r="U10" s="3430"/>
      <c r="V10" s="95">
        <f>T10*$U$9</f>
        <v>1304</v>
      </c>
      <c r="W10" s="95">
        <f>AQ10</f>
        <v>362.6</v>
      </c>
      <c r="X10" s="103">
        <v>1</v>
      </c>
      <c r="Y10" s="112">
        <v>30</v>
      </c>
      <c r="Z10" s="113">
        <f t="shared" si="9"/>
        <v>30</v>
      </c>
      <c r="AA10" s="103"/>
      <c r="AB10" s="112">
        <v>15</v>
      </c>
      <c r="AC10" s="113">
        <f t="shared" si="10"/>
        <v>0</v>
      </c>
      <c r="AD10" s="103"/>
      <c r="AE10" s="112">
        <v>30</v>
      </c>
      <c r="AF10" s="113">
        <f t="shared" si="11"/>
        <v>0</v>
      </c>
      <c r="AG10" s="113">
        <f t="shared" si="12"/>
        <v>9</v>
      </c>
      <c r="AH10" s="113">
        <f t="shared" si="13"/>
        <v>39</v>
      </c>
      <c r="AI10" s="114">
        <f t="shared" si="14"/>
        <v>108666.7</v>
      </c>
      <c r="AK10" s="114">
        <f t="shared" si="15"/>
        <v>1304</v>
      </c>
      <c r="AL10" s="114">
        <f t="shared" ref="AL10:AL24" si="19">((979*0.302)+((AK10-979)*0.182))</f>
        <v>354.8</v>
      </c>
      <c r="AM10" s="115">
        <f>AL10/AK10</f>
        <v>0.27200000000000002</v>
      </c>
      <c r="AN10" s="50">
        <f>1150*0.22+(AK10-1150)*0.1</f>
        <v>268.39999999999998</v>
      </c>
      <c r="AO10" s="50">
        <f>865*0.029</f>
        <v>25.1</v>
      </c>
      <c r="AP10" s="50">
        <f>AK10*0.053</f>
        <v>69.099999999999994</v>
      </c>
      <c r="AQ10" s="50">
        <f t="shared" ref="AQ10" si="20">SUM(AN10:AP10)*C10</f>
        <v>362.6</v>
      </c>
      <c r="AS10" s="99">
        <f t="shared" si="17"/>
        <v>26.956499999999998</v>
      </c>
    </row>
    <row r="11" spans="1:45" x14ac:dyDescent="0.2">
      <c r="A11" s="103">
        <v>3</v>
      </c>
      <c r="B11" s="236" t="s">
        <v>23</v>
      </c>
      <c r="C11" s="238">
        <v>4</v>
      </c>
      <c r="D11" s="237">
        <v>11.061999999999999</v>
      </c>
      <c r="E11" s="111">
        <f t="shared" si="0"/>
        <v>44.25</v>
      </c>
      <c r="F11" s="95">
        <f t="shared" si="1"/>
        <v>531</v>
      </c>
      <c r="G11" s="95"/>
      <c r="H11" s="95">
        <f>7.01+7.789+7.01</f>
        <v>21.8</v>
      </c>
      <c r="I11" s="95"/>
      <c r="J11" s="95"/>
      <c r="K11" s="95">
        <f>F11*0.25*2+F11*0.3+D11*0.05*11.5</f>
        <v>431.2</v>
      </c>
      <c r="L11" s="95">
        <f t="shared" si="18"/>
        <v>82</v>
      </c>
      <c r="M11" s="95">
        <f t="shared" si="2"/>
        <v>1066</v>
      </c>
      <c r="N11" s="111">
        <v>0.43</v>
      </c>
      <c r="O11" s="95">
        <f t="shared" si="3"/>
        <v>458.4</v>
      </c>
      <c r="P11" s="95">
        <f t="shared" si="4"/>
        <v>1524.4</v>
      </c>
      <c r="Q11" s="95">
        <f t="shared" si="5"/>
        <v>1219.5</v>
      </c>
      <c r="R11" s="95">
        <f t="shared" si="6"/>
        <v>1219.5</v>
      </c>
      <c r="S11" s="95">
        <f t="shared" si="7"/>
        <v>126.8</v>
      </c>
      <c r="T11" s="95">
        <f t="shared" si="8"/>
        <v>4090.2</v>
      </c>
      <c r="U11" s="3430"/>
      <c r="V11" s="95">
        <f t="shared" ref="V11:V22" si="21">T11*$U$9</f>
        <v>4090.2</v>
      </c>
      <c r="W11" s="95">
        <f>AQ11</f>
        <v>1217.2</v>
      </c>
      <c r="X11" s="239">
        <v>2</v>
      </c>
      <c r="Y11" s="240">
        <v>30</v>
      </c>
      <c r="Z11" s="241">
        <f t="shared" si="9"/>
        <v>60</v>
      </c>
      <c r="AA11" s="239">
        <v>1</v>
      </c>
      <c r="AB11" s="240">
        <v>15</v>
      </c>
      <c r="AC11" s="241">
        <f t="shared" si="10"/>
        <v>15</v>
      </c>
      <c r="AD11" s="239">
        <v>1</v>
      </c>
      <c r="AE11" s="240">
        <v>30</v>
      </c>
      <c r="AF11" s="241">
        <f t="shared" si="11"/>
        <v>30</v>
      </c>
      <c r="AG11" s="241">
        <f t="shared" si="12"/>
        <v>31.5</v>
      </c>
      <c r="AH11" s="241">
        <f t="shared" si="13"/>
        <v>136.5</v>
      </c>
      <c r="AI11" s="114">
        <f t="shared" si="14"/>
        <v>85212.5</v>
      </c>
      <c r="AK11" s="114">
        <f t="shared" si="15"/>
        <v>1022.6</v>
      </c>
      <c r="AL11" s="114">
        <f t="shared" si="19"/>
        <v>303.60000000000002</v>
      </c>
      <c r="AM11" s="115">
        <v>0.30199999999999999</v>
      </c>
      <c r="AN11" s="50">
        <f t="shared" ref="AN11:AN24" si="22">AK11*0.22</f>
        <v>225</v>
      </c>
      <c r="AO11" s="50">
        <f>865*0.029</f>
        <v>25.1</v>
      </c>
      <c r="AP11" s="50">
        <f>AK11*0.053</f>
        <v>54.2</v>
      </c>
      <c r="AQ11" s="50">
        <f t="shared" si="16"/>
        <v>1217.2</v>
      </c>
      <c r="AS11" s="99">
        <f t="shared" si="17"/>
        <v>16.593</v>
      </c>
    </row>
    <row r="12" spans="1:45" x14ac:dyDescent="0.2">
      <c r="A12" s="103">
        <v>4</v>
      </c>
      <c r="B12" s="236" t="s">
        <v>47</v>
      </c>
      <c r="C12" s="238">
        <v>1</v>
      </c>
      <c r="D12" s="237">
        <v>6.2859999999999996</v>
      </c>
      <c r="E12" s="111">
        <f t="shared" si="0"/>
        <v>6.29</v>
      </c>
      <c r="F12" s="95">
        <f t="shared" si="1"/>
        <v>75.5</v>
      </c>
      <c r="G12" s="95"/>
      <c r="H12" s="95"/>
      <c r="I12" s="95"/>
      <c r="J12" s="95"/>
      <c r="K12" s="95"/>
      <c r="L12" s="95">
        <f t="shared" si="18"/>
        <v>11.7</v>
      </c>
      <c r="M12" s="95">
        <f t="shared" si="2"/>
        <v>87.2</v>
      </c>
      <c r="N12" s="111">
        <v>0.45</v>
      </c>
      <c r="O12" s="95">
        <f t="shared" si="3"/>
        <v>39.200000000000003</v>
      </c>
      <c r="P12" s="95">
        <f t="shared" si="4"/>
        <v>126.4</v>
      </c>
      <c r="Q12" s="95">
        <f t="shared" si="5"/>
        <v>101.1</v>
      </c>
      <c r="R12" s="95">
        <f t="shared" si="6"/>
        <v>101.1</v>
      </c>
      <c r="S12" s="95">
        <f t="shared" si="7"/>
        <v>10.5</v>
      </c>
      <c r="T12" s="95">
        <f t="shared" si="8"/>
        <v>339.1</v>
      </c>
      <c r="U12" s="3430"/>
      <c r="V12" s="95">
        <f t="shared" si="21"/>
        <v>339.1</v>
      </c>
      <c r="W12" s="95">
        <f t="shared" ref="W12:W24" si="23">V12*0.302</f>
        <v>102.4</v>
      </c>
      <c r="X12" s="239"/>
      <c r="Y12" s="240">
        <v>30</v>
      </c>
      <c r="Z12" s="241">
        <f t="shared" si="9"/>
        <v>0</v>
      </c>
      <c r="AA12" s="239"/>
      <c r="AB12" s="240">
        <v>15</v>
      </c>
      <c r="AC12" s="241">
        <f t="shared" si="10"/>
        <v>0</v>
      </c>
      <c r="AD12" s="239"/>
      <c r="AE12" s="240">
        <v>30</v>
      </c>
      <c r="AF12" s="241">
        <f t="shared" si="11"/>
        <v>0</v>
      </c>
      <c r="AG12" s="241">
        <f t="shared" si="12"/>
        <v>0</v>
      </c>
      <c r="AH12" s="241">
        <f t="shared" si="13"/>
        <v>0</v>
      </c>
      <c r="AI12" s="114">
        <f t="shared" si="14"/>
        <v>28258.3</v>
      </c>
      <c r="AK12" s="114">
        <f t="shared" si="15"/>
        <v>339.1</v>
      </c>
      <c r="AL12" s="114">
        <f t="shared" si="19"/>
        <v>179.2</v>
      </c>
      <c r="AM12" s="115">
        <v>0.30199999999999999</v>
      </c>
      <c r="AN12" s="50">
        <f t="shared" si="22"/>
        <v>74.599999999999994</v>
      </c>
      <c r="AO12" s="50"/>
      <c r="AP12" s="50">
        <f t="shared" ref="AP12:AP24" si="24">AK12*0.053</f>
        <v>18</v>
      </c>
      <c r="AQ12" s="50">
        <f t="shared" si="16"/>
        <v>92.6</v>
      </c>
      <c r="AR12" s="22"/>
      <c r="AS12" s="99">
        <f t="shared" si="17"/>
        <v>9.4290000000000003</v>
      </c>
    </row>
    <row r="13" spans="1:45" s="33" customFormat="1" x14ac:dyDescent="0.2">
      <c r="A13" s="103">
        <v>5</v>
      </c>
      <c r="B13" s="52" t="s">
        <v>48</v>
      </c>
      <c r="C13" s="40">
        <v>1</v>
      </c>
      <c r="D13" s="177">
        <v>11.061999999999999</v>
      </c>
      <c r="E13" s="171">
        <f t="shared" si="0"/>
        <v>11.06</v>
      </c>
      <c r="F13" s="154">
        <f t="shared" si="1"/>
        <v>132.69999999999999</v>
      </c>
      <c r="G13" s="154"/>
      <c r="H13" s="154">
        <f>7010.2/1000</f>
        <v>7</v>
      </c>
      <c r="I13" s="154"/>
      <c r="J13" s="154"/>
      <c r="K13" s="154">
        <f>F13*0.4</f>
        <v>53.1</v>
      </c>
      <c r="L13" s="95">
        <f t="shared" si="18"/>
        <v>20.5</v>
      </c>
      <c r="M13" s="154">
        <f t="shared" si="2"/>
        <v>213.3</v>
      </c>
      <c r="N13" s="111">
        <v>0.47</v>
      </c>
      <c r="O13" s="154">
        <f t="shared" si="3"/>
        <v>100.3</v>
      </c>
      <c r="P13" s="154">
        <f t="shared" si="4"/>
        <v>313.60000000000002</v>
      </c>
      <c r="Q13" s="154">
        <f t="shared" si="5"/>
        <v>250.9</v>
      </c>
      <c r="R13" s="154">
        <f t="shared" si="6"/>
        <v>250.9</v>
      </c>
      <c r="S13" s="154">
        <f t="shared" si="7"/>
        <v>26.1</v>
      </c>
      <c r="T13" s="154">
        <f t="shared" si="8"/>
        <v>841.5</v>
      </c>
      <c r="U13" s="3430"/>
      <c r="V13" s="154">
        <f t="shared" si="21"/>
        <v>841.5</v>
      </c>
      <c r="W13" s="95">
        <f t="shared" si="23"/>
        <v>254.1</v>
      </c>
      <c r="X13" s="54"/>
      <c r="Y13" s="24">
        <v>30</v>
      </c>
      <c r="Z13" s="48">
        <f t="shared" si="9"/>
        <v>0</v>
      </c>
      <c r="AA13" s="54"/>
      <c r="AB13" s="24">
        <v>15</v>
      </c>
      <c r="AC13" s="48">
        <f t="shared" si="10"/>
        <v>0</v>
      </c>
      <c r="AD13" s="54"/>
      <c r="AE13" s="24">
        <v>30</v>
      </c>
      <c r="AF13" s="48">
        <f t="shared" si="11"/>
        <v>0</v>
      </c>
      <c r="AG13" s="48">
        <f t="shared" si="12"/>
        <v>0</v>
      </c>
      <c r="AH13" s="48">
        <f t="shared" si="13"/>
        <v>0</v>
      </c>
      <c r="AI13" s="34">
        <f t="shared" si="14"/>
        <v>70125</v>
      </c>
      <c r="AK13" s="34">
        <f t="shared" si="15"/>
        <v>841.5</v>
      </c>
      <c r="AL13" s="34">
        <f t="shared" si="19"/>
        <v>270.60000000000002</v>
      </c>
      <c r="AM13" s="51">
        <v>0.30199999999999999</v>
      </c>
      <c r="AN13" s="50">
        <f t="shared" si="22"/>
        <v>185.1</v>
      </c>
      <c r="AO13" s="50"/>
      <c r="AP13" s="50">
        <f t="shared" si="24"/>
        <v>44.6</v>
      </c>
      <c r="AQ13" s="50">
        <f t="shared" si="16"/>
        <v>229.7</v>
      </c>
      <c r="AR13" s="22"/>
      <c r="AS13" s="22">
        <f t="shared" si="17"/>
        <v>16.593</v>
      </c>
    </row>
    <row r="14" spans="1:45" x14ac:dyDescent="0.2">
      <c r="A14" s="103">
        <v>6</v>
      </c>
      <c r="B14" s="236" t="s">
        <v>49</v>
      </c>
      <c r="C14" s="127">
        <v>1</v>
      </c>
      <c r="D14" s="237">
        <v>8.4730000000000008</v>
      </c>
      <c r="E14" s="111">
        <f t="shared" si="0"/>
        <v>8.4700000000000006</v>
      </c>
      <c r="F14" s="95">
        <f t="shared" si="1"/>
        <v>101.6</v>
      </c>
      <c r="G14" s="95"/>
      <c r="H14" s="95">
        <f>5966.1/1000</f>
        <v>6</v>
      </c>
      <c r="I14" s="95"/>
      <c r="J14" s="95"/>
      <c r="K14" s="95">
        <f>F14*0.4</f>
        <v>40.6</v>
      </c>
      <c r="L14" s="95">
        <f t="shared" si="18"/>
        <v>15.7</v>
      </c>
      <c r="M14" s="95">
        <f t="shared" si="2"/>
        <v>163.9</v>
      </c>
      <c r="N14" s="111">
        <v>0.41</v>
      </c>
      <c r="O14" s="95">
        <f t="shared" si="3"/>
        <v>67.2</v>
      </c>
      <c r="P14" s="95">
        <f t="shared" si="4"/>
        <v>231.1</v>
      </c>
      <c r="Q14" s="95">
        <f t="shared" si="5"/>
        <v>184.9</v>
      </c>
      <c r="R14" s="95">
        <f t="shared" si="6"/>
        <v>184.9</v>
      </c>
      <c r="S14" s="95">
        <f t="shared" si="7"/>
        <v>19.2</v>
      </c>
      <c r="T14" s="95">
        <f t="shared" si="8"/>
        <v>620.1</v>
      </c>
      <c r="U14" s="3430"/>
      <c r="V14" s="95">
        <f>T14*$U$9</f>
        <v>620.1</v>
      </c>
      <c r="W14" s="95">
        <f t="shared" si="23"/>
        <v>187.3</v>
      </c>
      <c r="X14" s="103"/>
      <c r="Y14" s="112">
        <v>30</v>
      </c>
      <c r="Z14" s="113">
        <f t="shared" si="9"/>
        <v>0</v>
      </c>
      <c r="AA14" s="127"/>
      <c r="AB14" s="112">
        <v>15</v>
      </c>
      <c r="AC14" s="113">
        <f t="shared" si="10"/>
        <v>0</v>
      </c>
      <c r="AD14" s="127"/>
      <c r="AE14" s="112">
        <v>30</v>
      </c>
      <c r="AF14" s="113">
        <f t="shared" si="11"/>
        <v>0</v>
      </c>
      <c r="AG14" s="113">
        <f t="shared" si="12"/>
        <v>0</v>
      </c>
      <c r="AH14" s="113">
        <f t="shared" si="13"/>
        <v>0</v>
      </c>
      <c r="AI14" s="114">
        <f t="shared" si="14"/>
        <v>51675</v>
      </c>
      <c r="AK14" s="114">
        <f t="shared" si="15"/>
        <v>620.1</v>
      </c>
      <c r="AL14" s="114">
        <f t="shared" si="19"/>
        <v>230.3</v>
      </c>
      <c r="AM14" s="115">
        <v>0.30199999999999999</v>
      </c>
      <c r="AN14" s="50">
        <f t="shared" si="22"/>
        <v>136.4</v>
      </c>
      <c r="AO14" s="50"/>
      <c r="AP14" s="50">
        <f t="shared" si="24"/>
        <v>32.9</v>
      </c>
      <c r="AQ14" s="50">
        <f t="shared" si="16"/>
        <v>169.3</v>
      </c>
      <c r="AR14" s="22"/>
      <c r="AS14" s="99">
        <f t="shared" si="17"/>
        <v>12.7095</v>
      </c>
    </row>
    <row r="15" spans="1:45" x14ac:dyDescent="0.2">
      <c r="A15" s="103">
        <v>7</v>
      </c>
      <c r="B15" s="236" t="s">
        <v>52</v>
      </c>
      <c r="C15" s="127">
        <v>1</v>
      </c>
      <c r="D15" s="237">
        <v>8.4730000000000008</v>
      </c>
      <c r="E15" s="111">
        <f t="shared" si="0"/>
        <v>8.4700000000000006</v>
      </c>
      <c r="F15" s="95">
        <f t="shared" si="1"/>
        <v>101.6</v>
      </c>
      <c r="G15" s="95"/>
      <c r="H15" s="95">
        <f>5966.1/1000</f>
        <v>6</v>
      </c>
      <c r="I15" s="95"/>
      <c r="J15" s="95"/>
      <c r="K15" s="95">
        <f>F15*0.25</f>
        <v>25.4</v>
      </c>
      <c r="L15" s="95">
        <f t="shared" si="18"/>
        <v>15.7</v>
      </c>
      <c r="M15" s="95">
        <f t="shared" si="2"/>
        <v>148.69999999999999</v>
      </c>
      <c r="N15" s="111">
        <v>0.41</v>
      </c>
      <c r="O15" s="95">
        <f t="shared" si="3"/>
        <v>61</v>
      </c>
      <c r="P15" s="95">
        <f t="shared" si="4"/>
        <v>209.7</v>
      </c>
      <c r="Q15" s="95">
        <f t="shared" si="5"/>
        <v>167.8</v>
      </c>
      <c r="R15" s="95">
        <f t="shared" si="6"/>
        <v>167.8</v>
      </c>
      <c r="S15" s="95">
        <f t="shared" si="7"/>
        <v>17.399999999999999</v>
      </c>
      <c r="T15" s="95">
        <f t="shared" si="8"/>
        <v>562.70000000000005</v>
      </c>
      <c r="U15" s="3430"/>
      <c r="V15" s="95">
        <f t="shared" si="21"/>
        <v>562.70000000000005</v>
      </c>
      <c r="W15" s="95">
        <f t="shared" si="23"/>
        <v>169.9</v>
      </c>
      <c r="X15" s="103"/>
      <c r="Y15" s="112">
        <v>30</v>
      </c>
      <c r="Z15" s="113">
        <f t="shared" si="9"/>
        <v>0</v>
      </c>
      <c r="AA15" s="127"/>
      <c r="AB15" s="112">
        <v>15</v>
      </c>
      <c r="AC15" s="113">
        <f t="shared" si="10"/>
        <v>0</v>
      </c>
      <c r="AD15" s="127"/>
      <c r="AE15" s="112">
        <v>30</v>
      </c>
      <c r="AF15" s="113">
        <f t="shared" si="11"/>
        <v>0</v>
      </c>
      <c r="AG15" s="113">
        <f t="shared" si="12"/>
        <v>0</v>
      </c>
      <c r="AH15" s="113">
        <f t="shared" si="13"/>
        <v>0</v>
      </c>
      <c r="AI15" s="114">
        <f t="shared" si="14"/>
        <v>46891.7</v>
      </c>
      <c r="AK15" s="114">
        <f t="shared" si="15"/>
        <v>562.70000000000005</v>
      </c>
      <c r="AL15" s="114">
        <f t="shared" si="19"/>
        <v>219.9</v>
      </c>
      <c r="AM15" s="115">
        <v>0.30199999999999999</v>
      </c>
      <c r="AN15" s="50">
        <f t="shared" si="22"/>
        <v>123.8</v>
      </c>
      <c r="AO15" s="50"/>
      <c r="AP15" s="50">
        <f t="shared" si="24"/>
        <v>29.8</v>
      </c>
      <c r="AQ15" s="50">
        <f t="shared" si="16"/>
        <v>153.6</v>
      </c>
      <c r="AS15" s="99">
        <f t="shared" si="17"/>
        <v>12.7095</v>
      </c>
    </row>
    <row r="16" spans="1:45" x14ac:dyDescent="0.2">
      <c r="A16" s="103">
        <v>8</v>
      </c>
      <c r="B16" s="236" t="s">
        <v>40</v>
      </c>
      <c r="C16" s="127">
        <v>1</v>
      </c>
      <c r="D16" s="237">
        <v>11.061999999999999</v>
      </c>
      <c r="E16" s="111">
        <f t="shared" si="0"/>
        <v>11.06</v>
      </c>
      <c r="F16" s="95">
        <f t="shared" si="1"/>
        <v>132.69999999999999</v>
      </c>
      <c r="G16" s="95"/>
      <c r="H16" s="95">
        <f>7010.2/1000</f>
        <v>7</v>
      </c>
      <c r="I16" s="95"/>
      <c r="J16" s="95"/>
      <c r="K16" s="95">
        <f>F16*0.25</f>
        <v>33.200000000000003</v>
      </c>
      <c r="L16" s="95">
        <f t="shared" si="18"/>
        <v>20.5</v>
      </c>
      <c r="M16" s="95">
        <f t="shared" si="2"/>
        <v>193.4</v>
      </c>
      <c r="N16" s="111">
        <v>0.43</v>
      </c>
      <c r="O16" s="95">
        <f t="shared" si="3"/>
        <v>83.2</v>
      </c>
      <c r="P16" s="95">
        <f t="shared" si="4"/>
        <v>276.60000000000002</v>
      </c>
      <c r="Q16" s="95">
        <f t="shared" si="5"/>
        <v>221.3</v>
      </c>
      <c r="R16" s="95">
        <f t="shared" si="6"/>
        <v>221.3</v>
      </c>
      <c r="S16" s="95">
        <f t="shared" si="7"/>
        <v>23</v>
      </c>
      <c r="T16" s="95">
        <f t="shared" si="8"/>
        <v>742.2</v>
      </c>
      <c r="U16" s="3430"/>
      <c r="V16" s="95">
        <f t="shared" si="21"/>
        <v>742.2</v>
      </c>
      <c r="W16" s="95">
        <f t="shared" si="23"/>
        <v>224.1</v>
      </c>
      <c r="X16" s="103"/>
      <c r="Y16" s="112">
        <v>30</v>
      </c>
      <c r="Z16" s="113">
        <f t="shared" si="9"/>
        <v>0</v>
      </c>
      <c r="AA16" s="127"/>
      <c r="AB16" s="112">
        <v>15</v>
      </c>
      <c r="AC16" s="113">
        <f t="shared" si="10"/>
        <v>0</v>
      </c>
      <c r="AD16" s="127"/>
      <c r="AE16" s="112">
        <v>30</v>
      </c>
      <c r="AF16" s="113">
        <f t="shared" si="11"/>
        <v>0</v>
      </c>
      <c r="AG16" s="113">
        <f t="shared" si="12"/>
        <v>0</v>
      </c>
      <c r="AH16" s="113">
        <f t="shared" si="13"/>
        <v>0</v>
      </c>
      <c r="AI16" s="114">
        <f t="shared" si="14"/>
        <v>61850</v>
      </c>
      <c r="AK16" s="114">
        <f t="shared" si="15"/>
        <v>742.2</v>
      </c>
      <c r="AL16" s="114">
        <f t="shared" si="19"/>
        <v>252.6</v>
      </c>
      <c r="AM16" s="115">
        <v>0.30199999999999999</v>
      </c>
      <c r="AN16" s="50">
        <f t="shared" si="22"/>
        <v>163.30000000000001</v>
      </c>
      <c r="AO16" s="242"/>
      <c r="AP16" s="50">
        <f t="shared" si="24"/>
        <v>39.299999999999997</v>
      </c>
      <c r="AQ16" s="50">
        <f t="shared" si="16"/>
        <v>202.6</v>
      </c>
      <c r="AS16" s="99">
        <f t="shared" si="17"/>
        <v>16.593</v>
      </c>
    </row>
    <row r="17" spans="1:45" x14ac:dyDescent="0.2">
      <c r="A17" s="103">
        <v>9</v>
      </c>
      <c r="B17" s="236" t="s">
        <v>29</v>
      </c>
      <c r="C17" s="127">
        <v>1</v>
      </c>
      <c r="D17" s="237">
        <v>8.4730000000000008</v>
      </c>
      <c r="E17" s="111">
        <f t="shared" si="0"/>
        <v>8.4700000000000006</v>
      </c>
      <c r="F17" s="95">
        <f t="shared" si="1"/>
        <v>101.6</v>
      </c>
      <c r="G17" s="95"/>
      <c r="H17" s="95">
        <f>5369.5/1000</f>
        <v>5.4</v>
      </c>
      <c r="I17" s="95"/>
      <c r="J17" s="95">
        <f>D17*0.1*3</f>
        <v>2.5</v>
      </c>
      <c r="K17" s="95">
        <f>D17*0.25*12</f>
        <v>25.4</v>
      </c>
      <c r="L17" s="95">
        <f t="shared" si="18"/>
        <v>15.7</v>
      </c>
      <c r="M17" s="95">
        <f t="shared" si="2"/>
        <v>150.6</v>
      </c>
      <c r="N17" s="111">
        <v>0.41</v>
      </c>
      <c r="O17" s="95">
        <f t="shared" si="3"/>
        <v>61.7</v>
      </c>
      <c r="P17" s="95">
        <f t="shared" si="4"/>
        <v>212.3</v>
      </c>
      <c r="Q17" s="95">
        <f t="shared" si="5"/>
        <v>169.8</v>
      </c>
      <c r="R17" s="95">
        <f t="shared" si="6"/>
        <v>169.8</v>
      </c>
      <c r="S17" s="95">
        <f t="shared" si="7"/>
        <v>17.7</v>
      </c>
      <c r="T17" s="95">
        <f t="shared" si="8"/>
        <v>569.6</v>
      </c>
      <c r="U17" s="3430"/>
      <c r="V17" s="95">
        <f t="shared" si="21"/>
        <v>569.6</v>
      </c>
      <c r="W17" s="95">
        <f t="shared" si="23"/>
        <v>172</v>
      </c>
      <c r="X17" s="103">
        <v>1</v>
      </c>
      <c r="Y17" s="112">
        <v>30</v>
      </c>
      <c r="Z17" s="113">
        <f t="shared" si="9"/>
        <v>30</v>
      </c>
      <c r="AA17" s="127"/>
      <c r="AB17" s="112">
        <v>15</v>
      </c>
      <c r="AC17" s="113">
        <f t="shared" si="10"/>
        <v>0</v>
      </c>
      <c r="AD17" s="127"/>
      <c r="AE17" s="112">
        <v>30</v>
      </c>
      <c r="AF17" s="113">
        <f t="shared" si="11"/>
        <v>0</v>
      </c>
      <c r="AG17" s="113">
        <f t="shared" si="12"/>
        <v>9</v>
      </c>
      <c r="AH17" s="113">
        <f t="shared" si="13"/>
        <v>39</v>
      </c>
      <c r="AI17" s="114">
        <f t="shared" si="14"/>
        <v>47466.7</v>
      </c>
      <c r="AK17" s="114">
        <f t="shared" si="15"/>
        <v>569.6</v>
      </c>
      <c r="AL17" s="114">
        <f t="shared" si="19"/>
        <v>221.1</v>
      </c>
      <c r="AM17" s="115">
        <v>0.30199999999999999</v>
      </c>
      <c r="AN17" s="50">
        <f t="shared" si="22"/>
        <v>125.3</v>
      </c>
      <c r="AO17" s="242"/>
      <c r="AP17" s="50">
        <f t="shared" si="24"/>
        <v>30.2</v>
      </c>
      <c r="AQ17" s="50">
        <f t="shared" si="16"/>
        <v>155.5</v>
      </c>
      <c r="AS17" s="99">
        <f t="shared" si="17"/>
        <v>12.7095</v>
      </c>
    </row>
    <row r="18" spans="1:45" ht="25.5" x14ac:dyDescent="0.2">
      <c r="A18" s="103">
        <v>10</v>
      </c>
      <c r="B18" s="236" t="s">
        <v>148</v>
      </c>
      <c r="C18" s="127">
        <v>1</v>
      </c>
      <c r="D18" s="237">
        <v>8.4730000000000008</v>
      </c>
      <c r="E18" s="111">
        <f t="shared" si="0"/>
        <v>8.4700000000000006</v>
      </c>
      <c r="F18" s="95">
        <f t="shared" si="1"/>
        <v>101.6</v>
      </c>
      <c r="G18" s="95"/>
      <c r="H18" s="95"/>
      <c r="I18" s="95"/>
      <c r="J18" s="95"/>
      <c r="K18" s="95">
        <f>F18*0.25+D18*0.05*11</f>
        <v>30.1</v>
      </c>
      <c r="L18" s="95">
        <f t="shared" ref="L18:L20" si="25">F18*$L$4</f>
        <v>15.7</v>
      </c>
      <c r="M18" s="95">
        <f t="shared" ref="M18:M20" si="26">F18+G18+H18+I18+J18+K18+L18</f>
        <v>147.4</v>
      </c>
      <c r="N18" s="111">
        <v>0.41</v>
      </c>
      <c r="O18" s="95">
        <f t="shared" ref="O18:O20" si="27">M18*N18</f>
        <v>60.4</v>
      </c>
      <c r="P18" s="95">
        <f t="shared" ref="P18:P20" si="28">M18+O18</f>
        <v>207.8</v>
      </c>
      <c r="Q18" s="95">
        <f t="shared" ref="Q18:Q20" si="29">P18*0.8</f>
        <v>166.2</v>
      </c>
      <c r="R18" s="95">
        <f t="shared" ref="R18:R20" si="30">P18*0.8</f>
        <v>166.2</v>
      </c>
      <c r="S18" s="95">
        <f t="shared" ref="S18:S20" si="31">(P18+Q18+R18)*0.032</f>
        <v>17.3</v>
      </c>
      <c r="T18" s="95">
        <f t="shared" ref="T18:T20" si="32">P18+Q18+R18+S18</f>
        <v>557.5</v>
      </c>
      <c r="U18" s="3430"/>
      <c r="V18" s="95">
        <f t="shared" ref="V18:V20" si="33">T18*$U$9</f>
        <v>557.5</v>
      </c>
      <c r="W18" s="95">
        <f t="shared" si="23"/>
        <v>168.4</v>
      </c>
      <c r="X18" s="103">
        <v>1</v>
      </c>
      <c r="Y18" s="112">
        <v>30</v>
      </c>
      <c r="Z18" s="113">
        <f t="shared" ref="Z18:Z20" si="34">X18*Y18</f>
        <v>30</v>
      </c>
      <c r="AA18" s="127"/>
      <c r="AB18" s="112">
        <v>15</v>
      </c>
      <c r="AC18" s="113">
        <f t="shared" ref="AC18:AC20" si="35">AA18*AB18</f>
        <v>0</v>
      </c>
      <c r="AD18" s="127"/>
      <c r="AE18" s="112">
        <v>30</v>
      </c>
      <c r="AF18" s="113">
        <f t="shared" ref="AF18:AF20" si="36">AD18*AE18</f>
        <v>0</v>
      </c>
      <c r="AG18" s="113">
        <f t="shared" ref="AG18:AG20" si="37">(Z18+AC18+AF18)*1%*30</f>
        <v>9</v>
      </c>
      <c r="AH18" s="113">
        <f t="shared" ref="AH18:AH20" si="38">Z18+AC18+AF18+AG18</f>
        <v>39</v>
      </c>
      <c r="AI18" s="114"/>
      <c r="AK18" s="114">
        <f t="shared" si="15"/>
        <v>557.5</v>
      </c>
      <c r="AL18" s="114"/>
      <c r="AM18" s="115"/>
      <c r="AN18" s="50">
        <f t="shared" si="22"/>
        <v>122.7</v>
      </c>
      <c r="AO18" s="242"/>
      <c r="AP18" s="50">
        <f t="shared" si="24"/>
        <v>29.5</v>
      </c>
      <c r="AQ18" s="50">
        <f t="shared" si="16"/>
        <v>152.19999999999999</v>
      </c>
    </row>
    <row r="19" spans="1:45" ht="25.5" x14ac:dyDescent="0.2">
      <c r="A19" s="103">
        <v>11</v>
      </c>
      <c r="B19" s="236" t="s">
        <v>130</v>
      </c>
      <c r="C19" s="127">
        <v>1</v>
      </c>
      <c r="D19" s="237">
        <v>8.4730000000000008</v>
      </c>
      <c r="E19" s="111">
        <f t="shared" si="0"/>
        <v>8.4700000000000006</v>
      </c>
      <c r="F19" s="95">
        <f t="shared" si="1"/>
        <v>101.6</v>
      </c>
      <c r="G19" s="95"/>
      <c r="H19" s="95"/>
      <c r="I19" s="95"/>
      <c r="J19" s="95"/>
      <c r="K19" s="95"/>
      <c r="L19" s="95">
        <f t="shared" si="25"/>
        <v>15.7</v>
      </c>
      <c r="M19" s="95">
        <f t="shared" si="26"/>
        <v>117.3</v>
      </c>
      <c r="N19" s="111">
        <v>0.47</v>
      </c>
      <c r="O19" s="95">
        <f t="shared" si="27"/>
        <v>55.1</v>
      </c>
      <c r="P19" s="95">
        <f t="shared" si="28"/>
        <v>172.4</v>
      </c>
      <c r="Q19" s="95">
        <f t="shared" si="29"/>
        <v>137.9</v>
      </c>
      <c r="R19" s="95">
        <f t="shared" si="30"/>
        <v>137.9</v>
      </c>
      <c r="S19" s="95">
        <f t="shared" si="31"/>
        <v>14.3</v>
      </c>
      <c r="T19" s="95">
        <f t="shared" si="32"/>
        <v>462.5</v>
      </c>
      <c r="U19" s="3430"/>
      <c r="V19" s="95">
        <f t="shared" si="33"/>
        <v>462.5</v>
      </c>
      <c r="W19" s="95">
        <f t="shared" si="23"/>
        <v>139.69999999999999</v>
      </c>
      <c r="X19" s="103"/>
      <c r="Y19" s="112">
        <v>30</v>
      </c>
      <c r="Z19" s="113">
        <f t="shared" si="34"/>
        <v>0</v>
      </c>
      <c r="AA19" s="127"/>
      <c r="AB19" s="112">
        <v>15</v>
      </c>
      <c r="AC19" s="113">
        <f t="shared" si="35"/>
        <v>0</v>
      </c>
      <c r="AD19" s="127"/>
      <c r="AE19" s="112">
        <v>30</v>
      </c>
      <c r="AF19" s="113">
        <f t="shared" si="36"/>
        <v>0</v>
      </c>
      <c r="AG19" s="113">
        <f t="shared" si="37"/>
        <v>0</v>
      </c>
      <c r="AH19" s="113">
        <f t="shared" si="38"/>
        <v>0</v>
      </c>
      <c r="AI19" s="114"/>
      <c r="AK19" s="114">
        <f t="shared" si="15"/>
        <v>462.5</v>
      </c>
      <c r="AL19" s="114"/>
      <c r="AM19" s="115"/>
      <c r="AN19" s="50">
        <f t="shared" si="22"/>
        <v>101.8</v>
      </c>
      <c r="AO19" s="242"/>
      <c r="AP19" s="50">
        <f t="shared" si="24"/>
        <v>24.5</v>
      </c>
      <c r="AQ19" s="50">
        <f t="shared" si="16"/>
        <v>126.3</v>
      </c>
    </row>
    <row r="20" spans="1:45" ht="25.5" x14ac:dyDescent="0.2">
      <c r="A20" s="103">
        <v>12</v>
      </c>
      <c r="B20" s="236" t="s">
        <v>149</v>
      </c>
      <c r="C20" s="127">
        <v>1</v>
      </c>
      <c r="D20" s="237">
        <v>11.061999999999999</v>
      </c>
      <c r="E20" s="111">
        <f t="shared" si="0"/>
        <v>11.06</v>
      </c>
      <c r="F20" s="95">
        <f t="shared" si="1"/>
        <v>132.69999999999999</v>
      </c>
      <c r="G20" s="95"/>
      <c r="H20" s="95"/>
      <c r="I20" s="95"/>
      <c r="J20" s="95"/>
      <c r="K20" s="95"/>
      <c r="L20" s="95">
        <f t="shared" si="25"/>
        <v>20.5</v>
      </c>
      <c r="M20" s="95">
        <f t="shared" si="26"/>
        <v>153.19999999999999</v>
      </c>
      <c r="N20" s="111">
        <v>0.43</v>
      </c>
      <c r="O20" s="95">
        <f t="shared" si="27"/>
        <v>65.900000000000006</v>
      </c>
      <c r="P20" s="95">
        <f t="shared" si="28"/>
        <v>219.1</v>
      </c>
      <c r="Q20" s="95">
        <f t="shared" si="29"/>
        <v>175.3</v>
      </c>
      <c r="R20" s="95">
        <f t="shared" si="30"/>
        <v>175.3</v>
      </c>
      <c r="S20" s="95">
        <f t="shared" si="31"/>
        <v>18.2</v>
      </c>
      <c r="T20" s="95">
        <f t="shared" si="32"/>
        <v>587.9</v>
      </c>
      <c r="U20" s="3430"/>
      <c r="V20" s="95">
        <f t="shared" si="33"/>
        <v>587.9</v>
      </c>
      <c r="W20" s="95">
        <f t="shared" si="23"/>
        <v>177.5</v>
      </c>
      <c r="X20" s="103"/>
      <c r="Y20" s="112">
        <v>30</v>
      </c>
      <c r="Z20" s="113">
        <f t="shared" si="34"/>
        <v>0</v>
      </c>
      <c r="AA20" s="127"/>
      <c r="AB20" s="112">
        <v>15</v>
      </c>
      <c r="AC20" s="113">
        <f t="shared" si="35"/>
        <v>0</v>
      </c>
      <c r="AD20" s="127"/>
      <c r="AE20" s="112">
        <v>30</v>
      </c>
      <c r="AF20" s="113">
        <f t="shared" si="36"/>
        <v>0</v>
      </c>
      <c r="AG20" s="113">
        <f t="shared" si="37"/>
        <v>0</v>
      </c>
      <c r="AH20" s="113">
        <f t="shared" si="38"/>
        <v>0</v>
      </c>
      <c r="AI20" s="114"/>
      <c r="AK20" s="114">
        <f t="shared" si="15"/>
        <v>587.9</v>
      </c>
      <c r="AL20" s="114"/>
      <c r="AM20" s="115"/>
      <c r="AN20" s="50">
        <f t="shared" si="22"/>
        <v>129.30000000000001</v>
      </c>
      <c r="AO20" s="242"/>
      <c r="AP20" s="50">
        <f t="shared" si="24"/>
        <v>31.2</v>
      </c>
      <c r="AQ20" s="50">
        <f t="shared" si="16"/>
        <v>160.5</v>
      </c>
    </row>
    <row r="21" spans="1:45" x14ac:dyDescent="0.2">
      <c r="A21" s="103">
        <v>13</v>
      </c>
      <c r="B21" s="243" t="s">
        <v>42</v>
      </c>
      <c r="C21" s="127">
        <v>1</v>
      </c>
      <c r="D21" s="237">
        <v>11.061999999999999</v>
      </c>
      <c r="E21" s="111">
        <f t="shared" si="0"/>
        <v>11.06</v>
      </c>
      <c r="F21" s="95">
        <f t="shared" si="1"/>
        <v>132.69999999999999</v>
      </c>
      <c r="G21" s="95"/>
      <c r="H21" s="95">
        <f>7789.1/1000</f>
        <v>7.8</v>
      </c>
      <c r="I21" s="95"/>
      <c r="J21" s="95"/>
      <c r="K21" s="95">
        <f>F21*0.3+D21*0.05*2</f>
        <v>40.9</v>
      </c>
      <c r="L21" s="95">
        <f t="shared" si="18"/>
        <v>20.5</v>
      </c>
      <c r="M21" s="95">
        <f t="shared" si="2"/>
        <v>201.9</v>
      </c>
      <c r="N21" s="111">
        <v>0.43</v>
      </c>
      <c r="O21" s="95">
        <f t="shared" si="3"/>
        <v>86.8</v>
      </c>
      <c r="P21" s="95">
        <f t="shared" si="4"/>
        <v>288.7</v>
      </c>
      <c r="Q21" s="95">
        <f t="shared" si="5"/>
        <v>231</v>
      </c>
      <c r="R21" s="95">
        <f t="shared" si="6"/>
        <v>231</v>
      </c>
      <c r="S21" s="95">
        <f t="shared" si="7"/>
        <v>24</v>
      </c>
      <c r="T21" s="95">
        <f t="shared" si="8"/>
        <v>774.7</v>
      </c>
      <c r="U21" s="3430"/>
      <c r="V21" s="95">
        <f t="shared" si="21"/>
        <v>774.7</v>
      </c>
      <c r="W21" s="95">
        <f t="shared" si="23"/>
        <v>234</v>
      </c>
      <c r="X21" s="103"/>
      <c r="Y21" s="112">
        <v>30</v>
      </c>
      <c r="Z21" s="113">
        <f t="shared" si="9"/>
        <v>0</v>
      </c>
      <c r="AA21" s="127"/>
      <c r="AB21" s="112">
        <v>15</v>
      </c>
      <c r="AC21" s="113">
        <f t="shared" si="10"/>
        <v>0</v>
      </c>
      <c r="AD21" s="127"/>
      <c r="AE21" s="112">
        <v>30</v>
      </c>
      <c r="AF21" s="113">
        <f t="shared" si="11"/>
        <v>0</v>
      </c>
      <c r="AG21" s="113">
        <f t="shared" si="12"/>
        <v>0</v>
      </c>
      <c r="AH21" s="113">
        <f t="shared" si="13"/>
        <v>0</v>
      </c>
      <c r="AI21" s="114">
        <f>V21/12/C21*1000</f>
        <v>64558.3</v>
      </c>
      <c r="AK21" s="114">
        <f t="shared" si="15"/>
        <v>774.7</v>
      </c>
      <c r="AL21" s="114">
        <f t="shared" si="19"/>
        <v>258.5</v>
      </c>
      <c r="AM21" s="115">
        <v>0.30199999999999999</v>
      </c>
      <c r="AN21" s="50">
        <f t="shared" si="22"/>
        <v>170.4</v>
      </c>
      <c r="AO21" s="244"/>
      <c r="AP21" s="50">
        <f t="shared" si="24"/>
        <v>41.1</v>
      </c>
      <c r="AQ21" s="50">
        <f t="shared" si="16"/>
        <v>211.5</v>
      </c>
      <c r="AS21" s="99">
        <f>D21*1.5</f>
        <v>16.593</v>
      </c>
    </row>
    <row r="22" spans="1:45" x14ac:dyDescent="0.2">
      <c r="A22" s="103">
        <v>14</v>
      </c>
      <c r="B22" s="236" t="s">
        <v>33</v>
      </c>
      <c r="C22" s="127">
        <v>1</v>
      </c>
      <c r="D22" s="237">
        <v>8.4730000000000008</v>
      </c>
      <c r="E22" s="111">
        <f t="shared" si="0"/>
        <v>8.4700000000000006</v>
      </c>
      <c r="F22" s="95">
        <f t="shared" si="1"/>
        <v>101.6</v>
      </c>
      <c r="G22" s="95">
        <f>18010.1/1000</f>
        <v>18</v>
      </c>
      <c r="H22" s="95">
        <f>4474.6/1000</f>
        <v>4.5</v>
      </c>
      <c r="I22" s="95"/>
      <c r="J22" s="95"/>
      <c r="K22" s="95">
        <f>F22*0.25</f>
        <v>25.4</v>
      </c>
      <c r="L22" s="95">
        <f t="shared" si="18"/>
        <v>15.7</v>
      </c>
      <c r="M22" s="95">
        <f t="shared" si="2"/>
        <v>165.2</v>
      </c>
      <c r="N22" s="111">
        <v>0.41</v>
      </c>
      <c r="O22" s="95">
        <f t="shared" si="3"/>
        <v>67.7</v>
      </c>
      <c r="P22" s="95">
        <f t="shared" si="4"/>
        <v>232.9</v>
      </c>
      <c r="Q22" s="95">
        <f t="shared" si="5"/>
        <v>186.3</v>
      </c>
      <c r="R22" s="95">
        <f t="shared" si="6"/>
        <v>186.3</v>
      </c>
      <c r="S22" s="95">
        <f t="shared" si="7"/>
        <v>19.399999999999999</v>
      </c>
      <c r="T22" s="95">
        <f t="shared" si="8"/>
        <v>624.9</v>
      </c>
      <c r="U22" s="3430"/>
      <c r="V22" s="95">
        <f t="shared" si="21"/>
        <v>624.9</v>
      </c>
      <c r="W22" s="95">
        <f t="shared" si="23"/>
        <v>188.7</v>
      </c>
      <c r="X22" s="238"/>
      <c r="Y22" s="240">
        <v>30</v>
      </c>
      <c r="Z22" s="241">
        <f t="shared" si="9"/>
        <v>0</v>
      </c>
      <c r="AA22" s="238"/>
      <c r="AB22" s="240">
        <v>15</v>
      </c>
      <c r="AC22" s="241">
        <f t="shared" si="10"/>
        <v>0</v>
      </c>
      <c r="AD22" s="238"/>
      <c r="AE22" s="240">
        <v>30</v>
      </c>
      <c r="AF22" s="241">
        <f t="shared" si="11"/>
        <v>0</v>
      </c>
      <c r="AG22" s="241">
        <f t="shared" si="12"/>
        <v>0</v>
      </c>
      <c r="AH22" s="241">
        <f t="shared" si="13"/>
        <v>0</v>
      </c>
      <c r="AI22" s="114">
        <f>V22/12/C22*1000</f>
        <v>52075</v>
      </c>
      <c r="AK22" s="114">
        <f t="shared" si="15"/>
        <v>624.9</v>
      </c>
      <c r="AL22" s="114">
        <f t="shared" si="19"/>
        <v>231.2</v>
      </c>
      <c r="AM22" s="115">
        <v>0.30199999999999999</v>
      </c>
      <c r="AN22" s="50">
        <f t="shared" si="22"/>
        <v>137.5</v>
      </c>
      <c r="AO22" s="244"/>
      <c r="AP22" s="50">
        <f t="shared" si="24"/>
        <v>33.1</v>
      </c>
      <c r="AQ22" s="50">
        <f t="shared" si="16"/>
        <v>170.6</v>
      </c>
      <c r="AR22" s="245"/>
      <c r="AS22" s="99">
        <f>D22*1.5</f>
        <v>12.7095</v>
      </c>
    </row>
    <row r="23" spans="1:45" s="245" customFormat="1" x14ac:dyDescent="0.2">
      <c r="A23" s="103">
        <v>15</v>
      </c>
      <c r="B23" s="236" t="s">
        <v>58</v>
      </c>
      <c r="C23" s="246">
        <v>1</v>
      </c>
      <c r="D23" s="247">
        <v>11.061999999999999</v>
      </c>
      <c r="E23" s="111">
        <f t="shared" si="0"/>
        <v>11.06</v>
      </c>
      <c r="F23" s="95">
        <f t="shared" si="1"/>
        <v>132.69999999999999</v>
      </c>
      <c r="G23" s="248"/>
      <c r="H23" s="248"/>
      <c r="I23" s="248"/>
      <c r="J23" s="248"/>
      <c r="K23" s="248"/>
      <c r="L23" s="95">
        <f t="shared" ref="L23" si="39">F23*$L$4</f>
        <v>20.5</v>
      </c>
      <c r="M23" s="95">
        <f t="shared" ref="M23" si="40">F23+G23+H23+I23+J23+K23+L23</f>
        <v>153.19999999999999</v>
      </c>
      <c r="N23" s="111">
        <v>0.43</v>
      </c>
      <c r="O23" s="95">
        <f t="shared" ref="O23" si="41">M23*N23</f>
        <v>65.900000000000006</v>
      </c>
      <c r="P23" s="95">
        <f t="shared" ref="P23" si="42">M23+O23</f>
        <v>219.1</v>
      </c>
      <c r="Q23" s="95">
        <f t="shared" ref="Q23" si="43">P23*0.8</f>
        <v>175.3</v>
      </c>
      <c r="R23" s="95">
        <f t="shared" ref="R23" si="44">P23*0.8</f>
        <v>175.3</v>
      </c>
      <c r="S23" s="95">
        <f t="shared" ref="S23" si="45">(P23+Q23+R23)*0.032</f>
        <v>18.2</v>
      </c>
      <c r="T23" s="95">
        <f t="shared" ref="T23" si="46">P23+Q23+R23+S23</f>
        <v>587.9</v>
      </c>
      <c r="U23" s="3430"/>
      <c r="V23" s="95">
        <f t="shared" ref="V23" si="47">T23*$U$9</f>
        <v>587.9</v>
      </c>
      <c r="W23" s="95">
        <f t="shared" si="23"/>
        <v>177.5</v>
      </c>
      <c r="X23" s="246"/>
      <c r="Y23" s="240">
        <v>30</v>
      </c>
      <c r="Z23" s="241">
        <f t="shared" ref="Z23" si="48">X23*Y23</f>
        <v>0</v>
      </c>
      <c r="AA23" s="246"/>
      <c r="AB23" s="240">
        <v>15</v>
      </c>
      <c r="AC23" s="241">
        <f t="shared" ref="AC23" si="49">AA23*AB23</f>
        <v>0</v>
      </c>
      <c r="AD23" s="246"/>
      <c r="AE23" s="240">
        <v>30</v>
      </c>
      <c r="AF23" s="241">
        <f t="shared" ref="AF23" si="50">AD23*AE23</f>
        <v>0</v>
      </c>
      <c r="AG23" s="241">
        <f t="shared" ref="AG23" si="51">(Z23+AC23+AF23)*1%*30</f>
        <v>0</v>
      </c>
      <c r="AH23" s="241">
        <f t="shared" ref="AH23" si="52">Z23+AC23+AF23+AG23</f>
        <v>0</v>
      </c>
      <c r="AI23" s="114"/>
      <c r="AK23" s="114">
        <f t="shared" si="15"/>
        <v>587.9</v>
      </c>
      <c r="AL23" s="114"/>
      <c r="AM23" s="115"/>
      <c r="AN23" s="50">
        <f t="shared" si="22"/>
        <v>129.30000000000001</v>
      </c>
      <c r="AO23" s="211"/>
      <c r="AP23" s="50">
        <f t="shared" si="24"/>
        <v>31.2</v>
      </c>
      <c r="AQ23" s="50">
        <f t="shared" si="16"/>
        <v>160.5</v>
      </c>
      <c r="AR23" s="99"/>
      <c r="AS23" s="99"/>
    </row>
    <row r="24" spans="1:45" s="252" customFormat="1" ht="25.5" x14ac:dyDescent="0.2">
      <c r="A24" s="103">
        <v>16</v>
      </c>
      <c r="B24" s="236" t="s">
        <v>102</v>
      </c>
      <c r="C24" s="238">
        <v>1</v>
      </c>
      <c r="D24" s="237">
        <v>4.3769999999999998</v>
      </c>
      <c r="E24" s="249">
        <f t="shared" si="0"/>
        <v>4.38</v>
      </c>
      <c r="F24" s="170">
        <f t="shared" si="1"/>
        <v>52.6</v>
      </c>
      <c r="G24" s="248"/>
      <c r="H24" s="248"/>
      <c r="I24" s="248"/>
      <c r="J24" s="248"/>
      <c r="K24" s="248"/>
      <c r="L24" s="95">
        <v>35.200000000000003</v>
      </c>
      <c r="M24" s="248">
        <f t="shared" si="2"/>
        <v>87.8</v>
      </c>
      <c r="N24" s="111">
        <v>0.49</v>
      </c>
      <c r="O24" s="248">
        <f t="shared" si="3"/>
        <v>43</v>
      </c>
      <c r="P24" s="248">
        <f t="shared" si="4"/>
        <v>130.80000000000001</v>
      </c>
      <c r="Q24" s="248">
        <f t="shared" si="5"/>
        <v>104.6</v>
      </c>
      <c r="R24" s="95">
        <f t="shared" si="6"/>
        <v>104.6</v>
      </c>
      <c r="S24" s="248">
        <f t="shared" si="7"/>
        <v>10.9</v>
      </c>
      <c r="T24" s="248">
        <f t="shared" si="8"/>
        <v>350.9</v>
      </c>
      <c r="U24" s="4030"/>
      <c r="V24" s="250">
        <f>T24*$U$9-0.3</f>
        <v>350.6</v>
      </c>
      <c r="W24" s="95">
        <f t="shared" si="23"/>
        <v>105.9</v>
      </c>
      <c r="X24" s="251">
        <v>1</v>
      </c>
      <c r="Y24" s="112">
        <v>30</v>
      </c>
      <c r="Z24" s="113">
        <f t="shared" si="9"/>
        <v>30</v>
      </c>
      <c r="AA24" s="251"/>
      <c r="AB24" s="112">
        <v>15</v>
      </c>
      <c r="AC24" s="113">
        <f t="shared" si="10"/>
        <v>0</v>
      </c>
      <c r="AD24" s="251"/>
      <c r="AE24" s="112">
        <v>30</v>
      </c>
      <c r="AF24" s="113">
        <f t="shared" si="11"/>
        <v>0</v>
      </c>
      <c r="AG24" s="113">
        <f t="shared" si="12"/>
        <v>9</v>
      </c>
      <c r="AH24" s="113">
        <f t="shared" si="13"/>
        <v>39</v>
      </c>
      <c r="AI24" s="114">
        <f>V24/12/C24*1000</f>
        <v>29216.7</v>
      </c>
      <c r="AK24" s="114">
        <f t="shared" si="15"/>
        <v>350.6</v>
      </c>
      <c r="AL24" s="114">
        <f t="shared" si="19"/>
        <v>181.3</v>
      </c>
      <c r="AM24" s="115">
        <v>0.30199999999999999</v>
      </c>
      <c r="AN24" s="50">
        <f t="shared" si="22"/>
        <v>77.099999999999994</v>
      </c>
      <c r="AO24" s="211"/>
      <c r="AP24" s="50">
        <f t="shared" si="24"/>
        <v>18.600000000000001</v>
      </c>
      <c r="AQ24" s="50">
        <f t="shared" si="16"/>
        <v>95.7</v>
      </c>
      <c r="AR24" s="99"/>
      <c r="AS24" s="99">
        <f>D24*1.5</f>
        <v>6.5655000000000001</v>
      </c>
    </row>
    <row r="25" spans="1:45" s="98" customFormat="1" ht="20.25" customHeight="1" x14ac:dyDescent="0.2">
      <c r="A25" s="4029" t="s">
        <v>8</v>
      </c>
      <c r="B25" s="4029"/>
      <c r="C25" s="253">
        <f t="shared" ref="C25:M25" si="53">SUM(C9:C24)</f>
        <v>19</v>
      </c>
      <c r="D25" s="254">
        <f t="shared" si="53"/>
        <v>171.5</v>
      </c>
      <c r="E25" s="254">
        <f t="shared" si="53"/>
        <v>204.7</v>
      </c>
      <c r="F25" s="254">
        <f t="shared" si="53"/>
        <v>2455.8000000000002</v>
      </c>
      <c r="G25" s="254">
        <f t="shared" si="53"/>
        <v>18</v>
      </c>
      <c r="H25" s="254">
        <f t="shared" si="53"/>
        <v>76.7</v>
      </c>
      <c r="I25" s="254">
        <f t="shared" si="53"/>
        <v>0</v>
      </c>
      <c r="J25" s="254">
        <f t="shared" si="53"/>
        <v>2.5</v>
      </c>
      <c r="K25" s="254">
        <f t="shared" si="53"/>
        <v>868.2</v>
      </c>
      <c r="L25" s="254">
        <f t="shared" si="53"/>
        <v>406.5</v>
      </c>
      <c r="M25" s="254">
        <f t="shared" si="53"/>
        <v>3827.7</v>
      </c>
      <c r="N25" s="254"/>
      <c r="O25" s="254">
        <f t="shared" ref="O25:AH25" si="54">SUM(O9:O24)</f>
        <v>1659.4</v>
      </c>
      <c r="P25" s="254">
        <f t="shared" si="54"/>
        <v>5487.1</v>
      </c>
      <c r="Q25" s="254">
        <f t="shared" si="54"/>
        <v>4389.7</v>
      </c>
      <c r="R25" s="254">
        <f t="shared" si="54"/>
        <v>4389.7</v>
      </c>
      <c r="S25" s="254">
        <f t="shared" si="54"/>
        <v>456.3</v>
      </c>
      <c r="T25" s="254">
        <f t="shared" si="54"/>
        <v>14722.8</v>
      </c>
      <c r="U25" s="254">
        <f t="shared" si="54"/>
        <v>1</v>
      </c>
      <c r="V25" s="254">
        <f t="shared" si="54"/>
        <v>14722.5</v>
      </c>
      <c r="W25" s="254">
        <f t="shared" si="54"/>
        <v>4305.6000000000004</v>
      </c>
      <c r="X25" s="254">
        <f t="shared" si="54"/>
        <v>7</v>
      </c>
      <c r="Y25" s="254">
        <f t="shared" si="54"/>
        <v>480</v>
      </c>
      <c r="Z25" s="254">
        <f t="shared" si="54"/>
        <v>210</v>
      </c>
      <c r="AA25" s="254">
        <f t="shared" si="54"/>
        <v>1</v>
      </c>
      <c r="AB25" s="254">
        <f t="shared" si="54"/>
        <v>240</v>
      </c>
      <c r="AC25" s="254">
        <f t="shared" si="54"/>
        <v>15</v>
      </c>
      <c r="AD25" s="254">
        <f t="shared" si="54"/>
        <v>2</v>
      </c>
      <c r="AE25" s="254">
        <f t="shared" si="54"/>
        <v>480</v>
      </c>
      <c r="AF25" s="254">
        <f t="shared" si="54"/>
        <v>60</v>
      </c>
      <c r="AG25" s="254">
        <f t="shared" si="54"/>
        <v>85.5</v>
      </c>
      <c r="AH25" s="254">
        <f t="shared" si="54"/>
        <v>370.5</v>
      </c>
      <c r="AI25" s="114"/>
      <c r="AN25" s="211"/>
      <c r="AO25" s="211"/>
      <c r="AP25" s="211"/>
      <c r="AQ25" s="211"/>
      <c r="AR25" s="99"/>
      <c r="AS25" s="99"/>
    </row>
    <row r="26" spans="1:45" x14ac:dyDescent="0.2">
      <c r="G26" s="131"/>
      <c r="H26" s="131"/>
      <c r="I26" s="131"/>
      <c r="J26" s="131"/>
      <c r="K26" s="131"/>
      <c r="L26" s="131"/>
      <c r="M26" s="131"/>
      <c r="N26" s="131"/>
      <c r="O26" s="131"/>
      <c r="P26" s="131"/>
      <c r="Q26" s="131"/>
      <c r="R26" s="131"/>
      <c r="S26" s="131"/>
      <c r="T26" s="131"/>
      <c r="V26" s="114"/>
      <c r="W26" s="66"/>
      <c r="X26" s="131"/>
      <c r="AA26" s="131"/>
      <c r="AD26" s="131"/>
      <c r="AG26" s="131"/>
      <c r="AH26" s="131"/>
      <c r="AO26" s="50"/>
      <c r="AP26" s="50"/>
      <c r="AQ26" s="50"/>
    </row>
    <row r="27" spans="1:45" x14ac:dyDescent="0.2">
      <c r="B27" s="255"/>
      <c r="C27" s="256"/>
      <c r="D27" s="256"/>
      <c r="E27" s="257"/>
      <c r="F27" s="257"/>
      <c r="G27" s="257"/>
      <c r="H27" s="257"/>
      <c r="I27" s="133"/>
      <c r="J27" s="131"/>
      <c r="K27" s="131"/>
      <c r="L27" s="131"/>
      <c r="M27" s="131"/>
      <c r="N27" s="131"/>
      <c r="O27" s="131"/>
      <c r="P27" s="131"/>
      <c r="Q27" s="131"/>
      <c r="R27" s="131"/>
      <c r="S27" s="131"/>
      <c r="T27" s="131"/>
      <c r="V27" s="114"/>
      <c r="W27" s="114"/>
      <c r="X27" s="131"/>
      <c r="AA27" s="131"/>
      <c r="AD27" s="131"/>
      <c r="AE27" s="131"/>
    </row>
    <row r="28" spans="1:45" s="75" customFormat="1" x14ac:dyDescent="0.2">
      <c r="A28" s="70"/>
      <c r="B28" s="70"/>
      <c r="C28" s="71"/>
      <c r="D28" s="72"/>
      <c r="E28" s="72"/>
      <c r="F28" s="72"/>
      <c r="G28" s="72"/>
      <c r="H28" s="73"/>
      <c r="I28" s="73"/>
      <c r="J28" s="27"/>
      <c r="K28" s="27"/>
      <c r="L28" s="27"/>
      <c r="M28" s="27"/>
      <c r="N28" s="74"/>
      <c r="O28" s="27"/>
      <c r="P28" s="27"/>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75" customFormat="1" ht="59.25" customHeight="1" x14ac:dyDescent="0.2">
      <c r="A29" s="70"/>
      <c r="B29" s="70"/>
      <c r="C29" s="71"/>
      <c r="D29" s="77"/>
      <c r="E29" s="77"/>
      <c r="F29" s="27"/>
      <c r="G29" s="3191" t="s">
        <v>140</v>
      </c>
      <c r="H29" s="3191"/>
      <c r="I29" s="3191" t="s">
        <v>145</v>
      </c>
      <c r="J29" s="3191"/>
      <c r="K29" s="3191" t="s">
        <v>128</v>
      </c>
      <c r="L29" s="3191"/>
      <c r="Q29" s="27"/>
      <c r="R29" s="27"/>
      <c r="S29" s="27"/>
      <c r="T29" s="27"/>
      <c r="U29" s="27"/>
      <c r="V29" s="27"/>
      <c r="W29" s="27"/>
      <c r="X29" s="27"/>
      <c r="Y29" s="27"/>
      <c r="Z29" s="27"/>
      <c r="AA29" s="27"/>
      <c r="AB29" s="27"/>
      <c r="AC29" s="27"/>
      <c r="AD29" s="27"/>
      <c r="AE29" s="27"/>
      <c r="AF29" s="27"/>
      <c r="AG29" s="27"/>
      <c r="AH29" s="27"/>
      <c r="AI29" s="27"/>
      <c r="AJ29" s="76"/>
      <c r="AN29" s="76"/>
      <c r="AO29" s="76"/>
      <c r="AP29" s="76"/>
      <c r="AQ29" s="76"/>
      <c r="AR29" s="76"/>
    </row>
    <row r="30" spans="1:45" s="75" customFormat="1" x14ac:dyDescent="0.2">
      <c r="A30" s="70"/>
      <c r="B30" s="70"/>
      <c r="C30" s="71"/>
      <c r="D30" s="77"/>
      <c r="E30" s="77"/>
      <c r="F30" s="27"/>
      <c r="G30" s="78">
        <v>991</v>
      </c>
      <c r="H30" s="78">
        <v>992</v>
      </c>
      <c r="I30" s="78">
        <v>991</v>
      </c>
      <c r="J30" s="78">
        <v>992</v>
      </c>
      <c r="K30" s="78">
        <v>991</v>
      </c>
      <c r="L30" s="78">
        <v>992</v>
      </c>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29">
        <v>14722.5</v>
      </c>
      <c r="H31" s="29">
        <v>4245.1000000000004</v>
      </c>
      <c r="I31" s="29">
        <f>V25</f>
        <v>14722.5</v>
      </c>
      <c r="J31" s="29">
        <f>W25</f>
        <v>4305.6000000000004</v>
      </c>
      <c r="K31" s="29">
        <f>G31-I31</f>
        <v>0</v>
      </c>
      <c r="L31" s="29">
        <f>H31-J31</f>
        <v>-60.5</v>
      </c>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
      <c r="H32" s="80"/>
      <c r="I32" s="27"/>
      <c r="J32" s="80"/>
      <c r="K32" s="27"/>
      <c r="L32" s="27"/>
      <c r="M32" s="27"/>
      <c r="N32" s="74"/>
      <c r="O32" s="27"/>
      <c r="P32" s="27"/>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7"/>
      <c r="H33" s="80"/>
      <c r="I33" s="27"/>
      <c r="J33" s="80"/>
      <c r="K33" s="27"/>
      <c r="L33" s="27"/>
      <c r="M33" s="27"/>
      <c r="N33" s="74"/>
      <c r="O33" s="27"/>
      <c r="P33" s="27"/>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4" spans="1:44" s="75" customFormat="1" x14ac:dyDescent="0.2">
      <c r="A34" s="70"/>
      <c r="B34" s="70"/>
      <c r="C34" s="71"/>
      <c r="D34" s="77"/>
      <c r="E34" s="77"/>
      <c r="F34" s="27"/>
      <c r="G34" s="27"/>
      <c r="H34" s="80"/>
      <c r="I34" s="27"/>
      <c r="J34" s="80"/>
      <c r="K34" s="27"/>
      <c r="L34" s="27"/>
      <c r="M34" s="27"/>
      <c r="N34" s="74"/>
      <c r="O34" s="27"/>
      <c r="P34" s="27"/>
      <c r="Q34" s="27"/>
      <c r="R34" s="27"/>
      <c r="S34" s="27"/>
      <c r="T34" s="27"/>
      <c r="U34" s="27"/>
      <c r="V34" s="27"/>
      <c r="W34" s="27"/>
      <c r="X34" s="27"/>
      <c r="Y34" s="27"/>
      <c r="Z34" s="27"/>
      <c r="AA34" s="27"/>
      <c r="AB34" s="27"/>
      <c r="AC34" s="27"/>
      <c r="AD34" s="27"/>
      <c r="AE34" s="27"/>
      <c r="AF34" s="27"/>
      <c r="AG34" s="27"/>
      <c r="AH34" s="27"/>
      <c r="AI34" s="27"/>
      <c r="AJ34" s="76"/>
      <c r="AN34" s="76"/>
      <c r="AO34" s="76"/>
      <c r="AP34" s="76"/>
      <c r="AQ34" s="76"/>
      <c r="AR34" s="76"/>
    </row>
    <row r="35" spans="1:44" s="75" customFormat="1" x14ac:dyDescent="0.2">
      <c r="A35" s="70"/>
      <c r="B35" s="70"/>
      <c r="C35" s="71"/>
      <c r="D35" s="77"/>
      <c r="E35" s="77"/>
      <c r="F35" s="27"/>
      <c r="G35" s="27"/>
      <c r="H35" s="80"/>
      <c r="I35" s="27"/>
      <c r="J35" s="80"/>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J35" s="76"/>
      <c r="AN35" s="76"/>
      <c r="AO35" s="76"/>
      <c r="AP35" s="76"/>
      <c r="AQ35" s="76"/>
      <c r="AR35" s="76"/>
    </row>
    <row r="36" spans="1:44" s="35" customFormat="1" ht="20.25" x14ac:dyDescent="0.2">
      <c r="A36" s="81"/>
      <c r="B36" s="82" t="s">
        <v>138</v>
      </c>
      <c r="C36" s="83"/>
      <c r="D36" s="84"/>
      <c r="E36" s="84"/>
      <c r="F36" s="85"/>
      <c r="G36" s="85"/>
      <c r="H36" s="86"/>
      <c r="I36" s="86"/>
      <c r="J36" s="85"/>
      <c r="K36" s="30" t="s">
        <v>166</v>
      </c>
      <c r="L36" s="85"/>
      <c r="M36" s="85"/>
      <c r="N36" s="87"/>
      <c r="O36" s="85"/>
      <c r="P36" s="85"/>
      <c r="Q36" s="85"/>
      <c r="R36" s="85"/>
      <c r="S36" s="85"/>
      <c r="T36" s="85"/>
      <c r="U36" s="85"/>
      <c r="V36" s="85"/>
      <c r="W36" s="85"/>
      <c r="X36" s="85"/>
      <c r="Y36" s="85"/>
      <c r="Z36" s="85"/>
      <c r="AA36" s="85"/>
      <c r="AB36" s="85"/>
      <c r="AC36" s="85"/>
      <c r="AD36" s="85"/>
      <c r="AE36" s="85"/>
      <c r="AF36" s="85"/>
      <c r="AG36" s="85"/>
      <c r="AH36" s="85"/>
      <c r="AI36" s="85"/>
      <c r="AK36" s="88"/>
      <c r="AL36" s="88"/>
      <c r="AM36" s="88"/>
      <c r="AN36" s="88"/>
      <c r="AO36" s="88"/>
    </row>
    <row r="37" spans="1:44" s="143" customFormat="1" x14ac:dyDescent="0.2">
      <c r="A37" s="136"/>
      <c r="B37" s="136"/>
      <c r="C37" s="137"/>
      <c r="D37" s="144"/>
      <c r="E37" s="144"/>
      <c r="F37" s="140"/>
      <c r="G37" s="140"/>
      <c r="H37" s="139"/>
      <c r="I37" s="139"/>
      <c r="J37" s="140"/>
      <c r="K37" s="140"/>
      <c r="L37" s="140"/>
      <c r="M37" s="140"/>
      <c r="N37" s="141"/>
      <c r="O37" s="140"/>
      <c r="P37" s="140"/>
      <c r="Q37" s="140"/>
      <c r="R37" s="140"/>
      <c r="S37" s="140"/>
      <c r="T37" s="140"/>
      <c r="U37" s="140"/>
      <c r="V37" s="140"/>
      <c r="W37" s="140"/>
      <c r="X37" s="140"/>
      <c r="Y37" s="140"/>
      <c r="Z37" s="140"/>
      <c r="AA37" s="140"/>
      <c r="AB37" s="140"/>
      <c r="AC37" s="140"/>
      <c r="AD37" s="140"/>
      <c r="AE37" s="140"/>
      <c r="AF37" s="142"/>
      <c r="AK37" s="142"/>
      <c r="AL37" s="142"/>
      <c r="AM37" s="142"/>
      <c r="AN37" s="76"/>
      <c r="AO37" s="76"/>
      <c r="AP37" s="76"/>
      <c r="AQ37" s="76"/>
      <c r="AR37" s="99"/>
    </row>
    <row r="38" spans="1:44" s="143" customFormat="1" x14ac:dyDescent="0.2">
      <c r="A38" s="136"/>
      <c r="B38" s="136"/>
      <c r="C38" s="137"/>
      <c r="D38" s="144"/>
      <c r="E38" s="144"/>
      <c r="F38" s="140"/>
      <c r="G38" s="140"/>
      <c r="H38" s="139"/>
      <c r="I38" s="139"/>
      <c r="J38" s="140"/>
      <c r="K38" s="140"/>
      <c r="L38" s="140"/>
      <c r="M38" s="140"/>
      <c r="N38" s="202"/>
      <c r="O38" s="203"/>
      <c r="P38" s="140"/>
      <c r="Q38" s="140"/>
      <c r="R38" s="140"/>
      <c r="S38" s="140"/>
      <c r="T38" s="140"/>
      <c r="U38" s="140"/>
      <c r="V38" s="140"/>
      <c r="W38" s="140"/>
      <c r="X38" s="140"/>
      <c r="Y38" s="140"/>
      <c r="Z38" s="140"/>
      <c r="AA38" s="140"/>
      <c r="AB38" s="140"/>
      <c r="AC38" s="140"/>
      <c r="AD38" s="140"/>
      <c r="AE38" s="140"/>
      <c r="AF38" s="142"/>
      <c r="AK38" s="142"/>
      <c r="AL38" s="142"/>
      <c r="AM38" s="142"/>
      <c r="AN38" s="76"/>
      <c r="AO38" s="76"/>
      <c r="AP38" s="76"/>
      <c r="AQ38" s="76"/>
      <c r="AR38" s="252"/>
    </row>
    <row r="39" spans="1:44" s="143" customFormat="1" ht="20.25" customHeight="1" x14ac:dyDescent="0.2">
      <c r="A39" s="145" t="s">
        <v>96</v>
      </c>
      <c r="B39" s="145"/>
      <c r="C39" s="146"/>
      <c r="D39" s="146"/>
      <c r="E39" s="146"/>
      <c r="F39" s="146"/>
      <c r="G39" s="146"/>
      <c r="H39" s="146"/>
      <c r="I39" s="146"/>
      <c r="J39" s="146"/>
      <c r="K39" s="146"/>
      <c r="L39" s="147"/>
      <c r="M39" s="147"/>
      <c r="N39" s="202"/>
      <c r="O39" s="203"/>
      <c r="P39" s="147"/>
      <c r="Q39" s="147"/>
      <c r="R39" s="147"/>
      <c r="S39" s="147"/>
      <c r="T39" s="147"/>
      <c r="U39" s="147"/>
      <c r="V39" s="147"/>
      <c r="W39" s="147"/>
      <c r="X39" s="147"/>
      <c r="Y39" s="147"/>
      <c r="Z39" s="147"/>
      <c r="AA39" s="147"/>
      <c r="AB39" s="147"/>
      <c r="AC39" s="147"/>
      <c r="AD39" s="147"/>
      <c r="AE39" s="147"/>
      <c r="AF39" s="142"/>
      <c r="AK39" s="142"/>
      <c r="AL39" s="142"/>
      <c r="AM39" s="142"/>
      <c r="AN39" s="76"/>
      <c r="AO39" s="76"/>
      <c r="AP39" s="76"/>
      <c r="AQ39" s="76"/>
      <c r="AR39" s="99"/>
    </row>
    <row r="40" spans="1:44" s="143" customFormat="1" ht="20.25" customHeight="1" x14ac:dyDescent="0.2">
      <c r="A40" s="145" t="s">
        <v>139</v>
      </c>
      <c r="B40" s="149"/>
      <c r="C40" s="150"/>
      <c r="D40" s="150"/>
      <c r="E40" s="151"/>
      <c r="F40" s="151"/>
      <c r="G40" s="151"/>
      <c r="H40" s="151"/>
      <c r="I40" s="151"/>
      <c r="J40" s="151"/>
      <c r="K40" s="151"/>
      <c r="L40" s="147"/>
      <c r="M40" s="147"/>
      <c r="N40" s="202"/>
      <c r="O40" s="203"/>
      <c r="P40" s="147"/>
      <c r="Q40" s="147"/>
      <c r="R40" s="147"/>
      <c r="S40" s="147"/>
      <c r="T40" s="147"/>
      <c r="U40" s="147"/>
      <c r="V40" s="147"/>
      <c r="W40" s="147"/>
      <c r="X40" s="147"/>
      <c r="Y40" s="147"/>
      <c r="Z40" s="147"/>
      <c r="AA40" s="147"/>
      <c r="AB40" s="147"/>
      <c r="AC40" s="147"/>
      <c r="AD40" s="147"/>
      <c r="AE40" s="147"/>
      <c r="AF40" s="142"/>
      <c r="AK40" s="142"/>
      <c r="AL40" s="142"/>
      <c r="AM40" s="142"/>
      <c r="AN40" s="76"/>
      <c r="AO40" s="76"/>
      <c r="AP40" s="76"/>
      <c r="AQ40" s="76"/>
      <c r="AR40" s="252"/>
    </row>
    <row r="41" spans="1:44" x14ac:dyDescent="0.2">
      <c r="A41" s="99"/>
      <c r="I41" s="153"/>
      <c r="J41" s="153"/>
      <c r="W41" s="131"/>
      <c r="X41" s="131"/>
      <c r="AA41" s="131"/>
      <c r="AD41" s="131"/>
      <c r="AE41" s="131"/>
      <c r="AN41" s="76"/>
      <c r="AO41" s="76"/>
      <c r="AP41" s="76"/>
      <c r="AQ41" s="76"/>
      <c r="AR41" s="98"/>
    </row>
    <row r="42" spans="1:44" ht="16.5" x14ac:dyDescent="0.2">
      <c r="A42" s="258"/>
      <c r="W42" s="131"/>
      <c r="X42" s="131"/>
      <c r="AA42" s="131"/>
      <c r="AD42" s="131"/>
      <c r="AE42" s="131"/>
    </row>
    <row r="43" spans="1:44" x14ac:dyDescent="0.2">
      <c r="AG43" s="114"/>
    </row>
    <row r="45" spans="1:44" x14ac:dyDescent="0.2">
      <c r="E45" s="115"/>
    </row>
    <row r="46" spans="1:44" x14ac:dyDescent="0.2">
      <c r="E46" s="115"/>
    </row>
    <row r="47" spans="1:44" x14ac:dyDescent="0.2">
      <c r="E47" s="115"/>
      <c r="K47" s="153"/>
    </row>
    <row r="48" spans="1:44" x14ac:dyDescent="0.2">
      <c r="A48" s="99"/>
      <c r="E48" s="115"/>
    </row>
    <row r="49" spans="1:45" x14ac:dyDescent="0.2">
      <c r="A49" s="99"/>
      <c r="E49" s="115"/>
    </row>
    <row r="50" spans="1:45" x14ac:dyDescent="0.2">
      <c r="A50" s="99"/>
      <c r="E50" s="115"/>
    </row>
    <row r="51" spans="1:45" x14ac:dyDescent="0.2">
      <c r="A51" s="99"/>
      <c r="E51" s="115"/>
    </row>
    <row r="52" spans="1:45" x14ac:dyDescent="0.2">
      <c r="A52" s="99"/>
      <c r="E52" s="115"/>
    </row>
    <row r="53" spans="1:45" x14ac:dyDescent="0.2">
      <c r="A53" s="99"/>
      <c r="E53" s="115"/>
    </row>
    <row r="54" spans="1:45" x14ac:dyDescent="0.2">
      <c r="A54" s="99"/>
      <c r="E54" s="115"/>
    </row>
    <row r="55" spans="1:45" x14ac:dyDescent="0.2">
      <c r="A55" s="99"/>
      <c r="E55" s="115"/>
    </row>
    <row r="56" spans="1:45" x14ac:dyDescent="0.2">
      <c r="A56" s="99"/>
      <c r="E56" s="115"/>
    </row>
    <row r="57" spans="1:45" x14ac:dyDescent="0.2">
      <c r="A57" s="99"/>
      <c r="E57" s="115"/>
    </row>
    <row r="58" spans="1:45" x14ac:dyDescent="0.2">
      <c r="A58" s="99"/>
      <c r="E58" s="115"/>
    </row>
    <row r="59" spans="1:45" x14ac:dyDescent="0.2">
      <c r="A59" s="99"/>
      <c r="E59" s="115"/>
    </row>
    <row r="60" spans="1:45" s="211" customFormat="1" x14ac:dyDescent="0.2">
      <c r="A60" s="99"/>
      <c r="B60" s="99"/>
      <c r="C60" s="99"/>
      <c r="D60" s="99"/>
      <c r="E60" s="115"/>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R60" s="99"/>
      <c r="AS60" s="99"/>
    </row>
    <row r="61" spans="1:45" s="211" customFormat="1" x14ac:dyDescent="0.2">
      <c r="A61" s="99"/>
      <c r="B61" s="99"/>
      <c r="C61" s="99"/>
      <c r="D61" s="99"/>
      <c r="E61" s="115"/>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R61" s="99"/>
      <c r="AS61" s="99"/>
    </row>
    <row r="62" spans="1:45" s="211" customFormat="1" x14ac:dyDescent="0.2">
      <c r="A62" s="99"/>
      <c r="B62" s="99"/>
      <c r="C62" s="99"/>
      <c r="D62" s="99"/>
      <c r="E62" s="115"/>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R62" s="99"/>
      <c r="AS62" s="99"/>
    </row>
    <row r="63" spans="1:45" s="211" customFormat="1" x14ac:dyDescent="0.2">
      <c r="A63" s="99"/>
      <c r="B63" s="99"/>
      <c r="C63" s="99"/>
      <c r="D63" s="99"/>
      <c r="E63" s="115"/>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R63" s="99"/>
      <c r="AS63" s="99"/>
    </row>
    <row r="64" spans="1:45" s="211" customFormat="1" x14ac:dyDescent="0.2">
      <c r="A64" s="99"/>
      <c r="B64" s="99"/>
      <c r="C64" s="99"/>
      <c r="D64" s="99"/>
      <c r="E64" s="115"/>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R64" s="99"/>
      <c r="AS64" s="99"/>
    </row>
    <row r="65" spans="1:45" s="211" customFormat="1" x14ac:dyDescent="0.2">
      <c r="A65" s="99"/>
      <c r="B65" s="99"/>
      <c r="C65" s="99"/>
      <c r="D65" s="99"/>
      <c r="E65" s="115"/>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R65" s="99"/>
      <c r="AS65" s="99"/>
    </row>
    <row r="66" spans="1:45" s="211" customFormat="1" x14ac:dyDescent="0.2">
      <c r="A66" s="99"/>
      <c r="B66" s="99"/>
      <c r="C66" s="99"/>
      <c r="D66" s="99"/>
      <c r="E66" s="115"/>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R66" s="99"/>
      <c r="AS66" s="99"/>
    </row>
  </sheetData>
  <autoFilter ref="A8:AS25"/>
  <mergeCells count="37">
    <mergeCell ref="G29:H29"/>
    <mergeCell ref="AA6:AC6"/>
    <mergeCell ref="AD6:AF6"/>
    <mergeCell ref="K6:K7"/>
    <mergeCell ref="AH6:AH7"/>
    <mergeCell ref="U9:U24"/>
    <mergeCell ref="W6:W7"/>
    <mergeCell ref="X6:Z6"/>
    <mergeCell ref="I29:J29"/>
    <mergeCell ref="K29:L29"/>
    <mergeCell ref="A25:B25"/>
    <mergeCell ref="S6:S7"/>
    <mergeCell ref="T6:T7"/>
    <mergeCell ref="U6:U7"/>
    <mergeCell ref="V6:V7"/>
    <mergeCell ref="L6:L7"/>
    <mergeCell ref="M6:M7"/>
    <mergeCell ref="N6:O6"/>
    <mergeCell ref="P6:P7"/>
    <mergeCell ref="Q6:Q7"/>
    <mergeCell ref="R6:R7"/>
    <mergeCell ref="AE1:AH1"/>
    <mergeCell ref="A2:AH2"/>
    <mergeCell ref="A3:AH3"/>
    <mergeCell ref="A5:A7"/>
    <mergeCell ref="B5:B7"/>
    <mergeCell ref="C5:C7"/>
    <mergeCell ref="D5:W5"/>
    <mergeCell ref="D6:D7"/>
    <mergeCell ref="E6:E7"/>
    <mergeCell ref="F6:F7"/>
    <mergeCell ref="G6:G7"/>
    <mergeCell ref="H6:H7"/>
    <mergeCell ref="I6:I7"/>
    <mergeCell ref="J6:J7"/>
    <mergeCell ref="AG6:AG7"/>
    <mergeCell ref="X5:AH5"/>
  </mergeCells>
  <printOptions horizontalCentered="1"/>
  <pageMargins left="0" right="0" top="0" bottom="0" header="0.31496062992125984" footer="0.31496062992125984"/>
  <pageSetup paperSize="9" scale="39" orientation="landscape"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0">
    <tabColor rgb="FF00B0F0"/>
    <pageSetUpPr fitToPage="1"/>
  </sheetPr>
  <dimension ref="A1:AS68"/>
  <sheetViews>
    <sheetView view="pageBreakPreview" zoomScale="80" zoomScaleNormal="70" zoomScaleSheetLayoutView="80" workbookViewId="0">
      <pane xSplit="3" ySplit="8" topLeftCell="N21"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0.664062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3196"/>
      <c r="AF1" s="3196"/>
      <c r="AG1" s="3196"/>
      <c r="AH1" s="3196"/>
    </row>
    <row r="2" spans="1:45" ht="24" customHeight="1" x14ac:dyDescent="0.2">
      <c r="A2" s="3197" t="s">
        <v>150</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101"/>
    </row>
    <row r="4" spans="1:45" x14ac:dyDescent="0.2">
      <c r="L4" s="38">
        <v>0.27208500000000002</v>
      </c>
      <c r="M4" s="38"/>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104" t="s">
        <v>80</v>
      </c>
      <c r="O7" s="104" t="s">
        <v>81</v>
      </c>
      <c r="P7" s="3204"/>
      <c r="Q7" s="3203"/>
      <c r="R7" s="3201"/>
      <c r="S7" s="3203" t="s">
        <v>67</v>
      </c>
      <c r="T7" s="3201"/>
      <c r="U7" s="3201"/>
      <c r="V7" s="3201"/>
      <c r="W7" s="3201"/>
      <c r="X7" s="105" t="s">
        <v>5</v>
      </c>
      <c r="Y7" s="105" t="s">
        <v>6</v>
      </c>
      <c r="Z7" s="105" t="s">
        <v>74</v>
      </c>
      <c r="AA7" s="105" t="s">
        <v>5</v>
      </c>
      <c r="AB7" s="105" t="s">
        <v>6</v>
      </c>
      <c r="AC7" s="105" t="s">
        <v>75</v>
      </c>
      <c r="AD7" s="105" t="s">
        <v>5</v>
      </c>
      <c r="AE7" s="105" t="s">
        <v>6</v>
      </c>
      <c r="AF7" s="105" t="s">
        <v>76</v>
      </c>
      <c r="AG7" s="3200"/>
      <c r="AH7" s="3200"/>
      <c r="AK7" s="99" t="s">
        <v>64</v>
      </c>
      <c r="AL7" s="99" t="s">
        <v>62</v>
      </c>
      <c r="AM7" s="99" t="s">
        <v>63</v>
      </c>
    </row>
    <row r="8" spans="1:45" ht="18" customHeight="1" x14ac:dyDescent="0.2">
      <c r="A8" s="103">
        <v>1</v>
      </c>
      <c r="B8" s="103">
        <v>2</v>
      </c>
      <c r="C8" s="103">
        <v>3</v>
      </c>
      <c r="D8" s="103">
        <v>4</v>
      </c>
      <c r="E8" s="103">
        <v>5</v>
      </c>
      <c r="F8" s="103">
        <v>6</v>
      </c>
      <c r="G8" s="103">
        <v>7</v>
      </c>
      <c r="H8" s="103">
        <v>8</v>
      </c>
      <c r="I8" s="103">
        <v>9</v>
      </c>
      <c r="J8" s="103">
        <v>10</v>
      </c>
      <c r="K8" s="103">
        <v>11</v>
      </c>
      <c r="L8" s="103">
        <v>12</v>
      </c>
      <c r="M8" s="103">
        <v>13</v>
      </c>
      <c r="N8" s="103">
        <v>14</v>
      </c>
      <c r="O8" s="103">
        <v>15</v>
      </c>
      <c r="P8" s="103">
        <v>16</v>
      </c>
      <c r="Q8" s="103">
        <v>17</v>
      </c>
      <c r="R8" s="103">
        <v>18</v>
      </c>
      <c r="S8" s="103">
        <v>19</v>
      </c>
      <c r="T8" s="103">
        <v>20</v>
      </c>
      <c r="U8" s="103">
        <v>21</v>
      </c>
      <c r="V8" s="103">
        <v>22</v>
      </c>
      <c r="W8" s="103">
        <v>23</v>
      </c>
      <c r="X8" s="103">
        <v>24</v>
      </c>
      <c r="Y8" s="103">
        <v>25</v>
      </c>
      <c r="Z8" s="103">
        <v>26</v>
      </c>
      <c r="AA8" s="103">
        <v>27</v>
      </c>
      <c r="AB8" s="103">
        <v>28</v>
      </c>
      <c r="AC8" s="103">
        <v>29</v>
      </c>
      <c r="AD8" s="103">
        <v>30</v>
      </c>
      <c r="AE8" s="103">
        <v>31</v>
      </c>
      <c r="AF8" s="103">
        <v>32</v>
      </c>
      <c r="AG8" s="103">
        <v>33</v>
      </c>
      <c r="AH8" s="103">
        <v>34</v>
      </c>
      <c r="AN8" s="212" t="s">
        <v>116</v>
      </c>
      <c r="AO8" s="212" t="s">
        <v>117</v>
      </c>
      <c r="AP8" s="212" t="s">
        <v>118</v>
      </c>
      <c r="AQ8" s="212" t="s">
        <v>119</v>
      </c>
    </row>
    <row r="9" spans="1:45" ht="16.5" customHeight="1" x14ac:dyDescent="0.2">
      <c r="A9" s="103">
        <v>1</v>
      </c>
      <c r="B9" s="236" t="s">
        <v>14</v>
      </c>
      <c r="C9" s="259">
        <v>1</v>
      </c>
      <c r="D9" s="237">
        <v>25.873000000000001</v>
      </c>
      <c r="E9" s="260">
        <f t="shared" ref="E9:E27" si="0">C9*D9</f>
        <v>25.87</v>
      </c>
      <c r="F9" s="185">
        <f t="shared" ref="F9:F27" si="1">E9*12</f>
        <v>310.39999999999998</v>
      </c>
      <c r="G9" s="95"/>
      <c r="H9" s="95"/>
      <c r="I9" s="95"/>
      <c r="J9" s="95"/>
      <c r="K9" s="95"/>
      <c r="L9" s="95">
        <f>F9*$L$4</f>
        <v>84.5</v>
      </c>
      <c r="M9" s="95">
        <f t="shared" ref="M9:M27" si="2">F9+G9+H9+I9+J9+K9+L9</f>
        <v>394.9</v>
      </c>
      <c r="N9" s="111">
        <v>0.47</v>
      </c>
      <c r="O9" s="95">
        <f t="shared" ref="O9:O27" si="3">M9*N9</f>
        <v>185.6</v>
      </c>
      <c r="P9" s="95">
        <f t="shared" ref="P9:P27" si="4">M9+O9</f>
        <v>580.5</v>
      </c>
      <c r="Q9" s="95">
        <f t="shared" ref="Q9:Q27" si="5">P9*0.8</f>
        <v>464.4</v>
      </c>
      <c r="R9" s="95">
        <f t="shared" ref="R9:R27" si="6">P9*0.8</f>
        <v>464.4</v>
      </c>
      <c r="S9" s="95">
        <f t="shared" ref="S9:S27" si="7">(P9+Q9+R9)*0.032</f>
        <v>48.3</v>
      </c>
      <c r="T9" s="95">
        <f t="shared" ref="T9:T27" si="8">P9+Q9+R9+S9</f>
        <v>1557.6</v>
      </c>
      <c r="U9" s="3429">
        <v>1</v>
      </c>
      <c r="V9" s="95">
        <f t="shared" ref="V9:V26" si="9">T9*$U$9</f>
        <v>1557.6</v>
      </c>
      <c r="W9" s="95">
        <f>AQ9</f>
        <v>401.5</v>
      </c>
      <c r="X9" s="103">
        <v>1</v>
      </c>
      <c r="Y9" s="112">
        <v>30</v>
      </c>
      <c r="Z9" s="113">
        <f t="shared" ref="Z9:Z27" si="10">X9*Y9</f>
        <v>30</v>
      </c>
      <c r="AA9" s="103"/>
      <c r="AB9" s="112">
        <v>15</v>
      </c>
      <c r="AC9" s="113">
        <f t="shared" ref="AC9:AC27" si="11">AA9*AB9</f>
        <v>0</v>
      </c>
      <c r="AD9" s="103"/>
      <c r="AE9" s="112">
        <v>30</v>
      </c>
      <c r="AF9" s="113">
        <f t="shared" ref="AF9:AF27" si="12">AD9*AE9</f>
        <v>0</v>
      </c>
      <c r="AG9" s="113">
        <f t="shared" ref="AG9:AG27" si="13">(Z9+AC9+AF9)*1%*30</f>
        <v>9</v>
      </c>
      <c r="AH9" s="113">
        <f t="shared" ref="AH9:AH27" si="14">Z9+AC9+AF9+AG9</f>
        <v>39</v>
      </c>
      <c r="AI9" s="131">
        <f t="shared" ref="AI9:AI23" si="15">V9/12/C9*1000</f>
        <v>129800</v>
      </c>
      <c r="AK9" s="114">
        <f t="shared" ref="AK9:AK23" si="16">V9/C9</f>
        <v>1557.6</v>
      </c>
      <c r="AL9" s="114">
        <f>((979*0.302)+((AK9-979)*0.182))</f>
        <v>401</v>
      </c>
      <c r="AM9" s="115">
        <f>AL9/AK9</f>
        <v>0.25700000000000001</v>
      </c>
      <c r="AN9" s="50">
        <f>1150*0.22+(AK9-1150)*0.1</f>
        <v>293.8</v>
      </c>
      <c r="AO9" s="50">
        <f>865*0.029</f>
        <v>25.1</v>
      </c>
      <c r="AP9" s="50">
        <f>AK9*0.053</f>
        <v>82.6</v>
      </c>
      <c r="AQ9" s="50">
        <f>SUM(AN9:AP9)*C9</f>
        <v>401.5</v>
      </c>
      <c r="AS9" s="99">
        <f t="shared" ref="AS9:AS27" si="17">D9*1.5</f>
        <v>38.8095</v>
      </c>
    </row>
    <row r="10" spans="1:45" x14ac:dyDescent="0.2">
      <c r="A10" s="103">
        <v>2</v>
      </c>
      <c r="B10" s="236" t="s">
        <v>127</v>
      </c>
      <c r="C10" s="259">
        <v>2</v>
      </c>
      <c r="D10" s="237">
        <v>18.111000000000001</v>
      </c>
      <c r="E10" s="260">
        <f t="shared" si="0"/>
        <v>36.22</v>
      </c>
      <c r="F10" s="185">
        <f t="shared" si="1"/>
        <v>434.6</v>
      </c>
      <c r="G10" s="95"/>
      <c r="H10" s="95">
        <f>7.062+7.945</f>
        <v>15</v>
      </c>
      <c r="I10" s="95"/>
      <c r="J10" s="95"/>
      <c r="K10" s="95">
        <f>(D10*0.4+D10*0.2)*12</f>
        <v>130.4</v>
      </c>
      <c r="L10" s="95">
        <f t="shared" ref="L10:L25" si="18">F10*$L$4</f>
        <v>118.2</v>
      </c>
      <c r="M10" s="95">
        <f t="shared" si="2"/>
        <v>698.2</v>
      </c>
      <c r="N10" s="111">
        <v>0.47</v>
      </c>
      <c r="O10" s="95">
        <f t="shared" si="3"/>
        <v>328.2</v>
      </c>
      <c r="P10" s="95">
        <f t="shared" si="4"/>
        <v>1026.4000000000001</v>
      </c>
      <c r="Q10" s="95">
        <f t="shared" si="5"/>
        <v>821.1</v>
      </c>
      <c r="R10" s="95">
        <f t="shared" si="6"/>
        <v>821.1</v>
      </c>
      <c r="S10" s="95">
        <f t="shared" si="7"/>
        <v>85.4</v>
      </c>
      <c r="T10" s="95">
        <f t="shared" si="8"/>
        <v>2754</v>
      </c>
      <c r="U10" s="3430"/>
      <c r="V10" s="95">
        <f t="shared" si="9"/>
        <v>2754</v>
      </c>
      <c r="W10" s="95">
        <f>AQ10</f>
        <v>747.6</v>
      </c>
      <c r="X10" s="103"/>
      <c r="Y10" s="112">
        <v>30</v>
      </c>
      <c r="Z10" s="113">
        <f t="shared" si="10"/>
        <v>0</v>
      </c>
      <c r="AA10" s="103"/>
      <c r="AB10" s="112">
        <v>15</v>
      </c>
      <c r="AC10" s="113">
        <f t="shared" si="11"/>
        <v>0</v>
      </c>
      <c r="AD10" s="103"/>
      <c r="AE10" s="112">
        <v>30</v>
      </c>
      <c r="AF10" s="113">
        <f t="shared" si="12"/>
        <v>0</v>
      </c>
      <c r="AG10" s="113">
        <f t="shared" si="13"/>
        <v>0</v>
      </c>
      <c r="AH10" s="113">
        <f t="shared" si="14"/>
        <v>0</v>
      </c>
      <c r="AI10" s="131">
        <f t="shared" si="15"/>
        <v>114750</v>
      </c>
      <c r="AK10" s="114">
        <f t="shared" si="16"/>
        <v>1377</v>
      </c>
      <c r="AL10" s="114">
        <f t="shared" ref="AL10:AL27" si="19">((979*0.302)+((AK10-979)*0.182))</f>
        <v>368.1</v>
      </c>
      <c r="AM10" s="115">
        <f>AL10/AK10</f>
        <v>0.26700000000000002</v>
      </c>
      <c r="AN10" s="50">
        <f>1150*0.22+(AK10-1150)*0.1</f>
        <v>275.7</v>
      </c>
      <c r="AO10" s="50">
        <f>865*0.029</f>
        <v>25.1</v>
      </c>
      <c r="AP10" s="50">
        <f>AK10*0.053</f>
        <v>73</v>
      </c>
      <c r="AQ10" s="50">
        <f>SUM(AN10:AP10)*C10</f>
        <v>747.6</v>
      </c>
      <c r="AS10" s="99">
        <f t="shared" si="17"/>
        <v>27.166499999999999</v>
      </c>
    </row>
    <row r="11" spans="1:45" ht="15.75" customHeight="1" x14ac:dyDescent="0.2">
      <c r="A11" s="103">
        <v>3</v>
      </c>
      <c r="B11" s="261" t="s">
        <v>23</v>
      </c>
      <c r="C11" s="262">
        <v>4</v>
      </c>
      <c r="D11" s="237">
        <v>11.061999999999999</v>
      </c>
      <c r="E11" s="111">
        <f t="shared" si="0"/>
        <v>44.25</v>
      </c>
      <c r="F11" s="95">
        <f t="shared" si="1"/>
        <v>531</v>
      </c>
      <c r="G11" s="95"/>
      <c r="H11" s="95">
        <f>2.757+7.01+7.01+7.789</f>
        <v>24.6</v>
      </c>
      <c r="I11" s="95"/>
      <c r="J11" s="95"/>
      <c r="K11" s="95">
        <f>(D11*0.4*3+D11*0.25)*12</f>
        <v>192.5</v>
      </c>
      <c r="L11" s="95">
        <f t="shared" si="18"/>
        <v>144.5</v>
      </c>
      <c r="M11" s="95">
        <f t="shared" si="2"/>
        <v>892.6</v>
      </c>
      <c r="N11" s="111">
        <v>0.43</v>
      </c>
      <c r="O11" s="95">
        <f t="shared" si="3"/>
        <v>383.8</v>
      </c>
      <c r="P11" s="95">
        <f t="shared" si="4"/>
        <v>1276.4000000000001</v>
      </c>
      <c r="Q11" s="95">
        <f t="shared" si="5"/>
        <v>1021.1</v>
      </c>
      <c r="R11" s="95">
        <f t="shared" si="6"/>
        <v>1021.1</v>
      </c>
      <c r="S11" s="95">
        <f t="shared" si="7"/>
        <v>106.2</v>
      </c>
      <c r="T11" s="95">
        <f t="shared" si="8"/>
        <v>3424.8</v>
      </c>
      <c r="U11" s="3430"/>
      <c r="V11" s="95">
        <f>T11*$U$9</f>
        <v>3424.8</v>
      </c>
      <c r="W11" s="95">
        <f>V11*0.302</f>
        <v>1034.3</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71350</v>
      </c>
      <c r="AK11" s="114">
        <f t="shared" si="16"/>
        <v>856.2</v>
      </c>
      <c r="AL11" s="114">
        <f t="shared" si="19"/>
        <v>273.3</v>
      </c>
      <c r="AM11" s="115">
        <v>0.30199999999999999</v>
      </c>
      <c r="AN11" s="50"/>
      <c r="AO11" s="50"/>
      <c r="AP11" s="50"/>
      <c r="AQ11" s="50"/>
      <c r="AS11" s="99">
        <f t="shared" si="17"/>
        <v>16.593</v>
      </c>
    </row>
    <row r="12" spans="1:45" x14ac:dyDescent="0.2">
      <c r="A12" s="103">
        <v>4</v>
      </c>
      <c r="B12" s="261" t="s">
        <v>47</v>
      </c>
      <c r="C12" s="262">
        <v>1</v>
      </c>
      <c r="D12" s="237">
        <v>6.2859999999999996</v>
      </c>
      <c r="E12" s="111">
        <f t="shared" si="0"/>
        <v>6.29</v>
      </c>
      <c r="F12" s="95">
        <f t="shared" si="1"/>
        <v>75.5</v>
      </c>
      <c r="G12" s="95"/>
      <c r="H12" s="95">
        <f>3064.3/1000</f>
        <v>3.1</v>
      </c>
      <c r="I12" s="95"/>
      <c r="J12" s="95"/>
      <c r="K12" s="95">
        <f>F12*0.25</f>
        <v>18.899999999999999</v>
      </c>
      <c r="L12" s="95">
        <f t="shared" si="18"/>
        <v>20.5</v>
      </c>
      <c r="M12" s="95">
        <f t="shared" si="2"/>
        <v>118</v>
      </c>
      <c r="N12" s="111">
        <v>0.45</v>
      </c>
      <c r="O12" s="95">
        <f t="shared" si="3"/>
        <v>53.1</v>
      </c>
      <c r="P12" s="95">
        <f t="shared" si="4"/>
        <v>171.1</v>
      </c>
      <c r="Q12" s="95">
        <f t="shared" si="5"/>
        <v>136.9</v>
      </c>
      <c r="R12" s="95">
        <f t="shared" si="6"/>
        <v>136.9</v>
      </c>
      <c r="S12" s="95">
        <f t="shared" si="7"/>
        <v>14.2</v>
      </c>
      <c r="T12" s="95">
        <f t="shared" si="8"/>
        <v>459.1</v>
      </c>
      <c r="U12" s="3430"/>
      <c r="V12" s="95">
        <f t="shared" si="9"/>
        <v>459.1</v>
      </c>
      <c r="W12" s="95">
        <f t="shared" ref="W12:W27" si="20">V12*0.302</f>
        <v>138.6</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38258.33</v>
      </c>
      <c r="AK12" s="114">
        <f t="shared" si="16"/>
        <v>459.1</v>
      </c>
      <c r="AL12" s="114">
        <f t="shared" si="19"/>
        <v>201</v>
      </c>
      <c r="AM12" s="115">
        <v>0.30199999999999999</v>
      </c>
      <c r="AO12" s="50"/>
      <c r="AP12" s="50"/>
      <c r="AQ12" s="50"/>
      <c r="AS12" s="99">
        <f t="shared" si="17"/>
        <v>9.4290000000000003</v>
      </c>
    </row>
    <row r="13" spans="1:45" x14ac:dyDescent="0.2">
      <c r="A13" s="103">
        <v>5</v>
      </c>
      <c r="B13" s="236" t="s">
        <v>15</v>
      </c>
      <c r="C13" s="262">
        <v>1</v>
      </c>
      <c r="D13" s="237">
        <v>11.061999999999999</v>
      </c>
      <c r="E13" s="111">
        <f t="shared" si="0"/>
        <v>11.06</v>
      </c>
      <c r="F13" s="95">
        <f t="shared" si="1"/>
        <v>132.69999999999999</v>
      </c>
      <c r="G13" s="95"/>
      <c r="H13" s="95"/>
      <c r="I13" s="95"/>
      <c r="J13" s="95"/>
      <c r="K13" s="95">
        <f>D11*0.25*4.6+D11*0.3*7.4</f>
        <v>37.299999999999997</v>
      </c>
      <c r="L13" s="95">
        <f t="shared" si="18"/>
        <v>36.1</v>
      </c>
      <c r="M13" s="95">
        <f t="shared" si="2"/>
        <v>206.1</v>
      </c>
      <c r="N13" s="111">
        <v>0.43</v>
      </c>
      <c r="O13" s="95">
        <f t="shared" si="3"/>
        <v>88.6</v>
      </c>
      <c r="P13" s="95">
        <f t="shared" si="4"/>
        <v>294.7</v>
      </c>
      <c r="Q13" s="95">
        <f t="shared" si="5"/>
        <v>235.8</v>
      </c>
      <c r="R13" s="95">
        <f t="shared" si="6"/>
        <v>235.8</v>
      </c>
      <c r="S13" s="95">
        <f t="shared" si="7"/>
        <v>24.5</v>
      </c>
      <c r="T13" s="95">
        <f t="shared" si="8"/>
        <v>790.8</v>
      </c>
      <c r="U13" s="3430"/>
      <c r="V13" s="95">
        <f t="shared" si="9"/>
        <v>790.8</v>
      </c>
      <c r="W13" s="95">
        <f t="shared" si="20"/>
        <v>238.8</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65900</v>
      </c>
      <c r="AK13" s="114">
        <f t="shared" si="16"/>
        <v>790.8</v>
      </c>
      <c r="AL13" s="114">
        <f t="shared" si="19"/>
        <v>261.39999999999998</v>
      </c>
      <c r="AM13" s="115">
        <v>0.30199999999999999</v>
      </c>
      <c r="AN13" s="50"/>
      <c r="AO13" s="50"/>
      <c r="AP13" s="50"/>
      <c r="AQ13" s="50"/>
      <c r="AS13" s="99">
        <f t="shared" si="17"/>
        <v>16.593</v>
      </c>
    </row>
    <row r="14" spans="1:45" s="245" customFormat="1" x14ac:dyDescent="0.2">
      <c r="A14" s="103">
        <v>6</v>
      </c>
      <c r="B14" s="261" t="s">
        <v>48</v>
      </c>
      <c r="C14" s="262">
        <v>1</v>
      </c>
      <c r="D14" s="237">
        <v>11.061999999999999</v>
      </c>
      <c r="E14" s="249">
        <f t="shared" si="0"/>
        <v>11.06</v>
      </c>
      <c r="F14" s="248">
        <f t="shared" si="1"/>
        <v>132.69999999999999</v>
      </c>
      <c r="G14" s="248"/>
      <c r="H14" s="248">
        <v>7</v>
      </c>
      <c r="I14" s="248"/>
      <c r="J14" s="248"/>
      <c r="K14" s="248">
        <f>F14*0.4</f>
        <v>53.1</v>
      </c>
      <c r="L14" s="95">
        <f t="shared" si="18"/>
        <v>36.1</v>
      </c>
      <c r="M14" s="248">
        <f t="shared" si="2"/>
        <v>228.9</v>
      </c>
      <c r="N14" s="111">
        <v>0.47</v>
      </c>
      <c r="O14" s="248">
        <f t="shared" si="3"/>
        <v>107.6</v>
      </c>
      <c r="P14" s="248">
        <f t="shared" si="4"/>
        <v>336.5</v>
      </c>
      <c r="Q14" s="248">
        <f t="shared" si="5"/>
        <v>269.2</v>
      </c>
      <c r="R14" s="248">
        <f t="shared" si="6"/>
        <v>269.2</v>
      </c>
      <c r="S14" s="248">
        <f t="shared" si="7"/>
        <v>28</v>
      </c>
      <c r="T14" s="248">
        <f t="shared" si="8"/>
        <v>902.9</v>
      </c>
      <c r="U14" s="3430"/>
      <c r="V14" s="248">
        <f t="shared" si="9"/>
        <v>902.9</v>
      </c>
      <c r="W14" s="95">
        <f>AQ14</f>
        <v>271.60000000000002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75241.67</v>
      </c>
      <c r="AK14" s="114">
        <f t="shared" si="16"/>
        <v>902.9</v>
      </c>
      <c r="AL14" s="114">
        <f t="shared" si="19"/>
        <v>281.8</v>
      </c>
      <c r="AM14" s="115">
        <v>0.30199999999999999</v>
      </c>
      <c r="AN14" s="50">
        <f>AK14*0.22</f>
        <v>198.6</v>
      </c>
      <c r="AO14" s="50">
        <f>865*0.029</f>
        <v>25.1</v>
      </c>
      <c r="AP14" s="50">
        <f>AK14*0.053</f>
        <v>47.9</v>
      </c>
      <c r="AQ14" s="50">
        <f>SUM(AN14:AP14)*C14</f>
        <v>271.60000000000002</v>
      </c>
      <c r="AS14" s="99">
        <f t="shared" si="17"/>
        <v>16.593</v>
      </c>
    </row>
    <row r="15" spans="1:45" x14ac:dyDescent="0.2">
      <c r="A15" s="103">
        <v>7</v>
      </c>
      <c r="B15" s="236" t="s">
        <v>49</v>
      </c>
      <c r="C15" s="259">
        <v>1</v>
      </c>
      <c r="D15" s="237">
        <v>8.4730000000000008</v>
      </c>
      <c r="E15" s="111">
        <f t="shared" si="0"/>
        <v>8.4700000000000006</v>
      </c>
      <c r="F15" s="95">
        <f t="shared" si="1"/>
        <v>101.6</v>
      </c>
      <c r="G15" s="95"/>
      <c r="H15" s="95">
        <v>6</v>
      </c>
      <c r="I15" s="95"/>
      <c r="J15" s="95"/>
      <c r="K15" s="95">
        <f>F15*0.2</f>
        <v>20.3</v>
      </c>
      <c r="L15" s="95">
        <f t="shared" si="18"/>
        <v>27.6</v>
      </c>
      <c r="M15" s="95">
        <f t="shared" si="2"/>
        <v>155.5</v>
      </c>
      <c r="N15" s="111">
        <v>0.41</v>
      </c>
      <c r="O15" s="95">
        <f t="shared" si="3"/>
        <v>63.8</v>
      </c>
      <c r="P15" s="95">
        <f t="shared" si="4"/>
        <v>219.3</v>
      </c>
      <c r="Q15" s="95">
        <f t="shared" si="5"/>
        <v>175.4</v>
      </c>
      <c r="R15" s="95">
        <f t="shared" si="6"/>
        <v>175.4</v>
      </c>
      <c r="S15" s="95">
        <f t="shared" si="7"/>
        <v>18.2</v>
      </c>
      <c r="T15" s="95">
        <f t="shared" si="8"/>
        <v>588.29999999999995</v>
      </c>
      <c r="U15" s="3430"/>
      <c r="V15" s="95">
        <f t="shared" si="9"/>
        <v>588.29999999999995</v>
      </c>
      <c r="W15" s="95">
        <f t="shared" si="20"/>
        <v>177.7</v>
      </c>
      <c r="X15" s="103"/>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49025</v>
      </c>
      <c r="AK15" s="114">
        <f t="shared" si="16"/>
        <v>588.29999999999995</v>
      </c>
      <c r="AL15" s="114">
        <f t="shared" si="19"/>
        <v>224.6</v>
      </c>
      <c r="AM15" s="115">
        <v>0.30199999999999999</v>
      </c>
      <c r="AO15" s="50"/>
      <c r="AP15" s="50"/>
      <c r="AQ15" s="50"/>
      <c r="AS15" s="99">
        <f t="shared" si="17"/>
        <v>12.7095</v>
      </c>
    </row>
    <row r="16" spans="1:45" x14ac:dyDescent="0.2">
      <c r="A16" s="103">
        <v>8</v>
      </c>
      <c r="B16" s="236" t="s">
        <v>59</v>
      </c>
      <c r="C16" s="259">
        <v>1</v>
      </c>
      <c r="D16" s="237">
        <v>8.4730000000000008</v>
      </c>
      <c r="E16" s="111">
        <f t="shared" si="0"/>
        <v>8.4700000000000006</v>
      </c>
      <c r="F16" s="95">
        <f t="shared" si="1"/>
        <v>101.6</v>
      </c>
      <c r="G16" s="95"/>
      <c r="H16" s="95">
        <v>5.4</v>
      </c>
      <c r="I16" s="95"/>
      <c r="J16" s="95"/>
      <c r="K16" s="95">
        <f>F16*0.4</f>
        <v>40.6</v>
      </c>
      <c r="L16" s="95">
        <f t="shared" si="18"/>
        <v>27.6</v>
      </c>
      <c r="M16" s="95">
        <f t="shared" si="2"/>
        <v>175.2</v>
      </c>
      <c r="N16" s="111">
        <v>0.41</v>
      </c>
      <c r="O16" s="95">
        <f t="shared" si="3"/>
        <v>71.8</v>
      </c>
      <c r="P16" s="95">
        <f t="shared" si="4"/>
        <v>247</v>
      </c>
      <c r="Q16" s="95">
        <f t="shared" si="5"/>
        <v>197.6</v>
      </c>
      <c r="R16" s="95">
        <f t="shared" si="6"/>
        <v>197.6</v>
      </c>
      <c r="S16" s="95">
        <f t="shared" si="7"/>
        <v>20.6</v>
      </c>
      <c r="T16" s="95">
        <f t="shared" si="8"/>
        <v>662.8</v>
      </c>
      <c r="U16" s="3430"/>
      <c r="V16" s="95">
        <f t="shared" si="9"/>
        <v>662.8</v>
      </c>
      <c r="W16" s="95">
        <f t="shared" si="20"/>
        <v>200.2</v>
      </c>
      <c r="X16" s="103"/>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55233.33</v>
      </c>
      <c r="AK16" s="114">
        <f t="shared" si="16"/>
        <v>662.8</v>
      </c>
      <c r="AL16" s="114">
        <f t="shared" si="19"/>
        <v>238.1</v>
      </c>
      <c r="AM16" s="115">
        <v>0.30199999999999999</v>
      </c>
      <c r="AN16" s="50"/>
      <c r="AO16" s="50"/>
      <c r="AP16" s="50"/>
      <c r="AQ16" s="50"/>
      <c r="AS16" s="99">
        <f t="shared" si="17"/>
        <v>12.7095</v>
      </c>
    </row>
    <row r="17" spans="1:45" x14ac:dyDescent="0.2">
      <c r="A17" s="103">
        <v>9</v>
      </c>
      <c r="B17" s="261" t="s">
        <v>40</v>
      </c>
      <c r="C17" s="259">
        <v>1</v>
      </c>
      <c r="D17" s="237">
        <v>11.061999999999999</v>
      </c>
      <c r="E17" s="111">
        <f t="shared" si="0"/>
        <v>11.06</v>
      </c>
      <c r="F17" s="95">
        <f t="shared" si="1"/>
        <v>132.69999999999999</v>
      </c>
      <c r="G17" s="95"/>
      <c r="H17" s="95">
        <f>5392.4/1000</f>
        <v>5.4</v>
      </c>
      <c r="I17" s="95"/>
      <c r="J17" s="95"/>
      <c r="K17" s="95"/>
      <c r="L17" s="95">
        <f t="shared" si="18"/>
        <v>36.1</v>
      </c>
      <c r="M17" s="95">
        <f t="shared" si="2"/>
        <v>174.2</v>
      </c>
      <c r="N17" s="111">
        <v>0.43</v>
      </c>
      <c r="O17" s="95">
        <f t="shared" si="3"/>
        <v>74.900000000000006</v>
      </c>
      <c r="P17" s="95">
        <f t="shared" si="4"/>
        <v>249.1</v>
      </c>
      <c r="Q17" s="95">
        <f t="shared" si="5"/>
        <v>199.3</v>
      </c>
      <c r="R17" s="95">
        <f t="shared" si="6"/>
        <v>199.3</v>
      </c>
      <c r="S17" s="95">
        <f t="shared" si="7"/>
        <v>20.7</v>
      </c>
      <c r="T17" s="95">
        <f t="shared" si="8"/>
        <v>668.4</v>
      </c>
      <c r="U17" s="3430"/>
      <c r="V17" s="95">
        <f t="shared" si="9"/>
        <v>668.4</v>
      </c>
      <c r="W17" s="95">
        <f t="shared" si="20"/>
        <v>201.9</v>
      </c>
      <c r="X17" s="103"/>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55700</v>
      </c>
      <c r="AK17" s="114">
        <f t="shared" si="16"/>
        <v>668.4</v>
      </c>
      <c r="AL17" s="114">
        <f t="shared" si="19"/>
        <v>239.1</v>
      </c>
      <c r="AM17" s="115">
        <v>0.30199999999999999</v>
      </c>
      <c r="AN17" s="50"/>
      <c r="AO17" s="50"/>
      <c r="AP17" s="50"/>
      <c r="AQ17" s="50"/>
      <c r="AS17" s="99">
        <f t="shared" si="17"/>
        <v>16.593</v>
      </c>
    </row>
    <row r="18" spans="1:45" x14ac:dyDescent="0.2">
      <c r="A18" s="103">
        <v>10</v>
      </c>
      <c r="B18" s="261" t="s">
        <v>29</v>
      </c>
      <c r="C18" s="259">
        <v>2</v>
      </c>
      <c r="D18" s="237">
        <v>8.4730000000000008</v>
      </c>
      <c r="E18" s="111">
        <f t="shared" si="0"/>
        <v>16.95</v>
      </c>
      <c r="F18" s="95">
        <f t="shared" si="1"/>
        <v>203.4</v>
      </c>
      <c r="G18" s="95"/>
      <c r="H18" s="95">
        <f>2065.2/1000</f>
        <v>2.1</v>
      </c>
      <c r="I18" s="95"/>
      <c r="J18" s="95"/>
      <c r="K18" s="95">
        <f>(D18*0.25+D18*0.3)*12</f>
        <v>55.9</v>
      </c>
      <c r="L18" s="95">
        <f t="shared" si="18"/>
        <v>55.3</v>
      </c>
      <c r="M18" s="95">
        <f t="shared" si="2"/>
        <v>316.7</v>
      </c>
      <c r="N18" s="111">
        <v>0.41</v>
      </c>
      <c r="O18" s="95">
        <f t="shared" si="3"/>
        <v>129.80000000000001</v>
      </c>
      <c r="P18" s="95">
        <f t="shared" si="4"/>
        <v>446.5</v>
      </c>
      <c r="Q18" s="95">
        <f t="shared" si="5"/>
        <v>357.2</v>
      </c>
      <c r="R18" s="95">
        <f t="shared" si="6"/>
        <v>357.2</v>
      </c>
      <c r="S18" s="95">
        <f t="shared" si="7"/>
        <v>37.1</v>
      </c>
      <c r="T18" s="95">
        <f t="shared" si="8"/>
        <v>1198</v>
      </c>
      <c r="U18" s="3430"/>
      <c r="V18" s="95">
        <f t="shared" si="9"/>
        <v>1198</v>
      </c>
      <c r="W18" s="95">
        <f t="shared" si="20"/>
        <v>361.8</v>
      </c>
      <c r="X18" s="103"/>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49916.67</v>
      </c>
      <c r="AK18" s="114">
        <f t="shared" si="16"/>
        <v>599</v>
      </c>
      <c r="AL18" s="114">
        <f t="shared" si="19"/>
        <v>226.5</v>
      </c>
      <c r="AM18" s="115">
        <v>0.30199999999999999</v>
      </c>
      <c r="AN18" s="263"/>
      <c r="AO18" s="263"/>
      <c r="AP18" s="263"/>
      <c r="AS18" s="99">
        <f t="shared" si="17"/>
        <v>12.7095</v>
      </c>
    </row>
    <row r="19" spans="1:45" x14ac:dyDescent="0.2">
      <c r="A19" s="103">
        <v>11</v>
      </c>
      <c r="B19" s="261" t="s">
        <v>58</v>
      </c>
      <c r="C19" s="259">
        <v>1</v>
      </c>
      <c r="D19" s="237">
        <v>11.061999999999999</v>
      </c>
      <c r="E19" s="111">
        <f t="shared" si="0"/>
        <v>11.06</v>
      </c>
      <c r="F19" s="95">
        <f t="shared" si="1"/>
        <v>132.69999999999999</v>
      </c>
      <c r="G19" s="95"/>
      <c r="H19" s="95">
        <f>5392.4/1000</f>
        <v>5.4</v>
      </c>
      <c r="I19" s="95"/>
      <c r="J19" s="95"/>
      <c r="K19" s="95">
        <f>F19*0.4</f>
        <v>53.1</v>
      </c>
      <c r="L19" s="95">
        <f t="shared" si="18"/>
        <v>36.1</v>
      </c>
      <c r="M19" s="95">
        <f t="shared" si="2"/>
        <v>227.3</v>
      </c>
      <c r="N19" s="111">
        <v>0.43</v>
      </c>
      <c r="O19" s="95">
        <f t="shared" si="3"/>
        <v>97.7</v>
      </c>
      <c r="P19" s="95">
        <f t="shared" si="4"/>
        <v>325</v>
      </c>
      <c r="Q19" s="95">
        <f t="shared" si="5"/>
        <v>260</v>
      </c>
      <c r="R19" s="95">
        <f t="shared" si="6"/>
        <v>260</v>
      </c>
      <c r="S19" s="95">
        <f t="shared" si="7"/>
        <v>27</v>
      </c>
      <c r="T19" s="95">
        <f t="shared" si="8"/>
        <v>872</v>
      </c>
      <c r="U19" s="3430"/>
      <c r="V19" s="95">
        <f t="shared" si="9"/>
        <v>872</v>
      </c>
      <c r="W19" s="95">
        <f t="shared" si="20"/>
        <v>263.3</v>
      </c>
      <c r="X19" s="103"/>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72666.67</v>
      </c>
      <c r="AK19" s="114">
        <f t="shared" si="16"/>
        <v>872</v>
      </c>
      <c r="AL19" s="114">
        <f t="shared" si="19"/>
        <v>276.2</v>
      </c>
      <c r="AM19" s="115">
        <v>0.30199999999999999</v>
      </c>
      <c r="AN19" s="50"/>
      <c r="AO19" s="50"/>
      <c r="AP19" s="50"/>
      <c r="AQ19" s="50"/>
      <c r="AS19" s="99">
        <f t="shared" si="17"/>
        <v>16.593</v>
      </c>
    </row>
    <row r="20" spans="1:45" x14ac:dyDescent="0.2">
      <c r="A20" s="103">
        <v>12</v>
      </c>
      <c r="B20" s="236" t="s">
        <v>42</v>
      </c>
      <c r="C20" s="259">
        <v>1</v>
      </c>
      <c r="D20" s="237">
        <v>11.061999999999999</v>
      </c>
      <c r="E20" s="111">
        <f t="shared" si="0"/>
        <v>11.06</v>
      </c>
      <c r="F20" s="95">
        <f t="shared" si="1"/>
        <v>132.69999999999999</v>
      </c>
      <c r="G20" s="95"/>
      <c r="H20" s="95">
        <v>7.8</v>
      </c>
      <c r="I20" s="95"/>
      <c r="J20" s="95"/>
      <c r="K20" s="95">
        <f>F20*0.2</f>
        <v>26.5</v>
      </c>
      <c r="L20" s="95">
        <f t="shared" si="18"/>
        <v>36.1</v>
      </c>
      <c r="M20" s="95">
        <f t="shared" si="2"/>
        <v>203.1</v>
      </c>
      <c r="N20" s="111">
        <v>0.43</v>
      </c>
      <c r="O20" s="95">
        <f t="shared" si="3"/>
        <v>87.3</v>
      </c>
      <c r="P20" s="95">
        <f t="shared" si="4"/>
        <v>290.39999999999998</v>
      </c>
      <c r="Q20" s="95">
        <f t="shared" si="5"/>
        <v>232.3</v>
      </c>
      <c r="R20" s="95">
        <f t="shared" si="6"/>
        <v>232.3</v>
      </c>
      <c r="S20" s="95">
        <f t="shared" si="7"/>
        <v>24.2</v>
      </c>
      <c r="T20" s="95">
        <f t="shared" si="8"/>
        <v>779.2</v>
      </c>
      <c r="U20" s="3430"/>
      <c r="V20" s="95">
        <f t="shared" si="9"/>
        <v>779.2</v>
      </c>
      <c r="W20" s="95">
        <f t="shared" si="20"/>
        <v>235.3</v>
      </c>
      <c r="X20" s="103"/>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64933.33</v>
      </c>
      <c r="AK20" s="114">
        <f t="shared" si="16"/>
        <v>779.2</v>
      </c>
      <c r="AL20" s="114">
        <f t="shared" si="19"/>
        <v>259.3</v>
      </c>
      <c r="AM20" s="115">
        <v>0.30199999999999999</v>
      </c>
      <c r="AN20" s="50"/>
      <c r="AO20" s="50"/>
      <c r="AP20" s="50"/>
      <c r="AQ20" s="50"/>
      <c r="AS20" s="99">
        <f t="shared" si="17"/>
        <v>16.593</v>
      </c>
    </row>
    <row r="21" spans="1:45" s="22" customFormat="1" ht="25.5" x14ac:dyDescent="0.2">
      <c r="A21" s="274">
        <v>13</v>
      </c>
      <c r="B21" s="52" t="s">
        <v>132</v>
      </c>
      <c r="C21" s="167">
        <v>1</v>
      </c>
      <c r="D21" s="177">
        <v>8.4730000000000008</v>
      </c>
      <c r="E21" s="171">
        <f t="shared" ref="E21" si="21">C21*D21</f>
        <v>8.4700000000000006</v>
      </c>
      <c r="F21" s="154">
        <f>E21*12</f>
        <v>101.6</v>
      </c>
      <c r="G21" s="154"/>
      <c r="H21" s="154">
        <f>4130.4/1000</f>
        <v>4.0999999999999996</v>
      </c>
      <c r="I21" s="154"/>
      <c r="J21" s="154"/>
      <c r="K21" s="154"/>
      <c r="L21" s="154">
        <f t="shared" ref="L21" si="22">F21*$L$4</f>
        <v>27.6</v>
      </c>
      <c r="M21" s="154">
        <f t="shared" ref="M21" si="23">F21+G21+H21+I21+J21+K21+L21</f>
        <v>133.30000000000001</v>
      </c>
      <c r="N21" s="171">
        <v>0.47</v>
      </c>
      <c r="O21" s="154">
        <f t="shared" ref="O21" si="24">M21*N21</f>
        <v>62.7</v>
      </c>
      <c r="P21" s="154">
        <f t="shared" ref="P21" si="25">M21+O21</f>
        <v>196</v>
      </c>
      <c r="Q21" s="154">
        <f t="shared" ref="Q21" si="26">P21*0.8</f>
        <v>156.80000000000001</v>
      </c>
      <c r="R21" s="154">
        <f t="shared" ref="R21" si="27">P21*0.8</f>
        <v>156.80000000000001</v>
      </c>
      <c r="S21" s="154">
        <f t="shared" ref="S21" si="28">(P21+Q21+R21)*0.032</f>
        <v>16.3</v>
      </c>
      <c r="T21" s="154">
        <f t="shared" ref="T21" si="29">P21+Q21+R21+S21</f>
        <v>525.9</v>
      </c>
      <c r="U21" s="3430"/>
      <c r="V21" s="154">
        <f>T21*$U$9</f>
        <v>525.9</v>
      </c>
      <c r="W21" s="95">
        <f t="shared" si="20"/>
        <v>158.80000000000001</v>
      </c>
      <c r="X21" s="40"/>
      <c r="Y21" s="24">
        <v>30</v>
      </c>
      <c r="Z21" s="48">
        <f t="shared" ref="Z21" si="30">X21*Y21</f>
        <v>0</v>
      </c>
      <c r="AA21" s="54"/>
      <c r="AB21" s="24">
        <v>15</v>
      </c>
      <c r="AC21" s="48">
        <f t="shared" ref="AC21" si="31">AA21*AB21</f>
        <v>0</v>
      </c>
      <c r="AD21" s="54"/>
      <c r="AE21" s="24">
        <v>30</v>
      </c>
      <c r="AF21" s="48">
        <f t="shared" ref="AF21" si="32">AD21*AE21</f>
        <v>0</v>
      </c>
      <c r="AG21" s="48">
        <f t="shared" ref="AG21" si="33">(Z21+AC21+AF21)*1%*30</f>
        <v>0</v>
      </c>
      <c r="AH21" s="48">
        <f t="shared" ref="AH21" si="34">Z21+AC21+AF21+AG21</f>
        <v>0</v>
      </c>
      <c r="AI21" s="39">
        <f t="shared" si="15"/>
        <v>43825</v>
      </c>
      <c r="AK21" s="34">
        <f t="shared" si="16"/>
        <v>525.9</v>
      </c>
      <c r="AL21" s="34">
        <f t="shared" ref="AL21" si="35">((979*0.302)+((AK21-979)*0.182))</f>
        <v>213.2</v>
      </c>
      <c r="AM21" s="51">
        <v>0.30199999999999999</v>
      </c>
      <c r="AN21" s="211"/>
      <c r="AO21" s="211"/>
      <c r="AP21" s="211"/>
      <c r="AQ21" s="211"/>
      <c r="AS21" s="22">
        <f t="shared" si="17"/>
        <v>12.7095</v>
      </c>
    </row>
    <row r="22" spans="1:45" x14ac:dyDescent="0.2">
      <c r="A22" s="103">
        <v>14</v>
      </c>
      <c r="B22" s="261" t="s">
        <v>44</v>
      </c>
      <c r="C22" s="259">
        <v>1</v>
      </c>
      <c r="D22" s="237">
        <v>11.061999999999999</v>
      </c>
      <c r="E22" s="111">
        <f t="shared" si="0"/>
        <v>11.06</v>
      </c>
      <c r="F22" s="95">
        <f t="shared" si="1"/>
        <v>132.69999999999999</v>
      </c>
      <c r="G22" s="95"/>
      <c r="H22" s="95">
        <v>7</v>
      </c>
      <c r="I22" s="95"/>
      <c r="J22" s="95"/>
      <c r="K22" s="95">
        <f>F22*0.4</f>
        <v>53.1</v>
      </c>
      <c r="L22" s="95">
        <f t="shared" si="18"/>
        <v>36.1</v>
      </c>
      <c r="M22" s="95">
        <f t="shared" si="2"/>
        <v>228.9</v>
      </c>
      <c r="N22" s="111">
        <v>0.43</v>
      </c>
      <c r="O22" s="95">
        <f t="shared" si="3"/>
        <v>98.4</v>
      </c>
      <c r="P22" s="95">
        <f t="shared" si="4"/>
        <v>327.3</v>
      </c>
      <c r="Q22" s="95">
        <f t="shared" si="5"/>
        <v>261.8</v>
      </c>
      <c r="R22" s="95">
        <f t="shared" si="6"/>
        <v>261.8</v>
      </c>
      <c r="S22" s="95">
        <f t="shared" si="7"/>
        <v>27.2</v>
      </c>
      <c r="T22" s="95">
        <f t="shared" si="8"/>
        <v>878.1</v>
      </c>
      <c r="U22" s="3430"/>
      <c r="V22" s="95">
        <f t="shared" si="9"/>
        <v>878.1</v>
      </c>
      <c r="W22" s="95">
        <f t="shared" si="20"/>
        <v>265.2</v>
      </c>
      <c r="X22" s="103">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73175</v>
      </c>
      <c r="AK22" s="114">
        <f t="shared" si="16"/>
        <v>878.1</v>
      </c>
      <c r="AL22" s="114">
        <f t="shared" si="19"/>
        <v>277.3</v>
      </c>
      <c r="AM22" s="115">
        <v>0.30199999999999999</v>
      </c>
      <c r="AN22" s="50"/>
      <c r="AO22" s="50"/>
      <c r="AP22" s="50"/>
      <c r="AQ22" s="50"/>
      <c r="AS22" s="99">
        <f t="shared" si="17"/>
        <v>16.593</v>
      </c>
    </row>
    <row r="23" spans="1:45" x14ac:dyDescent="0.2">
      <c r="A23" s="103">
        <v>15</v>
      </c>
      <c r="B23" s="236" t="s">
        <v>33</v>
      </c>
      <c r="C23" s="174">
        <v>1</v>
      </c>
      <c r="D23" s="237">
        <v>8.4730000000000008</v>
      </c>
      <c r="E23" s="111">
        <f t="shared" si="0"/>
        <v>8.4700000000000006</v>
      </c>
      <c r="F23" s="95">
        <f t="shared" si="1"/>
        <v>101.6</v>
      </c>
      <c r="G23" s="95">
        <f>4015.6/1000</f>
        <v>4</v>
      </c>
      <c r="H23" s="95">
        <f>5782.5/1000</f>
        <v>5.8</v>
      </c>
      <c r="I23" s="95"/>
      <c r="J23" s="95"/>
      <c r="K23" s="95">
        <f>D23*0.2*7.6+D23*0.25*4.4</f>
        <v>22.2</v>
      </c>
      <c r="L23" s="95">
        <f t="shared" si="18"/>
        <v>27.6</v>
      </c>
      <c r="M23" s="95">
        <f t="shared" si="2"/>
        <v>161.19999999999999</v>
      </c>
      <c r="N23" s="111">
        <v>0.41</v>
      </c>
      <c r="O23" s="95">
        <f t="shared" si="3"/>
        <v>66.099999999999994</v>
      </c>
      <c r="P23" s="95">
        <f t="shared" si="4"/>
        <v>227.3</v>
      </c>
      <c r="Q23" s="95">
        <f t="shared" si="5"/>
        <v>181.8</v>
      </c>
      <c r="R23" s="95">
        <f t="shared" si="6"/>
        <v>181.8</v>
      </c>
      <c r="S23" s="95">
        <f t="shared" si="7"/>
        <v>18.899999999999999</v>
      </c>
      <c r="T23" s="95">
        <f t="shared" si="8"/>
        <v>609.79999999999995</v>
      </c>
      <c r="U23" s="3430"/>
      <c r="V23" s="95">
        <f t="shared" si="9"/>
        <v>609.79999999999995</v>
      </c>
      <c r="W23" s="95">
        <f t="shared" si="20"/>
        <v>184.2</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50816.67</v>
      </c>
      <c r="AK23" s="114">
        <f t="shared" si="16"/>
        <v>609.79999999999995</v>
      </c>
      <c r="AL23" s="114">
        <f t="shared" si="19"/>
        <v>228.5</v>
      </c>
      <c r="AM23" s="115">
        <v>0.30199999999999999</v>
      </c>
      <c r="AN23" s="263"/>
      <c r="AO23" s="263"/>
      <c r="AP23" s="263"/>
      <c r="AS23" s="99">
        <f t="shared" si="17"/>
        <v>12.7095</v>
      </c>
    </row>
    <row r="24" spans="1:45" ht="25.5" x14ac:dyDescent="0.2">
      <c r="A24" s="103">
        <v>16</v>
      </c>
      <c r="B24" s="236" t="s">
        <v>102</v>
      </c>
      <c r="C24" s="174">
        <v>0.5</v>
      </c>
      <c r="D24" s="237">
        <v>4.3769999999999998</v>
      </c>
      <c r="E24" s="111">
        <f t="shared" si="0"/>
        <v>2.19</v>
      </c>
      <c r="F24" s="95">
        <f t="shared" si="1"/>
        <v>26.3</v>
      </c>
      <c r="G24" s="95"/>
      <c r="H24" s="95"/>
      <c r="I24" s="95"/>
      <c r="J24" s="95"/>
      <c r="K24" s="95"/>
      <c r="L24" s="95">
        <f t="shared" si="18"/>
        <v>7.2</v>
      </c>
      <c r="M24" s="95">
        <f t="shared" ref="M24:M25" si="36">F24+G24+H24+I24+J24+K24+L24</f>
        <v>33.5</v>
      </c>
      <c r="N24" s="111">
        <v>0.49</v>
      </c>
      <c r="O24" s="95">
        <f t="shared" ref="O24:O25" si="37">M24*N24</f>
        <v>16.399999999999999</v>
      </c>
      <c r="P24" s="95">
        <f t="shared" ref="P24:P25" si="38">M24+O24</f>
        <v>49.9</v>
      </c>
      <c r="Q24" s="95">
        <f t="shared" ref="Q24:Q25" si="39">P24*0.8</f>
        <v>39.9</v>
      </c>
      <c r="R24" s="95">
        <f t="shared" ref="R24:R25" si="40">P24*0.8</f>
        <v>39.9</v>
      </c>
      <c r="S24" s="95">
        <f t="shared" ref="S24:S25" si="41">(P24+Q24+R24)*0.032</f>
        <v>4.2</v>
      </c>
      <c r="T24" s="95">
        <f t="shared" ref="T24:T25" si="42">P24+Q24+R24+S24</f>
        <v>133.9</v>
      </c>
      <c r="U24" s="3430"/>
      <c r="V24" s="95">
        <f t="shared" ref="V24:V25" si="43">T24*$U$9</f>
        <v>133.9</v>
      </c>
      <c r="W24" s="95">
        <f t="shared" si="20"/>
        <v>40.4</v>
      </c>
      <c r="X24" s="238"/>
      <c r="Y24" s="240"/>
      <c r="Z24" s="241"/>
      <c r="AA24" s="238"/>
      <c r="AB24" s="240"/>
      <c r="AC24" s="241"/>
      <c r="AD24" s="238"/>
      <c r="AE24" s="240"/>
      <c r="AF24" s="241"/>
      <c r="AG24" s="241"/>
      <c r="AH24" s="241"/>
      <c r="AI24" s="131"/>
      <c r="AK24" s="114"/>
      <c r="AL24" s="114"/>
      <c r="AM24" s="115"/>
      <c r="AN24" s="263"/>
      <c r="AO24" s="263"/>
      <c r="AP24" s="263"/>
      <c r="AS24" s="99">
        <f t="shared" si="17"/>
        <v>6.5655000000000001</v>
      </c>
    </row>
    <row r="25" spans="1:45" x14ac:dyDescent="0.2">
      <c r="A25" s="103">
        <v>17</v>
      </c>
      <c r="B25" s="236" t="s">
        <v>136</v>
      </c>
      <c r="C25" s="174">
        <v>0.5</v>
      </c>
      <c r="D25" s="237">
        <v>4.3769999999999998</v>
      </c>
      <c r="E25" s="111">
        <f t="shared" si="0"/>
        <v>2.19</v>
      </c>
      <c r="F25" s="95">
        <f t="shared" si="1"/>
        <v>26.3</v>
      </c>
      <c r="G25" s="95"/>
      <c r="H25" s="95"/>
      <c r="I25" s="95"/>
      <c r="J25" s="95"/>
      <c r="K25" s="95"/>
      <c r="L25" s="95">
        <f t="shared" si="18"/>
        <v>7.2</v>
      </c>
      <c r="M25" s="95">
        <f t="shared" si="36"/>
        <v>33.5</v>
      </c>
      <c r="N25" s="111">
        <v>0.49</v>
      </c>
      <c r="O25" s="95">
        <f t="shared" si="37"/>
        <v>16.399999999999999</v>
      </c>
      <c r="P25" s="95">
        <f t="shared" si="38"/>
        <v>49.9</v>
      </c>
      <c r="Q25" s="95">
        <f t="shared" si="39"/>
        <v>39.9</v>
      </c>
      <c r="R25" s="95">
        <f t="shared" si="40"/>
        <v>39.9</v>
      </c>
      <c r="S25" s="95">
        <f t="shared" si="41"/>
        <v>4.2</v>
      </c>
      <c r="T25" s="95">
        <f t="shared" si="42"/>
        <v>133.9</v>
      </c>
      <c r="U25" s="3430"/>
      <c r="V25" s="95">
        <f t="shared" si="43"/>
        <v>133.9</v>
      </c>
      <c r="W25" s="95">
        <f t="shared" si="20"/>
        <v>40.4</v>
      </c>
      <c r="X25" s="238"/>
      <c r="Y25" s="240"/>
      <c r="Z25" s="241"/>
      <c r="AA25" s="238"/>
      <c r="AB25" s="240"/>
      <c r="AC25" s="241"/>
      <c r="AD25" s="238"/>
      <c r="AE25" s="240"/>
      <c r="AF25" s="241"/>
      <c r="AG25" s="241"/>
      <c r="AH25" s="241"/>
      <c r="AI25" s="131"/>
      <c r="AK25" s="114"/>
      <c r="AL25" s="114"/>
      <c r="AM25" s="115"/>
      <c r="AN25" s="263"/>
      <c r="AO25" s="263"/>
      <c r="AP25" s="263"/>
      <c r="AS25" s="99">
        <f t="shared" si="17"/>
        <v>6.5655000000000001</v>
      </c>
    </row>
    <row r="26" spans="1:45" s="245" customFormat="1" x14ac:dyDescent="0.2">
      <c r="A26" s="103">
        <v>18</v>
      </c>
      <c r="B26" s="236" t="s">
        <v>60</v>
      </c>
      <c r="C26" s="262">
        <v>2</v>
      </c>
      <c r="D26" s="247">
        <v>4.3769999999999998</v>
      </c>
      <c r="E26" s="249">
        <f t="shared" si="0"/>
        <v>8.75</v>
      </c>
      <c r="F26" s="248">
        <f t="shared" si="1"/>
        <v>105</v>
      </c>
      <c r="G26" s="248">
        <f>12446.4/1000</f>
        <v>12.4</v>
      </c>
      <c r="H26" s="248">
        <f>5974.3/1000</f>
        <v>6</v>
      </c>
      <c r="I26" s="248"/>
      <c r="J26" s="248"/>
      <c r="K26" s="248"/>
      <c r="L26" s="95">
        <v>59</v>
      </c>
      <c r="M26" s="248">
        <f t="shared" si="2"/>
        <v>182.4</v>
      </c>
      <c r="N26" s="111">
        <v>0.49</v>
      </c>
      <c r="O26" s="248">
        <f t="shared" si="3"/>
        <v>89.4</v>
      </c>
      <c r="P26" s="248">
        <f t="shared" si="4"/>
        <v>271.8</v>
      </c>
      <c r="Q26" s="248">
        <f t="shared" si="5"/>
        <v>217.4</v>
      </c>
      <c r="R26" s="248">
        <f t="shared" si="6"/>
        <v>217.4</v>
      </c>
      <c r="S26" s="248">
        <f t="shared" si="7"/>
        <v>22.6</v>
      </c>
      <c r="T26" s="248">
        <f t="shared" si="8"/>
        <v>729.2</v>
      </c>
      <c r="U26" s="3430"/>
      <c r="V26" s="248">
        <f t="shared" si="9"/>
        <v>729.2</v>
      </c>
      <c r="W26" s="95">
        <f t="shared" si="20"/>
        <v>220.2</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30383.33</v>
      </c>
      <c r="AK26" s="114">
        <f>V26/C26</f>
        <v>364.6</v>
      </c>
      <c r="AL26" s="114">
        <f t="shared" si="19"/>
        <v>183.8</v>
      </c>
      <c r="AM26" s="115">
        <v>0.30199999999999999</v>
      </c>
      <c r="AN26" s="211"/>
      <c r="AO26" s="211"/>
      <c r="AP26" s="211"/>
      <c r="AQ26" s="211"/>
      <c r="AS26" s="99">
        <f t="shared" si="17"/>
        <v>6.5655000000000001</v>
      </c>
    </row>
    <row r="27" spans="1:45" x14ac:dyDescent="0.2">
      <c r="A27" s="103">
        <v>19</v>
      </c>
      <c r="B27" s="261" t="s">
        <v>94</v>
      </c>
      <c r="C27" s="264">
        <v>2</v>
      </c>
      <c r="D27" s="237">
        <v>4.3769999999999998</v>
      </c>
      <c r="E27" s="111">
        <f t="shared" si="0"/>
        <v>8.75</v>
      </c>
      <c r="F27" s="95">
        <f t="shared" si="1"/>
        <v>105</v>
      </c>
      <c r="G27" s="95">
        <f>2074.4/1000</f>
        <v>2.1</v>
      </c>
      <c r="H27" s="95">
        <f>5.974</f>
        <v>6</v>
      </c>
      <c r="I27" s="95"/>
      <c r="J27" s="95"/>
      <c r="K27" s="95"/>
      <c r="L27" s="95">
        <v>70.8</v>
      </c>
      <c r="M27" s="95">
        <f t="shared" si="2"/>
        <v>183.9</v>
      </c>
      <c r="N27" s="111">
        <v>0.47</v>
      </c>
      <c r="O27" s="95">
        <f t="shared" si="3"/>
        <v>86.4</v>
      </c>
      <c r="P27" s="95">
        <f t="shared" si="4"/>
        <v>270.3</v>
      </c>
      <c r="Q27" s="95">
        <f t="shared" si="5"/>
        <v>216.2</v>
      </c>
      <c r="R27" s="95">
        <f t="shared" si="6"/>
        <v>216.2</v>
      </c>
      <c r="S27" s="95">
        <f t="shared" si="7"/>
        <v>22.5</v>
      </c>
      <c r="T27" s="95">
        <f t="shared" si="8"/>
        <v>725.2</v>
      </c>
      <c r="U27" s="3430"/>
      <c r="V27" s="95">
        <f>T27*$U$9+0.1</f>
        <v>725.3</v>
      </c>
      <c r="W27" s="95">
        <f t="shared" si="20"/>
        <v>219</v>
      </c>
      <c r="X27" s="103">
        <v>1</v>
      </c>
      <c r="Y27" s="112">
        <v>30</v>
      </c>
      <c r="Z27" s="113">
        <f t="shared" si="10"/>
        <v>30</v>
      </c>
      <c r="AA27" s="103"/>
      <c r="AB27" s="112">
        <v>15</v>
      </c>
      <c r="AC27" s="113">
        <f t="shared" si="11"/>
        <v>0</v>
      </c>
      <c r="AD27" s="103"/>
      <c r="AE27" s="112">
        <v>30</v>
      </c>
      <c r="AF27" s="113">
        <f t="shared" si="12"/>
        <v>0</v>
      </c>
      <c r="AG27" s="113">
        <f t="shared" si="13"/>
        <v>9</v>
      </c>
      <c r="AH27" s="113">
        <f t="shared" si="14"/>
        <v>39</v>
      </c>
      <c r="AI27" s="131">
        <f>V27/12/C27*1000</f>
        <v>30220.83</v>
      </c>
      <c r="AK27" s="114">
        <f>V27/C27</f>
        <v>362.7</v>
      </c>
      <c r="AL27" s="114">
        <f t="shared" si="19"/>
        <v>183.5</v>
      </c>
      <c r="AM27" s="115">
        <v>0.30199999999999999</v>
      </c>
      <c r="AS27" s="99">
        <f t="shared" si="17"/>
        <v>6.5655000000000001</v>
      </c>
    </row>
    <row r="28" spans="1:45" s="98" customFormat="1" ht="20.25" customHeight="1" x14ac:dyDescent="0.2">
      <c r="A28" s="3431" t="s">
        <v>8</v>
      </c>
      <c r="B28" s="3431"/>
      <c r="C28" s="265">
        <f>SUM(C9:C27)</f>
        <v>25</v>
      </c>
      <c r="D28" s="266">
        <f t="shared" ref="D28:T28" si="44">SUM(D9:D27)</f>
        <v>187.6</v>
      </c>
      <c r="E28" s="266">
        <f t="shared" si="44"/>
        <v>251.7</v>
      </c>
      <c r="F28" s="266">
        <f t="shared" si="44"/>
        <v>3020.1</v>
      </c>
      <c r="G28" s="266">
        <f t="shared" si="44"/>
        <v>18.5</v>
      </c>
      <c r="H28" s="266">
        <f t="shared" si="44"/>
        <v>110.7</v>
      </c>
      <c r="I28" s="266">
        <f t="shared" si="44"/>
        <v>0</v>
      </c>
      <c r="J28" s="266">
        <f t="shared" si="44"/>
        <v>0</v>
      </c>
      <c r="K28" s="266">
        <f t="shared" si="44"/>
        <v>703.9</v>
      </c>
      <c r="L28" s="266">
        <f t="shared" si="44"/>
        <v>894.2</v>
      </c>
      <c r="M28" s="266">
        <f t="shared" si="44"/>
        <v>4747.3999999999996</v>
      </c>
      <c r="N28" s="266">
        <f t="shared" si="44"/>
        <v>8.5</v>
      </c>
      <c r="O28" s="266">
        <f t="shared" si="44"/>
        <v>2108</v>
      </c>
      <c r="P28" s="266">
        <f t="shared" si="44"/>
        <v>6855.4</v>
      </c>
      <c r="Q28" s="266">
        <f t="shared" si="44"/>
        <v>5484.1</v>
      </c>
      <c r="R28" s="266">
        <f t="shared" si="44"/>
        <v>5484.1</v>
      </c>
      <c r="S28" s="266">
        <f t="shared" si="44"/>
        <v>570.29999999999995</v>
      </c>
      <c r="T28" s="266">
        <f t="shared" si="44"/>
        <v>18393.900000000001</v>
      </c>
      <c r="U28" s="266"/>
      <c r="V28" s="266">
        <f t="shared" ref="V28:AH28" si="45">SUM(V9:V27)</f>
        <v>18394</v>
      </c>
      <c r="W28" s="266">
        <f>SUM(W9:W27)</f>
        <v>5400.8</v>
      </c>
      <c r="X28" s="266">
        <f t="shared" si="45"/>
        <v>8</v>
      </c>
      <c r="Y28" s="266">
        <f t="shared" si="45"/>
        <v>510</v>
      </c>
      <c r="Z28" s="266">
        <f t="shared" si="45"/>
        <v>240</v>
      </c>
      <c r="AA28" s="266">
        <f t="shared" si="45"/>
        <v>1</v>
      </c>
      <c r="AB28" s="266">
        <f t="shared" si="45"/>
        <v>255</v>
      </c>
      <c r="AC28" s="266">
        <f t="shared" si="45"/>
        <v>15</v>
      </c>
      <c r="AD28" s="266">
        <f t="shared" si="45"/>
        <v>3</v>
      </c>
      <c r="AE28" s="266">
        <f t="shared" si="45"/>
        <v>510</v>
      </c>
      <c r="AF28" s="266">
        <f t="shared" si="45"/>
        <v>90</v>
      </c>
      <c r="AG28" s="266">
        <f t="shared" si="45"/>
        <v>103.5</v>
      </c>
      <c r="AH28" s="266">
        <f t="shared" si="45"/>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66"/>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x14ac:dyDescent="0.2">
      <c r="A30" s="70"/>
      <c r="B30" s="70"/>
      <c r="C30" s="71"/>
      <c r="D30" s="271"/>
      <c r="E30" s="72"/>
      <c r="F30" s="72"/>
      <c r="G30" s="72"/>
      <c r="H30" s="73"/>
      <c r="I30" s="73"/>
      <c r="J30" s="27"/>
      <c r="K30" s="27"/>
      <c r="L30" s="27"/>
      <c r="M30" s="27"/>
      <c r="N30" s="74"/>
      <c r="O30" s="27"/>
      <c r="P30" s="27"/>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ht="58.5" customHeight="1" x14ac:dyDescent="0.2">
      <c r="A31" s="70"/>
      <c r="B31" s="70"/>
      <c r="C31" s="71"/>
      <c r="D31" s="77"/>
      <c r="E31" s="77"/>
      <c r="F31" s="27"/>
      <c r="G31" s="3191" t="s">
        <v>140</v>
      </c>
      <c r="H31" s="3191"/>
      <c r="I31" s="3191" t="s">
        <v>145</v>
      </c>
      <c r="J31" s="3191"/>
      <c r="K31" s="3191" t="s">
        <v>128</v>
      </c>
      <c r="L31" s="3191"/>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78">
        <v>991</v>
      </c>
      <c r="H32" s="78">
        <v>992</v>
      </c>
      <c r="I32" s="78">
        <v>991</v>
      </c>
      <c r="J32" s="78">
        <v>992</v>
      </c>
      <c r="K32" s="78">
        <v>991</v>
      </c>
      <c r="L32" s="78">
        <v>992</v>
      </c>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9">
        <v>18394</v>
      </c>
      <c r="H33" s="29">
        <v>5393.9</v>
      </c>
      <c r="I33" s="29">
        <f>V28</f>
        <v>18394</v>
      </c>
      <c r="J33" s="29">
        <f>W28</f>
        <v>5400.8</v>
      </c>
      <c r="K33" s="29">
        <f>G33-I33</f>
        <v>0</v>
      </c>
      <c r="L33" s="29">
        <f>H33-J33</f>
        <v>-6.9</v>
      </c>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8" spans="1:44" s="35" customFormat="1" ht="20.25" x14ac:dyDescent="0.2">
      <c r="A38" s="81"/>
      <c r="B38" s="82" t="s">
        <v>138</v>
      </c>
      <c r="C38" s="83"/>
      <c r="D38" s="84"/>
      <c r="E38" s="84"/>
      <c r="F38" s="85"/>
      <c r="G38" s="85"/>
      <c r="H38" s="86"/>
      <c r="I38" s="86"/>
      <c r="J38" s="85"/>
      <c r="K38" s="30" t="s">
        <v>166</v>
      </c>
      <c r="L38" s="85"/>
      <c r="M38" s="85"/>
      <c r="N38" s="87"/>
      <c r="O38" s="85"/>
      <c r="P38" s="85"/>
      <c r="Q38" s="85"/>
      <c r="R38" s="85"/>
      <c r="S38" s="85"/>
      <c r="T38" s="85"/>
      <c r="U38" s="85"/>
      <c r="V38" s="85"/>
      <c r="W38" s="85"/>
      <c r="X38" s="85"/>
      <c r="Y38" s="85"/>
      <c r="Z38" s="85"/>
      <c r="AA38" s="85"/>
      <c r="AB38" s="85"/>
      <c r="AC38" s="85"/>
      <c r="AD38" s="85"/>
      <c r="AE38" s="85"/>
      <c r="AF38" s="85"/>
      <c r="AG38" s="85"/>
      <c r="AH38" s="85"/>
      <c r="AI38" s="85"/>
      <c r="AK38" s="88"/>
      <c r="AL38" s="88"/>
      <c r="AM38" s="88"/>
      <c r="AN38" s="88"/>
      <c r="AO38" s="88"/>
    </row>
    <row r="39" spans="1:44" s="143" customFormat="1" x14ac:dyDescent="0.2">
      <c r="A39" s="136"/>
      <c r="B39" s="136"/>
      <c r="C39" s="137"/>
      <c r="D39" s="144"/>
      <c r="E39" s="144"/>
      <c r="F39" s="140"/>
      <c r="G39" s="140"/>
      <c r="H39" s="139"/>
      <c r="I39" s="139"/>
      <c r="J39" s="140"/>
      <c r="K39" s="140"/>
      <c r="L39" s="140"/>
      <c r="M39" s="140"/>
      <c r="N39" s="141"/>
      <c r="O39" s="140"/>
      <c r="P39" s="140"/>
      <c r="Q39" s="140"/>
      <c r="R39" s="140"/>
      <c r="S39" s="140"/>
      <c r="T39" s="140"/>
      <c r="U39" s="140"/>
      <c r="V39" s="140"/>
      <c r="W39" s="140"/>
      <c r="X39" s="140"/>
      <c r="Y39" s="140"/>
      <c r="Z39" s="140"/>
      <c r="AA39" s="140"/>
      <c r="AB39" s="140"/>
      <c r="AC39" s="140"/>
      <c r="AD39" s="140"/>
      <c r="AE39" s="140"/>
      <c r="AF39" s="142"/>
      <c r="AK39" s="142"/>
      <c r="AL39" s="142"/>
      <c r="AM39" s="142"/>
      <c r="AN39" s="76"/>
      <c r="AO39" s="76"/>
      <c r="AP39" s="76"/>
      <c r="AQ39" s="76"/>
      <c r="AR39" s="99"/>
    </row>
    <row r="40" spans="1:44" s="143" customFormat="1" x14ac:dyDescent="0.2">
      <c r="A40" s="136"/>
      <c r="B40" s="136"/>
      <c r="C40" s="137"/>
      <c r="D40" s="144"/>
      <c r="E40" s="144"/>
      <c r="F40" s="140"/>
      <c r="G40" s="140"/>
      <c r="H40" s="139"/>
      <c r="I40" s="139"/>
      <c r="J40" s="140"/>
      <c r="K40" s="140"/>
      <c r="L40" s="140"/>
      <c r="M40" s="140"/>
      <c r="N40" s="202"/>
      <c r="O40" s="203"/>
      <c r="P40" s="140"/>
      <c r="Q40" s="140"/>
      <c r="R40" s="140"/>
      <c r="S40" s="140"/>
      <c r="T40" s="140"/>
      <c r="U40" s="140"/>
      <c r="V40" s="140"/>
      <c r="W40" s="140"/>
      <c r="X40" s="140"/>
      <c r="Y40" s="140"/>
      <c r="Z40" s="140"/>
      <c r="AA40" s="140"/>
      <c r="AB40" s="140"/>
      <c r="AC40" s="140"/>
      <c r="AD40" s="140"/>
      <c r="AE40" s="140"/>
      <c r="AF40" s="142"/>
      <c r="AK40" s="142"/>
      <c r="AL40" s="142"/>
      <c r="AM40" s="142"/>
      <c r="AN40" s="76"/>
      <c r="AO40" s="76"/>
      <c r="AP40" s="76"/>
      <c r="AQ40" s="76"/>
      <c r="AR40" s="252"/>
    </row>
    <row r="41" spans="1:44" s="143" customFormat="1" ht="20.25" customHeight="1" x14ac:dyDescent="0.2">
      <c r="A41" s="145" t="s">
        <v>96</v>
      </c>
      <c r="B41" s="145"/>
      <c r="C41" s="146"/>
      <c r="D41" s="146"/>
      <c r="E41" s="146"/>
      <c r="F41" s="146"/>
      <c r="G41" s="146"/>
      <c r="H41" s="146"/>
      <c r="I41" s="146"/>
      <c r="J41" s="146"/>
      <c r="K41" s="146"/>
      <c r="L41" s="147"/>
      <c r="M41" s="147"/>
      <c r="N41" s="202"/>
      <c r="O41" s="203"/>
      <c r="P41" s="147"/>
      <c r="Q41" s="147"/>
      <c r="R41" s="147"/>
      <c r="S41" s="147"/>
      <c r="T41" s="147"/>
      <c r="U41" s="147"/>
      <c r="V41" s="147"/>
      <c r="W41" s="147"/>
      <c r="X41" s="147"/>
      <c r="Y41" s="147"/>
      <c r="Z41" s="147"/>
      <c r="AA41" s="147"/>
      <c r="AB41" s="147"/>
      <c r="AC41" s="147"/>
      <c r="AD41" s="147"/>
      <c r="AE41" s="147"/>
      <c r="AF41" s="142"/>
      <c r="AK41" s="142"/>
      <c r="AL41" s="142"/>
      <c r="AM41" s="142"/>
      <c r="AN41" s="76"/>
      <c r="AO41" s="76"/>
      <c r="AP41" s="76"/>
      <c r="AQ41" s="76"/>
      <c r="AR41" s="99"/>
    </row>
    <row r="42" spans="1:44" s="143" customFormat="1" ht="20.25" customHeight="1" x14ac:dyDescent="0.2">
      <c r="A42" s="145" t="s">
        <v>139</v>
      </c>
      <c r="B42" s="149"/>
      <c r="C42" s="150"/>
      <c r="D42" s="150"/>
      <c r="E42" s="151"/>
      <c r="F42" s="151"/>
      <c r="G42" s="151"/>
      <c r="H42" s="151"/>
      <c r="I42" s="151"/>
      <c r="J42" s="151"/>
      <c r="K42" s="151"/>
      <c r="L42" s="147"/>
      <c r="M42" s="147"/>
      <c r="N42" s="202"/>
      <c r="O42" s="203"/>
      <c r="P42" s="147"/>
      <c r="Q42" s="147"/>
      <c r="R42" s="147"/>
      <c r="S42" s="147"/>
      <c r="T42" s="147"/>
      <c r="U42" s="147"/>
      <c r="V42" s="147"/>
      <c r="W42" s="147"/>
      <c r="X42" s="147"/>
      <c r="Y42" s="147"/>
      <c r="Z42" s="147"/>
      <c r="AA42" s="147"/>
      <c r="AB42" s="147"/>
      <c r="AC42" s="147"/>
      <c r="AD42" s="147"/>
      <c r="AE42" s="147"/>
      <c r="AF42" s="142"/>
      <c r="AK42" s="142"/>
      <c r="AL42" s="142"/>
      <c r="AM42" s="142"/>
      <c r="AN42" s="76"/>
      <c r="AO42" s="76"/>
      <c r="AP42" s="76"/>
      <c r="AQ42" s="76"/>
      <c r="AR42" s="252"/>
    </row>
    <row r="44" spans="1:44" x14ac:dyDescent="0.2">
      <c r="E44" s="115"/>
    </row>
    <row r="45" spans="1:44" x14ac:dyDescent="0.2">
      <c r="E45" s="115"/>
    </row>
    <row r="46" spans="1:44" x14ac:dyDescent="0.2">
      <c r="E46" s="115"/>
      <c r="Y46" s="99" t="s">
        <v>124</v>
      </c>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row r="65" spans="5:5" x14ac:dyDescent="0.2">
      <c r="E65" s="115"/>
    </row>
    <row r="66" spans="5:5" x14ac:dyDescent="0.2">
      <c r="E66" s="115"/>
    </row>
    <row r="67" spans="5:5" x14ac:dyDescent="0.2">
      <c r="E67" s="115"/>
    </row>
    <row r="68" spans="5:5" x14ac:dyDescent="0.2">
      <c r="E68" s="115"/>
    </row>
  </sheetData>
  <autoFilter ref="A8:AS28"/>
  <mergeCells count="37">
    <mergeCell ref="G31:H31"/>
    <mergeCell ref="AA6:AC6"/>
    <mergeCell ref="AD6:AF6"/>
    <mergeCell ref="K6:K7"/>
    <mergeCell ref="AH6:AH7"/>
    <mergeCell ref="U9:U27"/>
    <mergeCell ref="W6:W7"/>
    <mergeCell ref="X6:Z6"/>
    <mergeCell ref="I31:J31"/>
    <mergeCell ref="K31:L31"/>
    <mergeCell ref="A28:B28"/>
    <mergeCell ref="S6:S7"/>
    <mergeCell ref="T6:T7"/>
    <mergeCell ref="U6:U7"/>
    <mergeCell ref="V6:V7"/>
    <mergeCell ref="L6:L7"/>
    <mergeCell ref="M6:M7"/>
    <mergeCell ref="N6:O6"/>
    <mergeCell ref="P6:P7"/>
    <mergeCell ref="Q6:Q7"/>
    <mergeCell ref="R6:R7"/>
    <mergeCell ref="AE1:AH1"/>
    <mergeCell ref="A2:AH2"/>
    <mergeCell ref="A3:AH3"/>
    <mergeCell ref="A5:A7"/>
    <mergeCell ref="B5:B7"/>
    <mergeCell ref="C5:C7"/>
    <mergeCell ref="D5:W5"/>
    <mergeCell ref="D6:D7"/>
    <mergeCell ref="E6:E7"/>
    <mergeCell ref="F6:F7"/>
    <mergeCell ref="G6:G7"/>
    <mergeCell ref="H6:H7"/>
    <mergeCell ref="I6:I7"/>
    <mergeCell ref="J6:J7"/>
    <mergeCell ref="AG6:AG7"/>
    <mergeCell ref="X5:AH5"/>
  </mergeCells>
  <printOptions horizontalCentered="1"/>
  <pageMargins left="0" right="0" top="0" bottom="0" header="0.31496062992125984" footer="0.31496062992125984"/>
  <pageSetup paperSize="9" scale="37" orientation="landscape"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1">
    <tabColor rgb="FFFFFF00"/>
  </sheetPr>
  <dimension ref="A1:AP74"/>
  <sheetViews>
    <sheetView view="pageBreakPreview" zoomScale="70" zoomScaleNormal="80" zoomScaleSheetLayoutView="70" workbookViewId="0">
      <pane xSplit="3" ySplit="8" topLeftCell="V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8" style="33" customWidth="1"/>
    <col min="2" max="2" width="30.83203125" style="22" customWidth="1"/>
    <col min="3" max="3" width="13.83203125" style="22" customWidth="1"/>
    <col min="4" max="4" width="13.1640625" style="22" customWidth="1"/>
    <col min="5" max="5" width="13" style="22" customWidth="1"/>
    <col min="6" max="6" width="14.6640625" style="22" customWidth="1"/>
    <col min="7" max="7" width="13.1640625" style="22" customWidth="1"/>
    <col min="8" max="8" width="15.6640625" style="22" customWidth="1"/>
    <col min="9" max="9" width="13.5" style="22" customWidth="1"/>
    <col min="10" max="10" width="20.33203125" style="22" customWidth="1"/>
    <col min="11" max="11" width="13" style="22" customWidth="1"/>
    <col min="12" max="16" width="14.83203125" style="22" customWidth="1"/>
    <col min="17" max="17" width="12.33203125" style="22" customWidth="1"/>
    <col min="18" max="18" width="13" style="22" customWidth="1"/>
    <col min="19" max="19" width="18.1640625" style="22" customWidth="1"/>
    <col min="20" max="20" width="14.83203125" style="22" customWidth="1"/>
    <col min="21" max="21" width="14" style="22" customWidth="1"/>
    <col min="22" max="22" width="15.6640625" style="22" customWidth="1"/>
    <col min="23" max="23" width="14.5" style="22" customWidth="1"/>
    <col min="24" max="24" width="11.33203125" style="22" customWidth="1"/>
    <col min="25" max="25" width="11" style="22" customWidth="1"/>
    <col min="26" max="26" width="11.5" style="22" customWidth="1"/>
    <col min="27" max="28" width="9.33203125" style="22" customWidth="1"/>
    <col min="29" max="29" width="10.1640625" style="22" customWidth="1"/>
    <col min="30" max="30" width="8.5" style="22" customWidth="1"/>
    <col min="31" max="31" width="10.83203125" style="22" customWidth="1"/>
    <col min="32" max="32" width="10.33203125" style="22" customWidth="1"/>
    <col min="33" max="33" width="11.5" style="22" customWidth="1"/>
    <col min="34" max="34" width="13.83203125" style="22" customWidth="1"/>
    <col min="35" max="35" width="12" style="34" customWidth="1"/>
    <col min="36" max="36" width="17.83203125" style="22" customWidth="1"/>
    <col min="37" max="37" width="14" style="22" bestFit="1" customWidth="1"/>
    <col min="38" max="39" width="9.5" style="22" bestFit="1" customWidth="1"/>
    <col min="40" max="40" width="11.5" style="22" bestFit="1" customWidth="1"/>
    <col min="41" max="41" width="9.33203125" style="22"/>
    <col min="42" max="42" width="9.5" style="22" bestFit="1" customWidth="1"/>
    <col min="43" max="16384" width="9.33203125" style="22"/>
  </cols>
  <sheetData>
    <row r="1" spans="1:42" ht="21.75" customHeight="1" x14ac:dyDescent="0.2">
      <c r="AE1" s="3180"/>
      <c r="AF1" s="3180"/>
      <c r="AG1" s="3180"/>
      <c r="AH1" s="3180"/>
    </row>
    <row r="2" spans="1:42" ht="33" customHeight="1" x14ac:dyDescent="0.2">
      <c r="A2" s="3181" t="s">
        <v>153</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2"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283"/>
    </row>
    <row r="4" spans="1:42" x14ac:dyDescent="0.2">
      <c r="L4" s="22">
        <v>0.32216</v>
      </c>
      <c r="O4" s="39"/>
      <c r="P4" s="39"/>
    </row>
    <row r="5" spans="1:42" ht="38.25" customHeight="1" x14ac:dyDescent="0.2">
      <c r="A5" s="3183" t="s">
        <v>78</v>
      </c>
      <c r="B5" s="3183"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2" ht="60" customHeight="1" x14ac:dyDescent="0.2">
      <c r="A6" s="3183"/>
      <c r="B6" s="3183"/>
      <c r="C6" s="3184"/>
      <c r="D6" s="3185" t="s">
        <v>79</v>
      </c>
      <c r="E6" s="3185" t="s">
        <v>69</v>
      </c>
      <c r="F6" s="3185" t="s">
        <v>89</v>
      </c>
      <c r="G6" s="3185" t="s">
        <v>1</v>
      </c>
      <c r="H6" s="3185" t="s">
        <v>2</v>
      </c>
      <c r="I6" s="3185" t="s">
        <v>70</v>
      </c>
      <c r="J6" s="3185" t="s">
        <v>61</v>
      </c>
      <c r="K6" s="3185" t="s">
        <v>27</v>
      </c>
      <c r="L6" s="3186" t="s">
        <v>65</v>
      </c>
      <c r="M6" s="3186" t="s">
        <v>86</v>
      </c>
      <c r="N6" s="3187" t="s">
        <v>90</v>
      </c>
      <c r="O6" s="3187"/>
      <c r="P6" s="3187" t="s">
        <v>88</v>
      </c>
      <c r="Q6" s="3186" t="s">
        <v>82</v>
      </c>
      <c r="R6" s="3185" t="s">
        <v>83</v>
      </c>
      <c r="S6" s="3186"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2" ht="57" customHeight="1" x14ac:dyDescent="0.2">
      <c r="A7" s="3183"/>
      <c r="B7" s="3183"/>
      <c r="C7" s="3184"/>
      <c r="D7" s="3185"/>
      <c r="E7" s="3185"/>
      <c r="F7" s="3185"/>
      <c r="G7" s="3185"/>
      <c r="H7" s="3185"/>
      <c r="I7" s="3185"/>
      <c r="J7" s="3185"/>
      <c r="K7" s="3185"/>
      <c r="L7" s="3186" t="s">
        <v>66</v>
      </c>
      <c r="M7" s="3186"/>
      <c r="N7" s="281" t="s">
        <v>80</v>
      </c>
      <c r="O7" s="281" t="s">
        <v>81</v>
      </c>
      <c r="P7" s="3187"/>
      <c r="Q7" s="3186"/>
      <c r="R7" s="3185"/>
      <c r="S7" s="3186" t="s">
        <v>67</v>
      </c>
      <c r="T7" s="3185"/>
      <c r="U7" s="3185"/>
      <c r="V7" s="3185"/>
      <c r="W7" s="3185"/>
      <c r="X7" s="280" t="s">
        <v>5</v>
      </c>
      <c r="Y7" s="280" t="s">
        <v>6</v>
      </c>
      <c r="Z7" s="280" t="s">
        <v>74</v>
      </c>
      <c r="AA7" s="280" t="s">
        <v>5</v>
      </c>
      <c r="AB7" s="280" t="s">
        <v>6</v>
      </c>
      <c r="AC7" s="280" t="s">
        <v>75</v>
      </c>
      <c r="AD7" s="280" t="s">
        <v>5</v>
      </c>
      <c r="AE7" s="280" t="s">
        <v>6</v>
      </c>
      <c r="AF7" s="280" t="s">
        <v>76</v>
      </c>
      <c r="AG7" s="3184"/>
      <c r="AH7" s="3184"/>
      <c r="AJ7" s="33" t="s">
        <v>64</v>
      </c>
    </row>
    <row r="8" spans="1:42" ht="12.75" customHeight="1"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K8" s="43" t="s">
        <v>116</v>
      </c>
      <c r="AL8" s="43" t="s">
        <v>117</v>
      </c>
      <c r="AM8" s="43" t="s">
        <v>118</v>
      </c>
      <c r="AN8" s="43" t="s">
        <v>119</v>
      </c>
    </row>
    <row r="9" spans="1:42" ht="27" customHeight="1" x14ac:dyDescent="0.2">
      <c r="A9" s="278">
        <v>1</v>
      </c>
      <c r="B9" s="44" t="s">
        <v>21</v>
      </c>
      <c r="C9" s="278">
        <v>1</v>
      </c>
      <c r="D9" s="45">
        <v>21.991</v>
      </c>
      <c r="E9" s="46">
        <f>C9*D9</f>
        <v>21.99</v>
      </c>
      <c r="F9" s="47">
        <f>E9*12</f>
        <v>263.89999999999998</v>
      </c>
      <c r="G9" s="24"/>
      <c r="H9" s="24"/>
      <c r="I9" s="24"/>
      <c r="J9" s="24"/>
      <c r="K9" s="24">
        <f>D9*0.3*12+0.05*9</f>
        <v>79.599999999999994</v>
      </c>
      <c r="L9" s="24">
        <f>F9*$L$4</f>
        <v>85</v>
      </c>
      <c r="M9" s="24">
        <f t="shared" ref="M9:M27" si="0">F9+G9+H9+I9+J9+K9+L9</f>
        <v>428.5</v>
      </c>
      <c r="N9" s="48">
        <v>1.1100000000000001</v>
      </c>
      <c r="O9" s="24">
        <f t="shared" ref="O9:O27" si="1">M9*N9</f>
        <v>475.6</v>
      </c>
      <c r="P9" s="24">
        <f>M9+O9</f>
        <v>904.1</v>
      </c>
      <c r="Q9" s="24">
        <f>P9*0.8</f>
        <v>723.3</v>
      </c>
      <c r="R9" s="24">
        <f t="shared" ref="R9:R27" si="2">P9*0.8</f>
        <v>723.3</v>
      </c>
      <c r="S9" s="24">
        <f>(P9+Q9+R9)*0.032</f>
        <v>75.2</v>
      </c>
      <c r="T9" s="49">
        <f t="shared" ref="T9:T27" si="3">P9+Q9+R9+S9</f>
        <v>2425.9</v>
      </c>
      <c r="U9" s="3192">
        <v>1</v>
      </c>
      <c r="V9" s="49">
        <f>T9*$U$9</f>
        <v>2425.9</v>
      </c>
      <c r="W9" s="49">
        <f>AN9</f>
        <v>534.29999999999995</v>
      </c>
      <c r="X9" s="278">
        <v>1</v>
      </c>
      <c r="Y9" s="24">
        <v>30</v>
      </c>
      <c r="Z9" s="48">
        <f t="shared" ref="Z9:Z25" si="4">X9*Y9</f>
        <v>30</v>
      </c>
      <c r="AA9" s="278"/>
      <c r="AB9" s="24">
        <v>15</v>
      </c>
      <c r="AC9" s="48">
        <f t="shared" ref="AC9:AC25" si="5">AA9*AB9</f>
        <v>0</v>
      </c>
      <c r="AD9" s="278"/>
      <c r="AE9" s="24">
        <v>30</v>
      </c>
      <c r="AF9" s="48">
        <f t="shared" ref="AF9:AF25" si="6">AD9*AE9</f>
        <v>0</v>
      </c>
      <c r="AG9" s="48">
        <f t="shared" ref="AG9:AG25" si="7">(Z9+AC9+AF9)*1%*30</f>
        <v>9</v>
      </c>
      <c r="AH9" s="48">
        <f t="shared" ref="AH9:AH25" si="8">Z9+AC9+AF9+AG9</f>
        <v>39</v>
      </c>
      <c r="AI9" s="34">
        <f t="shared" ref="AI9:AI27" si="9">V9/12/C9*1000</f>
        <v>202158.3</v>
      </c>
      <c r="AJ9" s="34">
        <f t="shared" ref="AJ9:AJ27" si="10">V9/C9</f>
        <v>2425.9</v>
      </c>
      <c r="AK9" s="50">
        <f>1150*0.22*C9+(V9-1150*C9)*0.1</f>
        <v>380.6</v>
      </c>
      <c r="AL9" s="50">
        <f>865*0.029*C9</f>
        <v>25.1</v>
      </c>
      <c r="AM9" s="50">
        <f t="shared" ref="AM9:AM27" si="11">V9*0.053</f>
        <v>128.6</v>
      </c>
      <c r="AN9" s="50">
        <f>SUM(AK9:AM9)</f>
        <v>534.29999999999995</v>
      </c>
      <c r="AP9" s="51"/>
    </row>
    <row r="10" spans="1:42" ht="27" customHeight="1" x14ac:dyDescent="0.2">
      <c r="A10" s="278">
        <v>2</v>
      </c>
      <c r="B10" s="44" t="s">
        <v>125</v>
      </c>
      <c r="C10" s="278">
        <v>3</v>
      </c>
      <c r="D10" s="45">
        <v>15.394</v>
      </c>
      <c r="E10" s="46">
        <f>C10*D10</f>
        <v>46.18</v>
      </c>
      <c r="F10" s="47">
        <f>E10*12</f>
        <v>554.20000000000005</v>
      </c>
      <c r="G10" s="24"/>
      <c r="H10" s="24"/>
      <c r="I10" s="24"/>
      <c r="J10" s="24"/>
      <c r="K10" s="24">
        <f>D10*0.2*2*12+D10*0.4*12+D10*0.05*3</f>
        <v>150.1</v>
      </c>
      <c r="L10" s="24">
        <f t="shared" ref="L10:L25" si="12">F10*$L$4</f>
        <v>178.5</v>
      </c>
      <c r="M10" s="24">
        <f>F10+G10+H10+I10+J10+K10+L10</f>
        <v>882.8</v>
      </c>
      <c r="N10" s="48">
        <v>0.47</v>
      </c>
      <c r="O10" s="24">
        <f>M10*N10</f>
        <v>414.9</v>
      </c>
      <c r="P10" s="24">
        <f>M10+O10</f>
        <v>1297.7</v>
      </c>
      <c r="Q10" s="24">
        <f>P10*0.8</f>
        <v>1038.2</v>
      </c>
      <c r="R10" s="24">
        <f>P10*0.8</f>
        <v>1038.2</v>
      </c>
      <c r="S10" s="24">
        <f>(P10+Q10+R10)*0.032</f>
        <v>108</v>
      </c>
      <c r="T10" s="49">
        <f>P10+Q10+R10+S10</f>
        <v>3482.1</v>
      </c>
      <c r="U10" s="3193"/>
      <c r="V10" s="49">
        <f>T10*$U$9</f>
        <v>3482.1</v>
      </c>
      <c r="W10" s="49">
        <f>AN10</f>
        <v>1022.1</v>
      </c>
      <c r="X10" s="278">
        <v>2</v>
      </c>
      <c r="Y10" s="24">
        <v>30</v>
      </c>
      <c r="Z10" s="48">
        <f>X10*Y10</f>
        <v>60</v>
      </c>
      <c r="AA10" s="278">
        <v>1</v>
      </c>
      <c r="AB10" s="24">
        <v>15</v>
      </c>
      <c r="AC10" s="48">
        <f>AA10*AB10</f>
        <v>15</v>
      </c>
      <c r="AD10" s="278">
        <v>3</v>
      </c>
      <c r="AE10" s="24">
        <v>30</v>
      </c>
      <c r="AF10" s="48">
        <f>AD10*AE10</f>
        <v>90</v>
      </c>
      <c r="AG10" s="48">
        <f>(Z10+AC10+AF10)*1%*30</f>
        <v>49.5</v>
      </c>
      <c r="AH10" s="48">
        <f>Z10+AC10+AF10+AG10</f>
        <v>214.5</v>
      </c>
      <c r="AI10" s="34">
        <f t="shared" si="9"/>
        <v>96725</v>
      </c>
      <c r="AJ10" s="34">
        <f t="shared" si="10"/>
        <v>1160.7</v>
      </c>
      <c r="AK10" s="50">
        <f>1150*0.22*C10+(V10-1150*C10)*0.1</f>
        <v>762.2</v>
      </c>
      <c r="AL10" s="50">
        <f>865*0.029*C10</f>
        <v>75.3</v>
      </c>
      <c r="AM10" s="50">
        <f t="shared" si="11"/>
        <v>184.6</v>
      </c>
      <c r="AN10" s="50">
        <f>SUM(AK10:AM10)</f>
        <v>1022.1</v>
      </c>
      <c r="AP10" s="51"/>
    </row>
    <row r="11" spans="1:42" ht="27" customHeight="1" x14ac:dyDescent="0.2">
      <c r="A11" s="278">
        <v>3</v>
      </c>
      <c r="B11" s="52" t="s">
        <v>23</v>
      </c>
      <c r="C11" s="278">
        <v>7</v>
      </c>
      <c r="D11" s="53">
        <v>11.061999999999999</v>
      </c>
      <c r="E11" s="46">
        <f t="shared" ref="E11:E27" si="13">C11*D11</f>
        <v>77.430000000000007</v>
      </c>
      <c r="F11" s="47">
        <f t="shared" ref="F11:F27" si="14">E11*12</f>
        <v>929.2</v>
      </c>
      <c r="G11" s="24"/>
      <c r="H11" s="24">
        <f>(6470.9+1198.32)/1000</f>
        <v>7.7</v>
      </c>
      <c r="I11" s="24"/>
      <c r="J11" s="24"/>
      <c r="K11" s="24">
        <f>D11*0.25*12+D11*0.35*12+D11*0.4*4*12</f>
        <v>292</v>
      </c>
      <c r="L11" s="24">
        <f t="shared" si="12"/>
        <v>299.39999999999998</v>
      </c>
      <c r="M11" s="24">
        <f t="shared" si="0"/>
        <v>1528.3</v>
      </c>
      <c r="N11" s="48">
        <v>0.43</v>
      </c>
      <c r="O11" s="24">
        <f t="shared" si="1"/>
        <v>657.2</v>
      </c>
      <c r="P11" s="24">
        <f t="shared" ref="P11:P27" si="15">M11+O11</f>
        <v>2185.5</v>
      </c>
      <c r="Q11" s="24">
        <f t="shared" ref="Q11:Q27" si="16">P11*0.8</f>
        <v>1748.4</v>
      </c>
      <c r="R11" s="24">
        <f t="shared" si="2"/>
        <v>1748.4</v>
      </c>
      <c r="S11" s="24">
        <f t="shared" ref="S11:S27" si="17">(P11+Q11+R11)*0.032</f>
        <v>181.8</v>
      </c>
      <c r="T11" s="49">
        <f t="shared" si="3"/>
        <v>5864.1</v>
      </c>
      <c r="U11" s="3193"/>
      <c r="V11" s="49">
        <f t="shared" ref="V11:V25" si="18">T11*$U$9</f>
        <v>5864.1</v>
      </c>
      <c r="W11" s="49">
        <f>V11*0.302</f>
        <v>1771</v>
      </c>
      <c r="X11" s="278">
        <v>2</v>
      </c>
      <c r="Y11" s="24">
        <v>30</v>
      </c>
      <c r="Z11" s="48">
        <f t="shared" si="4"/>
        <v>60</v>
      </c>
      <c r="AA11" s="278">
        <v>3</v>
      </c>
      <c r="AB11" s="24">
        <v>15</v>
      </c>
      <c r="AC11" s="48">
        <f t="shared" si="5"/>
        <v>45</v>
      </c>
      <c r="AD11" s="278"/>
      <c r="AE11" s="24">
        <v>30</v>
      </c>
      <c r="AF11" s="48">
        <f t="shared" si="6"/>
        <v>0</v>
      </c>
      <c r="AG11" s="48">
        <f>(Z11+AC11+AF11)*1%*30</f>
        <v>31.5</v>
      </c>
      <c r="AH11" s="48">
        <f t="shared" si="8"/>
        <v>136.5</v>
      </c>
      <c r="AI11" s="34">
        <f t="shared" si="9"/>
        <v>69810.7</v>
      </c>
      <c r="AJ11" s="34">
        <f t="shared" si="10"/>
        <v>837.7</v>
      </c>
      <c r="AK11" s="50">
        <f t="shared" ref="AK11:AK27" si="19">V11*0.22</f>
        <v>1290.0999999999999</v>
      </c>
      <c r="AL11" s="50">
        <f>865*0.029*C11</f>
        <v>175.6</v>
      </c>
      <c r="AM11" s="50">
        <f t="shared" si="11"/>
        <v>310.8</v>
      </c>
      <c r="AN11" s="50">
        <f t="shared" ref="AN11:AN27" si="20">SUM(AK11:AM11)</f>
        <v>1776.5</v>
      </c>
      <c r="AP11" s="51"/>
    </row>
    <row r="12" spans="1:42" ht="27" customHeight="1" x14ac:dyDescent="0.2">
      <c r="A12" s="278">
        <v>4</v>
      </c>
      <c r="B12" s="52" t="s">
        <v>134</v>
      </c>
      <c r="C12" s="278">
        <v>1</v>
      </c>
      <c r="D12" s="53">
        <v>11.061999999999999</v>
      </c>
      <c r="E12" s="46">
        <f t="shared" si="13"/>
        <v>11.06</v>
      </c>
      <c r="F12" s="47">
        <f t="shared" si="14"/>
        <v>132.69999999999999</v>
      </c>
      <c r="G12" s="24"/>
      <c r="H12" s="24">
        <f>1078.5/1000</f>
        <v>1.1000000000000001</v>
      </c>
      <c r="I12" s="24"/>
      <c r="J12" s="24"/>
      <c r="K12" s="24"/>
      <c r="L12" s="24">
        <f t="shared" si="12"/>
        <v>42.8</v>
      </c>
      <c r="M12" s="24">
        <f t="shared" si="0"/>
        <v>176.6</v>
      </c>
      <c r="N12" s="48">
        <v>0.43</v>
      </c>
      <c r="O12" s="24">
        <f t="shared" si="1"/>
        <v>75.900000000000006</v>
      </c>
      <c r="P12" s="24">
        <f t="shared" si="15"/>
        <v>252.5</v>
      </c>
      <c r="Q12" s="24">
        <f t="shared" si="16"/>
        <v>202</v>
      </c>
      <c r="R12" s="24">
        <f t="shared" si="2"/>
        <v>202</v>
      </c>
      <c r="S12" s="24">
        <f t="shared" si="17"/>
        <v>21</v>
      </c>
      <c r="T12" s="49">
        <f t="shared" si="3"/>
        <v>677.5</v>
      </c>
      <c r="U12" s="3193"/>
      <c r="V12" s="49">
        <f t="shared" si="18"/>
        <v>677.5</v>
      </c>
      <c r="W12" s="49">
        <f t="shared" ref="W12:W26" si="21">V12*0.302</f>
        <v>204.6</v>
      </c>
      <c r="X12" s="278"/>
      <c r="Y12" s="24">
        <v>30</v>
      </c>
      <c r="Z12" s="48">
        <f t="shared" si="4"/>
        <v>0</v>
      </c>
      <c r="AA12" s="278"/>
      <c r="AB12" s="24">
        <v>15</v>
      </c>
      <c r="AC12" s="48">
        <f t="shared" si="5"/>
        <v>0</v>
      </c>
      <c r="AD12" s="278"/>
      <c r="AE12" s="24">
        <v>30</v>
      </c>
      <c r="AF12" s="48">
        <f t="shared" si="6"/>
        <v>0</v>
      </c>
      <c r="AG12" s="48">
        <f>(Z12+AC12+AF12)*1%*30</f>
        <v>0</v>
      </c>
      <c r="AH12" s="48">
        <f t="shared" si="8"/>
        <v>0</v>
      </c>
      <c r="AI12" s="34">
        <f t="shared" si="9"/>
        <v>56458.3</v>
      </c>
      <c r="AJ12" s="34">
        <f t="shared" si="10"/>
        <v>677.5</v>
      </c>
      <c r="AK12" s="50">
        <f t="shared" si="19"/>
        <v>149.1</v>
      </c>
      <c r="AL12" s="50">
        <f t="shared" ref="AL12:AL27" si="22">912*0.029*C12</f>
        <v>26.4</v>
      </c>
      <c r="AM12" s="50">
        <f t="shared" si="11"/>
        <v>35.9</v>
      </c>
      <c r="AN12" s="50">
        <f t="shared" si="20"/>
        <v>211.4</v>
      </c>
      <c r="AP12" s="51"/>
    </row>
    <row r="13" spans="1:42" ht="27" customHeight="1" x14ac:dyDescent="0.2">
      <c r="A13" s="278">
        <v>5</v>
      </c>
      <c r="B13" s="52" t="s">
        <v>17</v>
      </c>
      <c r="C13" s="278">
        <v>1</v>
      </c>
      <c r="D13" s="53">
        <v>12.335000000000001</v>
      </c>
      <c r="E13" s="46">
        <f t="shared" si="13"/>
        <v>12.34</v>
      </c>
      <c r="F13" s="47">
        <f t="shared" si="14"/>
        <v>148.1</v>
      </c>
      <c r="G13" s="24"/>
      <c r="H13" s="24">
        <f>1202.6/1000</f>
        <v>1.2</v>
      </c>
      <c r="I13" s="24"/>
      <c r="J13" s="24"/>
      <c r="K13" s="24">
        <f>F13*0.4</f>
        <v>59.2</v>
      </c>
      <c r="L13" s="24">
        <f t="shared" si="12"/>
        <v>47.7</v>
      </c>
      <c r="M13" s="24">
        <f t="shared" si="0"/>
        <v>256.2</v>
      </c>
      <c r="N13" s="48">
        <v>0.47</v>
      </c>
      <c r="O13" s="24">
        <f t="shared" si="1"/>
        <v>120.4</v>
      </c>
      <c r="P13" s="24">
        <f t="shared" si="15"/>
        <v>376.6</v>
      </c>
      <c r="Q13" s="24">
        <f t="shared" si="16"/>
        <v>301.3</v>
      </c>
      <c r="R13" s="24">
        <f t="shared" si="2"/>
        <v>301.3</v>
      </c>
      <c r="S13" s="24">
        <f t="shared" si="17"/>
        <v>31.3</v>
      </c>
      <c r="T13" s="49">
        <f t="shared" si="3"/>
        <v>1010.5</v>
      </c>
      <c r="U13" s="3193"/>
      <c r="V13" s="49">
        <f t="shared" si="18"/>
        <v>1010.5</v>
      </c>
      <c r="W13" s="49">
        <f>AN13</f>
        <v>301</v>
      </c>
      <c r="X13" s="278">
        <v>1</v>
      </c>
      <c r="Y13" s="24">
        <v>30</v>
      </c>
      <c r="Z13" s="48">
        <f t="shared" si="4"/>
        <v>30</v>
      </c>
      <c r="AA13" s="278">
        <v>1</v>
      </c>
      <c r="AB13" s="24">
        <v>15</v>
      </c>
      <c r="AC13" s="48">
        <f t="shared" si="5"/>
        <v>15</v>
      </c>
      <c r="AD13" s="278">
        <v>1</v>
      </c>
      <c r="AE13" s="24">
        <v>30</v>
      </c>
      <c r="AF13" s="48">
        <f t="shared" si="6"/>
        <v>30</v>
      </c>
      <c r="AG13" s="48">
        <f t="shared" si="7"/>
        <v>22.5</v>
      </c>
      <c r="AH13" s="48">
        <f t="shared" si="8"/>
        <v>97.5</v>
      </c>
      <c r="AI13" s="34">
        <f t="shared" si="9"/>
        <v>84208.3</v>
      </c>
      <c r="AJ13" s="34">
        <f t="shared" si="10"/>
        <v>1010.5</v>
      </c>
      <c r="AK13" s="50">
        <f t="shared" si="19"/>
        <v>222.3</v>
      </c>
      <c r="AL13" s="50">
        <f>865*0.029*C13</f>
        <v>25.1</v>
      </c>
      <c r="AM13" s="50">
        <f t="shared" si="11"/>
        <v>53.6</v>
      </c>
      <c r="AN13" s="50">
        <f t="shared" ref="AN13" si="23">SUM(AK13:AM13)</f>
        <v>301</v>
      </c>
      <c r="AP13" s="51"/>
    </row>
    <row r="14" spans="1:42" ht="34.5" customHeight="1" x14ac:dyDescent="0.2">
      <c r="A14" s="278">
        <v>6</v>
      </c>
      <c r="B14" s="52" t="s">
        <v>129</v>
      </c>
      <c r="C14" s="54">
        <v>1</v>
      </c>
      <c r="D14" s="53">
        <v>8.4730000000000008</v>
      </c>
      <c r="E14" s="46">
        <f>C14*D14</f>
        <v>8.4700000000000006</v>
      </c>
      <c r="F14" s="47">
        <f>E14*11</f>
        <v>93.2</v>
      </c>
      <c r="G14" s="24"/>
      <c r="H14" s="24">
        <f>826.1/1000</f>
        <v>0.8</v>
      </c>
      <c r="I14" s="24"/>
      <c r="J14" s="24"/>
      <c r="K14" s="24">
        <f>F14*0.2</f>
        <v>18.600000000000001</v>
      </c>
      <c r="L14" s="24">
        <f t="shared" si="12"/>
        <v>30</v>
      </c>
      <c r="M14" s="24">
        <f t="shared" si="0"/>
        <v>142.6</v>
      </c>
      <c r="N14" s="48">
        <v>0.41</v>
      </c>
      <c r="O14" s="24">
        <f t="shared" si="1"/>
        <v>58.5</v>
      </c>
      <c r="P14" s="24">
        <f t="shared" si="15"/>
        <v>201.1</v>
      </c>
      <c r="Q14" s="24">
        <f t="shared" si="16"/>
        <v>160.9</v>
      </c>
      <c r="R14" s="24">
        <f t="shared" si="2"/>
        <v>160.9</v>
      </c>
      <c r="S14" s="24">
        <f t="shared" si="17"/>
        <v>16.7</v>
      </c>
      <c r="T14" s="49">
        <f t="shared" si="3"/>
        <v>539.6</v>
      </c>
      <c r="U14" s="3193"/>
      <c r="V14" s="49">
        <f>T14*$U$9</f>
        <v>539.6</v>
      </c>
      <c r="W14" s="49">
        <f t="shared" si="21"/>
        <v>163</v>
      </c>
      <c r="X14" s="278">
        <v>1</v>
      </c>
      <c r="Y14" s="24">
        <v>30</v>
      </c>
      <c r="Z14" s="48">
        <f t="shared" si="4"/>
        <v>30</v>
      </c>
      <c r="AA14" s="278">
        <v>1</v>
      </c>
      <c r="AB14" s="24">
        <v>15</v>
      </c>
      <c r="AC14" s="48">
        <f t="shared" si="5"/>
        <v>15</v>
      </c>
      <c r="AD14" s="278">
        <v>1</v>
      </c>
      <c r="AE14" s="24">
        <v>30</v>
      </c>
      <c r="AF14" s="48">
        <f t="shared" si="6"/>
        <v>30</v>
      </c>
      <c r="AG14" s="48">
        <f t="shared" si="7"/>
        <v>22.5</v>
      </c>
      <c r="AH14" s="48">
        <f t="shared" si="8"/>
        <v>97.5</v>
      </c>
      <c r="AI14" s="34">
        <f t="shared" si="9"/>
        <v>44966.7</v>
      </c>
      <c r="AJ14" s="34">
        <f t="shared" si="10"/>
        <v>539.6</v>
      </c>
      <c r="AK14" s="50">
        <f t="shared" si="19"/>
        <v>118.7</v>
      </c>
      <c r="AL14" s="50">
        <f t="shared" si="22"/>
        <v>26.4</v>
      </c>
      <c r="AM14" s="50">
        <f t="shared" si="11"/>
        <v>28.6</v>
      </c>
      <c r="AN14" s="50">
        <f t="shared" si="20"/>
        <v>173.7</v>
      </c>
      <c r="AP14" s="51"/>
    </row>
    <row r="15" spans="1:42" ht="27" customHeight="1" x14ac:dyDescent="0.2">
      <c r="A15" s="278">
        <v>7</v>
      </c>
      <c r="B15" s="52" t="s">
        <v>22</v>
      </c>
      <c r="C15" s="278">
        <v>1</v>
      </c>
      <c r="D15" s="53">
        <v>11.061999999999999</v>
      </c>
      <c r="E15" s="46">
        <f>C15*D15</f>
        <v>11.06</v>
      </c>
      <c r="F15" s="47">
        <f>E15*12</f>
        <v>132.69999999999999</v>
      </c>
      <c r="G15" s="24"/>
      <c r="H15" s="24">
        <f>1078.5/1000</f>
        <v>1.1000000000000001</v>
      </c>
      <c r="I15" s="24"/>
      <c r="J15" s="24"/>
      <c r="K15" s="24">
        <f>F15*0.4</f>
        <v>53.1</v>
      </c>
      <c r="L15" s="24">
        <f t="shared" si="12"/>
        <v>42.8</v>
      </c>
      <c r="M15" s="24">
        <f>F15+G15+H15+I15+J15+K15+L15</f>
        <v>229.7</v>
      </c>
      <c r="N15" s="48">
        <v>0.43</v>
      </c>
      <c r="O15" s="24">
        <f>M15*N15</f>
        <v>98.8</v>
      </c>
      <c r="P15" s="24">
        <f>M15+O15</f>
        <v>328.5</v>
      </c>
      <c r="Q15" s="24">
        <f>P15*0.8</f>
        <v>262.8</v>
      </c>
      <c r="R15" s="24">
        <f>P15*0.8</f>
        <v>262.8</v>
      </c>
      <c r="S15" s="24">
        <f>(P15+Q15+R15)*0.032</f>
        <v>27.3</v>
      </c>
      <c r="T15" s="49">
        <f>P15+Q15+R15+S15</f>
        <v>881.4</v>
      </c>
      <c r="U15" s="3193"/>
      <c r="V15" s="49">
        <f>T15*$U$9</f>
        <v>881.4</v>
      </c>
      <c r="W15" s="49">
        <f>AN15</f>
        <v>265.7</v>
      </c>
      <c r="X15" s="278">
        <v>1</v>
      </c>
      <c r="Y15" s="24">
        <v>30</v>
      </c>
      <c r="Z15" s="48">
        <f>X15*Y15</f>
        <v>30</v>
      </c>
      <c r="AA15" s="278"/>
      <c r="AB15" s="24">
        <v>15</v>
      </c>
      <c r="AC15" s="48">
        <f>AA15*AB15</f>
        <v>0</v>
      </c>
      <c r="AD15" s="278"/>
      <c r="AE15" s="24">
        <v>30</v>
      </c>
      <c r="AF15" s="48">
        <f>AD15*AE15</f>
        <v>0</v>
      </c>
      <c r="AG15" s="48">
        <f>(Z15+AC15+AF15)*1%*30</f>
        <v>9</v>
      </c>
      <c r="AH15" s="48">
        <f>Z15+AC15+AF15+AG15</f>
        <v>39</v>
      </c>
      <c r="AI15" s="34">
        <f t="shared" si="9"/>
        <v>73450</v>
      </c>
      <c r="AJ15" s="34">
        <f t="shared" si="10"/>
        <v>881.4</v>
      </c>
      <c r="AK15" s="50">
        <f t="shared" si="19"/>
        <v>193.9</v>
      </c>
      <c r="AL15" s="50">
        <f>865*0.029*C15</f>
        <v>25.1</v>
      </c>
      <c r="AM15" s="50">
        <f t="shared" si="11"/>
        <v>46.7</v>
      </c>
      <c r="AN15" s="50">
        <f t="shared" ref="AN15" si="24">SUM(AK15:AM15)</f>
        <v>265.7</v>
      </c>
      <c r="AP15" s="51"/>
    </row>
    <row r="16" spans="1:42" ht="27" customHeight="1" x14ac:dyDescent="0.2">
      <c r="A16" s="278">
        <v>8</v>
      </c>
      <c r="B16" s="52" t="s">
        <v>28</v>
      </c>
      <c r="C16" s="54">
        <v>5</v>
      </c>
      <c r="D16" s="53">
        <v>9.593</v>
      </c>
      <c r="E16" s="46">
        <f t="shared" si="13"/>
        <v>47.97</v>
      </c>
      <c r="F16" s="47">
        <f t="shared" si="14"/>
        <v>575.6</v>
      </c>
      <c r="G16" s="24"/>
      <c r="H16" s="24">
        <f>4.78</f>
        <v>4.8</v>
      </c>
      <c r="I16" s="24"/>
      <c r="J16" s="24"/>
      <c r="K16" s="24">
        <f>D16*0.2*2*12+D16*0.05*5.5+D16*0.2*7.5</f>
        <v>63.1</v>
      </c>
      <c r="L16" s="24">
        <f t="shared" si="12"/>
        <v>185.4</v>
      </c>
      <c r="M16" s="24">
        <f t="shared" si="0"/>
        <v>828.9</v>
      </c>
      <c r="N16" s="48">
        <v>0.43</v>
      </c>
      <c r="O16" s="24">
        <f t="shared" si="1"/>
        <v>356.4</v>
      </c>
      <c r="P16" s="24">
        <f t="shared" si="15"/>
        <v>1185.3</v>
      </c>
      <c r="Q16" s="24">
        <f t="shared" si="16"/>
        <v>948.2</v>
      </c>
      <c r="R16" s="24">
        <f t="shared" si="2"/>
        <v>948.2</v>
      </c>
      <c r="S16" s="24">
        <f t="shared" si="17"/>
        <v>98.6</v>
      </c>
      <c r="T16" s="49">
        <f t="shared" si="3"/>
        <v>3180.3</v>
      </c>
      <c r="U16" s="3193"/>
      <c r="V16" s="49">
        <f>T16*$U$9</f>
        <v>3180.3</v>
      </c>
      <c r="W16" s="49">
        <f t="shared" si="21"/>
        <v>960.5</v>
      </c>
      <c r="X16" s="278"/>
      <c r="Y16" s="24">
        <v>30</v>
      </c>
      <c r="Z16" s="48">
        <f t="shared" si="4"/>
        <v>0</v>
      </c>
      <c r="AA16" s="278"/>
      <c r="AB16" s="24">
        <v>15</v>
      </c>
      <c r="AC16" s="48">
        <f t="shared" si="5"/>
        <v>0</v>
      </c>
      <c r="AD16" s="278"/>
      <c r="AE16" s="24">
        <v>30</v>
      </c>
      <c r="AF16" s="48">
        <f t="shared" si="6"/>
        <v>0</v>
      </c>
      <c r="AG16" s="48">
        <f t="shared" si="7"/>
        <v>0</v>
      </c>
      <c r="AH16" s="48">
        <f t="shared" si="8"/>
        <v>0</v>
      </c>
      <c r="AI16" s="34">
        <f t="shared" si="9"/>
        <v>53005</v>
      </c>
      <c r="AJ16" s="34">
        <f t="shared" si="10"/>
        <v>636.1</v>
      </c>
      <c r="AK16" s="50">
        <f t="shared" si="19"/>
        <v>699.7</v>
      </c>
      <c r="AL16" s="50">
        <f t="shared" si="22"/>
        <v>132.19999999999999</v>
      </c>
      <c r="AM16" s="50">
        <f t="shared" si="11"/>
        <v>168.6</v>
      </c>
      <c r="AN16" s="50">
        <f t="shared" si="20"/>
        <v>1000.5</v>
      </c>
      <c r="AP16" s="51"/>
    </row>
    <row r="17" spans="1:42" ht="27" customHeight="1" x14ac:dyDescent="0.2">
      <c r="A17" s="278">
        <v>9</v>
      </c>
      <c r="B17" s="52" t="s">
        <v>24</v>
      </c>
      <c r="C17" s="54">
        <v>15</v>
      </c>
      <c r="D17" s="53">
        <v>8.5419999999999998</v>
      </c>
      <c r="E17" s="46">
        <f t="shared" si="13"/>
        <v>128.13</v>
      </c>
      <c r="F17" s="47">
        <f t="shared" si="14"/>
        <v>1537.6</v>
      </c>
      <c r="G17" s="24"/>
      <c r="H17" s="24">
        <f>14.25</f>
        <v>14.3</v>
      </c>
      <c r="I17" s="24"/>
      <c r="J17" s="24"/>
      <c r="K17" s="24">
        <f>D17*0.2*8*12+D17*0.25*12+D17*0.05*12+D17*0.3*12</f>
        <v>225.5</v>
      </c>
      <c r="L17" s="24">
        <f t="shared" si="12"/>
        <v>495.4</v>
      </c>
      <c r="M17" s="24">
        <f t="shared" si="0"/>
        <v>2272.8000000000002</v>
      </c>
      <c r="N17" s="48">
        <v>0.4</v>
      </c>
      <c r="O17" s="24">
        <f t="shared" si="1"/>
        <v>909.1</v>
      </c>
      <c r="P17" s="24">
        <f t="shared" si="15"/>
        <v>3181.9</v>
      </c>
      <c r="Q17" s="24">
        <f t="shared" si="16"/>
        <v>2545.5</v>
      </c>
      <c r="R17" s="24">
        <f t="shared" si="2"/>
        <v>2545.5</v>
      </c>
      <c r="S17" s="24">
        <f t="shared" si="17"/>
        <v>264.7</v>
      </c>
      <c r="T17" s="49">
        <f t="shared" si="3"/>
        <v>8537.6</v>
      </c>
      <c r="U17" s="3193"/>
      <c r="V17" s="49">
        <f t="shared" si="18"/>
        <v>8537.6</v>
      </c>
      <c r="W17" s="49">
        <f t="shared" si="21"/>
        <v>2578.4</v>
      </c>
      <c r="X17" s="278">
        <v>10</v>
      </c>
      <c r="Y17" s="24">
        <v>30</v>
      </c>
      <c r="Z17" s="48">
        <f t="shared" si="4"/>
        <v>300</v>
      </c>
      <c r="AA17" s="278">
        <v>3</v>
      </c>
      <c r="AB17" s="24">
        <v>15</v>
      </c>
      <c r="AC17" s="48">
        <f t="shared" si="5"/>
        <v>45</v>
      </c>
      <c r="AD17" s="278">
        <v>2</v>
      </c>
      <c r="AE17" s="24">
        <v>30</v>
      </c>
      <c r="AF17" s="48">
        <f t="shared" si="6"/>
        <v>60</v>
      </c>
      <c r="AG17" s="48">
        <f>(Z17+AC17+AF17)*1%*30</f>
        <v>121.5</v>
      </c>
      <c r="AH17" s="48">
        <f t="shared" si="8"/>
        <v>526.5</v>
      </c>
      <c r="AI17" s="34">
        <f t="shared" si="9"/>
        <v>47431.1</v>
      </c>
      <c r="AJ17" s="34">
        <f t="shared" si="10"/>
        <v>569.20000000000005</v>
      </c>
      <c r="AK17" s="50">
        <f t="shared" si="19"/>
        <v>1878.3</v>
      </c>
      <c r="AL17" s="50">
        <f t="shared" si="22"/>
        <v>396.7</v>
      </c>
      <c r="AM17" s="50">
        <f t="shared" si="11"/>
        <v>452.5</v>
      </c>
      <c r="AN17" s="50">
        <f t="shared" si="20"/>
        <v>2727.5</v>
      </c>
      <c r="AP17" s="51"/>
    </row>
    <row r="18" spans="1:42" ht="27" customHeight="1" x14ac:dyDescent="0.2">
      <c r="A18" s="278">
        <v>10</v>
      </c>
      <c r="B18" s="55" t="s">
        <v>26</v>
      </c>
      <c r="C18" s="56">
        <v>16</v>
      </c>
      <c r="D18" s="53">
        <v>4.3109999999999999</v>
      </c>
      <c r="E18" s="46">
        <f>C18*D18</f>
        <v>68.98</v>
      </c>
      <c r="F18" s="47">
        <f>E18*12</f>
        <v>827.8</v>
      </c>
      <c r="G18" s="24"/>
      <c r="H18" s="24">
        <f>27739.8/1000</f>
        <v>27.7</v>
      </c>
      <c r="I18" s="24"/>
      <c r="J18" s="24"/>
      <c r="K18" s="24"/>
      <c r="L18" s="24">
        <v>390</v>
      </c>
      <c r="M18" s="24">
        <f>F18+G18+H18+I18+J18+K18+L18</f>
        <v>1245.5</v>
      </c>
      <c r="N18" s="48">
        <v>0.75</v>
      </c>
      <c r="O18" s="24">
        <f>M18*N18</f>
        <v>934.1</v>
      </c>
      <c r="P18" s="24">
        <f>M18+O18</f>
        <v>2179.6</v>
      </c>
      <c r="Q18" s="24">
        <f>P18*0.8</f>
        <v>1743.7</v>
      </c>
      <c r="R18" s="24">
        <f>P18*0.8</f>
        <v>1743.7</v>
      </c>
      <c r="S18" s="24">
        <f>(P18+Q18+R18)*0.032</f>
        <v>181.3</v>
      </c>
      <c r="T18" s="49">
        <f>P18+Q18+R18+S18</f>
        <v>5848.3</v>
      </c>
      <c r="U18" s="3193"/>
      <c r="V18" s="49">
        <f>T18*$U$9</f>
        <v>5848.3</v>
      </c>
      <c r="W18" s="49">
        <f t="shared" si="21"/>
        <v>1766.2</v>
      </c>
      <c r="X18" s="278">
        <v>7</v>
      </c>
      <c r="Y18" s="24">
        <v>30</v>
      </c>
      <c r="Z18" s="48">
        <f>X18*Y18</f>
        <v>210</v>
      </c>
      <c r="AA18" s="278">
        <v>2</v>
      </c>
      <c r="AB18" s="24">
        <v>15</v>
      </c>
      <c r="AC18" s="48">
        <f>AA18*AB18</f>
        <v>30</v>
      </c>
      <c r="AD18" s="278">
        <v>1</v>
      </c>
      <c r="AE18" s="24">
        <v>30</v>
      </c>
      <c r="AF18" s="48">
        <f>AD18*AE18</f>
        <v>30</v>
      </c>
      <c r="AG18" s="48">
        <f>(Z18+AC18+AF18)*1%*30</f>
        <v>81</v>
      </c>
      <c r="AH18" s="48">
        <f>Z18+AC18+AF18+AG18</f>
        <v>351</v>
      </c>
      <c r="AI18" s="34">
        <f t="shared" si="9"/>
        <v>30459.9</v>
      </c>
      <c r="AJ18" s="34">
        <f t="shared" si="10"/>
        <v>365.5</v>
      </c>
      <c r="AK18" s="50">
        <f t="shared" si="19"/>
        <v>1286.5999999999999</v>
      </c>
      <c r="AL18" s="50">
        <f t="shared" si="22"/>
        <v>423.2</v>
      </c>
      <c r="AM18" s="50">
        <f t="shared" si="11"/>
        <v>310</v>
      </c>
      <c r="AN18" s="50">
        <f t="shared" si="20"/>
        <v>2019.8</v>
      </c>
      <c r="AP18" s="51"/>
    </row>
    <row r="19" spans="1:42" ht="27" customHeight="1" x14ac:dyDescent="0.2">
      <c r="A19" s="278">
        <v>11</v>
      </c>
      <c r="B19" s="55" t="s">
        <v>50</v>
      </c>
      <c r="C19" s="57">
        <v>2</v>
      </c>
      <c r="D19" s="53">
        <v>8.4730000000000008</v>
      </c>
      <c r="E19" s="46">
        <f t="shared" si="13"/>
        <v>16.95</v>
      </c>
      <c r="F19" s="47">
        <f t="shared" si="14"/>
        <v>203.4</v>
      </c>
      <c r="G19" s="24"/>
      <c r="H19" s="24">
        <f>1652.1/1000</f>
        <v>1.7</v>
      </c>
      <c r="I19" s="24"/>
      <c r="J19" s="24"/>
      <c r="K19" s="24">
        <f>D19*0.25*12+D19*0.2*12</f>
        <v>45.8</v>
      </c>
      <c r="L19" s="24">
        <f t="shared" si="12"/>
        <v>65.5</v>
      </c>
      <c r="M19" s="24">
        <f t="shared" si="0"/>
        <v>316.39999999999998</v>
      </c>
      <c r="N19" s="48">
        <v>0.41</v>
      </c>
      <c r="O19" s="24">
        <f t="shared" si="1"/>
        <v>129.69999999999999</v>
      </c>
      <c r="P19" s="24">
        <f t="shared" si="15"/>
        <v>446.1</v>
      </c>
      <c r="Q19" s="24">
        <f t="shared" si="16"/>
        <v>356.9</v>
      </c>
      <c r="R19" s="24">
        <f t="shared" si="2"/>
        <v>356.9</v>
      </c>
      <c r="S19" s="24">
        <f t="shared" si="17"/>
        <v>37.1</v>
      </c>
      <c r="T19" s="49">
        <f t="shared" si="3"/>
        <v>1197</v>
      </c>
      <c r="U19" s="3193"/>
      <c r="V19" s="49">
        <f t="shared" si="18"/>
        <v>1197</v>
      </c>
      <c r="W19" s="49">
        <f t="shared" si="21"/>
        <v>361.5</v>
      </c>
      <c r="X19" s="278">
        <v>2</v>
      </c>
      <c r="Y19" s="24">
        <v>30</v>
      </c>
      <c r="Z19" s="48">
        <f t="shared" si="4"/>
        <v>60</v>
      </c>
      <c r="AA19" s="278"/>
      <c r="AB19" s="24">
        <v>15</v>
      </c>
      <c r="AC19" s="48">
        <f t="shared" si="5"/>
        <v>0</v>
      </c>
      <c r="AD19" s="278"/>
      <c r="AE19" s="24">
        <v>30</v>
      </c>
      <c r="AF19" s="48">
        <f t="shared" si="6"/>
        <v>0</v>
      </c>
      <c r="AG19" s="48">
        <f t="shared" si="7"/>
        <v>18</v>
      </c>
      <c r="AH19" s="48">
        <f t="shared" si="8"/>
        <v>78</v>
      </c>
      <c r="AI19" s="34">
        <f t="shared" si="9"/>
        <v>49875</v>
      </c>
      <c r="AJ19" s="34">
        <f t="shared" si="10"/>
        <v>598.5</v>
      </c>
      <c r="AK19" s="50">
        <f t="shared" si="19"/>
        <v>263.3</v>
      </c>
      <c r="AL19" s="50">
        <f t="shared" si="22"/>
        <v>52.9</v>
      </c>
      <c r="AM19" s="50">
        <f t="shared" si="11"/>
        <v>63.4</v>
      </c>
      <c r="AN19" s="50">
        <f t="shared" si="20"/>
        <v>379.6</v>
      </c>
      <c r="AP19" s="51"/>
    </row>
    <row r="20" spans="1:42" ht="27" customHeight="1" x14ac:dyDescent="0.2">
      <c r="A20" s="278">
        <v>12</v>
      </c>
      <c r="B20" s="52" t="s">
        <v>18</v>
      </c>
      <c r="C20" s="47">
        <v>1</v>
      </c>
      <c r="D20" s="53">
        <v>8.4730000000000008</v>
      </c>
      <c r="E20" s="46">
        <f t="shared" si="13"/>
        <v>8.4700000000000006</v>
      </c>
      <c r="F20" s="47">
        <f t="shared" si="14"/>
        <v>101.6</v>
      </c>
      <c r="G20" s="24"/>
      <c r="H20" s="24">
        <f>826.1/1000</f>
        <v>0.8</v>
      </c>
      <c r="I20" s="24"/>
      <c r="J20" s="24"/>
      <c r="K20" s="24">
        <f>D20*0.35*12+D20*0.05*9</f>
        <v>39.4</v>
      </c>
      <c r="L20" s="24">
        <f t="shared" si="12"/>
        <v>32.700000000000003</v>
      </c>
      <c r="M20" s="24">
        <f t="shared" si="0"/>
        <v>174.5</v>
      </c>
      <c r="N20" s="48">
        <v>0.41</v>
      </c>
      <c r="O20" s="24">
        <f t="shared" si="1"/>
        <v>71.5</v>
      </c>
      <c r="P20" s="24">
        <f t="shared" si="15"/>
        <v>246</v>
      </c>
      <c r="Q20" s="24">
        <f t="shared" si="16"/>
        <v>196.8</v>
      </c>
      <c r="R20" s="24">
        <f t="shared" si="2"/>
        <v>196.8</v>
      </c>
      <c r="S20" s="24">
        <f t="shared" si="17"/>
        <v>20.5</v>
      </c>
      <c r="T20" s="49">
        <f t="shared" si="3"/>
        <v>660.1</v>
      </c>
      <c r="U20" s="3193"/>
      <c r="V20" s="49">
        <f t="shared" si="18"/>
        <v>660.1</v>
      </c>
      <c r="W20" s="49">
        <f t="shared" si="21"/>
        <v>199.4</v>
      </c>
      <c r="X20" s="278"/>
      <c r="Y20" s="24">
        <v>30</v>
      </c>
      <c r="Z20" s="48">
        <f t="shared" si="4"/>
        <v>0</v>
      </c>
      <c r="AA20" s="278"/>
      <c r="AB20" s="24">
        <v>15</v>
      </c>
      <c r="AC20" s="48">
        <f t="shared" si="5"/>
        <v>0</v>
      </c>
      <c r="AD20" s="278"/>
      <c r="AE20" s="24">
        <v>30</v>
      </c>
      <c r="AF20" s="48">
        <f t="shared" si="6"/>
        <v>0</v>
      </c>
      <c r="AG20" s="48">
        <f t="shared" si="7"/>
        <v>0</v>
      </c>
      <c r="AH20" s="48">
        <f t="shared" si="8"/>
        <v>0</v>
      </c>
      <c r="AI20" s="34">
        <f t="shared" si="9"/>
        <v>55008.3</v>
      </c>
      <c r="AJ20" s="34">
        <f t="shared" si="10"/>
        <v>660.1</v>
      </c>
      <c r="AK20" s="50">
        <f t="shared" si="19"/>
        <v>145.19999999999999</v>
      </c>
      <c r="AL20" s="50">
        <f t="shared" si="22"/>
        <v>26.4</v>
      </c>
      <c r="AM20" s="50">
        <f t="shared" si="11"/>
        <v>35</v>
      </c>
      <c r="AN20" s="50">
        <f t="shared" si="20"/>
        <v>206.6</v>
      </c>
      <c r="AP20" s="51"/>
    </row>
    <row r="21" spans="1:42" ht="27" customHeight="1" x14ac:dyDescent="0.2">
      <c r="A21" s="278">
        <v>13</v>
      </c>
      <c r="B21" s="52" t="s">
        <v>106</v>
      </c>
      <c r="C21" s="47">
        <v>1</v>
      </c>
      <c r="D21" s="53">
        <v>8.4730000000000008</v>
      </c>
      <c r="E21" s="46">
        <f t="shared" si="13"/>
        <v>8.4700000000000006</v>
      </c>
      <c r="F21" s="47">
        <f t="shared" si="14"/>
        <v>101.6</v>
      </c>
      <c r="G21" s="24"/>
      <c r="H21" s="24">
        <f>917.9/1000</f>
        <v>0.9</v>
      </c>
      <c r="I21" s="24"/>
      <c r="J21" s="24"/>
      <c r="K21" s="24"/>
      <c r="L21" s="24">
        <f t="shared" si="12"/>
        <v>32.700000000000003</v>
      </c>
      <c r="M21" s="24">
        <f t="shared" si="0"/>
        <v>135.19999999999999</v>
      </c>
      <c r="N21" s="48">
        <v>0.47</v>
      </c>
      <c r="O21" s="24">
        <f t="shared" si="1"/>
        <v>63.5</v>
      </c>
      <c r="P21" s="24">
        <f t="shared" si="15"/>
        <v>198.7</v>
      </c>
      <c r="Q21" s="24">
        <f t="shared" si="16"/>
        <v>159</v>
      </c>
      <c r="R21" s="24">
        <f t="shared" si="2"/>
        <v>159</v>
      </c>
      <c r="S21" s="24">
        <f t="shared" si="17"/>
        <v>16.5</v>
      </c>
      <c r="T21" s="49">
        <f t="shared" si="3"/>
        <v>533.20000000000005</v>
      </c>
      <c r="U21" s="3193"/>
      <c r="V21" s="49">
        <f t="shared" si="18"/>
        <v>533.20000000000005</v>
      </c>
      <c r="W21" s="49">
        <f t="shared" si="21"/>
        <v>161</v>
      </c>
      <c r="X21" s="278"/>
      <c r="Y21" s="24">
        <v>30</v>
      </c>
      <c r="Z21" s="48">
        <f t="shared" si="4"/>
        <v>0</v>
      </c>
      <c r="AA21" s="278"/>
      <c r="AB21" s="24">
        <v>15</v>
      </c>
      <c r="AC21" s="48">
        <f t="shared" si="5"/>
        <v>0</v>
      </c>
      <c r="AD21" s="278"/>
      <c r="AE21" s="24">
        <v>30</v>
      </c>
      <c r="AF21" s="48">
        <f t="shared" si="6"/>
        <v>0</v>
      </c>
      <c r="AG21" s="48">
        <f t="shared" si="7"/>
        <v>0</v>
      </c>
      <c r="AH21" s="48">
        <f t="shared" si="8"/>
        <v>0</v>
      </c>
      <c r="AI21" s="34">
        <f t="shared" si="9"/>
        <v>44433.3</v>
      </c>
      <c r="AJ21" s="34">
        <f t="shared" si="10"/>
        <v>533.20000000000005</v>
      </c>
      <c r="AK21" s="50">
        <f t="shared" si="19"/>
        <v>117.3</v>
      </c>
      <c r="AL21" s="50">
        <f t="shared" si="22"/>
        <v>26.4</v>
      </c>
      <c r="AM21" s="50">
        <f t="shared" si="11"/>
        <v>28.3</v>
      </c>
      <c r="AN21" s="50">
        <f t="shared" si="20"/>
        <v>172</v>
      </c>
      <c r="AP21" s="51"/>
    </row>
    <row r="22" spans="1:42" ht="23.25" customHeight="1" x14ac:dyDescent="0.2">
      <c r="A22" s="278">
        <v>14</v>
      </c>
      <c r="B22" s="52" t="s">
        <v>29</v>
      </c>
      <c r="C22" s="57">
        <v>1</v>
      </c>
      <c r="D22" s="53">
        <v>8.4730000000000008</v>
      </c>
      <c r="E22" s="46">
        <f>C22*D22</f>
        <v>8.4700000000000006</v>
      </c>
      <c r="F22" s="47">
        <f>E22*12</f>
        <v>101.6</v>
      </c>
      <c r="G22" s="24"/>
      <c r="H22" s="24">
        <f>1239.1/1000</f>
        <v>1.2</v>
      </c>
      <c r="I22" s="24"/>
      <c r="J22" s="24"/>
      <c r="K22" s="24">
        <f>D22*0.4*12</f>
        <v>40.700000000000003</v>
      </c>
      <c r="L22" s="24">
        <f t="shared" si="12"/>
        <v>32.700000000000003</v>
      </c>
      <c r="M22" s="24">
        <f>F22+G22+H22+I22+J22+K22+L22</f>
        <v>176.2</v>
      </c>
      <c r="N22" s="48">
        <v>0.41</v>
      </c>
      <c r="O22" s="24">
        <f t="shared" si="1"/>
        <v>72.2</v>
      </c>
      <c r="P22" s="24">
        <f t="shared" si="15"/>
        <v>248.4</v>
      </c>
      <c r="Q22" s="24">
        <f t="shared" si="16"/>
        <v>198.7</v>
      </c>
      <c r="R22" s="24">
        <f t="shared" si="2"/>
        <v>198.7</v>
      </c>
      <c r="S22" s="24">
        <f t="shared" si="17"/>
        <v>20.7</v>
      </c>
      <c r="T22" s="49">
        <f t="shared" si="3"/>
        <v>666.5</v>
      </c>
      <c r="U22" s="3193"/>
      <c r="V22" s="49">
        <f t="shared" si="18"/>
        <v>666.5</v>
      </c>
      <c r="W22" s="49">
        <f t="shared" si="21"/>
        <v>201.3</v>
      </c>
      <c r="X22" s="278">
        <v>2</v>
      </c>
      <c r="Y22" s="24">
        <v>30</v>
      </c>
      <c r="Z22" s="48">
        <f t="shared" si="4"/>
        <v>60</v>
      </c>
      <c r="AA22" s="278">
        <v>1</v>
      </c>
      <c r="AB22" s="24">
        <v>15</v>
      </c>
      <c r="AC22" s="48">
        <f t="shared" si="5"/>
        <v>15</v>
      </c>
      <c r="AD22" s="278"/>
      <c r="AE22" s="24">
        <v>30</v>
      </c>
      <c r="AF22" s="48">
        <f t="shared" si="6"/>
        <v>0</v>
      </c>
      <c r="AG22" s="48">
        <f t="shared" si="7"/>
        <v>22.5</v>
      </c>
      <c r="AH22" s="48">
        <f t="shared" si="8"/>
        <v>97.5</v>
      </c>
      <c r="AI22" s="34">
        <f t="shared" si="9"/>
        <v>55541.7</v>
      </c>
      <c r="AJ22" s="34">
        <f t="shared" si="10"/>
        <v>666.5</v>
      </c>
      <c r="AK22" s="50">
        <f t="shared" si="19"/>
        <v>146.6</v>
      </c>
      <c r="AL22" s="50">
        <f t="shared" si="22"/>
        <v>26.4</v>
      </c>
      <c r="AM22" s="50">
        <f t="shared" si="11"/>
        <v>35.299999999999997</v>
      </c>
      <c r="AN22" s="50">
        <f t="shared" si="20"/>
        <v>208.3</v>
      </c>
      <c r="AP22" s="51"/>
    </row>
    <row r="23" spans="1:42" ht="23.25" customHeight="1" x14ac:dyDescent="0.2">
      <c r="A23" s="278">
        <v>15</v>
      </c>
      <c r="B23" s="52" t="s">
        <v>20</v>
      </c>
      <c r="C23" s="47">
        <v>0.5</v>
      </c>
      <c r="D23" s="53">
        <v>8.4730000000000008</v>
      </c>
      <c r="E23" s="46">
        <f>C23*D23</f>
        <v>4.24</v>
      </c>
      <c r="F23" s="47">
        <f>E23*12</f>
        <v>50.9</v>
      </c>
      <c r="G23" s="24"/>
      <c r="H23" s="24"/>
      <c r="I23" s="24"/>
      <c r="J23" s="24"/>
      <c r="K23" s="24"/>
      <c r="L23" s="24">
        <f t="shared" si="12"/>
        <v>16.399999999999999</v>
      </c>
      <c r="M23" s="24">
        <f>F23+G23+H23+I23+J23+K23+L23</f>
        <v>67.3</v>
      </c>
      <c r="N23" s="48">
        <v>0.41</v>
      </c>
      <c r="O23" s="24">
        <f t="shared" si="1"/>
        <v>27.6</v>
      </c>
      <c r="P23" s="24">
        <f t="shared" si="15"/>
        <v>94.9</v>
      </c>
      <c r="Q23" s="24">
        <f t="shared" si="16"/>
        <v>75.900000000000006</v>
      </c>
      <c r="R23" s="24">
        <f t="shared" si="2"/>
        <v>75.900000000000006</v>
      </c>
      <c r="S23" s="24">
        <f t="shared" si="17"/>
        <v>7.9</v>
      </c>
      <c r="T23" s="49">
        <f t="shared" si="3"/>
        <v>254.6</v>
      </c>
      <c r="U23" s="3193"/>
      <c r="V23" s="49">
        <f t="shared" si="18"/>
        <v>254.6</v>
      </c>
      <c r="W23" s="49">
        <f t="shared" si="21"/>
        <v>76.900000000000006</v>
      </c>
      <c r="X23" s="278"/>
      <c r="Y23" s="24">
        <v>30</v>
      </c>
      <c r="Z23" s="48">
        <f t="shared" si="4"/>
        <v>0</v>
      </c>
      <c r="AA23" s="278"/>
      <c r="AB23" s="24">
        <v>15</v>
      </c>
      <c r="AC23" s="48">
        <f t="shared" si="5"/>
        <v>0</v>
      </c>
      <c r="AD23" s="278"/>
      <c r="AE23" s="24">
        <v>30</v>
      </c>
      <c r="AF23" s="48">
        <f t="shared" si="6"/>
        <v>0</v>
      </c>
      <c r="AG23" s="48">
        <f t="shared" si="7"/>
        <v>0</v>
      </c>
      <c r="AH23" s="48">
        <f t="shared" si="8"/>
        <v>0</v>
      </c>
      <c r="AI23" s="34">
        <f t="shared" si="9"/>
        <v>42433.3</v>
      </c>
      <c r="AJ23" s="34">
        <f t="shared" si="10"/>
        <v>509.2</v>
      </c>
      <c r="AK23" s="50">
        <f t="shared" si="19"/>
        <v>56</v>
      </c>
      <c r="AL23" s="50">
        <f t="shared" si="22"/>
        <v>13.2</v>
      </c>
      <c r="AM23" s="50">
        <f t="shared" si="11"/>
        <v>13.5</v>
      </c>
      <c r="AN23" s="50">
        <f t="shared" si="20"/>
        <v>82.7</v>
      </c>
      <c r="AP23" s="51"/>
    </row>
    <row r="24" spans="1:42" ht="23.25" customHeight="1" x14ac:dyDescent="0.2">
      <c r="A24" s="278">
        <v>16</v>
      </c>
      <c r="B24" s="52" t="s">
        <v>30</v>
      </c>
      <c r="C24" s="57">
        <v>2</v>
      </c>
      <c r="D24" s="53">
        <v>8.4730000000000008</v>
      </c>
      <c r="E24" s="46">
        <f>C24*D24</f>
        <v>16.95</v>
      </c>
      <c r="F24" s="47">
        <f>E24*12</f>
        <v>203.4</v>
      </c>
      <c r="G24" s="24"/>
      <c r="H24" s="24">
        <f>1652.1/1000</f>
        <v>1.7</v>
      </c>
      <c r="I24" s="24"/>
      <c r="J24" s="24"/>
      <c r="K24" s="24">
        <f>D24*0.3*12+D24*0.25*12+D24*0.05*1</f>
        <v>56.3</v>
      </c>
      <c r="L24" s="24">
        <f t="shared" si="12"/>
        <v>65.5</v>
      </c>
      <c r="M24" s="24">
        <f>F24+G24+H24+I24+J24+K24+L24</f>
        <v>326.89999999999998</v>
      </c>
      <c r="N24" s="48">
        <v>0.41</v>
      </c>
      <c r="O24" s="24">
        <f t="shared" si="1"/>
        <v>134</v>
      </c>
      <c r="P24" s="24">
        <f t="shared" si="15"/>
        <v>460.9</v>
      </c>
      <c r="Q24" s="24">
        <f t="shared" si="16"/>
        <v>368.7</v>
      </c>
      <c r="R24" s="24">
        <f t="shared" si="2"/>
        <v>368.7</v>
      </c>
      <c r="S24" s="24">
        <f t="shared" si="17"/>
        <v>38.299999999999997</v>
      </c>
      <c r="T24" s="49">
        <f t="shared" si="3"/>
        <v>1236.5999999999999</v>
      </c>
      <c r="U24" s="3193"/>
      <c r="V24" s="49">
        <f t="shared" si="18"/>
        <v>1236.5999999999999</v>
      </c>
      <c r="W24" s="49">
        <f t="shared" si="21"/>
        <v>373.5</v>
      </c>
      <c r="X24" s="278"/>
      <c r="Y24" s="24">
        <v>30</v>
      </c>
      <c r="Z24" s="48">
        <f t="shared" si="4"/>
        <v>0</v>
      </c>
      <c r="AA24" s="278"/>
      <c r="AB24" s="24">
        <v>15</v>
      </c>
      <c r="AC24" s="48">
        <f t="shared" si="5"/>
        <v>0</v>
      </c>
      <c r="AD24" s="278"/>
      <c r="AE24" s="24">
        <v>30</v>
      </c>
      <c r="AF24" s="48">
        <f t="shared" si="6"/>
        <v>0</v>
      </c>
      <c r="AG24" s="48">
        <f t="shared" si="7"/>
        <v>0</v>
      </c>
      <c r="AH24" s="48">
        <f t="shared" si="8"/>
        <v>0</v>
      </c>
      <c r="AI24" s="34">
        <f t="shared" si="9"/>
        <v>51525</v>
      </c>
      <c r="AJ24" s="34">
        <f t="shared" si="10"/>
        <v>618.29999999999995</v>
      </c>
      <c r="AK24" s="50">
        <f t="shared" si="19"/>
        <v>272.10000000000002</v>
      </c>
      <c r="AL24" s="50">
        <f t="shared" si="22"/>
        <v>52.9</v>
      </c>
      <c r="AM24" s="50">
        <f t="shared" si="11"/>
        <v>65.5</v>
      </c>
      <c r="AN24" s="50">
        <f t="shared" si="20"/>
        <v>390.5</v>
      </c>
      <c r="AP24" s="51"/>
    </row>
    <row r="25" spans="1:42" ht="27" customHeight="1" x14ac:dyDescent="0.2">
      <c r="A25" s="278">
        <v>17</v>
      </c>
      <c r="B25" s="52" t="s">
        <v>33</v>
      </c>
      <c r="C25" s="57">
        <v>1</v>
      </c>
      <c r="D25" s="53">
        <v>8.4730000000000008</v>
      </c>
      <c r="E25" s="46">
        <f t="shared" si="13"/>
        <v>8.4700000000000006</v>
      </c>
      <c r="F25" s="47">
        <f t="shared" si="14"/>
        <v>101.6</v>
      </c>
      <c r="G25" s="24"/>
      <c r="H25" s="24">
        <f>826.1/1000</f>
        <v>0.8</v>
      </c>
      <c r="I25" s="24"/>
      <c r="J25" s="24"/>
      <c r="K25" s="24">
        <f>F25*0.2</f>
        <v>20.3</v>
      </c>
      <c r="L25" s="24">
        <f t="shared" si="12"/>
        <v>32.700000000000003</v>
      </c>
      <c r="M25" s="24">
        <f>F25+G25+H25+I25+J25+K25+L25</f>
        <v>155.4</v>
      </c>
      <c r="N25" s="48">
        <v>0.41</v>
      </c>
      <c r="O25" s="24">
        <f t="shared" si="1"/>
        <v>63.7</v>
      </c>
      <c r="P25" s="24">
        <f t="shared" si="15"/>
        <v>219.1</v>
      </c>
      <c r="Q25" s="24">
        <f t="shared" si="16"/>
        <v>175.3</v>
      </c>
      <c r="R25" s="24">
        <f t="shared" si="2"/>
        <v>175.3</v>
      </c>
      <c r="S25" s="24">
        <f t="shared" si="17"/>
        <v>18.2</v>
      </c>
      <c r="T25" s="49">
        <f t="shared" si="3"/>
        <v>587.9</v>
      </c>
      <c r="U25" s="3193"/>
      <c r="V25" s="49">
        <f t="shared" si="18"/>
        <v>587.9</v>
      </c>
      <c r="W25" s="49">
        <f t="shared" si="21"/>
        <v>177.5</v>
      </c>
      <c r="X25" s="278"/>
      <c r="Y25" s="24">
        <v>30</v>
      </c>
      <c r="Z25" s="48">
        <f t="shared" si="4"/>
        <v>0</v>
      </c>
      <c r="AA25" s="278"/>
      <c r="AB25" s="24">
        <v>15</v>
      </c>
      <c r="AC25" s="48">
        <f t="shared" si="5"/>
        <v>0</v>
      </c>
      <c r="AD25" s="278"/>
      <c r="AE25" s="24">
        <v>30</v>
      </c>
      <c r="AF25" s="48">
        <f t="shared" si="6"/>
        <v>0</v>
      </c>
      <c r="AG25" s="48">
        <f t="shared" si="7"/>
        <v>0</v>
      </c>
      <c r="AH25" s="48">
        <f t="shared" si="8"/>
        <v>0</v>
      </c>
      <c r="AI25" s="34">
        <f t="shared" si="9"/>
        <v>48991.7</v>
      </c>
      <c r="AJ25" s="34">
        <f t="shared" si="10"/>
        <v>587.9</v>
      </c>
      <c r="AK25" s="50">
        <f t="shared" si="19"/>
        <v>129.30000000000001</v>
      </c>
      <c r="AL25" s="50">
        <f t="shared" si="22"/>
        <v>26.4</v>
      </c>
      <c r="AM25" s="50">
        <f t="shared" si="11"/>
        <v>31.2</v>
      </c>
      <c r="AN25" s="50">
        <f t="shared" si="20"/>
        <v>186.9</v>
      </c>
      <c r="AP25" s="51"/>
    </row>
    <row r="26" spans="1:42" ht="27" customHeight="1" x14ac:dyDescent="0.2">
      <c r="A26" s="278">
        <v>18</v>
      </c>
      <c r="B26" s="55" t="s">
        <v>92</v>
      </c>
      <c r="C26" s="56">
        <v>3</v>
      </c>
      <c r="D26" s="53">
        <v>4.3769999999999998</v>
      </c>
      <c r="E26" s="46">
        <f t="shared" si="13"/>
        <v>13.13</v>
      </c>
      <c r="F26" s="47">
        <f t="shared" si="14"/>
        <v>157.6</v>
      </c>
      <c r="G26" s="24"/>
      <c r="H26" s="24">
        <f>7681.2/1000</f>
        <v>7.7</v>
      </c>
      <c r="I26" s="24"/>
      <c r="J26" s="24"/>
      <c r="K26" s="24"/>
      <c r="L26" s="24">
        <v>105</v>
      </c>
      <c r="M26" s="24">
        <f t="shared" si="0"/>
        <v>270.3</v>
      </c>
      <c r="N26" s="48">
        <v>0.47</v>
      </c>
      <c r="O26" s="24">
        <f t="shared" si="1"/>
        <v>127</v>
      </c>
      <c r="P26" s="24">
        <f t="shared" si="15"/>
        <v>397.3</v>
      </c>
      <c r="Q26" s="24">
        <f t="shared" si="16"/>
        <v>317.8</v>
      </c>
      <c r="R26" s="24">
        <f t="shared" si="2"/>
        <v>317.8</v>
      </c>
      <c r="S26" s="24">
        <f t="shared" si="17"/>
        <v>33.1</v>
      </c>
      <c r="T26" s="49">
        <f t="shared" si="3"/>
        <v>1066</v>
      </c>
      <c r="U26" s="3193"/>
      <c r="V26" s="49">
        <f>T26*$U$9</f>
        <v>1066</v>
      </c>
      <c r="W26" s="49">
        <f t="shared" si="21"/>
        <v>321.89999999999998</v>
      </c>
      <c r="X26" s="278"/>
      <c r="Y26" s="24">
        <v>30</v>
      </c>
      <c r="Z26" s="48">
        <f>X26*Y26</f>
        <v>0</v>
      </c>
      <c r="AA26" s="278"/>
      <c r="AB26" s="24">
        <v>15</v>
      </c>
      <c r="AC26" s="48">
        <f>AA26*AB26</f>
        <v>0</v>
      </c>
      <c r="AD26" s="278"/>
      <c r="AE26" s="24">
        <v>30</v>
      </c>
      <c r="AF26" s="48">
        <f>AD26*AE26</f>
        <v>0</v>
      </c>
      <c r="AG26" s="48">
        <f>(Z26+AC26+AF26)*1%*30</f>
        <v>0</v>
      </c>
      <c r="AH26" s="48">
        <f>Z26+AC26+AF26+AG26</f>
        <v>0</v>
      </c>
      <c r="AI26" s="34">
        <f t="shared" si="9"/>
        <v>29611.1</v>
      </c>
      <c r="AJ26" s="34">
        <f t="shared" si="10"/>
        <v>355.3</v>
      </c>
      <c r="AK26" s="50">
        <f t="shared" si="19"/>
        <v>234.5</v>
      </c>
      <c r="AL26" s="50">
        <f t="shared" si="22"/>
        <v>79.3</v>
      </c>
      <c r="AM26" s="50">
        <f t="shared" si="11"/>
        <v>56.5</v>
      </c>
      <c r="AN26" s="50">
        <f t="shared" si="20"/>
        <v>370.3</v>
      </c>
      <c r="AP26" s="51"/>
    </row>
    <row r="27" spans="1:42" ht="27" customHeight="1" x14ac:dyDescent="0.2">
      <c r="A27" s="278">
        <v>19</v>
      </c>
      <c r="B27" s="44" t="s">
        <v>102</v>
      </c>
      <c r="C27" s="58">
        <v>2</v>
      </c>
      <c r="D27" s="53">
        <v>4.3769999999999998</v>
      </c>
      <c r="E27" s="46">
        <f t="shared" si="13"/>
        <v>8.75</v>
      </c>
      <c r="F27" s="47">
        <f t="shared" si="14"/>
        <v>105</v>
      </c>
      <c r="G27" s="24"/>
      <c r="H27" s="24">
        <f>948.3/1000</f>
        <v>0.9</v>
      </c>
      <c r="I27" s="24"/>
      <c r="J27" s="24"/>
      <c r="K27" s="24"/>
      <c r="L27" s="24">
        <v>72</v>
      </c>
      <c r="M27" s="24">
        <f t="shared" si="0"/>
        <v>177.9</v>
      </c>
      <c r="N27" s="48">
        <v>0.49</v>
      </c>
      <c r="O27" s="24">
        <f t="shared" si="1"/>
        <v>87.2</v>
      </c>
      <c r="P27" s="24">
        <f t="shared" si="15"/>
        <v>265.10000000000002</v>
      </c>
      <c r="Q27" s="24">
        <f t="shared" si="16"/>
        <v>212.1</v>
      </c>
      <c r="R27" s="24">
        <f t="shared" si="2"/>
        <v>212.1</v>
      </c>
      <c r="S27" s="24">
        <f t="shared" si="17"/>
        <v>22.1</v>
      </c>
      <c r="T27" s="49">
        <f t="shared" si="3"/>
        <v>711.4</v>
      </c>
      <c r="U27" s="3193"/>
      <c r="V27" s="49">
        <f>T27*$U$9-0.2</f>
        <v>711.2</v>
      </c>
      <c r="W27" s="49">
        <f>V27*0.302</f>
        <v>214.8</v>
      </c>
      <c r="X27" s="278"/>
      <c r="Y27" s="24">
        <v>30</v>
      </c>
      <c r="Z27" s="48">
        <f>X27*Y27</f>
        <v>0</v>
      </c>
      <c r="AA27" s="278"/>
      <c r="AB27" s="24">
        <v>15</v>
      </c>
      <c r="AC27" s="48">
        <f>AA27*AB27</f>
        <v>0</v>
      </c>
      <c r="AD27" s="278"/>
      <c r="AE27" s="24">
        <v>30</v>
      </c>
      <c r="AF27" s="48">
        <f>AD27*AE27</f>
        <v>0</v>
      </c>
      <c r="AG27" s="48">
        <f>(Z27+AC27+AF27)*1%*30</f>
        <v>0</v>
      </c>
      <c r="AH27" s="48">
        <f>Z27+AC27+AF27+AG27</f>
        <v>0</v>
      </c>
      <c r="AI27" s="34">
        <f t="shared" si="9"/>
        <v>29633.3</v>
      </c>
      <c r="AJ27" s="34">
        <f t="shared" si="10"/>
        <v>355.6</v>
      </c>
      <c r="AK27" s="50">
        <f t="shared" si="19"/>
        <v>156.5</v>
      </c>
      <c r="AL27" s="50">
        <f t="shared" si="22"/>
        <v>52.9</v>
      </c>
      <c r="AM27" s="50">
        <f t="shared" si="11"/>
        <v>37.700000000000003</v>
      </c>
      <c r="AN27" s="50">
        <f t="shared" si="20"/>
        <v>247.1</v>
      </c>
      <c r="AP27" s="51"/>
    </row>
    <row r="28" spans="1:42" s="62" customFormat="1" ht="20.25" customHeight="1" x14ac:dyDescent="0.2">
      <c r="A28" s="3194" t="s">
        <v>97</v>
      </c>
      <c r="B28" s="3195"/>
      <c r="C28" s="59">
        <f t="shared" ref="C28:AH28" si="25">SUM(C9:C27)</f>
        <v>64.5</v>
      </c>
      <c r="D28" s="25">
        <f t="shared" si="25"/>
        <v>181.9</v>
      </c>
      <c r="E28" s="25">
        <f t="shared" si="25"/>
        <v>527.5</v>
      </c>
      <c r="F28" s="25">
        <f t="shared" si="25"/>
        <v>6321.7</v>
      </c>
      <c r="G28" s="25">
        <f t="shared" si="25"/>
        <v>0</v>
      </c>
      <c r="H28" s="25">
        <f>SUM(H9:H27)</f>
        <v>74.400000000000006</v>
      </c>
      <c r="I28" s="25">
        <f t="shared" si="25"/>
        <v>0</v>
      </c>
      <c r="J28" s="25">
        <f t="shared" si="25"/>
        <v>0</v>
      </c>
      <c r="K28" s="25">
        <f t="shared" si="25"/>
        <v>1143.7</v>
      </c>
      <c r="L28" s="25">
        <f t="shared" si="25"/>
        <v>2252.1999999999998</v>
      </c>
      <c r="M28" s="25">
        <f t="shared" si="25"/>
        <v>9792</v>
      </c>
      <c r="N28" s="25">
        <f t="shared" si="25"/>
        <v>9.1999999999999993</v>
      </c>
      <c r="O28" s="25">
        <f t="shared" si="25"/>
        <v>4877.3</v>
      </c>
      <c r="P28" s="25">
        <f t="shared" si="25"/>
        <v>14669.3</v>
      </c>
      <c r="Q28" s="25">
        <f t="shared" si="25"/>
        <v>11735.5</v>
      </c>
      <c r="R28" s="25">
        <f t="shared" si="25"/>
        <v>11735.5</v>
      </c>
      <c r="S28" s="25">
        <f t="shared" si="25"/>
        <v>1220.3</v>
      </c>
      <c r="T28" s="25">
        <f t="shared" si="25"/>
        <v>39360.6</v>
      </c>
      <c r="U28" s="25">
        <f t="shared" si="25"/>
        <v>1</v>
      </c>
      <c r="V28" s="25">
        <f t="shared" si="25"/>
        <v>39360.400000000001</v>
      </c>
      <c r="W28" s="25">
        <f>SUM(W9:W27)</f>
        <v>11654.6</v>
      </c>
      <c r="X28" s="25">
        <f t="shared" si="25"/>
        <v>29</v>
      </c>
      <c r="Y28" s="25">
        <f t="shared" si="25"/>
        <v>570</v>
      </c>
      <c r="Z28" s="25">
        <f t="shared" si="25"/>
        <v>870</v>
      </c>
      <c r="AA28" s="25">
        <f t="shared" si="25"/>
        <v>12</v>
      </c>
      <c r="AB28" s="25">
        <f t="shared" si="25"/>
        <v>285</v>
      </c>
      <c r="AC28" s="25">
        <f t="shared" si="25"/>
        <v>180</v>
      </c>
      <c r="AD28" s="25">
        <f t="shared" si="25"/>
        <v>8</v>
      </c>
      <c r="AE28" s="25">
        <f t="shared" si="25"/>
        <v>570</v>
      </c>
      <c r="AF28" s="25">
        <f t="shared" si="25"/>
        <v>240</v>
      </c>
      <c r="AG28" s="25">
        <f t="shared" si="25"/>
        <v>387</v>
      </c>
      <c r="AH28" s="25">
        <f t="shared" si="25"/>
        <v>1677</v>
      </c>
      <c r="AI28" s="60"/>
      <c r="AJ28" s="61"/>
      <c r="AN28" s="60">
        <f>SUM(AN9:AN27)</f>
        <v>12276.5</v>
      </c>
    </row>
    <row r="29" spans="1:42" s="62" customFormat="1" ht="20.25" customHeight="1" x14ac:dyDescent="0.2">
      <c r="A29" s="63"/>
      <c r="B29" s="63"/>
      <c r="C29" s="26"/>
      <c r="D29" s="26"/>
      <c r="E29" s="26"/>
      <c r="F29" s="26"/>
      <c r="G29" s="26"/>
      <c r="H29" s="26"/>
      <c r="I29" s="26"/>
      <c r="J29" s="26"/>
      <c r="K29" s="26"/>
      <c r="L29" s="26"/>
      <c r="M29" s="26"/>
      <c r="N29" s="26"/>
      <c r="O29" s="26"/>
      <c r="P29" s="26"/>
      <c r="Q29" s="26"/>
      <c r="R29" s="26"/>
      <c r="S29" s="26"/>
      <c r="T29" s="26"/>
      <c r="U29" s="64"/>
      <c r="V29" s="65"/>
      <c r="W29" s="66"/>
      <c r="X29" s="65"/>
      <c r="Y29" s="65"/>
      <c r="Z29" s="65"/>
      <c r="AA29" s="65"/>
      <c r="AB29" s="65"/>
      <c r="AC29" s="65"/>
      <c r="AD29" s="65"/>
      <c r="AE29" s="65"/>
      <c r="AF29" s="65"/>
      <c r="AG29" s="65"/>
      <c r="AH29" s="65"/>
      <c r="AI29" s="67"/>
      <c r="AJ29" s="61"/>
    </row>
    <row r="30" spans="1:42" s="62" customFormat="1" ht="14.25" x14ac:dyDescent="0.2">
      <c r="A30" s="68"/>
      <c r="B30" s="63"/>
      <c r="C30" s="26"/>
      <c r="D30" s="26"/>
      <c r="E30" s="26"/>
      <c r="F30" s="26"/>
      <c r="G30" s="26"/>
      <c r="H30" s="26"/>
      <c r="I30" s="26"/>
      <c r="J30" s="26"/>
      <c r="K30" s="26"/>
      <c r="L30" s="26"/>
      <c r="M30" s="26"/>
      <c r="N30" s="26"/>
      <c r="O30" s="26"/>
      <c r="P30" s="26"/>
      <c r="Q30" s="26"/>
      <c r="R30" s="26"/>
      <c r="S30" s="26"/>
      <c r="T30" s="26"/>
      <c r="U30" s="64"/>
      <c r="V30" s="69"/>
      <c r="W30" s="69"/>
      <c r="X30" s="65"/>
      <c r="Y30" s="65"/>
      <c r="Z30" s="65"/>
      <c r="AA30" s="65"/>
      <c r="AB30" s="65"/>
      <c r="AC30" s="65"/>
      <c r="AD30" s="65"/>
      <c r="AE30" s="65"/>
      <c r="AF30" s="65"/>
      <c r="AG30" s="65"/>
      <c r="AH30" s="65"/>
      <c r="AI30" s="67"/>
      <c r="AJ30" s="61"/>
    </row>
    <row r="31" spans="1:42" s="75" customFormat="1" ht="15" x14ac:dyDescent="0.2">
      <c r="A31" s="70"/>
      <c r="B31" s="70"/>
      <c r="C31" s="71"/>
      <c r="D31" s="72"/>
      <c r="E31" s="72"/>
      <c r="F31" s="72"/>
      <c r="G31" s="72"/>
      <c r="H31" s="73"/>
      <c r="I31" s="73"/>
      <c r="J31" s="27"/>
      <c r="K31" s="27"/>
      <c r="L31" s="27"/>
      <c r="M31" s="27"/>
      <c r="N31" s="74"/>
      <c r="O31" s="27"/>
      <c r="P31" s="27"/>
      <c r="Q31" s="27"/>
      <c r="R31" s="27"/>
      <c r="S31" s="27"/>
      <c r="T31" s="27"/>
      <c r="U31" s="27"/>
      <c r="V31" s="27"/>
      <c r="W31" s="27"/>
      <c r="X31" s="27"/>
      <c r="Y31" s="27"/>
      <c r="Z31" s="27"/>
      <c r="AA31" s="27"/>
      <c r="AB31" s="27"/>
      <c r="AC31" s="27"/>
      <c r="AD31" s="27"/>
      <c r="AE31" s="27"/>
      <c r="AF31" s="27"/>
      <c r="AG31" s="27"/>
      <c r="AH31" s="27"/>
      <c r="AI31" s="27"/>
      <c r="AK31" s="76"/>
      <c r="AL31" s="76"/>
      <c r="AM31" s="76"/>
      <c r="AN31" s="76"/>
      <c r="AO31" s="76"/>
    </row>
    <row r="32" spans="1:42" s="75" customFormat="1" ht="39.75" customHeight="1" x14ac:dyDescent="0.2">
      <c r="A32" s="70"/>
      <c r="B32" s="70"/>
      <c r="C32" s="71"/>
      <c r="D32" s="77"/>
      <c r="E32" s="77"/>
      <c r="F32" s="27"/>
      <c r="G32" s="3191" t="s">
        <v>140</v>
      </c>
      <c r="H32" s="3191"/>
      <c r="I32" s="3188" t="s">
        <v>141</v>
      </c>
      <c r="J32" s="3189"/>
      <c r="K32" s="3188" t="s">
        <v>128</v>
      </c>
      <c r="L32" s="3189"/>
      <c r="M32" s="70"/>
      <c r="N32" s="70"/>
      <c r="O32" s="70"/>
      <c r="P32" s="70"/>
      <c r="Q32" s="27"/>
      <c r="R32" s="27"/>
      <c r="S32" s="27"/>
      <c r="T32" s="27"/>
      <c r="U32" s="27"/>
      <c r="V32" s="27"/>
      <c r="W32" s="27"/>
      <c r="X32" s="27"/>
      <c r="Y32" s="27"/>
      <c r="Z32" s="27"/>
      <c r="AA32" s="27"/>
      <c r="AB32" s="27"/>
      <c r="AC32" s="27"/>
      <c r="AD32" s="27"/>
      <c r="AE32" s="27"/>
      <c r="AF32" s="27"/>
      <c r="AG32" s="27"/>
      <c r="AH32" s="27"/>
      <c r="AI32" s="27"/>
      <c r="AK32" s="76"/>
      <c r="AL32" s="76"/>
      <c r="AM32" s="76"/>
      <c r="AN32" s="76"/>
      <c r="AO32" s="76"/>
    </row>
    <row r="33" spans="1:41" s="75" customFormat="1" ht="15" x14ac:dyDescent="0.2">
      <c r="A33" s="70"/>
      <c r="B33" s="70"/>
      <c r="C33" s="71"/>
      <c r="D33" s="77"/>
      <c r="E33" s="77"/>
      <c r="F33" s="27"/>
      <c r="G33" s="279">
        <v>991</v>
      </c>
      <c r="H33" s="279">
        <v>992</v>
      </c>
      <c r="I33" s="279">
        <v>991</v>
      </c>
      <c r="J33" s="279">
        <v>992</v>
      </c>
      <c r="K33" s="279">
        <v>991</v>
      </c>
      <c r="L33" s="279">
        <v>992</v>
      </c>
      <c r="M33" s="79"/>
      <c r="N33" s="79"/>
      <c r="O33" s="79"/>
      <c r="P33" s="79"/>
      <c r="Q33" s="27"/>
      <c r="R33" s="27"/>
      <c r="S33" s="27"/>
      <c r="T33" s="27"/>
      <c r="U33" s="27"/>
      <c r="V33" s="27"/>
      <c r="W33" s="27"/>
      <c r="X33" s="27"/>
      <c r="Y33" s="27"/>
      <c r="Z33" s="27"/>
      <c r="AA33" s="27"/>
      <c r="AB33" s="27"/>
      <c r="AC33" s="27"/>
      <c r="AD33" s="27"/>
      <c r="AE33" s="27"/>
      <c r="AF33" s="27"/>
      <c r="AG33" s="27"/>
      <c r="AH33" s="27"/>
      <c r="AI33" s="27"/>
      <c r="AK33" s="76"/>
      <c r="AL33" s="76"/>
      <c r="AM33" s="76"/>
      <c r="AN33" s="76"/>
      <c r="AO33" s="76"/>
    </row>
    <row r="34" spans="1:41" s="75" customFormat="1" ht="15" x14ac:dyDescent="0.2">
      <c r="A34" s="70"/>
      <c r="B34" s="70"/>
      <c r="C34" s="71"/>
      <c r="D34" s="77"/>
      <c r="E34" s="77"/>
      <c r="F34" s="27"/>
      <c r="G34" s="29">
        <v>39360.400000000001</v>
      </c>
      <c r="H34" s="29">
        <v>11661.7</v>
      </c>
      <c r="I34" s="29">
        <f>V28</f>
        <v>39360.400000000001</v>
      </c>
      <c r="J34" s="29">
        <f>W28</f>
        <v>11654.6</v>
      </c>
      <c r="K34" s="29">
        <f>G34-I34</f>
        <v>0</v>
      </c>
      <c r="L34" s="29">
        <f>H34-J34</f>
        <v>7.1</v>
      </c>
      <c r="M34" s="80"/>
      <c r="N34" s="80"/>
      <c r="O34" s="80"/>
      <c r="P34" s="80"/>
      <c r="Q34" s="27"/>
      <c r="R34" s="27"/>
      <c r="S34" s="27"/>
      <c r="T34" s="27"/>
      <c r="U34" s="27"/>
      <c r="V34" s="27"/>
      <c r="W34" s="27"/>
      <c r="X34" s="27"/>
      <c r="Y34" s="27"/>
      <c r="Z34" s="27"/>
      <c r="AA34" s="27"/>
      <c r="AB34" s="27"/>
      <c r="AC34" s="27"/>
      <c r="AD34" s="27"/>
      <c r="AE34" s="27"/>
      <c r="AF34" s="27"/>
      <c r="AG34" s="27"/>
      <c r="AH34" s="27"/>
      <c r="AI34" s="27"/>
      <c r="AK34" s="76"/>
      <c r="AL34" s="76"/>
      <c r="AM34" s="76"/>
      <c r="AN34" s="76"/>
      <c r="AO34" s="76"/>
    </row>
    <row r="35" spans="1:41" s="75" customFormat="1" ht="15" x14ac:dyDescent="0.2">
      <c r="A35" s="70"/>
      <c r="B35" s="70"/>
      <c r="C35" s="71"/>
      <c r="D35" s="77"/>
      <c r="E35" s="77"/>
      <c r="F35" s="27"/>
      <c r="G35" s="27"/>
      <c r="H35" s="73"/>
      <c r="I35" s="73"/>
      <c r="J35" s="27"/>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K35" s="76"/>
      <c r="AL35" s="76"/>
      <c r="AM35" s="76"/>
      <c r="AN35" s="76"/>
      <c r="AO35" s="76"/>
    </row>
    <row r="36" spans="1:41" s="75" customFormat="1" ht="15" x14ac:dyDescent="0.2">
      <c r="A36" s="70"/>
      <c r="B36" s="70"/>
      <c r="C36" s="71"/>
      <c r="D36" s="77"/>
      <c r="E36" s="77"/>
      <c r="F36" s="27"/>
      <c r="G36" s="27"/>
      <c r="H36" s="73"/>
      <c r="I36" s="73"/>
      <c r="J36" s="27"/>
      <c r="K36" s="27"/>
      <c r="L36" s="27"/>
      <c r="M36" s="27"/>
      <c r="N36" s="74"/>
      <c r="O36" s="27"/>
      <c r="P36" s="27"/>
      <c r="Q36" s="27"/>
      <c r="R36" s="27"/>
      <c r="S36" s="27"/>
      <c r="T36" s="27"/>
      <c r="U36" s="27"/>
      <c r="V36" s="27"/>
      <c r="W36" s="27"/>
      <c r="X36" s="27"/>
      <c r="Y36" s="27"/>
      <c r="Z36" s="27"/>
      <c r="AA36" s="27"/>
      <c r="AB36" s="27"/>
      <c r="AC36" s="27"/>
      <c r="AD36" s="27"/>
      <c r="AE36" s="27"/>
      <c r="AF36" s="27"/>
      <c r="AG36" s="27"/>
      <c r="AH36" s="27"/>
      <c r="AI36" s="27"/>
      <c r="AK36" s="76"/>
      <c r="AL36" s="76"/>
      <c r="AM36" s="76"/>
      <c r="AN36" s="76"/>
      <c r="AO36" s="76"/>
    </row>
    <row r="37" spans="1:41" s="282" customFormat="1" ht="20.25" x14ac:dyDescent="0.2">
      <c r="A37" s="81"/>
      <c r="B37" s="82" t="s">
        <v>138</v>
      </c>
      <c r="C37" s="83"/>
      <c r="D37" s="84"/>
      <c r="E37" s="84"/>
      <c r="F37" s="85"/>
      <c r="G37" s="85"/>
      <c r="H37" s="86"/>
      <c r="I37" s="86"/>
      <c r="J37" s="85"/>
      <c r="K37" s="30" t="s">
        <v>166</v>
      </c>
      <c r="L37" s="85"/>
      <c r="M37" s="85"/>
      <c r="N37" s="87"/>
      <c r="O37" s="85"/>
      <c r="P37" s="85"/>
      <c r="Q37" s="85"/>
      <c r="R37" s="85"/>
      <c r="S37" s="85"/>
      <c r="T37" s="85"/>
      <c r="U37" s="85"/>
      <c r="V37" s="85"/>
      <c r="W37" s="85"/>
      <c r="X37" s="85"/>
      <c r="Y37" s="85"/>
      <c r="Z37" s="85"/>
      <c r="AA37" s="85"/>
      <c r="AB37" s="85"/>
      <c r="AC37" s="85"/>
      <c r="AD37" s="85"/>
      <c r="AE37" s="85"/>
      <c r="AF37" s="85"/>
      <c r="AG37" s="85"/>
      <c r="AH37" s="85"/>
      <c r="AI37" s="85"/>
      <c r="AK37" s="88"/>
      <c r="AL37" s="88"/>
      <c r="AM37" s="88"/>
      <c r="AN37" s="88"/>
      <c r="AO37" s="88"/>
    </row>
    <row r="38" spans="1:41" s="75" customFormat="1" ht="15" x14ac:dyDescent="0.2">
      <c r="A38" s="70"/>
      <c r="B38" s="70"/>
      <c r="C38" s="71"/>
      <c r="D38" s="77"/>
      <c r="E38" s="77"/>
      <c r="F38" s="27"/>
      <c r="G38" s="27"/>
      <c r="H38" s="73"/>
      <c r="I38" s="73"/>
      <c r="J38" s="27"/>
      <c r="K38" s="27"/>
      <c r="L38" s="27"/>
      <c r="M38" s="27"/>
      <c r="N38" s="74"/>
      <c r="O38" s="27"/>
      <c r="P38" s="27"/>
      <c r="Q38" s="27"/>
      <c r="R38" s="27"/>
      <c r="S38" s="27"/>
      <c r="T38" s="27"/>
      <c r="U38" s="27"/>
      <c r="V38" s="27"/>
      <c r="W38" s="27"/>
      <c r="X38" s="27"/>
      <c r="Y38" s="27"/>
      <c r="Z38" s="27"/>
      <c r="AA38" s="27"/>
      <c r="AB38" s="27"/>
      <c r="AC38" s="27"/>
      <c r="AD38" s="27"/>
      <c r="AE38" s="27"/>
      <c r="AF38" s="27"/>
      <c r="AG38" s="27"/>
      <c r="AH38" s="27"/>
      <c r="AI38" s="27"/>
      <c r="AK38" s="76"/>
      <c r="AL38" s="76"/>
      <c r="AM38" s="76"/>
      <c r="AN38" s="76"/>
      <c r="AO38" s="76"/>
    </row>
    <row r="39" spans="1:41" s="75" customFormat="1" ht="20.25" customHeight="1" x14ac:dyDescent="0.2">
      <c r="A39" s="89" t="s">
        <v>96</v>
      </c>
      <c r="B39" s="89"/>
      <c r="C39" s="31"/>
      <c r="D39" s="31"/>
      <c r="E39" s="31"/>
      <c r="F39" s="31"/>
      <c r="G39" s="31"/>
      <c r="H39" s="31"/>
      <c r="I39" s="31"/>
      <c r="J39" s="31"/>
      <c r="K39" s="31"/>
      <c r="L39" s="90"/>
      <c r="M39" s="90"/>
      <c r="N39" s="91"/>
      <c r="O39" s="90"/>
      <c r="P39" s="90"/>
      <c r="Q39" s="90"/>
      <c r="R39" s="90"/>
      <c r="S39" s="90"/>
      <c r="T39" s="90"/>
      <c r="U39" s="90"/>
      <c r="V39" s="90"/>
      <c r="W39" s="90"/>
      <c r="X39" s="90"/>
      <c r="Y39" s="90"/>
      <c r="Z39" s="90"/>
      <c r="AA39" s="90"/>
      <c r="AB39" s="90"/>
      <c r="AC39" s="90"/>
      <c r="AD39" s="90"/>
      <c r="AE39" s="90"/>
      <c r="AF39" s="90"/>
      <c r="AG39" s="90"/>
      <c r="AH39" s="90"/>
      <c r="AI39" s="90"/>
      <c r="AK39" s="76"/>
      <c r="AL39" s="76"/>
      <c r="AM39" s="76"/>
      <c r="AN39" s="76"/>
      <c r="AO39" s="76"/>
    </row>
    <row r="40" spans="1:41" s="75" customFormat="1" ht="20.25" customHeight="1" x14ac:dyDescent="0.2">
      <c r="A40" s="89" t="s">
        <v>139</v>
      </c>
      <c r="B40" s="92"/>
      <c r="C40" s="93"/>
      <c r="D40" s="93"/>
      <c r="E40" s="32"/>
      <c r="F40" s="32"/>
      <c r="G40" s="32"/>
      <c r="H40" s="32"/>
      <c r="I40" s="32"/>
      <c r="J40" s="32"/>
      <c r="K40" s="32"/>
      <c r="L40" s="90"/>
      <c r="M40" s="90"/>
      <c r="N40" s="90"/>
      <c r="O40" s="90"/>
      <c r="P40" s="90"/>
      <c r="Q40" s="90"/>
      <c r="R40" s="90"/>
      <c r="S40" s="90"/>
      <c r="T40" s="90"/>
      <c r="U40" s="90"/>
      <c r="V40" s="90"/>
      <c r="W40" s="90"/>
      <c r="X40" s="90"/>
      <c r="Y40" s="90"/>
      <c r="Z40" s="90"/>
      <c r="AA40" s="90"/>
      <c r="AB40" s="90"/>
      <c r="AC40" s="90"/>
      <c r="AD40" s="90"/>
      <c r="AE40" s="90"/>
      <c r="AF40" s="90"/>
      <c r="AG40" s="90"/>
      <c r="AH40" s="90"/>
      <c r="AI40" s="90"/>
      <c r="AK40" s="76"/>
      <c r="AL40" s="76"/>
      <c r="AM40" s="76"/>
      <c r="AN40" s="76"/>
      <c r="AO40" s="76"/>
    </row>
    <row r="41" spans="1:41" ht="15.75" x14ac:dyDescent="0.2">
      <c r="A41" s="3190"/>
      <c r="B41" s="3190"/>
      <c r="C41" s="3190"/>
    </row>
    <row r="43" spans="1:41" x14ac:dyDescent="0.2">
      <c r="E43" s="51"/>
    </row>
    <row r="44" spans="1:41" x14ac:dyDescent="0.2">
      <c r="E44" s="51"/>
    </row>
    <row r="45" spans="1:41" x14ac:dyDescent="0.2">
      <c r="E45" s="51"/>
    </row>
    <row r="46" spans="1:41" x14ac:dyDescent="0.2">
      <c r="E46" s="51"/>
    </row>
    <row r="47" spans="1:41" x14ac:dyDescent="0.2">
      <c r="E47" s="51"/>
    </row>
    <row r="48" spans="1:41" x14ac:dyDescent="0.2">
      <c r="E48" s="51"/>
    </row>
    <row r="49" spans="5:5" x14ac:dyDescent="0.2">
      <c r="E49" s="51"/>
    </row>
    <row r="50" spans="5:5" x14ac:dyDescent="0.2">
      <c r="E50" s="51"/>
    </row>
    <row r="51" spans="5:5" x14ac:dyDescent="0.2">
      <c r="E51" s="51"/>
    </row>
    <row r="52" spans="5:5" x14ac:dyDescent="0.2">
      <c r="E52" s="51"/>
    </row>
    <row r="53" spans="5:5" x14ac:dyDescent="0.2">
      <c r="E53" s="51"/>
    </row>
    <row r="54" spans="5:5" x14ac:dyDescent="0.2">
      <c r="E54" s="51"/>
    </row>
    <row r="55" spans="5:5" x14ac:dyDescent="0.2">
      <c r="E55" s="51"/>
    </row>
    <row r="56" spans="5:5" x14ac:dyDescent="0.2">
      <c r="E56" s="51"/>
    </row>
    <row r="57" spans="5:5" x14ac:dyDescent="0.2">
      <c r="E57" s="51"/>
    </row>
    <row r="58" spans="5:5" x14ac:dyDescent="0.2">
      <c r="E58" s="51"/>
    </row>
    <row r="59" spans="5:5" x14ac:dyDescent="0.2">
      <c r="E59" s="51"/>
    </row>
    <row r="60" spans="5:5" x14ac:dyDescent="0.2">
      <c r="E60" s="51"/>
    </row>
    <row r="61" spans="5:5" x14ac:dyDescent="0.2">
      <c r="E61" s="51"/>
    </row>
    <row r="62" spans="5:5" x14ac:dyDescent="0.2">
      <c r="E62" s="51"/>
    </row>
    <row r="63" spans="5:5" x14ac:dyDescent="0.2">
      <c r="E63" s="51"/>
    </row>
    <row r="64" spans="5:5" x14ac:dyDescent="0.2">
      <c r="E64" s="51"/>
    </row>
    <row r="65" spans="5:5" x14ac:dyDescent="0.2">
      <c r="E65" s="51"/>
    </row>
    <row r="66" spans="5:5" x14ac:dyDescent="0.2">
      <c r="E66" s="51"/>
    </row>
    <row r="67" spans="5:5" x14ac:dyDescent="0.2">
      <c r="E67" s="51"/>
    </row>
    <row r="68" spans="5:5" x14ac:dyDescent="0.2">
      <c r="E68" s="51"/>
    </row>
    <row r="69" spans="5:5" x14ac:dyDescent="0.2">
      <c r="E69" s="51"/>
    </row>
    <row r="70" spans="5:5" x14ac:dyDescent="0.2">
      <c r="E70" s="51"/>
    </row>
    <row r="71" spans="5:5" x14ac:dyDescent="0.2">
      <c r="E71" s="51"/>
    </row>
    <row r="72" spans="5:5" x14ac:dyDescent="0.2">
      <c r="E72" s="51"/>
    </row>
    <row r="73" spans="5:5" x14ac:dyDescent="0.2">
      <c r="E73" s="51"/>
    </row>
    <row r="74" spans="5:5" x14ac:dyDescent="0.2">
      <c r="E74" s="51"/>
    </row>
  </sheetData>
  <autoFilter ref="A8:AP30"/>
  <mergeCells count="38">
    <mergeCell ref="G32:H32"/>
    <mergeCell ref="I32:J32"/>
    <mergeCell ref="K32:L32"/>
    <mergeCell ref="A41:C41"/>
    <mergeCell ref="AA6:AC6"/>
    <mergeCell ref="R6:R7"/>
    <mergeCell ref="F6:F7"/>
    <mergeCell ref="G6:G7"/>
    <mergeCell ref="H6:H7"/>
    <mergeCell ref="I6:I7"/>
    <mergeCell ref="J6:J7"/>
    <mergeCell ref="K6:K7"/>
    <mergeCell ref="U9:U27"/>
    <mergeCell ref="A28:B28"/>
    <mergeCell ref="S6:S7"/>
    <mergeCell ref="T6:T7"/>
    <mergeCell ref="U6:U7"/>
    <mergeCell ref="L6:L7"/>
    <mergeCell ref="M6:M7"/>
    <mergeCell ref="N6:O6"/>
    <mergeCell ref="P6:P7"/>
    <mergeCell ref="Q6:Q7"/>
    <mergeCell ref="AE1:AH1"/>
    <mergeCell ref="A2:AH2"/>
    <mergeCell ref="A3:AH3"/>
    <mergeCell ref="A5:A7"/>
    <mergeCell ref="B5:B7"/>
    <mergeCell ref="C5:C7"/>
    <mergeCell ref="D5:W5"/>
    <mergeCell ref="X5:AH5"/>
    <mergeCell ref="D6:D7"/>
    <mergeCell ref="E6:E7"/>
    <mergeCell ref="AD6:AF6"/>
    <mergeCell ref="AG6:AG7"/>
    <mergeCell ref="AH6:AH7"/>
    <mergeCell ref="V6:V7"/>
    <mergeCell ref="W6:W7"/>
    <mergeCell ref="X6:Z6"/>
  </mergeCells>
  <printOptions horizontalCentered="1"/>
  <pageMargins left="0.25" right="0.25" top="0.75" bottom="0.75" header="0.3" footer="0.3"/>
  <pageSetup paperSize="9" scale="33" orientation="landscape"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2">
    <tabColor rgb="FFFFFF00"/>
    <pageSetUpPr fitToPage="1"/>
  </sheetPr>
  <dimension ref="A1:AS43"/>
  <sheetViews>
    <sheetView view="pageBreakPreview" zoomScale="80" zoomScaleNormal="100" zoomScaleSheetLayoutView="80" workbookViewId="0">
      <pane xSplit="3" ySplit="8" topLeftCell="U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12.83203125" style="98" customWidth="1"/>
    <col min="2" max="2" width="30.83203125" style="99" customWidth="1"/>
    <col min="3" max="3" width="13.83203125" style="99" customWidth="1"/>
    <col min="4" max="4" width="11.5" style="99" customWidth="1"/>
    <col min="5" max="5" width="13" style="99" customWidth="1"/>
    <col min="6" max="6" width="14.6640625" style="99" customWidth="1"/>
    <col min="7" max="8" width="13.1640625" style="99" customWidth="1"/>
    <col min="9" max="9" width="11.6640625" style="99" customWidth="1"/>
    <col min="10" max="10" width="16.83203125" style="99" customWidth="1"/>
    <col min="11" max="11" width="12" style="99" customWidth="1"/>
    <col min="12" max="17" width="11.5" style="100" customWidth="1"/>
    <col min="18" max="18" width="14.1640625" style="99" customWidth="1"/>
    <col min="19" max="19" width="15.5" style="99" customWidth="1"/>
    <col min="20" max="20" width="12.33203125" style="99" customWidth="1"/>
    <col min="21" max="21" width="11.6640625" style="99" customWidth="1"/>
    <col min="22" max="23" width="12" style="99" customWidth="1"/>
    <col min="24" max="24" width="12.6640625" style="99" customWidth="1"/>
    <col min="25" max="25" width="12" style="99" customWidth="1"/>
    <col min="26" max="26" width="9.6640625" style="99" customWidth="1"/>
    <col min="27" max="31" width="8.5" style="99" customWidth="1"/>
    <col min="32" max="32" width="9.6640625" style="99" customWidth="1"/>
    <col min="33" max="33" width="9.33203125" style="99" customWidth="1"/>
    <col min="34" max="34" width="12" style="99" customWidth="1"/>
    <col min="35" max="36" width="11.1640625" style="99" customWidth="1"/>
    <col min="37" max="37" width="12.6640625" style="99" customWidth="1"/>
    <col min="38" max="38" width="11.83203125" style="99" hidden="1" customWidth="1"/>
    <col min="39" max="39" width="13" style="99" hidden="1" customWidth="1"/>
    <col min="40" max="42" width="9.33203125" style="22"/>
    <col min="43" max="43" width="11.33203125" style="22" bestFit="1" customWidth="1"/>
    <col min="44" max="16384" width="9.33203125" style="99"/>
  </cols>
  <sheetData>
    <row r="1" spans="1:45" ht="21" customHeight="1" x14ac:dyDescent="0.2">
      <c r="AE1" s="3196"/>
      <c r="AF1" s="3196"/>
      <c r="AG1" s="3196"/>
      <c r="AH1" s="3196"/>
    </row>
    <row r="2" spans="1:45" ht="24" customHeight="1" x14ac:dyDescent="0.2">
      <c r="A2" s="3197" t="s">
        <v>155</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row>
    <row r="4" spans="1:45" x14ac:dyDescent="0.2">
      <c r="L4" s="102">
        <v>3.8399999999999997E-2</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79</v>
      </c>
      <c r="E6" s="3201" t="s">
        <v>69</v>
      </c>
      <c r="F6" s="3201" t="s">
        <v>89</v>
      </c>
      <c r="G6" s="3201" t="s">
        <v>1</v>
      </c>
      <c r="H6" s="3201" t="s">
        <v>2</v>
      </c>
      <c r="I6" s="3201" t="s">
        <v>70</v>
      </c>
      <c r="J6" s="3201" t="s">
        <v>61</v>
      </c>
      <c r="K6" s="3201" t="s">
        <v>27</v>
      </c>
      <c r="L6" s="3203" t="s">
        <v>65</v>
      </c>
      <c r="M6" s="3203" t="s">
        <v>86</v>
      </c>
      <c r="N6" s="3204" t="s">
        <v>91</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286" t="s">
        <v>80</v>
      </c>
      <c r="O7" s="286" t="s">
        <v>81</v>
      </c>
      <c r="P7" s="3204"/>
      <c r="Q7" s="3203"/>
      <c r="R7" s="3201"/>
      <c r="S7" s="3203" t="s">
        <v>67</v>
      </c>
      <c r="T7" s="3201"/>
      <c r="U7" s="3201"/>
      <c r="V7" s="3201"/>
      <c r="W7" s="3201"/>
      <c r="X7" s="285" t="s">
        <v>5</v>
      </c>
      <c r="Y7" s="285" t="s">
        <v>6</v>
      </c>
      <c r="Z7" s="285" t="s">
        <v>74</v>
      </c>
      <c r="AA7" s="285" t="s">
        <v>5</v>
      </c>
      <c r="AB7" s="285" t="s">
        <v>6</v>
      </c>
      <c r="AC7" s="285" t="s">
        <v>75</v>
      </c>
      <c r="AD7" s="285" t="s">
        <v>5</v>
      </c>
      <c r="AE7" s="285" t="s">
        <v>6</v>
      </c>
      <c r="AF7" s="285" t="s">
        <v>76</v>
      </c>
      <c r="AG7" s="3200"/>
      <c r="AH7" s="3200"/>
      <c r="AK7" s="98" t="s">
        <v>64</v>
      </c>
      <c r="AL7" s="98" t="s">
        <v>62</v>
      </c>
      <c r="AM7" s="98" t="s">
        <v>63</v>
      </c>
    </row>
    <row r="8" spans="1:45"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43" t="s">
        <v>116</v>
      </c>
      <c r="AO8" s="43" t="s">
        <v>117</v>
      </c>
      <c r="AP8" s="43" t="s">
        <v>118</v>
      </c>
      <c r="AQ8" s="43" t="s">
        <v>119</v>
      </c>
    </row>
    <row r="9" spans="1:45" ht="16.5" customHeight="1" x14ac:dyDescent="0.2">
      <c r="A9" s="284">
        <v>1</v>
      </c>
      <c r="B9" s="106" t="s">
        <v>21</v>
      </c>
      <c r="C9" s="284">
        <v>1</v>
      </c>
      <c r="D9" s="107">
        <v>22.465</v>
      </c>
      <c r="E9" s="108">
        <f t="shared" ref="E9:E20" si="0">C9*D9</f>
        <v>22.47</v>
      </c>
      <c r="F9" s="109">
        <f t="shared" ref="F9:F19" si="1">E9*12</f>
        <v>269.60000000000002</v>
      </c>
      <c r="G9" s="110"/>
      <c r="H9" s="110"/>
      <c r="I9" s="110"/>
      <c r="J9" s="110"/>
      <c r="K9" s="95">
        <f>D9*0.2*5+D9*0.25*7</f>
        <v>61.8</v>
      </c>
      <c r="L9" s="95">
        <f>$L$4*F9</f>
        <v>10.4</v>
      </c>
      <c r="M9" s="95">
        <f t="shared" ref="M9:M19" si="2">F9+G9+H9+I9+J9+K9+L9</f>
        <v>341.8</v>
      </c>
      <c r="N9" s="111">
        <v>0.47</v>
      </c>
      <c r="O9" s="95">
        <f t="shared" ref="O9:O19" si="3">M9*N9</f>
        <v>160.6</v>
      </c>
      <c r="P9" s="95">
        <f t="shared" ref="P9:P19" si="4">M9+O9</f>
        <v>502.4</v>
      </c>
      <c r="Q9" s="95">
        <f t="shared" ref="Q9:Q19" si="5">P9*0.8</f>
        <v>401.9</v>
      </c>
      <c r="R9" s="95">
        <f t="shared" ref="R9:R19" si="6">P9*0.8</f>
        <v>401.9</v>
      </c>
      <c r="S9" s="95">
        <f t="shared" ref="S9:S19" si="7">(P9+Q9+R9)*0.032</f>
        <v>41.8</v>
      </c>
      <c r="T9" s="95">
        <f>P9+Q9+R9+S9</f>
        <v>1348</v>
      </c>
      <c r="U9" s="3205">
        <v>1</v>
      </c>
      <c r="V9" s="95">
        <f>T9*$U$9</f>
        <v>1348</v>
      </c>
      <c r="W9" s="95">
        <f>AQ9</f>
        <v>369.3</v>
      </c>
      <c r="X9" s="284">
        <v>1</v>
      </c>
      <c r="Y9" s="112">
        <v>30</v>
      </c>
      <c r="Z9" s="113">
        <f t="shared" ref="Z9:Z20" si="8">X9*Y9</f>
        <v>30</v>
      </c>
      <c r="AA9" s="284"/>
      <c r="AB9" s="112">
        <v>15</v>
      </c>
      <c r="AC9" s="113">
        <f t="shared" ref="AC9:AC20" si="9">AA9*AB9</f>
        <v>0</v>
      </c>
      <c r="AD9" s="284"/>
      <c r="AE9" s="112">
        <v>30</v>
      </c>
      <c r="AF9" s="113">
        <f>AD9*AE9</f>
        <v>0</v>
      </c>
      <c r="AG9" s="113">
        <f>(Z9+AC9+AF9)*1%*30</f>
        <v>9</v>
      </c>
      <c r="AH9" s="113">
        <f>Z9+AC9+AF9+AG9</f>
        <v>39</v>
      </c>
      <c r="AI9" s="114">
        <f t="shared" ref="AI9:AI19" si="10">V9/12/C9*1000</f>
        <v>112333.3</v>
      </c>
      <c r="AJ9" s="114"/>
      <c r="AK9" s="114">
        <f t="shared" ref="AK9:AK20" si="11">V9/C9</f>
        <v>1348</v>
      </c>
      <c r="AL9" s="114">
        <f>((979*0.302)+((AK9-979)*0.182))</f>
        <v>362.8</v>
      </c>
      <c r="AM9" s="115">
        <f>AL9/AK9</f>
        <v>0.26900000000000002</v>
      </c>
      <c r="AN9" s="50">
        <f>1150*0.22*C9+(V9-1150*C9)*0.1</f>
        <v>272.8</v>
      </c>
      <c r="AO9" s="116">
        <f>865*0.029</f>
        <v>25.1</v>
      </c>
      <c r="AP9" s="116">
        <f>AK9*0.053</f>
        <v>71.400000000000006</v>
      </c>
      <c r="AQ9" s="50">
        <f>SUM(AN9:AP9)</f>
        <v>369.3</v>
      </c>
      <c r="AS9" s="115"/>
    </row>
    <row r="10" spans="1:45" ht="15" x14ac:dyDescent="0.2">
      <c r="A10" s="284">
        <v>2</v>
      </c>
      <c r="B10" s="106" t="s">
        <v>125</v>
      </c>
      <c r="C10" s="284">
        <v>1</v>
      </c>
      <c r="D10" s="107">
        <v>17.972000000000001</v>
      </c>
      <c r="E10" s="108">
        <f t="shared" si="0"/>
        <v>17.97</v>
      </c>
      <c r="F10" s="109">
        <f t="shared" si="1"/>
        <v>215.6</v>
      </c>
      <c r="G10" s="110"/>
      <c r="H10" s="110"/>
      <c r="I10" s="110"/>
      <c r="J10" s="110"/>
      <c r="K10" s="95">
        <f>F10*0.3</f>
        <v>64.7</v>
      </c>
      <c r="L10" s="95">
        <f t="shared" ref="L10:L20" si="12">$L$4*F10</f>
        <v>8.3000000000000007</v>
      </c>
      <c r="M10" s="95">
        <f t="shared" si="2"/>
        <v>288.60000000000002</v>
      </c>
      <c r="N10" s="111">
        <v>0.47</v>
      </c>
      <c r="O10" s="95">
        <f t="shared" si="3"/>
        <v>135.6</v>
      </c>
      <c r="P10" s="95">
        <f t="shared" si="4"/>
        <v>424.2</v>
      </c>
      <c r="Q10" s="95">
        <f t="shared" si="5"/>
        <v>339.4</v>
      </c>
      <c r="R10" s="95">
        <f t="shared" si="6"/>
        <v>339.4</v>
      </c>
      <c r="S10" s="95">
        <f t="shared" si="7"/>
        <v>35.299999999999997</v>
      </c>
      <c r="T10" s="95">
        <f t="shared" ref="T10:T19" si="13">P10+Q10+R10+S10</f>
        <v>1138.3</v>
      </c>
      <c r="U10" s="3206"/>
      <c r="V10" s="95">
        <f>T10*$U$9</f>
        <v>1138.3</v>
      </c>
      <c r="W10" s="95">
        <f>AQ10</f>
        <v>337.2</v>
      </c>
      <c r="X10" s="284"/>
      <c r="Y10" s="112">
        <v>30</v>
      </c>
      <c r="Z10" s="113">
        <f t="shared" si="8"/>
        <v>0</v>
      </c>
      <c r="AA10" s="284"/>
      <c r="AB10" s="112">
        <v>15</v>
      </c>
      <c r="AC10" s="113">
        <f t="shared" si="9"/>
        <v>0</v>
      </c>
      <c r="AD10" s="284"/>
      <c r="AE10" s="112">
        <v>30</v>
      </c>
      <c r="AF10" s="113">
        <f t="shared" ref="AF10:AF20" si="14">AD10*AE10</f>
        <v>0</v>
      </c>
      <c r="AG10" s="113">
        <f t="shared" ref="AG10:AG20" si="15">(Z10+AC10+AF10)*1%*30</f>
        <v>0</v>
      </c>
      <c r="AH10" s="113">
        <f t="shared" ref="AH10:AH20" si="16">Z10+AC10+AF10+AG10</f>
        <v>0</v>
      </c>
      <c r="AI10" s="114">
        <f t="shared" si="10"/>
        <v>94858.3</v>
      </c>
      <c r="AJ10" s="114"/>
      <c r="AK10" s="114">
        <f t="shared" si="11"/>
        <v>1138.3</v>
      </c>
      <c r="AL10" s="114">
        <f t="shared" ref="AL10:AL20" si="17">((979*0.302)+((AK10-979)*0.182))</f>
        <v>324.7</v>
      </c>
      <c r="AM10" s="115">
        <f>AL10/AK10</f>
        <v>0.28499999999999998</v>
      </c>
      <c r="AN10" s="50">
        <f>1150*0.22*C10+(V10-1150*C10)*0.1</f>
        <v>251.8</v>
      </c>
      <c r="AO10" s="116">
        <f>865*0.029</f>
        <v>25.1</v>
      </c>
      <c r="AP10" s="116">
        <f>AK10*0.053</f>
        <v>60.3</v>
      </c>
      <c r="AQ10" s="50">
        <f>SUM(AN10:AP10)</f>
        <v>337.2</v>
      </c>
      <c r="AS10" s="115"/>
    </row>
    <row r="11" spans="1:45" ht="15" x14ac:dyDescent="0.2">
      <c r="A11" s="284">
        <v>3</v>
      </c>
      <c r="B11" s="117" t="s">
        <v>29</v>
      </c>
      <c r="C11" s="118">
        <v>1</v>
      </c>
      <c r="D11" s="107">
        <v>8.4730000000000008</v>
      </c>
      <c r="E11" s="119">
        <f t="shared" si="0"/>
        <v>8.4700000000000006</v>
      </c>
      <c r="F11" s="110">
        <f t="shared" si="1"/>
        <v>101.6</v>
      </c>
      <c r="G11" s="110"/>
      <c r="H11" s="110"/>
      <c r="I11" s="110"/>
      <c r="J11" s="110"/>
      <c r="K11" s="95"/>
      <c r="L11" s="95">
        <f t="shared" si="12"/>
        <v>3.9</v>
      </c>
      <c r="M11" s="95">
        <f t="shared" si="2"/>
        <v>105.5</v>
      </c>
      <c r="N11" s="111">
        <v>0.41</v>
      </c>
      <c r="O11" s="95">
        <f t="shared" si="3"/>
        <v>43.3</v>
      </c>
      <c r="P11" s="95">
        <f t="shared" si="4"/>
        <v>148.80000000000001</v>
      </c>
      <c r="Q11" s="95">
        <f t="shared" si="5"/>
        <v>119</v>
      </c>
      <c r="R11" s="95">
        <f t="shared" si="6"/>
        <v>119</v>
      </c>
      <c r="S11" s="95">
        <f t="shared" si="7"/>
        <v>12.4</v>
      </c>
      <c r="T11" s="95">
        <f t="shared" si="13"/>
        <v>399.2</v>
      </c>
      <c r="U11" s="3206"/>
      <c r="V11" s="95">
        <f t="shared" ref="V11:V19" si="18">T11*$U$9</f>
        <v>399.2</v>
      </c>
      <c r="W11" s="95">
        <f t="shared" ref="W11:W20" si="19">V11*0.302</f>
        <v>120.6</v>
      </c>
      <c r="X11" s="120"/>
      <c r="Y11" s="112">
        <v>30</v>
      </c>
      <c r="Z11" s="113">
        <f t="shared" si="8"/>
        <v>0</v>
      </c>
      <c r="AA11" s="120"/>
      <c r="AB11" s="112">
        <v>15</v>
      </c>
      <c r="AC11" s="113">
        <f t="shared" si="9"/>
        <v>0</v>
      </c>
      <c r="AD11" s="120"/>
      <c r="AE11" s="112">
        <v>30</v>
      </c>
      <c r="AF11" s="113">
        <f t="shared" si="14"/>
        <v>0</v>
      </c>
      <c r="AG11" s="113">
        <f t="shared" si="15"/>
        <v>0</v>
      </c>
      <c r="AH11" s="113">
        <f t="shared" si="16"/>
        <v>0</v>
      </c>
      <c r="AI11" s="114">
        <f t="shared" si="10"/>
        <v>33266.699999999997</v>
      </c>
      <c r="AJ11" s="114"/>
      <c r="AK11" s="114">
        <f t="shared" si="11"/>
        <v>399.2</v>
      </c>
      <c r="AL11" s="114">
        <f t="shared" si="17"/>
        <v>190.1</v>
      </c>
      <c r="AM11" s="115">
        <v>0.30199999999999999</v>
      </c>
      <c r="AN11" s="116"/>
      <c r="AO11" s="116"/>
      <c r="AP11" s="116"/>
      <c r="AQ11" s="116"/>
      <c r="AS11" s="115"/>
    </row>
    <row r="12" spans="1:45" s="126" customFormat="1" ht="25.5" x14ac:dyDescent="0.2">
      <c r="A12" s="284">
        <v>4</v>
      </c>
      <c r="B12" s="121" t="s">
        <v>31</v>
      </c>
      <c r="C12" s="122">
        <v>1</v>
      </c>
      <c r="D12" s="107">
        <v>11.061999999999999</v>
      </c>
      <c r="E12" s="123">
        <f t="shared" si="0"/>
        <v>11.06</v>
      </c>
      <c r="F12" s="124">
        <f t="shared" si="1"/>
        <v>132.69999999999999</v>
      </c>
      <c r="G12" s="124"/>
      <c r="H12" s="124"/>
      <c r="I12" s="124"/>
      <c r="J12" s="125"/>
      <c r="K12" s="96"/>
      <c r="L12" s="95">
        <f t="shared" si="12"/>
        <v>5.0999999999999996</v>
      </c>
      <c r="M12" s="96">
        <f t="shared" si="2"/>
        <v>137.80000000000001</v>
      </c>
      <c r="N12" s="111">
        <v>0.47</v>
      </c>
      <c r="O12" s="96">
        <f t="shared" si="3"/>
        <v>64.8</v>
      </c>
      <c r="P12" s="96">
        <f t="shared" si="4"/>
        <v>202.6</v>
      </c>
      <c r="Q12" s="96">
        <f t="shared" si="5"/>
        <v>162.1</v>
      </c>
      <c r="R12" s="96">
        <f t="shared" si="6"/>
        <v>162.1</v>
      </c>
      <c r="S12" s="96">
        <f t="shared" si="7"/>
        <v>16.899999999999999</v>
      </c>
      <c r="T12" s="96">
        <f t="shared" si="13"/>
        <v>543.70000000000005</v>
      </c>
      <c r="U12" s="3206"/>
      <c r="V12" s="96">
        <f t="shared" si="18"/>
        <v>543.70000000000005</v>
      </c>
      <c r="W12" s="95">
        <f t="shared" si="19"/>
        <v>164.2</v>
      </c>
      <c r="X12" s="122">
        <v>1</v>
      </c>
      <c r="Y12" s="112">
        <v>30</v>
      </c>
      <c r="Z12" s="113">
        <f t="shared" si="8"/>
        <v>30</v>
      </c>
      <c r="AA12" s="122"/>
      <c r="AB12" s="112">
        <v>15</v>
      </c>
      <c r="AC12" s="113">
        <f t="shared" si="9"/>
        <v>0</v>
      </c>
      <c r="AD12" s="122"/>
      <c r="AE12" s="112">
        <v>30</v>
      </c>
      <c r="AF12" s="113">
        <f t="shared" si="14"/>
        <v>0</v>
      </c>
      <c r="AG12" s="113">
        <f t="shared" si="15"/>
        <v>9</v>
      </c>
      <c r="AH12" s="113">
        <f t="shared" si="16"/>
        <v>39</v>
      </c>
      <c r="AI12" s="114">
        <f t="shared" si="10"/>
        <v>45308.3</v>
      </c>
      <c r="AJ12" s="114"/>
      <c r="AK12" s="114">
        <f t="shared" si="11"/>
        <v>543.70000000000005</v>
      </c>
      <c r="AL12" s="114">
        <f t="shared" si="17"/>
        <v>216.4</v>
      </c>
      <c r="AM12" s="115">
        <v>0.30199999999999999</v>
      </c>
      <c r="AN12" s="22"/>
      <c r="AO12" s="116"/>
      <c r="AP12" s="116"/>
      <c r="AQ12" s="116"/>
      <c r="AS12" s="115"/>
    </row>
    <row r="13" spans="1:45" ht="25.5" x14ac:dyDescent="0.2">
      <c r="A13" s="284">
        <v>5</v>
      </c>
      <c r="B13" s="117" t="s">
        <v>108</v>
      </c>
      <c r="C13" s="127">
        <v>2</v>
      </c>
      <c r="D13" s="107">
        <v>8.4730000000000008</v>
      </c>
      <c r="E13" s="119">
        <f t="shared" si="0"/>
        <v>16.95</v>
      </c>
      <c r="F13" s="110">
        <f t="shared" si="1"/>
        <v>203.4</v>
      </c>
      <c r="G13" s="110"/>
      <c r="H13" s="110"/>
      <c r="I13" s="110"/>
      <c r="J13" s="110"/>
      <c r="K13" s="95">
        <f>F13*0.25</f>
        <v>50.9</v>
      </c>
      <c r="L13" s="95">
        <f t="shared" si="12"/>
        <v>7.8</v>
      </c>
      <c r="M13" s="95">
        <f t="shared" si="2"/>
        <v>262.10000000000002</v>
      </c>
      <c r="N13" s="111">
        <v>0.47</v>
      </c>
      <c r="O13" s="95">
        <f t="shared" si="3"/>
        <v>123.2</v>
      </c>
      <c r="P13" s="95">
        <f t="shared" si="4"/>
        <v>385.3</v>
      </c>
      <c r="Q13" s="95">
        <f t="shared" si="5"/>
        <v>308.2</v>
      </c>
      <c r="R13" s="95">
        <f t="shared" si="6"/>
        <v>308.2</v>
      </c>
      <c r="S13" s="95">
        <f t="shared" si="7"/>
        <v>32.1</v>
      </c>
      <c r="T13" s="95">
        <f t="shared" si="13"/>
        <v>1033.8</v>
      </c>
      <c r="U13" s="3206"/>
      <c r="V13" s="95">
        <f>T13*$U$9</f>
        <v>1033.8</v>
      </c>
      <c r="W13" s="95">
        <f t="shared" si="19"/>
        <v>312.2</v>
      </c>
      <c r="X13" s="284">
        <v>1</v>
      </c>
      <c r="Y13" s="112">
        <v>30</v>
      </c>
      <c r="Z13" s="113">
        <f t="shared" si="8"/>
        <v>30</v>
      </c>
      <c r="AA13" s="127">
        <v>1</v>
      </c>
      <c r="AB13" s="112">
        <v>15</v>
      </c>
      <c r="AC13" s="113">
        <f t="shared" si="9"/>
        <v>15</v>
      </c>
      <c r="AD13" s="127"/>
      <c r="AE13" s="112">
        <v>30</v>
      </c>
      <c r="AF13" s="113">
        <f t="shared" si="14"/>
        <v>0</v>
      </c>
      <c r="AG13" s="113">
        <f t="shared" si="15"/>
        <v>13.5</v>
      </c>
      <c r="AH13" s="113">
        <f t="shared" si="16"/>
        <v>58.5</v>
      </c>
      <c r="AI13" s="114">
        <f t="shared" si="10"/>
        <v>43075</v>
      </c>
      <c r="AJ13" s="114"/>
      <c r="AK13" s="114">
        <f t="shared" si="11"/>
        <v>516.9</v>
      </c>
      <c r="AL13" s="114">
        <f t="shared" si="17"/>
        <v>211.6</v>
      </c>
      <c r="AM13" s="115">
        <v>0.30199999999999999</v>
      </c>
      <c r="AQ13" s="116"/>
      <c r="AS13" s="115"/>
    </row>
    <row r="14" spans="1:45" ht="15" x14ac:dyDescent="0.2">
      <c r="A14" s="284">
        <v>6</v>
      </c>
      <c r="B14" s="117" t="s">
        <v>32</v>
      </c>
      <c r="C14" s="128">
        <v>1</v>
      </c>
      <c r="D14" s="107">
        <v>11.061999999999999</v>
      </c>
      <c r="E14" s="119">
        <f t="shared" si="0"/>
        <v>11.06</v>
      </c>
      <c r="F14" s="110">
        <f t="shared" si="1"/>
        <v>132.69999999999999</v>
      </c>
      <c r="G14" s="110"/>
      <c r="H14" s="110"/>
      <c r="I14" s="110"/>
      <c r="J14" s="110"/>
      <c r="K14" s="95"/>
      <c r="L14" s="95">
        <f t="shared" si="12"/>
        <v>5.0999999999999996</v>
      </c>
      <c r="M14" s="95">
        <f t="shared" si="2"/>
        <v>137.80000000000001</v>
      </c>
      <c r="N14" s="111">
        <v>0.43</v>
      </c>
      <c r="O14" s="95">
        <f t="shared" si="3"/>
        <v>59.3</v>
      </c>
      <c r="P14" s="95">
        <f t="shared" si="4"/>
        <v>197.1</v>
      </c>
      <c r="Q14" s="95">
        <f t="shared" si="5"/>
        <v>157.69999999999999</v>
      </c>
      <c r="R14" s="95">
        <f t="shared" si="6"/>
        <v>157.69999999999999</v>
      </c>
      <c r="S14" s="95">
        <f t="shared" si="7"/>
        <v>16.399999999999999</v>
      </c>
      <c r="T14" s="95">
        <f t="shared" si="13"/>
        <v>528.9</v>
      </c>
      <c r="U14" s="3206"/>
      <c r="V14" s="95">
        <f t="shared" si="18"/>
        <v>528.9</v>
      </c>
      <c r="W14" s="95">
        <f t="shared" si="19"/>
        <v>159.69999999999999</v>
      </c>
      <c r="X14" s="284">
        <v>1</v>
      </c>
      <c r="Y14" s="112">
        <v>30</v>
      </c>
      <c r="Z14" s="113">
        <f t="shared" si="8"/>
        <v>30</v>
      </c>
      <c r="AA14" s="127"/>
      <c r="AB14" s="112">
        <v>15</v>
      </c>
      <c r="AC14" s="113">
        <f t="shared" si="9"/>
        <v>0</v>
      </c>
      <c r="AD14" s="127"/>
      <c r="AE14" s="112">
        <v>30</v>
      </c>
      <c r="AF14" s="113">
        <f t="shared" si="14"/>
        <v>0</v>
      </c>
      <c r="AG14" s="113">
        <f t="shared" si="15"/>
        <v>9</v>
      </c>
      <c r="AH14" s="113">
        <f t="shared" si="16"/>
        <v>39</v>
      </c>
      <c r="AI14" s="114">
        <f t="shared" si="10"/>
        <v>44075</v>
      </c>
      <c r="AJ14" s="114"/>
      <c r="AK14" s="114">
        <f t="shared" si="11"/>
        <v>528.9</v>
      </c>
      <c r="AL14" s="114">
        <f t="shared" si="17"/>
        <v>213.7</v>
      </c>
      <c r="AM14" s="115">
        <v>0.30199999999999999</v>
      </c>
      <c r="AO14" s="116"/>
      <c r="AP14" s="116"/>
      <c r="AQ14" s="116"/>
      <c r="AS14" s="115"/>
    </row>
    <row r="15" spans="1:45" x14ac:dyDescent="0.2">
      <c r="A15" s="284">
        <v>7</v>
      </c>
      <c r="B15" s="129" t="s">
        <v>23</v>
      </c>
      <c r="C15" s="128">
        <v>1</v>
      </c>
      <c r="D15" s="107">
        <v>11.061999999999999</v>
      </c>
      <c r="E15" s="119">
        <f t="shared" si="0"/>
        <v>11.06</v>
      </c>
      <c r="F15" s="110">
        <f t="shared" si="1"/>
        <v>132.69999999999999</v>
      </c>
      <c r="G15" s="110"/>
      <c r="H15" s="110"/>
      <c r="I15" s="110"/>
      <c r="J15" s="110"/>
      <c r="K15" s="95">
        <f>D15*0.3*9+D15*0.35*3</f>
        <v>41.5</v>
      </c>
      <c r="L15" s="95">
        <f t="shared" si="12"/>
        <v>5.0999999999999996</v>
      </c>
      <c r="M15" s="95">
        <f t="shared" si="2"/>
        <v>179.3</v>
      </c>
      <c r="N15" s="111">
        <v>0.43</v>
      </c>
      <c r="O15" s="95">
        <f t="shared" si="3"/>
        <v>77.099999999999994</v>
      </c>
      <c r="P15" s="95">
        <f t="shared" si="4"/>
        <v>256.39999999999998</v>
      </c>
      <c r="Q15" s="95">
        <f t="shared" si="5"/>
        <v>205.1</v>
      </c>
      <c r="R15" s="95">
        <f t="shared" si="6"/>
        <v>205.1</v>
      </c>
      <c r="S15" s="95">
        <f t="shared" si="7"/>
        <v>21.3</v>
      </c>
      <c r="T15" s="95">
        <f t="shared" si="13"/>
        <v>687.9</v>
      </c>
      <c r="U15" s="3206"/>
      <c r="V15" s="95">
        <f t="shared" si="18"/>
        <v>687.9</v>
      </c>
      <c r="W15" s="95">
        <f t="shared" si="19"/>
        <v>207.7</v>
      </c>
      <c r="X15" s="118"/>
      <c r="Y15" s="112">
        <v>30</v>
      </c>
      <c r="Z15" s="113">
        <f t="shared" si="8"/>
        <v>0</v>
      </c>
      <c r="AA15" s="118"/>
      <c r="AB15" s="112">
        <v>15</v>
      </c>
      <c r="AC15" s="113">
        <f t="shared" si="9"/>
        <v>0</v>
      </c>
      <c r="AD15" s="118"/>
      <c r="AE15" s="112">
        <v>30</v>
      </c>
      <c r="AF15" s="113">
        <f t="shared" si="14"/>
        <v>0</v>
      </c>
      <c r="AG15" s="113">
        <f t="shared" si="15"/>
        <v>0</v>
      </c>
      <c r="AH15" s="113">
        <f t="shared" si="16"/>
        <v>0</v>
      </c>
      <c r="AI15" s="114">
        <f t="shared" si="10"/>
        <v>57325</v>
      </c>
      <c r="AJ15" s="114"/>
      <c r="AK15" s="114">
        <f t="shared" si="11"/>
        <v>687.9</v>
      </c>
      <c r="AL15" s="114">
        <f t="shared" si="17"/>
        <v>242.7</v>
      </c>
      <c r="AM15" s="115">
        <v>0.30199999999999999</v>
      </c>
      <c r="AS15" s="115"/>
    </row>
    <row r="16" spans="1:45" ht="15" x14ac:dyDescent="0.2">
      <c r="A16" s="284">
        <v>8</v>
      </c>
      <c r="B16" s="129" t="s">
        <v>33</v>
      </c>
      <c r="C16" s="128">
        <v>2</v>
      </c>
      <c r="D16" s="107">
        <v>8.4730000000000008</v>
      </c>
      <c r="E16" s="119">
        <f t="shared" si="0"/>
        <v>16.95</v>
      </c>
      <c r="F16" s="110">
        <f t="shared" si="1"/>
        <v>203.4</v>
      </c>
      <c r="G16" s="124">
        <f>29314.2/1000</f>
        <v>29.3</v>
      </c>
      <c r="H16" s="110">
        <f>9637.5/1000</f>
        <v>9.6</v>
      </c>
      <c r="I16" s="110"/>
      <c r="J16" s="110"/>
      <c r="K16" s="95">
        <f>D16*0.25*10+D16*0.3*2+F16*0.35</f>
        <v>97.5</v>
      </c>
      <c r="L16" s="95">
        <f t="shared" si="12"/>
        <v>7.8</v>
      </c>
      <c r="M16" s="95">
        <f t="shared" si="2"/>
        <v>347.6</v>
      </c>
      <c r="N16" s="111">
        <v>0.41</v>
      </c>
      <c r="O16" s="95">
        <f t="shared" si="3"/>
        <v>142.5</v>
      </c>
      <c r="P16" s="95">
        <f t="shared" si="4"/>
        <v>490.1</v>
      </c>
      <c r="Q16" s="95">
        <f t="shared" si="5"/>
        <v>392.1</v>
      </c>
      <c r="R16" s="95">
        <f t="shared" si="6"/>
        <v>392.1</v>
      </c>
      <c r="S16" s="95">
        <f t="shared" si="7"/>
        <v>40.799999999999997</v>
      </c>
      <c r="T16" s="95">
        <f t="shared" si="13"/>
        <v>1315.1</v>
      </c>
      <c r="U16" s="3206"/>
      <c r="V16" s="95">
        <f t="shared" si="18"/>
        <v>1315.1</v>
      </c>
      <c r="W16" s="95">
        <f t="shared" si="19"/>
        <v>397.2</v>
      </c>
      <c r="X16" s="118">
        <v>1</v>
      </c>
      <c r="Y16" s="112">
        <v>30</v>
      </c>
      <c r="Z16" s="113">
        <f t="shared" si="8"/>
        <v>30</v>
      </c>
      <c r="AA16" s="118"/>
      <c r="AB16" s="112">
        <v>15</v>
      </c>
      <c r="AC16" s="113">
        <f t="shared" si="9"/>
        <v>0</v>
      </c>
      <c r="AD16" s="118"/>
      <c r="AE16" s="112">
        <v>30</v>
      </c>
      <c r="AF16" s="113">
        <f t="shared" si="14"/>
        <v>0</v>
      </c>
      <c r="AG16" s="113">
        <f t="shared" si="15"/>
        <v>9</v>
      </c>
      <c r="AH16" s="113">
        <f t="shared" si="16"/>
        <v>39</v>
      </c>
      <c r="AI16" s="114">
        <f t="shared" si="10"/>
        <v>54795.8</v>
      </c>
      <c r="AJ16" s="114"/>
      <c r="AK16" s="114">
        <f t="shared" si="11"/>
        <v>657.6</v>
      </c>
      <c r="AL16" s="114">
        <f t="shared" si="17"/>
        <v>237.2</v>
      </c>
      <c r="AM16" s="115">
        <v>0.30199999999999999</v>
      </c>
      <c r="AO16" s="116"/>
      <c r="AP16" s="116"/>
      <c r="AQ16" s="116"/>
      <c r="AS16" s="115"/>
    </row>
    <row r="17" spans="1:45" ht="51" x14ac:dyDescent="0.2">
      <c r="A17" s="284">
        <v>9</v>
      </c>
      <c r="B17" s="117" t="s">
        <v>103</v>
      </c>
      <c r="C17" s="128">
        <v>1</v>
      </c>
      <c r="D17" s="107">
        <v>4.4569999999999999</v>
      </c>
      <c r="E17" s="119">
        <f t="shared" si="0"/>
        <v>4.46</v>
      </c>
      <c r="F17" s="110">
        <f t="shared" si="1"/>
        <v>53.5</v>
      </c>
      <c r="G17" s="110"/>
      <c r="H17" s="110"/>
      <c r="I17" s="110"/>
      <c r="J17" s="110"/>
      <c r="K17" s="95"/>
      <c r="L17" s="95">
        <f t="shared" si="12"/>
        <v>2.1</v>
      </c>
      <c r="M17" s="95">
        <f t="shared" si="2"/>
        <v>55.6</v>
      </c>
      <c r="N17" s="111">
        <v>0.61</v>
      </c>
      <c r="O17" s="95">
        <f t="shared" si="3"/>
        <v>33.9</v>
      </c>
      <c r="P17" s="95">
        <f t="shared" si="4"/>
        <v>89.5</v>
      </c>
      <c r="Q17" s="95">
        <f t="shared" si="5"/>
        <v>71.599999999999994</v>
      </c>
      <c r="R17" s="95">
        <f t="shared" si="6"/>
        <v>71.599999999999994</v>
      </c>
      <c r="S17" s="95">
        <f t="shared" si="7"/>
        <v>7.4</v>
      </c>
      <c r="T17" s="95">
        <f t="shared" si="13"/>
        <v>240.1</v>
      </c>
      <c r="U17" s="3206"/>
      <c r="V17" s="95">
        <f>T17*$U$9</f>
        <v>240.1</v>
      </c>
      <c r="W17" s="95">
        <f t="shared" si="19"/>
        <v>72.5</v>
      </c>
      <c r="X17" s="118"/>
      <c r="Y17" s="112">
        <v>30</v>
      </c>
      <c r="Z17" s="113">
        <f t="shared" si="8"/>
        <v>0</v>
      </c>
      <c r="AA17" s="118"/>
      <c r="AB17" s="112">
        <v>15</v>
      </c>
      <c r="AC17" s="113">
        <f t="shared" si="9"/>
        <v>0</v>
      </c>
      <c r="AD17" s="118"/>
      <c r="AE17" s="112">
        <v>30</v>
      </c>
      <c r="AF17" s="113">
        <f t="shared" si="14"/>
        <v>0</v>
      </c>
      <c r="AG17" s="113">
        <f t="shared" si="15"/>
        <v>0</v>
      </c>
      <c r="AH17" s="113">
        <f t="shared" si="16"/>
        <v>0</v>
      </c>
      <c r="AI17" s="114">
        <f t="shared" si="10"/>
        <v>20008.3</v>
      </c>
      <c r="AJ17" s="114"/>
      <c r="AK17" s="114">
        <f t="shared" si="11"/>
        <v>240.1</v>
      </c>
      <c r="AL17" s="114">
        <f t="shared" si="17"/>
        <v>161.19999999999999</v>
      </c>
      <c r="AM17" s="115">
        <v>0.30199999999999999</v>
      </c>
      <c r="AN17" s="130"/>
      <c r="AO17" s="130"/>
      <c r="AP17" s="130"/>
      <c r="AS17" s="115"/>
    </row>
    <row r="18" spans="1:45" s="126" customFormat="1" ht="25.5" x14ac:dyDescent="0.2">
      <c r="A18" s="284">
        <v>10</v>
      </c>
      <c r="B18" s="129" t="s">
        <v>34</v>
      </c>
      <c r="C18" s="122">
        <v>3</v>
      </c>
      <c r="D18" s="107">
        <v>7.1950000000000003</v>
      </c>
      <c r="E18" s="123">
        <f t="shared" si="0"/>
        <v>21.59</v>
      </c>
      <c r="F18" s="124">
        <f t="shared" si="1"/>
        <v>259.10000000000002</v>
      </c>
      <c r="G18" s="124">
        <f>44329.4/1000</f>
        <v>44.3</v>
      </c>
      <c r="H18" s="124">
        <f>16367.8/1000</f>
        <v>16.399999999999999</v>
      </c>
      <c r="I18" s="124"/>
      <c r="J18" s="125"/>
      <c r="K18" s="96"/>
      <c r="L18" s="95">
        <f t="shared" si="12"/>
        <v>9.9</v>
      </c>
      <c r="M18" s="96">
        <f t="shared" si="2"/>
        <v>329.7</v>
      </c>
      <c r="N18" s="111">
        <v>0.41</v>
      </c>
      <c r="O18" s="96">
        <f t="shared" si="3"/>
        <v>135.19999999999999</v>
      </c>
      <c r="P18" s="96">
        <f t="shared" si="4"/>
        <v>464.9</v>
      </c>
      <c r="Q18" s="96">
        <f t="shared" si="5"/>
        <v>371.9</v>
      </c>
      <c r="R18" s="96">
        <f t="shared" si="6"/>
        <v>371.9</v>
      </c>
      <c r="S18" s="96">
        <f t="shared" si="7"/>
        <v>38.700000000000003</v>
      </c>
      <c r="T18" s="96">
        <f t="shared" si="13"/>
        <v>1247.4000000000001</v>
      </c>
      <c r="U18" s="3206"/>
      <c r="V18" s="96">
        <f t="shared" si="18"/>
        <v>1247.4000000000001</v>
      </c>
      <c r="W18" s="95">
        <f t="shared" si="19"/>
        <v>376.7</v>
      </c>
      <c r="X18" s="284">
        <v>1</v>
      </c>
      <c r="Y18" s="112">
        <v>30</v>
      </c>
      <c r="Z18" s="113">
        <f t="shared" si="8"/>
        <v>30</v>
      </c>
      <c r="AA18" s="284"/>
      <c r="AB18" s="112">
        <v>15</v>
      </c>
      <c r="AC18" s="113">
        <f t="shared" si="9"/>
        <v>0</v>
      </c>
      <c r="AD18" s="284"/>
      <c r="AE18" s="112">
        <v>30</v>
      </c>
      <c r="AF18" s="113">
        <f t="shared" si="14"/>
        <v>0</v>
      </c>
      <c r="AG18" s="113">
        <f t="shared" si="15"/>
        <v>9</v>
      </c>
      <c r="AH18" s="113">
        <f t="shared" si="16"/>
        <v>39</v>
      </c>
      <c r="AI18" s="114">
        <f t="shared" si="10"/>
        <v>34650</v>
      </c>
      <c r="AJ18" s="114"/>
      <c r="AK18" s="114">
        <f t="shared" si="11"/>
        <v>415.8</v>
      </c>
      <c r="AL18" s="114">
        <f t="shared" si="17"/>
        <v>193.2</v>
      </c>
      <c r="AM18" s="115">
        <v>0.30199999999999999</v>
      </c>
      <c r="AN18" s="130"/>
      <c r="AO18" s="130"/>
      <c r="AP18" s="130"/>
      <c r="AQ18" s="22"/>
      <c r="AS18" s="115"/>
    </row>
    <row r="19" spans="1:45" s="126" customFormat="1" x14ac:dyDescent="0.2">
      <c r="A19" s="284">
        <v>11</v>
      </c>
      <c r="B19" s="129" t="s">
        <v>35</v>
      </c>
      <c r="C19" s="122">
        <v>1</v>
      </c>
      <c r="D19" s="107">
        <v>4.4569999999999999</v>
      </c>
      <c r="E19" s="123">
        <f t="shared" si="0"/>
        <v>4.46</v>
      </c>
      <c r="F19" s="124">
        <f t="shared" si="1"/>
        <v>53.5</v>
      </c>
      <c r="G19" s="124"/>
      <c r="H19" s="124"/>
      <c r="I19" s="124"/>
      <c r="J19" s="125"/>
      <c r="K19" s="96"/>
      <c r="L19" s="95">
        <f t="shared" si="12"/>
        <v>2.1</v>
      </c>
      <c r="M19" s="96">
        <f t="shared" si="2"/>
        <v>55.6</v>
      </c>
      <c r="N19" s="111">
        <v>0.61</v>
      </c>
      <c r="O19" s="96">
        <f t="shared" si="3"/>
        <v>33.9</v>
      </c>
      <c r="P19" s="96">
        <f t="shared" si="4"/>
        <v>89.5</v>
      </c>
      <c r="Q19" s="96">
        <f t="shared" si="5"/>
        <v>71.599999999999994</v>
      </c>
      <c r="R19" s="96">
        <f t="shared" si="6"/>
        <v>71.599999999999994</v>
      </c>
      <c r="S19" s="96">
        <f t="shared" si="7"/>
        <v>7.4</v>
      </c>
      <c r="T19" s="96">
        <f t="shared" si="13"/>
        <v>240.1</v>
      </c>
      <c r="U19" s="3206"/>
      <c r="V19" s="96">
        <f t="shared" si="18"/>
        <v>240.1</v>
      </c>
      <c r="W19" s="95">
        <f t="shared" si="19"/>
        <v>72.5</v>
      </c>
      <c r="X19" s="284"/>
      <c r="Y19" s="112">
        <v>30</v>
      </c>
      <c r="Z19" s="113">
        <f t="shared" si="8"/>
        <v>0</v>
      </c>
      <c r="AA19" s="284"/>
      <c r="AB19" s="112">
        <v>15</v>
      </c>
      <c r="AC19" s="113">
        <f t="shared" si="9"/>
        <v>0</v>
      </c>
      <c r="AD19" s="284"/>
      <c r="AE19" s="112">
        <v>30</v>
      </c>
      <c r="AF19" s="113">
        <f t="shared" si="14"/>
        <v>0</v>
      </c>
      <c r="AG19" s="113">
        <f t="shared" si="15"/>
        <v>0</v>
      </c>
      <c r="AH19" s="113">
        <f t="shared" si="16"/>
        <v>0</v>
      </c>
      <c r="AI19" s="114">
        <f t="shared" si="10"/>
        <v>20008.3</v>
      </c>
      <c r="AJ19" s="114"/>
      <c r="AK19" s="114">
        <f t="shared" si="11"/>
        <v>240.1</v>
      </c>
      <c r="AL19" s="114">
        <f t="shared" si="17"/>
        <v>161.19999999999999</v>
      </c>
      <c r="AM19" s="115">
        <v>0.30199999999999999</v>
      </c>
      <c r="AN19" s="130"/>
      <c r="AO19" s="130"/>
      <c r="AP19" s="130"/>
      <c r="AQ19" s="22"/>
      <c r="AS19" s="115"/>
    </row>
    <row r="20" spans="1:45" s="126" customFormat="1" x14ac:dyDescent="0.2">
      <c r="A20" s="284">
        <v>12</v>
      </c>
      <c r="B20" s="129" t="s">
        <v>25</v>
      </c>
      <c r="C20" s="125">
        <v>0.5</v>
      </c>
      <c r="D20" s="107">
        <v>4.3109999999999999</v>
      </c>
      <c r="E20" s="123">
        <f t="shared" si="0"/>
        <v>2.16</v>
      </c>
      <c r="F20" s="124">
        <f>E20*12</f>
        <v>25.9</v>
      </c>
      <c r="G20" s="124">
        <f>5056.7/1000</f>
        <v>5.0999999999999996</v>
      </c>
      <c r="H20" s="124">
        <f>437.8/1000</f>
        <v>0.4</v>
      </c>
      <c r="I20" s="124"/>
      <c r="J20" s="125"/>
      <c r="K20" s="96"/>
      <c r="L20" s="95">
        <f t="shared" si="12"/>
        <v>1</v>
      </c>
      <c r="M20" s="96">
        <f>F20+G20+H20+I20+J20+K20+L20</f>
        <v>32.4</v>
      </c>
      <c r="N20" s="111">
        <v>0.75</v>
      </c>
      <c r="O20" s="96">
        <f>M20*N20</f>
        <v>24.3</v>
      </c>
      <c r="P20" s="96">
        <f>M20+O20</f>
        <v>56.7</v>
      </c>
      <c r="Q20" s="96">
        <f>P20*0.8</f>
        <v>45.4</v>
      </c>
      <c r="R20" s="96">
        <f>P20*0.8</f>
        <v>45.4</v>
      </c>
      <c r="S20" s="96">
        <f>(P20+Q20+R20)*0.032</f>
        <v>4.7</v>
      </c>
      <c r="T20" s="96">
        <f>P20+Q20+R20+S20</f>
        <v>152.19999999999999</v>
      </c>
      <c r="U20" s="3206"/>
      <c r="V20" s="96">
        <f>T20*$U$9</f>
        <v>152.19999999999999</v>
      </c>
      <c r="W20" s="95">
        <f t="shared" si="19"/>
        <v>46</v>
      </c>
      <c r="X20" s="284"/>
      <c r="Y20" s="112">
        <v>30</v>
      </c>
      <c r="Z20" s="113">
        <f t="shared" si="8"/>
        <v>0</v>
      </c>
      <c r="AA20" s="284"/>
      <c r="AB20" s="112">
        <v>15</v>
      </c>
      <c r="AC20" s="113">
        <f t="shared" si="9"/>
        <v>0</v>
      </c>
      <c r="AD20" s="284"/>
      <c r="AE20" s="112">
        <v>30</v>
      </c>
      <c r="AF20" s="113">
        <f t="shared" si="14"/>
        <v>0</v>
      </c>
      <c r="AG20" s="113">
        <f t="shared" si="15"/>
        <v>0</v>
      </c>
      <c r="AH20" s="113">
        <f t="shared" si="16"/>
        <v>0</v>
      </c>
      <c r="AI20" s="114">
        <f>V20/12*1000</f>
        <v>12683.3</v>
      </c>
      <c r="AJ20" s="114"/>
      <c r="AK20" s="114">
        <f t="shared" si="11"/>
        <v>304.39999999999998</v>
      </c>
      <c r="AL20" s="114">
        <f t="shared" si="17"/>
        <v>172.9</v>
      </c>
      <c r="AM20" s="115">
        <v>0.30199999999999999</v>
      </c>
      <c r="AN20" s="130"/>
      <c r="AO20" s="130"/>
      <c r="AP20" s="130"/>
      <c r="AQ20" s="22"/>
      <c r="AS20" s="115"/>
    </row>
    <row r="21" spans="1:45" s="98" customFormat="1" ht="20.25" customHeight="1" x14ac:dyDescent="0.2">
      <c r="A21" s="3202" t="s">
        <v>8</v>
      </c>
      <c r="B21" s="3202"/>
      <c r="C21" s="97">
        <f t="shared" ref="C21:M21" si="20">SUM(C9:C20)</f>
        <v>15.5</v>
      </c>
      <c r="D21" s="97">
        <f t="shared" si="20"/>
        <v>119.5</v>
      </c>
      <c r="E21" s="97">
        <f t="shared" si="20"/>
        <v>148.69999999999999</v>
      </c>
      <c r="F21" s="97">
        <f t="shared" si="20"/>
        <v>1783.7</v>
      </c>
      <c r="G21" s="97">
        <f t="shared" si="20"/>
        <v>78.7</v>
      </c>
      <c r="H21" s="97">
        <f t="shared" si="20"/>
        <v>26.4</v>
      </c>
      <c r="I21" s="97">
        <f t="shared" si="20"/>
        <v>0</v>
      </c>
      <c r="J21" s="97">
        <f t="shared" si="20"/>
        <v>0</v>
      </c>
      <c r="K21" s="97">
        <f t="shared" si="20"/>
        <v>316.39999999999998</v>
      </c>
      <c r="L21" s="97">
        <f t="shared" si="20"/>
        <v>68.599999999999994</v>
      </c>
      <c r="M21" s="97">
        <f t="shared" si="20"/>
        <v>2273.8000000000002</v>
      </c>
      <c r="N21" s="97"/>
      <c r="O21" s="97">
        <f t="shared" ref="O21:AH21" si="21">SUM(O9:O20)</f>
        <v>1033.7</v>
      </c>
      <c r="P21" s="97">
        <f t="shared" si="21"/>
        <v>3307.5</v>
      </c>
      <c r="Q21" s="97">
        <f t="shared" si="21"/>
        <v>2646</v>
      </c>
      <c r="R21" s="97">
        <f t="shared" si="21"/>
        <v>2646</v>
      </c>
      <c r="S21" s="97">
        <f t="shared" si="21"/>
        <v>275.2</v>
      </c>
      <c r="T21" s="97">
        <f t="shared" si="21"/>
        <v>8874.7000000000007</v>
      </c>
      <c r="U21" s="97">
        <f t="shared" si="21"/>
        <v>1</v>
      </c>
      <c r="V21" s="97">
        <f t="shared" si="21"/>
        <v>8874.7000000000007</v>
      </c>
      <c r="W21" s="97">
        <f t="shared" si="21"/>
        <v>2635.8</v>
      </c>
      <c r="X21" s="97">
        <f t="shared" si="21"/>
        <v>6</v>
      </c>
      <c r="Y21" s="97">
        <f t="shared" si="21"/>
        <v>360</v>
      </c>
      <c r="Z21" s="97">
        <f t="shared" si="21"/>
        <v>180</v>
      </c>
      <c r="AA21" s="97">
        <f t="shared" si="21"/>
        <v>1</v>
      </c>
      <c r="AB21" s="97">
        <f t="shared" si="21"/>
        <v>180</v>
      </c>
      <c r="AC21" s="97">
        <f t="shared" si="21"/>
        <v>15</v>
      </c>
      <c r="AD21" s="97">
        <f t="shared" si="21"/>
        <v>0</v>
      </c>
      <c r="AE21" s="97">
        <f t="shared" si="21"/>
        <v>360</v>
      </c>
      <c r="AF21" s="97">
        <f t="shared" si="21"/>
        <v>0</v>
      </c>
      <c r="AG21" s="97">
        <f t="shared" si="21"/>
        <v>58.5</v>
      </c>
      <c r="AH21" s="97">
        <f t="shared" si="21"/>
        <v>253.5</v>
      </c>
      <c r="AN21" s="130"/>
      <c r="AO21" s="130"/>
      <c r="AP21" s="130"/>
      <c r="AQ21" s="22"/>
    </row>
    <row r="22" spans="1:45" x14ac:dyDescent="0.2">
      <c r="G22" s="131"/>
      <c r="H22" s="131"/>
      <c r="I22" s="131"/>
      <c r="J22" s="131"/>
      <c r="K22" s="131"/>
      <c r="L22" s="131"/>
      <c r="M22" s="131"/>
      <c r="N22" s="131"/>
      <c r="O22" s="131"/>
      <c r="P22" s="131"/>
      <c r="Q22" s="131"/>
      <c r="R22" s="131"/>
      <c r="S22" s="131"/>
      <c r="T22" s="131"/>
      <c r="V22" s="114"/>
      <c r="W22" s="66"/>
      <c r="X22" s="132"/>
      <c r="Y22" s="132"/>
      <c r="Z22" s="132"/>
      <c r="AA22" s="131"/>
      <c r="AD22" s="131"/>
      <c r="AG22" s="131"/>
      <c r="AH22" s="131"/>
      <c r="AN22" s="130"/>
      <c r="AO22" s="130"/>
      <c r="AP22" s="130"/>
    </row>
    <row r="23" spans="1:45" x14ac:dyDescent="0.2">
      <c r="G23" s="131"/>
      <c r="H23" s="131"/>
      <c r="I23" s="131"/>
      <c r="J23" s="131"/>
      <c r="K23" s="131"/>
      <c r="L23" s="131"/>
      <c r="M23" s="131"/>
      <c r="N23" s="131"/>
      <c r="O23" s="131"/>
      <c r="P23" s="131"/>
      <c r="Q23" s="131"/>
      <c r="R23" s="131"/>
      <c r="S23" s="131"/>
      <c r="T23" s="131"/>
      <c r="V23" s="114"/>
      <c r="W23" s="114"/>
      <c r="X23" s="133"/>
      <c r="Y23" s="133"/>
      <c r="Z23" s="133"/>
      <c r="AA23" s="131"/>
      <c r="AD23" s="131"/>
      <c r="AG23" s="131"/>
      <c r="AH23" s="131"/>
      <c r="AN23" s="130"/>
      <c r="AO23" s="130"/>
      <c r="AP23" s="130"/>
    </row>
    <row r="24" spans="1:45" s="62" customFormat="1" ht="14.25" x14ac:dyDescent="0.2">
      <c r="A24" s="68"/>
      <c r="B24" s="63"/>
      <c r="C24" s="26"/>
      <c r="D24" s="26"/>
      <c r="E24" s="26"/>
      <c r="F24" s="26"/>
      <c r="G24" s="26"/>
      <c r="H24" s="26"/>
      <c r="I24" s="26"/>
      <c r="J24" s="26"/>
      <c r="K24" s="26"/>
      <c r="L24" s="26"/>
      <c r="M24" s="26"/>
      <c r="N24" s="26"/>
      <c r="O24" s="26"/>
      <c r="P24" s="26"/>
      <c r="Q24" s="26"/>
      <c r="R24" s="26"/>
      <c r="S24" s="26"/>
      <c r="T24" s="26"/>
      <c r="U24" s="64"/>
      <c r="V24" s="69"/>
      <c r="W24" s="69"/>
      <c r="X24" s="65"/>
      <c r="Y24" s="65"/>
      <c r="Z24" s="65"/>
      <c r="AA24" s="65"/>
      <c r="AB24" s="65"/>
      <c r="AC24" s="65"/>
      <c r="AD24" s="65"/>
      <c r="AE24" s="65"/>
      <c r="AF24" s="65"/>
      <c r="AG24" s="65"/>
      <c r="AH24" s="65"/>
      <c r="AI24" s="67"/>
      <c r="AJ24" s="61"/>
      <c r="AK24" s="61"/>
      <c r="AL24" s="134"/>
      <c r="AM24" s="135"/>
    </row>
    <row r="25" spans="1:45" s="75" customFormat="1" ht="15" x14ac:dyDescent="0.2">
      <c r="A25" s="70"/>
      <c r="B25" s="70"/>
      <c r="C25" s="71"/>
      <c r="D25" s="72"/>
      <c r="E25" s="72"/>
      <c r="F25" s="72"/>
      <c r="G25" s="72"/>
      <c r="H25" s="73"/>
      <c r="I25" s="73"/>
      <c r="J25" s="27"/>
      <c r="K25" s="27"/>
      <c r="L25" s="27"/>
      <c r="M25" s="27"/>
      <c r="N25" s="74"/>
      <c r="O25" s="27"/>
      <c r="P25" s="27"/>
      <c r="Q25" s="27"/>
      <c r="R25" s="27"/>
      <c r="S25" s="27"/>
      <c r="T25" s="27"/>
      <c r="U25" s="27"/>
      <c r="V25" s="27"/>
      <c r="W25" s="27"/>
      <c r="X25" s="27"/>
      <c r="Y25" s="27"/>
      <c r="Z25" s="27"/>
      <c r="AA25" s="27"/>
      <c r="AB25" s="27"/>
      <c r="AC25" s="27"/>
      <c r="AD25" s="27"/>
      <c r="AE25" s="27"/>
      <c r="AF25" s="27"/>
      <c r="AG25" s="27"/>
      <c r="AH25" s="27"/>
      <c r="AI25" s="27"/>
      <c r="AJ25" s="76"/>
      <c r="AN25" s="76"/>
      <c r="AO25" s="76"/>
      <c r="AP25" s="76"/>
      <c r="AQ25" s="76"/>
      <c r="AR25" s="76"/>
    </row>
    <row r="26" spans="1:45" s="75" customFormat="1" ht="55.5" customHeight="1" x14ac:dyDescent="0.2">
      <c r="A26" s="70"/>
      <c r="B26" s="70"/>
      <c r="C26" s="71"/>
      <c r="D26" s="77"/>
      <c r="E26" s="77"/>
      <c r="F26" s="27"/>
      <c r="G26" s="3191" t="s">
        <v>140</v>
      </c>
      <c r="H26" s="3191"/>
      <c r="I26" s="3191" t="s">
        <v>141</v>
      </c>
      <c r="J26" s="3191"/>
      <c r="K26" s="3191" t="s">
        <v>128</v>
      </c>
      <c r="L26" s="3191"/>
      <c r="Q26" s="27"/>
      <c r="R26" s="27"/>
      <c r="S26" s="27"/>
      <c r="T26" s="27"/>
      <c r="U26" s="27"/>
      <c r="V26" s="27"/>
      <c r="W26" s="27"/>
      <c r="X26" s="27"/>
      <c r="Y26" s="27"/>
      <c r="Z26" s="27"/>
      <c r="AA26" s="27"/>
      <c r="AB26" s="27"/>
      <c r="AC26" s="27"/>
      <c r="AD26" s="27"/>
      <c r="AE26" s="27"/>
      <c r="AF26" s="27"/>
      <c r="AG26" s="27"/>
      <c r="AH26" s="27"/>
      <c r="AI26" s="27"/>
      <c r="AJ26" s="76"/>
      <c r="AN26" s="76"/>
      <c r="AO26" s="76"/>
      <c r="AP26" s="76"/>
      <c r="AQ26" s="76"/>
      <c r="AR26" s="76"/>
    </row>
    <row r="27" spans="1:45" s="75" customFormat="1" ht="15" x14ac:dyDescent="0.2">
      <c r="A27" s="70"/>
      <c r="B27" s="70"/>
      <c r="C27" s="71"/>
      <c r="D27" s="77"/>
      <c r="E27" s="77"/>
      <c r="F27" s="27"/>
      <c r="G27" s="279">
        <v>991</v>
      </c>
      <c r="H27" s="279">
        <v>992</v>
      </c>
      <c r="I27" s="279">
        <v>991</v>
      </c>
      <c r="J27" s="279">
        <v>992</v>
      </c>
      <c r="K27" s="279">
        <v>991</v>
      </c>
      <c r="L27" s="279">
        <v>992</v>
      </c>
      <c r="Q27" s="27"/>
      <c r="R27" s="27"/>
      <c r="S27" s="27"/>
      <c r="T27" s="27"/>
      <c r="U27" s="27"/>
      <c r="V27" s="27"/>
      <c r="W27" s="27"/>
      <c r="X27" s="27"/>
      <c r="Y27" s="27"/>
      <c r="Z27" s="27"/>
      <c r="AA27" s="27"/>
      <c r="AB27" s="27"/>
      <c r="AC27" s="27"/>
      <c r="AD27" s="27"/>
      <c r="AE27" s="27"/>
      <c r="AF27" s="27"/>
      <c r="AG27" s="27"/>
      <c r="AH27" s="27"/>
      <c r="AI27" s="27"/>
      <c r="AJ27" s="76"/>
      <c r="AN27" s="76"/>
      <c r="AO27" s="76"/>
      <c r="AP27" s="76"/>
      <c r="AQ27" s="76"/>
      <c r="AR27" s="76"/>
    </row>
    <row r="28" spans="1:45" s="75" customFormat="1" ht="15" x14ac:dyDescent="0.2">
      <c r="A28" s="70"/>
      <c r="B28" s="70"/>
      <c r="C28" s="71"/>
      <c r="D28" s="77"/>
      <c r="E28" s="77"/>
      <c r="F28" s="27"/>
      <c r="G28" s="29">
        <v>8874.7000000000007</v>
      </c>
      <c r="H28" s="29">
        <v>2640.7</v>
      </c>
      <c r="I28" s="29">
        <f>V21</f>
        <v>8874.7000000000007</v>
      </c>
      <c r="J28" s="29">
        <f>W21</f>
        <v>2635.8</v>
      </c>
      <c r="K28" s="29">
        <f>G28-I28</f>
        <v>0</v>
      </c>
      <c r="L28" s="29">
        <f>H28-J28</f>
        <v>4.9000000000000004</v>
      </c>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143" customFormat="1" ht="15" x14ac:dyDescent="0.2">
      <c r="A29" s="136"/>
      <c r="B29" s="136"/>
      <c r="C29" s="137"/>
      <c r="D29" s="138"/>
      <c r="E29" s="138"/>
      <c r="F29" s="138"/>
      <c r="G29" s="138"/>
      <c r="H29" s="139"/>
      <c r="I29" s="139"/>
      <c r="J29" s="140"/>
      <c r="K29" s="140"/>
      <c r="L29" s="140"/>
      <c r="M29" s="140"/>
      <c r="N29" s="141"/>
      <c r="O29" s="140"/>
      <c r="P29" s="140"/>
      <c r="Q29" s="140"/>
      <c r="R29" s="140"/>
      <c r="S29" s="140"/>
      <c r="T29" s="140"/>
      <c r="U29" s="140"/>
      <c r="V29" s="140"/>
      <c r="W29" s="140"/>
      <c r="X29" s="140"/>
      <c r="Y29" s="140"/>
      <c r="Z29" s="140"/>
      <c r="AA29" s="140"/>
      <c r="AB29" s="140"/>
      <c r="AC29" s="140"/>
      <c r="AD29" s="140"/>
      <c r="AE29" s="140"/>
      <c r="AF29" s="140"/>
      <c r="AG29" s="140"/>
      <c r="AH29" s="140"/>
      <c r="AI29" s="142"/>
      <c r="AN29" s="22"/>
      <c r="AO29" s="22"/>
      <c r="AP29" s="22"/>
      <c r="AQ29" s="22"/>
    </row>
    <row r="30" spans="1:45" s="143" customFormat="1" ht="15" x14ac:dyDescent="0.2">
      <c r="A30" s="136"/>
      <c r="B30" s="136"/>
      <c r="C30" s="137"/>
      <c r="D30" s="138"/>
      <c r="E30" s="138"/>
      <c r="F30" s="138"/>
      <c r="G30" s="138"/>
      <c r="H30" s="139"/>
      <c r="I30" s="139"/>
      <c r="J30" s="140"/>
      <c r="K30" s="140"/>
      <c r="L30" s="140"/>
      <c r="M30" s="140"/>
      <c r="N30" s="141"/>
      <c r="O30" s="140"/>
      <c r="P30" s="140"/>
      <c r="Q30" s="140"/>
      <c r="R30" s="140"/>
      <c r="S30" s="140"/>
      <c r="T30" s="140"/>
      <c r="U30" s="140"/>
      <c r="V30" s="140"/>
      <c r="W30" s="140"/>
      <c r="X30" s="140"/>
      <c r="Y30" s="140"/>
      <c r="Z30" s="140"/>
      <c r="AA30" s="140"/>
      <c r="AB30" s="140"/>
      <c r="AC30" s="140"/>
      <c r="AD30" s="140"/>
      <c r="AE30" s="140"/>
      <c r="AF30" s="140"/>
      <c r="AG30" s="140"/>
      <c r="AH30" s="140"/>
      <c r="AI30" s="142"/>
      <c r="AN30" s="22"/>
      <c r="AO30" s="22"/>
      <c r="AP30" s="22"/>
      <c r="AQ30" s="22"/>
    </row>
    <row r="31" spans="1:45" s="143" customFormat="1" ht="15" x14ac:dyDescent="0.2">
      <c r="A31" s="136"/>
      <c r="B31" s="136"/>
      <c r="C31" s="137"/>
      <c r="D31" s="144"/>
      <c r="E31" s="144"/>
      <c r="F31" s="140"/>
      <c r="G31" s="140"/>
      <c r="H31" s="139"/>
      <c r="I31" s="139"/>
      <c r="J31" s="140"/>
      <c r="K31" s="140"/>
      <c r="L31" s="140"/>
      <c r="M31" s="140"/>
      <c r="N31" s="141"/>
      <c r="O31" s="140"/>
      <c r="P31" s="140"/>
      <c r="Q31" s="140"/>
      <c r="R31" s="140"/>
      <c r="S31" s="140"/>
      <c r="T31" s="140"/>
      <c r="U31" s="140"/>
      <c r="V31" s="140"/>
      <c r="W31" s="140"/>
      <c r="X31" s="140"/>
      <c r="Y31" s="140"/>
      <c r="Z31" s="140"/>
      <c r="AA31" s="140"/>
      <c r="AB31" s="140"/>
      <c r="AC31" s="140"/>
      <c r="AD31" s="140"/>
      <c r="AE31" s="140"/>
      <c r="AF31" s="140"/>
      <c r="AG31" s="140"/>
      <c r="AH31" s="140"/>
      <c r="AI31" s="142"/>
      <c r="AN31" s="22"/>
      <c r="AO31" s="22"/>
      <c r="AP31" s="22"/>
      <c r="AQ31" s="22"/>
    </row>
    <row r="32" spans="1:45" s="282" customFormat="1" ht="20.25" x14ac:dyDescent="0.2">
      <c r="A32" s="81"/>
      <c r="B32" s="82" t="s">
        <v>138</v>
      </c>
      <c r="C32" s="83"/>
      <c r="D32" s="84"/>
      <c r="E32" s="84"/>
      <c r="F32" s="85"/>
      <c r="G32" s="85"/>
      <c r="H32" s="86"/>
      <c r="I32" s="86"/>
      <c r="J32" s="85"/>
      <c r="K32" s="30" t="s">
        <v>166</v>
      </c>
      <c r="L32" s="85"/>
      <c r="M32" s="85"/>
      <c r="N32" s="87"/>
      <c r="O32" s="85"/>
      <c r="P32" s="85"/>
      <c r="Q32" s="85"/>
      <c r="R32" s="85"/>
      <c r="S32" s="85"/>
      <c r="T32" s="85"/>
      <c r="U32" s="85"/>
      <c r="V32" s="85"/>
      <c r="W32" s="85"/>
      <c r="X32" s="85"/>
      <c r="Y32" s="85"/>
      <c r="Z32" s="85"/>
      <c r="AA32" s="85"/>
      <c r="AB32" s="85"/>
      <c r="AC32" s="85"/>
      <c r="AD32" s="85"/>
      <c r="AE32" s="85"/>
      <c r="AF32" s="85"/>
      <c r="AG32" s="85"/>
      <c r="AH32" s="85"/>
      <c r="AI32" s="85"/>
      <c r="AK32" s="88"/>
      <c r="AL32" s="88"/>
      <c r="AM32" s="88"/>
      <c r="AN32" s="88"/>
      <c r="AO32" s="88"/>
    </row>
    <row r="33" spans="1:43" s="143" customFormat="1" ht="15" x14ac:dyDescent="0.2">
      <c r="A33" s="136"/>
      <c r="B33" s="136"/>
      <c r="C33" s="137"/>
      <c r="D33" s="144"/>
      <c r="E33" s="144"/>
      <c r="F33" s="140"/>
      <c r="G33" s="140"/>
      <c r="H33" s="139"/>
      <c r="I33" s="139"/>
      <c r="J33" s="140"/>
      <c r="K33" s="140"/>
      <c r="L33" s="140"/>
      <c r="M33" s="140"/>
      <c r="N33" s="141"/>
      <c r="O33" s="140"/>
      <c r="P33" s="140"/>
      <c r="Q33" s="140"/>
      <c r="R33" s="140"/>
      <c r="S33" s="140"/>
      <c r="T33" s="140"/>
      <c r="U33" s="140"/>
      <c r="V33" s="140"/>
      <c r="W33" s="140"/>
      <c r="X33" s="140"/>
      <c r="Y33" s="140"/>
      <c r="Z33" s="140"/>
      <c r="AA33" s="140"/>
      <c r="AB33" s="140"/>
      <c r="AC33" s="140"/>
      <c r="AD33" s="140"/>
      <c r="AE33" s="140"/>
      <c r="AF33" s="140"/>
      <c r="AG33" s="140"/>
      <c r="AH33" s="140"/>
      <c r="AI33" s="142"/>
      <c r="AN33" s="22"/>
      <c r="AO33" s="22"/>
      <c r="AP33" s="22"/>
      <c r="AQ33" s="22"/>
    </row>
    <row r="34" spans="1:43" s="143" customFormat="1" ht="20.25" customHeight="1" x14ac:dyDescent="0.2">
      <c r="A34" s="145" t="s">
        <v>96</v>
      </c>
      <c r="B34" s="145"/>
      <c r="C34" s="146"/>
      <c r="D34" s="146"/>
      <c r="E34" s="146"/>
      <c r="F34" s="146"/>
      <c r="G34" s="146"/>
      <c r="H34" s="146"/>
      <c r="I34" s="146"/>
      <c r="J34" s="146"/>
      <c r="K34" s="146"/>
      <c r="L34" s="147"/>
      <c r="M34" s="147"/>
      <c r="N34" s="148"/>
      <c r="O34" s="147"/>
      <c r="P34" s="147"/>
      <c r="Q34" s="147"/>
      <c r="R34" s="147"/>
      <c r="S34" s="147"/>
      <c r="T34" s="147"/>
      <c r="U34" s="147"/>
      <c r="V34" s="147"/>
      <c r="W34" s="147"/>
      <c r="X34" s="147"/>
      <c r="Y34" s="147"/>
      <c r="Z34" s="147"/>
      <c r="AA34" s="147"/>
      <c r="AB34" s="147"/>
      <c r="AC34" s="147"/>
      <c r="AD34" s="147"/>
      <c r="AE34" s="147"/>
      <c r="AF34" s="147"/>
      <c r="AG34" s="147"/>
      <c r="AH34" s="147"/>
      <c r="AI34" s="142"/>
      <c r="AN34" s="62"/>
      <c r="AO34" s="62"/>
      <c r="AP34" s="62"/>
      <c r="AQ34" s="60"/>
    </row>
    <row r="35" spans="1:43" s="143" customFormat="1" ht="20.25" customHeight="1" x14ac:dyDescent="0.2">
      <c r="A35" s="145" t="s">
        <v>139</v>
      </c>
      <c r="B35" s="149"/>
      <c r="C35" s="150"/>
      <c r="D35" s="150"/>
      <c r="E35" s="151"/>
      <c r="F35" s="151"/>
      <c r="G35" s="151"/>
      <c r="H35" s="151"/>
      <c r="I35" s="151"/>
      <c r="J35" s="151"/>
      <c r="K35" s="151"/>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2"/>
      <c r="AN35" s="62"/>
      <c r="AO35" s="62"/>
      <c r="AP35" s="62"/>
      <c r="AQ35" s="62"/>
    </row>
    <row r="36" spans="1:43" ht="16.5" x14ac:dyDescent="0.2">
      <c r="A36" s="152"/>
      <c r="I36" s="153"/>
      <c r="L36" s="99"/>
      <c r="M36" s="99"/>
      <c r="N36" s="99"/>
      <c r="O36" s="99"/>
      <c r="P36" s="99"/>
      <c r="Q36" s="99"/>
      <c r="W36" s="131"/>
      <c r="X36" s="131"/>
      <c r="AA36" s="131"/>
      <c r="AD36" s="131"/>
      <c r="AG36" s="131"/>
      <c r="AH36" s="131"/>
      <c r="AN36" s="62"/>
      <c r="AO36" s="62"/>
      <c r="AP36" s="62"/>
      <c r="AQ36" s="62"/>
    </row>
    <row r="37" spans="1:43" ht="16.5" x14ac:dyDescent="0.2">
      <c r="A37" s="152"/>
      <c r="E37" s="115"/>
      <c r="L37" s="99"/>
      <c r="M37" s="99"/>
      <c r="N37" s="99"/>
      <c r="O37" s="99"/>
      <c r="P37" s="99"/>
      <c r="Q37" s="99"/>
      <c r="W37" s="131"/>
      <c r="X37" s="131"/>
      <c r="AA37" s="131"/>
      <c r="AD37" s="131"/>
      <c r="AG37" s="131"/>
      <c r="AH37" s="131"/>
      <c r="AN37" s="62"/>
      <c r="AO37" s="62"/>
      <c r="AP37" s="62"/>
      <c r="AQ37" s="62"/>
    </row>
    <row r="38" spans="1:43" x14ac:dyDescent="0.2">
      <c r="E38" s="115"/>
    </row>
    <row r="39" spans="1:43" x14ac:dyDescent="0.2">
      <c r="E39" s="115"/>
    </row>
    <row r="40" spans="1:43" x14ac:dyDescent="0.2">
      <c r="E40" s="115"/>
    </row>
    <row r="41" spans="1:43" x14ac:dyDescent="0.2">
      <c r="E41" s="115"/>
    </row>
    <row r="42" spans="1:43" x14ac:dyDescent="0.2">
      <c r="E42" s="115"/>
    </row>
    <row r="43" spans="1:43" x14ac:dyDescent="0.2">
      <c r="E43" s="115"/>
    </row>
  </sheetData>
  <autoFilter ref="A8:AS8"/>
  <mergeCells count="37">
    <mergeCell ref="G26:H26"/>
    <mergeCell ref="I26:J26"/>
    <mergeCell ref="K26:L26"/>
    <mergeCell ref="AA6:AC6"/>
    <mergeCell ref="AD6:AF6"/>
    <mergeCell ref="K6:K7"/>
    <mergeCell ref="AH6:AH7"/>
    <mergeCell ref="U9:U20"/>
    <mergeCell ref="A21:B21"/>
    <mergeCell ref="S6:S7"/>
    <mergeCell ref="T6:T7"/>
    <mergeCell ref="U6:U7"/>
    <mergeCell ref="V6:V7"/>
    <mergeCell ref="W6:W7"/>
    <mergeCell ref="X6:Z6"/>
    <mergeCell ref="L6:L7"/>
    <mergeCell ref="M6:M7"/>
    <mergeCell ref="N6:O6"/>
    <mergeCell ref="P6:P7"/>
    <mergeCell ref="Q6:Q7"/>
    <mergeCell ref="R6:R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s>
  <printOptions horizontalCentered="1"/>
  <pageMargins left="0" right="0" top="0" bottom="0" header="0.31496062992125984" footer="0.31496062992125984"/>
  <pageSetup paperSize="9" scale="38" orientation="landscape"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3">
    <tabColor rgb="FFFFFF00"/>
    <pageSetUpPr fitToPage="1"/>
  </sheetPr>
  <dimension ref="A1:AS57"/>
  <sheetViews>
    <sheetView view="pageBreakPreview" zoomScale="80" zoomScaleNormal="80" zoomScaleSheetLayoutView="80" workbookViewId="0">
      <pane xSplit="3" ySplit="8" topLeftCell="V9" activePane="bottomRight" state="frozen"/>
      <selection activeCell="M26" sqref="M26"/>
      <selection pane="topRight" activeCell="M26" sqref="M26"/>
      <selection pane="bottomLeft" activeCell="M26" sqref="M26"/>
      <selection pane="bottomRight" activeCell="M26" sqref="M26:N26"/>
    </sheetView>
  </sheetViews>
  <sheetFormatPr defaultRowHeight="12.75" x14ac:dyDescent="0.2"/>
  <cols>
    <col min="1" max="1" width="6.83203125" style="33" customWidth="1"/>
    <col min="2" max="2" width="30.83203125" style="22" customWidth="1"/>
    <col min="3" max="3" width="13.83203125" style="22" customWidth="1"/>
    <col min="4" max="4" width="12.83203125" style="22" customWidth="1"/>
    <col min="5" max="5" width="13" style="22" customWidth="1"/>
    <col min="6" max="6" width="14.6640625" style="22" customWidth="1"/>
    <col min="7" max="7" width="12.33203125" style="22" customWidth="1"/>
    <col min="8" max="8" width="13.33203125" style="22" customWidth="1"/>
    <col min="9" max="9" width="15.83203125" style="22" customWidth="1"/>
    <col min="10" max="11" width="13.83203125" style="22" customWidth="1"/>
    <col min="12" max="12" width="13.33203125" style="22" customWidth="1"/>
    <col min="13" max="13" width="12.83203125" style="22" customWidth="1"/>
    <col min="14" max="14" width="11.5" style="22" customWidth="1"/>
    <col min="15" max="15" width="14.83203125" style="22" customWidth="1"/>
    <col min="16" max="16" width="15.33203125" style="22" customWidth="1"/>
    <col min="17" max="17" width="14.83203125" style="22" customWidth="1"/>
    <col min="18" max="18" width="13.6640625" style="22" customWidth="1"/>
    <col min="19" max="19" width="15.33203125" style="22" customWidth="1"/>
    <col min="20" max="20" width="12.33203125" style="22" customWidth="1"/>
    <col min="21" max="21" width="11.6640625" style="22" customWidth="1"/>
    <col min="22" max="22" width="13" style="22" customWidth="1"/>
    <col min="23" max="23" width="12.6640625" style="22" customWidth="1"/>
    <col min="24" max="24" width="13.33203125" style="22" customWidth="1"/>
    <col min="25" max="25" width="12.83203125" style="22" customWidth="1"/>
    <col min="26" max="26" width="13" style="22" customWidth="1"/>
    <col min="27" max="27" width="12.33203125" style="22" customWidth="1"/>
    <col min="28" max="28" width="11.33203125" style="22" customWidth="1"/>
    <col min="29" max="29" width="9.6640625" style="22" customWidth="1"/>
    <col min="30" max="30" width="11" style="22" customWidth="1"/>
    <col min="31" max="31" width="9.33203125" style="22" customWidth="1"/>
    <col min="32" max="32" width="9.83203125" style="22" customWidth="1"/>
    <col min="33" max="33" width="14" style="22" customWidth="1"/>
    <col min="34" max="34" width="12.33203125" style="22" customWidth="1"/>
    <col min="35" max="35" width="11.1640625" style="34" customWidth="1"/>
    <col min="36" max="36" width="9.33203125" style="22"/>
    <col min="37" max="37" width="12.6640625" style="22" customWidth="1"/>
    <col min="38" max="38" width="11.6640625" style="22" hidden="1" customWidth="1"/>
    <col min="39" max="39" width="13.6640625" style="22" hidden="1" customWidth="1"/>
    <col min="40" max="42" width="9.33203125" style="22"/>
    <col min="43" max="43" width="14" style="22" bestFit="1" customWidth="1"/>
    <col min="44" max="16384" width="9.33203125" style="22"/>
  </cols>
  <sheetData>
    <row r="1" spans="1:45" ht="12.75" customHeight="1" x14ac:dyDescent="0.2">
      <c r="AE1" s="3196"/>
      <c r="AF1" s="3196"/>
      <c r="AG1" s="3196"/>
      <c r="AH1" s="3196"/>
    </row>
    <row r="2" spans="1:45" ht="24" customHeight="1" x14ac:dyDescent="0.2">
      <c r="A2" s="3181" t="s">
        <v>157</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5"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283"/>
    </row>
    <row r="4" spans="1:45" x14ac:dyDescent="0.2">
      <c r="L4" s="38">
        <v>0.34311000000000003</v>
      </c>
    </row>
    <row r="5" spans="1:45" ht="38.25" customHeight="1" x14ac:dyDescent="0.2">
      <c r="A5" s="3199" t="s">
        <v>78</v>
      </c>
      <c r="B5" s="3199"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5" ht="60" customHeight="1" x14ac:dyDescent="0.2">
      <c r="A6" s="3199"/>
      <c r="B6" s="3199"/>
      <c r="C6" s="3184"/>
      <c r="D6" s="3185" t="s">
        <v>68</v>
      </c>
      <c r="E6" s="3185" t="s">
        <v>69</v>
      </c>
      <c r="F6" s="3185" t="s">
        <v>89</v>
      </c>
      <c r="G6" s="3185" t="s">
        <v>1</v>
      </c>
      <c r="H6" s="3185" t="s">
        <v>2</v>
      </c>
      <c r="I6" s="3185" t="s">
        <v>70</v>
      </c>
      <c r="J6" s="3185" t="s">
        <v>61</v>
      </c>
      <c r="K6" s="3185" t="s">
        <v>27</v>
      </c>
      <c r="L6" s="4035" t="s">
        <v>65</v>
      </c>
      <c r="M6" s="4035" t="s">
        <v>86</v>
      </c>
      <c r="N6" s="4036" t="s">
        <v>91</v>
      </c>
      <c r="O6" s="4036"/>
      <c r="P6" s="4036" t="s">
        <v>88</v>
      </c>
      <c r="Q6" s="4035" t="s">
        <v>82</v>
      </c>
      <c r="R6" s="3185" t="s">
        <v>83</v>
      </c>
      <c r="S6" s="4035"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5" ht="107.25" customHeight="1" x14ac:dyDescent="0.2">
      <c r="A7" s="3199"/>
      <c r="B7" s="3199"/>
      <c r="C7" s="3184"/>
      <c r="D7" s="3185"/>
      <c r="E7" s="3185"/>
      <c r="F7" s="3185"/>
      <c r="G7" s="3185"/>
      <c r="H7" s="3185"/>
      <c r="I7" s="3185"/>
      <c r="J7" s="3185"/>
      <c r="K7" s="3185"/>
      <c r="L7" s="4035" t="s">
        <v>66</v>
      </c>
      <c r="M7" s="4035"/>
      <c r="N7" s="288" t="s">
        <v>80</v>
      </c>
      <c r="O7" s="288" t="s">
        <v>81</v>
      </c>
      <c r="P7" s="4036"/>
      <c r="Q7" s="4035"/>
      <c r="R7" s="3185"/>
      <c r="S7" s="4035" t="s">
        <v>67</v>
      </c>
      <c r="T7" s="3185"/>
      <c r="U7" s="3185"/>
      <c r="V7" s="3185"/>
      <c r="W7" s="3185"/>
      <c r="X7" s="280" t="s">
        <v>5</v>
      </c>
      <c r="Y7" s="280" t="s">
        <v>6</v>
      </c>
      <c r="Z7" s="280" t="s">
        <v>74</v>
      </c>
      <c r="AA7" s="280" t="s">
        <v>5</v>
      </c>
      <c r="AB7" s="280" t="s">
        <v>6</v>
      </c>
      <c r="AC7" s="280" t="s">
        <v>75</v>
      </c>
      <c r="AD7" s="280" t="s">
        <v>5</v>
      </c>
      <c r="AE7" s="280" t="s">
        <v>6</v>
      </c>
      <c r="AF7" s="280" t="s">
        <v>76</v>
      </c>
      <c r="AG7" s="3184"/>
      <c r="AH7" s="3184"/>
      <c r="AK7" s="22" t="s">
        <v>64</v>
      </c>
      <c r="AL7" s="22" t="s">
        <v>62</v>
      </c>
      <c r="AM7" s="165"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43" t="s">
        <v>116</v>
      </c>
      <c r="AO8" s="43" t="s">
        <v>117</v>
      </c>
      <c r="AP8" s="43" t="s">
        <v>118</v>
      </c>
      <c r="AQ8" s="43" t="s">
        <v>119</v>
      </c>
    </row>
    <row r="9" spans="1:45" ht="16.5" customHeight="1" x14ac:dyDescent="0.2">
      <c r="A9" s="278">
        <v>1</v>
      </c>
      <c r="B9" s="166" t="s">
        <v>14</v>
      </c>
      <c r="C9" s="167">
        <v>1</v>
      </c>
      <c r="D9" s="168">
        <v>22.876999999999999</v>
      </c>
      <c r="E9" s="169">
        <f>C9*D9</f>
        <v>22.88</v>
      </c>
      <c r="F9" s="170">
        <f>E9*12</f>
        <v>274.60000000000002</v>
      </c>
      <c r="G9" s="154"/>
      <c r="H9" s="154"/>
      <c r="I9" s="154"/>
      <c r="J9" s="154"/>
      <c r="K9" s="154">
        <f>F9*0.4</f>
        <v>109.8</v>
      </c>
      <c r="L9" s="154">
        <f>F9*$L$4</f>
        <v>94.2</v>
      </c>
      <c r="M9" s="154">
        <f>F9+G9+H9+I9+J9+K9+L9</f>
        <v>478.6</v>
      </c>
      <c r="N9" s="171">
        <v>0.47</v>
      </c>
      <c r="O9" s="154">
        <f>M9*N9</f>
        <v>224.9</v>
      </c>
      <c r="P9" s="154">
        <f>M9+O9</f>
        <v>703.5</v>
      </c>
      <c r="Q9" s="154">
        <f>P9*0.8</f>
        <v>562.79999999999995</v>
      </c>
      <c r="R9" s="154">
        <f>P9*0.8</f>
        <v>562.79999999999995</v>
      </c>
      <c r="S9" s="154">
        <f>(P9+Q9+R9)*0.032</f>
        <v>58.5</v>
      </c>
      <c r="T9" s="154">
        <f>P9+Q9+R9+S9</f>
        <v>1887.6</v>
      </c>
      <c r="U9" s="4031">
        <v>1</v>
      </c>
      <c r="V9" s="155">
        <f t="shared" ref="V9:V21" si="0">T9*$U$9</f>
        <v>1887.6</v>
      </c>
      <c r="W9" s="155">
        <f>AQ9</f>
        <v>451.9</v>
      </c>
      <c r="X9" s="278"/>
      <c r="Y9" s="24">
        <v>30</v>
      </c>
      <c r="Z9" s="48">
        <f t="shared" ref="Z9:Z22" si="1">X9*Y9</f>
        <v>0</v>
      </c>
      <c r="AA9" s="278"/>
      <c r="AB9" s="24">
        <v>15</v>
      </c>
      <c r="AC9" s="48">
        <f t="shared" ref="AC9:AC22" si="2">AA9*AB9</f>
        <v>0</v>
      </c>
      <c r="AD9" s="278"/>
      <c r="AE9" s="24">
        <v>30</v>
      </c>
      <c r="AF9" s="48">
        <f t="shared" ref="AF9:AF22" si="3">AD9*AE9</f>
        <v>0</v>
      </c>
      <c r="AG9" s="48">
        <f t="shared" ref="AG9:AG22" si="4">(Z9+AC9+AF9)*1%*30</f>
        <v>0</v>
      </c>
      <c r="AH9" s="48">
        <f t="shared" ref="AH9:AH22" si="5">Z9+AC9+AF9+AG9</f>
        <v>0</v>
      </c>
      <c r="AI9" s="34">
        <f t="shared" ref="AI9:AI22" si="6">V9/12/C9*1000</f>
        <v>157300</v>
      </c>
      <c r="AJ9" s="34"/>
      <c r="AK9" s="34">
        <f t="shared" ref="AK9:AK22" si="7">V9/C9</f>
        <v>1887.6</v>
      </c>
      <c r="AL9" s="34">
        <f>((979*0.302)+((AK9-979)*0.182))</f>
        <v>461</v>
      </c>
      <c r="AM9" s="51">
        <f>AL9/AK9</f>
        <v>0.24399999999999999</v>
      </c>
      <c r="AN9" s="116">
        <f>1150*0.22*C9+(V9-1150*C9)*0.1</f>
        <v>326.8</v>
      </c>
      <c r="AO9" s="116">
        <f>865*0.029*C9</f>
        <v>25.1</v>
      </c>
      <c r="AP9" s="116">
        <f>AK9*0.053</f>
        <v>100</v>
      </c>
      <c r="AQ9" s="116">
        <f>SUM(AN9:AP9)</f>
        <v>451.9</v>
      </c>
      <c r="AS9" s="51">
        <f t="shared" ref="AS9:AS22" si="8">D9*1.5</f>
        <v>34.316000000000003</v>
      </c>
    </row>
    <row r="10" spans="1:45" ht="15" x14ac:dyDescent="0.2">
      <c r="A10" s="278">
        <v>2</v>
      </c>
      <c r="B10" s="166" t="s">
        <v>125</v>
      </c>
      <c r="C10" s="167">
        <v>2</v>
      </c>
      <c r="D10" s="168">
        <v>16.013999999999999</v>
      </c>
      <c r="E10" s="169">
        <f>C10*D10</f>
        <v>32.03</v>
      </c>
      <c r="F10" s="170">
        <f t="shared" ref="F10:F22" si="9">E10*12</f>
        <v>384.4</v>
      </c>
      <c r="G10" s="154"/>
      <c r="H10" s="154"/>
      <c r="I10" s="154">
        <f>D10*0.25*12</f>
        <v>48</v>
      </c>
      <c r="J10" s="154"/>
      <c r="K10" s="154">
        <f>D10*0.25*12+D10*0.4*12+D10*0.05*4</f>
        <v>128.1</v>
      </c>
      <c r="L10" s="154">
        <f t="shared" ref="L10:L21" si="10">F10*$L$4</f>
        <v>131.9</v>
      </c>
      <c r="M10" s="154">
        <f t="shared" ref="M10:M22" si="11">F10+G10+H10+I10+J10+K10+L10</f>
        <v>692.4</v>
      </c>
      <c r="N10" s="171">
        <v>0.47</v>
      </c>
      <c r="O10" s="154">
        <f t="shared" ref="O10:O22" si="12">M10*N10</f>
        <v>325.39999999999998</v>
      </c>
      <c r="P10" s="154">
        <f t="shared" ref="P10:P22" si="13">M10+O10</f>
        <v>1017.8</v>
      </c>
      <c r="Q10" s="154">
        <f t="shared" ref="Q10:Q22" si="14">P10*0.8</f>
        <v>814.2</v>
      </c>
      <c r="R10" s="154">
        <f t="shared" ref="R10:R22" si="15">P10*0.8</f>
        <v>814.2</v>
      </c>
      <c r="S10" s="154">
        <f t="shared" ref="S10:S22" si="16">(P10+Q10+R10)*0.032</f>
        <v>84.7</v>
      </c>
      <c r="T10" s="154">
        <f t="shared" ref="T10:T22" si="17">P10+Q10+R10+S10</f>
        <v>2730.9</v>
      </c>
      <c r="U10" s="4032"/>
      <c r="V10" s="155">
        <f t="shared" si="0"/>
        <v>2730.9</v>
      </c>
      <c r="W10" s="155">
        <f>AQ10</f>
        <v>744</v>
      </c>
      <c r="X10" s="278"/>
      <c r="Y10" s="24">
        <v>30</v>
      </c>
      <c r="Z10" s="48">
        <f t="shared" si="1"/>
        <v>0</v>
      </c>
      <c r="AA10" s="278">
        <v>1</v>
      </c>
      <c r="AB10" s="24">
        <v>15</v>
      </c>
      <c r="AC10" s="48">
        <f t="shared" si="2"/>
        <v>15</v>
      </c>
      <c r="AD10" s="278"/>
      <c r="AE10" s="24">
        <v>30</v>
      </c>
      <c r="AF10" s="48">
        <f t="shared" si="3"/>
        <v>0</v>
      </c>
      <c r="AG10" s="48">
        <f t="shared" si="4"/>
        <v>4.5</v>
      </c>
      <c r="AH10" s="48">
        <f t="shared" si="5"/>
        <v>19.5</v>
      </c>
      <c r="AI10" s="34">
        <f t="shared" si="6"/>
        <v>113787.5</v>
      </c>
      <c r="AJ10" s="34"/>
      <c r="AK10" s="34">
        <f t="shared" si="7"/>
        <v>1365.5</v>
      </c>
      <c r="AL10" s="34">
        <f t="shared" ref="AL10:AL22" si="18">((979*0.302)+((AK10-979)*0.182))</f>
        <v>366</v>
      </c>
      <c r="AM10" s="51">
        <f>AL10/AK10</f>
        <v>0.26800000000000002</v>
      </c>
      <c r="AN10" s="116">
        <f>1150*0.22*C10+(V10-1150*C10)*0.1</f>
        <v>549.1</v>
      </c>
      <c r="AO10" s="116">
        <f>865*0.029*C10</f>
        <v>50.2</v>
      </c>
      <c r="AP10" s="116">
        <f>AK10*0.053*2</f>
        <v>144.69999999999999</v>
      </c>
      <c r="AQ10" s="116">
        <f>SUM(AN10:AP10)</f>
        <v>744</v>
      </c>
      <c r="AS10" s="51">
        <f t="shared" si="8"/>
        <v>24.021000000000001</v>
      </c>
    </row>
    <row r="11" spans="1:45" ht="15" x14ac:dyDescent="0.2">
      <c r="A11" s="278">
        <v>3</v>
      </c>
      <c r="B11" s="106" t="s">
        <v>33</v>
      </c>
      <c r="C11" s="172">
        <v>1</v>
      </c>
      <c r="D11" s="173">
        <v>8.4730000000000008</v>
      </c>
      <c r="E11" s="171">
        <f t="shared" ref="E11:E22" si="19">C11*D11</f>
        <v>8.4700000000000006</v>
      </c>
      <c r="F11" s="154">
        <f t="shared" si="9"/>
        <v>101.6</v>
      </c>
      <c r="G11" s="154"/>
      <c r="H11" s="154"/>
      <c r="I11" s="154"/>
      <c r="J11" s="154"/>
      <c r="K11" s="154">
        <f>D11*0.2*5</f>
        <v>8.5</v>
      </c>
      <c r="L11" s="154">
        <f t="shared" si="10"/>
        <v>34.9</v>
      </c>
      <c r="M11" s="154">
        <f t="shared" si="11"/>
        <v>145</v>
      </c>
      <c r="N11" s="171">
        <v>0.41</v>
      </c>
      <c r="O11" s="154">
        <f t="shared" si="12"/>
        <v>59.5</v>
      </c>
      <c r="P11" s="154">
        <f t="shared" si="13"/>
        <v>204.5</v>
      </c>
      <c r="Q11" s="154">
        <f t="shared" si="14"/>
        <v>163.6</v>
      </c>
      <c r="R11" s="154">
        <f t="shared" si="15"/>
        <v>163.6</v>
      </c>
      <c r="S11" s="154">
        <f t="shared" si="16"/>
        <v>17</v>
      </c>
      <c r="T11" s="154">
        <f t="shared" si="17"/>
        <v>548.70000000000005</v>
      </c>
      <c r="U11" s="4032"/>
      <c r="V11" s="155">
        <f t="shared" si="0"/>
        <v>548.70000000000005</v>
      </c>
      <c r="W11" s="155">
        <f>V11*0.302</f>
        <v>165.7</v>
      </c>
      <c r="X11" s="162"/>
      <c r="Y11" s="163">
        <v>30</v>
      </c>
      <c r="Z11" s="164">
        <f t="shared" si="1"/>
        <v>0</v>
      </c>
      <c r="AA11" s="162"/>
      <c r="AB11" s="163">
        <v>15</v>
      </c>
      <c r="AC11" s="164">
        <f t="shared" si="2"/>
        <v>0</v>
      </c>
      <c r="AD11" s="162"/>
      <c r="AE11" s="163">
        <v>30</v>
      </c>
      <c r="AF11" s="164">
        <f t="shared" si="3"/>
        <v>0</v>
      </c>
      <c r="AG11" s="164">
        <f t="shared" si="4"/>
        <v>0</v>
      </c>
      <c r="AH11" s="164">
        <f t="shared" si="5"/>
        <v>0</v>
      </c>
      <c r="AI11" s="34">
        <f t="shared" si="6"/>
        <v>45725</v>
      </c>
      <c r="AJ11" s="34"/>
      <c r="AK11" s="34">
        <f t="shared" si="7"/>
        <v>548.70000000000005</v>
      </c>
      <c r="AL11" s="34">
        <f t="shared" si="18"/>
        <v>217.3</v>
      </c>
      <c r="AM11" s="51">
        <v>0.30199999999999999</v>
      </c>
      <c r="AO11" s="116"/>
      <c r="AP11" s="116"/>
      <c r="AQ11" s="116"/>
      <c r="AS11" s="51">
        <f t="shared" si="8"/>
        <v>12.71</v>
      </c>
    </row>
    <row r="12" spans="1:45" ht="15" x14ac:dyDescent="0.2">
      <c r="A12" s="278">
        <v>4</v>
      </c>
      <c r="B12" s="106" t="s">
        <v>105</v>
      </c>
      <c r="C12" s="172">
        <v>2</v>
      </c>
      <c r="D12" s="173">
        <v>8.4730000000000008</v>
      </c>
      <c r="E12" s="171">
        <f t="shared" si="19"/>
        <v>16.95</v>
      </c>
      <c r="F12" s="154">
        <f t="shared" si="9"/>
        <v>203.4</v>
      </c>
      <c r="G12" s="154"/>
      <c r="H12" s="154"/>
      <c r="I12" s="154"/>
      <c r="J12" s="154"/>
      <c r="K12" s="154">
        <f>F12*0.35</f>
        <v>71.2</v>
      </c>
      <c r="L12" s="154">
        <f t="shared" si="10"/>
        <v>69.8</v>
      </c>
      <c r="M12" s="154">
        <f t="shared" si="11"/>
        <v>344.4</v>
      </c>
      <c r="N12" s="171">
        <v>0.41</v>
      </c>
      <c r="O12" s="154">
        <f t="shared" si="12"/>
        <v>141.19999999999999</v>
      </c>
      <c r="P12" s="154">
        <f t="shared" si="13"/>
        <v>485.6</v>
      </c>
      <c r="Q12" s="154">
        <f t="shared" si="14"/>
        <v>388.5</v>
      </c>
      <c r="R12" s="154">
        <f t="shared" si="15"/>
        <v>388.5</v>
      </c>
      <c r="S12" s="154">
        <f t="shared" si="16"/>
        <v>40.4</v>
      </c>
      <c r="T12" s="154">
        <f t="shared" si="17"/>
        <v>1303</v>
      </c>
      <c r="U12" s="4032"/>
      <c r="V12" s="155">
        <f t="shared" si="0"/>
        <v>1303</v>
      </c>
      <c r="W12" s="155">
        <f t="shared" ref="W12:W22" si="20">V12*0.302</f>
        <v>393.5</v>
      </c>
      <c r="X12" s="162">
        <v>2</v>
      </c>
      <c r="Y12" s="163">
        <v>30</v>
      </c>
      <c r="Z12" s="164">
        <f t="shared" si="1"/>
        <v>60</v>
      </c>
      <c r="AA12" s="162"/>
      <c r="AB12" s="163">
        <v>15</v>
      </c>
      <c r="AC12" s="164">
        <f t="shared" si="2"/>
        <v>0</v>
      </c>
      <c r="AD12" s="162"/>
      <c r="AE12" s="163">
        <v>30</v>
      </c>
      <c r="AF12" s="164">
        <f t="shared" si="3"/>
        <v>0</v>
      </c>
      <c r="AG12" s="164">
        <f t="shared" si="4"/>
        <v>18</v>
      </c>
      <c r="AH12" s="164">
        <f t="shared" si="5"/>
        <v>78</v>
      </c>
      <c r="AI12" s="34">
        <f t="shared" si="6"/>
        <v>54291.7</v>
      </c>
      <c r="AJ12" s="34"/>
      <c r="AK12" s="34">
        <f t="shared" si="7"/>
        <v>651.5</v>
      </c>
      <c r="AL12" s="34">
        <f t="shared" si="18"/>
        <v>236.1</v>
      </c>
      <c r="AM12" s="51">
        <v>0.30199999999999999</v>
      </c>
      <c r="AQ12" s="116"/>
      <c r="AS12" s="51">
        <f t="shared" si="8"/>
        <v>12.71</v>
      </c>
    </row>
    <row r="13" spans="1:45" ht="15" x14ac:dyDescent="0.2">
      <c r="A13" s="278">
        <v>5</v>
      </c>
      <c r="B13" s="166" t="s">
        <v>15</v>
      </c>
      <c r="C13" s="174">
        <v>6</v>
      </c>
      <c r="D13" s="175">
        <v>11.061999999999999</v>
      </c>
      <c r="E13" s="171">
        <f t="shared" si="19"/>
        <v>66.37</v>
      </c>
      <c r="F13" s="154">
        <f t="shared" si="9"/>
        <v>796.4</v>
      </c>
      <c r="G13" s="154"/>
      <c r="H13" s="154"/>
      <c r="I13" s="154"/>
      <c r="J13" s="154"/>
      <c r="K13" s="154">
        <f>D13*0.2*12+D13*0.3*12+D13*0.35*12+D13*0.4*3*12</f>
        <v>272.10000000000002</v>
      </c>
      <c r="L13" s="154">
        <f t="shared" si="10"/>
        <v>273.3</v>
      </c>
      <c r="M13" s="154">
        <f t="shared" si="11"/>
        <v>1341.8</v>
      </c>
      <c r="N13" s="171">
        <v>0.43</v>
      </c>
      <c r="O13" s="154">
        <f t="shared" si="12"/>
        <v>577</v>
      </c>
      <c r="P13" s="154">
        <f t="shared" si="13"/>
        <v>1918.8</v>
      </c>
      <c r="Q13" s="154">
        <f t="shared" si="14"/>
        <v>1535</v>
      </c>
      <c r="R13" s="154">
        <f t="shared" si="15"/>
        <v>1535</v>
      </c>
      <c r="S13" s="154">
        <f t="shared" si="16"/>
        <v>159.6</v>
      </c>
      <c r="T13" s="154">
        <f t="shared" si="17"/>
        <v>5148.3999999999996</v>
      </c>
      <c r="U13" s="4032"/>
      <c r="V13" s="155">
        <f t="shared" si="0"/>
        <v>5148.3999999999996</v>
      </c>
      <c r="W13" s="155">
        <f t="shared" si="20"/>
        <v>1554.8</v>
      </c>
      <c r="X13" s="162">
        <v>5</v>
      </c>
      <c r="Y13" s="163">
        <v>30</v>
      </c>
      <c r="Z13" s="164">
        <f t="shared" si="1"/>
        <v>150</v>
      </c>
      <c r="AA13" s="162">
        <v>2</v>
      </c>
      <c r="AB13" s="163">
        <v>15</v>
      </c>
      <c r="AC13" s="164">
        <f t="shared" si="2"/>
        <v>30</v>
      </c>
      <c r="AD13" s="162"/>
      <c r="AE13" s="163">
        <v>30</v>
      </c>
      <c r="AF13" s="164">
        <f t="shared" si="3"/>
        <v>0</v>
      </c>
      <c r="AG13" s="164">
        <f t="shared" si="4"/>
        <v>54</v>
      </c>
      <c r="AH13" s="164">
        <f t="shared" si="5"/>
        <v>234</v>
      </c>
      <c r="AI13" s="34">
        <f t="shared" si="6"/>
        <v>71505.600000000006</v>
      </c>
      <c r="AJ13" s="34"/>
      <c r="AK13" s="34">
        <f t="shared" si="7"/>
        <v>858.1</v>
      </c>
      <c r="AL13" s="34">
        <f t="shared" si="18"/>
        <v>273.7</v>
      </c>
      <c r="AM13" s="51">
        <v>0.30199999999999999</v>
      </c>
      <c r="AO13" s="116"/>
      <c r="AP13" s="116"/>
      <c r="AQ13" s="116"/>
      <c r="AS13" s="51">
        <f t="shared" si="8"/>
        <v>16.593</v>
      </c>
    </row>
    <row r="14" spans="1:45" x14ac:dyDescent="0.2">
      <c r="A14" s="278">
        <v>6</v>
      </c>
      <c r="B14" s="166" t="s">
        <v>16</v>
      </c>
      <c r="C14" s="174">
        <v>17</v>
      </c>
      <c r="D14" s="175">
        <v>11.061999999999999</v>
      </c>
      <c r="E14" s="171">
        <f t="shared" si="19"/>
        <v>188.05</v>
      </c>
      <c r="F14" s="154">
        <f t="shared" si="9"/>
        <v>2256.6</v>
      </c>
      <c r="G14" s="154"/>
      <c r="H14" s="154"/>
      <c r="I14" s="154"/>
      <c r="J14" s="154"/>
      <c r="K14" s="154">
        <f>D14*0.3*12+D14*0.4*12</f>
        <v>92.9</v>
      </c>
      <c r="L14" s="154">
        <f t="shared" si="10"/>
        <v>774.3</v>
      </c>
      <c r="M14" s="154">
        <f t="shared" si="11"/>
        <v>3123.8</v>
      </c>
      <c r="N14" s="171">
        <v>0.43</v>
      </c>
      <c r="O14" s="154">
        <f t="shared" si="12"/>
        <v>1343.2</v>
      </c>
      <c r="P14" s="154">
        <f t="shared" si="13"/>
        <v>4467</v>
      </c>
      <c r="Q14" s="154">
        <f t="shared" si="14"/>
        <v>3573.6</v>
      </c>
      <c r="R14" s="154">
        <f t="shared" si="15"/>
        <v>3573.6</v>
      </c>
      <c r="S14" s="154">
        <f t="shared" si="16"/>
        <v>371.7</v>
      </c>
      <c r="T14" s="154">
        <f t="shared" si="17"/>
        <v>11985.9</v>
      </c>
      <c r="U14" s="4032"/>
      <c r="V14" s="155">
        <f t="shared" si="0"/>
        <v>11985.9</v>
      </c>
      <c r="W14" s="155">
        <f t="shared" si="20"/>
        <v>3619.7</v>
      </c>
      <c r="X14" s="162">
        <v>10</v>
      </c>
      <c r="Y14" s="163">
        <v>30</v>
      </c>
      <c r="Z14" s="164">
        <f t="shared" si="1"/>
        <v>300</v>
      </c>
      <c r="AA14" s="162">
        <v>3</v>
      </c>
      <c r="AB14" s="163">
        <v>15</v>
      </c>
      <c r="AC14" s="164">
        <f t="shared" si="2"/>
        <v>45</v>
      </c>
      <c r="AD14" s="162">
        <v>3</v>
      </c>
      <c r="AE14" s="163">
        <v>30</v>
      </c>
      <c r="AF14" s="164">
        <f t="shared" si="3"/>
        <v>90</v>
      </c>
      <c r="AG14" s="164">
        <f t="shared" si="4"/>
        <v>130.5</v>
      </c>
      <c r="AH14" s="164">
        <f t="shared" si="5"/>
        <v>565.5</v>
      </c>
      <c r="AI14" s="34">
        <f t="shared" si="6"/>
        <v>58754.400000000001</v>
      </c>
      <c r="AJ14" s="34"/>
      <c r="AK14" s="34">
        <f t="shared" si="7"/>
        <v>705.1</v>
      </c>
      <c r="AL14" s="34">
        <f t="shared" si="18"/>
        <v>245.8</v>
      </c>
      <c r="AM14" s="51">
        <v>0.30199999999999999</v>
      </c>
      <c r="AS14" s="51">
        <f t="shared" si="8"/>
        <v>16.593</v>
      </c>
    </row>
    <row r="15" spans="1:45" ht="15" x14ac:dyDescent="0.2">
      <c r="A15" s="278">
        <v>7</v>
      </c>
      <c r="B15" s="176" t="s">
        <v>36</v>
      </c>
      <c r="C15" s="167">
        <f>69.5-0.5</f>
        <v>69</v>
      </c>
      <c r="D15" s="177">
        <v>8.4730000000000008</v>
      </c>
      <c r="E15" s="171">
        <f>C15*D15</f>
        <v>584.64</v>
      </c>
      <c r="F15" s="154">
        <f t="shared" si="9"/>
        <v>7015.7</v>
      </c>
      <c r="G15" s="154"/>
      <c r="H15" s="154"/>
      <c r="I15" s="154"/>
      <c r="J15" s="154">
        <f>D15*5.05*12</f>
        <v>513.5</v>
      </c>
      <c r="K15" s="154">
        <f>D15*0.2*12+D15*0.05*4+D15*0.25*8+D15*0.05*16+D15*0.3*11+D15*0.05*31+D15*0.35*12+D15*0.4*12*12</f>
        <v>610.5</v>
      </c>
      <c r="L15" s="154">
        <f t="shared" si="10"/>
        <v>2407.1999999999998</v>
      </c>
      <c r="M15" s="154">
        <f t="shared" si="11"/>
        <v>10546.9</v>
      </c>
      <c r="N15" s="171">
        <v>0.41</v>
      </c>
      <c r="O15" s="154">
        <f t="shared" si="12"/>
        <v>4324.2</v>
      </c>
      <c r="P15" s="154">
        <f t="shared" si="13"/>
        <v>14871.1</v>
      </c>
      <c r="Q15" s="154">
        <f t="shared" si="14"/>
        <v>11896.9</v>
      </c>
      <c r="R15" s="154">
        <f t="shared" si="15"/>
        <v>11896.9</v>
      </c>
      <c r="S15" s="154">
        <f t="shared" si="16"/>
        <v>1237.3</v>
      </c>
      <c r="T15" s="154">
        <f t="shared" si="17"/>
        <v>39902.199999999997</v>
      </c>
      <c r="U15" s="4032"/>
      <c r="V15" s="155">
        <f>T15*$U$9</f>
        <v>39902.199999999997</v>
      </c>
      <c r="W15" s="155">
        <f t="shared" si="20"/>
        <v>12050.5</v>
      </c>
      <c r="X15" s="278">
        <v>41</v>
      </c>
      <c r="Y15" s="24">
        <v>30</v>
      </c>
      <c r="Z15" s="48">
        <f t="shared" si="1"/>
        <v>1230</v>
      </c>
      <c r="AA15" s="54">
        <v>15</v>
      </c>
      <c r="AB15" s="24">
        <v>15</v>
      </c>
      <c r="AC15" s="48">
        <f t="shared" si="2"/>
        <v>225</v>
      </c>
      <c r="AD15" s="54">
        <v>12</v>
      </c>
      <c r="AE15" s="24">
        <v>30</v>
      </c>
      <c r="AF15" s="48">
        <f t="shared" si="3"/>
        <v>360</v>
      </c>
      <c r="AG15" s="48">
        <f t="shared" si="4"/>
        <v>544.5</v>
      </c>
      <c r="AH15" s="48">
        <f t="shared" si="5"/>
        <v>2359.5</v>
      </c>
      <c r="AI15" s="34">
        <f t="shared" si="6"/>
        <v>48191.1</v>
      </c>
      <c r="AJ15" s="34"/>
      <c r="AK15" s="34">
        <f t="shared" si="7"/>
        <v>578.29999999999995</v>
      </c>
      <c r="AL15" s="34">
        <f t="shared" si="18"/>
        <v>222.7</v>
      </c>
      <c r="AM15" s="51">
        <v>0.30199999999999999</v>
      </c>
      <c r="AO15" s="116"/>
      <c r="AP15" s="116"/>
      <c r="AQ15" s="116"/>
      <c r="AS15" s="51">
        <f t="shared" si="8"/>
        <v>12.71</v>
      </c>
    </row>
    <row r="16" spans="1:45" ht="15" x14ac:dyDescent="0.2">
      <c r="A16" s="278">
        <v>8</v>
      </c>
      <c r="B16" s="176" t="s">
        <v>37</v>
      </c>
      <c r="C16" s="167">
        <v>6</v>
      </c>
      <c r="D16" s="177">
        <v>8.4730000000000008</v>
      </c>
      <c r="E16" s="171">
        <f>C16*D16</f>
        <v>50.84</v>
      </c>
      <c r="F16" s="154">
        <f t="shared" si="9"/>
        <v>610.1</v>
      </c>
      <c r="G16" s="154"/>
      <c r="H16" s="154"/>
      <c r="I16" s="154"/>
      <c r="J16" s="154">
        <f>D16*0.2*12</f>
        <v>20.3</v>
      </c>
      <c r="K16" s="154">
        <f>D16*0.4*12</f>
        <v>40.700000000000003</v>
      </c>
      <c r="L16" s="154">
        <f t="shared" si="10"/>
        <v>209.3</v>
      </c>
      <c r="M16" s="154">
        <f t="shared" si="11"/>
        <v>880.4</v>
      </c>
      <c r="N16" s="171">
        <v>0.41</v>
      </c>
      <c r="O16" s="154">
        <f t="shared" si="12"/>
        <v>361</v>
      </c>
      <c r="P16" s="154">
        <f t="shared" si="13"/>
        <v>1241.4000000000001</v>
      </c>
      <c r="Q16" s="154">
        <f t="shared" si="14"/>
        <v>993.1</v>
      </c>
      <c r="R16" s="154">
        <f t="shared" si="15"/>
        <v>993.1</v>
      </c>
      <c r="S16" s="154">
        <f t="shared" si="16"/>
        <v>103.3</v>
      </c>
      <c r="T16" s="154">
        <f t="shared" si="17"/>
        <v>3330.9</v>
      </c>
      <c r="U16" s="4032"/>
      <c r="V16" s="155">
        <f t="shared" si="0"/>
        <v>3330.9</v>
      </c>
      <c r="W16" s="155">
        <f t="shared" si="20"/>
        <v>1005.9</v>
      </c>
      <c r="X16" s="278"/>
      <c r="Y16" s="24">
        <v>30</v>
      </c>
      <c r="Z16" s="48">
        <f t="shared" si="1"/>
        <v>0</v>
      </c>
      <c r="AA16" s="54"/>
      <c r="AB16" s="24">
        <v>15</v>
      </c>
      <c r="AC16" s="48">
        <f t="shared" si="2"/>
        <v>0</v>
      </c>
      <c r="AD16" s="54"/>
      <c r="AE16" s="24">
        <v>30</v>
      </c>
      <c r="AF16" s="48">
        <f t="shared" si="3"/>
        <v>0</v>
      </c>
      <c r="AG16" s="48">
        <f t="shared" si="4"/>
        <v>0</v>
      </c>
      <c r="AH16" s="48">
        <f t="shared" si="5"/>
        <v>0</v>
      </c>
      <c r="AI16" s="34">
        <f t="shared" si="6"/>
        <v>46262.5</v>
      </c>
      <c r="AJ16" s="34"/>
      <c r="AK16" s="34">
        <f t="shared" si="7"/>
        <v>555.20000000000005</v>
      </c>
      <c r="AL16" s="34">
        <f t="shared" si="18"/>
        <v>218.5</v>
      </c>
      <c r="AM16" s="51">
        <v>0.30199999999999999</v>
      </c>
      <c r="AN16" s="116"/>
      <c r="AO16" s="116"/>
      <c r="AP16" s="116"/>
      <c r="AQ16" s="116"/>
      <c r="AS16" s="51">
        <f t="shared" si="8"/>
        <v>12.71</v>
      </c>
    </row>
    <row r="17" spans="1:45" x14ac:dyDescent="0.2">
      <c r="A17" s="278">
        <v>9</v>
      </c>
      <c r="B17" s="176" t="s">
        <v>19</v>
      </c>
      <c r="C17" s="167">
        <v>5</v>
      </c>
      <c r="D17" s="177">
        <v>8.4730000000000008</v>
      </c>
      <c r="E17" s="171">
        <f>C17*D17</f>
        <v>42.37</v>
      </c>
      <c r="F17" s="154">
        <f t="shared" si="9"/>
        <v>508.4</v>
      </c>
      <c r="G17" s="154"/>
      <c r="H17" s="154"/>
      <c r="I17" s="154"/>
      <c r="J17" s="154">
        <f>D17*1.25*12</f>
        <v>127.1</v>
      </c>
      <c r="K17" s="154">
        <f>D17*0.3*12+D17*0.35*2*12+D17*0.05*11+D17*0.4*2</f>
        <v>113.1</v>
      </c>
      <c r="L17" s="154">
        <f t="shared" si="10"/>
        <v>174.4</v>
      </c>
      <c r="M17" s="154">
        <f t="shared" si="11"/>
        <v>923</v>
      </c>
      <c r="N17" s="171">
        <v>0.41</v>
      </c>
      <c r="O17" s="154">
        <f t="shared" si="12"/>
        <v>378.4</v>
      </c>
      <c r="P17" s="154">
        <f t="shared" si="13"/>
        <v>1301.4000000000001</v>
      </c>
      <c r="Q17" s="154">
        <f t="shared" si="14"/>
        <v>1041.0999999999999</v>
      </c>
      <c r="R17" s="154">
        <f t="shared" si="15"/>
        <v>1041.0999999999999</v>
      </c>
      <c r="S17" s="154">
        <f t="shared" si="16"/>
        <v>108.3</v>
      </c>
      <c r="T17" s="154">
        <f t="shared" si="17"/>
        <v>3491.9</v>
      </c>
      <c r="U17" s="4032"/>
      <c r="V17" s="155">
        <f t="shared" si="0"/>
        <v>3491.9</v>
      </c>
      <c r="W17" s="155">
        <f t="shared" si="20"/>
        <v>1054.5999999999999</v>
      </c>
      <c r="X17" s="278">
        <v>3</v>
      </c>
      <c r="Y17" s="24">
        <v>30</v>
      </c>
      <c r="Z17" s="48">
        <f t="shared" si="1"/>
        <v>90</v>
      </c>
      <c r="AA17" s="54">
        <v>2</v>
      </c>
      <c r="AB17" s="24">
        <v>15</v>
      </c>
      <c r="AC17" s="48">
        <f t="shared" si="2"/>
        <v>30</v>
      </c>
      <c r="AD17" s="54"/>
      <c r="AE17" s="24">
        <v>30</v>
      </c>
      <c r="AF17" s="48">
        <f t="shared" si="3"/>
        <v>0</v>
      </c>
      <c r="AG17" s="48">
        <f t="shared" si="4"/>
        <v>36</v>
      </c>
      <c r="AH17" s="48">
        <f t="shared" si="5"/>
        <v>156</v>
      </c>
      <c r="AI17" s="34">
        <f t="shared" si="6"/>
        <v>58198.3</v>
      </c>
      <c r="AJ17" s="34"/>
      <c r="AK17" s="34">
        <f t="shared" si="7"/>
        <v>698.4</v>
      </c>
      <c r="AL17" s="34">
        <f t="shared" si="18"/>
        <v>244.6</v>
      </c>
      <c r="AM17" s="51">
        <v>0.30199999999999999</v>
      </c>
      <c r="AS17" s="51">
        <f t="shared" si="8"/>
        <v>12.71</v>
      </c>
    </row>
    <row r="18" spans="1:45" ht="25.5" x14ac:dyDescent="0.2">
      <c r="A18" s="278">
        <v>10</v>
      </c>
      <c r="B18" s="44" t="s">
        <v>131</v>
      </c>
      <c r="C18" s="167">
        <v>1</v>
      </c>
      <c r="D18" s="177">
        <v>8.4730000000000008</v>
      </c>
      <c r="E18" s="171">
        <f>C18*D18</f>
        <v>8.4700000000000006</v>
      </c>
      <c r="F18" s="154">
        <f t="shared" si="9"/>
        <v>101.6</v>
      </c>
      <c r="G18" s="154"/>
      <c r="H18" s="154"/>
      <c r="I18" s="154"/>
      <c r="J18" s="154"/>
      <c r="K18" s="154">
        <f>F18*0.4</f>
        <v>40.6</v>
      </c>
      <c r="L18" s="154">
        <f t="shared" si="10"/>
        <v>34.9</v>
      </c>
      <c r="M18" s="154">
        <f t="shared" si="11"/>
        <v>177.1</v>
      </c>
      <c r="N18" s="171">
        <v>0.41</v>
      </c>
      <c r="O18" s="154">
        <f t="shared" si="12"/>
        <v>72.599999999999994</v>
      </c>
      <c r="P18" s="154">
        <f t="shared" si="13"/>
        <v>249.7</v>
      </c>
      <c r="Q18" s="154">
        <f t="shared" si="14"/>
        <v>199.8</v>
      </c>
      <c r="R18" s="154">
        <f t="shared" si="15"/>
        <v>199.8</v>
      </c>
      <c r="S18" s="154">
        <f t="shared" si="16"/>
        <v>20.8</v>
      </c>
      <c r="T18" s="154">
        <f t="shared" si="17"/>
        <v>670.1</v>
      </c>
      <c r="U18" s="4032"/>
      <c r="V18" s="155">
        <f t="shared" si="0"/>
        <v>670.1</v>
      </c>
      <c r="W18" s="155">
        <f t="shared" si="20"/>
        <v>202.4</v>
      </c>
      <c r="X18" s="278">
        <v>1</v>
      </c>
      <c r="Y18" s="24">
        <v>35</v>
      </c>
      <c r="Z18" s="48">
        <f t="shared" si="1"/>
        <v>35</v>
      </c>
      <c r="AA18" s="54"/>
      <c r="AB18" s="24">
        <v>17.5</v>
      </c>
      <c r="AC18" s="48">
        <f t="shared" si="2"/>
        <v>0</v>
      </c>
      <c r="AD18" s="54"/>
      <c r="AE18" s="24">
        <v>35</v>
      </c>
      <c r="AF18" s="48">
        <f t="shared" si="3"/>
        <v>0</v>
      </c>
      <c r="AG18" s="48">
        <f t="shared" si="4"/>
        <v>10.5</v>
      </c>
      <c r="AH18" s="48">
        <f t="shared" si="5"/>
        <v>45.5</v>
      </c>
      <c r="AI18" s="34">
        <f t="shared" si="6"/>
        <v>55841.7</v>
      </c>
      <c r="AJ18" s="34"/>
      <c r="AK18" s="34">
        <f t="shared" si="7"/>
        <v>670.1</v>
      </c>
      <c r="AL18" s="34">
        <f t="shared" si="18"/>
        <v>239.4</v>
      </c>
      <c r="AM18" s="51">
        <v>0.30199999999999999</v>
      </c>
      <c r="AS18" s="51">
        <f t="shared" si="8"/>
        <v>12.71</v>
      </c>
    </row>
    <row r="19" spans="1:45" x14ac:dyDescent="0.2">
      <c r="A19" s="278">
        <v>11</v>
      </c>
      <c r="B19" s="178" t="s">
        <v>104</v>
      </c>
      <c r="C19" s="179">
        <v>1</v>
      </c>
      <c r="D19" s="177">
        <v>8.4730000000000008</v>
      </c>
      <c r="E19" s="171">
        <f t="shared" si="19"/>
        <v>8.4700000000000006</v>
      </c>
      <c r="F19" s="154">
        <f t="shared" si="9"/>
        <v>101.6</v>
      </c>
      <c r="G19" s="154"/>
      <c r="H19" s="154"/>
      <c r="I19" s="154"/>
      <c r="J19" s="154"/>
      <c r="K19" s="154">
        <f>F19*0.4</f>
        <v>40.6</v>
      </c>
      <c r="L19" s="154">
        <f t="shared" si="10"/>
        <v>34.9</v>
      </c>
      <c r="M19" s="154">
        <f t="shared" si="11"/>
        <v>177.1</v>
      </c>
      <c r="N19" s="171">
        <v>0.41</v>
      </c>
      <c r="O19" s="154">
        <f t="shared" si="12"/>
        <v>72.599999999999994</v>
      </c>
      <c r="P19" s="154">
        <f t="shared" si="13"/>
        <v>249.7</v>
      </c>
      <c r="Q19" s="154">
        <f t="shared" si="14"/>
        <v>199.8</v>
      </c>
      <c r="R19" s="154">
        <f t="shared" si="15"/>
        <v>199.8</v>
      </c>
      <c r="S19" s="154">
        <f t="shared" si="16"/>
        <v>20.8</v>
      </c>
      <c r="T19" s="154">
        <f t="shared" si="17"/>
        <v>670.1</v>
      </c>
      <c r="U19" s="4032"/>
      <c r="V19" s="155">
        <f t="shared" si="0"/>
        <v>670.1</v>
      </c>
      <c r="W19" s="155">
        <f t="shared" si="20"/>
        <v>202.4</v>
      </c>
      <c r="X19" s="278">
        <v>1</v>
      </c>
      <c r="Y19" s="24">
        <v>30</v>
      </c>
      <c r="Z19" s="48">
        <f t="shared" si="1"/>
        <v>30</v>
      </c>
      <c r="AA19" s="54"/>
      <c r="AB19" s="24">
        <v>15</v>
      </c>
      <c r="AC19" s="48">
        <f t="shared" si="2"/>
        <v>0</v>
      </c>
      <c r="AD19" s="54"/>
      <c r="AE19" s="24">
        <v>30</v>
      </c>
      <c r="AF19" s="48">
        <f t="shared" si="3"/>
        <v>0</v>
      </c>
      <c r="AG19" s="48">
        <f t="shared" si="4"/>
        <v>9</v>
      </c>
      <c r="AH19" s="48">
        <f t="shared" si="5"/>
        <v>39</v>
      </c>
      <c r="AI19" s="34">
        <f t="shared" si="6"/>
        <v>55841.7</v>
      </c>
      <c r="AJ19" s="34"/>
      <c r="AK19" s="34">
        <f t="shared" si="7"/>
        <v>670.1</v>
      </c>
      <c r="AL19" s="34">
        <f t="shared" si="18"/>
        <v>239.4</v>
      </c>
      <c r="AM19" s="51">
        <v>0.30199999999999999</v>
      </c>
      <c r="AS19" s="51">
        <f t="shared" si="8"/>
        <v>12.71</v>
      </c>
    </row>
    <row r="20" spans="1:45" x14ac:dyDescent="0.2">
      <c r="A20" s="278">
        <v>12</v>
      </c>
      <c r="B20" s="176" t="s">
        <v>20</v>
      </c>
      <c r="C20" s="180">
        <v>2</v>
      </c>
      <c r="D20" s="177">
        <v>8.4730000000000008</v>
      </c>
      <c r="E20" s="171">
        <f t="shared" si="19"/>
        <v>16.95</v>
      </c>
      <c r="F20" s="154">
        <f t="shared" si="9"/>
        <v>203.4</v>
      </c>
      <c r="G20" s="154"/>
      <c r="H20" s="154"/>
      <c r="I20" s="154"/>
      <c r="J20" s="154">
        <f>D20*0.1*12</f>
        <v>10.199999999999999</v>
      </c>
      <c r="K20" s="154">
        <f>D20*0.35*12</f>
        <v>35.6</v>
      </c>
      <c r="L20" s="154">
        <f t="shared" si="10"/>
        <v>69.8</v>
      </c>
      <c r="M20" s="154">
        <f t="shared" si="11"/>
        <v>319</v>
      </c>
      <c r="N20" s="171">
        <v>0.41</v>
      </c>
      <c r="O20" s="154">
        <f t="shared" si="12"/>
        <v>130.80000000000001</v>
      </c>
      <c r="P20" s="154">
        <f t="shared" si="13"/>
        <v>449.8</v>
      </c>
      <c r="Q20" s="154">
        <f t="shared" si="14"/>
        <v>359.8</v>
      </c>
      <c r="R20" s="154">
        <f t="shared" si="15"/>
        <v>359.8</v>
      </c>
      <c r="S20" s="154">
        <f t="shared" si="16"/>
        <v>37.4</v>
      </c>
      <c r="T20" s="154">
        <f t="shared" si="17"/>
        <v>1206.8</v>
      </c>
      <c r="U20" s="4032"/>
      <c r="V20" s="155">
        <f t="shared" si="0"/>
        <v>1206.8</v>
      </c>
      <c r="W20" s="155">
        <f t="shared" si="20"/>
        <v>364.5</v>
      </c>
      <c r="X20" s="278">
        <v>1</v>
      </c>
      <c r="Y20" s="24">
        <v>30</v>
      </c>
      <c r="Z20" s="48">
        <f t="shared" si="1"/>
        <v>30</v>
      </c>
      <c r="AA20" s="278">
        <v>1</v>
      </c>
      <c r="AB20" s="24">
        <v>15</v>
      </c>
      <c r="AC20" s="48">
        <f t="shared" si="2"/>
        <v>15</v>
      </c>
      <c r="AD20" s="278"/>
      <c r="AE20" s="24">
        <v>30</v>
      </c>
      <c r="AF20" s="48">
        <f t="shared" si="3"/>
        <v>0</v>
      </c>
      <c r="AG20" s="48">
        <f t="shared" si="4"/>
        <v>13.5</v>
      </c>
      <c r="AH20" s="48">
        <f t="shared" si="5"/>
        <v>58.5</v>
      </c>
      <c r="AI20" s="34">
        <f t="shared" si="6"/>
        <v>50283.3</v>
      </c>
      <c r="AJ20" s="34"/>
      <c r="AK20" s="34">
        <f t="shared" si="7"/>
        <v>603.4</v>
      </c>
      <c r="AL20" s="34">
        <f t="shared" si="18"/>
        <v>227.3</v>
      </c>
      <c r="AM20" s="51">
        <v>0.30199999999999999</v>
      </c>
      <c r="AS20" s="51">
        <f t="shared" si="8"/>
        <v>12.71</v>
      </c>
    </row>
    <row r="21" spans="1:45" ht="25.5" x14ac:dyDescent="0.2">
      <c r="A21" s="278">
        <v>13</v>
      </c>
      <c r="B21" s="181" t="s">
        <v>106</v>
      </c>
      <c r="C21" s="172">
        <v>12</v>
      </c>
      <c r="D21" s="182">
        <v>8.4730000000000008</v>
      </c>
      <c r="E21" s="171">
        <f t="shared" si="19"/>
        <v>101.68</v>
      </c>
      <c r="F21" s="154">
        <f t="shared" si="9"/>
        <v>1220.2</v>
      </c>
      <c r="G21" s="154"/>
      <c r="H21" s="154"/>
      <c r="I21" s="154"/>
      <c r="J21" s="154"/>
      <c r="K21" s="154">
        <f>D21*0.2*12+D21*0.4*12+D21*0.2*30</f>
        <v>111.8</v>
      </c>
      <c r="L21" s="154">
        <f t="shared" si="10"/>
        <v>418.7</v>
      </c>
      <c r="M21" s="154">
        <f t="shared" si="11"/>
        <v>1750.7</v>
      </c>
      <c r="N21" s="171">
        <v>0.47</v>
      </c>
      <c r="O21" s="154">
        <f t="shared" si="12"/>
        <v>822.8</v>
      </c>
      <c r="P21" s="154">
        <f t="shared" si="13"/>
        <v>2573.5</v>
      </c>
      <c r="Q21" s="154">
        <f t="shared" si="14"/>
        <v>2058.8000000000002</v>
      </c>
      <c r="R21" s="154">
        <f t="shared" si="15"/>
        <v>2058.8000000000002</v>
      </c>
      <c r="S21" s="154">
        <f t="shared" si="16"/>
        <v>214.1</v>
      </c>
      <c r="T21" s="154">
        <f t="shared" si="17"/>
        <v>6905.2</v>
      </c>
      <c r="U21" s="4032"/>
      <c r="V21" s="155">
        <f t="shared" si="0"/>
        <v>6905.2</v>
      </c>
      <c r="W21" s="155">
        <f t="shared" si="20"/>
        <v>2085.4</v>
      </c>
      <c r="X21" s="272">
        <v>10</v>
      </c>
      <c r="Y21" s="163">
        <v>30</v>
      </c>
      <c r="Z21" s="164">
        <f t="shared" si="1"/>
        <v>300</v>
      </c>
      <c r="AA21" s="272">
        <v>6</v>
      </c>
      <c r="AB21" s="163">
        <v>15</v>
      </c>
      <c r="AC21" s="164">
        <f t="shared" si="2"/>
        <v>90</v>
      </c>
      <c r="AD21" s="272"/>
      <c r="AE21" s="163">
        <v>30</v>
      </c>
      <c r="AF21" s="164">
        <f t="shared" si="3"/>
        <v>0</v>
      </c>
      <c r="AG21" s="164">
        <f t="shared" si="4"/>
        <v>117</v>
      </c>
      <c r="AH21" s="164">
        <f t="shared" si="5"/>
        <v>507</v>
      </c>
      <c r="AI21" s="34">
        <f t="shared" si="6"/>
        <v>47952.800000000003</v>
      </c>
      <c r="AJ21" s="34"/>
      <c r="AK21" s="34">
        <f t="shared" si="7"/>
        <v>575.4</v>
      </c>
      <c r="AL21" s="34">
        <f t="shared" si="18"/>
        <v>222.2</v>
      </c>
      <c r="AM21" s="51">
        <v>0.30199999999999999</v>
      </c>
      <c r="AS21" s="51">
        <f t="shared" si="8"/>
        <v>12.71</v>
      </c>
    </row>
    <row r="22" spans="1:45" s="188" customFormat="1" x14ac:dyDescent="0.2">
      <c r="A22" s="278">
        <v>14</v>
      </c>
      <c r="B22" s="106" t="s">
        <v>107</v>
      </c>
      <c r="C22" s="172">
        <f>2-1</f>
        <v>1</v>
      </c>
      <c r="D22" s="183">
        <v>4.3769999999999998</v>
      </c>
      <c r="E22" s="184">
        <f t="shared" si="19"/>
        <v>4.38</v>
      </c>
      <c r="F22" s="185">
        <f t="shared" si="9"/>
        <v>52.6</v>
      </c>
      <c r="G22" s="155"/>
      <c r="H22" s="155"/>
      <c r="I22" s="155"/>
      <c r="J22" s="155"/>
      <c r="K22" s="155"/>
      <c r="L22" s="154">
        <v>38.299999999999997</v>
      </c>
      <c r="M22" s="186">
        <f t="shared" si="11"/>
        <v>90.9</v>
      </c>
      <c r="N22" s="184">
        <v>0.47</v>
      </c>
      <c r="O22" s="186">
        <f t="shared" si="12"/>
        <v>42.7</v>
      </c>
      <c r="P22" s="186">
        <f t="shared" si="13"/>
        <v>133.6</v>
      </c>
      <c r="Q22" s="186">
        <f t="shared" si="14"/>
        <v>106.9</v>
      </c>
      <c r="R22" s="155">
        <f t="shared" si="15"/>
        <v>106.9</v>
      </c>
      <c r="S22" s="186">
        <f t="shared" si="16"/>
        <v>11.1</v>
      </c>
      <c r="T22" s="186">
        <f t="shared" si="17"/>
        <v>358.5</v>
      </c>
      <c r="U22" s="4033"/>
      <c r="V22" s="186">
        <f>T22*$U$9</f>
        <v>358.5</v>
      </c>
      <c r="W22" s="155">
        <f t="shared" si="20"/>
        <v>108.3</v>
      </c>
      <c r="X22" s="278">
        <v>1</v>
      </c>
      <c r="Y22" s="24">
        <v>30</v>
      </c>
      <c r="Z22" s="48">
        <f t="shared" si="1"/>
        <v>30</v>
      </c>
      <c r="AA22" s="278"/>
      <c r="AB22" s="24">
        <v>15</v>
      </c>
      <c r="AC22" s="48">
        <f t="shared" si="2"/>
        <v>0</v>
      </c>
      <c r="AD22" s="278">
        <v>1</v>
      </c>
      <c r="AE22" s="24">
        <v>30</v>
      </c>
      <c r="AF22" s="48">
        <f t="shared" si="3"/>
        <v>30</v>
      </c>
      <c r="AG22" s="48">
        <f t="shared" si="4"/>
        <v>18</v>
      </c>
      <c r="AH22" s="48">
        <f t="shared" si="5"/>
        <v>78</v>
      </c>
      <c r="AI22" s="34">
        <f t="shared" si="6"/>
        <v>29875</v>
      </c>
      <c r="AJ22" s="187"/>
      <c r="AK22" s="34">
        <f t="shared" si="7"/>
        <v>358.5</v>
      </c>
      <c r="AL22" s="34">
        <f t="shared" si="18"/>
        <v>182.7</v>
      </c>
      <c r="AM22" s="51">
        <v>0.30199999999999999</v>
      </c>
      <c r="AN22" s="22"/>
      <c r="AO22" s="22"/>
      <c r="AP22" s="22"/>
      <c r="AQ22" s="22"/>
      <c r="AS22" s="51">
        <f t="shared" si="8"/>
        <v>6.5659999999999998</v>
      </c>
    </row>
    <row r="23" spans="1:45" s="33" customFormat="1" ht="20.25" customHeight="1" x14ac:dyDescent="0.2">
      <c r="A23" s="4034" t="s">
        <v>72</v>
      </c>
      <c r="B23" s="4034"/>
      <c r="C23" s="189">
        <f t="shared" ref="C23:AH23" si="21">SUM(C9:C22)</f>
        <v>126</v>
      </c>
      <c r="D23" s="156">
        <f t="shared" si="21"/>
        <v>141.6</v>
      </c>
      <c r="E23" s="156">
        <f t="shared" si="21"/>
        <v>1152.5999999999999</v>
      </c>
      <c r="F23" s="156">
        <f t="shared" si="21"/>
        <v>13830.6</v>
      </c>
      <c r="G23" s="156">
        <f t="shared" si="21"/>
        <v>0</v>
      </c>
      <c r="H23" s="156">
        <f t="shared" si="21"/>
        <v>0</v>
      </c>
      <c r="I23" s="156">
        <f t="shared" si="21"/>
        <v>48</v>
      </c>
      <c r="J23" s="156">
        <f t="shared" si="21"/>
        <v>671.1</v>
      </c>
      <c r="K23" s="156">
        <f t="shared" si="21"/>
        <v>1675.5</v>
      </c>
      <c r="L23" s="156">
        <f t="shared" si="21"/>
        <v>4765.8999999999996</v>
      </c>
      <c r="M23" s="156">
        <f t="shared" si="21"/>
        <v>20991.1</v>
      </c>
      <c r="N23" s="156"/>
      <c r="O23" s="156">
        <f t="shared" si="21"/>
        <v>8876.2999999999993</v>
      </c>
      <c r="P23" s="156">
        <f t="shared" si="21"/>
        <v>29867.4</v>
      </c>
      <c r="Q23" s="156">
        <f t="shared" si="21"/>
        <v>23893.9</v>
      </c>
      <c r="R23" s="156">
        <f t="shared" si="21"/>
        <v>23893.9</v>
      </c>
      <c r="S23" s="156">
        <f t="shared" si="21"/>
        <v>2485</v>
      </c>
      <c r="T23" s="156">
        <f t="shared" si="21"/>
        <v>80140.2</v>
      </c>
      <c r="U23" s="156">
        <f t="shared" si="21"/>
        <v>1</v>
      </c>
      <c r="V23" s="156">
        <f t="shared" si="21"/>
        <v>80140.2</v>
      </c>
      <c r="W23" s="156">
        <f>SUM(W9:W22)</f>
        <v>24003.599999999999</v>
      </c>
      <c r="X23" s="156">
        <f>SUM(X9:X22)</f>
        <v>75</v>
      </c>
      <c r="Y23" s="156">
        <f t="shared" si="21"/>
        <v>425</v>
      </c>
      <c r="Z23" s="190">
        <f t="shared" si="21"/>
        <v>2255</v>
      </c>
      <c r="AA23" s="156">
        <f t="shared" si="21"/>
        <v>30</v>
      </c>
      <c r="AB23" s="156">
        <f t="shared" si="21"/>
        <v>212.5</v>
      </c>
      <c r="AC23" s="190">
        <f t="shared" si="21"/>
        <v>450</v>
      </c>
      <c r="AD23" s="156">
        <f t="shared" si="21"/>
        <v>16</v>
      </c>
      <c r="AE23" s="156">
        <f t="shared" si="21"/>
        <v>425</v>
      </c>
      <c r="AF23" s="190">
        <f t="shared" si="21"/>
        <v>480</v>
      </c>
      <c r="AG23" s="190">
        <f t="shared" si="21"/>
        <v>955.5</v>
      </c>
      <c r="AH23" s="190">
        <f t="shared" si="21"/>
        <v>4140.5</v>
      </c>
      <c r="AI23" s="34"/>
      <c r="AJ23" s="187"/>
      <c r="AK23" s="34"/>
      <c r="AL23" s="34"/>
      <c r="AM23" s="51"/>
      <c r="AN23" s="22"/>
      <c r="AO23" s="22"/>
      <c r="AP23" s="22"/>
      <c r="AQ23" s="22"/>
      <c r="AS23" s="51"/>
    </row>
    <row r="24" spans="1:45" s="192" customFormat="1" ht="14.25" customHeight="1" x14ac:dyDescent="0.2">
      <c r="A24" s="33"/>
      <c r="B24" s="22"/>
      <c r="C24" s="191"/>
      <c r="D24" s="22"/>
      <c r="E24" s="22"/>
      <c r="F24" s="22"/>
      <c r="G24" s="39"/>
      <c r="H24" s="39"/>
      <c r="I24" s="39"/>
      <c r="J24" s="39"/>
      <c r="K24" s="39"/>
      <c r="L24" s="39"/>
      <c r="M24" s="39"/>
      <c r="N24" s="39"/>
      <c r="O24" s="39"/>
      <c r="P24" s="39"/>
      <c r="Q24" s="39"/>
      <c r="R24" s="39"/>
      <c r="S24" s="39"/>
      <c r="T24" s="39"/>
      <c r="U24" s="22"/>
      <c r="V24" s="34"/>
      <c r="W24" s="66"/>
      <c r="X24" s="39"/>
      <c r="Y24" s="22"/>
      <c r="Z24" s="22"/>
      <c r="AA24" s="39"/>
      <c r="AB24" s="22"/>
      <c r="AC24" s="22"/>
      <c r="AD24" s="39"/>
      <c r="AE24" s="22"/>
      <c r="AF24" s="22"/>
      <c r="AG24" s="39"/>
      <c r="AH24" s="39"/>
      <c r="AI24" s="34"/>
      <c r="AJ24" s="187"/>
      <c r="AK24" s="34"/>
      <c r="AL24" s="34"/>
      <c r="AM24" s="51"/>
      <c r="AN24" s="22"/>
      <c r="AO24" s="22"/>
      <c r="AP24" s="22"/>
      <c r="AQ24" s="22"/>
      <c r="AS24" s="51"/>
    </row>
    <row r="25" spans="1:45" s="192" customFormat="1" ht="14.25" customHeight="1" x14ac:dyDescent="0.2">
      <c r="A25" s="33"/>
      <c r="B25" s="22"/>
      <c r="C25" s="191"/>
      <c r="D25" s="22"/>
      <c r="E25" s="22"/>
      <c r="F25" s="22"/>
      <c r="G25" s="39"/>
      <c r="H25" s="39"/>
      <c r="I25" s="39"/>
      <c r="J25" s="39"/>
      <c r="K25" s="39"/>
      <c r="L25" s="39"/>
      <c r="M25" s="39"/>
      <c r="N25" s="39"/>
      <c r="O25" s="39"/>
      <c r="P25" s="39"/>
      <c r="Q25" s="39"/>
      <c r="R25" s="39"/>
      <c r="S25" s="39"/>
      <c r="T25" s="39"/>
      <c r="U25" s="22"/>
      <c r="V25" s="66"/>
      <c r="W25" s="34"/>
      <c r="X25" s="39"/>
      <c r="Y25" s="22"/>
      <c r="Z25" s="22"/>
      <c r="AA25" s="39"/>
      <c r="AB25" s="22"/>
      <c r="AC25" s="22"/>
      <c r="AD25" s="39"/>
      <c r="AE25" s="22"/>
      <c r="AF25" s="22"/>
      <c r="AG25" s="39"/>
      <c r="AH25" s="39"/>
      <c r="AI25" s="34"/>
      <c r="AJ25" s="187"/>
      <c r="AK25" s="34"/>
      <c r="AL25" s="34"/>
      <c r="AM25" s="51"/>
      <c r="AN25" s="22"/>
      <c r="AO25" s="22"/>
      <c r="AP25" s="22"/>
      <c r="AQ25" s="22"/>
      <c r="AS25" s="51"/>
    </row>
    <row r="26" spans="1:45" s="192" customFormat="1" ht="58.5" customHeight="1" x14ac:dyDescent="0.2">
      <c r="A26" s="33"/>
      <c r="B26" s="22"/>
      <c r="C26" s="191"/>
      <c r="D26" s="22"/>
      <c r="E26" s="22"/>
      <c r="F26" s="22"/>
      <c r="G26" s="3191" t="s">
        <v>140</v>
      </c>
      <c r="H26" s="3191"/>
      <c r="I26" s="3191" t="s">
        <v>143</v>
      </c>
      <c r="J26" s="3191"/>
      <c r="K26" s="3188" t="s">
        <v>135</v>
      </c>
      <c r="L26" s="3189"/>
      <c r="M26" s="3191" t="s">
        <v>128</v>
      </c>
      <c r="N26" s="3191"/>
      <c r="Q26" s="39"/>
      <c r="R26" s="39"/>
      <c r="S26" s="39"/>
      <c r="T26" s="39"/>
      <c r="U26" s="22"/>
      <c r="V26" s="34"/>
      <c r="W26" s="34"/>
      <c r="X26" s="39"/>
      <c r="Y26" s="22"/>
      <c r="Z26" s="22"/>
      <c r="AA26" s="39"/>
      <c r="AB26" s="22"/>
      <c r="AC26" s="22"/>
      <c r="AD26" s="39"/>
      <c r="AE26" s="22"/>
      <c r="AF26" s="22"/>
      <c r="AG26" s="39"/>
      <c r="AH26" s="39"/>
      <c r="AI26" s="34"/>
      <c r="AJ26" s="187"/>
      <c r="AK26" s="34"/>
      <c r="AL26" s="34"/>
      <c r="AM26" s="51"/>
      <c r="AN26" s="22"/>
      <c r="AO26" s="22"/>
      <c r="AP26" s="22"/>
      <c r="AQ26" s="22"/>
      <c r="AS26" s="51"/>
    </row>
    <row r="27" spans="1:45" s="192" customFormat="1" ht="14.25" customHeight="1" x14ac:dyDescent="0.2">
      <c r="A27" s="33"/>
      <c r="B27" s="22"/>
      <c r="C27" s="191"/>
      <c r="D27" s="22"/>
      <c r="E27" s="22"/>
      <c r="F27" s="22"/>
      <c r="G27" s="279">
        <v>991</v>
      </c>
      <c r="H27" s="279">
        <v>992</v>
      </c>
      <c r="I27" s="279">
        <v>991</v>
      </c>
      <c r="J27" s="279">
        <v>992</v>
      </c>
      <c r="K27" s="279">
        <v>991</v>
      </c>
      <c r="L27" s="279">
        <v>992</v>
      </c>
      <c r="M27" s="279">
        <v>991</v>
      </c>
      <c r="N27" s="279">
        <v>992</v>
      </c>
      <c r="Q27" s="39"/>
      <c r="R27" s="39"/>
      <c r="S27" s="39"/>
      <c r="T27" s="39"/>
      <c r="U27" s="22"/>
      <c r="V27" s="34"/>
      <c r="W27" s="34"/>
      <c r="X27" s="39"/>
      <c r="Y27" s="22"/>
      <c r="Z27" s="22"/>
      <c r="AA27" s="39"/>
      <c r="AB27" s="22"/>
      <c r="AC27" s="22"/>
      <c r="AD27" s="39"/>
      <c r="AE27" s="22"/>
      <c r="AF27" s="22"/>
      <c r="AG27" s="39"/>
      <c r="AH27" s="39"/>
      <c r="AI27" s="34"/>
      <c r="AJ27" s="187"/>
      <c r="AK27" s="34"/>
      <c r="AL27" s="34"/>
      <c r="AM27" s="51"/>
      <c r="AN27" s="22"/>
      <c r="AO27" s="22"/>
      <c r="AP27" s="22"/>
      <c r="AQ27" s="22"/>
      <c r="AS27" s="51"/>
    </row>
    <row r="28" spans="1:45" s="192" customFormat="1" ht="14.25" customHeight="1" x14ac:dyDescent="0.2">
      <c r="A28" s="33"/>
      <c r="B28" s="22"/>
      <c r="C28" s="191"/>
      <c r="D28" s="22"/>
      <c r="E28" s="22"/>
      <c r="F28" s="22"/>
      <c r="G28" s="29">
        <f>76536+3092.6+824.1</f>
        <v>80452.7</v>
      </c>
      <c r="H28" s="29">
        <v>24137.9</v>
      </c>
      <c r="I28" s="29">
        <v>312.5</v>
      </c>
      <c r="J28" s="29">
        <v>94.4</v>
      </c>
      <c r="K28" s="29">
        <f>V23</f>
        <v>80140.2</v>
      </c>
      <c r="L28" s="29">
        <f>W23</f>
        <v>24003.599999999999</v>
      </c>
      <c r="M28" s="29">
        <f>G28-I28-K28</f>
        <v>0</v>
      </c>
      <c r="N28" s="29">
        <f>H28-J28-L28</f>
        <v>39.9</v>
      </c>
      <c r="Q28" s="39"/>
      <c r="R28" s="39"/>
      <c r="S28" s="39"/>
      <c r="T28" s="39"/>
      <c r="U28" s="22"/>
      <c r="V28" s="34"/>
      <c r="W28" s="34"/>
      <c r="X28" s="39"/>
      <c r="Y28" s="22"/>
      <c r="Z28" s="22"/>
      <c r="AA28" s="39"/>
      <c r="AB28" s="22"/>
      <c r="AC28" s="22"/>
      <c r="AD28" s="39"/>
      <c r="AE28" s="22"/>
      <c r="AF28" s="22"/>
      <c r="AG28" s="39"/>
      <c r="AH28" s="39"/>
      <c r="AI28" s="34"/>
      <c r="AJ28" s="187"/>
      <c r="AK28" s="34"/>
      <c r="AL28" s="34"/>
      <c r="AM28" s="51"/>
      <c r="AN28" s="22"/>
      <c r="AO28" s="22"/>
      <c r="AP28" s="22"/>
      <c r="AQ28" s="22"/>
      <c r="AS28" s="51"/>
    </row>
    <row r="29" spans="1:45" s="192" customFormat="1" ht="14.25" customHeight="1" x14ac:dyDescent="0.2">
      <c r="A29" s="33"/>
      <c r="B29" s="22"/>
      <c r="C29" s="191"/>
      <c r="D29" s="22"/>
      <c r="E29" s="22"/>
      <c r="F29" s="22"/>
      <c r="G29" s="39"/>
      <c r="H29" s="39"/>
      <c r="I29" s="157"/>
      <c r="J29" s="157"/>
      <c r="K29" s="157"/>
      <c r="L29" s="157"/>
      <c r="M29" s="39"/>
      <c r="N29" s="39"/>
      <c r="O29" s="39"/>
      <c r="P29" s="39"/>
      <c r="Q29" s="39"/>
      <c r="R29" s="39"/>
      <c r="S29" s="39"/>
      <c r="T29" s="39"/>
      <c r="U29" s="22"/>
      <c r="V29" s="34"/>
      <c r="W29" s="34"/>
      <c r="X29" s="39"/>
      <c r="Y29" s="22"/>
      <c r="Z29" s="22"/>
      <c r="AA29" s="39"/>
      <c r="AB29" s="22"/>
      <c r="AC29" s="22"/>
      <c r="AD29" s="39"/>
      <c r="AE29" s="22"/>
      <c r="AF29" s="22"/>
      <c r="AG29" s="39"/>
      <c r="AH29" s="39"/>
      <c r="AI29" s="34"/>
      <c r="AJ29" s="187"/>
      <c r="AK29" s="34"/>
      <c r="AL29" s="34"/>
      <c r="AM29" s="51"/>
      <c r="AN29" s="22"/>
      <c r="AO29" s="22"/>
      <c r="AP29" s="22"/>
      <c r="AQ29" s="22"/>
      <c r="AS29" s="51"/>
    </row>
    <row r="30" spans="1:45" s="192" customFormat="1" ht="14.25" customHeight="1" x14ac:dyDescent="0.2">
      <c r="A30" s="33"/>
      <c r="B30" s="22"/>
      <c r="C30" s="191"/>
      <c r="D30" s="22"/>
      <c r="E30" s="22"/>
      <c r="F30" s="22"/>
      <c r="G30" s="39"/>
      <c r="H30" s="39"/>
      <c r="I30" s="157"/>
      <c r="J30" s="157"/>
      <c r="K30" s="157"/>
      <c r="L30" s="157"/>
      <c r="M30" s="39"/>
      <c r="N30" s="39"/>
      <c r="O30" s="39"/>
      <c r="P30" s="39"/>
      <c r="Q30" s="39"/>
      <c r="R30" s="39"/>
      <c r="S30" s="39"/>
      <c r="T30" s="39"/>
      <c r="U30" s="22"/>
      <c r="V30" s="34"/>
      <c r="W30" s="34"/>
      <c r="X30" s="39"/>
      <c r="Y30" s="22"/>
      <c r="Z30" s="22"/>
      <c r="AA30" s="39"/>
      <c r="AB30" s="22"/>
      <c r="AC30" s="22"/>
      <c r="AD30" s="39"/>
      <c r="AE30" s="22"/>
      <c r="AF30" s="22"/>
      <c r="AG30" s="39"/>
      <c r="AH30" s="39"/>
      <c r="AI30" s="34"/>
      <c r="AJ30" s="187"/>
      <c r="AK30" s="34"/>
      <c r="AL30" s="34"/>
      <c r="AM30" s="51"/>
      <c r="AN30" s="22"/>
      <c r="AO30" s="22"/>
      <c r="AP30" s="22"/>
      <c r="AQ30" s="22"/>
      <c r="AS30" s="51"/>
    </row>
    <row r="31" spans="1:45" s="192" customFormat="1" ht="14.25" customHeight="1" x14ac:dyDescent="0.2">
      <c r="A31" s="33"/>
      <c r="B31" s="22"/>
      <c r="C31" s="191"/>
      <c r="D31" s="22"/>
      <c r="E31" s="22"/>
      <c r="F31" s="22"/>
      <c r="G31" s="39"/>
      <c r="H31" s="39"/>
      <c r="I31" s="39"/>
      <c r="J31" s="39"/>
      <c r="K31" s="39"/>
      <c r="L31" s="39"/>
      <c r="M31" s="39"/>
      <c r="N31" s="39"/>
      <c r="O31" s="39"/>
      <c r="P31" s="39"/>
      <c r="Q31" s="39"/>
      <c r="R31" s="39"/>
      <c r="S31" s="39"/>
      <c r="T31" s="39"/>
      <c r="U31" s="22"/>
      <c r="V31" s="34"/>
      <c r="W31" s="34"/>
      <c r="X31" s="39"/>
      <c r="Y31" s="22"/>
      <c r="Z31" s="22"/>
      <c r="AA31" s="39"/>
      <c r="AB31" s="22"/>
      <c r="AC31" s="22"/>
      <c r="AD31" s="39"/>
      <c r="AE31" s="22"/>
      <c r="AF31" s="22"/>
      <c r="AG31" s="39"/>
      <c r="AH31" s="39"/>
      <c r="AI31" s="34"/>
      <c r="AJ31" s="187"/>
      <c r="AK31" s="34"/>
      <c r="AL31" s="34"/>
      <c r="AM31" s="51"/>
      <c r="AN31" s="22"/>
      <c r="AO31" s="22"/>
      <c r="AP31" s="22"/>
      <c r="AQ31" s="22"/>
      <c r="AS31" s="51"/>
    </row>
    <row r="32" spans="1:45" s="192" customFormat="1" ht="14.25" customHeight="1" x14ac:dyDescent="0.2">
      <c r="A32" s="33"/>
      <c r="B32" s="22"/>
      <c r="C32" s="191"/>
      <c r="D32" s="22"/>
      <c r="E32" s="22"/>
      <c r="F32" s="22"/>
      <c r="G32" s="39"/>
      <c r="H32" s="39"/>
      <c r="I32" s="39"/>
      <c r="J32" s="39"/>
      <c r="K32" s="39"/>
      <c r="L32" s="39"/>
      <c r="M32" s="39"/>
      <c r="N32" s="39"/>
      <c r="O32" s="39"/>
      <c r="P32" s="39"/>
      <c r="Q32" s="39"/>
      <c r="R32" s="39"/>
      <c r="S32" s="39"/>
      <c r="T32" s="39"/>
      <c r="U32" s="22"/>
      <c r="V32" s="39"/>
      <c r="W32" s="39"/>
      <c r="X32" s="39"/>
      <c r="Y32" s="22"/>
      <c r="Z32" s="22"/>
      <c r="AA32" s="39"/>
      <c r="AB32" s="22"/>
      <c r="AC32" s="22"/>
      <c r="AD32" s="39"/>
      <c r="AE32" s="22"/>
      <c r="AF32" s="22"/>
      <c r="AG32" s="39"/>
      <c r="AH32" s="39"/>
      <c r="AI32" s="34"/>
      <c r="AJ32" s="187"/>
      <c r="AK32" s="34"/>
      <c r="AL32" s="34"/>
      <c r="AM32" s="51"/>
      <c r="AN32" s="22"/>
      <c r="AO32" s="22"/>
      <c r="AP32" s="22"/>
      <c r="AQ32" s="22"/>
    </row>
    <row r="33" spans="1:43" s="195" customFormat="1" ht="14.25" x14ac:dyDescent="0.2">
      <c r="A33" s="165"/>
      <c r="B33" s="193"/>
      <c r="C33" s="194"/>
      <c r="D33" s="194"/>
      <c r="E33" s="158"/>
      <c r="F33" s="158"/>
      <c r="G33" s="158"/>
      <c r="H33" s="158"/>
      <c r="I33" s="158"/>
      <c r="J33" s="158"/>
      <c r="K33" s="158"/>
      <c r="L33" s="158"/>
      <c r="M33" s="157"/>
      <c r="N33" s="157"/>
      <c r="O33" s="157"/>
      <c r="P33" s="157"/>
      <c r="Q33" s="157"/>
      <c r="R33" s="157"/>
      <c r="S33" s="157"/>
      <c r="T33" s="157"/>
      <c r="V33" s="157"/>
      <c r="W33" s="157"/>
      <c r="Z33" s="157"/>
      <c r="AC33" s="157"/>
      <c r="AF33" s="157"/>
      <c r="AG33" s="157"/>
      <c r="AI33" s="196"/>
      <c r="AN33" s="62"/>
      <c r="AO33" s="62"/>
      <c r="AP33" s="62"/>
      <c r="AQ33" s="62"/>
    </row>
    <row r="34" spans="1:43" s="195" customFormat="1" ht="14.25" x14ac:dyDescent="0.2">
      <c r="A34" s="165"/>
      <c r="B34" s="193"/>
      <c r="C34" s="194"/>
      <c r="D34" s="194"/>
      <c r="E34" s="158"/>
      <c r="F34" s="158"/>
      <c r="G34" s="158"/>
      <c r="H34" s="158"/>
      <c r="I34" s="158"/>
      <c r="J34" s="158"/>
      <c r="K34" s="158"/>
      <c r="L34" s="158"/>
      <c r="M34" s="157"/>
      <c r="N34" s="157"/>
      <c r="O34" s="157"/>
      <c r="P34" s="157"/>
      <c r="Q34" s="157"/>
      <c r="R34" s="157"/>
      <c r="S34" s="157"/>
      <c r="T34" s="157"/>
      <c r="V34" s="157"/>
      <c r="W34" s="157"/>
      <c r="Z34" s="157"/>
      <c r="AC34" s="157"/>
      <c r="AF34" s="157"/>
      <c r="AG34" s="157"/>
      <c r="AI34" s="196"/>
      <c r="AN34" s="62"/>
      <c r="AO34" s="62"/>
      <c r="AP34" s="62"/>
      <c r="AQ34" s="62"/>
    </row>
    <row r="35" spans="1:43" s="282" customFormat="1" ht="20.25" x14ac:dyDescent="0.2">
      <c r="A35" s="81"/>
      <c r="B35" s="82" t="s">
        <v>138</v>
      </c>
      <c r="C35" s="83"/>
      <c r="D35" s="84"/>
      <c r="E35" s="84"/>
      <c r="F35" s="85"/>
      <c r="G35" s="85"/>
      <c r="H35" s="86"/>
      <c r="I35" s="86"/>
      <c r="J35" s="85"/>
      <c r="K35" s="30" t="s">
        <v>166</v>
      </c>
      <c r="L35" s="85"/>
      <c r="M35" s="85"/>
      <c r="N35" s="87"/>
      <c r="O35" s="85"/>
      <c r="P35" s="85"/>
      <c r="Q35" s="85"/>
      <c r="R35" s="85"/>
      <c r="S35" s="85"/>
      <c r="T35" s="85"/>
      <c r="U35" s="85"/>
      <c r="V35" s="85"/>
      <c r="W35" s="85"/>
      <c r="X35" s="85"/>
      <c r="Y35" s="85"/>
      <c r="Z35" s="85"/>
      <c r="AA35" s="85"/>
      <c r="AB35" s="85"/>
      <c r="AC35" s="85"/>
      <c r="AD35" s="85"/>
      <c r="AE35" s="85"/>
      <c r="AF35" s="85"/>
      <c r="AG35" s="85"/>
      <c r="AH35" s="85"/>
      <c r="AI35" s="85"/>
      <c r="AK35" s="88"/>
      <c r="AL35" s="88"/>
      <c r="AM35" s="88"/>
      <c r="AN35" s="88"/>
      <c r="AO35" s="88"/>
    </row>
    <row r="36" spans="1:43" s="205" customFormat="1" ht="15" x14ac:dyDescent="0.2">
      <c r="A36" s="197"/>
      <c r="B36" s="197"/>
      <c r="C36" s="198"/>
      <c r="D36" s="199"/>
      <c r="E36" s="199"/>
      <c r="F36" s="159"/>
      <c r="G36" s="159"/>
      <c r="H36" s="200"/>
      <c r="I36" s="200"/>
      <c r="J36" s="159"/>
      <c r="K36" s="159"/>
      <c r="L36" s="159"/>
      <c r="M36" s="159"/>
      <c r="N36" s="201"/>
      <c r="O36" s="159"/>
      <c r="P36" s="159"/>
      <c r="Q36" s="159"/>
      <c r="R36" s="159"/>
      <c r="S36" s="159"/>
      <c r="T36" s="159"/>
      <c r="U36" s="159"/>
      <c r="V36" s="202"/>
      <c r="W36" s="202"/>
      <c r="X36" s="203"/>
      <c r="Y36" s="159"/>
      <c r="Z36" s="159"/>
      <c r="AA36" s="159"/>
      <c r="AB36" s="159"/>
      <c r="AC36" s="159"/>
      <c r="AD36" s="159"/>
      <c r="AE36" s="159"/>
      <c r="AF36" s="159"/>
      <c r="AG36" s="159"/>
      <c r="AH36" s="204"/>
      <c r="AM36" s="204"/>
      <c r="AN36" s="76"/>
      <c r="AO36" s="76"/>
      <c r="AP36" s="76"/>
      <c r="AQ36" s="76"/>
    </row>
    <row r="37" spans="1:43" s="205" customFormat="1" ht="15.75" x14ac:dyDescent="0.2">
      <c r="A37" s="206" t="s">
        <v>96</v>
      </c>
      <c r="B37" s="206"/>
      <c r="C37" s="160"/>
      <c r="D37" s="160"/>
      <c r="E37" s="160"/>
      <c r="F37" s="160"/>
      <c r="G37" s="160"/>
      <c r="H37" s="160"/>
      <c r="I37" s="160"/>
      <c r="J37" s="160"/>
      <c r="K37" s="160"/>
      <c r="L37" s="207"/>
      <c r="M37" s="207"/>
      <c r="N37" s="208"/>
      <c r="O37" s="207"/>
      <c r="P37" s="207"/>
      <c r="Q37" s="207"/>
      <c r="R37" s="207"/>
      <c r="S37" s="207"/>
      <c r="T37" s="207"/>
      <c r="U37" s="207"/>
      <c r="V37" s="207"/>
      <c r="W37" s="207"/>
      <c r="X37" s="207"/>
      <c r="Y37" s="207"/>
      <c r="Z37" s="207"/>
      <c r="AA37" s="207"/>
      <c r="AB37" s="207"/>
      <c r="AC37" s="207"/>
      <c r="AD37" s="207"/>
      <c r="AE37" s="207"/>
      <c r="AF37" s="207"/>
      <c r="AG37" s="207"/>
      <c r="AH37" s="204"/>
      <c r="AM37" s="204"/>
      <c r="AN37" s="76"/>
      <c r="AO37" s="76"/>
      <c r="AP37" s="76"/>
      <c r="AQ37" s="76"/>
    </row>
    <row r="38" spans="1:43" s="205" customFormat="1" ht="15.75" x14ac:dyDescent="0.2">
      <c r="A38" s="206" t="s">
        <v>139</v>
      </c>
      <c r="B38" s="209"/>
      <c r="C38" s="210"/>
      <c r="D38" s="210"/>
      <c r="E38" s="161"/>
      <c r="F38" s="161"/>
      <c r="G38" s="161"/>
      <c r="H38" s="161"/>
      <c r="I38" s="161"/>
      <c r="J38" s="161"/>
      <c r="K38" s="161"/>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4"/>
      <c r="AM38" s="204"/>
      <c r="AN38" s="76"/>
      <c r="AO38" s="76"/>
      <c r="AP38" s="76"/>
      <c r="AQ38" s="76"/>
    </row>
    <row r="39" spans="1:43" ht="20.25" x14ac:dyDescent="0.2">
      <c r="AN39" s="88"/>
      <c r="AO39" s="88"/>
      <c r="AP39" s="88"/>
      <c r="AQ39" s="88"/>
    </row>
    <row r="40" spans="1:43" x14ac:dyDescent="0.2">
      <c r="E40" s="51"/>
      <c r="F40" s="51"/>
    </row>
    <row r="41" spans="1:43" x14ac:dyDescent="0.2">
      <c r="E41" s="51"/>
      <c r="F41" s="51"/>
    </row>
    <row r="42" spans="1:43" x14ac:dyDescent="0.2">
      <c r="E42" s="51"/>
      <c r="F42" s="51"/>
    </row>
    <row r="43" spans="1:43" x14ac:dyDescent="0.2">
      <c r="E43" s="51"/>
      <c r="F43" s="51"/>
    </row>
    <row r="44" spans="1:43" x14ac:dyDescent="0.2">
      <c r="E44" s="51"/>
      <c r="F44" s="51"/>
    </row>
    <row r="45" spans="1:43" x14ac:dyDescent="0.2">
      <c r="E45" s="51"/>
      <c r="F45" s="51"/>
    </row>
    <row r="46" spans="1:43" x14ac:dyDescent="0.2">
      <c r="E46" s="51"/>
      <c r="F46" s="51"/>
    </row>
    <row r="47" spans="1:43" x14ac:dyDescent="0.2">
      <c r="E47" s="51"/>
      <c r="F47" s="51"/>
    </row>
    <row r="48" spans="1:43" x14ac:dyDescent="0.2">
      <c r="E48" s="51"/>
      <c r="F48" s="51"/>
    </row>
    <row r="49" spans="5:6" x14ac:dyDescent="0.2">
      <c r="E49" s="51"/>
      <c r="F49" s="51"/>
    </row>
    <row r="50" spans="5:6" x14ac:dyDescent="0.2">
      <c r="E50" s="51"/>
      <c r="F50" s="51"/>
    </row>
    <row r="51" spans="5:6" x14ac:dyDescent="0.2">
      <c r="E51" s="51"/>
      <c r="F51" s="51"/>
    </row>
    <row r="52" spans="5:6" x14ac:dyDescent="0.2">
      <c r="E52" s="51"/>
      <c r="F52" s="51"/>
    </row>
    <row r="53" spans="5:6" x14ac:dyDescent="0.2">
      <c r="E53" s="51"/>
    </row>
    <row r="54" spans="5:6" x14ac:dyDescent="0.2">
      <c r="E54" s="51"/>
    </row>
    <row r="55" spans="5:6" x14ac:dyDescent="0.2">
      <c r="E55" s="51"/>
    </row>
    <row r="56" spans="5:6" x14ac:dyDescent="0.2">
      <c r="E56" s="51"/>
    </row>
    <row r="57" spans="5:6" x14ac:dyDescent="0.2">
      <c r="E57" s="51"/>
    </row>
  </sheetData>
  <autoFilter ref="A8:AS24"/>
  <mergeCells count="38">
    <mergeCell ref="G26:H26"/>
    <mergeCell ref="I26:J26"/>
    <mergeCell ref="K26:L26"/>
    <mergeCell ref="M26:N26"/>
    <mergeCell ref="AA6:AC6"/>
    <mergeCell ref="R6:R7"/>
    <mergeCell ref="K6:K7"/>
    <mergeCell ref="AG6:AG7"/>
    <mergeCell ref="AH6:AH7"/>
    <mergeCell ref="U9:U22"/>
    <mergeCell ref="A23:B23"/>
    <mergeCell ref="S6:S7"/>
    <mergeCell ref="T6:T7"/>
    <mergeCell ref="U6:U7"/>
    <mergeCell ref="V6:V7"/>
    <mergeCell ref="W6:W7"/>
    <mergeCell ref="X6:Z6"/>
    <mergeCell ref="L6:L7"/>
    <mergeCell ref="M6:M7"/>
    <mergeCell ref="N6:O6"/>
    <mergeCell ref="P6:P7"/>
    <mergeCell ref="Q6:Q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s>
  <printOptions horizontalCentered="1"/>
  <pageMargins left="0" right="0" top="0" bottom="0" header="0.31496062992125984" footer="0.31496062992125984"/>
  <pageSetup paperSize="9" scale="35" orientation="landscape" r:id="rId1"/>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4">
    <tabColor rgb="FFFFFF00"/>
    <pageSetUpPr fitToPage="1"/>
  </sheetPr>
  <dimension ref="A1:AS105"/>
  <sheetViews>
    <sheetView view="pageBreakPreview" zoomScale="80" zoomScaleNormal="80" zoomScaleSheetLayoutView="80" workbookViewId="0">
      <pane xSplit="3" ySplit="8" topLeftCell="D45"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7.83203125" style="33" customWidth="1"/>
    <col min="2" max="2" width="30.83203125" style="22" customWidth="1"/>
    <col min="3" max="3" width="13.83203125" style="22" customWidth="1"/>
    <col min="4" max="4" width="14" style="22" customWidth="1"/>
    <col min="5" max="5" width="13" style="22" customWidth="1"/>
    <col min="6" max="6" width="14.6640625" style="22" customWidth="1"/>
    <col min="7" max="7" width="12.83203125" style="22" customWidth="1"/>
    <col min="8" max="8" width="15.83203125" style="22" customWidth="1"/>
    <col min="9" max="9" width="13.5" style="22" customWidth="1"/>
    <col min="10" max="10" width="16.83203125" style="22" customWidth="1"/>
    <col min="11" max="11" width="13.5" style="22" customWidth="1"/>
    <col min="12" max="12" width="13.33203125" style="22" customWidth="1"/>
    <col min="13" max="13" width="14" style="22" customWidth="1"/>
    <col min="14" max="14" width="11.5" style="22" customWidth="1"/>
    <col min="15" max="15" width="11.6640625" style="22" customWidth="1"/>
    <col min="16" max="16" width="13.33203125" style="22" customWidth="1"/>
    <col min="17" max="17" width="11.5" style="22" customWidth="1"/>
    <col min="18" max="18" width="13" style="22" customWidth="1"/>
    <col min="19" max="19" width="15.5" style="22" customWidth="1"/>
    <col min="20" max="20" width="12.33203125" style="22" customWidth="1"/>
    <col min="21" max="21" width="11.6640625" style="22" customWidth="1"/>
    <col min="22" max="22" width="14.5" style="22" customWidth="1"/>
    <col min="23" max="23" width="16" style="22" customWidth="1"/>
    <col min="24" max="24" width="14.1640625" style="22" customWidth="1"/>
    <col min="25" max="25" width="11.1640625" style="22" customWidth="1"/>
    <col min="26" max="26" width="9.83203125" style="22" customWidth="1"/>
    <col min="27" max="30" width="8.5" style="22" customWidth="1"/>
    <col min="31" max="31" width="15.1640625" style="22" bestFit="1" customWidth="1"/>
    <col min="32" max="32" width="9.6640625" style="22" customWidth="1"/>
    <col min="33" max="33" width="9.33203125" style="22" customWidth="1"/>
    <col min="34" max="34" width="13.5" style="22" customWidth="1"/>
    <col min="35" max="35" width="14.5" style="34" customWidth="1"/>
    <col min="36" max="36" width="9.33203125" style="22"/>
    <col min="37" max="37" width="12.6640625" style="211" customWidth="1"/>
    <col min="38" max="38" width="11.6640625" style="211" hidden="1" customWidth="1"/>
    <col min="39" max="39" width="13" style="211" hidden="1" customWidth="1"/>
    <col min="40" max="40" width="14.1640625" style="211" bestFit="1" customWidth="1"/>
    <col min="41" max="41" width="9.5" style="211" bestFit="1" customWidth="1"/>
    <col min="42" max="43" width="14.1640625" style="211" bestFit="1" customWidth="1"/>
    <col min="44" max="45" width="9.5" style="22" bestFit="1" customWidth="1"/>
    <col min="46" max="16384" width="9.33203125" style="22"/>
  </cols>
  <sheetData>
    <row r="1" spans="1:45" ht="18" customHeight="1" x14ac:dyDescent="0.2">
      <c r="AE1" s="3180"/>
      <c r="AF1" s="3180"/>
      <c r="AG1" s="3180"/>
      <c r="AH1" s="3180"/>
    </row>
    <row r="2" spans="1:45" ht="24" customHeight="1" x14ac:dyDescent="0.2">
      <c r="A2" s="3181" t="s">
        <v>159</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6"/>
    </row>
    <row r="3" spans="1:45" ht="24.75" customHeight="1" x14ac:dyDescent="0.2">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283"/>
    </row>
    <row r="4" spans="1:45" x14ac:dyDescent="0.2">
      <c r="L4" s="38">
        <v>0.33837499999999998</v>
      </c>
      <c r="V4" s="39"/>
      <c r="W4" s="39"/>
    </row>
    <row r="5" spans="1:45" ht="38.25" customHeight="1" x14ac:dyDescent="0.2">
      <c r="A5" s="3183" t="s">
        <v>78</v>
      </c>
      <c r="B5" s="3183" t="s">
        <v>77</v>
      </c>
      <c r="C5" s="3184" t="s">
        <v>0</v>
      </c>
      <c r="D5" s="3184" t="s">
        <v>3</v>
      </c>
      <c r="E5" s="3184"/>
      <c r="F5" s="3184"/>
      <c r="G5" s="3184"/>
      <c r="H5" s="3184"/>
      <c r="I5" s="3184"/>
      <c r="J5" s="3184"/>
      <c r="K5" s="3184"/>
      <c r="L5" s="3184"/>
      <c r="M5" s="3184"/>
      <c r="N5" s="3184"/>
      <c r="O5" s="3184"/>
      <c r="P5" s="3184"/>
      <c r="Q5" s="3184"/>
      <c r="R5" s="3184"/>
      <c r="S5" s="3184"/>
      <c r="T5" s="3184"/>
      <c r="U5" s="3184"/>
      <c r="V5" s="3184"/>
      <c r="W5" s="3184"/>
      <c r="X5" s="3184" t="s">
        <v>4</v>
      </c>
      <c r="Y5" s="3184"/>
      <c r="Z5" s="3184"/>
      <c r="AA5" s="3184"/>
      <c r="AB5" s="3184"/>
      <c r="AC5" s="3184"/>
      <c r="AD5" s="3184"/>
      <c r="AE5" s="3184"/>
      <c r="AF5" s="3184"/>
      <c r="AG5" s="3184"/>
      <c r="AH5" s="3184"/>
    </row>
    <row r="6" spans="1:45" ht="60" customHeight="1" x14ac:dyDescent="0.2">
      <c r="A6" s="3183"/>
      <c r="B6" s="3183"/>
      <c r="C6" s="3184"/>
      <c r="D6" s="3185" t="s">
        <v>68</v>
      </c>
      <c r="E6" s="3185" t="s">
        <v>69</v>
      </c>
      <c r="F6" s="3185" t="s">
        <v>89</v>
      </c>
      <c r="G6" s="3185" t="s">
        <v>1</v>
      </c>
      <c r="H6" s="3185" t="s">
        <v>2</v>
      </c>
      <c r="I6" s="3185" t="s">
        <v>70</v>
      </c>
      <c r="J6" s="3185" t="s">
        <v>61</v>
      </c>
      <c r="K6" s="3185" t="s">
        <v>27</v>
      </c>
      <c r="L6" s="3186" t="s">
        <v>65</v>
      </c>
      <c r="M6" s="3186" t="s">
        <v>93</v>
      </c>
      <c r="N6" s="3187" t="s">
        <v>91</v>
      </c>
      <c r="O6" s="3187"/>
      <c r="P6" s="3187" t="s">
        <v>88</v>
      </c>
      <c r="Q6" s="3186" t="s">
        <v>82</v>
      </c>
      <c r="R6" s="3185" t="s">
        <v>83</v>
      </c>
      <c r="S6" s="3186" t="s">
        <v>87</v>
      </c>
      <c r="T6" s="3185" t="s">
        <v>84</v>
      </c>
      <c r="U6" s="3185" t="s">
        <v>9</v>
      </c>
      <c r="V6" s="3185" t="s">
        <v>7</v>
      </c>
      <c r="W6" s="3185" t="s">
        <v>85</v>
      </c>
      <c r="X6" s="3184" t="s">
        <v>10</v>
      </c>
      <c r="Y6" s="3184"/>
      <c r="Z6" s="3184"/>
      <c r="AA6" s="3184" t="s">
        <v>11</v>
      </c>
      <c r="AB6" s="3184"/>
      <c r="AC6" s="3184"/>
      <c r="AD6" s="3184" t="s">
        <v>12</v>
      </c>
      <c r="AE6" s="3184"/>
      <c r="AF6" s="3184"/>
      <c r="AG6" s="3184" t="s">
        <v>13</v>
      </c>
      <c r="AH6" s="3184" t="s">
        <v>73</v>
      </c>
    </row>
    <row r="7" spans="1:45" ht="97.5" customHeight="1" x14ac:dyDescent="0.2">
      <c r="A7" s="3183"/>
      <c r="B7" s="3183"/>
      <c r="C7" s="3184"/>
      <c r="D7" s="3185"/>
      <c r="E7" s="3185"/>
      <c r="F7" s="3185"/>
      <c r="G7" s="3185"/>
      <c r="H7" s="3185"/>
      <c r="I7" s="3185"/>
      <c r="J7" s="3185"/>
      <c r="K7" s="3185"/>
      <c r="L7" s="3186" t="s">
        <v>66</v>
      </c>
      <c r="M7" s="3186"/>
      <c r="N7" s="281" t="s">
        <v>80</v>
      </c>
      <c r="O7" s="281" t="s">
        <v>81</v>
      </c>
      <c r="P7" s="3187"/>
      <c r="Q7" s="3186"/>
      <c r="R7" s="3185"/>
      <c r="S7" s="3186" t="s">
        <v>67</v>
      </c>
      <c r="T7" s="3185"/>
      <c r="U7" s="3185"/>
      <c r="V7" s="3185"/>
      <c r="W7" s="3185"/>
      <c r="X7" s="280" t="s">
        <v>5</v>
      </c>
      <c r="Y7" s="280" t="s">
        <v>6</v>
      </c>
      <c r="Z7" s="280" t="s">
        <v>74</v>
      </c>
      <c r="AA7" s="280" t="s">
        <v>5</v>
      </c>
      <c r="AB7" s="280" t="s">
        <v>6</v>
      </c>
      <c r="AC7" s="280" t="s">
        <v>75</v>
      </c>
      <c r="AD7" s="280" t="s">
        <v>5</v>
      </c>
      <c r="AE7" s="280" t="s">
        <v>6</v>
      </c>
      <c r="AF7" s="280" t="s">
        <v>76</v>
      </c>
      <c r="AG7" s="3184"/>
      <c r="AH7" s="3184"/>
      <c r="AK7" s="211" t="s">
        <v>64</v>
      </c>
      <c r="AL7" s="211" t="s">
        <v>62</v>
      </c>
      <c r="AM7" s="70"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212" t="s">
        <v>116</v>
      </c>
      <c r="AO8" s="212" t="s">
        <v>117</v>
      </c>
      <c r="AP8" s="212" t="s">
        <v>118</v>
      </c>
      <c r="AQ8" s="212" t="s">
        <v>119</v>
      </c>
    </row>
    <row r="9" spans="1:45" ht="16.5" customHeight="1" x14ac:dyDescent="0.2">
      <c r="A9" s="278">
        <v>1</v>
      </c>
      <c r="B9" s="44" t="s">
        <v>14</v>
      </c>
      <c r="C9" s="278">
        <v>1</v>
      </c>
      <c r="D9" s="213">
        <v>25.596</v>
      </c>
      <c r="E9" s="214">
        <f>C9*D9</f>
        <v>25.6</v>
      </c>
      <c r="F9" s="215">
        <f>E9*12</f>
        <v>307.2</v>
      </c>
      <c r="G9" s="154"/>
      <c r="H9" s="154"/>
      <c r="I9" s="154"/>
      <c r="J9" s="154"/>
      <c r="K9" s="154">
        <f>F9*0.4</f>
        <v>122.9</v>
      </c>
      <c r="L9" s="154">
        <f>F9*$L$4</f>
        <v>103.9</v>
      </c>
      <c r="M9" s="154">
        <f>F9+G9+H9+I9+J9+K9+L9</f>
        <v>534</v>
      </c>
      <c r="N9" s="171">
        <v>0.98</v>
      </c>
      <c r="O9" s="154">
        <f>M9*N9</f>
        <v>523.29999999999995</v>
      </c>
      <c r="P9" s="154">
        <f>M9+O9</f>
        <v>1057.3</v>
      </c>
      <c r="Q9" s="154">
        <f>P9*0.8</f>
        <v>845.8</v>
      </c>
      <c r="R9" s="154">
        <f>P9*0.8</f>
        <v>845.8</v>
      </c>
      <c r="S9" s="154">
        <f>(P9+Q9+R9)*0.032</f>
        <v>88</v>
      </c>
      <c r="T9" s="154">
        <f>P9+Q9+R9+S9</f>
        <v>2836.9</v>
      </c>
      <c r="U9" s="3192">
        <v>1</v>
      </c>
      <c r="V9" s="154">
        <f>T9*$U$9</f>
        <v>2836.9</v>
      </c>
      <c r="W9" s="154">
        <f>AQ9</f>
        <v>597.20000000000005</v>
      </c>
      <c r="X9" s="278">
        <v>1</v>
      </c>
      <c r="Y9" s="24">
        <v>30</v>
      </c>
      <c r="Z9" s="48">
        <f>X9*Y9</f>
        <v>30</v>
      </c>
      <c r="AA9" s="278"/>
      <c r="AB9" s="24">
        <v>15</v>
      </c>
      <c r="AC9" s="48">
        <f>AA9*AB9</f>
        <v>0</v>
      </c>
      <c r="AD9" s="278"/>
      <c r="AE9" s="24">
        <v>30</v>
      </c>
      <c r="AF9" s="48">
        <f>AD9*AE9</f>
        <v>0</v>
      </c>
      <c r="AG9" s="278">
        <f t="shared" ref="AG9:AG51" si="0">(Z9+AC9+AF9)*1%*30</f>
        <v>9</v>
      </c>
      <c r="AH9" s="48">
        <f t="shared" ref="AH9:AH27" si="1">Z9+AC9+AF9+AG9</f>
        <v>39</v>
      </c>
      <c r="AI9" s="34">
        <f t="shared" ref="AI9:AI36" si="2">V9/12/C9*1000</f>
        <v>236408.3</v>
      </c>
      <c r="AJ9" s="34"/>
      <c r="AK9" s="216">
        <f t="shared" ref="AK9:AK41" si="3">V9/C9</f>
        <v>2836.9</v>
      </c>
      <c r="AL9" s="216">
        <f>((979*0.302)+((AK9-979)*0.182))</f>
        <v>633.79999999999995</v>
      </c>
      <c r="AM9" s="217">
        <f>AL9/AK9</f>
        <v>0.223</v>
      </c>
      <c r="AN9" s="50">
        <f>1150*0.22*C9+(V9-1150*C9)*0.1</f>
        <v>421.7</v>
      </c>
      <c r="AO9" s="50">
        <f>865*0.029</f>
        <v>25.1</v>
      </c>
      <c r="AP9" s="50">
        <f>V9*0.053</f>
        <v>150.4</v>
      </c>
      <c r="AQ9" s="50">
        <f>SUM(AN9:AP9)</f>
        <v>597.20000000000005</v>
      </c>
      <c r="AS9" s="66"/>
    </row>
    <row r="10" spans="1:45" x14ac:dyDescent="0.2">
      <c r="A10" s="278">
        <v>2</v>
      </c>
      <c r="B10" s="44" t="s">
        <v>125</v>
      </c>
      <c r="C10" s="278">
        <v>1</v>
      </c>
      <c r="D10" s="177">
        <v>17.917000000000002</v>
      </c>
      <c r="E10" s="214">
        <f>C10*D10</f>
        <v>17.920000000000002</v>
      </c>
      <c r="F10" s="215">
        <f>E10*12</f>
        <v>215</v>
      </c>
      <c r="G10" s="154"/>
      <c r="H10" s="154">
        <v>8.6999999999999993</v>
      </c>
      <c r="I10" s="154"/>
      <c r="J10" s="154"/>
      <c r="K10" s="154">
        <f>F10*0.4</f>
        <v>86</v>
      </c>
      <c r="L10" s="154">
        <f t="shared" ref="L10:L51" si="4">F10*$L$4</f>
        <v>72.8</v>
      </c>
      <c r="M10" s="154">
        <f>F10+G10+H10+I10+J10+K10+L10</f>
        <v>382.5</v>
      </c>
      <c r="N10" s="171">
        <v>0.47</v>
      </c>
      <c r="O10" s="154">
        <f>M10*N10</f>
        <v>179.8</v>
      </c>
      <c r="P10" s="154">
        <f>M10+O10</f>
        <v>562.29999999999995</v>
      </c>
      <c r="Q10" s="154">
        <f>P10*0.8</f>
        <v>449.8</v>
      </c>
      <c r="R10" s="154">
        <f>P10*0.8</f>
        <v>449.8</v>
      </c>
      <c r="S10" s="154">
        <f>(P10+Q10+R10)*0.032</f>
        <v>46.8</v>
      </c>
      <c r="T10" s="154">
        <f>P10+Q10+R10+S10</f>
        <v>1508.7</v>
      </c>
      <c r="U10" s="3193"/>
      <c r="V10" s="154">
        <f t="shared" ref="V10:V50" si="5">T10*$U$9</f>
        <v>1508.7</v>
      </c>
      <c r="W10" s="154">
        <f t="shared" ref="W10:W11" si="6">AQ10</f>
        <v>394</v>
      </c>
      <c r="X10" s="278"/>
      <c r="Y10" s="24">
        <v>30</v>
      </c>
      <c r="Z10" s="48">
        <f>X10*Y10</f>
        <v>0</v>
      </c>
      <c r="AA10" s="278"/>
      <c r="AB10" s="24">
        <v>15</v>
      </c>
      <c r="AC10" s="48">
        <f>AA10*AB10</f>
        <v>0</v>
      </c>
      <c r="AD10" s="278"/>
      <c r="AE10" s="24">
        <v>30</v>
      </c>
      <c r="AF10" s="48">
        <f>AD10*AE10</f>
        <v>0</v>
      </c>
      <c r="AG10" s="278">
        <f t="shared" si="0"/>
        <v>0</v>
      </c>
      <c r="AH10" s="48">
        <f t="shared" si="1"/>
        <v>0</v>
      </c>
      <c r="AI10" s="34">
        <f t="shared" si="2"/>
        <v>125725</v>
      </c>
      <c r="AJ10" s="34"/>
      <c r="AK10" s="216">
        <f t="shared" si="3"/>
        <v>1508.7</v>
      </c>
      <c r="AL10" s="216">
        <f t="shared" ref="AL10:AL41" si="7">((979*0.302)+((AK10-979)*0.182))</f>
        <v>392.1</v>
      </c>
      <c r="AM10" s="217">
        <f>AL10/AK10</f>
        <v>0.26</v>
      </c>
      <c r="AN10" s="50">
        <f t="shared" ref="AN10:AN12" si="8">1150*0.22*C10+(V10-1150*C10)*0.1</f>
        <v>288.89999999999998</v>
      </c>
      <c r="AO10" s="50">
        <f t="shared" ref="AO10:AO11" si="9">865*0.029</f>
        <v>25.1</v>
      </c>
      <c r="AP10" s="50">
        <f t="shared" ref="AP10:AP11" si="10">V10*0.053</f>
        <v>80</v>
      </c>
      <c r="AQ10" s="50">
        <f t="shared" ref="AQ10:AQ52" si="11">SUM(AN10:AP10)</f>
        <v>394</v>
      </c>
      <c r="AS10" s="66"/>
    </row>
    <row r="11" spans="1:45" x14ac:dyDescent="0.2">
      <c r="A11" s="278">
        <v>3</v>
      </c>
      <c r="B11" s="44" t="s">
        <v>125</v>
      </c>
      <c r="C11" s="278">
        <v>1</v>
      </c>
      <c r="D11" s="177">
        <v>17.917000000000002</v>
      </c>
      <c r="E11" s="214">
        <f>C11*D11</f>
        <v>17.920000000000002</v>
      </c>
      <c r="F11" s="215">
        <f>E11*12</f>
        <v>215</v>
      </c>
      <c r="G11" s="154"/>
      <c r="H11" s="154">
        <v>7.9</v>
      </c>
      <c r="I11" s="154"/>
      <c r="J11" s="154"/>
      <c r="K11" s="154">
        <f>F11*0.25</f>
        <v>53.8</v>
      </c>
      <c r="L11" s="154">
        <f t="shared" si="4"/>
        <v>72.8</v>
      </c>
      <c r="M11" s="154">
        <f>F11+G11+H11+I11+J11+K11+L11</f>
        <v>349.5</v>
      </c>
      <c r="N11" s="171">
        <v>0.47</v>
      </c>
      <c r="O11" s="154">
        <f>M11*N11</f>
        <v>164.3</v>
      </c>
      <c r="P11" s="154">
        <f>M11+O11</f>
        <v>513.79999999999995</v>
      </c>
      <c r="Q11" s="154">
        <f>P11*0.8</f>
        <v>411</v>
      </c>
      <c r="R11" s="154">
        <f>P11*0.8</f>
        <v>411</v>
      </c>
      <c r="S11" s="154">
        <f>(P11+Q11+R11)*0.032</f>
        <v>42.7</v>
      </c>
      <c r="T11" s="154">
        <f>P11+Q11+R11+S11</f>
        <v>1378.5</v>
      </c>
      <c r="U11" s="3193"/>
      <c r="V11" s="154">
        <f t="shared" si="5"/>
        <v>1378.5</v>
      </c>
      <c r="W11" s="154">
        <f t="shared" si="6"/>
        <v>374.1</v>
      </c>
      <c r="X11" s="278">
        <v>1</v>
      </c>
      <c r="Y11" s="24">
        <v>30</v>
      </c>
      <c r="Z11" s="48">
        <f>X11*Y11</f>
        <v>30</v>
      </c>
      <c r="AA11" s="278"/>
      <c r="AB11" s="24">
        <v>15</v>
      </c>
      <c r="AC11" s="48">
        <f>AA11*AB11</f>
        <v>0</v>
      </c>
      <c r="AD11" s="278"/>
      <c r="AE11" s="24">
        <v>30</v>
      </c>
      <c r="AF11" s="48">
        <f>AD11*AE11</f>
        <v>0</v>
      </c>
      <c r="AG11" s="278">
        <f t="shared" si="0"/>
        <v>9</v>
      </c>
      <c r="AH11" s="48">
        <f t="shared" si="1"/>
        <v>39</v>
      </c>
      <c r="AI11" s="34">
        <f t="shared" si="2"/>
        <v>114875</v>
      </c>
      <c r="AJ11" s="34"/>
      <c r="AK11" s="216">
        <f t="shared" si="3"/>
        <v>1378.5</v>
      </c>
      <c r="AL11" s="216">
        <f t="shared" si="7"/>
        <v>368.4</v>
      </c>
      <c r="AM11" s="217">
        <f>AL11/AK11</f>
        <v>0.26700000000000002</v>
      </c>
      <c r="AN11" s="50">
        <f t="shared" si="8"/>
        <v>275.89999999999998</v>
      </c>
      <c r="AO11" s="50">
        <f t="shared" si="9"/>
        <v>25.1</v>
      </c>
      <c r="AP11" s="50">
        <f t="shared" si="10"/>
        <v>73.099999999999994</v>
      </c>
      <c r="AQ11" s="50">
        <f t="shared" si="11"/>
        <v>374.1</v>
      </c>
      <c r="AS11" s="66"/>
    </row>
    <row r="12" spans="1:45" x14ac:dyDescent="0.2">
      <c r="A12" s="278">
        <v>4</v>
      </c>
      <c r="B12" s="44" t="s">
        <v>125</v>
      </c>
      <c r="C12" s="278">
        <v>1</v>
      </c>
      <c r="D12" s="177">
        <v>17.917000000000002</v>
      </c>
      <c r="E12" s="214">
        <f>C12*D12</f>
        <v>17.920000000000002</v>
      </c>
      <c r="F12" s="215">
        <f>E12*12</f>
        <v>215</v>
      </c>
      <c r="G12" s="154"/>
      <c r="H12" s="154"/>
      <c r="I12" s="154"/>
      <c r="J12" s="154"/>
      <c r="K12" s="154"/>
      <c r="L12" s="154">
        <f t="shared" si="4"/>
        <v>72.8</v>
      </c>
      <c r="M12" s="154">
        <f>F12+G12+H12+I12+J12+K12+L12</f>
        <v>287.8</v>
      </c>
      <c r="N12" s="171">
        <v>0.47</v>
      </c>
      <c r="O12" s="154">
        <f>M12*N12</f>
        <v>135.30000000000001</v>
      </c>
      <c r="P12" s="154">
        <f>M12+O12</f>
        <v>423.1</v>
      </c>
      <c r="Q12" s="154">
        <f>P12*0.8</f>
        <v>338.5</v>
      </c>
      <c r="R12" s="154">
        <f>P12*0.8</f>
        <v>338.5</v>
      </c>
      <c r="S12" s="154">
        <f>(P12+Q12+R12)*0.032</f>
        <v>35.200000000000003</v>
      </c>
      <c r="T12" s="154">
        <f>P12+Q12+R12+S12</f>
        <v>1135.3</v>
      </c>
      <c r="U12" s="3193"/>
      <c r="V12" s="154">
        <f t="shared" si="5"/>
        <v>1135.3</v>
      </c>
      <c r="W12" s="154">
        <f>AQ12</f>
        <v>336.8</v>
      </c>
      <c r="X12" s="278">
        <v>1</v>
      </c>
      <c r="Y12" s="24">
        <v>30</v>
      </c>
      <c r="Z12" s="48">
        <f>X12*Y12</f>
        <v>30</v>
      </c>
      <c r="AA12" s="278">
        <v>2</v>
      </c>
      <c r="AB12" s="24">
        <v>15</v>
      </c>
      <c r="AC12" s="48">
        <f>AA12*AB12</f>
        <v>30</v>
      </c>
      <c r="AD12" s="278">
        <v>1</v>
      </c>
      <c r="AE12" s="24">
        <v>30</v>
      </c>
      <c r="AF12" s="48">
        <f>AD12*AE12</f>
        <v>30</v>
      </c>
      <c r="AG12" s="278">
        <f t="shared" si="0"/>
        <v>27</v>
      </c>
      <c r="AH12" s="48">
        <f t="shared" si="1"/>
        <v>117</v>
      </c>
      <c r="AI12" s="34">
        <f t="shared" si="2"/>
        <v>94608.3</v>
      </c>
      <c r="AJ12" s="34"/>
      <c r="AK12" s="216">
        <f t="shared" si="3"/>
        <v>1135.3</v>
      </c>
      <c r="AL12" s="216">
        <f t="shared" si="7"/>
        <v>324.10000000000002</v>
      </c>
      <c r="AM12" s="217">
        <f>AL12/AK12</f>
        <v>0.28499999999999998</v>
      </c>
      <c r="AN12" s="50">
        <f t="shared" si="8"/>
        <v>251.5</v>
      </c>
      <c r="AO12" s="50">
        <f>865*0.029</f>
        <v>25.1</v>
      </c>
      <c r="AP12" s="50">
        <f>AK12*0.053</f>
        <v>60.2</v>
      </c>
      <c r="AQ12" s="50">
        <f t="shared" ref="AQ12" si="12">SUM(AN12:AP12)*C12</f>
        <v>336.8</v>
      </c>
      <c r="AS12" s="66"/>
    </row>
    <row r="13" spans="1:45" ht="14.25" customHeight="1" x14ac:dyDescent="0.2">
      <c r="A13" s="278">
        <v>5</v>
      </c>
      <c r="B13" s="218" t="s">
        <v>16</v>
      </c>
      <c r="C13" s="278">
        <v>7</v>
      </c>
      <c r="D13" s="177">
        <v>11.061999999999999</v>
      </c>
      <c r="E13" s="171">
        <f t="shared" ref="E13:E19" si="13">C13*D13</f>
        <v>77.430000000000007</v>
      </c>
      <c r="F13" s="154">
        <f t="shared" ref="F13:F19" si="14">E13*12</f>
        <v>929.2</v>
      </c>
      <c r="G13" s="154"/>
      <c r="H13" s="154">
        <f>0.539+1.617+0.539+2.696+1.078</f>
        <v>6.5</v>
      </c>
      <c r="I13" s="154"/>
      <c r="J13" s="154"/>
      <c r="K13" s="154">
        <f>D13*0.2*12+D13*0.25*4*12+D13*0.4*2</f>
        <v>168.1</v>
      </c>
      <c r="L13" s="154">
        <f t="shared" si="4"/>
        <v>314.39999999999998</v>
      </c>
      <c r="M13" s="154">
        <f t="shared" ref="M13:M19" si="15">F13+G13+H13+I13+J13+K13+L13</f>
        <v>1418.2</v>
      </c>
      <c r="N13" s="171">
        <v>0.43</v>
      </c>
      <c r="O13" s="154">
        <f t="shared" ref="O13:O19" si="16">M13*N13</f>
        <v>609.79999999999995</v>
      </c>
      <c r="P13" s="154">
        <f t="shared" ref="P13:P19" si="17">M13+O13</f>
        <v>2028</v>
      </c>
      <c r="Q13" s="154">
        <f t="shared" ref="Q13:Q19" si="18">P13*0.8</f>
        <v>1622.4</v>
      </c>
      <c r="R13" s="154">
        <f t="shared" ref="R13:R19" si="19">P13*0.8</f>
        <v>1622.4</v>
      </c>
      <c r="S13" s="154">
        <f t="shared" ref="S13:S19" si="20">(P13+Q13+R13)*0.032</f>
        <v>168.7</v>
      </c>
      <c r="T13" s="154">
        <f t="shared" ref="T13:T19" si="21">P13+Q13+R13+S13</f>
        <v>5441.5</v>
      </c>
      <c r="U13" s="3193"/>
      <c r="V13" s="154">
        <f t="shared" si="5"/>
        <v>5441.5</v>
      </c>
      <c r="W13" s="154">
        <f>V13*0.302</f>
        <v>1643.3</v>
      </c>
      <c r="X13" s="54">
        <v>4</v>
      </c>
      <c r="Y13" s="24">
        <v>30</v>
      </c>
      <c r="Z13" s="48">
        <f t="shared" ref="Z13:Z19" si="22">X13*Y13</f>
        <v>120</v>
      </c>
      <c r="AA13" s="54">
        <v>1</v>
      </c>
      <c r="AB13" s="24">
        <v>15</v>
      </c>
      <c r="AC13" s="48">
        <f t="shared" ref="AC13:AC19" si="23">AA13*AB13</f>
        <v>15</v>
      </c>
      <c r="AD13" s="54"/>
      <c r="AE13" s="24">
        <v>30</v>
      </c>
      <c r="AF13" s="48">
        <f t="shared" ref="AF13:AF19" si="24">AD13*AE13</f>
        <v>0</v>
      </c>
      <c r="AG13" s="278">
        <f t="shared" si="0"/>
        <v>40.5</v>
      </c>
      <c r="AH13" s="48">
        <f t="shared" si="1"/>
        <v>175.5</v>
      </c>
      <c r="AI13" s="34">
        <f t="shared" si="2"/>
        <v>64779.8</v>
      </c>
      <c r="AJ13" s="34"/>
      <c r="AK13" s="216">
        <f t="shared" si="3"/>
        <v>777.4</v>
      </c>
      <c r="AL13" s="216">
        <f t="shared" si="7"/>
        <v>259</v>
      </c>
      <c r="AM13" s="217">
        <v>0.30199999999999999</v>
      </c>
      <c r="AN13" s="50"/>
      <c r="AQ13" s="50">
        <f t="shared" si="11"/>
        <v>0</v>
      </c>
      <c r="AS13" s="66"/>
    </row>
    <row r="14" spans="1:45" x14ac:dyDescent="0.2">
      <c r="A14" s="278">
        <v>6</v>
      </c>
      <c r="B14" s="218" t="s">
        <v>16</v>
      </c>
      <c r="C14" s="278">
        <v>1</v>
      </c>
      <c r="D14" s="177">
        <v>11.061999999999999</v>
      </c>
      <c r="E14" s="171">
        <f>C14*D14</f>
        <v>11.06</v>
      </c>
      <c r="F14" s="154">
        <f t="shared" si="14"/>
        <v>132.69999999999999</v>
      </c>
      <c r="G14" s="154"/>
      <c r="H14" s="34">
        <f>5.4+1.617</f>
        <v>7</v>
      </c>
      <c r="I14" s="154"/>
      <c r="J14" s="154"/>
      <c r="K14" s="154">
        <f>F14*0.4</f>
        <v>53.1</v>
      </c>
      <c r="L14" s="154">
        <f t="shared" si="4"/>
        <v>44.9</v>
      </c>
      <c r="M14" s="154">
        <f t="shared" si="15"/>
        <v>237.7</v>
      </c>
      <c r="N14" s="171">
        <v>0.43</v>
      </c>
      <c r="O14" s="154">
        <f t="shared" si="16"/>
        <v>102.2</v>
      </c>
      <c r="P14" s="154">
        <f t="shared" si="17"/>
        <v>339.9</v>
      </c>
      <c r="Q14" s="154">
        <f t="shared" si="18"/>
        <v>271.89999999999998</v>
      </c>
      <c r="R14" s="154">
        <f t="shared" si="19"/>
        <v>271.89999999999998</v>
      </c>
      <c r="S14" s="154">
        <f t="shared" si="20"/>
        <v>28.3</v>
      </c>
      <c r="T14" s="154">
        <f t="shared" si="21"/>
        <v>912</v>
      </c>
      <c r="U14" s="3193"/>
      <c r="V14" s="154">
        <f t="shared" si="5"/>
        <v>912</v>
      </c>
      <c r="W14" s="154">
        <f>AQ14</f>
        <v>274</v>
      </c>
      <c r="X14" s="54">
        <v>1</v>
      </c>
      <c r="Y14" s="24">
        <v>30</v>
      </c>
      <c r="Z14" s="48">
        <f t="shared" si="22"/>
        <v>30</v>
      </c>
      <c r="AA14" s="54"/>
      <c r="AB14" s="24">
        <v>15</v>
      </c>
      <c r="AC14" s="48">
        <f t="shared" si="23"/>
        <v>0</v>
      </c>
      <c r="AD14" s="54"/>
      <c r="AE14" s="24">
        <v>30</v>
      </c>
      <c r="AF14" s="48">
        <f>AD14*AE14</f>
        <v>0</v>
      </c>
      <c r="AG14" s="278">
        <f t="shared" si="0"/>
        <v>9</v>
      </c>
      <c r="AH14" s="48">
        <f t="shared" si="1"/>
        <v>39</v>
      </c>
      <c r="AI14" s="34">
        <f t="shared" si="2"/>
        <v>76000</v>
      </c>
      <c r="AJ14" s="34"/>
      <c r="AK14" s="216">
        <f t="shared" si="3"/>
        <v>912</v>
      </c>
      <c r="AL14" s="216">
        <f t="shared" si="7"/>
        <v>283.5</v>
      </c>
      <c r="AM14" s="217">
        <f>AL14/AK14</f>
        <v>0.311</v>
      </c>
      <c r="AN14" s="50">
        <f t="shared" ref="AN14:AN16" si="25">AK14*0.22</f>
        <v>200.6</v>
      </c>
      <c r="AO14" s="50">
        <f>865*0.029</f>
        <v>25.1</v>
      </c>
      <c r="AP14" s="50">
        <f>AK14*0.053</f>
        <v>48.3</v>
      </c>
      <c r="AQ14" s="50">
        <f t="shared" ref="AQ14" si="26">SUM(AN14:AP14)*C14</f>
        <v>274</v>
      </c>
      <c r="AS14" s="66"/>
    </row>
    <row r="15" spans="1:45" ht="25.5" x14ac:dyDescent="0.2">
      <c r="A15" s="278">
        <v>8</v>
      </c>
      <c r="B15" s="218" t="s">
        <v>45</v>
      </c>
      <c r="C15" s="278">
        <v>1</v>
      </c>
      <c r="D15" s="177">
        <v>11.061999999999999</v>
      </c>
      <c r="E15" s="171">
        <f t="shared" si="13"/>
        <v>11.06</v>
      </c>
      <c r="F15" s="154">
        <f t="shared" si="14"/>
        <v>132.69999999999999</v>
      </c>
      <c r="G15" s="154"/>
      <c r="H15" s="154">
        <v>2.4</v>
      </c>
      <c r="I15" s="154"/>
      <c r="J15" s="154"/>
      <c r="K15" s="154">
        <f>F15*0.4</f>
        <v>53.1</v>
      </c>
      <c r="L15" s="154">
        <f t="shared" si="4"/>
        <v>44.9</v>
      </c>
      <c r="M15" s="154">
        <f t="shared" si="15"/>
        <v>233.1</v>
      </c>
      <c r="N15" s="171">
        <v>0.43</v>
      </c>
      <c r="O15" s="154">
        <f t="shared" si="16"/>
        <v>100.2</v>
      </c>
      <c r="P15" s="154">
        <f t="shared" si="17"/>
        <v>333.3</v>
      </c>
      <c r="Q15" s="154">
        <f t="shared" si="18"/>
        <v>266.60000000000002</v>
      </c>
      <c r="R15" s="154">
        <f t="shared" si="19"/>
        <v>266.60000000000002</v>
      </c>
      <c r="S15" s="154">
        <f t="shared" si="20"/>
        <v>27.7</v>
      </c>
      <c r="T15" s="154">
        <f t="shared" si="21"/>
        <v>894.2</v>
      </c>
      <c r="U15" s="3193"/>
      <c r="V15" s="154">
        <f t="shared" si="5"/>
        <v>894.2</v>
      </c>
      <c r="W15" s="154">
        <f>AQ15</f>
        <v>269.2</v>
      </c>
      <c r="X15" s="54"/>
      <c r="Y15" s="24">
        <v>30</v>
      </c>
      <c r="Z15" s="48">
        <f t="shared" si="22"/>
        <v>0</v>
      </c>
      <c r="AA15" s="54"/>
      <c r="AB15" s="24">
        <v>15</v>
      </c>
      <c r="AC15" s="48">
        <f t="shared" si="23"/>
        <v>0</v>
      </c>
      <c r="AD15" s="54"/>
      <c r="AE15" s="24">
        <v>30</v>
      </c>
      <c r="AF15" s="48">
        <f t="shared" si="24"/>
        <v>0</v>
      </c>
      <c r="AG15" s="278">
        <f t="shared" si="0"/>
        <v>0</v>
      </c>
      <c r="AH15" s="48">
        <f t="shared" si="1"/>
        <v>0</v>
      </c>
      <c r="AI15" s="34">
        <f t="shared" si="2"/>
        <v>74516.7</v>
      </c>
      <c r="AJ15" s="34"/>
      <c r="AK15" s="216">
        <f t="shared" si="3"/>
        <v>894.2</v>
      </c>
      <c r="AL15" s="216">
        <f t="shared" si="7"/>
        <v>280.2</v>
      </c>
      <c r="AM15" s="217">
        <v>0.30199999999999999</v>
      </c>
      <c r="AN15" s="50">
        <f t="shared" si="25"/>
        <v>196.7</v>
      </c>
      <c r="AO15" s="50">
        <f>865*0.029</f>
        <v>25.1</v>
      </c>
      <c r="AP15" s="50">
        <f>AK15*0.053</f>
        <v>47.4</v>
      </c>
      <c r="AQ15" s="50">
        <f t="shared" si="11"/>
        <v>269.2</v>
      </c>
      <c r="AS15" s="66"/>
    </row>
    <row r="16" spans="1:45" ht="25.5" x14ac:dyDescent="0.2">
      <c r="A16" s="278">
        <v>9</v>
      </c>
      <c r="B16" s="218" t="s">
        <v>46</v>
      </c>
      <c r="C16" s="278">
        <v>1</v>
      </c>
      <c r="D16" s="177">
        <v>11.061999999999999</v>
      </c>
      <c r="E16" s="171">
        <f t="shared" si="13"/>
        <v>11.06</v>
      </c>
      <c r="F16" s="154">
        <f t="shared" si="14"/>
        <v>132.69999999999999</v>
      </c>
      <c r="G16" s="154"/>
      <c r="H16" s="154">
        <v>2.4</v>
      </c>
      <c r="I16" s="154"/>
      <c r="J16" s="154"/>
      <c r="K16" s="154">
        <f>F16*0.4</f>
        <v>53.1</v>
      </c>
      <c r="L16" s="154">
        <f t="shared" si="4"/>
        <v>44.9</v>
      </c>
      <c r="M16" s="154">
        <f t="shared" si="15"/>
        <v>233.1</v>
      </c>
      <c r="N16" s="171">
        <v>0.43</v>
      </c>
      <c r="O16" s="154">
        <f t="shared" si="16"/>
        <v>100.2</v>
      </c>
      <c r="P16" s="154">
        <f t="shared" si="17"/>
        <v>333.3</v>
      </c>
      <c r="Q16" s="154">
        <f t="shared" si="18"/>
        <v>266.60000000000002</v>
      </c>
      <c r="R16" s="154">
        <f t="shared" si="19"/>
        <v>266.60000000000002</v>
      </c>
      <c r="S16" s="154">
        <f t="shared" si="20"/>
        <v>27.7</v>
      </c>
      <c r="T16" s="154">
        <f t="shared" si="21"/>
        <v>894.2</v>
      </c>
      <c r="U16" s="3193"/>
      <c r="V16" s="154">
        <f t="shared" si="5"/>
        <v>894.2</v>
      </c>
      <c r="W16" s="154">
        <f>AQ16</f>
        <v>269.2</v>
      </c>
      <c r="X16" s="54">
        <v>1</v>
      </c>
      <c r="Y16" s="24">
        <v>30</v>
      </c>
      <c r="Z16" s="48">
        <f t="shared" si="22"/>
        <v>30</v>
      </c>
      <c r="AA16" s="54">
        <v>1</v>
      </c>
      <c r="AB16" s="24">
        <v>15</v>
      </c>
      <c r="AC16" s="48">
        <f t="shared" si="23"/>
        <v>15</v>
      </c>
      <c r="AD16" s="54">
        <v>1</v>
      </c>
      <c r="AE16" s="24">
        <v>30</v>
      </c>
      <c r="AF16" s="48">
        <f t="shared" si="24"/>
        <v>30</v>
      </c>
      <c r="AG16" s="278">
        <f t="shared" si="0"/>
        <v>22.5</v>
      </c>
      <c r="AH16" s="48">
        <f t="shared" si="1"/>
        <v>97.5</v>
      </c>
      <c r="AI16" s="34">
        <f t="shared" si="2"/>
        <v>74516.7</v>
      </c>
      <c r="AJ16" s="34"/>
      <c r="AK16" s="216">
        <f t="shared" si="3"/>
        <v>894.2</v>
      </c>
      <c r="AL16" s="216">
        <f t="shared" si="7"/>
        <v>280.2</v>
      </c>
      <c r="AM16" s="217">
        <f>AL16/AK16</f>
        <v>0.313</v>
      </c>
      <c r="AN16" s="50">
        <f t="shared" si="25"/>
        <v>196.7</v>
      </c>
      <c r="AO16" s="50">
        <f>865*0.029</f>
        <v>25.1</v>
      </c>
      <c r="AP16" s="50">
        <f>AK16*0.053</f>
        <v>47.4</v>
      </c>
      <c r="AQ16" s="50">
        <f t="shared" si="11"/>
        <v>269.2</v>
      </c>
      <c r="AS16" s="66"/>
    </row>
    <row r="17" spans="1:45" ht="25.5" x14ac:dyDescent="0.2">
      <c r="A17" s="278">
        <v>10</v>
      </c>
      <c r="B17" s="218" t="s">
        <v>100</v>
      </c>
      <c r="C17" s="278">
        <v>1</v>
      </c>
      <c r="D17" s="177">
        <v>11.061999999999999</v>
      </c>
      <c r="E17" s="171">
        <f>C17*D17</f>
        <v>11.06</v>
      </c>
      <c r="F17" s="154">
        <f>E17*12</f>
        <v>132.69999999999999</v>
      </c>
      <c r="G17" s="154"/>
      <c r="H17" s="154">
        <v>5.4</v>
      </c>
      <c r="I17" s="154"/>
      <c r="J17" s="154"/>
      <c r="K17" s="154"/>
      <c r="L17" s="154">
        <f t="shared" si="4"/>
        <v>44.9</v>
      </c>
      <c r="M17" s="154">
        <f>F17+G17+H17+I17+J17+K17+L17</f>
        <v>183</v>
      </c>
      <c r="N17" s="171">
        <v>0.43</v>
      </c>
      <c r="O17" s="154">
        <f>M17*N17</f>
        <v>78.7</v>
      </c>
      <c r="P17" s="154">
        <f>M17+O17</f>
        <v>261.7</v>
      </c>
      <c r="Q17" s="154">
        <f>P17*0.8</f>
        <v>209.4</v>
      </c>
      <c r="R17" s="154">
        <f>P17*0.8</f>
        <v>209.4</v>
      </c>
      <c r="S17" s="154">
        <f>(P17+Q17+R17)*0.032</f>
        <v>21.8</v>
      </c>
      <c r="T17" s="154">
        <f>P17+Q17+R17+S17</f>
        <v>702.3</v>
      </c>
      <c r="U17" s="3193"/>
      <c r="V17" s="154">
        <f t="shared" si="5"/>
        <v>702.3</v>
      </c>
      <c r="W17" s="154">
        <f t="shared" ref="W17:W19" si="27">V17*0.302</f>
        <v>212.1</v>
      </c>
      <c r="X17" s="54">
        <v>1</v>
      </c>
      <c r="Y17" s="24">
        <v>30</v>
      </c>
      <c r="Z17" s="48">
        <f>X17*Y17</f>
        <v>30</v>
      </c>
      <c r="AA17" s="54"/>
      <c r="AB17" s="24">
        <v>15</v>
      </c>
      <c r="AC17" s="48">
        <f>AA17*AB17</f>
        <v>0</v>
      </c>
      <c r="AD17" s="54"/>
      <c r="AE17" s="24">
        <v>30</v>
      </c>
      <c r="AF17" s="48">
        <f>AD17*AE17</f>
        <v>0</v>
      </c>
      <c r="AG17" s="278">
        <f t="shared" si="0"/>
        <v>9</v>
      </c>
      <c r="AH17" s="48">
        <f t="shared" si="1"/>
        <v>39</v>
      </c>
      <c r="AI17" s="34">
        <f t="shared" si="2"/>
        <v>58525</v>
      </c>
      <c r="AJ17" s="34"/>
      <c r="AK17" s="216">
        <f t="shared" si="3"/>
        <v>702.3</v>
      </c>
      <c r="AL17" s="216">
        <f t="shared" si="7"/>
        <v>245.3</v>
      </c>
      <c r="AM17" s="217">
        <f>AL17/AK17</f>
        <v>0.34899999999999998</v>
      </c>
      <c r="AN17" s="50"/>
      <c r="AO17" s="50"/>
      <c r="AP17" s="50"/>
      <c r="AQ17" s="50">
        <f t="shared" si="11"/>
        <v>0</v>
      </c>
      <c r="AS17" s="66"/>
    </row>
    <row r="18" spans="1:45" x14ac:dyDescent="0.2">
      <c r="A18" s="278">
        <v>11</v>
      </c>
      <c r="B18" s="218" t="s">
        <v>105</v>
      </c>
      <c r="C18" s="278">
        <v>2</v>
      </c>
      <c r="D18" s="177">
        <v>8.4730000000000008</v>
      </c>
      <c r="E18" s="171">
        <f t="shared" si="13"/>
        <v>16.95</v>
      </c>
      <c r="F18" s="154">
        <f t="shared" si="14"/>
        <v>203.4</v>
      </c>
      <c r="G18" s="154"/>
      <c r="H18" s="154">
        <v>2.1</v>
      </c>
      <c r="I18" s="154"/>
      <c r="J18" s="154"/>
      <c r="K18" s="154">
        <f>D18*0.35*12+D18*0.3*12+D18*9.5*0.05</f>
        <v>70.099999999999994</v>
      </c>
      <c r="L18" s="154">
        <f t="shared" si="4"/>
        <v>68.8</v>
      </c>
      <c r="M18" s="154">
        <f t="shared" si="15"/>
        <v>344.4</v>
      </c>
      <c r="N18" s="171">
        <v>0.41</v>
      </c>
      <c r="O18" s="154">
        <f t="shared" si="16"/>
        <v>141.19999999999999</v>
      </c>
      <c r="P18" s="154">
        <f t="shared" si="17"/>
        <v>485.6</v>
      </c>
      <c r="Q18" s="154">
        <f t="shared" si="18"/>
        <v>388.5</v>
      </c>
      <c r="R18" s="154">
        <f t="shared" si="19"/>
        <v>388.5</v>
      </c>
      <c r="S18" s="154">
        <f t="shared" si="20"/>
        <v>40.4</v>
      </c>
      <c r="T18" s="154">
        <f t="shared" si="21"/>
        <v>1303</v>
      </c>
      <c r="U18" s="3193"/>
      <c r="V18" s="154">
        <f t="shared" si="5"/>
        <v>1303</v>
      </c>
      <c r="W18" s="154">
        <f t="shared" si="27"/>
        <v>393.5</v>
      </c>
      <c r="X18" s="54"/>
      <c r="Y18" s="24">
        <v>30</v>
      </c>
      <c r="Z18" s="48">
        <f t="shared" si="22"/>
        <v>0</v>
      </c>
      <c r="AA18" s="54"/>
      <c r="AB18" s="24">
        <v>15</v>
      </c>
      <c r="AC18" s="48">
        <f t="shared" si="23"/>
        <v>0</v>
      </c>
      <c r="AD18" s="54"/>
      <c r="AE18" s="24">
        <v>30</v>
      </c>
      <c r="AF18" s="48">
        <f t="shared" si="24"/>
        <v>0</v>
      </c>
      <c r="AG18" s="278">
        <f t="shared" si="0"/>
        <v>0</v>
      </c>
      <c r="AH18" s="48">
        <f t="shared" si="1"/>
        <v>0</v>
      </c>
      <c r="AI18" s="34">
        <f t="shared" si="2"/>
        <v>54291.7</v>
      </c>
      <c r="AJ18" s="34"/>
      <c r="AK18" s="216">
        <f t="shared" si="3"/>
        <v>651.5</v>
      </c>
      <c r="AL18" s="216">
        <f t="shared" si="7"/>
        <v>236.1</v>
      </c>
      <c r="AM18" s="217">
        <v>0.30199999999999999</v>
      </c>
      <c r="AQ18" s="50">
        <f t="shared" si="11"/>
        <v>0</v>
      </c>
      <c r="AS18" s="66"/>
    </row>
    <row r="19" spans="1:45" x14ac:dyDescent="0.2">
      <c r="A19" s="278">
        <v>12</v>
      </c>
      <c r="B19" s="218" t="s">
        <v>47</v>
      </c>
      <c r="C19" s="219">
        <v>1</v>
      </c>
      <c r="D19" s="177">
        <v>6.2859999999999996</v>
      </c>
      <c r="E19" s="171">
        <f t="shared" si="13"/>
        <v>6.29</v>
      </c>
      <c r="F19" s="154">
        <f t="shared" si="14"/>
        <v>75.5</v>
      </c>
      <c r="G19" s="154"/>
      <c r="H19" s="154">
        <v>2.8</v>
      </c>
      <c r="I19" s="154"/>
      <c r="J19" s="154"/>
      <c r="K19" s="154">
        <f>F19*0.2+D19*0.05*9.5</f>
        <v>18.100000000000001</v>
      </c>
      <c r="L19" s="154">
        <f t="shared" si="4"/>
        <v>25.5</v>
      </c>
      <c r="M19" s="154">
        <f t="shared" si="15"/>
        <v>121.9</v>
      </c>
      <c r="N19" s="171">
        <v>0.45</v>
      </c>
      <c r="O19" s="154">
        <f t="shared" si="16"/>
        <v>54.9</v>
      </c>
      <c r="P19" s="154">
        <f t="shared" si="17"/>
        <v>176.8</v>
      </c>
      <c r="Q19" s="154">
        <f t="shared" si="18"/>
        <v>141.4</v>
      </c>
      <c r="R19" s="154">
        <f t="shared" si="19"/>
        <v>141.4</v>
      </c>
      <c r="S19" s="154">
        <f t="shared" si="20"/>
        <v>14.7</v>
      </c>
      <c r="T19" s="154">
        <f t="shared" si="21"/>
        <v>474.3</v>
      </c>
      <c r="U19" s="3193"/>
      <c r="V19" s="154">
        <f t="shared" si="5"/>
        <v>474.3</v>
      </c>
      <c r="W19" s="154">
        <f t="shared" si="27"/>
        <v>143.19999999999999</v>
      </c>
      <c r="X19" s="54">
        <v>1</v>
      </c>
      <c r="Y19" s="24">
        <v>30</v>
      </c>
      <c r="Z19" s="48">
        <f t="shared" si="22"/>
        <v>30</v>
      </c>
      <c r="AA19" s="54"/>
      <c r="AB19" s="24">
        <v>15</v>
      </c>
      <c r="AC19" s="48">
        <f t="shared" si="23"/>
        <v>0</v>
      </c>
      <c r="AD19" s="54">
        <v>1</v>
      </c>
      <c r="AE19" s="24">
        <v>30</v>
      </c>
      <c r="AF19" s="48">
        <f t="shared" si="24"/>
        <v>30</v>
      </c>
      <c r="AG19" s="278">
        <f t="shared" si="0"/>
        <v>18</v>
      </c>
      <c r="AH19" s="48">
        <f t="shared" si="1"/>
        <v>78</v>
      </c>
      <c r="AI19" s="34">
        <f t="shared" si="2"/>
        <v>39525</v>
      </c>
      <c r="AJ19" s="34"/>
      <c r="AK19" s="216">
        <f t="shared" si="3"/>
        <v>474.3</v>
      </c>
      <c r="AL19" s="216">
        <f t="shared" si="7"/>
        <v>203.8</v>
      </c>
      <c r="AM19" s="217">
        <v>0.30199999999999999</v>
      </c>
      <c r="AQ19" s="50">
        <f t="shared" si="11"/>
        <v>0</v>
      </c>
      <c r="AS19" s="66"/>
    </row>
    <row r="20" spans="1:45" s="33" customFormat="1" x14ac:dyDescent="0.2">
      <c r="A20" s="278">
        <v>13</v>
      </c>
      <c r="B20" s="218" t="s">
        <v>48</v>
      </c>
      <c r="C20" s="278">
        <v>1</v>
      </c>
      <c r="D20" s="177">
        <v>11.061999999999999</v>
      </c>
      <c r="E20" s="171">
        <f>C20*D20</f>
        <v>11.06</v>
      </c>
      <c r="F20" s="154">
        <f>E20*12</f>
        <v>132.69999999999999</v>
      </c>
      <c r="G20" s="154"/>
      <c r="H20" s="154">
        <v>1.8</v>
      </c>
      <c r="I20" s="154"/>
      <c r="J20" s="154"/>
      <c r="K20" s="154">
        <f>F20*0.35</f>
        <v>46.4</v>
      </c>
      <c r="L20" s="154">
        <f t="shared" si="4"/>
        <v>44.9</v>
      </c>
      <c r="M20" s="154">
        <f>F20+G20+H20+I20+J20+K20+L20</f>
        <v>225.8</v>
      </c>
      <c r="N20" s="171">
        <v>0.47</v>
      </c>
      <c r="O20" s="154">
        <f>M20*N20</f>
        <v>106.1</v>
      </c>
      <c r="P20" s="154">
        <f>M20+O20</f>
        <v>331.9</v>
      </c>
      <c r="Q20" s="154">
        <f>P20*0.8</f>
        <v>265.5</v>
      </c>
      <c r="R20" s="154">
        <f>P20*0.8</f>
        <v>265.5</v>
      </c>
      <c r="S20" s="154">
        <f>(P20+Q20+R20)*0.032</f>
        <v>27.6</v>
      </c>
      <c r="T20" s="154">
        <f>P20+Q20+R20+S20</f>
        <v>890.5</v>
      </c>
      <c r="U20" s="3193"/>
      <c r="V20" s="154">
        <f t="shared" si="5"/>
        <v>890.5</v>
      </c>
      <c r="W20" s="154">
        <f>AQ20</f>
        <v>268.2</v>
      </c>
      <c r="X20" s="54">
        <v>1</v>
      </c>
      <c r="Y20" s="24">
        <v>30</v>
      </c>
      <c r="Z20" s="48">
        <f>X20*Y20</f>
        <v>30</v>
      </c>
      <c r="AA20" s="54"/>
      <c r="AB20" s="24">
        <v>15</v>
      </c>
      <c r="AC20" s="48">
        <f>AA20*AB20</f>
        <v>0</v>
      </c>
      <c r="AD20" s="54"/>
      <c r="AE20" s="24">
        <v>30</v>
      </c>
      <c r="AF20" s="48">
        <f>AD20*AE20</f>
        <v>0</v>
      </c>
      <c r="AG20" s="278">
        <f t="shared" si="0"/>
        <v>9</v>
      </c>
      <c r="AH20" s="48">
        <f t="shared" si="1"/>
        <v>39</v>
      </c>
      <c r="AI20" s="34">
        <f t="shared" si="2"/>
        <v>74208.3</v>
      </c>
      <c r="AJ20" s="220"/>
      <c r="AK20" s="216">
        <f t="shared" si="3"/>
        <v>890.5</v>
      </c>
      <c r="AL20" s="216">
        <f t="shared" si="7"/>
        <v>279.60000000000002</v>
      </c>
      <c r="AM20" s="217">
        <f>AL20/AK20</f>
        <v>0.314</v>
      </c>
      <c r="AN20" s="50">
        <f t="shared" ref="AN20:AN21" si="28">AK20*0.22</f>
        <v>195.9</v>
      </c>
      <c r="AO20" s="50">
        <f t="shared" ref="AO20:AO21" si="29">865*0.029</f>
        <v>25.1</v>
      </c>
      <c r="AP20" s="50">
        <f t="shared" ref="AP20:AP21" si="30">AK20*0.053</f>
        <v>47.2</v>
      </c>
      <c r="AQ20" s="50">
        <f t="shared" si="11"/>
        <v>268.2</v>
      </c>
      <c r="AS20" s="66"/>
    </row>
    <row r="21" spans="1:45" s="33" customFormat="1" ht="25.5" x14ac:dyDescent="0.2">
      <c r="A21" s="278">
        <v>14</v>
      </c>
      <c r="B21" s="218" t="s">
        <v>31</v>
      </c>
      <c r="C21" s="278">
        <v>5</v>
      </c>
      <c r="D21" s="177">
        <v>11.061999999999999</v>
      </c>
      <c r="E21" s="171">
        <f>C21*D21</f>
        <v>55.31</v>
      </c>
      <c r="F21" s="154">
        <f>E21*12</f>
        <v>663.7</v>
      </c>
      <c r="G21" s="154"/>
      <c r="H21" s="154">
        <f>40.443+1.617+1.078</f>
        <v>43.1</v>
      </c>
      <c r="I21" s="154"/>
      <c r="J21" s="154"/>
      <c r="K21" s="154">
        <f>D21*0.4*4*12+D21*0.35*12+D21*0.05*3</f>
        <v>260.5</v>
      </c>
      <c r="L21" s="154">
        <f t="shared" si="4"/>
        <v>224.6</v>
      </c>
      <c r="M21" s="154">
        <f>F21+G21+H21+I21+J21+K21+L21</f>
        <v>1191.9000000000001</v>
      </c>
      <c r="N21" s="171">
        <v>0.47</v>
      </c>
      <c r="O21" s="154">
        <f>M21*N21</f>
        <v>560.20000000000005</v>
      </c>
      <c r="P21" s="154">
        <f>M21+O21</f>
        <v>1752.1</v>
      </c>
      <c r="Q21" s="154">
        <f>P21*0.8</f>
        <v>1401.7</v>
      </c>
      <c r="R21" s="154">
        <f>P21*0.8</f>
        <v>1401.7</v>
      </c>
      <c r="S21" s="154">
        <f>(P21+Q21+R21)*0.032</f>
        <v>145.80000000000001</v>
      </c>
      <c r="T21" s="154">
        <f>P21+Q21+R21+S21</f>
        <v>4701.3</v>
      </c>
      <c r="U21" s="3193"/>
      <c r="V21" s="154">
        <f t="shared" si="5"/>
        <v>4701.3</v>
      </c>
      <c r="W21" s="154">
        <f>AQ21*C21</f>
        <v>1409</v>
      </c>
      <c r="X21" s="54">
        <v>4</v>
      </c>
      <c r="Y21" s="24">
        <v>30</v>
      </c>
      <c r="Z21" s="48">
        <f>X21*Y21</f>
        <v>120</v>
      </c>
      <c r="AA21" s="54">
        <v>2</v>
      </c>
      <c r="AB21" s="24">
        <v>15</v>
      </c>
      <c r="AC21" s="48">
        <f>AA21*AB21</f>
        <v>30</v>
      </c>
      <c r="AD21" s="54">
        <v>1</v>
      </c>
      <c r="AE21" s="24">
        <v>30</v>
      </c>
      <c r="AF21" s="48">
        <f>AD21*AE21</f>
        <v>30</v>
      </c>
      <c r="AG21" s="278">
        <f t="shared" si="0"/>
        <v>54</v>
      </c>
      <c r="AH21" s="48">
        <f t="shared" si="1"/>
        <v>234</v>
      </c>
      <c r="AI21" s="34">
        <f t="shared" si="2"/>
        <v>78355</v>
      </c>
      <c r="AJ21" s="220"/>
      <c r="AK21" s="216">
        <f t="shared" si="3"/>
        <v>940.3</v>
      </c>
      <c r="AL21" s="216">
        <f t="shared" si="7"/>
        <v>288.60000000000002</v>
      </c>
      <c r="AM21" s="217">
        <v>0.30199999999999999</v>
      </c>
      <c r="AN21" s="211">
        <f t="shared" si="28"/>
        <v>206.86600000000001</v>
      </c>
      <c r="AO21" s="50">
        <f t="shared" si="29"/>
        <v>25.1</v>
      </c>
      <c r="AP21" s="50">
        <f t="shared" si="30"/>
        <v>49.8</v>
      </c>
      <c r="AQ21" s="50">
        <f>SUM(AN21:AP21)</f>
        <v>281.8</v>
      </c>
      <c r="AS21" s="66"/>
    </row>
    <row r="22" spans="1:45" s="33" customFormat="1" ht="25.5" x14ac:dyDescent="0.2">
      <c r="A22" s="278">
        <v>15</v>
      </c>
      <c r="B22" s="218" t="s">
        <v>110</v>
      </c>
      <c r="C22" s="278">
        <v>1</v>
      </c>
      <c r="D22" s="177">
        <v>6.2859999999999996</v>
      </c>
      <c r="E22" s="171">
        <f>C22*D22</f>
        <v>6.29</v>
      </c>
      <c r="F22" s="154">
        <f>E22*12</f>
        <v>75.5</v>
      </c>
      <c r="G22" s="154"/>
      <c r="H22" s="154"/>
      <c r="I22" s="154"/>
      <c r="J22" s="154"/>
      <c r="K22" s="154">
        <f>F22*0.2</f>
        <v>15.1</v>
      </c>
      <c r="L22" s="154">
        <f t="shared" si="4"/>
        <v>25.5</v>
      </c>
      <c r="M22" s="154">
        <f>F22+G22+H22+I22+J22+K22+L22</f>
        <v>116.1</v>
      </c>
      <c r="N22" s="171">
        <v>0.45</v>
      </c>
      <c r="O22" s="154">
        <f>M22*N22</f>
        <v>52.2</v>
      </c>
      <c r="P22" s="154">
        <f>M22+O22</f>
        <v>168.3</v>
      </c>
      <c r="Q22" s="154">
        <f>P22*0.8</f>
        <v>134.6</v>
      </c>
      <c r="R22" s="154">
        <f>P22*0.8</f>
        <v>134.6</v>
      </c>
      <c r="S22" s="154">
        <f>(P22+Q22+R22)*0.032</f>
        <v>14</v>
      </c>
      <c r="T22" s="154">
        <f>P22+Q22+R22+S22</f>
        <v>451.5</v>
      </c>
      <c r="U22" s="3193"/>
      <c r="V22" s="154">
        <f t="shared" si="5"/>
        <v>451.5</v>
      </c>
      <c r="W22" s="154">
        <f t="shared" ref="W22:W51" si="31">V22*0.302</f>
        <v>136.4</v>
      </c>
      <c r="X22" s="54">
        <v>1</v>
      </c>
      <c r="Y22" s="24">
        <v>30</v>
      </c>
      <c r="Z22" s="48">
        <f>X22*Y22</f>
        <v>30</v>
      </c>
      <c r="AA22" s="54"/>
      <c r="AB22" s="24">
        <v>15</v>
      </c>
      <c r="AC22" s="48">
        <f>AA22*AB22</f>
        <v>0</v>
      </c>
      <c r="AD22" s="54"/>
      <c r="AE22" s="24">
        <v>30</v>
      </c>
      <c r="AF22" s="48">
        <f>AD22*AE22</f>
        <v>0</v>
      </c>
      <c r="AG22" s="278">
        <f t="shared" si="0"/>
        <v>9</v>
      </c>
      <c r="AH22" s="48">
        <f t="shared" si="1"/>
        <v>39</v>
      </c>
      <c r="AI22" s="34">
        <f t="shared" si="2"/>
        <v>37625</v>
      </c>
      <c r="AJ22" s="220"/>
      <c r="AK22" s="216">
        <f t="shared" si="3"/>
        <v>451.5</v>
      </c>
      <c r="AL22" s="216">
        <f t="shared" si="7"/>
        <v>199.7</v>
      </c>
      <c r="AM22" s="217">
        <v>0.30199999999999999</v>
      </c>
      <c r="AN22" s="211"/>
      <c r="AO22" s="211"/>
      <c r="AP22" s="211"/>
      <c r="AQ22" s="50">
        <f t="shared" si="11"/>
        <v>0</v>
      </c>
      <c r="AS22" s="66"/>
    </row>
    <row r="23" spans="1:45" x14ac:dyDescent="0.2">
      <c r="A23" s="278">
        <v>16</v>
      </c>
      <c r="B23" s="218" t="s">
        <v>49</v>
      </c>
      <c r="C23" s="54">
        <v>1</v>
      </c>
      <c r="D23" s="177">
        <v>8.4730000000000008</v>
      </c>
      <c r="E23" s="171">
        <f>C23*D23</f>
        <v>8.4700000000000006</v>
      </c>
      <c r="F23" s="154">
        <f t="shared" ref="F23:F41" si="32">E23*12</f>
        <v>101.6</v>
      </c>
      <c r="G23" s="154"/>
      <c r="H23" s="154">
        <v>3.7</v>
      </c>
      <c r="I23" s="154"/>
      <c r="J23" s="154">
        <f>F23*0.1</f>
        <v>10.199999999999999</v>
      </c>
      <c r="K23" s="154">
        <f>F23*0.3</f>
        <v>30.5</v>
      </c>
      <c r="L23" s="154">
        <f t="shared" si="4"/>
        <v>34.4</v>
      </c>
      <c r="M23" s="154">
        <f t="shared" ref="M23:M41" si="33">F23+G23+H23+I23+J23+K23+L23</f>
        <v>180.4</v>
      </c>
      <c r="N23" s="171">
        <v>0.41</v>
      </c>
      <c r="O23" s="154">
        <f t="shared" ref="O23:O41" si="34">M23*N23</f>
        <v>74</v>
      </c>
      <c r="P23" s="154">
        <f t="shared" ref="P23:P41" si="35">M23+O23</f>
        <v>254.4</v>
      </c>
      <c r="Q23" s="154">
        <f t="shared" ref="Q23:Q41" si="36">P23*0.8</f>
        <v>203.5</v>
      </c>
      <c r="R23" s="154">
        <f t="shared" ref="R23:R41" si="37">P23*0.8</f>
        <v>203.5</v>
      </c>
      <c r="S23" s="154">
        <f t="shared" ref="S23:S41" si="38">(P23+Q23+R23)*0.032</f>
        <v>21.2</v>
      </c>
      <c r="T23" s="154">
        <f t="shared" ref="T23:T41" si="39">P23+Q23+R23+S23</f>
        <v>682.6</v>
      </c>
      <c r="U23" s="3193"/>
      <c r="V23" s="154">
        <f t="shared" si="5"/>
        <v>682.6</v>
      </c>
      <c r="W23" s="154">
        <f t="shared" si="31"/>
        <v>206.1</v>
      </c>
      <c r="X23" s="278">
        <v>1</v>
      </c>
      <c r="Y23" s="24">
        <v>30</v>
      </c>
      <c r="Z23" s="48">
        <f>X23*Y23</f>
        <v>30</v>
      </c>
      <c r="AA23" s="54">
        <v>1</v>
      </c>
      <c r="AB23" s="24">
        <v>15</v>
      </c>
      <c r="AC23" s="48">
        <f>AA23*AB23</f>
        <v>15</v>
      </c>
      <c r="AD23" s="54"/>
      <c r="AE23" s="24">
        <v>30</v>
      </c>
      <c r="AF23" s="48">
        <f>AD23*AE23</f>
        <v>0</v>
      </c>
      <c r="AG23" s="278">
        <f t="shared" si="0"/>
        <v>13.5</v>
      </c>
      <c r="AH23" s="48">
        <f t="shared" si="1"/>
        <v>58.5</v>
      </c>
      <c r="AI23" s="34">
        <f t="shared" si="2"/>
        <v>56883.3</v>
      </c>
      <c r="AJ23" s="34"/>
      <c r="AK23" s="216">
        <f t="shared" si="3"/>
        <v>682.6</v>
      </c>
      <c r="AL23" s="216">
        <f t="shared" si="7"/>
        <v>241.7</v>
      </c>
      <c r="AM23" s="217">
        <v>0.30199999999999999</v>
      </c>
      <c r="AQ23" s="50">
        <f t="shared" si="11"/>
        <v>0</v>
      </c>
      <c r="AS23" s="66"/>
    </row>
    <row r="24" spans="1:45" x14ac:dyDescent="0.2">
      <c r="A24" s="278">
        <v>17</v>
      </c>
      <c r="B24" s="218" t="s">
        <v>50</v>
      </c>
      <c r="C24" s="54">
        <v>1</v>
      </c>
      <c r="D24" s="177">
        <v>8.4730000000000008</v>
      </c>
      <c r="E24" s="171">
        <f>C24*D24</f>
        <v>8.4700000000000006</v>
      </c>
      <c r="F24" s="154">
        <f t="shared" si="32"/>
        <v>101.6</v>
      </c>
      <c r="G24" s="154"/>
      <c r="H24" s="154">
        <v>0.4</v>
      </c>
      <c r="I24" s="154"/>
      <c r="J24" s="154">
        <f>F24*0.1</f>
        <v>10.199999999999999</v>
      </c>
      <c r="K24" s="154">
        <f>F24*0.4</f>
        <v>40.6</v>
      </c>
      <c r="L24" s="154">
        <f t="shared" si="4"/>
        <v>34.4</v>
      </c>
      <c r="M24" s="154">
        <f t="shared" si="33"/>
        <v>187.2</v>
      </c>
      <c r="N24" s="171">
        <v>0.41</v>
      </c>
      <c r="O24" s="154">
        <f t="shared" si="34"/>
        <v>76.8</v>
      </c>
      <c r="P24" s="154">
        <f t="shared" si="35"/>
        <v>264</v>
      </c>
      <c r="Q24" s="154">
        <f t="shared" si="36"/>
        <v>211.2</v>
      </c>
      <c r="R24" s="154">
        <f t="shared" si="37"/>
        <v>211.2</v>
      </c>
      <c r="S24" s="154">
        <f t="shared" si="38"/>
        <v>22</v>
      </c>
      <c r="T24" s="154">
        <f t="shared" si="39"/>
        <v>708.4</v>
      </c>
      <c r="U24" s="3193"/>
      <c r="V24" s="154">
        <f t="shared" si="5"/>
        <v>708.4</v>
      </c>
      <c r="W24" s="154">
        <f t="shared" si="31"/>
        <v>213.9</v>
      </c>
      <c r="X24" s="278"/>
      <c r="Y24" s="24">
        <v>30</v>
      </c>
      <c r="Z24" s="48">
        <f>X24*Y24</f>
        <v>0</v>
      </c>
      <c r="AA24" s="54"/>
      <c r="AB24" s="24">
        <v>15</v>
      </c>
      <c r="AC24" s="48">
        <f>AA24*AB24</f>
        <v>0</v>
      </c>
      <c r="AD24" s="54"/>
      <c r="AE24" s="24">
        <v>30</v>
      </c>
      <c r="AF24" s="48">
        <f>AD24*AE24</f>
        <v>0</v>
      </c>
      <c r="AG24" s="278">
        <f t="shared" si="0"/>
        <v>0</v>
      </c>
      <c r="AH24" s="48">
        <f t="shared" si="1"/>
        <v>0</v>
      </c>
      <c r="AI24" s="34">
        <f t="shared" si="2"/>
        <v>59033.3</v>
      </c>
      <c r="AJ24" s="34"/>
      <c r="AK24" s="216">
        <f t="shared" si="3"/>
        <v>708.4</v>
      </c>
      <c r="AL24" s="216">
        <f t="shared" si="7"/>
        <v>246.4</v>
      </c>
      <c r="AM24" s="217">
        <v>0.30199999999999999</v>
      </c>
      <c r="AQ24" s="50">
        <f t="shared" si="11"/>
        <v>0</v>
      </c>
      <c r="AS24" s="66"/>
    </row>
    <row r="25" spans="1:45" ht="25.5" x14ac:dyDescent="0.2">
      <c r="A25" s="278">
        <v>18</v>
      </c>
      <c r="B25" s="218" t="s">
        <v>51</v>
      </c>
      <c r="C25" s="54">
        <v>1</v>
      </c>
      <c r="D25" s="177">
        <v>8.4730000000000008</v>
      </c>
      <c r="E25" s="171">
        <f t="shared" ref="E25:E40" si="40">C25*D25</f>
        <v>8.4700000000000006</v>
      </c>
      <c r="F25" s="154">
        <f t="shared" si="32"/>
        <v>101.6</v>
      </c>
      <c r="G25" s="154"/>
      <c r="H25" s="154">
        <v>2.1</v>
      </c>
      <c r="I25" s="154"/>
      <c r="J25" s="154">
        <f>F25*0.1</f>
        <v>10.199999999999999</v>
      </c>
      <c r="K25" s="154">
        <f>F25*0.4</f>
        <v>40.6</v>
      </c>
      <c r="L25" s="154">
        <f t="shared" si="4"/>
        <v>34.4</v>
      </c>
      <c r="M25" s="154">
        <f t="shared" si="33"/>
        <v>188.9</v>
      </c>
      <c r="N25" s="171">
        <v>0.41</v>
      </c>
      <c r="O25" s="154">
        <f t="shared" si="34"/>
        <v>77.400000000000006</v>
      </c>
      <c r="P25" s="154">
        <f t="shared" si="35"/>
        <v>266.3</v>
      </c>
      <c r="Q25" s="154">
        <f t="shared" si="36"/>
        <v>213</v>
      </c>
      <c r="R25" s="154">
        <f t="shared" si="37"/>
        <v>213</v>
      </c>
      <c r="S25" s="154">
        <f t="shared" si="38"/>
        <v>22.2</v>
      </c>
      <c r="T25" s="154">
        <f t="shared" si="39"/>
        <v>714.5</v>
      </c>
      <c r="U25" s="3193"/>
      <c r="V25" s="154">
        <f t="shared" si="5"/>
        <v>714.5</v>
      </c>
      <c r="W25" s="154">
        <f t="shared" si="31"/>
        <v>215.8</v>
      </c>
      <c r="X25" s="278">
        <v>1</v>
      </c>
      <c r="Y25" s="24">
        <v>30</v>
      </c>
      <c r="Z25" s="48">
        <f t="shared" ref="Z25:Z38" si="41">X25*Y25</f>
        <v>30</v>
      </c>
      <c r="AA25" s="54"/>
      <c r="AB25" s="24">
        <v>15</v>
      </c>
      <c r="AC25" s="48">
        <f t="shared" ref="AC25:AC38" si="42">AA25*AB25</f>
        <v>0</v>
      </c>
      <c r="AD25" s="54"/>
      <c r="AE25" s="24">
        <v>30</v>
      </c>
      <c r="AF25" s="48">
        <f t="shared" ref="AF25:AF41" si="43">AD25*AE25</f>
        <v>0</v>
      </c>
      <c r="AG25" s="278">
        <f t="shared" si="0"/>
        <v>9</v>
      </c>
      <c r="AH25" s="48">
        <f t="shared" si="1"/>
        <v>39</v>
      </c>
      <c r="AI25" s="34">
        <f t="shared" si="2"/>
        <v>59541.7</v>
      </c>
      <c r="AJ25" s="34"/>
      <c r="AK25" s="216">
        <f t="shared" si="3"/>
        <v>714.5</v>
      </c>
      <c r="AL25" s="216">
        <f t="shared" si="7"/>
        <v>247.5</v>
      </c>
      <c r="AM25" s="217">
        <v>0.30199999999999999</v>
      </c>
      <c r="AQ25" s="50">
        <f t="shared" si="11"/>
        <v>0</v>
      </c>
      <c r="AS25" s="66"/>
    </row>
    <row r="26" spans="1:45" x14ac:dyDescent="0.2">
      <c r="A26" s="278">
        <v>19</v>
      </c>
      <c r="B26" s="218" t="s">
        <v>52</v>
      </c>
      <c r="C26" s="54">
        <v>1</v>
      </c>
      <c r="D26" s="177">
        <v>8.4730000000000008</v>
      </c>
      <c r="E26" s="171">
        <f t="shared" si="40"/>
        <v>8.4700000000000006</v>
      </c>
      <c r="F26" s="154">
        <f t="shared" si="32"/>
        <v>101.6</v>
      </c>
      <c r="G26" s="154"/>
      <c r="H26" s="154">
        <v>1.4</v>
      </c>
      <c r="I26" s="154"/>
      <c r="J26" s="154"/>
      <c r="K26" s="154">
        <f>D26*0.25*7.7+D26*0.3*4.3</f>
        <v>27.2</v>
      </c>
      <c r="L26" s="154">
        <f t="shared" si="4"/>
        <v>34.4</v>
      </c>
      <c r="M26" s="154">
        <f t="shared" si="33"/>
        <v>164.6</v>
      </c>
      <c r="N26" s="171">
        <v>0.41</v>
      </c>
      <c r="O26" s="154">
        <f t="shared" si="34"/>
        <v>67.5</v>
      </c>
      <c r="P26" s="154">
        <f t="shared" si="35"/>
        <v>232.1</v>
      </c>
      <c r="Q26" s="154">
        <f t="shared" si="36"/>
        <v>185.7</v>
      </c>
      <c r="R26" s="154">
        <f t="shared" si="37"/>
        <v>185.7</v>
      </c>
      <c r="S26" s="154">
        <f t="shared" si="38"/>
        <v>19.3</v>
      </c>
      <c r="T26" s="154">
        <f t="shared" si="39"/>
        <v>622.79999999999995</v>
      </c>
      <c r="U26" s="3193"/>
      <c r="V26" s="154">
        <f t="shared" si="5"/>
        <v>622.79999999999995</v>
      </c>
      <c r="W26" s="154">
        <f t="shared" si="31"/>
        <v>188.1</v>
      </c>
      <c r="X26" s="278">
        <v>1</v>
      </c>
      <c r="Y26" s="24">
        <v>30</v>
      </c>
      <c r="Z26" s="48">
        <f t="shared" si="41"/>
        <v>30</v>
      </c>
      <c r="AA26" s="54"/>
      <c r="AB26" s="24">
        <v>15</v>
      </c>
      <c r="AC26" s="48">
        <f t="shared" si="42"/>
        <v>0</v>
      </c>
      <c r="AD26" s="54"/>
      <c r="AE26" s="24">
        <v>30</v>
      </c>
      <c r="AF26" s="48">
        <f t="shared" si="43"/>
        <v>0</v>
      </c>
      <c r="AG26" s="278">
        <f t="shared" si="0"/>
        <v>9</v>
      </c>
      <c r="AH26" s="48">
        <f t="shared" si="1"/>
        <v>39</v>
      </c>
      <c r="AI26" s="34">
        <f t="shared" si="2"/>
        <v>51900</v>
      </c>
      <c r="AJ26" s="34"/>
      <c r="AK26" s="216">
        <f t="shared" si="3"/>
        <v>622.79999999999995</v>
      </c>
      <c r="AL26" s="216">
        <f t="shared" si="7"/>
        <v>230.8</v>
      </c>
      <c r="AM26" s="217">
        <v>0.30199999999999999</v>
      </c>
      <c r="AQ26" s="50">
        <f t="shared" si="11"/>
        <v>0</v>
      </c>
      <c r="AS26" s="66"/>
    </row>
    <row r="27" spans="1:45" ht="26.25" customHeight="1" x14ac:dyDescent="0.2">
      <c r="A27" s="278">
        <v>20</v>
      </c>
      <c r="B27" s="218" t="s">
        <v>53</v>
      </c>
      <c r="C27" s="49">
        <f>1-0.5</f>
        <v>0.5</v>
      </c>
      <c r="D27" s="177">
        <v>8.4730000000000008</v>
      </c>
      <c r="E27" s="171">
        <f t="shared" si="40"/>
        <v>4.24</v>
      </c>
      <c r="F27" s="154">
        <f t="shared" si="32"/>
        <v>50.9</v>
      </c>
      <c r="G27" s="154"/>
      <c r="H27" s="154"/>
      <c r="I27" s="154"/>
      <c r="J27" s="154"/>
      <c r="K27" s="154"/>
      <c r="L27" s="154">
        <f t="shared" si="4"/>
        <v>17.2</v>
      </c>
      <c r="M27" s="154">
        <f t="shared" si="33"/>
        <v>68.099999999999994</v>
      </c>
      <c r="N27" s="171">
        <v>0.41</v>
      </c>
      <c r="O27" s="154">
        <f t="shared" si="34"/>
        <v>27.9</v>
      </c>
      <c r="P27" s="154">
        <f t="shared" si="35"/>
        <v>96</v>
      </c>
      <c r="Q27" s="154">
        <f t="shared" si="36"/>
        <v>76.8</v>
      </c>
      <c r="R27" s="154">
        <f t="shared" si="37"/>
        <v>76.8</v>
      </c>
      <c r="S27" s="154">
        <f t="shared" si="38"/>
        <v>8</v>
      </c>
      <c r="T27" s="154">
        <f t="shared" si="39"/>
        <v>257.60000000000002</v>
      </c>
      <c r="U27" s="3193"/>
      <c r="V27" s="154">
        <f t="shared" si="5"/>
        <v>257.60000000000002</v>
      </c>
      <c r="W27" s="154">
        <f t="shared" si="31"/>
        <v>77.8</v>
      </c>
      <c r="X27" s="278"/>
      <c r="Y27" s="24">
        <v>30</v>
      </c>
      <c r="Z27" s="48">
        <f t="shared" si="41"/>
        <v>0</v>
      </c>
      <c r="AA27" s="54"/>
      <c r="AB27" s="24">
        <v>15</v>
      </c>
      <c r="AC27" s="48">
        <f t="shared" si="42"/>
        <v>0</v>
      </c>
      <c r="AD27" s="54"/>
      <c r="AE27" s="24">
        <v>30</v>
      </c>
      <c r="AF27" s="48">
        <f t="shared" si="43"/>
        <v>0</v>
      </c>
      <c r="AG27" s="278">
        <f t="shared" si="0"/>
        <v>0</v>
      </c>
      <c r="AH27" s="48">
        <f t="shared" si="1"/>
        <v>0</v>
      </c>
      <c r="AI27" s="34">
        <f t="shared" si="2"/>
        <v>42933.3</v>
      </c>
      <c r="AJ27" s="34"/>
      <c r="AK27" s="216">
        <f t="shared" si="3"/>
        <v>515.20000000000005</v>
      </c>
      <c r="AL27" s="216">
        <f t="shared" si="7"/>
        <v>211.2</v>
      </c>
      <c r="AM27" s="217">
        <v>0.30199999999999999</v>
      </c>
      <c r="AQ27" s="50">
        <f t="shared" si="11"/>
        <v>0</v>
      </c>
      <c r="AS27" s="66"/>
    </row>
    <row r="28" spans="1:45" x14ac:dyDescent="0.2">
      <c r="A28" s="278">
        <v>21</v>
      </c>
      <c r="B28" s="218" t="s">
        <v>54</v>
      </c>
      <c r="C28" s="54">
        <v>1</v>
      </c>
      <c r="D28" s="177">
        <v>11.061999999999999</v>
      </c>
      <c r="E28" s="171">
        <f t="shared" si="40"/>
        <v>11.06</v>
      </c>
      <c r="F28" s="154">
        <f t="shared" si="32"/>
        <v>132.69999999999999</v>
      </c>
      <c r="G28" s="154"/>
      <c r="H28" s="154">
        <v>3.2</v>
      </c>
      <c r="I28" s="154"/>
      <c r="J28" s="154">
        <f>F28*0.1</f>
        <v>13.3</v>
      </c>
      <c r="K28" s="154">
        <f>F28*0.3</f>
        <v>39.799999999999997</v>
      </c>
      <c r="L28" s="154">
        <f t="shared" si="4"/>
        <v>44.9</v>
      </c>
      <c r="M28" s="154">
        <f t="shared" si="33"/>
        <v>233.9</v>
      </c>
      <c r="N28" s="171">
        <v>0.43</v>
      </c>
      <c r="O28" s="154">
        <f t="shared" si="34"/>
        <v>100.6</v>
      </c>
      <c r="P28" s="154">
        <f t="shared" si="35"/>
        <v>334.5</v>
      </c>
      <c r="Q28" s="154">
        <f t="shared" si="36"/>
        <v>267.60000000000002</v>
      </c>
      <c r="R28" s="154">
        <f t="shared" si="37"/>
        <v>267.60000000000002</v>
      </c>
      <c r="S28" s="154">
        <f t="shared" si="38"/>
        <v>27.8</v>
      </c>
      <c r="T28" s="154">
        <f t="shared" si="39"/>
        <v>897.5</v>
      </c>
      <c r="U28" s="3193"/>
      <c r="V28" s="154">
        <f t="shared" si="5"/>
        <v>897.5</v>
      </c>
      <c r="W28" s="154">
        <f>AQ28</f>
        <v>270.2</v>
      </c>
      <c r="X28" s="278"/>
      <c r="Y28" s="24">
        <v>30</v>
      </c>
      <c r="Z28" s="48">
        <f t="shared" si="41"/>
        <v>0</v>
      </c>
      <c r="AA28" s="54"/>
      <c r="AB28" s="24">
        <v>15</v>
      </c>
      <c r="AC28" s="48">
        <f t="shared" si="42"/>
        <v>0</v>
      </c>
      <c r="AD28" s="54"/>
      <c r="AE28" s="24">
        <v>30</v>
      </c>
      <c r="AF28" s="48">
        <f t="shared" si="43"/>
        <v>0</v>
      </c>
      <c r="AG28" s="278">
        <f t="shared" si="0"/>
        <v>0</v>
      </c>
      <c r="AH28" s="48">
        <f>Z28+AC28+AF28+AG28</f>
        <v>0</v>
      </c>
      <c r="AI28" s="34">
        <f t="shared" si="2"/>
        <v>74791.7</v>
      </c>
      <c r="AJ28" s="34"/>
      <c r="AK28" s="216">
        <f t="shared" si="3"/>
        <v>897.5</v>
      </c>
      <c r="AL28" s="216">
        <f t="shared" si="7"/>
        <v>280.8</v>
      </c>
      <c r="AM28" s="217">
        <v>0.30199999999999999</v>
      </c>
      <c r="AN28" s="221">
        <f t="shared" ref="AN28:AN29" si="44">AK28*0.22</f>
        <v>197.5</v>
      </c>
      <c r="AO28" s="50">
        <f t="shared" ref="AO28:AO29" si="45">865*0.029</f>
        <v>25.1</v>
      </c>
      <c r="AP28" s="50">
        <f t="shared" ref="AP28:AP29" si="46">AK28*0.053</f>
        <v>47.6</v>
      </c>
      <c r="AQ28" s="50">
        <f t="shared" si="11"/>
        <v>270.2</v>
      </c>
      <c r="AS28" s="66"/>
    </row>
    <row r="29" spans="1:45" x14ac:dyDescent="0.2">
      <c r="A29" s="278">
        <v>22</v>
      </c>
      <c r="B29" s="218" t="s">
        <v>40</v>
      </c>
      <c r="C29" s="54">
        <v>2</v>
      </c>
      <c r="D29" s="177">
        <v>11.061999999999999</v>
      </c>
      <c r="E29" s="171">
        <f t="shared" si="40"/>
        <v>22.12</v>
      </c>
      <c r="F29" s="154">
        <f t="shared" si="32"/>
        <v>265.39999999999998</v>
      </c>
      <c r="G29" s="154"/>
      <c r="H29" s="154">
        <v>3.2</v>
      </c>
      <c r="I29" s="154"/>
      <c r="J29" s="154"/>
      <c r="K29" s="154">
        <f>D29*0.4*12+D29*0.35*12</f>
        <v>99.6</v>
      </c>
      <c r="L29" s="154">
        <f t="shared" si="4"/>
        <v>89.8</v>
      </c>
      <c r="M29" s="154">
        <f t="shared" si="33"/>
        <v>458</v>
      </c>
      <c r="N29" s="171">
        <v>0.43</v>
      </c>
      <c r="O29" s="154">
        <f t="shared" si="34"/>
        <v>196.9</v>
      </c>
      <c r="P29" s="154">
        <f t="shared" si="35"/>
        <v>654.9</v>
      </c>
      <c r="Q29" s="154">
        <f t="shared" si="36"/>
        <v>523.9</v>
      </c>
      <c r="R29" s="154">
        <f t="shared" si="37"/>
        <v>523.9</v>
      </c>
      <c r="S29" s="154">
        <f t="shared" si="38"/>
        <v>54.5</v>
      </c>
      <c r="T29" s="154">
        <f t="shared" si="39"/>
        <v>1757.2</v>
      </c>
      <c r="U29" s="3193"/>
      <c r="V29" s="154">
        <f t="shared" si="5"/>
        <v>1757.2</v>
      </c>
      <c r="W29" s="154">
        <f>AQ29*C29</f>
        <v>530</v>
      </c>
      <c r="X29" s="278">
        <v>1</v>
      </c>
      <c r="Y29" s="24">
        <v>30</v>
      </c>
      <c r="Z29" s="48">
        <f t="shared" si="41"/>
        <v>30</v>
      </c>
      <c r="AA29" s="54">
        <v>2</v>
      </c>
      <c r="AB29" s="24">
        <v>15</v>
      </c>
      <c r="AC29" s="48">
        <f t="shared" si="42"/>
        <v>30</v>
      </c>
      <c r="AD29" s="54"/>
      <c r="AE29" s="24">
        <v>30</v>
      </c>
      <c r="AF29" s="48">
        <f t="shared" si="43"/>
        <v>0</v>
      </c>
      <c r="AG29" s="278">
        <f t="shared" si="0"/>
        <v>18</v>
      </c>
      <c r="AH29" s="48">
        <f t="shared" ref="AH29:AH41" si="47">Z29+AC29+AF29+AG29</f>
        <v>78</v>
      </c>
      <c r="AI29" s="34">
        <f t="shared" si="2"/>
        <v>73216.7</v>
      </c>
      <c r="AJ29" s="34"/>
      <c r="AK29" s="216">
        <f t="shared" si="3"/>
        <v>878.6</v>
      </c>
      <c r="AL29" s="216">
        <f t="shared" si="7"/>
        <v>277.39999999999998</v>
      </c>
      <c r="AM29" s="217">
        <v>0.30199999999999999</v>
      </c>
      <c r="AN29" s="221">
        <f t="shared" si="44"/>
        <v>193.3</v>
      </c>
      <c r="AO29" s="50">
        <f t="shared" si="45"/>
        <v>25.1</v>
      </c>
      <c r="AP29" s="50">
        <f t="shared" si="46"/>
        <v>46.6</v>
      </c>
      <c r="AQ29" s="50">
        <f t="shared" si="11"/>
        <v>265</v>
      </c>
      <c r="AS29" s="66"/>
    </row>
    <row r="30" spans="1:45" x14ac:dyDescent="0.2">
      <c r="A30" s="278">
        <v>23</v>
      </c>
      <c r="B30" s="218" t="s">
        <v>55</v>
      </c>
      <c r="C30" s="54">
        <v>1</v>
      </c>
      <c r="D30" s="213">
        <v>8.4730000000000008</v>
      </c>
      <c r="E30" s="171">
        <f t="shared" si="40"/>
        <v>8.4700000000000006</v>
      </c>
      <c r="F30" s="154">
        <f t="shared" si="32"/>
        <v>101.6</v>
      </c>
      <c r="G30" s="154"/>
      <c r="H30" s="154">
        <v>2.1</v>
      </c>
      <c r="I30" s="154"/>
      <c r="J30" s="154">
        <f>F30*0.1</f>
        <v>10.199999999999999</v>
      </c>
      <c r="K30" s="154">
        <f>D30*0.3*12</f>
        <v>30.5</v>
      </c>
      <c r="L30" s="154">
        <f t="shared" si="4"/>
        <v>34.4</v>
      </c>
      <c r="M30" s="154">
        <f t="shared" si="33"/>
        <v>178.8</v>
      </c>
      <c r="N30" s="171">
        <v>0.41</v>
      </c>
      <c r="O30" s="154">
        <f t="shared" si="34"/>
        <v>73.3</v>
      </c>
      <c r="P30" s="154">
        <f t="shared" si="35"/>
        <v>252.1</v>
      </c>
      <c r="Q30" s="154">
        <f t="shared" si="36"/>
        <v>201.7</v>
      </c>
      <c r="R30" s="154">
        <f t="shared" si="37"/>
        <v>201.7</v>
      </c>
      <c r="S30" s="154">
        <f t="shared" si="38"/>
        <v>21</v>
      </c>
      <c r="T30" s="154">
        <f t="shared" si="39"/>
        <v>676.5</v>
      </c>
      <c r="U30" s="3193"/>
      <c r="V30" s="154">
        <f t="shared" si="5"/>
        <v>676.5</v>
      </c>
      <c r="W30" s="154">
        <f t="shared" si="31"/>
        <v>204.3</v>
      </c>
      <c r="X30" s="278">
        <v>1</v>
      </c>
      <c r="Y30" s="24">
        <v>30</v>
      </c>
      <c r="Z30" s="48">
        <f t="shared" si="41"/>
        <v>30</v>
      </c>
      <c r="AA30" s="54">
        <v>1</v>
      </c>
      <c r="AB30" s="24">
        <v>15</v>
      </c>
      <c r="AC30" s="48">
        <f t="shared" si="42"/>
        <v>15</v>
      </c>
      <c r="AD30" s="54">
        <v>1</v>
      </c>
      <c r="AE30" s="24">
        <v>30</v>
      </c>
      <c r="AF30" s="48">
        <f t="shared" si="43"/>
        <v>30</v>
      </c>
      <c r="AG30" s="278">
        <f t="shared" si="0"/>
        <v>22.5</v>
      </c>
      <c r="AH30" s="48">
        <f t="shared" si="47"/>
        <v>97.5</v>
      </c>
      <c r="AI30" s="34">
        <f t="shared" si="2"/>
        <v>56375</v>
      </c>
      <c r="AJ30" s="34"/>
      <c r="AK30" s="216">
        <f t="shared" si="3"/>
        <v>676.5</v>
      </c>
      <c r="AL30" s="216">
        <f t="shared" si="7"/>
        <v>240.6</v>
      </c>
      <c r="AM30" s="217">
        <f>AL30/AK30</f>
        <v>0.35599999999999998</v>
      </c>
      <c r="AN30" s="222"/>
      <c r="AO30" s="50"/>
      <c r="AP30" s="50"/>
      <c r="AQ30" s="50">
        <f t="shared" si="11"/>
        <v>0</v>
      </c>
      <c r="AS30" s="66"/>
    </row>
    <row r="31" spans="1:45" x14ac:dyDescent="0.2">
      <c r="A31" s="278">
        <v>24</v>
      </c>
      <c r="B31" s="218" t="s">
        <v>29</v>
      </c>
      <c r="C31" s="54">
        <v>3</v>
      </c>
      <c r="D31" s="213">
        <v>8.4730000000000008</v>
      </c>
      <c r="E31" s="171">
        <f t="shared" si="40"/>
        <v>25.42</v>
      </c>
      <c r="F31" s="154">
        <f t="shared" si="32"/>
        <v>305</v>
      </c>
      <c r="G31" s="154"/>
      <c r="H31" s="154">
        <v>61.7</v>
      </c>
      <c r="I31" s="154"/>
      <c r="J31" s="154"/>
      <c r="K31" s="154">
        <f>D31*0.3*12+D31*0.05*2</f>
        <v>31.4</v>
      </c>
      <c r="L31" s="154">
        <f t="shared" si="4"/>
        <v>103.2</v>
      </c>
      <c r="M31" s="154">
        <f t="shared" si="33"/>
        <v>501.3</v>
      </c>
      <c r="N31" s="171">
        <v>0.41</v>
      </c>
      <c r="O31" s="154">
        <f t="shared" si="34"/>
        <v>205.5</v>
      </c>
      <c r="P31" s="154">
        <f t="shared" si="35"/>
        <v>706.8</v>
      </c>
      <c r="Q31" s="154">
        <f t="shared" si="36"/>
        <v>565.4</v>
      </c>
      <c r="R31" s="154">
        <f t="shared" si="37"/>
        <v>565.4</v>
      </c>
      <c r="S31" s="154">
        <f t="shared" si="38"/>
        <v>58.8</v>
      </c>
      <c r="T31" s="154">
        <f t="shared" si="39"/>
        <v>1896.4</v>
      </c>
      <c r="U31" s="3193"/>
      <c r="V31" s="154">
        <f t="shared" si="5"/>
        <v>1896.4</v>
      </c>
      <c r="W31" s="154">
        <f t="shared" si="31"/>
        <v>572.70000000000005</v>
      </c>
      <c r="X31" s="278">
        <v>1</v>
      </c>
      <c r="Y31" s="24">
        <v>30</v>
      </c>
      <c r="Z31" s="48">
        <f t="shared" si="41"/>
        <v>30</v>
      </c>
      <c r="AA31" s="54">
        <v>3</v>
      </c>
      <c r="AB31" s="24">
        <v>15</v>
      </c>
      <c r="AC31" s="48">
        <f t="shared" si="42"/>
        <v>45</v>
      </c>
      <c r="AD31" s="54"/>
      <c r="AE31" s="24">
        <v>30</v>
      </c>
      <c r="AF31" s="48">
        <f t="shared" si="43"/>
        <v>0</v>
      </c>
      <c r="AG31" s="278">
        <f t="shared" si="0"/>
        <v>22.5</v>
      </c>
      <c r="AH31" s="48">
        <f t="shared" si="47"/>
        <v>97.5</v>
      </c>
      <c r="AI31" s="34">
        <f t="shared" si="2"/>
        <v>52677.8</v>
      </c>
      <c r="AJ31" s="34"/>
      <c r="AK31" s="216">
        <f t="shared" si="3"/>
        <v>632.1</v>
      </c>
      <c r="AL31" s="216">
        <f t="shared" si="7"/>
        <v>232.5</v>
      </c>
      <c r="AM31" s="217">
        <v>0.30199999999999999</v>
      </c>
      <c r="AN31" s="223"/>
      <c r="AO31" s="62"/>
      <c r="AP31" s="62"/>
      <c r="AQ31" s="50">
        <f t="shared" si="11"/>
        <v>0</v>
      </c>
      <c r="AS31" s="66"/>
    </row>
    <row r="32" spans="1:45" ht="13.5" customHeight="1" x14ac:dyDescent="0.2">
      <c r="A32" s="278">
        <v>25</v>
      </c>
      <c r="B32" s="218" t="s">
        <v>42</v>
      </c>
      <c r="C32" s="54">
        <v>1</v>
      </c>
      <c r="D32" s="177">
        <v>11.061999999999999</v>
      </c>
      <c r="E32" s="171">
        <f t="shared" si="40"/>
        <v>11.06</v>
      </c>
      <c r="F32" s="154">
        <f t="shared" si="32"/>
        <v>132.69999999999999</v>
      </c>
      <c r="G32" s="154"/>
      <c r="H32" s="154">
        <v>4.8</v>
      </c>
      <c r="I32" s="154"/>
      <c r="J32" s="154">
        <f>F32*0.1</f>
        <v>13.3</v>
      </c>
      <c r="K32" s="154">
        <f>D32*0.25*12</f>
        <v>33.200000000000003</v>
      </c>
      <c r="L32" s="154">
        <f t="shared" si="4"/>
        <v>44.9</v>
      </c>
      <c r="M32" s="154">
        <f t="shared" si="33"/>
        <v>228.9</v>
      </c>
      <c r="N32" s="171">
        <v>0.43</v>
      </c>
      <c r="O32" s="154">
        <f t="shared" si="34"/>
        <v>98.4</v>
      </c>
      <c r="P32" s="154">
        <f t="shared" si="35"/>
        <v>327.3</v>
      </c>
      <c r="Q32" s="154">
        <f t="shared" si="36"/>
        <v>261.8</v>
      </c>
      <c r="R32" s="154">
        <f t="shared" si="37"/>
        <v>261.8</v>
      </c>
      <c r="S32" s="154">
        <f t="shared" si="38"/>
        <v>27.2</v>
      </c>
      <c r="T32" s="154">
        <f t="shared" si="39"/>
        <v>878.1</v>
      </c>
      <c r="U32" s="3193"/>
      <c r="V32" s="154">
        <f t="shared" si="5"/>
        <v>878.1</v>
      </c>
      <c r="W32" s="154">
        <f>AQ32</f>
        <v>264.8</v>
      </c>
      <c r="X32" s="278"/>
      <c r="Y32" s="24">
        <v>30</v>
      </c>
      <c r="Z32" s="48">
        <f t="shared" si="41"/>
        <v>0</v>
      </c>
      <c r="AA32" s="54"/>
      <c r="AB32" s="24">
        <v>15</v>
      </c>
      <c r="AC32" s="48">
        <f t="shared" si="42"/>
        <v>0</v>
      </c>
      <c r="AD32" s="54"/>
      <c r="AE32" s="24">
        <v>30</v>
      </c>
      <c r="AF32" s="48">
        <f t="shared" si="43"/>
        <v>0</v>
      </c>
      <c r="AG32" s="278">
        <f t="shared" si="0"/>
        <v>0</v>
      </c>
      <c r="AH32" s="48">
        <f t="shared" si="47"/>
        <v>0</v>
      </c>
      <c r="AI32" s="34">
        <f t="shared" si="2"/>
        <v>73175</v>
      </c>
      <c r="AJ32" s="34"/>
      <c r="AK32" s="216">
        <f t="shared" si="3"/>
        <v>878.1</v>
      </c>
      <c r="AL32" s="216">
        <f t="shared" si="7"/>
        <v>277.3</v>
      </c>
      <c r="AM32" s="217">
        <v>0.30199999999999999</v>
      </c>
      <c r="AN32" s="221">
        <f t="shared" ref="AN32" si="48">AK32*0.22</f>
        <v>193.2</v>
      </c>
      <c r="AO32" s="50">
        <f t="shared" ref="AO32" si="49">865*0.029</f>
        <v>25.1</v>
      </c>
      <c r="AP32" s="50">
        <f t="shared" ref="AP32" si="50">AK32*0.053</f>
        <v>46.5</v>
      </c>
      <c r="AQ32" s="50">
        <f t="shared" ref="AQ32" si="51">SUM(AN32:AP32)</f>
        <v>264.8</v>
      </c>
      <c r="AS32" s="66"/>
    </row>
    <row r="33" spans="1:45" ht="25.5" x14ac:dyDescent="0.2">
      <c r="A33" s="278">
        <v>26</v>
      </c>
      <c r="B33" s="218" t="s">
        <v>108</v>
      </c>
      <c r="C33" s="54">
        <v>4</v>
      </c>
      <c r="D33" s="177">
        <v>8.4730000000000008</v>
      </c>
      <c r="E33" s="171">
        <f t="shared" si="40"/>
        <v>33.89</v>
      </c>
      <c r="F33" s="154">
        <f t="shared" si="32"/>
        <v>406.7</v>
      </c>
      <c r="G33" s="154"/>
      <c r="H33" s="154">
        <v>1.2</v>
      </c>
      <c r="I33" s="154"/>
      <c r="J33" s="154"/>
      <c r="K33" s="154">
        <f>D33*0.4*12+D33*0.35*12</f>
        <v>76.3</v>
      </c>
      <c r="L33" s="154">
        <f t="shared" si="4"/>
        <v>137.6</v>
      </c>
      <c r="M33" s="154">
        <f t="shared" si="33"/>
        <v>621.79999999999995</v>
      </c>
      <c r="N33" s="171">
        <v>0.47</v>
      </c>
      <c r="O33" s="154">
        <f t="shared" si="34"/>
        <v>292.2</v>
      </c>
      <c r="P33" s="154">
        <f t="shared" si="35"/>
        <v>914</v>
      </c>
      <c r="Q33" s="154">
        <f t="shared" si="36"/>
        <v>731.2</v>
      </c>
      <c r="R33" s="154">
        <f t="shared" si="37"/>
        <v>731.2</v>
      </c>
      <c r="S33" s="154">
        <f t="shared" si="38"/>
        <v>76</v>
      </c>
      <c r="T33" s="154">
        <f t="shared" si="39"/>
        <v>2452.4</v>
      </c>
      <c r="U33" s="3193"/>
      <c r="V33" s="154">
        <f t="shared" si="5"/>
        <v>2452.4</v>
      </c>
      <c r="W33" s="154">
        <f t="shared" si="31"/>
        <v>740.6</v>
      </c>
      <c r="X33" s="278">
        <v>1</v>
      </c>
      <c r="Y33" s="24">
        <v>30</v>
      </c>
      <c r="Z33" s="48">
        <f t="shared" si="41"/>
        <v>30</v>
      </c>
      <c r="AA33" s="54">
        <v>1</v>
      </c>
      <c r="AB33" s="24">
        <v>15</v>
      </c>
      <c r="AC33" s="48">
        <f t="shared" si="42"/>
        <v>15</v>
      </c>
      <c r="AD33" s="54"/>
      <c r="AE33" s="24">
        <v>30</v>
      </c>
      <c r="AF33" s="48">
        <f t="shared" si="43"/>
        <v>0</v>
      </c>
      <c r="AG33" s="278">
        <f t="shared" si="0"/>
        <v>13.5</v>
      </c>
      <c r="AH33" s="48">
        <f t="shared" si="47"/>
        <v>58.5</v>
      </c>
      <c r="AI33" s="34">
        <f t="shared" si="2"/>
        <v>51091.7</v>
      </c>
      <c r="AJ33" s="34"/>
      <c r="AK33" s="216">
        <f t="shared" si="3"/>
        <v>613.1</v>
      </c>
      <c r="AL33" s="216">
        <f t="shared" si="7"/>
        <v>229.1</v>
      </c>
      <c r="AM33" s="217">
        <v>0.30199999999999999</v>
      </c>
      <c r="AN33" s="223"/>
      <c r="AO33" s="62"/>
      <c r="AP33" s="62"/>
      <c r="AQ33" s="50">
        <f t="shared" si="11"/>
        <v>0</v>
      </c>
      <c r="AS33" s="66"/>
    </row>
    <row r="34" spans="1:45" ht="13.5" customHeight="1" x14ac:dyDescent="0.2">
      <c r="A34" s="278">
        <v>27</v>
      </c>
      <c r="B34" s="218" t="s">
        <v>56</v>
      </c>
      <c r="C34" s="57">
        <v>2</v>
      </c>
      <c r="D34" s="177">
        <v>11.061999999999999</v>
      </c>
      <c r="E34" s="171">
        <f t="shared" si="40"/>
        <v>22.12</v>
      </c>
      <c r="F34" s="154">
        <f t="shared" si="32"/>
        <v>265.39999999999998</v>
      </c>
      <c r="G34" s="154"/>
      <c r="H34" s="154">
        <v>1.1000000000000001</v>
      </c>
      <c r="I34" s="154"/>
      <c r="J34" s="154">
        <f>D34*0.1*2*12</f>
        <v>26.5</v>
      </c>
      <c r="K34" s="154">
        <f>D34*0.4*12+D34*0.25*12</f>
        <v>86.3</v>
      </c>
      <c r="L34" s="154">
        <f t="shared" si="4"/>
        <v>89.8</v>
      </c>
      <c r="M34" s="154">
        <f t="shared" si="33"/>
        <v>469.1</v>
      </c>
      <c r="N34" s="171">
        <v>0.43</v>
      </c>
      <c r="O34" s="154">
        <f t="shared" si="34"/>
        <v>201.7</v>
      </c>
      <c r="P34" s="154">
        <f t="shared" si="35"/>
        <v>670.8</v>
      </c>
      <c r="Q34" s="154">
        <f t="shared" si="36"/>
        <v>536.6</v>
      </c>
      <c r="R34" s="154">
        <f t="shared" si="37"/>
        <v>536.6</v>
      </c>
      <c r="S34" s="154">
        <f t="shared" si="38"/>
        <v>55.8</v>
      </c>
      <c r="T34" s="154">
        <f t="shared" si="39"/>
        <v>1799.8</v>
      </c>
      <c r="U34" s="3193"/>
      <c r="V34" s="154">
        <f t="shared" si="5"/>
        <v>1799.8</v>
      </c>
      <c r="W34" s="154">
        <f>AQ34*C34</f>
        <v>541.6</v>
      </c>
      <c r="X34" s="278">
        <v>2</v>
      </c>
      <c r="Y34" s="24">
        <v>30</v>
      </c>
      <c r="Z34" s="48">
        <f t="shared" si="41"/>
        <v>60</v>
      </c>
      <c r="AA34" s="54">
        <v>2</v>
      </c>
      <c r="AB34" s="24">
        <v>15</v>
      </c>
      <c r="AC34" s="48">
        <f t="shared" si="42"/>
        <v>30</v>
      </c>
      <c r="AD34" s="54"/>
      <c r="AE34" s="24">
        <v>30</v>
      </c>
      <c r="AF34" s="48">
        <f t="shared" si="43"/>
        <v>0</v>
      </c>
      <c r="AG34" s="278">
        <f t="shared" si="0"/>
        <v>27</v>
      </c>
      <c r="AH34" s="48">
        <f t="shared" si="47"/>
        <v>117</v>
      </c>
      <c r="AI34" s="34">
        <f t="shared" si="2"/>
        <v>74991.7</v>
      </c>
      <c r="AJ34" s="34"/>
      <c r="AK34" s="216">
        <f t="shared" si="3"/>
        <v>899.9</v>
      </c>
      <c r="AL34" s="216">
        <f t="shared" si="7"/>
        <v>281.3</v>
      </c>
      <c r="AM34" s="217">
        <v>0.30199999999999999</v>
      </c>
      <c r="AN34" s="221">
        <f t="shared" ref="AN34" si="52">AK34*0.22</f>
        <v>198</v>
      </c>
      <c r="AO34" s="50">
        <f t="shared" ref="AO34" si="53">865*0.029</f>
        <v>25.1</v>
      </c>
      <c r="AP34" s="50">
        <f t="shared" ref="AP34" si="54">AK34*0.053</f>
        <v>47.7</v>
      </c>
      <c r="AQ34" s="50">
        <f t="shared" ref="AQ34" si="55">SUM(AN34:AP34)</f>
        <v>270.8</v>
      </c>
      <c r="AS34" s="66"/>
    </row>
    <row r="35" spans="1:45" ht="25.5" x14ac:dyDescent="0.2">
      <c r="A35" s="278">
        <v>28</v>
      </c>
      <c r="B35" s="218" t="s">
        <v>101</v>
      </c>
      <c r="C35" s="57">
        <v>1</v>
      </c>
      <c r="D35" s="177">
        <v>11.061999999999999</v>
      </c>
      <c r="E35" s="171">
        <f>C35*D35</f>
        <v>11.06</v>
      </c>
      <c r="F35" s="154">
        <f t="shared" si="32"/>
        <v>132.69999999999999</v>
      </c>
      <c r="G35" s="154"/>
      <c r="H35" s="154">
        <v>4.8</v>
      </c>
      <c r="I35" s="154"/>
      <c r="J35" s="154"/>
      <c r="K35" s="154">
        <f>D35*0.25*12</f>
        <v>33.200000000000003</v>
      </c>
      <c r="L35" s="154">
        <f t="shared" si="4"/>
        <v>44.9</v>
      </c>
      <c r="M35" s="154">
        <f t="shared" si="33"/>
        <v>215.6</v>
      </c>
      <c r="N35" s="171">
        <v>0.43</v>
      </c>
      <c r="O35" s="154">
        <f t="shared" si="34"/>
        <v>92.7</v>
      </c>
      <c r="P35" s="154">
        <f t="shared" si="35"/>
        <v>308.3</v>
      </c>
      <c r="Q35" s="154">
        <f t="shared" si="36"/>
        <v>246.6</v>
      </c>
      <c r="R35" s="154">
        <f t="shared" si="37"/>
        <v>246.6</v>
      </c>
      <c r="S35" s="154">
        <f t="shared" si="38"/>
        <v>25.6</v>
      </c>
      <c r="T35" s="154">
        <f t="shared" si="39"/>
        <v>827.1</v>
      </c>
      <c r="U35" s="3193"/>
      <c r="V35" s="154">
        <f t="shared" si="5"/>
        <v>827.1</v>
      </c>
      <c r="W35" s="154">
        <f t="shared" si="31"/>
        <v>249.8</v>
      </c>
      <c r="X35" s="278">
        <v>1</v>
      </c>
      <c r="Y35" s="24">
        <v>30</v>
      </c>
      <c r="Z35" s="48">
        <f t="shared" si="41"/>
        <v>30</v>
      </c>
      <c r="AA35" s="54"/>
      <c r="AB35" s="24">
        <v>15</v>
      </c>
      <c r="AC35" s="48">
        <f t="shared" si="42"/>
        <v>0</v>
      </c>
      <c r="AD35" s="54"/>
      <c r="AE35" s="24">
        <v>30</v>
      </c>
      <c r="AF35" s="48">
        <f t="shared" si="43"/>
        <v>0</v>
      </c>
      <c r="AG35" s="278">
        <f t="shared" si="0"/>
        <v>9</v>
      </c>
      <c r="AH35" s="48">
        <f t="shared" si="47"/>
        <v>39</v>
      </c>
      <c r="AI35" s="34">
        <f t="shared" si="2"/>
        <v>68925</v>
      </c>
      <c r="AJ35" s="34"/>
      <c r="AK35" s="216">
        <f t="shared" si="3"/>
        <v>827.1</v>
      </c>
      <c r="AL35" s="216">
        <f t="shared" si="7"/>
        <v>268</v>
      </c>
      <c r="AM35" s="217">
        <v>0.30199999999999999</v>
      </c>
      <c r="AN35" s="62"/>
      <c r="AO35" s="62"/>
      <c r="AP35" s="62"/>
      <c r="AQ35" s="50">
        <f t="shared" si="11"/>
        <v>0</v>
      </c>
      <c r="AS35" s="66"/>
    </row>
    <row r="36" spans="1:45" x14ac:dyDescent="0.2">
      <c r="A36" s="278">
        <v>29</v>
      </c>
      <c r="B36" s="218" t="s">
        <v>33</v>
      </c>
      <c r="C36" s="57">
        <v>1</v>
      </c>
      <c r="D36" s="177">
        <v>8.4730000000000008</v>
      </c>
      <c r="E36" s="171">
        <f>C36*D36</f>
        <v>8.4700000000000006</v>
      </c>
      <c r="F36" s="154">
        <f t="shared" si="32"/>
        <v>101.6</v>
      </c>
      <c r="G36" s="154"/>
      <c r="H36" s="154">
        <v>2.9</v>
      </c>
      <c r="I36" s="154"/>
      <c r="J36" s="154"/>
      <c r="K36" s="154"/>
      <c r="L36" s="154">
        <f t="shared" si="4"/>
        <v>34.4</v>
      </c>
      <c r="M36" s="154">
        <f t="shared" si="33"/>
        <v>138.9</v>
      </c>
      <c r="N36" s="171">
        <v>0.41</v>
      </c>
      <c r="O36" s="154">
        <f t="shared" si="34"/>
        <v>56.9</v>
      </c>
      <c r="P36" s="154">
        <f t="shared" si="35"/>
        <v>195.8</v>
      </c>
      <c r="Q36" s="154">
        <f t="shared" si="36"/>
        <v>156.6</v>
      </c>
      <c r="R36" s="154">
        <f t="shared" si="37"/>
        <v>156.6</v>
      </c>
      <c r="S36" s="154">
        <f t="shared" si="38"/>
        <v>16.3</v>
      </c>
      <c r="T36" s="154">
        <f t="shared" si="39"/>
        <v>525.29999999999995</v>
      </c>
      <c r="U36" s="3193"/>
      <c r="V36" s="154">
        <f t="shared" si="5"/>
        <v>525.29999999999995</v>
      </c>
      <c r="W36" s="154">
        <f t="shared" si="31"/>
        <v>158.6</v>
      </c>
      <c r="X36" s="278"/>
      <c r="Y36" s="24">
        <v>30</v>
      </c>
      <c r="Z36" s="48">
        <f t="shared" si="41"/>
        <v>0</v>
      </c>
      <c r="AA36" s="54"/>
      <c r="AB36" s="24">
        <v>15</v>
      </c>
      <c r="AC36" s="48">
        <f t="shared" si="42"/>
        <v>0</v>
      </c>
      <c r="AD36" s="54"/>
      <c r="AE36" s="24">
        <v>30</v>
      </c>
      <c r="AF36" s="48">
        <f t="shared" si="43"/>
        <v>0</v>
      </c>
      <c r="AG36" s="278">
        <f t="shared" si="0"/>
        <v>0</v>
      </c>
      <c r="AH36" s="48">
        <f t="shared" si="47"/>
        <v>0</v>
      </c>
      <c r="AI36" s="34">
        <f t="shared" si="2"/>
        <v>43775</v>
      </c>
      <c r="AJ36" s="34"/>
      <c r="AK36" s="216">
        <f t="shared" si="3"/>
        <v>525.29999999999995</v>
      </c>
      <c r="AL36" s="216">
        <f t="shared" si="7"/>
        <v>213.1</v>
      </c>
      <c r="AM36" s="217">
        <v>0.30199999999999999</v>
      </c>
      <c r="AN36" s="76"/>
      <c r="AO36" s="76"/>
      <c r="AP36" s="76"/>
      <c r="AQ36" s="50">
        <f t="shared" si="11"/>
        <v>0</v>
      </c>
      <c r="AS36" s="66"/>
    </row>
    <row r="37" spans="1:45" ht="25.5" x14ac:dyDescent="0.2">
      <c r="A37" s="278">
        <v>30</v>
      </c>
      <c r="B37" s="218" t="s">
        <v>130</v>
      </c>
      <c r="C37" s="57">
        <v>1</v>
      </c>
      <c r="D37" s="177">
        <v>8.4730000000000008</v>
      </c>
      <c r="E37" s="171">
        <f t="shared" ref="E37" si="56">C37*D37</f>
        <v>8.4700000000000006</v>
      </c>
      <c r="F37" s="154">
        <f>E37*12</f>
        <v>101.6</v>
      </c>
      <c r="G37" s="154"/>
      <c r="H37" s="154"/>
      <c r="I37" s="154"/>
      <c r="J37" s="154"/>
      <c r="K37" s="154"/>
      <c r="L37" s="154">
        <f t="shared" si="4"/>
        <v>34.4</v>
      </c>
      <c r="M37" s="154">
        <f t="shared" si="33"/>
        <v>136</v>
      </c>
      <c r="N37" s="171">
        <v>0.47</v>
      </c>
      <c r="O37" s="154">
        <f t="shared" si="34"/>
        <v>63.9</v>
      </c>
      <c r="P37" s="154">
        <f t="shared" si="35"/>
        <v>199.9</v>
      </c>
      <c r="Q37" s="154">
        <f t="shared" si="36"/>
        <v>159.9</v>
      </c>
      <c r="R37" s="154">
        <f t="shared" si="37"/>
        <v>159.9</v>
      </c>
      <c r="S37" s="154">
        <f t="shared" si="38"/>
        <v>16.600000000000001</v>
      </c>
      <c r="T37" s="154">
        <f t="shared" si="39"/>
        <v>536.29999999999995</v>
      </c>
      <c r="U37" s="3193"/>
      <c r="V37" s="154">
        <f t="shared" si="5"/>
        <v>536.29999999999995</v>
      </c>
      <c r="W37" s="154">
        <f t="shared" si="31"/>
        <v>162</v>
      </c>
      <c r="X37" s="278"/>
      <c r="Y37" s="24">
        <v>30</v>
      </c>
      <c r="Z37" s="48">
        <f t="shared" si="41"/>
        <v>0</v>
      </c>
      <c r="AA37" s="54"/>
      <c r="AB37" s="24">
        <v>15</v>
      </c>
      <c r="AC37" s="48">
        <f t="shared" si="42"/>
        <v>0</v>
      </c>
      <c r="AD37" s="54"/>
      <c r="AE37" s="24">
        <v>30</v>
      </c>
      <c r="AF37" s="48">
        <f t="shared" si="43"/>
        <v>0</v>
      </c>
      <c r="AG37" s="278">
        <f t="shared" si="0"/>
        <v>0</v>
      </c>
      <c r="AH37" s="48">
        <f t="shared" si="47"/>
        <v>0</v>
      </c>
      <c r="AI37" s="34">
        <f>V37/11/C37*1000</f>
        <v>48754.5</v>
      </c>
      <c r="AJ37" s="34"/>
      <c r="AK37" s="216">
        <f t="shared" si="3"/>
        <v>536.29999999999995</v>
      </c>
      <c r="AL37" s="216">
        <f t="shared" si="7"/>
        <v>215.1</v>
      </c>
      <c r="AM37" s="217">
        <v>0.30199999999999999</v>
      </c>
      <c r="AN37" s="62"/>
      <c r="AO37" s="62"/>
      <c r="AP37" s="62"/>
      <c r="AQ37" s="50">
        <f t="shared" si="11"/>
        <v>0</v>
      </c>
      <c r="AS37" s="66"/>
    </row>
    <row r="38" spans="1:45" ht="25.5" x14ac:dyDescent="0.2">
      <c r="A38" s="278">
        <v>31</v>
      </c>
      <c r="B38" s="218" t="s">
        <v>109</v>
      </c>
      <c r="C38" s="57">
        <v>1</v>
      </c>
      <c r="D38" s="177">
        <v>4.4569999999999999</v>
      </c>
      <c r="E38" s="171">
        <f t="shared" si="40"/>
        <v>4.46</v>
      </c>
      <c r="F38" s="154">
        <f t="shared" si="32"/>
        <v>53.5</v>
      </c>
      <c r="G38" s="154"/>
      <c r="H38" s="154">
        <v>1.7</v>
      </c>
      <c r="I38" s="154"/>
      <c r="J38" s="154"/>
      <c r="K38" s="154"/>
      <c r="L38" s="154">
        <v>26</v>
      </c>
      <c r="M38" s="154">
        <f t="shared" si="33"/>
        <v>81.2</v>
      </c>
      <c r="N38" s="171">
        <v>0.61</v>
      </c>
      <c r="O38" s="154">
        <f t="shared" si="34"/>
        <v>49.5</v>
      </c>
      <c r="P38" s="154">
        <f t="shared" si="35"/>
        <v>130.69999999999999</v>
      </c>
      <c r="Q38" s="154">
        <f t="shared" si="36"/>
        <v>104.6</v>
      </c>
      <c r="R38" s="154">
        <f t="shared" si="37"/>
        <v>104.6</v>
      </c>
      <c r="S38" s="154">
        <f t="shared" si="38"/>
        <v>10.9</v>
      </c>
      <c r="T38" s="154">
        <f t="shared" si="39"/>
        <v>350.8</v>
      </c>
      <c r="U38" s="3193"/>
      <c r="V38" s="154">
        <f t="shared" si="5"/>
        <v>350.8</v>
      </c>
      <c r="W38" s="154">
        <f t="shared" si="31"/>
        <v>105.9</v>
      </c>
      <c r="X38" s="278">
        <v>1</v>
      </c>
      <c r="Y38" s="24">
        <v>30</v>
      </c>
      <c r="Z38" s="48">
        <f t="shared" si="41"/>
        <v>30</v>
      </c>
      <c r="AA38" s="278">
        <v>1</v>
      </c>
      <c r="AB38" s="24">
        <v>15</v>
      </c>
      <c r="AC38" s="48">
        <f t="shared" si="42"/>
        <v>15</v>
      </c>
      <c r="AD38" s="278"/>
      <c r="AE38" s="24">
        <v>30</v>
      </c>
      <c r="AF38" s="48">
        <f t="shared" si="43"/>
        <v>0</v>
      </c>
      <c r="AG38" s="278">
        <f t="shared" si="0"/>
        <v>13.5</v>
      </c>
      <c r="AH38" s="48">
        <f t="shared" si="47"/>
        <v>58.5</v>
      </c>
      <c r="AI38" s="34">
        <f>V38/12/C38*1000</f>
        <v>29233.3</v>
      </c>
      <c r="AJ38" s="34"/>
      <c r="AK38" s="216">
        <f t="shared" si="3"/>
        <v>350.8</v>
      </c>
      <c r="AL38" s="216">
        <f t="shared" si="7"/>
        <v>181.3</v>
      </c>
      <c r="AM38" s="217">
        <v>0.30199999999999999</v>
      </c>
      <c r="AN38" s="76"/>
      <c r="AO38" s="76"/>
      <c r="AP38" s="76"/>
      <c r="AQ38" s="50">
        <f t="shared" si="11"/>
        <v>0</v>
      </c>
      <c r="AS38" s="66"/>
    </row>
    <row r="39" spans="1:45" ht="15.75" customHeight="1" x14ac:dyDescent="0.2">
      <c r="A39" s="278">
        <v>32</v>
      </c>
      <c r="B39" s="218" t="s">
        <v>57</v>
      </c>
      <c r="C39" s="49">
        <f>2-0.5</f>
        <v>1.5</v>
      </c>
      <c r="D39" s="177">
        <v>4.3769999999999998</v>
      </c>
      <c r="E39" s="171">
        <f t="shared" si="40"/>
        <v>6.57</v>
      </c>
      <c r="F39" s="215">
        <f t="shared" si="32"/>
        <v>78.8</v>
      </c>
      <c r="G39" s="154"/>
      <c r="H39" s="154">
        <v>1.4</v>
      </c>
      <c r="I39" s="154"/>
      <c r="J39" s="154"/>
      <c r="K39" s="154"/>
      <c r="L39" s="154">
        <v>70</v>
      </c>
      <c r="M39" s="154">
        <f t="shared" si="33"/>
        <v>150.19999999999999</v>
      </c>
      <c r="N39" s="171">
        <v>0.49</v>
      </c>
      <c r="O39" s="154">
        <f t="shared" si="34"/>
        <v>73.599999999999994</v>
      </c>
      <c r="P39" s="154">
        <f t="shared" si="35"/>
        <v>223.8</v>
      </c>
      <c r="Q39" s="154">
        <f t="shared" si="36"/>
        <v>179</v>
      </c>
      <c r="R39" s="154">
        <f t="shared" si="37"/>
        <v>179</v>
      </c>
      <c r="S39" s="154">
        <f t="shared" si="38"/>
        <v>18.600000000000001</v>
      </c>
      <c r="T39" s="154">
        <f t="shared" si="39"/>
        <v>600.4</v>
      </c>
      <c r="U39" s="3193"/>
      <c r="V39" s="154">
        <f t="shared" si="5"/>
        <v>600.4</v>
      </c>
      <c r="W39" s="154">
        <f t="shared" si="31"/>
        <v>181.3</v>
      </c>
      <c r="X39" s="278"/>
      <c r="Y39" s="24">
        <v>30</v>
      </c>
      <c r="Z39" s="48">
        <f>X39*Y39</f>
        <v>0</v>
      </c>
      <c r="AA39" s="278"/>
      <c r="AB39" s="24">
        <v>15</v>
      </c>
      <c r="AC39" s="48">
        <f>AA39*AB39</f>
        <v>0</v>
      </c>
      <c r="AD39" s="278"/>
      <c r="AE39" s="24">
        <v>30</v>
      </c>
      <c r="AF39" s="48">
        <f t="shared" si="43"/>
        <v>0</v>
      </c>
      <c r="AG39" s="278">
        <f t="shared" si="0"/>
        <v>0</v>
      </c>
      <c r="AH39" s="48">
        <f t="shared" si="47"/>
        <v>0</v>
      </c>
      <c r="AI39" s="34">
        <f>V39/12/C39*1000</f>
        <v>33355.599999999999</v>
      </c>
      <c r="AJ39" s="34"/>
      <c r="AK39" s="216">
        <f t="shared" si="3"/>
        <v>400.3</v>
      </c>
      <c r="AL39" s="216">
        <f t="shared" si="7"/>
        <v>190.3</v>
      </c>
      <c r="AM39" s="217">
        <v>0.30199999999999999</v>
      </c>
      <c r="AN39" s="76"/>
      <c r="AO39" s="76"/>
      <c r="AP39" s="76"/>
      <c r="AQ39" s="50">
        <f t="shared" si="11"/>
        <v>0</v>
      </c>
      <c r="AS39" s="66"/>
    </row>
    <row r="40" spans="1:45" x14ac:dyDescent="0.2">
      <c r="A40" s="278">
        <v>33</v>
      </c>
      <c r="B40" s="218" t="s">
        <v>92</v>
      </c>
      <c r="C40" s="224">
        <v>1</v>
      </c>
      <c r="D40" s="177">
        <v>4.3769999999999998</v>
      </c>
      <c r="E40" s="171">
        <f t="shared" si="40"/>
        <v>4.38</v>
      </c>
      <c r="F40" s="154">
        <f t="shared" si="32"/>
        <v>52.6</v>
      </c>
      <c r="G40" s="154"/>
      <c r="H40" s="154">
        <f>2773.8/1000</f>
        <v>2.8</v>
      </c>
      <c r="I40" s="154"/>
      <c r="J40" s="154"/>
      <c r="K40" s="154"/>
      <c r="L40" s="154">
        <v>38.1</v>
      </c>
      <c r="M40" s="154">
        <f t="shared" si="33"/>
        <v>93.5</v>
      </c>
      <c r="N40" s="171">
        <v>0.47</v>
      </c>
      <c r="O40" s="154">
        <f t="shared" si="34"/>
        <v>43.9</v>
      </c>
      <c r="P40" s="154">
        <f t="shared" si="35"/>
        <v>137.4</v>
      </c>
      <c r="Q40" s="154">
        <f t="shared" si="36"/>
        <v>109.9</v>
      </c>
      <c r="R40" s="154">
        <f t="shared" si="37"/>
        <v>109.9</v>
      </c>
      <c r="S40" s="154">
        <f t="shared" si="38"/>
        <v>11.4</v>
      </c>
      <c r="T40" s="154">
        <f t="shared" si="39"/>
        <v>368.6</v>
      </c>
      <c r="U40" s="3193"/>
      <c r="V40" s="154">
        <f t="shared" si="5"/>
        <v>368.6</v>
      </c>
      <c r="W40" s="154">
        <f t="shared" si="31"/>
        <v>111.3</v>
      </c>
      <c r="X40" s="278">
        <v>1</v>
      </c>
      <c r="Y40" s="24">
        <v>30</v>
      </c>
      <c r="Z40" s="48">
        <f>X40*Y40</f>
        <v>30</v>
      </c>
      <c r="AA40" s="278"/>
      <c r="AB40" s="24">
        <v>15</v>
      </c>
      <c r="AC40" s="48">
        <f>AA40*AB40</f>
        <v>0</v>
      </c>
      <c r="AD40" s="278"/>
      <c r="AE40" s="24">
        <v>30</v>
      </c>
      <c r="AF40" s="48">
        <f t="shared" si="43"/>
        <v>0</v>
      </c>
      <c r="AG40" s="278">
        <f t="shared" si="0"/>
        <v>9</v>
      </c>
      <c r="AH40" s="48">
        <f t="shared" si="47"/>
        <v>39</v>
      </c>
      <c r="AI40" s="34">
        <f>V40/12/C40*1000</f>
        <v>30716.7</v>
      </c>
      <c r="AJ40" s="34"/>
      <c r="AK40" s="216">
        <f t="shared" si="3"/>
        <v>368.6</v>
      </c>
      <c r="AL40" s="216">
        <f t="shared" si="7"/>
        <v>184.6</v>
      </c>
      <c r="AM40" s="217">
        <v>0.30199999999999999</v>
      </c>
      <c r="AN40" s="76"/>
      <c r="AO40" s="76"/>
      <c r="AP40" s="76"/>
      <c r="AQ40" s="50">
        <f t="shared" si="11"/>
        <v>0</v>
      </c>
      <c r="AS40" s="66"/>
    </row>
    <row r="41" spans="1:45" ht="25.5" x14ac:dyDescent="0.2">
      <c r="A41" s="278">
        <v>34</v>
      </c>
      <c r="B41" s="218" t="s">
        <v>102</v>
      </c>
      <c r="C41" s="58">
        <v>2</v>
      </c>
      <c r="D41" s="177">
        <v>4.3769999999999998</v>
      </c>
      <c r="E41" s="171">
        <f>C41*D41</f>
        <v>8.75</v>
      </c>
      <c r="F41" s="215">
        <f t="shared" si="32"/>
        <v>105</v>
      </c>
      <c r="G41" s="154"/>
      <c r="H41" s="154">
        <v>3.3</v>
      </c>
      <c r="I41" s="154"/>
      <c r="J41" s="154"/>
      <c r="K41" s="154"/>
      <c r="L41" s="154">
        <v>70</v>
      </c>
      <c r="M41" s="154">
        <f t="shared" si="33"/>
        <v>178.3</v>
      </c>
      <c r="N41" s="171">
        <v>0.49</v>
      </c>
      <c r="O41" s="154">
        <f t="shared" si="34"/>
        <v>87.4</v>
      </c>
      <c r="P41" s="154">
        <f t="shared" si="35"/>
        <v>265.7</v>
      </c>
      <c r="Q41" s="154">
        <f t="shared" si="36"/>
        <v>212.6</v>
      </c>
      <c r="R41" s="154">
        <f t="shared" si="37"/>
        <v>212.6</v>
      </c>
      <c r="S41" s="154">
        <f t="shared" si="38"/>
        <v>22.1</v>
      </c>
      <c r="T41" s="154">
        <f t="shared" si="39"/>
        <v>713</v>
      </c>
      <c r="U41" s="3193"/>
      <c r="V41" s="154">
        <f t="shared" si="5"/>
        <v>713</v>
      </c>
      <c r="W41" s="154">
        <f t="shared" si="31"/>
        <v>215.3</v>
      </c>
      <c r="X41" s="278">
        <v>1</v>
      </c>
      <c r="Y41" s="24">
        <v>30</v>
      </c>
      <c r="Z41" s="48">
        <f>X41*Y41</f>
        <v>30</v>
      </c>
      <c r="AA41" s="278"/>
      <c r="AB41" s="24">
        <v>15</v>
      </c>
      <c r="AC41" s="48">
        <f>AA41*AB41</f>
        <v>0</v>
      </c>
      <c r="AD41" s="278"/>
      <c r="AE41" s="24">
        <v>30</v>
      </c>
      <c r="AF41" s="48">
        <f t="shared" si="43"/>
        <v>0</v>
      </c>
      <c r="AG41" s="278">
        <f t="shared" si="0"/>
        <v>9</v>
      </c>
      <c r="AH41" s="48">
        <f t="shared" si="47"/>
        <v>39</v>
      </c>
      <c r="AI41" s="34">
        <f>V41/12/C41*1000</f>
        <v>29708.3</v>
      </c>
      <c r="AJ41" s="34"/>
      <c r="AK41" s="216">
        <f t="shared" si="3"/>
        <v>356.5</v>
      </c>
      <c r="AL41" s="216">
        <f t="shared" si="7"/>
        <v>182.4</v>
      </c>
      <c r="AM41" s="217">
        <v>0.30199999999999999</v>
      </c>
      <c r="AN41" s="76"/>
      <c r="AO41" s="76"/>
      <c r="AP41" s="76"/>
      <c r="AQ41" s="50">
        <f t="shared" si="11"/>
        <v>0</v>
      </c>
      <c r="AS41" s="66"/>
    </row>
    <row r="42" spans="1:45" x14ac:dyDescent="0.2">
      <c r="A42" s="225" t="s">
        <v>126</v>
      </c>
      <c r="B42" s="218"/>
      <c r="C42" s="58"/>
      <c r="D42" s="177"/>
      <c r="E42" s="171"/>
      <c r="F42" s="215"/>
      <c r="G42" s="154"/>
      <c r="H42" s="154"/>
      <c r="I42" s="154"/>
      <c r="J42" s="154"/>
      <c r="K42" s="154"/>
      <c r="L42" s="154"/>
      <c r="M42" s="154"/>
      <c r="N42" s="171"/>
      <c r="O42" s="154"/>
      <c r="P42" s="154"/>
      <c r="Q42" s="154"/>
      <c r="R42" s="154"/>
      <c r="S42" s="154"/>
      <c r="T42" s="154"/>
      <c r="U42" s="3193"/>
      <c r="V42" s="154"/>
      <c r="W42" s="154">
        <f t="shared" si="31"/>
        <v>0</v>
      </c>
      <c r="X42" s="278"/>
      <c r="Y42" s="24"/>
      <c r="Z42" s="48"/>
      <c r="AA42" s="278"/>
      <c r="AB42" s="24"/>
      <c r="AC42" s="48"/>
      <c r="AD42" s="278"/>
      <c r="AE42" s="24"/>
      <c r="AF42" s="48"/>
      <c r="AG42" s="278">
        <f t="shared" si="0"/>
        <v>0</v>
      </c>
      <c r="AH42" s="48"/>
      <c r="AJ42" s="34"/>
      <c r="AK42" s="216"/>
      <c r="AL42" s="216"/>
      <c r="AM42" s="217"/>
      <c r="AN42" s="76"/>
      <c r="AO42" s="76"/>
      <c r="AP42" s="76"/>
      <c r="AQ42" s="50">
        <f t="shared" si="11"/>
        <v>0</v>
      </c>
      <c r="AS42" s="66"/>
    </row>
    <row r="43" spans="1:45" x14ac:dyDescent="0.2">
      <c r="A43" s="278">
        <v>35</v>
      </c>
      <c r="B43" s="52" t="s">
        <v>17</v>
      </c>
      <c r="C43" s="278">
        <v>1</v>
      </c>
      <c r="D43" s="177">
        <v>12.335000000000001</v>
      </c>
      <c r="E43" s="226">
        <f>C43*D43</f>
        <v>12.34</v>
      </c>
      <c r="F43" s="227">
        <f>E43*12</f>
        <v>148.1</v>
      </c>
      <c r="G43" s="154"/>
      <c r="H43" s="154">
        <v>1.3</v>
      </c>
      <c r="I43" s="154"/>
      <c r="J43" s="154"/>
      <c r="K43" s="154">
        <f>F43*0.4</f>
        <v>59.2</v>
      </c>
      <c r="L43" s="154">
        <f t="shared" si="4"/>
        <v>50.1</v>
      </c>
      <c r="M43" s="154">
        <f>F43+G43+H43+I43+J43+K43+L43</f>
        <v>258.7</v>
      </c>
      <c r="N43" s="171">
        <v>0.47</v>
      </c>
      <c r="O43" s="154">
        <f>M43*N43</f>
        <v>121.6</v>
      </c>
      <c r="P43" s="154">
        <f>M43+O43</f>
        <v>380.3</v>
      </c>
      <c r="Q43" s="154">
        <f>P43*0.8</f>
        <v>304.2</v>
      </c>
      <c r="R43" s="154">
        <f>P43*0.8</f>
        <v>304.2</v>
      </c>
      <c r="S43" s="154">
        <f>(P43+Q43+R43)*0.032</f>
        <v>31.6</v>
      </c>
      <c r="T43" s="154">
        <f>P43+Q43+R43+S43</f>
        <v>1020.3</v>
      </c>
      <c r="U43" s="3193"/>
      <c r="V43" s="154">
        <f t="shared" si="5"/>
        <v>1020.3</v>
      </c>
      <c r="W43" s="154">
        <f>AQ43</f>
        <v>303.7</v>
      </c>
      <c r="X43" s="278">
        <v>1</v>
      </c>
      <c r="Y43" s="24">
        <v>35</v>
      </c>
      <c r="Z43" s="48">
        <f>X43*Y43</f>
        <v>35</v>
      </c>
      <c r="AA43" s="278"/>
      <c r="AB43" s="24">
        <v>17.5</v>
      </c>
      <c r="AC43" s="48">
        <f>AA43*AB43</f>
        <v>0</v>
      </c>
      <c r="AD43" s="278"/>
      <c r="AE43" s="24">
        <v>35</v>
      </c>
      <c r="AF43" s="48">
        <f>AD43*AE43</f>
        <v>0</v>
      </c>
      <c r="AG43" s="278">
        <f t="shared" si="0"/>
        <v>10.5</v>
      </c>
      <c r="AH43" s="48">
        <f>Z43+AC43+AF43+AG43</f>
        <v>45.5</v>
      </c>
      <c r="AI43" s="39">
        <f t="shared" ref="AI43:AI51" si="57">V43/12/C43*1000</f>
        <v>85025</v>
      </c>
      <c r="AJ43" s="34"/>
      <c r="AK43" s="34">
        <f t="shared" ref="AK43:AK51" si="58">V43/C43</f>
        <v>1020.3</v>
      </c>
      <c r="AL43" s="34">
        <f>((979*0.302)+((AK43-979)*0.182))</f>
        <v>303.2</v>
      </c>
      <c r="AM43" s="51">
        <f>AL43/AK43</f>
        <v>0.29699999999999999</v>
      </c>
      <c r="AN43" s="50">
        <f t="shared" ref="AN43" si="59">AK43*0.22</f>
        <v>224.5</v>
      </c>
      <c r="AO43" s="50">
        <f t="shared" ref="AO43" si="60">865*0.029</f>
        <v>25.1</v>
      </c>
      <c r="AP43" s="50">
        <f t="shared" ref="AP43" si="61">AK43*0.053</f>
        <v>54.1</v>
      </c>
      <c r="AQ43" s="50">
        <f t="shared" si="11"/>
        <v>303.7</v>
      </c>
      <c r="AR43" s="51"/>
    </row>
    <row r="44" spans="1:45" x14ac:dyDescent="0.2">
      <c r="A44" s="278">
        <v>36</v>
      </c>
      <c r="B44" s="52" t="s">
        <v>38</v>
      </c>
      <c r="C44" s="167">
        <f>2-0.25</f>
        <v>1.75</v>
      </c>
      <c r="D44" s="177">
        <v>6.2859999999999996</v>
      </c>
      <c r="E44" s="171">
        <f t="shared" ref="E44:E51" si="62">C44*D44</f>
        <v>11</v>
      </c>
      <c r="F44" s="154">
        <f t="shared" ref="F44:F51" si="63">E44*12</f>
        <v>132</v>
      </c>
      <c r="G44" s="154">
        <f>74.5/1000</f>
        <v>0.1</v>
      </c>
      <c r="H44" s="154">
        <v>2</v>
      </c>
      <c r="I44" s="154"/>
      <c r="J44" s="154"/>
      <c r="K44" s="154"/>
      <c r="L44" s="154">
        <f t="shared" si="4"/>
        <v>44.7</v>
      </c>
      <c r="M44" s="154">
        <f t="shared" ref="M44:M51" si="64">F44+G44+H44+I44+J44+K44+L44</f>
        <v>178.8</v>
      </c>
      <c r="N44" s="171">
        <v>0.45</v>
      </c>
      <c r="O44" s="154">
        <f t="shared" ref="O44:O51" si="65">M44*N44</f>
        <v>80.5</v>
      </c>
      <c r="P44" s="154">
        <f t="shared" ref="P44:P51" si="66">M44+O44</f>
        <v>259.3</v>
      </c>
      <c r="Q44" s="154">
        <f t="shared" ref="Q44:Q51" si="67">P44*0.8</f>
        <v>207.4</v>
      </c>
      <c r="R44" s="154">
        <f t="shared" ref="R44:R51" si="68">P44*0.8</f>
        <v>207.4</v>
      </c>
      <c r="S44" s="154">
        <f t="shared" ref="S44:S51" si="69">(P44+Q44+R44)*0.032</f>
        <v>21.6</v>
      </c>
      <c r="T44" s="154">
        <f t="shared" ref="T44:T51" si="70">P44+Q44+R44+S44</f>
        <v>695.7</v>
      </c>
      <c r="U44" s="3193"/>
      <c r="V44" s="154">
        <f t="shared" si="5"/>
        <v>695.7</v>
      </c>
      <c r="W44" s="154">
        <f t="shared" si="31"/>
        <v>210.1</v>
      </c>
      <c r="X44" s="278">
        <v>1</v>
      </c>
      <c r="Y44" s="24">
        <v>35</v>
      </c>
      <c r="Z44" s="48">
        <f t="shared" ref="Z44:Z51" si="71">X44*Y44</f>
        <v>35</v>
      </c>
      <c r="AA44" s="54"/>
      <c r="AB44" s="24">
        <v>17.5</v>
      </c>
      <c r="AC44" s="48">
        <f t="shared" ref="AC44:AC51" si="72">AA44*AB44</f>
        <v>0</v>
      </c>
      <c r="AD44" s="54"/>
      <c r="AE44" s="24">
        <v>35</v>
      </c>
      <c r="AF44" s="48">
        <f t="shared" ref="AF44:AF51" si="73">AD44*AE44</f>
        <v>0</v>
      </c>
      <c r="AG44" s="278">
        <f t="shared" si="0"/>
        <v>10.5</v>
      </c>
      <c r="AH44" s="48">
        <f t="shared" ref="AH44:AH51" si="74">Z44+AC44+AF44+AG44</f>
        <v>45.5</v>
      </c>
      <c r="AI44" s="39">
        <f t="shared" si="57"/>
        <v>33128.57</v>
      </c>
      <c r="AJ44" s="34"/>
      <c r="AK44" s="34">
        <f t="shared" si="58"/>
        <v>397.5</v>
      </c>
      <c r="AL44" s="34">
        <f t="shared" ref="AL44:AL51" si="75">((979*0.302)+((AK44-979)*0.182))</f>
        <v>189.8</v>
      </c>
      <c r="AM44" s="51">
        <v>0.30199999999999999</v>
      </c>
      <c r="AN44" s="50"/>
      <c r="AO44" s="50"/>
      <c r="AP44" s="50"/>
      <c r="AQ44" s="50">
        <f t="shared" si="11"/>
        <v>0</v>
      </c>
      <c r="AR44" s="51"/>
    </row>
    <row r="45" spans="1:45" ht="12" customHeight="1" x14ac:dyDescent="0.2">
      <c r="A45" s="278">
        <v>37</v>
      </c>
      <c r="B45" s="44" t="s">
        <v>104</v>
      </c>
      <c r="C45" s="54">
        <v>1</v>
      </c>
      <c r="D45" s="177">
        <v>8.4730000000000008</v>
      </c>
      <c r="E45" s="171">
        <f t="shared" si="62"/>
        <v>8.4700000000000006</v>
      </c>
      <c r="F45" s="154">
        <f t="shared" si="63"/>
        <v>101.6</v>
      </c>
      <c r="G45" s="154"/>
      <c r="H45" s="154"/>
      <c r="I45" s="154"/>
      <c r="J45" s="154"/>
      <c r="K45" s="154"/>
      <c r="L45" s="154">
        <f t="shared" si="4"/>
        <v>34.4</v>
      </c>
      <c r="M45" s="154">
        <f t="shared" si="64"/>
        <v>136</v>
      </c>
      <c r="N45" s="171">
        <v>0.41</v>
      </c>
      <c r="O45" s="154">
        <f t="shared" si="65"/>
        <v>55.8</v>
      </c>
      <c r="P45" s="154">
        <f t="shared" si="66"/>
        <v>191.8</v>
      </c>
      <c r="Q45" s="154">
        <f t="shared" si="67"/>
        <v>153.4</v>
      </c>
      <c r="R45" s="154">
        <f t="shared" si="68"/>
        <v>153.4</v>
      </c>
      <c r="S45" s="154">
        <f t="shared" si="69"/>
        <v>16</v>
      </c>
      <c r="T45" s="154">
        <f t="shared" si="70"/>
        <v>514.6</v>
      </c>
      <c r="U45" s="3193"/>
      <c r="V45" s="154">
        <f t="shared" si="5"/>
        <v>514.6</v>
      </c>
      <c r="W45" s="154">
        <f t="shared" si="31"/>
        <v>155.4</v>
      </c>
      <c r="X45" s="278">
        <v>1</v>
      </c>
      <c r="Y45" s="24">
        <v>35</v>
      </c>
      <c r="Z45" s="48">
        <f t="shared" si="71"/>
        <v>35</v>
      </c>
      <c r="AA45" s="54"/>
      <c r="AB45" s="24">
        <v>17.5</v>
      </c>
      <c r="AC45" s="48">
        <f t="shared" si="72"/>
        <v>0</v>
      </c>
      <c r="AD45" s="54">
        <v>1</v>
      </c>
      <c r="AE45" s="24">
        <v>35</v>
      </c>
      <c r="AF45" s="48">
        <f t="shared" si="73"/>
        <v>35</v>
      </c>
      <c r="AG45" s="278">
        <f t="shared" si="0"/>
        <v>21</v>
      </c>
      <c r="AH45" s="48">
        <f t="shared" si="74"/>
        <v>91</v>
      </c>
      <c r="AI45" s="39">
        <f t="shared" si="57"/>
        <v>42883.33</v>
      </c>
      <c r="AJ45" s="34"/>
      <c r="AK45" s="34">
        <f t="shared" si="58"/>
        <v>514.6</v>
      </c>
      <c r="AL45" s="34">
        <f t="shared" si="75"/>
        <v>211.1</v>
      </c>
      <c r="AM45" s="51">
        <v>0.30199999999999999</v>
      </c>
      <c r="AN45" s="50"/>
      <c r="AO45" s="50"/>
      <c r="AP45" s="50"/>
      <c r="AQ45" s="50">
        <f t="shared" si="11"/>
        <v>0</v>
      </c>
      <c r="AR45" s="51"/>
    </row>
    <row r="46" spans="1:45" x14ac:dyDescent="0.2">
      <c r="A46" s="278">
        <v>38</v>
      </c>
      <c r="B46" s="52" t="s">
        <v>39</v>
      </c>
      <c r="C46" s="24">
        <v>0.5</v>
      </c>
      <c r="D46" s="177">
        <v>6.2859999999999996</v>
      </c>
      <c r="E46" s="171">
        <f t="shared" si="62"/>
        <v>3.14</v>
      </c>
      <c r="F46" s="154">
        <f t="shared" si="63"/>
        <v>37.700000000000003</v>
      </c>
      <c r="G46" s="154"/>
      <c r="H46" s="154">
        <f>1106.5/1000</f>
        <v>1.1000000000000001</v>
      </c>
      <c r="I46" s="154"/>
      <c r="J46" s="154"/>
      <c r="K46" s="154"/>
      <c r="L46" s="154">
        <f>F46*$L$4</f>
        <v>12.8</v>
      </c>
      <c r="M46" s="154">
        <f t="shared" si="64"/>
        <v>51.6</v>
      </c>
      <c r="N46" s="171">
        <v>0.45</v>
      </c>
      <c r="O46" s="154">
        <f t="shared" si="65"/>
        <v>23.2</v>
      </c>
      <c r="P46" s="154">
        <f t="shared" si="66"/>
        <v>74.8</v>
      </c>
      <c r="Q46" s="154">
        <f t="shared" si="67"/>
        <v>59.8</v>
      </c>
      <c r="R46" s="154">
        <f t="shared" si="68"/>
        <v>59.8</v>
      </c>
      <c r="S46" s="154">
        <f t="shared" si="69"/>
        <v>6.2</v>
      </c>
      <c r="T46" s="154">
        <f t="shared" si="70"/>
        <v>200.6</v>
      </c>
      <c r="U46" s="3193"/>
      <c r="V46" s="154">
        <f t="shared" si="5"/>
        <v>200.6</v>
      </c>
      <c r="W46" s="154">
        <f t="shared" si="31"/>
        <v>60.6</v>
      </c>
      <c r="X46" s="278"/>
      <c r="Y46" s="24">
        <v>35</v>
      </c>
      <c r="Z46" s="48">
        <f t="shared" si="71"/>
        <v>0</v>
      </c>
      <c r="AA46" s="54"/>
      <c r="AB46" s="24">
        <v>17.5</v>
      </c>
      <c r="AC46" s="48">
        <f t="shared" si="72"/>
        <v>0</v>
      </c>
      <c r="AD46" s="54"/>
      <c r="AE46" s="24">
        <v>35</v>
      </c>
      <c r="AF46" s="48">
        <f t="shared" si="73"/>
        <v>0</v>
      </c>
      <c r="AG46" s="278">
        <f t="shared" si="0"/>
        <v>0</v>
      </c>
      <c r="AH46" s="48">
        <f t="shared" si="74"/>
        <v>0</v>
      </c>
      <c r="AI46" s="39">
        <f t="shared" si="57"/>
        <v>33433.33</v>
      </c>
      <c r="AJ46" s="34"/>
      <c r="AK46" s="34">
        <f t="shared" si="58"/>
        <v>401.2</v>
      </c>
      <c r="AL46" s="34">
        <f t="shared" si="75"/>
        <v>190.5</v>
      </c>
      <c r="AM46" s="51">
        <v>0.30199999999999999</v>
      </c>
      <c r="AQ46" s="50">
        <f t="shared" si="11"/>
        <v>0</v>
      </c>
      <c r="AR46" s="51"/>
    </row>
    <row r="47" spans="1:45" x14ac:dyDescent="0.2">
      <c r="A47" s="278">
        <v>39</v>
      </c>
      <c r="B47" s="218" t="s">
        <v>40</v>
      </c>
      <c r="C47" s="54">
        <v>1</v>
      </c>
      <c r="D47" s="177">
        <v>11.061999999999999</v>
      </c>
      <c r="E47" s="171">
        <f t="shared" si="62"/>
        <v>11.06</v>
      </c>
      <c r="F47" s="154">
        <f t="shared" si="63"/>
        <v>132.69999999999999</v>
      </c>
      <c r="G47" s="228">
        <f>131.07/1000</f>
        <v>0.13</v>
      </c>
      <c r="H47" s="154">
        <v>2.1</v>
      </c>
      <c r="I47" s="154"/>
      <c r="J47" s="154"/>
      <c r="K47" s="154">
        <f>D47*2*0.2</f>
        <v>4.4000000000000004</v>
      </c>
      <c r="L47" s="154">
        <f t="shared" si="4"/>
        <v>44.9</v>
      </c>
      <c r="M47" s="154">
        <f t="shared" si="64"/>
        <v>184.2</v>
      </c>
      <c r="N47" s="171">
        <v>0.43</v>
      </c>
      <c r="O47" s="154">
        <f t="shared" si="65"/>
        <v>79.2</v>
      </c>
      <c r="P47" s="154">
        <f t="shared" si="66"/>
        <v>263.39999999999998</v>
      </c>
      <c r="Q47" s="154">
        <f t="shared" si="67"/>
        <v>210.7</v>
      </c>
      <c r="R47" s="154">
        <f t="shared" si="68"/>
        <v>210.7</v>
      </c>
      <c r="S47" s="154">
        <f t="shared" si="69"/>
        <v>21.9</v>
      </c>
      <c r="T47" s="154">
        <f t="shared" si="70"/>
        <v>706.7</v>
      </c>
      <c r="U47" s="3193"/>
      <c r="V47" s="154">
        <f t="shared" si="5"/>
        <v>706.7</v>
      </c>
      <c r="W47" s="154">
        <f t="shared" si="31"/>
        <v>213.4</v>
      </c>
      <c r="X47" s="278"/>
      <c r="Y47" s="24">
        <v>35</v>
      </c>
      <c r="Z47" s="48">
        <f t="shared" si="71"/>
        <v>0</v>
      </c>
      <c r="AA47" s="54"/>
      <c r="AB47" s="24">
        <v>17.5</v>
      </c>
      <c r="AC47" s="48">
        <f t="shared" si="72"/>
        <v>0</v>
      </c>
      <c r="AD47" s="54"/>
      <c r="AE47" s="24">
        <v>35</v>
      </c>
      <c r="AF47" s="48">
        <f t="shared" si="73"/>
        <v>0</v>
      </c>
      <c r="AG47" s="278">
        <f t="shared" si="0"/>
        <v>0</v>
      </c>
      <c r="AH47" s="48">
        <f t="shared" si="74"/>
        <v>0</v>
      </c>
      <c r="AI47" s="39">
        <f t="shared" si="57"/>
        <v>58891.67</v>
      </c>
      <c r="AJ47" s="34"/>
      <c r="AK47" s="34">
        <f t="shared" si="58"/>
        <v>706.7</v>
      </c>
      <c r="AL47" s="34">
        <f t="shared" si="75"/>
        <v>246.1</v>
      </c>
      <c r="AM47" s="51">
        <v>0.30199999999999999</v>
      </c>
      <c r="AN47" s="50"/>
      <c r="AO47" s="50"/>
      <c r="AP47" s="50"/>
      <c r="AQ47" s="50">
        <f t="shared" si="11"/>
        <v>0</v>
      </c>
      <c r="AR47" s="51"/>
    </row>
    <row r="48" spans="1:45" x14ac:dyDescent="0.2">
      <c r="A48" s="278">
        <v>40</v>
      </c>
      <c r="B48" s="218" t="s">
        <v>41</v>
      </c>
      <c r="C48" s="54">
        <v>1</v>
      </c>
      <c r="D48" s="177">
        <v>8.4730000000000008</v>
      </c>
      <c r="E48" s="171">
        <f t="shared" si="62"/>
        <v>8.4700000000000006</v>
      </c>
      <c r="F48" s="154">
        <f t="shared" si="63"/>
        <v>101.6</v>
      </c>
      <c r="G48" s="154">
        <f>100.4/1000</f>
        <v>0.1</v>
      </c>
      <c r="H48" s="154">
        <v>0.5</v>
      </c>
      <c r="I48" s="154"/>
      <c r="J48" s="154"/>
      <c r="K48" s="154">
        <f>D48*8.5*0.2</f>
        <v>14.4</v>
      </c>
      <c r="L48" s="154">
        <f t="shared" si="4"/>
        <v>34.4</v>
      </c>
      <c r="M48" s="154">
        <f t="shared" si="64"/>
        <v>151</v>
      </c>
      <c r="N48" s="171">
        <v>0.41</v>
      </c>
      <c r="O48" s="154">
        <f t="shared" si="65"/>
        <v>61.9</v>
      </c>
      <c r="P48" s="154">
        <f t="shared" si="66"/>
        <v>212.9</v>
      </c>
      <c r="Q48" s="154">
        <f t="shared" si="67"/>
        <v>170.3</v>
      </c>
      <c r="R48" s="154">
        <f t="shared" si="68"/>
        <v>170.3</v>
      </c>
      <c r="S48" s="154">
        <f t="shared" si="69"/>
        <v>17.7</v>
      </c>
      <c r="T48" s="154">
        <f t="shared" si="70"/>
        <v>571.20000000000005</v>
      </c>
      <c r="U48" s="3193"/>
      <c r="V48" s="154">
        <f t="shared" si="5"/>
        <v>571.20000000000005</v>
      </c>
      <c r="W48" s="154">
        <f t="shared" si="31"/>
        <v>172.5</v>
      </c>
      <c r="X48" s="278">
        <v>1</v>
      </c>
      <c r="Y48" s="24">
        <v>35</v>
      </c>
      <c r="Z48" s="48">
        <f t="shared" si="71"/>
        <v>35</v>
      </c>
      <c r="AA48" s="54"/>
      <c r="AB48" s="24">
        <v>17.5</v>
      </c>
      <c r="AC48" s="48">
        <f>AA48*AB48</f>
        <v>0</v>
      </c>
      <c r="AD48" s="54"/>
      <c r="AE48" s="24">
        <v>35</v>
      </c>
      <c r="AF48" s="48">
        <f t="shared" si="73"/>
        <v>0</v>
      </c>
      <c r="AG48" s="278">
        <f t="shared" si="0"/>
        <v>10.5</v>
      </c>
      <c r="AH48" s="48">
        <f t="shared" si="74"/>
        <v>45.5</v>
      </c>
      <c r="AI48" s="39">
        <f t="shared" si="57"/>
        <v>47600</v>
      </c>
      <c r="AJ48" s="34"/>
      <c r="AK48" s="34">
        <f t="shared" si="58"/>
        <v>571.20000000000005</v>
      </c>
      <c r="AL48" s="34">
        <f t="shared" si="75"/>
        <v>221.4</v>
      </c>
      <c r="AM48" s="51">
        <v>0.30199999999999999</v>
      </c>
      <c r="AN48" s="50"/>
      <c r="AO48" s="50"/>
      <c r="AP48" s="50"/>
      <c r="AQ48" s="50">
        <f t="shared" si="11"/>
        <v>0</v>
      </c>
      <c r="AR48" s="51"/>
    </row>
    <row r="49" spans="1:44" x14ac:dyDescent="0.2">
      <c r="A49" s="278">
        <v>41</v>
      </c>
      <c r="B49" s="218" t="s">
        <v>42</v>
      </c>
      <c r="C49" s="24">
        <v>0.5</v>
      </c>
      <c r="D49" s="213">
        <v>11.061999999999999</v>
      </c>
      <c r="E49" s="171">
        <f t="shared" si="62"/>
        <v>5.53</v>
      </c>
      <c r="F49" s="154">
        <f t="shared" si="63"/>
        <v>66.400000000000006</v>
      </c>
      <c r="G49" s="154">
        <f>65.5/1000</f>
        <v>0.1</v>
      </c>
      <c r="H49" s="154">
        <v>3</v>
      </c>
      <c r="I49" s="154"/>
      <c r="J49" s="154"/>
      <c r="K49" s="154"/>
      <c r="L49" s="154">
        <f t="shared" si="4"/>
        <v>22.5</v>
      </c>
      <c r="M49" s="154">
        <f t="shared" si="64"/>
        <v>92</v>
      </c>
      <c r="N49" s="171">
        <v>0.43</v>
      </c>
      <c r="O49" s="154">
        <f t="shared" si="65"/>
        <v>39.6</v>
      </c>
      <c r="P49" s="154">
        <f t="shared" si="66"/>
        <v>131.6</v>
      </c>
      <c r="Q49" s="154">
        <f t="shared" si="67"/>
        <v>105.3</v>
      </c>
      <c r="R49" s="154">
        <f t="shared" si="68"/>
        <v>105.3</v>
      </c>
      <c r="S49" s="154">
        <f t="shared" si="69"/>
        <v>11</v>
      </c>
      <c r="T49" s="154">
        <f t="shared" si="70"/>
        <v>353.2</v>
      </c>
      <c r="U49" s="3193"/>
      <c r="V49" s="154">
        <f t="shared" si="5"/>
        <v>353.2</v>
      </c>
      <c r="W49" s="154">
        <f t="shared" si="31"/>
        <v>106.7</v>
      </c>
      <c r="X49" s="278"/>
      <c r="Y49" s="24">
        <v>35</v>
      </c>
      <c r="Z49" s="48">
        <f t="shared" si="71"/>
        <v>0</v>
      </c>
      <c r="AA49" s="54"/>
      <c r="AB49" s="24">
        <v>17.5</v>
      </c>
      <c r="AC49" s="48">
        <f t="shared" si="72"/>
        <v>0</v>
      </c>
      <c r="AD49" s="54"/>
      <c r="AE49" s="24">
        <v>35</v>
      </c>
      <c r="AF49" s="48">
        <f t="shared" si="73"/>
        <v>0</v>
      </c>
      <c r="AG49" s="278">
        <f t="shared" si="0"/>
        <v>0</v>
      </c>
      <c r="AH49" s="48">
        <f t="shared" si="74"/>
        <v>0</v>
      </c>
      <c r="AI49" s="39">
        <f t="shared" si="57"/>
        <v>58866.67</v>
      </c>
      <c r="AJ49" s="34"/>
      <c r="AK49" s="34">
        <f t="shared" si="58"/>
        <v>706.4</v>
      </c>
      <c r="AL49" s="34">
        <f t="shared" si="75"/>
        <v>246</v>
      </c>
      <c r="AM49" s="51">
        <v>0.30199999999999999</v>
      </c>
      <c r="AO49" s="50"/>
      <c r="AP49" s="50"/>
      <c r="AQ49" s="50">
        <f t="shared" si="11"/>
        <v>0</v>
      </c>
      <c r="AR49" s="51"/>
    </row>
    <row r="50" spans="1:44" x14ac:dyDescent="0.2">
      <c r="A50" s="278">
        <v>42</v>
      </c>
      <c r="B50" s="52" t="s">
        <v>43</v>
      </c>
      <c r="C50" s="167">
        <v>0.25</v>
      </c>
      <c r="D50" s="177">
        <v>8.4730000000000008</v>
      </c>
      <c r="E50" s="171">
        <f t="shared" si="62"/>
        <v>2.12</v>
      </c>
      <c r="F50" s="154">
        <f t="shared" si="63"/>
        <v>25.4</v>
      </c>
      <c r="G50" s="154"/>
      <c r="H50" s="154"/>
      <c r="I50" s="154"/>
      <c r="J50" s="154"/>
      <c r="K50" s="154"/>
      <c r="L50" s="154">
        <f t="shared" si="4"/>
        <v>8.6</v>
      </c>
      <c r="M50" s="154">
        <f t="shared" si="64"/>
        <v>34</v>
      </c>
      <c r="N50" s="171">
        <v>0.41</v>
      </c>
      <c r="O50" s="154">
        <f t="shared" si="65"/>
        <v>13.9</v>
      </c>
      <c r="P50" s="154">
        <f t="shared" si="66"/>
        <v>47.9</v>
      </c>
      <c r="Q50" s="154">
        <f t="shared" si="67"/>
        <v>38.299999999999997</v>
      </c>
      <c r="R50" s="154">
        <f t="shared" si="68"/>
        <v>38.299999999999997</v>
      </c>
      <c r="S50" s="154">
        <f t="shared" si="69"/>
        <v>4</v>
      </c>
      <c r="T50" s="154">
        <f t="shared" si="70"/>
        <v>128.5</v>
      </c>
      <c r="U50" s="3193"/>
      <c r="V50" s="154">
        <f t="shared" si="5"/>
        <v>128.5</v>
      </c>
      <c r="W50" s="154">
        <f t="shared" si="31"/>
        <v>38.799999999999997</v>
      </c>
      <c r="X50" s="278"/>
      <c r="Y50" s="24">
        <v>35</v>
      </c>
      <c r="Z50" s="48">
        <f t="shared" si="71"/>
        <v>0</v>
      </c>
      <c r="AA50" s="54"/>
      <c r="AB50" s="24">
        <v>17.5</v>
      </c>
      <c r="AC50" s="48">
        <f t="shared" si="72"/>
        <v>0</v>
      </c>
      <c r="AD50" s="54"/>
      <c r="AE50" s="24">
        <v>35</v>
      </c>
      <c r="AF50" s="48">
        <f t="shared" si="73"/>
        <v>0</v>
      </c>
      <c r="AG50" s="278">
        <f t="shared" si="0"/>
        <v>0</v>
      </c>
      <c r="AH50" s="48">
        <f t="shared" si="74"/>
        <v>0</v>
      </c>
      <c r="AI50" s="39">
        <f t="shared" si="57"/>
        <v>42833.33</v>
      </c>
      <c r="AJ50" s="34"/>
      <c r="AK50" s="34">
        <f t="shared" si="58"/>
        <v>514</v>
      </c>
      <c r="AL50" s="34">
        <f t="shared" si="75"/>
        <v>211</v>
      </c>
      <c r="AM50" s="51">
        <v>0.30199999999999999</v>
      </c>
      <c r="AN50" s="50"/>
      <c r="AO50" s="50"/>
      <c r="AP50" s="50"/>
      <c r="AQ50" s="50">
        <f t="shared" si="11"/>
        <v>0</v>
      </c>
      <c r="AR50" s="51"/>
    </row>
    <row r="51" spans="1:44" x14ac:dyDescent="0.2">
      <c r="A51" s="278">
        <v>43</v>
      </c>
      <c r="B51" s="229" t="s">
        <v>44</v>
      </c>
      <c r="C51" s="179">
        <f>1-0.25</f>
        <v>0.75</v>
      </c>
      <c r="D51" s="213">
        <v>11.061999999999999</v>
      </c>
      <c r="E51" s="171">
        <f t="shared" si="62"/>
        <v>8.3000000000000007</v>
      </c>
      <c r="F51" s="154">
        <f t="shared" si="63"/>
        <v>99.6</v>
      </c>
      <c r="G51" s="154"/>
      <c r="H51" s="154">
        <v>2.4</v>
      </c>
      <c r="I51" s="154"/>
      <c r="J51" s="154"/>
      <c r="K51" s="154"/>
      <c r="L51" s="154">
        <f t="shared" si="4"/>
        <v>33.700000000000003</v>
      </c>
      <c r="M51" s="154">
        <f t="shared" si="64"/>
        <v>135.69999999999999</v>
      </c>
      <c r="N51" s="171">
        <v>0.43</v>
      </c>
      <c r="O51" s="154">
        <f t="shared" si="65"/>
        <v>58.4</v>
      </c>
      <c r="P51" s="154">
        <f t="shared" si="66"/>
        <v>194.1</v>
      </c>
      <c r="Q51" s="154">
        <f t="shared" si="67"/>
        <v>155.30000000000001</v>
      </c>
      <c r="R51" s="154">
        <f t="shared" si="68"/>
        <v>155.30000000000001</v>
      </c>
      <c r="S51" s="154">
        <f t="shared" si="69"/>
        <v>16.2</v>
      </c>
      <c r="T51" s="154">
        <f t="shared" si="70"/>
        <v>520.9</v>
      </c>
      <c r="U51" s="3193"/>
      <c r="V51" s="154">
        <f>T51*$U$9-0.3</f>
        <v>520.6</v>
      </c>
      <c r="W51" s="154">
        <f t="shared" si="31"/>
        <v>157.19999999999999</v>
      </c>
      <c r="X51" s="278"/>
      <c r="Y51" s="24">
        <v>35</v>
      </c>
      <c r="Z51" s="48">
        <f t="shared" si="71"/>
        <v>0</v>
      </c>
      <c r="AA51" s="54"/>
      <c r="AB51" s="24">
        <v>17.5</v>
      </c>
      <c r="AC51" s="48">
        <f t="shared" si="72"/>
        <v>0</v>
      </c>
      <c r="AD51" s="54"/>
      <c r="AE51" s="24">
        <v>35</v>
      </c>
      <c r="AF51" s="48">
        <f t="shared" si="73"/>
        <v>0</v>
      </c>
      <c r="AG51" s="278">
        <f t="shared" si="0"/>
        <v>0</v>
      </c>
      <c r="AH51" s="48">
        <f t="shared" si="74"/>
        <v>0</v>
      </c>
      <c r="AI51" s="39">
        <f t="shared" si="57"/>
        <v>57844.44</v>
      </c>
      <c r="AJ51" s="34"/>
      <c r="AK51" s="34">
        <f t="shared" si="58"/>
        <v>694.1</v>
      </c>
      <c r="AL51" s="34">
        <f t="shared" si="75"/>
        <v>243.8</v>
      </c>
      <c r="AM51" s="51">
        <v>0.30199999999999999</v>
      </c>
      <c r="AN51" s="50"/>
      <c r="AO51" s="50"/>
      <c r="AP51" s="50"/>
      <c r="AQ51" s="50">
        <f t="shared" si="11"/>
        <v>0</v>
      </c>
      <c r="AR51" s="51"/>
    </row>
    <row r="52" spans="1:44" s="33" customFormat="1" ht="20.25" customHeight="1" x14ac:dyDescent="0.2">
      <c r="A52" s="3191" t="s">
        <v>72</v>
      </c>
      <c r="B52" s="3191"/>
      <c r="C52" s="230">
        <f t="shared" ref="C52:AG52" si="76">SUM(C9:C51)</f>
        <v>59.75</v>
      </c>
      <c r="D52" s="231">
        <f t="shared" si="76"/>
        <v>419</v>
      </c>
      <c r="E52" s="231">
        <f t="shared" si="76"/>
        <v>591.79999999999995</v>
      </c>
      <c r="F52" s="231">
        <f t="shared" si="76"/>
        <v>7100.7</v>
      </c>
      <c r="G52" s="231">
        <f t="shared" si="76"/>
        <v>0.4</v>
      </c>
      <c r="H52" s="231">
        <f t="shared" si="76"/>
        <v>204.3</v>
      </c>
      <c r="I52" s="231">
        <f t="shared" si="76"/>
        <v>0</v>
      </c>
      <c r="J52" s="231">
        <f t="shared" si="76"/>
        <v>93.9</v>
      </c>
      <c r="K52" s="231">
        <f t="shared" si="76"/>
        <v>1647.5</v>
      </c>
      <c r="L52" s="231">
        <f t="shared" si="76"/>
        <v>2508.9</v>
      </c>
      <c r="M52" s="231">
        <f t="shared" si="76"/>
        <v>11555.7</v>
      </c>
      <c r="N52" s="231">
        <f t="shared" si="76"/>
        <v>19.100000000000001</v>
      </c>
      <c r="O52" s="231">
        <f t="shared" si="76"/>
        <v>5402.6</v>
      </c>
      <c r="P52" s="231">
        <f t="shared" si="76"/>
        <v>16958.3</v>
      </c>
      <c r="Q52" s="231">
        <f t="shared" si="76"/>
        <v>13566</v>
      </c>
      <c r="R52" s="231">
        <f t="shared" si="76"/>
        <v>13566</v>
      </c>
      <c r="S52" s="231">
        <f t="shared" si="76"/>
        <v>1410.9</v>
      </c>
      <c r="T52" s="231">
        <f t="shared" si="76"/>
        <v>45501.2</v>
      </c>
      <c r="U52" s="231">
        <f t="shared" si="76"/>
        <v>1</v>
      </c>
      <c r="V52" s="231">
        <f t="shared" si="76"/>
        <v>45500.9</v>
      </c>
      <c r="W52" s="231">
        <f t="shared" si="76"/>
        <v>13348.7</v>
      </c>
      <c r="X52" s="231">
        <f t="shared" si="76"/>
        <v>34</v>
      </c>
      <c r="Y52" s="231">
        <f t="shared" si="76"/>
        <v>1305</v>
      </c>
      <c r="Z52" s="231">
        <f t="shared" si="76"/>
        <v>1040</v>
      </c>
      <c r="AA52" s="231">
        <f t="shared" si="76"/>
        <v>17</v>
      </c>
      <c r="AB52" s="231">
        <f t="shared" si="76"/>
        <v>652.5</v>
      </c>
      <c r="AC52" s="231">
        <f t="shared" si="76"/>
        <v>255</v>
      </c>
      <c r="AD52" s="231">
        <f t="shared" si="76"/>
        <v>6</v>
      </c>
      <c r="AE52" s="231">
        <f t="shared" si="76"/>
        <v>1305</v>
      </c>
      <c r="AF52" s="231">
        <f t="shared" si="76"/>
        <v>185</v>
      </c>
      <c r="AG52" s="231">
        <f t="shared" si="76"/>
        <v>444</v>
      </c>
      <c r="AH52" s="231">
        <f>SUM(AH9:AH51)</f>
        <v>1924</v>
      </c>
      <c r="AN52" s="211"/>
      <c r="AO52" s="211"/>
      <c r="AP52" s="211"/>
      <c r="AQ52" s="50">
        <f t="shared" si="11"/>
        <v>0</v>
      </c>
    </row>
    <row r="53" spans="1:44" ht="17.25" customHeight="1" x14ac:dyDescent="0.2">
      <c r="G53" s="39"/>
      <c r="H53" s="39"/>
      <c r="I53" s="39"/>
      <c r="J53" s="39"/>
      <c r="K53" s="39"/>
      <c r="L53" s="232"/>
      <c r="M53" s="232"/>
      <c r="N53" s="232"/>
      <c r="O53" s="232"/>
      <c r="P53" s="232"/>
      <c r="Q53" s="39"/>
      <c r="R53" s="39"/>
      <c r="S53" s="39"/>
      <c r="T53" s="39"/>
      <c r="V53" s="34"/>
      <c r="W53" s="66"/>
      <c r="X53" s="39"/>
      <c r="AA53" s="39"/>
      <c r="AD53" s="39"/>
      <c r="AG53" s="39"/>
      <c r="AH53" s="39"/>
    </row>
    <row r="54" spans="1:44" s="75" customFormat="1" x14ac:dyDescent="0.2">
      <c r="A54" s="70"/>
      <c r="B54" s="70"/>
      <c r="C54" s="71"/>
      <c r="D54" s="72"/>
      <c r="E54" s="72"/>
      <c r="F54" s="72"/>
      <c r="G54" s="72"/>
      <c r="H54" s="73"/>
      <c r="I54" s="73"/>
      <c r="J54" s="27"/>
      <c r="K54" s="27"/>
      <c r="L54" s="27"/>
      <c r="M54" s="27"/>
      <c r="N54" s="74"/>
      <c r="O54" s="27"/>
      <c r="P54" s="27"/>
      <c r="Q54" s="27"/>
      <c r="R54" s="27"/>
      <c r="S54" s="27"/>
      <c r="T54" s="27"/>
      <c r="U54" s="27"/>
      <c r="V54" s="27"/>
      <c r="W54" s="27"/>
      <c r="X54" s="27"/>
      <c r="Y54" s="27"/>
      <c r="Z54" s="27"/>
      <c r="AA54" s="27"/>
      <c r="AB54" s="27"/>
      <c r="AC54" s="27"/>
      <c r="AD54" s="27"/>
      <c r="AE54" s="27"/>
      <c r="AF54" s="27"/>
      <c r="AG54" s="27"/>
      <c r="AH54" s="27"/>
      <c r="AI54" s="27"/>
      <c r="AJ54" s="76"/>
      <c r="AN54" s="76"/>
      <c r="AO54" s="76"/>
      <c r="AP54" s="76"/>
      <c r="AQ54" s="76"/>
      <c r="AR54" s="76"/>
    </row>
    <row r="55" spans="1:44" s="75" customFormat="1" ht="104.25" customHeight="1" x14ac:dyDescent="0.2">
      <c r="A55" s="70"/>
      <c r="B55" s="70"/>
      <c r="C55" s="71"/>
      <c r="D55" s="77"/>
      <c r="E55" s="77"/>
      <c r="F55" s="27"/>
      <c r="G55" s="3191" t="s">
        <v>140</v>
      </c>
      <c r="H55" s="3191"/>
      <c r="I55" s="3191" t="s">
        <v>144</v>
      </c>
      <c r="J55" s="3191"/>
      <c r="K55" s="3188" t="s">
        <v>145</v>
      </c>
      <c r="L55" s="3189"/>
      <c r="M55" s="3191" t="s">
        <v>128</v>
      </c>
      <c r="N55" s="3191"/>
      <c r="O55" s="70"/>
      <c r="P55" s="70"/>
      <c r="Q55" s="27"/>
      <c r="R55" s="27"/>
      <c r="S55" s="27"/>
      <c r="T55" s="27"/>
      <c r="U55" s="27"/>
      <c r="V55" s="27"/>
      <c r="W55" s="27"/>
      <c r="X55" s="27"/>
      <c r="Y55" s="27"/>
      <c r="Z55" s="27"/>
      <c r="AA55" s="27"/>
      <c r="AB55" s="27"/>
      <c r="AC55" s="27"/>
      <c r="AD55" s="27"/>
      <c r="AE55" s="27"/>
      <c r="AF55" s="27"/>
      <c r="AG55" s="27"/>
      <c r="AH55" s="27"/>
      <c r="AI55" s="27"/>
      <c r="AJ55" s="76"/>
      <c r="AN55" s="76"/>
      <c r="AO55" s="76"/>
      <c r="AP55" s="76"/>
      <c r="AQ55" s="76"/>
      <c r="AR55" s="76"/>
    </row>
    <row r="56" spans="1:44" s="75" customFormat="1" x14ac:dyDescent="0.2">
      <c r="A56" s="70"/>
      <c r="B56" s="70"/>
      <c r="C56" s="71"/>
      <c r="D56" s="77"/>
      <c r="E56" s="77"/>
      <c r="F56" s="27"/>
      <c r="G56" s="279">
        <v>991</v>
      </c>
      <c r="H56" s="279">
        <v>992</v>
      </c>
      <c r="I56" s="279">
        <v>991</v>
      </c>
      <c r="J56" s="279">
        <v>992</v>
      </c>
      <c r="K56" s="279">
        <v>991</v>
      </c>
      <c r="L56" s="279">
        <v>992</v>
      </c>
      <c r="M56" s="279">
        <v>991</v>
      </c>
      <c r="N56" s="279">
        <v>992</v>
      </c>
      <c r="O56" s="79"/>
      <c r="P56" s="79"/>
      <c r="Q56" s="27"/>
      <c r="R56" s="27"/>
      <c r="S56" s="27"/>
      <c r="T56" s="27"/>
      <c r="U56" s="27"/>
      <c r="V56" s="27"/>
      <c r="W56" s="27"/>
      <c r="X56" s="27"/>
      <c r="Y56" s="27"/>
      <c r="Z56" s="27"/>
      <c r="AA56" s="27"/>
      <c r="AB56" s="27"/>
      <c r="AC56" s="27"/>
      <c r="AD56" s="27"/>
      <c r="AE56" s="27"/>
      <c r="AF56" s="27"/>
      <c r="AG56" s="27"/>
      <c r="AH56" s="27"/>
      <c r="AI56" s="27"/>
      <c r="AJ56" s="76"/>
      <c r="AN56" s="76"/>
      <c r="AO56" s="76"/>
      <c r="AP56" s="76"/>
      <c r="AQ56" s="76"/>
      <c r="AR56" s="76"/>
    </row>
    <row r="57" spans="1:44" s="75" customFormat="1" x14ac:dyDescent="0.2">
      <c r="A57" s="70"/>
      <c r="B57" s="70"/>
      <c r="C57" s="71"/>
      <c r="D57" s="77"/>
      <c r="E57" s="77"/>
      <c r="F57" s="27"/>
      <c r="G57" s="29">
        <v>46179.199999999997</v>
      </c>
      <c r="H57" s="29">
        <v>13446.9</v>
      </c>
      <c r="I57" s="29">
        <f>245.4+176.6+93.6+162.7</f>
        <v>678.3</v>
      </c>
      <c r="J57" s="29">
        <f>74.1+53.3+28.3+49.1</f>
        <v>204.8</v>
      </c>
      <c r="K57" s="29">
        <f>V52</f>
        <v>45500.9</v>
      </c>
      <c r="L57" s="29">
        <f>W52</f>
        <v>13348.7</v>
      </c>
      <c r="M57" s="29">
        <f>G57-I57-K57</f>
        <v>0</v>
      </c>
      <c r="N57" s="29">
        <f>H57-J57-L57</f>
        <v>-106.6</v>
      </c>
      <c r="O57" s="80"/>
      <c r="P57" s="80"/>
      <c r="Q57" s="27"/>
      <c r="R57" s="27"/>
      <c r="S57" s="27"/>
      <c r="T57" s="27"/>
      <c r="U57" s="27"/>
      <c r="V57" s="27"/>
      <c r="W57" s="27"/>
      <c r="X57" s="27"/>
      <c r="Y57" s="27"/>
      <c r="Z57" s="27"/>
      <c r="AA57" s="27"/>
      <c r="AB57" s="27"/>
      <c r="AC57" s="27"/>
      <c r="AD57" s="27"/>
      <c r="AE57" s="27"/>
      <c r="AF57" s="27"/>
      <c r="AG57" s="27"/>
      <c r="AH57" s="27"/>
      <c r="AI57" s="27"/>
      <c r="AJ57" s="76"/>
      <c r="AN57" s="76"/>
      <c r="AO57" s="76"/>
      <c r="AP57" s="76"/>
      <c r="AQ57" s="76"/>
      <c r="AR57" s="76"/>
    </row>
    <row r="58" spans="1:44" s="75" customFormat="1" x14ac:dyDescent="0.2">
      <c r="A58" s="70"/>
      <c r="B58" s="70"/>
      <c r="C58" s="71"/>
      <c r="D58" s="77"/>
      <c r="E58" s="77"/>
      <c r="F58" s="27"/>
      <c r="G58" s="27"/>
      <c r="H58" s="73"/>
      <c r="I58" s="73"/>
      <c r="J58" s="27"/>
      <c r="K58" s="27"/>
      <c r="L58" s="27"/>
      <c r="M58" s="27"/>
      <c r="N58" s="74"/>
      <c r="O58" s="27"/>
      <c r="P58" s="27"/>
      <c r="Q58" s="27"/>
      <c r="R58" s="27"/>
      <c r="S58" s="27"/>
      <c r="T58" s="27"/>
      <c r="U58" s="27"/>
      <c r="V58" s="27"/>
      <c r="W58" s="27"/>
      <c r="X58" s="27"/>
      <c r="Y58" s="27"/>
      <c r="Z58" s="27"/>
      <c r="AA58" s="27"/>
      <c r="AB58" s="27"/>
      <c r="AC58" s="27"/>
      <c r="AD58" s="27"/>
      <c r="AE58" s="27"/>
      <c r="AF58" s="27"/>
      <c r="AG58" s="27"/>
      <c r="AH58" s="76"/>
      <c r="AM58" s="76"/>
      <c r="AN58" s="211"/>
      <c r="AO58" s="211"/>
      <c r="AP58" s="211"/>
      <c r="AQ58" s="211"/>
    </row>
    <row r="59" spans="1:44" s="282" customFormat="1" ht="20.25" x14ac:dyDescent="0.2">
      <c r="A59" s="81"/>
      <c r="B59" s="82" t="s">
        <v>138</v>
      </c>
      <c r="C59" s="83"/>
      <c r="D59" s="84"/>
      <c r="E59" s="84"/>
      <c r="F59" s="85"/>
      <c r="G59" s="85"/>
      <c r="H59" s="86"/>
      <c r="I59" s="86"/>
      <c r="J59" s="85"/>
      <c r="K59" s="30" t="s">
        <v>167</v>
      </c>
      <c r="L59" s="85"/>
      <c r="M59" s="85"/>
      <c r="N59" s="87"/>
      <c r="O59" s="85"/>
      <c r="P59" s="85"/>
      <c r="Q59" s="85"/>
      <c r="R59" s="85"/>
      <c r="S59" s="85"/>
      <c r="T59" s="85"/>
      <c r="U59" s="85"/>
      <c r="V59" s="85"/>
      <c r="W59" s="85"/>
      <c r="X59" s="85"/>
      <c r="Y59" s="85"/>
      <c r="Z59" s="85"/>
      <c r="AA59" s="85"/>
      <c r="AB59" s="85"/>
      <c r="AC59" s="85"/>
      <c r="AD59" s="85"/>
      <c r="AE59" s="85"/>
      <c r="AF59" s="85"/>
      <c r="AG59" s="85"/>
      <c r="AH59" s="85"/>
      <c r="AI59" s="85"/>
      <c r="AK59" s="88"/>
      <c r="AL59" s="88"/>
      <c r="AM59" s="88"/>
      <c r="AN59" s="88"/>
      <c r="AO59" s="88"/>
    </row>
    <row r="60" spans="1:44" s="75" customFormat="1" x14ac:dyDescent="0.2">
      <c r="A60" s="70"/>
      <c r="B60" s="70"/>
      <c r="C60" s="71"/>
      <c r="D60" s="77"/>
      <c r="E60" s="77"/>
      <c r="F60" s="27"/>
      <c r="G60" s="27"/>
      <c r="H60" s="73"/>
      <c r="I60" s="73"/>
      <c r="J60" s="27"/>
      <c r="K60" s="27"/>
      <c r="L60" s="27"/>
      <c r="M60" s="27"/>
      <c r="N60" s="74"/>
      <c r="O60" s="27"/>
      <c r="P60" s="27"/>
      <c r="Q60" s="27"/>
      <c r="R60" s="27"/>
      <c r="S60" s="27"/>
      <c r="T60" s="27"/>
      <c r="U60" s="27"/>
      <c r="V60" s="27"/>
      <c r="W60" s="27"/>
      <c r="X60" s="27"/>
      <c r="Y60" s="27"/>
      <c r="Z60" s="27"/>
      <c r="AA60" s="27"/>
      <c r="AB60" s="27"/>
      <c r="AC60" s="27"/>
      <c r="AD60" s="27"/>
      <c r="AE60" s="27"/>
      <c r="AF60" s="27"/>
      <c r="AG60" s="27"/>
      <c r="AH60" s="76"/>
      <c r="AM60" s="76"/>
      <c r="AN60" s="211"/>
      <c r="AO60" s="211"/>
      <c r="AP60" s="211"/>
      <c r="AQ60" s="211"/>
    </row>
    <row r="61" spans="1:44" s="75" customFormat="1" ht="20.25" customHeight="1" x14ac:dyDescent="0.2">
      <c r="A61" s="89" t="s">
        <v>96</v>
      </c>
      <c r="B61" s="89"/>
      <c r="C61" s="31"/>
      <c r="D61" s="31"/>
      <c r="E61" s="31"/>
      <c r="F61" s="31"/>
      <c r="G61" s="31"/>
      <c r="H61" s="31"/>
      <c r="I61" s="31"/>
      <c r="J61" s="31"/>
      <c r="K61" s="31"/>
      <c r="L61" s="90"/>
      <c r="M61" s="90"/>
      <c r="N61" s="91"/>
      <c r="O61" s="90"/>
      <c r="P61" s="90"/>
      <c r="Q61" s="90"/>
      <c r="R61" s="90"/>
      <c r="S61" s="90"/>
      <c r="T61" s="90"/>
      <c r="U61" s="90"/>
      <c r="V61" s="90"/>
      <c r="W61" s="90"/>
      <c r="X61" s="90"/>
      <c r="Y61" s="90"/>
      <c r="Z61" s="90"/>
      <c r="AA61" s="90"/>
      <c r="AB61" s="90"/>
      <c r="AC61" s="90"/>
      <c r="AD61" s="90"/>
      <c r="AE61" s="90"/>
      <c r="AF61" s="90"/>
      <c r="AG61" s="90"/>
      <c r="AH61" s="76"/>
      <c r="AM61" s="76"/>
      <c r="AN61" s="211"/>
      <c r="AO61" s="211"/>
      <c r="AP61" s="211"/>
      <c r="AQ61" s="211"/>
    </row>
    <row r="62" spans="1:44" s="75" customFormat="1" ht="20.25" customHeight="1" x14ac:dyDescent="0.2">
      <c r="A62" s="89" t="s">
        <v>139</v>
      </c>
      <c r="B62" s="92"/>
      <c r="C62" s="93"/>
      <c r="D62" s="93"/>
      <c r="E62" s="32"/>
      <c r="F62" s="32"/>
      <c r="G62" s="32"/>
      <c r="H62" s="32"/>
      <c r="I62" s="32"/>
      <c r="J62" s="32"/>
      <c r="K62" s="32"/>
      <c r="L62" s="90"/>
      <c r="M62" s="90"/>
      <c r="N62" s="90"/>
      <c r="O62" s="90"/>
      <c r="P62" s="90"/>
      <c r="Q62" s="90"/>
      <c r="R62" s="90"/>
      <c r="S62" s="90"/>
      <c r="T62" s="90"/>
      <c r="U62" s="90"/>
      <c r="V62" s="90"/>
      <c r="W62" s="90"/>
      <c r="X62" s="90"/>
      <c r="Y62" s="90"/>
      <c r="Z62" s="90"/>
      <c r="AA62" s="90"/>
      <c r="AB62" s="90"/>
      <c r="AC62" s="90"/>
      <c r="AD62" s="90"/>
      <c r="AE62" s="90"/>
      <c r="AF62" s="90"/>
      <c r="AG62" s="90"/>
      <c r="AH62" s="76"/>
      <c r="AM62" s="76"/>
      <c r="AN62" s="211"/>
      <c r="AO62" s="211"/>
      <c r="AP62" s="211"/>
      <c r="AQ62" s="211"/>
    </row>
    <row r="64" spans="1:44" hidden="1" x14ac:dyDescent="0.2">
      <c r="A64" s="278"/>
      <c r="B64" s="233" t="s">
        <v>121</v>
      </c>
      <c r="C64" s="233">
        <f t="shared" ref="C64:W64" si="77">C9+C10+C12</f>
        <v>3</v>
      </c>
      <c r="D64" s="233">
        <f t="shared" si="77"/>
        <v>61.43</v>
      </c>
      <c r="E64" s="183">
        <f t="shared" si="77"/>
        <v>61.44</v>
      </c>
      <c r="F64" s="233">
        <f t="shared" si="77"/>
        <v>737.2</v>
      </c>
      <c r="G64" s="233">
        <f t="shared" si="77"/>
        <v>0</v>
      </c>
      <c r="H64" s="233">
        <f t="shared" si="77"/>
        <v>8.6999999999999993</v>
      </c>
      <c r="I64" s="233">
        <f t="shared" si="77"/>
        <v>0</v>
      </c>
      <c r="J64" s="233">
        <f t="shared" si="77"/>
        <v>0</v>
      </c>
      <c r="K64" s="233">
        <f t="shared" si="77"/>
        <v>208.9</v>
      </c>
      <c r="L64" s="233">
        <f t="shared" si="77"/>
        <v>249.5</v>
      </c>
      <c r="M64" s="233">
        <f t="shared" si="77"/>
        <v>1204.3</v>
      </c>
      <c r="N64" s="233">
        <f t="shared" si="77"/>
        <v>1.92</v>
      </c>
      <c r="O64" s="233">
        <f t="shared" si="77"/>
        <v>838.4</v>
      </c>
      <c r="P64" s="233">
        <f t="shared" si="77"/>
        <v>2042.7</v>
      </c>
      <c r="Q64" s="233">
        <f t="shared" si="77"/>
        <v>1634.1</v>
      </c>
      <c r="R64" s="233">
        <f t="shared" si="77"/>
        <v>1634.1</v>
      </c>
      <c r="S64" s="233">
        <f t="shared" si="77"/>
        <v>170</v>
      </c>
      <c r="T64" s="233">
        <f t="shared" si="77"/>
        <v>5480.9</v>
      </c>
      <c r="U64" s="233">
        <f t="shared" si="77"/>
        <v>1</v>
      </c>
      <c r="V64" s="233">
        <f t="shared" si="77"/>
        <v>5480.9</v>
      </c>
      <c r="W64" s="233">
        <f t="shared" si="77"/>
        <v>1328</v>
      </c>
      <c r="X64" s="234">
        <f>V64+W64</f>
        <v>6808.9</v>
      </c>
    </row>
    <row r="65" spans="1:26" hidden="1" x14ac:dyDescent="0.2">
      <c r="A65" s="278"/>
      <c r="B65" s="233" t="s">
        <v>122</v>
      </c>
      <c r="C65" s="233" t="e">
        <f>C13+C14+#REF!+C15+C16+C17+C19+C20+C21+C22+C23+C24+C25+C26+C27+C28+C29+C30+C31+C32+C33+C34+C35+C36+C38+#REF!+C39+C40+C41</f>
        <v>#REF!</v>
      </c>
      <c r="D65" s="233" t="e">
        <f>D13+D14+#REF!+D15+D16+D17+D19+D20+D21+D22+D23+D24+D25+D26+D27+D28+D29+D30+D31+D32+D33+D34+D35+D36+D38+#REF!+D39+D40+D41</f>
        <v>#REF!</v>
      </c>
      <c r="E65" s="183" t="e">
        <f>E13+E14+#REF!+E15+E16+E17+E19+E20+E21+E22+E23+E24+E25+E26+E27+E28+E29+E30+E31+E32+E33+E34+E35+E36+E38+#REF!+E39+E40+E41</f>
        <v>#REF!</v>
      </c>
      <c r="F65" s="233" t="e">
        <f>F13+F14+#REF!+F15+F16+F17+F19+F20+F21+F22+F23+F24+F25+F26+F27+F28+F29+F30+F31+F32+F33+F34+F35+F36+F38+#REF!+F39+F40+F41</f>
        <v>#REF!</v>
      </c>
      <c r="G65" s="233" t="e">
        <f>G13+G14+#REF!+G15+G16+G17+G19+G20+G21+G22+G23+G24+G25+G26+G27+G28+G29+G30+G31+G32+G33+G34+G35+G36+G38+#REF!+G39+G40+G41</f>
        <v>#REF!</v>
      </c>
      <c r="H65" s="233" t="e">
        <f>H13+H14+#REF!+H15+H16+H17+H19+H20+H21+H22+H23+H24+H25+H26+H27+H28+H29+H30+H31+H32+H33+H34+H35+H36+H38+#REF!+H39+H40+H41</f>
        <v>#REF!</v>
      </c>
      <c r="I65" s="233" t="e">
        <f>I13+I14+#REF!+I15+I16+I17+I19+I20+I21+I22+I23+I24+I25+I26+I27+I28+I29+I30+I31+I32+I33+I34+I35+I36+I38+#REF!+I39+I40+I41</f>
        <v>#REF!</v>
      </c>
      <c r="J65" s="233" t="e">
        <f>J13+J14+#REF!+J15+J16+J17+J19+J20+J21+J22+J23+J24+J25+J26+J27+J28+J29+J30+J31+J32+J33+J34+J35+J36+J38+#REF!+J39+J40+J41</f>
        <v>#REF!</v>
      </c>
      <c r="K65" s="233" t="e">
        <f>K13+K14+#REF!+K15+K16+K17+K19+K20+K21+K22+K23+K24+K25+K26+K27+K28+K29+K30+K31+K32+K33+K34+K35+K36+K38+#REF!+K39+K40+K41</f>
        <v>#REF!</v>
      </c>
      <c r="L65" s="233" t="e">
        <f>L13+L14+#REF!+L15+L16+L17+L19+L20+L21+L22+L23+L24+L25+L26+L27+L28+L29+L30+L31+L32+L33+L34+L35+L36+L38+#REF!+L39+L40+L41</f>
        <v>#REF!</v>
      </c>
      <c r="M65" s="233" t="e">
        <f>M13+M14+#REF!+M15+M16+M17+M19+M20+M21+M22+M23+M24+M25+M26+M27+M28+M29+M30+M31+M32+M33+M34+M35+M36+M38+#REF!+M39+M40+M41</f>
        <v>#REF!</v>
      </c>
      <c r="N65" s="233" t="e">
        <f>N13+N14+#REF!+N15+N16+N17+N19+N20+N21+N22+N23+N24+N25+N26+N27+N28+N29+N30+N31+N32+N33+N34+N35+N36+N38+#REF!+N39+N40+N41</f>
        <v>#REF!</v>
      </c>
      <c r="O65" s="233" t="e">
        <f>O13+O14+#REF!+O15+O16+O17+O19+O20+O21+O22+O23+O24+O25+O26+O27+O28+O29+O30+O31+O32+O33+O34+O35+O36+O38+#REF!+O39+O40+O41</f>
        <v>#REF!</v>
      </c>
      <c r="P65" s="233" t="e">
        <f>P13+P14+#REF!+P15+P16+P17+P19+P20+P21+P22+P23+P24+P25+P26+P27+P28+P29+P30+P31+P32+P33+P34+P35+P36+P38+#REF!+P39+P40+P41</f>
        <v>#REF!</v>
      </c>
      <c r="Q65" s="233" t="e">
        <f>Q13+Q14+#REF!+Q15+Q16+Q17+Q19+Q20+Q21+Q22+Q23+Q24+Q25+Q26+Q27+Q28+Q29+Q30+Q31+Q32+Q33+Q34+Q35+Q36+Q38+#REF!+Q39+Q40+Q41</f>
        <v>#REF!</v>
      </c>
      <c r="R65" s="233" t="e">
        <f>R13+R14+#REF!+R15+R16+R17+R19+R20+R21+R22+R23+R24+R25+R26+R27+R28+R29+R30+R31+R32+R33+R34+R35+R36+R38+#REF!+R39+R40+R41</f>
        <v>#REF!</v>
      </c>
      <c r="S65" s="233" t="e">
        <f>S13+S14+#REF!+S15+S16+S17+S19+S20+S21+S22+S23+S24+S25+S26+S27+S28+S29+S30+S31+S32+S33+S34+S35+S36+S38+#REF!+S39+S40+S41</f>
        <v>#REF!</v>
      </c>
      <c r="T65" s="233" t="e">
        <f>T13+T14+#REF!+T15+T16+T17+T19+T20+T21+T22+T23+T24+T25+T26+T27+T28+T29+T30+T31+T32+T33+T34+T35+T36+T38+#REF!+T39+T40+T41</f>
        <v>#REF!</v>
      </c>
      <c r="U65" s="233" t="e">
        <f>U13+U14+#REF!+U15+U16+U17+U19+U20+U21+U22+U23+U24+U25+U26+U27+U28+U29+U30+U31+U32+U33+U34+U35+U36+U38+#REF!+U39+U40+U41</f>
        <v>#REF!</v>
      </c>
      <c r="V65" s="233" t="e">
        <f>V13+V14+#REF!+V15+V16+V17+V19+V20+V21+V22+V23+V24+V25+V26+V27+V28+V29+V30+V31+V32+V33+V34+V35+V36+V38+#REF!+V39+V40+V41</f>
        <v>#REF!</v>
      </c>
      <c r="W65" s="233" t="e">
        <f>W13+W14+#REF!+W15+W16+W17+W19+W20+W21+W22+W23+W24+W25+W26+W27+W28+W29+W30+W31+W32+W33+W34+W35+W36+W38+#REF!+W39+W40+W41</f>
        <v>#REF!</v>
      </c>
      <c r="X65" s="234" t="e">
        <f t="shared" ref="X65:X67" si="78">V65+W65</f>
        <v>#REF!</v>
      </c>
    </row>
    <row r="66" spans="1:26" hidden="1" x14ac:dyDescent="0.2">
      <c r="A66" s="278"/>
      <c r="B66" s="233" t="s">
        <v>123</v>
      </c>
      <c r="C66" s="233" t="e">
        <f>C11+C18+#REF!</f>
        <v>#REF!</v>
      </c>
      <c r="D66" s="233" t="e">
        <f>D11+D18+#REF!</f>
        <v>#REF!</v>
      </c>
      <c r="E66" s="183" t="e">
        <f>E11+E18+#REF!</f>
        <v>#REF!</v>
      </c>
      <c r="F66" s="233" t="e">
        <f>F11+F18+#REF!</f>
        <v>#REF!</v>
      </c>
      <c r="G66" s="233" t="e">
        <f>G11+G18+#REF!</f>
        <v>#REF!</v>
      </c>
      <c r="H66" s="233" t="e">
        <f>H11+H18+#REF!</f>
        <v>#REF!</v>
      </c>
      <c r="I66" s="233" t="e">
        <f>I11+I18+#REF!</f>
        <v>#REF!</v>
      </c>
      <c r="J66" s="233" t="e">
        <f>J11+J18+#REF!</f>
        <v>#REF!</v>
      </c>
      <c r="K66" s="233" t="e">
        <f>K11+K18+#REF!</f>
        <v>#REF!</v>
      </c>
      <c r="L66" s="233" t="e">
        <f>L11+L18+#REF!</f>
        <v>#REF!</v>
      </c>
      <c r="M66" s="233" t="e">
        <f>M11+M18+#REF!</f>
        <v>#REF!</v>
      </c>
      <c r="N66" s="233" t="e">
        <f>N11+N18+#REF!</f>
        <v>#REF!</v>
      </c>
      <c r="O66" s="233" t="e">
        <f>O11+O18+#REF!</f>
        <v>#REF!</v>
      </c>
      <c r="P66" s="233" t="e">
        <f>P11+P18+#REF!</f>
        <v>#REF!</v>
      </c>
      <c r="Q66" s="233" t="e">
        <f>Q11+Q18+#REF!</f>
        <v>#REF!</v>
      </c>
      <c r="R66" s="233" t="e">
        <f>R11+R18+#REF!</f>
        <v>#REF!</v>
      </c>
      <c r="S66" s="233" t="e">
        <f>S11+S18+#REF!</f>
        <v>#REF!</v>
      </c>
      <c r="T66" s="233" t="e">
        <f>T11+T18+#REF!</f>
        <v>#REF!</v>
      </c>
      <c r="U66" s="233" t="e">
        <f>U11+U18+#REF!</f>
        <v>#REF!</v>
      </c>
      <c r="V66" s="233" t="e">
        <f>V11+V18+#REF!</f>
        <v>#REF!</v>
      </c>
      <c r="W66" s="233" t="e">
        <f>W11+W18+#REF!</f>
        <v>#REF!</v>
      </c>
      <c r="X66" s="234" t="e">
        <f t="shared" si="78"/>
        <v>#REF!</v>
      </c>
    </row>
    <row r="67" spans="1:26" hidden="1" x14ac:dyDescent="0.2">
      <c r="A67" s="278"/>
      <c r="B67" s="233"/>
      <c r="C67" s="233" t="e">
        <f>C64+C65+C66</f>
        <v>#REF!</v>
      </c>
      <c r="D67" s="233" t="e">
        <f t="shared" ref="D67:W67" si="79">D64+D65+D66</f>
        <v>#REF!</v>
      </c>
      <c r="E67" s="183" t="e">
        <f t="shared" si="79"/>
        <v>#REF!</v>
      </c>
      <c r="F67" s="233" t="e">
        <f t="shared" si="79"/>
        <v>#REF!</v>
      </c>
      <c r="G67" s="233" t="e">
        <f t="shared" si="79"/>
        <v>#REF!</v>
      </c>
      <c r="H67" s="233" t="e">
        <f t="shared" si="79"/>
        <v>#REF!</v>
      </c>
      <c r="I67" s="233" t="e">
        <f t="shared" si="79"/>
        <v>#REF!</v>
      </c>
      <c r="J67" s="233" t="e">
        <f t="shared" si="79"/>
        <v>#REF!</v>
      </c>
      <c r="K67" s="233" t="e">
        <f t="shared" si="79"/>
        <v>#REF!</v>
      </c>
      <c r="L67" s="233" t="e">
        <f t="shared" si="79"/>
        <v>#REF!</v>
      </c>
      <c r="M67" s="233" t="e">
        <f t="shared" si="79"/>
        <v>#REF!</v>
      </c>
      <c r="N67" s="233" t="e">
        <f t="shared" si="79"/>
        <v>#REF!</v>
      </c>
      <c r="O67" s="233" t="e">
        <f t="shared" si="79"/>
        <v>#REF!</v>
      </c>
      <c r="P67" s="233" t="e">
        <f t="shared" si="79"/>
        <v>#REF!</v>
      </c>
      <c r="Q67" s="233" t="e">
        <f t="shared" si="79"/>
        <v>#REF!</v>
      </c>
      <c r="R67" s="233" t="e">
        <f t="shared" si="79"/>
        <v>#REF!</v>
      </c>
      <c r="S67" s="233" t="e">
        <f t="shared" si="79"/>
        <v>#REF!</v>
      </c>
      <c r="T67" s="233" t="e">
        <f t="shared" si="79"/>
        <v>#REF!</v>
      </c>
      <c r="U67" s="233" t="e">
        <f t="shared" si="79"/>
        <v>#REF!</v>
      </c>
      <c r="V67" s="233" t="e">
        <f t="shared" si="79"/>
        <v>#REF!</v>
      </c>
      <c r="W67" s="233" t="e">
        <f t="shared" si="79"/>
        <v>#REF!</v>
      </c>
      <c r="X67" s="234" t="e">
        <f t="shared" si="78"/>
        <v>#REF!</v>
      </c>
      <c r="Y67" s="22" t="e">
        <f>V67+#REF!</f>
        <v>#REF!</v>
      </c>
      <c r="Z67" s="22" t="e">
        <f>W67+#REF!</f>
        <v>#REF!</v>
      </c>
    </row>
    <row r="68" spans="1:26" hidden="1" x14ac:dyDescent="0.2">
      <c r="A68" s="278"/>
      <c r="B68" s="233"/>
      <c r="C68" s="233"/>
      <c r="D68" s="233"/>
      <c r="E68" s="183"/>
      <c r="F68" s="233"/>
      <c r="G68" s="233"/>
      <c r="H68" s="233"/>
      <c r="I68" s="233"/>
      <c r="J68" s="233"/>
      <c r="K68" s="233"/>
      <c r="L68" s="233"/>
      <c r="M68" s="233"/>
      <c r="N68" s="233"/>
      <c r="O68" s="233"/>
      <c r="P68" s="233"/>
      <c r="Q68" s="233"/>
      <c r="R68" s="233"/>
      <c r="S68" s="233"/>
      <c r="T68" s="233"/>
      <c r="U68" s="233"/>
      <c r="V68" s="233"/>
      <c r="W68" s="233"/>
      <c r="X68" s="233"/>
    </row>
    <row r="69" spans="1:26" hidden="1" x14ac:dyDescent="0.2">
      <c r="E69" s="51"/>
    </row>
    <row r="70" spans="1:26" hidden="1" x14ac:dyDescent="0.2">
      <c r="E70" s="51"/>
    </row>
    <row r="71" spans="1:26" hidden="1" x14ac:dyDescent="0.2">
      <c r="E71" s="51"/>
    </row>
    <row r="72" spans="1:26" hidden="1" x14ac:dyDescent="0.2">
      <c r="E72" s="51"/>
    </row>
    <row r="73" spans="1:26" hidden="1" x14ac:dyDescent="0.2">
      <c r="E73" s="51"/>
    </row>
    <row r="74" spans="1:26" hidden="1" x14ac:dyDescent="0.2">
      <c r="E74" s="51"/>
    </row>
    <row r="75" spans="1:26" hidden="1" x14ac:dyDescent="0.2">
      <c r="E75" s="51"/>
    </row>
    <row r="76" spans="1:26" x14ac:dyDescent="0.2">
      <c r="E76" s="51"/>
    </row>
    <row r="77" spans="1:26" x14ac:dyDescent="0.2">
      <c r="E77" s="51"/>
    </row>
    <row r="78" spans="1:26" x14ac:dyDescent="0.2">
      <c r="E78" s="51"/>
    </row>
    <row r="79" spans="1:26" x14ac:dyDescent="0.2">
      <c r="E79" s="51"/>
    </row>
    <row r="80" spans="1:26" x14ac:dyDescent="0.2">
      <c r="E80" s="51"/>
    </row>
    <row r="81" spans="5:5" x14ac:dyDescent="0.2">
      <c r="E81" s="51"/>
    </row>
    <row r="82" spans="5:5" x14ac:dyDescent="0.2">
      <c r="E82" s="51"/>
    </row>
    <row r="83" spans="5:5" x14ac:dyDescent="0.2">
      <c r="E83" s="51"/>
    </row>
    <row r="84" spans="5:5" x14ac:dyDescent="0.2">
      <c r="E84" s="51"/>
    </row>
    <row r="85" spans="5:5" x14ac:dyDescent="0.2">
      <c r="E85" s="51"/>
    </row>
    <row r="86" spans="5:5" x14ac:dyDescent="0.2">
      <c r="E86" s="51"/>
    </row>
    <row r="87" spans="5:5" x14ac:dyDescent="0.2">
      <c r="E87" s="51"/>
    </row>
    <row r="88" spans="5:5" x14ac:dyDescent="0.2">
      <c r="E88" s="51"/>
    </row>
    <row r="89" spans="5:5" x14ac:dyDescent="0.2">
      <c r="E89" s="51"/>
    </row>
    <row r="90" spans="5:5" x14ac:dyDescent="0.2">
      <c r="E90" s="51"/>
    </row>
    <row r="91" spans="5:5" x14ac:dyDescent="0.2">
      <c r="E91" s="51"/>
    </row>
    <row r="92" spans="5:5" x14ac:dyDescent="0.2">
      <c r="E92" s="51"/>
    </row>
    <row r="93" spans="5:5" x14ac:dyDescent="0.2">
      <c r="E93" s="51"/>
    </row>
    <row r="94" spans="5:5" x14ac:dyDescent="0.2">
      <c r="E94" s="51"/>
    </row>
    <row r="95" spans="5:5" x14ac:dyDescent="0.2">
      <c r="E95" s="51"/>
    </row>
    <row r="96" spans="5:5" x14ac:dyDescent="0.2">
      <c r="E96" s="51"/>
    </row>
    <row r="97" spans="5:5" x14ac:dyDescent="0.2">
      <c r="E97" s="51"/>
    </row>
    <row r="98" spans="5:5" x14ac:dyDescent="0.2">
      <c r="E98" s="51"/>
    </row>
    <row r="99" spans="5:5" x14ac:dyDescent="0.2">
      <c r="E99" s="51"/>
    </row>
    <row r="100" spans="5:5" x14ac:dyDescent="0.2">
      <c r="E100" s="51"/>
    </row>
    <row r="101" spans="5:5" x14ac:dyDescent="0.2">
      <c r="E101" s="51"/>
    </row>
    <row r="102" spans="5:5" x14ac:dyDescent="0.2">
      <c r="E102" s="51"/>
    </row>
    <row r="103" spans="5:5" x14ac:dyDescent="0.2">
      <c r="E103" s="51"/>
    </row>
    <row r="104" spans="5:5" x14ac:dyDescent="0.2">
      <c r="E104" s="51"/>
    </row>
    <row r="105" spans="5:5" x14ac:dyDescent="0.2">
      <c r="E105" s="51"/>
    </row>
  </sheetData>
  <autoFilter ref="A8:AS57"/>
  <mergeCells count="38">
    <mergeCell ref="G55:H55"/>
    <mergeCell ref="I55:J55"/>
    <mergeCell ref="K55:L55"/>
    <mergeCell ref="M55:N55"/>
    <mergeCell ref="AA6:AC6"/>
    <mergeCell ref="R6:R7"/>
    <mergeCell ref="K6:K7"/>
    <mergeCell ref="AG6:AG7"/>
    <mergeCell ref="AH6:AH7"/>
    <mergeCell ref="U9:U51"/>
    <mergeCell ref="A52:B52"/>
    <mergeCell ref="S6:S7"/>
    <mergeCell ref="T6:T7"/>
    <mergeCell ref="U6:U7"/>
    <mergeCell ref="V6:V7"/>
    <mergeCell ref="W6:W7"/>
    <mergeCell ref="X6:Z6"/>
    <mergeCell ref="L6:L7"/>
    <mergeCell ref="M6:M7"/>
    <mergeCell ref="N6:O6"/>
    <mergeCell ref="P6:P7"/>
    <mergeCell ref="Q6:Q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s>
  <printOptions horizontalCentered="1"/>
  <pageMargins left="0" right="0" top="0" bottom="0" header="0.31496062992125984" footer="0.31496062992125984"/>
  <pageSetup paperSize="9" scale="36" orientation="landscape" r:id="rId1"/>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5">
    <tabColor rgb="FFFFFF00"/>
    <pageSetUpPr fitToPage="1"/>
  </sheetPr>
  <dimension ref="A1:AS66"/>
  <sheetViews>
    <sheetView view="pageBreakPreview" zoomScale="80" zoomScaleNormal="70" zoomScaleSheetLayoutView="80" workbookViewId="0">
      <pane xSplit="3" ySplit="8" topLeftCell="D18"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9.6640625" style="98" customWidth="1"/>
    <col min="2" max="2" width="30.83203125" style="99" customWidth="1"/>
    <col min="3" max="3" width="13.83203125" style="99" customWidth="1"/>
    <col min="4" max="4" width="13.5" style="99" customWidth="1"/>
    <col min="5" max="5" width="13" style="99" customWidth="1"/>
    <col min="6" max="6" width="14.6640625" style="99" customWidth="1"/>
    <col min="7" max="7" width="11.5" style="99" customWidth="1"/>
    <col min="8" max="8" width="11.6640625" style="99" customWidth="1"/>
    <col min="9" max="9" width="11.33203125" style="99" customWidth="1"/>
    <col min="10" max="10" width="16" style="99" customWidth="1"/>
    <col min="11" max="11" width="13.1640625" style="99" customWidth="1"/>
    <col min="12" max="17" width="11.5" style="99" customWidth="1"/>
    <col min="18" max="18" width="11.6640625" style="99" customWidth="1"/>
    <col min="19" max="19" width="14.6640625" style="99" customWidth="1"/>
    <col min="20" max="20" width="12.33203125" style="99" customWidth="1"/>
    <col min="21" max="21" width="11.6640625" style="99" customWidth="1"/>
    <col min="22" max="22" width="13.83203125" style="99" customWidth="1"/>
    <col min="23" max="23" width="13" style="99" customWidth="1"/>
    <col min="24" max="24" width="11" style="99" customWidth="1"/>
    <col min="25" max="25" width="12.1640625" style="99" customWidth="1"/>
    <col min="26" max="26" width="9.6640625" style="99" customWidth="1"/>
    <col min="27" max="27" width="8.5" style="99" customWidth="1"/>
    <col min="28" max="28" width="9.1640625" style="99" customWidth="1"/>
    <col min="29" max="29" width="9" style="99" customWidth="1"/>
    <col min="30" max="30" width="8.5" style="99" customWidth="1"/>
    <col min="31" max="31" width="9.1640625" style="99" customWidth="1"/>
    <col min="32" max="32" width="10" style="99" customWidth="1"/>
    <col min="33" max="33" width="9.33203125" style="99" customWidth="1"/>
    <col min="34" max="34" width="10.6640625" style="99" customWidth="1"/>
    <col min="35" max="35" width="11.1640625" style="99" customWidth="1"/>
    <col min="36" max="36" width="9.33203125" style="99"/>
    <col min="37" max="37" width="10.6640625" style="99" bestFit="1" customWidth="1"/>
    <col min="38" max="38" width="9.33203125" style="99" hidden="1" customWidth="1"/>
    <col min="39" max="39" width="13" style="99" hidden="1" customWidth="1"/>
    <col min="40" max="40" width="14.1640625" style="211" bestFit="1" customWidth="1"/>
    <col min="41" max="42" width="9.33203125" style="211"/>
    <col min="43" max="43" width="11.33203125" style="211" bestFit="1" customWidth="1"/>
    <col min="44" max="16384" width="9.33203125" style="99"/>
  </cols>
  <sheetData>
    <row r="1" spans="1:45" ht="23.25" customHeight="1" x14ac:dyDescent="0.2">
      <c r="AE1" s="3196"/>
      <c r="AF1" s="3196"/>
      <c r="AG1" s="3196"/>
      <c r="AH1" s="3196"/>
    </row>
    <row r="2" spans="1:45" ht="24" customHeight="1" x14ac:dyDescent="0.2">
      <c r="A2" s="3197" t="s">
        <v>161</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235"/>
    </row>
    <row r="3" spans="1:45" ht="24.75" customHeight="1" x14ac:dyDescent="0.2">
      <c r="A3" s="3198"/>
      <c r="B3" s="3198"/>
      <c r="C3" s="3198"/>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287"/>
    </row>
    <row r="4" spans="1:45" x14ac:dyDescent="0.2">
      <c r="L4" s="38">
        <v>0.15451000000000001</v>
      </c>
    </row>
    <row r="5" spans="1:45" ht="38.25" customHeight="1" x14ac:dyDescent="0.2">
      <c r="A5" s="3199" t="s">
        <v>78</v>
      </c>
      <c r="B5" s="3199" t="s">
        <v>77</v>
      </c>
      <c r="C5" s="3200" t="s">
        <v>0</v>
      </c>
      <c r="D5" s="3200" t="s">
        <v>3</v>
      </c>
      <c r="E5" s="3200"/>
      <c r="F5" s="3200"/>
      <c r="G5" s="3200"/>
      <c r="H5" s="3200"/>
      <c r="I5" s="3200"/>
      <c r="J5" s="3200"/>
      <c r="K5" s="3200"/>
      <c r="L5" s="3200"/>
      <c r="M5" s="3200"/>
      <c r="N5" s="3200"/>
      <c r="O5" s="3200"/>
      <c r="P5" s="3200"/>
      <c r="Q5" s="3200"/>
      <c r="R5" s="3200"/>
      <c r="S5" s="3200"/>
      <c r="T5" s="3200"/>
      <c r="U5" s="3200"/>
      <c r="V5" s="3200"/>
      <c r="W5" s="3200"/>
      <c r="X5" s="3200" t="s">
        <v>4</v>
      </c>
      <c r="Y5" s="3200"/>
      <c r="Z5" s="3200"/>
      <c r="AA5" s="3200"/>
      <c r="AB5" s="3200"/>
      <c r="AC5" s="3200"/>
      <c r="AD5" s="3200"/>
      <c r="AE5" s="3200"/>
      <c r="AF5" s="3200"/>
      <c r="AG5" s="3200"/>
      <c r="AH5" s="3200"/>
    </row>
    <row r="6" spans="1:45" ht="60" customHeight="1" x14ac:dyDescent="0.2">
      <c r="A6" s="3199"/>
      <c r="B6" s="3199"/>
      <c r="C6" s="3200"/>
      <c r="D6" s="3201" t="s">
        <v>68</v>
      </c>
      <c r="E6" s="3201" t="s">
        <v>69</v>
      </c>
      <c r="F6" s="3201" t="s">
        <v>89</v>
      </c>
      <c r="G6" s="3201" t="s">
        <v>1</v>
      </c>
      <c r="H6" s="3201" t="s">
        <v>2</v>
      </c>
      <c r="I6" s="3201" t="s">
        <v>70</v>
      </c>
      <c r="J6" s="3201" t="s">
        <v>61</v>
      </c>
      <c r="K6" s="3201" t="s">
        <v>27</v>
      </c>
      <c r="L6" s="3203" t="s">
        <v>65</v>
      </c>
      <c r="M6" s="3203" t="s">
        <v>86</v>
      </c>
      <c r="N6" s="3204" t="s">
        <v>90</v>
      </c>
      <c r="O6" s="3204"/>
      <c r="P6" s="3204" t="s">
        <v>88</v>
      </c>
      <c r="Q6" s="3203" t="s">
        <v>82</v>
      </c>
      <c r="R6" s="3201" t="s">
        <v>83</v>
      </c>
      <c r="S6" s="3203" t="s">
        <v>87</v>
      </c>
      <c r="T6" s="3201" t="s">
        <v>84</v>
      </c>
      <c r="U6" s="3201" t="s">
        <v>9</v>
      </c>
      <c r="V6" s="3201" t="s">
        <v>7</v>
      </c>
      <c r="W6" s="3201" t="s">
        <v>85</v>
      </c>
      <c r="X6" s="3200" t="s">
        <v>10</v>
      </c>
      <c r="Y6" s="3200"/>
      <c r="Z6" s="3200"/>
      <c r="AA6" s="3200" t="s">
        <v>11</v>
      </c>
      <c r="AB6" s="3200"/>
      <c r="AC6" s="3200"/>
      <c r="AD6" s="3200" t="s">
        <v>12</v>
      </c>
      <c r="AE6" s="3200"/>
      <c r="AF6" s="3200"/>
      <c r="AG6" s="3200" t="s">
        <v>13</v>
      </c>
      <c r="AH6" s="3200" t="s">
        <v>73</v>
      </c>
    </row>
    <row r="7" spans="1:45" ht="97.5" customHeight="1" x14ac:dyDescent="0.2">
      <c r="A7" s="3199"/>
      <c r="B7" s="3199"/>
      <c r="C7" s="3200"/>
      <c r="D7" s="3201"/>
      <c r="E7" s="3201"/>
      <c r="F7" s="3201"/>
      <c r="G7" s="3201"/>
      <c r="H7" s="3201"/>
      <c r="I7" s="3201"/>
      <c r="J7" s="3201"/>
      <c r="K7" s="3201"/>
      <c r="L7" s="3203" t="s">
        <v>66</v>
      </c>
      <c r="M7" s="3203"/>
      <c r="N7" s="286" t="s">
        <v>80</v>
      </c>
      <c r="O7" s="286" t="s">
        <v>81</v>
      </c>
      <c r="P7" s="3204"/>
      <c r="Q7" s="3203"/>
      <c r="R7" s="3201"/>
      <c r="S7" s="3203" t="s">
        <v>67</v>
      </c>
      <c r="T7" s="3201"/>
      <c r="U7" s="3201"/>
      <c r="V7" s="3201"/>
      <c r="W7" s="3201"/>
      <c r="X7" s="285" t="s">
        <v>5</v>
      </c>
      <c r="Y7" s="285" t="s">
        <v>6</v>
      </c>
      <c r="Z7" s="285" t="s">
        <v>74</v>
      </c>
      <c r="AA7" s="285" t="s">
        <v>5</v>
      </c>
      <c r="AB7" s="285" t="s">
        <v>6</v>
      </c>
      <c r="AC7" s="285" t="s">
        <v>75</v>
      </c>
      <c r="AD7" s="285" t="s">
        <v>5</v>
      </c>
      <c r="AE7" s="285" t="s">
        <v>6</v>
      </c>
      <c r="AF7" s="285" t="s">
        <v>76</v>
      </c>
      <c r="AG7" s="3200"/>
      <c r="AH7" s="3200"/>
      <c r="AK7" s="98" t="s">
        <v>64</v>
      </c>
      <c r="AL7" s="98" t="s">
        <v>62</v>
      </c>
      <c r="AM7" s="98" t="s">
        <v>63</v>
      </c>
    </row>
    <row r="8" spans="1:45" ht="15.75"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25</v>
      </c>
      <c r="Y8" s="284">
        <v>26</v>
      </c>
      <c r="Z8" s="284">
        <v>27</v>
      </c>
      <c r="AA8" s="284">
        <v>28</v>
      </c>
      <c r="AB8" s="284">
        <v>29</v>
      </c>
      <c r="AC8" s="284">
        <v>30</v>
      </c>
      <c r="AD8" s="284">
        <v>31</v>
      </c>
      <c r="AE8" s="284">
        <v>32</v>
      </c>
      <c r="AF8" s="284">
        <v>33</v>
      </c>
      <c r="AG8" s="284">
        <v>34</v>
      </c>
      <c r="AH8" s="284">
        <v>35</v>
      </c>
      <c r="AN8" s="212" t="s">
        <v>116</v>
      </c>
      <c r="AO8" s="212" t="s">
        <v>117</v>
      </c>
      <c r="AP8" s="212" t="s">
        <v>118</v>
      </c>
      <c r="AQ8" s="212" t="s">
        <v>119</v>
      </c>
    </row>
    <row r="9" spans="1:45" ht="16.5" customHeight="1" x14ac:dyDescent="0.2">
      <c r="A9" s="284">
        <v>1</v>
      </c>
      <c r="B9" s="236" t="s">
        <v>14</v>
      </c>
      <c r="C9" s="284">
        <v>1</v>
      </c>
      <c r="D9" s="237">
        <v>25.672999999999998</v>
      </c>
      <c r="E9" s="169">
        <f t="shared" ref="E9:E24" si="0">C9*D9</f>
        <v>25.67</v>
      </c>
      <c r="F9" s="170">
        <f t="shared" ref="F9:F24" si="1">E9*12</f>
        <v>308</v>
      </c>
      <c r="G9" s="95"/>
      <c r="H9" s="95"/>
      <c r="I9" s="95"/>
      <c r="J9" s="95"/>
      <c r="K9" s="95">
        <f>F9*0.3</f>
        <v>92.4</v>
      </c>
      <c r="L9" s="95">
        <f>F9*$L$4</f>
        <v>47.6</v>
      </c>
      <c r="M9" s="95">
        <f t="shared" ref="M9:M24" si="2">F9+G9+H9+I9+J9+K9+L9</f>
        <v>448</v>
      </c>
      <c r="N9" s="111">
        <v>0.42</v>
      </c>
      <c r="O9" s="95">
        <f t="shared" ref="O9:O24" si="3">M9*N9</f>
        <v>188.2</v>
      </c>
      <c r="P9" s="95">
        <f t="shared" ref="P9:P24" si="4">M9+O9</f>
        <v>636.20000000000005</v>
      </c>
      <c r="Q9" s="95">
        <f t="shared" ref="Q9:Q24" si="5">P9*0.8</f>
        <v>509</v>
      </c>
      <c r="R9" s="95">
        <f t="shared" ref="R9:R24" si="6">P9*0.8</f>
        <v>509</v>
      </c>
      <c r="S9" s="95">
        <f t="shared" ref="S9:S24" si="7">(P9+Q9+R9)*0.032</f>
        <v>52.9</v>
      </c>
      <c r="T9" s="95">
        <f t="shared" ref="T9:T24" si="8">P9+Q9+R9+S9</f>
        <v>1707.1</v>
      </c>
      <c r="U9" s="3429">
        <v>1</v>
      </c>
      <c r="V9" s="95">
        <f>T9*$U$9</f>
        <v>1707.1</v>
      </c>
      <c r="W9" s="95">
        <f>AQ9</f>
        <v>424.3</v>
      </c>
      <c r="X9" s="284">
        <v>1</v>
      </c>
      <c r="Y9" s="112">
        <v>30</v>
      </c>
      <c r="Z9" s="113">
        <f t="shared" ref="Z9:Z24" si="9">X9*Y9</f>
        <v>30</v>
      </c>
      <c r="AA9" s="284"/>
      <c r="AB9" s="112">
        <v>15</v>
      </c>
      <c r="AC9" s="113">
        <f t="shared" ref="AC9:AC24" si="10">AA9*AB9</f>
        <v>0</v>
      </c>
      <c r="AD9" s="284">
        <v>1</v>
      </c>
      <c r="AE9" s="112">
        <v>30</v>
      </c>
      <c r="AF9" s="113">
        <f t="shared" ref="AF9:AF24" si="11">AD9*AE9</f>
        <v>30</v>
      </c>
      <c r="AG9" s="113">
        <f t="shared" ref="AG9:AG24" si="12">(Z9+AC9+AF9)*1%*30</f>
        <v>18</v>
      </c>
      <c r="AH9" s="113">
        <f t="shared" ref="AH9:AH24" si="13">Z9+AC9+AF9+AG9</f>
        <v>78</v>
      </c>
      <c r="AI9" s="114">
        <f t="shared" ref="AI9:AI17" si="14">V9/12/C9*1000</f>
        <v>142258.29999999999</v>
      </c>
      <c r="AK9" s="114">
        <f t="shared" ref="AK9:AK24" si="15">V9/C9</f>
        <v>1707.1</v>
      </c>
      <c r="AL9" s="114">
        <f>((979*0.302)+((AK9-979)*0.182))</f>
        <v>428.2</v>
      </c>
      <c r="AM9" s="115">
        <f>AL9/AK9</f>
        <v>0.251</v>
      </c>
      <c r="AN9" s="50">
        <f>1150*0.22+(AK9-1150)*0.1</f>
        <v>308.7</v>
      </c>
      <c r="AO9" s="50">
        <f>865*0.029</f>
        <v>25.1</v>
      </c>
      <c r="AP9" s="50">
        <f>AK9*0.053</f>
        <v>90.5</v>
      </c>
      <c r="AQ9" s="50">
        <f t="shared" ref="AQ9:AQ24" si="16">SUM(AN9:AP9)*C9</f>
        <v>424.3</v>
      </c>
      <c r="AS9" s="99">
        <f t="shared" ref="AS9:AS17" si="17">D9*1.5</f>
        <v>38.509500000000003</v>
      </c>
    </row>
    <row r="10" spans="1:45" x14ac:dyDescent="0.2">
      <c r="A10" s="284">
        <v>2</v>
      </c>
      <c r="B10" s="236" t="s">
        <v>127</v>
      </c>
      <c r="C10" s="284">
        <v>1</v>
      </c>
      <c r="D10" s="237">
        <v>17.971</v>
      </c>
      <c r="E10" s="169">
        <f>C10*D10</f>
        <v>17.97</v>
      </c>
      <c r="F10" s="170">
        <f t="shared" si="1"/>
        <v>215.6</v>
      </c>
      <c r="G10" s="95"/>
      <c r="H10" s="95">
        <v>11.2</v>
      </c>
      <c r="I10" s="95"/>
      <c r="J10" s="95"/>
      <c r="K10" s="95">
        <f>F10*0.3+D10*0.05*6.5</f>
        <v>70.5</v>
      </c>
      <c r="L10" s="95">
        <f t="shared" ref="L10:L23" si="18">F10*$L$4</f>
        <v>33.299999999999997</v>
      </c>
      <c r="M10" s="95">
        <f t="shared" si="2"/>
        <v>330.6</v>
      </c>
      <c r="N10" s="111">
        <v>0.47</v>
      </c>
      <c r="O10" s="95">
        <f t="shared" si="3"/>
        <v>155.4</v>
      </c>
      <c r="P10" s="95">
        <f t="shared" si="4"/>
        <v>486</v>
      </c>
      <c r="Q10" s="95">
        <f t="shared" si="5"/>
        <v>388.8</v>
      </c>
      <c r="R10" s="95">
        <f t="shared" si="6"/>
        <v>388.8</v>
      </c>
      <c r="S10" s="95">
        <f t="shared" si="7"/>
        <v>40.4</v>
      </c>
      <c r="T10" s="95">
        <f t="shared" si="8"/>
        <v>1304</v>
      </c>
      <c r="U10" s="3430"/>
      <c r="V10" s="95">
        <f>T10*$U$9</f>
        <v>1304</v>
      </c>
      <c r="W10" s="95">
        <f>AQ10</f>
        <v>362.6</v>
      </c>
      <c r="X10" s="284">
        <v>1</v>
      </c>
      <c r="Y10" s="112">
        <v>30</v>
      </c>
      <c r="Z10" s="113">
        <f t="shared" si="9"/>
        <v>30</v>
      </c>
      <c r="AA10" s="284"/>
      <c r="AB10" s="112">
        <v>15</v>
      </c>
      <c r="AC10" s="113">
        <f t="shared" si="10"/>
        <v>0</v>
      </c>
      <c r="AD10" s="284"/>
      <c r="AE10" s="112">
        <v>30</v>
      </c>
      <c r="AF10" s="113">
        <f t="shared" si="11"/>
        <v>0</v>
      </c>
      <c r="AG10" s="113">
        <f t="shared" si="12"/>
        <v>9</v>
      </c>
      <c r="AH10" s="113">
        <f t="shared" si="13"/>
        <v>39</v>
      </c>
      <c r="AI10" s="114">
        <f t="shared" si="14"/>
        <v>108666.7</v>
      </c>
      <c r="AK10" s="114">
        <f t="shared" si="15"/>
        <v>1304</v>
      </c>
      <c r="AL10" s="114">
        <f t="shared" ref="AL10:AL24" si="19">((979*0.302)+((AK10-979)*0.182))</f>
        <v>354.8</v>
      </c>
      <c r="AM10" s="115">
        <f>AL10/AK10</f>
        <v>0.27200000000000002</v>
      </c>
      <c r="AN10" s="50">
        <f>1150*0.22+(AK10-1150)*0.1</f>
        <v>268.39999999999998</v>
      </c>
      <c r="AO10" s="50">
        <f>865*0.029</f>
        <v>25.1</v>
      </c>
      <c r="AP10" s="50">
        <f>AK10*0.053</f>
        <v>69.099999999999994</v>
      </c>
      <c r="AQ10" s="50">
        <f t="shared" si="16"/>
        <v>362.6</v>
      </c>
      <c r="AS10" s="99">
        <f t="shared" si="17"/>
        <v>26.956499999999998</v>
      </c>
    </row>
    <row r="11" spans="1:45" x14ac:dyDescent="0.2">
      <c r="A11" s="284">
        <v>3</v>
      </c>
      <c r="B11" s="236" t="s">
        <v>23</v>
      </c>
      <c r="C11" s="238">
        <v>4</v>
      </c>
      <c r="D11" s="237">
        <v>11.061999999999999</v>
      </c>
      <c r="E11" s="111">
        <f t="shared" si="0"/>
        <v>44.25</v>
      </c>
      <c r="F11" s="95">
        <f t="shared" si="1"/>
        <v>531</v>
      </c>
      <c r="G11" s="95"/>
      <c r="H11" s="95">
        <f>7.01+7.789+7.01</f>
        <v>21.8</v>
      </c>
      <c r="I11" s="95"/>
      <c r="J11" s="95"/>
      <c r="K11" s="95">
        <f>F11*0.25*2+F11*0.3+D11*0.05*11.5</f>
        <v>431.2</v>
      </c>
      <c r="L11" s="95">
        <f t="shared" si="18"/>
        <v>82</v>
      </c>
      <c r="M11" s="95">
        <f t="shared" si="2"/>
        <v>1066</v>
      </c>
      <c r="N11" s="111">
        <v>0.43</v>
      </c>
      <c r="O11" s="95">
        <f t="shared" si="3"/>
        <v>458.4</v>
      </c>
      <c r="P11" s="95">
        <f t="shared" si="4"/>
        <v>1524.4</v>
      </c>
      <c r="Q11" s="95">
        <f t="shared" si="5"/>
        <v>1219.5</v>
      </c>
      <c r="R11" s="95">
        <f t="shared" si="6"/>
        <v>1219.5</v>
      </c>
      <c r="S11" s="95">
        <f t="shared" si="7"/>
        <v>126.8</v>
      </c>
      <c r="T11" s="95">
        <f t="shared" si="8"/>
        <v>4090.2</v>
      </c>
      <c r="U11" s="3430"/>
      <c r="V11" s="95">
        <f t="shared" ref="V11:V23" si="20">T11*$U$9</f>
        <v>4090.2</v>
      </c>
      <c r="W11" s="95">
        <f>AQ11</f>
        <v>1217.2</v>
      </c>
      <c r="X11" s="239">
        <v>2</v>
      </c>
      <c r="Y11" s="240">
        <v>30</v>
      </c>
      <c r="Z11" s="241">
        <f t="shared" si="9"/>
        <v>60</v>
      </c>
      <c r="AA11" s="239">
        <v>1</v>
      </c>
      <c r="AB11" s="240">
        <v>15</v>
      </c>
      <c r="AC11" s="241">
        <f t="shared" si="10"/>
        <v>15</v>
      </c>
      <c r="AD11" s="239">
        <v>1</v>
      </c>
      <c r="AE11" s="240">
        <v>30</v>
      </c>
      <c r="AF11" s="241">
        <f t="shared" si="11"/>
        <v>30</v>
      </c>
      <c r="AG11" s="241">
        <f t="shared" si="12"/>
        <v>31.5</v>
      </c>
      <c r="AH11" s="241">
        <f t="shared" si="13"/>
        <v>136.5</v>
      </c>
      <c r="AI11" s="114">
        <f t="shared" si="14"/>
        <v>85212.5</v>
      </c>
      <c r="AK11" s="114">
        <f t="shared" si="15"/>
        <v>1022.6</v>
      </c>
      <c r="AL11" s="114">
        <f t="shared" si="19"/>
        <v>303.60000000000002</v>
      </c>
      <c r="AM11" s="115">
        <v>0.30199999999999999</v>
      </c>
      <c r="AN11" s="50">
        <f t="shared" ref="AN11:AN24" si="21">AK11*0.22</f>
        <v>225</v>
      </c>
      <c r="AO11" s="50">
        <f>865*0.029</f>
        <v>25.1</v>
      </c>
      <c r="AP11" s="50">
        <f>AK11*0.053</f>
        <v>54.2</v>
      </c>
      <c r="AQ11" s="50">
        <f t="shared" si="16"/>
        <v>1217.2</v>
      </c>
      <c r="AS11" s="99">
        <f t="shared" si="17"/>
        <v>16.593</v>
      </c>
    </row>
    <row r="12" spans="1:45" x14ac:dyDescent="0.2">
      <c r="A12" s="284">
        <v>4</v>
      </c>
      <c r="B12" s="236" t="s">
        <v>47</v>
      </c>
      <c r="C12" s="238">
        <v>1</v>
      </c>
      <c r="D12" s="237">
        <v>6.2859999999999996</v>
      </c>
      <c r="E12" s="111">
        <f t="shared" si="0"/>
        <v>6.29</v>
      </c>
      <c r="F12" s="95">
        <f t="shared" si="1"/>
        <v>75.5</v>
      </c>
      <c r="G12" s="95"/>
      <c r="H12" s="95"/>
      <c r="I12" s="95"/>
      <c r="J12" s="95"/>
      <c r="K12" s="95"/>
      <c r="L12" s="95">
        <f t="shared" si="18"/>
        <v>11.7</v>
      </c>
      <c r="M12" s="95">
        <f t="shared" si="2"/>
        <v>87.2</v>
      </c>
      <c r="N12" s="111">
        <v>0.45</v>
      </c>
      <c r="O12" s="95">
        <f t="shared" si="3"/>
        <v>39.200000000000003</v>
      </c>
      <c r="P12" s="95">
        <f t="shared" si="4"/>
        <v>126.4</v>
      </c>
      <c r="Q12" s="95">
        <f t="shared" si="5"/>
        <v>101.1</v>
      </c>
      <c r="R12" s="95">
        <f t="shared" si="6"/>
        <v>101.1</v>
      </c>
      <c r="S12" s="95">
        <f t="shared" si="7"/>
        <v>10.5</v>
      </c>
      <c r="T12" s="95">
        <f t="shared" si="8"/>
        <v>339.1</v>
      </c>
      <c r="U12" s="3430"/>
      <c r="V12" s="95">
        <f t="shared" si="20"/>
        <v>339.1</v>
      </c>
      <c r="W12" s="95">
        <f t="shared" ref="W12:W24" si="22">V12*0.302</f>
        <v>102.4</v>
      </c>
      <c r="X12" s="239"/>
      <c r="Y12" s="240">
        <v>30</v>
      </c>
      <c r="Z12" s="241">
        <f t="shared" si="9"/>
        <v>0</v>
      </c>
      <c r="AA12" s="239"/>
      <c r="AB12" s="240">
        <v>15</v>
      </c>
      <c r="AC12" s="241">
        <f t="shared" si="10"/>
        <v>0</v>
      </c>
      <c r="AD12" s="239"/>
      <c r="AE12" s="240">
        <v>30</v>
      </c>
      <c r="AF12" s="241">
        <f t="shared" si="11"/>
        <v>0</v>
      </c>
      <c r="AG12" s="241">
        <f t="shared" si="12"/>
        <v>0</v>
      </c>
      <c r="AH12" s="241">
        <f t="shared" si="13"/>
        <v>0</v>
      </c>
      <c r="AI12" s="114">
        <f t="shared" si="14"/>
        <v>28258.3</v>
      </c>
      <c r="AK12" s="114">
        <f t="shared" si="15"/>
        <v>339.1</v>
      </c>
      <c r="AL12" s="114">
        <f t="shared" si="19"/>
        <v>179.2</v>
      </c>
      <c r="AM12" s="115">
        <v>0.30199999999999999</v>
      </c>
      <c r="AN12" s="50">
        <f t="shared" si="21"/>
        <v>74.599999999999994</v>
      </c>
      <c r="AO12" s="50"/>
      <c r="AP12" s="50">
        <f t="shared" ref="AP12:AP24" si="23">AK12*0.053</f>
        <v>18</v>
      </c>
      <c r="AQ12" s="50">
        <f t="shared" si="16"/>
        <v>92.6</v>
      </c>
      <c r="AR12" s="22"/>
      <c r="AS12" s="99">
        <f t="shared" si="17"/>
        <v>9.4290000000000003</v>
      </c>
    </row>
    <row r="13" spans="1:45" s="33" customFormat="1" x14ac:dyDescent="0.2">
      <c r="A13" s="284">
        <v>5</v>
      </c>
      <c r="B13" s="52" t="s">
        <v>48</v>
      </c>
      <c r="C13" s="278">
        <v>1</v>
      </c>
      <c r="D13" s="177">
        <v>11.061999999999999</v>
      </c>
      <c r="E13" s="171">
        <f t="shared" si="0"/>
        <v>11.06</v>
      </c>
      <c r="F13" s="154">
        <f t="shared" si="1"/>
        <v>132.69999999999999</v>
      </c>
      <c r="G13" s="154"/>
      <c r="H13" s="154">
        <f>7010.2/1000</f>
        <v>7</v>
      </c>
      <c r="I13" s="154"/>
      <c r="J13" s="154"/>
      <c r="K13" s="154">
        <f>F13*0.4</f>
        <v>53.1</v>
      </c>
      <c r="L13" s="95">
        <f t="shared" si="18"/>
        <v>20.5</v>
      </c>
      <c r="M13" s="154">
        <f t="shared" si="2"/>
        <v>213.3</v>
      </c>
      <c r="N13" s="111">
        <v>0.47</v>
      </c>
      <c r="O13" s="154">
        <f t="shared" si="3"/>
        <v>100.3</v>
      </c>
      <c r="P13" s="154">
        <f t="shared" si="4"/>
        <v>313.60000000000002</v>
      </c>
      <c r="Q13" s="154">
        <f t="shared" si="5"/>
        <v>250.9</v>
      </c>
      <c r="R13" s="154">
        <f t="shared" si="6"/>
        <v>250.9</v>
      </c>
      <c r="S13" s="154">
        <f t="shared" si="7"/>
        <v>26.1</v>
      </c>
      <c r="T13" s="154">
        <f t="shared" si="8"/>
        <v>841.5</v>
      </c>
      <c r="U13" s="3430"/>
      <c r="V13" s="154">
        <f t="shared" si="20"/>
        <v>841.5</v>
      </c>
      <c r="W13" s="95">
        <f t="shared" si="22"/>
        <v>254.1</v>
      </c>
      <c r="X13" s="54"/>
      <c r="Y13" s="24">
        <v>30</v>
      </c>
      <c r="Z13" s="48">
        <f t="shared" si="9"/>
        <v>0</v>
      </c>
      <c r="AA13" s="54"/>
      <c r="AB13" s="24">
        <v>15</v>
      </c>
      <c r="AC13" s="48">
        <f t="shared" si="10"/>
        <v>0</v>
      </c>
      <c r="AD13" s="54"/>
      <c r="AE13" s="24">
        <v>30</v>
      </c>
      <c r="AF13" s="48">
        <f t="shared" si="11"/>
        <v>0</v>
      </c>
      <c r="AG13" s="48">
        <f t="shared" si="12"/>
        <v>0</v>
      </c>
      <c r="AH13" s="48">
        <f t="shared" si="13"/>
        <v>0</v>
      </c>
      <c r="AI13" s="34">
        <f t="shared" si="14"/>
        <v>70125</v>
      </c>
      <c r="AK13" s="34">
        <f t="shared" si="15"/>
        <v>841.5</v>
      </c>
      <c r="AL13" s="34">
        <f t="shared" si="19"/>
        <v>270.60000000000002</v>
      </c>
      <c r="AM13" s="51">
        <v>0.30199999999999999</v>
      </c>
      <c r="AN13" s="50">
        <f t="shared" si="21"/>
        <v>185.1</v>
      </c>
      <c r="AO13" s="50"/>
      <c r="AP13" s="50">
        <f t="shared" si="23"/>
        <v>44.6</v>
      </c>
      <c r="AQ13" s="50">
        <f t="shared" si="16"/>
        <v>229.7</v>
      </c>
      <c r="AR13" s="22"/>
      <c r="AS13" s="22">
        <f t="shared" si="17"/>
        <v>16.593</v>
      </c>
    </row>
    <row r="14" spans="1:45" x14ac:dyDescent="0.2">
      <c r="A14" s="284">
        <v>6</v>
      </c>
      <c r="B14" s="236" t="s">
        <v>49</v>
      </c>
      <c r="C14" s="127">
        <v>1</v>
      </c>
      <c r="D14" s="237">
        <v>8.4730000000000008</v>
      </c>
      <c r="E14" s="111">
        <f t="shared" si="0"/>
        <v>8.4700000000000006</v>
      </c>
      <c r="F14" s="95">
        <f t="shared" si="1"/>
        <v>101.6</v>
      </c>
      <c r="G14" s="95"/>
      <c r="H14" s="95">
        <f>5966.1/1000</f>
        <v>6</v>
      </c>
      <c r="I14" s="95"/>
      <c r="J14" s="95"/>
      <c r="K14" s="95">
        <f>F14*0.4</f>
        <v>40.6</v>
      </c>
      <c r="L14" s="95">
        <f t="shared" si="18"/>
        <v>15.7</v>
      </c>
      <c r="M14" s="95">
        <f t="shared" si="2"/>
        <v>163.9</v>
      </c>
      <c r="N14" s="111">
        <v>0.41</v>
      </c>
      <c r="O14" s="95">
        <f t="shared" si="3"/>
        <v>67.2</v>
      </c>
      <c r="P14" s="95">
        <f t="shared" si="4"/>
        <v>231.1</v>
      </c>
      <c r="Q14" s="95">
        <f t="shared" si="5"/>
        <v>184.9</v>
      </c>
      <c r="R14" s="95">
        <f t="shared" si="6"/>
        <v>184.9</v>
      </c>
      <c r="S14" s="95">
        <f t="shared" si="7"/>
        <v>19.2</v>
      </c>
      <c r="T14" s="95">
        <f t="shared" si="8"/>
        <v>620.1</v>
      </c>
      <c r="U14" s="3430"/>
      <c r="V14" s="95">
        <f>T14*$U$9</f>
        <v>620.1</v>
      </c>
      <c r="W14" s="95">
        <f t="shared" si="22"/>
        <v>187.3</v>
      </c>
      <c r="X14" s="284"/>
      <c r="Y14" s="112">
        <v>30</v>
      </c>
      <c r="Z14" s="113">
        <f t="shared" si="9"/>
        <v>0</v>
      </c>
      <c r="AA14" s="127"/>
      <c r="AB14" s="112">
        <v>15</v>
      </c>
      <c r="AC14" s="113">
        <f t="shared" si="10"/>
        <v>0</v>
      </c>
      <c r="AD14" s="127"/>
      <c r="AE14" s="112">
        <v>30</v>
      </c>
      <c r="AF14" s="113">
        <f t="shared" si="11"/>
        <v>0</v>
      </c>
      <c r="AG14" s="113">
        <f t="shared" si="12"/>
        <v>0</v>
      </c>
      <c r="AH14" s="113">
        <f t="shared" si="13"/>
        <v>0</v>
      </c>
      <c r="AI14" s="114">
        <f t="shared" si="14"/>
        <v>51675</v>
      </c>
      <c r="AK14" s="114">
        <f t="shared" si="15"/>
        <v>620.1</v>
      </c>
      <c r="AL14" s="114">
        <f t="shared" si="19"/>
        <v>230.3</v>
      </c>
      <c r="AM14" s="115">
        <v>0.30199999999999999</v>
      </c>
      <c r="AN14" s="50">
        <f t="shared" si="21"/>
        <v>136.4</v>
      </c>
      <c r="AO14" s="50"/>
      <c r="AP14" s="50">
        <f t="shared" si="23"/>
        <v>32.9</v>
      </c>
      <c r="AQ14" s="50">
        <f t="shared" si="16"/>
        <v>169.3</v>
      </c>
      <c r="AR14" s="22"/>
      <c r="AS14" s="99">
        <f t="shared" si="17"/>
        <v>12.7095</v>
      </c>
    </row>
    <row r="15" spans="1:45" x14ac:dyDescent="0.2">
      <c r="A15" s="284">
        <v>7</v>
      </c>
      <c r="B15" s="236" t="s">
        <v>52</v>
      </c>
      <c r="C15" s="127">
        <v>1</v>
      </c>
      <c r="D15" s="237">
        <v>8.4730000000000008</v>
      </c>
      <c r="E15" s="111">
        <f t="shared" si="0"/>
        <v>8.4700000000000006</v>
      </c>
      <c r="F15" s="95">
        <f t="shared" si="1"/>
        <v>101.6</v>
      </c>
      <c r="G15" s="95"/>
      <c r="H15" s="95">
        <f>5966.1/1000</f>
        <v>6</v>
      </c>
      <c r="I15" s="95"/>
      <c r="J15" s="95"/>
      <c r="K15" s="95">
        <f>F15*0.25</f>
        <v>25.4</v>
      </c>
      <c r="L15" s="95">
        <f t="shared" si="18"/>
        <v>15.7</v>
      </c>
      <c r="M15" s="95">
        <f t="shared" si="2"/>
        <v>148.69999999999999</v>
      </c>
      <c r="N15" s="111">
        <v>0.41</v>
      </c>
      <c r="O15" s="95">
        <f t="shared" si="3"/>
        <v>61</v>
      </c>
      <c r="P15" s="95">
        <f t="shared" si="4"/>
        <v>209.7</v>
      </c>
      <c r="Q15" s="95">
        <f t="shared" si="5"/>
        <v>167.8</v>
      </c>
      <c r="R15" s="95">
        <f t="shared" si="6"/>
        <v>167.8</v>
      </c>
      <c r="S15" s="95">
        <f t="shared" si="7"/>
        <v>17.399999999999999</v>
      </c>
      <c r="T15" s="95">
        <f t="shared" si="8"/>
        <v>562.70000000000005</v>
      </c>
      <c r="U15" s="3430"/>
      <c r="V15" s="95">
        <f t="shared" si="20"/>
        <v>562.70000000000005</v>
      </c>
      <c r="W15" s="95">
        <f t="shared" si="22"/>
        <v>169.9</v>
      </c>
      <c r="X15" s="284"/>
      <c r="Y15" s="112">
        <v>30</v>
      </c>
      <c r="Z15" s="113">
        <f t="shared" si="9"/>
        <v>0</v>
      </c>
      <c r="AA15" s="127"/>
      <c r="AB15" s="112">
        <v>15</v>
      </c>
      <c r="AC15" s="113">
        <f t="shared" si="10"/>
        <v>0</v>
      </c>
      <c r="AD15" s="127"/>
      <c r="AE15" s="112">
        <v>30</v>
      </c>
      <c r="AF15" s="113">
        <f t="shared" si="11"/>
        <v>0</v>
      </c>
      <c r="AG15" s="113">
        <f t="shared" si="12"/>
        <v>0</v>
      </c>
      <c r="AH15" s="113">
        <f t="shared" si="13"/>
        <v>0</v>
      </c>
      <c r="AI15" s="114">
        <f t="shared" si="14"/>
        <v>46891.7</v>
      </c>
      <c r="AK15" s="114">
        <f t="shared" si="15"/>
        <v>562.70000000000005</v>
      </c>
      <c r="AL15" s="114">
        <f t="shared" si="19"/>
        <v>219.9</v>
      </c>
      <c r="AM15" s="115">
        <v>0.30199999999999999</v>
      </c>
      <c r="AN15" s="50">
        <f t="shared" si="21"/>
        <v>123.8</v>
      </c>
      <c r="AO15" s="50"/>
      <c r="AP15" s="50">
        <f t="shared" si="23"/>
        <v>29.8</v>
      </c>
      <c r="AQ15" s="50">
        <f t="shared" si="16"/>
        <v>153.6</v>
      </c>
      <c r="AS15" s="99">
        <f t="shared" si="17"/>
        <v>12.7095</v>
      </c>
    </row>
    <row r="16" spans="1:45" x14ac:dyDescent="0.2">
      <c r="A16" s="284">
        <v>8</v>
      </c>
      <c r="B16" s="236" t="s">
        <v>40</v>
      </c>
      <c r="C16" s="127">
        <v>1</v>
      </c>
      <c r="D16" s="237">
        <v>11.061999999999999</v>
      </c>
      <c r="E16" s="111">
        <f t="shared" si="0"/>
        <v>11.06</v>
      </c>
      <c r="F16" s="95">
        <f t="shared" si="1"/>
        <v>132.69999999999999</v>
      </c>
      <c r="G16" s="95"/>
      <c r="H16" s="95">
        <f>7010.2/1000</f>
        <v>7</v>
      </c>
      <c r="I16" s="95"/>
      <c r="J16" s="95"/>
      <c r="K16" s="95">
        <f>F16*0.25</f>
        <v>33.200000000000003</v>
      </c>
      <c r="L16" s="95">
        <f t="shared" si="18"/>
        <v>20.5</v>
      </c>
      <c r="M16" s="95">
        <f t="shared" si="2"/>
        <v>193.4</v>
      </c>
      <c r="N16" s="111">
        <v>0.43</v>
      </c>
      <c r="O16" s="95">
        <f t="shared" si="3"/>
        <v>83.2</v>
      </c>
      <c r="P16" s="95">
        <f t="shared" si="4"/>
        <v>276.60000000000002</v>
      </c>
      <c r="Q16" s="95">
        <f t="shared" si="5"/>
        <v>221.3</v>
      </c>
      <c r="R16" s="95">
        <f t="shared" si="6"/>
        <v>221.3</v>
      </c>
      <c r="S16" s="95">
        <f t="shared" si="7"/>
        <v>23</v>
      </c>
      <c r="T16" s="95">
        <f t="shared" si="8"/>
        <v>742.2</v>
      </c>
      <c r="U16" s="3430"/>
      <c r="V16" s="95">
        <f t="shared" si="20"/>
        <v>742.2</v>
      </c>
      <c r="W16" s="95">
        <f t="shared" si="22"/>
        <v>224.1</v>
      </c>
      <c r="X16" s="284"/>
      <c r="Y16" s="112">
        <v>30</v>
      </c>
      <c r="Z16" s="113">
        <f t="shared" si="9"/>
        <v>0</v>
      </c>
      <c r="AA16" s="127"/>
      <c r="AB16" s="112">
        <v>15</v>
      </c>
      <c r="AC16" s="113">
        <f t="shared" si="10"/>
        <v>0</v>
      </c>
      <c r="AD16" s="127"/>
      <c r="AE16" s="112">
        <v>30</v>
      </c>
      <c r="AF16" s="113">
        <f t="shared" si="11"/>
        <v>0</v>
      </c>
      <c r="AG16" s="113">
        <f t="shared" si="12"/>
        <v>0</v>
      </c>
      <c r="AH16" s="113">
        <f t="shared" si="13"/>
        <v>0</v>
      </c>
      <c r="AI16" s="114">
        <f t="shared" si="14"/>
        <v>61850</v>
      </c>
      <c r="AK16" s="114">
        <f t="shared" si="15"/>
        <v>742.2</v>
      </c>
      <c r="AL16" s="114">
        <f t="shared" si="19"/>
        <v>252.6</v>
      </c>
      <c r="AM16" s="115">
        <v>0.30199999999999999</v>
      </c>
      <c r="AN16" s="50">
        <f t="shared" si="21"/>
        <v>163.30000000000001</v>
      </c>
      <c r="AO16" s="242"/>
      <c r="AP16" s="50">
        <f t="shared" si="23"/>
        <v>39.299999999999997</v>
      </c>
      <c r="AQ16" s="50">
        <f t="shared" si="16"/>
        <v>202.6</v>
      </c>
      <c r="AS16" s="99">
        <f t="shared" si="17"/>
        <v>16.593</v>
      </c>
    </row>
    <row r="17" spans="1:45" x14ac:dyDescent="0.2">
      <c r="A17" s="284">
        <v>9</v>
      </c>
      <c r="B17" s="236" t="s">
        <v>29</v>
      </c>
      <c r="C17" s="127">
        <v>1</v>
      </c>
      <c r="D17" s="237">
        <v>8.4730000000000008</v>
      </c>
      <c r="E17" s="111">
        <f t="shared" si="0"/>
        <v>8.4700000000000006</v>
      </c>
      <c r="F17" s="95">
        <f t="shared" si="1"/>
        <v>101.6</v>
      </c>
      <c r="G17" s="95"/>
      <c r="H17" s="95">
        <f>5369.5/1000</f>
        <v>5.4</v>
      </c>
      <c r="I17" s="95"/>
      <c r="J17" s="95">
        <f>D17*0.1*3</f>
        <v>2.5</v>
      </c>
      <c r="K17" s="95">
        <f>D17*0.25*12</f>
        <v>25.4</v>
      </c>
      <c r="L17" s="95">
        <f t="shared" si="18"/>
        <v>15.7</v>
      </c>
      <c r="M17" s="95">
        <f t="shared" si="2"/>
        <v>150.6</v>
      </c>
      <c r="N17" s="111">
        <v>0.41</v>
      </c>
      <c r="O17" s="95">
        <f t="shared" si="3"/>
        <v>61.7</v>
      </c>
      <c r="P17" s="95">
        <f t="shared" si="4"/>
        <v>212.3</v>
      </c>
      <c r="Q17" s="95">
        <f t="shared" si="5"/>
        <v>169.8</v>
      </c>
      <c r="R17" s="95">
        <f t="shared" si="6"/>
        <v>169.8</v>
      </c>
      <c r="S17" s="95">
        <f t="shared" si="7"/>
        <v>17.7</v>
      </c>
      <c r="T17" s="95">
        <f t="shared" si="8"/>
        <v>569.6</v>
      </c>
      <c r="U17" s="3430"/>
      <c r="V17" s="95">
        <f t="shared" si="20"/>
        <v>569.6</v>
      </c>
      <c r="W17" s="95">
        <f t="shared" si="22"/>
        <v>172</v>
      </c>
      <c r="X17" s="284">
        <v>1</v>
      </c>
      <c r="Y17" s="112">
        <v>30</v>
      </c>
      <c r="Z17" s="113">
        <f t="shared" si="9"/>
        <v>30</v>
      </c>
      <c r="AA17" s="127"/>
      <c r="AB17" s="112">
        <v>15</v>
      </c>
      <c r="AC17" s="113">
        <f t="shared" si="10"/>
        <v>0</v>
      </c>
      <c r="AD17" s="127"/>
      <c r="AE17" s="112">
        <v>30</v>
      </c>
      <c r="AF17" s="113">
        <f t="shared" si="11"/>
        <v>0</v>
      </c>
      <c r="AG17" s="113">
        <f t="shared" si="12"/>
        <v>9</v>
      </c>
      <c r="AH17" s="113">
        <f t="shared" si="13"/>
        <v>39</v>
      </c>
      <c r="AI17" s="114">
        <f t="shared" si="14"/>
        <v>47466.7</v>
      </c>
      <c r="AK17" s="114">
        <f t="shared" si="15"/>
        <v>569.6</v>
      </c>
      <c r="AL17" s="114">
        <f t="shared" si="19"/>
        <v>221.1</v>
      </c>
      <c r="AM17" s="115">
        <v>0.30199999999999999</v>
      </c>
      <c r="AN17" s="50">
        <f t="shared" si="21"/>
        <v>125.3</v>
      </c>
      <c r="AO17" s="242"/>
      <c r="AP17" s="50">
        <f t="shared" si="23"/>
        <v>30.2</v>
      </c>
      <c r="AQ17" s="50">
        <f t="shared" si="16"/>
        <v>155.5</v>
      </c>
      <c r="AS17" s="99">
        <f t="shared" si="17"/>
        <v>12.7095</v>
      </c>
    </row>
    <row r="18" spans="1:45" ht="25.5" x14ac:dyDescent="0.2">
      <c r="A18" s="284">
        <v>10</v>
      </c>
      <c r="B18" s="236" t="s">
        <v>148</v>
      </c>
      <c r="C18" s="127">
        <v>1</v>
      </c>
      <c r="D18" s="237">
        <v>8.4730000000000008</v>
      </c>
      <c r="E18" s="111">
        <f t="shared" si="0"/>
        <v>8.4700000000000006</v>
      </c>
      <c r="F18" s="95">
        <f t="shared" si="1"/>
        <v>101.6</v>
      </c>
      <c r="G18" s="95"/>
      <c r="H18" s="95"/>
      <c r="I18" s="95"/>
      <c r="J18" s="95"/>
      <c r="K18" s="95">
        <f>F18*0.25+D18*0.05*11</f>
        <v>30.1</v>
      </c>
      <c r="L18" s="95">
        <f t="shared" si="18"/>
        <v>15.7</v>
      </c>
      <c r="M18" s="95">
        <f t="shared" si="2"/>
        <v>147.4</v>
      </c>
      <c r="N18" s="111">
        <v>0.41</v>
      </c>
      <c r="O18" s="95">
        <f t="shared" si="3"/>
        <v>60.4</v>
      </c>
      <c r="P18" s="95">
        <f t="shared" si="4"/>
        <v>207.8</v>
      </c>
      <c r="Q18" s="95">
        <f t="shared" si="5"/>
        <v>166.2</v>
      </c>
      <c r="R18" s="95">
        <f t="shared" si="6"/>
        <v>166.2</v>
      </c>
      <c r="S18" s="95">
        <f t="shared" si="7"/>
        <v>17.3</v>
      </c>
      <c r="T18" s="95">
        <f t="shared" si="8"/>
        <v>557.5</v>
      </c>
      <c r="U18" s="3430"/>
      <c r="V18" s="95">
        <f t="shared" si="20"/>
        <v>557.5</v>
      </c>
      <c r="W18" s="95">
        <f t="shared" si="22"/>
        <v>168.4</v>
      </c>
      <c r="X18" s="284">
        <v>1</v>
      </c>
      <c r="Y18" s="112">
        <v>30</v>
      </c>
      <c r="Z18" s="113">
        <f t="shared" si="9"/>
        <v>30</v>
      </c>
      <c r="AA18" s="127"/>
      <c r="AB18" s="112">
        <v>15</v>
      </c>
      <c r="AC18" s="113">
        <f t="shared" si="10"/>
        <v>0</v>
      </c>
      <c r="AD18" s="127"/>
      <c r="AE18" s="112">
        <v>30</v>
      </c>
      <c r="AF18" s="113">
        <f t="shared" si="11"/>
        <v>0</v>
      </c>
      <c r="AG18" s="113">
        <f t="shared" si="12"/>
        <v>9</v>
      </c>
      <c r="AH18" s="113">
        <f t="shared" si="13"/>
        <v>39</v>
      </c>
      <c r="AI18" s="114"/>
      <c r="AK18" s="114">
        <f t="shared" si="15"/>
        <v>557.5</v>
      </c>
      <c r="AL18" s="114"/>
      <c r="AM18" s="115"/>
      <c r="AN18" s="50">
        <f t="shared" si="21"/>
        <v>122.7</v>
      </c>
      <c r="AO18" s="242"/>
      <c r="AP18" s="50">
        <f t="shared" si="23"/>
        <v>29.5</v>
      </c>
      <c r="AQ18" s="50">
        <f t="shared" si="16"/>
        <v>152.19999999999999</v>
      </c>
    </row>
    <row r="19" spans="1:45" ht="25.5" x14ac:dyDescent="0.2">
      <c r="A19" s="284">
        <v>11</v>
      </c>
      <c r="B19" s="236" t="s">
        <v>130</v>
      </c>
      <c r="C19" s="127">
        <v>1</v>
      </c>
      <c r="D19" s="237">
        <v>8.4730000000000008</v>
      </c>
      <c r="E19" s="111">
        <f t="shared" si="0"/>
        <v>8.4700000000000006</v>
      </c>
      <c r="F19" s="95">
        <f t="shared" si="1"/>
        <v>101.6</v>
      </c>
      <c r="G19" s="95"/>
      <c r="H19" s="95"/>
      <c r="I19" s="95"/>
      <c r="J19" s="95"/>
      <c r="K19" s="95"/>
      <c r="L19" s="95">
        <f t="shared" si="18"/>
        <v>15.7</v>
      </c>
      <c r="M19" s="95">
        <f t="shared" si="2"/>
        <v>117.3</v>
      </c>
      <c r="N19" s="111">
        <v>0.47</v>
      </c>
      <c r="O19" s="95">
        <f t="shared" si="3"/>
        <v>55.1</v>
      </c>
      <c r="P19" s="95">
        <f t="shared" si="4"/>
        <v>172.4</v>
      </c>
      <c r="Q19" s="95">
        <f t="shared" si="5"/>
        <v>137.9</v>
      </c>
      <c r="R19" s="95">
        <f t="shared" si="6"/>
        <v>137.9</v>
      </c>
      <c r="S19" s="95">
        <f t="shared" si="7"/>
        <v>14.3</v>
      </c>
      <c r="T19" s="95">
        <f t="shared" si="8"/>
        <v>462.5</v>
      </c>
      <c r="U19" s="3430"/>
      <c r="V19" s="95">
        <f t="shared" si="20"/>
        <v>462.5</v>
      </c>
      <c r="W19" s="95">
        <f t="shared" si="22"/>
        <v>139.69999999999999</v>
      </c>
      <c r="X19" s="284"/>
      <c r="Y19" s="112">
        <v>30</v>
      </c>
      <c r="Z19" s="113">
        <f t="shared" si="9"/>
        <v>0</v>
      </c>
      <c r="AA19" s="127"/>
      <c r="AB19" s="112">
        <v>15</v>
      </c>
      <c r="AC19" s="113">
        <f t="shared" si="10"/>
        <v>0</v>
      </c>
      <c r="AD19" s="127"/>
      <c r="AE19" s="112">
        <v>30</v>
      </c>
      <c r="AF19" s="113">
        <f t="shared" si="11"/>
        <v>0</v>
      </c>
      <c r="AG19" s="113">
        <f t="shared" si="12"/>
        <v>0</v>
      </c>
      <c r="AH19" s="113">
        <f t="shared" si="13"/>
        <v>0</v>
      </c>
      <c r="AI19" s="114"/>
      <c r="AK19" s="114">
        <f t="shared" si="15"/>
        <v>462.5</v>
      </c>
      <c r="AL19" s="114"/>
      <c r="AM19" s="115"/>
      <c r="AN19" s="50">
        <f t="shared" si="21"/>
        <v>101.8</v>
      </c>
      <c r="AO19" s="242"/>
      <c r="AP19" s="50">
        <f t="shared" si="23"/>
        <v>24.5</v>
      </c>
      <c r="AQ19" s="50">
        <f t="shared" si="16"/>
        <v>126.3</v>
      </c>
    </row>
    <row r="20" spans="1:45" ht="25.5" x14ac:dyDescent="0.2">
      <c r="A20" s="284">
        <v>12</v>
      </c>
      <c r="B20" s="236" t="s">
        <v>149</v>
      </c>
      <c r="C20" s="127">
        <v>1</v>
      </c>
      <c r="D20" s="237">
        <v>11.061999999999999</v>
      </c>
      <c r="E20" s="111">
        <f t="shared" si="0"/>
        <v>11.06</v>
      </c>
      <c r="F20" s="95">
        <f t="shared" si="1"/>
        <v>132.69999999999999</v>
      </c>
      <c r="G20" s="95"/>
      <c r="H20" s="95"/>
      <c r="I20" s="95"/>
      <c r="J20" s="95"/>
      <c r="K20" s="95"/>
      <c r="L20" s="95">
        <f t="shared" si="18"/>
        <v>20.5</v>
      </c>
      <c r="M20" s="95">
        <f t="shared" si="2"/>
        <v>153.19999999999999</v>
      </c>
      <c r="N20" s="111">
        <v>0.43</v>
      </c>
      <c r="O20" s="95">
        <f t="shared" si="3"/>
        <v>65.900000000000006</v>
      </c>
      <c r="P20" s="95">
        <f t="shared" si="4"/>
        <v>219.1</v>
      </c>
      <c r="Q20" s="95">
        <f t="shared" si="5"/>
        <v>175.3</v>
      </c>
      <c r="R20" s="95">
        <f t="shared" si="6"/>
        <v>175.3</v>
      </c>
      <c r="S20" s="95">
        <f t="shared" si="7"/>
        <v>18.2</v>
      </c>
      <c r="T20" s="95">
        <f t="shared" si="8"/>
        <v>587.9</v>
      </c>
      <c r="U20" s="3430"/>
      <c r="V20" s="95">
        <f t="shared" si="20"/>
        <v>587.9</v>
      </c>
      <c r="W20" s="95">
        <f t="shared" si="22"/>
        <v>177.5</v>
      </c>
      <c r="X20" s="284"/>
      <c r="Y20" s="112">
        <v>30</v>
      </c>
      <c r="Z20" s="113">
        <f t="shared" si="9"/>
        <v>0</v>
      </c>
      <c r="AA20" s="127"/>
      <c r="AB20" s="112">
        <v>15</v>
      </c>
      <c r="AC20" s="113">
        <f t="shared" si="10"/>
        <v>0</v>
      </c>
      <c r="AD20" s="127"/>
      <c r="AE20" s="112">
        <v>30</v>
      </c>
      <c r="AF20" s="113">
        <f t="shared" si="11"/>
        <v>0</v>
      </c>
      <c r="AG20" s="113">
        <f t="shared" si="12"/>
        <v>0</v>
      </c>
      <c r="AH20" s="113">
        <f t="shared" si="13"/>
        <v>0</v>
      </c>
      <c r="AI20" s="114"/>
      <c r="AK20" s="114">
        <f t="shared" si="15"/>
        <v>587.9</v>
      </c>
      <c r="AL20" s="114"/>
      <c r="AM20" s="115"/>
      <c r="AN20" s="50">
        <f t="shared" si="21"/>
        <v>129.30000000000001</v>
      </c>
      <c r="AO20" s="242"/>
      <c r="AP20" s="50">
        <f t="shared" si="23"/>
        <v>31.2</v>
      </c>
      <c r="AQ20" s="50">
        <f t="shared" si="16"/>
        <v>160.5</v>
      </c>
    </row>
    <row r="21" spans="1:45" x14ac:dyDescent="0.2">
      <c r="A21" s="284">
        <v>13</v>
      </c>
      <c r="B21" s="243" t="s">
        <v>42</v>
      </c>
      <c r="C21" s="127">
        <v>1</v>
      </c>
      <c r="D21" s="237">
        <v>11.061999999999999</v>
      </c>
      <c r="E21" s="111">
        <f t="shared" si="0"/>
        <v>11.06</v>
      </c>
      <c r="F21" s="95">
        <f t="shared" si="1"/>
        <v>132.69999999999999</v>
      </c>
      <c r="G21" s="95"/>
      <c r="H21" s="95">
        <f>7789.1/1000</f>
        <v>7.8</v>
      </c>
      <c r="I21" s="95"/>
      <c r="J21" s="95"/>
      <c r="K21" s="95">
        <f>F21*0.3+D21*0.05*2</f>
        <v>40.9</v>
      </c>
      <c r="L21" s="95">
        <f t="shared" si="18"/>
        <v>20.5</v>
      </c>
      <c r="M21" s="95">
        <f t="shared" si="2"/>
        <v>201.9</v>
      </c>
      <c r="N21" s="111">
        <v>0.43</v>
      </c>
      <c r="O21" s="95">
        <f t="shared" si="3"/>
        <v>86.8</v>
      </c>
      <c r="P21" s="95">
        <f t="shared" si="4"/>
        <v>288.7</v>
      </c>
      <c r="Q21" s="95">
        <f t="shared" si="5"/>
        <v>231</v>
      </c>
      <c r="R21" s="95">
        <f t="shared" si="6"/>
        <v>231</v>
      </c>
      <c r="S21" s="95">
        <f t="shared" si="7"/>
        <v>24</v>
      </c>
      <c r="T21" s="95">
        <f t="shared" si="8"/>
        <v>774.7</v>
      </c>
      <c r="U21" s="3430"/>
      <c r="V21" s="95">
        <f t="shared" si="20"/>
        <v>774.7</v>
      </c>
      <c r="W21" s="95">
        <f t="shared" si="22"/>
        <v>234</v>
      </c>
      <c r="X21" s="284"/>
      <c r="Y21" s="112">
        <v>30</v>
      </c>
      <c r="Z21" s="113">
        <f t="shared" si="9"/>
        <v>0</v>
      </c>
      <c r="AA21" s="127"/>
      <c r="AB21" s="112">
        <v>15</v>
      </c>
      <c r="AC21" s="113">
        <f t="shared" si="10"/>
        <v>0</v>
      </c>
      <c r="AD21" s="127"/>
      <c r="AE21" s="112">
        <v>30</v>
      </c>
      <c r="AF21" s="113">
        <f t="shared" si="11"/>
        <v>0</v>
      </c>
      <c r="AG21" s="113">
        <f t="shared" si="12"/>
        <v>0</v>
      </c>
      <c r="AH21" s="113">
        <f t="shared" si="13"/>
        <v>0</v>
      </c>
      <c r="AI21" s="114">
        <f>V21/12/C21*1000</f>
        <v>64558.3</v>
      </c>
      <c r="AK21" s="114">
        <f t="shared" si="15"/>
        <v>774.7</v>
      </c>
      <c r="AL21" s="114">
        <f t="shared" si="19"/>
        <v>258.5</v>
      </c>
      <c r="AM21" s="115">
        <v>0.30199999999999999</v>
      </c>
      <c r="AN21" s="50">
        <f t="shared" si="21"/>
        <v>170.4</v>
      </c>
      <c r="AO21" s="244"/>
      <c r="AP21" s="50">
        <f t="shared" si="23"/>
        <v>41.1</v>
      </c>
      <c r="AQ21" s="50">
        <f t="shared" si="16"/>
        <v>211.5</v>
      </c>
      <c r="AS21" s="99">
        <f>D21*1.5</f>
        <v>16.593</v>
      </c>
    </row>
    <row r="22" spans="1:45" x14ac:dyDescent="0.2">
      <c r="A22" s="284">
        <v>14</v>
      </c>
      <c r="B22" s="236" t="s">
        <v>33</v>
      </c>
      <c r="C22" s="127">
        <v>1</v>
      </c>
      <c r="D22" s="237">
        <v>8.4730000000000008</v>
      </c>
      <c r="E22" s="111">
        <f t="shared" si="0"/>
        <v>8.4700000000000006</v>
      </c>
      <c r="F22" s="95">
        <f t="shared" si="1"/>
        <v>101.6</v>
      </c>
      <c r="G22" s="95">
        <f>18010.1/1000</f>
        <v>18</v>
      </c>
      <c r="H22" s="95">
        <f>4474.6/1000</f>
        <v>4.5</v>
      </c>
      <c r="I22" s="95"/>
      <c r="J22" s="95"/>
      <c r="K22" s="95">
        <f>F22*0.25</f>
        <v>25.4</v>
      </c>
      <c r="L22" s="95">
        <f t="shared" si="18"/>
        <v>15.7</v>
      </c>
      <c r="M22" s="95">
        <f t="shared" si="2"/>
        <v>165.2</v>
      </c>
      <c r="N22" s="111">
        <v>0.41</v>
      </c>
      <c r="O22" s="95">
        <f t="shared" si="3"/>
        <v>67.7</v>
      </c>
      <c r="P22" s="95">
        <f t="shared" si="4"/>
        <v>232.9</v>
      </c>
      <c r="Q22" s="95">
        <f t="shared" si="5"/>
        <v>186.3</v>
      </c>
      <c r="R22" s="95">
        <f t="shared" si="6"/>
        <v>186.3</v>
      </c>
      <c r="S22" s="95">
        <f t="shared" si="7"/>
        <v>19.399999999999999</v>
      </c>
      <c r="T22" s="95">
        <f t="shared" si="8"/>
        <v>624.9</v>
      </c>
      <c r="U22" s="3430"/>
      <c r="V22" s="95">
        <f t="shared" si="20"/>
        <v>624.9</v>
      </c>
      <c r="W22" s="95">
        <f t="shared" si="22"/>
        <v>188.7</v>
      </c>
      <c r="X22" s="238"/>
      <c r="Y22" s="240">
        <v>30</v>
      </c>
      <c r="Z22" s="241">
        <f t="shared" si="9"/>
        <v>0</v>
      </c>
      <c r="AA22" s="238"/>
      <c r="AB22" s="240">
        <v>15</v>
      </c>
      <c r="AC22" s="241">
        <f t="shared" si="10"/>
        <v>0</v>
      </c>
      <c r="AD22" s="238"/>
      <c r="AE22" s="240">
        <v>30</v>
      </c>
      <c r="AF22" s="241">
        <f t="shared" si="11"/>
        <v>0</v>
      </c>
      <c r="AG22" s="241">
        <f t="shared" si="12"/>
        <v>0</v>
      </c>
      <c r="AH22" s="241">
        <f t="shared" si="13"/>
        <v>0</v>
      </c>
      <c r="AI22" s="114">
        <f>V22/12/C22*1000</f>
        <v>52075</v>
      </c>
      <c r="AK22" s="114">
        <f t="shared" si="15"/>
        <v>624.9</v>
      </c>
      <c r="AL22" s="114">
        <f t="shared" si="19"/>
        <v>231.2</v>
      </c>
      <c r="AM22" s="115">
        <v>0.30199999999999999</v>
      </c>
      <c r="AN22" s="50">
        <f t="shared" si="21"/>
        <v>137.5</v>
      </c>
      <c r="AO22" s="244"/>
      <c r="AP22" s="50">
        <f t="shared" si="23"/>
        <v>33.1</v>
      </c>
      <c r="AQ22" s="50">
        <f t="shared" si="16"/>
        <v>170.6</v>
      </c>
      <c r="AR22" s="245"/>
      <c r="AS22" s="99">
        <f>D22*1.5</f>
        <v>12.7095</v>
      </c>
    </row>
    <row r="23" spans="1:45" s="245" customFormat="1" x14ac:dyDescent="0.2">
      <c r="A23" s="284">
        <v>15</v>
      </c>
      <c r="B23" s="236" t="s">
        <v>58</v>
      </c>
      <c r="C23" s="246">
        <v>1</v>
      </c>
      <c r="D23" s="247">
        <v>11.061999999999999</v>
      </c>
      <c r="E23" s="111">
        <f t="shared" si="0"/>
        <v>11.06</v>
      </c>
      <c r="F23" s="95">
        <f t="shared" si="1"/>
        <v>132.69999999999999</v>
      </c>
      <c r="G23" s="248"/>
      <c r="H23" s="248"/>
      <c r="I23" s="248"/>
      <c r="J23" s="248"/>
      <c r="K23" s="248"/>
      <c r="L23" s="95">
        <f t="shared" si="18"/>
        <v>20.5</v>
      </c>
      <c r="M23" s="95">
        <f t="shared" si="2"/>
        <v>153.19999999999999</v>
      </c>
      <c r="N23" s="111">
        <v>0.43</v>
      </c>
      <c r="O23" s="95">
        <f t="shared" si="3"/>
        <v>65.900000000000006</v>
      </c>
      <c r="P23" s="95">
        <f t="shared" si="4"/>
        <v>219.1</v>
      </c>
      <c r="Q23" s="95">
        <f t="shared" si="5"/>
        <v>175.3</v>
      </c>
      <c r="R23" s="95">
        <f t="shared" si="6"/>
        <v>175.3</v>
      </c>
      <c r="S23" s="95">
        <f t="shared" si="7"/>
        <v>18.2</v>
      </c>
      <c r="T23" s="95">
        <f t="shared" si="8"/>
        <v>587.9</v>
      </c>
      <c r="U23" s="3430"/>
      <c r="V23" s="95">
        <f t="shared" si="20"/>
        <v>587.9</v>
      </c>
      <c r="W23" s="95">
        <f t="shared" si="22"/>
        <v>177.5</v>
      </c>
      <c r="X23" s="246"/>
      <c r="Y23" s="240">
        <v>30</v>
      </c>
      <c r="Z23" s="241">
        <f t="shared" si="9"/>
        <v>0</v>
      </c>
      <c r="AA23" s="246"/>
      <c r="AB23" s="240">
        <v>15</v>
      </c>
      <c r="AC23" s="241">
        <f t="shared" si="10"/>
        <v>0</v>
      </c>
      <c r="AD23" s="246"/>
      <c r="AE23" s="240">
        <v>30</v>
      </c>
      <c r="AF23" s="241">
        <f t="shared" si="11"/>
        <v>0</v>
      </c>
      <c r="AG23" s="241">
        <f t="shared" si="12"/>
        <v>0</v>
      </c>
      <c r="AH23" s="241">
        <f t="shared" si="13"/>
        <v>0</v>
      </c>
      <c r="AI23" s="114"/>
      <c r="AK23" s="114">
        <f t="shared" si="15"/>
        <v>587.9</v>
      </c>
      <c r="AL23" s="114"/>
      <c r="AM23" s="115"/>
      <c r="AN23" s="50">
        <f t="shared" si="21"/>
        <v>129.30000000000001</v>
      </c>
      <c r="AO23" s="211"/>
      <c r="AP23" s="50">
        <f t="shared" si="23"/>
        <v>31.2</v>
      </c>
      <c r="AQ23" s="50">
        <f t="shared" si="16"/>
        <v>160.5</v>
      </c>
      <c r="AR23" s="99"/>
      <c r="AS23" s="99"/>
    </row>
    <row r="24" spans="1:45" s="252" customFormat="1" ht="25.5" x14ac:dyDescent="0.2">
      <c r="A24" s="284">
        <v>16</v>
      </c>
      <c r="B24" s="236" t="s">
        <v>102</v>
      </c>
      <c r="C24" s="238">
        <v>1</v>
      </c>
      <c r="D24" s="237">
        <v>4.3769999999999998</v>
      </c>
      <c r="E24" s="249">
        <f t="shared" si="0"/>
        <v>4.38</v>
      </c>
      <c r="F24" s="170">
        <f t="shared" si="1"/>
        <v>52.6</v>
      </c>
      <c r="G24" s="248"/>
      <c r="H24" s="248"/>
      <c r="I24" s="248"/>
      <c r="J24" s="248"/>
      <c r="K24" s="248"/>
      <c r="L24" s="95">
        <v>35.200000000000003</v>
      </c>
      <c r="M24" s="248">
        <f t="shared" si="2"/>
        <v>87.8</v>
      </c>
      <c r="N24" s="111">
        <v>0.49</v>
      </c>
      <c r="O24" s="248">
        <f t="shared" si="3"/>
        <v>43</v>
      </c>
      <c r="P24" s="248">
        <f t="shared" si="4"/>
        <v>130.80000000000001</v>
      </c>
      <c r="Q24" s="248">
        <f t="shared" si="5"/>
        <v>104.6</v>
      </c>
      <c r="R24" s="95">
        <f t="shared" si="6"/>
        <v>104.6</v>
      </c>
      <c r="S24" s="248">
        <f t="shared" si="7"/>
        <v>10.9</v>
      </c>
      <c r="T24" s="248">
        <f t="shared" si="8"/>
        <v>350.9</v>
      </c>
      <c r="U24" s="4030"/>
      <c r="V24" s="250">
        <f>T24*$U$9-0.3</f>
        <v>350.6</v>
      </c>
      <c r="W24" s="95">
        <f t="shared" si="22"/>
        <v>105.9</v>
      </c>
      <c r="X24" s="251">
        <v>1</v>
      </c>
      <c r="Y24" s="112">
        <v>30</v>
      </c>
      <c r="Z24" s="113">
        <f t="shared" si="9"/>
        <v>30</v>
      </c>
      <c r="AA24" s="251"/>
      <c r="AB24" s="112">
        <v>15</v>
      </c>
      <c r="AC24" s="113">
        <f t="shared" si="10"/>
        <v>0</v>
      </c>
      <c r="AD24" s="251"/>
      <c r="AE24" s="112">
        <v>30</v>
      </c>
      <c r="AF24" s="113">
        <f t="shared" si="11"/>
        <v>0</v>
      </c>
      <c r="AG24" s="113">
        <f t="shared" si="12"/>
        <v>9</v>
      </c>
      <c r="AH24" s="113">
        <f t="shared" si="13"/>
        <v>39</v>
      </c>
      <c r="AI24" s="114">
        <f>V24/12/C24*1000</f>
        <v>29216.7</v>
      </c>
      <c r="AK24" s="114">
        <f t="shared" si="15"/>
        <v>350.6</v>
      </c>
      <c r="AL24" s="114">
        <f t="shared" si="19"/>
        <v>181.3</v>
      </c>
      <c r="AM24" s="115">
        <v>0.30199999999999999</v>
      </c>
      <c r="AN24" s="50">
        <f t="shared" si="21"/>
        <v>77.099999999999994</v>
      </c>
      <c r="AO24" s="211"/>
      <c r="AP24" s="50">
        <f t="shared" si="23"/>
        <v>18.600000000000001</v>
      </c>
      <c r="AQ24" s="50">
        <f t="shared" si="16"/>
        <v>95.7</v>
      </c>
      <c r="AR24" s="99"/>
      <c r="AS24" s="99">
        <f>D24*1.5</f>
        <v>6.5655000000000001</v>
      </c>
    </row>
    <row r="25" spans="1:45" s="98" customFormat="1" ht="20.25" customHeight="1" x14ac:dyDescent="0.2">
      <c r="A25" s="4029" t="s">
        <v>8</v>
      </c>
      <c r="B25" s="4029"/>
      <c r="C25" s="253">
        <f t="shared" ref="C25:M25" si="24">SUM(C9:C24)</f>
        <v>19</v>
      </c>
      <c r="D25" s="254">
        <f t="shared" si="24"/>
        <v>171.5</v>
      </c>
      <c r="E25" s="254">
        <f t="shared" si="24"/>
        <v>204.7</v>
      </c>
      <c r="F25" s="254">
        <f t="shared" si="24"/>
        <v>2455.8000000000002</v>
      </c>
      <c r="G25" s="254">
        <f t="shared" si="24"/>
        <v>18</v>
      </c>
      <c r="H25" s="254">
        <f t="shared" si="24"/>
        <v>76.7</v>
      </c>
      <c r="I25" s="254">
        <f t="shared" si="24"/>
        <v>0</v>
      </c>
      <c r="J25" s="254">
        <f t="shared" si="24"/>
        <v>2.5</v>
      </c>
      <c r="K25" s="254">
        <f t="shared" si="24"/>
        <v>868.2</v>
      </c>
      <c r="L25" s="254">
        <f t="shared" si="24"/>
        <v>406.5</v>
      </c>
      <c r="M25" s="254">
        <f t="shared" si="24"/>
        <v>3827.7</v>
      </c>
      <c r="N25" s="254"/>
      <c r="O25" s="254">
        <f t="shared" ref="O25:AH25" si="25">SUM(O9:O24)</f>
        <v>1659.4</v>
      </c>
      <c r="P25" s="254">
        <f t="shared" si="25"/>
        <v>5487.1</v>
      </c>
      <c r="Q25" s="254">
        <f t="shared" si="25"/>
        <v>4389.7</v>
      </c>
      <c r="R25" s="254">
        <f t="shared" si="25"/>
        <v>4389.7</v>
      </c>
      <c r="S25" s="254">
        <f t="shared" si="25"/>
        <v>456.3</v>
      </c>
      <c r="T25" s="254">
        <f t="shared" si="25"/>
        <v>14722.8</v>
      </c>
      <c r="U25" s="254">
        <f t="shared" si="25"/>
        <v>1</v>
      </c>
      <c r="V25" s="254">
        <f t="shared" si="25"/>
        <v>14722.5</v>
      </c>
      <c r="W25" s="254">
        <f t="shared" si="25"/>
        <v>4305.6000000000004</v>
      </c>
      <c r="X25" s="254">
        <f t="shared" si="25"/>
        <v>7</v>
      </c>
      <c r="Y25" s="254">
        <f t="shared" si="25"/>
        <v>480</v>
      </c>
      <c r="Z25" s="254">
        <f t="shared" si="25"/>
        <v>210</v>
      </c>
      <c r="AA25" s="254">
        <f t="shared" si="25"/>
        <v>1</v>
      </c>
      <c r="AB25" s="254">
        <f t="shared" si="25"/>
        <v>240</v>
      </c>
      <c r="AC25" s="254">
        <f t="shared" si="25"/>
        <v>15</v>
      </c>
      <c r="AD25" s="254">
        <f t="shared" si="25"/>
        <v>2</v>
      </c>
      <c r="AE25" s="254">
        <f t="shared" si="25"/>
        <v>480</v>
      </c>
      <c r="AF25" s="254">
        <f t="shared" si="25"/>
        <v>60</v>
      </c>
      <c r="AG25" s="254">
        <f t="shared" si="25"/>
        <v>85.5</v>
      </c>
      <c r="AH25" s="254">
        <f t="shared" si="25"/>
        <v>370.5</v>
      </c>
      <c r="AI25" s="114"/>
      <c r="AN25" s="211"/>
      <c r="AO25" s="211"/>
      <c r="AP25" s="211"/>
      <c r="AQ25" s="211"/>
      <c r="AR25" s="99"/>
      <c r="AS25" s="99"/>
    </row>
    <row r="26" spans="1:45" x14ac:dyDescent="0.2">
      <c r="G26" s="131"/>
      <c r="H26" s="131"/>
      <c r="I26" s="131"/>
      <c r="J26" s="131"/>
      <c r="K26" s="131"/>
      <c r="L26" s="131"/>
      <c r="M26" s="131"/>
      <c r="N26" s="131"/>
      <c r="O26" s="131"/>
      <c r="P26" s="131"/>
      <c r="Q26" s="131"/>
      <c r="R26" s="131"/>
      <c r="S26" s="131"/>
      <c r="T26" s="131"/>
      <c r="V26" s="114"/>
      <c r="W26" s="66"/>
      <c r="X26" s="131"/>
      <c r="AA26" s="131"/>
      <c r="AD26" s="131"/>
      <c r="AG26" s="131"/>
      <c r="AH26" s="131"/>
      <c r="AO26" s="50"/>
      <c r="AP26" s="50"/>
      <c r="AQ26" s="50"/>
    </row>
    <row r="27" spans="1:45" x14ac:dyDescent="0.2">
      <c r="B27" s="255"/>
      <c r="C27" s="256"/>
      <c r="D27" s="256"/>
      <c r="E27" s="257"/>
      <c r="F27" s="257"/>
      <c r="G27" s="257"/>
      <c r="H27" s="257"/>
      <c r="I27" s="133"/>
      <c r="J27" s="131"/>
      <c r="K27" s="131"/>
      <c r="L27" s="131"/>
      <c r="M27" s="131"/>
      <c r="N27" s="131"/>
      <c r="O27" s="131"/>
      <c r="P27" s="131"/>
      <c r="Q27" s="131"/>
      <c r="R27" s="131"/>
      <c r="S27" s="131"/>
      <c r="T27" s="131"/>
      <c r="V27" s="114"/>
      <c r="W27" s="114"/>
      <c r="X27" s="131"/>
      <c r="AA27" s="131"/>
      <c r="AD27" s="131"/>
      <c r="AE27" s="131"/>
    </row>
    <row r="28" spans="1:45" s="75" customFormat="1" x14ac:dyDescent="0.2">
      <c r="A28" s="70"/>
      <c r="B28" s="70"/>
      <c r="C28" s="71"/>
      <c r="D28" s="72"/>
      <c r="E28" s="72"/>
      <c r="F28" s="72"/>
      <c r="G28" s="72"/>
      <c r="H28" s="73"/>
      <c r="I28" s="73"/>
      <c r="J28" s="27"/>
      <c r="K28" s="27"/>
      <c r="L28" s="27"/>
      <c r="M28" s="27"/>
      <c r="N28" s="74"/>
      <c r="O28" s="27"/>
      <c r="P28" s="27"/>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75" customFormat="1" ht="59.25" customHeight="1" x14ac:dyDescent="0.2">
      <c r="A29" s="70"/>
      <c r="B29" s="70"/>
      <c r="C29" s="71"/>
      <c r="D29" s="77"/>
      <c r="E29" s="77"/>
      <c r="F29" s="27"/>
      <c r="G29" s="3191" t="s">
        <v>140</v>
      </c>
      <c r="H29" s="3191"/>
      <c r="I29" s="3191" t="s">
        <v>145</v>
      </c>
      <c r="J29" s="3191"/>
      <c r="K29" s="3191" t="s">
        <v>128</v>
      </c>
      <c r="L29" s="3191"/>
      <c r="Q29" s="27"/>
      <c r="R29" s="27"/>
      <c r="S29" s="27"/>
      <c r="T29" s="27"/>
      <c r="U29" s="27"/>
      <c r="V29" s="27"/>
      <c r="W29" s="27"/>
      <c r="X29" s="27"/>
      <c r="Y29" s="27"/>
      <c r="Z29" s="27"/>
      <c r="AA29" s="27"/>
      <c r="AB29" s="27"/>
      <c r="AC29" s="27"/>
      <c r="AD29" s="27"/>
      <c r="AE29" s="27"/>
      <c r="AF29" s="27"/>
      <c r="AG29" s="27"/>
      <c r="AH29" s="27"/>
      <c r="AI29" s="27"/>
      <c r="AJ29" s="76"/>
      <c r="AN29" s="76"/>
      <c r="AO29" s="76"/>
      <c r="AP29" s="76"/>
      <c r="AQ29" s="76"/>
      <c r="AR29" s="76"/>
    </row>
    <row r="30" spans="1:45" s="75" customFormat="1" x14ac:dyDescent="0.2">
      <c r="A30" s="70"/>
      <c r="B30" s="70"/>
      <c r="C30" s="71"/>
      <c r="D30" s="77"/>
      <c r="E30" s="77"/>
      <c r="F30" s="27"/>
      <c r="G30" s="279">
        <v>991</v>
      </c>
      <c r="H30" s="279">
        <v>992</v>
      </c>
      <c r="I30" s="279">
        <v>991</v>
      </c>
      <c r="J30" s="279">
        <v>992</v>
      </c>
      <c r="K30" s="279">
        <v>991</v>
      </c>
      <c r="L30" s="279">
        <v>992</v>
      </c>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29">
        <v>14722.5</v>
      </c>
      <c r="H31" s="29">
        <v>4245.1000000000004</v>
      </c>
      <c r="I31" s="29">
        <f>V25</f>
        <v>14722.5</v>
      </c>
      <c r="J31" s="29">
        <f>W25</f>
        <v>4305.6000000000004</v>
      </c>
      <c r="K31" s="29">
        <f>G31-I31</f>
        <v>0</v>
      </c>
      <c r="L31" s="29">
        <f>H31-J31</f>
        <v>-60.5</v>
      </c>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
      <c r="H32" s="80"/>
      <c r="I32" s="27"/>
      <c r="J32" s="80"/>
      <c r="K32" s="27"/>
      <c r="L32" s="27"/>
      <c r="M32" s="27"/>
      <c r="N32" s="74"/>
      <c r="O32" s="27"/>
      <c r="P32" s="27"/>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7"/>
      <c r="H33" s="80"/>
      <c r="I33" s="27"/>
      <c r="J33" s="80"/>
      <c r="K33" s="27"/>
      <c r="L33" s="27"/>
      <c r="M33" s="27"/>
      <c r="N33" s="74"/>
      <c r="O33" s="27"/>
      <c r="P33" s="27"/>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4" spans="1:44" s="75" customFormat="1" x14ac:dyDescent="0.2">
      <c r="A34" s="70"/>
      <c r="B34" s="70"/>
      <c r="C34" s="71"/>
      <c r="D34" s="77"/>
      <c r="E34" s="77"/>
      <c r="F34" s="27"/>
      <c r="G34" s="27"/>
      <c r="H34" s="80"/>
      <c r="I34" s="27"/>
      <c r="J34" s="80"/>
      <c r="K34" s="27"/>
      <c r="L34" s="27"/>
      <c r="M34" s="27"/>
      <c r="N34" s="74"/>
      <c r="O34" s="27"/>
      <c r="P34" s="27"/>
      <c r="Q34" s="27"/>
      <c r="R34" s="27"/>
      <c r="S34" s="27"/>
      <c r="T34" s="27"/>
      <c r="U34" s="27"/>
      <c r="V34" s="27"/>
      <c r="W34" s="27"/>
      <c r="X34" s="27"/>
      <c r="Y34" s="27"/>
      <c r="Z34" s="27"/>
      <c r="AA34" s="27"/>
      <c r="AB34" s="27"/>
      <c r="AC34" s="27"/>
      <c r="AD34" s="27"/>
      <c r="AE34" s="27"/>
      <c r="AF34" s="27"/>
      <c r="AG34" s="27"/>
      <c r="AH34" s="27"/>
      <c r="AI34" s="27"/>
      <c r="AJ34" s="76"/>
      <c r="AN34" s="76"/>
      <c r="AO34" s="76"/>
      <c r="AP34" s="76"/>
      <c r="AQ34" s="76"/>
      <c r="AR34" s="76"/>
    </row>
    <row r="35" spans="1:44" s="75" customFormat="1" x14ac:dyDescent="0.2">
      <c r="A35" s="70"/>
      <c r="B35" s="70"/>
      <c r="C35" s="71"/>
      <c r="D35" s="77"/>
      <c r="E35" s="77"/>
      <c r="F35" s="27"/>
      <c r="G35" s="27"/>
      <c r="H35" s="80"/>
      <c r="I35" s="27"/>
      <c r="J35" s="80"/>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J35" s="76"/>
      <c r="AN35" s="76"/>
      <c r="AO35" s="76"/>
      <c r="AP35" s="76"/>
      <c r="AQ35" s="76"/>
      <c r="AR35" s="76"/>
    </row>
    <row r="36" spans="1:44" s="282" customFormat="1" ht="20.25" x14ac:dyDescent="0.2">
      <c r="A36" s="81"/>
      <c r="B36" s="82" t="s">
        <v>138</v>
      </c>
      <c r="C36" s="83"/>
      <c r="D36" s="84"/>
      <c r="E36" s="84"/>
      <c r="F36" s="85"/>
      <c r="G36" s="85"/>
      <c r="H36" s="86"/>
      <c r="I36" s="86"/>
      <c r="J36" s="85"/>
      <c r="K36" s="30" t="s">
        <v>166</v>
      </c>
      <c r="L36" s="85"/>
      <c r="M36" s="85"/>
      <c r="N36" s="87"/>
      <c r="O36" s="85"/>
      <c r="P36" s="85"/>
      <c r="Q36" s="85"/>
      <c r="R36" s="85"/>
      <c r="S36" s="85"/>
      <c r="T36" s="85"/>
      <c r="U36" s="85"/>
      <c r="V36" s="85"/>
      <c r="W36" s="85"/>
      <c r="X36" s="85"/>
      <c r="Y36" s="85"/>
      <c r="Z36" s="85"/>
      <c r="AA36" s="85"/>
      <c r="AB36" s="85"/>
      <c r="AC36" s="85"/>
      <c r="AD36" s="85"/>
      <c r="AE36" s="85"/>
      <c r="AF36" s="85"/>
      <c r="AG36" s="85"/>
      <c r="AH36" s="85"/>
      <c r="AI36" s="85"/>
      <c r="AK36" s="88"/>
      <c r="AL36" s="88"/>
      <c r="AM36" s="88"/>
      <c r="AN36" s="88"/>
      <c r="AO36" s="88"/>
    </row>
    <row r="37" spans="1:44" s="143" customFormat="1" x14ac:dyDescent="0.2">
      <c r="A37" s="136"/>
      <c r="B37" s="136"/>
      <c r="C37" s="137"/>
      <c r="D37" s="144"/>
      <c r="E37" s="144"/>
      <c r="F37" s="140"/>
      <c r="G37" s="140"/>
      <c r="H37" s="139"/>
      <c r="I37" s="139"/>
      <c r="J37" s="140"/>
      <c r="K37" s="140"/>
      <c r="L37" s="140"/>
      <c r="M37" s="140"/>
      <c r="N37" s="141"/>
      <c r="O37" s="140"/>
      <c r="P37" s="140"/>
      <c r="Q37" s="140"/>
      <c r="R37" s="140"/>
      <c r="S37" s="140"/>
      <c r="T37" s="140"/>
      <c r="U37" s="140"/>
      <c r="V37" s="140"/>
      <c r="W37" s="140"/>
      <c r="X37" s="140"/>
      <c r="Y37" s="140"/>
      <c r="Z37" s="140"/>
      <c r="AA37" s="140"/>
      <c r="AB37" s="140"/>
      <c r="AC37" s="140"/>
      <c r="AD37" s="140"/>
      <c r="AE37" s="140"/>
      <c r="AF37" s="142"/>
      <c r="AK37" s="142"/>
      <c r="AL37" s="142"/>
      <c r="AM37" s="142"/>
      <c r="AN37" s="76"/>
      <c r="AO37" s="76"/>
      <c r="AP37" s="76"/>
      <c r="AQ37" s="76"/>
      <c r="AR37" s="99"/>
    </row>
    <row r="38" spans="1:44" s="143" customFormat="1" x14ac:dyDescent="0.2">
      <c r="A38" s="136"/>
      <c r="B38" s="136"/>
      <c r="C38" s="137"/>
      <c r="D38" s="144"/>
      <c r="E38" s="144"/>
      <c r="F38" s="140"/>
      <c r="G38" s="140"/>
      <c r="H38" s="139"/>
      <c r="I38" s="139"/>
      <c r="J38" s="140"/>
      <c r="K38" s="140"/>
      <c r="L38" s="140"/>
      <c r="M38" s="140"/>
      <c r="N38" s="202"/>
      <c r="O38" s="203"/>
      <c r="P38" s="140"/>
      <c r="Q38" s="140"/>
      <c r="R38" s="140"/>
      <c r="S38" s="140"/>
      <c r="T38" s="140"/>
      <c r="U38" s="140"/>
      <c r="V38" s="140"/>
      <c r="W38" s="140"/>
      <c r="X38" s="140"/>
      <c r="Y38" s="140"/>
      <c r="Z38" s="140"/>
      <c r="AA38" s="140"/>
      <c r="AB38" s="140"/>
      <c r="AC38" s="140"/>
      <c r="AD38" s="140"/>
      <c r="AE38" s="140"/>
      <c r="AF38" s="142"/>
      <c r="AK38" s="142"/>
      <c r="AL38" s="142"/>
      <c r="AM38" s="142"/>
      <c r="AN38" s="76"/>
      <c r="AO38" s="76"/>
      <c r="AP38" s="76"/>
      <c r="AQ38" s="76"/>
      <c r="AR38" s="252"/>
    </row>
    <row r="39" spans="1:44" s="143" customFormat="1" ht="20.25" customHeight="1" x14ac:dyDescent="0.2">
      <c r="A39" s="145" t="s">
        <v>96</v>
      </c>
      <c r="B39" s="145"/>
      <c r="C39" s="146"/>
      <c r="D39" s="146"/>
      <c r="E39" s="146"/>
      <c r="F39" s="146"/>
      <c r="G39" s="146"/>
      <c r="H39" s="146"/>
      <c r="I39" s="146"/>
      <c r="J39" s="146"/>
      <c r="K39" s="146"/>
      <c r="L39" s="147"/>
      <c r="M39" s="147"/>
      <c r="N39" s="202"/>
      <c r="O39" s="203"/>
      <c r="P39" s="147"/>
      <c r="Q39" s="147"/>
      <c r="R39" s="147"/>
      <c r="S39" s="147"/>
      <c r="T39" s="147"/>
      <c r="U39" s="147"/>
      <c r="V39" s="147"/>
      <c r="W39" s="147"/>
      <c r="X39" s="147"/>
      <c r="Y39" s="147"/>
      <c r="Z39" s="147"/>
      <c r="AA39" s="147"/>
      <c r="AB39" s="147"/>
      <c r="AC39" s="147"/>
      <c r="AD39" s="147"/>
      <c r="AE39" s="147"/>
      <c r="AF39" s="142"/>
      <c r="AK39" s="142"/>
      <c r="AL39" s="142"/>
      <c r="AM39" s="142"/>
      <c r="AN39" s="76"/>
      <c r="AO39" s="76"/>
      <c r="AP39" s="76"/>
      <c r="AQ39" s="76"/>
      <c r="AR39" s="99"/>
    </row>
    <row r="40" spans="1:44" s="143" customFormat="1" ht="20.25" customHeight="1" x14ac:dyDescent="0.2">
      <c r="A40" s="145" t="s">
        <v>139</v>
      </c>
      <c r="B40" s="149"/>
      <c r="C40" s="150"/>
      <c r="D40" s="150"/>
      <c r="E40" s="151"/>
      <c r="F40" s="151"/>
      <c r="G40" s="151"/>
      <c r="H40" s="151"/>
      <c r="I40" s="151"/>
      <c r="J40" s="151"/>
      <c r="K40" s="151"/>
      <c r="L40" s="147"/>
      <c r="M40" s="147"/>
      <c r="N40" s="202"/>
      <c r="O40" s="203"/>
      <c r="P40" s="147"/>
      <c r="Q40" s="147"/>
      <c r="R40" s="147"/>
      <c r="S40" s="147"/>
      <c r="T40" s="147"/>
      <c r="U40" s="147"/>
      <c r="V40" s="147"/>
      <c r="W40" s="147"/>
      <c r="X40" s="147"/>
      <c r="Y40" s="147"/>
      <c r="Z40" s="147"/>
      <c r="AA40" s="147"/>
      <c r="AB40" s="147"/>
      <c r="AC40" s="147"/>
      <c r="AD40" s="147"/>
      <c r="AE40" s="147"/>
      <c r="AF40" s="142"/>
      <c r="AK40" s="142"/>
      <c r="AL40" s="142"/>
      <c r="AM40" s="142"/>
      <c r="AN40" s="76"/>
      <c r="AO40" s="76"/>
      <c r="AP40" s="76"/>
      <c r="AQ40" s="76"/>
      <c r="AR40" s="252"/>
    </row>
    <row r="41" spans="1:44" x14ac:dyDescent="0.2">
      <c r="A41" s="99"/>
      <c r="I41" s="153"/>
      <c r="J41" s="153"/>
      <c r="W41" s="131"/>
      <c r="X41" s="131"/>
      <c r="AA41" s="131"/>
      <c r="AD41" s="131"/>
      <c r="AE41" s="131"/>
      <c r="AN41" s="76"/>
      <c r="AO41" s="76"/>
      <c r="AP41" s="76"/>
      <c r="AQ41" s="76"/>
      <c r="AR41" s="98"/>
    </row>
    <row r="42" spans="1:44" ht="16.5" x14ac:dyDescent="0.2">
      <c r="A42" s="258"/>
      <c r="W42" s="131"/>
      <c r="X42" s="131"/>
      <c r="AA42" s="131"/>
      <c r="AD42" s="131"/>
      <c r="AE42" s="131"/>
    </row>
    <row r="43" spans="1:44" x14ac:dyDescent="0.2">
      <c r="AG43" s="114"/>
    </row>
    <row r="45" spans="1:44" x14ac:dyDescent="0.2">
      <c r="E45" s="115"/>
    </row>
    <row r="46" spans="1:44" x14ac:dyDescent="0.2">
      <c r="E46" s="115"/>
    </row>
    <row r="47" spans="1:44" x14ac:dyDescent="0.2">
      <c r="E47" s="115"/>
      <c r="K47" s="153"/>
    </row>
    <row r="48" spans="1:44" x14ac:dyDescent="0.2">
      <c r="A48" s="99"/>
      <c r="E48" s="115"/>
    </row>
    <row r="49" spans="1:45" x14ac:dyDescent="0.2">
      <c r="A49" s="99"/>
      <c r="E49" s="115"/>
    </row>
    <row r="50" spans="1:45" x14ac:dyDescent="0.2">
      <c r="A50" s="99"/>
      <c r="E50" s="115"/>
    </row>
    <row r="51" spans="1:45" x14ac:dyDescent="0.2">
      <c r="A51" s="99"/>
      <c r="E51" s="115"/>
    </row>
    <row r="52" spans="1:45" x14ac:dyDescent="0.2">
      <c r="A52" s="99"/>
      <c r="E52" s="115"/>
    </row>
    <row r="53" spans="1:45" x14ac:dyDescent="0.2">
      <c r="A53" s="99"/>
      <c r="E53" s="115"/>
    </row>
    <row r="54" spans="1:45" x14ac:dyDescent="0.2">
      <c r="A54" s="99"/>
      <c r="E54" s="115"/>
    </row>
    <row r="55" spans="1:45" x14ac:dyDescent="0.2">
      <c r="A55" s="99"/>
      <c r="E55" s="115"/>
    </row>
    <row r="56" spans="1:45" x14ac:dyDescent="0.2">
      <c r="A56" s="99"/>
      <c r="E56" s="115"/>
    </row>
    <row r="57" spans="1:45" x14ac:dyDescent="0.2">
      <c r="A57" s="99"/>
      <c r="E57" s="115"/>
    </row>
    <row r="58" spans="1:45" x14ac:dyDescent="0.2">
      <c r="A58" s="99"/>
      <c r="E58" s="115"/>
    </row>
    <row r="59" spans="1:45" x14ac:dyDescent="0.2">
      <c r="A59" s="99"/>
      <c r="E59" s="115"/>
    </row>
    <row r="60" spans="1:45" s="211" customFormat="1" x14ac:dyDescent="0.2">
      <c r="A60" s="99"/>
      <c r="B60" s="99"/>
      <c r="C60" s="99"/>
      <c r="D60" s="99"/>
      <c r="E60" s="115"/>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R60" s="99"/>
      <c r="AS60" s="99"/>
    </row>
    <row r="61" spans="1:45" s="211" customFormat="1" x14ac:dyDescent="0.2">
      <c r="A61" s="99"/>
      <c r="B61" s="99"/>
      <c r="C61" s="99"/>
      <c r="D61" s="99"/>
      <c r="E61" s="115"/>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R61" s="99"/>
      <c r="AS61" s="99"/>
    </row>
    <row r="62" spans="1:45" s="211" customFormat="1" x14ac:dyDescent="0.2">
      <c r="A62" s="99"/>
      <c r="B62" s="99"/>
      <c r="C62" s="99"/>
      <c r="D62" s="99"/>
      <c r="E62" s="115"/>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R62" s="99"/>
      <c r="AS62" s="99"/>
    </row>
    <row r="63" spans="1:45" s="211" customFormat="1" x14ac:dyDescent="0.2">
      <c r="A63" s="99"/>
      <c r="B63" s="99"/>
      <c r="C63" s="99"/>
      <c r="D63" s="99"/>
      <c r="E63" s="115"/>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R63" s="99"/>
      <c r="AS63" s="99"/>
    </row>
    <row r="64" spans="1:45" s="211" customFormat="1" x14ac:dyDescent="0.2">
      <c r="A64" s="99"/>
      <c r="B64" s="99"/>
      <c r="C64" s="99"/>
      <c r="D64" s="99"/>
      <c r="E64" s="115"/>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R64" s="99"/>
      <c r="AS64" s="99"/>
    </row>
    <row r="65" spans="1:45" s="211" customFormat="1" x14ac:dyDescent="0.2">
      <c r="A65" s="99"/>
      <c r="B65" s="99"/>
      <c r="C65" s="99"/>
      <c r="D65" s="99"/>
      <c r="E65" s="115"/>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R65" s="99"/>
      <c r="AS65" s="99"/>
    </row>
    <row r="66" spans="1:45" s="211" customFormat="1" x14ac:dyDescent="0.2">
      <c r="A66" s="99"/>
      <c r="B66" s="99"/>
      <c r="C66" s="99"/>
      <c r="D66" s="99"/>
      <c r="E66" s="115"/>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R66" s="99"/>
      <c r="AS66" s="99"/>
    </row>
  </sheetData>
  <autoFilter ref="A8:AS25"/>
  <mergeCells count="37">
    <mergeCell ref="G29:H29"/>
    <mergeCell ref="I29:J29"/>
    <mergeCell ref="K29:L29"/>
    <mergeCell ref="AA6:AC6"/>
    <mergeCell ref="AD6:AF6"/>
    <mergeCell ref="K6:K7"/>
    <mergeCell ref="AH6:AH7"/>
    <mergeCell ref="U9:U24"/>
    <mergeCell ref="A25:B25"/>
    <mergeCell ref="S6:S7"/>
    <mergeCell ref="T6:T7"/>
    <mergeCell ref="U6:U7"/>
    <mergeCell ref="V6:V7"/>
    <mergeCell ref="W6:W7"/>
    <mergeCell ref="X6:Z6"/>
    <mergeCell ref="L6:L7"/>
    <mergeCell ref="M6:M7"/>
    <mergeCell ref="N6:O6"/>
    <mergeCell ref="P6:P7"/>
    <mergeCell ref="Q6:Q7"/>
    <mergeCell ref="R6:R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s>
  <printOptions horizontalCentered="1"/>
  <pageMargins left="0" right="0" top="0" bottom="0" header="0.31496062992125984" footer="0.31496062992125984"/>
  <pageSetup paperSize="9" scale="3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106</vt:i4>
      </vt:variant>
      <vt:variant>
        <vt:lpstr>Именованные диапазоны</vt:lpstr>
      </vt:variant>
      <vt:variant>
        <vt:i4>129</vt:i4>
      </vt:variant>
    </vt:vector>
  </HeadingPairs>
  <TitlesOfParts>
    <vt:vector size="235" baseType="lpstr">
      <vt:lpstr>СВОД (2)</vt:lpstr>
      <vt:lpstr>СВОД</vt:lpstr>
      <vt:lpstr>музей 2020</vt:lpstr>
      <vt:lpstr>Родина 2020</vt:lpstr>
      <vt:lpstr>раздел 1</vt:lpstr>
      <vt:lpstr>раздел 2</vt:lpstr>
      <vt:lpstr>разбивка</vt:lpstr>
      <vt:lpstr>строка 1100 (120)+</vt:lpstr>
      <vt:lpstr>строка 1110 (121) аренда+</vt:lpstr>
      <vt:lpstr>строка 1200(130)</vt:lpstr>
      <vt:lpstr>субсидии стр1210(130)культ</vt:lpstr>
      <vt:lpstr>платные строка 1220 (132)</vt:lpstr>
      <vt:lpstr>возмещ ком услуг 1230 (135)</vt:lpstr>
      <vt:lpstr>штрафы строка 1300 (140)</vt:lpstr>
      <vt:lpstr>безвозм1400(150)</vt:lpstr>
      <vt:lpstr>безвозм1400(155)</vt:lpstr>
      <vt:lpstr>прочие строка 1500 (150)</vt:lpstr>
      <vt:lpstr>прочие поступ строка 1980 (510)</vt:lpstr>
      <vt:lpstr>иные стр1210(130)культ</vt:lpstr>
      <vt:lpstr>субс РК КВР 111 (01.01.20)</vt:lpstr>
      <vt:lpstr>субс РК КВР 119 (01.01.20)</vt:lpstr>
      <vt:lpstr>б-т 991,992,911(01.01.20)-2020</vt:lpstr>
      <vt:lpstr>б-т 991,992,911(01.01.20)-2021</vt:lpstr>
      <vt:lpstr>б-т 991,992,911(01.01.20)-2022</vt:lpstr>
      <vt:lpstr>субс РК КВР 112 (01.01.20)</vt:lpstr>
      <vt:lpstr>б-т 914 (01.01.20)</vt:lpstr>
      <vt:lpstr>б-т 921 (01.01.20)</vt:lpstr>
      <vt:lpstr>субс РК КВР 113(01.01.20)</vt:lpstr>
      <vt:lpstr>б-т 966 Стим-е (01.01.20)</vt:lpstr>
      <vt:lpstr>субс РК КВР 321(01.01.20)</vt:lpstr>
      <vt:lpstr>субс РК КВР 244 (01.01.20)</vt:lpstr>
      <vt:lpstr>б-т 922 ПГ (01.01.20) </vt:lpstr>
      <vt:lpstr>б-т 925 (01.01.20)</vt:lpstr>
      <vt:lpstr>б-т 927 (01.01.20)</vt:lpstr>
      <vt:lpstr>б-т 931,932,933 (01.01.20)</vt:lpstr>
      <vt:lpstr>б-т 934 (01.01.20)</vt:lpstr>
      <vt:lpstr>б-т 941 (01.01.20)</vt:lpstr>
      <vt:lpstr>б-т 947 (01.01.20)</vt:lpstr>
      <vt:lpstr>б-т 953 (01.01.20)</vt:lpstr>
      <vt:lpstr>б-т 954 (01.01.20)</vt:lpstr>
      <vt:lpstr>б-т 955 ПГ (01.01.20)</vt:lpstr>
      <vt:lpstr>б-т 955 наркомания (01.01.20)</vt:lpstr>
      <vt:lpstr>б-т 955 Стим-е (01.01.20)</vt:lpstr>
      <vt:lpstr>б-т 963 ПГ (01.01.20)</vt:lpstr>
      <vt:lpstr>б-т 963 Наркомания (01.01.20)</vt:lpstr>
      <vt:lpstr>б -т 963 Стим-е (01.01.20)</vt:lpstr>
      <vt:lpstr>б-т 971 ПГ (01.01.20)</vt:lpstr>
      <vt:lpstr>б-т 981 (01.01.20)</vt:lpstr>
      <vt:lpstr>б-т 981 ПГ (01.01.20)</vt:lpstr>
      <vt:lpstr>б-т 981 Стим-е (01.01.20)</vt:lpstr>
      <vt:lpstr>б-т накомания 981 (01.01.20)</vt:lpstr>
      <vt:lpstr>б-т 982 (01.01.20)</vt:lpstr>
      <vt:lpstr>б-т 985 (01.01.20)</vt:lpstr>
      <vt:lpstr>б-т 986 (01.01.20)</vt:lpstr>
      <vt:lpstr>б-т 995 (01.01.20)</vt:lpstr>
      <vt:lpstr>б-т 996 (01.01.20)</vt:lpstr>
      <vt:lpstr>субс РТ КВР 113(01.01.20)</vt:lpstr>
      <vt:lpstr>субс РТ КВР 244 (01.01.20)</vt:lpstr>
      <vt:lpstr>субс РТ (01.01.20)</vt:lpstr>
      <vt:lpstr>иные КВР 112 (01.01.20)</vt:lpstr>
      <vt:lpstr>иные КВР 321(01.01.20)</vt:lpstr>
      <vt:lpstr>СПЖ КВР 244 (01.01.20)</vt:lpstr>
      <vt:lpstr>(81600) КВР 244 (01.01.20)</vt:lpstr>
      <vt:lpstr>(81600) 971 (01.01.20)</vt:lpstr>
      <vt:lpstr>75 лет КВР 113(01.01.20)</vt:lpstr>
      <vt:lpstr>75 лет КВР 244 (01.01.20)</vt:lpstr>
      <vt:lpstr>75 лет (01.01.20)</vt:lpstr>
      <vt:lpstr>ЖКХ КВР 244 (01.01.20)</vt:lpstr>
      <vt:lpstr>внебКВР 111 (01.01.20)+</vt:lpstr>
      <vt:lpstr>внебКВР 119 (01.01.20)+</vt:lpstr>
      <vt:lpstr>внеб 991,992,911 (01.01.20)</vt:lpstr>
      <vt:lpstr>внеб КВР 112 (01.01.20)</vt:lpstr>
      <vt:lpstr>внеб 912,921,952 (01.01.20)</vt:lpstr>
      <vt:lpstr>внеб КВР 113(01.01.20)</vt:lpstr>
      <vt:lpstr>внеб 966 (01.01.20)</vt:lpstr>
      <vt:lpstr>внеб КВР 244</vt:lpstr>
      <vt:lpstr>внеб 922 (01.01.20)</vt:lpstr>
      <vt:lpstr>внеб 925 (01.01.20)</vt:lpstr>
      <vt:lpstr>внеб 931,932,933 (01.01.20)</vt:lpstr>
      <vt:lpstr>внеб 941 (01.01.20)</vt:lpstr>
      <vt:lpstr>внеб 942 (01.01.20)</vt:lpstr>
      <vt:lpstr>внеб 947 (01.01.20)</vt:lpstr>
      <vt:lpstr>внеб 954 (01.01.20)</vt:lpstr>
      <vt:lpstr>внеб 955 (01.01.20)</vt:lpstr>
      <vt:lpstr>внеб 956 (01.01.20)</vt:lpstr>
      <vt:lpstr>внеб 963 (01.01.20)</vt:lpstr>
      <vt:lpstr>внеб 971 (01.01.20)</vt:lpstr>
      <vt:lpstr>внеб 981 (01.01.20)</vt:lpstr>
      <vt:lpstr>внеб 985 (01.01.20)</vt:lpstr>
      <vt:lpstr>внеб 986 (01.01.20)</vt:lpstr>
      <vt:lpstr>КВР 850</vt:lpstr>
      <vt:lpstr>ГЦК+Энергия 2020</vt:lpstr>
      <vt:lpstr>Юбилейный 2020</vt:lpstr>
      <vt:lpstr>Высоцкий 2020</vt:lpstr>
      <vt:lpstr>музей 2021</vt:lpstr>
      <vt:lpstr>Родина 2021</vt:lpstr>
      <vt:lpstr>ЦБС 2021</vt:lpstr>
      <vt:lpstr>ГЦК+Энергия 2021</vt:lpstr>
      <vt:lpstr>Юбилейный 2021</vt:lpstr>
      <vt:lpstr>Высоцкий 2021</vt:lpstr>
      <vt:lpstr>музей 2022</vt:lpstr>
      <vt:lpstr>Родина 2022</vt:lpstr>
      <vt:lpstr>ЦБС 2022</vt:lpstr>
      <vt:lpstr>ГЦК+Энергия 2022</vt:lpstr>
      <vt:lpstr>Юбилейный 2022</vt:lpstr>
      <vt:lpstr>Высоцкий 2022</vt:lpstr>
      <vt:lpstr>'(81600) 971 (01.01.20)'!Заголовки_для_печати</vt:lpstr>
      <vt:lpstr>'б -т 963 Стим-е (01.01.20)'!Заголовки_для_печати</vt:lpstr>
      <vt:lpstr>'б-т 921 (01.01.20)'!Заголовки_для_печати</vt:lpstr>
      <vt:lpstr>'б-т 925 (01.01.20)'!Заголовки_для_печати</vt:lpstr>
      <vt:lpstr>'б-т 934 (01.01.20)'!Заголовки_для_печати</vt:lpstr>
      <vt:lpstr>'б-т 947 (01.01.20)'!Заголовки_для_печати</vt:lpstr>
      <vt:lpstr>'б-т 953 (01.01.20)'!Заголовки_для_печати</vt:lpstr>
      <vt:lpstr>'б-т 954 (01.01.20)'!Заголовки_для_печати</vt:lpstr>
      <vt:lpstr>'б-т 955 наркомания (01.01.20)'!Заголовки_для_печати</vt:lpstr>
      <vt:lpstr>'б-т 955 Стим-е (01.01.20)'!Заголовки_для_печати</vt:lpstr>
      <vt:lpstr>'б-т 963 Наркомания (01.01.20)'!Заголовки_для_печати</vt:lpstr>
      <vt:lpstr>'б-т 966 Стим-е (01.01.20)'!Заголовки_для_печати</vt:lpstr>
      <vt:lpstr>'б-т 981 (01.01.20)'!Заголовки_для_печати</vt:lpstr>
      <vt:lpstr>'б-т 981 Стим-е (01.01.20)'!Заголовки_для_печати</vt:lpstr>
      <vt:lpstr>'б-т 986 (01.01.20)'!Заголовки_для_печати</vt:lpstr>
      <vt:lpstr>'б-т 995 (01.01.20)'!Заголовки_для_печати</vt:lpstr>
      <vt:lpstr>'б-т 996 (01.01.20)'!Заголовки_для_печати</vt:lpstr>
      <vt:lpstr>'б-т накомания 981 (01.01.20)'!Заголовки_для_печати</vt:lpstr>
      <vt:lpstr>'внеб 922 (01.01.20)'!Заголовки_для_печати</vt:lpstr>
      <vt:lpstr>'внеб 947 (01.01.20)'!Заголовки_для_печати</vt:lpstr>
      <vt:lpstr>'внеб 956 (01.01.20)'!Заголовки_для_печати</vt:lpstr>
      <vt:lpstr>'внеб 963 (01.01.20)'!Заголовки_для_печати</vt:lpstr>
      <vt:lpstr>'внеб 966 (01.01.20)'!Заголовки_для_печати</vt:lpstr>
      <vt:lpstr>'внеб 971 (01.01.20)'!Заголовки_для_печати</vt:lpstr>
      <vt:lpstr>'внеб 981 (01.01.20)'!Заголовки_для_печати</vt:lpstr>
      <vt:lpstr>'внеб 986 (01.01.20)'!Заголовки_для_печати</vt:lpstr>
      <vt:lpstr>'ГЦК+Энергия 2020'!Заголовки_для_печати</vt:lpstr>
      <vt:lpstr>'ГЦК+Энергия 2021'!Заголовки_для_печати</vt:lpstr>
      <vt:lpstr>'ГЦК+Энергия 2022'!Заголовки_для_печати</vt:lpstr>
      <vt:lpstr>'раздел 1'!Заголовки_для_печати</vt:lpstr>
      <vt:lpstr>'раздел 2'!Заголовки_для_печати</vt:lpstr>
      <vt:lpstr>'субс РТ (01.01.20)'!Заголовки_для_печати</vt:lpstr>
      <vt:lpstr>'(81600) 971 (01.01.20)'!Область_печати</vt:lpstr>
      <vt:lpstr>'(81600) КВР 244 (01.01.20)'!Область_печати</vt:lpstr>
      <vt:lpstr>'75 лет (01.01.20)'!Область_печати</vt:lpstr>
      <vt:lpstr>'75 лет КВР 244 (01.01.20)'!Область_печати</vt:lpstr>
      <vt:lpstr>'б -т 963 Стим-е (01.01.20)'!Область_печати</vt:lpstr>
      <vt:lpstr>'безвозм1400(150)'!Область_печати</vt:lpstr>
      <vt:lpstr>'безвозм1400(155)'!Область_печати</vt:lpstr>
      <vt:lpstr>'б-т 914 (01.01.20)'!Область_печати</vt:lpstr>
      <vt:lpstr>'б-т 921 (01.01.20)'!Область_печати</vt:lpstr>
      <vt:lpstr>'б-т 922 ПГ (01.01.20) '!Область_печати</vt:lpstr>
      <vt:lpstr>'б-т 925 (01.01.20)'!Область_печати</vt:lpstr>
      <vt:lpstr>'б-т 927 (01.01.20)'!Область_печати</vt:lpstr>
      <vt:lpstr>'б-т 931,932,933 (01.01.20)'!Область_печати</vt:lpstr>
      <vt:lpstr>'б-т 934 (01.01.20)'!Область_печати</vt:lpstr>
      <vt:lpstr>'б-т 941 (01.01.20)'!Область_печати</vt:lpstr>
      <vt:lpstr>'б-т 947 (01.01.20)'!Область_печати</vt:lpstr>
      <vt:lpstr>'б-т 953 (01.01.20)'!Область_печати</vt:lpstr>
      <vt:lpstr>'б-т 954 (01.01.20)'!Область_печати</vt:lpstr>
      <vt:lpstr>'б-т 955 наркомания (01.01.20)'!Область_печати</vt:lpstr>
      <vt:lpstr>'б-т 955 ПГ (01.01.20)'!Область_печати</vt:lpstr>
      <vt:lpstr>'б-т 955 Стим-е (01.01.20)'!Область_печати</vt:lpstr>
      <vt:lpstr>'б-т 963 Наркомания (01.01.20)'!Область_печати</vt:lpstr>
      <vt:lpstr>'б-т 963 ПГ (01.01.20)'!Область_печати</vt:lpstr>
      <vt:lpstr>'б-т 966 Стим-е (01.01.20)'!Область_печати</vt:lpstr>
      <vt:lpstr>'б-т 971 ПГ (01.01.20)'!Область_печати</vt:lpstr>
      <vt:lpstr>'б-т 981 (01.01.20)'!Область_печати</vt:lpstr>
      <vt:lpstr>'б-т 981 ПГ (01.01.20)'!Область_печати</vt:lpstr>
      <vt:lpstr>'б-т 981 Стим-е (01.01.20)'!Область_печати</vt:lpstr>
      <vt:lpstr>'б-т 982 (01.01.20)'!Область_печати</vt:lpstr>
      <vt:lpstr>'б-т 985 (01.01.20)'!Область_печати</vt:lpstr>
      <vt:lpstr>'б-т 986 (01.01.20)'!Область_печати</vt:lpstr>
      <vt:lpstr>'б-т 991,992,911(01.01.20)-2020'!Область_печати</vt:lpstr>
      <vt:lpstr>'б-т 991,992,911(01.01.20)-2021'!Область_печати</vt:lpstr>
      <vt:lpstr>'б-т 991,992,911(01.01.20)-2022'!Область_печати</vt:lpstr>
      <vt:lpstr>'б-т 995 (01.01.20)'!Область_печати</vt:lpstr>
      <vt:lpstr>'б-т 996 (01.01.20)'!Область_печати</vt:lpstr>
      <vt:lpstr>'б-т накомания 981 (01.01.20)'!Область_печати</vt:lpstr>
      <vt:lpstr>'внеб 912,921,952 (01.01.20)'!Область_печати</vt:lpstr>
      <vt:lpstr>'внеб 922 (01.01.20)'!Область_печати</vt:lpstr>
      <vt:lpstr>'внеб 925 (01.01.20)'!Область_печати</vt:lpstr>
      <vt:lpstr>'внеб 931,932,933 (01.01.20)'!Область_печати</vt:lpstr>
      <vt:lpstr>'внеб 941 (01.01.20)'!Область_печати</vt:lpstr>
      <vt:lpstr>'внеб 942 (01.01.20)'!Область_печати</vt:lpstr>
      <vt:lpstr>'внеб 947 (01.01.20)'!Область_печати</vt:lpstr>
      <vt:lpstr>'внеб 954 (01.01.20)'!Область_печати</vt:lpstr>
      <vt:lpstr>'внеб 955 (01.01.20)'!Область_печати</vt:lpstr>
      <vt:lpstr>'внеб 956 (01.01.20)'!Область_печати</vt:lpstr>
      <vt:lpstr>'внеб 963 (01.01.20)'!Область_печати</vt:lpstr>
      <vt:lpstr>'внеб 966 (01.01.20)'!Область_печати</vt:lpstr>
      <vt:lpstr>'внеб 971 (01.01.20)'!Область_печати</vt:lpstr>
      <vt:lpstr>'внеб 981 (01.01.20)'!Область_печати</vt:lpstr>
      <vt:lpstr>'внеб 985 (01.01.20)'!Область_печати</vt:lpstr>
      <vt:lpstr>'внеб 986 (01.01.20)'!Область_печати</vt:lpstr>
      <vt:lpstr>'внеб 991,992,911 (01.01.20)'!Область_печати</vt:lpstr>
      <vt:lpstr>'внеб КВР 112 (01.01.20)'!Область_печати</vt:lpstr>
      <vt:lpstr>'внеб КВР 113(01.01.20)'!Область_печати</vt:lpstr>
      <vt:lpstr>'внеб КВР 244'!Область_печати</vt:lpstr>
      <vt:lpstr>'внебКВР 111 (01.01.20)+'!Область_печати</vt:lpstr>
      <vt:lpstr>'возмещ ком услуг 1230 (135)'!Область_печати</vt:lpstr>
      <vt:lpstr>'Высоцкий 2020'!Область_печати</vt:lpstr>
      <vt:lpstr>'Высоцкий 2021'!Область_печати</vt:lpstr>
      <vt:lpstr>'Высоцкий 2022'!Область_печати</vt:lpstr>
      <vt:lpstr>'ГЦК+Энергия 2020'!Область_печати</vt:lpstr>
      <vt:lpstr>'ГЦК+Энергия 2021'!Область_печати</vt:lpstr>
      <vt:lpstr>'ГЦК+Энергия 2022'!Область_печати</vt:lpstr>
      <vt:lpstr>'ЖКХ КВР 244 (01.01.20)'!Область_печати</vt:lpstr>
      <vt:lpstr>'иные КВР 112 (01.01.20)'!Область_печати</vt:lpstr>
      <vt:lpstr>'иные КВР 321(01.01.20)'!Область_печати</vt:lpstr>
      <vt:lpstr>'иные стр1210(130)культ'!Область_печати</vt:lpstr>
      <vt:lpstr>'музей 2020'!Область_печати</vt:lpstr>
      <vt:lpstr>'музей 2021'!Область_печати</vt:lpstr>
      <vt:lpstr>'музей 2022'!Область_печати</vt:lpstr>
      <vt:lpstr>'платные строка 1220 (132)'!Область_печати</vt:lpstr>
      <vt:lpstr>'прочие строка 1500 (150)'!Область_печати</vt:lpstr>
      <vt:lpstr>'раздел 1'!Область_печати</vt:lpstr>
      <vt:lpstr>'раздел 2'!Область_печати</vt:lpstr>
      <vt:lpstr>'Родина 2020'!Область_печати</vt:lpstr>
      <vt:lpstr>'Родина 2021'!Область_печати</vt:lpstr>
      <vt:lpstr>'Родина 2022'!Область_печати</vt:lpstr>
      <vt:lpstr>СВОД!Область_печати</vt:lpstr>
      <vt:lpstr>'СВОД (2)'!Область_печати</vt:lpstr>
      <vt:lpstr>'СПЖ КВР 244 (01.01.20)'!Область_печати</vt:lpstr>
      <vt:lpstr>'строка 1100 (120)+'!Область_печати</vt:lpstr>
      <vt:lpstr>'строка 1110 (121) аренда+'!Область_печати</vt:lpstr>
      <vt:lpstr>'строка 1200(130)'!Область_печати</vt:lpstr>
      <vt:lpstr>'субс РК КВР 112 (01.01.20)'!Область_печати</vt:lpstr>
      <vt:lpstr>'субс РК КВР 113(01.01.20)'!Область_печати</vt:lpstr>
      <vt:lpstr>'субс РК КВР 244 (01.01.20)'!Область_печати</vt:lpstr>
      <vt:lpstr>'субс РТ (01.01.20)'!Область_печати</vt:lpstr>
      <vt:lpstr>'субс РТ КВР 244 (01.01.20)'!Область_печати</vt:lpstr>
      <vt:lpstr>'субсидии стр1210(130)культ'!Область_печати</vt:lpstr>
      <vt:lpstr>'ЦБС 2021'!Область_печати</vt:lpstr>
      <vt:lpstr>'ЦБС 2022'!Область_печати</vt:lpstr>
      <vt:lpstr>'штрафы строка 1300 (140)'!Область_печати</vt:lpstr>
      <vt:lpstr>'Юбилейный 2020'!Область_печати</vt:lpstr>
      <vt:lpstr>'Юбилейный 2021'!Область_печати</vt:lpstr>
      <vt:lpstr>'Юбилейный 2022'!Область_печати</vt:lpstr>
    </vt:vector>
  </TitlesOfParts>
  <Company>Work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андрей</dc:creator>
  <cp:lastModifiedBy>Шикера Ирина Анатольевна</cp:lastModifiedBy>
  <cp:lastPrinted>2019-12-30T04:30:35Z</cp:lastPrinted>
  <dcterms:created xsi:type="dcterms:W3CDTF">2011-02-11T02:31:04Z</dcterms:created>
  <dcterms:modified xsi:type="dcterms:W3CDTF">2019-12-30T04:33:20Z</dcterms:modified>
</cp:coreProperties>
</file>